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milychase/PostDoc_2022-2023/MANUSCRIPTS/Quasigenus/RESUBMIT_SEPT_2024-no-quasigenus/SUBMISSION_FILES/SUPPLEMENTAL/"/>
    </mc:Choice>
  </mc:AlternateContent>
  <xr:revisionPtr revIDLastSave="0" documentId="13_ncr:1_{7D7B42CA-2A6B-BF49-8A8D-3338F8CB9FE0}" xr6:coauthVersionLast="47" xr6:coauthVersionMax="47" xr10:uidLastSave="{00000000-0000-0000-0000-000000000000}"/>
  <bookViews>
    <workbookView xWindow="30220" yWindow="-1460" windowWidth="38400" windowHeight="21100" firstSheet="18" activeTab="24" xr2:uid="{A10F6B5B-3AD0-D245-874A-01899DA7E4E8}"/>
  </bookViews>
  <sheets>
    <sheet name="TS1" sheetId="1" r:id="rId1"/>
    <sheet name="TS2_DNAMV" sheetId="2" r:id="rId2"/>
    <sheet name="TS2_DNAUV" sheetId="3" r:id="rId3"/>
    <sheet name="TS2_IHU" sheetId="4" r:id="rId4"/>
    <sheet name="TS2_breakdown" sheetId="5" r:id="rId5"/>
    <sheet name="TS3_EUKVIRUS.ANOT_2" sheetId="6" r:id="rId6"/>
    <sheet name="TS3_PROKVIRUS.ANNOT_2" sheetId="7" r:id="rId7"/>
    <sheet name="TS3_stats" sheetId="8" r:id="rId8"/>
    <sheet name="TS3_protein" sheetId="9" r:id="rId9"/>
    <sheet name="TS4_OTU_matrix" sheetId="10" r:id="rId10"/>
    <sheet name="TS4_taxonomy_table" sheetId="11" r:id="rId11"/>
    <sheet name="TS4_samples" sheetId="12" r:id="rId12"/>
    <sheet name="TS5_correlation_data_PCA-GV" sheetId="13" r:id="rId13"/>
    <sheet name="TS5_correlation_data_PCA_PLV" sheetId="14" r:id="rId14"/>
    <sheet name="TS5_correlation_data_PCA_GV-PLV" sheetId="15" r:id="rId15"/>
    <sheet name="TS6_summary" sheetId="16" r:id="rId16"/>
    <sheet name="TS6_markerout" sheetId="17" r:id="rId17"/>
    <sheet name="Supp_data_file_1_GV-primers" sheetId="18" r:id="rId18"/>
    <sheet name="Supp_data_file_1_PLV-primers" sheetId="19" r:id="rId19"/>
    <sheet name="Supp_data_file_2_ATPase.All.s.p" sheetId="20" r:id="rId20"/>
    <sheet name="Supp_data_file_2_ATPase.All.p.a" sheetId="21" r:id="rId21"/>
    <sheet name="Supp_data_file_2_DNAP.All.pep" sheetId="22" r:id="rId22"/>
    <sheet name="Supp_data_file_2_DNAP.All.pep.a" sheetId="23" r:id="rId23"/>
    <sheet name="Supp_data_file_2_MCP.ALL+META.p" sheetId="24" r:id="rId24"/>
    <sheet name="Supp_data_file_2_MCP.ALL+MET.p." sheetId="25" r:id="rId2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853" i="25" l="1" a="1"/>
  <c r="A23853" i="25" s="1"/>
  <c r="A23718" i="25" a="1"/>
  <c r="A23718" i="25" s="1"/>
  <c r="A23710" i="25" a="1"/>
  <c r="A23710" i="25" s="1"/>
  <c r="A23696" i="25" a="1"/>
  <c r="A23696" i="25" s="1"/>
  <c r="A23673" i="25" a="1"/>
  <c r="A23673" i="25" s="1"/>
  <c r="A23671" i="25" a="1"/>
  <c r="A23671" i="25" s="1"/>
  <c r="A23617" i="25" a="1"/>
  <c r="A23617" i="25" s="1"/>
  <c r="A23595" i="25" a="1"/>
  <c r="A23595" i="25" s="1"/>
  <c r="A23588" i="25" a="1"/>
  <c r="A23588" i="25" s="1"/>
  <c r="A23573" i="25" a="1"/>
  <c r="A23573" i="25" s="1"/>
  <c r="A23555" i="25" a="1"/>
  <c r="A23555" i="25" s="1"/>
  <c r="A23553" i="25" a="1"/>
  <c r="A23553" i="25" s="1"/>
  <c r="A23499" i="25" a="1"/>
  <c r="A23499" i="25" s="1"/>
  <c r="A23470" i="25" a="1"/>
  <c r="A23470" i="25" s="1"/>
  <c r="A23455" i="25" a="1"/>
  <c r="A23455" i="25" s="1"/>
  <c r="A23437" i="25" a="1"/>
  <c r="A23437" i="25" s="1"/>
  <c r="A23435" i="25" a="1"/>
  <c r="A23435" i="25" s="1"/>
  <c r="A23352" i="25" a="1"/>
  <c r="A23352" i="25" s="1"/>
  <c r="A23337" i="25" a="1"/>
  <c r="A23337" i="25" s="1"/>
  <c r="A23319" i="25" a="1"/>
  <c r="A23319" i="25" s="1"/>
  <c r="A23317" i="25" a="1"/>
  <c r="A23317" i="25" s="1"/>
  <c r="A23234" i="25" a="1"/>
  <c r="A23234" i="25" s="1"/>
  <c r="A23219" i="25" a="1"/>
  <c r="A23219" i="25" s="1"/>
  <c r="A23207" i="25" a="1"/>
  <c r="A23207" i="25" s="1"/>
  <c r="A23201" i="25" a="1"/>
  <c r="A23201" i="25" s="1"/>
  <c r="A23199" i="25" a="1"/>
  <c r="A23199" i="25" s="1"/>
  <c r="A23197" i="25" a="1"/>
  <c r="A23197" i="25" s="1"/>
  <c r="A23195" i="25" a="1"/>
  <c r="A23195" i="25" s="1"/>
  <c r="A23191" i="25" a="1"/>
  <c r="A23191" i="25" s="1"/>
  <c r="A23190" i="25" a="1"/>
  <c r="A23190" i="25" s="1"/>
  <c r="A23160" i="25" a="1"/>
  <c r="A23160" i="25" s="1"/>
  <c r="A23159" i="25" a="1"/>
  <c r="A23159" i="25" s="1"/>
  <c r="A23149" i="25" a="1"/>
  <c r="A23149" i="25" s="1"/>
  <c r="A23147" i="25" a="1"/>
  <c r="A23147" i="25" s="1"/>
  <c r="A23140" i="25" a="1"/>
  <c r="A23140" i="25" s="1"/>
  <c r="A23116" i="25" a="1"/>
  <c r="A23116" i="25" s="1"/>
  <c r="A23081" i="25" a="1"/>
  <c r="A23081" i="25" s="1"/>
  <c r="A23010" i="25" a="1"/>
  <c r="A23010" i="25" s="1"/>
  <c r="A22998" i="25" a="1"/>
  <c r="A22998" i="25" s="1"/>
  <c r="A22965" i="25" a="1"/>
  <c r="A22965" i="25" s="1"/>
  <c r="A22963" i="25" a="1"/>
  <c r="A22963" i="25" s="1"/>
  <c r="A22909" i="25" a="1"/>
  <c r="A22909" i="25" s="1"/>
  <c r="A22880" i="25" a="1"/>
  <c r="A22880" i="25" s="1"/>
  <c r="A22847" i="25" a="1"/>
  <c r="A22847" i="25" s="1"/>
  <c r="A22845" i="25" a="1"/>
  <c r="A22845" i="25" s="1"/>
  <c r="A22791" i="25" a="1"/>
  <c r="A22791" i="25" s="1"/>
  <c r="A22762" i="25" a="1"/>
  <c r="A22762" i="25" s="1"/>
  <c r="A22648" i="25" a="1"/>
  <c r="A22648" i="25" s="1"/>
  <c r="A22644" i="25" a="1"/>
  <c r="A22644" i="25" s="1"/>
  <c r="A22530" i="25" a="1"/>
  <c r="A22530" i="25" s="1"/>
  <c r="A22526" i="25" a="1"/>
  <c r="A22526" i="25" s="1"/>
  <c r="A22493" i="25" a="1"/>
  <c r="A22493" i="25" s="1"/>
  <c r="A22408" i="25" a="1"/>
  <c r="A22408" i="25" s="1"/>
  <c r="A22294" i="25" a="1"/>
  <c r="A22294" i="25" s="1"/>
  <c r="A22274" i="25" a="1"/>
  <c r="A22274" i="25" s="1"/>
  <c r="A22201" i="25" a="1"/>
  <c r="A22201" i="25" s="1"/>
  <c r="A22056" i="25" a="1"/>
  <c r="A22056" i="25" s="1"/>
  <c r="A22054" i="25" a="1"/>
  <c r="A22054" i="25" s="1"/>
  <c r="A22021" i="25" a="1"/>
  <c r="A22021" i="25" s="1"/>
  <c r="A22019" i="25" a="1"/>
  <c r="A22019" i="25" s="1"/>
  <c r="A21965" i="25" a="1"/>
  <c r="A21965" i="25" s="1"/>
  <c r="A21938" i="25" a="1"/>
  <c r="A21938" i="25" s="1"/>
  <c r="A21936" i="25" a="1"/>
  <c r="A21936" i="25" s="1"/>
  <c r="A21920" i="25" a="1"/>
  <c r="A21920" i="25" s="1"/>
  <c r="A21906" i="25" a="1"/>
  <c r="A21906" i="25" s="1"/>
  <c r="A21903" i="25" a="1"/>
  <c r="A21903" i="25" s="1"/>
  <c r="A21901" i="25" a="1"/>
  <c r="A21901" i="25" s="1"/>
  <c r="A21847" i="25" a="1"/>
  <c r="A21847" i="25" s="1"/>
  <c r="A21785" i="25" a="1"/>
  <c r="A21785" i="25" s="1"/>
  <c r="A21783" i="25" a="1"/>
  <c r="A21783" i="25" s="1"/>
  <c r="A21686" i="25" a="1"/>
  <c r="A21686" i="25" s="1"/>
  <c r="A21669" i="25" a="1"/>
  <c r="A21669" i="25" s="1"/>
  <c r="A21667" i="25" a="1"/>
  <c r="A21667" i="25" s="1"/>
  <c r="A21665" i="25" a="1"/>
  <c r="A21665" i="25" s="1"/>
  <c r="A21626" i="25" a="1"/>
  <c r="A21626" i="25" s="1"/>
  <c r="A21613" i="25" a="1"/>
  <c r="A21613" i="25" s="1"/>
  <c r="A21611" i="25" a="1"/>
  <c r="A21611" i="25" s="1"/>
  <c r="A21605" i="25" a="1"/>
  <c r="A21605" i="25" s="1"/>
  <c r="A21582" i="25" a="1"/>
  <c r="A21582" i="25" s="1"/>
  <c r="A21577" i="25" a="1"/>
  <c r="A21577" i="25" s="1"/>
  <c r="A21464" i="25" a="1"/>
  <c r="A21464" i="25" s="1"/>
  <c r="A21422" i="25" a="1"/>
  <c r="A21422" i="25" s="1"/>
  <c r="A21370" i="25" a="1"/>
  <c r="A21370" i="25" s="1"/>
  <c r="A21257" i="25" a="1"/>
  <c r="A21257" i="25" s="1"/>
  <c r="A21110" i="25" a="1"/>
  <c r="A21110" i="25" s="1"/>
  <c r="A21093" i="25" a="1"/>
  <c r="A21093" i="25" s="1"/>
  <c r="A21077" i="25" a="1"/>
  <c r="A21077" i="25" s="1"/>
  <c r="A21075" i="25" a="1"/>
  <c r="A21075" i="25" s="1"/>
  <c r="A21069" i="25" a="1"/>
  <c r="A21069" i="25" s="1"/>
  <c r="A21067" i="25" a="1"/>
  <c r="A21067" i="25" s="1"/>
  <c r="A21066" i="25" a="1"/>
  <c r="A21066" i="25" s="1"/>
  <c r="A21021" i="25" a="1"/>
  <c r="A21021" i="25" s="1"/>
  <c r="A20994" i="25" a="1"/>
  <c r="A20994" i="25" s="1"/>
  <c r="A20992" i="25" a="1"/>
  <c r="A20992" i="25" s="1"/>
  <c r="A20987" i="25" a="1"/>
  <c r="A20987" i="25" s="1"/>
  <c r="A20985" i="25" a="1"/>
  <c r="A20985" i="25" s="1"/>
  <c r="A20975" i="25" a="1"/>
  <c r="A20975" i="25" s="1"/>
  <c r="A20971" i="25" a="1"/>
  <c r="A20971" i="25" s="1"/>
  <c r="A20967" i="25"/>
  <c r="A20967" i="25" a="1"/>
  <c r="A20963" i="25" a="1"/>
  <c r="A20963" i="25" s="1"/>
  <c r="A20961" i="25" a="1"/>
  <c r="A20961" i="25" s="1"/>
  <c r="A20957" i="25" a="1"/>
  <c r="A20957" i="25" s="1"/>
  <c r="A20955" i="25" a="1"/>
  <c r="A20955" i="25" s="1"/>
  <c r="A20944" i="25" a="1"/>
  <c r="A20944" i="25" s="1"/>
  <c r="A20939" i="25" a="1"/>
  <c r="A20939" i="25" s="1"/>
  <c r="A20928" i="25" a="1"/>
  <c r="A20928" i="25" s="1"/>
  <c r="A20920" i="25"/>
  <c r="A20920" i="25" a="1"/>
  <c r="A20910" i="25" a="1"/>
  <c r="A20910" i="25" s="1"/>
  <c r="A20903" i="25" a="1"/>
  <c r="A20903" i="25" s="1"/>
  <c r="A20874" i="25" a="1"/>
  <c r="A20874" i="25" s="1"/>
  <c r="A20860" i="25" a="1"/>
  <c r="A20860" i="25" s="1"/>
  <c r="A20841" i="25" a="1"/>
  <c r="A20841" i="25" s="1"/>
  <c r="A20839" i="25" a="1"/>
  <c r="A20839" i="25" s="1"/>
  <c r="A20785" i="25" a="1"/>
  <c r="A20785" i="25" s="1"/>
  <c r="A20765" i="25"/>
  <c r="A20765" i="25" a="1"/>
  <c r="A20756" i="25" a="1"/>
  <c r="A20756" i="25" s="1"/>
  <c r="A20721" i="25" a="1"/>
  <c r="A20721" i="25" s="1"/>
  <c r="A20667" i="25" a="1"/>
  <c r="A20667" i="25" s="1"/>
  <c r="A20549" i="25" a="1"/>
  <c r="A20549" i="25" s="1"/>
  <c r="A20487" i="25" a="1"/>
  <c r="A20487" i="25" s="1"/>
  <c r="A20484" i="25" a="1"/>
  <c r="A20484" i="25" s="1"/>
  <c r="A20481" i="25" a="1"/>
  <c r="A20481" i="25" s="1"/>
  <c r="A20477" i="25" a="1"/>
  <c r="A20477" i="25" s="1"/>
  <c r="A20476" i="25" a="1"/>
  <c r="A20476" i="25" s="1"/>
  <c r="A20469" i="25" a="1"/>
  <c r="A20469" i="25" s="1"/>
  <c r="A20464" i="25" a="1"/>
  <c r="A20464" i="25" s="1"/>
  <c r="A20458" i="25" a="1"/>
  <c r="A20458" i="25" s="1"/>
  <c r="A20431" i="25" a="1"/>
  <c r="A20431" i="25" s="1"/>
  <c r="A20402" i="25" a="1"/>
  <c r="A20402" i="25" s="1"/>
  <c r="A20387" i="25" a="1"/>
  <c r="A20387" i="25" s="1"/>
  <c r="A20372" i="25" a="1"/>
  <c r="A20372" i="25" s="1"/>
  <c r="A20369" i="25" a="1"/>
  <c r="A20369" i="25" s="1"/>
  <c r="A20367" i="25" a="1"/>
  <c r="A20367" i="25" s="1"/>
  <c r="A20313" i="25" a="1"/>
  <c r="A20313" i="25" s="1"/>
  <c r="A20284" i="25" a="1"/>
  <c r="A20284" i="25" s="1"/>
  <c r="A20282" i="25" a="1"/>
  <c r="A20282" i="25" s="1"/>
  <c r="A20281" i="25" a="1"/>
  <c r="A20281" i="25" s="1"/>
  <c r="A20253" i="25" a="1"/>
  <c r="A20253" i="25" s="1"/>
  <c r="A20251" i="25"/>
  <c r="A20251" i="25" a="1"/>
  <c r="A20249" i="25" a="1"/>
  <c r="A20249" i="25" s="1"/>
  <c r="A20195" i="25" a="1"/>
  <c r="A20195" i="25" s="1"/>
  <c r="A20174" i="25" a="1"/>
  <c r="A20174" i="25" s="1"/>
  <c r="A20166" i="25" a="1"/>
  <c r="A20166" i="25" s="1"/>
  <c r="A20163" i="25" a="1"/>
  <c r="A20163" i="25" s="1"/>
  <c r="A20135" i="25" a="1"/>
  <c r="A20135" i="25" s="1"/>
  <c r="A20133" i="25" a="1"/>
  <c r="A20133" i="25" s="1"/>
  <c r="A20131" i="25"/>
  <c r="A20131" i="25" a="1"/>
  <c r="A20077" i="25" a="1"/>
  <c r="A20077" i="25" s="1"/>
  <c r="A20048" i="25" a="1"/>
  <c r="A20048" i="25" s="1"/>
  <c r="A20046" i="25" a="1"/>
  <c r="A20046" i="25" s="1"/>
  <c r="A20017" i="25" a="1"/>
  <c r="A20017" i="25" s="1"/>
  <c r="A20015" i="25" a="1"/>
  <c r="A20015" i="25" s="1"/>
  <c r="A20013" i="25" a="1"/>
  <c r="A20013" i="25" s="1"/>
  <c r="A19959" i="25" a="1"/>
  <c r="A19959" i="25" s="1"/>
  <c r="A19930" i="25" a="1"/>
  <c r="A19930" i="25" s="1"/>
  <c r="A19928" i="25" a="1"/>
  <c r="A19928" i="25" s="1"/>
  <c r="A19927" i="25" a="1"/>
  <c r="A19927" i="25" s="1"/>
  <c r="A19899" i="25" a="1"/>
  <c r="A19899" i="25" s="1"/>
  <c r="A19897" i="25" a="1"/>
  <c r="A19897" i="25" s="1"/>
  <c r="A19895" i="25" a="1"/>
  <c r="A19895" i="25" s="1"/>
  <c r="A19888" i="25" a="1"/>
  <c r="A19888" i="25" s="1"/>
  <c r="A19841" i="25" a="1"/>
  <c r="A19841" i="25" s="1"/>
  <c r="A19819" i="25" a="1"/>
  <c r="A19819" i="25" s="1"/>
  <c r="A19812" i="25" a="1"/>
  <c r="A19812" i="25" s="1"/>
  <c r="A19794" i="25" a="1"/>
  <c r="A19794" i="25" s="1"/>
  <c r="A19791" i="25" a="1"/>
  <c r="A19791" i="25" s="1"/>
  <c r="A19779" i="25" a="1"/>
  <c r="A19779" i="25" s="1"/>
  <c r="A19777" i="25" a="1"/>
  <c r="A19777" i="25" s="1"/>
  <c r="A19768" i="25" a="1"/>
  <c r="A19768" i="25" s="1"/>
  <c r="A19766" i="25" a="1"/>
  <c r="A19766" i="25" s="1"/>
  <c r="A19723" i="25"/>
  <c r="A19723" i="25" a="1"/>
  <c r="A19701" i="25" a="1"/>
  <c r="A19701" i="25" s="1"/>
  <c r="A19694" i="25" a="1"/>
  <c r="A19694" i="25" s="1"/>
  <c r="A19690" i="25" a="1"/>
  <c r="A19690" i="25" s="1"/>
  <c r="A19673" i="25" a="1"/>
  <c r="A19673" i="25" s="1"/>
  <c r="A19663" i="25" a="1"/>
  <c r="A19663" i="25" s="1"/>
  <c r="A19661" i="25" a="1"/>
  <c r="A19661" i="25" s="1"/>
  <c r="A19659" i="25" a="1"/>
  <c r="A19659" i="25" s="1"/>
  <c r="A19650" i="25"/>
  <c r="A19650" i="25" a="1"/>
  <c r="A19605" i="25" a="1"/>
  <c r="A19605" i="25" s="1"/>
  <c r="A19583" i="25" a="1"/>
  <c r="A19583" i="25" s="1"/>
  <c r="A19576" i="25" a="1"/>
  <c r="A19576" i="25" s="1"/>
  <c r="A19545" i="25" a="1"/>
  <c r="A19545" i="25" s="1"/>
  <c r="A19543" i="25" a="1"/>
  <c r="A19543" i="25" s="1"/>
  <c r="A19541" i="25" a="1"/>
  <c r="A19541" i="25" s="1"/>
  <c r="A19487" i="25" a="1"/>
  <c r="A19487" i="25" s="1"/>
  <c r="A19476" i="25" a="1"/>
  <c r="A19476" i="25" s="1"/>
  <c r="A19465" i="25" a="1"/>
  <c r="A19465" i="25" s="1"/>
  <c r="A19458" i="25" a="1"/>
  <c r="A19458" i="25" s="1"/>
  <c r="A19427" i="25" a="1"/>
  <c r="A19427" i="25" s="1"/>
  <c r="A19425" i="25" a="1"/>
  <c r="A19425" i="25" s="1"/>
  <c r="A19423" i="25" a="1"/>
  <c r="A19423" i="25" s="1"/>
  <c r="A19369" i="25" a="1"/>
  <c r="A19369" i="25" s="1"/>
  <c r="A19358" i="25" a="1"/>
  <c r="A19358" i="25" s="1"/>
  <c r="A19347" i="25" a="1"/>
  <c r="A19347" i="25" s="1"/>
  <c r="A19340" i="25" a="1"/>
  <c r="A19340" i="25" s="1"/>
  <c r="A19309" i="25" a="1"/>
  <c r="A19309" i="25" s="1"/>
  <c r="A19307" i="25" a="1"/>
  <c r="A19307" i="25" s="1"/>
  <c r="A19305" i="25" a="1"/>
  <c r="A19305" i="25" s="1"/>
  <c r="A19251" i="25" a="1"/>
  <c r="A19251" i="25" s="1"/>
  <c r="A19229" i="25" a="1"/>
  <c r="A19229" i="25" s="1"/>
  <c r="A19222" i="25" a="1"/>
  <c r="A19222" i="25" s="1"/>
  <c r="A19189" i="25"/>
  <c r="A19189" i="25" a="1"/>
  <c r="A19187" i="25" a="1"/>
  <c r="A19187" i="25" s="1"/>
  <c r="A19133" i="25" a="1"/>
  <c r="A19133" i="25" s="1"/>
  <c r="A19111" i="25" a="1"/>
  <c r="A19111" i="25" s="1"/>
  <c r="A19104" i="25" a="1"/>
  <c r="A19104" i="25" s="1"/>
  <c r="A19073" i="25" a="1"/>
  <c r="A19073" i="25" s="1"/>
  <c r="A19071" i="25" a="1"/>
  <c r="A19071" i="25" s="1"/>
  <c r="A19069" i="25" a="1"/>
  <c r="A19069" i="25" s="1"/>
  <c r="A19015" i="25"/>
  <c r="A19015" i="25" a="1"/>
  <c r="A18993" i="25" a="1"/>
  <c r="A18993" i="25" s="1"/>
  <c r="A18986" i="25" a="1"/>
  <c r="A18986" i="25" s="1"/>
  <c r="A18953" i="25" a="1"/>
  <c r="A18953" i="25" s="1"/>
  <c r="A18951" i="25" a="1"/>
  <c r="A18951" i="25" s="1"/>
  <c r="A18897" i="25" a="1"/>
  <c r="A18897" i="25" s="1"/>
  <c r="A18886" i="25" a="1"/>
  <c r="A18886" i="25" s="1"/>
  <c r="A18868" i="25" a="1"/>
  <c r="A18868" i="25" s="1"/>
  <c r="A18779" i="25" a="1"/>
  <c r="A18779" i="25" s="1"/>
  <c r="A18750" i="25" a="1"/>
  <c r="A18750" i="25" s="1"/>
  <c r="A18717" i="25" a="1"/>
  <c r="A18717" i="25" s="1"/>
  <c r="A18715" i="25" a="1"/>
  <c r="A18715" i="25" s="1"/>
  <c r="A18661" i="25" a="1"/>
  <c r="A18661" i="25" s="1"/>
  <c r="A18632" i="25" a="1"/>
  <c r="A18632" i="25" s="1"/>
  <c r="A18627" i="25" a="1"/>
  <c r="A18627" i="25" s="1"/>
  <c r="A18625" i="25" a="1"/>
  <c r="A18625" i="25" s="1"/>
  <c r="A18623" i="25" a="1"/>
  <c r="A18623" i="25" s="1"/>
  <c r="A18599" i="25" a="1"/>
  <c r="A18599" i="25" s="1"/>
  <c r="A18597" i="25" a="1"/>
  <c r="A18597" i="25" s="1"/>
  <c r="A18543" i="25" a="1"/>
  <c r="A18543" i="25" s="1"/>
  <c r="A18514" i="25" a="1"/>
  <c r="A18514" i="25" s="1"/>
  <c r="A18481" i="25" a="1"/>
  <c r="A18481" i="25" s="1"/>
  <c r="A18479" i="25" a="1"/>
  <c r="A18479" i="25" s="1"/>
  <c r="A18425" i="25" a="1"/>
  <c r="A18425" i="25" s="1"/>
  <c r="A18415" i="25"/>
  <c r="A18415" i="25" a="1"/>
  <c r="A18413" i="25" a="1"/>
  <c r="A18413" i="25" s="1"/>
  <c r="A18411" i="25" a="1"/>
  <c r="A18411" i="25" s="1"/>
  <c r="A18396" i="25" a="1"/>
  <c r="A18396" i="25" s="1"/>
  <c r="A18363" i="25" a="1"/>
  <c r="A18363" i="25" s="1"/>
  <c r="A18361" i="25" a="1"/>
  <c r="A18361" i="25" s="1"/>
  <c r="A18307" i="25" a="1"/>
  <c r="A18307" i="25" s="1"/>
  <c r="A18295" i="25" a="1"/>
  <c r="A18295" i="25" s="1"/>
  <c r="A18293" i="25"/>
  <c r="A18293" i="25" a="1"/>
  <c r="A18278" i="25" a="1"/>
  <c r="A18278" i="25" s="1"/>
  <c r="A18247" i="25" a="1"/>
  <c r="A18247" i="25" s="1"/>
  <c r="A18243" i="25" a="1"/>
  <c r="A18243" i="25" s="1"/>
  <c r="A18189" i="25" a="1"/>
  <c r="A18189" i="25" s="1"/>
  <c r="A18160" i="25" a="1"/>
  <c r="A18160" i="25" s="1"/>
  <c r="A18129" i="25" a="1"/>
  <c r="A18129" i="25" s="1"/>
  <c r="A18127" i="25" a="1"/>
  <c r="A18127" i="25" s="1"/>
  <c r="A18125" i="25" a="1"/>
  <c r="A18125" i="25" s="1"/>
  <c r="A18071" i="25" a="1"/>
  <c r="A18071" i="25" s="1"/>
  <c r="A18042" i="25" a="1"/>
  <c r="A18042" i="25" s="1"/>
  <c r="A18011" i="25" a="1"/>
  <c r="A18011" i="25" s="1"/>
  <c r="A18009" i="25" a="1"/>
  <c r="A18009" i="25" s="1"/>
  <c r="A18007" i="25" a="1"/>
  <c r="A18007" i="25" s="1"/>
  <c r="A17953" i="25" a="1"/>
  <c r="A17953" i="25" s="1"/>
  <c r="A17924" i="25" a="1"/>
  <c r="A17924" i="25" s="1"/>
  <c r="A17893" i="25" a="1"/>
  <c r="A17893" i="25" s="1"/>
  <c r="A17891" i="25" a="1"/>
  <c r="A17891" i="25" s="1"/>
  <c r="A17889" i="25" a="1"/>
  <c r="A17889" i="25" s="1"/>
  <c r="A17835" i="25" a="1"/>
  <c r="A17835" i="25" s="1"/>
  <c r="A17806" i="25" a="1"/>
  <c r="A17806" i="25" s="1"/>
  <c r="A17775" i="25" a="1"/>
  <c r="A17775" i="25" s="1"/>
  <c r="A17773" i="25" a="1"/>
  <c r="A17773" i="25" s="1"/>
  <c r="A17771" i="25" a="1"/>
  <c r="A17771" i="25" s="1"/>
  <c r="A17717" i="25"/>
  <c r="A17717" i="25" a="1"/>
  <c r="A17688" i="25" a="1"/>
  <c r="A17688" i="25" s="1"/>
  <c r="A17657" i="25" a="1"/>
  <c r="A17657" i="25" s="1"/>
  <c r="A17655" i="25" a="1"/>
  <c r="A17655" i="25" s="1"/>
  <c r="A17653" i="25" a="1"/>
  <c r="A17653" i="25" s="1"/>
  <c r="A17599" i="25" a="1"/>
  <c r="A17599" i="25" s="1"/>
  <c r="A17570" i="25" a="1"/>
  <c r="A17570" i="25" s="1"/>
  <c r="A17452" i="25" a="1"/>
  <c r="A17452" i="25" s="1"/>
  <c r="A17334" i="25"/>
  <c r="A17334" i="25" a="1"/>
  <c r="A17303" i="25" a="1"/>
  <c r="A17303" i="25" s="1"/>
  <c r="A17301" i="25" a="1"/>
  <c r="A17301" i="25" s="1"/>
  <c r="A17299" i="25" a="1"/>
  <c r="A17299" i="25" s="1"/>
  <c r="A17245" i="25" a="1"/>
  <c r="A17245" i="25" s="1"/>
  <c r="A17216" i="25" a="1"/>
  <c r="A17216" i="25" s="1"/>
  <c r="A17185" i="25" a="1"/>
  <c r="A17185" i="25" s="1"/>
  <c r="A17183" i="25" a="1"/>
  <c r="A17183" i="25" s="1"/>
  <c r="A17181" i="25" a="1"/>
  <c r="A17181" i="25" s="1"/>
  <c r="A17127" i="25" a="1"/>
  <c r="A17127" i="25" s="1"/>
  <c r="A17098" i="25" a="1"/>
  <c r="A17098" i="25" s="1"/>
  <c r="A17067" i="25" a="1"/>
  <c r="A17067" i="25" s="1"/>
  <c r="A17065" i="25" a="1"/>
  <c r="A17065" i="25" s="1"/>
  <c r="A17063" i="25" a="1"/>
  <c r="A17063" i="25" s="1"/>
  <c r="A17009" i="25" a="1"/>
  <c r="A17009" i="25" s="1"/>
  <c r="A16980" i="25" a="1"/>
  <c r="A16980" i="25" s="1"/>
  <c r="A16949" i="25" a="1"/>
  <c r="A16949" i="25" s="1"/>
  <c r="A16947" i="25" a="1"/>
  <c r="A16947" i="25" s="1"/>
  <c r="A16945" i="25" a="1"/>
  <c r="A16945" i="25" s="1"/>
  <c r="A16891" i="25" a="1"/>
  <c r="A16891" i="25" s="1"/>
  <c r="A16829" i="25" a="1"/>
  <c r="A16829" i="25" s="1"/>
  <c r="A16827" i="25" a="1"/>
  <c r="A16827" i="25" s="1"/>
  <c r="A16773" i="25" a="1"/>
  <c r="A16773" i="25" s="1"/>
  <c r="A16762" i="25" a="1"/>
  <c r="A16762" i="25" s="1"/>
  <c r="A16751" i="25"/>
  <c r="A16751" i="25" a="1"/>
  <c r="A16744" i="25" a="1"/>
  <c r="A16744" i="25" s="1"/>
  <c r="A16711" i="25" a="1"/>
  <c r="A16711" i="25" s="1"/>
  <c r="A16709" i="25" a="1"/>
  <c r="A16709" i="25" s="1"/>
  <c r="A16655" i="25" a="1"/>
  <c r="A16655" i="25" s="1"/>
  <c r="A16633" i="25" a="1"/>
  <c r="A16633" i="25" s="1"/>
  <c r="A16626" i="25" a="1"/>
  <c r="A16626" i="25" s="1"/>
  <c r="A16595" i="25" a="1"/>
  <c r="A16595" i="25" s="1"/>
  <c r="A16593" i="25"/>
  <c r="A16593" i="25" a="1"/>
  <c r="A16591" i="25" a="1"/>
  <c r="A16591" i="25" s="1"/>
  <c r="A16537" i="25" a="1"/>
  <c r="A16537" i="25" s="1"/>
  <c r="A16532" i="25" a="1"/>
  <c r="A16532" i="25" s="1"/>
  <c r="A16515" i="25"/>
  <c r="A16515" i="25" a="1"/>
  <c r="A16513" i="25" a="1"/>
  <c r="A16513" i="25" s="1"/>
  <c r="A16508" i="25" a="1"/>
  <c r="A16508" i="25" s="1"/>
  <c r="A16506" i="25" a="1"/>
  <c r="A16506" i="25" s="1"/>
  <c r="A16477" i="25" a="1"/>
  <c r="A16477" i="25" s="1"/>
  <c r="A16475" i="25" a="1"/>
  <c r="A16475" i="25" s="1"/>
  <c r="A16473" i="25" a="1"/>
  <c r="A16473" i="25" s="1"/>
  <c r="A16419" i="25" a="1"/>
  <c r="A16419" i="25" s="1"/>
  <c r="A16397" i="25" a="1"/>
  <c r="A16397" i="25" s="1"/>
  <c r="A16390" i="25" a="1"/>
  <c r="A16390" i="25" s="1"/>
  <c r="A16388" i="25" a="1"/>
  <c r="A16388" i="25" s="1"/>
  <c r="A16359" i="25" a="1"/>
  <c r="A16359" i="25" s="1"/>
  <c r="A16357" i="25" a="1"/>
  <c r="A16357" i="25" s="1"/>
  <c r="A16355" i="25" a="1"/>
  <c r="A16355" i="25" s="1"/>
  <c r="A16301" i="25" a="1"/>
  <c r="A16301" i="25" s="1"/>
  <c r="A16279" i="25" a="1"/>
  <c r="A16279" i="25" s="1"/>
  <c r="A16272" i="25" a="1"/>
  <c r="A16272" i="25" s="1"/>
  <c r="A16270" i="25" a="1"/>
  <c r="A16270" i="25" s="1"/>
  <c r="A16241" i="25" a="1"/>
  <c r="A16241" i="25" s="1"/>
  <c r="A16239" i="25" a="1"/>
  <c r="A16239" i="25" s="1"/>
  <c r="A16237" i="25"/>
  <c r="A16237" i="25" a="1"/>
  <c r="A16183" i="25" a="1"/>
  <c r="A16183" i="25" s="1"/>
  <c r="A16161" i="25" a="1"/>
  <c r="A16161" i="25" s="1"/>
  <c r="A16154" i="25" a="1"/>
  <c r="A16154" i="25" s="1"/>
  <c r="A16152" i="25" a="1"/>
  <c r="A16152" i="25" s="1"/>
  <c r="A16123" i="25" a="1"/>
  <c r="A16123" i="25" s="1"/>
  <c r="A16121" i="25" a="1"/>
  <c r="A16121" i="25" s="1"/>
  <c r="A16119" i="25" a="1"/>
  <c r="A16119" i="25" s="1"/>
  <c r="A16065" i="25"/>
  <c r="A16065" i="25" a="1"/>
  <c r="A16043" i="25" a="1"/>
  <c r="A16043" i="25" s="1"/>
  <c r="A16036" i="25" a="1"/>
  <c r="A16036" i="25" s="1"/>
  <c r="A16034" i="25" a="1"/>
  <c r="A16034" i="25" s="1"/>
  <c r="A16005" i="25" a="1"/>
  <c r="A16005" i="25" s="1"/>
  <c r="A16003" i="25" a="1"/>
  <c r="A16003" i="25" s="1"/>
  <c r="A16001" i="25" a="1"/>
  <c r="A16001" i="25" s="1"/>
  <c r="A15947" i="25" a="1"/>
  <c r="A15947" i="25" s="1"/>
  <c r="A15925" i="25" a="1"/>
  <c r="A15925" i="25" s="1"/>
  <c r="A15918" i="25" a="1"/>
  <c r="A15918" i="25" s="1"/>
  <c r="A15916" i="25" a="1"/>
  <c r="A15916" i="25" s="1"/>
  <c r="A15807" i="25"/>
  <c r="A15807" i="25" a="1"/>
  <c r="A15689" i="25" a="1"/>
  <c r="A15689" i="25" s="1"/>
  <c r="A15571" i="25" a="1"/>
  <c r="A15571" i="25" s="1"/>
  <c r="A15453" i="25" a="1"/>
  <c r="A15453" i="25" s="1"/>
  <c r="A15335" i="25" a="1"/>
  <c r="A15335" i="25" s="1"/>
  <c r="A15217" i="25" a="1"/>
  <c r="A15217" i="25" s="1"/>
  <c r="A15099" i="25" a="1"/>
  <c r="A15099" i="25" s="1"/>
  <c r="A14981" i="25" a="1"/>
  <c r="A14981" i="25" s="1"/>
  <c r="A14863" i="25"/>
  <c r="A14863" i="25" a="1"/>
  <c r="A14738" i="25" a="1"/>
  <c r="A14738" i="25" s="1"/>
  <c r="A14587" i="25" a="1"/>
  <c r="A14587" i="25" s="1"/>
  <c r="A14585" i="25" a="1"/>
  <c r="A14585" i="25" s="1"/>
  <c r="A14577" i="25" a="1"/>
  <c r="A14577" i="25" s="1"/>
  <c r="A14576" i="25" a="1"/>
  <c r="A14576" i="25" s="1"/>
  <c r="A14502" i="25" a="1"/>
  <c r="A14502" i="25" s="1"/>
  <c r="A14488" i="25" a="1"/>
  <c r="A14488" i="25" s="1"/>
  <c r="A14471" i="25"/>
  <c r="A14471" i="25" a="1"/>
  <c r="A14469" i="25" a="1"/>
  <c r="A14469" i="25" s="1"/>
  <c r="A14467" i="25" a="1"/>
  <c r="A14467" i="25" s="1"/>
  <c r="A14384" i="25" a="1"/>
  <c r="A14384" i="25" s="1"/>
  <c r="A14351" i="25" a="1"/>
  <c r="A14351" i="25" s="1"/>
  <c r="A14349" i="25" a="1"/>
  <c r="A14349" i="25" s="1"/>
  <c r="A14266" i="25" a="1"/>
  <c r="A14266" i="25" s="1"/>
  <c r="A14233" i="25" a="1"/>
  <c r="A14233" i="25" s="1"/>
  <c r="A14231" i="25" a="1"/>
  <c r="A14231" i="25" s="1"/>
  <c r="A14148" i="25" a="1"/>
  <c r="A14148" i="25" s="1"/>
  <c r="A14115" i="25" a="1"/>
  <c r="A14115" i="25" s="1"/>
  <c r="A14113" i="25" a="1"/>
  <c r="A14113" i="25" s="1"/>
  <c r="A14059" i="25" a="1"/>
  <c r="A14059" i="25" s="1"/>
  <c r="A14030" i="25" a="1"/>
  <c r="A14030" i="25" s="1"/>
  <c r="A13997" i="25" a="1"/>
  <c r="A13997" i="25" s="1"/>
  <c r="A13912" i="25" a="1"/>
  <c r="A13912" i="25" s="1"/>
  <c r="A13881" i="25"/>
  <c r="A13881" i="25" a="1"/>
  <c r="A13879" i="25" a="1"/>
  <c r="A13879" i="25" s="1"/>
  <c r="A13877" i="25" a="1"/>
  <c r="A13877" i="25" s="1"/>
  <c r="A13794" i="25" a="1"/>
  <c r="A13794" i="25" s="1"/>
  <c r="A13763" i="25" a="1"/>
  <c r="A13763" i="25" s="1"/>
  <c r="A13761" i="25" a="1"/>
  <c r="A13761" i="25" s="1"/>
  <c r="A13759" i="25" a="1"/>
  <c r="A13759" i="25" s="1"/>
  <c r="A13676" i="25" a="1"/>
  <c r="A13676" i="25" s="1"/>
  <c r="A13645" i="25"/>
  <c r="A13645" i="25" a="1"/>
  <c r="A13643" i="25" a="1"/>
  <c r="A13643" i="25" s="1"/>
  <c r="A13641" i="25" a="1"/>
  <c r="A13641" i="25" s="1"/>
  <c r="A13587" i="25" a="1"/>
  <c r="A13587" i="25" s="1"/>
  <c r="A13573" i="25" a="1"/>
  <c r="A13573" i="25" s="1"/>
  <c r="A13558" i="25" a="1"/>
  <c r="A13558" i="25" s="1"/>
  <c r="A13527" i="25" a="1"/>
  <c r="A13527" i="25" s="1"/>
  <c r="A13525" i="25" a="1"/>
  <c r="A13525" i="25" s="1"/>
  <c r="A13523" i="25"/>
  <c r="A13523" i="25" a="1"/>
  <c r="A13469" i="25" a="1"/>
  <c r="A13469" i="25" s="1"/>
  <c r="A13455" i="25" a="1"/>
  <c r="A13455" i="25" s="1"/>
  <c r="A13440" i="25" a="1"/>
  <c r="A13440" i="25" s="1"/>
  <c r="A13409" i="25" a="1"/>
  <c r="A13409" i="25" s="1"/>
  <c r="A13407" i="25" a="1"/>
  <c r="A13407" i="25" s="1"/>
  <c r="A13405" i="25" a="1"/>
  <c r="A13405" i="25" s="1"/>
  <c r="A13351" i="25" a="1"/>
  <c r="A13351" i="25" s="1"/>
  <c r="A13337" i="25" a="1"/>
  <c r="A13337" i="25" s="1"/>
  <c r="A13334" i="25" a="1"/>
  <c r="A13334" i="25" s="1"/>
  <c r="A13322" i="25" a="1"/>
  <c r="A13322" i="25" s="1"/>
  <c r="A13289" i="25" a="1"/>
  <c r="A13289" i="25" s="1"/>
  <c r="A13287" i="25" a="1"/>
  <c r="A13287" i="25" s="1"/>
  <c r="A13233" i="25" a="1"/>
  <c r="A13233" i="25" s="1"/>
  <c r="A13169" i="25" a="1"/>
  <c r="A13169" i="25" s="1"/>
  <c r="A13115" i="25" a="1"/>
  <c r="A13115" i="25" s="1"/>
  <c r="A13104" i="25"/>
  <c r="A13104" i="25" a="1"/>
  <c r="A13051" i="25" a="1"/>
  <c r="A13051" i="25" s="1"/>
  <c r="A12997" i="25" a="1"/>
  <c r="A12997" i="25" s="1"/>
  <c r="A12975" i="25" a="1"/>
  <c r="A12975" i="25" s="1"/>
  <c r="A12968" i="25" a="1"/>
  <c r="A12968" i="25" s="1"/>
  <c r="A12957" i="25" a="1"/>
  <c r="A12957" i="25" s="1"/>
  <c r="A12953" i="25" a="1"/>
  <c r="A12953" i="25" s="1"/>
  <c r="A12937" i="25" a="1"/>
  <c r="A12937" i="25" s="1"/>
  <c r="A12935" i="25"/>
  <c r="A12935" i="25" a="1"/>
  <c r="A12933" i="25" a="1"/>
  <c r="A12933" i="25" s="1"/>
  <c r="A12879" i="25" a="1"/>
  <c r="A12879" i="25" s="1"/>
  <c r="A12856" i="25" a="1"/>
  <c r="A12856" i="25" s="1"/>
  <c r="A12850" i="25" a="1"/>
  <c r="A12850" i="25" s="1"/>
  <c r="A12839" i="25" a="1"/>
  <c r="A12839" i="25" s="1"/>
  <c r="A12835" i="25" a="1"/>
  <c r="A12835" i="25" s="1"/>
  <c r="A12819" i="25" a="1"/>
  <c r="A12819" i="25" s="1"/>
  <c r="A12817" i="25"/>
  <c r="A12817" i="25" a="1"/>
  <c r="A12815" i="25" a="1"/>
  <c r="A12815" i="25" s="1"/>
  <c r="A12761" i="25" a="1"/>
  <c r="A12761" i="25" s="1"/>
  <c r="A12749" i="25" a="1"/>
  <c r="A12749" i="25" s="1"/>
  <c r="A12739" i="25" a="1"/>
  <c r="A12739" i="25" s="1"/>
  <c r="A12732" i="25" a="1"/>
  <c r="A12732" i="25" s="1"/>
  <c r="A12721" i="25" a="1"/>
  <c r="A12721" i="25" s="1"/>
  <c r="A12717" i="25" a="1"/>
  <c r="A12717" i="25" s="1"/>
  <c r="A12701" i="25" a="1"/>
  <c r="A12701" i="25" s="1"/>
  <c r="A12699" i="25" a="1"/>
  <c r="A12699" i="25" s="1"/>
  <c r="A12697" i="25" a="1"/>
  <c r="A12697" i="25" s="1"/>
  <c r="A12643" i="25" a="1"/>
  <c r="A12643" i="25" s="1"/>
  <c r="A12631" i="25" a="1"/>
  <c r="A12631" i="25" s="1"/>
  <c r="A12629" i="25" a="1"/>
  <c r="A12629" i="25" s="1"/>
  <c r="A12621" i="25" a="1"/>
  <c r="A12621" i="25" s="1"/>
  <c r="A12614" i="25" a="1"/>
  <c r="A12614" i="25" s="1"/>
  <c r="A12603" i="25"/>
  <c r="A12603" i="25" a="1"/>
  <c r="A12599" i="25" a="1"/>
  <c r="A12599" i="25" s="1"/>
  <c r="A12583" i="25" a="1"/>
  <c r="A12583" i="25" s="1"/>
  <c r="A12581" i="25" a="1"/>
  <c r="A12581" i="25" s="1"/>
  <c r="A12579" i="25" a="1"/>
  <c r="A12579" i="25" s="1"/>
  <c r="A12525" i="25" a="1"/>
  <c r="A12525" i="25" s="1"/>
  <c r="A12511" i="25" a="1"/>
  <c r="A12511" i="25" s="1"/>
  <c r="A12503" i="25" a="1"/>
  <c r="A12503" i="25" s="1"/>
  <c r="A12496" i="25"/>
  <c r="A12496" i="25" a="1"/>
  <c r="A12485" i="25" a="1"/>
  <c r="A12485" i="25" s="1"/>
  <c r="A12481" i="25" a="1"/>
  <c r="A12481" i="25" s="1"/>
  <c r="A12465" i="25" a="1"/>
  <c r="A12465" i="25" s="1"/>
  <c r="A12463" i="25" a="1"/>
  <c r="A12463" i="25" s="1"/>
  <c r="A12461" i="25" a="1"/>
  <c r="A12461" i="25" s="1"/>
  <c r="A12385" i="25" a="1"/>
  <c r="A12385" i="25" s="1"/>
  <c r="A12378" i="25" a="1"/>
  <c r="A12378" i="25" s="1"/>
  <c r="A12367" i="25"/>
  <c r="A12367" i="25" a="1"/>
  <c r="A12363" i="25" a="1"/>
  <c r="A12363" i="25" s="1"/>
  <c r="A12347" i="25" a="1"/>
  <c r="A12347" i="25" s="1"/>
  <c r="A12345" i="25" a="1"/>
  <c r="A12345" i="25" s="1"/>
  <c r="A12343" i="25" a="1"/>
  <c r="A12343" i="25" s="1"/>
  <c r="A12289" i="25" a="1"/>
  <c r="A12289" i="25" s="1"/>
  <c r="A12267" i="25" a="1"/>
  <c r="A12267" i="25" s="1"/>
  <c r="A12260" i="25" a="1"/>
  <c r="A12260" i="25" s="1"/>
  <c r="A12249" i="25" a="1"/>
  <c r="A12249" i="25" s="1"/>
  <c r="A12245" i="25" a="1"/>
  <c r="A12245" i="25" s="1"/>
  <c r="A12229" i="25" a="1"/>
  <c r="A12229" i="25" s="1"/>
  <c r="A12227" i="25" a="1"/>
  <c r="A12227" i="25" s="1"/>
  <c r="A12225" i="25" a="1"/>
  <c r="A12225" i="25" s="1"/>
  <c r="A12171" i="25" a="1"/>
  <c r="A12171" i="25" s="1"/>
  <c r="A12157" i="25" a="1"/>
  <c r="A12157" i="25" s="1"/>
  <c r="A12149" i="25" a="1"/>
  <c r="A12149" i="25" s="1"/>
  <c r="A12142" i="25"/>
  <c r="A12142" i="25" a="1"/>
  <c r="A12131" i="25" a="1"/>
  <c r="A12131" i="25" s="1"/>
  <c r="A12127" i="25" a="1"/>
  <c r="A12127" i="25" s="1"/>
  <c r="A12111" i="25" a="1"/>
  <c r="A12111" i="25" s="1"/>
  <c r="A12109" i="25" a="1"/>
  <c r="A12109" i="25" s="1"/>
  <c r="A12107" i="25" a="1"/>
  <c r="A12107" i="25" s="1"/>
  <c r="A12053" i="25" a="1"/>
  <c r="A12053" i="25" s="1"/>
  <c r="A12031" i="25" a="1"/>
  <c r="A12031" i="25" s="1"/>
  <c r="A12024" i="25" a="1"/>
  <c r="A12024" i="25" s="1"/>
  <c r="A12009" i="25" a="1"/>
  <c r="A12009" i="25" s="1"/>
  <c r="A11993" i="25" a="1"/>
  <c r="A11993" i="25" s="1"/>
  <c r="A11991" i="25" a="1"/>
  <c r="A11991" i="25" s="1"/>
  <c r="A11989" i="25" a="1"/>
  <c r="A11989" i="25" s="1"/>
  <c r="A11935" i="25" a="1"/>
  <c r="A11935" i="25" s="1"/>
  <c r="A11891" i="25" a="1"/>
  <c r="A11891" i="25" s="1"/>
  <c r="A11875" i="25" a="1"/>
  <c r="A11875" i="25" s="1"/>
  <c r="A11873" i="25"/>
  <c r="A11873" i="25" a="1"/>
  <c r="A11871" i="25" a="1"/>
  <c r="A11871" i="25" s="1"/>
  <c r="A11817" i="25" a="1"/>
  <c r="A11817" i="25" s="1"/>
  <c r="A11795" i="25" a="1"/>
  <c r="A11795" i="25" s="1"/>
  <c r="A11788" i="25" a="1"/>
  <c r="A11788" i="25" s="1"/>
  <c r="A11777" i="25" a="1"/>
  <c r="A11777" i="25" s="1"/>
  <c r="A11773" i="25" a="1"/>
  <c r="A11773" i="25" s="1"/>
  <c r="A11757" i="25" a="1"/>
  <c r="A11757" i="25" s="1"/>
  <c r="A11755" i="25" a="1"/>
  <c r="A11755" i="25" s="1"/>
  <c r="A11753" i="25" a="1"/>
  <c r="A11753" i="25" s="1"/>
  <c r="A11670" i="25" a="1"/>
  <c r="A11670" i="25" s="1"/>
  <c r="A11635" i="25" a="1"/>
  <c r="A11635" i="25" s="1"/>
  <c r="A11552" i="25" a="1"/>
  <c r="A11552" i="25" s="1"/>
  <c r="A11519" i="25" a="1"/>
  <c r="A11519" i="25" s="1"/>
  <c r="A11517" i="25" a="1"/>
  <c r="A11517" i="25" s="1"/>
  <c r="A11509" i="25" a="1"/>
  <c r="A11509" i="25" s="1"/>
  <c r="A11508" i="25"/>
  <c r="A11508" i="25" a="1"/>
  <c r="A11463" i="25" a="1"/>
  <c r="A11463" i="25" s="1"/>
  <c r="A11443" i="25" a="1"/>
  <c r="A11443" i="25" s="1"/>
  <c r="A11434" i="25" a="1"/>
  <c r="A11434" i="25" s="1"/>
  <c r="A11403" i="25" a="1"/>
  <c r="A11403" i="25" s="1"/>
  <c r="A11399" i="25" a="1"/>
  <c r="A11399" i="25" s="1"/>
  <c r="A11345" i="25" a="1"/>
  <c r="A11345" i="25" s="1"/>
  <c r="A11316" i="25" a="1"/>
  <c r="A11316" i="25" s="1"/>
  <c r="A11302" i="25"/>
  <c r="A11302" i="25" a="1"/>
  <c r="A11285" i="25" a="1"/>
  <c r="A11285" i="25" s="1"/>
  <c r="A11283" i="25" a="1"/>
  <c r="A11283" i="25" s="1"/>
  <c r="A11281" i="25" a="1"/>
  <c r="A11281" i="25" s="1"/>
  <c r="A11227" i="25" a="1"/>
  <c r="A11227" i="25" s="1"/>
  <c r="A11201" i="25" a="1"/>
  <c r="A11201" i="25" s="1"/>
  <c r="A11198" i="25" a="1"/>
  <c r="A11198" i="25" s="1"/>
  <c r="A11167" i="25" a="1"/>
  <c r="A11167" i="25" s="1"/>
  <c r="A11163" i="25"/>
  <c r="A11163" i="25" a="1"/>
  <c r="A11109" i="25" a="1"/>
  <c r="A11109" i="25" s="1"/>
  <c r="A11083" i="25" a="1"/>
  <c r="A11083" i="25" s="1"/>
  <c r="A11080" i="25" a="1"/>
  <c r="A11080" i="25" s="1"/>
  <c r="A11049" i="25" a="1"/>
  <c r="A11049" i="25" s="1"/>
  <c r="A11045" i="25" a="1"/>
  <c r="A11045" i="25" s="1"/>
  <c r="A10991" i="25" a="1"/>
  <c r="A10991" i="25" s="1"/>
  <c r="A10969" i="25" a="1"/>
  <c r="A10969" i="25" s="1"/>
  <c r="A10962" i="25" a="1"/>
  <c r="A10962" i="25" s="1"/>
  <c r="A10960" i="25" a="1"/>
  <c r="A10960" i="25" s="1"/>
  <c r="A10931" i="25" a="1"/>
  <c r="A10931" i="25" s="1"/>
  <c r="A10927" i="25" a="1"/>
  <c r="A10927" i="25" s="1"/>
  <c r="A10873" i="25" a="1"/>
  <c r="A10873" i="25" s="1"/>
  <c r="A10844" i="25" a="1"/>
  <c r="A10844" i="25" s="1"/>
  <c r="A10830" i="25" a="1"/>
  <c r="A10830" i="25" s="1"/>
  <c r="A10813" i="25" a="1"/>
  <c r="A10813" i="25" s="1"/>
  <c r="A10811" i="25"/>
  <c r="A10811" i="25" a="1"/>
  <c r="A10809" i="25" a="1"/>
  <c r="A10809" i="25" s="1"/>
  <c r="A10755" i="25" a="1"/>
  <c r="A10755" i="25" s="1"/>
  <c r="A10726" i="25" a="1"/>
  <c r="A10726" i="25" s="1"/>
  <c r="A10693" i="25" a="1"/>
  <c r="A10693" i="25" s="1"/>
  <c r="A10691" i="25" a="1"/>
  <c r="A10691" i="25" s="1"/>
  <c r="A10637" i="25" a="1"/>
  <c r="A10637" i="25" s="1"/>
  <c r="A10608" i="25" a="1"/>
  <c r="A10608" i="25" s="1"/>
  <c r="A10577" i="25" a="1"/>
  <c r="A10577" i="25" s="1"/>
  <c r="A10575" i="25" a="1"/>
  <c r="A10575" i="25" s="1"/>
  <c r="A10519" i="25" a="1"/>
  <c r="A10519" i="25" s="1"/>
  <c r="A10490" i="25" a="1"/>
  <c r="A10490" i="25" s="1"/>
  <c r="A10459" i="25" a="1"/>
  <c r="A10459" i="25" s="1"/>
  <c r="A10457" i="25" a="1"/>
  <c r="A10457" i="25" s="1"/>
  <c r="A10455" i="25" a="1"/>
  <c r="A10455" i="25" s="1"/>
  <c r="A10401" i="25" a="1"/>
  <c r="A10401" i="25" s="1"/>
  <c r="A10283" i="25"/>
  <c r="A10283" i="25" a="1"/>
  <c r="A10237" i="25" a="1"/>
  <c r="A10237" i="25" s="1"/>
  <c r="A10221" i="25" a="1"/>
  <c r="A10221" i="25" s="1"/>
  <c r="A10219" i="25" a="1"/>
  <c r="A10219" i="25" s="1"/>
  <c r="A10165" i="25" a="1"/>
  <c r="A10165" i="25" s="1"/>
  <c r="A10103" i="25" a="1"/>
  <c r="A10103" i="25" s="1"/>
  <c r="A10101" i="25" a="1"/>
  <c r="A10101" i="25" s="1"/>
  <c r="A10047" i="25" a="1"/>
  <c r="A10047" i="25" s="1"/>
  <c r="A9987" i="25" a="1"/>
  <c r="A9987" i="25" s="1"/>
  <c r="A9985" i="25" a="1"/>
  <c r="A9985" i="25" s="1"/>
  <c r="A9983" i="25" a="1"/>
  <c r="A9983" i="25" s="1"/>
  <c r="A9900" i="25" a="1"/>
  <c r="A9900" i="25" s="1"/>
  <c r="A9886" i="25" a="1"/>
  <c r="A9886" i="25" s="1"/>
  <c r="A9874" i="25" a="1"/>
  <c r="A9874" i="25" s="1"/>
  <c r="A9867" i="25" a="1"/>
  <c r="A9867" i="25" s="1"/>
  <c r="A9865" i="25" a="1"/>
  <c r="A9865" i="25" s="1"/>
  <c r="A9811" i="25"/>
  <c r="A9811" i="25" a="1"/>
  <c r="A9782" i="25" a="1"/>
  <c r="A9782" i="25" s="1"/>
  <c r="A9768" i="25" a="1"/>
  <c r="A9768" i="25" s="1"/>
  <c r="A9749" i="25" a="1"/>
  <c r="A9749" i="25" s="1"/>
  <c r="A9747" i="25" a="1"/>
  <c r="A9747" i="25" s="1"/>
  <c r="A9693" i="25" a="1"/>
  <c r="A9693" i="25" s="1"/>
  <c r="A9664" i="25" a="1"/>
  <c r="A9664" i="25" s="1"/>
  <c r="A9650" i="25" a="1"/>
  <c r="A9650" i="25" s="1"/>
  <c r="A9631" i="25" a="1"/>
  <c r="A9631" i="25" s="1"/>
  <c r="A9629" i="25" a="1"/>
  <c r="A9629" i="25" s="1"/>
  <c r="A9575" i="25" a="1"/>
  <c r="A9575" i="25" s="1"/>
  <c r="A9546" i="25" a="1"/>
  <c r="A9546" i="25" s="1"/>
  <c r="A9532" i="25" a="1"/>
  <c r="A9532" i="25" s="1"/>
  <c r="A9511" i="25" a="1"/>
  <c r="A9511" i="25" s="1"/>
  <c r="A9457" i="25" a="1"/>
  <c r="A9457" i="25" s="1"/>
  <c r="A9443" i="25" a="1"/>
  <c r="A9443" i="25" s="1"/>
  <c r="A9427" i="25"/>
  <c r="A9427" i="25" a="1"/>
  <c r="A9425" i="25" a="1"/>
  <c r="A9425" i="25" s="1"/>
  <c r="A9420" i="25" a="1"/>
  <c r="A9420" i="25" s="1"/>
  <c r="A9417" i="25" a="1"/>
  <c r="A9417" i="25" s="1"/>
  <c r="A9413" i="25" a="1"/>
  <c r="A9413" i="25" s="1"/>
  <c r="A9397" i="25" a="1"/>
  <c r="A9397" i="25" s="1"/>
  <c r="A9395" i="25" a="1"/>
  <c r="A9395" i="25" s="1"/>
  <c r="A9393" i="25" a="1"/>
  <c r="A9393" i="25" s="1"/>
  <c r="A9391" i="25" a="1"/>
  <c r="A9391" i="25" s="1"/>
  <c r="A9383" i="25" a="1"/>
  <c r="A9383" i="25" s="1"/>
  <c r="A9376" i="25" a="1"/>
  <c r="A9376" i="25" s="1"/>
  <c r="A9369" i="25" a="1"/>
  <c r="A9369" i="25" s="1"/>
  <c r="A9365" i="25" a="1"/>
  <c r="A9365" i="25" s="1"/>
  <c r="A9309" i="25" a="1"/>
  <c r="A9309" i="25" s="1"/>
  <c r="A9307" i="25" a="1"/>
  <c r="A9307" i="25" s="1"/>
  <c r="A9304" i="25" a="1"/>
  <c r="A9304" i="25" s="1"/>
  <c r="A9302" i="25"/>
  <c r="A9302" i="25" a="1"/>
  <c r="A9299" i="25" a="1"/>
  <c r="A9299" i="25" s="1"/>
  <c r="A9295" i="25" a="1"/>
  <c r="A9295" i="25" s="1"/>
  <c r="A9279" i="25" a="1"/>
  <c r="A9279" i="25" s="1"/>
  <c r="A9277" i="25" a="1"/>
  <c r="A9277" i="25" s="1"/>
  <c r="A9275" i="25" a="1"/>
  <c r="A9275" i="25" s="1"/>
  <c r="A9268" i="25" a="1"/>
  <c r="A9268" i="25" s="1"/>
  <c r="A9267" i="25" a="1"/>
  <c r="A9267" i="25" s="1"/>
  <c r="A9265" i="25" a="1"/>
  <c r="A9265" i="25" s="1"/>
  <c r="A9258" i="25" a="1"/>
  <c r="A9258" i="25" s="1"/>
  <c r="A9251" i="25" a="1"/>
  <c r="A9251" i="25" s="1"/>
  <c r="A9248" i="25" a="1"/>
  <c r="A9248" i="25" s="1"/>
  <c r="A9242" i="25" a="1"/>
  <c r="A9242" i="25" s="1"/>
  <c r="A9221" i="25" a="1"/>
  <c r="A9221" i="25" s="1"/>
  <c r="A9216" i="25" a="1"/>
  <c r="A9216" i="25" s="1"/>
  <c r="A9141" i="25" a="1"/>
  <c r="A9141" i="25" s="1"/>
  <c r="A9138" i="25"/>
  <c r="A9138" i="25" a="1"/>
  <c r="A9103" i="25" a="1"/>
  <c r="A9103" i="25" s="1"/>
  <c r="A9098" i="25" a="1"/>
  <c r="A9098" i="25" s="1"/>
  <c r="A9073" i="25" a="1"/>
  <c r="A9073" i="25" s="1"/>
  <c r="A8955" i="25" a="1"/>
  <c r="A8955" i="25" s="1"/>
  <c r="A8950" i="25" a="1"/>
  <c r="A8950" i="25" s="1"/>
  <c r="A8948" i="25" a="1"/>
  <c r="A8948" i="25" s="1"/>
  <c r="A8945" i="25" a="1"/>
  <c r="A8945" i="25" s="1"/>
  <c r="A8941" i="25" a="1"/>
  <c r="A8941" i="25" s="1"/>
  <c r="A8925" i="25" a="1"/>
  <c r="A8925" i="25" s="1"/>
  <c r="A8923" i="25" a="1"/>
  <c r="A8923" i="25" s="1"/>
  <c r="A8921" i="25" a="1"/>
  <c r="A8921" i="25" s="1"/>
  <c r="A8919" i="25" a="1"/>
  <c r="A8919" i="25" s="1"/>
  <c r="A8911" i="25" a="1"/>
  <c r="A8911" i="25" s="1"/>
  <c r="A8904" i="25" a="1"/>
  <c r="A8904" i="25" s="1"/>
  <c r="A8897" i="25" a="1"/>
  <c r="A8897" i="25" s="1"/>
  <c r="A8890" i="25"/>
  <c r="A8890" i="25" a="1"/>
  <c r="A8888" i="25" a="1"/>
  <c r="A8888" i="25" s="1"/>
  <c r="A8867" i="25" a="1"/>
  <c r="A8867" i="25" s="1"/>
  <c r="A8832" i="25" a="1"/>
  <c r="A8832" i="25" s="1"/>
  <c r="A8830" i="25" a="1"/>
  <c r="A8830" i="25" s="1"/>
  <c r="A8827" i="25" a="1"/>
  <c r="A8827" i="25" s="1"/>
  <c r="A8823" i="25" a="1"/>
  <c r="A8823" i="25" s="1"/>
  <c r="A8807" i="25" a="1"/>
  <c r="A8807" i="25" s="1"/>
  <c r="A8805" i="25" a="1"/>
  <c r="A8805" i="25" s="1"/>
  <c r="A8803" i="25" a="1"/>
  <c r="A8803" i="25" s="1"/>
  <c r="A8801" i="25" a="1"/>
  <c r="A8801" i="25" s="1"/>
  <c r="A8798" i="25" a="1"/>
  <c r="A8798" i="25" s="1"/>
  <c r="A8655" i="25" a="1"/>
  <c r="A8655" i="25" s="1"/>
  <c r="A8602" i="25" a="1"/>
  <c r="A8602" i="25" s="1"/>
  <c r="A8513" i="25" a="1"/>
  <c r="A8513" i="25" s="1"/>
  <c r="A8491" i="25" a="1"/>
  <c r="A8491" i="25" s="1"/>
  <c r="A8484" i="25"/>
  <c r="A8484" i="25" a="1"/>
  <c r="A8449" i="25" a="1"/>
  <c r="A8449" i="25" s="1"/>
  <c r="A8441" i="25" a="1"/>
  <c r="A8441" i="25" s="1"/>
  <c r="A8395" i="25" a="1"/>
  <c r="A8395" i="25" s="1"/>
  <c r="A8366" i="25" a="1"/>
  <c r="A8366" i="25" s="1"/>
  <c r="A8215" i="25" a="1"/>
  <c r="A8215" i="25" s="1"/>
  <c r="A8213" i="25" a="1"/>
  <c r="A8213" i="25" s="1"/>
  <c r="A8159" i="25" a="1"/>
  <c r="A8159" i="25" s="1"/>
  <c r="A8095" i="25" a="1"/>
  <c r="A8095" i="25" s="1"/>
  <c r="A8041" i="25" a="1"/>
  <c r="A8041" i="25" s="1"/>
  <c r="A8012" i="25" a="1"/>
  <c r="A8012" i="25" s="1"/>
  <c r="A7998" i="25" a="1"/>
  <c r="A7998" i="25" s="1"/>
  <c r="A7981" i="25" a="1"/>
  <c r="A7981" i="25" s="1"/>
  <c r="A7979" i="25" a="1"/>
  <c r="A7979" i="25" s="1"/>
  <c r="A7977" i="25" a="1"/>
  <c r="A7977" i="25" s="1"/>
  <c r="A7955" i="25" a="1"/>
  <c r="A7955" i="25" s="1"/>
  <c r="A7923" i="25"/>
  <c r="A7923" i="25" a="1"/>
  <c r="A7894" i="25" a="1"/>
  <c r="A7894" i="25" s="1"/>
  <c r="A7892" i="25" a="1"/>
  <c r="A7892" i="25" s="1"/>
  <c r="A7887" i="25" a="1"/>
  <c r="A7887" i="25" s="1"/>
  <c r="A7880" i="25" a="1"/>
  <c r="A7880" i="25" s="1"/>
  <c r="A7863" i="25" a="1"/>
  <c r="A7863" i="25" s="1"/>
  <c r="A7861" i="25" a="1"/>
  <c r="A7861" i="25" s="1"/>
  <c r="A7859" i="25" a="1"/>
  <c r="A7859" i="25" s="1"/>
  <c r="A7805" i="25"/>
  <c r="A7805" i="25" a="1"/>
  <c r="A7783" i="25" a="1"/>
  <c r="A7783" i="25" s="1"/>
  <c r="A7776" i="25" a="1"/>
  <c r="A7776" i="25" s="1"/>
  <c r="A7762" i="25" a="1"/>
  <c r="A7762" i="25" s="1"/>
  <c r="A7743" i="25" a="1"/>
  <c r="A7743" i="25" s="1"/>
  <c r="A7741" i="25" a="1"/>
  <c r="A7741" i="25" s="1"/>
  <c r="A7733" i="25" a="1"/>
  <c r="A7733" i="25" s="1"/>
  <c r="A7727" i="25" a="1"/>
  <c r="A7727" i="25" s="1"/>
  <c r="A7687" i="25"/>
  <c r="A7687" i="25" a="1"/>
  <c r="A7658" i="25" a="1"/>
  <c r="A7658" i="25" s="1"/>
  <c r="A7644" i="25" a="1"/>
  <c r="A7644" i="25" s="1"/>
  <c r="A7625" i="25" a="1"/>
  <c r="A7625" i="25" s="1"/>
  <c r="A7623" i="25" a="1"/>
  <c r="A7623" i="25" s="1"/>
  <c r="A7615" i="25" a="1"/>
  <c r="A7615" i="25" s="1"/>
  <c r="A7609" i="25" a="1"/>
  <c r="A7609" i="25" s="1"/>
  <c r="A7607" i="25" a="1"/>
  <c r="A7607" i="25" s="1"/>
  <c r="A7569" i="25" a="1"/>
  <c r="A7569" i="25" s="1"/>
  <c r="A7547" i="25" a="1"/>
  <c r="A7547" i="25" s="1"/>
  <c r="A7540" i="25" a="1"/>
  <c r="A7540" i="25" s="1"/>
  <c r="A7526" i="25" a="1"/>
  <c r="A7526" i="25" s="1"/>
  <c r="A7509" i="25" a="1"/>
  <c r="A7509" i="25" s="1"/>
  <c r="A7507" i="25" a="1"/>
  <c r="A7507" i="25" s="1"/>
  <c r="A7505" i="25" a="1"/>
  <c r="A7505" i="25" s="1"/>
  <c r="A7451" i="25" a="1"/>
  <c r="A7451" i="25" s="1"/>
  <c r="A7429" i="25"/>
  <c r="A7429" i="25" a="1"/>
  <c r="A7422" i="25" a="1"/>
  <c r="A7422" i="25" s="1"/>
  <c r="A7408" i="25" a="1"/>
  <c r="A7408" i="25" s="1"/>
  <c r="A7391" i="25" a="1"/>
  <c r="A7391" i="25" s="1"/>
  <c r="A7389" i="25" a="1"/>
  <c r="A7389" i="25" s="1"/>
  <c r="A7387" i="25" a="1"/>
  <c r="A7387" i="25" s="1"/>
  <c r="A7333" i="25" a="1"/>
  <c r="A7333" i="25" s="1"/>
  <c r="A7311" i="25" a="1"/>
  <c r="A7311" i="25" s="1"/>
  <c r="A7304" i="25" a="1"/>
  <c r="A7304" i="25" s="1"/>
  <c r="A7290" i="25" a="1"/>
  <c r="A7290" i="25" s="1"/>
  <c r="A7273" i="25" a="1"/>
  <c r="A7273" i="25" s="1"/>
  <c r="A7271" i="25" a="1"/>
  <c r="A7271" i="25" s="1"/>
  <c r="A7269" i="25" a="1"/>
  <c r="A7269" i="25" s="1"/>
  <c r="A7215" i="25" a="1"/>
  <c r="A7215" i="25" s="1"/>
  <c r="A7193" i="25" a="1"/>
  <c r="A7193" i="25" s="1"/>
  <c r="A7186" i="25" a="1"/>
  <c r="A7186" i="25" s="1"/>
  <c r="A7172" i="25"/>
  <c r="A7172" i="25" a="1"/>
  <c r="A7155" i="25" a="1"/>
  <c r="A7155" i="25" s="1"/>
  <c r="A7153" i="25" a="1"/>
  <c r="A7153" i="25" s="1"/>
  <c r="A7151" i="25" a="1"/>
  <c r="A7151" i="25" s="1"/>
  <c r="A7097" i="25" a="1"/>
  <c r="A7097" i="25" s="1"/>
  <c r="A7075" i="25" a="1"/>
  <c r="A7075" i="25" s="1"/>
  <c r="A7068" i="25" a="1"/>
  <c r="A7068" i="25" s="1"/>
  <c r="A7054" i="25" a="1"/>
  <c r="A7054" i="25" s="1"/>
  <c r="A7037" i="25" a="1"/>
  <c r="A7037" i="25" s="1"/>
  <c r="A7035" i="25" a="1"/>
  <c r="A7035" i="25" s="1"/>
  <c r="A7033" i="25" a="1"/>
  <c r="A7033" i="25" s="1"/>
  <c r="A6979" i="25" a="1"/>
  <c r="A6979" i="25" s="1"/>
  <c r="A6957" i="25" a="1"/>
  <c r="A6957" i="25" s="1"/>
  <c r="A6950" i="25" a="1"/>
  <c r="A6950" i="25" s="1"/>
  <c r="A6936" i="25" a="1"/>
  <c r="A6936" i="25" s="1"/>
  <c r="A6919" i="25" a="1"/>
  <c r="A6919" i="25" s="1"/>
  <c r="A6917" i="25"/>
  <c r="A6917" i="25" a="1"/>
  <c r="A6915" i="25" a="1"/>
  <c r="A6915" i="25" s="1"/>
  <c r="A6861" i="25" a="1"/>
  <c r="A6861" i="25" s="1"/>
  <c r="A6832" i="25" a="1"/>
  <c r="A6832" i="25" s="1"/>
  <c r="A6818" i="25" a="1"/>
  <c r="A6818" i="25" s="1"/>
  <c r="A6799" i="25" a="1"/>
  <c r="A6799" i="25" s="1"/>
  <c r="A6797" i="25" a="1"/>
  <c r="A6797" i="25" s="1"/>
  <c r="A6743" i="25" a="1"/>
  <c r="A6743" i="25" s="1"/>
  <c r="A6712" i="25" a="1"/>
  <c r="A6712" i="25" s="1"/>
  <c r="A6700" i="25" a="1"/>
  <c r="A6700" i="25" s="1"/>
  <c r="A6681" i="25" a="1"/>
  <c r="A6681" i="25" s="1"/>
  <c r="A6679" i="25" a="1"/>
  <c r="A6679" i="25" s="1"/>
  <c r="A6625" i="25" a="1"/>
  <c r="A6625" i="25" s="1"/>
  <c r="A6596" i="25" a="1"/>
  <c r="A6596" i="25" s="1"/>
  <c r="A6582" i="25" a="1"/>
  <c r="A6582" i="25" s="1"/>
  <c r="A6563" i="25" a="1"/>
  <c r="A6563" i="25" s="1"/>
  <c r="A6561" i="25"/>
  <c r="A6561" i="25" a="1"/>
  <c r="A6507" i="25" a="1"/>
  <c r="A6507" i="25" s="1"/>
  <c r="A6478" i="25" a="1"/>
  <c r="A6478" i="25" s="1"/>
  <c r="A6464" i="25" a="1"/>
  <c r="A6464" i="25" s="1"/>
  <c r="A6445" i="25" a="1"/>
  <c r="A6445" i="25" s="1"/>
  <c r="A6443" i="25" a="1"/>
  <c r="A6443" i="25" s="1"/>
  <c r="A6389" i="25" a="1"/>
  <c r="A6389" i="25" s="1"/>
  <c r="A6360" i="25" a="1"/>
  <c r="A6360" i="25" s="1"/>
  <c r="A6346" i="25" a="1"/>
  <c r="A6346" i="25" s="1"/>
  <c r="A6327" i="25" a="1"/>
  <c r="A6327" i="25" s="1"/>
  <c r="A6325" i="25" a="1"/>
  <c r="A6325" i="25" s="1"/>
  <c r="A6271" i="25" a="1"/>
  <c r="A6271" i="25" s="1"/>
  <c r="A6209" i="25" a="1"/>
  <c r="A6209" i="25" s="1"/>
  <c r="A6207" i="25" a="1"/>
  <c r="A6207" i="25" s="1"/>
  <c r="A6153" i="25" a="1"/>
  <c r="A6153" i="25" s="1"/>
  <c r="A6131" i="25" a="1"/>
  <c r="A6131" i="25" s="1"/>
  <c r="A6121" i="25" a="1"/>
  <c r="A6121" i="25" s="1"/>
  <c r="A6115" i="25" a="1"/>
  <c r="A6115" i="25" s="1"/>
  <c r="A6110" i="25" a="1"/>
  <c r="A6110" i="25" s="1"/>
  <c r="A6093" i="25" a="1"/>
  <c r="A6093" i="25" s="1"/>
  <c r="A6091" i="25" a="1"/>
  <c r="A6091" i="25" s="1"/>
  <c r="A6089" i="25" a="1"/>
  <c r="A6089" i="25" s="1"/>
  <c r="A6082" i="25" a="1"/>
  <c r="A6082" i="25" s="1"/>
  <c r="A6035" i="25" a="1"/>
  <c r="A6035" i="25" s="1"/>
  <c r="A6013" i="25" a="1"/>
  <c r="A6013" i="25" s="1"/>
  <c r="A6006" i="25" a="1"/>
  <c r="A6006" i="25" s="1"/>
  <c r="A5992" i="25" a="1"/>
  <c r="A5992" i="25" s="1"/>
  <c r="A5975" i="25" a="1"/>
  <c r="A5975" i="25" s="1"/>
  <c r="A5973" i="25" a="1"/>
  <c r="A5973" i="25" s="1"/>
  <c r="A5970" i="25" a="1"/>
  <c r="A5970" i="25" s="1"/>
  <c r="A5964" i="25" a="1"/>
  <c r="A5964" i="25" s="1"/>
  <c r="A5917" i="25" a="1"/>
  <c r="A5917" i="25" s="1"/>
  <c r="A5887" i="25" a="1"/>
  <c r="A5887" i="25" s="1"/>
  <c r="A5885" i="25" a="1"/>
  <c r="A5885" i="25" s="1"/>
  <c r="A5874" i="25" a="1"/>
  <c r="A5874" i="25" s="1"/>
  <c r="A5770" i="25" a="1"/>
  <c r="A5770" i="25" s="1"/>
  <c r="A5756" i="25" a="1"/>
  <c r="A5756" i="25" s="1"/>
  <c r="A5739" i="25" a="1"/>
  <c r="A5739" i="25" s="1"/>
  <c r="A5737" i="25" a="1"/>
  <c r="A5737" i="25" s="1"/>
  <c r="A5735" i="25" a="1"/>
  <c r="A5735" i="25" s="1"/>
  <c r="A5681" i="25" a="1"/>
  <c r="A5681" i="25" s="1"/>
  <c r="A5649" i="25" a="1"/>
  <c r="A5649" i="25" s="1"/>
  <c r="A5638" i="25" a="1"/>
  <c r="A5638" i="25" s="1"/>
  <c r="A5621" i="25" a="1"/>
  <c r="A5621" i="25" s="1"/>
  <c r="A5619" i="25" a="1"/>
  <c r="A5619" i="25" s="1"/>
  <c r="A5617" i="25" a="1"/>
  <c r="A5617" i="25" s="1"/>
  <c r="A5563" i="25" a="1"/>
  <c r="A5563" i="25" s="1"/>
  <c r="A5531" i="25" a="1"/>
  <c r="A5531" i="25" s="1"/>
  <c r="A5520" i="25" a="1"/>
  <c r="A5520" i="25" s="1"/>
  <c r="A5503" i="25" a="1"/>
  <c r="A5503" i="25" s="1"/>
  <c r="A5501" i="25" a="1"/>
  <c r="A5501" i="25" s="1"/>
  <c r="A5499" i="25" a="1"/>
  <c r="A5499" i="25" s="1"/>
  <c r="A5445" i="25" a="1"/>
  <c r="A5445" i="25" s="1"/>
  <c r="A5415" i="25" a="1"/>
  <c r="A5415" i="25" s="1"/>
  <c r="A5413" i="25" a="1"/>
  <c r="A5413" i="25" s="1"/>
  <c r="A5402" i="25" a="1"/>
  <c r="A5402" i="25" s="1"/>
  <c r="A5385" i="25" a="1"/>
  <c r="A5385" i="25" s="1"/>
  <c r="A5383" i="25" a="1"/>
  <c r="A5383" i="25" s="1"/>
  <c r="A5381" i="25" a="1"/>
  <c r="A5381" i="25" s="1"/>
  <c r="A5327" i="25" a="1"/>
  <c r="A5327" i="25" s="1"/>
  <c r="A5298" i="25" a="1"/>
  <c r="A5298" i="25" s="1"/>
  <c r="A5284" i="25" a="1"/>
  <c r="A5284" i="25" s="1"/>
  <c r="A5265" i="25" a="1"/>
  <c r="A5265" i="25" s="1"/>
  <c r="A5263" i="25" a="1"/>
  <c r="A5263" i="25" s="1"/>
  <c r="A5180" i="25" a="1"/>
  <c r="A5180" i="25" s="1"/>
  <c r="A5177" i="25" a="1"/>
  <c r="A5177" i="25" s="1"/>
  <c r="A5166" i="25" a="1"/>
  <c r="A5166" i="25" s="1"/>
  <c r="A5147" i="25" a="1"/>
  <c r="A5147" i="25" s="1"/>
  <c r="A5145" i="25" a="1"/>
  <c r="A5145" i="25" s="1"/>
  <c r="A5091" i="25" a="1"/>
  <c r="A5091" i="25" s="1"/>
  <c r="A5059" i="25" a="1"/>
  <c r="A5059" i="25" s="1"/>
  <c r="A5048" i="25" a="1"/>
  <c r="A5048" i="25" s="1"/>
  <c r="A5031" i="25" a="1"/>
  <c r="A5031" i="25" s="1"/>
  <c r="A5029" i="25" a="1"/>
  <c r="A5029" i="25" s="1"/>
  <c r="A5027" i="25" a="1"/>
  <c r="A5027" i="25" s="1"/>
  <c r="A5020" i="25" a="1"/>
  <c r="A5020" i="25" s="1"/>
  <c r="A4973" i="25" a="1"/>
  <c r="A4973" i="25" s="1"/>
  <c r="A4943" i="25" a="1"/>
  <c r="A4943" i="25" s="1"/>
  <c r="A4941" i="25" a="1"/>
  <c r="A4941" i="25" s="1"/>
  <c r="A4930" i="25" a="1"/>
  <c r="A4930" i="25" s="1"/>
  <c r="A4913" i="25" a="1"/>
  <c r="A4913" i="25" s="1"/>
  <c r="A4911" i="25" a="1"/>
  <c r="A4911" i="25" s="1"/>
  <c r="A4909" i="25" a="1"/>
  <c r="A4909" i="25" s="1"/>
  <c r="A4902" i="25" a="1"/>
  <c r="A4902" i="25" s="1"/>
  <c r="A4855" i="25" a="1"/>
  <c r="A4855" i="25" s="1"/>
  <c r="A4825" i="25" a="1"/>
  <c r="A4825" i="25" s="1"/>
  <c r="A4823" i="25" a="1"/>
  <c r="A4823" i="25" s="1"/>
  <c r="A4812" i="25" a="1"/>
  <c r="A4812" i="25" s="1"/>
  <c r="A4795" i="25" a="1"/>
  <c r="A4795" i="25" s="1"/>
  <c r="A4793" i="25" a="1"/>
  <c r="A4793" i="25" s="1"/>
  <c r="A4791" i="25" a="1"/>
  <c r="A4791" i="25" s="1"/>
  <c r="A4737" i="25" a="1"/>
  <c r="A4737" i="25" s="1"/>
  <c r="A4707" i="25" a="1"/>
  <c r="A4707" i="25" s="1"/>
  <c r="A4705" i="25" a="1"/>
  <c r="A4705" i="25" s="1"/>
  <c r="A4694" i="25" a="1"/>
  <c r="A4694" i="25" s="1"/>
  <c r="A4677" i="25" a="1"/>
  <c r="A4677" i="25" s="1"/>
  <c r="A4675" i="25" a="1"/>
  <c r="A4675" i="25" s="1"/>
  <c r="A4673" i="25" a="1"/>
  <c r="A4673" i="25" s="1"/>
  <c r="A4619" i="25" a="1"/>
  <c r="A4619" i="25" s="1"/>
  <c r="A4590" i="25" a="1"/>
  <c r="A4590" i="25" s="1"/>
  <c r="A4576" i="25" a="1"/>
  <c r="A4576" i="25" s="1"/>
  <c r="A4559" i="25" a="1"/>
  <c r="A4559" i="25" s="1"/>
  <c r="A4557" i="25" a="1"/>
  <c r="A4557" i="25" s="1"/>
  <c r="A4555" i="25" a="1"/>
  <c r="A4555" i="25" s="1"/>
  <c r="A4501" i="25" a="1"/>
  <c r="A4501" i="25" s="1"/>
  <c r="A4487" i="25" a="1"/>
  <c r="A4487" i="25" s="1"/>
  <c r="A4472" i="25" a="1"/>
  <c r="A4472" i="25" s="1"/>
  <c r="A4469" i="25" a="1"/>
  <c r="A4469" i="25" s="1"/>
  <c r="A4458" i="25" a="1"/>
  <c r="A4458" i="25" s="1"/>
  <c r="A4441" i="25" a="1"/>
  <c r="A4441" i="25" s="1"/>
  <c r="A4439" i="25" a="1"/>
  <c r="A4439" i="25" s="1"/>
  <c r="A4437" i="25" a="1"/>
  <c r="A4437" i="25" s="1"/>
  <c r="A4383" i="25" a="1"/>
  <c r="A4383" i="25" s="1"/>
  <c r="A4351" i="25" a="1"/>
  <c r="A4351" i="25" s="1"/>
  <c r="A4340" i="25" a="1"/>
  <c r="A4340" i="25" s="1"/>
  <c r="A4323" i="25" a="1"/>
  <c r="A4323" i="25" s="1"/>
  <c r="A4321" i="25" a="1"/>
  <c r="A4321" i="25" s="1"/>
  <c r="A4319" i="25" a="1"/>
  <c r="A4319" i="25" s="1"/>
  <c r="A4312" i="25" a="1"/>
  <c r="A4312" i="25" s="1"/>
  <c r="A4265" i="25" a="1"/>
  <c r="A4265" i="25" s="1"/>
  <c r="A4205" i="25" a="1"/>
  <c r="A4205" i="25" s="1"/>
  <c r="A4203" i="25" a="1"/>
  <c r="A4203" i="25" s="1"/>
  <c r="A4201" i="25" a="1"/>
  <c r="A4201" i="25" s="1"/>
  <c r="A4147" i="25" a="1"/>
  <c r="A4147" i="25" s="1"/>
  <c r="A4118" i="25" a="1"/>
  <c r="A4118" i="25" s="1"/>
  <c r="A4104" i="25" a="1"/>
  <c r="A4104" i="25" s="1"/>
  <c r="A4000" i="25" a="1"/>
  <c r="A4000" i="25" s="1"/>
  <c r="A3986" i="25" a="1"/>
  <c r="A3986" i="25" s="1"/>
  <c r="A3879" i="25" a="1"/>
  <c r="A3879" i="25" s="1"/>
  <c r="A3868" i="25" a="1"/>
  <c r="A3868" i="25" s="1"/>
  <c r="A3851" i="25" a="1"/>
  <c r="A3851" i="25" s="1"/>
  <c r="A3849" i="25" a="1"/>
  <c r="A3849" i="25" s="1"/>
  <c r="A3847" i="25" a="1"/>
  <c r="A3847" i="25" s="1"/>
  <c r="A3793" i="25" a="1"/>
  <c r="A3793" i="25" s="1"/>
  <c r="A3771" i="25" a="1"/>
  <c r="A3771" i="25" s="1"/>
  <c r="A3675" i="25" a="1"/>
  <c r="A3675" i="25" s="1"/>
  <c r="A3615" i="25" a="1"/>
  <c r="A3615" i="25" s="1"/>
  <c r="A3613" i="25" a="1"/>
  <c r="A3613" i="25" s="1"/>
  <c r="A3611" i="25" a="1"/>
  <c r="A3611" i="25" s="1"/>
  <c r="A3557" i="25" a="1"/>
  <c r="A3557" i="25" s="1"/>
  <c r="A3539" i="25" a="1"/>
  <c r="A3539" i="25" s="1"/>
  <c r="A3535" i="25" a="1"/>
  <c r="A3535" i="25" s="1"/>
  <c r="A3528" i="25" a="1"/>
  <c r="A3528" i="25" s="1"/>
  <c r="A3514" i="25" a="1"/>
  <c r="A3514" i="25" s="1"/>
  <c r="A3497" i="25" a="1"/>
  <c r="A3497" i="25" s="1"/>
  <c r="A3495" i="25" a="1"/>
  <c r="A3495" i="25" s="1"/>
  <c r="A3493" i="25" a="1"/>
  <c r="A3493" i="25" s="1"/>
  <c r="A3439" i="25" a="1"/>
  <c r="A3439" i="25" s="1"/>
  <c r="A3421" i="25" a="1"/>
  <c r="A3421" i="25" s="1"/>
  <c r="A3417" i="25" a="1"/>
  <c r="A3417" i="25" s="1"/>
  <c r="A3410" i="25" a="1"/>
  <c r="A3410" i="25" s="1"/>
  <c r="A3396" i="25" a="1"/>
  <c r="A3396" i="25" s="1"/>
  <c r="A3379" i="25" a="1"/>
  <c r="A3379" i="25" s="1"/>
  <c r="A3377" i="25" a="1"/>
  <c r="A3377" i="25" s="1"/>
  <c r="A3375" i="25" a="1"/>
  <c r="A3375" i="25" s="1"/>
  <c r="A3299" i="25" a="1"/>
  <c r="A3299" i="25" s="1"/>
  <c r="A3292" i="25" a="1"/>
  <c r="A3292" i="25" s="1"/>
  <c r="A3278" i="25" a="1"/>
  <c r="A3278" i="25" s="1"/>
  <c r="A3259" i="25" a="1"/>
  <c r="A3259" i="25" s="1"/>
  <c r="A3257" i="25" a="1"/>
  <c r="A3257" i="25" s="1"/>
  <c r="A3203" i="25" a="1"/>
  <c r="A3203" i="25" s="1"/>
  <c r="A3172" i="25" a="1"/>
  <c r="A3172" i="25" s="1"/>
  <c r="A3160" i="25" a="1"/>
  <c r="A3160" i="25" s="1"/>
  <c r="A3141" i="25" a="1"/>
  <c r="A3141" i="25" s="1"/>
  <c r="A3139" i="25" a="1"/>
  <c r="A3139" i="25" s="1"/>
  <c r="A3085" i="25" a="1"/>
  <c r="A3085" i="25" s="1"/>
  <c r="A3055" i="25" a="1"/>
  <c r="A3055" i="25" s="1"/>
  <c r="A3042" i="25" a="1"/>
  <c r="A3042" i="25" s="1"/>
  <c r="A3023" i="25" a="1"/>
  <c r="A3023" i="25" s="1"/>
  <c r="A3021" i="25" a="1"/>
  <c r="A3021" i="25" s="1"/>
  <c r="A2967" i="25" a="1"/>
  <c r="A2967" i="25" s="1"/>
  <c r="A2937" i="25" a="1"/>
  <c r="A2937" i="25" s="1"/>
  <c r="A2924" i="25" a="1"/>
  <c r="A2924" i="25" s="1"/>
  <c r="A2905" i="25" a="1"/>
  <c r="A2905" i="25" s="1"/>
  <c r="A2903" i="25" a="1"/>
  <c r="A2903" i="25" s="1"/>
  <c r="A2849" i="25" a="1"/>
  <c r="A2849" i="25" s="1"/>
  <c r="A2785" i="25" a="1"/>
  <c r="A2785" i="25" s="1"/>
  <c r="A2671" i="25" a="1"/>
  <c r="A2671" i="25" s="1"/>
  <c r="A2669" i="25" a="1"/>
  <c r="A2669" i="25" s="1"/>
  <c r="A2667" i="25" a="1"/>
  <c r="A2667" i="25" s="1"/>
  <c r="A2435" i="25" a="1"/>
  <c r="A2435" i="25" s="1"/>
  <c r="A2433" i="25" a="1"/>
  <c r="A2433" i="25" s="1"/>
  <c r="A2081" i="25" a="1"/>
  <c r="A2081" i="25" s="1"/>
  <c r="A2079" i="25" a="1"/>
  <c r="A2079" i="25" s="1"/>
  <c r="A1963" i="25" a="1"/>
  <c r="A1963" i="25" s="1"/>
  <c r="A1961" i="25" a="1"/>
  <c r="A1961" i="25" s="1"/>
  <c r="A1959" i="25" a="1"/>
  <c r="A1959" i="25" s="1"/>
  <c r="A1900" i="25" a="1"/>
  <c r="A1900" i="25" s="1"/>
  <c r="A1845" i="25" a="1"/>
  <c r="A1845" i="25" s="1"/>
  <c r="A1843" i="25" a="1"/>
  <c r="A1843" i="25" s="1"/>
  <c r="A1841" i="25" a="1"/>
  <c r="A1841" i="25" s="1"/>
  <c r="A1787" i="25" a="1"/>
  <c r="A1787" i="25" s="1"/>
  <c r="A1727" i="25" a="1"/>
  <c r="A1727" i="25" s="1"/>
  <c r="A1725" i="25" a="1"/>
  <c r="A1725" i="25" s="1"/>
  <c r="A1723" i="25" a="1"/>
  <c r="A1723" i="25" s="1"/>
  <c r="A1609" i="25" a="1"/>
  <c r="A1609" i="25" s="1"/>
  <c r="A1607" i="25" a="1"/>
  <c r="A1607" i="25" s="1"/>
  <c r="A1605" i="25" a="1"/>
  <c r="A1605" i="25" s="1"/>
  <c r="A1491" i="25" a="1"/>
  <c r="A1491" i="25" s="1"/>
  <c r="A1489" i="25" a="1"/>
  <c r="A1489" i="25" s="1"/>
  <c r="A1487" i="25" a="1"/>
  <c r="A1487" i="25" s="1"/>
  <c r="A1433" i="25" a="1"/>
  <c r="A1433" i="25" s="1"/>
  <c r="A1373" i="25" a="1"/>
  <c r="A1373" i="25" s="1"/>
  <c r="A1371" i="25" a="1"/>
  <c r="A1371" i="25" s="1"/>
  <c r="A1369" i="25" a="1"/>
  <c r="A1369" i="25" s="1"/>
  <c r="A1315" i="25" a="1"/>
  <c r="A1315" i="25" s="1"/>
  <c r="A1255" i="25" a="1"/>
  <c r="A1255" i="25" s="1"/>
  <c r="A1253" i="25" a="1"/>
  <c r="A1253" i="25" s="1"/>
  <c r="A1251" i="25" a="1"/>
  <c r="A1251" i="25" s="1"/>
  <c r="A1197" i="25" a="1"/>
  <c r="A1197" i="25" s="1"/>
  <c r="A1137" i="25" a="1"/>
  <c r="A1137" i="25" s="1"/>
  <c r="A1135" i="25" a="1"/>
  <c r="A1135" i="25" s="1"/>
  <c r="A1133" i="25" a="1"/>
  <c r="A1133" i="25" s="1"/>
  <c r="A1079" i="25" a="1"/>
  <c r="A1079" i="25" s="1"/>
  <c r="A1050" i="25" a="1"/>
  <c r="A1050" i="25" s="1"/>
  <c r="A1036" i="25" a="1"/>
  <c r="A1036" i="25" s="1"/>
  <c r="A1017" i="25" a="1"/>
  <c r="A1017" i="25" s="1"/>
  <c r="A1015" i="25" a="1"/>
  <c r="A1015" i="25" s="1"/>
  <c r="A961" i="25" a="1"/>
  <c r="A961" i="25" s="1"/>
  <c r="A932" i="25" a="1"/>
  <c r="A932" i="25" s="1"/>
  <c r="A918" i="25" a="1"/>
  <c r="A918" i="25" s="1"/>
  <c r="A899" i="25" a="1"/>
  <c r="A899" i="25" s="1"/>
  <c r="A897" i="25" a="1"/>
  <c r="A897" i="25" s="1"/>
  <c r="A843" i="25" a="1"/>
  <c r="A843" i="25" s="1"/>
  <c r="A814" i="25" a="1"/>
  <c r="A814" i="25" s="1"/>
  <c r="A800" i="25" a="1"/>
  <c r="A800" i="25" s="1"/>
  <c r="A781" i="25" a="1"/>
  <c r="A781" i="25" s="1"/>
  <c r="A778" i="25" a="1"/>
  <c r="A778" i="25" s="1"/>
  <c r="A775" i="25" a="1"/>
  <c r="A775" i="25" s="1"/>
  <c r="A771" i="25" a="1"/>
  <c r="A771" i="25" s="1"/>
  <c r="A770" i="25" a="1"/>
  <c r="A770" i="25" s="1"/>
  <c r="A762" i="25" a="1"/>
  <c r="A762" i="25" s="1"/>
  <c r="A757" i="25" a="1"/>
  <c r="A757" i="25" s="1"/>
  <c r="A754" i="25" a="1"/>
  <c r="A754" i="25" s="1"/>
  <c r="A752" i="25" a="1"/>
  <c r="A752" i="25" s="1"/>
  <c r="A725" i="25" a="1"/>
  <c r="A725" i="25" s="1"/>
  <c r="A696" i="25" a="1"/>
  <c r="A696" i="25" s="1"/>
  <c r="A682" i="25" a="1"/>
  <c r="A682" i="25" s="1"/>
  <c r="A663" i="25" a="1"/>
  <c r="A663" i="25" s="1"/>
  <c r="A660" i="25" a="1"/>
  <c r="A660" i="25" s="1"/>
  <c r="A657" i="25" a="1"/>
  <c r="A657" i="25" s="1"/>
  <c r="A653" i="25" a="1"/>
  <c r="A653" i="25" s="1"/>
  <c r="A652" i="25" a="1"/>
  <c r="A652" i="25" s="1"/>
  <c r="A644" i="25" a="1"/>
  <c r="A644" i="25" s="1"/>
  <c r="A637" i="25" a="1"/>
  <c r="A637" i="25" s="1"/>
  <c r="A634" i="25" a="1"/>
  <c r="A634" i="25" s="1"/>
  <c r="A607" i="25" a="1"/>
  <c r="A607" i="25" s="1"/>
  <c r="A581" i="25" a="1"/>
  <c r="A581" i="25" s="1"/>
  <c r="A578" i="25" a="1"/>
  <c r="A578" i="25" s="1"/>
  <c r="A545" i="25" a="1"/>
  <c r="A545" i="25" s="1"/>
  <c r="A543" i="25" a="1"/>
  <c r="A543" i="25" s="1"/>
  <c r="A489" i="25" a="1"/>
  <c r="A489" i="25" s="1"/>
  <c r="A463" i="25" a="1"/>
  <c r="A463" i="25" s="1"/>
  <c r="A460" i="25" a="1"/>
  <c r="A460" i="25" s="1"/>
  <c r="A427" i="25" a="1"/>
  <c r="A427" i="25" s="1"/>
  <c r="A425" i="25" a="1"/>
  <c r="A425" i="25" s="1"/>
  <c r="A371" i="25" a="1"/>
  <c r="A371" i="25" s="1"/>
  <c r="A342" i="25" a="1"/>
  <c r="A342" i="25" s="1"/>
  <c r="A309" i="25" a="1"/>
  <c r="A309" i="25" s="1"/>
  <c r="A307" i="25" a="1"/>
  <c r="A307" i="25" s="1"/>
  <c r="A253" i="25" a="1"/>
  <c r="A253" i="25" s="1"/>
  <c r="A224" i="25" a="1"/>
  <c r="A224" i="25" s="1"/>
  <c r="A210" i="25" a="1"/>
  <c r="A210" i="25" s="1"/>
  <c r="A191" i="25" a="1"/>
  <c r="A191" i="25" s="1"/>
  <c r="A189" i="25" a="1"/>
  <c r="A189" i="25" s="1"/>
  <c r="A135" i="25" a="1"/>
  <c r="A135" i="25" s="1"/>
  <c r="A106" i="25" a="1"/>
  <c r="A106" i="25" s="1"/>
  <c r="A92" i="25" a="1"/>
  <c r="A92" i="25" s="1"/>
  <c r="A75" i="25" a="1"/>
  <c r="A75" i="25" s="1"/>
  <c r="A73" i="25" a="1"/>
  <c r="A73" i="25" s="1"/>
  <c r="A71" i="25" a="1"/>
  <c r="A71" i="25" s="1"/>
  <c r="A54" i="25" a="1"/>
  <c r="A54" i="25" s="1"/>
  <c r="A17" i="25" a="1"/>
  <c r="A17" i="25" s="1"/>
  <c r="A15727" i="23" a="1"/>
  <c r="A15727" i="23" s="1"/>
  <c r="A15721" i="23" a="1"/>
  <c r="A15721" i="23" s="1"/>
  <c r="A15719" i="23" a="1"/>
  <c r="A15719" i="23" s="1"/>
  <c r="A15716" i="23" a="1"/>
  <c r="A15716" i="23" s="1"/>
  <c r="A15661" i="23" a="1"/>
  <c r="A15661" i="23" s="1"/>
  <c r="A15656" i="23"/>
  <c r="A15656" i="23" a="1"/>
  <c r="A15652" i="23" a="1"/>
  <c r="A15652" i="23" s="1"/>
  <c r="A15647" i="23" a="1"/>
  <c r="A15647" i="23" s="1"/>
  <c r="A15634" i="23" a="1"/>
  <c r="A15634" i="23" s="1"/>
  <c r="A15630" i="23"/>
  <c r="A15630" i="23" a="1"/>
  <c r="A15599" i="23"/>
  <c r="A15599" i="23" a="1"/>
  <c r="A15593" i="23"/>
  <c r="A15593" i="23" a="1"/>
  <c r="A15588" i="23" a="1"/>
  <c r="A15588" i="23" s="1"/>
  <c r="A15553" i="23" a="1"/>
  <c r="A15553" i="23" s="1"/>
  <c r="A15552" i="23"/>
  <c r="A15552" i="23" a="1"/>
  <c r="A15543" i="23" a="1"/>
  <c r="A15543" i="23" s="1"/>
  <c r="A15533" i="23" a="1"/>
  <c r="A15533" i="23" s="1"/>
  <c r="A15524" i="23" a="1"/>
  <c r="A15524" i="23" s="1"/>
  <c r="A15516" i="23"/>
  <c r="A15516" i="23" a="1"/>
  <c r="A15480" i="23"/>
  <c r="A15480" i="23" a="1"/>
  <c r="A15468" i="23" a="1"/>
  <c r="A15468" i="23" s="1"/>
  <c r="A15465" i="23" a="1"/>
  <c r="A15465" i="23" s="1"/>
  <c r="A15463" i="23" a="1"/>
  <c r="A15463" i="23" s="1"/>
  <c r="A15460" i="23"/>
  <c r="A15460" i="23" a="1"/>
  <c r="A15452" i="23" a="1"/>
  <c r="A15452" i="23" s="1"/>
  <c r="A15405" i="23"/>
  <c r="A15405" i="23" a="1"/>
  <c r="A15400" i="23" a="1"/>
  <c r="A15400" i="23" s="1"/>
  <c r="A15371" i="23" a="1"/>
  <c r="A15371" i="23" s="1"/>
  <c r="A15370" i="23" a="1"/>
  <c r="A15370" i="23" s="1"/>
  <c r="A15347" i="23" a="1"/>
  <c r="A15347" i="23" s="1"/>
  <c r="A15344" i="23" a="1"/>
  <c r="A15344" i="23" s="1"/>
  <c r="A15338" i="23" a="1"/>
  <c r="A15338" i="23" s="1"/>
  <c r="A15335" i="23" a="1"/>
  <c r="A15335" i="23" s="1"/>
  <c r="A15332" i="23"/>
  <c r="A15332" i="23" a="1"/>
  <c r="A15324" i="23"/>
  <c r="A15324" i="23" a="1"/>
  <c r="A15288" i="23" a="1"/>
  <c r="A15288" i="23" s="1"/>
  <c r="A15277" i="23" a="1"/>
  <c r="A15277" i="23" s="1"/>
  <c r="A15272" i="23"/>
  <c r="A15272" i="23" a="1"/>
  <c r="A15267" i="23" a="1"/>
  <c r="A15267" i="23" s="1"/>
  <c r="A15265" i="23" a="1"/>
  <c r="A15265" i="23" s="1"/>
  <c r="A15263" i="23" a="1"/>
  <c r="A15263" i="23" s="1"/>
  <c r="A15262" i="23"/>
  <c r="A15262" i="23" a="1"/>
  <c r="A15259" i="23"/>
  <c r="A15259" i="23" a="1"/>
  <c r="A15251" i="23"/>
  <c r="A15251" i="23" a="1"/>
  <c r="A15248" i="23" a="1"/>
  <c r="A15248" i="23" s="1"/>
  <c r="A15242" i="23" a="1"/>
  <c r="A15242" i="23" s="1"/>
  <c r="A15231" i="23"/>
  <c r="A15231" i="23" a="1"/>
  <c r="A15228" i="23" a="1"/>
  <c r="A15228" i="23" s="1"/>
  <c r="A15223" i="23" a="1"/>
  <c r="A15223" i="23" s="1"/>
  <c r="A15221" i="23" a="1"/>
  <c r="A15221" i="23" s="1"/>
  <c r="A15216" i="23" a="1"/>
  <c r="A15216" i="23" s="1"/>
  <c r="A15210" i="23"/>
  <c r="A15210" i="23" a="1"/>
  <c r="A15207" i="23" a="1"/>
  <c r="A15207" i="23" s="1"/>
  <c r="A15204" i="23" a="1"/>
  <c r="A15204" i="23" s="1"/>
  <c r="A15149" i="23" a="1"/>
  <c r="A15149" i="23" s="1"/>
  <c r="A15140" i="23"/>
  <c r="A15140" i="23" a="1"/>
  <c r="A15137" i="23" a="1"/>
  <c r="A15137" i="23" s="1"/>
  <c r="A15135" i="23"/>
  <c r="A15135" i="23" a="1"/>
  <c r="A15131" i="23" a="1"/>
  <c r="A15131" i="23" s="1"/>
  <c r="A15122" i="23" a="1"/>
  <c r="A15122" i="23" s="1"/>
  <c r="A15115" i="23" a="1"/>
  <c r="A15115" i="23" s="1"/>
  <c r="A15114" i="23" a="1"/>
  <c r="A15114" i="23" s="1"/>
  <c r="A15103" i="23" a="1"/>
  <c r="A15103" i="23" s="1"/>
  <c r="A15100" i="23" a="1"/>
  <c r="A15100" i="23" s="1"/>
  <c r="A15093" i="23" a="1"/>
  <c r="A15093" i="23" s="1"/>
  <c r="A15087" i="23"/>
  <c r="A15087" i="23" a="1"/>
  <c r="A15082" i="23"/>
  <c r="A15082" i="23" a="1"/>
  <c r="A15079" i="23" a="1"/>
  <c r="A15079" i="23" s="1"/>
  <c r="A15076" i="23" a="1"/>
  <c r="A15076" i="23" s="1"/>
  <c r="A15021" i="23"/>
  <c r="A15021" i="23" a="1"/>
  <c r="A15012" i="23" a="1"/>
  <c r="A15012" i="23" s="1"/>
  <c r="A14974" i="23" a="1"/>
  <c r="A14974" i="23" s="1"/>
  <c r="A14948" i="23" a="1"/>
  <c r="A14948" i="23" s="1"/>
  <c r="A14893" i="23" a="1"/>
  <c r="A14893" i="23" s="1"/>
  <c r="A14883" i="23"/>
  <c r="A14883" i="23" a="1"/>
  <c r="A14878" i="23"/>
  <c r="A14878" i="23" a="1"/>
  <c r="A14874" i="23" a="1"/>
  <c r="A14874" i="23" s="1"/>
  <c r="A14844" i="23" a="1"/>
  <c r="A14844" i="23" s="1"/>
  <c r="A14823" i="23"/>
  <c r="A14823" i="23" a="1"/>
  <c r="A14755" i="23" a="1"/>
  <c r="A14755" i="23" s="1"/>
  <c r="A14750" i="23" a="1"/>
  <c r="A14750" i="23" s="1"/>
  <c r="A14697" i="23" a="1"/>
  <c r="A14697" i="23" s="1"/>
  <c r="A14695" i="23"/>
  <c r="A14695" i="23" a="1"/>
  <c r="A14692" i="23"/>
  <c r="A14692" i="23" a="1"/>
  <c r="A14637" i="23" a="1"/>
  <c r="A14637" i="23" s="1"/>
  <c r="A14627" i="23" a="1"/>
  <c r="A14627" i="23" s="1"/>
  <c r="A14622" i="23" a="1"/>
  <c r="A14622" i="23" s="1"/>
  <c r="A14569" i="23"/>
  <c r="A14569" i="23" a="1"/>
  <c r="A14567" i="23" a="1"/>
  <c r="A14567" i="23" s="1"/>
  <c r="A14564" i="23"/>
  <c r="A14564" i="23" a="1"/>
  <c r="A14499" i="23" a="1"/>
  <c r="A14499" i="23" s="1"/>
  <c r="A14494" i="23" a="1"/>
  <c r="A14494" i="23" s="1"/>
  <c r="A14439" i="23" a="1"/>
  <c r="A14439" i="23" s="1"/>
  <c r="A14436" i="23" a="1"/>
  <c r="A14436" i="23" s="1"/>
  <c r="A14392" i="23" a="1"/>
  <c r="A14392" i="23" s="1"/>
  <c r="A14381" i="23" a="1"/>
  <c r="A14381" i="23" s="1"/>
  <c r="A14376" i="23" a="1"/>
  <c r="A14376" i="23" s="1"/>
  <c r="A14366" i="23"/>
  <c r="A14366" i="23" a="1"/>
  <c r="A14364" i="23"/>
  <c r="A14364" i="23" a="1"/>
  <c r="A14346" i="23" a="1"/>
  <c r="A14346" i="23" s="1"/>
  <c r="A14314" i="23" a="1"/>
  <c r="A14314" i="23" s="1"/>
  <c r="A14311" i="23"/>
  <c r="A14311" i="23" a="1"/>
  <c r="A14308" i="23" a="1"/>
  <c r="A14308" i="23" s="1"/>
  <c r="A14264" i="23" a="1"/>
  <c r="A14264" i="23" s="1"/>
  <c r="A14253" i="23" a="1"/>
  <c r="A14253" i="23" s="1"/>
  <c r="A14248" i="23"/>
  <c r="A14248" i="23" a="1"/>
  <c r="A14238" i="23"/>
  <c r="A14238" i="23" a="1"/>
  <c r="A14236" i="23"/>
  <c r="A14236" i="23" a="1"/>
  <c r="A14234" i="23" a="1"/>
  <c r="A14234" i="23" s="1"/>
  <c r="A14218" i="23" a="1"/>
  <c r="A14218" i="23" s="1"/>
  <c r="A14203" i="23"/>
  <c r="A14203" i="23" a="1"/>
  <c r="A14195" i="23" a="1"/>
  <c r="A14195" i="23" s="1"/>
  <c r="A14185" i="23" a="1"/>
  <c r="A14185" i="23" s="1"/>
  <c r="A14183" i="23" a="1"/>
  <c r="A14183" i="23" s="1"/>
  <c r="A14180" i="23" a="1"/>
  <c r="A14180" i="23" s="1"/>
  <c r="A14163" i="23"/>
  <c r="A14163" i="23" a="1"/>
  <c r="A14125" i="23" a="1"/>
  <c r="A14125" i="23" s="1"/>
  <c r="A14116" i="23" a="1"/>
  <c r="A14116" i="23" s="1"/>
  <c r="A14111" i="23" a="1"/>
  <c r="A14111" i="23" s="1"/>
  <c r="A14099" i="23"/>
  <c r="A14099" i="23" a="1"/>
  <c r="A14098" i="23" a="1"/>
  <c r="A14098" i="23" s="1"/>
  <c r="A14096" i="23"/>
  <c r="A14096" i="23" a="1"/>
  <c r="A14090" i="23" a="1"/>
  <c r="A14090" i="23" s="1"/>
  <c r="A14078" i="23" a="1"/>
  <c r="A14078" i="23" s="1"/>
  <c r="A14074" i="23" a="1"/>
  <c r="A14074" i="23" s="1"/>
  <c r="A14068" i="23" a="1"/>
  <c r="A14068" i="23" s="1"/>
  <c r="A14057" i="23" a="1"/>
  <c r="A14057" i="23" s="1"/>
  <c r="A14052" i="23" a="1"/>
  <c r="A14052" i="23" s="1"/>
  <c r="A14007" i="23" a="1"/>
  <c r="A14007" i="23" s="1"/>
  <c r="A13997" i="23"/>
  <c r="A13997" i="23" a="1"/>
  <c r="A13987" i="23"/>
  <c r="A13987" i="23" a="1"/>
  <c r="A13982" i="23" a="1"/>
  <c r="A13982" i="23" s="1"/>
  <c r="A13980" i="23" a="1"/>
  <c r="A13980" i="23" s="1"/>
  <c r="A13971" i="23"/>
  <c r="A13971" i="23" a="1"/>
  <c r="A13970" i="23" a="1"/>
  <c r="A13970" i="23" s="1"/>
  <c r="A13962" i="23" a="1"/>
  <c r="A13962" i="23" s="1"/>
  <c r="A13950" i="23" a="1"/>
  <c r="A13950" i="23" s="1"/>
  <c r="A13943" i="23" a="1"/>
  <c r="A13943" i="23" s="1"/>
  <c r="A13941" i="23"/>
  <c r="A13941" i="23" a="1"/>
  <c r="A13938" i="23"/>
  <c r="A13938" i="23" a="1"/>
  <c r="A13932" i="23" a="1"/>
  <c r="A13932" i="23" s="1"/>
  <c r="A13929" i="23" a="1"/>
  <c r="A13929" i="23" s="1"/>
  <c r="A13927" i="23"/>
  <c r="A13927" i="23" a="1"/>
  <c r="A13924" i="23" a="1"/>
  <c r="A13924" i="23" s="1"/>
  <c r="A13889" i="23" a="1"/>
  <c r="A13889" i="23" s="1"/>
  <c r="A13869" i="23" a="1"/>
  <c r="A13869" i="23" s="1"/>
  <c r="A13863" i="23"/>
  <c r="A13863" i="23" a="1"/>
  <c r="A13860" i="23"/>
  <c r="A13860" i="23" a="1"/>
  <c r="A13854" i="23" a="1"/>
  <c r="A13854" i="23" s="1"/>
  <c r="A13850" i="23" a="1"/>
  <c r="A13850" i="23" s="1"/>
  <c r="A13834" i="23" a="1"/>
  <c r="A13834" i="23" s="1"/>
  <c r="A13822" i="23"/>
  <c r="A13822" i="23" a="1"/>
  <c r="A13820" i="23" a="1"/>
  <c r="A13820" i="23" s="1"/>
  <c r="A13813" i="23"/>
  <c r="A13813" i="23" a="1"/>
  <c r="A13807" i="23" a="1"/>
  <c r="A13807" i="23" s="1"/>
  <c r="A13801" i="23" a="1"/>
  <c r="A13801" i="23" s="1"/>
  <c r="A13799" i="23" a="1"/>
  <c r="A13799" i="23" s="1"/>
  <c r="A13796" i="23" a="1"/>
  <c r="A13796" i="23" s="1"/>
  <c r="A13741" i="23" a="1"/>
  <c r="A13741" i="23" s="1"/>
  <c r="A13726" i="23" a="1"/>
  <c r="A13726" i="23" s="1"/>
  <c r="A13724" i="23" a="1"/>
  <c r="A13724" i="23" s="1"/>
  <c r="A13714" i="23"/>
  <c r="A13714" i="23" a="1"/>
  <c r="A13694" i="23"/>
  <c r="A13694" i="23" a="1"/>
  <c r="A13692" i="23" a="1"/>
  <c r="A13692" i="23" s="1"/>
  <c r="A13685" i="23" a="1"/>
  <c r="A13685" i="23" s="1"/>
  <c r="A13679" i="23"/>
  <c r="A13679" i="23" a="1"/>
  <c r="A13673" i="23" a="1"/>
  <c r="A13673" i="23" s="1"/>
  <c r="A13671" i="23" a="1"/>
  <c r="A13671" i="23" s="1"/>
  <c r="A13668" i="23" a="1"/>
  <c r="A13668" i="23" s="1"/>
  <c r="A13613" i="23"/>
  <c r="A13613" i="23" a="1"/>
  <c r="A13598" i="23"/>
  <c r="A13598" i="23" a="1"/>
  <c r="A13596" i="23"/>
  <c r="A13596" i="23" a="1"/>
  <c r="A13586" i="23" a="1"/>
  <c r="A13586" i="23" s="1"/>
  <c r="A13564" i="23" a="1"/>
  <c r="A13564" i="23" s="1"/>
  <c r="A13556" i="23"/>
  <c r="A13556" i="23" a="1"/>
  <c r="A13554" i="23" a="1"/>
  <c r="A13554" i="23" s="1"/>
  <c r="A13542" i="23" a="1"/>
  <c r="A13542" i="23" s="1"/>
  <c r="A13540" i="23" a="1"/>
  <c r="A13540" i="23" s="1"/>
  <c r="A13502" i="23" a="1"/>
  <c r="A13502" i="23" s="1"/>
  <c r="A13485" i="23"/>
  <c r="A13485" i="23" a="1"/>
  <c r="A13479" i="23" a="1"/>
  <c r="A13479" i="23" s="1"/>
  <c r="A13476" i="23" a="1"/>
  <c r="A13476" i="23" s="1"/>
  <c r="A13470" i="23" a="1"/>
  <c r="A13470" i="23" s="1"/>
  <c r="A13468" i="23"/>
  <c r="A13468" i="23" a="1"/>
  <c r="A13450" i="23" a="1"/>
  <c r="A13450" i="23" s="1"/>
  <c r="A13439" i="23"/>
  <c r="A13439" i="23" a="1"/>
  <c r="A13436" i="23" a="1"/>
  <c r="A13436" i="23" s="1"/>
  <c r="A13431" i="23" a="1"/>
  <c r="A13431" i="23" s="1"/>
  <c r="A13428" i="23" a="1"/>
  <c r="A13428" i="23" s="1"/>
  <c r="A13426" i="23" a="1"/>
  <c r="A13426" i="23" s="1"/>
  <c r="A13415" i="23" a="1"/>
  <c r="A13415" i="23" s="1"/>
  <c r="A13412" i="23" a="1"/>
  <c r="A13412" i="23" s="1"/>
  <c r="A13375" i="23" a="1"/>
  <c r="A13375" i="23" s="1"/>
  <c r="A13357" i="23"/>
  <c r="A13357" i="23" a="1"/>
  <c r="A13350" i="23"/>
  <c r="A13350" i="23" a="1"/>
  <c r="A13348" i="23" a="1"/>
  <c r="A13348" i="23" s="1"/>
  <c r="A13342" i="23" a="1"/>
  <c r="A13342" i="23" s="1"/>
  <c r="A13340" i="23"/>
  <c r="A13340" i="23" a="1"/>
  <c r="A13328" i="23" a="1"/>
  <c r="A13328" i="23" s="1"/>
  <c r="A13322" i="23"/>
  <c r="A13322" i="23" a="1"/>
  <c r="A13311" i="23" a="1"/>
  <c r="A13311" i="23" s="1"/>
  <c r="A13308" i="23" a="1"/>
  <c r="A13308" i="23" s="1"/>
  <c r="A13303" i="23"/>
  <c r="A13303" i="23" a="1"/>
  <c r="A13300" i="23"/>
  <c r="A13300" i="23" a="1"/>
  <c r="A13298" i="23" a="1"/>
  <c r="A13298" i="23" s="1"/>
  <c r="A13287" i="23" a="1"/>
  <c r="A13287" i="23" s="1"/>
  <c r="A13284" i="23"/>
  <c r="A13284" i="23" a="1"/>
  <c r="A13247" i="23" a="1"/>
  <c r="A13247" i="23" s="1"/>
  <c r="A13229" i="23" a="1"/>
  <c r="A13229" i="23" s="1"/>
  <c r="A13222" i="23" a="1"/>
  <c r="A13222" i="23" s="1"/>
  <c r="A13220" i="23" a="1"/>
  <c r="A13220" i="23" s="1"/>
  <c r="A13214" i="23"/>
  <c r="A13214" i="23" a="1"/>
  <c r="A13212" i="23" a="1"/>
  <c r="A13212" i="23" s="1"/>
  <c r="A13200" i="23"/>
  <c r="A13200" i="23" a="1"/>
  <c r="A13194" i="23" a="1"/>
  <c r="A13194" i="23" s="1"/>
  <c r="A13183" i="23"/>
  <c r="A13183" i="23" a="1"/>
  <c r="A13180" i="23" a="1"/>
  <c r="A13180" i="23" s="1"/>
  <c r="A13175" i="23"/>
  <c r="A13175" i="23" a="1"/>
  <c r="A13172" i="23" a="1"/>
  <c r="A13172" i="23" s="1"/>
  <c r="A13170" i="23"/>
  <c r="A13170" i="23" a="1"/>
  <c r="A13159" i="23" a="1"/>
  <c r="A13159" i="23" s="1"/>
  <c r="A13156" i="23" a="1"/>
  <c r="A13156" i="23" s="1"/>
  <c r="A13119" i="23" a="1"/>
  <c r="A13119" i="23" s="1"/>
  <c r="A13101" i="23" a="1"/>
  <c r="A13101" i="23" s="1"/>
  <c r="A13094" i="23" a="1"/>
  <c r="A13094" i="23" s="1"/>
  <c r="A13086" i="23"/>
  <c r="A13086" i="23" a="1"/>
  <c r="A13084" i="23"/>
  <c r="A13084" i="23" a="1"/>
  <c r="A13072" i="23" a="1"/>
  <c r="A13072" i="23" s="1"/>
  <c r="A13066" i="23" a="1"/>
  <c r="A13066" i="23" s="1"/>
  <c r="A13054" i="23"/>
  <c r="A13054" i="23" a="1"/>
  <c r="A13048" i="23" a="1"/>
  <c r="A13048" i="23" s="1"/>
  <c r="A13039" i="23" a="1"/>
  <c r="A13039" i="23" s="1"/>
  <c r="A13036" i="23" a="1"/>
  <c r="A13036" i="23" s="1"/>
  <c r="A13033" i="23" a="1"/>
  <c r="A13033" i="23" s="1"/>
  <c r="A13031" i="23"/>
  <c r="A13031" i="23" a="1"/>
  <c r="A13028" i="23"/>
  <c r="A13028" i="23" a="1"/>
  <c r="A12973" i="23" a="1"/>
  <c r="A12973" i="23" s="1"/>
  <c r="A12968" i="23" a="1"/>
  <c r="A12968" i="23" s="1"/>
  <c r="A12964" i="23"/>
  <c r="A12964" i="23" a="1"/>
  <c r="A12961" i="23" a="1"/>
  <c r="A12961" i="23" s="1"/>
  <c r="A12958" i="23" a="1"/>
  <c r="A12958" i="23" s="1"/>
  <c r="A12956" i="23" a="1"/>
  <c r="A12956" i="23" s="1"/>
  <c r="A12952" i="23"/>
  <c r="A12952" i="23" a="1"/>
  <c r="A12945" i="23"/>
  <c r="A12945" i="23" a="1"/>
  <c r="A12942" i="23" a="1"/>
  <c r="A12942" i="23" s="1"/>
  <c r="A12940" i="23"/>
  <c r="A12940" i="23" a="1"/>
  <c r="A12938" i="23" a="1"/>
  <c r="A12938" i="23" s="1"/>
  <c r="A12935" i="23"/>
  <c r="A12935" i="23" a="1"/>
  <c r="A12903" i="23" a="1"/>
  <c r="A12903" i="23" s="1"/>
  <c r="A12900" i="23"/>
  <c r="A12900" i="23" a="1"/>
  <c r="A12845" i="23" a="1"/>
  <c r="A12845" i="23" s="1"/>
  <c r="A12840" i="23" a="1"/>
  <c r="A12840" i="23" s="1"/>
  <c r="A12836" i="23" a="1"/>
  <c r="A12836" i="23" s="1"/>
  <c r="A12831" i="23" a="1"/>
  <c r="A12831" i="23" s="1"/>
  <c r="A12775" i="23"/>
  <c r="A12775" i="23" a="1"/>
  <c r="A12772" i="23" a="1"/>
  <c r="A12772" i="23" s="1"/>
  <c r="A12717" i="23" a="1"/>
  <c r="A12717" i="23" s="1"/>
  <c r="A12712" i="23"/>
  <c r="A12712" i="23" a="1"/>
  <c r="A12708" i="23"/>
  <c r="A12708" i="23" a="1"/>
  <c r="A12703" i="23" a="1"/>
  <c r="A12703" i="23" s="1"/>
  <c r="A12682" i="23" a="1"/>
  <c r="A12682" i="23" s="1"/>
  <c r="A12647" i="23"/>
  <c r="A12647" i="23" a="1"/>
  <c r="A12644" i="23" a="1"/>
  <c r="A12644" i="23" s="1"/>
  <c r="A12589" i="23" a="1"/>
  <c r="A12589" i="23" s="1"/>
  <c r="A12584" i="23" a="1"/>
  <c r="A12584" i="23" s="1"/>
  <c r="A12580" i="23"/>
  <c r="A12580" i="23" a="1"/>
  <c r="A12575" i="23"/>
  <c r="A12575" i="23" a="1"/>
  <c r="A12554" i="23"/>
  <c r="A12554" i="23" a="1"/>
  <c r="A12519" i="23" a="1"/>
  <c r="A12519" i="23" s="1"/>
  <c r="A12516" i="23" a="1"/>
  <c r="A12516" i="23" s="1"/>
  <c r="A12461" i="23"/>
  <c r="A12461" i="23" a="1"/>
  <c r="A12456" i="23" a="1"/>
  <c r="A12456" i="23" s="1"/>
  <c r="A12452" i="23" a="1"/>
  <c r="A12452" i="23" s="1"/>
  <c r="A12447" i="23" a="1"/>
  <c r="A12447" i="23" s="1"/>
  <c r="A12440" i="23" a="1"/>
  <c r="A12440" i="23" s="1"/>
  <c r="A12426" i="23"/>
  <c r="A12426" i="23" a="1"/>
  <c r="A12388" i="23" a="1"/>
  <c r="A12388" i="23" s="1"/>
  <c r="A12333" i="23" a="1"/>
  <c r="A12333" i="23" s="1"/>
  <c r="A12328" i="23" a="1"/>
  <c r="A12328" i="23" s="1"/>
  <c r="A12324" i="23"/>
  <c r="A12324" i="23" a="1"/>
  <c r="A12319" i="23" a="1"/>
  <c r="A12319" i="23" s="1"/>
  <c r="A12305" i="23"/>
  <c r="A12305" i="23" a="1"/>
  <c r="A12298" i="23" a="1"/>
  <c r="A12298" i="23" s="1"/>
  <c r="A12263" i="23" a="1"/>
  <c r="A12263" i="23" s="1"/>
  <c r="A12260" i="23" a="1"/>
  <c r="A12260" i="23" s="1"/>
  <c r="A12205" i="23" a="1"/>
  <c r="A12205" i="23" s="1"/>
  <c r="A12200" i="23" a="1"/>
  <c r="A12200" i="23" s="1"/>
  <c r="A12196" i="23" a="1"/>
  <c r="A12196" i="23" s="1"/>
  <c r="A12191" i="23" a="1"/>
  <c r="A12191" i="23" s="1"/>
  <c r="A12170" i="23"/>
  <c r="A12170" i="23" a="1"/>
  <c r="A12132" i="23"/>
  <c r="A12132" i="23" a="1"/>
  <c r="A12077" i="23" a="1"/>
  <c r="A12077" i="23" s="1"/>
  <c r="A12072" i="23" a="1"/>
  <c r="A12072" i="23" s="1"/>
  <c r="A12068" i="23"/>
  <c r="A12068" i="23" a="1"/>
  <c r="A12063" i="23" a="1"/>
  <c r="A12063" i="23" s="1"/>
  <c r="A12007" i="23" a="1"/>
  <c r="A12007" i="23" s="1"/>
  <c r="A12004" i="23" a="1"/>
  <c r="A12004" i="23" s="1"/>
  <c r="A11949" i="23" a="1"/>
  <c r="A11949" i="23" s="1"/>
  <c r="A11944" i="23"/>
  <c r="A11944" i="23" a="1"/>
  <c r="A11940" i="23"/>
  <c r="A11940" i="23" a="1"/>
  <c r="A11935" i="23" a="1"/>
  <c r="A11935" i="23" s="1"/>
  <c r="A11914" i="23" a="1"/>
  <c r="A11914" i="23" s="1"/>
  <c r="A11876" i="23"/>
  <c r="A11876" i="23" a="1"/>
  <c r="A11821" i="23" a="1"/>
  <c r="A11821" i="23" s="1"/>
  <c r="A11816" i="23" a="1"/>
  <c r="A11816" i="23" s="1"/>
  <c r="A11812" i="23" a="1"/>
  <c r="A11812" i="23" s="1"/>
  <c r="A11806" i="23"/>
  <c r="A11806" i="23" a="1"/>
  <c r="A11804" i="23"/>
  <c r="A11804" i="23" a="1"/>
  <c r="A11786" i="23" a="1"/>
  <c r="A11786" i="23" s="1"/>
  <c r="A11782" i="23"/>
  <c r="A11782" i="23" a="1"/>
  <c r="A11773" i="23" a="1"/>
  <c r="A11773" i="23" s="1"/>
  <c r="A11772" i="23"/>
  <c r="A11772" i="23" a="1"/>
  <c r="A11758" i="23" a="1"/>
  <c r="A11758" i="23" s="1"/>
  <c r="A11753" i="23"/>
  <c r="A11753" i="23" a="1"/>
  <c r="A11751" i="23" a="1"/>
  <c r="A11751" i="23" s="1"/>
  <c r="A11748" i="23" a="1"/>
  <c r="A11748" i="23" s="1"/>
  <c r="A11743" i="23" a="1"/>
  <c r="A11743" i="23" s="1"/>
  <c r="A11740" i="23" a="1"/>
  <c r="A11740" i="23" s="1"/>
  <c r="A11713" i="23"/>
  <c r="A11713" i="23" a="1"/>
  <c r="A11693" i="23" a="1"/>
  <c r="A11693" i="23" s="1"/>
  <c r="A11688" i="23" a="1"/>
  <c r="A11688" i="23" s="1"/>
  <c r="A11684" i="23"/>
  <c r="A11684" i="23" a="1"/>
  <c r="A11678" i="23"/>
  <c r="A11678" i="23" a="1"/>
  <c r="A11666" i="23" a="1"/>
  <c r="A11666" i="23" s="1"/>
  <c r="A11658" i="23" a="1"/>
  <c r="A11658" i="23" s="1"/>
  <c r="A11625" i="23"/>
  <c r="A11625" i="23" a="1"/>
  <c r="A11608" i="23" a="1"/>
  <c r="A11608" i="23" s="1"/>
  <c r="A11565" i="23" a="1"/>
  <c r="A11565" i="23" s="1"/>
  <c r="A11559" i="23" a="1"/>
  <c r="A11559" i="23" s="1"/>
  <c r="A11556" i="23" a="1"/>
  <c r="A11556" i="23" s="1"/>
  <c r="A11550" i="23"/>
  <c r="A11550" i="23" a="1"/>
  <c r="A11548" i="23"/>
  <c r="A11548" i="23" a="1"/>
  <c r="A11532" i="23" a="1"/>
  <c r="A11532" i="23" s="1"/>
  <c r="A11530" i="23" a="1"/>
  <c r="A11530" i="23" s="1"/>
  <c r="A11497" i="23"/>
  <c r="A11497" i="23" a="1"/>
  <c r="A11495" i="23" a="1"/>
  <c r="A11495" i="23" s="1"/>
  <c r="A11492" i="23" a="1"/>
  <c r="A11492" i="23" s="1"/>
  <c r="A11487" i="23" a="1"/>
  <c r="A11487" i="23" s="1"/>
  <c r="A11486" i="23"/>
  <c r="A11486" i="23" a="1"/>
  <c r="A11482" i="23"/>
  <c r="A11482" i="23" a="1"/>
  <c r="A11480" i="23"/>
  <c r="A11480" i="23" a="1"/>
  <c r="A11437" i="23" a="1"/>
  <c r="A11437" i="23" s="1"/>
  <c r="A11432" i="23"/>
  <c r="A11432" i="23" a="1"/>
  <c r="A11428" i="23"/>
  <c r="A11428" i="23" a="1"/>
  <c r="A11422" i="23"/>
  <c r="A11422" i="23" a="1"/>
  <c r="A11420" i="23" a="1"/>
  <c r="A11420" i="23" s="1"/>
  <c r="A11402" i="23" a="1"/>
  <c r="A11402" i="23" s="1"/>
  <c r="A11369" i="23"/>
  <c r="A11369" i="23" a="1"/>
  <c r="A11367" i="23"/>
  <c r="A11367" i="23" a="1"/>
  <c r="A11364" i="23" a="1"/>
  <c r="A11364" i="23" s="1"/>
  <c r="A11359" i="23" a="1"/>
  <c r="A11359" i="23" s="1"/>
  <c r="A11358" i="23"/>
  <c r="A11358" i="23" a="1"/>
  <c r="A11354" i="23"/>
  <c r="A11354" i="23" a="1"/>
  <c r="A11352" i="23" a="1"/>
  <c r="A11352" i="23" s="1"/>
  <c r="A11341" i="23" a="1"/>
  <c r="A11341" i="23" s="1"/>
  <c r="A11309" i="23"/>
  <c r="A11309" i="23" a="1"/>
  <c r="A11304" i="23"/>
  <c r="A11304" i="23" a="1"/>
  <c r="A11300" i="23" a="1"/>
  <c r="A11300" i="23" s="1"/>
  <c r="A11294" i="23" a="1"/>
  <c r="A11294" i="23" s="1"/>
  <c r="A11292" i="23"/>
  <c r="A11292" i="23" a="1"/>
  <c r="A11274" i="23"/>
  <c r="A11274" i="23" a="1"/>
  <c r="A11263" i="23" a="1"/>
  <c r="A11263" i="23" s="1"/>
  <c r="A11258" i="23" a="1"/>
  <c r="A11258" i="23" s="1"/>
  <c r="A11246" i="23"/>
  <c r="A11246" i="23" a="1"/>
  <c r="A11244" i="23" a="1"/>
  <c r="A11244" i="23" s="1"/>
  <c r="A11241" i="23" a="1"/>
  <c r="A11241" i="23" s="1"/>
  <c r="A11239" i="23" a="1"/>
  <c r="A11239" i="23" s="1"/>
  <c r="A11236" i="23"/>
  <c r="A11236" i="23" a="1"/>
  <c r="A11193" i="23" a="1"/>
  <c r="A11193" i="23" s="1"/>
  <c r="A11181" i="23" a="1"/>
  <c r="A11181" i="23" s="1"/>
  <c r="A11175" i="23"/>
  <c r="A11175" i="23" a="1"/>
  <c r="A11172" i="23"/>
  <c r="A11172" i="23" a="1"/>
  <c r="A11166" i="23" a="1"/>
  <c r="A11166" i="23" s="1"/>
  <c r="A11164" i="23" a="1"/>
  <c r="A11164" i="23" s="1"/>
  <c r="A11146" i="23"/>
  <c r="A11146" i="23" a="1"/>
  <c r="A11135" i="23"/>
  <c r="A11135" i="23" a="1"/>
  <c r="A11130" i="23" a="1"/>
  <c r="A11130" i="23" s="1"/>
  <c r="A11118" i="23" a="1"/>
  <c r="A11118" i="23" s="1"/>
  <c r="A11116" i="23" a="1"/>
  <c r="A11116" i="23" s="1"/>
  <c r="A11113" i="23"/>
  <c r="A11113" i="23" a="1"/>
  <c r="A11111" i="23" a="1"/>
  <c r="A11111" i="23" s="1"/>
  <c r="A11108" i="23" a="1"/>
  <c r="A11108" i="23" s="1"/>
  <c r="A11065" i="23" a="1"/>
  <c r="A11065" i="23" s="1"/>
  <c r="A11053" i="23"/>
  <c r="A11053" i="23" a="1"/>
  <c r="A11047" i="23" a="1"/>
  <c r="A11047" i="23" s="1"/>
  <c r="A11045" i="23" a="1"/>
  <c r="A11045" i="23" s="1"/>
  <c r="A11044" i="23" a="1"/>
  <c r="A11044" i="23" s="1"/>
  <c r="A11038" i="23"/>
  <c r="A11038" i="23" a="1"/>
  <c r="A11036" i="23"/>
  <c r="A11036" i="23" a="1"/>
  <c r="A11020" i="23" a="1"/>
  <c r="A11020" i="23" s="1"/>
  <c r="A11018" i="23" a="1"/>
  <c r="A11018" i="23" s="1"/>
  <c r="A11007" i="23"/>
  <c r="A11007" i="23" a="1"/>
  <c r="A11002" i="23"/>
  <c r="A11002" i="23" a="1"/>
  <c r="A10990" i="23" a="1"/>
  <c r="A10990" i="23" s="1"/>
  <c r="A10988" i="23" a="1"/>
  <c r="A10988" i="23" s="1"/>
  <c r="A10985" i="23"/>
  <c r="A10985" i="23" a="1"/>
  <c r="A10983" i="23" a="1"/>
  <c r="A10983" i="23" s="1"/>
  <c r="A10980" i="23" a="1"/>
  <c r="A10980" i="23" s="1"/>
  <c r="A10970" i="23" a="1"/>
  <c r="A10970" i="23" s="1"/>
  <c r="A10968" i="23"/>
  <c r="A10968" i="23" a="1"/>
  <c r="A10937" i="23" a="1"/>
  <c r="A10937" i="23" s="1"/>
  <c r="A10925" i="23" a="1"/>
  <c r="A10925" i="23" s="1"/>
  <c r="A10919" i="23"/>
  <c r="A10919" i="23" a="1"/>
  <c r="A10917" i="23"/>
  <c r="A10917" i="23" a="1"/>
  <c r="A10916" i="23" a="1"/>
  <c r="A10916" i="23" s="1"/>
  <c r="A10910" i="23" a="1"/>
  <c r="A10910" i="23" s="1"/>
  <c r="A10908" i="23"/>
  <c r="A10908" i="23" a="1"/>
  <c r="A10892" i="23"/>
  <c r="A10892" i="23" a="1"/>
  <c r="A10890" i="23" a="1"/>
  <c r="A10890" i="23" s="1"/>
  <c r="A10879" i="23" a="1"/>
  <c r="A10879" i="23" s="1"/>
  <c r="A10862" i="23"/>
  <c r="A10862" i="23" a="1"/>
  <c r="A10860" i="23"/>
  <c r="A10860" i="23" a="1"/>
  <c r="A10857" i="23" a="1"/>
  <c r="A10857" i="23" s="1"/>
  <c r="A10855" i="23" a="1"/>
  <c r="A10855" i="23" s="1"/>
  <c r="A10852" i="23" a="1"/>
  <c r="A10852" i="23" s="1"/>
  <c r="A10809" i="23"/>
  <c r="A10809" i="23" a="1"/>
  <c r="A10797" i="23" a="1"/>
  <c r="A10797" i="23" s="1"/>
  <c r="A10791" i="23" a="1"/>
  <c r="A10791" i="23" s="1"/>
  <c r="A10789" i="23" a="1"/>
  <c r="A10789" i="23" s="1"/>
  <c r="A10788" i="23"/>
  <c r="A10788" i="23" a="1"/>
  <c r="A10782" i="23"/>
  <c r="A10782" i="23" a="1"/>
  <c r="A10780" i="23" a="1"/>
  <c r="A10780" i="23" s="1"/>
  <c r="A10762" i="23" a="1"/>
  <c r="A10762" i="23" s="1"/>
  <c r="A10751" i="23"/>
  <c r="A10751" i="23" a="1"/>
  <c r="A10732" i="23"/>
  <c r="A10732" i="23" a="1"/>
  <c r="A10729" i="23" a="1"/>
  <c r="A10729" i="23" s="1"/>
  <c r="A10727" i="23" a="1"/>
  <c r="A10727" i="23" s="1"/>
  <c r="A10724" i="23"/>
  <c r="A10724" i="23" a="1"/>
  <c r="A10714" i="23" a="1"/>
  <c r="A10714" i="23" s="1"/>
  <c r="A10712" i="23" a="1"/>
  <c r="A10712" i="23" s="1"/>
  <c r="A10681" i="23" a="1"/>
  <c r="A10681" i="23" s="1"/>
  <c r="A10669" i="23"/>
  <c r="A10669" i="23" a="1"/>
  <c r="A10663" i="23" a="1"/>
  <c r="A10663" i="23" s="1"/>
  <c r="A10660" i="23" a="1"/>
  <c r="A10660" i="23" s="1"/>
  <c r="A10654" i="23"/>
  <c r="A10654" i="23" a="1"/>
  <c r="A10652" i="23"/>
  <c r="A10652" i="23" a="1"/>
  <c r="A10634" i="23" a="1"/>
  <c r="A10634" i="23" s="1"/>
  <c r="A10623" i="23" a="1"/>
  <c r="A10623" i="23" s="1"/>
  <c r="A10618" i="23"/>
  <c r="A10618" i="23" a="1"/>
  <c r="A10601" i="23"/>
  <c r="A10601" i="23" a="1"/>
  <c r="A10599" i="23" a="1"/>
  <c r="A10599" i="23" s="1"/>
  <c r="A10596" i="23" a="1"/>
  <c r="A10596" i="23" s="1"/>
  <c r="A10587" i="23" a="1"/>
  <c r="A10587" i="23" s="1"/>
  <c r="A10584" i="23"/>
  <c r="A10584" i="23" a="1"/>
  <c r="A10553" i="23" a="1"/>
  <c r="A10553" i="23" s="1"/>
  <c r="A10541" i="23" a="1"/>
  <c r="A10541" i="23" s="1"/>
  <c r="A10534" i="23" a="1"/>
  <c r="A10534" i="23" s="1"/>
  <c r="A10532" i="23"/>
  <c r="A10532" i="23" a="1"/>
  <c r="A10526" i="23" a="1"/>
  <c r="A10526" i="23" s="1"/>
  <c r="A10506" i="23" a="1"/>
  <c r="A10506" i="23" s="1"/>
  <c r="A10468" i="23" a="1"/>
  <c r="A10468" i="23" s="1"/>
  <c r="A10425" i="23"/>
  <c r="A10425" i="23" a="1"/>
  <c r="A10413" i="23"/>
  <c r="A10413" i="23" a="1"/>
  <c r="A10410" i="23" a="1"/>
  <c r="A10410" i="23" s="1"/>
  <c r="A10408" i="23" a="1"/>
  <c r="A10408" i="23" s="1"/>
  <c r="A10404" i="23"/>
  <c r="A10404" i="23" a="1"/>
  <c r="A10398" i="23"/>
  <c r="A10398" i="23" a="1"/>
  <c r="A10396" i="23" a="1"/>
  <c r="A10396" i="23" s="1"/>
  <c r="A10378" i="23" a="1"/>
  <c r="A10378" i="23" s="1"/>
  <c r="A10366" i="23"/>
  <c r="A10366" i="23" a="1"/>
  <c r="A10360" i="23"/>
  <c r="A10360" i="23" a="1"/>
  <c r="A10345" i="23" a="1"/>
  <c r="A10345" i="23" s="1"/>
  <c r="A10343" i="23" a="1"/>
  <c r="A10343" i="23" s="1"/>
  <c r="A10340" i="23" a="1"/>
  <c r="A10340" i="23" s="1"/>
  <c r="A10332" i="23" a="1"/>
  <c r="A10332" i="23" s="1"/>
  <c r="A10295" i="23" a="1"/>
  <c r="A10295" i="23" s="1"/>
  <c r="A10284" i="23"/>
  <c r="A10284" i="23" a="1"/>
  <c r="A10282" i="23" a="1"/>
  <c r="A10282" i="23" s="1"/>
  <c r="A10280" i="23" a="1"/>
  <c r="A10280" i="23" s="1"/>
  <c r="A10276" i="23" a="1"/>
  <c r="A10276" i="23" s="1"/>
  <c r="A10270" i="23"/>
  <c r="A10270" i="23" a="1"/>
  <c r="A10264" i="23" a="1"/>
  <c r="A10264" i="23" s="1"/>
  <c r="A10250" i="23" a="1"/>
  <c r="A10250" i="23" s="1"/>
  <c r="A10239" i="23" a="1"/>
  <c r="A10239" i="23" s="1"/>
  <c r="A10229" i="23" a="1"/>
  <c r="A10229" i="23" s="1"/>
  <c r="A10217" i="23"/>
  <c r="A10217" i="23" a="1"/>
  <c r="A10215" i="23" a="1"/>
  <c r="A10215" i="23" s="1"/>
  <c r="A10212" i="23" a="1"/>
  <c r="A10212" i="23" s="1"/>
  <c r="A10197" i="23"/>
  <c r="A10197" i="23" a="1"/>
  <c r="A10186" i="23"/>
  <c r="A10186" i="23" a="1"/>
  <c r="A10179" i="23" a="1"/>
  <c r="A10179" i="23" s="1"/>
  <c r="A10167" i="23" a="1"/>
  <c r="A10167" i="23" s="1"/>
  <c r="A10157" i="23" a="1"/>
  <c r="A10157" i="23" s="1"/>
  <c r="A10152" i="23"/>
  <c r="A10152" i="23" a="1"/>
  <c r="A10148" i="23"/>
  <c r="A10148" i="23" a="1"/>
  <c r="A10142" i="23" a="1"/>
  <c r="A10142" i="23" s="1"/>
  <c r="A10136" i="23" a="1"/>
  <c r="A10136" i="23" s="1"/>
  <c r="A10121" i="23" a="1"/>
  <c r="A10121" i="23" s="1"/>
  <c r="A10111" i="23"/>
  <c r="A10111" i="23" a="1"/>
  <c r="A10101" i="23" a="1"/>
  <c r="A10101" i="23" s="1"/>
  <c r="A10089" i="23" a="1"/>
  <c r="A10089" i="23" s="1"/>
  <c r="A10087" i="23" a="1"/>
  <c r="A10087" i="23" s="1"/>
  <c r="A10084" i="23" a="1"/>
  <c r="A10084" i="23" s="1"/>
  <c r="A10069" i="23" a="1"/>
  <c r="A10069" i="23" s="1"/>
  <c r="A10039" i="23" a="1"/>
  <c r="A10039" i="23" s="1"/>
  <c r="A10029" i="23" a="1"/>
  <c r="A10029" i="23" s="1"/>
  <c r="A10024" i="23"/>
  <c r="A10024" i="23" a="1"/>
  <c r="A10020" i="23" a="1"/>
  <c r="A10020" i="23" s="1"/>
  <c r="A10014" i="23"/>
  <c r="A10014" i="23" a="1"/>
  <c r="A10008" i="23" a="1"/>
  <c r="A10008" i="23" s="1"/>
  <c r="A9993" i="23" a="1"/>
  <c r="A9993" i="23" s="1"/>
  <c r="A9983" i="23" a="1"/>
  <c r="A9983" i="23" s="1"/>
  <c r="A9973" i="23"/>
  <c r="A9973" i="23" a="1"/>
  <c r="A9961" i="23" a="1"/>
  <c r="A9961" i="23" s="1"/>
  <c r="A9959" i="23" a="1"/>
  <c r="A9959" i="23" s="1"/>
  <c r="A9947" i="23" a="1"/>
  <c r="A9947" i="23" s="1"/>
  <c r="A9944" i="23" a="1"/>
  <c r="A9944" i="23" s="1"/>
  <c r="A9941" i="23"/>
  <c r="A9941" i="23" a="1"/>
  <c r="A9923" i="23" a="1"/>
  <c r="A9923" i="23" s="1"/>
  <c r="A9911" i="23" a="1"/>
  <c r="A9911" i="23" s="1"/>
  <c r="A9901" i="23" a="1"/>
  <c r="A9901" i="23" s="1"/>
  <c r="A9896" i="23"/>
  <c r="A9896" i="23" a="1"/>
  <c r="A9892" i="23" a="1"/>
  <c r="A9892" i="23" s="1"/>
  <c r="A9886" i="23" a="1"/>
  <c r="A9886" i="23" s="1"/>
  <c r="A9880" i="23" a="1"/>
  <c r="A9880" i="23" s="1"/>
  <c r="A9865" i="23" a="1"/>
  <c r="A9865" i="23" s="1"/>
  <c r="A9855" i="23"/>
  <c r="A9855" i="23" a="1"/>
  <c r="A9845" i="23" a="1"/>
  <c r="A9845" i="23" s="1"/>
  <c r="A9833" i="23" a="1"/>
  <c r="A9833" i="23" s="1"/>
  <c r="A9831" i="23"/>
  <c r="A9831" i="23" a="1"/>
  <c r="A9819" i="23"/>
  <c r="A9819" i="23" a="1"/>
  <c r="A9816" i="23" a="1"/>
  <c r="A9816" i="23" s="1"/>
  <c r="A9813" i="23" a="1"/>
  <c r="A9813" i="23" s="1"/>
  <c r="A9795" i="23" a="1"/>
  <c r="A9795" i="23" s="1"/>
  <c r="A9783" i="23"/>
  <c r="A9783" i="23" a="1"/>
  <c r="A9772" i="23" a="1"/>
  <c r="A9772" i="23" s="1"/>
  <c r="A9768" i="23" a="1"/>
  <c r="A9768" i="23" s="1"/>
  <c r="A9764" i="23" a="1"/>
  <c r="A9764" i="23" s="1"/>
  <c r="A9758" i="23" a="1"/>
  <c r="A9758" i="23" s="1"/>
  <c r="A9752" i="23" a="1"/>
  <c r="A9752" i="23" s="1"/>
  <c r="A9737" i="23"/>
  <c r="A9737" i="23" a="1"/>
  <c r="A9721" i="23" a="1"/>
  <c r="A9721" i="23" s="1"/>
  <c r="A9711" i="23" a="1"/>
  <c r="A9711" i="23" s="1"/>
  <c r="A9703" i="23" a="1"/>
  <c r="A9703" i="23" s="1"/>
  <c r="A9691" i="23"/>
  <c r="A9691" i="23" a="1"/>
  <c r="A9688" i="23" a="1"/>
  <c r="A9688" i="23" s="1"/>
  <c r="A9645" i="23" a="1"/>
  <c r="A9645" i="23" s="1"/>
  <c r="A9639" i="23" a="1"/>
  <c r="A9639" i="23" s="1"/>
  <c r="A9635" i="23" a="1"/>
  <c r="A9635" i="23" s="1"/>
  <c r="A9630" i="23"/>
  <c r="A9630" i="23" a="1"/>
  <c r="A9610" i="23" a="1"/>
  <c r="A9610" i="23" s="1"/>
  <c r="A9598" i="23" a="1"/>
  <c r="A9598" i="23" s="1"/>
  <c r="A9577" i="23" a="1"/>
  <c r="A9577" i="23" s="1"/>
  <c r="A9575" i="23" a="1"/>
  <c r="A9575" i="23" s="1"/>
  <c r="A9572" i="23" a="1"/>
  <c r="A9572" i="23" s="1"/>
  <c r="A9517" i="23" a="1"/>
  <c r="A9517" i="23" s="1"/>
  <c r="A9512" i="23" a="1"/>
  <c r="A9512" i="23" s="1"/>
  <c r="A9508" i="23" a="1"/>
  <c r="A9508" i="23" s="1"/>
  <c r="A9502" i="23"/>
  <c r="A9502" i="23" a="1"/>
  <c r="A9482" i="23" a="1"/>
  <c r="A9482" i="23" s="1"/>
  <c r="A9479" i="23"/>
  <c r="A9479" i="23" a="1"/>
  <c r="A9449" i="23" a="1"/>
  <c r="A9449" i="23" s="1"/>
  <c r="A9447" i="23" a="1"/>
  <c r="A9447" i="23" s="1"/>
  <c r="A9444" i="23" a="1"/>
  <c r="A9444" i="23" s="1"/>
  <c r="A9389" i="23"/>
  <c r="A9389" i="23" a="1"/>
  <c r="A9384" i="23" a="1"/>
  <c r="A9384" i="23" s="1"/>
  <c r="A9380" i="23" a="1"/>
  <c r="A9380" i="23" s="1"/>
  <c r="A9374" i="23" a="1"/>
  <c r="A9374" i="23" s="1"/>
  <c r="A9372" i="23"/>
  <c r="A9372" i="23" a="1"/>
  <c r="A9354" i="23"/>
  <c r="A9354" i="23" a="1"/>
  <c r="A9348" i="23" a="1"/>
  <c r="A9348" i="23" s="1"/>
  <c r="A9319" i="23" a="1"/>
  <c r="A9319" i="23" s="1"/>
  <c r="A9316" i="23" a="1"/>
  <c r="A9316" i="23" s="1"/>
  <c r="A9304" i="23"/>
  <c r="A9304" i="23" a="1"/>
  <c r="A9261" i="23" a="1"/>
  <c r="A9261" i="23" s="1"/>
  <c r="A9256" i="23" a="1"/>
  <c r="A9256" i="23" s="1"/>
  <c r="A9252" i="23" a="1"/>
  <c r="A9252" i="23" s="1"/>
  <c r="A9246" i="23"/>
  <c r="A9246" i="23" a="1"/>
  <c r="A9244" i="23"/>
  <c r="A9244" i="23" a="1"/>
  <c r="A9226" i="23" a="1"/>
  <c r="A9226" i="23" s="1"/>
  <c r="A9191" i="23" a="1"/>
  <c r="A9191" i="23" s="1"/>
  <c r="A9188" i="23" a="1"/>
  <c r="A9188" i="23" s="1"/>
  <c r="A9176" i="23"/>
  <c r="A9176" i="23" a="1"/>
  <c r="A9133" i="23" a="1"/>
  <c r="A9133" i="23" s="1"/>
  <c r="A9128" i="23" a="1"/>
  <c r="A9128" i="23" s="1"/>
  <c r="A9124" i="23" a="1"/>
  <c r="A9124" i="23" s="1"/>
  <c r="A9118" i="23"/>
  <c r="A9118" i="23" a="1"/>
  <c r="A9116" i="23" a="1"/>
  <c r="A9116" i="23" s="1"/>
  <c r="A9063" i="23" a="1"/>
  <c r="A9063" i="23" s="1"/>
  <c r="A9060" i="23" a="1"/>
  <c r="A9060" i="23" s="1"/>
  <c r="A9048" i="23" a="1"/>
  <c r="A9048" i="23" s="1"/>
  <c r="A8937" i="23" a="1"/>
  <c r="A8937" i="23" s="1"/>
  <c r="A8935" i="23"/>
  <c r="A8935" i="23" a="1"/>
  <c r="A8932" i="23" a="1"/>
  <c r="A8932" i="23" s="1"/>
  <c r="A8920" i="23" a="1"/>
  <c r="A8920" i="23" s="1"/>
  <c r="A8809" i="23" a="1"/>
  <c r="A8809" i="23" s="1"/>
  <c r="A8807" i="23"/>
  <c r="A8807" i="23" a="1"/>
  <c r="A8804" i="23" a="1"/>
  <c r="A8804" i="23" s="1"/>
  <c r="A8792" i="23" a="1"/>
  <c r="A8792" i="23" s="1"/>
  <c r="A8749" i="23" a="1"/>
  <c r="A8749" i="23" s="1"/>
  <c r="A8744" i="23"/>
  <c r="A8744" i="23" a="1"/>
  <c r="A8740" i="23"/>
  <c r="A8740" i="23" a="1"/>
  <c r="A8734" i="23" a="1"/>
  <c r="A8734" i="23" s="1"/>
  <c r="A8681" i="23" a="1"/>
  <c r="A8681" i="23" s="1"/>
  <c r="A8679" i="23" a="1"/>
  <c r="A8679" i="23" s="1"/>
  <c r="A8676" i="23"/>
  <c r="A8676" i="23" a="1"/>
  <c r="A8664" i="23" a="1"/>
  <c r="A8664" i="23" s="1"/>
  <c r="A8621" i="23" a="1"/>
  <c r="A8621" i="23" s="1"/>
  <c r="A8616" i="23" a="1"/>
  <c r="A8616" i="23" s="1"/>
  <c r="A8612" i="23"/>
  <c r="A8612" i="23" a="1"/>
  <c r="A8606" i="23"/>
  <c r="A8606" i="23" a="1"/>
  <c r="A8604" i="23" a="1"/>
  <c r="A8604" i="23" s="1"/>
  <c r="A8553" i="23" a="1"/>
  <c r="A8553" i="23" s="1"/>
  <c r="A8551" i="23" a="1"/>
  <c r="A8551" i="23" s="1"/>
  <c r="A8548" i="23"/>
  <c r="A8548" i="23" a="1"/>
  <c r="A8536" i="23" a="1"/>
  <c r="A8536" i="23" s="1"/>
  <c r="A8493" i="23" a="1"/>
  <c r="A8493" i="23" s="1"/>
  <c r="A8488" i="23" a="1"/>
  <c r="A8488" i="23" s="1"/>
  <c r="A8484" i="23"/>
  <c r="A8484" i="23" a="1"/>
  <c r="A8478" i="23" a="1"/>
  <c r="A8478" i="23" s="1"/>
  <c r="A8476" i="23" a="1"/>
  <c r="A8476" i="23" s="1"/>
  <c r="A8425" i="23" a="1"/>
  <c r="A8425" i="23" s="1"/>
  <c r="A8423" i="23" a="1"/>
  <c r="A8423" i="23" s="1"/>
  <c r="A8420" i="23" a="1"/>
  <c r="A8420" i="23" s="1"/>
  <c r="A8365" i="23"/>
  <c r="A8365" i="23" a="1"/>
  <c r="A8360" i="23" a="1"/>
  <c r="A8360" i="23" s="1"/>
  <c r="A8356" i="23" a="1"/>
  <c r="A8356" i="23" s="1"/>
  <c r="A8350" i="23" a="1"/>
  <c r="A8350" i="23" s="1"/>
  <c r="A8348" i="23"/>
  <c r="A8348" i="23" a="1"/>
  <c r="A8297" i="23" a="1"/>
  <c r="A8297" i="23" s="1"/>
  <c r="A8295" i="23" a="1"/>
  <c r="A8295" i="23" s="1"/>
  <c r="A8292" i="23" a="1"/>
  <c r="A8292" i="23" s="1"/>
  <c r="A8280" i="23"/>
  <c r="A8280" i="23" a="1"/>
  <c r="A8237" i="23"/>
  <c r="A8237" i="23" a="1"/>
  <c r="A8232" i="23" a="1"/>
  <c r="A8232" i="23" s="1"/>
  <c r="A8228" i="23" a="1"/>
  <c r="A8228" i="23" s="1"/>
  <c r="A8222" i="23" a="1"/>
  <c r="A8222" i="23" s="1"/>
  <c r="A8220" i="23"/>
  <c r="A8220" i="23" a="1"/>
  <c r="A8202" i="23" a="1"/>
  <c r="A8202" i="23" s="1"/>
  <c r="A8169" i="23" a="1"/>
  <c r="A8169" i="23" s="1"/>
  <c r="A8167" i="23" a="1"/>
  <c r="A8167" i="23" s="1"/>
  <c r="A8164" i="23" a="1"/>
  <c r="A8164" i="23" s="1"/>
  <c r="A8109" i="23"/>
  <c r="A8109" i="23" a="1"/>
  <c r="A8104" i="23" a="1"/>
  <c r="A8104" i="23" s="1"/>
  <c r="A8100" i="23" a="1"/>
  <c r="A8100" i="23" s="1"/>
  <c r="A8095" i="23" a="1"/>
  <c r="A8095" i="23" s="1"/>
  <c r="A8041" i="23"/>
  <c r="A8041" i="23" a="1"/>
  <c r="A8039" i="23" a="1"/>
  <c r="A8039" i="23" s="1"/>
  <c r="A8036" i="23" a="1"/>
  <c r="A8036" i="23" s="1"/>
  <c r="A7981" i="23" a="1"/>
  <c r="A7981" i="23" s="1"/>
  <c r="A7976" i="23" a="1"/>
  <c r="A7976" i="23" s="1"/>
  <c r="A7972" i="23" a="1"/>
  <c r="A7972" i="23" s="1"/>
  <c r="A7966" i="23" a="1"/>
  <c r="A7966" i="23" s="1"/>
  <c r="A7964" i="23" a="1"/>
  <c r="A7964" i="23" s="1"/>
  <c r="A7946" i="23" a="1"/>
  <c r="A7946" i="23" s="1"/>
  <c r="A7853" i="23" a="1"/>
  <c r="A7853" i="23" s="1"/>
  <c r="A7848" i="23"/>
  <c r="A7848" i="23" a="1"/>
  <c r="A7844" i="23" a="1"/>
  <c r="A7844" i="23" s="1"/>
  <c r="A7838" i="23" a="1"/>
  <c r="A7838" i="23" s="1"/>
  <c r="A7836" i="23" a="1"/>
  <c r="A7836" i="23" s="1"/>
  <c r="A7818" i="23"/>
  <c r="A7818" i="23" a="1"/>
  <c r="A7785" i="23" a="1"/>
  <c r="A7785" i="23" s="1"/>
  <c r="A7783" i="23" a="1"/>
  <c r="A7783" i="23" s="1"/>
  <c r="A7780" i="23" a="1"/>
  <c r="A7780" i="23" s="1"/>
  <c r="A7725" i="23"/>
  <c r="A7725" i="23" a="1"/>
  <c r="A7720" i="23"/>
  <c r="A7720" i="23" a="1"/>
  <c r="A7716" i="23" a="1"/>
  <c r="A7716" i="23" s="1"/>
  <c r="A7710" i="23" a="1"/>
  <c r="A7710" i="23" s="1"/>
  <c r="A7708" i="23" a="1"/>
  <c r="A7708" i="23" s="1"/>
  <c r="A7690" i="23"/>
  <c r="A7690" i="23" a="1"/>
  <c r="A7657" i="23" a="1"/>
  <c r="A7657" i="23" s="1"/>
  <c r="A7655" i="23" a="1"/>
  <c r="A7655" i="23" s="1"/>
  <c r="A7652" i="23" a="1"/>
  <c r="A7652" i="23" s="1"/>
  <c r="A7597" i="23"/>
  <c r="A7597" i="23" a="1"/>
  <c r="A7592" i="23"/>
  <c r="A7592" i="23" a="1"/>
  <c r="A7588" i="23" a="1"/>
  <c r="A7588" i="23" s="1"/>
  <c r="A7582" i="23"/>
  <c r="A7582" i="23" a="1"/>
  <c r="A7580" i="23" a="1"/>
  <c r="A7580" i="23" s="1"/>
  <c r="A7562" i="23"/>
  <c r="A7562" i="23" a="1"/>
  <c r="A7529" i="23" a="1"/>
  <c r="A7529" i="23" s="1"/>
  <c r="A7527" i="23" a="1"/>
  <c r="A7527" i="23" s="1"/>
  <c r="A7524" i="23" a="1"/>
  <c r="A7524" i="23" s="1"/>
  <c r="A7469" i="23" a="1"/>
  <c r="A7469" i="23" s="1"/>
  <c r="A7464" i="23" a="1"/>
  <c r="A7464" i="23" s="1"/>
  <c r="A7460" i="23" a="1"/>
  <c r="A7460" i="23" s="1"/>
  <c r="A7454" i="23"/>
  <c r="A7454" i="23" a="1"/>
  <c r="A7452" i="23" a="1"/>
  <c r="A7452" i="23" s="1"/>
  <c r="A7401" i="23" a="1"/>
  <c r="A7401" i="23" s="1"/>
  <c r="A7399" i="23"/>
  <c r="A7399" i="23" a="1"/>
  <c r="A7396" i="23" a="1"/>
  <c r="A7396" i="23" s="1"/>
  <c r="A7341" i="23" a="1"/>
  <c r="A7341" i="23" s="1"/>
  <c r="A7336" i="23" a="1"/>
  <c r="A7336" i="23" s="1"/>
  <c r="A7332" i="23"/>
  <c r="A7332" i="23" a="1"/>
  <c r="A7326" i="23" a="1"/>
  <c r="A7326" i="23" s="1"/>
  <c r="A7324" i="23"/>
  <c r="A7324" i="23" a="1"/>
  <c r="A7273" i="23" a="1"/>
  <c r="A7273" i="23" s="1"/>
  <c r="A7271" i="23"/>
  <c r="A7271" i="23" a="1"/>
  <c r="A7268" i="23"/>
  <c r="A7268" i="23" a="1"/>
  <c r="A7213" i="23" a="1"/>
  <c r="A7213" i="23" s="1"/>
  <c r="A7208" i="23" a="1"/>
  <c r="A7208" i="23" s="1"/>
  <c r="A7204" i="23" a="1"/>
  <c r="A7204" i="23" s="1"/>
  <c r="A7198" i="23"/>
  <c r="A7198" i="23" a="1"/>
  <c r="A7196" i="23" a="1"/>
  <c r="A7196" i="23" s="1"/>
  <c r="A7145" i="23" a="1"/>
  <c r="A7145" i="23" s="1"/>
  <c r="A7143" i="23" a="1"/>
  <c r="A7143" i="23" s="1"/>
  <c r="A7140" i="23" a="1"/>
  <c r="A7140" i="23" s="1"/>
  <c r="A7085" i="23"/>
  <c r="A7085" i="23" a="1"/>
  <c r="A7080" i="23" a="1"/>
  <c r="A7080" i="23" s="1"/>
  <c r="A7076" i="23"/>
  <c r="A7076" i="23" a="1"/>
  <c r="A7070" i="23" a="1"/>
  <c r="A7070" i="23" s="1"/>
  <c r="A7068" i="23"/>
  <c r="A7068" i="23" a="1"/>
  <c r="A7050" i="23" a="1"/>
  <c r="A7050" i="23" s="1"/>
  <c r="A7017" i="23" a="1"/>
  <c r="A7017" i="23" s="1"/>
  <c r="A7015" i="23" a="1"/>
  <c r="A7015" i="23" s="1"/>
  <c r="A7012" i="23"/>
  <c r="A7012" i="23" a="1"/>
  <c r="A6957" i="23" a="1"/>
  <c r="A6957" i="23" s="1"/>
  <c r="A6952" i="23" a="1"/>
  <c r="A6952" i="23" s="1"/>
  <c r="A6948" i="23"/>
  <c r="A6948" i="23" a="1"/>
  <c r="A6942" i="23" a="1"/>
  <c r="A6942" i="23" s="1"/>
  <c r="A6940" i="23" a="1"/>
  <c r="A6940" i="23" s="1"/>
  <c r="A6922" i="23"/>
  <c r="A6922" i="23" a="1"/>
  <c r="A6889" i="23" a="1"/>
  <c r="A6889" i="23" s="1"/>
  <c r="A6887" i="23" a="1"/>
  <c r="A6887" i="23" s="1"/>
  <c r="A6884" i="23" a="1"/>
  <c r="A6884" i="23" s="1"/>
  <c r="A6880" i="23"/>
  <c r="A6880" i="23" a="1"/>
  <c r="A6875" i="23" a="1"/>
  <c r="A6875" i="23" s="1"/>
  <c r="A6872" i="23"/>
  <c r="A6872" i="23" a="1"/>
  <c r="A6829" i="23" a="1"/>
  <c r="A6829" i="23" s="1"/>
  <c r="A6824" i="23" a="1"/>
  <c r="A6824" i="23" s="1"/>
  <c r="A6820" i="23"/>
  <c r="A6820" i="23" a="1"/>
  <c r="A6814" i="23" a="1"/>
  <c r="A6814" i="23" s="1"/>
  <c r="A6794" i="23" a="1"/>
  <c r="A6794" i="23" s="1"/>
  <c r="A6761" i="23" a="1"/>
  <c r="A6761" i="23" s="1"/>
  <c r="A6759" i="23"/>
  <c r="A6759" i="23" a="1"/>
  <c r="A6756" i="23" a="1"/>
  <c r="A6756" i="23" s="1"/>
  <c r="A6701" i="23" a="1"/>
  <c r="A6701" i="23" s="1"/>
  <c r="A6696" i="23" a="1"/>
  <c r="A6696" i="23" s="1"/>
  <c r="A6692" i="23"/>
  <c r="A6692" i="23" a="1"/>
  <c r="A6686" i="23"/>
  <c r="A6686" i="23" a="1"/>
  <c r="A6684" i="23" a="1"/>
  <c r="A6684" i="23" s="1"/>
  <c r="A6666" i="23" a="1"/>
  <c r="A6666" i="23" s="1"/>
  <c r="A6633" i="23" a="1"/>
  <c r="A6633" i="23" s="1"/>
  <c r="A6631" i="23"/>
  <c r="A6631" i="23" a="1"/>
  <c r="A6628" i="23" a="1"/>
  <c r="A6628" i="23" s="1"/>
  <c r="A6573" i="23" a="1"/>
  <c r="A6573" i="23" s="1"/>
  <c r="A6568" i="23" a="1"/>
  <c r="A6568" i="23" s="1"/>
  <c r="A6564" i="23" a="1"/>
  <c r="A6564" i="23" s="1"/>
  <c r="A6558" i="23" a="1"/>
  <c r="A6558" i="23" s="1"/>
  <c r="A6556" i="23" a="1"/>
  <c r="A6556" i="23" s="1"/>
  <c r="A6538" i="23" a="1"/>
  <c r="A6538" i="23" s="1"/>
  <c r="A6505" i="23" a="1"/>
  <c r="A6505" i="23" s="1"/>
  <c r="A6503" i="23" a="1"/>
  <c r="A6503" i="23" s="1"/>
  <c r="A6500" i="23"/>
  <c r="A6500" i="23" a="1"/>
  <c r="A6445" i="23" a="1"/>
  <c r="A6445" i="23" s="1"/>
  <c r="A6440" i="23" a="1"/>
  <c r="A6440" i="23" s="1"/>
  <c r="A6436" i="23" a="1"/>
  <c r="A6436" i="23" s="1"/>
  <c r="A6430" i="23"/>
  <c r="A6430" i="23" a="1"/>
  <c r="A6428" i="23" a="1"/>
  <c r="A6428" i="23" s="1"/>
  <c r="A6377" i="23"/>
  <c r="A6377" i="23" a="1"/>
  <c r="A6375" i="23" a="1"/>
  <c r="A6375" i="23" s="1"/>
  <c r="A6372" i="23" a="1"/>
  <c r="A6372" i="23" s="1"/>
  <c r="A6317" i="23"/>
  <c r="A6317" i="23" a="1"/>
  <c r="A6312" i="23" a="1"/>
  <c r="A6312" i="23" s="1"/>
  <c r="A6308" i="23" a="1"/>
  <c r="A6308" i="23" s="1"/>
  <c r="A6302" i="23" a="1"/>
  <c r="A6302" i="23" s="1"/>
  <c r="A6282" i="23"/>
  <c r="A6282" i="23" a="1"/>
  <c r="A6249" i="23" a="1"/>
  <c r="A6249" i="23" s="1"/>
  <c r="A6247" i="23" a="1"/>
  <c r="A6247" i="23" s="1"/>
  <c r="A6244" i="23" a="1"/>
  <c r="A6244" i="23" s="1"/>
  <c r="A6189" i="23" a="1"/>
  <c r="A6189" i="23" s="1"/>
  <c r="A6184" i="23"/>
  <c r="A6184" i="23" a="1"/>
  <c r="A6180" i="23" a="1"/>
  <c r="A6180" i="23" s="1"/>
  <c r="A6174" i="23"/>
  <c r="A6174" i="23" a="1"/>
  <c r="A6172" i="23" a="1"/>
  <c r="A6172" i="23" s="1"/>
  <c r="A6154" i="23"/>
  <c r="A6154" i="23" a="1"/>
  <c r="A6121" i="23" a="1"/>
  <c r="A6121" i="23" s="1"/>
  <c r="A6119" i="23" a="1"/>
  <c r="A6119" i="23" s="1"/>
  <c r="A6116" i="23" a="1"/>
  <c r="A6116" i="23" s="1"/>
  <c r="A6061" i="23"/>
  <c r="A6061" i="23" a="1"/>
  <c r="A6056" i="23" a="1"/>
  <c r="A6056" i="23" s="1"/>
  <c r="A6052" i="23" a="1"/>
  <c r="A6052" i="23" s="1"/>
  <c r="A6046" i="23"/>
  <c r="A6046" i="23" a="1"/>
  <c r="A6044" i="23" a="1"/>
  <c r="A6044" i="23" s="1"/>
  <c r="A6026" i="23" a="1"/>
  <c r="A6026" i="23" s="1"/>
  <c r="A5991" i="23"/>
  <c r="A5991" i="23" a="1"/>
  <c r="A5988" i="23" a="1"/>
  <c r="A5988" i="23" s="1"/>
  <c r="A5983" i="23" a="1"/>
  <c r="A5983" i="23" s="1"/>
  <c r="A5976" i="23" a="1"/>
  <c r="A5976" i="23" s="1"/>
  <c r="A5933" i="23"/>
  <c r="A5933" i="23" a="1"/>
  <c r="A5863" i="23" a="1"/>
  <c r="A5863" i="23" s="1"/>
  <c r="A5860" i="23" a="1"/>
  <c r="A5860" i="23" s="1"/>
  <c r="A5855" i="23" a="1"/>
  <c r="A5855" i="23" s="1"/>
  <c r="A5848" i="23"/>
  <c r="A5848" i="23" a="1"/>
  <c r="A5805" i="23"/>
  <c r="A5805" i="23" a="1"/>
  <c r="A5737" i="23" a="1"/>
  <c r="A5737" i="23" s="1"/>
  <c r="A5735" i="23" a="1"/>
  <c r="A5735" i="23" s="1"/>
  <c r="A5732" i="23" a="1"/>
  <c r="A5732" i="23" s="1"/>
  <c r="A5677" i="23"/>
  <c r="A5677" i="23" a="1"/>
  <c r="A5672" i="23" a="1"/>
  <c r="A5672" i="23" s="1"/>
  <c r="A5668" i="23" a="1"/>
  <c r="A5668" i="23" s="1"/>
  <c r="A5662" i="23" a="1"/>
  <c r="A5662" i="23" s="1"/>
  <c r="A5660" i="23" a="1"/>
  <c r="A5660" i="23" s="1"/>
  <c r="A5642" i="23"/>
  <c r="A5642" i="23" a="1"/>
  <c r="A5609" i="23" a="1"/>
  <c r="A5609" i="23" s="1"/>
  <c r="A5607" i="23"/>
  <c r="A5607" i="23" a="1"/>
  <c r="A5604" i="23" a="1"/>
  <c r="A5604" i="23" s="1"/>
  <c r="A5549" i="23"/>
  <c r="A5549" i="23" a="1"/>
  <c r="A5544" i="23" a="1"/>
  <c r="A5544" i="23" s="1"/>
  <c r="A5540" i="23" a="1"/>
  <c r="A5540" i="23" s="1"/>
  <c r="A5534" i="23" a="1"/>
  <c r="A5534" i="23" s="1"/>
  <c r="A5532" i="23" a="1"/>
  <c r="A5532" i="23" s="1"/>
  <c r="A5514" i="23" a="1"/>
  <c r="A5514" i="23" s="1"/>
  <c r="A5481" i="23" a="1"/>
  <c r="A5481" i="23" s="1"/>
  <c r="A5479" i="23"/>
  <c r="A5479" i="23" a="1"/>
  <c r="A5476" i="23" a="1"/>
  <c r="A5476" i="23" s="1"/>
  <c r="A5421" i="23" a="1"/>
  <c r="A5421" i="23" s="1"/>
  <c r="A5416" i="23"/>
  <c r="A5416" i="23" a="1"/>
  <c r="A5412" i="23" a="1"/>
  <c r="A5412" i="23" s="1"/>
  <c r="A5406" i="23" a="1"/>
  <c r="A5406" i="23" s="1"/>
  <c r="A5404" i="23" a="1"/>
  <c r="A5404" i="23" s="1"/>
  <c r="A5386" i="23"/>
  <c r="A5386" i="23" a="1"/>
  <c r="A5353" i="23" a="1"/>
  <c r="A5353" i="23" s="1"/>
  <c r="A5351" i="23"/>
  <c r="A5351" i="23" a="1"/>
  <c r="A5348" i="23" a="1"/>
  <c r="A5348" i="23" s="1"/>
  <c r="A5343" i="23" a="1"/>
  <c r="A5343" i="23" s="1"/>
  <c r="A5336" i="23"/>
  <c r="A5336" i="23" a="1"/>
  <c r="A5293" i="23" a="1"/>
  <c r="A5293" i="23" s="1"/>
  <c r="A5288" i="23" a="1"/>
  <c r="A5288" i="23" s="1"/>
  <c r="A5284" i="23" a="1"/>
  <c r="A5284" i="23" s="1"/>
  <c r="A5278" i="23"/>
  <c r="A5278" i="23" a="1"/>
  <c r="A5276" i="23" a="1"/>
  <c r="A5276" i="23" s="1"/>
  <c r="A5258" i="23" a="1"/>
  <c r="A5258" i="23" s="1"/>
  <c r="A5247" i="23" a="1"/>
  <c r="A5247" i="23" s="1"/>
  <c r="A5225" i="23"/>
  <c r="A5225" i="23" a="1"/>
  <c r="A5223" i="23"/>
  <c r="A5223" i="23" a="1"/>
  <c r="A5220" i="23" a="1"/>
  <c r="A5220" i="23" s="1"/>
  <c r="A5211" i="23"/>
  <c r="A5211" i="23" a="1"/>
  <c r="A5207" i="23" a="1"/>
  <c r="A5207" i="23" s="1"/>
  <c r="A5165" i="23"/>
  <c r="A5165" i="23" a="1"/>
  <c r="A5160" i="23" a="1"/>
  <c r="A5160" i="23" s="1"/>
  <c r="A5153" i="23" a="1"/>
  <c r="A5153" i="23" s="1"/>
  <c r="A5150" i="23" a="1"/>
  <c r="A5150" i="23" s="1"/>
  <c r="A5148" i="23" a="1"/>
  <c r="A5148" i="23" s="1"/>
  <c r="A5130" i="23" a="1"/>
  <c r="A5130" i="23" s="1"/>
  <c r="A5097" i="23" a="1"/>
  <c r="A5097" i="23" s="1"/>
  <c r="A5095" i="23"/>
  <c r="A5095" i="23" a="1"/>
  <c r="A5092" i="23" a="1"/>
  <c r="A5092" i="23" s="1"/>
  <c r="A5049" i="23" a="1"/>
  <c r="A5049" i="23" s="1"/>
  <c r="A5037" i="23"/>
  <c r="A5037" i="23" a="1"/>
  <c r="A5032" i="23" a="1"/>
  <c r="A5032" i="23" s="1"/>
  <c r="A5028" i="23" a="1"/>
  <c r="A5028" i="23" s="1"/>
  <c r="A5022" i="23" a="1"/>
  <c r="A5022" i="23" s="1"/>
  <c r="A5020" i="23"/>
  <c r="A5020" i="23" a="1"/>
  <c r="A5012" i="23" a="1"/>
  <c r="A5012" i="23" s="1"/>
  <c r="A5002" i="23"/>
  <c r="A5002" i="23" a="1"/>
  <c r="A4969" i="23" a="1"/>
  <c r="A4969" i="23" s="1"/>
  <c r="A4967" i="23"/>
  <c r="A4967" i="23" a="1"/>
  <c r="A4964" i="23"/>
  <c r="A4964" i="23" a="1"/>
  <c r="A4928" i="23" a="1"/>
  <c r="A4928" i="23" s="1"/>
  <c r="A4921" i="23" a="1"/>
  <c r="A4921" i="23" s="1"/>
  <c r="A4919" i="23" a="1"/>
  <c r="A4919" i="23" s="1"/>
  <c r="A4909" i="23"/>
  <c r="A4909" i="23" a="1"/>
  <c r="A4904" i="23" a="1"/>
  <c r="A4904" i="23" s="1"/>
  <c r="A4894" i="23" a="1"/>
  <c r="A4894" i="23" s="1"/>
  <c r="A4892" i="23" a="1"/>
  <c r="A4892" i="23" s="1"/>
  <c r="A4874" i="23" a="1"/>
  <c r="A4874" i="23" s="1"/>
  <c r="A4841" i="23"/>
  <c r="A4841" i="23" a="1"/>
  <c r="A4839" i="23" a="1"/>
  <c r="A4839" i="23" s="1"/>
  <c r="A4836" i="23" a="1"/>
  <c r="A4836" i="23" s="1"/>
  <c r="A4793" i="23" a="1"/>
  <c r="A4793" i="23" s="1"/>
  <c r="A4791" i="23"/>
  <c r="A4791" i="23" a="1"/>
  <c r="A4781" i="23" a="1"/>
  <c r="A4781" i="23" s="1"/>
  <c r="A4776" i="23" a="1"/>
  <c r="A4776" i="23" s="1"/>
  <c r="A4766" i="23" a="1"/>
  <c r="A4766" i="23" s="1"/>
  <c r="A4764" i="23"/>
  <c r="A4764" i="23" a="1"/>
  <c r="A4758" i="23" a="1"/>
  <c r="A4758" i="23" s="1"/>
  <c r="A4756" i="23" a="1"/>
  <c r="A4756" i="23" s="1"/>
  <c r="A4746" i="23" a="1"/>
  <c r="A4746" i="23" s="1"/>
  <c r="A4713" i="23" a="1"/>
  <c r="A4713" i="23" s="1"/>
  <c r="A4711" i="23" a="1"/>
  <c r="A4711" i="23" s="1"/>
  <c r="A4708" i="23"/>
  <c r="A4708" i="23" a="1"/>
  <c r="A4665" i="23" a="1"/>
  <c r="A4665" i="23" s="1"/>
  <c r="A4663" i="23" a="1"/>
  <c r="A4663" i="23" s="1"/>
  <c r="A4653" i="23" a="1"/>
  <c r="A4653" i="23" s="1"/>
  <c r="A4648" i="23"/>
  <c r="A4648" i="23" a="1"/>
  <c r="A4638" i="23" a="1"/>
  <c r="A4638" i="23" s="1"/>
  <c r="A4636" i="23" a="1"/>
  <c r="A4636" i="23" s="1"/>
  <c r="A4628" i="23" a="1"/>
  <c r="A4628" i="23" s="1"/>
  <c r="A4618" i="23" a="1"/>
  <c r="A4618" i="23" s="1"/>
  <c r="A4585" i="23"/>
  <c r="A4585" i="23" a="1"/>
  <c r="A4583" i="23" a="1"/>
  <c r="A4583" i="23" s="1"/>
  <c r="A4580" i="23" a="1"/>
  <c r="A4580" i="23" s="1"/>
  <c r="A4544" i="23" a="1"/>
  <c r="A4544" i="23" s="1"/>
  <c r="A4537" i="23"/>
  <c r="A4537" i="23" a="1"/>
  <c r="A4535" i="23" a="1"/>
  <c r="A4535" i="23" s="1"/>
  <c r="A4525" i="23" a="1"/>
  <c r="A4525" i="23" s="1"/>
  <c r="A4520" i="23" a="1"/>
  <c r="A4520" i="23" s="1"/>
  <c r="A4510" i="23" a="1"/>
  <c r="A4510" i="23" s="1"/>
  <c r="A4508" i="23"/>
  <c r="A4508" i="23" a="1"/>
  <c r="A4500" i="23" a="1"/>
  <c r="A4500" i="23" s="1"/>
  <c r="A4490" i="23"/>
  <c r="A4490" i="23" a="1"/>
  <c r="A4457" i="23" a="1"/>
  <c r="A4457" i="23" s="1"/>
  <c r="A4455" i="23"/>
  <c r="A4455" i="23" a="1"/>
  <c r="A4452" i="23" a="1"/>
  <c r="A4452" i="23" s="1"/>
  <c r="A4447" i="23" a="1"/>
  <c r="A4447" i="23" s="1"/>
  <c r="A4443" i="23" a="1"/>
  <c r="A4443" i="23" s="1"/>
  <c r="A4440" i="23" a="1"/>
  <c r="A4440" i="23" s="1"/>
  <c r="A4409" i="23" a="1"/>
  <c r="A4409" i="23" s="1"/>
  <c r="A4407" i="23" a="1"/>
  <c r="A4407" i="23" s="1"/>
  <c r="A4397" i="23"/>
  <c r="A4397" i="23" a="1"/>
  <c r="A4392" i="23" a="1"/>
  <c r="A4392" i="23" s="1"/>
  <c r="A4382" i="23" a="1"/>
  <c r="A4382" i="23" s="1"/>
  <c r="A4380" i="23"/>
  <c r="A4380" i="23" a="1"/>
  <c r="A4374" i="23" a="1"/>
  <c r="A4374" i="23" s="1"/>
  <c r="A4362" i="23" a="1"/>
  <c r="A4362" i="23" s="1"/>
  <c r="A4329" i="23" a="1"/>
  <c r="A4329" i="23" s="1"/>
  <c r="A4327" i="23"/>
  <c r="A4327" i="23" a="1"/>
  <c r="A4324" i="23" a="1"/>
  <c r="A4324" i="23" s="1"/>
  <c r="A4281" i="23" a="1"/>
  <c r="A4281" i="23" s="1"/>
  <c r="A4279" i="23" a="1"/>
  <c r="A4279" i="23" s="1"/>
  <c r="A4269" i="23" a="1"/>
  <c r="A4269" i="23" s="1"/>
  <c r="A4264" i="23"/>
  <c r="A4264" i="23" a="1"/>
  <c r="A4254" i="23" a="1"/>
  <c r="A4254" i="23" s="1"/>
  <c r="A4252" i="23" a="1"/>
  <c r="A4252" i="23" s="1"/>
  <c r="A4246" i="23" a="1"/>
  <c r="A4246" i="23" s="1"/>
  <c r="A4244" i="23"/>
  <c r="A4244" i="23" a="1"/>
  <c r="A4201" i="23" a="1"/>
  <c r="A4201" i="23" s="1"/>
  <c r="A4199" i="23" a="1"/>
  <c r="A4199" i="23" s="1"/>
  <c r="A4196" i="23" a="1"/>
  <c r="A4196" i="23" s="1"/>
  <c r="A4153" i="23"/>
  <c r="A4153" i="23" a="1"/>
  <c r="A4151" i="23"/>
  <c r="A4151" i="23" a="1"/>
  <c r="A4141" i="23" a="1"/>
  <c r="A4141" i="23" s="1"/>
  <c r="A4136" i="23" a="1"/>
  <c r="A4136" i="23" s="1"/>
  <c r="A4126" i="23" a="1"/>
  <c r="A4126" i="23" s="1"/>
  <c r="A4124" i="23"/>
  <c r="A4124" i="23" a="1"/>
  <c r="A4118" i="23" a="1"/>
  <c r="A4118" i="23" s="1"/>
  <c r="A4116" i="23" a="1"/>
  <c r="A4116" i="23" s="1"/>
  <c r="A4106" i="23" a="1"/>
  <c r="A4106" i="23" s="1"/>
  <c r="A4073" i="23" a="1"/>
  <c r="A4073" i="23" s="1"/>
  <c r="A4071" i="23" a="1"/>
  <c r="A4071" i="23" s="1"/>
  <c r="A4068" i="23" a="1"/>
  <c r="A4068" i="23" s="1"/>
  <c r="A4033" i="23" a="1"/>
  <c r="A4033" i="23" s="1"/>
  <c r="A4025" i="23" a="1"/>
  <c r="A4025" i="23" s="1"/>
  <c r="A4023" i="23" a="1"/>
  <c r="A4023" i="23" s="1"/>
  <c r="A4013" i="23"/>
  <c r="A4013" i="23" a="1"/>
  <c r="A4008" i="23" a="1"/>
  <c r="A4008" i="23" s="1"/>
  <c r="A4004" i="23" a="1"/>
  <c r="A4004" i="23" s="1"/>
  <c r="A3998" i="23" a="1"/>
  <c r="A3998" i="23" s="1"/>
  <c r="A3996" i="23"/>
  <c r="A3996" i="23" a="1"/>
  <c r="A3988" i="23" a="1"/>
  <c r="A3988" i="23" s="1"/>
  <c r="A3978" i="23" a="1"/>
  <c r="A3978" i="23" s="1"/>
  <c r="A3945" i="23" a="1"/>
  <c r="A3945" i="23" s="1"/>
  <c r="A3943" i="23" a="1"/>
  <c r="A3943" i="23" s="1"/>
  <c r="A3940" i="23"/>
  <c r="A3940" i="23" a="1"/>
  <c r="A3938" i="23" a="1"/>
  <c r="A3938" i="23" s="1"/>
  <c r="A3931" i="23" a="1"/>
  <c r="A3931" i="23" s="1"/>
  <c r="A3928" i="23" a="1"/>
  <c r="A3928" i="23" s="1"/>
  <c r="A3897" i="23"/>
  <c r="A3897" i="23" a="1"/>
  <c r="A3895" i="23" a="1"/>
  <c r="A3895" i="23" s="1"/>
  <c r="A3885" i="23" a="1"/>
  <c r="A3885" i="23" s="1"/>
  <c r="A3880" i="23"/>
  <c r="A3880" i="23" a="1"/>
  <c r="A3870" i="23" a="1"/>
  <c r="A3870" i="23" s="1"/>
  <c r="A3868" i="23"/>
  <c r="A3868" i="23" a="1"/>
  <c r="A3862" i="23" a="1"/>
  <c r="A3862" i="23" s="1"/>
  <c r="A3860" i="23" a="1"/>
  <c r="A3860" i="23" s="1"/>
  <c r="A3850" i="23" a="1"/>
  <c r="A3850" i="23" s="1"/>
  <c r="A3836" i="23"/>
  <c r="A3836" i="23" a="1"/>
  <c r="A3817" i="23" a="1"/>
  <c r="A3817" i="23" s="1"/>
  <c r="A3815" i="23" a="1"/>
  <c r="A3815" i="23" s="1"/>
  <c r="A3812" i="23" a="1"/>
  <c r="A3812" i="23" s="1"/>
  <c r="A3811" i="23"/>
  <c r="A3811" i="23" a="1"/>
  <c r="A3804" i="23" a="1"/>
  <c r="A3804" i="23" s="1"/>
  <c r="A3797" i="23" a="1"/>
  <c r="A3797" i="23" s="1"/>
  <c r="A3756" i="23" a="1"/>
  <c r="A3756" i="23" s="1"/>
  <c r="A3754" i="23" a="1"/>
  <c r="A3754" i="23" s="1"/>
  <c r="A3752" i="23" a="1"/>
  <c r="A3752" i="23" s="1"/>
  <c r="A3748" i="23"/>
  <c r="A3748" i="23" a="1"/>
  <c r="A3742" i="23" a="1"/>
  <c r="A3742" i="23" s="1"/>
  <c r="A3740" i="23" a="1"/>
  <c r="A3740" i="23" s="1"/>
  <c r="A3722" i="23" a="1"/>
  <c r="A3722" i="23" s="1"/>
  <c r="A3710" i="23"/>
  <c r="A3710" i="23" a="1"/>
  <c r="A3689" i="23" a="1"/>
  <c r="A3689" i="23" s="1"/>
  <c r="A3683" i="23"/>
  <c r="A3683" i="23" a="1"/>
  <c r="A3671" i="23" a="1"/>
  <c r="A3671" i="23" s="1"/>
  <c r="A3669" i="23"/>
  <c r="A3669" i="23" a="1"/>
  <c r="A3629" i="23"/>
  <c r="A3629" i="23" a="1"/>
  <c r="A3624" i="23" a="1"/>
  <c r="A3624" i="23" s="1"/>
  <c r="A3620" i="23" a="1"/>
  <c r="A3620" i="23" s="1"/>
  <c r="A3617" i="23" a="1"/>
  <c r="A3617" i="23" s="1"/>
  <c r="A3614" i="23"/>
  <c r="A3614" i="23" a="1"/>
  <c r="A3612" i="23" a="1"/>
  <c r="A3612" i="23" s="1"/>
  <c r="A3594" i="23" a="1"/>
  <c r="A3594" i="23" s="1"/>
  <c r="A3582" i="23" a="1"/>
  <c r="A3582" i="23" s="1"/>
  <c r="A3561" i="23" a="1"/>
  <c r="A3561" i="23" s="1"/>
  <c r="A3555" i="23"/>
  <c r="A3555" i="23" a="1"/>
  <c r="A3543" i="23" a="1"/>
  <c r="A3543" i="23" s="1"/>
  <c r="A3541" i="23"/>
  <c r="A3541" i="23" a="1"/>
  <c r="A3501" i="23" a="1"/>
  <c r="A3501" i="23" s="1"/>
  <c r="A3496" i="23"/>
  <c r="A3496" i="23" a="1"/>
  <c r="A3492" i="23" a="1"/>
  <c r="A3492" i="23" s="1"/>
  <c r="A3489" i="23" a="1"/>
  <c r="A3489" i="23" s="1"/>
  <c r="A3486" i="23" a="1"/>
  <c r="A3486" i="23" s="1"/>
  <c r="A3484" i="23"/>
  <c r="A3484" i="23" a="1"/>
  <c r="A3466" i="23" a="1"/>
  <c r="A3466" i="23" s="1"/>
  <c r="A3455" i="23" a="1"/>
  <c r="A3455" i="23" s="1"/>
  <c r="A3433" i="23" a="1"/>
  <c r="A3433" i="23" s="1"/>
  <c r="A3431" i="23" a="1"/>
  <c r="A3431" i="23" s="1"/>
  <c r="A3428" i="23" a="1"/>
  <c r="A3428" i="23" s="1"/>
  <c r="A3383" i="23"/>
  <c r="A3383" i="23" a="1"/>
  <c r="A3373" i="23" a="1"/>
  <c r="A3373" i="23" s="1"/>
  <c r="A3368" i="23" a="1"/>
  <c r="A3368" i="23" s="1"/>
  <c r="A3364" i="23" a="1"/>
  <c r="A3364" i="23" s="1"/>
  <c r="A3361" i="23"/>
  <c r="A3361" i="23" a="1"/>
  <c r="A3358" i="23" a="1"/>
  <c r="A3358" i="23" s="1"/>
  <c r="A3356" i="23"/>
  <c r="A3356" i="23" a="1"/>
  <c r="A3348" i="23" a="1"/>
  <c r="A3348" i="23" s="1"/>
  <c r="A3338" i="23" a="1"/>
  <c r="A3338" i="23" s="1"/>
  <c r="A3305" i="23"/>
  <c r="A3305" i="23" a="1"/>
  <c r="A3303" i="23" a="1"/>
  <c r="A3303" i="23" s="1"/>
  <c r="A3300" i="23" a="1"/>
  <c r="A3300" i="23" s="1"/>
  <c r="A3287" i="23" a="1"/>
  <c r="A3287" i="23" s="1"/>
  <c r="A3285" i="23"/>
  <c r="A3285" i="23" a="1"/>
  <c r="A3245" i="23" a="1"/>
  <c r="A3245" i="23" s="1"/>
  <c r="A3240" i="23" a="1"/>
  <c r="A3240" i="23" s="1"/>
  <c r="A3236" i="23" a="1"/>
  <c r="A3236" i="23" s="1"/>
  <c r="A3230" i="23"/>
  <c r="A3230" i="23" a="1"/>
  <c r="A3228" i="23"/>
  <c r="A3228" i="23" a="1"/>
  <c r="A3210" i="23" a="1"/>
  <c r="A3210" i="23" s="1"/>
  <c r="A3198" i="23"/>
  <c r="A3198" i="23" a="1"/>
  <c r="A3182" i="23" a="1"/>
  <c r="A3182" i="23" s="1"/>
  <c r="A3177" i="23"/>
  <c r="A3177" i="23" a="1"/>
  <c r="A3175" i="23" a="1"/>
  <c r="A3175" i="23" s="1"/>
  <c r="A3172" i="23" a="1"/>
  <c r="A3172" i="23" s="1"/>
  <c r="A3163" i="23" a="1"/>
  <c r="A3163" i="23" s="1"/>
  <c r="A3156" i="23" a="1"/>
  <c r="A3156" i="23" s="1"/>
  <c r="A3117" i="23" a="1"/>
  <c r="A3117" i="23" s="1"/>
  <c r="A3112" i="23" a="1"/>
  <c r="A3112" i="23" s="1"/>
  <c r="A3108" i="23" a="1"/>
  <c r="A3108" i="23" s="1"/>
  <c r="A3102" i="23" a="1"/>
  <c r="A3102" i="23" s="1"/>
  <c r="A3082" i="23" a="1"/>
  <c r="A3082" i="23" s="1"/>
  <c r="A3071" i="23"/>
  <c r="A3071" i="23" a="1"/>
  <c r="A3069" i="23" a="1"/>
  <c r="A3069" i="23" s="1"/>
  <c r="A3049" i="23" a="1"/>
  <c r="A3049" i="23" s="1"/>
  <c r="A3047" i="23" a="1"/>
  <c r="A3047" i="23" s="1"/>
  <c r="A3044" i="23"/>
  <c r="A3044" i="23" a="1"/>
  <c r="A3031" i="23" a="1"/>
  <c r="A3031" i="23" s="1"/>
  <c r="A2989" i="23" a="1"/>
  <c r="A2989" i="23" s="1"/>
  <c r="A2986" i="23" a="1"/>
  <c r="A2986" i="23" s="1"/>
  <c r="A2984" i="23" a="1"/>
  <c r="A2984" i="23" s="1"/>
  <c r="A2980" i="23"/>
  <c r="A2980" i="23" a="1"/>
  <c r="A2977" i="23" a="1"/>
  <c r="A2977" i="23" s="1"/>
  <c r="A2974" i="23" a="1"/>
  <c r="A2974" i="23" s="1"/>
  <c r="A2954" i="23" a="1"/>
  <c r="A2954" i="23" s="1"/>
  <c r="A2948" i="23"/>
  <c r="A2948" i="23" a="1"/>
  <c r="A2861" i="23" a="1"/>
  <c r="A2861" i="23" s="1"/>
  <c r="A2856" i="23" a="1"/>
  <c r="A2856" i="23" s="1"/>
  <c r="A2852" i="23" a="1"/>
  <c r="A2852" i="23" s="1"/>
  <c r="A2846" i="23" a="1"/>
  <c r="A2846" i="23" s="1"/>
  <c r="A2844" i="23"/>
  <c r="A2844" i="23" a="1"/>
  <c r="A2826" i="23" a="1"/>
  <c r="A2826" i="23" s="1"/>
  <c r="A2815" i="23"/>
  <c r="A2815" i="23" a="1"/>
  <c r="A2798" i="23" a="1"/>
  <c r="A2798" i="23" s="1"/>
  <c r="A2793" i="23"/>
  <c r="A2793" i="23" a="1"/>
  <c r="A2791" i="23" a="1"/>
  <c r="A2791" i="23" s="1"/>
  <c r="A2788" i="23" a="1"/>
  <c r="A2788" i="23" s="1"/>
  <c r="A2775" i="23"/>
  <c r="A2775" i="23" a="1"/>
  <c r="A2772" i="23" a="1"/>
  <c r="A2772" i="23" s="1"/>
  <c r="A2733" i="23" a="1"/>
  <c r="A2733" i="23" s="1"/>
  <c r="A2730" i="23" a="1"/>
  <c r="A2730" i="23" s="1"/>
  <c r="A2728" i="23"/>
  <c r="A2728" i="23" a="1"/>
  <c r="A2724" i="23" a="1"/>
  <c r="A2724" i="23" s="1"/>
  <c r="A2718" i="23" a="1"/>
  <c r="A2718" i="23" s="1"/>
  <c r="A2716" i="23"/>
  <c r="A2716" i="23" a="1"/>
  <c r="A2698" i="23" a="1"/>
  <c r="A2698" i="23" s="1"/>
  <c r="A2687" i="23"/>
  <c r="A2687" i="23" a="1"/>
  <c r="A2685" i="23" a="1"/>
  <c r="A2685" i="23" s="1"/>
  <c r="A2670" i="23"/>
  <c r="A2670" i="23" a="1"/>
  <c r="A2665" i="23" a="1"/>
  <c r="A2665" i="23" s="1"/>
  <c r="A2663" i="23" a="1"/>
  <c r="A2663" i="23" s="1"/>
  <c r="A2660" i="23" a="1"/>
  <c r="A2660" i="23" s="1"/>
  <c r="A2647" i="23"/>
  <c r="A2647" i="23" a="1"/>
  <c r="A2644" i="23"/>
  <c r="A2644" i="23" a="1"/>
  <c r="A2605" i="23" a="1"/>
  <c r="A2605" i="23" s="1"/>
  <c r="A2600" i="23" a="1"/>
  <c r="A2600" i="23" s="1"/>
  <c r="A2596" i="23" a="1"/>
  <c r="A2596" i="23" s="1"/>
  <c r="A2590" i="23"/>
  <c r="A2590" i="23" a="1"/>
  <c r="A2588" i="23" a="1"/>
  <c r="A2588" i="23" s="1"/>
  <c r="A2570" i="23" a="1"/>
  <c r="A2570" i="23" s="1"/>
  <c r="A2559" i="23" a="1"/>
  <c r="A2559" i="23" s="1"/>
  <c r="A2557" i="23" a="1"/>
  <c r="A2557" i="23" s="1"/>
  <c r="A2542" i="23"/>
  <c r="A2542" i="23" a="1"/>
  <c r="A2537" i="23" a="1"/>
  <c r="A2537" i="23" s="1"/>
  <c r="A2535" i="23" a="1"/>
  <c r="A2535" i="23" s="1"/>
  <c r="A2532" i="23" a="1"/>
  <c r="A2532" i="23" s="1"/>
  <c r="A2519" i="23"/>
  <c r="A2519" i="23" a="1"/>
  <c r="A2516" i="23" a="1"/>
  <c r="A2516" i="23" s="1"/>
  <c r="A2477" i="23" a="1"/>
  <c r="A2477" i="23" s="1"/>
  <c r="A2472" i="23" a="1"/>
  <c r="A2472" i="23" s="1"/>
  <c r="A2468" i="23" a="1"/>
  <c r="A2468" i="23" s="1"/>
  <c r="A2466" i="23" a="1"/>
  <c r="A2466" i="23" s="1"/>
  <c r="A2462" i="23" a="1"/>
  <c r="A2462" i="23" s="1"/>
  <c r="A2460" i="23" a="1"/>
  <c r="A2460" i="23" s="1"/>
  <c r="A2442" i="23" a="1"/>
  <c r="A2442" i="23" s="1"/>
  <c r="A2431" i="23" a="1"/>
  <c r="A2431" i="23" s="1"/>
  <c r="A2414" i="23"/>
  <c r="A2414" i="23" a="1"/>
  <c r="A2409" i="23" a="1"/>
  <c r="A2409" i="23" s="1"/>
  <c r="A2407" i="23" a="1"/>
  <c r="A2407" i="23" s="1"/>
  <c r="A2404" i="23" a="1"/>
  <c r="A2404" i="23" s="1"/>
  <c r="A2391" i="23"/>
  <c r="A2391" i="23" a="1"/>
  <c r="A2388" i="23" a="1"/>
  <c r="A2388" i="23" s="1"/>
  <c r="A2349" i="23"/>
  <c r="A2349" i="23" a="1"/>
  <c r="A2344" i="23" a="1"/>
  <c r="A2344" i="23" s="1"/>
  <c r="A2340" i="23" a="1"/>
  <c r="A2340" i="23" s="1"/>
  <c r="A2337" i="23"/>
  <c r="A2337" i="23" a="1"/>
  <c r="A2334" i="23" a="1"/>
  <c r="A2334" i="23" s="1"/>
  <c r="A2332" i="23" a="1"/>
  <c r="A2332" i="23" s="1"/>
  <c r="A2314" i="23"/>
  <c r="A2314" i="23" a="1"/>
  <c r="A2303" i="23"/>
  <c r="A2303" i="23" a="1"/>
  <c r="A2286" i="23" a="1"/>
  <c r="A2286" i="23" s="1"/>
  <c r="A2281" i="23" a="1"/>
  <c r="A2281" i="23" s="1"/>
  <c r="A2279" i="23" a="1"/>
  <c r="A2279" i="23" s="1"/>
  <c r="A2276" i="23"/>
  <c r="A2276" i="23" a="1"/>
  <c r="A2267" i="23"/>
  <c r="A2267" i="23" a="1"/>
  <c r="A2263" i="23" a="1"/>
  <c r="A2263" i="23" s="1"/>
  <c r="A2261" i="23" a="1"/>
  <c r="A2261" i="23" s="1"/>
  <c r="A2221" i="23"/>
  <c r="A2221" i="23" a="1"/>
  <c r="A2216" i="23"/>
  <c r="A2216" i="23" a="1"/>
  <c r="A2212" i="23" a="1"/>
  <c r="A2212" i="23" s="1"/>
  <c r="A2206" i="23" a="1"/>
  <c r="A2206" i="23" s="1"/>
  <c r="A2204" i="23" a="1"/>
  <c r="A2204" i="23" s="1"/>
  <c r="A2186" i="23"/>
  <c r="A2186" i="23" a="1"/>
  <c r="A2153" i="23" a="1"/>
  <c r="A2153" i="23" s="1"/>
  <c r="A2151" i="23" a="1"/>
  <c r="A2151" i="23" s="1"/>
  <c r="A2148" i="23" a="1"/>
  <c r="A2148" i="23" s="1"/>
  <c r="A2135" i="23" a="1"/>
  <c r="A2135" i="23" s="1"/>
  <c r="A2133" i="23" a="1"/>
  <c r="A2133" i="23" s="1"/>
  <c r="A2105" i="23"/>
  <c r="A2105" i="23" a="1"/>
  <c r="A2093" i="23" a="1"/>
  <c r="A2093" i="23" s="1"/>
  <c r="A2088" i="23" a="1"/>
  <c r="A2088" i="23" s="1"/>
  <c r="A2084" i="23" a="1"/>
  <c r="A2084" i="23" s="1"/>
  <c r="A2078" i="23"/>
  <c r="A2078" i="23" a="1"/>
  <c r="A2076" i="23" a="1"/>
  <c r="A2076" i="23" s="1"/>
  <c r="A2058" i="23" a="1"/>
  <c r="A2058" i="23" s="1"/>
  <c r="A2047" i="23" a="1"/>
  <c r="A2047" i="23" s="1"/>
  <c r="A2025" i="23" a="1"/>
  <c r="A2025" i="23" s="1"/>
  <c r="A2023" i="23"/>
  <c r="A2023" i="23" a="1"/>
  <c r="A2020" i="23" a="1"/>
  <c r="A2020" i="23" s="1"/>
  <c r="A2011" i="23" a="1"/>
  <c r="A2011" i="23" s="1"/>
  <c r="A2007" i="23" a="1"/>
  <c r="A2007" i="23" s="1"/>
  <c r="A2005" i="23"/>
  <c r="A2005" i="23" a="1"/>
  <c r="A1977" i="23" a="1"/>
  <c r="A1977" i="23" s="1"/>
  <c r="A1965" i="23" a="1"/>
  <c r="A1965" i="23" s="1"/>
  <c r="A1960" i="23"/>
  <c r="A1960" i="23" a="1"/>
  <c r="A1956" i="23" a="1"/>
  <c r="A1956" i="23" s="1"/>
  <c r="A1950" i="23"/>
  <c r="A1950" i="23" a="1"/>
  <c r="A1948" i="23" a="1"/>
  <c r="A1948" i="23" s="1"/>
  <c r="A1930" i="23"/>
  <c r="A1930" i="23" a="1"/>
  <c r="A1919" i="23"/>
  <c r="A1919" i="23" a="1"/>
  <c r="A1897" i="23"/>
  <c r="A1897" i="23" a="1"/>
  <c r="A1895" i="23" a="1"/>
  <c r="A1895" i="23" s="1"/>
  <c r="A1892" i="23" a="1"/>
  <c r="A1892" i="23" s="1"/>
  <c r="A1883" i="23"/>
  <c r="A1883" i="23" a="1"/>
  <c r="A1879" i="23"/>
  <c r="A1879" i="23" a="1"/>
  <c r="A1877" i="23" a="1"/>
  <c r="A1877" i="23" s="1"/>
  <c r="A1849" i="23" a="1"/>
  <c r="A1849" i="23" s="1"/>
  <c r="A1837" i="23"/>
  <c r="A1837" i="23" a="1"/>
  <c r="A1832" i="23"/>
  <c r="A1832" i="23" a="1"/>
  <c r="A1828" i="23" a="1"/>
  <c r="A1828" i="23" s="1"/>
  <c r="A1822" i="23" a="1"/>
  <c r="A1822" i="23" s="1"/>
  <c r="A1820" i="23" a="1"/>
  <c r="A1820" i="23" s="1"/>
  <c r="A1802" i="23"/>
  <c r="A1802" i="23" a="1"/>
  <c r="A1791" i="23" a="1"/>
  <c r="A1791" i="23" s="1"/>
  <c r="A1774" i="23"/>
  <c r="A1774" i="23" a="1"/>
  <c r="A1769" i="23" a="1"/>
  <c r="A1769" i="23" s="1"/>
  <c r="A1767" i="23"/>
  <c r="A1767" i="23" a="1"/>
  <c r="A1764" i="23" a="1"/>
  <c r="A1764" i="23" s="1"/>
  <c r="A1751" i="23" a="1"/>
  <c r="A1751" i="23" s="1"/>
  <c r="A1749" i="23" a="1"/>
  <c r="A1749" i="23" s="1"/>
  <c r="A1721" i="23"/>
  <c r="A1721" i="23" a="1"/>
  <c r="A1709" i="23" a="1"/>
  <c r="A1709" i="23" s="1"/>
  <c r="A1704" i="23"/>
  <c r="A1704" i="23" a="1"/>
  <c r="A1700" i="23" a="1"/>
  <c r="A1700" i="23" s="1"/>
  <c r="A1694" i="23"/>
  <c r="A1694" i="23" a="1"/>
  <c r="A1692" i="23" a="1"/>
  <c r="A1692" i="23" s="1"/>
  <c r="A1674" i="23"/>
  <c r="A1674" i="23" a="1"/>
  <c r="A1663" i="23" a="1"/>
  <c r="A1663" i="23" s="1"/>
  <c r="A1641" i="23"/>
  <c r="A1641" i="23" a="1"/>
  <c r="A1636" i="23" a="1"/>
  <c r="A1636" i="23" s="1"/>
  <c r="A1627" i="23"/>
  <c r="A1627" i="23" a="1"/>
  <c r="A1624" i="23"/>
  <c r="A1624" i="23" a="1"/>
  <c r="A1593" i="23"/>
  <c r="A1593" i="23" a="1"/>
  <c r="A1581" i="23" a="1"/>
  <c r="A1581" i="23" s="1"/>
  <c r="A1576" i="23" a="1"/>
  <c r="A1576" i="23" s="1"/>
  <c r="A1572" i="23"/>
  <c r="A1572" i="23" a="1"/>
  <c r="A1566" i="23"/>
  <c r="A1566" i="23" a="1"/>
  <c r="A1564" i="23" a="1"/>
  <c r="A1564" i="23" s="1"/>
  <c r="A1558" i="23" a="1"/>
  <c r="A1558" i="23" s="1"/>
  <c r="A1556" i="23"/>
  <c r="A1556" i="23" a="1"/>
  <c r="A1546" i="23"/>
  <c r="A1546" i="23" a="1"/>
  <c r="A1535" i="23" a="1"/>
  <c r="A1535" i="23" s="1"/>
  <c r="A1513" i="23" a="1"/>
  <c r="A1513" i="23" s="1"/>
  <c r="A1511" i="23" a="1"/>
  <c r="A1511" i="23" s="1"/>
  <c r="A1508" i="23"/>
  <c r="A1508" i="23" a="1"/>
  <c r="A1465" i="23" a="1"/>
  <c r="A1465" i="23" s="1"/>
  <c r="A1453" i="23" a="1"/>
  <c r="A1453" i="23" s="1"/>
  <c r="A1448" i="23" a="1"/>
  <c r="A1448" i="23" s="1"/>
  <c r="A1444" i="23"/>
  <c r="A1444" i="23" a="1"/>
  <c r="A1442" i="23" a="1"/>
  <c r="A1442" i="23" s="1"/>
  <c r="A1438" i="23" a="1"/>
  <c r="A1438" i="23" s="1"/>
  <c r="A1436" i="23" a="1"/>
  <c r="A1436" i="23" s="1"/>
  <c r="A1429" i="23"/>
  <c r="A1429" i="23" a="1"/>
  <c r="A1418" i="23" a="1"/>
  <c r="A1418" i="23" s="1"/>
  <c r="A1385" i="23"/>
  <c r="A1385" i="23" a="1"/>
  <c r="A1383" i="23" a="1"/>
  <c r="A1383" i="23" s="1"/>
  <c r="A1380" i="23"/>
  <c r="A1380" i="23" a="1"/>
  <c r="A1371" i="23" a="1"/>
  <c r="A1371" i="23" s="1"/>
  <c r="A1368" i="23"/>
  <c r="A1368" i="23" a="1"/>
  <c r="A1337" i="23" a="1"/>
  <c r="A1337" i="23" s="1"/>
  <c r="A1325" i="23"/>
  <c r="A1325" i="23" a="1"/>
  <c r="A1320" i="23" a="1"/>
  <c r="A1320" i="23" s="1"/>
  <c r="A1316" i="23"/>
  <c r="A1316" i="23" a="1"/>
  <c r="A1310" i="23" a="1"/>
  <c r="A1310" i="23" s="1"/>
  <c r="A1300" i="23"/>
  <c r="A1300" i="23" a="1"/>
  <c r="A1290" i="23" a="1"/>
  <c r="A1290" i="23" s="1"/>
  <c r="A1278" i="23" a="1"/>
  <c r="A1278" i="23" s="1"/>
  <c r="A1258" i="23"/>
  <c r="A1258" i="23" a="1"/>
  <c r="A1210" i="23"/>
  <c r="A1210" i="23" a="1"/>
  <c r="A1197" i="23" a="1"/>
  <c r="A1197" i="23" s="1"/>
  <c r="A1192" i="23" a="1"/>
  <c r="A1192" i="23" s="1"/>
  <c r="A1188" i="23"/>
  <c r="A1188" i="23" a="1"/>
  <c r="A1182" i="23"/>
  <c r="A1182" i="23" a="1"/>
  <c r="A1150" i="23" a="1"/>
  <c r="A1150" i="23" s="1"/>
  <c r="A1129" i="23" a="1"/>
  <c r="A1129" i="23" s="1"/>
  <c r="A1127" i="23" a="1"/>
  <c r="A1127" i="23" s="1"/>
  <c r="A1124" i="23"/>
  <c r="A1124" i="23" a="1"/>
  <c r="A1119" i="23" a="1"/>
  <c r="A1119" i="23" s="1"/>
  <c r="A1115" i="23" a="1"/>
  <c r="A1115" i="23" s="1"/>
  <c r="A1112" i="23" a="1"/>
  <c r="A1112" i="23" s="1"/>
  <c r="A1084" i="23"/>
  <c r="A1084" i="23" a="1"/>
  <c r="A1081" i="23" a="1"/>
  <c r="A1081" i="23" s="1"/>
  <c r="A1069" i="23" a="1"/>
  <c r="A1069" i="23" s="1"/>
  <c r="A1064" i="23" a="1"/>
  <c r="A1064" i="23" s="1"/>
  <c r="A1060" i="23" a="1"/>
  <c r="A1060" i="23" s="1"/>
  <c r="A1054" i="23" a="1"/>
  <c r="A1054" i="23" s="1"/>
  <c r="A1052" i="23"/>
  <c r="A1052" i="23" a="1"/>
  <c r="A1034" i="23" a="1"/>
  <c r="A1034" i="23" s="1"/>
  <c r="A1021" i="23" a="1"/>
  <c r="A1021" i="23" s="1"/>
  <c r="A1001" i="23" a="1"/>
  <c r="A1001" i="23" s="1"/>
  <c r="A999" i="23" a="1"/>
  <c r="A999" i="23" s="1"/>
  <c r="A996" i="23"/>
  <c r="A996" i="23" a="1"/>
  <c r="A953" i="23" a="1"/>
  <c r="A953" i="23" s="1"/>
  <c r="A941" i="23" a="1"/>
  <c r="A941" i="23" s="1"/>
  <c r="A936" i="23" a="1"/>
  <c r="A936" i="23" s="1"/>
  <c r="A932" i="23" a="1"/>
  <c r="A932" i="23" s="1"/>
  <c r="A926" i="23" a="1"/>
  <c r="A926" i="23" s="1"/>
  <c r="A924" i="23" a="1"/>
  <c r="A924" i="23" s="1"/>
  <c r="A906" i="23" a="1"/>
  <c r="A906" i="23" s="1"/>
  <c r="A902" i="23" a="1"/>
  <c r="A902" i="23" s="1"/>
  <c r="A893" i="23" a="1"/>
  <c r="A893" i="23" s="1"/>
  <c r="A873" i="23" a="1"/>
  <c r="A873" i="23" s="1"/>
  <c r="A871" i="23" a="1"/>
  <c r="A871" i="23" s="1"/>
  <c r="A868" i="23" a="1"/>
  <c r="A868" i="23" s="1"/>
  <c r="A828" i="23" a="1"/>
  <c r="A828" i="23" s="1"/>
  <c r="A825" i="23" a="1"/>
  <c r="A825" i="23" s="1"/>
  <c r="A813" i="23"/>
  <c r="A813" i="23" a="1"/>
  <c r="A808" i="23"/>
  <c r="A808" i="23" a="1"/>
  <c r="A804" i="23" a="1"/>
  <c r="A804" i="23" s="1"/>
  <c r="A798" i="23" a="1"/>
  <c r="A798" i="23" s="1"/>
  <c r="A796" i="23" a="1"/>
  <c r="A796" i="23" s="1"/>
  <c r="A778" i="23"/>
  <c r="A778" i="23" a="1"/>
  <c r="A774" i="23" a="1"/>
  <c r="A774" i="23" s="1"/>
  <c r="A765" i="23" a="1"/>
  <c r="A765" i="23" s="1"/>
  <c r="A745" i="23" a="1"/>
  <c r="A745" i="23" s="1"/>
  <c r="A743" i="23"/>
  <c r="A743" i="23" a="1"/>
  <c r="A740" i="23" a="1"/>
  <c r="A740" i="23" s="1"/>
  <c r="A700" i="23" a="1"/>
  <c r="A700" i="23" s="1"/>
  <c r="A697" i="23" a="1"/>
  <c r="A697" i="23" s="1"/>
  <c r="A685" i="23" a="1"/>
  <c r="A685" i="23" s="1"/>
  <c r="A680" i="23" a="1"/>
  <c r="A680" i="23" s="1"/>
  <c r="A676" i="23"/>
  <c r="A676" i="23" a="1"/>
  <c r="A668" i="23" a="1"/>
  <c r="A668" i="23" s="1"/>
  <c r="A650" i="23" a="1"/>
  <c r="A650" i="23" s="1"/>
  <c r="A637" i="23" a="1"/>
  <c r="A637" i="23" s="1"/>
  <c r="A617" i="23" a="1"/>
  <c r="A617" i="23" s="1"/>
  <c r="A615" i="23" a="1"/>
  <c r="A615" i="23" s="1"/>
  <c r="A612" i="23" a="1"/>
  <c r="A612" i="23" s="1"/>
  <c r="A572" i="23" a="1"/>
  <c r="A572" i="23" s="1"/>
  <c r="A569" i="23"/>
  <c r="A569" i="23" a="1"/>
  <c r="A557" i="23"/>
  <c r="A557" i="23" a="1"/>
  <c r="A552" i="23" a="1"/>
  <c r="A552" i="23" s="1"/>
  <c r="A548" i="23" a="1"/>
  <c r="A548" i="23" s="1"/>
  <c r="A542" i="23" a="1"/>
  <c r="A542" i="23" s="1"/>
  <c r="A540" i="23" a="1"/>
  <c r="A540" i="23" s="1"/>
  <c r="A522" i="23" a="1"/>
  <c r="A522" i="23" s="1"/>
  <c r="A509" i="23" a="1"/>
  <c r="A509" i="23" s="1"/>
  <c r="A489" i="23" a="1"/>
  <c r="A489" i="23" s="1"/>
  <c r="A487" i="23"/>
  <c r="A487" i="23" a="1"/>
  <c r="A484" i="23"/>
  <c r="A484" i="23" a="1"/>
  <c r="A481" i="23" a="1"/>
  <c r="A481" i="23" s="1"/>
  <c r="A475" i="23" a="1"/>
  <c r="A475" i="23" s="1"/>
  <c r="A472" i="23" a="1"/>
  <c r="A472" i="23" s="1"/>
  <c r="A444" i="23" a="1"/>
  <c r="A444" i="23" s="1"/>
  <c r="A441" i="23" a="1"/>
  <c r="A441" i="23" s="1"/>
  <c r="A429" i="23" a="1"/>
  <c r="A429" i="23" s="1"/>
  <c r="A424" i="23" a="1"/>
  <c r="A424" i="23" s="1"/>
  <c r="A420" i="23"/>
  <c r="A420" i="23" a="1"/>
  <c r="A414" i="23" a="1"/>
  <c r="A414" i="23" s="1"/>
  <c r="A412" i="23" a="1"/>
  <c r="A412" i="23" s="1"/>
  <c r="A394" i="23" a="1"/>
  <c r="A394" i="23" s="1"/>
  <c r="A381" i="23" a="1"/>
  <c r="A381" i="23" s="1"/>
  <c r="A361" i="23" a="1"/>
  <c r="A361" i="23" s="1"/>
  <c r="A359" i="23"/>
  <c r="A359" i="23" a="1"/>
  <c r="A356" i="23" a="1"/>
  <c r="A356" i="23" s="1"/>
  <c r="A316" i="23" a="1"/>
  <c r="A316" i="23" s="1"/>
  <c r="A313" i="23" a="1"/>
  <c r="A313" i="23" s="1"/>
  <c r="A301" i="23" a="1"/>
  <c r="A301" i="23" s="1"/>
  <c r="A296" i="23" a="1"/>
  <c r="A296" i="23" s="1"/>
  <c r="A292" i="23" a="1"/>
  <c r="A292" i="23" s="1"/>
  <c r="A286" i="23" a="1"/>
  <c r="A286" i="23" s="1"/>
  <c r="A284" i="23"/>
  <c r="A284" i="23" a="1"/>
  <c r="A266" i="23"/>
  <c r="A266" i="23" a="1"/>
  <c r="A253" i="23" a="1"/>
  <c r="A253" i="23" s="1"/>
  <c r="A233" i="23" a="1"/>
  <c r="A233" i="23" s="1"/>
  <c r="A231" i="23" a="1"/>
  <c r="A231" i="23" s="1"/>
  <c r="A228" i="23" a="1"/>
  <c r="A228" i="23" s="1"/>
  <c r="A225" i="23" a="1"/>
  <c r="A225" i="23" s="1"/>
  <c r="A219" i="23" a="1"/>
  <c r="A219" i="23" s="1"/>
  <c r="A216" i="23" a="1"/>
  <c r="A216" i="23" s="1"/>
  <c r="A188" i="23" a="1"/>
  <c r="A188" i="23" s="1"/>
  <c r="A185" i="23" a="1"/>
  <c r="A185" i="23" s="1"/>
  <c r="A173" i="23" a="1"/>
  <c r="A173" i="23" s="1"/>
  <c r="A168" i="23" a="1"/>
  <c r="A168" i="23" s="1"/>
  <c r="A164" i="23" a="1"/>
  <c r="A164" i="23" s="1"/>
  <c r="A158" i="23" a="1"/>
  <c r="A158" i="23" s="1"/>
  <c r="A156" i="23" a="1"/>
  <c r="A156" i="23" s="1"/>
  <c r="A138" i="23" a="1"/>
  <c r="A138" i="23" s="1"/>
  <c r="A125" i="23" a="1"/>
  <c r="A125" i="23" s="1"/>
  <c r="A105" i="23" a="1"/>
  <c r="A105" i="23" s="1"/>
  <c r="A103" i="23" a="1"/>
  <c r="A103" i="23" s="1"/>
  <c r="A100" i="23" a="1"/>
  <c r="A100" i="23" s="1"/>
  <c r="A95" i="23" a="1"/>
  <c r="A95" i="23" s="1"/>
  <c r="A91" i="23" a="1"/>
  <c r="A91" i="23" s="1"/>
  <c r="A88" i="23" a="1"/>
  <c r="A88" i="23" s="1"/>
  <c r="A60" i="23" a="1"/>
  <c r="A60" i="23" s="1"/>
  <c r="A57" i="23" a="1"/>
  <c r="A57" i="23" s="1"/>
  <c r="A45" i="23" a="1"/>
  <c r="A45" i="23" s="1"/>
  <c r="A40" i="23" a="1"/>
  <c r="A40" i="23" s="1"/>
  <c r="A36" i="23" a="1"/>
  <c r="A36" i="23" s="1"/>
  <c r="A30" i="23" a="1"/>
  <c r="A30" i="23" s="1"/>
  <c r="A28" i="23" a="1"/>
  <c r="A28" i="23" s="1"/>
  <c r="A10" i="23" a="1"/>
  <c r="A10" i="23" s="1"/>
  <c r="J45" i="8"/>
  <c r="K44" i="8" s="1"/>
  <c r="D45" i="8"/>
  <c r="F29" i="8" s="1"/>
  <c r="H36" i="8"/>
  <c r="K47" i="8" s="1"/>
  <c r="B36" i="8"/>
  <c r="E47" i="8" s="1"/>
  <c r="K30" i="8"/>
  <c r="E30" i="8"/>
  <c r="K29" i="8"/>
  <c r="E29" i="8"/>
  <c r="K28" i="8"/>
  <c r="E28" i="8"/>
  <c r="K27" i="8"/>
  <c r="E27" i="8"/>
  <c r="K26" i="8"/>
  <c r="E26" i="8"/>
  <c r="K25" i="8"/>
  <c r="E25" i="8"/>
  <c r="K24" i="8"/>
  <c r="E24" i="8"/>
  <c r="K23" i="8"/>
  <c r="E23" i="8"/>
  <c r="K22" i="8"/>
  <c r="E22" i="8"/>
  <c r="K21" i="8"/>
  <c r="E21" i="8"/>
  <c r="K20" i="8"/>
  <c r="E20" i="8"/>
  <c r="K19" i="8"/>
  <c r="E19" i="8"/>
  <c r="K18" i="8"/>
  <c r="E18" i="8"/>
  <c r="K17" i="8"/>
  <c r="E17" i="8"/>
  <c r="K16" i="8"/>
  <c r="E16" i="8"/>
  <c r="K15" i="8"/>
  <c r="E15" i="8"/>
  <c r="K14" i="8"/>
  <c r="E14" i="8"/>
  <c r="K13" i="8"/>
  <c r="E13" i="8"/>
  <c r="K12" i="8"/>
  <c r="E12" i="8"/>
  <c r="K11" i="8"/>
  <c r="E11" i="8"/>
  <c r="K10" i="8"/>
  <c r="E10" i="8"/>
  <c r="K9" i="8"/>
  <c r="E9" i="8"/>
  <c r="H6" i="8"/>
  <c r="I4" i="8" s="1"/>
  <c r="B6" i="8"/>
  <c r="C4" i="8" s="1"/>
  <c r="I5" i="8"/>
  <c r="C5" i="8"/>
  <c r="E3316" i="7"/>
  <c r="E3315" i="7"/>
  <c r="E3314" i="7"/>
  <c r="E3313" i="7"/>
  <c r="E3312" i="7"/>
  <c r="E3311" i="7"/>
  <c r="E3310" i="7"/>
  <c r="E3309" i="7"/>
  <c r="E3308" i="7"/>
  <c r="E3307" i="7"/>
  <c r="E3306" i="7"/>
  <c r="E3305" i="7"/>
  <c r="E3304" i="7"/>
  <c r="E3303" i="7"/>
  <c r="E3302" i="7"/>
  <c r="E3301" i="7"/>
  <c r="E3300" i="7"/>
  <c r="E3299" i="7"/>
  <c r="E3298" i="7"/>
  <c r="E3297" i="7"/>
  <c r="E3296" i="7"/>
  <c r="E3295" i="7"/>
  <c r="E3294" i="7"/>
  <c r="E3293" i="7"/>
  <c r="E3292" i="7"/>
  <c r="E3291" i="7"/>
  <c r="E3290" i="7"/>
  <c r="E3289" i="7"/>
  <c r="E3288" i="7"/>
  <c r="E3287" i="7"/>
  <c r="E3286" i="7"/>
  <c r="E3285" i="7"/>
  <c r="E3284" i="7"/>
  <c r="E3283" i="7"/>
  <c r="E3282" i="7"/>
  <c r="E3281" i="7"/>
  <c r="E3280" i="7"/>
  <c r="E3279" i="7"/>
  <c r="E3278" i="7"/>
  <c r="E3277" i="7"/>
  <c r="E3276" i="7"/>
  <c r="E3275" i="7"/>
  <c r="E3274" i="7"/>
  <c r="E3273" i="7"/>
  <c r="E3272" i="7"/>
  <c r="E3271" i="7"/>
  <c r="E3270" i="7"/>
  <c r="E3269" i="7"/>
  <c r="E3268" i="7"/>
  <c r="E3267" i="7"/>
  <c r="E3266" i="7"/>
  <c r="E3265" i="7"/>
  <c r="E3264" i="7"/>
  <c r="E3263" i="7"/>
  <c r="E3262" i="7"/>
  <c r="E3261" i="7"/>
  <c r="E3260" i="7"/>
  <c r="E3259" i="7"/>
  <c r="E3258" i="7"/>
  <c r="E3257" i="7"/>
  <c r="E3256" i="7"/>
  <c r="E3255" i="7"/>
  <c r="E3254" i="7"/>
  <c r="E3253" i="7"/>
  <c r="E3252" i="7"/>
  <c r="E3251" i="7"/>
  <c r="E3250" i="7"/>
  <c r="E3249" i="7"/>
  <c r="E3248" i="7"/>
  <c r="E3247" i="7"/>
  <c r="E3246" i="7"/>
  <c r="E3245" i="7"/>
  <c r="E3244" i="7"/>
  <c r="E3243" i="7"/>
  <c r="E3242" i="7"/>
  <c r="E3241" i="7"/>
  <c r="E3240" i="7"/>
  <c r="E3239" i="7"/>
  <c r="E3238" i="7"/>
  <c r="E3237" i="7"/>
  <c r="E3236" i="7"/>
  <c r="E3235" i="7"/>
  <c r="E3234" i="7"/>
  <c r="E3233" i="7"/>
  <c r="E3232" i="7"/>
  <c r="E3231" i="7"/>
  <c r="E3230" i="7"/>
  <c r="E3229" i="7"/>
  <c r="E3228" i="7"/>
  <c r="E3227" i="7"/>
  <c r="E3226" i="7"/>
  <c r="E3225" i="7"/>
  <c r="E3224" i="7"/>
  <c r="E3223" i="7"/>
  <c r="E3222" i="7"/>
  <c r="E3221" i="7"/>
  <c r="E3220" i="7"/>
  <c r="E3219" i="7"/>
  <c r="E3218" i="7"/>
  <c r="E3217" i="7"/>
  <c r="E3216" i="7"/>
  <c r="E3215" i="7"/>
  <c r="E3214" i="7"/>
  <c r="E3213" i="7"/>
  <c r="E3212" i="7"/>
  <c r="E3211" i="7"/>
  <c r="E3210" i="7"/>
  <c r="E3209" i="7"/>
  <c r="E3208" i="7"/>
  <c r="E3207" i="7"/>
  <c r="E3206" i="7"/>
  <c r="E3205" i="7"/>
  <c r="E3204" i="7"/>
  <c r="E3203" i="7"/>
  <c r="E3202" i="7"/>
  <c r="E3201" i="7"/>
  <c r="E3200" i="7"/>
  <c r="E3199" i="7"/>
  <c r="E3198" i="7"/>
  <c r="E3197" i="7"/>
  <c r="E3196" i="7"/>
  <c r="E3195" i="7"/>
  <c r="E3194" i="7"/>
  <c r="E3193" i="7"/>
  <c r="E3192" i="7"/>
  <c r="E3191" i="7"/>
  <c r="E3190" i="7"/>
  <c r="E3189" i="7"/>
  <c r="E3188" i="7"/>
  <c r="E3187" i="7"/>
  <c r="E3186" i="7"/>
  <c r="E3185" i="7"/>
  <c r="E3184" i="7"/>
  <c r="E3183" i="7"/>
  <c r="E3182" i="7"/>
  <c r="E3181" i="7"/>
  <c r="E3180" i="7"/>
  <c r="E3179" i="7"/>
  <c r="E3178" i="7"/>
  <c r="E3177" i="7"/>
  <c r="E3176" i="7"/>
  <c r="E3175" i="7"/>
  <c r="E3174" i="7"/>
  <c r="E3173" i="7"/>
  <c r="E3172" i="7"/>
  <c r="E3171" i="7"/>
  <c r="E3170" i="7"/>
  <c r="E3169" i="7"/>
  <c r="E3168" i="7"/>
  <c r="E3167" i="7"/>
  <c r="E3166" i="7"/>
  <c r="E3165" i="7"/>
  <c r="E3164" i="7"/>
  <c r="E3163" i="7"/>
  <c r="E3162" i="7"/>
  <c r="E3161" i="7"/>
  <c r="E3160" i="7"/>
  <c r="E3159" i="7"/>
  <c r="E3158" i="7"/>
  <c r="E3157" i="7"/>
  <c r="E3156" i="7"/>
  <c r="E3155" i="7"/>
  <c r="E3154" i="7"/>
  <c r="E3153" i="7"/>
  <c r="E3152" i="7"/>
  <c r="E3151" i="7"/>
  <c r="E3150" i="7"/>
  <c r="E3149" i="7"/>
  <c r="E3148" i="7"/>
  <c r="E3147" i="7"/>
  <c r="E3146" i="7"/>
  <c r="E3145" i="7"/>
  <c r="E3144" i="7"/>
  <c r="E3143" i="7"/>
  <c r="E3142" i="7"/>
  <c r="E3141" i="7"/>
  <c r="E3140" i="7"/>
  <c r="E3139" i="7"/>
  <c r="E3138" i="7"/>
  <c r="E3137" i="7"/>
  <c r="E3136" i="7"/>
  <c r="E3135" i="7"/>
  <c r="E3134" i="7"/>
  <c r="E3133" i="7"/>
  <c r="E3132" i="7"/>
  <c r="E3131" i="7"/>
  <c r="E3130" i="7"/>
  <c r="E3129" i="7"/>
  <c r="E3128" i="7"/>
  <c r="E3127" i="7"/>
  <c r="E3126" i="7"/>
  <c r="E3125" i="7"/>
  <c r="E3124" i="7"/>
  <c r="E3123" i="7"/>
  <c r="E3122" i="7"/>
  <c r="E3121" i="7"/>
  <c r="E3120" i="7"/>
  <c r="E3119" i="7"/>
  <c r="E3118" i="7"/>
  <c r="E3117" i="7"/>
  <c r="E3116" i="7"/>
  <c r="E3115" i="7"/>
  <c r="E3114" i="7"/>
  <c r="E3113" i="7"/>
  <c r="E3112" i="7"/>
  <c r="E3111" i="7"/>
  <c r="E3110" i="7"/>
  <c r="E3109" i="7"/>
  <c r="E3108" i="7"/>
  <c r="E3107" i="7"/>
  <c r="E3106" i="7"/>
  <c r="E3105" i="7"/>
  <c r="E3104" i="7"/>
  <c r="E3103" i="7"/>
  <c r="E3102" i="7"/>
  <c r="E3101" i="7"/>
  <c r="E3100" i="7"/>
  <c r="E3099" i="7"/>
  <c r="E3098" i="7"/>
  <c r="E3097" i="7"/>
  <c r="E3096" i="7"/>
  <c r="E3095" i="7"/>
  <c r="E3094" i="7"/>
  <c r="E3093" i="7"/>
  <c r="E3092" i="7"/>
  <c r="E3091" i="7"/>
  <c r="E3090" i="7"/>
  <c r="E3089" i="7"/>
  <c r="E3088" i="7"/>
  <c r="E3087" i="7"/>
  <c r="E3086" i="7"/>
  <c r="E3085" i="7"/>
  <c r="E3084" i="7"/>
  <c r="E3083" i="7"/>
  <c r="E3082" i="7"/>
  <c r="E3081" i="7"/>
  <c r="E3080" i="7"/>
  <c r="E3079" i="7"/>
  <c r="E3078" i="7"/>
  <c r="E3077" i="7"/>
  <c r="E3076" i="7"/>
  <c r="E3075" i="7"/>
  <c r="E3074" i="7"/>
  <c r="E3073" i="7"/>
  <c r="E3072" i="7"/>
  <c r="E3071" i="7"/>
  <c r="E3070" i="7"/>
  <c r="E3069" i="7"/>
  <c r="E3068" i="7"/>
  <c r="E3067" i="7"/>
  <c r="E3066" i="7"/>
  <c r="E3065" i="7"/>
  <c r="E3064" i="7"/>
  <c r="E3063" i="7"/>
  <c r="E3062" i="7"/>
  <c r="E3061" i="7"/>
  <c r="E3060" i="7"/>
  <c r="E3059" i="7"/>
  <c r="E3058" i="7"/>
  <c r="E3057" i="7"/>
  <c r="E3056" i="7"/>
  <c r="E3055" i="7"/>
  <c r="E3054" i="7"/>
  <c r="E3053" i="7"/>
  <c r="E3052" i="7"/>
  <c r="E3051" i="7"/>
  <c r="E3050" i="7"/>
  <c r="E3049" i="7"/>
  <c r="E3048" i="7"/>
  <c r="E3047" i="7"/>
  <c r="E3046" i="7"/>
  <c r="E3045" i="7"/>
  <c r="E3044" i="7"/>
  <c r="E3043" i="7"/>
  <c r="E3042" i="7"/>
  <c r="E3041" i="7"/>
  <c r="E3040" i="7"/>
  <c r="E3039" i="7"/>
  <c r="E3038" i="7"/>
  <c r="E3037" i="7"/>
  <c r="E3036" i="7"/>
  <c r="E3035" i="7"/>
  <c r="E3034" i="7"/>
  <c r="E3033" i="7"/>
  <c r="E3032" i="7"/>
  <c r="E3031" i="7"/>
  <c r="E3030" i="7"/>
  <c r="E3029" i="7"/>
  <c r="E3028" i="7"/>
  <c r="E3027" i="7"/>
  <c r="E3026" i="7"/>
  <c r="E3025" i="7"/>
  <c r="E3024" i="7"/>
  <c r="E3023" i="7"/>
  <c r="E3022" i="7"/>
  <c r="E3021" i="7"/>
  <c r="E3020" i="7"/>
  <c r="E3019" i="7"/>
  <c r="E3018" i="7"/>
  <c r="E3017" i="7"/>
  <c r="E3016" i="7"/>
  <c r="E3015" i="7"/>
  <c r="E3014" i="7"/>
  <c r="E3013" i="7"/>
  <c r="E3012" i="7"/>
  <c r="E3011" i="7"/>
  <c r="E3010" i="7"/>
  <c r="E3009" i="7"/>
  <c r="E3008" i="7"/>
  <c r="E3007" i="7"/>
  <c r="E3006" i="7"/>
  <c r="E3005" i="7"/>
  <c r="E3004" i="7"/>
  <c r="E3003" i="7"/>
  <c r="E3002" i="7"/>
  <c r="E3001" i="7"/>
  <c r="E3000" i="7"/>
  <c r="E2999" i="7"/>
  <c r="E2998" i="7"/>
  <c r="E2997" i="7"/>
  <c r="E2996" i="7"/>
  <c r="E2995" i="7"/>
  <c r="E2994" i="7"/>
  <c r="E2993" i="7"/>
  <c r="E2992" i="7"/>
  <c r="E2991" i="7"/>
  <c r="E2990" i="7"/>
  <c r="E2989" i="7"/>
  <c r="E2988" i="7"/>
  <c r="E2987" i="7"/>
  <c r="E2986" i="7"/>
  <c r="E2985" i="7"/>
  <c r="E2984" i="7"/>
  <c r="E2983" i="7"/>
  <c r="E2982" i="7"/>
  <c r="E2981" i="7"/>
  <c r="E2980" i="7"/>
  <c r="E2979" i="7"/>
  <c r="E2978" i="7"/>
  <c r="E2977" i="7"/>
  <c r="E2976" i="7"/>
  <c r="E2975" i="7"/>
  <c r="E2974" i="7"/>
  <c r="E2973" i="7"/>
  <c r="E2972" i="7"/>
  <c r="E2971" i="7"/>
  <c r="E2970" i="7"/>
  <c r="E2969" i="7"/>
  <c r="E2968" i="7"/>
  <c r="E2967" i="7"/>
  <c r="E2966" i="7"/>
  <c r="E2965" i="7"/>
  <c r="E2964" i="7"/>
  <c r="E2963" i="7"/>
  <c r="E2962" i="7"/>
  <c r="E2961" i="7"/>
  <c r="E2960" i="7"/>
  <c r="E2959" i="7"/>
  <c r="E2958" i="7"/>
  <c r="E2957" i="7"/>
  <c r="E2956" i="7"/>
  <c r="E2955" i="7"/>
  <c r="E2954" i="7"/>
  <c r="E2953" i="7"/>
  <c r="E2952" i="7"/>
  <c r="E2951" i="7"/>
  <c r="E2950" i="7"/>
  <c r="E2949" i="7"/>
  <c r="E2948" i="7"/>
  <c r="E2947" i="7"/>
  <c r="E2946" i="7"/>
  <c r="E2945" i="7"/>
  <c r="E2944" i="7"/>
  <c r="E2943" i="7"/>
  <c r="E2942" i="7"/>
  <c r="E2941" i="7"/>
  <c r="E2940" i="7"/>
  <c r="E2939" i="7"/>
  <c r="E2938" i="7"/>
  <c r="E2937" i="7"/>
  <c r="E2936" i="7"/>
  <c r="E2935" i="7"/>
  <c r="E2934" i="7"/>
  <c r="E2933" i="7"/>
  <c r="E2932" i="7"/>
  <c r="E2931" i="7"/>
  <c r="E2930" i="7"/>
  <c r="E2929" i="7"/>
  <c r="E2928" i="7"/>
  <c r="E2927" i="7"/>
  <c r="E2926" i="7"/>
  <c r="E2925" i="7"/>
  <c r="E2924" i="7"/>
  <c r="E2923" i="7"/>
  <c r="E2922" i="7"/>
  <c r="E2921" i="7"/>
  <c r="E2920" i="7"/>
  <c r="E2919" i="7"/>
  <c r="E2918" i="7"/>
  <c r="E2917" i="7"/>
  <c r="E2916" i="7"/>
  <c r="E2915" i="7"/>
  <c r="E2914" i="7"/>
  <c r="E2913" i="7"/>
  <c r="E2912" i="7"/>
  <c r="E2911" i="7"/>
  <c r="E2910" i="7"/>
  <c r="E41" i="8" l="1"/>
  <c r="F12" i="8"/>
  <c r="F20" i="8"/>
  <c r="F28" i="8"/>
  <c r="F30" i="8"/>
  <c r="L35" i="8"/>
  <c r="E42" i="8"/>
  <c r="L10" i="8"/>
  <c r="L12" i="8"/>
  <c r="L14" i="8"/>
  <c r="L16" i="8"/>
  <c r="L18" i="8"/>
  <c r="L20" i="8"/>
  <c r="L22" i="8"/>
  <c r="L24" i="8"/>
  <c r="L26" i="8"/>
  <c r="L28" i="8"/>
  <c r="L30" i="8"/>
  <c r="K42" i="8"/>
  <c r="K45" i="8"/>
  <c r="C3" i="8"/>
  <c r="F33" i="8"/>
  <c r="E39" i="8"/>
  <c r="E43" i="8"/>
  <c r="E46" i="8"/>
  <c r="F35" i="8"/>
  <c r="F10" i="8"/>
  <c r="F16" i="8"/>
  <c r="F18" i="8"/>
  <c r="F24" i="8"/>
  <c r="F26" i="8"/>
  <c r="K41" i="8"/>
  <c r="F9" i="8"/>
  <c r="F13" i="8"/>
  <c r="F17" i="8"/>
  <c r="F19" i="8"/>
  <c r="F23" i="8"/>
  <c r="F27" i="8"/>
  <c r="L33" i="8"/>
  <c r="K39" i="8"/>
  <c r="K43" i="8"/>
  <c r="F34" i="8"/>
  <c r="E40" i="8"/>
  <c r="E44" i="8"/>
  <c r="F14" i="8"/>
  <c r="F22" i="8"/>
  <c r="E45" i="8"/>
  <c r="I3" i="8"/>
  <c r="F11" i="8"/>
  <c r="F15" i="8"/>
  <c r="F21" i="8"/>
  <c r="F25" i="8"/>
  <c r="K46" i="8"/>
  <c r="L9" i="8"/>
  <c r="L11" i="8"/>
  <c r="L13" i="8"/>
  <c r="L15" i="8"/>
  <c r="L17" i="8"/>
  <c r="L19" i="8"/>
  <c r="L21" i="8"/>
  <c r="L23" i="8"/>
  <c r="L25" i="8"/>
  <c r="L27" i="8"/>
  <c r="L29" i="8"/>
  <c r="L34" i="8"/>
  <c r="K40" i="8"/>
  <c r="E44" i="5"/>
  <c r="I44" i="5" s="1"/>
  <c r="P44" i="5" s="1"/>
  <c r="J43" i="5"/>
  <c r="I43" i="5"/>
  <c r="P43" i="5" s="1"/>
  <c r="I42" i="5"/>
  <c r="P42" i="5" s="1"/>
  <c r="J41" i="5"/>
  <c r="I41" i="5"/>
  <c r="P41" i="5" s="1"/>
  <c r="I40" i="5"/>
  <c r="P40" i="5" s="1"/>
  <c r="J39" i="5"/>
  <c r="I39" i="5"/>
  <c r="P39" i="5" s="1"/>
  <c r="I38" i="5"/>
  <c r="P38" i="5" s="1"/>
  <c r="J37" i="5"/>
  <c r="I37" i="5"/>
  <c r="P37" i="5" s="1"/>
  <c r="I36" i="5"/>
  <c r="P36" i="5" s="1"/>
  <c r="J35" i="5"/>
  <c r="I35" i="5"/>
  <c r="P35" i="5" s="1"/>
  <c r="I34" i="5"/>
  <c r="P34" i="5" s="1"/>
  <c r="M33" i="5"/>
  <c r="L33" i="5"/>
  <c r="K33" i="5"/>
  <c r="J33" i="5"/>
  <c r="I33" i="5"/>
  <c r="P33" i="5" s="1"/>
  <c r="I32" i="5"/>
  <c r="P32" i="5" s="1"/>
  <c r="M31" i="5"/>
  <c r="L31" i="5"/>
  <c r="I31" i="5"/>
  <c r="P31" i="5" s="1"/>
  <c r="J30" i="5"/>
  <c r="I30" i="5"/>
  <c r="P30" i="5" s="1"/>
  <c r="I29" i="5"/>
  <c r="P29" i="5" s="1"/>
  <c r="M28" i="5"/>
  <c r="L28" i="5"/>
  <c r="K28" i="5"/>
  <c r="J28" i="5"/>
  <c r="I28" i="5"/>
  <c r="P28" i="5" s="1"/>
  <c r="I27" i="5"/>
  <c r="P27" i="5" s="1"/>
  <c r="M26" i="5"/>
  <c r="I26" i="5"/>
  <c r="P26" i="5" s="1"/>
  <c r="M25" i="5"/>
  <c r="L25" i="5"/>
  <c r="K25" i="5"/>
  <c r="J25" i="5"/>
  <c r="I25" i="5"/>
  <c r="P25" i="5" s="1"/>
  <c r="E22" i="5"/>
  <c r="P21" i="5"/>
  <c r="O21" i="5"/>
  <c r="I21" i="5"/>
  <c r="J21" i="5" s="1"/>
  <c r="I20" i="5"/>
  <c r="M20" i="5" s="1"/>
  <c r="O19" i="5"/>
  <c r="J19" i="5"/>
  <c r="I19" i="5"/>
  <c r="N19" i="5" s="1"/>
  <c r="I18" i="5"/>
  <c r="O18" i="5" s="1"/>
  <c r="I17" i="5"/>
  <c r="P17" i="5" s="1"/>
  <c r="P16" i="5"/>
  <c r="I16" i="5"/>
  <c r="O16" i="5" s="1"/>
  <c r="N15" i="5"/>
  <c r="M15" i="5"/>
  <c r="L15" i="5"/>
  <c r="K15" i="5"/>
  <c r="I15" i="5"/>
  <c r="J15" i="5" s="1"/>
  <c r="E14" i="5"/>
  <c r="I14" i="5" s="1"/>
  <c r="N13" i="5"/>
  <c r="I13" i="5"/>
  <c r="M13" i="5" s="1"/>
  <c r="J12" i="5"/>
  <c r="I12" i="5"/>
  <c r="N12" i="5" s="1"/>
  <c r="I11" i="5"/>
  <c r="O11" i="5" s="1"/>
  <c r="I10" i="5"/>
  <c r="P10" i="5" s="1"/>
  <c r="P9" i="5"/>
  <c r="M9" i="5"/>
  <c r="L9" i="5"/>
  <c r="I9" i="5"/>
  <c r="O9" i="5" s="1"/>
  <c r="K8" i="5"/>
  <c r="I8" i="5"/>
  <c r="J8" i="5" s="1"/>
  <c r="I7" i="5"/>
  <c r="P7" i="5" s="1"/>
  <c r="P6" i="5"/>
  <c r="I6" i="5"/>
  <c r="J6" i="5" s="1"/>
  <c r="N5" i="5"/>
  <c r="I5" i="5"/>
  <c r="M5" i="5" s="1"/>
  <c r="I4" i="5"/>
  <c r="N4" i="5" s="1"/>
  <c r="I3" i="5"/>
  <c r="O3" i="5" s="1"/>
  <c r="L8" i="5" l="1"/>
  <c r="O12" i="5"/>
  <c r="N20" i="5"/>
  <c r="J27" i="5"/>
  <c r="K30" i="5"/>
  <c r="L35" i="5"/>
  <c r="L37" i="5"/>
  <c r="L39" i="5"/>
  <c r="L41" i="5"/>
  <c r="L43" i="5"/>
  <c r="K6" i="5"/>
  <c r="M39" i="5"/>
  <c r="J3" i="5"/>
  <c r="J7" i="5"/>
  <c r="I22" i="5"/>
  <c r="P22" i="5" s="1"/>
  <c r="J32" i="5"/>
  <c r="M37" i="5"/>
  <c r="M43" i="5"/>
  <c r="P3" i="5"/>
  <c r="L7" i="5"/>
  <c r="N8" i="5"/>
  <c r="J16" i="5"/>
  <c r="K21" i="5"/>
  <c r="L27" i="5"/>
  <c r="M30" i="5"/>
  <c r="M44" i="5"/>
  <c r="M6" i="5"/>
  <c r="M7" i="5"/>
  <c r="Q7" i="5" s="1"/>
  <c r="J11" i="5"/>
  <c r="K16" i="5"/>
  <c r="P18" i="5"/>
  <c r="L21" i="5"/>
  <c r="J26" i="5"/>
  <c r="M27" i="5"/>
  <c r="K29" i="5"/>
  <c r="L32" i="5"/>
  <c r="J34" i="5"/>
  <c r="J36" i="5"/>
  <c r="J38" i="5"/>
  <c r="J42" i="5"/>
  <c r="J4" i="5"/>
  <c r="N6" i="5"/>
  <c r="N7" i="5"/>
  <c r="J9" i="5"/>
  <c r="K11" i="5"/>
  <c r="L16" i="5"/>
  <c r="M21" i="5"/>
  <c r="Q21" i="5" s="1"/>
  <c r="K26" i="5"/>
  <c r="L29" i="5"/>
  <c r="J31" i="5"/>
  <c r="M32" i="5"/>
  <c r="L34" i="5"/>
  <c r="L36" i="5"/>
  <c r="L38" i="5"/>
  <c r="L40" i="5"/>
  <c r="L42" i="5"/>
  <c r="K3" i="5"/>
  <c r="K7" i="5"/>
  <c r="M8" i="5"/>
  <c r="J18" i="5"/>
  <c r="K27" i="5"/>
  <c r="L30" i="5"/>
  <c r="M35" i="5"/>
  <c r="M41" i="5"/>
  <c r="L6" i="5"/>
  <c r="K18" i="5"/>
  <c r="J29" i="5"/>
  <c r="K32" i="5"/>
  <c r="J40" i="5"/>
  <c r="O4" i="5"/>
  <c r="O6" i="5"/>
  <c r="O7" i="5"/>
  <c r="K9" i="5"/>
  <c r="P11" i="5"/>
  <c r="M16" i="5"/>
  <c r="N21" i="5"/>
  <c r="L26" i="5"/>
  <c r="M29" i="5"/>
  <c r="K31" i="5"/>
  <c r="M34" i="5"/>
  <c r="M36" i="5"/>
  <c r="M38" i="5"/>
  <c r="M40" i="5"/>
  <c r="M42" i="5"/>
  <c r="Q9" i="5"/>
  <c r="Q13" i="5"/>
  <c r="K14" i="5"/>
  <c r="J14" i="5"/>
  <c r="P14" i="5"/>
  <c r="O14" i="5"/>
  <c r="N14" i="5"/>
  <c r="M14" i="5"/>
  <c r="L14" i="5"/>
  <c r="P4" i="5"/>
  <c r="O5" i="5"/>
  <c r="Q5" i="5" s="1"/>
  <c r="J10" i="5"/>
  <c r="P12" i="5"/>
  <c r="O13" i="5"/>
  <c r="J17" i="5"/>
  <c r="P19" i="5"/>
  <c r="O20" i="5"/>
  <c r="Q20" i="5" s="1"/>
  <c r="L22" i="5"/>
  <c r="K34" i="5"/>
  <c r="K35" i="5"/>
  <c r="K36" i="5"/>
  <c r="K37" i="5"/>
  <c r="K38" i="5"/>
  <c r="K39" i="5"/>
  <c r="K40" i="5"/>
  <c r="K41" i="5"/>
  <c r="K42" i="5"/>
  <c r="K43" i="5"/>
  <c r="J44" i="5"/>
  <c r="P5" i="5"/>
  <c r="K10" i="5"/>
  <c r="P13" i="5"/>
  <c r="K17" i="5"/>
  <c r="P20" i="5"/>
  <c r="K44" i="5"/>
  <c r="L10" i="5"/>
  <c r="L17" i="5"/>
  <c r="L44" i="5"/>
  <c r="L3" i="5"/>
  <c r="K4" i="5"/>
  <c r="J5" i="5"/>
  <c r="O8" i="5"/>
  <c r="Q8" i="5" s="1"/>
  <c r="N9" i="5"/>
  <c r="M10" i="5"/>
  <c r="L11" i="5"/>
  <c r="K12" i="5"/>
  <c r="J13" i="5"/>
  <c r="O15" i="5"/>
  <c r="Q15" i="5" s="1"/>
  <c r="N16" i="5"/>
  <c r="Q16" i="5" s="1"/>
  <c r="M17" i="5"/>
  <c r="Q17" i="5" s="1"/>
  <c r="L18" i="5"/>
  <c r="K19" i="5"/>
  <c r="J20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M3" i="5"/>
  <c r="Q3" i="5" s="1"/>
  <c r="L4" i="5"/>
  <c r="K5" i="5"/>
  <c r="P8" i="5"/>
  <c r="N10" i="5"/>
  <c r="M11" i="5"/>
  <c r="L12" i="5"/>
  <c r="K13" i="5"/>
  <c r="P15" i="5"/>
  <c r="N17" i="5"/>
  <c r="M18" i="5"/>
  <c r="L19" i="5"/>
  <c r="K20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N44" i="5"/>
  <c r="N3" i="5"/>
  <c r="M4" i="5"/>
  <c r="L5" i="5"/>
  <c r="O10" i="5"/>
  <c r="N11" i="5"/>
  <c r="M12" i="5"/>
  <c r="Q12" i="5" s="1"/>
  <c r="L13" i="5"/>
  <c r="O17" i="5"/>
  <c r="N18" i="5"/>
  <c r="M19" i="5"/>
  <c r="Q19" i="5" s="1"/>
  <c r="L20" i="5"/>
  <c r="O44" i="5"/>
  <c r="O22" i="5" l="1"/>
  <c r="Q6" i="5"/>
  <c r="Q4" i="5"/>
  <c r="J22" i="5"/>
  <c r="K22" i="5"/>
  <c r="N22" i="5"/>
  <c r="M22" i="5"/>
  <c r="Q22" i="5" s="1"/>
  <c r="Q11" i="5"/>
  <c r="Q14" i="5"/>
  <c r="Q18" i="5"/>
  <c r="Q10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<sst xmlns="http://schemas.openxmlformats.org/spreadsheetml/2006/main" count="137649" uniqueCount="59816">
  <si>
    <t>ID</t>
  </si>
  <si>
    <t>Type</t>
  </si>
  <si>
    <t>Number of contigs &gt; 2000bp</t>
  </si>
  <si>
    <t>Largest contig (KB)</t>
  </si>
  <si>
    <t>Total length of contigs</t>
  </si>
  <si>
    <t>GC%</t>
  </si>
  <si>
    <t xml:space="preserve">N50 </t>
  </si>
  <si>
    <t>N90</t>
  </si>
  <si>
    <t>L50 (KB)</t>
  </si>
  <si>
    <t>L90 (KB)</t>
  </si>
  <si>
    <t>04.17.UV</t>
  </si>
  <si>
    <t>ultravirome</t>
  </si>
  <si>
    <t>05.17.UV</t>
  </si>
  <si>
    <t>07.05.UV</t>
  </si>
  <si>
    <t>09.11.UV</t>
  </si>
  <si>
    <t>10.23.UV</t>
  </si>
  <si>
    <t>DNAUV</t>
  </si>
  <si>
    <t>pooled ultraviromes</t>
  </si>
  <si>
    <t>04.17.p1</t>
  </si>
  <si>
    <t>megavirome</t>
  </si>
  <si>
    <t>38.21</t>
  </si>
  <si>
    <t>04.17.p2</t>
  </si>
  <si>
    <t>04.17.p3</t>
  </si>
  <si>
    <t>04.17.p4</t>
  </si>
  <si>
    <t>05.17.p3</t>
  </si>
  <si>
    <t>05.17.p4</t>
  </si>
  <si>
    <t>07.05.p3</t>
  </si>
  <si>
    <t>07.05.p4</t>
  </si>
  <si>
    <t>09.11.p1</t>
  </si>
  <si>
    <t>09.11.p2</t>
  </si>
  <si>
    <t>09.11.p3</t>
  </si>
  <si>
    <t>09.11.p4</t>
  </si>
  <si>
    <t>10.23.p2</t>
  </si>
  <si>
    <t>10.23.p4</t>
  </si>
  <si>
    <t>contig</t>
  </si>
  <si>
    <t>length</t>
  </si>
  <si>
    <t>cov.</t>
  </si>
  <si>
    <t># ORFs w/ match</t>
  </si>
  <si>
    <t># ORFs used for tax assignment</t>
  </si>
  <si>
    <t># ORF w/ any viral match</t>
  </si>
  <si>
    <t>% ORF w/ any viral match</t>
  </si>
  <si>
    <t>CLASSIFICATION</t>
  </si>
  <si>
    <t>VOTE 1</t>
  </si>
  <si>
    <t>VOTE 2</t>
  </si>
  <si>
    <t>VOTE 3</t>
  </si>
  <si>
    <t>17.04.P1-9.178-12</t>
  </si>
  <si>
    <t>PROKVIRUS</t>
  </si>
  <si>
    <t>Viruses[1];Caudovirales[1];Ackermannviridae[1];Aglimvirinae[1];Agtrevirus[1];Salmonella virus SKML39[1];Salmonella phage SKML-39[1]</t>
  </si>
  <si>
    <t>Viruses;Caudovirales;Ackermannviridae;Aglimvirinae;Agtrevirus;Salmonella virus SKML39;Salmonella phage SKML-39</t>
  </si>
  <si>
    <t>17.04.P4-3.444-6.2</t>
  </si>
  <si>
    <t>Viruses[1];Caudovirales[1];Ackermannviridae[1];unclassified Ackermannviridae[1];Bacillales[1];Bacillaceae[1];Bacillus[1];unclassified Bacillus[1];Bacillus sp. 7586-K[1]</t>
  </si>
  <si>
    <t>Viruses;Caudovirales;Ackermannviridae;unclassified Ackermannviridae;Bacillales;Bacillaceae;Bacillus;unclassified Bacillus;Bacillus sp. 7586-K</t>
  </si>
  <si>
    <t>Viruses[1];Caudovirales[1];Ackermannviridae[1];unclassified Ackermannviridae[1];Aeromonas phage phiA8-29[1]</t>
  </si>
  <si>
    <t>17.04.P2-4.536-2.0</t>
  </si>
  <si>
    <t>Viruses[1];Caudovirales[1];Ackermannviridae[1];unclassified Ackermannviridae[1];Cryptomycota[1];Cryptomycota incertae sedis[1];Rozella[1];Rozella allomycis[1];Rozella allomycis CSF55[1]</t>
  </si>
  <si>
    <t>Viruses;Caudovirales;Ackermannviridae;unclassified Ackermannviridae;Cryptomycota;Cryptomycota incertae sedis;Rozella;Rozella allomycis;Rozella allomycis CSF55</t>
  </si>
  <si>
    <t>Viruses[1];Caudovirales[1];Ackermannviridae[1];unclassified Ackermannviridae[1];Vibrio phage 1.244.A._10N.261.54.C3[1]</t>
  </si>
  <si>
    <t>11.09.P3-2.442-12</t>
  </si>
  <si>
    <t>Viruses[1];Caudovirales[1];Ackermannviridae[1];unclassified Ackermannviridae[1];Erwinia phage vB_EamM-Bue1[1]</t>
  </si>
  <si>
    <t>Viruses;Caudovirales;Ackermannviridae;unclassified Ackermannviridae;Erwinia phage vB_EamM-Bue1</t>
  </si>
  <si>
    <t>17.04.P2-6.904-2.6</t>
  </si>
  <si>
    <t>Viruses[2];Caudovirales[2];Ackermannviridae[1];unclassified Ackermannviridae[1];Pseudobacteriovoracaceae[1];Pseudomonas[1];Pseudomonas stutzeri group[1];Pseudomonas stutzeri subgroup[1];Pseudomonas stutzeri[1]</t>
  </si>
  <si>
    <t>Viruses;Caudovirales;Ackermannviridae;unclassified Ackermannviridae;Pseudobacteriovoracaceae;Pseudomonas;Pseudomonas stutzeri group;Pseudomonas stutzeri subgroup;Pseudomonas stutzeri</t>
  </si>
  <si>
    <t>Viruses[2];Caudovirales[2];Ackermannviridae[1];unclassified Ackermannviridae[1];Stenotrophomonas phage vB_SmaS-DLP_6[1]</t>
  </si>
  <si>
    <t>11.09.P2-2.408-4.7</t>
  </si>
  <si>
    <t>Viruses[1];Caudovirales[1];Ackermannviridae[1];unclassified Ackermannviridae[1];Ralstonia phage RSP15[1]</t>
  </si>
  <si>
    <t>Viruses;Caudovirales;Ackermannviridae;unclassified Ackermannviridae;Ralstonia phage RSP15</t>
  </si>
  <si>
    <t>11.09.P1-3.601-43</t>
  </si>
  <si>
    <t>Viruses[1];Caudovirales[1];Ackermannviridae[1];unclassified Ackermannviridae[1];Serratia phage 2050H1[1]</t>
  </si>
  <si>
    <t>Viruses;Caudovirales;Ackermannviridae;unclassified Ackermannviridae;Serratia phage 2050H1</t>
  </si>
  <si>
    <t>17.04.P4-5.635-25</t>
  </si>
  <si>
    <t>Viruses[1];Caudovirales[1];Ackermannviridae[1];unclassified Ackermannviridae[1];Solirubrobacterales[1];Solirubrobacteraceae[1];Solirubrobacter[1];Solirubrobacter soli[1]</t>
  </si>
  <si>
    <t>Viruses;Caudovirales;Ackermannviridae;unclassified Ackermannviridae;Solirubrobacterales;Solirubrobacteraceae;Solirubrobacter;Solirubrobacter soli</t>
  </si>
  <si>
    <t>Viruses[1];Caudovirales[1];Ackermannviridae[1];unclassified Ackermannviridae[1];Stenotrophomonas phage vB_SmaS-DLP_6[1]</t>
  </si>
  <si>
    <t>23.10.P2-3.244-10</t>
  </si>
  <si>
    <t>Viruses[1];Caudovirales[1];Ackermannviridae[1];unclassified Ackermannviridae[1];Stenotrophomonas phage IME-SM1[1]</t>
  </si>
  <si>
    <t>Viruses;Caudovirales;Ackermannviridae;unclassified Ackermannviridae;Stenotrophomonas phage IME-SM1</t>
  </si>
  <si>
    <t>11.09.P2-6.233-4.5</t>
  </si>
  <si>
    <t>Viruses[4];Caudovirales[4];Ackermannviridae[3];unclassified Ackermannviridae[3];Stenotrophomonas phage vB_SmaS-DLP_6[2];Roseovarius[1];unclassified Escherichia[1];Escherichia sp. MOD1-EC4516[1]</t>
  </si>
  <si>
    <t>Viruses;Caudovirales;Ackermannviridae;unclassified Ackermannviridae;Stenotrophomonas phage vB_SmaS-DLP_6;Roseovarius;unclassified Escherichia;Escherichia sp. MOD1-EC4516</t>
  </si>
  <si>
    <t>Viruses[4];Caudovirales[4];Ackermannviridae[3];unclassified Ackermannviridae[3];Stenotrophomonas phage vB_SmaS-DLP_6[2];Sinorhizobium phage phiM12[1]</t>
  </si>
  <si>
    <t>17.04.P4-2.617-9.2</t>
  </si>
  <si>
    <t>Viruses;Caudovirales;Ackermannviridae;unclassified Ackermannviridae;Vibrio phage 1.244.A._10N.261.54.C3</t>
  </si>
  <si>
    <t>11.09.P2-4.877-48</t>
  </si>
  <si>
    <t>Viruses[2];Caudovirales[2];Ackermannviridae[1];unclassified Myoviridae[1];Caulobacter phage Cr30[1]</t>
  </si>
  <si>
    <t>Viruses;Caudovirales;Ackermannviridae;unclassified Myoviridae;Caulobacter phage Cr30</t>
  </si>
  <si>
    <t>11.09.P2-8.592-23</t>
  </si>
  <si>
    <t>Viruses[6];Caudovirales[6];Ackermannviridae[2];unclassified Myoviridae[2];Nonlabens virus P12024L[2];Nonlabens phage P12024L[2]</t>
  </si>
  <si>
    <t>Viruses;Caudovirales;Ackermannviridae;unclassified Myoviridae;Nonlabens virus P12024L;Nonlabens phage P12024L</t>
  </si>
  <si>
    <t>Viruses[6];Caudovirales[6];Myoviridae[2];unclassified Myoviridae[2];Nonlabens virus P12024L[2];Nonlabens phage P12024L[2]</t>
  </si>
  <si>
    <t>17.04.P4-8.360-23</t>
  </si>
  <si>
    <t>Viruses[2];Caudovirales[2];Ackermannviridae[1];unclassified Podoviridae[1];Pseudomonadaceae[1];Pseudomonas[1];Pseudomonas stutzeri group[1];Pseudomonas stutzeri subgroup[1];Pseudomonas stutzeri[1]</t>
  </si>
  <si>
    <t>Viruses;Caudovirales;Ackermannviridae;unclassified Podoviridae;Pseudomonadaceae;Pseudomonas;Pseudomonas stutzeri group;Pseudomonas stutzeri subgroup;Pseudomonas stutzeri</t>
  </si>
  <si>
    <t>Viruses[2];Caudovirales[2];Ackermannviridae[1];unclassified Ackermannviridae[1];Sinorhizobium phage phiM6[1]</t>
  </si>
  <si>
    <t>17.04.P3-6.380-4.8</t>
  </si>
  <si>
    <t>Viruses[3];Caudovirales[2];Alphaproteobacteria[2];Rhodospirillales[2];Caulobacter virus Rogue[1];Acetobacter[1];unclassified Acetobacter[1];Acetobacter sp. DsW_063[1]</t>
  </si>
  <si>
    <t>Viruses;Caudovirales;Alphaproteobacteria;Rhodospirillales;Caulobacter virus Rogue;Acetobacter;unclassified Acetobacter;Acetobacter sp. DsW_063</t>
  </si>
  <si>
    <t>Viruses[3];Caudovirales[2];Siphoviridae[1];unclassified Myoviridae[1];Cafeteria roenbergensis virus BV-PW1[1]</t>
  </si>
  <si>
    <t>11.09.P4-15.476-7.9</t>
  </si>
  <si>
    <t>Viruses[7];Caudovirales[6];Alphaproteobacteria[4];unclassified Myoviridae[3];Stenotrophomonas phage vB_SmaS-DLP_6[2];Marinobacter[1];Acetobacter pasteurianus[1];unclassified Rhizobium[1];Rhizobium sp. Leaf341[1]</t>
  </si>
  <si>
    <t>Viruses;Caudovirales;Alphaproteobacteria;unclassified Myoviridae;Stenotrophomonas phage vB_SmaS-DLP_6;Marinobacter;Acetobacter pasteurianus;unclassified Rhizobium;Rhizobium sp. Leaf341</t>
  </si>
  <si>
    <t>Viruses[7];Caudovirales[6];Myoviridae[3];unclassified Myoviridae[3];Stenotrophomonas phage vB_SmaS-DLP_6[2]</t>
  </si>
  <si>
    <t>17.04.P4-22.831-21</t>
  </si>
  <si>
    <t>Viruses[8];Caudovirales[8];Alphaproteobacteria[6];unclassified Podoviridae[3];Bradyrhizobiaceae[3];Bradyrhizobium[3];Bradyrhizobium erythrophlei[3];Methanotorris igneus[1];Rickettsia aeschlimannii[1]</t>
  </si>
  <si>
    <t>Viruses;Caudovirales;Alphaproteobacteria;unclassified Podoviridae;Bradyrhizobiaceae;Bradyrhizobium;Bradyrhizobium erythrophlei;Methanotorris igneus;Rickettsia aeschlimannii</t>
  </si>
  <si>
    <t>Viruses[8];Caudovirales[8];Podoviridae[5];unclassified Podoviridae[3];Sinorhizobium phage phiM6[2];Roseobacter phage RDJL Phi 1[1]</t>
  </si>
  <si>
    <t>17.04.P4-9.258-7.4</t>
  </si>
  <si>
    <t>Viruses[3];Caudovirales[3];Bacteroidetes/Chlorobi group[3];Bacteroidetes[3];crAss-like viruses[2];Flavobacteriales[2];Flavobacteriaceae[2];Aquimarina[1];Aquimarina megaterium[1]</t>
  </si>
  <si>
    <t>Viruses;Caudovirales;Bacteroidetes/Chlorobi group;Bacteroidetes;crAss-like viruses;Flavobacteriales;Flavobacteriaceae;Aquimarina;Aquimarina megaterium</t>
  </si>
  <si>
    <t>Viruses[3];Caudovirales[3];Podoviridae[2];unclassified Podoviridae[2];crAss-like viruses[2];Cellulophaga phage phi14:2[1]</t>
  </si>
  <si>
    <t>11.09.P3-5.335-18</t>
  </si>
  <si>
    <t>Viruses[2];Caudovirales[1];Chlorovirus[1];unclassified Myoviridae[1];Paramecium bursaria Chlorella virus CZ-2[1]</t>
  </si>
  <si>
    <t>Viruses;Caudovirales;Chlorovirus;unclassified Myoviridae;Paramecium bursaria Chlorella virus CZ-2</t>
  </si>
  <si>
    <t>Viruses[2];Caudovirales[1];Chlorovirus[1];unclassified Myoviridae[1];Synechococcus phage S-PM2[1]</t>
  </si>
  <si>
    <t>17.04.P4-6.737-15</t>
  </si>
  <si>
    <t>Viruses[1];Caudovirales[1];Herelleviridae[1];Bastillevirinae[1];Bequatrovirus[1];Bacillus virus Spock[1];Porphyromonadaceae[1];Porphyromonas[1];Porphyromonas levii[1]</t>
  </si>
  <si>
    <t>Viruses;Caudovirales;Herelleviridae;Bastillevirinae;Bequatrovirus;Bacillus virus Spock;Porphyromonadaceae;Porphyromonas;Porphyromonas levii</t>
  </si>
  <si>
    <t>Viruses[1];Caudovirales[1];Herelleviridae[1];Bastillevirinae[1];Bequatrovirus[1];Bacillus virus Spock[1];Bacillus phage Spock[1]</t>
  </si>
  <si>
    <t>11.09.P2-4.671-36</t>
  </si>
  <si>
    <t>Viruses[1];Caudovirales[1];Herelleviridae[1];Jasinkavirinae[1];Pecentumvirus[1];Listeria virus A511[1]</t>
  </si>
  <si>
    <t>Viruses;Caudovirales;Herelleviridae;Jasinkavirinae;Pecentumvirus;Listeria virus A511</t>
  </si>
  <si>
    <t>11.09.P1-2.691-22</t>
  </si>
  <si>
    <t>Viruses[1];Caudovirales[1];Herelleviridae[1];Spounavirinae[1];Okubovirus[1];Bacillus virus SPO1[1]</t>
  </si>
  <si>
    <t>Viruses;Caudovirales;Herelleviridae;Spounavirinae;Okubovirus;Bacillus virus SPO1</t>
  </si>
  <si>
    <t>11.09.P3-2.663-3.2</t>
  </si>
  <si>
    <t>Viruses[1];Caudovirales[1];Herelleviridae[1];Spounavirinae[1];Siminovitchvirus[1];Bacillus virus CP51[1];Bacillus phage CP-51[1]</t>
  </si>
  <si>
    <t>Viruses;Caudovirales;Herelleviridae;Spounavirinae;Siminovitchvirus;Bacillus virus CP51;Bacillus phage CP-51</t>
  </si>
  <si>
    <t>17.04.P3-15.672-14</t>
  </si>
  <si>
    <t>Viruses[4];Caudovirales[4];Herelleviridae[4];Spounavirinae[4];unclassified Spounavirinae[2];Bacillus virus SPO1[2];Streptomyces[2];Streptomyces bicolor[2]</t>
  </si>
  <si>
    <t>Viruses;Caudovirales;Herelleviridae;Spounavirinae;unclassified Spounavirinae;Bacillus virus SPO1;Streptomyces;Streptomyces bicolor</t>
  </si>
  <si>
    <t>Viruses[4];Caudovirales[4];Herelleviridae[4];Spounavirinae[4];unclassified Spounavirinae[2];Bacillus virus SPO1[2]</t>
  </si>
  <si>
    <t>17.04.P1-4.927-3.4</t>
  </si>
  <si>
    <t>Viruses[1];Caudovirales[1];Herelleviridae[1];Twortvirinae[1];unclassified Twortvirinae[1];Staphylococcus phage phiSA_BS1[1];Thermococcus paralvinellae[1]</t>
  </si>
  <si>
    <t>Viruses;Caudovirales;Herelleviridae;Twortvirinae;unclassified Twortvirinae;Staphylococcus phage phiSA_BS1;Thermococcus paralvinellae</t>
  </si>
  <si>
    <t>Viruses[1];Caudovirales[1];Herelleviridae[1];Twortvirinae[1];unclassified Twortvirinae[1];Staphylococcus phage phiSA_BS1[1]</t>
  </si>
  <si>
    <t>17.05.P4-3.408-47</t>
  </si>
  <si>
    <t>Viruses[2];Caudovirales[1];Mimivirus[1];Acanthamoeba polyphaga mimivirus[1];Bastillevirus[1];unclassified Bastillevirus[1];Bacillus phage OTooleKemple52[1]</t>
  </si>
  <si>
    <t>Viruses;Caudovirales;Mimivirus;Acanthamoeba polyphaga mimivirus;Bastillevirus;unclassified Bastillevirus;Bacillus phage OTooleKemple52</t>
  </si>
  <si>
    <t>Viruses[2];Caudovirales[1];Herelleviridae[1];Acanthamoeba polyphaga mimivirus[1];Bastillevirus[1];unclassified Bastillevirus[1];Bacillus phage OTooleKemple52[1]</t>
  </si>
  <si>
    <t>11.09.P2-9.198-18</t>
  </si>
  <si>
    <t>Viruses[2];Caudovirales[2];Myoviridae[2];Alcyoneusvirus[2];Klebsiella virus RaK2[2];Klebsiella phage vB_KleM_RaK2[2]</t>
  </si>
  <si>
    <t>Viruses;Caudovirales;Myoviridae;Alcyoneusvirus;Klebsiella virus RaK2;Klebsiella phage vB_KleM_RaK2</t>
  </si>
  <si>
    <t>11.09.P1-4.232-18</t>
  </si>
  <si>
    <t>Viruses[3];Caudovirales[3];Myoviridae[3];Asteriusvirus[2];Escherichia virus 121Q[2];Escherichia phage 121Q[2]</t>
  </si>
  <si>
    <t>Viruses;Caudovirales;Myoviridae;Asteriusvirus;Escherichia virus 121Q;Escherichia phage 121Q</t>
  </si>
  <si>
    <t>23.10.P4-5.088-2.2</t>
  </si>
  <si>
    <t>Viruses[3];Caudovirales[3];Myoviridae[3];Asteriusvirus[1];Escherichia virus 121Q[1];Thiomicrospira[1];Thiomicrospira microaerophila[1]</t>
  </si>
  <si>
    <t>Viruses;Caudovirales;Myoviridae;Asteriusvirus;Escherichia virus 121Q;Thiomicrospira;Thiomicrospira microaerophila</t>
  </si>
  <si>
    <t>Viruses[3];Caudovirales[3];Myoviridae[3];Eneladusvirus[1];Escherichia virus 121Q[1];Escherichia phage 121Q[1]</t>
  </si>
  <si>
    <t>11.09.P4-15.544-4.9</t>
  </si>
  <si>
    <t>Viruses[3];Caudovirales[3];Myoviridae[3];Asteriusvirus[2];unclassified Asteriusvirus[1];Escherichia phage vB_Eco_slurp01[1];Skermanella stibiiresistens[1]</t>
  </si>
  <si>
    <t>Viruses;Caudovirales;Myoviridae;Asteriusvirus;unclassified Asteriusvirus;Escherichia phage vB_Eco_slurp01;Skermanella stibiiresistens</t>
  </si>
  <si>
    <t>Viruses[3];Caudovirales[3];Myoviridae[3];Asteriusvirus[2];Escherichia virus 121Q[1];Escherichia phage vB_Eco_slurp01[1]</t>
  </si>
  <si>
    <t>17.04.P1-4.643-3.4</t>
  </si>
  <si>
    <t>Viruses[1];Caudovirales[1];Myoviridae[1];Bacillus virus G[1];Bacillales[1];Paenibacillaceae[1];Paenibacillus[1];Paenibacillus tyrfis[1]</t>
  </si>
  <si>
    <t>Viruses;Caudovirales;Myoviridae;Bacillus virus G;Bacillales;Paenibacillaceae;Paenibacillus;Paenibacillus tyrfis</t>
  </si>
  <si>
    <t>Viruses[1];Caudovirales[1];Myoviridae[1];Bacillus virus G[1]</t>
  </si>
  <si>
    <t>17.04.P4-7.910-7.0</t>
  </si>
  <si>
    <t>Viruses[2];Caudovirales[2];Myoviridae[2];Bacillus virus G[1];Klebsiella virus K64-1[1];Klebsiella phage K64-1[1]</t>
  </si>
  <si>
    <t>Viruses;Caudovirales;Myoviridae;Bacillus virus G;Klebsiella virus K64-1;Klebsiella phage K64-1</t>
  </si>
  <si>
    <t>17.04.P4-6.870-7.6</t>
  </si>
  <si>
    <t>Viruses[1];Caudovirales[1];Myoviridae[1];Bacillus virus PBS1[1]</t>
  </si>
  <si>
    <t>Viruses;Caudovirales;Myoviridae;Bacillus virus PBS1</t>
  </si>
  <si>
    <t>17.04.P4-3.103-2.5</t>
  </si>
  <si>
    <t>Viruses[1];Caudovirales[1];Myoviridae[1];Bacillus virus PBS1[1];Bacillales[1];Bacillaceae[1];Bacillus[1];Bacillus subtilis group[1];Bacillus subtilis[1]</t>
  </si>
  <si>
    <t>Viruses;Caudovirales;Myoviridae;Bacillus virus PBS1;Bacillales;Bacillaceae;Bacillus;Bacillus subtilis group;Bacillus subtilis</t>
  </si>
  <si>
    <t>23.10.P4-3.020-2.6</t>
  </si>
  <si>
    <t>Viruses[2];Caudovirales[2];Myoviridae[1];Betterkatzvirus[1];Gordonia virus BetterKatz[1];Bacteroidales[1];Bacteroidaceae[1];Bacteroides[1];Bacteroides ihuae[1]</t>
  </si>
  <si>
    <t>Viruses;Caudovirales;Myoviridae;Betterkatzvirus;Gordonia virus BetterKatz;Bacteroidales;Bacteroidaceae;Bacteroides;Bacteroides ihuae</t>
  </si>
  <si>
    <t>Viruses[2];Caudovirales[2];Siphoviridae[1];unclassified Myoviridae[1];Gordonia virus BetterKatz[1];Gordonia phage BetterKatz[1]</t>
  </si>
  <si>
    <t>05.07.P3-10.289-13</t>
  </si>
  <si>
    <t>Viruses[3];Caudovirales[3];Myoviridae[3];Busanvirus[1];Acidovorax virus ACP17[1];Cronobacter phage vB_CsaM_GAP32[1];Polynucleobacter asymbioticus[1];unclassified Synechococcus[1];Synechococcus sp. TMED187[1]</t>
  </si>
  <si>
    <t>Viruses;Caudovirales;Myoviridae;Busanvirus;Acidovorax virus ACP17;Cronobacter phage vB_CsaM_GAP32;Polynucleobacter asymbioticus;unclassified Synechococcus;Synechococcus sp. TMED187</t>
  </si>
  <si>
    <t>Viruses[3];Caudovirales[3];Myoviridae[3];Eneladusvirus[1];Acidovorax virus ACP17[1];Acidovorax phage ACP17[1]</t>
  </si>
  <si>
    <t>17.04.P2-3.522-2.8</t>
  </si>
  <si>
    <t>Viruses[3];Caudovirales[3];Myoviridae[3];Chiangmaivirus[2];Bacteriovoracaceae[2];Bacteriovorax[2];unclassified Bacteriovorax[2];Bacteriovorax sp. MedPE-SWde[2]</t>
  </si>
  <si>
    <t>Viruses;Caudovirales;Myoviridae;Chiangmaivirus;Bacteriovoracaceae;Bacteriovorax;unclassified Bacteriovorax;Bacteriovorax sp. MedPE-SWde</t>
  </si>
  <si>
    <t>Viruses[3];Caudovirales[3];Myoviridae[3];Chiangmaivirus[2];Ralstonia virus RSL2[1];Ralstonia phage RSF1[1]</t>
  </si>
  <si>
    <t>17.04.P2-13.858-5.4</t>
  </si>
  <si>
    <t>Viruses[3];Caudovirales[3];Myoviridae[3];Emdodecavirus[1];Pseudomonas virus pf16[1];Sinorhizobium phage phiM12[1]</t>
  </si>
  <si>
    <t>Viruses;Caudovirales;Myoviridae;Emdodecavirus;Pseudomonas virus pf16;Sinorhizobium phage phiM12</t>
  </si>
  <si>
    <t>Viruses[3];Caudovirales[3];Myoviridae[3];Chakrabartyvirus[1];Pseudomonas virus pf16[1];Sinorhizobium phage phiM12[1]</t>
  </si>
  <si>
    <t>11.09.P1-4.006-6.6</t>
  </si>
  <si>
    <t>Viruses[1];Caudovirales[1];Myoviridae[1];Emdodecavirus[1];Sinorhizobium virus M12[1];Rhizobium/Agrobacterium group[1];Rhizobium[1];Rhizobium pusense[1]</t>
  </si>
  <si>
    <t>Viruses;Caudovirales;Myoviridae;Emdodecavirus;Sinorhizobium virus M12;Rhizobium/Agrobacterium group;Rhizobium;Rhizobium pusense</t>
  </si>
  <si>
    <t>Viruses[1];Caudovirales[1];Myoviridae[1];Emdodecavirus[1];Sinorhizobium virus M12[1];Sinorhizobium phage phiM12[1]</t>
  </si>
  <si>
    <t>11.09.P2-2.501-6.5</t>
  </si>
  <si>
    <t>Viruses[3];Caudovirales[3];Myoviridae[3];Emdodecavirus[2];Sinorhizobium virus M12[2];Sinorhizobium phage phiM12[2]</t>
  </si>
  <si>
    <t>Viruses;Caudovirales;Myoviridae;Emdodecavirus;Sinorhizobium virus M12;Sinorhizobium phage phiM12</t>
  </si>
  <si>
    <t>17.04.P4-7.702-31</t>
  </si>
  <si>
    <t>Viruses[2];Caudovirales[2];Myoviridae[2];Emdodecavirus[2];Sinorhizobium virus M12[1];Sinorhizobium phage phiM7[1];Gemmobacter nectariphilus[1]</t>
  </si>
  <si>
    <t>Viruses;Caudovirales;Myoviridae;Emdodecavirus;Sinorhizobium virus M12;Sinorhizobium phage phiM7;Gemmobacter nectariphilus</t>
  </si>
  <si>
    <t>Viruses[2];Caudovirales[2];Myoviridae[2];Emdodecavirus[2];Sinorhizobium virus M12[1];Sinorhizobium phage phiM12[1]</t>
  </si>
  <si>
    <t>11.09.P1-3.638-5.4</t>
  </si>
  <si>
    <t>Viruses[1];Caudovirales[1];Myoviridae[1];Emdodecavirus[1];Sinorhizobium virus N3[1];Bacillaceae[1];Bacillus[1];unclassified Bacillus[1];Bacillus sp. es.036[1]</t>
  </si>
  <si>
    <t>Viruses;Caudovirales;Myoviridae;Emdodecavirus;Sinorhizobium virus N3;Bacillaceae;Bacillus;unclassified Bacillus;Bacillus sp. es.036</t>
  </si>
  <si>
    <t>Viruses[1];Caudovirales[1];Myoviridae[1];Emdodecavirus[1];Sinorhizobium virus N3[1];Sinorhizobium phage phiN3[1]</t>
  </si>
  <si>
    <t>17.04.P1-8.498-9.3</t>
  </si>
  <si>
    <t>Viruses[1];Caudovirales[1];Myoviridae[1];Emdodecavirus[1];Sinorhizobium virus N3[1];Mycoplasmataceae[1];Mycoplasma[1];Mycoplasma verecundum[1]</t>
  </si>
  <si>
    <t>Viruses;Caudovirales;Myoviridae;Emdodecavirus;Sinorhizobium virus N3;Mycoplasmataceae;Mycoplasma;Mycoplasma verecundum</t>
  </si>
  <si>
    <t>17.04.P4-3.518-2.6</t>
  </si>
  <si>
    <t>Viruses[1];Caudovirales[1];Myoviridae[1];Emdodecavirus[1];Sinorhizobium virus N3[1];Ochrobactrum[1];Ochrobactrum intermedium[1]</t>
  </si>
  <si>
    <t>Viruses;Caudovirales;Myoviridae;Emdodecavirus;Sinorhizobium virus N3;Ochrobactrum;Ochrobactrum intermedium</t>
  </si>
  <si>
    <t>17.04.P4-3.928-1.8</t>
  </si>
  <si>
    <t>Viruses;Caudovirales;Myoviridae;Emdodecavirus;Sinorhizobium virus N3;Sinorhizobium phage phiN3</t>
  </si>
  <si>
    <t>17.04.P1-3.092-2.8</t>
  </si>
  <si>
    <t>Viruses[1];Caudovirales[1];Myoviridae[1];Emdodecavirus[1];Sinorhizobium virus N3[1];Sinorhizobium phage phiN3[1];Campylobacter[1];unclassified Campylobacter[1];Campylobacter sp. RM8964[1]</t>
  </si>
  <si>
    <t>Viruses;Caudovirales;Myoviridae;Emdodecavirus;Sinorhizobium virus N3;Sinorhizobium phage phiN3;Campylobacter;unclassified Campylobacter;Campylobacter sp. RM8964</t>
  </si>
  <si>
    <t>11.09.P4-3.520-2.4</t>
  </si>
  <si>
    <t>Viruses[2];Caudovirales[2];Myoviridae[2];Emdodecavirus[1];Yersinia virus Yen9-04[1];Sinorhizobium phage phiM12[1];Salipaludibacillus[1];Salipaludibacillus keqinensis[1]</t>
  </si>
  <si>
    <t>Viruses;Caudovirales;Myoviridae;Emdodecavirus;Yersinia virus Yen9-04;Sinorhizobium phage phiM12;Salipaludibacillus;Salipaludibacillus keqinensis</t>
  </si>
  <si>
    <t>Viruses[2];Caudovirales[2];Myoviridae[2];Eneladusvirus[1];Yersinia virus Yen9-04[1];Sinorhizobium phage phiM12[1]</t>
  </si>
  <si>
    <t>23.10.P4-9.639-4.1</t>
  </si>
  <si>
    <t>Viruses[4];Caudovirales[4];Myoviridae[4];Eneladusvirus[2];Klebsiella virus RaK2[1];Phycisphaeraceae[1];Phycisphaera[1];unclassified Phycisphaera[1];Phycisphaera sp. TMED151[1]</t>
  </si>
  <si>
    <t>Viruses;Caudovirales;Myoviridae;Eneladusvirus;Klebsiella virus RaK2;Phycisphaeraceae;Phycisphaera;unclassified Phycisphaera;Phycisphaera sp. TMED151</t>
  </si>
  <si>
    <t>Viruses[4];Caudovirales[4];Myoviridae[4];Eneladusvirus[2];Yersinia virus Yen9-04[1];Yersinia phage fHe-Yen9-04[1]</t>
  </si>
  <si>
    <t>17.04.P4-3.178-12</t>
  </si>
  <si>
    <t>Viruses[1];Caudovirales[1];Myoviridae[1];Eneladusvirus[1];Serratia virus BF[1];Serratia phage BF[1];Caballeronia temeraria[1]</t>
  </si>
  <si>
    <t>Viruses;Caudovirales;Myoviridae;Eneladusvirus;Serratia virus BF;Serratia phage BF;Caballeronia temeraria</t>
  </si>
  <si>
    <t>Viruses[1];Caudovirales[1];Myoviridae[1];Eneladusvirus[1];Serratia virus BF[1];Serratia phage BF[1]</t>
  </si>
  <si>
    <t>17.04.P3-2.934-42</t>
  </si>
  <si>
    <t>Viruses[1];Caudovirales[1];Myoviridae[1];Eneladusvirus[1];Serratia virus BF[1];Serratia phage BF[1];Clostridium[1];Clostridium butyricum[1]</t>
  </si>
  <si>
    <t>Viruses;Caudovirales;Myoviridae;Eneladusvirus;Serratia virus BF;Serratia phage BF;Clostridium;Clostridium butyricum</t>
  </si>
  <si>
    <t>17.04.P4-5.197-14</t>
  </si>
  <si>
    <t>Viruses[1];Caudovirales[1];Myoviridae[1];Eneladusvirus[1];Serratia virus BF[1];Serratia phage BF[1];Oscillatoriaceae[1];Oscillatoria[1];Oscillatoria nigro-viridis[1]</t>
  </si>
  <si>
    <t>Viruses;Caudovirales;Myoviridae;Eneladusvirus;Serratia virus BF;Serratia phage BF;Oscillatoriaceae;Oscillatoria;Oscillatoria nigro-viridis</t>
  </si>
  <si>
    <t>17.04.P2-10.143-11</t>
  </si>
  <si>
    <t>Viruses[2];Caudovirales[2];Myoviridae[2];Eneladusvirus[1];unclassified Eneladusvirus[1];Asaia[1];Asaia prunellae[1]</t>
  </si>
  <si>
    <t>Viruses;Caudovirales;Myoviridae;Eneladusvirus;unclassified Eneladusvirus;Asaia;Asaia prunellae</t>
  </si>
  <si>
    <t>Viruses[2];Caudovirales[2];Myoviridae[2];Eneladusvirus[1];unclassified Eneladusvirus[1];Cronobacter phage vB_CsaM_GAP32[1]</t>
  </si>
  <si>
    <t>17.04.P4-2.545-2.0</t>
  </si>
  <si>
    <t>Viruses[1];Caudovirales[1];Myoviridae[1];Eneladusvirus[1];unclassified Eneladusvirus[1];Asaia[1];Asaia prunellae[1]</t>
  </si>
  <si>
    <t>Viruses[1];Caudovirales[1];Myoviridae[1];Eneladusvirus[1];unclassified Eneladusvirus[1];Cronobacter phage vB_CsaM_GAP32[1]</t>
  </si>
  <si>
    <t>17.04.P4-6.708-6.1</t>
  </si>
  <si>
    <t>Viruses[3];Caudovirales[3];Myoviridae[2];Eneladusvirus[1];unclassified Eneladusvirus[1];Bacillaceae[1];Bacillus[1];unclassified Bacillus[1];Bacillus sp. MZGC1[1]</t>
  </si>
  <si>
    <t>Viruses;Caudovirales;Myoviridae;Eneladusvirus;unclassified Eneladusvirus;Bacillaceae;Bacillus;unclassified Bacillus;Bacillus sp. MZGC1</t>
  </si>
  <si>
    <t>Viruses[3];Caudovirales[3];Myoviridae[2];Eneladusvirus[1];Caulobacter phage Cr30[1];Cronobacter phage vB_CsaM_GAP32[1]</t>
  </si>
  <si>
    <t>23.10.P4-5.001-2.8</t>
  </si>
  <si>
    <t>Viruses[4];Caudovirales[4];Myoviridae[3];Eneladusvirus[2];unclassified Eneladusvirus[2];Cronobacter phage vB_CsaM_GAP32[2]</t>
  </si>
  <si>
    <t>Viruses;Caudovirales;Myoviridae;Eneladusvirus;unclassified Eneladusvirus;Cronobacter phage vB_CsaM_GAP32</t>
  </si>
  <si>
    <t>17.04.P4-2.796-7.1</t>
  </si>
  <si>
    <t>17.04.P1-6.190-2.0</t>
  </si>
  <si>
    <t>Viruses[2];Caudovirales[2];Myoviridae[2];Eneladusvirus[1];unclassified Eneladusvirus[1];Cronobacter phage vB_CsaM_GAP32[1];Asaia prunellae[1]</t>
  </si>
  <si>
    <t>Viruses;Caudovirales;Myoviridae;Eneladusvirus;unclassified Eneladusvirus;Cronobacter phage vB_CsaM_GAP32;Asaia prunellae</t>
  </si>
  <si>
    <t>17.04.P1-8.235-4.4</t>
  </si>
  <si>
    <t>Viruses[3];Caudovirales[3];Myoviridae[2];Eneladusvirus[1];unclassified Eneladusvirus[1];Cronobacter phage vB_CsaM_GAP32[1];Bacillus[1];unclassified Bacillus[1];Bacillus sp. MZGC1[1]</t>
  </si>
  <si>
    <t>Viruses;Caudovirales;Myoviridae;Eneladusvirus;unclassified Eneladusvirus;Cronobacter phage vB_CsaM_GAP32;Bacillus;unclassified Bacillus;Bacillus sp. MZGC1</t>
  </si>
  <si>
    <t>Viruses[3];Caudovirales[3];Myoviridae[2];unclassified Ackermannviridae[1];Sinorhizobium phage phiM9[1];Cronobacter phage vB_CsaM_GAP32[1]</t>
  </si>
  <si>
    <t>05.07.P4-3.210-3.4</t>
  </si>
  <si>
    <t>Viruses[1];Caudovirales[1];Myoviridae[1];Eneladusvirus[1];unclassified Eneladusvirus[1];Cronobacter phage vB_CsaM_GAP32[1];Crossiella[1];Crossiella equi[1]</t>
  </si>
  <si>
    <t>Viruses;Caudovirales;Myoviridae;Eneladusvirus;unclassified Eneladusvirus;Cronobacter phage vB_CsaM_GAP32;Crossiella;Crossiella equi</t>
  </si>
  <si>
    <t>17.04.P2-5.519-3.8</t>
  </si>
  <si>
    <t>Viruses[1];Caudovirales[1];Myoviridae[1];Eneladusvirus[1];unclassified Eneladusvirus[1];Yersinia phage fHe-Yen9-03[1]</t>
  </si>
  <si>
    <t>Viruses;Caudovirales;Myoviridae;Eneladusvirus;unclassified Eneladusvirus;Yersinia phage fHe-Yen9-03</t>
  </si>
  <si>
    <t>17.05.P3-3.971-4.9</t>
  </si>
  <si>
    <t>Viruses[1];Caudovirales[1];Myoviridae[1];Eneladusvirus[1];Yersinia virus Yen9-04[1];Yersinia phage fHe-Yen9-04[1];Hymenobacteraceae[1];Pontibacter[1];Pontibacter ramchanderi[1]</t>
  </si>
  <si>
    <t>Viruses;Caudovirales;Myoviridae;Eneladusvirus;Yersinia virus Yen9-04;Yersinia phage fHe-Yen9-04;Hymenobacteraceae;Pontibacter;Pontibacter ramchanderi</t>
  </si>
  <si>
    <t>Viruses[1];Caudovirales[1];Myoviridae[1];Eneladusvirus[1];Yersinia virus Yen9-04[1];Yersinia phage fHe-Yen9-04[1]</t>
  </si>
  <si>
    <t>17.04.P3-4.316-14</t>
  </si>
  <si>
    <t>Viruses[1];Caudovirales[1];Myoviridae[1];Eucampyvirinae[1];Fletchervirus[1];unclassified Fletchervirus[1];Campylobacter phage CP39[1]</t>
  </si>
  <si>
    <t>Viruses;Caudovirales;Myoviridae;Eucampyvirinae;Fletchervirus;unclassified Fletchervirus;Campylobacter phage CP39</t>
  </si>
  <si>
    <t>11.09.P2-13.656-12</t>
  </si>
  <si>
    <t>Viruses[6];Caudovirales[6];Myoviridae[2];Flaumdravirus[2];Pseudomonas virus PaMx11[2];Pseudomonas phage vB_PsyM_KIL1[2];Isosphaera[2];Isosphaera pallida[2]</t>
  </si>
  <si>
    <t>Viruses;Caudovirales;Myoviridae;Flaumdravirus;Pseudomonas virus PaMx11;Pseudomonas phage vB_PsyM_KIL1;Isosphaera;Isosphaera pallida</t>
  </si>
  <si>
    <t>Viruses[6];Caudovirales[6];Myoviridae[2];Abidjanvirus[2];Pseudomonas virus PaMx11[2];Pseudomonas phage vB_PsyM_KIL1[2]</t>
  </si>
  <si>
    <t>17.04.P3-3.517-6.2</t>
  </si>
  <si>
    <t>Viruses[2];Caudovirales[2];Myoviridae[1];Kryptosalinivirus[1];unclassified Machinavirus[1];Erwinia phage vB_EamM_Caitlin[1]</t>
  </si>
  <si>
    <t>Viruses;Caudovirales;Myoviridae;Kryptosalinivirus;unclassified Machinavirus;Erwinia phage vB_EamM_Caitlin</t>
  </si>
  <si>
    <t>Viruses[2];Caudovirales[2];Myoviridae[1];Machinavirus[1];Salinibacter virus M8CC19[1];Erwinia phage vB_EamM_Caitlin[1]</t>
  </si>
  <si>
    <t>11.09.P1-16.187-16</t>
  </si>
  <si>
    <t>Viruses[12];Caudovirales[12];Myoviridae[12];Nankokuvirus[6];Pseudomonas virus Ab03[2];Pseudomonas phage KPP10[2];Pseudomonas fluorescens group[2];Pseudomonas fluorescens[2]</t>
  </si>
  <si>
    <t>Viruses;Caudovirales;Myoviridae;Nankokuvirus;Pseudomonas virus Ab03;Pseudomonas phage KPP10;Pseudomonas fluorescens group;Pseudomonas fluorescens</t>
  </si>
  <si>
    <t>Viruses[12];Caudovirales[12];Myoviridae[12];Nankokuvirus[6];Pseudomonas virus JG004[2];Pseudomonas phage vB_PaeM_PAO1_Ab03[2]</t>
  </si>
  <si>
    <t>11.09.P4-6.347-3.6</t>
  </si>
  <si>
    <t>Viruses[1];Caudovirales[1];Myoviridae[1];Obolenskvirus[1];Acinetobacter virus AbC62[1];Acinetobacter phage YMC-13-01-C62[1]</t>
  </si>
  <si>
    <t>Viruses;Caudovirales;Myoviridae;Obolenskvirus;Acinetobacter virus AbC62;Acinetobacter phage YMC-13-01-C62</t>
  </si>
  <si>
    <t>17.04.P4-8.540-16</t>
  </si>
  <si>
    <t>Viruses[3];Caudovirales[2];Myoviridae[1];Ounavirinae[1];Mooglevirus[1];unclassified Mooglevirus[1];Shigella phage Sf19[1]</t>
  </si>
  <si>
    <t>Viruses;Caudovirales;Myoviridae;Ounavirinae;Mooglevirus;unclassified Mooglevirus;Shigella phage Sf19</t>
  </si>
  <si>
    <t>Viruses[3];Caudovirales[2];Herelleviridae[1];Bastillevirinae[1];Indivirus[1];unclassified Bastillevirus[1];Bacillus phage OTooleKemple52[1]</t>
  </si>
  <si>
    <t>05.07.P3-7.417-49</t>
  </si>
  <si>
    <t>Viruses[2];Caudovirales[2];Myoviridae[2];Rhodospirillales[2];Rhodospirillaceae[2];Azospirillum[2];Azospirillum oryzae[1];Azospirillum brasilense Sp245[1]</t>
  </si>
  <si>
    <t>Viruses;Caudovirales;Myoviridae;Rhodospirillales;Rhodospirillaceae;Azospirillum;Azospirillum oryzae;Azospirillum brasilense Sp245</t>
  </si>
  <si>
    <t>Viruses[2];Caudovirales[2];Myoviridae[2];unclassified Myoviridae[1];Pseudomonas virus phiMK[1];Pseudomonas phage phiMK[1]</t>
  </si>
  <si>
    <t>17.04.P4-2.450-3.0</t>
  </si>
  <si>
    <t>Viruses[1];Caudovirales[1];Myoviridae[1];Ripduovirus[1];Ralstonia virus RP12[1];Ralstonia phage RP12[1]</t>
  </si>
  <si>
    <t>Viruses;Caudovirales;Myoviridae;Ripduovirus;Ralstonia virus RP12;Ralstonia phage RP12</t>
  </si>
  <si>
    <t>17.04.P2-2.781-2.6</t>
  </si>
  <si>
    <t>Viruses[1];Caudovirales[1];Myoviridae[1];Ripduovirus[1];Ralstonia virus RP12[1];Ralstonia phage RP12[1];Staphylococcus[1];Staphylococcus pseudintermedius[1]</t>
  </si>
  <si>
    <t>Viruses;Caudovirales;Myoviridae;Ripduovirus;Ralstonia virus RP12;Ralstonia phage RP12;Staphylococcus;Staphylococcus pseudintermedius</t>
  </si>
  <si>
    <t>05.07.P4-2.934-34</t>
  </si>
  <si>
    <t>Viruses[2];Caudovirales[2];Myoviridae[2];Tevenvirinae[1];Acidovorax virus ACP17[1];unclassified Schizotequatrovirus[1];Vibrio phage VH7D[1]</t>
  </si>
  <si>
    <t>Viruses;Caudovirales;Myoviridae;Tevenvirinae;Acidovorax virus ACP17;unclassified Schizotequatrovirus;Vibrio phage VH7D</t>
  </si>
  <si>
    <t>Viruses[2];Caudovirales[2];Myoviridae[2];Tevenvirinae[1];Acidovorax virus ACP17[1];Acidovorax phage ACP17[1];Vibrio phage VH7D[1]</t>
  </si>
  <si>
    <t>05.07.P3-5.090-10</t>
  </si>
  <si>
    <t>Viruses[2];Caudovirales[2];Myoviridae[2];Tevenvirinae[1];Schizotequatrovirus[1];unclassified Schizotequatrovirus[1];Vibrio phage VH7D[1];Bosea sp. LC85[1]</t>
  </si>
  <si>
    <t>Viruses;Caudovirales;Myoviridae;Tevenvirinae;Schizotequatrovirus;unclassified Schizotequatrovirus;Vibrio phage VH7D;Bosea sp. LC85</t>
  </si>
  <si>
    <t>Viruses[2];Caudovirales[2];Myoviridae[2];Tevenvirinae[1];Klebsiella virus RaK2[1];Klebsiella phage vB_KleM_RaK2[1];Vibrio phage VH7D[1]</t>
  </si>
  <si>
    <t>11.09.P2-10.172-27</t>
  </si>
  <si>
    <t>Viruses[1];Caudovirales[1];Myoviridae[1];Tevenvirinae[1];Schizotequatrovirus[1];Vibrio virus KVP40[1];Vibriophage phi-pp2[1]</t>
  </si>
  <si>
    <t>Viruses;Caudovirales;Myoviridae;Tevenvirinae;Schizotequatrovirus;Vibrio virus KVP40;Vibriophage phi-pp2</t>
  </si>
  <si>
    <t>11.09.P1-4.496-42</t>
  </si>
  <si>
    <t>Viruses[1];Caudovirales[1];Myoviridae[1];Tevenvirinae[1];Schizotequatrovirus[1];Vibrio virus nt1[1];Leptolyngbya[1];unclassified Leptolyngbya[1];Leptolyngbya sp. PCC 7375[1]</t>
  </si>
  <si>
    <t>Viruses;Caudovirales;Myoviridae;Tevenvirinae;Schizotequatrovirus;Vibrio virus nt1;Leptolyngbya;unclassified Leptolyngbya;Leptolyngbya sp. PCC 7375</t>
  </si>
  <si>
    <t>Viruses[1];Caudovirales[1];Myoviridae[1];Tevenvirinae[1];Schizotequatrovirus[1];Vibrio virus nt1[1];Vibrio phage nt-1[1]</t>
  </si>
  <si>
    <t>17.04.P3-2.666-9.1</t>
  </si>
  <si>
    <t>Viruses[1];Caudovirales[1];Myoviridae[1];Tevenvirinae[1];unclassified Tevenvirinae[1];Aeromonas phage AS-sw[1];Kroppenstedtia[1];Kroppenstedtia eburnea[1]</t>
  </si>
  <si>
    <t>Viruses;Caudovirales;Myoviridae;Tevenvirinae;unclassified Tevenvirinae;Aeromonas phage AS-sw;Kroppenstedtia;Kroppenstedtia eburnea</t>
  </si>
  <si>
    <t>Viruses[1];Caudovirales[1];Myoviridae[1];Tevenvirinae[1];unclassified Tevenvirinae[1];Aeromonas phage AS-sw[1]</t>
  </si>
  <si>
    <t>23.10.P4-15.618-22</t>
  </si>
  <si>
    <t>Viruses[3];Caudovirales[2];Myoviridae[2];Tevenvirinae[2];unclassified Tevenvirinae[2];Aeromonas phage AS-sw[2];Salisaeta[1];unclassified Megasphaera[1];Megasphaera sp. BL7[1];Myxococcus fulvus 124B02[1]</t>
  </si>
  <si>
    <t>Viruses;Caudovirales;Myoviridae;Tevenvirinae;unclassified Tevenvirinae;Aeromonas phage AS-sw;Salisaeta;unclassified Megasphaera;Megasphaera sp. BL7;Myxococcus fulvus 124B02</t>
  </si>
  <si>
    <t>Viruses[3];Caudovirales[2];Myoviridae[2];Tevenvirinae[2];unclassified Tevenvirinae[2];Aeromonas phage AS-sw[2]</t>
  </si>
  <si>
    <t>17.04.P4-2.826-2.6</t>
  </si>
  <si>
    <t>Viruses[1];Caudovirales[1];Myoviridae[1];Tevenvirinae[1];unclassified Tevenvirinae[1];Citrobacter phage Margaery[1];Tessaracoccus[1];Tessaracoccus flavescens[1]</t>
  </si>
  <si>
    <t>Viruses;Caudovirales;Myoviridae;Tevenvirinae;unclassified Tevenvirinae;Citrobacter phage Margaery;Tessaracoccus;Tessaracoccus flavescens</t>
  </si>
  <si>
    <t>Viruses[1];Caudovirales[1];Myoviridae[1];Tevenvirinae[1];unclassified Tevenvirinae[1];Citrobacter phage Margaery[1]</t>
  </si>
  <si>
    <t>11.09.P2-4.667-44</t>
  </si>
  <si>
    <t>Viruses[1];Caudovirales[1];Myoviridae[1];Tevenvirinae[1];unclassified Tevenvirinae[1];Cronobacter phage S13[1];Burkholderia cepacia complex[1];Burkholderia cenocepacia[1]</t>
  </si>
  <si>
    <t>Viruses;Caudovirales;Myoviridae;Tevenvirinae;unclassified Tevenvirinae;Cronobacter phage S13;Burkholderia cepacia complex;Burkholderia cenocepacia</t>
  </si>
  <si>
    <t>Viruses[1];Caudovirales[1];Myoviridae[1];Tevenvirinae[1];unclassified Tevenvirinae[1];Cronobacter phage S13[1]</t>
  </si>
  <si>
    <t>11.09.P1-4.371-11</t>
  </si>
  <si>
    <t>Viruses[1];Caudovirales[1];Myoviridae[1];Tevenvirinae[1];unclassified Tevenvirinae[1];Novimethylophilus[1];Novimethylophilus kurashikiensis[1]</t>
  </si>
  <si>
    <t>Viruses;Caudovirales;Myoviridae;Tevenvirinae;unclassified Tevenvirinae;Novimethylophilus;Novimethylophilus kurashikiensis</t>
  </si>
  <si>
    <t>17.04.P2-4.608-3.5</t>
  </si>
  <si>
    <t>Viruses[2];Caudovirales[2];Myoviridae[2];Thornevirus[1];Bacillus virus SP15[1];Desulfobacteraceae[1];Rhizobium[1];Rhizobium tropici[1]</t>
  </si>
  <si>
    <t>Viruses;Caudovirales;Myoviridae;Thornevirus;Bacillus virus SP15;Desulfobacteraceae;Rhizobium;Rhizobium tropici</t>
  </si>
  <si>
    <t>Viruses[2];Caudovirales[2];Myoviridae[2];unclassified Myoviridae[1];Bacillus phage vB_BceM-HSE3[1];Bacillus phage SP-15[1]</t>
  </si>
  <si>
    <t>23.10.P4-6.087-20</t>
  </si>
  <si>
    <t>Viruses[1];Caudovirales[1];Myoviridae[1];Thornevirus[1];Bacillus virus SP15[1];Edwardsiella[1];Edwardsiella ictaluri[1]</t>
  </si>
  <si>
    <t>Viruses;Caudovirales;Myoviridae;Thornevirus;Bacillus virus SP15;Edwardsiella;Edwardsiella ictaluri</t>
  </si>
  <si>
    <t>Viruses[1];Caudovirales[1];Myoviridae[1];Thornevirus[1];Bacillus virus SP15[1];Bacillus phage SP-15[1]</t>
  </si>
  <si>
    <t>17.04.P4-2.923-20</t>
  </si>
  <si>
    <t>Viruses[2];Caudovirales[2];Myoviridae[1];unclassified Ackermannviridae[1];Sinorhizobium virus M7[1];Sinorhizobium phage phiM7[1]</t>
  </si>
  <si>
    <t>Viruses;Caudovirales;Myoviridae;unclassified Ackermannviridae;Sinorhizobium virus M7;Sinorhizobium phage phiM7</t>
  </si>
  <si>
    <t>Viruses[2];Caudovirales[2];Myoviridae[1];unclassified Ackermannviridae[1];Stenotrophomonas phage vB_SmaS-DLP_6[1];Sinorhizobium phage phiM7[1]</t>
  </si>
  <si>
    <t>11.09.P2-10.778-51</t>
  </si>
  <si>
    <t>Viruses[2];Caudovirales[1];Myoviridae[1];unclassified Myoviridae[1];Acanthocystis turfacea Chlorella virus Canal-1[1];Klebsiella[1];Klebsiella michiganensis[1]</t>
  </si>
  <si>
    <t>Viruses;Caudovirales;Myoviridae;unclassified Myoviridae;Acanthocystis turfacea Chlorella virus Canal-1;Klebsiella;Klebsiella michiganensis</t>
  </si>
  <si>
    <t>Viruses[2];Caudovirales[1];Chlorovirus[1];unclassified Chlorovirus[1];Synechococcus phage S-WAM2[1]</t>
  </si>
  <si>
    <t>17.04.P4-8.228-20</t>
  </si>
  <si>
    <t>Viruses[3];Caudovirales[3];Myoviridae[3];unclassified Myoviridae[2];Acidovorax virus ACP17[1];Acidovorax phage ACP17[1]</t>
  </si>
  <si>
    <t>Viruses;Caudovirales;Myoviridae;unclassified Myoviridae;Acidovorax virus ACP17;Acidovorax phage ACP17</t>
  </si>
  <si>
    <t>Viruses[3];Caudovirales[3];Myoviridae[3];unclassified Myoviridae[2];Salicola phage SCTP-2[1];Acidovorax phage ACP17[1]</t>
  </si>
  <si>
    <t>17.05.P4-3.235-27</t>
  </si>
  <si>
    <t>Viruses[2];Caudovirales[2];Myoviridae[1];unclassified Myoviridae[1];Acinetobacter phage SH-Ab 15497[1];Streptosporangiaceae[1];Planobispora[1];Planobispora rosea[1]</t>
  </si>
  <si>
    <t>Viruses;Caudovirales;Myoviridae;unclassified Myoviridae;Acinetobacter phage SH-Ab 15497;Streptosporangiaceae;Planobispora;Planobispora rosea</t>
  </si>
  <si>
    <t>Viruses[2];Caudovirales[2];Siphoviridae[1];unclassified Siphoviridae[1];Synechococcus phage S-SKS1[1]</t>
  </si>
  <si>
    <t>11.09.P1-9.365-8.7</t>
  </si>
  <si>
    <t>Viruses[5];Caudovirales[5];Myoviridae[5];unclassified Myoviridae[4];Alteromonadaceae[3];Alteromonas[3];unclassified Alteromonas[3];Alteromonas sp. TMED35[3]</t>
  </si>
  <si>
    <t>Viruses;Caudovirales;Myoviridae;unclassified Myoviridae;Alteromonadaceae;Alteromonas;unclassified Alteromonas;Alteromonas sp. TMED35</t>
  </si>
  <si>
    <t>Viruses[5];Caudovirales[5];Myoviridae[5];unclassified Myoviridae[4];Pelagibacter phage HTVC008M[2];Sinorhizobium phage phiN3[1]</t>
  </si>
  <si>
    <t>11.09.P2-16.453-37</t>
  </si>
  <si>
    <t>Viruses[2];Caudovirales[2];Myoviridae[2];unclassified Myoviridae[2];Alteromonadaceae[2];Alteromonas[2];unclassified Alteromonas[2];Alteromonas sp. TMED35[2]</t>
  </si>
  <si>
    <t>Viruses[2];Caudovirales[2];Myoviridae[2];unclassified Myoviridae[2];Synechococcus phage S-RSM4[2]</t>
  </si>
  <si>
    <t>11.09.P2-2.456-2.8</t>
  </si>
  <si>
    <t>Viruses[1];Caudovirales[1];Myoviridae[1];unclassified Myoviridae[1];Alteromonadaceae[1];Gayadomonas[1];Gayadomonas joobiniege[1]</t>
  </si>
  <si>
    <t>Viruses;Caudovirales;Myoviridae;unclassified Myoviridae;Alteromonadaceae;Gayadomonas;Gayadomonas joobiniege</t>
  </si>
  <si>
    <t>Viruses[1];Caudovirales[1];Myoviridae[1];unclassified Myoviridae[1];Synechococcus phage ACG-2014f[1]</t>
  </si>
  <si>
    <t>17.04.P2-4.374-6.6</t>
  </si>
  <si>
    <t>Viruses[1];Caudovirales[1];Myoviridae[1];unclassified Myoviridae[1];Alteromonadaceae[1];Marinobacter[1];Marinobacter salarius[1]</t>
  </si>
  <si>
    <t>Viruses;Caudovirales;Myoviridae;unclassified Myoviridae;Alteromonadaceae;Marinobacter;Marinobacter salarius</t>
  </si>
  <si>
    <t>Viruses[1];Caudovirales[1];Myoviridae[1];unclassified Myoviridae[1];Vibrio phage 1.031.O._10N.261.46.F8[1]</t>
  </si>
  <si>
    <t>11.09.P2-4.695-4.7</t>
  </si>
  <si>
    <t>Viruses[3];Caudovirales[3];Myoviridae[3];unclassified Myoviridae[2];Bacillales[2];Bacillaceae[2];Bacillus[2];Bacillus cereus group[2];Bacillus thuringiensis[2]</t>
  </si>
  <si>
    <t>Viruses;Caudovirales;Myoviridae;unclassified Myoviridae;Bacillales;Bacillaceae;Bacillus;Bacillus cereus group;Bacillus thuringiensis</t>
  </si>
  <si>
    <t>Viruses[3];Caudovirales[3];Myoviridae[3];unclassified Myoviridae[2];Pelagibacter phage HTVC008M[2];Acidovorax phage ACP17[1]</t>
  </si>
  <si>
    <t>17.04.P4-8.187-3.6</t>
  </si>
  <si>
    <t>Viruses[1];Caudovirales[1];Myoviridae[1];unclassified Myoviridae[1];Bacillales[1];Bacillaceae[1];Bacillus[1];Bacillus subtilis group[1];Bacillus subtilis[1]</t>
  </si>
  <si>
    <t>Viruses;Caudovirales;Myoviridae;unclassified Myoviridae;Bacillales;Bacillaceae;Bacillus;Bacillus subtilis group;Bacillus subtilis</t>
  </si>
  <si>
    <t>Viruses[1];Caudovirales[1];Myoviridae[1];unclassified Myoviridae[1];Bacillus phage vB_BpuM-BpSp[1]</t>
  </si>
  <si>
    <t>17.04.P4-2.414-1.2</t>
  </si>
  <si>
    <t>Viruses[1];Caudovirales[1];Myoviridae[1];unclassified Myoviridae[1];Bacillales[1];Planococcaceae[1];Jeotgalibacillus[1];Jeotgalibacillus malaysiensis[1]</t>
  </si>
  <si>
    <t>Viruses;Caudovirales;Myoviridae;unclassified Myoviridae;Bacillales;Planococcaceae;Jeotgalibacillus;Jeotgalibacillus malaysiensis</t>
  </si>
  <si>
    <t>Viruses[1];Caudovirales[1];Myoviridae[1];unclassified Myoviridae[1];Vibrio phage 2.275.O._10N.286.54.E11[1]</t>
  </si>
  <si>
    <t>17.04.P4-14.725-7.9</t>
  </si>
  <si>
    <t>Viruses[5];Caudovirales[5];Myoviridae[5];unclassified Myoviridae[4];Bacillus phage AR9[3]</t>
  </si>
  <si>
    <t>Viruses;Caudovirales;Myoviridae;unclassified Myoviridae;Bacillus phage AR9</t>
  </si>
  <si>
    <t>17.04.P4-4.693-2.8</t>
  </si>
  <si>
    <t>Viruses[2];Caudovirales[2];Myoviridae[2];unclassified Myoviridae[2];Bacillus phage AR9[2]</t>
  </si>
  <si>
    <t>17.04.P4-13.606-30</t>
  </si>
  <si>
    <t>Viruses[3];Caudovirales[3];Myoviridae[3];unclassified Myoviridae[3];Bacillus phage AR9[1];Bacillaceae[1];Bacillus[1];Bacillus subtilis group[1];Bacillus subtilis[1]</t>
  </si>
  <si>
    <t>Viruses;Caudovirales;Myoviridae;unclassified Myoviridae;Bacillus phage AR9;Bacillaceae;Bacillus;Bacillus subtilis group;Bacillus subtilis</t>
  </si>
  <si>
    <t>Viruses[3];Caudovirales[3];Myoviridae[3];unclassified Myoviridae[3];Bacillus phage AR9[1]</t>
  </si>
  <si>
    <t>17.04.P4-3.709-6.5</t>
  </si>
  <si>
    <t>Viruses[1];Caudovirales[1];Myoviridae[1];unclassified Myoviridae[1];Bacillus phage AR9[1];Chitinophagales[1];Chitinophagaceae[1];Chitinophaga[1];Chitinophaga jiangningensis[1]</t>
  </si>
  <si>
    <t>Viruses;Caudovirales;Myoviridae;unclassified Myoviridae;Bacillus phage AR9;Chitinophagales;Chitinophagaceae;Chitinophaga;Chitinophaga jiangningensis</t>
  </si>
  <si>
    <t>Viruses[1];Caudovirales[1];Myoviridae[1];unclassified Myoviridae[1];Bacillus phage AR9[1]</t>
  </si>
  <si>
    <t>17.04.P4-4.194-5.6</t>
  </si>
  <si>
    <t>Viruses[1];Caudovirales[1];Myoviridae[1];unclassified Myoviridae[1];Bacillus phage AR9[1];Planctomycetaceae[1];Mariniblastus[1];Mariniblastus fucicola[1]</t>
  </si>
  <si>
    <t>Viruses;Caudovirales;Myoviridae;unclassified Myoviridae;Bacillus phage AR9;Planctomycetaceae;Mariniblastus;Mariniblastus fucicola</t>
  </si>
  <si>
    <t>17.04.P4-20.067-5.3</t>
  </si>
  <si>
    <t>Viruses[4];Caudovirales[4];Myoviridae[4];unclassified Myoviridae[4];Bacillus phage AR9[2];Streptococcaceae[1];Lactococcus[1];Lactococcus chungangensis[1]</t>
  </si>
  <si>
    <t>Viruses;Caudovirales;Myoviridae;unclassified Myoviridae;Bacillus phage AR9;Streptococcaceae;Lactococcus;Lactococcus chungangensis</t>
  </si>
  <si>
    <t>Viruses[4];Caudovirales[4];Myoviridae[4];unclassified Myoviridae[4];Bacillus phage AR9[2]</t>
  </si>
  <si>
    <t>17.04.P4-3.499-10</t>
  </si>
  <si>
    <t>Viruses[1];Caudovirales[1];Myoviridae[1];unclassified Myoviridae[1];Bacillus phage vB_BceM-HSE3[1]</t>
  </si>
  <si>
    <t>Viruses;Caudovirales;Myoviridae;unclassified Myoviridae;Bacillus phage vB_BceM-HSE3</t>
  </si>
  <si>
    <t>17.04.P4-3.325-46</t>
  </si>
  <si>
    <t>Viruses[2];Caudovirales[2];Myoviridae[2];unclassified Myoviridae[2];Bacillus phage vB_BpuM-BpSp[2]</t>
  </si>
  <si>
    <t>Viruses;Caudovirales;Myoviridae;unclassified Myoviridae;Bacillus phage vB_BpuM-BpSp</t>
  </si>
  <si>
    <t>17.04.P2-21.363-25</t>
  </si>
  <si>
    <t>Viruses[5];Caudovirales[5];Myoviridae[5];unclassified Myoviridae[5];Bacillus phage vB_BpuM-BpSp[2];saccharomyceta[2];Pezizomycotina[2];leotiomyceta[2];sordariomyceta[2];Leotiomycetes[1];Hypocreomycetidae[1];Glomerellales[1];Botrytis[1];Botrytis cinerea[1];Colletotrichum tofieldiae[1]</t>
  </si>
  <si>
    <t>Viruses;Caudovirales;Myoviridae;unclassified Myoviridae;Bacillus phage vB_BpuM-BpSp;saccharomyceta;Pezizomycotina;leotiomyceta;sordariomyceta;Leotiomycetes;Hypocreomycetidae;Glomerellales;Botrytis;Botrytis cinerea;Colletotrichum tofieldiae</t>
  </si>
  <si>
    <t>Viruses[5];Caudovirales[5];Myoviridae[5];unclassified Myoviridae[5];Bacillus phage AR9[2]</t>
  </si>
  <si>
    <t>17.04.P4-10.854-10</t>
  </si>
  <si>
    <t>Viruses[4];Caudovirales[4];Myoviridae[4];unclassified Myoviridae[4];Bacillus phage vB_BpuM-BpSp[4];Sporolactobacillaceae[1];unclassified Sporolactobacillaceae[1];[Bacillus] clarkii[1]</t>
  </si>
  <si>
    <t>Viruses;Caudovirales;Myoviridae;unclassified Myoviridae;Bacillus phage vB_BpuM-BpSp;Sporolactobacillaceae;unclassified Sporolactobacillaceae;[Bacillus] clarkii</t>
  </si>
  <si>
    <t>Viruses[4];Caudovirales[4];Myoviridae[4];unclassified Myoviridae[4];Bacillus phage vB_BpuM-BpSp[4]</t>
  </si>
  <si>
    <t>17.04.P4-24.631-31</t>
  </si>
  <si>
    <t>Viruses[4];Caudovirales[4];Myoviridae[4];unclassified Myoviridae[4];Bacillus phage vB_BpuM-BpSp[2];Thermoanaerobacterales Family IV. Incertae Sedis[1];Mahella[1];Mahella australiensis[1];Bacillus subtilis[1]</t>
  </si>
  <si>
    <t>Viruses;Caudovirales;Myoviridae;unclassified Myoviridae;Bacillus phage vB_BpuM-BpSp;Thermoanaerobacterales Family IV. Incertae Sedis;Mahella;Mahella australiensis;Bacillus subtilis</t>
  </si>
  <si>
    <t>23.10.P4-9.059-32</t>
  </si>
  <si>
    <t>Viruses[1];Caudovirales[1];Myoviridae[1];unclassified Myoviridae[1];Bdellovibrionaceae[1];Bdellovibrio[1];Bdellovibrio bacteriovorus[1]</t>
  </si>
  <si>
    <t>Viruses;Caudovirales;Myoviridae;unclassified Myoviridae;Bdellovibrionaceae;Bdellovibrio;Bdellovibrio bacteriovorus</t>
  </si>
  <si>
    <t>Viruses[1];Caudovirales[1];Myoviridae[1];unclassified Myoviridae[1];Synechococcus phage S-WAM1[1]</t>
  </si>
  <si>
    <t>17.04.P4-3.279-5.5</t>
  </si>
  <si>
    <t>Viruses[1];Caudovirales[1];Myoviridae[1];unclassified Myoviridae[1];Blastocladiomycota[1];Blastocladiomycota incertae sedis[1];Blastocladiomycetes[1];Blastocladiales[1];Catenariaceae[1];Catenaria[1];Catenaria anguillulae[1];Catenaria anguillulae PL171[1]</t>
  </si>
  <si>
    <t>Viruses;Caudovirales;Myoviridae;unclassified Myoviridae;Blastocladiomycota;Blastocladiomycota incertae sedis;Blastocladiomycetes;Blastocladiales;Catenariaceae;Catenaria;Catenaria anguillulae;Catenaria anguillulae PL171</t>
  </si>
  <si>
    <t>Viruses[1];Caudovirales[1];Myoviridae[1];unclassified Myoviridae[1];Prochlorococcus phage P-SSM3[1]</t>
  </si>
  <si>
    <t>17.05.P3-5.039-5.4</t>
  </si>
  <si>
    <t>Viruses[1];Caudovirales[1];Myoviridae[1];unclassified Myoviridae[1];Bradyrhizobium phage BDU-MI-1[1];Oleibacter[1];unclassified Oleibacter[1];Oleibacter sp. HI0075[1]</t>
  </si>
  <si>
    <t>Viruses;Caudovirales;Myoviridae;unclassified Myoviridae;Bradyrhizobium phage BDU-MI-1;Oleibacter;unclassified Oleibacter;Oleibacter sp. HI0075</t>
  </si>
  <si>
    <t>Viruses[1];Caudovirales[1];Myoviridae[1];unclassified Myoviridae[1];Bradyrhizobium phage BDU-MI-1[1]</t>
  </si>
  <si>
    <t>11.09.P3-3.616-5.9</t>
  </si>
  <si>
    <t>Viruses[2];Caudovirales[2];Myoviridae[1];unclassified Myoviridae[1];Caulobacter phage Cr30[1]</t>
  </si>
  <si>
    <t>Viruses;Caudovirales;Myoviridae;unclassified Myoviridae;Caulobacter phage Cr30</t>
  </si>
  <si>
    <t>Viruses[2];Caudovirales[2];Ackermannviridae[1];unclassified Myoviridae[1];Vibrio phage 1.244.A._10N.261.54.C3[1]</t>
  </si>
  <si>
    <t>11.09.P4-9.128-2.8</t>
  </si>
  <si>
    <t>Viruses[4];Caudovirales[4];Myoviridae[3];unclassified Myoviridae[3];Celeribacter phage P12053L[1];Methylomicrobium[1];unclassified Pararhodobacter[1];Pararhodobacter sp. CCB-MM2[1];Pedobacter glucosidilyticus[1]</t>
  </si>
  <si>
    <t>Viruses;Caudovirales;Myoviridae;unclassified Myoviridae;Celeribacter phage P12053L;Methylomicrobium;unclassified Pararhodobacter;Pararhodobacter sp. CCB-MM2;Pedobacter glucosidilyticus</t>
  </si>
  <si>
    <t>Viruses[4];Caudovirales[4];Myoviridae[3];unclassified Myoviridae[3];Synechococcus phage Syn19[1]</t>
  </si>
  <si>
    <t>17.05.P3-11.511-17</t>
  </si>
  <si>
    <t>Viruses[1];Caudovirales[1];Myoviridae[1];unclassified Myoviridae[1];Chlamydomonadales[1];Chlamydomonadaceae[1];Chlamydomonas[1];Chlamydomonas eustigma[1]</t>
  </si>
  <si>
    <t>Viruses;Caudovirales;Myoviridae;unclassified Myoviridae;Chlamydomonadales;Chlamydomonadaceae;Chlamydomonas;Chlamydomonas eustigma</t>
  </si>
  <si>
    <t>Viruses[1];Caudovirales[1];Myoviridae[1];unclassified Myoviridae[1];Synechococcus phage S-SKS1[1]</t>
  </si>
  <si>
    <t>17.05.P4-3.041-3.6</t>
  </si>
  <si>
    <t>Viruses[1];Caudovirales[1];Myoviridae[1];unclassified Myoviridae[1];Clostridiales[1];Ruminococcaceae[1];Ruminococcus[1];unclassified Ruminococcus[1];Ruminococcus sp. 37_24[1]</t>
  </si>
  <si>
    <t>Viruses;Caudovirales;Myoviridae;unclassified Myoviridae;Clostridiales;Ruminococcaceae;Ruminococcus;unclassified Ruminococcus;Ruminococcus sp. 37_24</t>
  </si>
  <si>
    <t>Viruses[1];Caudovirales[1];Myoviridae[1];unclassified Myoviridae[1];Rhodothermus phage RM378[1]</t>
  </si>
  <si>
    <t>11.09.P1-3.445-3.8</t>
  </si>
  <si>
    <t>Viruses[1];Caudovirales[1];Myoviridae[1];unclassified Myoviridae[1];Comamonadaceae[1];Delftia[1];unclassified Delftia[1];Delftia sp. 670[1]</t>
  </si>
  <si>
    <t>Viruses;Caudovirales;Myoviridae;unclassified Myoviridae;Comamonadaceae;Delftia;unclassified Delftia;Delftia sp. 670</t>
  </si>
  <si>
    <t>Viruses[1];Caudovirales[1];Myoviridae[1];unclassified Myoviridae[1];Escherichia phage ESCO5[1]</t>
  </si>
  <si>
    <t>17.04.P2-3.234-2.7</t>
  </si>
  <si>
    <t>Viruses[2];Caudovirales[2];Myoviridae[2];unclassified Myoviridae[2];Cyanophage P-RSM1[1]</t>
  </si>
  <si>
    <t>Viruses;Caudovirales;Myoviridae;unclassified Myoviridae;Cyanophage P-RSM1</t>
  </si>
  <si>
    <t>11.09.P2-3.396-49</t>
  </si>
  <si>
    <t>Viruses[1];Caudovirales[1];Myoviridae[1];unclassified Myoviridae[1];Cyanophage P-RSM6[1]</t>
  </si>
  <si>
    <t>Viruses;Caudovirales;Myoviridae;unclassified Myoviridae;Cyanophage P-RSM6</t>
  </si>
  <si>
    <t>17.05.P3-2.558-2.4</t>
  </si>
  <si>
    <t>11.09.P1-2.553-21</t>
  </si>
  <si>
    <t>Viruses[1];Caudovirales[1];Myoviridae[1];unclassified Myoviridae[1];Cyanophage S-RIM32[1]</t>
  </si>
  <si>
    <t>Viruses;Caudovirales;Myoviridae;unclassified Myoviridae;Cyanophage S-RIM32</t>
  </si>
  <si>
    <t>11.09.P3-2.792-15</t>
  </si>
  <si>
    <t>Viruses[1];Caudovirales[1];Myoviridae[1];unclassified Myoviridae[1];Cyanophage S-RIM44[1]</t>
  </si>
  <si>
    <t>Viruses;Caudovirales;Myoviridae;unclassified Myoviridae;Cyanophage S-RIM44</t>
  </si>
  <si>
    <t>17.04.P2-10.004-5.3</t>
  </si>
  <si>
    <t>Viruses[1];Caudovirales[1];Myoviridae[1];unclassified Myoviridae[1];Cyanophage S-RIM44[1];Balneolales[1];Balneolaceae[1];Rhodohalobacter[1];Rhodohalobacter barkolensis[1]</t>
  </si>
  <si>
    <t>Viruses;Caudovirales;Myoviridae;unclassified Myoviridae;Cyanophage S-RIM44;Balneolales;Balneolaceae;Rhodohalobacter;Rhodohalobacter barkolensis</t>
  </si>
  <si>
    <t>11.09.P2-2.996-22</t>
  </si>
  <si>
    <t>Viruses[1];Caudovirales[1];Myoviridae[1];unclassified Myoviridae[1];Cyanophage S-RIM50[1]</t>
  </si>
  <si>
    <t>Viruses;Caudovirales;Myoviridae;unclassified Myoviridae;Cyanophage S-RIM50</t>
  </si>
  <si>
    <t>11.09.P1-2.871-13</t>
  </si>
  <si>
    <t>Viruses[1];Caudovirales[1];Myoviridae[1];unclassified Myoviridae[1];Cytophagia[1];Cytophagales[1];Flammeovirgaceae[1];Flexithrix[1];Flexithrix dorotheae[1]</t>
  </si>
  <si>
    <t>Viruses;Caudovirales;Myoviridae;unclassified Myoviridae;Cytophagia;Cytophagales;Flammeovirgaceae;Flexithrix;Flexithrix dorotheae</t>
  </si>
  <si>
    <t>Viruses[1];Caudovirales[1];Myoviridae[1];unclassified Myoviridae[1];Caulobacter phage Cr30[1]</t>
  </si>
  <si>
    <t>17.04.P2-6.727-1.6</t>
  </si>
  <si>
    <t>Viruses[1];Caudovirales[1];Myoviridae[1];unclassified Myoviridae[1];Cytophagia[1];Methanomicrobiaceae[1];Flammeovirgaceae[1];Flammeovirga[1];unclassified Flammeovirga[1];Flammeovirga sp. OC4[1]</t>
  </si>
  <si>
    <t>Viruses;Caudovirales;Myoviridae;unclassified Myoviridae;Cytophagia;Methanomicrobiaceae;Flammeovirgaceae;Flammeovirga;unclassified Flammeovirga;Flammeovirga sp. OC4</t>
  </si>
  <si>
    <t>Viruses[1];Caudovirales[1];Myoviridae[1];unclassified Myoviridae[1];Synechococcus phage ACG-2014i[1]</t>
  </si>
  <si>
    <t>17.04.P2-8.361-4.8</t>
  </si>
  <si>
    <t>Viruses[2];Caudovirales[2];Myoviridae[2];unclassified Myoviridae[2];Desulfuromonadales[1];Desulfuromonadaceae[1];Desulfuromonas[1];unclassified Desulfuromonas[1];Desulfuromonas sp. TF[1]</t>
  </si>
  <si>
    <t>Viruses;Caudovirales;Myoviridae;unclassified Myoviridae;Desulfuromonadales;Desulfuromonadaceae;Desulfuromonas;unclassified Desulfuromonas;Desulfuromonas sp. TF</t>
  </si>
  <si>
    <t>Viruses[2];Caudovirales[2];Myoviridae[2];unclassified Myoviridae[2];Pelagibacter phage HTVC008M[1]</t>
  </si>
  <si>
    <t>11.09.P2-11.589-35</t>
  </si>
  <si>
    <t>Viruses[2];Caudovirales[2];Myoviridae[2];unclassified Myoviridae[2];Enterobacteriaceae[2];Klebsiella[2];Klebsiella michiganensis[2]</t>
  </si>
  <si>
    <t>Viruses;Caudovirales;Myoviridae;unclassified Myoviridae;Enterobacteriaceae;Klebsiella;Klebsiella michiganensis</t>
  </si>
  <si>
    <t>Viruses[2];Caudovirales[2];Myoviridae[2];unclassified Myoviridae[2];Prochlorococcus phage P-SSM5[2]</t>
  </si>
  <si>
    <t>11.09.P2-4.757-48</t>
  </si>
  <si>
    <t>Viruses[1];Caudovirales[1];Myoviridae[1];unclassified Myoviridae[1];Enterobacteriaceae[1];Klebsiella[1];Klebsiella michiganensis[1]</t>
  </si>
  <si>
    <t>Viruses[1];Caudovirales[1];Myoviridae[1];unclassified Myoviridae[1];Prochlorococcus phage P-SSM2[1]</t>
  </si>
  <si>
    <t>11.09.P2-8.963-47</t>
  </si>
  <si>
    <t>17.05.P3-3.905-7.7</t>
  </si>
  <si>
    <t>Viruses[2];Caudovirales[2];Myoviridae[1];unclassified Myoviridae[1];Escherichia phage ESCO5[1];Cytophagales[1];Hymenobacteraceae[1];Rufibacter[1];Rufibacter roseus[1]</t>
  </si>
  <si>
    <t>Viruses;Caudovirales;Myoviridae;unclassified Myoviridae;Escherichia phage ESCO5;Cytophagales;Hymenobacteraceae;Rufibacter;Rufibacter roseus</t>
  </si>
  <si>
    <t>Viruses[2];Caudovirales[2];Podoviridae[1];unclassified Podoviridae[1];Escherichia phage ESCO5[1]</t>
  </si>
  <si>
    <t>05.07.P4-3.424-2.1</t>
  </si>
  <si>
    <t>Viruses[2];Caudovirales[2];Myoviridae[2];unclassified Myoviridae[1];Escherichia virus 121Q[1];Escherichia phage 121Q[1]</t>
  </si>
  <si>
    <t>Viruses;Caudovirales;Myoviridae;unclassified Myoviridae;Escherichia virus 121Q;Escherichia phage 121Q</t>
  </si>
  <si>
    <t>05.07.P4-8.202-8.6</t>
  </si>
  <si>
    <t>Viruses[4];Caudovirales[4];Myoviridae[3];unclassified Myoviridae[2];Eschierichia virus PBECO4[1];Escherichia phage PBECO4[1];Rhodobacter sphaeroides[1];Polaribacter[1];Polaribacter gangjinensis[1]</t>
  </si>
  <si>
    <t>Viruses;Caudovirales;Myoviridae;unclassified Myoviridae;Eschierichia virus PBECO4;Escherichia phage PBECO4;Rhodobacter sphaeroides;Polaribacter;Polaribacter gangjinensis</t>
  </si>
  <si>
    <t>Viruses[4];Caudovirales[4];Myoviridae[3];unclassified Myoviridae[2];Lake Baikal phage Baikal-20-5m-C28[1];Escherichia phage PBECO4[1]</t>
  </si>
  <si>
    <t>05.07.P3-6.535-17</t>
  </si>
  <si>
    <t>Viruses[3];Caudovirales[3];Myoviridae[2];unclassified Myoviridae[1];Eschierichia virus PBECO4[1];Sulfurovum[1];Sulfurovum lithotrophicum[1]</t>
  </si>
  <si>
    <t>Viruses;Caudovirales;Myoviridae;unclassified Myoviridae;Eschierichia virus PBECO4;Sulfurovum;Sulfurovum lithotrophicum</t>
  </si>
  <si>
    <t>Viruses[3];Caudovirales[3];Myoviridae[2];Asteriusvirus[1];Lake Baikal phage Baikal-20-5m-C28[1];Escherichia phage PBECO4[1]</t>
  </si>
  <si>
    <t>17.04.P4-2.668-3.2</t>
  </si>
  <si>
    <t>Viruses[2];Caudovirales[2];Myoviridae[2];unclassified Myoviridae[1];Firehammervirus[1];Campylobacter virus CP21[1];Campylobacter[1];unclassified Campylobacter[1];Cavenderia fasciculata[1]</t>
  </si>
  <si>
    <t>Viruses;Caudovirales;Myoviridae;unclassified Myoviridae;Firehammervirus;Campylobacter virus CP21;Campylobacter;unclassified Campylobacter;Cavenderia fasciculata</t>
  </si>
  <si>
    <t>Viruses[2];Caudovirales[2];Myoviridae[2];unclassified Myoviridae[1];Synechococcus phage S-T4[1];Campylobacter virus CP21[1]</t>
  </si>
  <si>
    <t>05.07.P4-9.181-36</t>
  </si>
  <si>
    <t>Viruses[2];Caudovirales[2];Myoviridae[2];unclassified Myoviridae[2];Flavobacteriia[2];Flavobacteriales[2];Flavobacteriaceae[2];Chishuiella[2];Chishuiella changwenlii[2]</t>
  </si>
  <si>
    <t>Viruses;Caudovirales;Myoviridae;unclassified Myoviridae;Flavobacteriia;Flavobacteriales;Flavobacteriaceae;Chishuiella;Chishuiella changwenlii</t>
  </si>
  <si>
    <t>Viruses[2];Caudovirales[2];Myoviridae[2];unclassified Myoviridae[2];Klebsiella phage ZCKP1[2]</t>
  </si>
  <si>
    <t>17.04.P4-3.974-7.2</t>
  </si>
  <si>
    <t>Viruses[1];Caudovirales[1];Myoviridae[1];unclassified Myoviridae[1];Flavobacteriia[1];Flavobacteriales[1];Flavobacteriaceae[1];Polaribacter[1];Polaribacter butkevichii[1]</t>
  </si>
  <si>
    <t>Viruses;Caudovirales;Myoviridae;unclassified Myoviridae;Flavobacteriia;Flavobacteriales;Flavobacteriaceae;Polaribacter;Polaribacter butkevichii</t>
  </si>
  <si>
    <t>17.04.P4-2.679-2.7</t>
  </si>
  <si>
    <t>Viruses[1];Caudovirales[1];Myoviridae[1];unclassified Myoviridae[1];Hahellaceae[1];Zooshikella[1];Zooshikella ganghwensis[1]</t>
  </si>
  <si>
    <t>Viruses;Caudovirales;Myoviridae;unclassified Myoviridae;Hahellaceae;Zooshikella;Zooshikella ganghwensis</t>
  </si>
  <si>
    <t>Viruses[1];Caudovirales[1];Myoviridae[1];unclassified Myoviridae[1];Synechococcus phage S-ShM2[1]</t>
  </si>
  <si>
    <t>17.04.P1-9.128-10</t>
  </si>
  <si>
    <t>Viruses[2];Caudovirales[2];Myoviridae[2];unclassified Myoviridae[2];Halanaerobiales[1];Halobacteroidaceae[1];Halonatronum[1];Labilibacter[1];Labilibacter aurantiacus[1]</t>
  </si>
  <si>
    <t>Viruses;Caudovirales;Myoviridae;unclassified Myoviridae;Halanaerobiales;Halobacteroidaceae;Halonatronum;Labilibacter;Labilibacter aurantiacus</t>
  </si>
  <si>
    <t>05.07.P4-13.300-12</t>
  </si>
  <si>
    <t>Viruses[4];Caudovirales[4];Myoviridae[4];unclassified Myoviridae[2];Klebsiella virus K64-1[1];Gallaecimonas mangrovi[1];Novosphingobium kunmingense[1]</t>
  </si>
  <si>
    <t>Viruses;Caudovirales;Myoviridae;unclassified Myoviridae;Klebsiella virus K64-1;Gallaecimonas mangrovi;Novosphingobium kunmingense</t>
  </si>
  <si>
    <t>Viruses[4];Caudovirales[4];Myoviridae[4];unclassified Myoviridae[2];Klebsiella virus K64-1[1];Klebsiella phage K64-1[1]</t>
  </si>
  <si>
    <t>05.07.P4-12.715-37</t>
  </si>
  <si>
    <t>Viruses[4];Caudovirales[4];Myoviridae[4];unclassified Myoviridae[3];Klebsiella virus RaK2[1];Klebsiella phage vB_KleM_RaK2[1];Megamonas[1];Megamonas hypermegale[1]</t>
  </si>
  <si>
    <t>Viruses;Caudovirales;Myoviridae;unclassified Myoviridae;Klebsiella virus RaK2;Klebsiella phage vB_KleM_RaK2;Megamonas;Megamonas hypermegale</t>
  </si>
  <si>
    <t>Viruses[4];Caudovirales[4];Myoviridae[4];unclassified Myoviridae[3];Klebsiella virus RaK2[1];Klebsiella phage vB_KleM_RaK2[1]</t>
  </si>
  <si>
    <t>11.09.P1-3.923-52</t>
  </si>
  <si>
    <t>Viruses[4];Caudovirales[4];Myoviridae[4];unclassified Myoviridae[4];Lake Baikal phage Baikal-20-5m-C28[2]</t>
  </si>
  <si>
    <t>Viruses;Caudovirales;Myoviridae;unclassified Myoviridae;Lake Baikal phage Baikal-20-5m-C28</t>
  </si>
  <si>
    <t>05.07.P4-2.674-4.3</t>
  </si>
  <si>
    <t>Viruses[1];Caudovirales[1];Myoviridae[1];unclassified Myoviridae[1];Lake Baikal phage Baikal-20-5m-C28[1]</t>
  </si>
  <si>
    <t>05.07.P3-2.740-3.0</t>
  </si>
  <si>
    <t>11.09.P2-8.389-15</t>
  </si>
  <si>
    <t>Viruses[4];Caudovirales[4];Myoviridae[3];unclassified Myoviridae[3];Lake Baikal phage Baikal-20-5m-C28[2];Bacteroidales[1];Prevotellaceae[1];Prevotella[1];unclassified Prevotella[1];Prevotella sp. Marseille-P4119[1]</t>
  </si>
  <si>
    <t>Viruses;Caudovirales;Myoviridae;unclassified Myoviridae;Lake Baikal phage Baikal-20-5m-C28;Bacteroidales;Prevotellaceae;Prevotella;unclassified Prevotella;Prevotella sp. Marseille-P4119</t>
  </si>
  <si>
    <t>Viruses[4];Caudovirales[4];Myoviridae[3];unclassified Myoviridae[3];Lake Baikal phage Baikal-20-5m-C28[2]</t>
  </si>
  <si>
    <t>05.07.P3-8.137-13</t>
  </si>
  <si>
    <t>Viruses[5];Caudovirales[5];Myoviridae[4];unclassified Myoviridae[3];Lake Baikal phage Baikal-20-5m-C28[2];Hyphomonas[1];unclassified Hyphomonas[1];Hyphomonas sp. C76AD[1]</t>
  </si>
  <si>
    <t>Viruses;Caudovirales;Myoviridae;unclassified Myoviridae;Lake Baikal phage Baikal-20-5m-C28;Hyphomonas;unclassified Hyphomonas;Hyphomonas sp. C76AD</t>
  </si>
  <si>
    <t>Viruses[5];Caudovirales[5];Myoviridae[4];unclassified Myoviridae[3];Lake Baikal phage Baikal-20-5m-C28[2];Delftia phage PhiW-14[1]</t>
  </si>
  <si>
    <t>17.04.P4-11.378-6.5</t>
  </si>
  <si>
    <t>Viruses[3];Caudovirales[3];Myoviridae[3];unclassified Myoviridae[2];Lake Baikal phage Baikal-20-5m-C28[2];Serratia phage BF[1];Synechococcus[1];unclassified Synechococcus[1];Synechococcus sp. TMED187[1]</t>
  </si>
  <si>
    <t>Viruses;Caudovirales;Myoviridae;unclassified Myoviridae;Lake Baikal phage Baikal-20-5m-C28;Serratia phage BF;Synechococcus;unclassified Synechococcus;Synechococcus sp. TMED187</t>
  </si>
  <si>
    <t>Viruses[3];Caudovirales[3];Myoviridae[3];unclassified Myoviridae[2];Lake Baikal phage Baikal-20-5m-C28[2];Serratia phage BF[1]</t>
  </si>
  <si>
    <t>17.04.P2-21.008-17</t>
  </si>
  <si>
    <t>Viruses[6];Caudovirales[6];Myoviridae[6];unclassified Myoviridae[4];Lake Baikal phage Baikal-20-5m-C28[4];Sinorhizobium phage phiN3[1];Endozoicomonas atrinae[1];Halomonas sp. S2151[1]</t>
  </si>
  <si>
    <t>Viruses;Caudovirales;Myoviridae;unclassified Myoviridae;Lake Baikal phage Baikal-20-5m-C28;Sinorhizobium phage phiN3;Endozoicomonas atrinae;Halomonas sp. S2151</t>
  </si>
  <si>
    <t>Viruses[6];Caudovirales[6];Myoviridae[6];unclassified Myoviridae[4];Lake Baikal phage Baikal-20-5m-C28[4];Aeromonas phage Aes508[1]</t>
  </si>
  <si>
    <t>17.04.P4-8.994-33</t>
  </si>
  <si>
    <t>Viruses[5];Caudovirales[5];Myoviridae[5];unclassified Myoviridae[4];Lake Baikal phage Baikal-20-5m-C28[3];unclassified Fletchervirus[1];Comamonas thiooxydans[1]</t>
  </si>
  <si>
    <t>Viruses;Caudovirales;Myoviridae;unclassified Myoviridae;Lake Baikal phage Baikal-20-5m-C28;unclassified Fletchervirus;Comamonas thiooxydans</t>
  </si>
  <si>
    <t>Viruses[5];Caudovirales[5];Myoviridae[5];unclassified Myoviridae[4];Lake Baikal phage Baikal-20-5m-C28[3];unclassified Fletchervirus[1];Campylobacter phage PC5[1]</t>
  </si>
  <si>
    <t>17.05.P3-4.824-8.9</t>
  </si>
  <si>
    <t>Viruses[1];Caudovirales[1];Myoviridae[1];unclassified Myoviridae[1];Legionellaceae[1];Legionella[1];Legionella quateirensis[1]</t>
  </si>
  <si>
    <t>Viruses;Caudovirales;Myoviridae;unclassified Myoviridae;Legionellaceae;Legionella;Legionella quateirensis</t>
  </si>
  <si>
    <t>Viruses[1];Caudovirales[1];Myoviridae[1];unclassified Myoviridae[1];Salicola phage SCTP-2[1]</t>
  </si>
  <si>
    <t>11.09.P2-14.862-46</t>
  </si>
  <si>
    <t>Viruses[1];Caudovirales[1];Myoviridae[1];unclassified Myoviridae[1];Leptospiraceae[1];Leptospira[1];Leptospira biflexa[1];Leptospira biflexa serovar Patoc[1];Leptospira biflexa serovar Patoc strain 'Patoc 1 (Paris)'[1]</t>
  </si>
  <si>
    <t>Viruses;Caudovirales;Myoviridae;unclassified Myoviridae;Leptospiraceae;Leptospira;Leptospira biflexa;Leptospira biflexa serovar Patoc;Leptospira biflexa serovar Patoc strain 'Patoc 1 (Paris)'</t>
  </si>
  <si>
    <t>Viruses[1];Caudovirales[1];Myoviridae[1];unclassified Myoviridae[1];Synechococcus phage S-WAM2[1]</t>
  </si>
  <si>
    <t>17.04.P4-8.293-7.5</t>
  </si>
  <si>
    <t>Viruses[1];Caudovirales[1];Myoviridae[1];unclassified Myoviridae[1];Myxococcales[1];Cystobacterineae[1];Archangiaceae[1];Archangium[1];Archangium gephyra[1]</t>
  </si>
  <si>
    <t>Viruses;Caudovirales;Myoviridae;unclassified Myoviridae;Myxococcales;Cystobacterineae;Archangiaceae;Archangium;Archangium gephyra</t>
  </si>
  <si>
    <t>Viruses[1];Caudovirales[1];Myoviridae[1];unclassified Myoviridae[1];Synechococcus phage ACG-2014h[1]</t>
  </si>
  <si>
    <t>11.09.P2-2.674-2.9</t>
  </si>
  <si>
    <t>Viruses[1];Caudovirales[1];Myoviridae[1];unclassified Myoviridae[1];Nostocales[1];Hapalosiphonaceae[1];Fischerella[1];Fischerella major[1]</t>
  </si>
  <si>
    <t>Viruses;Caudovirales;Myoviridae;unclassified Myoviridae;Nostocales;Hapalosiphonaceae;Fischerella;Fischerella major</t>
  </si>
  <si>
    <t>Viruses[1];Caudovirales[1];Myoviridae[1];unclassified Myoviridae[1];Prochlorococcus phage Syn1[1]</t>
  </si>
  <si>
    <t>11.09.P3-3.036-6.1</t>
  </si>
  <si>
    <t>Viruses[1];Caudovirales[1];Myoviridae[1];unclassified Myoviridae[1];Oceanospirillaceae[1];Neptuniibacter[1];Neptuniibacter pectenicola[1]</t>
  </si>
  <si>
    <t>Viruses;Caudovirales;Myoviridae;unclassified Myoviridae;Oceanospirillaceae;Neptuniibacter;Neptuniibacter pectenicola</t>
  </si>
  <si>
    <t>Viruses[1];Caudovirales[1];Myoviridae[1];unclassified Myoviridae[1];Acinetobacter phage AM24[1]</t>
  </si>
  <si>
    <t>17.04.P4-8.205-14</t>
  </si>
  <si>
    <t>Viruses[1];Caudovirales[1];Myoviridae[1];unclassified Myoviridae[1];Opitutales[1];Opitutaceae[1];Geminisphaera[1];Geminisphaera colitermitum[1]</t>
  </si>
  <si>
    <t>Viruses;Caudovirales;Myoviridae;unclassified Myoviridae;Opitutales;Opitutaceae;Geminisphaera;Geminisphaera colitermitum</t>
  </si>
  <si>
    <t>Viruses[1];Caudovirales[1];Myoviridae[1];unclassified Myoviridae[1];Cyanophage P-TIM40[1]</t>
  </si>
  <si>
    <t>17.04.P2-4.578-5.3</t>
  </si>
  <si>
    <t>Viruses[1];Caudovirales[1];Myoviridae[1];unclassified Myoviridae[1];Opitutales[1];Opitutaceae[1];Opitutus[1];unclassified Opitutus[1];Opitutus sp. ER46[1]</t>
  </si>
  <si>
    <t>Viruses;Caudovirales;Myoviridae;unclassified Myoviridae;Opitutales;Opitutaceae;Opitutus;unclassified Opitutus;Opitutus sp. ER46</t>
  </si>
  <si>
    <t>23.10.P4-12.198-32</t>
  </si>
  <si>
    <t>Viruses;Caudovirales;Myoviridae;unclassified Myoviridae;Pelagibacter phage HTVC008M</t>
  </si>
  <si>
    <t>05.07.P3-10.845-3.9</t>
  </si>
  <si>
    <t>Viruses[13];Caudovirales[13];Myoviridae[12];unclassified Myoviridae[9];Pelagibacter phage HTVC008M[6];Sinorhizobium phage phiN3[1];unclassified Alteromonas[1];Alteromonas sp. TMED35[1]</t>
  </si>
  <si>
    <t>Viruses;Caudovirales;Myoviridae;unclassified Myoviridae;Pelagibacter phage HTVC008M;Sinorhizobium phage phiN3;unclassified Alteromonas;Alteromonas sp. TMED35</t>
  </si>
  <si>
    <t>Viruses[13];Caudovirales[13];Myoviridae[12];unclassified Myoviridae[9];Pelagibacter phage HTVC008M[6];Pseudomonas phage pf16[1]</t>
  </si>
  <si>
    <t>11.09.P1-2.849-4.4</t>
  </si>
  <si>
    <t>Viruses[2];Caudovirales[2];Myoviridae[2];unclassified Myoviridae[2];Prochlorococcus phage P-HM2[1]</t>
  </si>
  <si>
    <t>Viruses;Caudovirales;Myoviridae;unclassified Myoviridae;Prochlorococcus phage P-HM2</t>
  </si>
  <si>
    <t>17.04.P1-5.356-4.8</t>
  </si>
  <si>
    <t>Viruses[2];Caudovirales[2];Myoviridae[2];unclassified Myoviridae[2];Prochlorococcus phage P-SSM2[1];Sphingobacteriales[1];Desulfococcus[1];Desulfococcus multivorans[1];Pedobacter glucosidilyticus[1]</t>
  </si>
  <si>
    <t>Viruses;Caudovirales;Myoviridae;unclassified Myoviridae;Prochlorococcus phage P-SSM2;Sphingobacteriales;Desulfococcus;Desulfococcus multivorans;Pedobacter glucosidilyticus</t>
  </si>
  <si>
    <t>Viruses[2];Caudovirales[2];Myoviridae[2];unclassified Myoviridae[2];Prochlorococcus phage P-SSM2[1]</t>
  </si>
  <si>
    <t>11.09.P2-5.328-22</t>
  </si>
  <si>
    <t>Viruses[1];Caudovirales[1];Myoviridae[1];unclassified Myoviridae[1];Prochlorococcus phage P-SSM5[1];Klebsiella[1];Klebsiella michiganensis[1]</t>
  </si>
  <si>
    <t>Viruses;Caudovirales;Myoviridae;unclassified Myoviridae;Prochlorococcus phage P-SSM5;Klebsiella;Klebsiella michiganensis</t>
  </si>
  <si>
    <t>Viruses[1];Caudovirales[1];Myoviridae[1];unclassified Myoviridae[1];Prochlorococcus phage P-SSM5[1]</t>
  </si>
  <si>
    <t>17.04.P4-2.593-2.6</t>
  </si>
  <si>
    <t>Viruses[1];Caudovirales[1];Myoviridae[1];unclassified Myoviridae[1];Pseudomonas phage PaBG[1]</t>
  </si>
  <si>
    <t>Viruses;Caudovirales;Myoviridae;unclassified Myoviridae;Pseudomonas phage PaBG</t>
  </si>
  <si>
    <t>11.09.P1-7.803-7.9</t>
  </si>
  <si>
    <t>Viruses[4];Caudovirales[4];Myoviridae[4];unclassified Myoviridae[2];Pseudomonas virus Psa374[2];Pseudomonas phage phiPsa374[2]</t>
  </si>
  <si>
    <t>Viruses;Caudovirales;Myoviridae;unclassified Myoviridae;Pseudomonas virus Psa374;Pseudomonas phage phiPsa374</t>
  </si>
  <si>
    <t>Viruses[4];Caudovirales[4];Myoviridae[4];unclassified Myoviridae[2];Escherichia phage ST32[2];Pseudomonas phage phiPsa374[2]</t>
  </si>
  <si>
    <t>11.09.P2-2.989-10</t>
  </si>
  <si>
    <t>Viruses[1];Caudovirales[1];Myoviridae[1];unclassified Myoviridae[1];Rhizobiaceae[1];Rhizobium/Agrobacterium group[1];Rhizobium[1];unclassified Rhizobium[1];Rhizobium sp. Root651[1]</t>
  </si>
  <si>
    <t>Viruses;Caudovirales;Myoviridae;unclassified Myoviridae;Rhizobiaceae;Rhizobium/Agrobacterium group;Rhizobium;unclassified Rhizobium;Rhizobium sp. Root651</t>
  </si>
  <si>
    <t>Viruses[1];Caudovirales[1];Myoviridae[1];unclassified Myoviridae[1];Shewanella phage SppYZU01[1]</t>
  </si>
  <si>
    <t>17.04.P2-5.763-7.6</t>
  </si>
  <si>
    <t>Viruses;Caudovirales;Myoviridae;unclassified Myoviridae;Rhodothermus phage RM378</t>
  </si>
  <si>
    <t>23.10.P4-5.867-18</t>
  </si>
  <si>
    <t>17.05.P3-3.948-9.1</t>
  </si>
  <si>
    <t>17.04.P3-5.395-19</t>
  </si>
  <si>
    <t>Viruses[1];Caudovirales[1];Myoviridae[1];unclassified Myoviridae[1];Rhodothermus phage RM378[1];Klebsiella[1];Klebsiella pneumoniae[1]</t>
  </si>
  <si>
    <t>Viruses;Caudovirales;Myoviridae;unclassified Myoviridae;Rhodothermus phage RM378;Klebsiella;Klebsiella pneumoniae</t>
  </si>
  <si>
    <t>17.04.P4-4.282-14</t>
  </si>
  <si>
    <t>17.04.P1-6.028-16</t>
  </si>
  <si>
    <t>Viruses[2];Caudovirales[2];Myoviridae[2];unclassified Myoviridae[2];Rhodothermus phage RM378[2];Oscillatoriales[1];Oscillatoriaceae[1];Moorea[1];Moorea producens[1];Moorea producens PAL-8-15-08-1[1]</t>
  </si>
  <si>
    <t>Viruses;Caudovirales;Myoviridae;unclassified Myoviridae;Rhodothermus phage RM378;Oscillatoriales;Oscillatoriaceae;Moorea;Moorea producens;Moorea producens PAL-8-15-08-1</t>
  </si>
  <si>
    <t>Viruses[2];Caudovirales[2];Myoviridae[2];unclassified Myoviridae[2];Rhodothermus phage RM378[2]</t>
  </si>
  <si>
    <t>11.09.P4-2.974-2.3</t>
  </si>
  <si>
    <t>Viruses;Caudovirales;Myoviridae;unclassified Myoviridae;Salicola phage SCTP-2</t>
  </si>
  <si>
    <t>17.04.P4-3.852-9.9</t>
  </si>
  <si>
    <t>23.10.P4-2.911-18</t>
  </si>
  <si>
    <t>05.07.P4-4.988-3.2</t>
  </si>
  <si>
    <t>11.09.P2-2.521-3.9</t>
  </si>
  <si>
    <t>Viruses[1];Caudovirales[1];Myoviridae[1];unclassified Myoviridae[1];Salicola phage SCTP-2[1];Francisella[1];Francisella tularensis[1]</t>
  </si>
  <si>
    <t>Viruses;Caudovirales;Myoviridae;unclassified Myoviridae;Salicola phage SCTP-2;Francisella;Francisella tularensis</t>
  </si>
  <si>
    <t>17.04.P2-21.916-9.0</t>
  </si>
  <si>
    <t>Viruses[7];Caudovirales[7];Myoviridae[7];unclassified Myoviridae[6];Salicola phage SCTP-2[3];Hungateiclostridiaceae[1];Pseudoclostridium[1];Pseudoclostridium thermosuccinogenes[1]</t>
  </si>
  <si>
    <t>Viruses;Caudovirales;Myoviridae;unclassified Myoviridae;Salicola phage SCTP-2;Hungateiclostridiaceae;Pseudoclostridium;Pseudoclostridium thermosuccinogenes</t>
  </si>
  <si>
    <t>Viruses[7];Caudovirales[7];Myoviridae[7];unclassified Myoviridae[6];Salicola phage SCTP-2[3];Serratia phage BF[1]</t>
  </si>
  <si>
    <t>05.07.P4-5.951-13</t>
  </si>
  <si>
    <t>Viruses[4];Caudovirales[4];Myoviridae[4];unclassified Myoviridae[3];Salicola phage SCTP-2[2];Oscillatoriales[1];Coleofasciculaceae[1];Geitlerinema[1];unclassified Geitlerinema[1];Geitlerinema sp. PCC 7407[1]</t>
  </si>
  <si>
    <t>Viruses;Caudovirales;Myoviridae;unclassified Myoviridae;Salicola phage SCTP-2;Oscillatoriales;Coleofasciculaceae;Geitlerinema;unclassified Geitlerinema;Geitlerinema sp. PCC 7407</t>
  </si>
  <si>
    <t>Viruses[4];Caudovirales[4];Myoviridae[4];unclassified Myoviridae[3];Salicola phage SCTP-2[2];Serratia phage BF[1]</t>
  </si>
  <si>
    <t>23.10.P4-7.580-4.5</t>
  </si>
  <si>
    <t>Viruses[1];Caudovirales[1];Myoviridae[1];unclassified Myoviridae[1];Salicola phage SCTP-2[1];Paenibacillaceae[1];Brevibacillus[1];Brevibacillus brevis[1]</t>
  </si>
  <si>
    <t>Viruses;Caudovirales;Myoviridae;unclassified Myoviridae;Salicola phage SCTP-2;Paenibacillaceae;Brevibacillus;Brevibacillus brevis</t>
  </si>
  <si>
    <t>11.09.P4-8.947-4.1</t>
  </si>
  <si>
    <t>Viruses[1];Caudovirales[1];Myoviridae[1];unclassified Myoviridae[1];Salpingoecidae[1];Salpingoeca[1];Salpingoeca rosetta[1]</t>
  </si>
  <si>
    <t>Viruses;Caudovirales;Myoviridae;unclassified Myoviridae;Salpingoecidae;Salpingoeca;Salpingoeca rosetta</t>
  </si>
  <si>
    <t>Viruses[1];Caudovirales[1];Myoviridae[1];unclassified Myoviridae[1];Synechococcus phage S-CAM7[1]</t>
  </si>
  <si>
    <t>05.07.P3-4.760-8.9</t>
  </si>
  <si>
    <t>Viruses[1];Caudovirales[1];Myoviridae[1];unclassified Myoviridae[1];Selenomonadales[1];Selenomonadaceae[1];Megamonas[1];Megamonas hypermegale[1]</t>
  </si>
  <si>
    <t>Viruses;Caudovirales;Myoviridae;unclassified Myoviridae;Selenomonadales;Selenomonadaceae;Megamonas;Megamonas hypermegale</t>
  </si>
  <si>
    <t>Viruses[1];Caudovirales[1];Myoviridae[1];unclassified Myoviridae[1];Pelagibacter phage HTVC008M[1]</t>
  </si>
  <si>
    <t>17.04.P4-3.133-18</t>
  </si>
  <si>
    <t>Viruses;Caudovirales;Myoviridae;unclassified Myoviridae;Shewanella phage SppYZU01</t>
  </si>
  <si>
    <t>17.04.P4-9.698-4.9</t>
  </si>
  <si>
    <t>Viruses[7];Caudovirales[7];Myoviridae[6];unclassified Myoviridae[5];Shewanella phage SppYZU01[5];Endozoicomonas[1];Endozoicomonas ascidiicola[1];Pseudomonas stutzeri subgroup[1];Pseudomonas stutzeri[1]</t>
  </si>
  <si>
    <t>Viruses;Caudovirales;Myoviridae;unclassified Myoviridae;Shewanella phage SppYZU01;Endozoicomonas;Endozoicomonas ascidiicola;Pseudomonas stutzeri subgroup;Pseudomonas stutzeri</t>
  </si>
  <si>
    <t>Viruses[7];Caudovirales[7];Myoviridae[6];unclassified Myoviridae[5];Shewanella phage SppYZU01[5];Edwardsiella phage MSW-3[1]</t>
  </si>
  <si>
    <t>11.09.P1-4.202-9.3</t>
  </si>
  <si>
    <t>Viruses[3];Caudovirales[3];Myoviridae[3];unclassified Myoviridae[3];Shewanella sp. phage 1/4[2];Pseudomonas[1];Pseudomonas fluorescens group[1];Pseudomonas fluorescens[1]</t>
  </si>
  <si>
    <t>Viruses;Caudovirales;Myoviridae;unclassified Myoviridae;Shewanella sp. phage 1/4;Pseudomonas;Pseudomonas fluorescens group;Pseudomonas fluorescens</t>
  </si>
  <si>
    <t>Viruses[3];Caudovirales[3];Myoviridae[3];unclassified Myoviridae[3];Shewanella sp. phage 1/4[2]</t>
  </si>
  <si>
    <t>11.09.P2-4.100-40</t>
  </si>
  <si>
    <t>Viruses[5];Caudovirales[5];Myoviridae[3];unclassified Myoviridae[1];Sinorhizobium virus M12[1];unclassified Karamvirus[1];unclassified Pseudovibrio[1];Pseudovibrio sp. Ad13[1]</t>
  </si>
  <si>
    <t>Viruses;Caudovirales;Myoviridae;unclassified Myoviridae;Sinorhizobium virus M12;unclassified Karamvirus;unclassified Pseudovibrio;Pseudovibrio sp. Ad13</t>
  </si>
  <si>
    <t>Viruses[5];Caudovirales[5];Myoviridae[3];Emdodecavirus[1];Prochlorococcus phage P-SSM2[1];Sinorhizobium phage phiM12[1];Cronobacter phage Pet-CM3-4[1]</t>
  </si>
  <si>
    <t>23.10.P2-8.520-7.4</t>
  </si>
  <si>
    <t>Viruses[7];Caudovirales[7];Myoviridae[6];unclassified Myoviridae[5];Sinorhizobium virus N3[1];Sinorhizobium phage phiN3[1]</t>
  </si>
  <si>
    <t>Viruses;Caudovirales;Myoviridae;unclassified Myoviridae;Sinorhizobium virus N3;Sinorhizobium phage phiN3</t>
  </si>
  <si>
    <t>Viruses[7];Caudovirales[7];Myoviridae[6];unclassified Myoviridae[5];Stenotrophomonas phage vB_SmaS-DLP_6[1];Sinorhizobium phage phiN3[1]</t>
  </si>
  <si>
    <t>17.04.P4-9.186-13</t>
  </si>
  <si>
    <t>Viruses[1];Caudovirales[1];Myoviridae[1];unclassified Myoviridae[1];Sphingobacteriia[1];Sphingobacteriales[1];Sphingobacteriaceae[1];Mucilaginibacter[1];unclassified Mucilaginibacter[1];Mucilaginibacter sp. PAMC 26640[1]</t>
  </si>
  <si>
    <t>Viruses;Caudovirales;Myoviridae;unclassified Myoviridae;Sphingobacteriia;Sphingobacteriales;Sphingobacteriaceae;Mucilaginibacter;unclassified Mucilaginibacter;Mucilaginibacter sp. PAMC 26640</t>
  </si>
  <si>
    <t>11.09.P2-5.979-8.2</t>
  </si>
  <si>
    <t>Viruses[5];Caudovirales[5];Myoviridae[5];unclassified Myoviridae[5];Sphingobacteriia[2];Sphingobacteriales[2];Sphingobacteriaceae[2];Pedobacter[2];Pedobacter glucosidilyticus[2]</t>
  </si>
  <si>
    <t>Viruses;Caudovirales;Myoviridae;unclassified Myoviridae;Sphingobacteriia;Sphingobacteriales;Sphingobacteriaceae;Pedobacter;Pedobacter glucosidilyticus</t>
  </si>
  <si>
    <t>Viruses[5];Caudovirales[5];Myoviridae[5];unclassified Myoviridae[5];Synechococcus phage Syn19[2]</t>
  </si>
  <si>
    <t>17.04.P2-6.780-2.2</t>
  </si>
  <si>
    <t>Viruses[3];Caudovirales[3];Myoviridae[2];unclassified Myoviridae[2];Stenotrophomonas phage vB_SmaS-DLP_6[1]</t>
  </si>
  <si>
    <t>Viruses;Caudovirales;Myoviridae;unclassified Myoviridae;Stenotrophomonas phage vB_SmaS-DLP_6</t>
  </si>
  <si>
    <t>Viruses[3];Caudovirales[3];Myoviridae[2];unclassified Myoviridae[2];Vibrio phage 2.275.O._10N.286.54.E11[1]</t>
  </si>
  <si>
    <t>17.04.P4-6.744-2.1</t>
  </si>
  <si>
    <t>Viruses[4];Caudovirales[4];Myoviridae[3];unclassified Myoviridae[3];Streptomyces phage Satis[1]</t>
  </si>
  <si>
    <t>Viruses;Caudovirales;Myoviridae;unclassified Myoviridae;Streptomyces phage Satis</t>
  </si>
  <si>
    <t>Viruses[4];Caudovirales[4];Myoviridae[3];unclassified Myoviridae[3];Pelagibacter phage HTVC008M[1]</t>
  </si>
  <si>
    <t>17.04.P4-4.033-11</t>
  </si>
  <si>
    <t>Viruses[2];Caudovirales[2];Myoviridae[1];unclassified Myoviridae[1];Streptomyces virus BillNye[1];Streptomyces phage BillNye[1];Pseudorhizobium[1];unclassified Gemmata[1];Gemmata sp. SH-PL17[1]</t>
  </si>
  <si>
    <t>Viruses;Caudovirales;Myoviridae;unclassified Myoviridae;Streptomyces virus BillNye;Streptomyces phage BillNye;Pseudorhizobium;unclassified Gemmata;Gemmata sp. SH-PL17</t>
  </si>
  <si>
    <t>Viruses[2];Caudovirales[2];Siphoviridae[1];unclassified Myoviridae[1];Streptomyces virus BillNye[1];Streptomyces phage BillNye[1]</t>
  </si>
  <si>
    <t>17.04.P2-2.854-1.3</t>
  </si>
  <si>
    <t>Viruses[1];Caudovirales[1];Myoviridae[1];unclassified Myoviridae[1];Synechococcales[1];Synechococcaceae[1];Synechococcus[1];unclassified Synechococcus[1];Synechococcus sp. TMED187[1]</t>
  </si>
  <si>
    <t>Viruses;Caudovirales;Myoviridae;unclassified Myoviridae;Synechococcales;Synechococcaceae;Synechococcus;unclassified Synechococcus;Synechococcus sp. TMED187</t>
  </si>
  <si>
    <t>05.07.P4-2.594-8.1</t>
  </si>
  <si>
    <t>Viruses[1];Caudovirales[1];Myoviridae[1];unclassified Myoviridae[1];Synechococcus phage ACG-2014b[1]</t>
  </si>
  <si>
    <t>Viruses;Caudovirales;Myoviridae;unclassified Myoviridae;Synechococcus phage ACG-2014b</t>
  </si>
  <si>
    <t>23.10.P4-5.507-28</t>
  </si>
  <si>
    <t>Viruses[3];Caudovirales[3];Myoviridae[2];unclassified Myoviridae[2];Synechococcus phage ACG-2014h[1]</t>
  </si>
  <si>
    <t>Viruses;Caudovirales;Myoviridae;unclassified Myoviridae;Synechococcus phage ACG-2014h</t>
  </si>
  <si>
    <t>Viruses[3];Caudovirales[3];Myoviridae[2];unclassified Myoviridae[2];Synechococcus phage ACG-2014j[1]</t>
  </si>
  <si>
    <t>05.07.P4-3.153-5.6</t>
  </si>
  <si>
    <t>11.09.P4-4.393-3.0</t>
  </si>
  <si>
    <t>11.09.P2-5.821-17</t>
  </si>
  <si>
    <t>Viruses[2];Caudovirales[2];Myoviridae[2];unclassified Myoviridae[2];Synechococcus phage ACG-2014j[1]</t>
  </si>
  <si>
    <t>Viruses;Caudovirales;Myoviridae;unclassified Myoviridae;Synechococcus phage ACG-2014j</t>
  </si>
  <si>
    <t>11.09.P1-3.324-33</t>
  </si>
  <si>
    <t>Viruses;Caudovirales;Myoviridae;unclassified Myoviridae;Synechococcus phage S-CAM7</t>
  </si>
  <si>
    <t>17.04.P4-10.299-43</t>
  </si>
  <si>
    <t>Viruses[2];Caudovirales[2];Myoviridae[2];unclassified Myoviridae[2];Synechococcus phage S-CRM01[1]</t>
  </si>
  <si>
    <t>Viruses;Caudovirales;Myoviridae;unclassified Myoviridae;Synechococcus phage S-CRM01</t>
  </si>
  <si>
    <t>11.09.P2-8.129-44</t>
  </si>
  <si>
    <t>Viruses[2];Caudovirales[2];Myoviridae[2];unclassified Myoviridae[2];Synechococcus phage S-RIM8[2]</t>
  </si>
  <si>
    <t>Viruses;Caudovirales;Myoviridae;unclassified Myoviridae;Synechococcus phage S-RIM8</t>
  </si>
  <si>
    <t>11.09.P2-3.027-47</t>
  </si>
  <si>
    <t>Viruses[1];Caudovirales[1];Myoviridae[1];unclassified Myoviridae[1];Synechococcus phage S-RIM8[1]</t>
  </si>
  <si>
    <t>17.04.P1-6.729-16</t>
  </si>
  <si>
    <t>Viruses[1];Caudovirales[1];Myoviridae[1];unclassified Myoviridae[1];Synechococcus phage S-RIM8[1];Flavobacteriales[1];Flavobacteriaceae[1];Aquimarina[1];unclassified Aquimarina[1];Aquimarina sp. AU474[1]</t>
  </si>
  <si>
    <t>Viruses;Caudovirales;Myoviridae;unclassified Myoviridae;Synechococcus phage S-RIM8;Flavobacteriales;Flavobacteriaceae;Aquimarina;unclassified Aquimarina;Aquimarina sp. AU474</t>
  </si>
  <si>
    <t>11.09.P2-3.701-24</t>
  </si>
  <si>
    <t>Viruses[1];Caudovirales[1];Myoviridae[1];unclassified Myoviridae[1];Synechococcus phage S-RSM4[1]</t>
  </si>
  <si>
    <t>Viruses;Caudovirales;Myoviridae;unclassified Myoviridae;Synechococcus phage S-RSM4</t>
  </si>
  <si>
    <t>11.09.P4-3.298-7.0</t>
  </si>
  <si>
    <t>11.09.P4-2.675-1.7</t>
  </si>
  <si>
    <t>Viruses[3];Caudovirales[3];Myoviridae[3];unclassified Myoviridae[3];Synechococcus phage S-SKS1[3]</t>
  </si>
  <si>
    <t>Viruses;Caudovirales;Myoviridae;unclassified Myoviridae;Synechococcus phage S-SKS1</t>
  </si>
  <si>
    <t>05.07.P4-9.777-28</t>
  </si>
  <si>
    <t>Viruses[3];Caudovirales[3];Myoviridae[3];unclassified Myoviridae[3];Synechococcus phage S-SKS1[1];Bacteriovorax[1];unclassified Bacteriovorax[1];Bacteriovorax sp. BSW11_IV[1]</t>
  </si>
  <si>
    <t>Viruses;Caudovirales;Myoviridae;unclassified Myoviridae;Synechococcus phage S-SKS1;Bacteriovorax;unclassified Bacteriovorax;Bacteriovorax sp. BSW11_IV</t>
  </si>
  <si>
    <t>Viruses[3];Caudovirales[3];Myoviridae[3];unclassified Myoviridae[3];Synechococcus phage S-SKS1[1]</t>
  </si>
  <si>
    <t>11.09.P2-2.787-3.0</t>
  </si>
  <si>
    <t>Viruses[2];Caudovirales[2];Myoviridae[2];unclassified Myoviridae[2];Synechococcus phage S-SKS1[2];Bdellovibrio[1];unclassified Bdellovibrio[1];Bdellovibrio sp. ArHS[1]</t>
  </si>
  <si>
    <t>Viruses;Caudovirales;Myoviridae;unclassified Myoviridae;Synechococcus phage S-SKS1;Bdellovibrio;unclassified Bdellovibrio;Bdellovibrio sp. ArHS</t>
  </si>
  <si>
    <t>Viruses[2];Caudovirales[2];Myoviridae[2];unclassified Myoviridae[2];Synechococcus phage S-SKS1[2]</t>
  </si>
  <si>
    <t>11.09.P3-3.319-63</t>
  </si>
  <si>
    <t>Viruses[1];Caudovirales[1];Myoviridae[1];unclassified Myoviridae[1];Synechococcus phage S-SM2[1];Pseudomonas[1];unclassified Pseudomonas[1];Panarthropoda[1];Arthropoda[1];Mandibulata[1];Pancrustacea[1];Hexapoda[1];Insecta[1];Dicondylia[1];Pterygota[1];Neoptera[1];Polyneoptera[1];Dictyoptera[1];Blattodea[1];Blaberoidea[1];Ectobiidae[1];Blattellinae[1];Blattella[1];Blattella germanica[1]</t>
  </si>
  <si>
    <t>Viruses;Caudovirales;Myoviridae;unclassified Myoviridae;Synechococcus phage S-SM2;Pseudomonas;unclassified Pseudomonas;Panarthropoda;Arthropoda;Mandibulata;Pancrustacea;Hexapoda;Insecta;Dicondylia;Pterygota;Neoptera;Polyneoptera;Dictyoptera;Blattodea;Blaberoidea;Ectobiidae;Blattellinae;Blattella;Blattella germanica</t>
  </si>
  <si>
    <t>Viruses[1];Caudovirales[1];Myoviridae[1];unclassified Myoviridae[1];Synechococcus phage S-SM2[1]</t>
  </si>
  <si>
    <t>17.04.P2-8.040-7.1</t>
  </si>
  <si>
    <t>Viruses[1];Caudovirales[1];Myoviridae[1];unclassified Myoviridae[1];Synechococcus phage S-SSM7[1];Tracheophyta[1];Euphyllophyta[1];Spermatophyta[1];Magnoliopsida[1];Mesangiospermae[1];eudicotyledons[1];Gunneridae[1];Pentapetalae[1];rosids[1];fabids[1];Rosales[1];Rosaceae[1];Amygdaloideae[1];Maleae[1];Pyrus[1];Pyrus x bretschneideri[1]</t>
  </si>
  <si>
    <t>Viruses;Caudovirales;Myoviridae;unclassified Myoviridae;Synechococcus phage S-SSM7;Tracheophyta;Euphyllophyta;Spermatophyta;Magnoliopsida;Mesangiospermae;eudicotyledons;Gunneridae;Pentapetalae;rosids;fabids;Rosales;Rosaceae;Amygdaloideae;Maleae;Pyrus;Pyrus x bretschneideri</t>
  </si>
  <si>
    <t>Viruses[1];Caudovirales[1];Myoviridae[1];unclassified Myoviridae[1];Synechococcus phage S-SSM7[1]</t>
  </si>
  <si>
    <t>11.09.P4-9.744-7.4</t>
  </si>
  <si>
    <t>Viruses[1];Caudovirales[1];Myoviridae[1];unclassified Myoviridae[1];Synechococcus phage S-T4[1]</t>
  </si>
  <si>
    <t>Viruses;Caudovirales;Myoviridae;unclassified Myoviridae;Synechococcus phage S-T4</t>
  </si>
  <si>
    <t>17.04.P2-8.122-3.4</t>
  </si>
  <si>
    <t>Viruses[5];Caudovirales[5];Myoviridae[5];unclassified Myoviridae[5];Synechococcus phage S-WAM1[1];Rhodanobacter[1];Rhodanobacter denitrificans[1]</t>
  </si>
  <si>
    <t>Viruses;Caudovirales;Myoviridae;unclassified Myoviridae;Synechococcus phage S-WAM1;Rhodanobacter;Rhodanobacter denitrificans</t>
  </si>
  <si>
    <t>Viruses[5];Caudovirales[5];Myoviridae[5];unclassified Myoviridae[5];Prochlorococcus phage P-SSM2[1]</t>
  </si>
  <si>
    <t>11.09.P2-7.195-49</t>
  </si>
  <si>
    <t>Viruses[1];Caudovirales[1];Myoviridae[1];unclassified Myoviridae[1];Synechococcus phage S-WAM2[1];Klebsiella[1];Klebsiella michiganensis[1]</t>
  </si>
  <si>
    <t>Viruses;Caudovirales;Myoviridae;unclassified Myoviridae;Synechococcus phage S-WAM2;Klebsiella;Klebsiella michiganensis</t>
  </si>
  <si>
    <t>23.10.P4-6.086-5.9</t>
  </si>
  <si>
    <t>Viruses[4];Caudovirales[4];Myoviridae[3];unclassified Myoviridae[3];Synechococcus virus S-PRM1[1];Flavobacteriales[1];Flavobacteriaceae[1];Aquimarina[1];unclassified Aquimarina[1];Aquimarina sp. AU58[1]</t>
  </si>
  <si>
    <t>Viruses;Caudovirales;Myoviridae;unclassified Myoviridae;Synechococcus virus S-PRM1;Flavobacteriales;Flavobacteriaceae;Aquimarina;unclassified Aquimarina;Aquimarina sp. AU58</t>
  </si>
  <si>
    <t>Viruses[4];Caudovirales[4];Myoviridae[3];unclassified Myoviridae[3];Stenotrophomonas phage vB_SmaS-DLP_6[1]</t>
  </si>
  <si>
    <t>17.04.P4-2.860-13</t>
  </si>
  <si>
    <t>Viruses[1];Caudovirales[1];Myoviridae[1];unclassified Myoviridae[1];Tenacibaculum phage pT24[1]</t>
  </si>
  <si>
    <t>Viruses;Caudovirales;Myoviridae;unclassified Myoviridae;Tenacibaculum phage pT24</t>
  </si>
  <si>
    <t>17.04.P4-2.663-2.9</t>
  </si>
  <si>
    <t>Viruses[2];Caudovirales[2];Myoviridae[2];unclassified Myoviridae[1];unclassified Eneladusvirus[1];Cronobacter phage vB_CsaM_GAP32[1]</t>
  </si>
  <si>
    <t>Viruses;Caudovirales;Myoviridae;unclassified Myoviridae;unclassified Eneladusvirus;Cronobacter phage vB_CsaM_GAP32</t>
  </si>
  <si>
    <t>05.07.P3-2.627-1.4</t>
  </si>
  <si>
    <t>17.04.P3-8.125-6.0</t>
  </si>
  <si>
    <t>Viruses[2];Caudovirales[2];Myoviridae[2];unclassified Myoviridae[1];unclassified Kleczkowskavirus[1];Rhizobium phage RHEph06[1]</t>
  </si>
  <si>
    <t>Viruses;Caudovirales;Myoviridae;unclassified Myoviridae;unclassified Kleczkowskavirus;Rhizobium phage RHEph06</t>
  </si>
  <si>
    <t>Viruses[2];Caudovirales[2];Myoviridae[2];Kleczkowskavirus[1];Pelagibacter phage HTVC008M[1];Rhizobium phage RHEph06[1]</t>
  </si>
  <si>
    <t>17.04.P4-4.691-4.0</t>
  </si>
  <si>
    <t>Viruses[2];Caudovirales[2];Myoviridae[1];unclassified Myoviridae[1];unclassified Nipunavirus[1];Pseudomonas phage JG054[1]</t>
  </si>
  <si>
    <t>Viruses;Caudovirales;Myoviridae;unclassified Myoviridae;unclassified Nipunavirus;Pseudomonas phage JG054</t>
  </si>
  <si>
    <t>Viruses[2];Caudovirales[2];Siphoviridae[1];unclassified Myoviridae[1];unclassified Nipunavirus[1];Pseudomonas phage JG054[1]</t>
  </si>
  <si>
    <t>23.10.P4-7.838-26</t>
  </si>
  <si>
    <t>Viruses[4];Caudovirales[4];Myoviridae[3];unclassified Myoviridae[3];Vibrio phage 1.031.O._10N.261.46.F8[3];Helicobacteraceae[1];Helicobacter[1];Helicobacter apodemus[1]</t>
  </si>
  <si>
    <t>Viruses;Caudovirales;Myoviridae;unclassified Myoviridae;Vibrio phage 1.031.O._10N.261.46.F8;Helicobacteraceae;Helicobacter;Helicobacter apodemus</t>
  </si>
  <si>
    <t>Viruses[4];Caudovirales[4];Myoviridae[3];unclassified Myoviridae[3];Vibrio phage 1.031.O._10N.261.46.F8[3];Lactococcus phage phi93[1]</t>
  </si>
  <si>
    <t>17.04.P2-12.252-4.8</t>
  </si>
  <si>
    <t>Viruses[5];Caudovirales[5];Myoviridae[5];unclassified Myoviridae[5];Vibrio phage 1.031.O._10N.261.46.F8[5];Helicobacteraceae[2];Thiovulum[2];unclassified Thiovulum[2];Thiovulum sp. ES[2]</t>
  </si>
  <si>
    <t>Viruses;Caudovirales;Myoviridae;unclassified Myoviridae;Vibrio phage 1.031.O._10N.261.46.F8;Helicobacteraceae;Thiovulum;unclassified Thiovulum;Thiovulum sp. ES</t>
  </si>
  <si>
    <t>Viruses[5];Caudovirales[5];Myoviridae[5];unclassified Myoviridae[5];Vibrio phage 1.031.O._10N.261.46.F8[5]</t>
  </si>
  <si>
    <t>17.04.P3-5.743-3.6</t>
  </si>
  <si>
    <t>Viruses[3];Caudovirales[3];Myoviridae[2];unclassified Myoviridae[2];Vibrio phage 1.031.O._10N.261.46.F8[2];Lactococcus phage phi93[1];Helicobacter[1];Helicobacter apodemus[1]</t>
  </si>
  <si>
    <t>Viruses;Caudovirales;Myoviridae;unclassified Myoviridae;Vibrio phage 1.031.O._10N.261.46.F8;Lactococcus phage phi93;Helicobacter;Helicobacter apodemus</t>
  </si>
  <si>
    <t>Viruses[3];Caudovirales[3];Myoviridae[2];unclassified Myoviridae[2];Vibrio phage 1.031.O._10N.261.46.F8[2];Lactococcus phage phi93[1]</t>
  </si>
  <si>
    <t>17.04.P1-2.429-1.8</t>
  </si>
  <si>
    <t>Viruses[1];Caudovirales[1];Myoviridae[1];unclassified Myoviridae[1];Vibrio phage 1.199.A._10N.286.55.C10[1]</t>
  </si>
  <si>
    <t>Viruses;Caudovirales;Myoviridae;unclassified Myoviridae;Vibrio phage 1.199.A._10N.286.55.C10</t>
  </si>
  <si>
    <t>23.10.P4-4.135-16</t>
  </si>
  <si>
    <t>Viruses[1];Caudovirales[1];Myoviridae[1];unclassified Myoviridae[1];Vibrio phage 11895-B1[1];Protostomia[1];Lophotrochozoa[1];Methylacidiphilum kamchatkense[1];Bivalvia[1];Pteriomorphia[1];Pectinoida[1];Pectinoidea[1];Pectinidae[1];Mizuhopecten[1];Mizuhopecten yessoensis[1]</t>
  </si>
  <si>
    <t>Viruses;Caudovirales;Myoviridae;unclassified Myoviridae;Vibrio phage 11895-B1;Protostomia;Lophotrochozoa;Methylacidiphilum kamchatkense;Bivalvia;Pteriomorphia;Pectinoida;Pectinoidea;Pectinidae;Mizuhopecten;Mizuhopecten yessoensis</t>
  </si>
  <si>
    <t>Viruses[1];Caudovirales[1];Myoviridae[1];unclassified Myoviridae[1];Vibrio phage 11895-B1[1]</t>
  </si>
  <si>
    <t>17.04.P4-5.550-3.9</t>
  </si>
  <si>
    <t>Viruses[2];Caudovirales[2];Myoviridae[2];unclassified Myoviridae[2];Vibrio phage 2.275.O._10N.286.54.E11[1]</t>
  </si>
  <si>
    <t>Viruses;Caudovirales;Myoviridae;unclassified Myoviridae;Vibrio phage 2.275.O._10N.286.54.E11</t>
  </si>
  <si>
    <t>23.10.P4-2.714-2.6</t>
  </si>
  <si>
    <t>Viruses[3];Caudovirales[3];Myoviridae[2];unclassified Myoviridae[2];Vibrio phage 2.275.O._10N.286.54.E11[2]</t>
  </si>
  <si>
    <t>05.07.P4-8.873-11</t>
  </si>
  <si>
    <t>17.04.P4-3.282-2.1</t>
  </si>
  <si>
    <t>05.07.P4-5.193-3.5</t>
  </si>
  <si>
    <t>Viruses[2];Caudovirales[2];Myoviridae[2];unclassified Myoviridae[2];Vibrio phage 2.275.O._10N.286.54.E11[2];Caenispirillum[1];Caenispirillum bisanense[1]</t>
  </si>
  <si>
    <t>Viruses;Caudovirales;Myoviridae;unclassified Myoviridae;Vibrio phage 2.275.O._10N.286.54.E11;Caenispirillum;Caenispirillum bisanense</t>
  </si>
  <si>
    <t>Viruses[2];Caudovirales[2];Myoviridae[2];unclassified Myoviridae[2];Vibrio phage 2.275.O._10N.286.54.E11[2]</t>
  </si>
  <si>
    <t>17.04.P4-31.052-7.7</t>
  </si>
  <si>
    <t>Viruses[18];Caudovirales[18];Myoviridae[16];unclassified Myoviridae[8];Vibrio phage 2.275.O._10N.286.54.E11[6];Klebsiella phage vB_KleM_RaK2[3];Chitinophagaceae[1];Chitinophaga[1];unclassified Chitinophaga[1];Chitinophaga sp. MD30[1]</t>
  </si>
  <si>
    <t>Viruses;Caudovirales;Myoviridae;unclassified Myoviridae;Vibrio phage 2.275.O._10N.286.54.E11;Klebsiella phage vB_KleM_RaK2;Chitinophagaceae;Chitinophaga;unclassified Chitinophaga;Chitinophaga sp. MD30</t>
  </si>
  <si>
    <t>Viruses[18];Caudovirales[18];Myoviridae[16];unclassified Myoviridae[8];Vibrio phage 2.275.O._10N.286.54.E11[6];Klebsiella phage vB_KleM_RaK2[3]</t>
  </si>
  <si>
    <t>17.04.P1-7.839-11</t>
  </si>
  <si>
    <t>Viruses[1];Caudovirales[1];Myoviridae[1];unclassified Myoviridae[1];Vibrio phage 2.275.O._10N.286.54.E11[1];Komagataeibacter[1];unclassified Komagataeibacter[1];Komagataeibacter sp. AV 382[1]</t>
  </si>
  <si>
    <t>Viruses;Caudovirales;Myoviridae;unclassified Myoviridae;Vibrio phage 2.275.O._10N.286.54.E11;Komagataeibacter;unclassified Komagataeibacter;Komagataeibacter sp. AV 382</t>
  </si>
  <si>
    <t>05.07.P4-6.111-11</t>
  </si>
  <si>
    <t>Viruses[2];Caudovirales[2];Myoviridae[2];unclassified Myoviridae[2];Vibrio phage 2.275.O._10N.286.54.E11[2];Lactobacillaceae[1];Lactobacillus[1];Lactobacillus rennini[1]</t>
  </si>
  <si>
    <t>Viruses;Caudovirales;Myoviridae;unclassified Myoviridae;Vibrio phage 2.275.O._10N.286.54.E11;Lactobacillaceae;Lactobacillus;Lactobacillus rennini</t>
  </si>
  <si>
    <t>17.04.P1-5.226-8.3</t>
  </si>
  <si>
    <t>Viruses[1];Caudovirales[1];Myoviridae[1];unclassified Myoviridae[1];Vibrio phage 2.275.O._10N.286.54.E11[1];Phycisphaeraceae[1];Phycisphaera[1];unclassified Phycisphaera[1];Phycisphaera sp. TMED151[1]</t>
  </si>
  <si>
    <t>Viruses;Caudovirales;Myoviridae;unclassified Myoviridae;Vibrio phage 2.275.O._10N.286.54.E11;Phycisphaeraceae;Phycisphaera;unclassified Phycisphaera;Phycisphaera sp. TMED151</t>
  </si>
  <si>
    <t>05.07.P4-23.233-14</t>
  </si>
  <si>
    <t>Viruses[12];Caudovirales[12];Myoviridae[11];unclassified Myoviridae[9];Vibrio phage 2.275.O._10N.286.54.E11[4];Serratia phage BF[1];Megamonas[1];Megamonas hypermegale[1]</t>
  </si>
  <si>
    <t>Viruses;Caudovirales;Myoviridae;unclassified Myoviridae;Vibrio phage 2.275.O._10N.286.54.E11;Serratia phage BF;Megamonas;Megamonas hypermegale</t>
  </si>
  <si>
    <t>Viruses[12];Caudovirales[12];Myoviridae[11];unclassified Myoviridae[9];Vibrio phage 2.275.O._10N.286.54.E11[4];Serratia phage BF[1]</t>
  </si>
  <si>
    <t>17.04.P4-3.783-14</t>
  </si>
  <si>
    <t>Viruses[1];Caudovirales[1];Myoviridae[1];unclassified Myoviridae[1];Vibrio phage 2.275.O._10N.286.54.E11[1];Sneathiella[1];Sneathiella glossodoripedis[1]</t>
  </si>
  <si>
    <t>Viruses;Caudovirales;Myoviridae;unclassified Myoviridae;Vibrio phage 2.275.O._10N.286.54.E11;Sneathiella;Sneathiella glossodoripedis</t>
  </si>
  <si>
    <t>23.10.P4-4.559-1.9</t>
  </si>
  <si>
    <t>Viruses[1];Caudovirales[1];Myoviridae[1];unclassified Myoviridae[1];Vibrio phage 2.275.O._10N.286.54.E11[1];Sorangiineae[1];Polyangiaceae[1];Sorangium[1];Sorangium cellulosum[1];Sorangium cellulosum So ce56[1]</t>
  </si>
  <si>
    <t>Viruses;Caudovirales;Myoviridae;unclassified Myoviridae;Vibrio phage 2.275.O._10N.286.54.E11;Sorangiineae;Polyangiaceae;Sorangium;Sorangium cellulosum;Sorangium cellulosum So ce56</t>
  </si>
  <si>
    <t>17.05.P3-8.037-4.7</t>
  </si>
  <si>
    <t>Viruses[1];Caudovirales[1];Myoviridae[1];unclassified Myoviridae[1];Vibrio phage ICP1_2006_D[1];Methanotrichaceae[1];Methanothrix[1];unclassified Halanaerobium[1];Halanaerobium sp. 4-GBenrich[1]</t>
  </si>
  <si>
    <t>Viruses;Caudovirales;Myoviridae;unclassified Myoviridae;Vibrio phage ICP1_2006_D;Methanotrichaceae;Methanothrix;unclassified Halanaerobium;Halanaerobium sp. 4-GBenrich</t>
  </si>
  <si>
    <t>Viruses[1];Caudovirales[1];Myoviridae[1];unclassified Myoviridae[1];Vibrio phage ICP1_2006_D[1]</t>
  </si>
  <si>
    <t>17.04.P4-3.059-2.0</t>
  </si>
  <si>
    <t>Viruses[1];Caudovirales[1];Myoviridae[1];unclassified Myoviridae[1];Xanthomonadaceae[1];Xanthomonas[1];Xanthomonas oryzae[1]</t>
  </si>
  <si>
    <t>Viruses;Caudovirales;Myoviridae;unclassified Myoviridae;Xanthomonadaceae;Xanthomonas;Xanthomonas oryzae</t>
  </si>
  <si>
    <t>11.09.P3-2.737-2.0</t>
  </si>
  <si>
    <t>Viruses[2];Caudovirales[2];Myoviridae[2];unclassified Myoviridae[2];Xanthomonas phage XacN1[1]</t>
  </si>
  <si>
    <t>Viruses;Caudovirales;Myoviridae;unclassified Myoviridae;Xanthomonas phage XacN1</t>
  </si>
  <si>
    <t>Viruses[2];Caudovirales[2];Myoviridae[2];unclassified Myoviridae[2];Synechococcus phage Bellamy[1]</t>
  </si>
  <si>
    <t>11.09.P2-9.720-31</t>
  </si>
  <si>
    <t>Viruses[2];Caudovirales[2];Myoviridae[2];unclassified Myoviridae[2];Xanthomonas phage XacN1[2];Bacteroidales[2];Prevotellaceae[2];Prevotella[2];unclassified Prevotella[2];Prevotella sp. MGM1[2]</t>
  </si>
  <si>
    <t>Viruses;Caudovirales;Myoviridae;unclassified Myoviridae;Xanthomonas phage XacN1;Bacteroidales;Prevotellaceae;Prevotella;unclassified Prevotella;Prevotella sp. MGM1</t>
  </si>
  <si>
    <t>Viruses[2];Caudovirales[2];Myoviridae[2];unclassified Myoviridae[2];Xanthomonas phage XacN1[2]</t>
  </si>
  <si>
    <t>11.09.P3-9.290-4.4</t>
  </si>
  <si>
    <t>Viruses[2];Caudovirales[2];Myoviridae[2];unclassified Myoviridae[2];Xanthomonas phage XacN1[2];Bradyrhizobium[2];Bradyrhizobium yuanmingense[2]</t>
  </si>
  <si>
    <t>Viruses;Caudovirales;Myoviridae;unclassified Myoviridae;Xanthomonas phage XacN1;Bradyrhizobium;Bradyrhizobium yuanmingense</t>
  </si>
  <si>
    <t>11.09.P2-7.063-16</t>
  </si>
  <si>
    <t>Viruses[3];Caudovirales[3];Myoviridae[2];unclassified Myoviridae[2];Xanthomonas phage XacN1[2];Deinococcaceae[1];Flammeovirgaceae[1];Marivirga[1];Marivirga lumbricoides[1]</t>
  </si>
  <si>
    <t>Viruses;Caudovirales;Myoviridae;unclassified Myoviridae;Xanthomonas phage XacN1;Deinococcaceae;Flammeovirgaceae;Marivirga;Marivirga lumbricoides</t>
  </si>
  <si>
    <t>Viruses[3];Caudovirales[3];Myoviridae[2];unclassified Myoviridae[2];Xanthomonas phage XacN1[2]</t>
  </si>
  <si>
    <t>17.04.P4-8.439-27</t>
  </si>
  <si>
    <t>Viruses[1];Caudovirales[1];Myoviridae[1];unclassified Myoviridae[1];Yersinia phage phiR1-37[1]</t>
  </si>
  <si>
    <t>Viruses;Caudovirales;Myoviridae;unclassified Myoviridae;Yersinia phage phiR1-37</t>
  </si>
  <si>
    <t>11.09.P2-3.333-28</t>
  </si>
  <si>
    <t>Viruses[2];Caudovirales[2];Myoviridae[1];unclassified Podoviridae[1];Shewanella phage SppYZU01[1]</t>
  </si>
  <si>
    <t>Viruses;Caudovirales;Myoviridae;unclassified Podoviridae;Shewanella phage SppYZU01</t>
  </si>
  <si>
    <t>Viruses[2];Caudovirales[2];Podoviridae[1];unclassified Podoviridae[1];Shewanella phage SppYZU01[1]</t>
  </si>
  <si>
    <t>11.09.P4-14.055-4.5</t>
  </si>
  <si>
    <t>Viruses[8];Caudovirales[8];Myoviridae[4];unclassified Siphoviridae[2];Rhodobacteraceae[2];unclassified Karamvirus[1];Oceanibium sediminis[1];Limnohabitans sp. 103DPR2[1]</t>
  </si>
  <si>
    <t>Viruses;Caudovirales;Myoviridae;unclassified Siphoviridae;Rhodobacteraceae;unclassified Karamvirus;Oceanibium sediminis;Limnohabitans sp. 103DPR2</t>
  </si>
  <si>
    <t>Viruses[8];Caudovirales[8];Myoviridae[4];Tevenvirinae[2];Karamvirus[1];unclassified Karamvirus[1];Cronobacter phage Pet-CM3-4[1]</t>
  </si>
  <si>
    <t>17.04.P3-3.315-6.8</t>
  </si>
  <si>
    <t>Viruses[2];Caudovirales[2];Myoviridae[1];Xiamenvirus[1];Roseobacter virus RDJL2[1];Marinicaulis[1];Marinicaulis flavus[1]</t>
  </si>
  <si>
    <t>Viruses;Caudovirales;Myoviridae;Xiamenvirus;Roseobacter virus RDJL2;Marinicaulis;Marinicaulis flavus</t>
  </si>
  <si>
    <t>Viruses[2];Caudovirales[2];Myoviridae[1];unclassified Myoviridae[1];Roseobacter virus RDJL2[1];Roseobacter phage RDJL Phi 2[1]</t>
  </si>
  <si>
    <t>11.09.P4-7.032-3.4</t>
  </si>
  <si>
    <t>Viruses[2];Caudovirales[2];Oligoflexia[2];unclassified Myoviridae[1];Polaribacter virus P12002S[1];Halobacteriaceae[1];Halodesulfurarchaeum[1];Halodesulfurarchaeum formicicum[1]</t>
  </si>
  <si>
    <t>Viruses;Caudovirales;Oligoflexia;unclassified Myoviridae;Polaribacter virus P12002S;Halobacteriaceae;Halodesulfurarchaeum;Halodesulfurarchaeum formicicum</t>
  </si>
  <si>
    <t>Viruses[2];Caudovirales[2];Siphoviridae[1];unclassified Myoviridae[1];Xanthomonas phage XacN1[1];Polaribacter phage P12002S[1]</t>
  </si>
  <si>
    <t>17.04.P4-4.948-5.1</t>
  </si>
  <si>
    <t>Viruses[2];Caudovirales[2];Podoviridae[2];Autographivirinae[1];Synechococcus virus P60[1];Eggerthellaceae[1];unclassified Halomonas[1];Halomonas sp. BC04[1]</t>
  </si>
  <si>
    <t>Viruses;Caudovirales;Podoviridae;Autographivirinae;Synechococcus virus P60;Eggerthellaceae;unclassified Halomonas;Halomonas sp. BC04</t>
  </si>
  <si>
    <t>Viruses[2];Caudovirales[2];Podoviridae[2];Autographivirinae[1];Synechococcus virus P60[1]</t>
  </si>
  <si>
    <t>11.09.P1-4.105-34</t>
  </si>
  <si>
    <t>Viruses[1];Caudovirales[1];Podoviridae[1];Autographivirinae[1];Teseptimavirus[1];unclassified Teseptimavirus[1];Citrobacter phage CR8[1]</t>
  </si>
  <si>
    <t>Viruses;Caudovirales;Podoviridae;Autographivirinae;Teseptimavirus;unclassified Teseptimavirus;Citrobacter phage CR8</t>
  </si>
  <si>
    <t>17.04.P4-5.201-8.5</t>
  </si>
  <si>
    <t>Viruses[3];Caudovirales[3];Podoviridae[3];Autographivirinae[3];unclassified Autographivirinae[3];Alteromonas virus vB_AspP-H4/4[1]</t>
  </si>
  <si>
    <t>Viruses;Caudovirales;Podoviridae;Autographivirinae;unclassified Autographivirinae;Alteromonas virus vB_AspP-H4/4</t>
  </si>
  <si>
    <t>Viruses[3];Caudovirales[3];Podoviridae[3];Autographivirinae[3];unclassified Autographivirinae[3];Caulobacter phage Cd1[1]</t>
  </si>
  <si>
    <t>17.04.P3-3.260-10</t>
  </si>
  <si>
    <t>Viruses[2];Caudovirales[2];Podoviridae[2];Autographivirinae[2];unclassified Autographivirinae[2];Alteromonas virus vB_AspP-H4/4[1]</t>
  </si>
  <si>
    <t>17.04.P4-3.155-1.9</t>
  </si>
  <si>
    <t>Viruses[1];Caudovirales[1];Podoviridae[1];Autographivirinae[1];unclassified Autographivirinae[1];Alteromonas virus vB_AspP-H4/4[1]</t>
  </si>
  <si>
    <t>17.04.P3-3.232-3.4</t>
  </si>
  <si>
    <t>17.05.P4-8.753-4.4</t>
  </si>
  <si>
    <t>Viruses[4];Caudovirales[4];Podoviridae[4];Autographivirinae[3];unclassified Autographivirinae[3];Alteromonas virus vB_AspP-H4/4[1];Paeniclostridium[1];Burkholderia ubonensis[1]</t>
  </si>
  <si>
    <t>Viruses;Caudovirales;Podoviridae;Autographivirinae;unclassified Autographivirinae;Alteromonas virus vB_AspP-H4/4;Paeniclostridium;Burkholderia ubonensis</t>
  </si>
  <si>
    <t>Viruses[4];Caudovirales[4];Podoviridae[4];Autographivirinae[3];unclassified Autographivirinae[3];Alteromonas virus vB_AspP-H4/4[1]</t>
  </si>
  <si>
    <t>17.04.P3-16.343-37</t>
  </si>
  <si>
    <t>Viruses[10];Caudovirales[10];Podoviridae[10];Autographivirinae[9];unclassified Autographivirinae[7];Alteromonas virus vB_AspP-H4/4[2];Vibrio phage Vc1[1];Devosia sp. 66-22[1]</t>
  </si>
  <si>
    <t>Viruses;Caudovirales;Podoviridae;Autographivirinae;unclassified Autographivirinae;Alteromonas virus vB_AspP-H4/4;Vibrio phage Vc1;Devosia sp. 66-22</t>
  </si>
  <si>
    <t>Viruses[10];Caudovirales[10];Podoviridae[10];Autographivirinae[9];unclassified Autographivirinae[7];Alteromonas virus vB_AspP-H4/4[2];Pseudomonas phage shl2[1]</t>
  </si>
  <si>
    <t>05.07.P3-2.556-2.6</t>
  </si>
  <si>
    <t>Viruses[1];Caudovirales[1];Podoviridae[1];Autographivirinae[1];unclassified Autographivirinae[1];Cyanophage NATL2A-133[1];Acinetobacter calcoaceticus/baumannii complex[1];Acinetobacter baumannii[1]</t>
  </si>
  <si>
    <t>Viruses;Caudovirales;Podoviridae;Autographivirinae;unclassified Autographivirinae;Cyanophage NATL2A-133;Acinetobacter calcoaceticus/baumannii complex;Acinetobacter baumannii</t>
  </si>
  <si>
    <t>Viruses[1];Caudovirales[1];Podoviridae[1];Autographivirinae[1];unclassified Autographivirinae[1];Cyanophage NATL2A-133[1]</t>
  </si>
  <si>
    <t>05.07.P4-5.017-49</t>
  </si>
  <si>
    <t>Viruses[3];Caudovirales[3];Podoviridae[2];Autographivirinae[2];unclassified Autographivirinae[2];Cyanophage SS120-1[2]</t>
  </si>
  <si>
    <t>Viruses;Caudovirales;Podoviridae;Autographivirinae;unclassified Autographivirinae;Cyanophage SS120-1</t>
  </si>
  <si>
    <t>11.09.P1-2.558-49</t>
  </si>
  <si>
    <t>Viruses[1];Caudovirales[1];Podoviridae[1];Autographivirinae[1];unclassified Autographivirinae[1];Cyanophage SS120-1[1];Mesorhizobium wenxiniae[1]</t>
  </si>
  <si>
    <t>Viruses;Caudovirales;Podoviridae;Autographivirinae;unclassified Autographivirinae;Cyanophage SS120-1;Mesorhizobium wenxiniae</t>
  </si>
  <si>
    <t>Viruses[1];Caudovirales[1];Podoviridae[1];Autographivirinae[1];unclassified Autographivirinae[1];Cyanophage SS120-1[1]</t>
  </si>
  <si>
    <t>05.07.P4-2.791-1.7</t>
  </si>
  <si>
    <t>Viruses[1];Caudovirales[1];Podoviridae[1];Autographivirinae[1];unclassified Autographivirinae[1];Pelagibacter phage HTVC011P[1];unclassified Loktanella[1];Loktanella sp. PT4BL[1]</t>
  </si>
  <si>
    <t>Viruses;Caudovirales;Podoviridae;Autographivirinae;unclassified Autographivirinae;Pelagibacter phage HTVC011P;unclassified Loktanella;Loktanella sp. PT4BL</t>
  </si>
  <si>
    <t>Viruses[1];Caudovirales[1];Podoviridae[1];Autographivirinae[1];unclassified Autographivirinae[1];Pelagibacter phage HTVC011P[1]</t>
  </si>
  <si>
    <t>17.05.P3-4.761-6.3</t>
  </si>
  <si>
    <t>Viruses[3];Caudovirales[3];Podoviridae[3];Autographivirinae[2];unclassified Autographivirinae[2];Ralstonia phage RSB3[2];Rhizobium[1];Nitrosospira sp. Nl5[1]</t>
  </si>
  <si>
    <t>Viruses;Caudovirales;Podoviridae;Autographivirinae;unclassified Autographivirinae;Ralstonia phage RSB3;Rhizobium;Nitrosospira sp. Nl5</t>
  </si>
  <si>
    <t>Viruses[3];Caudovirales[3];Podoviridae[3];Autographivirinae[2];unclassified Autographivirinae[2];Ralstonia phage RSB3[2]</t>
  </si>
  <si>
    <t>17.04.P4-10.772-12</t>
  </si>
  <si>
    <t>Viruses[4];Caudovirales[4];Podoviridae[4];Autographivirinae[2];unclassified Autographivirinae[2];Rhizobium phage RHEph08[1]</t>
  </si>
  <si>
    <t>Viruses;Caudovirales;Podoviridae;Autographivirinae;unclassified Autographivirinae;Rhizobium phage RHEph08</t>
  </si>
  <si>
    <t>Viruses[4];Caudovirales[4];Podoviridae[4];Autographivirinae[2];unclassified Autographivirinae[2];Pseudomonas phage tf[1]</t>
  </si>
  <si>
    <t>05.07.P4-3.452-52</t>
  </si>
  <si>
    <t>Viruses[2];Caudovirales[2];Podoviridae[2];Autographivirinae[1];unclassified Autographivirinae[1];Synechococcus phage S-CBP3[1]</t>
  </si>
  <si>
    <t>Viruses;Caudovirales;Podoviridae;Autographivirinae;unclassified Autographivirinae;Synechococcus phage S-CBP3</t>
  </si>
  <si>
    <t>Viruses[2];Caudovirales[2];Podoviridae[2];unclassified Podoviridae[1];unclassified Autographivirinae[1];Synechococcus phage S-CBP3[1]</t>
  </si>
  <si>
    <t>23.10.P2-5.970-7.7</t>
  </si>
  <si>
    <t>Viruses[2];Caudovirales[2];Podoviridae[2];Autographivirinae[2];unclassified Autographivirinae[2];Synechococcus phage S-CBP42[2]</t>
  </si>
  <si>
    <t>Viruses;Caudovirales;Podoviridae;Autographivirinae;unclassified Autographivirinae;Synechococcus phage S-CBP42</t>
  </si>
  <si>
    <t>17.04.P2-3.155-2.0</t>
  </si>
  <si>
    <t>Viruses[1];Caudovirales[1];Podoviridae[1];Autographivirinae[1];unclassified Autographivirinae[1];Synechococcus phage S-RIP1[1]</t>
  </si>
  <si>
    <t>Viruses;Caudovirales;Podoviridae;Autographivirinae;unclassified Autographivirinae;Synechococcus phage S-RIP1</t>
  </si>
  <si>
    <t>11.09.P1-5.939-39</t>
  </si>
  <si>
    <t>Viruses[2];Caudovirales[2];Podoviridae[1];Autographivirinae[1];unclassified Autographivirinae[1];Synechococcus phage S-RIP2[1]</t>
  </si>
  <si>
    <t>Viruses;Caudovirales;Podoviridae;Autographivirinae;unclassified Autographivirinae;Synechococcus phage S-RIP2</t>
  </si>
  <si>
    <t>Viruses[2];Caudovirales[2];Myoviridae[1];Autographivirinae[1];Prochlorococcus phage P-SSM2[1];Synechococcus phage S-RIP2[1]</t>
  </si>
  <si>
    <t>11.09.P2-4.702-48</t>
  </si>
  <si>
    <t>Viruses[1];Caudovirales[1];Podoviridae[1];Autographivirinae[1];unclassified Autographivirinae[1];Synechococcus phage S-RIP2[1]</t>
  </si>
  <si>
    <t>11.09.P2-5.354-28</t>
  </si>
  <si>
    <t>11.09.P3-3.081-2.6</t>
  </si>
  <si>
    <t>17.04.P4-6.254-6.0</t>
  </si>
  <si>
    <t>Viruses[1];Caudovirales[1];Podoviridae[1];Autographivirinae[1];unclassified Autographivirinae[1];Thermaceae[1];Meiothermus[1];Meiothermus chliarophilus[1]</t>
  </si>
  <si>
    <t>Viruses;Caudovirales;Podoviridae;Autographivirinae;unclassified Autographivirinae;Thermaceae;Meiothermus;Meiothermus chliarophilus</t>
  </si>
  <si>
    <t>Viruses[1];Caudovirales[1];Podoviridae[1];Autographivirinae[1];unclassified Autographivirinae[1];Synechococcus phage S-CBP3[1]</t>
  </si>
  <si>
    <t>17.04.P2-3.717-1.4</t>
  </si>
  <si>
    <t>Viruses[1];Caudovirales[1];Podoviridae[1];Autographivirinae[1];unclassified Autographivirinae[1];Yersinia phage fHe-Yen3-01[1]</t>
  </si>
  <si>
    <t>Viruses;Caudovirales;Podoviridae;Autographivirinae;unclassified Autographivirinae;Yersinia phage fHe-Yen3-01</t>
  </si>
  <si>
    <t>17.04.P4-3.023-51</t>
  </si>
  <si>
    <t>Viruses[1];Caudovirales[1];Podoviridae[1];Autographivirinae[1];Zindervirus[1];unclassified Zindervirus[1];Marinomonas phage CB5A[1]</t>
  </si>
  <si>
    <t>Viruses;Caudovirales;Podoviridae;Autographivirinae;Zindervirus;unclassified Zindervirus;Marinomonas phage CB5A</t>
  </si>
  <si>
    <t>23.10.P4-4.175-1.8</t>
  </si>
  <si>
    <t>Viruses[3];Caudovirales[3];Podoviridae[3];Baltimorevirus[3];Dinoroseobacter virus DFL12[2];Dinoroseobacter phage DFL12phi1[2]</t>
  </si>
  <si>
    <t>Viruses;Caudovirales;Podoviridae;Baltimorevirus;Dinoroseobacter virus DFL12;Dinoroseobacter phage DFL12phi1</t>
  </si>
  <si>
    <t>17.04.P4-19.589-19</t>
  </si>
  <si>
    <t>Viruses[13];Caudovirales[13];Podoviridae[12];Baltimorevirus[10];Dinoroseobacter virus DFL12[5];Dinoroseobacter phage DFL12phi1[5];Sedimentitalea nanhaiensis[2];Phaeobacter sp. S60[1]</t>
  </si>
  <si>
    <t>Viruses;Caudovirales;Podoviridae;Baltimorevirus;Dinoroseobacter virus DFL12;Dinoroseobacter phage DFL12phi1;Sedimentitalea nanhaiensis;Phaeobacter sp. S60</t>
  </si>
  <si>
    <t>Viruses[13];Caudovirales[13];Podoviridae[12];Baltimorevirus[10];Dinoroseobacter virus DFL12[5];Dinoroseobacter phage DFL12phi1[5]</t>
  </si>
  <si>
    <t>17.04.P4-28.155-18</t>
  </si>
  <si>
    <t>Viruses[17];Caudovirales[17];Podoviridae[17];Baltimorevirus[16];unclassified Baltimorevirus[10];Dinoroseobacter phage DFL12phi1[6]</t>
  </si>
  <si>
    <t>Viruses;Caudovirales;Podoviridae;Baltimorevirus;unclassified Baltimorevirus;Dinoroseobacter phage DFL12phi1</t>
  </si>
  <si>
    <t>17.04.P4-11.346-31</t>
  </si>
  <si>
    <t>Viruses[9];Caudovirales[9];Podoviridae[9];Baltimorevirus[9];unclassified Baltimorevirus[6];Dinoroseobacter phage DFL12phi1[3];Acinetobacter marinus[1]</t>
  </si>
  <si>
    <t>Viruses;Caudovirales;Podoviridae;Baltimorevirus;unclassified Baltimorevirus;Dinoroseobacter phage DFL12phi1;Acinetobacter marinus</t>
  </si>
  <si>
    <t>Viruses[9];Caudovirales[9];Podoviridae[9];Baltimorevirus[9];unclassified Baltimorevirus[6];Dinoroseobacter phage DFL12phi1[3]</t>
  </si>
  <si>
    <t>11.09.P1-4.953-41</t>
  </si>
  <si>
    <t>Viruses[1];Caudovirales[1];Podoviridae[1];Baltimorevirus[1];unclassified Baltimorevirus[1];Dinoroseobacter phage DS-1410Ws-06[1];unclassified Sphingomonas[1];Sphingomonas sp. Leaf10[1]</t>
  </si>
  <si>
    <t>Viruses;Caudovirales;Podoviridae;Baltimorevirus;unclassified Baltimorevirus;Dinoroseobacter phage DS-1410Ws-06;unclassified Sphingomonas;Sphingomonas sp. Leaf10</t>
  </si>
  <si>
    <t>Viruses[1];Caudovirales[1];Podoviridae[1];Baltimorevirus[1];unclassified Baltimorevirus[1];Dinoroseobacter phage DS-1410Ws-06[1]</t>
  </si>
  <si>
    <t>17.04.P2-2.547-2.7</t>
  </si>
  <si>
    <t>Viruses[1];Caudovirales[1];Podoviridae[1];Baltimorevirus[1];unclassified Baltimorevirus[1];Roseobacter phage RD-1410W1-01[1]</t>
  </si>
  <si>
    <t>Viruses;Caudovirales;Podoviridae;Baltimorevirus;unclassified Baltimorevirus;Roseobacter phage RD-1410W1-01</t>
  </si>
  <si>
    <t>17.04.P3-6.958-48</t>
  </si>
  <si>
    <t>Viruses[2];Caudovirales[2];Podoviridae[2];Baltimorevirus[2];unclassified Baltimorevirus[2];Ruegeria phage vB_RpoP-V13[2]</t>
  </si>
  <si>
    <t>Viruses;Caudovirales;Podoviridae;Baltimorevirus;unclassified Baltimorevirus;Ruegeria phage vB_RpoP-V13</t>
  </si>
  <si>
    <t>17.04.P4-3.933-10</t>
  </si>
  <si>
    <t>Viruses[1];Caudovirales[1];Podoviridae[1];Baltimorevirus[1];unclassified Baltimorevirus[1];Ruegeria phage vB_RpoP-V13[1]</t>
  </si>
  <si>
    <t>17.04.P4-7.947-17</t>
  </si>
  <si>
    <t>Viruses[2];Caudovirales[2];Podoviridae[1];Bastillevirinae[1];Caeruleovirus[1];Bacillus virus BM15[1];Clostridium[1];Clostridium botulinum[1]</t>
  </si>
  <si>
    <t>Viruses;Caudovirales;Podoviridae;Bastillevirinae;Caeruleovirus;Bacillus virus BM15;Clostridium;Clostridium botulinum</t>
  </si>
  <si>
    <t>Viruses[2];Caudovirales[2];Podoviridae[1];Bastillevirinae[1];Caeruleovirus[1];Bacillus virus BM15[1]</t>
  </si>
  <si>
    <t>05.07.P4-2.789-56</t>
  </si>
  <si>
    <t>Viruses[1];Caudovirales[1];Podoviridae[1];Bjornvirus[1];Pseudomonas virus Bjorn[1];Pseudomonas phage Bjorn[1];unclassified Devosia[1];Devosia sp. 66-22[1]</t>
  </si>
  <si>
    <t>Viruses;Caudovirales;Podoviridae;Bjornvirus;Pseudomonas virus Bjorn;Pseudomonas phage Bjorn;unclassified Devosia;Devosia sp. 66-22</t>
  </si>
  <si>
    <t>Viruses[1];Caudovirales[1];Podoviridae[1];Bjornvirus[1];Pseudomonas virus Bjorn[1];Pseudomonas phage Bjorn[1]</t>
  </si>
  <si>
    <t>23.10.P4-7.768-10</t>
  </si>
  <si>
    <t>Viruses[4];Caudovirales[4];Podoviridae[4];Burkholderiales[3];Comamonadaceae[2];Morganella[1];Variovorax paradoxus[1];Pelomonas sp. Root1217[1]</t>
  </si>
  <si>
    <t>Viruses;Caudovirales;Podoviridae;Burkholderiales;Comamonadaceae;Morganella;Variovorax paradoxus;Pelomonas sp. Root1217</t>
  </si>
  <si>
    <t>Viruses[4];Caudovirales[4];Podoviridae[4];unclassified Podoviridae[2];Vibrio phage vB_VspS_VS-ABTNL-3[1];Synechococcus phage S-CBP2[1]</t>
  </si>
  <si>
    <t>17.04.P3-3.634-12</t>
  </si>
  <si>
    <t>Viruses[2];Caudovirales[2];Podoviridae[2];Krylovvirus[1];Pseudomonas virus tf[1];Chitinophagales[1];Chitinophagaceae[1];Chitinophaga[1];Chitinophaga caeni[1]</t>
  </si>
  <si>
    <t>Viruses;Caudovirales;Podoviridae;Krylovvirus;Pseudomonas virus tf;Chitinophagales;Chitinophagaceae;Chitinophaga;Chitinophaga caeni</t>
  </si>
  <si>
    <t>Viruses[2];Caudovirales[2];Podoviridae[2];Krylovvirus[1];Pseudomonas phage PA11[1];Pseudomonas phage tf[1]</t>
  </si>
  <si>
    <t>11.09.P4-4.801-2.4</t>
  </si>
  <si>
    <t>Viruses[2];Caudovirales[2];Podoviridae[2];Krylovvirus[1];Pseudomonas virus tf[1];unclassified Teseptimavirus[1];Enterobacteria phage EcoDS1[1]</t>
  </si>
  <si>
    <t>Viruses;Caudovirales;Podoviridae;Krylovvirus;Pseudomonas virus tf;unclassified Teseptimavirus;Enterobacteria phage EcoDS1</t>
  </si>
  <si>
    <t>Viruses[2];Caudovirales[2];Podoviridae[2];Autographivirinae[1];Teseptimavirus[1];unclassified Teseptimavirus[1];Enterobacteria phage EcoDS1[1]</t>
  </si>
  <si>
    <t>05.07.P3-6.460-14</t>
  </si>
  <si>
    <t>Viruses[3];Caudovirales[3];Podoviridae[2];Legionellales[2];Legionellaceae[2];Fluoribacter[2];Fluoribacter dumoffii[2];Thalassospira sp. MCCC 1A02491[1]</t>
  </si>
  <si>
    <t>Viruses;Caudovirales;Podoviridae;Legionellales;Legionellaceae;Fluoribacter;Fluoribacter dumoffii;Thalassospira sp. MCCC 1A02491</t>
  </si>
  <si>
    <t>Viruses[3];Caudovirales[3];Podoviridae[2];Roseobacter virus SIO1[1];Pseudomonas virus Zigelbrucke[1];Pseudomonas phage Zigelbrucke[1]</t>
  </si>
  <si>
    <t>17.04.P2-7.221-2.7</t>
  </si>
  <si>
    <t>Viruses[2];Caudovirales[2];Podoviridae[2];Lightbulbvirus[1];Cellulophaga virus Cba172[1];Cellulophaga phage phi17:2[1]</t>
  </si>
  <si>
    <t>Viruses;Caudovirales;Podoviridae;Lightbulbvirus;Cellulophaga virus Cba172;Cellulophaga phage phi17:2</t>
  </si>
  <si>
    <t>Viruses[2];Caudovirales[2];Podoviridae[2];Lightbulbvirus[1];crAss-like viruses[1];Cellulophaga phage phi17:2[1]</t>
  </si>
  <si>
    <t>17.04.P4-8.154-24</t>
  </si>
  <si>
    <t>Viruses[1];Caudovirales[1];Podoviridae[1];Lightbulbvirus[1];Cellulophaga virus Cba41[1];Cellulophaga phage phi4:1[1]</t>
  </si>
  <si>
    <t>Viruses;Caudovirales;Podoviridae;Lightbulbvirus;Cellulophaga virus Cba41;Cellulophaga phage phi4:1</t>
  </si>
  <si>
    <t>17.05.P4-3.233-11</t>
  </si>
  <si>
    <t>17.05.P4-6.277-10</t>
  </si>
  <si>
    <t>Viruses[3];Caudovirales[3];Podoviridae[2];Lightbulbvirus[2];Cellulophaga virus Cba41[2];Cellulophaga phage phi4:1[2];Flavobacteriaceae[1];Aquimarina[1];unclassified Aquimarina[1];Aquimarina sp. AU58[1]</t>
  </si>
  <si>
    <t>Viruses;Caudovirales;Podoviridae;Lightbulbvirus;Cellulophaga virus Cba41;Cellulophaga phage phi4:1;Flavobacteriaceae;Aquimarina;unclassified Aquimarina;Aquimarina sp. AU58</t>
  </si>
  <si>
    <t>Viruses[3];Caudovirales[3];Podoviridae[2];Lightbulbvirus[2];Cellulophaga virus Cba41[2];Cellulophaga phage phi4:1[2]</t>
  </si>
  <si>
    <t>17.05.P3-5.864-9.9</t>
  </si>
  <si>
    <t>Viruses[4];Caudovirales[4];Podoviridae[4];Lightbulbvirus[3];Cellulophaga virus Cba41[3];Cellulophaga phage phi4:1[3];Lachnotalea[1];Lachnotalea glycerini[1];Saprospira grandis[1]</t>
  </si>
  <si>
    <t>Viruses;Caudovirales;Podoviridae;Lightbulbvirus;Cellulophaga virus Cba41;Cellulophaga phage phi4:1;Lachnotalea;Lachnotalea glycerini;Saprospira grandis</t>
  </si>
  <si>
    <t>Viruses[4];Caudovirales[4];Podoviridae[4];Lightbulbvirus[3];Cellulophaga virus Cba41[3];Cellulophaga phage phi4:1[3]</t>
  </si>
  <si>
    <t>05.07.P3-6.363-21</t>
  </si>
  <si>
    <t>Viruses[4];Caudovirales[3];Podoviridae[2];Rhizobiales[2];Celeribacter phage P12053L[1];Methyloceanibacter[1];Bradyrhizobium erythrophlei[1]</t>
  </si>
  <si>
    <t>Viruses;Caudovirales;Podoviridae;Rhizobiales;Celeribacter phage P12053L;Methyloceanibacter;Bradyrhizobium erythrophlei</t>
  </si>
  <si>
    <t>Viruses[4];Caudovirales[3];Podoviridae[2];unclassified Podoviridae[1];Synechococcus phage S-CRM01[1]</t>
  </si>
  <si>
    <t>11.09.P4-4.612-7.8</t>
  </si>
  <si>
    <t>Viruses[3];Caudovirales[3];Podoviridae[2];Rhodobacterales[2];Rhodobacteraceae[2];Enterococcaceae[1];unclassified Ruegeria[1];Tetragenococcus muriaticus[1]</t>
  </si>
  <si>
    <t>Viruses;Caudovirales;Podoviridae;Rhodobacterales;Rhodobacteraceae;Enterococcaceae;unclassified Ruegeria;Tetragenococcus muriaticus</t>
  </si>
  <si>
    <t>Viruses[3];Caudovirales[3];Podoviridae[2];unclassified Podoviridae[1];Marinobacter phage PS3[1]</t>
  </si>
  <si>
    <t>11.09.P4-2.545-2.8</t>
  </si>
  <si>
    <t>Viruses[2];Caudovirales[2];Podoviridae[2];Roseobacter virus SIO1[1];Celeribacter phage P12053L[1];Aminobacter[1];unclassified Aminobacter[1];Aminobacter sp. J41[1]</t>
  </si>
  <si>
    <t>Viruses;Caudovirales;Podoviridae;Roseobacter virus SIO1;Celeribacter phage P12053L;Aminobacter;unclassified Aminobacter;Aminobacter sp. J41</t>
  </si>
  <si>
    <t>Viruses[2];Caudovirales[2];Podoviridae[2];Roseobacter virus SIO1[1];Celeribacter phage P12053L[1]</t>
  </si>
  <si>
    <t>05.07.P4-3.061-6.3</t>
  </si>
  <si>
    <t>Viruses[2];Caudovirales[2];Podoviridae[2];Roseobacter virus SIO1[2];Pseudonocardiales[1];Pseudonocardiaceae[1];Saccharopolyspora[1];Saccharopolyspora erythraea[1]</t>
  </si>
  <si>
    <t>Viruses;Caudovirales;Podoviridae;Roseobacter virus SIO1;Pseudonocardiales;Pseudonocardiaceae;Saccharopolyspora;Saccharopolyspora erythraea</t>
  </si>
  <si>
    <t>Viruses[2];Caudovirales[2];Podoviridae[2];Roseobacter virus SIO1[2]</t>
  </si>
  <si>
    <t>05.07.P3-6.554-4.7</t>
  </si>
  <si>
    <t>Viruses[2];Caudovirales[2];Podoviridae[1];Tequintavirus[1];Escherichia virus EPS7[1]</t>
  </si>
  <si>
    <t>Viruses;Caudovirales;Podoviridae;Tequintavirus;Escherichia virus EPS7</t>
  </si>
  <si>
    <t>Viruses[2];Caudovirales[2];Siphoviridae[1];Tequintavirus[1];Celeribacter phage P12053L[1]</t>
  </si>
  <si>
    <t>17.05.P4-7.836-35</t>
  </si>
  <si>
    <t>Viruses[2];Caudovirales[2];Podoviridae[2];unclassified Podoviridae[2];Anabaena phage A-4L[2];Herpetosiphonaceae[2];Herpetosiphon[2];Herpetosiphon aurantiacus[2];Herpetosiphon aurantiacus DSM 785[2]</t>
  </si>
  <si>
    <t>Viruses;Caudovirales;Podoviridae;unclassified Podoviridae;Anabaena phage A-4L;Herpetosiphonaceae;Herpetosiphon;Herpetosiphon aurantiacus;Herpetosiphon aurantiacus DSM 785</t>
  </si>
  <si>
    <t>Viruses[2];Caudovirales[2];Podoviridae[2];unclassified Podoviridae[2];Anabaena phage A-4L[2]</t>
  </si>
  <si>
    <t>17.04.P2-15.077-15</t>
  </si>
  <si>
    <t>Viruses[1];Caudovirales[1];Podoviridae[1];unclassified Podoviridae[1];Bilateria[1];Protostomia[1];Ecdysozoa[1];Panarthropoda[1];Arthropoda[1];Mandibulata[1];Pancrustacea[1];Crustacea[1];Branchiopoda[1];Phyllopoda[1];Diplostraca[1];Cladocera[1];Anomopoda[1];Daphniidae[1];Daphnia[1];Daphnia pulex[1]</t>
  </si>
  <si>
    <t>Viruses;Caudovirales;Podoviridae;unclassified Podoviridae;Bilateria;Protostomia;Ecdysozoa;Panarthropoda;Arthropoda;Mandibulata;Pancrustacea;Crustacea;Branchiopoda;Phyllopoda;Diplostraca;Cladocera;Anomopoda;Daphniidae;Daphnia;Daphnia pulex</t>
  </si>
  <si>
    <t>Viruses[1];Caudovirales[1];Podoviridae[1];unclassified Podoviridae[1];Puniceispirillum phage HMO-2011[1]</t>
  </si>
  <si>
    <t>11.09.P4-7.750-6.7</t>
  </si>
  <si>
    <t>Viruses[3];Caudovirales[2];Podoviridae[2];unclassified Podoviridae[1];Bradyrhizobiaceae[1];Bradyrhizobium[1];Bradyrhizobium erythrophlei[1]</t>
  </si>
  <si>
    <t>Viruses;Caudovirales;Podoviridae;unclassified Podoviridae;Bradyrhizobiaceae;Bradyrhizobium;Bradyrhizobium erythrophlei</t>
  </si>
  <si>
    <t>Viruses[3];Caudovirales[2];Podoviridae[2];Roseobacter virus SIO1[1];Pseudomonas phage TC6[1]</t>
  </si>
  <si>
    <t>11.09.P3-4.035-43</t>
  </si>
  <si>
    <t>Viruses[1];Caudovirales[1];Podoviridae[1];unclassified Podoviridae[1];Burkholderiaceae[1];Burkholderia[1];Burkholderia cepacia complex[1];Burkholderia multivorans[1]</t>
  </si>
  <si>
    <t>Viruses;Caudovirales;Podoviridae;unclassified Podoviridae;Burkholderiaceae;Burkholderia;Burkholderia cepacia complex;Burkholderia multivorans</t>
  </si>
  <si>
    <t>Viruses[1];Caudovirales[1];Podoviridae[1];unclassified Podoviridae[1];Celeribacter phage P12053L[1]</t>
  </si>
  <si>
    <t>05.07.P3-3.701-6.7</t>
  </si>
  <si>
    <t>Viruses[2];Caudovirales[2];Podoviridae[2];unclassified Podoviridae[1];Burkholderiaceae[1];Burkholderia[1];unclassified Burkholderia[1];Burkholderia sp. Ch1-1[1]</t>
  </si>
  <si>
    <t>Viruses;Caudovirales;Podoviridae;unclassified Podoviridae;Burkholderiaceae;Burkholderia;unclassified Burkholderia;Burkholderia sp. Ch1-1</t>
  </si>
  <si>
    <t>Viruses[2];Caudovirales[2];Podoviridae[2];Roseobacter virus SIO1[1];Puniceispirillum phage HMO-2011[1]</t>
  </si>
  <si>
    <t>17.04.P2-5.072-1.5</t>
  </si>
  <si>
    <t>Viruses[6];Caudovirales[6];Podoviridae[6];unclassified Podoviridae[3];Celeribacter phage P12053L[2]</t>
  </si>
  <si>
    <t>Viruses;Caudovirales;Podoviridae;unclassified Podoviridae;Celeribacter phage P12053L</t>
  </si>
  <si>
    <t>11.09.P1-7.708-5.5</t>
  </si>
  <si>
    <t>Viruses[4];Caudovirales[4];Podoviridae[4];unclassified Podoviridae[2];Celeribacter phage P12053L[2]</t>
  </si>
  <si>
    <t>Viruses[4];Caudovirales[4];Podoviridae[4];Roseobacter virus SIO1[2];Celeribacter phage P12053L[2]</t>
  </si>
  <si>
    <t>05.07.P4-7.222-16</t>
  </si>
  <si>
    <t>Viruses[4];Caudovirales[3];Podoviridae[2];unclassified Podoviridae[2];Celeribacter phage P12053L[2]</t>
  </si>
  <si>
    <t>11.09.P1-4.695-17</t>
  </si>
  <si>
    <t>Viruses[4];Caudovirales[4];Podoviridae[3];unclassified Podoviridae[3];Celeribacter phage P12053L[1]</t>
  </si>
  <si>
    <t>Viruses[4];Caudovirales[4];Podoviridae[3];unclassified Podoviridae[3];Sinorhizobium phage phiM6[1]</t>
  </si>
  <si>
    <t>05.07.P4-3.475-5.4</t>
  </si>
  <si>
    <t>11.09.P1-4.649-15</t>
  </si>
  <si>
    <t>11.09.P1-11.148-50</t>
  </si>
  <si>
    <t>Viruses[7];Caudovirales[5];Podoviridae[5];unclassified Podoviridae[5];Celeribacter phage P12053L[2];Bradyrhizobium[1];Bradyrhizobium erythrophlei[1]</t>
  </si>
  <si>
    <t>Viruses;Caudovirales;Podoviridae;unclassified Podoviridae;Celeribacter phage P12053L;Bradyrhizobium;Bradyrhizobium erythrophlei</t>
  </si>
  <si>
    <t>Viruses[7];Caudovirales[5];Podoviridae[5];unclassified Podoviridae[5];Sinorhizobium phage phiM6[2]</t>
  </si>
  <si>
    <t>11.09.P1-3.594-47</t>
  </si>
  <si>
    <t>Viruses[2];Caudovirales[2];Podoviridae[2];unclassified Podoviridae[1];Celeribacter phage P12053L[1];Ferruginivarius[1];Enterovibrio pacificus[1]</t>
  </si>
  <si>
    <t>Viruses;Caudovirales;Podoviridae;unclassified Podoviridae;Celeribacter phage P12053L;Ferruginivarius;Enterovibrio pacificus</t>
  </si>
  <si>
    <t>11.09.P3-3.678-2.5</t>
  </si>
  <si>
    <t>Viruses[1];Caudovirales[1];Podoviridae[1];unclassified Podoviridae[1];Celeribacter phage P12053L[1];Leptolyngbyaceae[1];Leptolyngbya[1];unclassified Leptolyngbya[1];Leptolyngbya sp. PCC 7375[1]</t>
  </si>
  <si>
    <t>Viruses;Caudovirales;Podoviridae;unclassified Podoviridae;Celeribacter phage P12053L;Leptolyngbyaceae;Leptolyngbya;unclassified Leptolyngbya;Leptolyngbya sp. PCC 7375</t>
  </si>
  <si>
    <t>17.04.P4-7.371-11</t>
  </si>
  <si>
    <t>Viruses[4];Caudovirales[4];Podoviridae[4];unclassified Podoviridae[3];Celeribacter phage P12053L[3];Micavibrio aeruginosavorus[1]</t>
  </si>
  <si>
    <t>Viruses;Caudovirales;Podoviridae;unclassified Podoviridae;Celeribacter phage P12053L;Micavibrio aeruginosavorus</t>
  </si>
  <si>
    <t>Viruses[4];Caudovirales[4];Podoviridae[4];unclassified Podoviridae[3];Celeribacter phage P12053L[3]</t>
  </si>
  <si>
    <t>11.09.P3-3.010-2.3</t>
  </si>
  <si>
    <t>Viruses[1];Caudovirales[1];Podoviridae[1];unclassified Podoviridae[1];Celeribacter phage P12053L[1];Pseudomonas[1];Pseudomonas aeruginosa group[1];Pseudomonas aeruginosa[1]</t>
  </si>
  <si>
    <t>Viruses;Caudovirales;Podoviridae;unclassified Podoviridae;Celeribacter phage P12053L;Pseudomonas;Pseudomonas aeruginosa group;Pseudomonas aeruginosa</t>
  </si>
  <si>
    <t>05.07.P3-8.078-9.0</t>
  </si>
  <si>
    <t>Viruses[4];Caudovirales[4];Podoviridae[4];unclassified Podoviridae[4];Celeribacter phage P12053L[4];Shigella[1];Shigella sonnei[1]</t>
  </si>
  <si>
    <t>Viruses;Caudovirales;Podoviridae;unclassified Podoviridae;Celeribacter phage P12053L;Shigella;Shigella sonnei</t>
  </si>
  <si>
    <t>Viruses[4];Caudovirales[4];Podoviridae[4];unclassified Podoviridae[4];Celeribacter phage P12053L[4]</t>
  </si>
  <si>
    <t>17.04.P4-6.663-7.2</t>
  </si>
  <si>
    <t>Viruses[4];Caudovirales[4];Podoviridae[4];unclassified Podoviridae[4];Celeribacter phage P12053L[3];Vibrio[1];Vibrio cholerae[1]</t>
  </si>
  <si>
    <t>Viruses;Caudovirales;Podoviridae;unclassified Podoviridae;Celeribacter phage P12053L;Vibrio;Vibrio cholerae</t>
  </si>
  <si>
    <t>Viruses[4];Caudovirales[4];Podoviridae[4];unclassified Podoviridae[4];Celeribacter phage P12053L[3]</t>
  </si>
  <si>
    <t>05.07.P3-6.175-19</t>
  </si>
  <si>
    <t>Viruses[2];Caudovirales[2];Podoviridae[2];unclassified Podoviridae[2];Cellulophaga phage phi13:2[1];Flavobacteriales[1];Flavobacteriaceae[1];Leeuwenhoekiella[1];unclassified Leeuwenhoekiella[1];Leeuwenhoekiella sp. MAR_2009_132[1]</t>
  </si>
  <si>
    <t>Viruses;Caudovirales;Podoviridae;unclassified Podoviridae;Cellulophaga phage phi13:2;Flavobacteriales;Flavobacteriaceae;Leeuwenhoekiella;unclassified Leeuwenhoekiella;Leeuwenhoekiella sp. MAR_2009_132</t>
  </si>
  <si>
    <t>Viruses[2];Caudovirales[2];Podoviridae[2];unclassified Podoviridae[2];Cellulophaga phage phi19:3[1]</t>
  </si>
  <si>
    <t>17.04.P2-4.653-4.7</t>
  </si>
  <si>
    <t>Viruses[1];Caudovirales[1];Podoviridae[1];unclassified Podoviridae[1];Cellulophaga phage phi13:2[1];Lactobacillaceae[1];Lactobacillus[1];Lactobacillus vaginalis[1]</t>
  </si>
  <si>
    <t>Viruses;Caudovirales;Podoviridae;unclassified Podoviridae;Cellulophaga phage phi13:2;Lactobacillaceae;Lactobacillus;Lactobacillus vaginalis</t>
  </si>
  <si>
    <t>Viruses[1];Caudovirales[1];Podoviridae[1];unclassified Podoviridae[1];Cellulophaga phage phi13:2[1]</t>
  </si>
  <si>
    <t>17.04.P4-3.357-3.7</t>
  </si>
  <si>
    <t>Viruses[1];Caudovirales[1];Podoviridae[1];unclassified Podoviridae[1];Cellulophaga phage phi19:3[1]</t>
  </si>
  <si>
    <t>Viruses;Caudovirales;Podoviridae;unclassified Podoviridae;Cellulophaga phage phi19:3</t>
  </si>
  <si>
    <t>23.10.P4-3.241-13</t>
  </si>
  <si>
    <t>23.10.P4-2.472-2.0</t>
  </si>
  <si>
    <t>Viruses[2];Caudovirales[2];Podoviridae[2];unclassified Podoviridae[2];Cellulophaga phage phi38:1[1]</t>
  </si>
  <si>
    <t>Viruses;Caudovirales;Podoviridae;unclassified Podoviridae;Cellulophaga phage phi38:1</t>
  </si>
  <si>
    <t>Viruses[2];Caudovirales[2];Podoviridae[2];unclassified Podoviridae[2];Cellulophaga phage phi46:3[1]</t>
  </si>
  <si>
    <t>17.04.P4-4.292-7.9</t>
  </si>
  <si>
    <t>Viruses[1];Caudovirales[1];Podoviridae[1];unclassified Podoviridae[1];Cellulophaga phage phi38:1[1]</t>
  </si>
  <si>
    <t>17.04.P4-5.567-3.6</t>
  </si>
  <si>
    <t>17.04.P1-2.829-2.0</t>
  </si>
  <si>
    <t>17.04.P1-6.170-6.6</t>
  </si>
  <si>
    <t>Viruses[2];Caudovirales[2];Podoviridae[2];unclassified Podoviridae[2];Cellulophaga phage phi38:1[2];Acinetobacter[1];unclassified Acinetobacter[1];Acinetobacter sp. CFCC 10889[1]</t>
  </si>
  <si>
    <t>Viruses;Caudovirales;Podoviridae;unclassified Podoviridae;Cellulophaga phage phi38:1;Acinetobacter;unclassified Acinetobacter;Acinetobacter sp. CFCC 10889</t>
  </si>
  <si>
    <t>Viruses[2];Caudovirales[2];Podoviridae[2];unclassified Podoviridae[2];Cellulophaga phage phi38:1[2]</t>
  </si>
  <si>
    <t>17.04.P4-12.364-18</t>
  </si>
  <si>
    <t>Viruses[1];Caudovirales[1];Podoviridae[1];unclassified Podoviridae[1];Cellulophaga phage phi38:1[1];Chroococcales[1];Microcystaceae[1];Microcystis[1];Microcystis aeruginosa[1]</t>
  </si>
  <si>
    <t>Viruses;Caudovirales;Podoviridae;unclassified Podoviridae;Cellulophaga phage phi38:1;Chroococcales;Microcystaceae;Microcystis;Microcystis aeruginosa</t>
  </si>
  <si>
    <t>17.05.P4-19.599-6.8</t>
  </si>
  <si>
    <t>Viruses[2];Caudovirales[2];Podoviridae[2];unclassified Podoviridae[2];Cellulophaga phage phi38:1[2];Cytophagales[1];Flammeovirgaceae[1];Roseivirga[1];Roseivirga spongicola[1]</t>
  </si>
  <si>
    <t>Viruses;Caudovirales;Podoviridae;unclassified Podoviridae;Cellulophaga phage phi38:1;Cytophagales;Flammeovirgaceae;Roseivirga;Roseivirga spongicola</t>
  </si>
  <si>
    <t>17.05.P3-3.506-4.2</t>
  </si>
  <si>
    <t>Viruses[1];Caudovirales[1];Podoviridae[1];unclassified Podoviridae[1];Cellulophaga phage phi38:1[1];Cytophagales[1];Flammeovirgaceae[1];Roseivirga[1];Roseivirga spongicola[1]</t>
  </si>
  <si>
    <t>23.10.P4-2.821-4.8</t>
  </si>
  <si>
    <t>Viruses[2];Caudovirales[2];Podoviridae[2];unclassified Podoviridae[2];Cellulophaga phage phi38:1[2];Escherichia[1];Escherichia coli[1]</t>
  </si>
  <si>
    <t>Viruses;Caudovirales;Podoviridae;unclassified Podoviridae;Cellulophaga phage phi38:1;Escherichia;Escherichia coli</t>
  </si>
  <si>
    <t>17.04.P4-2.456-2.4</t>
  </si>
  <si>
    <t>Viruses[1];Caudovirales[1];Podoviridae[1];unclassified Podoviridae[1];Cellulophaga phage phi46:3[1]</t>
  </si>
  <si>
    <t>Viruses;Caudovirales;Podoviridae;unclassified Podoviridae;Cellulophaga phage phi46:3</t>
  </si>
  <si>
    <t>17.04.P1-3.965-33</t>
  </si>
  <si>
    <t>Viruses[1];Caudovirales[1];Podoviridae[1];unclassified Podoviridae[1];Cellulophaga phage phi46:3[1];Flavobacteriales[1];Flavobacteriaceae[1];Salinimicrobium[1];Salinimicrobium sediminis[1]</t>
  </si>
  <si>
    <t>Viruses;Caudovirales;Podoviridae;unclassified Podoviridae;Cellulophaga phage phi46:3;Flavobacteriales;Flavobacteriaceae;Salinimicrobium;Salinimicrobium sediminis</t>
  </si>
  <si>
    <t>17.04.P3-2.678-9.3</t>
  </si>
  <si>
    <t>Viruses[2];Caudovirales[2];Podoviridae[1];unclassified Podoviridae[1];Cellulophaga virus ST[1];Cellulophaga phage phiST[1];Cellulophaga phage phi13:1[1]</t>
  </si>
  <si>
    <t>Viruses;Caudovirales;Podoviridae;unclassified Podoviridae;Cellulophaga virus ST;Cellulophaga phage phiST;Cellulophaga phage phi13:1</t>
  </si>
  <si>
    <t>Viruses[2];Caudovirales[2];Siphoviridae[1];Cbastvirus[1];Cellulophaga virus ST[1];Cellulophaga phage phi14:2[1];Cellulophaga phage phi13:1[1]</t>
  </si>
  <si>
    <t>05.07.P3-3.013-1.6</t>
  </si>
  <si>
    <t>Viruses[1];Caudovirales[1];Podoviridae[1];unclassified Podoviridae[1];Chelatococcaceae[1];Chelatococcus[1];Chelatococcus sambhunathii[1]</t>
  </si>
  <si>
    <t>Viruses;Caudovirales;Podoviridae;unclassified Podoviridae;Chelatococcaceae;Chelatococcus;Chelatococcus sambhunathii</t>
  </si>
  <si>
    <t>Viruses[1];Caudovirales[1];Podoviridae[1];unclassified Podoviridae[1];Vibrio phage VBP47[1]</t>
  </si>
  <si>
    <t>17.04.P1-3.080-48</t>
  </si>
  <si>
    <t>Viruses[1];Caudovirales[1];Podoviridae[1];unclassified Podoviridae[1];crAss-like viruses[1];Azobacteroides phage ProJPt-Bp1[1]</t>
  </si>
  <si>
    <t>Viruses;Caudovirales;Podoviridae;unclassified Podoviridae;crAss-like viruses;Azobacteroides phage ProJPt-Bp1</t>
  </si>
  <si>
    <t>11.09.P4-3.007-3.9</t>
  </si>
  <si>
    <t>Viruses[2];Caudovirales[2];Podoviridae[2];unclassified Podoviridae[2];crAss-like viruses[2];Bacteroides phage crAss001[2]</t>
  </si>
  <si>
    <t>Viruses;Caudovirales;Podoviridae;unclassified Podoviridae;crAss-like viruses;Bacteroides phage crAss001</t>
  </si>
  <si>
    <t>17.05.P4-3.329-2.5</t>
  </si>
  <si>
    <t>Viruses[2];Caudovirales[2];Podoviridae[2];unclassified Podoviridae[2];crAss-like viruses[2];Bacteroides phage crAss001[1]</t>
  </si>
  <si>
    <t>Viruses[2];Caudovirales[2];Podoviridae[2];unclassified Podoviridae[2];crAss-like viruses[2];Cellulophaga phage phi14:2[1]</t>
  </si>
  <si>
    <t>17.04.P1-9.538-4.1</t>
  </si>
  <si>
    <t>Viruses[1];Caudovirales[1];Podoviridae[1];unclassified Podoviridae[1];crAss-like viruses[1];Bacteroides phage crAss001[1]</t>
  </si>
  <si>
    <t>17.04.P4-14.473-42</t>
  </si>
  <si>
    <t>17.05.P4-5.921-9.4</t>
  </si>
  <si>
    <t>23.10.P4-4.601-3.8</t>
  </si>
  <si>
    <t>17.05.P3-9.502-32</t>
  </si>
  <si>
    <t>Viruses[3];Caudovirales[3];Podoviridae[3];unclassified Podoviridae[3];crAss-like viruses[3];Bacteroides phage crAss001[3];Flammeovirgaceae[1];Reichenbachiella[1];unclassified Reichenbachiella[1];Reichenbachiella sp. 5M10[1]</t>
  </si>
  <si>
    <t>Viruses;Caudovirales;Podoviridae;unclassified Podoviridae;crAss-like viruses;Bacteroides phage crAss001;Flammeovirgaceae;Reichenbachiella;unclassified Reichenbachiella;Reichenbachiella sp. 5M10</t>
  </si>
  <si>
    <t>Viruses[3];Caudovirales[3];Podoviridae[3];unclassified Podoviridae[3];crAss-like viruses[3];Bacteroides phage crAss001[3]</t>
  </si>
  <si>
    <t>17.05.P4-21.581-33</t>
  </si>
  <si>
    <t>Viruses[8];Caudovirales[8];Podoviridae[8];unclassified Podoviridae[8];crAss-like viruses[8];Bacteroides phage crAss001[5];Flavobacteriaceae[2];Ochrovirga[1];Ochrovirga pacifica[1]</t>
  </si>
  <si>
    <t>Viruses;Caudovirales;Podoviridae;unclassified Podoviridae;crAss-like viruses;Bacteroides phage crAss001;Flavobacteriaceae;Ochrovirga;Ochrovirga pacifica</t>
  </si>
  <si>
    <t>Viruses[8];Caudovirales[8];Podoviridae[8];unclassified Podoviridae[8];crAss-like viruses[8];Bacteroides phage crAss001[5]</t>
  </si>
  <si>
    <t>17.04.P1-6.103-3.4</t>
  </si>
  <si>
    <t>Viruses[2];Caudovirales[2];Podoviridae[2];unclassified Podoviridae[2];crAss-like viruses[2];Bacteroides phage crAss001[2];unclassified Bdellovibrio[1];Bdellovibrio sp. CG_4_9_14_3_um_filter_39_7[1]</t>
  </si>
  <si>
    <t>Viruses;Caudovirales;Podoviridae;unclassified Podoviridae;crAss-like viruses;Bacteroides phage crAss001;unclassified Bdellovibrio;Bdellovibrio sp. CG_4_9_14_3_um_filter_39_7</t>
  </si>
  <si>
    <t>17.05.P3-8.225-35</t>
  </si>
  <si>
    <t>Viruses[1];Caudovirales[1];Podoviridae[1];unclassified Podoviridae[1];crAss-like viruses[1];Balneolales[1];Balneolaceae[1];Balneola[1];unclassified Balneola[1];Balneola sp. EhC07[1]</t>
  </si>
  <si>
    <t>Viruses;Caudovirales;Podoviridae;unclassified Podoviridae;crAss-like viruses;Balneolales;Balneolaceae;Balneola;unclassified Balneola;Balneola sp. EhC07</t>
  </si>
  <si>
    <t>Viruses[1];Caudovirales[1];Podoviridae[1];unclassified Podoviridae[1];crAss-like viruses[1];Cellulophaga phage phi14:2[1]</t>
  </si>
  <si>
    <t>17.04.P4-4.105-7.0</t>
  </si>
  <si>
    <t>Viruses[4];Caudovirales[4];Podoviridae[4];unclassified Podoviridae[4];crAss-like viruses[4];Cellulophaga phage phi14:2[3]</t>
  </si>
  <si>
    <t>Viruses;Caudovirales;Podoviridae;unclassified Podoviridae;crAss-like viruses;Cellulophaga phage phi14:2</t>
  </si>
  <si>
    <t>17.04.P2-3.935-2.5</t>
  </si>
  <si>
    <t>Viruses[3];Caudovirales[3];Podoviridae[3];unclassified Podoviridae[3];crAss-like viruses[3];Cellulophaga phage phi14:2[2]</t>
  </si>
  <si>
    <t>17.04.P4-3.309-6.6</t>
  </si>
  <si>
    <t>Viruses[3];Caudovirales[3];Podoviridae[3];unclassified Podoviridae[3];crAss-like viruses[3];Cellulophaga phage phi14:2[3]</t>
  </si>
  <si>
    <t>17.04.P2-7.160-4.7-V2</t>
  </si>
  <si>
    <t>Viruses[2];Caudovirales[2];Podoviridae[2];unclassified Podoviridae[2];crAss-like viruses[2];Cellulophaga phage phi14:2[2]</t>
  </si>
  <si>
    <t>17.04.P2-3.172-3.2</t>
  </si>
  <si>
    <t>17.04.P3-3.244-15</t>
  </si>
  <si>
    <t>17.04.P3-3.509-15</t>
  </si>
  <si>
    <t>17.04.P4-3.112-8.1</t>
  </si>
  <si>
    <t>17.04.P4-7.100-18</t>
  </si>
  <si>
    <t>23.10.P4-3.023-4.0</t>
  </si>
  <si>
    <t>17.04.P2-18.089-7.6</t>
  </si>
  <si>
    <t>Viruses[4];Caudovirales[4];Podoviridae[3];unclassified Podoviridae[3];crAss-like viruses[3];Cellulophaga phage phi14:2[3];Agaricomycetes[1];Pontibacter[1];Polyporales[1];Polyporaceae[1];Ganoderma[1];Ganoderma sinense[1]</t>
  </si>
  <si>
    <t>Viruses;Caudovirales;Podoviridae;unclassified Podoviridae;crAss-like viruses;Cellulophaga phage phi14:2;Agaricomycetes;Pontibacter;Polyporales;Polyporaceae;Ganoderma;Ganoderma sinense</t>
  </si>
  <si>
    <t>Viruses[4];Caudovirales[4];Podoviridae[3];unclassified Podoviridae[3];crAss-like viruses[3];Cellulophaga phage phi14:2[3]</t>
  </si>
  <si>
    <t>17.04.P2-5.978-5.6</t>
  </si>
  <si>
    <t>Viruses[1];Caudovirales[1];Podoviridae[1];unclassified Podoviridae[1];crAss-like viruses[1];Cellulophaga phage phi14:2[1];Chitinophagaceae[1];Chitinophaga[1];unclassified Chitinophaga[1];Chitinophaga sp. YR573[1]</t>
  </si>
  <si>
    <t>Viruses;Caudovirales;Podoviridae;unclassified Podoviridae;crAss-like viruses;Cellulophaga phage phi14:2;Chitinophagaceae;Chitinophaga;unclassified Chitinophaga;Chitinophaga sp. YR573</t>
  </si>
  <si>
    <t>17.04.P1-4.811-7.8</t>
  </si>
  <si>
    <t>Viruses[2];Caudovirales[2];Podoviridae[2];unclassified Podoviridae[2];crAss-like viruses[2];Cellulophaga phage phi14:2[2];Coleofasciculaceae[1];Coleofasciculus[1];Coleofasciculus chthonoplastes[1]</t>
  </si>
  <si>
    <t>Viruses;Caudovirales;Podoviridae;unclassified Podoviridae;crAss-like viruses;Cellulophaga phage phi14:2;Coleofasciculaceae;Coleofasciculus;Coleofasciculus chthonoplastes</t>
  </si>
  <si>
    <t>17.04.P1-6.369-20</t>
  </si>
  <si>
    <t>Viruses[1];Caudovirales[1];Podoviridae[1];unclassified Podoviridae[1];crAss-like viruses[1];Cellulophaga phage phi14:2[1];Flavobacteriaceae[1];Bizionia[1];Bizionia echini[1]</t>
  </si>
  <si>
    <t>Viruses;Caudovirales;Podoviridae;unclassified Podoviridae;crAss-like viruses;Cellulophaga phage phi14:2;Flavobacteriaceae;Bizionia;Bizionia echini</t>
  </si>
  <si>
    <t>17.04.P3-2.617-3.4</t>
  </si>
  <si>
    <t>Viruses[1];Caudovirales[1];Podoviridae[1];unclassified Podoviridae[1];crAss-like viruses[1];Cellulophaga phage phi14:2[1];Peptoniphilus[1];Peptoniphilus obesi[1]</t>
  </si>
  <si>
    <t>Viruses;Caudovirales;Podoviridae;unclassified Podoviridae;crAss-like viruses;Cellulophaga phage phi14:2;Peptoniphilus;Peptoniphilus obesi</t>
  </si>
  <si>
    <t>17.04.P4-26.170-30</t>
  </si>
  <si>
    <t>Viruses[8];Caudovirales[8];Podoviridae[8];unclassified Podoviridae[7];crAss-like viruses[6];Cellulophaga phage phi14:2[3];Vulcanococcus[1];Pedobacter[1];Pedobacter luteus[1]</t>
  </si>
  <si>
    <t>Viruses;Caudovirales;Podoviridae;unclassified Podoviridae;crAss-like viruses;Cellulophaga phage phi14:2;Vulcanococcus;Pedobacter;Pedobacter luteus</t>
  </si>
  <si>
    <t>Viruses[8];Caudovirales[8];Podoviridae[8];unclassified Podoviridae[7];crAss-like viruses[6];Cellulophaga phage phi14:2[3]</t>
  </si>
  <si>
    <t>17.04.P2-11.557-9.4</t>
  </si>
  <si>
    <t>Viruses[5];Caudovirales[5];Podoviridae[5];unclassified Podoviridae[4];crAss-like viruses[3];Cellulophaga phage phi14:2[2];Vulcanococcus[1];Pedobacter[1];Pedobacter luteus[1]</t>
  </si>
  <si>
    <t>Viruses[5];Caudovirales[5];Podoviridae[5];unclassified Podoviridae[4];crAss-like viruses[3];Cellulophaga phage phi14:2[2]</t>
  </si>
  <si>
    <t>17.05.P3-23.182-38</t>
  </si>
  <si>
    <t>Viruses[1];Caudovirales[1];Podoviridae[1];unclassified Podoviridae[1];crAss-like viruses[1];Chitinophagales[1];Chitinophagaceae[1];Chitinophaga[1];unclassified Chitinophaga[1];Chitinophaga sp. YR573[1]</t>
  </si>
  <si>
    <t>Viruses;Caudovirales;Podoviridae;unclassified Podoviridae;crAss-like viruses;Chitinophagales;Chitinophagaceae;Chitinophaga;unclassified Chitinophaga;Chitinophaga sp. YR573</t>
  </si>
  <si>
    <t>17.05.P3-3.313-11</t>
  </si>
  <si>
    <t>Viruses[1];Caudovirales[1];Podoviridae[1];unclassified Podoviridae[1];crAss-like viruses[1];Oscillatoriales[1];Cyanothecaceae[1];Cyanothece[1];unclassified Cyanothece[1];Cyanothece sp. PCC 7425[1]</t>
  </si>
  <si>
    <t>Viruses;Caudovirales;Podoviridae;unclassified Podoviridae;crAss-like viruses;Oscillatoriales;Cyanothecaceae;Cyanothece;unclassified Cyanothece;Cyanothece sp. PCC 7425</t>
  </si>
  <si>
    <t>17.04.P4-2.912-15</t>
  </si>
  <si>
    <t>Viruses[1];Caudovirales[1];Podoviridae[1];unclassified Podoviridae[1];Desulfovibrionales[1];Desulfovibrionaceae[1];Pseudodesulfovibrio[1];Pseudodesulfovibrio profundus[1]</t>
  </si>
  <si>
    <t>Viruses;Caudovirales;Podoviridae;unclassified Podoviridae;Desulfovibrionales;Desulfovibrionaceae;Pseudodesulfovibrio;Pseudodesulfovibrio profundus</t>
  </si>
  <si>
    <t>Viruses[1];Caudovirales[1];Podoviridae[1];unclassified Podoviridae[1];Rhodoferax phage P26218[1]</t>
  </si>
  <si>
    <t>17.04.P4-3.527-1.7</t>
  </si>
  <si>
    <t>Viruses[1];Caudovirales[1];Podoviridae[1];unclassified Podoviridae[1];EBPR podovirus 2[1];Roseivivax[1];Roseivivax halodurans[1]</t>
  </si>
  <si>
    <t>Viruses;Caudovirales;Podoviridae;unclassified Podoviridae;EBPR podovirus 2;Roseivivax;Roseivivax halodurans</t>
  </si>
  <si>
    <t>Viruses[1];Caudovirales[1];Podoviridae[1];unclassified Podoviridae[1];EBPR podovirus 2[1]</t>
  </si>
  <si>
    <t>17.04.P1-9.084-18</t>
  </si>
  <si>
    <t>Viruses[1];Caudovirales[1];Podoviridae[1];unclassified Podoviridae[1];Flavobacteriia[1];Flavobacteriales[1];Flavobacteriaceae[1];Aquimarina[1];Aquimarina longa[1]</t>
  </si>
  <si>
    <t>Viruses;Caudovirales;Podoviridae;unclassified Podoviridae;Flavobacteriia;Flavobacteriales;Flavobacteriaceae;Aquimarina;Aquimarina longa</t>
  </si>
  <si>
    <t>11.09.P4-3.944-2.2</t>
  </si>
  <si>
    <t>Viruses[2];Caudovirales[2];Podoviridae[2];unclassified Podoviridae[2];Freshwater phage uvFW-CGR-AMD-COM-C449[1]</t>
  </si>
  <si>
    <t>Viruses;Caudovirales;Podoviridae;unclassified Podoviridae;Freshwater phage uvFW-CGR-AMD-COM-C449</t>
  </si>
  <si>
    <t>Viruses[2];Caudovirales[2];Podoviridae[2];unclassified Podoviridae[2];Freshwater phage uvFW-CGR-AMD-COM-C493[1]</t>
  </si>
  <si>
    <t>11.09.P2-3.526-51</t>
  </si>
  <si>
    <t>Viruses[2];Caudovirales[2];Podoviridae[1];unclassified Podoviridae[1];Kuttervirus[1];unclassifed Kuttervirus[1];Salmonella phage S115[1]</t>
  </si>
  <si>
    <t>Viruses;Caudovirales;Podoviridae;unclassified Podoviridae;Kuttervirus;unclassifed Kuttervirus;Salmonella phage S115</t>
  </si>
  <si>
    <t>Viruses[2];Caudovirales[2];Podoviridae[1];Cvivirinae[1];Celeribacter phage P12053L[1];unclassifed Kuttervirus[1];Salmonella phage S115[1]</t>
  </si>
  <si>
    <t>05.07.P4-15.059-52</t>
  </si>
  <si>
    <t>Viruses[4];Caudovirales[4];Podoviridae[4];unclassified Podoviridae[4];Micromonosporales[2];Micromonosporaceae[2];Actinoplanes[2];Actinoplanes philippinensis[2]</t>
  </si>
  <si>
    <t>Viruses;Caudovirales;Podoviridae;unclassified Podoviridae;Micromonosporales;Micromonosporaceae;Actinoplanes;Actinoplanes philippinensis</t>
  </si>
  <si>
    <t>Viruses[4];Caudovirales[4];Podoviridae[4];unclassified Podoviridae[4];Celeribacter phage P12053L[2]</t>
  </si>
  <si>
    <t>11.09.P2-5.186-4.6</t>
  </si>
  <si>
    <t>Viruses[4];Caudovirales[4];Podoviridae[3];unclassified Podoviridae[2];Moraxellaceae[1];Mameliella[1];Mameliella alba[1]</t>
  </si>
  <si>
    <t>Viruses;Caudovirales;Podoviridae;unclassified Podoviridae;Moraxellaceae;Mameliella;Mameliella alba</t>
  </si>
  <si>
    <t>Viruses[4];Caudovirales[4];Podoviridae[3];unclassified Podoviridae[2];Celeribacter phage P12053L[1]</t>
  </si>
  <si>
    <t>11.09.P2-4.159-6.1</t>
  </si>
  <si>
    <t>Viruses[1];Caudovirales[1];Podoviridae[1];unclassified Podoviridae[1];Pelagibacter phage HTVC010P[1];Desulfobacteraceae[1];Desulfatibacillum[1];Desulfatibacillum aliphaticivorans[1]</t>
  </si>
  <si>
    <t>Viruses;Caudovirales;Podoviridae;unclassified Podoviridae;Pelagibacter phage HTVC010P;Desulfobacteraceae;Desulfatibacillum;Desulfatibacillum aliphaticivorans</t>
  </si>
  <si>
    <t>Viruses[1];Caudovirales[1];Podoviridae[1];unclassified Podoviridae[1];Pelagibacter phage HTVC010P[1]</t>
  </si>
  <si>
    <t>05.07.P4-3.936-2.2</t>
  </si>
  <si>
    <t>Viruses[4];Caudovirales[4];Podoviridae[4];unclassified Podoviridae[4];Pelagibacter phage HTVC010P[4];Escherichia[1];Escherichia coli[1]</t>
  </si>
  <si>
    <t>Viruses;Caudovirales;Podoviridae;unclassified Podoviridae;Pelagibacter phage HTVC010P;Escherichia;Escherichia coli</t>
  </si>
  <si>
    <t>Viruses[4];Caudovirales[4];Podoviridae[4];unclassified Podoviridae[4];Pelagibacter phage HTVC010P[4]</t>
  </si>
  <si>
    <t>23.10.P2-3.454-22</t>
  </si>
  <si>
    <t>Viruses[1];Caudovirales[1];Podoviridae[1];unclassified Podoviridae[1];Pelagibacter phage HTVC010P[1];Sinorhizobium/Ensifer group[1];Sinorhizobium[1];Sinorhizobium meliloti[1]</t>
  </si>
  <si>
    <t>Viruses;Caudovirales;Podoviridae;unclassified Podoviridae;Pelagibacter phage HTVC010P;Sinorhizobium/Ensifer group;Sinorhizobium;Sinorhizobium meliloti</t>
  </si>
  <si>
    <t>05.07.P4-3.629-43</t>
  </si>
  <si>
    <t>Viruses[3];Caudovirales[3];Podoviridae[3];unclassified Podoviridae[2];Prochlorococcus virus PSSP7[1]</t>
  </si>
  <si>
    <t>Viruses;Caudovirales;Podoviridae;unclassified Podoviridae;Prochlorococcus virus PSSP7</t>
  </si>
  <si>
    <t>05.07.P3-4.574-4.5</t>
  </si>
  <si>
    <t>Viruses[4];Caudovirales[4];Podoviridae[3];unclassified Podoviridae[2];Prochlorococcus virus PSSP7[1];Minwuia[1];Minwuia thermotolerans[1]</t>
  </si>
  <si>
    <t>Viruses;Caudovirales;Podoviridae;unclassified Podoviridae;Prochlorococcus virus PSSP7;Minwuia;Minwuia thermotolerans</t>
  </si>
  <si>
    <t>Viruses[4];Caudovirales[4];Podoviridae[3];unclassified Podoviridae[2];Xanthomonas virus Xp10[1]</t>
  </si>
  <si>
    <t>17.04.P3-3.167-4.5</t>
  </si>
  <si>
    <t>Viruses[1];Caudovirales[1];Podoviridae[1];unclassified Podoviridae[1];Pseudoalteromonadaceae[1];Pseudoalteromonas[1];unclassified Pseudoalteromonas[1];Pseudoalteromonas sp. TB41[1]</t>
  </si>
  <si>
    <t>Viruses;Caudovirales;Podoviridae;unclassified Podoviridae;Pseudoalteromonadaceae;Pseudoalteromonas;unclassified Pseudoalteromonas;Pseudoalteromonas sp. TB41</t>
  </si>
  <si>
    <t>23.10.P2-5.452-7.9</t>
  </si>
  <si>
    <t>Viruses[2];Caudovirales[2];Podoviridae[2];unclassified Podoviridae[2];Pseudoalteromonas phage RIO-1[1]</t>
  </si>
  <si>
    <t>Viruses;Caudovirales;Podoviridae;unclassified Podoviridae;Pseudoalteromonas phage RIO-1</t>
  </si>
  <si>
    <t>Viruses[2];Caudovirales[2];Podoviridae[2];unclassified Podoviridae[2];Vibrio phage 1.021.A._10N.222.51.F9[1]</t>
  </si>
  <si>
    <t>23.10.P4-2.954-11</t>
  </si>
  <si>
    <t>Viruses[1];Caudovirales[1];Podoviridae[1];unclassified Podoviridae[1];Pseudoalteromonas phage RIO-1[1]</t>
  </si>
  <si>
    <t>17.04.P4-2.764-1.4</t>
  </si>
  <si>
    <t>Viruses[1];Caudovirales[1];Podoviridae[1];unclassified Podoviridae[1];Pseudoalteromonas virus vB_PspP-H6/1[1]</t>
  </si>
  <si>
    <t>Viruses;Caudovirales;Podoviridae;unclassified Podoviridae;Pseudoalteromonas virus vB_PspP-H6/1</t>
  </si>
  <si>
    <t>11.09.P4-4.367-4.3</t>
  </si>
  <si>
    <t>Viruses[2];Caudovirales[2];Podoviridae[2];unclassified Podoviridae[2];Pseudomonadaceae[1];Pseudomonas[1];Pseudomonas aeruginosa group[1];Pseudomonas aeruginosa[1]</t>
  </si>
  <si>
    <t>Viruses;Caudovirales;Podoviridae;unclassified Podoviridae;Pseudomonadaceae;Pseudomonas;Pseudomonas aeruginosa group;Pseudomonas aeruginosa</t>
  </si>
  <si>
    <t>Viruses[2];Caudovirales[2];Podoviridae[2];unclassified Podoviridae[2];Celeribacter phage P12053L[1]</t>
  </si>
  <si>
    <t>05.07.P3-8.454-37</t>
  </si>
  <si>
    <t>Viruses[4];Caudovirales[3];Podoviridae[2];unclassified Podoviridae[2];Puniceispirillum phage HMO-2011[2]</t>
  </si>
  <si>
    <t>Viruses;Caudovirales;Podoviridae;unclassified Podoviridae;Puniceispirillum phage HMO-2011</t>
  </si>
  <si>
    <t>05.07.P3-6.538-4.9</t>
  </si>
  <si>
    <t>Viruses[5];Caudovirales[5];Podoviridae[5];unclassified Podoviridae[5];Puniceispirillum phage HMO-2011[5]</t>
  </si>
  <si>
    <t>05.07.P4-4.281-5.3</t>
  </si>
  <si>
    <t>Viruses[3];Caudovirales[3];Podoviridae[3];unclassified Podoviridae[3];Puniceispirillum phage HMO-2011[3]</t>
  </si>
  <si>
    <t>11.09.P1-3.236-38</t>
  </si>
  <si>
    <t>Viruses[2];Caudovirales[2];Podoviridae[2];unclassified Podoviridae[2];Puniceispirillum phage HMO-2011[2]</t>
  </si>
  <si>
    <t>11.09.P3-2.429-58</t>
  </si>
  <si>
    <t>23.10.P4-3.067-2.1</t>
  </si>
  <si>
    <t>Viruses[1];Caudovirales[1];Podoviridae[1];unclassified Podoviridae[1];Puniceispirillum phage HMO-2011[1];Alkalispirochaeta[1];Alkalispirochaeta odontotermitis[1]</t>
  </si>
  <si>
    <t>Viruses;Caudovirales;Podoviridae;unclassified Podoviridae;Puniceispirillum phage HMO-2011;Alkalispirochaeta;Alkalispirochaeta odontotermitis</t>
  </si>
  <si>
    <t>11.09.P1-8.802-7.6</t>
  </si>
  <si>
    <t>Viruses[3];Caudovirales[3];Podoviridae[3];unclassified Podoviridae[2];Puniceispirillum phage HMO-2011[2];Guillardia theta[1];Guillardia theta CCMP2712[1]</t>
  </si>
  <si>
    <t>Viruses;Caudovirales;Podoviridae;unclassified Podoviridae;Puniceispirillum phage HMO-2011;Guillardia theta;Guillardia theta CCMP2712</t>
  </si>
  <si>
    <t>Viruses[3];Caudovirales[3];Podoviridae[3];unclassified Podoviridae[2];Puniceispirillum phage HMO-2011[2];Synechococcus phage S-CBP42[1]</t>
  </si>
  <si>
    <t>05.07.P3-15.581-31</t>
  </si>
  <si>
    <t>Viruses[10];Caudovirales[10];Podoviridae[9];unclassified Podoviridae[7];Puniceispirillum phage HMO-2011[7];Microvirga[1];Microvirga flocculans[1]</t>
  </si>
  <si>
    <t>Viruses;Caudovirales;Podoviridae;unclassified Podoviridae;Puniceispirillum phage HMO-2011;Microvirga;Microvirga flocculans</t>
  </si>
  <si>
    <t>Viruses[10];Caudovirales[10];Podoviridae[9];unclassified Podoviridae[7];Puniceispirillum phage HMO-2011[7];Streptomyces phage NootNoot[1];Klebsiella phage KP34[1]</t>
  </si>
  <si>
    <t>05.07.P4-10.196-26</t>
  </si>
  <si>
    <t>Viruses[9];Caudovirales[7];Podoviridae[4];unclassified Podoviridae[4];Puniceispirillum phage HMO-2011[4];Microvirga[2];Microvirga flocculans[2]</t>
  </si>
  <si>
    <t>Viruses[9];Caudovirales[7];Podoviridae[4];unclassified Podoviridae[4];Puniceispirillum phage HMO-2011[4];Salmonella phage S132[1]</t>
  </si>
  <si>
    <t>17.04.P2-24.450-20</t>
  </si>
  <si>
    <t>Viruses[11];Caudovirales[11];Podoviridae[11];unclassified Podoviridae[11];Puniceispirillum phage HMO-2011[10];Oscillatoriales[1];Microcoleaceae[1];unclassified Rhizobium[1];Rhizobium sp. Leaf383[1];Limnospira indica PCC 8005[1]</t>
  </si>
  <si>
    <t>Viruses;Caudovirales;Podoviridae;unclassified Podoviridae;Puniceispirillum phage HMO-2011;Oscillatoriales;Microcoleaceae;unclassified Rhizobium;Rhizobium sp. Leaf383;Limnospira indica PCC 8005</t>
  </si>
  <si>
    <t>Viruses[11];Caudovirales[11];Podoviridae[11];unclassified Podoviridae[11];Puniceispirillum phage HMO-2011[10]</t>
  </si>
  <si>
    <t>11.09.P4-15.938-18</t>
  </si>
  <si>
    <t>Viruses[7];Caudovirales[7];Podoviridae[7];unclassified Podoviridae[6];Puniceispirillum phage HMO-2011[4];Pararhodobacter[1];Desulfovibrio[1];Desulfovibrio bastinii[1];Bacteroides fragilis[1]</t>
  </si>
  <si>
    <t>Viruses;Caudovirales;Podoviridae;unclassified Podoviridae;Puniceispirillum phage HMO-2011;Pararhodobacter;Desulfovibrio;Desulfovibrio bastinii;Bacteroides fragilis</t>
  </si>
  <si>
    <t>Viruses[7];Caudovirales[7];Podoviridae[7];unclassified Podoviridae[6];Puniceispirillum phage HMO-2011[4]</t>
  </si>
  <si>
    <t>11.09.P4-6.664-4.2</t>
  </si>
  <si>
    <t>Viruses[2];Caudovirales[2];Podoviridae[2];unclassified Podoviridae[2];Puniceispirillum phage HMO-2011[1];Pararhodobacter[1];unclassified Pararhodobacter[1];Pararhodobacter sp. CCB-MM2[1];Rhizobium sp. Root149[1]</t>
  </si>
  <si>
    <t>Viruses;Caudovirales;Podoviridae;unclassified Podoviridae;Puniceispirillum phage HMO-2011;Pararhodobacter;unclassified Pararhodobacter;Pararhodobacter sp. CCB-MM2;Rhizobium sp. Root149</t>
  </si>
  <si>
    <t>Viruses[2];Caudovirales[2];Podoviridae[2];unclassified Podoviridae[2];Puniceispirillum phage HMO-2011[1]</t>
  </si>
  <si>
    <t>05.07.P4-45.835-37</t>
  </si>
  <si>
    <t>Viruses[31];Caudovirales[29];Podoviridae[23];unclassified Podoviridae[15];Puniceispirillum phage HMO-2011[9];Pseudomonas[2];Bradyrhizobium erythrophlei[2];Vibrio parahaemolyticus[1];Alistipes ihumii[1]</t>
  </si>
  <si>
    <t>Viruses;Caudovirales;Podoviridae;unclassified Podoviridae;Puniceispirillum phage HMO-2011;Pseudomonas;Bradyrhizobium erythrophlei;Vibrio parahaemolyticus;Alistipes ihumii</t>
  </si>
  <si>
    <t>Viruses[31];Caudovirales[29];Podoviridae[23];unclassified Podoviridae[15];Puniceispirillum phage HMO-2011[9];unclassified Teseptimavirus[1];Yersinia phage vB_YenP_AP5[1]</t>
  </si>
  <si>
    <t>17.04.P4-12.384-31</t>
  </si>
  <si>
    <t>Viruses[4];Caudovirales[4];Podoviridae[4];unclassified Podoviridae[4];Puniceispirillum phage HMO-2011[3];Rhizobium/Agrobacterium group[1];Neorhizobium[1];Hyphomicrobium sp. SCN 65-11[1];Neorhizobium sp. T6_25[1]</t>
  </si>
  <si>
    <t>Viruses;Caudovirales;Podoviridae;unclassified Podoviridae;Puniceispirillum phage HMO-2011;Rhizobium/Agrobacterium group;Neorhizobium;Hyphomicrobium sp. SCN 65-11;Neorhizobium sp. T6_25</t>
  </si>
  <si>
    <t>Viruses[4];Caudovirales[4];Podoviridae[4];unclassified Podoviridae[4];Puniceispirillum phage HMO-2011[3]</t>
  </si>
  <si>
    <t>11.09.P2-13.999-19</t>
  </si>
  <si>
    <t>Viruses[7];Caudovirales[7];Podoviridae[7];unclassified Podoviridae[6];Puniceispirillum phage HMO-2011[6];Sinorhizobium/Ensifer group[1];Sinorhizobium[1];Sinorhizobium fredii group[1];Sinorhizobium fredii[1]</t>
  </si>
  <si>
    <t>Viruses;Caudovirales;Podoviridae;unclassified Podoviridae;Puniceispirillum phage HMO-2011;Sinorhizobium/Ensifer group;Sinorhizobium;Sinorhizobium fredii group;Sinorhizobium fredii</t>
  </si>
  <si>
    <t>Viruses[7];Caudovirales[7];Podoviridae[7];unclassified Podoviridae[6];Puniceispirillum phage HMO-2011[6]</t>
  </si>
  <si>
    <t>05.07.P4-23.194-34</t>
  </si>
  <si>
    <t>Viruses[14];Caudovirales[14];Podoviridae[13];unclassified Podoviridae[12];Puniceispirillum phage HMO-2011[11];Synechococcus T7-like virus S-TIP37[1];Bradyrhizobium yuanmingense[1]</t>
  </si>
  <si>
    <t>Viruses;Caudovirales;Podoviridae;unclassified Podoviridae;Puniceispirillum phage HMO-2011;Synechococcus T7-like virus S-TIP37;Bradyrhizobium yuanmingense</t>
  </si>
  <si>
    <t>Viruses[14];Caudovirales[14];Podoviridae[13];unclassified Podoviridae[12];Puniceispirillum phage HMO-2011[11];Synechococcus T7-like virus S-TIP37[1]</t>
  </si>
  <si>
    <t>05.07.P3-6.670-18</t>
  </si>
  <si>
    <t>Viruses[7];Caudovirales[7];Podoviridae[5];unclassified Podoviridae[3];Puniceispirillum phage HMO-2011[3];unclassified Teseptimavirus[2];Serratia phage 2050H2[2];unclassified Synechococcus[1];Synechococcus sp. WH 8103[1]</t>
  </si>
  <si>
    <t>Viruses;Caudovirales;Podoviridae;unclassified Podoviridae;Puniceispirillum phage HMO-2011;unclassified Teseptimavirus;Serratia phage 2050H2;unclassified Synechococcus;Synechococcus sp. WH 8103</t>
  </si>
  <si>
    <t>Viruses[7];Caudovirales[7];Podoviridae[5];unclassified Podoviridae[3];Puniceispirillum phage HMO-2011[3];unclassified Teseptimavirus[2];Serratia phage 2050H2[2]</t>
  </si>
  <si>
    <t>11.09.P4-3.013-2.2</t>
  </si>
  <si>
    <t>Viruses[1];Caudovirales[1];Podoviridae[1];unclassified Podoviridae[1];Ralstonia phage GP4[1];Cupriavidus[1];unclassified Cupriavidus[1];Cupriavidus sp. SK-3[1]</t>
  </si>
  <si>
    <t>Viruses;Caudovirales;Podoviridae;unclassified Podoviridae;Ralstonia phage GP4;Cupriavidus;unclassified Cupriavidus;Cupriavidus sp. SK-3</t>
  </si>
  <si>
    <t>Viruses[1];Caudovirales[1];Podoviridae[1];unclassified Podoviridae[1];Ralstonia phage GP4[1]</t>
  </si>
  <si>
    <t>05.07.P3-6.142-4.3</t>
  </si>
  <si>
    <t>Viruses[2];Caudovirales[2];Podoviridae[2];unclassified Podoviridae[2];Rhodobacteraceae[1];Roseobacter[1];unclassified Roseobacter[1];Roseobacter sp. AzwK-3b[1]</t>
  </si>
  <si>
    <t>Viruses;Caudovirales;Podoviridae;unclassified Podoviridae;Rhodobacteraceae;Roseobacter;unclassified Roseobacter;Roseobacter sp. AzwK-3b</t>
  </si>
  <si>
    <t>11.09.P2-2.613-23</t>
  </si>
  <si>
    <t>Viruses[1];Caudovirales[1];Podoviridae[1];unclassified Podoviridae[1];Rhodospirillaceae[1];Skermanella[1];Skermanella aerolata[1]</t>
  </si>
  <si>
    <t>Viruses;Caudovirales;Podoviridae;unclassified Podoviridae;Rhodospirillaceae;Skermanella;Skermanella aerolata</t>
  </si>
  <si>
    <t>23.10.P4-2.975-8.4</t>
  </si>
  <si>
    <t>Viruses[1];Caudovirales[1];Podoviridae[1];unclassified Podoviridae[1];Rhodospirillaceae[1];Thalassobaculum[1];Thalassobaculum litoreum[1]</t>
  </si>
  <si>
    <t>Viruses;Caudovirales;Podoviridae;unclassified Podoviridae;Rhodospirillaceae;Thalassobaculum;Thalassobaculum litoreum</t>
  </si>
  <si>
    <t>Viruses[1];Caudovirales[1];Podoviridae[1];unclassified Podoviridae[1];Vibrio phage 1.070.O._10N.261.45.B2[1]</t>
  </si>
  <si>
    <t>23.10.P4-2.471-2.2</t>
  </si>
  <si>
    <t>Viruses[1];Caudovirales[1];Podoviridae[1];unclassified Podoviridae[1];Salinivibrio phage CW02[1]</t>
  </si>
  <si>
    <t>Viruses;Caudovirales;Podoviridae;unclassified Podoviridae;Salinivibrio phage CW02</t>
  </si>
  <si>
    <t>17.04.P2-22.980-19</t>
  </si>
  <si>
    <t>Viruses[5];Caudovirales[5];Podoviridae[5];unclassified Podoviridae[4];Salinivibrio phage CW02[2];Bradyrhizobium[1];Vibrio cholerae[1];Streptomyces scabrisporus[1]</t>
  </si>
  <si>
    <t>Viruses;Caudovirales;Podoviridae;unclassified Podoviridae;Salinivibrio phage CW02;Bradyrhizobium;Vibrio cholerae;Streptomyces scabrisporus</t>
  </si>
  <si>
    <t>Viruses[5];Caudovirales[5];Podoviridae[5];unclassified Podoviridae[4];Celeribacter phage P12053L[2]</t>
  </si>
  <si>
    <t>17.04.P3-2.874-6.7</t>
  </si>
  <si>
    <t>Viruses[1];Caudovirales[1];Podoviridae[1];unclassified Podoviridae[1];Sinorhizobium phage phiM6[1]</t>
  </si>
  <si>
    <t>Viruses;Caudovirales;Podoviridae;unclassified Podoviridae;Sinorhizobium phage phiM6</t>
  </si>
  <si>
    <t>11.09.P4-14.613-5.8</t>
  </si>
  <si>
    <t>Viruses[10];Caudovirales[10];Podoviridae[7];unclassified Podoviridae[6];Sinorhizobium phage phiM6[3];Acinetobacter phage IME-AB2[1];Paraburkholderia unamae[1]</t>
  </si>
  <si>
    <t>Viruses;Caudovirales;Podoviridae;unclassified Podoviridae;Sinorhizobium phage phiM6;Acinetobacter phage IME-AB2;Paraburkholderia unamae</t>
  </si>
  <si>
    <t>Viruses[10];Caudovirales[10];Podoviridae[7];unclassified Podoviridae[6];Sinorhizobium phage phiM6[3];Acinetobacter phage IME-AB2[1]</t>
  </si>
  <si>
    <t>05.07.P3-5.693-5.0</t>
  </si>
  <si>
    <t>Viruses[4];Caudovirales[4];Podoviridae[3];unclassified Podoviridae[2];Sinorhizobium phage phiM6[2];Bradyrhizobium[2];Bradyrhizobium erythrophlei[2]</t>
  </si>
  <si>
    <t>Viruses;Caudovirales;Podoviridae;unclassified Podoviridae;Sinorhizobium phage phiM6;Bradyrhizobium;Bradyrhizobium erythrophlei</t>
  </si>
  <si>
    <t>Viruses[4];Caudovirales[4];Podoviridae[3];unclassified Podoviridae[2];Sinorhizobium phage phiM6[2];unclassified Teseptimavirus[1];Phage PhiI[1]</t>
  </si>
  <si>
    <t>11.09.P1-3.080-2.1</t>
  </si>
  <si>
    <t>Viruses[1];Caudovirales[1];Podoviridae[1];unclassified Podoviridae[1];Sinorhizobium phage phiM6[1];Chelatococcus[1];Chelatococcus asaccharovorans[1]</t>
  </si>
  <si>
    <t>Viruses;Caudovirales;Podoviridae;unclassified Podoviridae;Sinorhizobium phage phiM6;Chelatococcus;Chelatococcus asaccharovorans</t>
  </si>
  <si>
    <t>17.04.P4-20.016-41</t>
  </si>
  <si>
    <t>Viruses[2];Caudovirales[2];Podoviridae[1];unclassified Podoviridae[1];Sinorhizobium phage phiM6[1];Deinococcaceae[1];Deinococcus[1];[Clostridium] innocuum[1]</t>
  </si>
  <si>
    <t>Viruses;Caudovirales;Podoviridae;unclassified Podoviridae;Sinorhizobium phage phiM6;Deinococcaceae;Deinococcus;[Clostridium] innocuum</t>
  </si>
  <si>
    <t>Viruses[2];Caudovirales[2];unclassified Caudovirales[1];unclassified Podoviridae[1];Sinorhizobium phage phiM6[1]</t>
  </si>
  <si>
    <t>17.04.P3-9.502-14</t>
  </si>
  <si>
    <t>Viruses[2];Caudovirales[2];Podoviridae[1];unclassified Podoviridae[1];Sinorhizobium phage phiM6[1];Pseudomonas[1];Pseudomonas stutzeri group[1];Pseudomonas stutzeri subgroup[1];Pseudomonas stutzeri[1]</t>
  </si>
  <si>
    <t>Viruses;Caudovirales;Podoviridae;unclassified Podoviridae;Sinorhizobium phage phiM6;Pseudomonas;Pseudomonas stutzeri group;Pseudomonas stutzeri subgroup;Pseudomonas stutzeri</t>
  </si>
  <si>
    <t>Viruses[2];Caudovirales[2];Podoviridae[1];unclassified Ackermannviridae[1];Sinorhizobium phage phiM6[1]</t>
  </si>
  <si>
    <t>17.05.P3-4.773-8.9</t>
  </si>
  <si>
    <t>Viruses[3];Caudovirales[3];Podoviridae[3];unclassified Podoviridae[3];Sinorhizobium phage phiM6[2];Rhodovulum[1];Rhodovulum sulfidophilum[1]</t>
  </si>
  <si>
    <t>Viruses;Caudovirales;Podoviridae;unclassified Podoviridae;Sinorhizobium phage phiM6;Rhodovulum;Rhodovulum sulfidophilum</t>
  </si>
  <si>
    <t>Viruses[3];Caudovirales[3];Podoviridae[3];unclassified Podoviridae[3];Sinorhizobium phage phiM6[2]</t>
  </si>
  <si>
    <t>11.09.P1-7.008-44</t>
  </si>
  <si>
    <t>Viruses[3];Caudovirales[3];Podoviridae[2];unclassified Podoviridae[2];Sinorhizobium phage phiM6[2];Rhodovulum[1];Rhodovulum sulfidophilum[1];Variovorax sp. PMC12[1]</t>
  </si>
  <si>
    <t>Viruses;Caudovirales;Podoviridae;unclassified Podoviridae;Sinorhizobium phage phiM6;Rhodovulum;Rhodovulum sulfidophilum;Variovorax sp. PMC12</t>
  </si>
  <si>
    <t>Viruses[3];Caudovirales[3];Podoviridae[2];unclassified Podoviridae[2];Sinorhizobium phage phiM6[2];Xylella phage Salvo[1]</t>
  </si>
  <si>
    <t>11.09.P3-2.656-2.8</t>
  </si>
  <si>
    <t>Viruses[1];Caudovirales[1];Podoviridae[1];unclassified Podoviridae[1];Sphingomonadaceae[1];Citromicrobium[1];unclassified Citromicrobium[1];Citromicrobium sp. WPS32[1]</t>
  </si>
  <si>
    <t>Viruses;Caudovirales;Podoviridae;unclassified Podoviridae;Sphingomonadaceae;Citromicrobium;unclassified Citromicrobium;Citromicrobium sp. WPS32</t>
  </si>
  <si>
    <t>Viruses[1];Caudovirales[1];Podoviridae[1];unclassified Podoviridae[1];Freshwater phage uvFW-CGR-AMD-COM-C403[1]</t>
  </si>
  <si>
    <t>11.09.P4-3.073-2.0</t>
  </si>
  <si>
    <t>Viruses[1];Caudovirales[1];Podoviridae[1];unclassified Podoviridae[1];Streptosporangiales[1];Streptosporangiaceae[1];Herbidospora[1];Herbidospora cretacea[1]</t>
  </si>
  <si>
    <t>Viruses;Caudovirales;Podoviridae;unclassified Podoviridae;Streptosporangiales;Streptosporangiaceae;Herbidospora;Herbidospora cretacea</t>
  </si>
  <si>
    <t>Viruses[1];Caudovirales[1];Podoviridae[1];unclassified Podoviridae[1];Freshwater phage uvFW-CGR-AMD-COM-C493[1]</t>
  </si>
  <si>
    <t>17.04.P4-2.406-2.9</t>
  </si>
  <si>
    <t>Viruses[1];Caudovirales[1];Podoviridae[1];unclassified Podoviridae[1];Sulfitobacter phage NYA-2014a[1];Ketogulonicigenium[1];Ketogulonicigenium robustum[1]</t>
  </si>
  <si>
    <t>Viruses;Caudovirales;Podoviridae;unclassified Podoviridae;Sulfitobacter phage NYA-2014a;Ketogulonicigenium;Ketogulonicigenium robustum</t>
  </si>
  <si>
    <t>Viruses[1];Caudovirales[1];Podoviridae[1];unclassified Podoviridae[1];Sulfitobacter phage NYA-2014a[1]</t>
  </si>
  <si>
    <t>17.05.P3-2.552-4.1</t>
  </si>
  <si>
    <t>Viruses[1];Caudovirales[1];Podoviridae[1];unclassified Podoviridae[1];Sulfitobacter phage pCB2047-C[1]</t>
  </si>
  <si>
    <t>Viruses;Caudovirales;Podoviridae;unclassified Podoviridae;Sulfitobacter phage pCB2047-C</t>
  </si>
  <si>
    <t>23.10.P2-5.821-5.2</t>
  </si>
  <si>
    <t>Viruses[2];Caudovirales[2];Podoviridae[2];unclassified Podoviridae[2];Thalassomonas phage BA3[1]</t>
  </si>
  <si>
    <t>Viruses;Caudovirales;Podoviridae;unclassified Podoviridae;Thalassomonas phage BA3</t>
  </si>
  <si>
    <t>11.09.P4-19.072-23</t>
  </si>
  <si>
    <t>Viruses[9];Caudovirales[8];Podoviridae[8];unclassified Podoviridae[4];unclassified Autographivirinae[2];Devosia[1];unclassified Devosia[1];Devosia sp. 66-22[1]</t>
  </si>
  <si>
    <t>Viruses;Caudovirales;Podoviridae;unclassified Podoviridae;unclassified Autographivirinae;Devosia;unclassified Devosia;Devosia sp. 66-22</t>
  </si>
  <si>
    <t>Viruses[9];Caudovirales[8];Podoviridae[8];unclassified Podoviridae[4];unclassified Autographivirinae[2];Synechococcus phage S-CBP3[1]</t>
  </si>
  <si>
    <t>17.04.P4-5.278-18</t>
  </si>
  <si>
    <t>Viruses[2];Caudovirales[2];Podoviridae[2];unclassified Podoviridae[1];unclassified Autographivirinae[1];Isosphaeraceae[1];Sphaerobacterineae[1];Paludisphaera borealis[1];Nitrolancea[1];Nitrolancea hollandica[1]</t>
  </si>
  <si>
    <t>Viruses;Caudovirales;Podoviridae;unclassified Podoviridae;unclassified Autographivirinae;Isosphaeraceae;Sphaerobacterineae;Paludisphaera borealis;Nitrolancea;Nitrolancea hollandica</t>
  </si>
  <si>
    <t>Viruses[2];Caudovirales[2];Podoviridae[2];Autographivirinae[1];Sinorhizobium phage phiM6[1];Ralstonia phage DU_RP_I[1]</t>
  </si>
  <si>
    <t>11.09.P3-3.306-1.5</t>
  </si>
  <si>
    <t>Viruses[3];Caudovirales[3];Podoviridae[3];unclassified Podoviridae[2];unclassified Autographivirinae[1];Sphingomonas[1];unclassified Sphingomonas[1];Sphingomonas sp. Leaf357[1]</t>
  </si>
  <si>
    <t>Viruses;Caudovirales;Podoviridae;unclassified Podoviridae;unclassified Autographivirinae;Sphingomonas;unclassified Sphingomonas;Sphingomonas sp. Leaf357</t>
  </si>
  <si>
    <t>Viruses[3];Caudovirales[3];Podoviridae[3];unclassified Podoviridae[2];Sinorhizobium phage phiM6[1];Synechococcus phage S-CBP3[1]</t>
  </si>
  <si>
    <t>05.07.P4-4.124-51</t>
  </si>
  <si>
    <t>Viruses[4];Caudovirales[3];Podoviridae[3];unclassified Podoviridae[2];unclassified Autographivirinae[1];Synechococcus phage S-CBP3[1]</t>
  </si>
  <si>
    <t>Viruses;Caudovirales;Podoviridae;unclassified Podoviridae;unclassified Autographivirinae;Synechococcus phage S-CBP3</t>
  </si>
  <si>
    <t>Viruses[4];Caudovirales[3];Podoviridae[3];unclassified Podoviridae[2];Sinorhizobium phage phiM6[1];Synechococcus phage S-CBP3[1]</t>
  </si>
  <si>
    <t>17.04.P1-2.973-2.5</t>
  </si>
  <si>
    <t>Viruses[4];Caudovirales[4];Podoviridae[2];unclassified Podoviridae[2];unclassified Nipunavirus[2];Pseudomonas phage JG012[2]</t>
  </si>
  <si>
    <t>Viruses;Caudovirales;Podoviridae;unclassified Podoviridae;unclassified Nipunavirus;Pseudomonas phage JG012</t>
  </si>
  <si>
    <t>Viruses[4];Caudovirales[4];Siphoviridae[2];unclassified Podoviridae[2];Puniceispirillum phage HMO-2011[2];Pseudomonas phage JG012[2]</t>
  </si>
  <si>
    <t>17.04.P2-2.605-5.1</t>
  </si>
  <si>
    <t>Viruses[1];Caudovirales[1];Podoviridae[1];unclassified Podoviridae[1];Vibrio phage 1.021.A._10N.222.51.F9[1]</t>
  </si>
  <si>
    <t>Viruses;Caudovirales;Podoviridae;unclassified Podoviridae;Vibrio phage 1.021.A._10N.222.51.F9</t>
  </si>
  <si>
    <t>23.10.P4-2.778-1.9</t>
  </si>
  <si>
    <t>Viruses[1];Caudovirales[1];Podoviridae[1];unclassified Podoviridae[1];Vibrio phage 1.070.O._10N.261.45.B2[1];Endozoicomonas[1];Endozoicomonas arenosclerae[1]</t>
  </si>
  <si>
    <t>Viruses;Caudovirales;Podoviridae;unclassified Podoviridae;Vibrio phage 1.070.O._10N.261.45.B2;Endozoicomonas;Endozoicomonas arenosclerae</t>
  </si>
  <si>
    <t>17.04.P1-2.965-4.3</t>
  </si>
  <si>
    <t>Viruses[1];Caudovirales[1];Podoviridae[1];unclassified Podoviridae[1];Vibrio phage 1.070.O._10N.261.45.B2[1];Pantoea[1];unclassified Pantoea[1];Pantoea sp. JKS000250[1]</t>
  </si>
  <si>
    <t>Viruses;Caudovirales;Podoviridae;unclassified Podoviridae;Vibrio phage 1.070.O._10N.261.45.B2;Pantoea;unclassified Pantoea;Pantoea sp. JKS000250</t>
  </si>
  <si>
    <t>23.10.P2-2.475-6.3</t>
  </si>
  <si>
    <t>Viruses[2];Caudovirales[2];Podoviridae[2];unclassified Podoviridae[2];Vibrio phage 1.185.O._10N.286.49.C2[2]</t>
  </si>
  <si>
    <t>Viruses;Caudovirales;Podoviridae;unclassified Podoviridae;Vibrio phage 1.185.O._10N.286.49.C2</t>
  </si>
  <si>
    <t>11.09.P4-13.293-4.8</t>
  </si>
  <si>
    <t>Viruses[6];Caudovirales[6];Podoviridae[6];unclassified Podoviridae[6];Vibrio phage 1.275.O._10N.286.54.E11[4];Alcanivorax[3];unclassified Alcanivorax[3];Alcanivorax sp. HI0033[1]</t>
  </si>
  <si>
    <t>Viruses;Caudovirales;Podoviridae;unclassified Podoviridae;Vibrio phage 1.275.O._10N.286.54.E11;Alcanivorax;unclassified Alcanivorax;Alcanivorax sp. HI0033</t>
  </si>
  <si>
    <t>Viruses[6];Caudovirales[6];Podoviridae[6];unclassified Podoviridae[6];Vibrio phage 1.275.O._10N.286.54.E11[4]</t>
  </si>
  <si>
    <t>23.10.P4-4.701-3.3</t>
  </si>
  <si>
    <t>Viruses[3];Caudovirales[3];Podoviridae[2];unclassified Podoviridae[2];Vibrio phage JSF27[1]</t>
  </si>
  <si>
    <t>Viruses;Caudovirales;Podoviridae;unclassified Podoviridae;Vibrio phage JSF27</t>
  </si>
  <si>
    <t>05.07.P4-5.877-4.3</t>
  </si>
  <si>
    <t>Viruses[2];Caudovirales[2];Podoviridae[1];unclassified Siphoviridae[1];Teseptimavirus[1];unclassified Teseptimavirus[1];Enterobacteria phage EcoDS1[1]</t>
  </si>
  <si>
    <t>Viruses;Caudovirales;Podoviridae;unclassified Siphoviridae;Teseptimavirus;unclassified Teseptimavirus;Enterobacteria phage EcoDS1</t>
  </si>
  <si>
    <t>Viruses[2];Caudovirales[2];Podoviridae[1];Autographivirinae[1];EBPR siphovirus 2[1];unclassified Teseptimavirus[1];Enterobacteria phage EcoDS1[1]</t>
  </si>
  <si>
    <t>11.09.P4-8.195-3.6</t>
  </si>
  <si>
    <t>Viruses[5];Caudovirales[4];Podoviridae[2];unclassified Siphoviridae[1];unclassified Autographivirinae[1];Synechococcus phage S-CBP3[1];Bordetella bronchiseptica[1]</t>
  </si>
  <si>
    <t>Viruses;Caudovirales;Podoviridae;unclassified Siphoviridae;unclassified Autographivirinae;Synechococcus phage S-CBP3;Bordetella bronchiseptica</t>
  </si>
  <si>
    <t>Viruses[5];Caudovirales[4];Podoviridae[2];unclassified Podoviridae[1];Celeribacter phage P12053L[1];Pseudomonas phage PAK_P4[1]</t>
  </si>
  <si>
    <t>17.04.P4-2.810-3.5</t>
  </si>
  <si>
    <t>Viruses[2];Caudovirales[2];Podoviridae[1];unclassified Siphoviridae[1];Virus Rctr41k[1];Vibrio phage VP93[1]</t>
  </si>
  <si>
    <t>Viruses;Caudovirales;Podoviridae;unclassified Siphoviridae;Virus Rctr41k;Vibrio phage VP93</t>
  </si>
  <si>
    <t>Viruses[2];Caudovirales[2];Podoviridae[1];unclassified Siphoviridae[1];unclassified Autographivirinae[1];Vibrio phage VP93[1]</t>
  </si>
  <si>
    <t>11.09.P1-3.217-7.2</t>
  </si>
  <si>
    <t>Viruses[2];Caudovirales[1];Prasinovirus[1];unclassified Prasinovirus[1];Bathycoccus sp. RCC1105 virus BpV[1];Bathycoccus sp. RCC1105 virus BpV2[1];Synechococcus[1];unclassified Synechococcus[1];Synechococcus sp. TMED187[1]</t>
  </si>
  <si>
    <t>Viruses;Caudovirales;Prasinovirus;unclassified Prasinovirus;Bathycoccus sp. RCC1105 virus BpV;Bathycoccus sp. RCC1105 virus BpV2;Synechococcus;unclassified Synechococcus;Synechococcus sp. TMED187</t>
  </si>
  <si>
    <t>Viruses[2];Caudovirales[1];Prasinovirus[1];unclassified Myoviridae[1];Bathycoccus sp. RCC1105 virus BpV[1];Bathycoccus sp. RCC1105 virus BpV2[1]</t>
  </si>
  <si>
    <t>17.04.P1-3.862-3.3</t>
  </si>
  <si>
    <t>Viruses[1];Caudovirales[1];Siphoviridae[1];Abidjanvirus[1];Pseudomonas virus Ab18[1];Pseudomonas phage vB_PaeS_PAO1_Ab18[1]</t>
  </si>
  <si>
    <t>Viruses;Caudovirales;Siphoviridae;Abidjanvirus;Pseudomonas virus Ab18;Pseudomonas phage vB_PaeS_PAO1_Ab18</t>
  </si>
  <si>
    <t>11.09.P1-7.013-24</t>
  </si>
  <si>
    <t>Viruses[3];Caudovirales[3];Siphoviridae[2];Abidjanvirus[1];Pseudomonas virus PaMx11[1];Vibrio[1];unclassified Vibrio[1];Vibrio sp. JCM 19236[1]</t>
  </si>
  <si>
    <t>Viruses;Caudovirales;Siphoviridae;Abidjanvirus;Pseudomonas virus PaMx11;Vibrio;unclassified Vibrio;Vibrio sp. JCM 19236</t>
  </si>
  <si>
    <t>Viruses[3];Caudovirales[3];Siphoviridae[2];Abidjanvirus[1];Pseudomonas virus Yua[1];Pseudomonas phage PaMx11[1]</t>
  </si>
  <si>
    <t>17.04.P4-5.136-21</t>
  </si>
  <si>
    <t>Viruses[6];Caudovirales[6];Siphoviridae[4];Abidjanvirus[2];unclassified Abidjanvirus[2];Pseudomonas phage ZC01[2]</t>
  </si>
  <si>
    <t>Viruses;Caudovirales;Siphoviridae;Abidjanvirus;unclassified Abidjanvirus;Pseudomonas phage ZC01</t>
  </si>
  <si>
    <t>Viruses[6];Caudovirales[6];Siphoviridae[4];Yuavirus[2];unclassified Abidjanvirus[2];Pseudomonas phage ZC01[2]</t>
  </si>
  <si>
    <t>23.10.P4-4.944-6.0</t>
  </si>
  <si>
    <t>Viruses[2];Caudovirales[2];Siphoviridae[2];Cbastvirus[2];Cellulophaga virus ST[2];Cellulophaga phage phiST[2]</t>
  </si>
  <si>
    <t>Viruses;Caudovirales;Siphoviridae;Cbastvirus;Cellulophaga virus ST;Cellulophaga phage phiST</t>
  </si>
  <si>
    <t>11.09.P2-2.742-6.5</t>
  </si>
  <si>
    <t>Viruses[1];Caudovirales[1];Siphoviridae[1];Cbastvirus[1];Cellulophaga virus ST[1];Cellulophaga phage phiST[1]</t>
  </si>
  <si>
    <t>17.04.P4-3.751-10</t>
  </si>
  <si>
    <t>11.09.P4-24.849-9.8</t>
  </si>
  <si>
    <t>Viruses[10];Caudovirales[9];Siphoviridae[8];Cetovirus[2];Vibrio phage vB_VpS_PG07[2];Bathycoccus sp. RCC1105 virus BpV2[1];Flammeovirgaceae[1];unclassified Syntrophobacter[1];unclassified Lacinutrix[1];Lacinutrix sp. Bg11-31[1]</t>
  </si>
  <si>
    <t>Viruses;Caudovirales;Siphoviridae;Cetovirus;Vibrio phage vB_VpS_PG07;Bathycoccus sp. RCC1105 virus BpV2;Flammeovirgaceae;unclassified Syntrophobacter;unclassified Lacinutrix;Lacinutrix sp. Bg11-31</t>
  </si>
  <si>
    <t>Viruses[10];Caudovirales[9];Siphoviridae[8];Cetovirus[2];Vibrio phage vB_VpS_PG07[2];Vibrio phage phi 3[1]</t>
  </si>
  <si>
    <t>17.05.P4-9.635-21</t>
  </si>
  <si>
    <t>Viruses[4];Caudovirales[4];Siphoviridae[3];Guernseyvirinae[2];Pseudomonadaceae[2];Pseudomonas[2];Pseudomonas lactis[1];Enterobacter roggenkampii[1]</t>
  </si>
  <si>
    <t>Viruses;Caudovirales;Siphoviridae;Guernseyvirinae;Pseudomonadaceae;Pseudomonas;Pseudomonas lactis;Enterobacter roggenkampii</t>
  </si>
  <si>
    <t>Viruses[4];Caudovirales[4];Siphoviridae[3];Guernseyvirinae[2];Cornellvirus[1];Salmonella virus SP31[1];Escherichia phage G AB-2017[1]</t>
  </si>
  <si>
    <t>11.09.P4-3.126-2.6</t>
  </si>
  <si>
    <t>Viruses[1];Caudovirales[1];Siphoviridae[1];Incheonvrus[1];Polaribacter virus P12002L[1];Polaribacter phage P12002L[1]</t>
  </si>
  <si>
    <t>Viruses;Caudovirales;Siphoviridae;Incheonvrus;Polaribacter virus P12002L;Polaribacter phage P12002L</t>
  </si>
  <si>
    <t>17.04.P4-12.719-12</t>
  </si>
  <si>
    <t>23.10.P4-6.625-20</t>
  </si>
  <si>
    <t>Viruses[5];Caudovirales[5];Siphoviridae[4];Incheonvrus[3];Polaribacter virus P12002S[3];Polaribacter phage P12002S[3];unclassified Acinetobacter[1];Capnocytophaga[1];unclassified Capnocytophaga[1];Capnocytophaga sp. CM59[1]</t>
  </si>
  <si>
    <t>Viruses;Caudovirales;Siphoviridae;Incheonvrus;Polaribacter virus P12002S;Polaribacter phage P12002S;unclassified Acinetobacter;Capnocytophaga;unclassified Capnocytophaga;Capnocytophaga sp. CM59</t>
  </si>
  <si>
    <t>Viruses[5];Caudovirales[5];Siphoviridae[4];Incheonvrus[3];Polaribacter virus P12002S[3];Polaribacter phage P12002S[3];Escherichia phage V5[1]</t>
  </si>
  <si>
    <t>23.10.P2-2.723-10</t>
  </si>
  <si>
    <t>Viruses[2];Caudovirales[2];Siphoviridae[2];Inhavirus[1];Nonlabens virus P12024L[1];Bacteroidales[1];Tannerellaceae[1];Parabacteroides[1];Parabacteroides distasonis[1]</t>
  </si>
  <si>
    <t>Viruses;Caudovirales;Siphoviridae;Inhavirus;Nonlabens virus P12024L;Bacteroidales;Tannerellaceae;Parabacteroides;Parabacteroides distasonis</t>
  </si>
  <si>
    <t>Viruses[2];Caudovirales[2];Siphoviridae[2];Inhavirus[1];Nonlabens virus P12024L[1];Nonlabens phage P12024L[1]</t>
  </si>
  <si>
    <t>11.09.P4-4.741-2.0</t>
  </si>
  <si>
    <t>Viruses[4];Caudovirales[4];Siphoviridae[4];Inhavirus[4];Nonlabens virus P12024L[4];Nonlabens phage P12024L[3]</t>
  </si>
  <si>
    <t>Viruses;Caudovirales;Siphoviridae;Inhavirus;Nonlabens virus P12024L;Nonlabens phage P12024L</t>
  </si>
  <si>
    <t>11.09.P1-4.205-10</t>
  </si>
  <si>
    <t>Viruses[1];Caudovirales[1];Siphoviridae[1];Inhavirus[1];Nonlabens virus P12024L[1];Nonlabens phage P12024L[1]</t>
  </si>
  <si>
    <t>17.04.P4-2.874-2.7</t>
  </si>
  <si>
    <t>Viruses[1];Caudovirales[1];Siphoviridae[1];Inhavirus[1];Nonlabens virus P12024L[1];Nonlabens phage P12024L[1];Chitinophagaceae[1];Chitinophaga[1];Chitinophaga pinensis[1]</t>
  </si>
  <si>
    <t>Viruses;Caudovirales;Siphoviridae;Inhavirus;Nonlabens virus P12024L;Nonlabens phage P12024L;Chitinophagaceae;Chitinophaga;Chitinophaga pinensis</t>
  </si>
  <si>
    <t>11.09.P3-2.485-43</t>
  </si>
  <si>
    <t>Viruses[3];Caudovirales[3];Siphoviridae[3];Inhavirus[3];Nonlabens virus P12024L[3];Nonlabens phage P12024S[2]</t>
  </si>
  <si>
    <t>Viruses;Caudovirales;Siphoviridae;Inhavirus;Nonlabens virus P12024L;Nonlabens phage P12024S</t>
  </si>
  <si>
    <t>17.04.P1-2.867-4.6</t>
  </si>
  <si>
    <t>Viruses[1];Caudovirales[1];Siphoviridae[1];Inhavirus[1];Nonlabens virus P12024L[1];Nonlabens phage P12024S[1]</t>
  </si>
  <si>
    <t>23.10.P4-5.242-14</t>
  </si>
  <si>
    <t>Viruses[2];Caudovirales[2];Siphoviridae[2];Inhavirus[2];Nonlabens virus P12024L[2];Nonlabens phage P12024S[2];unclassified Pseudoalteromonas[1];Pseudoalteromonas sp. TMED43[1]</t>
  </si>
  <si>
    <t>Viruses;Caudovirales;Siphoviridae;Inhavirus;Nonlabens virus P12024L;Nonlabens phage P12024S;unclassified Pseudoalteromonas;Pseudoalteromonas sp. TMED43</t>
  </si>
  <si>
    <t>Viruses[2];Caudovirales[2];Siphoviridae[2];Inhavirus[2];Nonlabens virus P12024L[2];Nonlabens phage P12024S[2]</t>
  </si>
  <si>
    <t>23.10.P2-3.261-21</t>
  </si>
  <si>
    <t>Viruses[2];Caudovirales[2];Siphoviridae[2];Inhavirus[2];Nonlabens virus P12024L[2];Pseudoalteromonas[2];unclassified Pseudoalteromonas[2];Pseudoalteromonas sp. TMED43[2]</t>
  </si>
  <si>
    <t>Viruses;Caudovirales;Siphoviridae;Inhavirus;Nonlabens virus P12024L;Pseudoalteromonas;unclassified Pseudoalteromonas;Pseudoalteromonas sp. TMED43</t>
  </si>
  <si>
    <t>11.09.P2-2.614-1.8</t>
  </si>
  <si>
    <t>Viruses[1];Caudovirales[1];Siphoviridae[1];Kryptosalinivirus[1];Salinibacter virus M8CRM1[1]</t>
  </si>
  <si>
    <t>Viruses;Caudovirales;Siphoviridae;Kryptosalinivirus;Salinibacter virus M8CRM1</t>
  </si>
  <si>
    <t>17.05.P3-2.985-12</t>
  </si>
  <si>
    <t>Viruses[2];Caudovirales[2];Siphoviridae[1];Lightbulbvirus[1];Cellulophaga virus Cba41[1];Cellulophaga phage phi18:1[1];Flavobacteriaceae[1];Tenacibaculum[1];unclassified Tenacibaculum[1];Tenacibaculum sp. MAR_2009_124[1]</t>
  </si>
  <si>
    <t>Viruses;Caudovirales;Siphoviridae;Lightbulbvirus;Cellulophaga virus Cba41;Cellulophaga phage phi18:1;Flavobacteriaceae;Tenacibaculum;unclassified Tenacibaculum;Tenacibaculum sp. MAR_2009_124</t>
  </si>
  <si>
    <t>Viruses[2];Caudovirales[2];Podoviridae[1];Helsingorvirus[1];Cellulophaga virus Cba181[1];Cellulophaga phage phi4:1[1]</t>
  </si>
  <si>
    <t>17.04.P4-3.569-7.7</t>
  </si>
  <si>
    <t>Viruses[1];Caudovirales[1];Siphoviridae[1];Nipunavirus[1];unclassified Nipunavirus[1];Pseudomonas phage JG012[1];unclassified Bdellovibrio[1];Bdellovibrio sp. CG_4_9_14_3_um_filter_39_7[1]</t>
  </si>
  <si>
    <t>Viruses;Caudovirales;Siphoviridae;Nipunavirus;unclassified Nipunavirus;Pseudomonas phage JG012;unclassified Bdellovibrio;Bdellovibrio sp. CG_4_9_14_3_um_filter_39_7</t>
  </si>
  <si>
    <t>Viruses[1];Caudovirales[1];Siphoviridae[1];Nipunavirus[1];unclassified Nipunavirus[1];Pseudomonas phage JG012[1]</t>
  </si>
  <si>
    <t>17.04.P2-3.406-1.6</t>
  </si>
  <si>
    <t>Viruses[2];Caudovirales[2];Siphoviridae[2];Nitrospirales[2];Nitrospiraceae[2];Nitrospira[2];unclassified Nitrospira[2];Nitrospira sp. SG-bin2[2]</t>
  </si>
  <si>
    <t>Viruses;Caudovirales;Siphoviridae;Nitrospirales;Nitrospiraceae;Nitrospira;unclassified Nitrospira;Nitrospira sp. SG-bin2</t>
  </si>
  <si>
    <t>Viruses[2];Caudovirales[2];Siphoviridae[2];unclassified Siphoviridae[1];Pseudomonas virus PaMx25[1];Pseudomonas phage PaMx25[1]</t>
  </si>
  <si>
    <t>11.09.P1-5.401-42</t>
  </si>
  <si>
    <t>Viruses[1];Caudovirales[1];Siphoviridae[1];Nonanavirus[1];unclassified Nonanavirus[1];Bradyrhizobium[1];unclassified Bradyrhizobium[1];Bradyrhizobium sp. NFR13[1]</t>
  </si>
  <si>
    <t>Viruses;Caudovirales;Siphoviridae;Nonanavirus;unclassified Nonanavirus;Bradyrhizobium;unclassified Bradyrhizobium;Bradyrhizobium sp. NFR13</t>
  </si>
  <si>
    <t>Viruses[1];Caudovirales[1];Siphoviridae[1];Nonanavirus[1];unclassified Nonanavirus[1];Salmonella phage vB_SenS_Sasha[1]</t>
  </si>
  <si>
    <t>11.09.P2-3.167-4.3</t>
  </si>
  <si>
    <t>Viruses[2];Caudovirales[2];Siphoviridae[1];Phicbkvirus[1];unclassified Autographivirinae[1];Caulobacter phage Ccr5[1]</t>
  </si>
  <si>
    <t>Viruses;Caudovirales;Siphoviridae;Phicbkvirus;unclassified Autographivirinae;Caulobacter phage Ccr5</t>
  </si>
  <si>
    <t>Viruses[2];Caudovirales[2];Podoviridae[1];Phicbkvirus[1];unclassified Phicbkvirus[1];Caulobacter phage Ccr5[1]</t>
  </si>
  <si>
    <t>17.04.P2-7.036-2.9</t>
  </si>
  <si>
    <t>Viruses[1];Caudovirales[1];Siphoviridae[1];Priunavirus[1];Providencia virus PR1[1];Sorangiineae[1];Labilitrichaceae[1];Labilithrix[1];Labilithrix luteola[1]</t>
  </si>
  <si>
    <t>Viruses;Caudovirales;Siphoviridae;Priunavirus;Providencia virus PR1;Sorangiineae;Labilitrichaceae;Labilithrix;Labilithrix luteola</t>
  </si>
  <si>
    <t>Viruses[1];Caudovirales[1];Siphoviridae[1];Priunavirus[1];Providencia virus PR1[1];Providencia phage vB_PreS_PR1[1]</t>
  </si>
  <si>
    <t>17.04.P4-2.440-1.7</t>
  </si>
  <si>
    <t>Viruses[1];Caudovirales[1];Siphoviridae[1];Rigallicvirus[1];Rhizobium virus P106B[1];Sinorhizobium/Ensifer group[1];Ensifer[1];Ensifer aridi[1]</t>
  </si>
  <si>
    <t>Viruses;Caudovirales;Siphoviridae;Rigallicvirus;Rhizobium virus P106B;Sinorhizobium/Ensifer group;Ensifer;Ensifer aridi</t>
  </si>
  <si>
    <t>Viruses[1];Caudovirales[1];Siphoviridae[1];Rigallicvirus[1];Rhizobium virus P106B[1];Rhizobium phage vB_RglS_P106B[1]</t>
  </si>
  <si>
    <t>11.09.P4-4.358-3.0</t>
  </si>
  <si>
    <t>Viruses[2];Caudovirales[2];Siphoviridae[1];Samistivirus[1];Streptomyces virus Mildred21[1];Streptomyces phage Mildred21[1];Phocoenobacter uteri[1]</t>
  </si>
  <si>
    <t>Viruses;Caudovirales;Siphoviridae;Samistivirus;Streptomyces virus Mildred21;Streptomyces phage Mildred21;Phocoenobacter uteri</t>
  </si>
  <si>
    <t>Viruses[2];Caudovirales[2];Podoviridae[1];Samistivirus[1];Celeribacter phage P12053L[1];Streptomyces phage Mildred21[1]</t>
  </si>
  <si>
    <t>11.09.P2-2.734-41</t>
  </si>
  <si>
    <t>Viruses[2];Caudovirales[2];Siphoviridae[2];Tequintavirus[2];Escherichia virus slur09[2];Escherichia phage slur09[2]</t>
  </si>
  <si>
    <t>Viruses;Caudovirales;Siphoviridae;Tequintavirus;Escherichia virus slur09;Escherichia phage slur09</t>
  </si>
  <si>
    <t>17.04.P4-2.868-15</t>
  </si>
  <si>
    <t>Viruses[1];Caudovirales[1];Siphoviridae[1];Tequintavirus[1];unclassified Tequintavirus[1];Salmonella phage LVR16A[1]</t>
  </si>
  <si>
    <t>Viruses;Caudovirales;Siphoviridae;Tequintavirus;unclassified Tequintavirus;Salmonella phage LVR16A</t>
  </si>
  <si>
    <t>11.09.P1-11.178-27</t>
  </si>
  <si>
    <t>Viruses[8];Caudovirales[8];Siphoviridae[6];Tequintavirus[4];unclassified Tequintavirus[2];Salmonella phage S124[2]</t>
  </si>
  <si>
    <t>Viruses;Caudovirales;Siphoviridae;Tequintavirus;unclassified Tequintavirus;Salmonella phage S124</t>
  </si>
  <si>
    <t>Viruses[8];Caudovirales[8];Siphoviridae[6];Tequintavirus[4];Vibrio virus Thalassa[2];Escherichia phage slur09[2]</t>
  </si>
  <si>
    <t>23.10.P2-3.508-52</t>
  </si>
  <si>
    <t>Viruses[2];Caudovirales[2];Siphoviridae[1];unclassified Ackermannviridae[1];Nonlabens virus P12024L[1];Nonlabens phage P12024L[1];Acinetobacter calcoaceticus/baumannii complex[1];Eudoraea[1];Eudoraea adriatica[1]</t>
  </si>
  <si>
    <t>Viruses;Caudovirales;Siphoviridae;unclassified Ackermannviridae;Nonlabens virus P12024L;Nonlabens phage P12024L;Acinetobacter calcoaceticus/baumannii complex;Eudoraea;Eudoraea adriatica</t>
  </si>
  <si>
    <t>Viruses[2];Caudovirales[2];Siphoviridae[1];Inhavirus[1];Nonlabens virus P12024L[1];Nonlabens phage P12024L[1]</t>
  </si>
  <si>
    <t>17.04.P2-6.147-2.1</t>
  </si>
  <si>
    <t>Viruses[2];Caudovirales[2];Siphoviridae[1];unclassified Myoviridae[1];unclassified Skunavirus[1];Lactococcus phage phi93[1];Thiovulum[1];unclassified Thiovulum[1];Thiovulum sp. ES[1]</t>
  </si>
  <si>
    <t>Viruses;Caudovirales;Siphoviridae;unclassified Myoviridae;unclassified Skunavirus;Lactococcus phage phi93;Thiovulum;unclassified Thiovulum;Thiovulum sp. ES</t>
  </si>
  <si>
    <t>Viruses[2];Caudovirales[2];Siphoviridae[1];Skunavirus[1];Vibrio phage 1.031.O._10N.261.46.F8[1];Lactococcus phage phi93[1]</t>
  </si>
  <si>
    <t>17.04.P4-6.271-7.2</t>
  </si>
  <si>
    <t>Viruses[2];Caudovirales[2];Siphoviridae[1];unclassified Podoviridae[1];Polaribacter virus P12002S[1];Polaribacter phage P12002S[1];Flavobacteriaceae[1];Elizabethkingia[1];Elizabethkingia meningoseptica[1]</t>
  </si>
  <si>
    <t>Viruses;Caudovirales;Siphoviridae;unclassified Podoviridae;Polaribacter virus P12002S;Polaribacter phage P12002S;Flavobacteriaceae;Elizabethkingia;Elizabethkingia meningoseptica</t>
  </si>
  <si>
    <t>Viruses[2];Caudovirales[2];Siphoviridae[1];unclassified Podoviridae[1];Polaribacter virus P12002S[1];Polaribacter phage P12002S[1]</t>
  </si>
  <si>
    <t>11.09.P2-2.722-2.2</t>
  </si>
  <si>
    <t>Viruses[1];Caudovirales[1];Siphoviridae[1];unclassified Siphoviridae[1];Alcaligenaceae[1];Achromobacter[1];Achromobacter spanius[1]</t>
  </si>
  <si>
    <t>Viruses;Caudovirales;Siphoviridae;unclassified Siphoviridae;Alcaligenaceae;Achromobacter;Achromobacter spanius</t>
  </si>
  <si>
    <t>Viruses[1];Caudovirales[1];Siphoviridae[1];unclassified Siphoviridae[1];Streptomyces phage LukeCage[1]</t>
  </si>
  <si>
    <t>17.04.P4-2.410-43</t>
  </si>
  <si>
    <t>Viruses[1];Caudovirales[1];Siphoviridae[1];unclassified Siphoviridae[1];Bacillales[1];Paenibacillaceae[1];Paenibacillus[1];unclassified Paenibacillus[1];Paenibacillus sp. FSL P4-0081[1]</t>
  </si>
  <si>
    <t>Viruses;Caudovirales;Siphoviridae;unclassified Siphoviridae;Bacillales;Paenibacillaceae;Paenibacillus;unclassified Paenibacillus;Paenibacillus sp. FSL P4-0081</t>
  </si>
  <si>
    <t>Viruses[1];Caudovirales[1];Siphoviridae[1];unclassified Siphoviridae[1];Synechococcus phage S-CBS2[1]</t>
  </si>
  <si>
    <t>17.04.P4-8.152-13</t>
  </si>
  <si>
    <t>Viruses[1];Caudovirales[1];Siphoviridae[1];unclassified Siphoviridae[1];Bacillus phage Basilisk[1];Gemmataceae[1];Gemmata[1];unclassified Gemmata[1];Gemmata sp. SH-PL17[1]</t>
  </si>
  <si>
    <t>Viruses;Caudovirales;Siphoviridae;unclassified Siphoviridae;Bacillus phage Basilisk;Gemmataceae;Gemmata;unclassified Gemmata;Gemmata sp. SH-PL17</t>
  </si>
  <si>
    <t>Viruses[1];Caudovirales[1];Siphoviridae[1];unclassified Siphoviridae[1];Bacillus phage Basilisk[1]</t>
  </si>
  <si>
    <t>17.04.P4-3.549-8.7</t>
  </si>
  <si>
    <t>Viruses[1];Caudovirales[1];Siphoviridae[1];unclassified Siphoviridae[1];Bacillus phage PBC4[1]</t>
  </si>
  <si>
    <t>Viruses;Caudovirales;Siphoviridae;unclassified Siphoviridae;Bacillus phage PBC4</t>
  </si>
  <si>
    <t>17.04.P2-3.105-1.2</t>
  </si>
  <si>
    <t>Viruses[1];Caudovirales[1];Siphoviridae[1];unclassified Siphoviridae[1];Bacillus phage vB_BhaS-171[1]</t>
  </si>
  <si>
    <t>Viruses;Caudovirales;Siphoviridae;unclassified Siphoviridae;Bacillus phage vB_BhaS-171</t>
  </si>
  <si>
    <t>05.07.P3-2.645-33</t>
  </si>
  <si>
    <t>Viruses[1];Caudovirales[1];Siphoviridae[1];unclassified Siphoviridae[1];Caulobacter phage Seuss[1]</t>
  </si>
  <si>
    <t>Viruses;Caudovirales;Siphoviridae;unclassified Siphoviridae;Caulobacter phage Seuss</t>
  </si>
  <si>
    <t>17.04.P2-3.800-2.4</t>
  </si>
  <si>
    <t>Viruses[3];Caudovirales[3];Siphoviridae[3];unclassified Siphoviridae[3];Cellulophaga phage phi10:1[3]</t>
  </si>
  <si>
    <t>Viruses;Caudovirales;Siphoviridae;unclassified Siphoviridae;Cellulophaga phage phi10:1</t>
  </si>
  <si>
    <t>17.04.P1-8.590-44</t>
  </si>
  <si>
    <t>Viruses[1];Caudovirales[1];Siphoviridae[1];unclassified Siphoviridae[1];Cellulophaga phage phi10:1[1]</t>
  </si>
  <si>
    <t>17.04.P4-2.916-6.3</t>
  </si>
  <si>
    <t>17.04.P4-3.372-10</t>
  </si>
  <si>
    <t>Viruses[3];Caudovirales[3];Siphoviridae[3];unclassified Siphoviridae[3];Cellulophaga phage phi10:1[3];Cytophagales[1];Hymenobacteraceae[1];Pontibacter[1];Pontibacter mucosus[1]</t>
  </si>
  <si>
    <t>Viruses;Caudovirales;Siphoviridae;unclassified Siphoviridae;Cellulophaga phage phi10:1;Cytophagales;Hymenobacteraceae;Pontibacter;Pontibacter mucosus</t>
  </si>
  <si>
    <t>17.04.P1-4.815-20</t>
  </si>
  <si>
    <t>Viruses[3];Caudovirales[3];Siphoviridae[3];unclassified Siphoviridae[3];Cellulophaga phage phi10:1[2];Deinococcaceae[1];Deinococcus[1];Elizabethkingia[1];Elizabethkingia anophelis[1]</t>
  </si>
  <si>
    <t>Viruses;Caudovirales;Siphoviridae;unclassified Siphoviridae;Cellulophaga phage phi10:1;Deinococcaceae;Deinococcus;Elizabethkingia;Elizabethkingia anophelis</t>
  </si>
  <si>
    <t>Viruses[3];Caudovirales[3];Siphoviridae[3];unclassified Siphoviridae[3];Cellulophaga phage phi10:1[2]</t>
  </si>
  <si>
    <t>17.04.P1-2.667-2.7</t>
  </si>
  <si>
    <t>Viruses[2];Caudovirales[2];Siphoviridae[2];unclassified Siphoviridae[2];Cellulophaga phage phi10:1[2];Flavobacteriales[1];Flavobacteriaceae[1];Maribacter[1];unclassified Maribacter[1];Maribacter sp. 4U21[1]</t>
  </si>
  <si>
    <t>Viruses;Caudovirales;Siphoviridae;unclassified Siphoviridae;Cellulophaga phage phi10:1;Flavobacteriales;Flavobacteriaceae;Maribacter;unclassified Maribacter;Maribacter sp. 4U21</t>
  </si>
  <si>
    <t>Viruses[2];Caudovirales[2];Siphoviridae[2];unclassified Siphoviridae[2];Cellulophaga phage phi10:1[2]</t>
  </si>
  <si>
    <t>17.04.P2-2.848-1.6</t>
  </si>
  <si>
    <t>Viruses[1];Caudovirales[1];Siphoviridae[1];unclassified Siphoviridae[1];Cellulophaga phage phi19:1[1];Tolypothrichaceae[1];Hassallia[1];Hassallia byssoidea[1];Hassallia byssoidea VB512170[1]</t>
  </si>
  <si>
    <t>Viruses;Caudovirales;Siphoviridae;unclassified Siphoviridae;Cellulophaga phage phi19:1;Tolypothrichaceae;Hassallia;Hassallia byssoidea;Hassallia byssoidea VB512170</t>
  </si>
  <si>
    <t>Viruses[1];Caudovirales[1];Siphoviridae[1];unclassified Siphoviridae[1];Cellulophaga phage phi19:1[1]</t>
  </si>
  <si>
    <t>17.04.P4-14.084-18</t>
  </si>
  <si>
    <t>Viruses[6];Caudovirales[6];Siphoviridae[5];unclassified Siphoviridae[2];Cellulophaga virus Cba121[1];Listeria phage LP-026[1];Rhodococcus[1];Dehalococcoides mccartyi[1];Aphanizomenon flos-aquae WA102[1];Tenacibaculum sp. MAR_2009_124[1]</t>
  </si>
  <si>
    <t>Viruses;Caudovirales;Siphoviridae;unclassified Siphoviridae;Cellulophaga virus Cba121;Listeria phage LP-026;Rhodococcus;Dehalococcoides mccartyi;Aphanizomenon flos-aquae WA102;Tenacibaculum sp. MAR_2009_124</t>
  </si>
  <si>
    <t>Viruses[6];Caudovirales[6];Siphoviridae[5];unclassified Siphoviridae[2];Cellulophaga phage phi10:1[1];Listeria phage LP-026[1]</t>
  </si>
  <si>
    <t>23.10.P4-4.134-1.9</t>
  </si>
  <si>
    <t>Viruses[3];Caudovirales[3];Siphoviridae[3];unclassified Siphoviridae[3];Croceibacter phage P2559S[3]</t>
  </si>
  <si>
    <t>Viruses;Caudovirales;Siphoviridae;unclassified Siphoviridae;Croceibacter phage P2559S</t>
  </si>
  <si>
    <t>17.04.P2-5.231-2.5</t>
  </si>
  <si>
    <t>Viruses[5];Caudovirales[5];Siphoviridae[5];unclassified Siphoviridae[5];Croceibacter phage P2559S[4];Bacteroidales[1];Bacteroidaceae[1];Bacteroides[1];Bacteroides cellulosilyticus[1]</t>
  </si>
  <si>
    <t>Viruses;Caudovirales;Siphoviridae;unclassified Siphoviridae;Croceibacter phage P2559S;Bacteroidales;Bacteroidaceae;Bacteroides;Bacteroides cellulosilyticus</t>
  </si>
  <si>
    <t>Viruses[5];Caudovirales[5];Siphoviridae[5];unclassified Siphoviridae[5];Croceibacter phage P2559S[4]</t>
  </si>
  <si>
    <t>05.07.P4-3.709-29</t>
  </si>
  <si>
    <t>Viruses[1];Caudovirales[1];Siphoviridae[1];unclassified Siphoviridae[1];Croceibacter phage P2559Y[1]</t>
  </si>
  <si>
    <t>Viruses;Caudovirales;Siphoviridae;unclassified Siphoviridae;Croceibacter phage P2559Y</t>
  </si>
  <si>
    <t>17.04.P4-2.463-19</t>
  </si>
  <si>
    <t>23.10.P4-5.212-4.0</t>
  </si>
  <si>
    <t>Viruses[3];Caudovirales[3];Siphoviridae[3];unclassified Siphoviridae[3];Croceibacter phage P2559Y[3];Clostridiaceae[1];Caloranaerobacter[1];Mariniradius[1];Mariniradius saccharolyticus[1]</t>
  </si>
  <si>
    <t>Viruses;Caudovirales;Siphoviridae;unclassified Siphoviridae;Croceibacter phage P2559Y;Clostridiaceae;Caloranaerobacter;Mariniradius;Mariniradius saccharolyticus</t>
  </si>
  <si>
    <t>Viruses[3];Caudovirales[3];Siphoviridae[3];unclassified Siphoviridae[3];Croceibacter phage P2559Y[3]</t>
  </si>
  <si>
    <t>23.10.P4-3.637-42</t>
  </si>
  <si>
    <t>Viruses[1];Caudovirales[1];Siphoviridae[1];unclassified Siphoviridae[1];Cyanophage PSS2[1]</t>
  </si>
  <si>
    <t>Viruses;Caudovirales;Siphoviridae;unclassified Siphoviridae;Cyanophage PSS2</t>
  </si>
  <si>
    <t>17.04.P1-3.825-18</t>
  </si>
  <si>
    <t>Viruses[2];Caudovirales[2];Siphoviridae[2];unclassified Siphoviridae[2];Cylindrospermopsis raciborskii virus RM-2018a[1]</t>
  </si>
  <si>
    <t>Viruses;Caudovirales;Siphoviridae;unclassified Siphoviridae;Cylindrospermopsis raciborskii virus RM-2018a</t>
  </si>
  <si>
    <t>Viruses[2];Caudovirales[2];Siphoviridae[2];unclassified Siphoviridae[2];Cellulophaga phage phi10:1[1]</t>
  </si>
  <si>
    <t>11.09.P2-3.104-1.5</t>
  </si>
  <si>
    <t>Viruses[2];Caudovirales[2];Siphoviridae[2];unclassified Siphoviridae[2];EBPR siphovirus 1[2]</t>
  </si>
  <si>
    <t>Viruses;Caudovirales;Siphoviridae;unclassified Siphoviridae;EBPR siphovirus 1</t>
  </si>
  <si>
    <t>11.09.P2-3.100-2.8</t>
  </si>
  <si>
    <t>Viruses[1];Caudovirales[1];Siphoviridae[1];unclassified Siphoviridae[1];EBPR siphovirus 1[1];Escherichia[1];Escherichia coli[1]</t>
  </si>
  <si>
    <t>Viruses;Caudovirales;Siphoviridae;unclassified Siphoviridae;EBPR siphovirus 1;Escherichia;Escherichia coli</t>
  </si>
  <si>
    <t>Viruses[1];Caudovirales[1];Siphoviridae[1];unclassified Siphoviridae[1];EBPR siphovirus 1[1]</t>
  </si>
  <si>
    <t>05.07.P4-2.711-1.6</t>
  </si>
  <si>
    <t>Viruses[1];Caudovirales[1];Siphoviridae[1];unclassified Siphoviridae[1];EBPR siphovirus 2[1];Ruegeria[1];unclassified Ruegeria[1];Ruegeria sp. TM1040[1]</t>
  </si>
  <si>
    <t>Viruses;Caudovirales;Siphoviridae;unclassified Siphoviridae;EBPR siphovirus 2;Ruegeria;unclassified Ruegeria;Ruegeria sp. TM1040</t>
  </si>
  <si>
    <t>Viruses[1];Caudovirales[1];Siphoviridae[1];unclassified Siphoviridae[1];EBPR siphovirus 2[1]</t>
  </si>
  <si>
    <t>17.04.P3-4.908-2.9</t>
  </si>
  <si>
    <t>Viruses[1];Caudovirales[1];Siphoviridae[1];unclassified Siphoviridae[1];Enterobacteriaceae[1];Escherichia[1];Escherichia coli[1]</t>
  </si>
  <si>
    <t>Viruses;Caudovirales;Siphoviridae;unclassified Siphoviridae;Enterobacteriaceae;Escherichia;Escherichia coli</t>
  </si>
  <si>
    <t>Viruses[1];Caudovirales[1];Siphoviridae[1];unclassified Siphoviridae[1];Vibrio phage pYD21-A[1]</t>
  </si>
  <si>
    <t>17.04.P3-3.226-3.9</t>
  </si>
  <si>
    <t>Viruses[1];Caudovirales[1];Siphoviridae[1];unclassified Siphoviridae[1];Erythrobacter phage vB_EliS_R6L[1];Brucella[1];Brucella abortus[1];Brucella abortus LMN1[1]</t>
  </si>
  <si>
    <t>Viruses;Caudovirales;Siphoviridae;unclassified Siphoviridae;Erythrobacter phage vB_EliS_R6L;Brucella;Brucella abortus;Brucella abortus LMN1</t>
  </si>
  <si>
    <t>Viruses[1];Caudovirales[1];Siphoviridae[1];unclassified Siphoviridae[1];Erythrobacter phage vB_EliS_R6L[1]</t>
  </si>
  <si>
    <t>05.07.P4-4.496-42</t>
  </si>
  <si>
    <t>Viruses[2];Caudovirales[2];Siphoviridae[2];unclassified Siphoviridae[2];Flavobacteriia[2];Flavobacteriales[2];Flavobacteriaceae[2];Myroides[2];Myroides odoratus[2]</t>
  </si>
  <si>
    <t>Viruses;Caudovirales;Siphoviridae;unclassified Siphoviridae;Flavobacteriia;Flavobacteriales;Flavobacteriaceae;Myroides;Myroides odoratus</t>
  </si>
  <si>
    <t>Viruses[2];Caudovirales[2];Siphoviridae[2];unclassified Siphoviridae[2];Cellulophaga phage phi39:1[2]</t>
  </si>
  <si>
    <t>17.04.P1-3.231-6.8</t>
  </si>
  <si>
    <t>Viruses[2];Caudovirales[2];Siphoviridae[2];unclassified Siphoviridae[2];Flavobacteriia[1];Tolypothrichaceae[1];Flavobacteriaceae[1];Winogradskyella[1];Winogradskyella thalassocola[1]</t>
  </si>
  <si>
    <t>Viruses;Caudovirales;Siphoviridae;unclassified Siphoviridae;Flavobacteriia;Tolypothrichaceae;Flavobacteriaceae;Winogradskyella;Winogradskyella thalassocola</t>
  </si>
  <si>
    <t>Viruses[2];Caudovirales[2];Siphoviridae[2];unclassified Siphoviridae[2];Vibrio phage 1.233.A._10N.261.51.E6[1]</t>
  </si>
  <si>
    <t>11.09.P1-10.075-33</t>
  </si>
  <si>
    <t>Viruses[8];Caudovirales[8];Siphoviridae[8];unclassified Siphoviridae[4];Kagunavirus[2];Salmonella virus wksl3[2];Cupriavidus taiwanensis[2]</t>
  </si>
  <si>
    <t>Viruses;Caudovirales;Siphoviridae;unclassified Siphoviridae;Kagunavirus;Salmonella virus wksl3;Cupriavidus taiwanensis</t>
  </si>
  <si>
    <t>Viruses[8];Caudovirales[8];Siphoviridae[8];Guernseyvirinae[4];Vibrio phage 1.226.O._10N.261.48.E5[2];Salmonella virus wksl3[2];Salmonella phage wksl3[2]</t>
  </si>
  <si>
    <t>11.09.P1-3.988-8.6</t>
  </si>
  <si>
    <t>Viruses[1];Caudovirales[1];Siphoviridae[1];unclassified Siphoviridae[1];Methylococcaceae[1];Methylomicrobium[1];Methylomicrobium agile[1]</t>
  </si>
  <si>
    <t>Viruses;Caudovirales;Siphoviridae;unclassified Siphoviridae;Methylococcaceae;Methylomicrobium;Methylomicrobium agile</t>
  </si>
  <si>
    <t>Viruses[1];Caudovirales[1];Siphoviridae[1];unclassified Siphoviridae[1];Rhizobium phage 16-3[1]</t>
  </si>
  <si>
    <t>17.04.P4-2.635-5.4</t>
  </si>
  <si>
    <t>Viruses[1];Caudovirales[1];Siphoviridae[1];unclassified Siphoviridae[1];Methylophilaceae phage P19250A[1];Campylobacteraceae[1];Arcobacter group[1];unclassified Arcobacter group[1];Arcobacter sp. LPB0137[1]</t>
  </si>
  <si>
    <t>Viruses;Caudovirales;Siphoviridae;unclassified Siphoviridae;Methylophilaceae phage P19250A;Campylobacteraceae;Arcobacter group;unclassified Arcobacter group;Arcobacter sp. LPB0137</t>
  </si>
  <si>
    <t>Viruses[1];Caudovirales[1];Siphoviridae[1];unclassified Siphoviridae[1];Methylophilaceae phage P19250A[1]</t>
  </si>
  <si>
    <t>17.04.P2-3.593-3.2</t>
  </si>
  <si>
    <t>Viruses[2];Caudovirales[2];Siphoviridae[2];unclassified Siphoviridae[2];Moraxellaceae[1];Acinetobacter[1];unclassified Acinetobacter[1];Acinetobacter sp. MB5[1]</t>
  </si>
  <si>
    <t>Viruses;Caudovirales;Siphoviridae;unclassified Siphoviridae;Moraxellaceae;Acinetobacter;unclassified Acinetobacter;Acinetobacter sp. MB5</t>
  </si>
  <si>
    <t>Viruses[2];Caudovirales[2];Siphoviridae[2];unclassified Siphoviridae[2];Cellulophaga phage phi19:1[1]</t>
  </si>
  <si>
    <t>17.04.P4-2.637-13</t>
  </si>
  <si>
    <t>Viruses[1];Caudovirales[1];Siphoviridae[1];unclassified Siphoviridae[1];Moraxellaceae[1];Moraxella[1];Moraxella macacae[1]</t>
  </si>
  <si>
    <t>Viruses;Caudovirales;Siphoviridae;unclassified Siphoviridae;Moraxellaceae;Moraxella;Moraxella macacae</t>
  </si>
  <si>
    <t>Viruses[1];Caudovirales[1];Siphoviridae[1];unclassified Siphoviridae[1];Idiomarinaceae phage Phi1M2-2[1]</t>
  </si>
  <si>
    <t>17.04.P2-3.153-2.4</t>
  </si>
  <si>
    <t>Viruses[1];Caudovirales[1];Siphoviridae[1];unclassified Siphoviridae[1];Plesiomonas phage phiP4-7[1];Sinorhizobium/Ensifer group[1];Sinorhizobium[1];Sinorhizobium meliloti[1]</t>
  </si>
  <si>
    <t>Viruses;Caudovirales;Siphoviridae;unclassified Siphoviridae;Plesiomonas phage phiP4-7;Sinorhizobium/Ensifer group;Sinorhizobium;Sinorhizobium meliloti</t>
  </si>
  <si>
    <t>Viruses[1];Caudovirales[1];Siphoviridae[1];unclassified Siphoviridae[1];Plesiomonas phage phiP4-7[1]</t>
  </si>
  <si>
    <t>11.09.P2-11.877-4.3</t>
  </si>
  <si>
    <t>Viruses[17];Caudovirales[17];Siphoviridae[17];unclassified Siphoviridae[17];Pontimonas phage phiPsal1[17]</t>
  </si>
  <si>
    <t>Viruses;Caudovirales;Siphoviridae;unclassified Siphoviridae;Pontimonas phage phiPsal1</t>
  </si>
  <si>
    <t>11.09.P1-4.481-7.6</t>
  </si>
  <si>
    <t>Viruses[5];Caudovirales[4];Siphoviridae[4];unclassified Siphoviridae[4];Pontimonas phage phiPsal1[4]</t>
  </si>
  <si>
    <t>11.09.P1-2.769-4.9</t>
  </si>
  <si>
    <t>Viruses[4];Caudovirales[4];Siphoviridae[4];unclassified Siphoviridae[4];Pontimonas phage phiPsal1[4]</t>
  </si>
  <si>
    <t>11.09.P2-3.527-3.0</t>
  </si>
  <si>
    <t>17.04.P4-2.780-18</t>
  </si>
  <si>
    <t>Viruses[3];Caudovirales[3];Siphoviridae[3];unclassified Siphoviridae[3];Pontimonas phage phiPsal1[3]</t>
  </si>
  <si>
    <t>11.09.P1-3.420-12</t>
  </si>
  <si>
    <t>Viruses[2];Caudovirales[2];Siphoviridae[2];unclassified Siphoviridae[2];Pontimonas phage phiPsal1[2]</t>
  </si>
  <si>
    <t>11.09.P2-2.920-47</t>
  </si>
  <si>
    <t>17.04.P4-3.310-2.7</t>
  </si>
  <si>
    <t>23.10.P4-2.583-7.9</t>
  </si>
  <si>
    <t>17.04.P4-3.287-2.4</t>
  </si>
  <si>
    <t>Viruses[2];Caudovirales[2];Siphoviridae[2];unclassified Siphoviridae[2];Pontimonas phage phiPsal1[2];Actinomycetaceae[1];Mobiluncus[1];Mobiluncus mulieris[1]</t>
  </si>
  <si>
    <t>Viruses;Caudovirales;Siphoviridae;unclassified Siphoviridae;Pontimonas phage phiPsal1;Actinomycetaceae;Mobiluncus;Mobiluncus mulieris</t>
  </si>
  <si>
    <t>11.09.P3-6.176-16</t>
  </si>
  <si>
    <t>Viruses[4];Caudovirales[4];Siphoviridae[3];unclassified Siphoviridae[3];Pontimonas phage phiPsal1[3];Aphanizomenonaceae[1];Streptomyces[1];unclassified Streptomyces[1];Aphanizomenon flos-aquae WA102[1]</t>
  </si>
  <si>
    <t>Viruses;Caudovirales;Siphoviridae;unclassified Siphoviridae;Pontimonas phage phiPsal1;Aphanizomenonaceae;Streptomyces;unclassified Streptomyces;Aphanizomenon flos-aquae WA102</t>
  </si>
  <si>
    <t>Viruses[4];Caudovirales[4];Siphoviridae[3];unclassified Siphoviridae[3];Pontimonas phage phiPsal1[3]</t>
  </si>
  <si>
    <t>17.04.P2-2.928-1.4</t>
  </si>
  <si>
    <t>Viruses[1];Caudovirales[1];Siphoviridae[1];unclassified Siphoviridae[1];Pontimonas phage phiPsal1[1];Halanaerobiaceae[1];Halanaerobium[1];Halanaerobium congolense[1]</t>
  </si>
  <si>
    <t>Viruses;Caudovirales;Siphoviridae;unclassified Siphoviridae;Pontimonas phage phiPsal1;Halanaerobiaceae;Halanaerobium;Halanaerobium congolense</t>
  </si>
  <si>
    <t>Viruses[1];Caudovirales[1];Siphoviridae[1];unclassified Siphoviridae[1];Pontimonas phage phiPsal1[1]</t>
  </si>
  <si>
    <t>11.09.P1-2.730-6.6</t>
  </si>
  <si>
    <t>Viruses[2];Caudovirales[2];Siphoviridae[2];unclassified Siphoviridae[2];Pontimonas phage phiPsal1[2];Legionella[1];Legionella pneumophila[1]</t>
  </si>
  <si>
    <t>Viruses;Caudovirales;Siphoviridae;unclassified Siphoviridae;Pontimonas phage phiPsal1;Legionella;Legionella pneumophila</t>
  </si>
  <si>
    <t>11.09.P4-19.981-12</t>
  </si>
  <si>
    <t>Viruses[10];Caudovirales[10];Siphoviridae[10];unclassified Siphoviridae[9];Pontimonas phage phiPsal1[9];Microbacteriaceae[4];Pontimonas[3];Pontimonas salivibrio[3];Mycobacteroides abscessus subsp. abscessus[1]</t>
  </si>
  <si>
    <t>Viruses;Caudovirales;Siphoviridae;unclassified Siphoviridae;Pontimonas phage phiPsal1;Microbacteriaceae;Pontimonas;Pontimonas salivibrio;Mycobacteroides abscessus subsp. abscessus</t>
  </si>
  <si>
    <t>Viruses[10];Caudovirales[10];Siphoviridae[10];unclassified Siphoviridae[9];Pontimonas phage phiPsal1[9];Gordonia phage ClubL[1]</t>
  </si>
  <si>
    <t>11.09.P3-15.399-15</t>
  </si>
  <si>
    <t>Viruses[8];Caudovirales[8];Siphoviridae[8];unclassified Siphoviridae[7];Pontimonas phage phiPsal1[7];Microbacteriaceae[1];Streptacidiphilus[1];unclassified Leifsonia[1];Leifsonia sp. Root227[1]</t>
  </si>
  <si>
    <t>Viruses;Caudovirales;Siphoviridae;unclassified Siphoviridae;Pontimonas phage phiPsal1;Microbacteriaceae;Streptacidiphilus;unclassified Leifsonia;Leifsonia sp. Root227</t>
  </si>
  <si>
    <t>Viruses[8];Caudovirales[8];Siphoviridae[8];unclassified Siphoviridae[7];Pontimonas phage phiPsal1[7];Gordonia phage ClubL[1]</t>
  </si>
  <si>
    <t>11.09.P1-6.485-22</t>
  </si>
  <si>
    <t>Viruses[5];Caudovirales[5];Siphoviridae[4];unclassified Siphoviridae[4];Pontimonas phage phiPsal1[4];Micromonosporaceae[1];Micromonospora[1];Micromonospora aurantiaca[1]</t>
  </si>
  <si>
    <t>Viruses;Caudovirales;Siphoviridae;unclassified Siphoviridae;Pontimonas phage phiPsal1;Micromonosporaceae;Micromonospora;Micromonospora aurantiaca</t>
  </si>
  <si>
    <t>Viruses[5];Caudovirales[5];Siphoviridae[4];unclassified Siphoviridae[4];Pontimonas phage phiPsal1[4]</t>
  </si>
  <si>
    <t>11.09.P2-11.181-6.4</t>
  </si>
  <si>
    <t>Viruses[9];Caudovirales[9];Siphoviridae[9];unclassified Siphoviridae[9];Pontimonas phage phiPsal1[9];Oleiphilus[1];unclassified Oleiphilus[1];Oleiphilus sp. HI0130[1]</t>
  </si>
  <si>
    <t>Viruses;Caudovirales;Siphoviridae;unclassified Siphoviridae;Pontimonas phage phiPsal1;Oleiphilus;unclassified Oleiphilus;Oleiphilus sp. HI0130</t>
  </si>
  <si>
    <t>Viruses[9];Caudovirales[9];Siphoviridae[9];unclassified Siphoviridae[9];Pontimonas phage phiPsal1[9]</t>
  </si>
  <si>
    <t>11.09.P4-15.966-7.3</t>
  </si>
  <si>
    <t>Viruses[14];Caudovirales[14];Siphoviridae[14];unclassified Siphoviridae[14];Pontimonas phage phiPsal1[14];Planctomycetaceae[1];Pirellula[1];unclassified Pirellula[1];Pirellula sp. SH-Sr6A[1]</t>
  </si>
  <si>
    <t>Viruses;Caudovirales;Siphoviridae;unclassified Siphoviridae;Pontimonas phage phiPsal1;Planctomycetaceae;Pirellula;unclassified Pirellula;Pirellula sp. SH-Sr6A</t>
  </si>
  <si>
    <t>Viruses[14];Caudovirales[14];Siphoviridae[14];unclassified Siphoviridae[14];Pontimonas phage phiPsal1[14]</t>
  </si>
  <si>
    <t>11.09.P1-3.089-2.8</t>
  </si>
  <si>
    <t>Viruses[4];Caudovirales[4];Siphoviridae[4];unclassified Siphoviridae[4];Pontimonas phage phiPsal1[4];Pseudonocardiaceae[1];Amycolatopsis[1];Amycolatopsis halophila[1]</t>
  </si>
  <si>
    <t>Viruses;Caudovirales;Siphoviridae;unclassified Siphoviridae;Pontimonas phage phiPsal1;Pseudonocardiaceae;Amycolatopsis;Amycolatopsis halophila</t>
  </si>
  <si>
    <t>11.09.P3-8.571-14</t>
  </si>
  <si>
    <t>Viruses[5];Caudovirales[5];Siphoviridae[5];unclassified Siphoviridae[5];Pontimonas phage phiPsal1[5];Selenomonadaceae[1];Nocardioides[1];unclassified Streptomyces[1];Streptomyces sp. HG99[1]</t>
  </si>
  <si>
    <t>Viruses;Caudovirales;Siphoviridae;unclassified Siphoviridae;Pontimonas phage phiPsal1;Selenomonadaceae;Nocardioides;unclassified Streptomyces;Streptomyces sp. HG99</t>
  </si>
  <si>
    <t>Viruses[5];Caudovirales[5];Siphoviridae[5];unclassified Siphoviridae[5];Pontimonas phage phiPsal1[5]</t>
  </si>
  <si>
    <t>11.09.P4-3.245-3.4</t>
  </si>
  <si>
    <t>Viruses[4];Caudovirales[4];Siphoviridae[4];unclassified Siphoviridae[3];Pontimonas phage phiPsal1[2];Streptomyces virus Caliburn[1];Streptomyces phage Caliburn[1]</t>
  </si>
  <si>
    <t>Viruses;Caudovirales;Siphoviridae;unclassified Siphoviridae;Pontimonas phage phiPsal1;Streptomyces virus Caliburn;Streptomyces phage Caliburn</t>
  </si>
  <si>
    <t>17.04.P1-4.160-7.8</t>
  </si>
  <si>
    <t>Viruses[4];Caudovirales[4];Siphoviridae[4];unclassified Siphoviridae[4];Pontimonas phage phiPsal1[4];Streptomycetaceae[1];Streptacidiphilus[1];Streptacidiphilus rugosus[1]</t>
  </si>
  <si>
    <t>Viruses;Caudovirales;Siphoviridae;unclassified Siphoviridae;Pontimonas phage phiPsal1;Streptomycetaceae;Streptacidiphilus;Streptacidiphilus rugosus</t>
  </si>
  <si>
    <t>11.09.P1-11.099-9.1</t>
  </si>
  <si>
    <t>Viruses[5];Caudovirales[5];Siphoviridae[5];unclassified Siphoviridae[5];Pontimonas phage phiPsal1[5];Streptomycetaceae[2];Streptomyces[2];Sphaerobacteraceae[1];Sphaerobacter[1];Sphaerobacter thermophilus[1]</t>
  </si>
  <si>
    <t>Viruses;Caudovirales;Siphoviridae;unclassified Siphoviridae;Pontimonas phage phiPsal1;Streptomycetaceae;Streptomyces;Sphaerobacteraceae;Sphaerobacter;Sphaerobacter thermophilus</t>
  </si>
  <si>
    <t>17.04.P4-4.233-4.3</t>
  </si>
  <si>
    <t>Viruses[2];Caudovirales[2];Siphoviridae[2];unclassified Siphoviridae[2];Pontimonas phage phiPsal1[2];Thermoactinomycetaceae[1];Thermoactinomyces[1];unclassified Thermoactinomyces[1];Thermoactinomyces sp. DSM 45892[1]</t>
  </si>
  <si>
    <t>Viruses;Caudovirales;Siphoviridae;unclassified Siphoviridae;Pontimonas phage phiPsal1;Thermoactinomycetaceae;Thermoactinomyces;unclassified Thermoactinomyces;Thermoactinomyces sp. DSM 45892</t>
  </si>
  <si>
    <t>11.09.P4-11.000-9.2</t>
  </si>
  <si>
    <t>Viruses[9];Caudovirales[9];Siphoviridae[8];unclassified Siphoviridae[7];Pontimonas phage phiPsal1[7];unclassified Arequatrovirus[1];Streptomyces[1];unclassified Streptomyces[1];Streptomyces sp. TSRI0281[1]</t>
  </si>
  <si>
    <t>Viruses;Caudovirales;Siphoviridae;unclassified Siphoviridae;Pontimonas phage phiPsal1;unclassified Arequatrovirus;Streptomyces;unclassified Streptomyces;Streptomyces sp. TSRI0281</t>
  </si>
  <si>
    <t>Viruses[9];Caudovirales[9];Siphoviridae[8];unclassified Siphoviridae[7];Pontimonas phage phiPsal1[7];unclassified Arequatrovirus[1];Streptomyces phage Diane[1]</t>
  </si>
  <si>
    <t>11.09.P2-4.929-22</t>
  </si>
  <si>
    <t>Viruses[1];Caudovirales[1];Siphoviridae[1];unclassified Siphoviridae[1];Pseudoalteromonas phage H103[1];Methylocaldum[1];Methylocaldum szegediense[1]</t>
  </si>
  <si>
    <t>Viruses;Caudovirales;Siphoviridae;unclassified Siphoviridae;Pseudoalteromonas phage H103;Methylocaldum;Methylocaldum szegediense</t>
  </si>
  <si>
    <t>Viruses[1];Caudovirales[1];Siphoviridae[1];unclassified Siphoviridae[1];Pseudoalteromonas phage H103[1]</t>
  </si>
  <si>
    <t>17.04.P3-2.979-6.0</t>
  </si>
  <si>
    <t>Viruses[2];Caudovirales[2];Siphoviridae[2];unclassified Siphoviridae[2];Pseudomonadaceae[1];Bacillaceae[1];Pseudomonas aeruginosa group[1];unclassified Bacillus[1];Bacillus sp. T33-2[1]</t>
  </si>
  <si>
    <t>Viruses;Caudovirales;Siphoviridae;unclassified Siphoviridae;Pseudomonadaceae;Bacillaceae;Pseudomonas aeruginosa group;unclassified Bacillus;Bacillus sp. T33-2</t>
  </si>
  <si>
    <t>Viruses[2];Caudovirales[2];Siphoviridae[2];unclassified Siphoviridae[2];Listonella phage phiHSIC[1]</t>
  </si>
  <si>
    <t>17.04.P4-3.680-3.6</t>
  </si>
  <si>
    <t>Viruses[2];Caudovirales[2];Siphoviridae[2];unclassified Siphoviridae[2];Pseudomonas phage KPP23[1]</t>
  </si>
  <si>
    <t>Viruses;Caudovirales;Siphoviridae;unclassified Siphoviridae;Pseudomonas phage KPP23</t>
  </si>
  <si>
    <t>Viruses[2];Caudovirales[2];Siphoviridae[2];unclassified Siphoviridae[2];Caulobacter phage CcrColossus[1]</t>
  </si>
  <si>
    <t>05.07.P4-2.500-57</t>
  </si>
  <si>
    <t>Viruses[1];Caudovirales[1];Siphoviridae[1];unclassified Siphoviridae[1];Pseudomonas phage KPP23[1];Micrococcaceae[1];Arthrobacter[1];unclassified Arthrobacter[1];Arthrobacter sp. ok909[1]</t>
  </si>
  <si>
    <t>Viruses;Caudovirales;Siphoviridae;unclassified Siphoviridae;Pseudomonas phage KPP23;Micrococcaceae;Arthrobacter;unclassified Arthrobacter;Arthrobacter sp. ok909</t>
  </si>
  <si>
    <t>Viruses[1];Caudovirales[1];Siphoviridae[1];unclassified Siphoviridae[1];Pseudomonas phage KPP23[1]</t>
  </si>
  <si>
    <t>11.09.P2-2.550-2.8</t>
  </si>
  <si>
    <t>Viruses[1];Caudovirales[1];Siphoviridae[1];unclassified Siphoviridae[1];Rhodospirillaceae[1];Azospirillum[1];Azospirillum palustre[1]</t>
  </si>
  <si>
    <t>Viruses;Caudovirales;Siphoviridae;unclassified Siphoviridae;Rhodospirillaceae;Azospirillum;Azospirillum palustre</t>
  </si>
  <si>
    <t>Viruses[1];Caudovirales[1];Siphoviridae[1];unclassified Siphoviridae[1];Freshwater phage uvFW-CGR-AMD-COM-C203[1]</t>
  </si>
  <si>
    <t>05.07.P3-3.942-8.7</t>
  </si>
  <si>
    <t>Viruses[3];Caudovirales[3];Siphoviridae[2];unclassified Siphoviridae[2];Roseobacter phage DSS3P8[2];Paenibacillaceae[1];Bradyrhizobium erythrophlei[1];Paenibacillus amylolyticus[1]</t>
  </si>
  <si>
    <t>Viruses;Caudovirales;Siphoviridae;unclassified Siphoviridae;Roseobacter phage DSS3P8;Paenibacillaceae;Bradyrhizobium erythrophlei;Paenibacillus amylolyticus</t>
  </si>
  <si>
    <t>Viruses[3];Caudovirales[3];Siphoviridae[2];unclassified Siphoviridae[2];Roseobacter phage DSS3P8[2]</t>
  </si>
  <si>
    <t>11.09.P1-7.169-42</t>
  </si>
  <si>
    <t>Viruses[1];Caudovirales[1];Siphoviridae[1];unclassified Siphoviridae[1];Salpingoecidae[1];Salpingoeca[1];Salpingoeca rosetta[1]</t>
  </si>
  <si>
    <t>Viruses;Caudovirales;Siphoviridae;unclassified Siphoviridae;Salpingoecidae;Salpingoeca;Salpingoeca rosetta</t>
  </si>
  <si>
    <t>Viruses[1];Caudovirales[1];Siphoviridae[1];unclassified Siphoviridae[1];Aphanizomenon phage vB_AphaS-CL131[1]</t>
  </si>
  <si>
    <t>17.04.P2-2.656-1.9</t>
  </si>
  <si>
    <t>Viruses[2];Caudovirales[2];Siphoviridae[2];unclassified Siphoviridae[2];Sinorhizobium phage HMSP1-Susan[1]</t>
  </si>
  <si>
    <t>Viruses;Caudovirales;Siphoviridae;unclassified Siphoviridae;Sinorhizobium phage HMSP1-Susan</t>
  </si>
  <si>
    <t>23.10.P4-4.534-11</t>
  </si>
  <si>
    <t>Viruses[1];Caudovirales[1];Siphoviridae[1];unclassified Siphoviridae[1];Sphingobacteriia[1];Sphingobacteriales[1];Sphingobacteriaceae[1];Pedobacter[1];Pedobacter nanyangensis[1]</t>
  </si>
  <si>
    <t>Viruses;Caudovirales;Siphoviridae;unclassified Siphoviridae;Sphingobacteriia;Sphingobacteriales;Sphingobacteriaceae;Pedobacter;Pedobacter nanyangensis</t>
  </si>
  <si>
    <t>Viruses[1];Caudovirales[1];Siphoviridae[1];unclassified Siphoviridae[1];Verrucomicrobia phage P8625[1]</t>
  </si>
  <si>
    <t>11.09.P3-7.645-41</t>
  </si>
  <si>
    <t>Viruses[2];Caudovirales[2];Siphoviridae[2];unclassified Siphoviridae[2];Streptococcus phage PH10[2]</t>
  </si>
  <si>
    <t>Viruses;Caudovirales;Siphoviridae;unclassified Siphoviridae;Streptococcus phage PH10</t>
  </si>
  <si>
    <t>17.04.P2-3.947-2.8</t>
  </si>
  <si>
    <t>Viruses[1];Caudovirales[1];Siphoviridae[1];unclassified Siphoviridae[1];Streptomyces phage Henoccus[1];Microbacteriaceae[1];Plantibacter[1];Plantibacter flavus[1]</t>
  </si>
  <si>
    <t>Viruses;Caudovirales;Siphoviridae;unclassified Siphoviridae;Streptomyces phage Henoccus;Microbacteriaceae;Plantibacter;Plantibacter flavus</t>
  </si>
  <si>
    <t>Viruses[1];Caudovirales[1];Siphoviridae[1];unclassified Siphoviridae[1];Streptomyces phage Henoccus[1]</t>
  </si>
  <si>
    <t>17.05.P4-3.590-5.6</t>
  </si>
  <si>
    <t>Viruses[3];Caudovirales[3];Siphoviridae[2];unclassified Siphoviridae[2];Streptosporangiales[1];Streptosporangiaceae[1];Alcaligenes faecalis[1];Planobispora rosea[1]</t>
  </si>
  <si>
    <t>Viruses;Caudovirales;Siphoviridae;unclassified Siphoviridae;Streptosporangiales;Streptosporangiaceae;Alcaligenes faecalis;Planobispora rosea</t>
  </si>
  <si>
    <t>Viruses[3];Caudovirales[3];Siphoviridae[2];unclassified Siphoviridae[2];Synechococcus phage S-CBS4[1]</t>
  </si>
  <si>
    <t>23.10.P4-3.470-19</t>
  </si>
  <si>
    <t>Viruses[1];Caudovirales[1];Siphoviridae[1];unclassified Siphoviridae[1];Synechococcus phage S-CBS2[1];Chitinophagales[1];Chitinophagaceae[1];Chitinophaga[1];Chitinophaga parva[1]</t>
  </si>
  <si>
    <t>Viruses;Caudovirales;Siphoviridae;unclassified Siphoviridae;Synechococcus phage S-CBS2;Chitinophagales;Chitinophagaceae;Chitinophaga;Chitinophaga parva</t>
  </si>
  <si>
    <t>23.10.P4-6.335-8.2</t>
  </si>
  <si>
    <t>Viruses[1];Caudovirales[1];Siphoviridae[1];unclassified Siphoviridae[1];Synechococcus phage S-CBS2[1];Selenomonadaceae[1];Selenomonas[1];Selenomonas ruminantium[1]</t>
  </si>
  <si>
    <t>Viruses;Caudovirales;Siphoviridae;unclassified Siphoviridae;Synechococcus phage S-CBS2;Selenomonadaceae;Selenomonas;Selenomonas ruminantium</t>
  </si>
  <si>
    <t>11.09.P1-3.608-24</t>
  </si>
  <si>
    <t>Viruses[2];Caudovirales[2];Siphoviridae[2];unclassified Siphoviridae[2];Synechococcus phage S-CBS4[2];Cytophagales[2];Cytophagaceae[2];Dyadobacter[2];Dyadobacter jiangsuensis[2]</t>
  </si>
  <si>
    <t>Viruses;Caudovirales;Siphoviridae;unclassified Siphoviridae;Synechococcus phage S-CBS4;Cytophagales;Cytophagaceae;Dyadobacter;Dyadobacter jiangsuensis</t>
  </si>
  <si>
    <t>Viruses[2];Caudovirales[2];Siphoviridae[2];unclassified Siphoviridae[2];Synechococcus phage S-CBS4[2]</t>
  </si>
  <si>
    <t>17.04.P1-4.181-49</t>
  </si>
  <si>
    <t>Viruses[1];Caudovirales[1];Siphoviridae[1];unclassified Siphoviridae[1];Tetraselmis viridis virus S20[1]</t>
  </si>
  <si>
    <t>Viruses;Caudovirales;Siphoviridae;unclassified Siphoviridae;Tetraselmis viridis virus S20</t>
  </si>
  <si>
    <t>11.09.P4-7.526-6.0</t>
  </si>
  <si>
    <t>Viruses[3];Caudovirales[3];Siphoviridae[2];unclassified Siphoviridae[2];unclassified Baltimorevirus[1];Dinoroseobacter phage DS-1410Ws-06[1];Desulfovirgula[1];Desulfovirgula thermocuniculi[1];Rhizobium sp. YR295[1]</t>
  </si>
  <si>
    <t>Viruses;Caudovirales;Siphoviridae;unclassified Siphoviridae;unclassified Baltimorevirus;Dinoroseobacter phage DS-1410Ws-06;Desulfovirgula;Desulfovirgula thermocuniculi;Rhizobium sp. YR295</t>
  </si>
  <si>
    <t>Viruses[3];Caudovirales[3];Siphoviridae[2];unclassified Siphoviridae[2];Vibrio phage 1.168.O._10N.261.52.A10[1];Dinoroseobacter phage DS-1410Ws-06[1]</t>
  </si>
  <si>
    <t>17.04.P2-7.077-4.4</t>
  </si>
  <si>
    <t>Viruses[3];Caudovirales[3];Siphoviridae[2];unclassified Siphoviridae[1];unclassified Samistivirus[1];Streptomyces phage Sushi23[1];Desulfovibrio[1];Desulfovibrio inopinatus[1]</t>
  </si>
  <si>
    <t>Viruses;Caudovirales;Siphoviridae;unclassified Siphoviridae;unclassified Samistivirus;Streptomyces phage Sushi23;Desulfovibrio;Desulfovibrio inopinatus</t>
  </si>
  <si>
    <t>Viruses[3];Caudovirales[3];Siphoviridae[2];unclassified Siphoviridae[1];unclassified Samistivirus[1];Streptomyces phage Sushi23[1]</t>
  </si>
  <si>
    <t>23.10.P4-3.838-2.5</t>
  </si>
  <si>
    <t>Viruses;Caudovirales;Siphoviridae;unclassified Siphoviridae;Verrucomicrobia phage P8625</t>
  </si>
  <si>
    <t>17.04.P2-5.946-2.8</t>
  </si>
  <si>
    <t>Viruses[1];Caudovirales[1];Siphoviridae[1];unclassified Siphoviridae[1];Verrucomicrobia phage P8625[1];Sphingobacteriales[1];Sphingobacteriaceae[1];Pedobacter[1];Pedobacter nanyangensis[1]</t>
  </si>
  <si>
    <t>Viruses;Caudovirales;Siphoviridae;unclassified Siphoviridae;Verrucomicrobia phage P8625;Sphingobacteriales;Sphingobacteriaceae;Pedobacter;Pedobacter nanyangensis</t>
  </si>
  <si>
    <t>17.04.P3-3.778-4.8</t>
  </si>
  <si>
    <t>Viruses[2];Caudovirales[2];Siphoviridae[1];unclassified Siphoviridae[1];Vibrio phage 1.104.O._10N.286.49.A12[1]</t>
  </si>
  <si>
    <t>Viruses;Caudovirales;Siphoviridae;unclassified Siphoviridae;Vibrio phage 1.104.O._10N.286.49.A12</t>
  </si>
  <si>
    <t>Viruses[2];Caudovirales[2];Myoviridae[1];unclassified Siphoviridae[1];Shewanella phage SppYZU01[1]</t>
  </si>
  <si>
    <t>11.09.P4-3.547-1.7</t>
  </si>
  <si>
    <t>Viruses[1];Caudovirales[1];Siphoviridae[1];unclassified Siphoviridae[1];Vibrio phage 1.214.O._10N.222.54.F11[1]</t>
  </si>
  <si>
    <t>Viruses;Caudovirales;Siphoviridae;unclassified Siphoviridae;Vibrio phage 1.214.O._10N.222.54.F11</t>
  </si>
  <si>
    <t>17.05.P3-3.557-54</t>
  </si>
  <si>
    <t>Viruses[2];Caudovirales[2];Siphoviridae[2];unclassified Siphoviridae[2];Vibrio phage 1.240.O._10N.261.52.F8[2]</t>
  </si>
  <si>
    <t>Viruses;Caudovirales;Siphoviridae;unclassified Siphoviridae;Vibrio phage 1.240.O._10N.261.52.F8</t>
  </si>
  <si>
    <t>23.10.P4-3.868-2.1</t>
  </si>
  <si>
    <t>Viruses[1];Caudovirales[1];Siphoviridae[1];unclassified Siphoviridae[1];Vibrio phage pYD21-A[1];Oxalobacter[1];Oxalobacter formigenes[1]</t>
  </si>
  <si>
    <t>Viruses;Caudovirales;Siphoviridae;unclassified Siphoviridae;Vibrio phage pYD21-A;Oxalobacter;Oxalobacter formigenes</t>
  </si>
  <si>
    <t>17.04.P2-2.472-3.9</t>
  </si>
  <si>
    <t>Viruses[1];Caudovirales[1];Siphoviridae[1];unclassified Siphoviridae[1];Virus Rctr16k[1];Sphaerobacterales[1];Sphaerobacterineae[1];Sphaerobacteraceae[1];Sphaerobacter[1];Sphaerobacter thermophilus[1]</t>
  </si>
  <si>
    <t>Viruses;Caudovirales;Siphoviridae;unclassified Siphoviridae;Virus Rctr16k;Sphaerobacterales;Sphaerobacterineae;Sphaerobacteraceae;Sphaerobacter;Sphaerobacter thermophilus</t>
  </si>
  <si>
    <t>Viruses[1];Caudovirales[1];Siphoviridae[1];unclassified Siphoviridae[1];Virus Rctr16k[1]</t>
  </si>
  <si>
    <t>17.05.P4-3.682-3.2</t>
  </si>
  <si>
    <t>Viruses[1];Caudovirales[1];Siphoviridae[1];unclassified Siphoviridae[1];Virus Rctr41k[1]</t>
  </si>
  <si>
    <t>Viruses;Caudovirales;Siphoviridae;unclassified Siphoviridae;Virus Rctr41k</t>
  </si>
  <si>
    <t>17.04.P4-4.726-6.7</t>
  </si>
  <si>
    <t>17.04.P4-7.664-7.9</t>
  </si>
  <si>
    <t>17.04.P4-8.025-50</t>
  </si>
  <si>
    <t>Viruses[1];Caudovirales[1];Siphoviridae[1];unclassified Siphoviridae[1];Virus Rctr41k[1];Bacteroidales[1];Geoglobus acetivorans[1];Bacteroides[1];Bacteroides pyogenes[1]</t>
  </si>
  <si>
    <t>Viruses;Caudovirales;Siphoviridae;unclassified Siphoviridae;Virus Rctr41k;Bacteroidales;Geoglobus acetivorans;Bacteroides;Bacteroides pyogenes</t>
  </si>
  <si>
    <t>17.04.P4-4.094-11</t>
  </si>
  <si>
    <t>Viruses[3];Caudovirales[3];Siphoviridae[3];Yuavirus[2];Alphaproteobacteria virus phiJl001[2];Pseudomonas phage JG012[1]</t>
  </si>
  <si>
    <t>Viruses;Caudovirales;Siphoviridae;Yuavirus;Alphaproteobacteria virus phiJl001;Pseudomonas phage JG012</t>
  </si>
  <si>
    <t>11.09.P3-2.410-1.3</t>
  </si>
  <si>
    <t>Viruses[1];Caudovirales[1];Siphoviridae[1];Yuavirus[1];Pseudomonas virus M6[1]</t>
  </si>
  <si>
    <t>Viruses;Caudovirales;Siphoviridae;Yuavirus;Pseudomonas virus M6</t>
  </si>
  <si>
    <t>17.04.P2-5.657-2.3</t>
  </si>
  <si>
    <t>Viruses[4];Caudovirales[4];Siphoviridae[4];Yuavirus[1];Pseudomonas virus PaMx11[1];Microvirga[1];Microvirga vignae[1];Burkholderia ubonensis[1]</t>
  </si>
  <si>
    <t>Viruses;Caudovirales;Siphoviridae;Yuavirus;Pseudomonas virus PaMx11;Microvirga;Microvirga vignae;Burkholderia ubonensis</t>
  </si>
  <si>
    <t>Viruses[4];Caudovirales[4];Siphoviridae[4];Nanhaivirus[1];Pseudomonas virus LKO4[1];Pseudomonas phage LKO4[1]</t>
  </si>
  <si>
    <t>17.04.P4-3.065-13</t>
  </si>
  <si>
    <t>Viruses[1];Caudovirales[1];Siphoviridae[1];Yuavirus[1];Pseudomonas virus Yua[1]</t>
  </si>
  <si>
    <t>Viruses;Caudovirales;Siphoviridae;Yuavirus;Pseudomonas virus Yua</t>
  </si>
  <si>
    <t>17.04.P4-5.553-5.3</t>
  </si>
  <si>
    <t>Viruses[3];Caudovirales[3];Siphoviridae[3];Yuavirus[2];unclassified Pamexvirus[1];Xanthomonas phage Xoo-sp2[1];Lutibaculum baratangense[1]</t>
  </si>
  <si>
    <t>Viruses;Caudovirales;Siphoviridae;Yuavirus;unclassified Pamexvirus;Xanthomonas phage Xoo-sp2;Lutibaculum baratangense</t>
  </si>
  <si>
    <t>Viruses[3];Caudovirales[3];Siphoviridae[3];Yuavirus[2];unclassified Yuavirus[1];Bordetella phage FP1[1]</t>
  </si>
  <si>
    <t>17.04.P2-18.200-4.3</t>
  </si>
  <si>
    <t>Viruses[3];Caudovirales[2];unclassified bacterial viruses[1];unclassified Myoviridae[1];Okubovirus[1];unclassified Okubovirus[1];Bacillus virus vB_BsuM-Goe2[1];Bacillus phage vB_BsuM-Goe2[1];Akkermansia sp. 54_46[1]</t>
  </si>
  <si>
    <t>Viruses;Caudovirales;unclassified bacterial viruses;unclassified Myoviridae;Okubovirus;unclassified Okubovirus;Bacillus virus vB_BsuM-Goe2;Bacillus phage vB_BsuM-Goe2;Akkermansia sp. 54_46</t>
  </si>
  <si>
    <t>Viruses[3];Caudovirales[2];unclassified bacterial viruses[1];unclassified Myoviridae[1];Vibrio phage 2.275.O._10N.286.54.E11[1];unclassified Okubovirus[1];Bacillus virus vB_BsuM-Goe2[1];Bacillus phage vB_BsuM-Goe2[1]</t>
  </si>
  <si>
    <t>23.10.P4-7.383-36</t>
  </si>
  <si>
    <t>Viruses[1];Caudovirales[1];unclassified Caudovirales[1];Halobacteria[1];Erysipelotrichales[1];Haloferacaceae[1];Haloferax[1];[Clostridium] innocuum[1]</t>
  </si>
  <si>
    <t>Viruses;Caudovirales;unclassified Caudovirales;Halobacteria;Erysipelotrichales;Haloferacaceae;Haloferax;[Clostridium] innocuum</t>
  </si>
  <si>
    <t>Viruses[1];Caudovirales[1];unclassified Caudovirales[1];Nitrincola phage 1M3-16[1]</t>
  </si>
  <si>
    <t>17.05.P4-7.351-9.9</t>
  </si>
  <si>
    <t>Viruses;Caudovirales;unclassified Caudovirales;Nitrincola phage 1M3-16</t>
  </si>
  <si>
    <t>11.09.P4-4.503-16</t>
  </si>
  <si>
    <t>PROKVIRUS (ss)</t>
  </si>
  <si>
    <t>Viruses[2];Microviridae[2];unclassified Microviridae[2];Eel River basin pequenovirus[2]</t>
  </si>
  <si>
    <t>Viruses;Microviridae;unclassified Microviridae;Eel River basin pequenovirus</t>
  </si>
  <si>
    <t>11.09.P3-2.613-9.6</t>
  </si>
  <si>
    <t>EUKVIRUS</t>
  </si>
  <si>
    <t>Viruses[2];Mimiviridae[1];Siphoviridae[1];Klosneuvirinae[1];Indivirus[1];Indivirus ILV1[1]</t>
  </si>
  <si>
    <t>Viruses;Mimiviridae;Siphoviridae;Klosneuvirinae;Indivirus;Indivirus ILV1</t>
  </si>
  <si>
    <t>Viruses[2];Caudovirales[1];unclassified Mimiviridae[1];Klosneuvirinae[1];Marinobacter phage PS6[1];Indivirus ILV1[1]</t>
  </si>
  <si>
    <t>11.09.P2-11.105-17</t>
  </si>
  <si>
    <t>Viruses[2];Phycodnaviridae[1];Chlorovirus[1];unclassified Chlorovirus[1];Acanthocystis turfacea Chlorella virus Br0604L[1];Vibrio[1];Haplosclerida[1];Niphatidae[1];Amphimedon[1];Amphimedon queenslandica[1]</t>
  </si>
  <si>
    <t>Viruses;Phycodnaviridae;Chlorovirus;unclassified Chlorovirus;Acanthocystis turfacea Chlorella virus Br0604L;Vibrio;Haplosclerida;Niphatidae;Amphimedon;Amphimedon queenslandica</t>
  </si>
  <si>
    <t>Viruses[2];Caudovirales[1];Myoviridae[1];unclassified Chlorovirus[1];Bordetella phage vB_BbrM_PHB04[1]</t>
  </si>
  <si>
    <t>05.07.P4-2.403-18</t>
  </si>
  <si>
    <t>BACTERIA</t>
  </si>
  <si>
    <t>Viruses[2];Phycodnaviridae[1];Myoviridae[1];unclassified Myoviridae[1];Acanthocystis turfacea Chlorella virus NTS-1[1]</t>
  </si>
  <si>
    <t>Viruses;Phycodnaviridae;Myoviridae;unclassified Myoviridae;Acanthocystis turfacea Chlorella virus NTS-1</t>
  </si>
  <si>
    <t>Viruses[2];Caudovirales[1];Myoviridae[1];unclassified Myoviridae[1];Acanthocystis turfacea Chlorella virus NTS-1[1]</t>
  </si>
  <si>
    <t>11.09.P2-10.807-12</t>
  </si>
  <si>
    <t>Viruses[3];Phycodnaviridae[1];Prasinovirus[1];Klosneuvirinae[1];Klosneuvirus[1];Klosneuvirus KNV1[1];Klebsiella michiganensis[1];Spermatophyta[1];Magnoliopsida[1];Mesangiospermae[1];Liliopsida[1];Petrosaviidae[1];commelinids[1];Arecales[1];Arecaceae[1];Coryphoideae[1];Phoeniceae[1];Phoenix[1];Phoenix dactylifera[1]</t>
  </si>
  <si>
    <t>Viruses;Phycodnaviridae;Prasinovirus;Klosneuvirinae;Klosneuvirus;Klosneuvirus KNV1;Klebsiella michiganensis;Spermatophyta;Magnoliopsida;Mesangiospermae;Liliopsida;Petrosaviidae;commelinids;Arecales;Arecaceae;Coryphoideae;Phoeniceae;Phoenix;Phoenix dactylifera</t>
  </si>
  <si>
    <t>Viruses[3];Caudovirales[1];unclassified Mimiviridae[1];Klosneuvirinae[1];Prochlorococcus phage P-SSM5[1];Klosneuvirus KNV1[1]</t>
  </si>
  <si>
    <t>11.09.P1-2.708-34</t>
  </si>
  <si>
    <t>Viruses[2];Phycodnaviridae[1];Prasinovirus[1];unclassified Podoviridae[1];Yellowstone lake phycodnavirus 1[1]</t>
  </si>
  <si>
    <t>Viruses;Phycodnaviridae;Prasinovirus;unclassified Podoviridae;Yellowstone lake phycodnavirus 1</t>
  </si>
  <si>
    <t>Viruses[2];Caudovirales[1];Podoviridae[1];unclassified Podoviridae[1];Yellowstone lake phycodnavirus 1[1]</t>
  </si>
  <si>
    <t>17.04.P1-15.536-4.6</t>
  </si>
  <si>
    <t>Viruses[3];Phycodnaviridae[1];unclassified Mimiviridae[1];Feldmannia irregularis virus a[1];Klosneuvirus[1];Klosneuvirus KNV1[1];Pezizomycotina[1];Novosphingobium sp. TH158[1];sordariomyceta[1];Leotiomycetes[1];Helotiales[1];Rutstroemiaceae[1];Rutstroemia[1];Rutstroemia sp. NJR-2017a BVV2[1]</t>
  </si>
  <si>
    <t>Viruses;Phycodnaviridae;unclassified Mimiviridae;Feldmannia irregularis virus a;Klosneuvirus;Klosneuvirus KNV1;Pezizomycotina;Novosphingobium sp. TH158;sordariomyceta;Leotiomycetes;Helotiales;Rutstroemiaceae;Rutstroemia;Rutstroemia sp. NJR-2017a BVV2</t>
  </si>
  <si>
    <t>Viruses[3];Caudovirales[1];unclassified Mimiviridae[1];Klosneuvirinae[1];Synechococcus phage S-CAM7[1];Klosneuvirus KNV1[1]</t>
  </si>
  <si>
    <t>05.07.P3-7.327-12</t>
  </si>
  <si>
    <t>Viruses[3];Proteobacteria[3];Alphaproteobacteria[3];Sphingomonadales[2];Sphingomonadaceae[2];Sphingomonas[2];unclassified Sphingomonas[2];Sphingomonas sp. JJ-A5[1]</t>
  </si>
  <si>
    <t>Viruses;Proteobacteria;Alphaproteobacteria;Sphingomonadales;Sphingomonadaceae;Sphingomonas;unclassified Sphingomonas;Sphingomonas sp. JJ-A5</t>
  </si>
  <si>
    <t>Viruses[3];Caudovirales[2];Podoviridae[1];unclassified dsDNA phages[1];Sinorhizobium phage phiM6[1]</t>
  </si>
  <si>
    <t>05.07.P4-10.016-49</t>
  </si>
  <si>
    <t>Viruses[4];unclassified viruses[2];Podoviridae[2];Roseobacter virus SIO1[2]</t>
  </si>
  <si>
    <t>Viruses;unclassified viruses;Podoviridae;Roseobacter virus SIO1</t>
  </si>
  <si>
    <t>Viruses[4];Caudovirales[2];Skeletonema virus LDF-2015a[2];Roseobacter virus SIO1[2]</t>
  </si>
  <si>
    <t>17.04.P4-3.836-13</t>
  </si>
  <si>
    <t>Viruses[1];unclassified viruses[1];unclassified archaeal viruses[1];ANMV-1 virus[1];Micrococcales[1];Micrococcaceae[1];Arthrobacter[1];unclassified Arthrobacter[1];Arthrobacter sp. EpRS71[1]</t>
  </si>
  <si>
    <t>Viruses;unclassified viruses;unclassified archaeal viruses;ANMV-1 virus;Micrococcales;Micrococcaceae;Arthrobacter;unclassified Arthrobacter;Arthrobacter sp. EpRS71</t>
  </si>
  <si>
    <t>Viruses[1];unclassified viruses[1];unclassified archaeal viruses[1];ANMV-1 virus[1]</t>
  </si>
  <si>
    <t>11.09.P3-2.471-21</t>
  </si>
  <si>
    <t>Viruses[2];unclassified viruses[2];unclassified bacterial viruses[2];Hot spring virus BHS1[2]</t>
  </si>
  <si>
    <t>Viruses;unclassified viruses;unclassified bacterial viruses;Hot spring virus BHS1</t>
  </si>
  <si>
    <t>11.09.P1-3.769-6.5</t>
  </si>
  <si>
    <t>Viruses[1];unclassified viruses[1];unclassified DNA viruses[1];Bacteroidetes[1];Cyanophage KBS-S-1A[1];Chitinophagales[1];Chitinophagaceae[1];Hydrotalea[1];Hydrotalea sandarakina[1]</t>
  </si>
  <si>
    <t>Viruses;unclassified viruses;unclassified DNA viruses;Bacteroidetes;Cyanophage KBS-S-1A;Chitinophagales;Chitinophagaceae;Hydrotalea;Hydrotalea sandarakina</t>
  </si>
  <si>
    <t>Viruses[1];unclassified viruses[1];unclassified DNA viruses[1];unclassified dsDNA phages[1];Cyanophage KBS-S-1A[1]</t>
  </si>
  <si>
    <t>11.09.P1-5.788-33</t>
  </si>
  <si>
    <t>Viruses[1];unclassified viruses[1];unclassified DNA viruses[1];Enterobacterales[1];Enterobacteriaceae[1];Klebsiella[1];Klebsiella michiganensis[1]</t>
  </si>
  <si>
    <t>Viruses;unclassified viruses;unclassified DNA viruses;Enterobacterales;Enterobacteriaceae;Klebsiella;Klebsiella michiganensis</t>
  </si>
  <si>
    <t>11.09.P2-3.132-59</t>
  </si>
  <si>
    <t>23.10.P4-3.619-5.0</t>
  </si>
  <si>
    <t>Viruses[1];unclassified viruses[1];unclassified DNA viruses[1];unclassified archaeal dsDNA viruses[1];Haloviruses[1];Halovirus HHTV-1[1]</t>
  </si>
  <si>
    <t>Viruses;unclassified viruses;unclassified DNA viruses;unclassified archaeal dsDNA viruses;Haloviruses;Halovirus HHTV-1</t>
  </si>
  <si>
    <t>05.07.P3-2.658-15</t>
  </si>
  <si>
    <t>Viruses[1];unclassified viruses[1];unclassified DNA viruses[1];unclassified archaeal dsDNA viruses[1];Haloviruses[1];Halovirus HRTV-4[1];Piscirickettsia salmonis[1]</t>
  </si>
  <si>
    <t>Viruses;unclassified viruses;unclassified DNA viruses;unclassified archaeal dsDNA viruses;Haloviruses;Halovirus HRTV-4;Piscirickettsia salmonis</t>
  </si>
  <si>
    <t>Viruses[1];unclassified viruses[1];unclassified DNA viruses[1];unclassified archaeal dsDNA viruses[1];Haloviruses[1];Halovirus HRTV-4[1]</t>
  </si>
  <si>
    <t>11.09.P4-7.960-11</t>
  </si>
  <si>
    <t>Viruses[1];unclassified viruses[1];unclassified DNA viruses[1];unclassified dsDNA phages[1];Cyanophage KBS-S-1A[1];Klebsiella[1];Klebsiella michiganensis[1]</t>
  </si>
  <si>
    <t>Viruses;unclassified viruses;unclassified DNA viruses;unclassified dsDNA phages;Cyanophage KBS-S-1A;Klebsiella;Klebsiella michiganensis</t>
  </si>
  <si>
    <t>11.09.P4-2.455-1.8</t>
  </si>
  <si>
    <t>Viruses[1];unclassified viruses[1];unclassified DNA viruses[1];unclassified dsDNA phages[1];Cyanophage P-SS1[1]</t>
  </si>
  <si>
    <t>Viruses;unclassified viruses;unclassified DNA viruses;unclassified dsDNA phages;Cyanophage P-SS1</t>
  </si>
  <si>
    <t>17.04.P3-4.278-34</t>
  </si>
  <si>
    <t>Viruses[2];unclassified viruses[2];unclassified DNA viruses[2];unclassified dsDNA phages[2];Prochlorococcus phage P-RSP2[2]</t>
  </si>
  <si>
    <t>Viruses;unclassified viruses;unclassified DNA viruses;unclassified dsDNA phages;Prochlorococcus phage P-RSP2</t>
  </si>
  <si>
    <t>11.09.P1-2.983-26</t>
  </si>
  <si>
    <t>Viruses[2];unclassified viruses[2];unclassified DNA viruses[2];unclassified dsDNA viruses[2];Autolykiviridae[2];Vibrio phage 1.249.A._10N.261.55.B9[1]</t>
  </si>
  <si>
    <t>Viruses;unclassified viruses;unclassified DNA viruses;unclassified dsDNA viruses;Autolykiviridae;Vibrio phage 1.249.A._10N.261.55.B9</t>
  </si>
  <si>
    <t>11.09.P3-2.906-2.9</t>
  </si>
  <si>
    <t>Viruses[1];unclassified viruses[1];unclassified DNA viruses[1];unclassified dsDNA viruses[1];Autolykiviridae[1];Vibrio phage 1.249.A._10N.261.55.B9[1]</t>
  </si>
  <si>
    <t>11.09.P4-2.540-2.1-V2</t>
  </si>
  <si>
    <t>11.09.P3-12.072-49</t>
  </si>
  <si>
    <t>Viruses[2];unclassified viruses[2];unclassified DNA viruses[2];unclassified dsDNA viruses[2];Autolykiviridae[2];Vibrio phage 1.249.A._10N.261.55.B9[1];Acidovorax citrulli[1];Anaerovorax[1];Anaerovorax odorimutans[1]</t>
  </si>
  <si>
    <t>Viruses;unclassified viruses;unclassified DNA viruses;unclassified dsDNA viruses;Autolykiviridae;Vibrio phage 1.249.A._10N.261.55.B9;Acidovorax citrulli;Anaerovorax;Anaerovorax odorimutans</t>
  </si>
  <si>
    <t>11.09.P1-6.317-5.1</t>
  </si>
  <si>
    <t>Viruses[2];unclassified viruses[1];unclassified DNA viruses[1];unclassified Podoviridae[1];Prochlorococcus phage P-RSP2[1]</t>
  </si>
  <si>
    <t>Viruses;unclassified viruses;unclassified DNA viruses;unclassified Podoviridae;Prochlorococcus phage P-RSP2</t>
  </si>
  <si>
    <t>Viruses[2];unclassified viruses[1];unclassified DNA viruses[1];unclassified dsDNA phages[1];Prochlorococcus phage P-RSP2[1]</t>
  </si>
  <si>
    <t>11.09.P2-4.002-8.5</t>
  </si>
  <si>
    <t>Viruses[1];Viridiplantae[1];Myoviridae[1];unclassified Myoviridae[1];Synechococcus phage S-MbCM100[1];Chlorellaceae[1];Chlorella clade[1];Chlorella[1];Chloroflexus aurantiacus[1]</t>
  </si>
  <si>
    <t>Viruses;Viridiplantae;Myoviridae;unclassified Myoviridae;Synechococcus phage S-MbCM100;Chlorellaceae;Chlorella clade;Chlorella;Chloroflexus aurantiacus</t>
  </si>
  <si>
    <t>Viruses[1];Caudovirales[1];Myoviridae[1];unclassified Myoviridae[1];Synechococcus phage S-MbCM100[1]</t>
  </si>
  <si>
    <t>11.09.P2-2.540-56</t>
  </si>
  <si>
    <t>Viruses[1];Viridiplantae[1];Myoviridae[1];unclassified Myoviridae[1];Synechococcus phage S-WAM2[1];Tracheophyta[1];Euphyllophyta[1];Spermatophyta[1];Magnoliopsida[1];Mesangiospermae[1];Liliopsida[1];Petrosaviidae[1];commelinids[1];Poales[1];Poaceae[1];BOP clade[1];Oryzoideae[1];Oryzeae[1];Oryzinae[1];Oryza[1];Oryza sativa[1];Oryza sativa Indica Group[1]</t>
  </si>
  <si>
    <t>Viruses;Viridiplantae;Myoviridae;unclassified Myoviridae;Synechococcus phage S-WAM2;Tracheophyta;Euphyllophyta;Spermatophyta;Magnoliopsida;Mesangiospermae;Liliopsida;Petrosaviidae;commelinids;Poales;Poaceae;BOP clade;Oryzoideae;Oryzeae;Oryzinae;Oryza;Oryza sativa;Oryza sativa Indica Group</t>
  </si>
  <si>
    <t>Fam</t>
  </si>
  <si>
    <t>DNAUV-3.554-23</t>
  </si>
  <si>
    <t>Caudovirales</t>
  </si>
  <si>
    <t>Viruses[2];Caudovirales[2];Ackermannviridae[1];unclassified Ackermannviridae[1];Pelagibacter phage HTVC008M[1]</t>
  </si>
  <si>
    <t>Viruses;Caudovirales;Ackermannviridae;unclassified Ackermannviridae;Pelagibacter phage HTVC008M</t>
  </si>
  <si>
    <t>Viruses[2];Caudovirales[2];Myoviridae[1];unclassified Myoviridae[1];Pelagibacter phage HTVC008M[1]</t>
  </si>
  <si>
    <t>DNAUV-2.280-9.8</t>
  </si>
  <si>
    <t>DNAUV-2.443-880</t>
  </si>
  <si>
    <t>Viruses[1];Caudovirales[1];Ackermannviridae[1];unclassified Ackermannviridae[1];Rhodospirillaceae[1];Magnetospirillum[1];Magnetospirillum caucaseum[1]</t>
  </si>
  <si>
    <t>Viruses;Caudovirales;Ackermannviridae;unclassified Ackermannviridae;Rhodospirillaceae;Magnetospirillum;Magnetospirillum caucaseum</t>
  </si>
  <si>
    <t>DNAUV-2.472-6130</t>
  </si>
  <si>
    <t>DNAUV-2.860-411</t>
  </si>
  <si>
    <t>DNAUV-5.952-108</t>
  </si>
  <si>
    <t>DNAUV-2.497-8.7</t>
  </si>
  <si>
    <t>Viruses[1];Caudovirales[1];Ackermannviridae[1];unclassified Ackermannviridae[1];Stenotrophomonas phage IME-SM1[1];Flavobacteriales[1];Flavobacteriaceae[1];Kordia[1];Kordia sp. SMS9[1]</t>
  </si>
  <si>
    <t>Viruses;Caudovirales;Ackermannviridae;unclassified Ackermannviridae;Stenotrophomonas phage IME-SM1;Flavobacteriales;Flavobacteriaceae;Kordia;Kordia sp. SMS9</t>
  </si>
  <si>
    <t>DNAUV-8.340-15</t>
  </si>
  <si>
    <t>Viruses[6];Caudovirales[6];Ackermannviridae[3];unclassified Ackermannviridae[3];Stenotrophomonas phage vB_SmaS-DLP_6[2];Brachyspira[1];Neptunomonas antarctica[1]</t>
  </si>
  <si>
    <t>Viruses;Caudovirales;Ackermannviridae;unclassified Ackermannviridae;Stenotrophomonas phage vB_SmaS-DLP_6;Brachyspira;Neptunomonas antarctica</t>
  </si>
  <si>
    <t>Viruses[6];Caudovirales[6];Ackermannviridae[3];unclassified Ackermannviridae[3];Stenotrophomonas phage vB_SmaS-DLP_6[2];Sinorhizobium phage phiM12[1]</t>
  </si>
  <si>
    <t>DNAUV-4.162-14</t>
  </si>
  <si>
    <t>Viruses[3];Caudovirales[3];Ackermannviridae[2];unclassified Ackermannviridae[2];Stenotrophomonas phage vB_SmaS-DLP_6[2];Niveispirillum[1];Marinobacter vulgaris[1]</t>
  </si>
  <si>
    <t>Viruses;Caudovirales;Ackermannviridae;unclassified Ackermannviridae;Stenotrophomonas phage vB_SmaS-DLP_6;Niveispirillum;Marinobacter vulgaris</t>
  </si>
  <si>
    <t>Viruses[3];Caudovirales[3];Ackermannviridae[2];unclassified Ackermannviridae[2];Stenotrophomonas phage vB_SmaS-DLP_6[2]</t>
  </si>
  <si>
    <t>DNAUV-5.613-17</t>
  </si>
  <si>
    <t>Viruses[3];Caudovirales[3];Ackermannviridae[2];unclassified Ackermannviridae[2];Stenotrophomonas phage vB_SmaS-DLP_6[2];Polaromonas[1];Polaromonas naphthalenivorans[1];Polaromonas naphthalenivorans CJ2[1]</t>
  </si>
  <si>
    <t>Viruses;Caudovirales;Ackermannviridae;unclassified Ackermannviridae;Stenotrophomonas phage vB_SmaS-DLP_6;Polaromonas;Polaromonas naphthalenivorans;Polaromonas naphthalenivorans CJ2</t>
  </si>
  <si>
    <t>DNAUV-18.244-111</t>
  </si>
  <si>
    <t>Viruses[13];Caudovirales[13];Ackermannviridae[8];unclassified Ackermannviridae[8];Stenotrophomonas phage vB_SmaS-DLP_6[8];Pseudoalteromonas[2];unclassified Pseudoalteromonas[2];Pseudoalteromonas sp. TMED43[2]</t>
  </si>
  <si>
    <t>Viruses;Caudovirales;Ackermannviridae;unclassified Ackermannviridae;Stenotrophomonas phage vB_SmaS-DLP_6;Pseudoalteromonas;unclassified Pseudoalteromonas;Pseudoalteromonas sp. TMED43</t>
  </si>
  <si>
    <t>Viruses[13];Caudovirales[13];Ackermannviridae[8];unclassified Ackermannviridae[8];Stenotrophomonas phage vB_SmaS-DLP_6[8]</t>
  </si>
  <si>
    <t>DNAUV-5.777-19</t>
  </si>
  <si>
    <t>Viruses[5];Caudovirales[5];Ackermannviridae[3];unclassified Ackermannviridae[3];Stenotrophomonas phage vB_SmaS-DLP_6[3];Sinorhizobium phage phiM12[1];unclassified Pseudoalteromonas[1];Pseudoalteromonas sp. TMED43[1];Balneola vulgaris[1]</t>
  </si>
  <si>
    <t>Viruses;Caudovirales;Ackermannviridae;unclassified Ackermannviridae;Stenotrophomonas phage vB_SmaS-DLP_6;Sinorhizobium phage phiM12;unclassified Pseudoalteromonas;Pseudoalteromonas sp. TMED43;Balneola vulgaris</t>
  </si>
  <si>
    <t>Viruses[5];Caudovirales[5];Ackermannviridae[3];unclassified Ackermannviridae[3];Stenotrophomonas phage vB_SmaS-DLP_6[3];Sinorhizobium phage phiM12[1]</t>
  </si>
  <si>
    <t>DNAUV-6.317-19</t>
  </si>
  <si>
    <t>Viruses[1];Caudovirales[1];Ackermannviridae[1];unclassified Ackermannviridae[1];Synechococcales[1];Synechococcaceae[1];Synechococcus[1];unclassified Synechococcus[1];Synechococcus sp. TMED187[1]</t>
  </si>
  <si>
    <t>Viruses;Caudovirales;Ackermannviridae;unclassified Ackermannviridae;Synechococcales;Synechococcaceae;Synechococcus;unclassified Synechococcus;Synechococcus sp. TMED187</t>
  </si>
  <si>
    <t>DNAUV-11.146-229</t>
  </si>
  <si>
    <t>Viruses[5];Caudovirales[5];Alphaproteobacteria[3];Rhizobiales[2];Rhizobiaceae[2];unclassified Bastillevirus[1];unclassified Polaromonas[1];Ensifer aridi[1];Rhizobium sp. H41[1]</t>
  </si>
  <si>
    <t>Viruses;Caudovirales;Alphaproteobacteria;Rhizobiales;Rhizobiaceae;unclassified Bastillevirus;unclassified Polaromonas;Ensifer aridi;Rhizobium sp. H41</t>
  </si>
  <si>
    <t>Viruses[5];Caudovirales[5];Myoviridae[2];unclassified Podoviridae[1];Bastillevirus[1];unclassified Bastillevirus[1];Bacillus phage Janet[1]</t>
  </si>
  <si>
    <t>DNAUV-7.616-50</t>
  </si>
  <si>
    <t>Viruses[3];Caudovirales[3];Alphaproteobacteria[2];Rhizobiales[2];Synechococcus virus S-ESS1[1];Aureimonas[1];Mesorhizobium oceanicum[1]</t>
  </si>
  <si>
    <t>Viruses;Caudovirales;Alphaproteobacteria;Rhizobiales;Synechococcus virus S-ESS1;Aureimonas;Mesorhizobium oceanicum</t>
  </si>
  <si>
    <t>Viruses[3];Caudovirales[3];Podoviridae[1];unclassified Siphoviridae[1];Celeribacter phage P12053L[1]</t>
  </si>
  <si>
    <t>DNAUV-16.566-137</t>
  </si>
  <si>
    <t>Viruses[7];Caudovirales[4];Alphaproteobacteria[4];Rhizobiales[2];Teseptimavirus[1];unclassified Teseptimavirus[1];Clostridioides[1];Sphingobium sp. AP50[1];Rhizobium sp. 58[1]</t>
  </si>
  <si>
    <t>Viruses;Caudovirales;Alphaproteobacteria;Rhizobiales;Teseptimavirus;unclassified Teseptimavirus;Clostridioides;Sphingobium sp. AP50;Rhizobium sp. 58</t>
  </si>
  <si>
    <t>Viruses[7];Caudovirales[4];Skeletonema virus LDF-2015a[3];unclassified Ackermannviridae[1];Teseptimavirus[1];unclassified Teseptimavirus[1];Salmonella phage Vi06[1]</t>
  </si>
  <si>
    <t>DNAUV-6.565-602</t>
  </si>
  <si>
    <t>Viruses[2];Caudovirales[2];Alphaproteobacteria[2];Rhodobacterales[2];Rhodobacteraceae[2];Gemmobacter[1];Roseicitreum antarcticum[1]</t>
  </si>
  <si>
    <t>Viruses;Caudovirales;Alphaproteobacteria;Rhodobacterales;Rhodobacteraceae;Gemmobacter;Roseicitreum antarcticum</t>
  </si>
  <si>
    <t>Viruses[2];Caudovirales[2];Siphoviridae[1];unclassified Podoviridae[1];EBPR podovirus 2[1]</t>
  </si>
  <si>
    <t>DNAUV-4.994-4646</t>
  </si>
  <si>
    <t>Viruses[2];Caudovirales[2];Alphaproteobacteria[2];Rhodobacterales[2];Rhodobacteraceae[2];Loktanella[1];unclassified Loktanella[1];Loktanella sp. 3ANDIMAR09[1]</t>
  </si>
  <si>
    <t>Viruses;Caudovirales;Alphaproteobacteria;Rhodobacterales;Rhodobacteraceae;Loktanella;unclassified Loktanella;Loktanella sp. 3ANDIMAR09</t>
  </si>
  <si>
    <t>Viruses[2];Caudovirales[2];Podoviridae[1];unclassified Siphoviridae[1];EBPR podovirus 2[1]</t>
  </si>
  <si>
    <t>DNAUV-5.700-17</t>
  </si>
  <si>
    <t>Viruses[2];Caudovirales[2];Alphaproteobacteria[2];Rhodobacterales[2];Rhodobacteraceae[2];Maritimibacter[1];Maritimibacter alkaliphilus[1]</t>
  </si>
  <si>
    <t>Viruses;Caudovirales;Alphaproteobacteria;Rhodobacterales;Rhodobacteraceae;Maritimibacter;Maritimibacter alkaliphilus</t>
  </si>
  <si>
    <t>Viruses[2];Caudovirales[2];Podoviridae[1];unclassified Myoviridae[1];Dunaliella viridis virus SI2[1]</t>
  </si>
  <si>
    <t>DNAUV-9.069-15</t>
  </si>
  <si>
    <t>Viruses[3];Caudovirales[3];Alphaproteobacteria[2];Rhodobacterales[2];Rhodobacteraceae[2];Rhodovulum[2];Rhodovulum sulfidophilum[2];Spirosoma[1];Spirosoma oryzae[1]</t>
  </si>
  <si>
    <t>Viruses;Caudovirales;Alphaproteobacteria;Rhodobacterales;Rhodobacteraceae;Rhodovulum;Rhodovulum sulfidophilum;Spirosoma;Spirosoma oryzae</t>
  </si>
  <si>
    <t>Viruses[3];Caudovirales[3];Siphoviridae[1];unclassified Myoviridae[1];Cyanophage P-RSM6[1];Pseudomonas phage PaMx74[1]</t>
  </si>
  <si>
    <t>DNAUV-3.478-16</t>
  </si>
  <si>
    <t>Viruses[2];Caudovirales[2];Alphaproteobacteria[2];Rhodobacterales[2];Rhodobacteraceae[2];Ruegeria[1];Rhodobacter johrii[1];Ruegeria sp. P4[1]</t>
  </si>
  <si>
    <t>Viruses;Caudovirales;Alphaproteobacteria;Rhodobacterales;Rhodobacteraceae;Ruegeria;Rhodobacter johrii;Ruegeria sp. P4</t>
  </si>
  <si>
    <t>Viruses[2];Caudovirales[2];Podoviridae[1];Roseobacter virus SIO1[1];Marinobacter phage PS3[1]</t>
  </si>
  <si>
    <t>DNAUV-4.962-164</t>
  </si>
  <si>
    <t>Viruses[2];Caudovirales[2];Alphaproteobacteria[2];Rhodobacterales[2];Rhodobacteraceae[2];Salinihabitans[1];Salinihabitans flavidus[1]</t>
  </si>
  <si>
    <t>Viruses;Caudovirales;Alphaproteobacteria;Rhodobacterales;Rhodobacteraceae;Salinihabitans;Salinihabitans flavidus</t>
  </si>
  <si>
    <t>Viruses[2];Caudovirales[2];Myoviridae[1];unclassified Myoviridae[1];Synechococcus phage S-SKS1[1]</t>
  </si>
  <si>
    <t>DNAUV-20.871-258</t>
  </si>
  <si>
    <t>Viruses[7];Caudovirales[6];Alphaproteobacteria[4];unclassified Myoviridae[3];Bradyrhizobiaceae[2];Bradyrhizobium[2];Bradyrhizobium erythrophlei[1];unclassified Thermoactinomyces[1];Thermoactinomyces sp. DSM 45892[1]</t>
  </si>
  <si>
    <t>Viruses;Caudovirales;Alphaproteobacteria;unclassified Myoviridae;Bradyrhizobiaceae;Bradyrhizobium;Bradyrhizobium erythrophlei;unclassified Thermoactinomyces;Thermoactinomyces sp. DSM 45892</t>
  </si>
  <si>
    <t>Viruses[7];Caudovirales[6];Myoviridae[3];unclassified Myoviridae[3];Shewanella phage SppYZU01[2];Dinoroseobacter phage vB_DshS-R5C[1]</t>
  </si>
  <si>
    <t>DNAUV-4.559-22</t>
  </si>
  <si>
    <t>Viruses[2];Caudovirales[2];Alphaproteobacteria[2];unclassified Myoviridae[1];Paracoccus virus Shpa[1];Paracoccus phage Shpa[1];Salipiger aestuarii[1];Sphingobium sp. ba1[1]</t>
  </si>
  <si>
    <t>Viruses;Caudovirales;Alphaproteobacteria;unclassified Myoviridae;Paracoccus virus Shpa;Paracoccus phage Shpa;Salipiger aestuarii;Sphingobium sp. ba1</t>
  </si>
  <si>
    <t>Viruses[2];Caudovirales[2];Myoviridae[1];unclassified Myoviridae[1];Aurantimonas phage AmM-1[1];Paracoccus phage Shpa[1]</t>
  </si>
  <si>
    <t>DNAUV-6.177-18</t>
  </si>
  <si>
    <t>Viruses[4];Caudovirales[4];Alphaproteobacteria[3];unclassified Myoviridae[2];Rhodobacteraceae[2];Ruegeria[1];unclassified Mesorhizobium[1];Ruegeria sp. P4[1]</t>
  </si>
  <si>
    <t>Viruses;Caudovirales;Alphaproteobacteria;unclassified Myoviridae;Rhodobacteraceae;Ruegeria;unclassified Mesorhizobium;Ruegeria sp. P4</t>
  </si>
  <si>
    <t>Viruses[4];Caudovirales[4];Myoviridae[2];unclassified Myoviridae[2];Synechococcus phage Bellamy[1];Ralstonia phage RsoP1EGY[1]</t>
  </si>
  <si>
    <t>DNAUV-5.565-203</t>
  </si>
  <si>
    <t>Viruses[3];Caudovirales[2];Alphaproteobacteria[2];unclassified Myoviridae[1];Synechococcus phage S-WAM1[1];Streptomycetaceae[1];Rhodovulum sulfidophilum[1];Streptomyces mutomycini[1]</t>
  </si>
  <si>
    <t>Viruses;Caudovirales;Alphaproteobacteria;unclassified Myoviridae;Synechococcus phage S-WAM1;Streptomycetaceae;Rhodovulum sulfidophilum;Streptomyces mutomycini</t>
  </si>
  <si>
    <t>Viruses[3];Caudovirales[2];Skeletonema virus LDF-2015a[1];unclassified Podoviridae[1];Synechococcus phage S-WAM1[1]</t>
  </si>
  <si>
    <t>DNAUV-4.014-276</t>
  </si>
  <si>
    <t>Viruses[2];Caudovirales[2];Alphaproteobacteria[2];unclassified Podoviridae[1];EBPR podovirus 2[1];Cohaesibacter[1];unclassified Ruegeria[1];Ruegeria sp. TM1040[1]</t>
  </si>
  <si>
    <t>Viruses;Caudovirales;Alphaproteobacteria;unclassified Podoviridae;EBPR podovirus 2;Cohaesibacter;unclassified Ruegeria;Ruegeria sp. TM1040</t>
  </si>
  <si>
    <t>Viruses[2];Caudovirales[2];Siphoviridae[1];unclassified Siphoviridae[1];Synechococcus phage S-LBS1[1]</t>
  </si>
  <si>
    <t>DNAUV-6.021-220</t>
  </si>
  <si>
    <t>Viruses[4];Caudovirales[3];Alphaproteobacteria[3];unclassified Podoviridae[2];Rhodobacteraceae[2];Ruegeria[1];unclassified Ruegeria[1];Ruegeria sp. TM1040[1]</t>
  </si>
  <si>
    <t>Viruses;Caudovirales;Alphaproteobacteria;unclassified Podoviridae;Rhodobacteraceae;Ruegeria;unclassified Ruegeria;Ruegeria sp. TM1040</t>
  </si>
  <si>
    <t>Viruses[4];Caudovirales[3];Podoviridae[2];unclassified Podoviridae[2];Sinorhizobium phage phiM5[1]</t>
  </si>
  <si>
    <t>DNAUV-7.193-31-V2</t>
  </si>
  <si>
    <t>Viruses[3];Caudovirales[3];Alphaproteobacteria[2];unclassified Siphoviridae[1];Acinetobacter virus LZ35[1];Acinetobacter phage LZ35[1];unclassified Oceanicola[1];Sphingobium sp. MI1205[1]</t>
  </si>
  <si>
    <t>Viruses;Caudovirales;Alphaproteobacteria;unclassified Siphoviridae;Acinetobacter virus LZ35;Acinetobacter phage LZ35;unclassified Oceanicola;Sphingobium sp. MI1205</t>
  </si>
  <si>
    <t>Viruses[3];Caudovirales[3];Podoviridae[1];Obolenskvirus[1];Synechococcus phage S-CBS4[1];Acinetobacter phage LZ35[1]</t>
  </si>
  <si>
    <t>DNAUV-5.077-286</t>
  </si>
  <si>
    <t>Viruses[2];Caudovirales[2];Betaproteobacteria[2];Burkholderiales[2];Comamonadaceae[2];Variovorax[2];Variovorax paradoxus[2]</t>
  </si>
  <si>
    <t>Viruses;Caudovirales;Betaproteobacteria;Burkholderiales;Comamonadaceae;Variovorax;Variovorax paradoxus</t>
  </si>
  <si>
    <t>Viruses[2];Caudovirales[2];Siphoviridae[1];unclassified Podoviridae[1];Roseobacter virus RDJL1[1];Roseobacter phage RDJL Phi 1[1]</t>
  </si>
  <si>
    <t>DNAUV-4.329-139</t>
  </si>
  <si>
    <t>Viruses[2];Caudovirales[2];Gammaproteobacteria[2];unclassified Ackermannviridae[1];Stenotrophomonas phage vB_SmaS-DLP_6[1];Alteromonas[1];unclassified Alteromonas[1];Alteromonas sp. TMED35[1]</t>
  </si>
  <si>
    <t>Viruses;Caudovirales;Gammaproteobacteria;unclassified Ackermannviridae;Stenotrophomonas phage vB_SmaS-DLP_6;Alteromonas;unclassified Alteromonas;Alteromonas sp. TMED35</t>
  </si>
  <si>
    <t>Viruses[2];Caudovirales[2];Ackermannviridae[1];unclassified Myoviridae[1];Stenotrophomonas phage vB_SmaS-DLP_6[1]</t>
  </si>
  <si>
    <t>DNAUV-5.187-100</t>
  </si>
  <si>
    <t>Viruses[2];Caudovirales[2];Gammaproteobacteria[2];unclassified Gammaproteobacteria[2];sulfur-oxidizing symbionts[2];Pseudomonas phage PA7[1]</t>
  </si>
  <si>
    <t>Viruses;Caudovirales;Gammaproteobacteria;unclassified Gammaproteobacteria;sulfur-oxidizing symbionts;Pseudomonas phage PA7</t>
  </si>
  <si>
    <t>Viruses[2];Caudovirales[2];Myoviridae[1];unclassified Siphoviridae[1];Idiomarinaceae phage Phi1M2-2[1];Pseudomonas phage PA7[1]</t>
  </si>
  <si>
    <t>DNAUV-4.104-138</t>
  </si>
  <si>
    <t>Viruses[2];Caudovirales[2];Gammaproteobacteria[2];unclassified Myoviridae[1];Moraxellaceae[1];Acinetobacter[1];Acinetobacter venetianus[1];Alteromonas sp. TMED35[1]</t>
  </si>
  <si>
    <t>Viruses;Caudovirales;Gammaproteobacteria;unclassified Myoviridae;Moraxellaceae;Acinetobacter;Acinetobacter venetianus;Alteromonas sp. TMED35</t>
  </si>
  <si>
    <t>Viruses[2];Caudovirales[2];Ackermannviridae[1];unclassified Myoviridae[1];Pelagibacter phage HTVC008M[1]</t>
  </si>
  <si>
    <t>DNAUV-4.060-93</t>
  </si>
  <si>
    <t>Viruses[2];Caudovirales[2];Gammaproteobacteria[2];unclassified Myoviridae[1];Pelagibacter phage HTVC008M[1];Salinisphaera[1];Neptunomonas antarctica[1]</t>
  </si>
  <si>
    <t>Viruses;Caudovirales;Gammaproteobacteria;unclassified Myoviridae;Pelagibacter phage HTVC008M;Salinisphaera;Neptunomonas antarctica</t>
  </si>
  <si>
    <t>Viruses[2];Caudovirales[2];Podoviridae[1];unclassified Podoviridae[1];Methylophilales phage HIM624-A[1]</t>
  </si>
  <si>
    <t>DNAUV-7.259-20</t>
  </si>
  <si>
    <t>Viruses[2];Caudovirales[2];Gammaproteobacteria[2];unclassified Myoviridae[1];Vibrio phage CKB-S1[1];Vibrio[1];Pluralibacter gergoviae[1];Vibrio alginolyticus[1]</t>
  </si>
  <si>
    <t>Viruses;Caudovirales;Gammaproteobacteria;unclassified Myoviridae;Vibrio phage CKB-S1;Vibrio;Pluralibacter gergoviae;Vibrio alginolyticus</t>
  </si>
  <si>
    <t>Viruses[2];Caudovirales[2];Podoviridae[1];unclassified Myoviridae[1];Vibrio phage CKB-S1[1]</t>
  </si>
  <si>
    <t>DNAUV-48.934-1423</t>
  </si>
  <si>
    <t>Viruses[21];Caudovirales[20];Gammaproteobacteria[11];unclassified Podoviridae[9];Cronobacter phage vB_CsaP_Ss1[7];Fangia[7];Fangia hongkongensis[7];Azospirillum sp. TSO5[1]</t>
  </si>
  <si>
    <t>Viruses;Caudovirales;Gammaproteobacteria;unclassified Podoviridae;Cronobacter phage vB_CsaP_Ss1;Fangia;Fangia hongkongensis;Azospirillum sp. TSO5</t>
  </si>
  <si>
    <t>Viruses[21];Caudovirales[20];Podoviridae[9];unclassified Podoviridae[9];Cronobacter phage vB_CsaP_Ss1[7];Pseudomonas phage SN[1]</t>
  </si>
  <si>
    <t>DNAUV-6.598-32</t>
  </si>
  <si>
    <t>Viruses[2];Caudovirales[2];Gammaproteobacteria[2];unclassified Podoviridae[1];Methylophilales phage HIM624-A[1];Vibrio[1];Vibrio harveyi group[1];Vibrio parahaemolyticus[1]</t>
  </si>
  <si>
    <t>Viruses;Caudovirales;Gammaproteobacteria;unclassified Podoviridae;Methylophilales phage HIM624-A;Vibrio;Vibrio harveyi group;Vibrio parahaemolyticus</t>
  </si>
  <si>
    <t>Viruses[2];Caudovirales[2];Podoviridae[1];unclassified Podoviridae[1];Ruegeria phage vB_RpoS-V10[1]</t>
  </si>
  <si>
    <t>DNAUV-7.645-232</t>
  </si>
  <si>
    <t>Viruses[3];Caudovirales[3];Gammaproteobacteria[2];unclassified Siphoviridae[1];EBPR podovirus 2[1];Pseudomonas[1];Rubripirellula[1];Oleiphilus sp. HI0130[1];Pseudomonas nitroreducens[1]</t>
  </si>
  <si>
    <t>Viruses;Caudovirales;Gammaproteobacteria;unclassified Siphoviridae;EBPR podovirus 2;Pseudomonas;Rubripirellula;Oleiphilus sp. HI0130;Pseudomonas nitroreducens</t>
  </si>
  <si>
    <t>Viruses[3];Caudovirales[3];Myoviridae[1];unclassified Siphoviridae[1];EBPR podovirus 2[1]</t>
  </si>
  <si>
    <t>DNAUV-38.512-299</t>
  </si>
  <si>
    <t>Viruses[20];Caudovirales[20];Gammaproteobacteria[16];unclassified Siphoviridae[13];Enterobacteriaceae[4];Aeromonas[3];unclassified Aeromonas[2];Enterobacter roggenkampii[1]</t>
  </si>
  <si>
    <t>Viruses;Caudovirales;Gammaproteobacteria;unclassified Siphoviridae;Enterobacteriaceae;Aeromonas;unclassified Aeromonas;Enterobacter roggenkampii</t>
  </si>
  <si>
    <t>Viruses[20];Caudovirales[20];Siphoviridae[14];unclassified Siphoviridae[13];Vibrio phage 1.181.O._10N.286.46.C9[3];Enterobacteria phage JenP2[1]</t>
  </si>
  <si>
    <t>DNAUV-6.455-14</t>
  </si>
  <si>
    <t>Viruses[2];Caudovirales[2];Gammaproteobacteria[2];unclassified Siphoviridae[1];unclassified Marthavirus[1];Halomonas[1];Halomonas caseinilytica[1]</t>
  </si>
  <si>
    <t>Viruses;Caudovirales;Gammaproteobacteria;unclassified Siphoviridae;unclassified Marthavirus;Halomonas;Halomonas caseinilytica</t>
  </si>
  <si>
    <t>Viruses[2];Caudovirales[2];Myoviridae[1];Marthavirus[1];unclassified Marthavirus[1];Arthrobacter phage Timinator[1]</t>
  </si>
  <si>
    <t>DNAUV-13.079-18</t>
  </si>
  <si>
    <t>Viruses[5];Caudovirales[5];Herelleviridae[3];Bacilli[2];Bacillales[2];Bacillaceae[2];Lysinibacillus[1];Helicobacter felis[1];Bacillus sp. FMQ74[1]</t>
  </si>
  <si>
    <t>Viruses;Caudovirales;Herelleviridae;Bacilli;Bacillales;Bacillaceae;Lysinibacillus;Helicobacter felis;Bacillus sp. FMQ74</t>
  </si>
  <si>
    <t>Viruses[5];Caudovirales[5];Herelleviridae[3];Spounavirinae[1];Agatevirus[1];Acinetobacter phage Ac42[1];Bacillus phage Bp8p-C[1]</t>
  </si>
  <si>
    <t>DNAUV-3.713-11</t>
  </si>
  <si>
    <t>Viruses[1];Caudovirales[1];Herelleviridae[1];Bastillevirinae[1];Agatevirus[1];Bacillus virus Bobb[1];Terrabacter[1];unclassified Terrabacter[1];Terrabacter sp. Root181[1]</t>
  </si>
  <si>
    <t>Viruses;Caudovirales;Herelleviridae;Bastillevirinae;Agatevirus;Bacillus virus Bobb;Terrabacter;unclassified Terrabacter;Terrabacter sp. Root181</t>
  </si>
  <si>
    <t>Viruses[1];Caudovirales[1];Herelleviridae[1];Bastillevirinae[1];Agatevirus[1];Bacillus virus Bobb[1];Bacillus phage Bobb[1]</t>
  </si>
  <si>
    <t>DNAUV-5.164-153</t>
  </si>
  <si>
    <t>Viruses[3];Caudovirales[3];Herelleviridae[2];Brockvirinae[1];Kochikohdavirus[1];Bacillus virus Spock[1];Enterococcus phage phiEF17H[1]</t>
  </si>
  <si>
    <t>Viruses;Caudovirales;Herelleviridae;Brockvirinae;Kochikohdavirus;Bacillus virus Spock;Enterococcus phage phiEF17H</t>
  </si>
  <si>
    <t>Viruses[3];Caudovirales[3];Herelleviridae[2];unclassified Siphoviridae[1];Kochikohdavirus[1];unclassified Kochikohdavirus[1];Enterococcus phage phiEF17H[1]</t>
  </si>
  <si>
    <t>DNAUV-2.494-35</t>
  </si>
  <si>
    <t>Viruses[1];Caudovirales[1];Herelleviridae[1];Jasinkavirinae[1];Pecentumvirus[1];Listeria virus LMTA34[1];Bacteroidaceae[1];Bacteroides[1];Bacteroides thetaiotaomicron[1]</t>
  </si>
  <si>
    <t>Viruses;Caudovirales;Herelleviridae;Jasinkavirinae;Pecentumvirus;Listeria virus LMTA34;Bacteroidaceae;Bacteroides;Bacteroides thetaiotaomicron</t>
  </si>
  <si>
    <t>Viruses[1];Caudovirales[1];Herelleviridae[1];Jasinkavirinae[1];Pecentumvirus[1];Listeria virus LMTA34[1];Listeria phage LMTA-34[1]</t>
  </si>
  <si>
    <t>DNAUV-3.733-19</t>
  </si>
  <si>
    <t>Viruses[1];Caudovirales[1];Herelleviridae[1];Jasinkavirinae[1];Pecentumvirus[1];Listeria virus LP083-2[1];Listeria phage LP-083-2[1];Aphanizomenon flos-aquae[1];Aphanizomenon flos-aquae WA102[1]</t>
  </si>
  <si>
    <t>Viruses;Caudovirales;Herelleviridae;Jasinkavirinae;Pecentumvirus;Listeria virus LP083-2;Listeria phage LP-083-2;Aphanizomenon flos-aquae;Aphanizomenon flos-aquae WA102</t>
  </si>
  <si>
    <t>Viruses[1];Caudovirales[1];Herelleviridae[1];Jasinkavirinae[1];Pecentumvirus[1];Listeria virus LP083-2[1];Listeria phage LP-083-2[1]</t>
  </si>
  <si>
    <t>DNAUV-3.016-13</t>
  </si>
  <si>
    <t>DNAUV-2.315-7.7</t>
  </si>
  <si>
    <t>Viruses[1];Caudovirales[1];Herelleviridae[1];Spounavirinae[1];Okubovirus[1];unclassified Okubovirus[1];Bacillus virus vB_BsuM-Goe2[1];Bacillus phage vB_BsuM-Goe2[1]</t>
  </si>
  <si>
    <t>Viruses;Caudovirales;Herelleviridae;Spounavirinae;Okubovirus;unclassified Okubovirus;Bacillus virus vB_BsuM-Goe2;Bacillus phage vB_BsuM-Goe2</t>
  </si>
  <si>
    <t>DNAUV-4.122-13</t>
  </si>
  <si>
    <t>Viruses[1];Caudovirales[1];Herelleviridae[1];Twortvirinae[1];Kayvirus[1];Staphylococcus virus SA12[1];Staphylococcus phage phiSA12[1]</t>
  </si>
  <si>
    <t>Viruses;Caudovirales;Herelleviridae;Twortvirinae;Kayvirus;Staphylococcus virus SA12;Staphylococcus phage phiSA12</t>
  </si>
  <si>
    <t>DNAUV-6.358-16</t>
  </si>
  <si>
    <t>Viruses[1];Caudovirales[1];Herelleviridae[1];Twortvirinae[1];Sepunavirus[1];Staphylococcus virus IPLAC1C[1];Thermoanaerobacter[1];Thermoanaerobacter thermohydrosulfuricus[1]</t>
  </si>
  <si>
    <t>Viruses;Caudovirales;Herelleviridae;Twortvirinae;Sepunavirus;Staphylococcus virus IPLAC1C;Thermoanaerobacter;Thermoanaerobacter thermohydrosulfuricus</t>
  </si>
  <si>
    <t>Viruses[1];Caudovirales[1];Herelleviridae[1];Twortvirinae[1];Sepunavirus[1];Staphylococcus virus IPLAC1C[1];Staphylococcus phage phiIPLA-C1C[1]</t>
  </si>
  <si>
    <t>DNAUV-2.074-10</t>
  </si>
  <si>
    <t>Viruses[1];Caudovirales[1];Herelleviridae[1];Twortvirinae[1];Twortvirus[1];Staphylococcus virus Twort[1]</t>
  </si>
  <si>
    <t>Viruses;Caudovirales;Herelleviridae;Twortvirinae;Twortvirus;Staphylococcus virus Twort</t>
  </si>
  <si>
    <t>DNAUV-2.293-12</t>
  </si>
  <si>
    <t>Viruses[1];Caudovirales[1];Herelleviridae[1];unclassified Herelleviridae[1];Moraxellaceae[1];Moraxella[1];Moraxella boevrei[1]</t>
  </si>
  <si>
    <t>Viruses;Caudovirales;Herelleviridae;unclassified Herelleviridae;Moraxellaceae;Moraxella;Moraxella boevrei</t>
  </si>
  <si>
    <t>Viruses[1];Caudovirales[1];Herelleviridae[1];unclassified Herelleviridae[1];Lactobacillus phage LpeD[1]</t>
  </si>
  <si>
    <t>DNAUV-2.353-70</t>
  </si>
  <si>
    <t>Viruses[2];Caudovirales[2];Herelleviridae[1];unclassified Siphoviridae[1];Bequatrovirus[1];Bacillus virus Spock[1];Bacillus phage Spock[1]</t>
  </si>
  <si>
    <t>Viruses;Caudovirales;Herelleviridae;unclassified Siphoviridae;Bequatrovirus;Bacillus virus Spock;Bacillus phage Spock</t>
  </si>
  <si>
    <t>Viruses[2];Caudovirales[2];Siphoviridae[1];Bastillevirinae[1];Ruegeria phage vB_RpoS-V16[1];Bacillus virus Spock[1];Bacillus phage Spock[1]</t>
  </si>
  <si>
    <t>DNAUV-2.242-6.6</t>
  </si>
  <si>
    <t>Viruses[3];Caudovirales[3];Myoviridae[2];Abidjanvirus[1];Pseudomonas virus Ab18[1];Pseudomonas phage vB_PaeS_PAO1_Ab18[1]</t>
  </si>
  <si>
    <t>Viruses;Caudovirales;Myoviridae;Abidjanvirus;Pseudomonas virus Ab18;Pseudomonas phage vB_PaeS_PAO1_Ab18</t>
  </si>
  <si>
    <t>DNAUV-5.427-16</t>
  </si>
  <si>
    <t>Viruses[5];Caudovirales[4];Myoviridae[2];Acanthocystis turfacea chlorella virus 1[1];Sinorhizobium virus M12[1];Bathymodiolus platifrons methanotrophic gill symbiont[1]</t>
  </si>
  <si>
    <t>Viruses;Caudovirales;Myoviridae;Acanthocystis turfacea chlorella virus 1;Sinorhizobium virus M12;Bathymodiolus platifrons methanotrophic gill symbiont</t>
  </si>
  <si>
    <t>Viruses[5];Caudovirales[4];Myoviridae[2];Acanthocystis turfacea chlorella virus 1[1];Stenotrophomonas phage vB_SmaS-DLP_6[1];Sinorhizobium phage phiM12[1]</t>
  </si>
  <si>
    <t>DNAUV-2.847-8.9</t>
  </si>
  <si>
    <t>Viruses[1];Caudovirales[1];Myoviridae[1];Bacillus virus G[1];Flavobacteriia[1];Flavobacteriales[1];Flavobacteriaceae[1];Lacinutrix[1];unclassified Lacinutrix[1];Lacinutrix sp. Hel_I_90[1]</t>
  </si>
  <si>
    <t>Viruses;Caudovirales;Myoviridae;Bacillus virus G;Flavobacteriia;Flavobacteriales;Flavobacteriaceae;Lacinutrix;unclassified Lacinutrix;Lacinutrix sp. Hel_I_90</t>
  </si>
  <si>
    <t>DNAUV-3.960-9.2</t>
  </si>
  <si>
    <t>Viruses[1];Caudovirales[1];Myoviridae[1];Bacillus virus G[1];Pseudomonadaceae[1];Pseudomonas[1];Pseudomonas aeruginosa group[1];Pseudomonas aeruginosa[1]</t>
  </si>
  <si>
    <t>Viruses;Caudovirales;Myoviridae;Bacillus virus G;Pseudomonadaceae;Pseudomonas;Pseudomonas aeruginosa group;Pseudomonas aeruginosa</t>
  </si>
  <si>
    <t>DNAUV-2.492-135</t>
  </si>
  <si>
    <t>Viruses[2];Caudovirales[2];Myoviridae[1];Baltimorevirus[1];unclassified Baltimorevirus[1];unclassified Schizotequatrovirus[1];unclassified Marinobacter[1];Marinobacter sp. Z-F4-2[1]</t>
  </si>
  <si>
    <t>Viruses;Caudovirales;Myoviridae;Baltimorevirus;unclassified Baltimorevirus;unclassified Schizotequatrovirus;unclassified Marinobacter;Marinobacter sp. Z-F4-2</t>
  </si>
  <si>
    <t>Viruses[2];Caudovirales[2];Myoviridae[1];Baltimorevirus[1];Schizotequatrovirus[1];unclassified Schizotequatrovirus[1];Vibrio phage 1.081.O._10N.286.52.C2[1]</t>
  </si>
  <si>
    <t>DNAUV-2.957-13</t>
  </si>
  <si>
    <t>Viruses[2];Caudovirales[2];Myoviridae[1];Bastillevirinae[1];Bequatrovirus[1];unclassified Bequatrovirus[1];Bacillus phage Taffo16[1]</t>
  </si>
  <si>
    <t>Viruses;Caudovirales;Myoviridae;Bastillevirinae;Bequatrovirus;unclassified Bequatrovirus;Bacillus phage Taffo16</t>
  </si>
  <si>
    <t>Viruses[2];Caudovirales[2];Herelleviridae[1];unclassified Myoviridae[1];Vibrio phage helene 12B3[1];unclassified Bequatrovirus[1];Bacillus phage Taffo16[1]</t>
  </si>
  <si>
    <t>DNAUV-2.300-13</t>
  </si>
  <si>
    <t>Viruses[1];Caudovirales[1];Myoviridae[1];Bendigovirus[1];Gordonia virus GMA6[1];Gordonia phage GMA6[1]</t>
  </si>
  <si>
    <t>Viruses;Caudovirales;Myoviridae;Bendigovirus;Gordonia virus GMA6;Gordonia phage GMA6</t>
  </si>
  <si>
    <t>DNAUV-2.055-8.6</t>
  </si>
  <si>
    <t>Viruses[2];Caudovirales[2];Myoviridae[2];Biquartavirus[1];unclassified Biquartavirus[1];Aeromonas phage L9-6[1]</t>
  </si>
  <si>
    <t>Viruses;Caudovirales;Myoviridae;Biquartavirus;unclassified Biquartavirus;Aeromonas phage L9-6</t>
  </si>
  <si>
    <t>Viruses[2];Caudovirales[2];Myoviridae[2];unclassified Myoviridae[1];Lake Baikal phage Baikal-20-5m-C28[1];Aeromonas phage L9-6[1]</t>
  </si>
  <si>
    <t>DNAUV-2.706-19</t>
  </si>
  <si>
    <t>Viruses[1];Caudovirales[1];Myoviridae[1];Busanvirus[1];Acidovorax virus ACP17[1];Acidovorax phage ACP17[1]</t>
  </si>
  <si>
    <t>Viruses;Caudovirales;Myoviridae;Busanvirus;Acidovorax virus ACP17;Acidovorax phage ACP17</t>
  </si>
  <si>
    <t>DNAUV-6.447-17</t>
  </si>
  <si>
    <t>Viruses[2];Caudovirales[2];Myoviridae[2];Chakrabartyvirus[1];Pseudomonas virus pf16[1];Pseudomonas phage pf16[1]</t>
  </si>
  <si>
    <t>Viruses;Caudovirales;Myoviridae;Chakrabartyvirus;Pseudomonas virus pf16;Pseudomonas phage pf16</t>
  </si>
  <si>
    <t>Viruses[2];Caudovirales[2];Myoviridae[2];Chakrabartyvirus[1];Synechococcus phage S-SSM4[1];Pseudomonas phage pf16[1]</t>
  </si>
  <si>
    <t>DNAUV-2.357-33</t>
  </si>
  <si>
    <t>Viruses[1];Caudovirales[1];Myoviridae[1];Chakrabartyvirus[1];Pseudomonas virus pf16[1];Pseudomonas phage pf16[1]</t>
  </si>
  <si>
    <t>DNAUV-2.788-87</t>
  </si>
  <si>
    <t>DNAUV-3.452-31</t>
  </si>
  <si>
    <t>Viruses[2];Caudovirales[2];Myoviridae[2];Cyanobacteria[2];Synechococcales[2];Synechococcaceae[2];Synechococcus[2];unclassified Synechococcus[2];Synechococcus sp. TMED187[2]</t>
  </si>
  <si>
    <t>Viruses;Caudovirales;Myoviridae;Cyanobacteria;Synechococcales;Synechococcaceae;Synechococcus;unclassified Synechococcus;Synechococcus sp. TMED187</t>
  </si>
  <si>
    <t>Viruses[2];Caudovirales[2];Myoviridae[2];Chakrabartyvirus[1];Pelagibacter phage HTVC008M[1];Pseudomonas phage pf16[1]</t>
  </si>
  <si>
    <t>DNAUV-12.470-14</t>
  </si>
  <si>
    <t>Viruses[5];Caudovirales[5];Myoviridae[5];Emdodecavirus[3];Caulobacter phage Cr30[2];Sinorhizobium phage phiN3[1];Desulfovibrio[1];unclassified Desulfovibrio[1];Desulfovibrio sp. X2[1]</t>
  </si>
  <si>
    <t>Viruses;Caudovirales;Myoviridae;Emdodecavirus;Caulobacter phage Cr30;Sinorhizobium phage phiN3;Desulfovibrio;unclassified Desulfovibrio;Desulfovibrio sp. X2</t>
  </si>
  <si>
    <t>Viruses[5];Caudovirales[5];Myoviridae[5];Emdodecavirus[3];Caulobacter phage Cr30[2];Sinorhizobium phage phiN3[1]</t>
  </si>
  <si>
    <t>DNAUV-7.373-19</t>
  </si>
  <si>
    <t>Viruses[3];Caudovirales[2];Myoviridae[2];Emdodecavirus[1];Sinorhizobium virus M12[1];Brevirhabdus[1];Brevirhabdus pacifica[1];Runella[1];Runella slithyformis[1];Runella slithyformis DSM 19594[1]</t>
  </si>
  <si>
    <t>Viruses;Caudovirales;Myoviridae;Emdodecavirus;Sinorhizobium virus M12;Brevirhabdus;Brevirhabdus pacifica;Runella;Runella slithyformis;Runella slithyformis DSM 19594</t>
  </si>
  <si>
    <t>Viruses[3];Caudovirales[2];Myoviridae[2];Emdodecavirus[1];Hokovirus[1];Sinorhizobium phage phiM12[1]</t>
  </si>
  <si>
    <t>DNAUV-4.379-32</t>
  </si>
  <si>
    <t>Viruses[2];Caudovirales[2];Myoviridae[2];Emdodecavirus[1];Sinorhizobium virus M12[1];Rhizobium/Agrobacterium group[1];Rhizobium[1];unclassified Rhizobium[1];Rhizobium sp. Root651[1]</t>
  </si>
  <si>
    <t>Viruses;Caudovirales;Myoviridae;Emdodecavirus;Sinorhizobium virus M12;Rhizobium/Agrobacterium group;Rhizobium;unclassified Rhizobium;Rhizobium sp. Root651</t>
  </si>
  <si>
    <t>Viruses[2];Caudovirales[2];Myoviridae[2];unclassified Myoviridae[1];Sinorhizobium virus M12[1];Sinorhizobium phage phiM12[1]</t>
  </si>
  <si>
    <t>DNAUV-2.954-15</t>
  </si>
  <si>
    <t>Viruses[4];Caudovirales[4];Myoviridae[4];Emdodecavirus[3];Sinorhizobium virus M12[3];Sinorhizobium phage phiM12[3]</t>
  </si>
  <si>
    <t>DNAUV-2.127-11</t>
  </si>
  <si>
    <t>DNAUV-6.324-16</t>
  </si>
  <si>
    <t>Viruses[4];Caudovirales[4];Myoviridae[4];Emdodecavirus[4];Sinorhizobium virus M12[4];Sinorhizobium phage phiM12[4]</t>
  </si>
  <si>
    <t>DNAUV-19.264-18</t>
  </si>
  <si>
    <t>Viruses[10];Caudovirales[10];Myoviridae[4];Emdodecavirus[3];Sinorhizobium virus M12[3];Sinorhizobium phage phiM12[3];Dehalobacter[2];unclassified Dehalobacter[2];Dehalobacter sp. FTH1[2]</t>
  </si>
  <si>
    <t>Viruses;Caudovirales;Myoviridae;Emdodecavirus;Sinorhizobium virus M12;Sinorhizobium phage phiM12;Dehalobacter;unclassified Dehalobacter;Dehalobacter sp. FTH1</t>
  </si>
  <si>
    <t>Viruses[10];Caudovirales[10];Myoviridae[4];Emdodecavirus[3];Sinorhizobium virus M12[3];Sinorhizobium phage phiM12[3];Shigella phage SHFML-26[1]</t>
  </si>
  <si>
    <t>DNAUV-6.290-15</t>
  </si>
  <si>
    <t>DNAUV-6.963-18</t>
  </si>
  <si>
    <t>DNAUV-2.987-14</t>
  </si>
  <si>
    <t>Viruses[2];Caudovirales[2];Myoviridae[1];Emdodecavirus[1];Sinorhizobium virus N3[1];Sinorhizobium phage phiN3[1];Magnetospira sp. QH-2[1]</t>
  </si>
  <si>
    <t>Viruses;Caudovirales;Myoviridae;Emdodecavirus;Sinorhizobium virus N3;Sinorhizobium phage phiN3;Magnetospira sp. QH-2</t>
  </si>
  <si>
    <t>Viruses[2];Caudovirales[2];Myoviridae[1];Emdodecavirus[1];Sinorhizobium virus N3[1];Sinorhizobium phage phiN3[1]</t>
  </si>
  <si>
    <t>DNAUV-2.552-42</t>
  </si>
  <si>
    <t>Viruses;Caudovirales;Myoviridae;Eneladusvirus;Serratia virus BF;Serratia phage BF</t>
  </si>
  <si>
    <t>DNAUV-5.773-16</t>
  </si>
  <si>
    <t>Viruses[1];Caudovirales[1];Myoviridae[1];Eneladusvirus[1];Serratia virus BF[1];Serratia phage BF[1];Mesorhizobium amorphae[1]</t>
  </si>
  <si>
    <t>Viruses;Caudovirales;Myoviridae;Eneladusvirus;Serratia virus BF;Serratia phage BF;Mesorhizobium amorphae</t>
  </si>
  <si>
    <t>DNAUV-3.034-258</t>
  </si>
  <si>
    <t>DNAUV-3.201-27</t>
  </si>
  <si>
    <t>Viruses[1];Caudovirales[1];Myoviridae[1];Eneladusvirus[1];unclassified Eneladusvirus[1];Cronobacter phage vB_CsaM_GAP32[1];Sinorhizobium[1];Sinorhizobium meliloti[1]</t>
  </si>
  <si>
    <t>Viruses;Caudovirales;Myoviridae;Eneladusvirus;unclassified Eneladusvirus;Cronobacter phage vB_CsaM_GAP32;Sinorhizobium;Sinorhizobium meliloti</t>
  </si>
  <si>
    <t>DNAUV-11.383-1014</t>
  </si>
  <si>
    <t>Viruses[2];Caudovirales[2];Myoviridae[2];Eucampyvirinae[1];Fletchervirus[1];Campylobacter virus NCTC12673[1];Cytophagaceae[1];Spirosoma[1];Spirosoma luteum[1]</t>
  </si>
  <si>
    <t>Viruses;Caudovirales;Myoviridae;Eucampyvirinae;Fletchervirus;Campylobacter virus NCTC12673;Cytophagaceae;Spirosoma;Spirosoma luteum</t>
  </si>
  <si>
    <t>Viruses[2];Caudovirales[2];Myoviridae[2];unclassified Myoviridae[1];Fletchervirus[1];Campylobacter virus NCTC12673[1]</t>
  </si>
  <si>
    <t>DNAUV-2.410-211</t>
  </si>
  <si>
    <t>Viruses[1];Caudovirales[1];Myoviridae[1];Flaumdravirus[1];Pseudomonas virus KIL2[1];Pseudomonas phage vB_PsyM_KIL4[1];Rhodoferax fermentans[1]</t>
  </si>
  <si>
    <t>Viruses;Caudovirales;Myoviridae;Flaumdravirus;Pseudomonas virus KIL2;Pseudomonas phage vB_PsyM_KIL4;Rhodoferax fermentans</t>
  </si>
  <si>
    <t>Viruses[1];Caudovirales[1];Myoviridae[1];Flaumdravirus[1];Pseudomonas virus KIL2[1];Pseudomonas phage vB_PsyM_KIL4[1]</t>
  </si>
  <si>
    <t>DNAUV-2.126-68</t>
  </si>
  <si>
    <t>Viruses[1];Caudovirales[1];Myoviridae[1];Flaumdravirus[1];Pseudomonas virus KIL4[1];Pseudomonas phage vB_PsyM_KIL1[1]</t>
  </si>
  <si>
    <t>Viruses;Caudovirales;Myoviridae;Flaumdravirus;Pseudomonas virus KIL4;Pseudomonas phage vB_PsyM_KIL1</t>
  </si>
  <si>
    <t>DNAUV-4.494-68</t>
  </si>
  <si>
    <t>DNAUV-3.342-162</t>
  </si>
  <si>
    <t>Viruses[2];Caudovirales[2];Myoviridae[1];Guernseyvirinae[1];Jerseyvirus[1];Salmonella virus SP101[1];Salmonella phage FSL SP-101[1]</t>
  </si>
  <si>
    <t>Viruses;Caudovirales;Myoviridae;Guernseyvirinae;Jerseyvirus;Salmonella virus SP101;Salmonella phage FSL SP-101</t>
  </si>
  <si>
    <t>Viruses[2];Caudovirales[2];Myoviridae[1];unclassified Myoviridae[1];Jerseyvirus[1];Salmonella virus SP101[1];Salmonella phage FSL SP-101[1]</t>
  </si>
  <si>
    <t>DNAUV-2.631-110</t>
  </si>
  <si>
    <t>Viruses[2];Caudovirales[2];Myoviridae[1];Inhavirus[1];Nonlabens virus P12024L[1];Nonlabens phage P12024L[1]</t>
  </si>
  <si>
    <t>Viruses;Caudovirales;Myoviridae;Inhavirus;Nonlabens virus P12024L;Nonlabens phage P12024L</t>
  </si>
  <si>
    <t>Viruses[2];Caudovirales[2];Siphoviridae[1];Inhavirus[1];Leptospira phage LE3[1];Nonlabens phage P12024L[1]</t>
  </si>
  <si>
    <t>DNAUV-4.087-17</t>
  </si>
  <si>
    <t>Viruses[2];Caudovirales[2];Myoviridae[1];Inhavirus[1];Pseudomonas virus PMW[1];Nonlabens phage P12024L[1];Flavobacteriaceae[1];Eudoraea[1];Eudoraea adriatica[1]</t>
  </si>
  <si>
    <t>Viruses;Caudovirales;Myoviridae;Inhavirus;Pseudomonas virus PMW;Nonlabens phage P12024L;Flavobacteriaceae;Eudoraea;Eudoraea adriatica</t>
  </si>
  <si>
    <t>Viruses[2];Caudovirales[2];Myoviridae[1];Plaisancevirus[1];Pseudomonas virus PMW[1];Pseudomonas phage phiPMW[1]</t>
  </si>
  <si>
    <t>DNAUV-2.898-11</t>
  </si>
  <si>
    <t>Viruses[1];Caudovirales[1];Myoviridae[1];Jedunavirus[1];Klebsiella virus KpV80[1];Klebsiella phage vB_KpnM_KpV52[1];Paraburkholderia phenazinium[1]</t>
  </si>
  <si>
    <t>Viruses;Caudovirales;Myoviridae;Jedunavirus;Klebsiella virus KpV80;Klebsiella phage vB_KpnM_KpV52;Paraburkholderia phenazinium</t>
  </si>
  <si>
    <t>Viruses[1];Caudovirales[1];Myoviridae[1];Jedunavirus[1];Klebsiella virus KpV80[1];Klebsiella phage vB_KpnM_KpV52[1]</t>
  </si>
  <si>
    <t>DNAUV-3.138-11</t>
  </si>
  <si>
    <t>Viruses[1];Caudovirales[1];Myoviridae[1];Jilinvirus[1];Escherichia virus ECOO78[1];Nocardiaceae[1];Rhodococcus[1];unclassified Rhodococcus[1];Rhodococcus sp. HS-D2[1]</t>
  </si>
  <si>
    <t>Viruses;Caudovirales;Myoviridae;Jilinvirus;Escherichia virus ECOO78;Nocardiaceae;Rhodococcus;unclassified Rhodococcus;Rhodococcus sp. HS-D2</t>
  </si>
  <si>
    <t>Viruses[1];Caudovirales[1];Myoviridae[1];Jilinvirus[1];Escherichia virus ECOO78[1];Escherichia phage vB_EcoM_ECOO78[1]</t>
  </si>
  <si>
    <t>DNAUV-2.374-16</t>
  </si>
  <si>
    <t>Viruses[2];Caudovirales[2];Myoviridae[1];Jilinvirus[1];unclassified Jilinvirus[1];Mycobacteriaceae[1];Mycobacteroides[1];Mycobacteroides abscessus[1]</t>
  </si>
  <si>
    <t>Viruses;Caudovirales;Myoviridae;Jilinvirus;unclassified Jilinvirus;Mycobacteriaceae;Mycobacteroides;Mycobacteroides abscessus</t>
  </si>
  <si>
    <t>Viruses[2];Caudovirales[2];Myoviridae[1];Jilinvirus[1];Vibrio phage 1.197.A._10N.286.54.F2[1];Ralstonia phage phiRSP[1]</t>
  </si>
  <si>
    <t>DNAUV-5.308-10</t>
  </si>
  <si>
    <t>Viruses[3];Caudovirales[3];Myoviridae[1];Lessievirus[1];Sphingobium virus Lacusarx[1];Sphingobium phage Lacusarx[1];Caballeronia fortuita[1];Blastomonas sp. CCH2-A2[1]</t>
  </si>
  <si>
    <t>Viruses;Caudovirales;Myoviridae;Lessievirus;Sphingobium virus Lacusarx;Sphingobium phage Lacusarx;Caballeronia fortuita;Blastomonas sp. CCH2-A2</t>
  </si>
  <si>
    <t>Viruses[3];Caudovirales[3];Siphoviridae[1];Lessievirus[1];Burkholderia virus Bcep22[1];Sphingobium phage Lacusarx[1]</t>
  </si>
  <si>
    <t>DNAUV-2.313-43</t>
  </si>
  <si>
    <t>Viruses[1];Caudovirales[1];Myoviridae[1];Machinavirus[1];unclassified Machinavirus[1];Erwinia phage vB_EamM_Caitlin[1]</t>
  </si>
  <si>
    <t>Viruses;Caudovirales;Myoviridae;Machinavirus;unclassified Machinavirus;Erwinia phage vB_EamM_Caitlin</t>
  </si>
  <si>
    <t>DNAUV-3.370-39</t>
  </si>
  <si>
    <t>Viruses[1];Caudovirales[1];Myoviridae[1];Machinavirus[1];unclassified Machinavirus[1];Leptospira[1];Leptospira licerasiae[1]</t>
  </si>
  <si>
    <t>Viruses;Caudovirales;Myoviridae;Machinavirus;unclassified Machinavirus;Leptospira;Leptospira licerasiae</t>
  </si>
  <si>
    <t>DNAUV-2.759-19</t>
  </si>
  <si>
    <t>Viruses[1];Caudovirales[1];Myoviridae[1];Microcystis virus Ma-LMM01[1]</t>
  </si>
  <si>
    <t>Viruses;Caudovirales;Myoviridae;Microcystis virus Ma-LMM01</t>
  </si>
  <si>
    <t>DNAUV-4.172-45</t>
  </si>
  <si>
    <t>Viruses[2];Caudovirales[2];Myoviridae[2];Mieseafarmvirus[1];Sinorhizobium virus M12[1];Ralstonia phage phiRSL1[1];Acinetobacter venetianus[1]</t>
  </si>
  <si>
    <t>Viruses;Caudovirales;Myoviridae;Mieseafarmvirus;Sinorhizobium virus M12;Ralstonia phage phiRSL1;Acinetobacter venetianus</t>
  </si>
  <si>
    <t>Viruses[2];Caudovirales[2];Myoviridae[2];Emdodecavirus[1];Sinorhizobium virus M12[1];Ralstonia phage phiRSL1[1]</t>
  </si>
  <si>
    <t>DNAUV-2.593-11</t>
  </si>
  <si>
    <t>Viruses[2];Caudovirales[2];Myoviridae[1];Nazgulvirus[1];Burkholderia virus BcepNazgul[1];Burkholderia phage BcepNazgul[1];Yersinia frederiksenii[1]</t>
  </si>
  <si>
    <t>Viruses;Caudovirales;Myoviridae;Nazgulvirus;Burkholderia virus BcepNazgul;Burkholderia phage BcepNazgul;Yersinia frederiksenii</t>
  </si>
  <si>
    <t>Viruses[2];Caudovirales[2];Siphoviridae[1];unclassified Siphoviridae[1];Caulobacter phage Sansa[1];Burkholderia phage BcepNazgul[1]</t>
  </si>
  <si>
    <t>DNAUV-3.272-14</t>
  </si>
  <si>
    <t>Viruses[1];Caudovirales[1];Myoviridae[1];Ounavirinae[1];Felixounavirus[1];unclassified Felixounavirus[1];Salmonella phage ST11[1]</t>
  </si>
  <si>
    <t>Viruses;Caudovirales;Myoviridae;Ounavirinae;Felixounavirus;unclassified Felixounavirus;Salmonella phage ST11</t>
  </si>
  <si>
    <t>DNAUV-8.010-665</t>
  </si>
  <si>
    <t>Viruses[6];Caudovirales[6];Myoviridae[6];Pakpunavirus[2];Pseudomonas virus PMW[2];Pseudomonas phage phiPMW[2]</t>
  </si>
  <si>
    <t>Viruses;Caudovirales;Myoviridae;Pakpunavirus;Pseudomonas virus PMW;Pseudomonas phage phiPMW</t>
  </si>
  <si>
    <t>DNAUV-3.446-14</t>
  </si>
  <si>
    <t>Viruses[2];Caudovirales[2];Myoviridae[2];Pakpunavirus[1];Pseudomonas virus Zigelbrucke[1];Vibrio[1];Vibrio harveyi group[1];Vibrio parahaemolyticus[1]</t>
  </si>
  <si>
    <t>Viruses;Caudovirales;Myoviridae;Pakpunavirus;Pseudomonas virus Zigelbrucke;Vibrio;Vibrio harveyi group;Vibrio parahaemolyticus</t>
  </si>
  <si>
    <t>Viruses[2];Caudovirales[2];Myoviridae[2];unclassified Myoviridae[1];Vibrio phage 1.161.O._10N.261.48.C5[1];Pseudomonas phage Zigelbrucke[1]</t>
  </si>
  <si>
    <t>DNAUV-4.073-13</t>
  </si>
  <si>
    <t>Viruses[2];Caudovirales[2];Myoviridae[1];Phormidium virus WMP3[1];Bacillales[1];Bacillaceae[1];Bacillus[1];Bacillus canaveralius[1]</t>
  </si>
  <si>
    <t>Viruses;Caudovirales;Myoviridae;Phormidium virus WMP3;Bacillales;Bacillaceae;Bacillus;Bacillus canaveralius</t>
  </si>
  <si>
    <t>Viruses[2];Caudovirales[2];Myoviridae[1];Phormidium virus WMP3[1];Pelagibacter phage HTVC008M[1]</t>
  </si>
  <si>
    <t>DNAUV-2.372-17</t>
  </si>
  <si>
    <t>Viruses[1];Caudovirales[1];Myoviridae[1];Plaisancevirus[1];Pseudomonas virus PMW[1];Pseudomonas phage phiPMW[1]</t>
  </si>
  <si>
    <t>Viruses;Caudovirales;Myoviridae;Plaisancevirus;Pseudomonas virus PMW;Pseudomonas phage phiPMW</t>
  </si>
  <si>
    <t>DNAUV-17.618-285</t>
  </si>
  <si>
    <t>Viruses[7];Caudovirales[7];Myoviridae[7];Plaisancevirus[2];Pseudomonas virus PMW[2];Pseudomonas phage phiPMW[2];Escherichia coli[1]</t>
  </si>
  <si>
    <t>Viruses;Caudovirales;Myoviridae;Plaisancevirus;Pseudomonas virus PMW;Pseudomonas phage phiPMW;Escherichia coli</t>
  </si>
  <si>
    <t>Viruses[7];Caudovirales[7];Myoviridae[7];unclassified Myoviridae[2];Pseudomonas virus PMW[2];Pseudomonas phage phiPMW[2]</t>
  </si>
  <si>
    <t>DNAUV-2.927-15</t>
  </si>
  <si>
    <t>Viruses[1];Caudovirales[1];Myoviridae[1];Radnorvirus[1];Arthrobacter virus ArV1[1];Arthrobacter phage vB_ArtM-ArV1[1]</t>
  </si>
  <si>
    <t>Viruses;Caudovirales;Myoviridae;Radnorvirus;Arthrobacter virus ArV1;Arthrobacter phage vB_ArtM-ArV1</t>
  </si>
  <si>
    <t>DNAUV-2.156-19</t>
  </si>
  <si>
    <t>DNAUV-2.702-35</t>
  </si>
  <si>
    <t>Viruses[2];Caudovirales[2];Myoviridae[2];Tevenvirinae[1];Schizotequatrovirus[1];unclassified Schizotequatrovirus[1];Campylobacter[1];unclassified Campylobacter[1];Campylobacter sp. P0138[1]</t>
  </si>
  <si>
    <t>Viruses;Caudovirales;Myoviridae;Tevenvirinae;Schizotequatrovirus;unclassified Schizotequatrovirus;Campylobacter;unclassified Campylobacter;Campylobacter sp. P0138</t>
  </si>
  <si>
    <t>Viruses[2];Caudovirales[2];Myoviridae[2];unclassified Myoviridae[1];Vibrio phage RYC[1];unclassified Schizotequatrovirus[1];Vibrio phage 1.081.O._10N.286.52.C2[1]</t>
  </si>
  <si>
    <t>DNAUV-3.215-68</t>
  </si>
  <si>
    <t>Viruses[1];Caudovirales[1];Myoviridae[1];Tevenvirinae[1];Schizotequatrovirus[1];Vibrio virus nt1[1];unclassified Sphingomonas[1];Sphingomonas sp. Leaf30[1]</t>
  </si>
  <si>
    <t>Viruses;Caudovirales;Myoviridae;Tevenvirinae;Schizotequatrovirus;Vibrio virus nt1;unclassified Sphingomonas;Sphingomonas sp. Leaf30</t>
  </si>
  <si>
    <t>DNAUV-5.988-20</t>
  </si>
  <si>
    <t>Viruses[2];Caudovirales[2];Myoviridae[2];Tevenvirinae[1];Schizotequatrovirus[1];Vibrio virus nt1[1];Vibrio phage nt-1[1]</t>
  </si>
  <si>
    <t>Viruses;Caudovirales;Myoviridae;Tevenvirinae;Schizotequatrovirus;Vibrio virus nt1;Vibrio phage nt-1</t>
  </si>
  <si>
    <t>Viruses[2];Caudovirales[2];Myoviridae[2];unclassified Myoviridae[1];Synechococcus phage S-RIM2[1];Vibrio virus nt1[1];Vibrio phage nt-1[1]</t>
  </si>
  <si>
    <t>DNAUV-4.564-14</t>
  </si>
  <si>
    <t>DNAUV-24.214-21</t>
  </si>
  <si>
    <t>Viruses[14];Caudovirales[14];Myoviridae[11];Tevenvirinae[4];Stenotrophomonas phage vB_SmaS-DLP_6[3];unclassified Schizotequatrovirus[2];Desulfosarcina[1];unclassified Synechococcus[1];Synechococcus sp. TMED187[1];Weeksella sp. HMSC059D05[1]</t>
  </si>
  <si>
    <t>Viruses;Caudovirales;Myoviridae;Tevenvirinae;Stenotrophomonas phage vB_SmaS-DLP_6;unclassified Schizotequatrovirus;Desulfosarcina;unclassified Synechococcus;Synechococcus sp. TMED187;Weeksella sp. HMSC059D05</t>
  </si>
  <si>
    <t>Viruses[14];Caudovirales[14];Myoviridae[11];Tevenvirinae[4];Stenotrophomonas phage vB_SmaS-DLP_6[3];unclassified Schizotequatrovirus[2];Vibrio phage 1.081.O._10N.286.52.C2[1]</t>
  </si>
  <si>
    <t>DNAUV-21.362-14</t>
  </si>
  <si>
    <t>Viruses[8];Caudovirales[8];Myoviridae[5];Tevenvirinae[3];Tequatrovirus[2];Vibrio virus nt1[1];Vibrio phage nt-1[1];Bdellovibrio sp. CG22_combo_CG10-13_8_21_14_all_39_27[1];Acaryochloris sp. CCMEE 5410[1]</t>
  </si>
  <si>
    <t>Viruses;Caudovirales;Myoviridae;Tevenvirinae;Tequatrovirus;Vibrio virus nt1;Vibrio phage nt-1;Bdellovibrio sp. CG22_combo_CG10-13_8_21_14_all_39_27;Acaryochloris sp. CCMEE 5410</t>
  </si>
  <si>
    <t>Viruses[8];Caudovirales[8];Myoviridae[5];Tevenvirinae[3];Tequatrovirus[2];unclassified Tequatrovirus[1];Vibrio phage nt-1[1]</t>
  </si>
  <si>
    <t>DNAUV-2.078-9.4</t>
  </si>
  <si>
    <t>Viruses[1];Caudovirales[1];Myoviridae[1];Tevenvirinae[1];unclassified Tevenvirinae[1];Acinetobacter phage vB_ApiM_fHyAci03[1]</t>
  </si>
  <si>
    <t>Viruses;Caudovirales;Myoviridae;Tevenvirinae;unclassified Tevenvirinae;Acinetobacter phage vB_ApiM_fHyAci03</t>
  </si>
  <si>
    <t>DNAUV-7.969-16</t>
  </si>
  <si>
    <t>Viruses[4];Caudovirales[4];Myoviridae[4];Tevenvirinae[2];unclassified Tevenvirinae[1];unclassified Jiaodavirus[1];Pezizomycotina[1];leotiomyceta[1];Arthropoda[1];Dothideomycetes[1];Dothideomycetidae[1];Crustacea[1];Mycosphaerellaceae[1];Pseudocercospora[1];Copepoda[1];Neocopepoda[1];Gymnoplea[1];Calanoida[1];Temoridae[1];Eurytemora[1];Eurytemora affinis[1]</t>
  </si>
  <si>
    <t>Viruses;Caudovirales;Myoviridae;Tevenvirinae;unclassified Tevenvirinae;unclassified Jiaodavirus;Pezizomycotina;leotiomyceta;Arthropoda;Dothideomycetes;Dothideomycetidae;Crustacea;Mycosphaerellaceae;Pseudocercospora;Copepoda;Neocopepoda;Gymnoplea;Calanoida;Temoridae;Eurytemora;Eurytemora affinis</t>
  </si>
  <si>
    <t>Viruses[4];Caudovirales[4];Myoviridae[4];Tevenvirinae[2];Jiaodavirus[1];unclassified Jiaodavirus[1];Klebsiella phage vB_KpnM_KpV477[1]</t>
  </si>
  <si>
    <t>DNAUV-4.006-346</t>
  </si>
  <si>
    <t>Viruses[1];Caudovirales[1];Myoviridae[1];Tevenvirinae[1];unclassified Tevenvirinae[1];Veillonellaceae[1];Massilibacillus[1];Massilibacillus massiliensis[1]</t>
  </si>
  <si>
    <t>Viruses;Caudovirales;Myoviridae;Tevenvirinae;unclassified Tevenvirinae;Veillonellaceae;Massilibacillus;Massilibacillus massiliensis</t>
  </si>
  <si>
    <t>Viruses[1];Caudovirales[1];Myoviridae[1];Tevenvirinae[1];unclassified Tevenvirinae[1];Aeromonas phage Ah1[1]</t>
  </si>
  <si>
    <t>DNAUV-2.116-198</t>
  </si>
  <si>
    <t>Viruses[2];Caudovirales[2];Myoviridae[2];Tevenvirinae[1];unclassified Tevenvirinae[1];Vibrio phage vB_VmeM-32[1]</t>
  </si>
  <si>
    <t>Viruses;Caudovirales;Myoviridae;Tevenvirinae;unclassified Tevenvirinae;Vibrio phage vB_VmeM-32</t>
  </si>
  <si>
    <t>Viruses[2];Caudovirales[2];Myoviridae[2];unclassified Myoviridae[1];unclassified Tevenvirinae[1];Vibrio phage vB_VmeM-32[1]</t>
  </si>
  <si>
    <t>DNAUV-2.459-15</t>
  </si>
  <si>
    <t>Viruses[1];Caudovirales[1];Myoviridae[1];Tevenvirinae[1];unclassified Tevenvirinae[1];Vibrio phage vB_VmeM-32[1];Acidovorax sp. ST3[1]</t>
  </si>
  <si>
    <t>Viruses;Caudovirales;Myoviridae;Tevenvirinae;unclassified Tevenvirinae;Vibrio phage vB_VmeM-32;Acidovorax sp. ST3</t>
  </si>
  <si>
    <t>Viruses[1];Caudovirales[1];Myoviridae[1];Tevenvirinae[1];unclassified Tevenvirinae[1];Vibrio phage vB_VmeM-32[1]</t>
  </si>
  <si>
    <t>DNAUV-3.508-18</t>
  </si>
  <si>
    <t>Viruses[3];Caudovirales[3];Myoviridae[3];Tevenvirinae[3];unclassified Tevenvirinae[2];Vibrio virus nt1[1];Vibrio phage nt-1[1]</t>
  </si>
  <si>
    <t>Viruses;Caudovirales;Myoviridae;Tevenvirinae;unclassified Tevenvirinae;Vibrio virus nt1;Vibrio phage nt-1</t>
  </si>
  <si>
    <t>Viruses[3];Caudovirales[3];Myoviridae[3];Tevenvirinae[3];unclassified Tevenvirinae[2];Serratia phage PS2[1];Vibrio phage nt-1[1]</t>
  </si>
  <si>
    <t>DNAUV-2.849-14</t>
  </si>
  <si>
    <t>Viruses[2];Caudovirales[2];Myoviridae[1];Thornevirus[1];Siminovitchvirus[1];Bacillus virus JL[1];Bacillus phage JL[1]</t>
  </si>
  <si>
    <t>Viruses;Caudovirales;Myoviridae;Thornevirus;Siminovitchvirus;Bacillus virus JL;Bacillus phage JL</t>
  </si>
  <si>
    <t>Viruses[2];Caudovirales[2];Herelleviridae[1];Thornevirus[1];Bacillus virus SP15[1];Bacillus phage SP-15[1];Bacillus phage JL[1]</t>
  </si>
  <si>
    <t>DNAUV-4.043-11</t>
  </si>
  <si>
    <t>Viruses[1];Caudovirales[1];Myoviridae[1];Tijeunavirus[1];Tetrasphaera virus TJE1[1];Microvirga[1];unclassified Microvirga[1];Microvirga sp. BSC39[1]</t>
  </si>
  <si>
    <t>Viruses;Caudovirales;Myoviridae;Tijeunavirus;Tetrasphaera virus TJE1;Microvirga;unclassified Microvirga;Microvirga sp. BSC39</t>
  </si>
  <si>
    <t>Viruses[1];Caudovirales[1];Myoviridae[1];Tijeunavirus[1];Tetrasphaera virus TJE1[1];Tetrasphaera phage TJE1[1]</t>
  </si>
  <si>
    <t>DNAUV-3.811-9.4</t>
  </si>
  <si>
    <t>Viruses[2];Caudovirales[2];Myoviridae[2];Tulanevirus[1];Aeromonas virus Aes508[1];Aeromonas phage Aes508[1];Nitratireductor soli[1]</t>
  </si>
  <si>
    <t>Viruses;Caudovirales;Myoviridae;Tulanevirus;Aeromonas virus Aes508;Aeromonas phage Aes508;Nitratireductor soli</t>
  </si>
  <si>
    <t>Viruses[2];Caudovirales[2];Myoviridae[2];Tulanevirus[1];Lake Baikal phage Baikal-20-5m-C28[1];Aeromonas phage Aes508[1]</t>
  </si>
  <si>
    <t>DNAUV-2.544-16</t>
  </si>
  <si>
    <t>Viruses[2];Caudovirales[2];Myoviridae[1];unclassified Ackermannviridae[1];unclassified Tevenvirinae[1];Aeromonas phage PX29[1]</t>
  </si>
  <si>
    <t>Viruses;Caudovirales;Myoviridae;unclassified Ackermannviridae;unclassified Tevenvirinae;Aeromonas phage PX29</t>
  </si>
  <si>
    <t>Viruses[2];Caudovirales[2];Myoviridae[1];Tevenvirinae[1];unclassified Tevenvirinae[1];Aeromonas phage PX29[1]</t>
  </si>
  <si>
    <t>DNAUV-6.702-23</t>
  </si>
  <si>
    <t>Viruses[2];Caudovirales[1];Myoviridae[1];unclassified Myoviridae[1];Acanthocystis turfacea Chlorella virus MN0810.1[1];Streptomycetaceae[1];Streptomyces[1];Streptomyces scabiei[1]</t>
  </si>
  <si>
    <t>Viruses;Caudovirales;Myoviridae;unclassified Myoviridae;Acanthocystis turfacea Chlorella virus MN0810.1;Streptomycetaceae;Streptomyces;Streptomyces scabiei</t>
  </si>
  <si>
    <t>Viruses[2];Caudovirales[1];Chlorovirus[1];unclassified Chlorovirus[1];Acanthocystis turfacea Chlorella virus MN0810.1[1]</t>
  </si>
  <si>
    <t>DNAUV-10.612-16</t>
  </si>
  <si>
    <t>Viruses[3];Caudovirales[2];Myoviridae[2];unclassified Myoviridae[2];Acanthocystis turfacea Chlorella virus NTS-1[1];Oscillatoriales[1];Helicobacter[1];Limnoraphis[1];Helicobacter sp. MIT 14-3879[1]</t>
  </si>
  <si>
    <t>Viruses;Caudovirales;Myoviridae;unclassified Myoviridae;Acanthocystis turfacea Chlorella virus NTS-1;Oscillatoriales;Helicobacter;Limnoraphis;Helicobacter sp. MIT 14-3879</t>
  </si>
  <si>
    <t>Viruses[3];Caudovirales[2];Myoviridae[2];unclassified Myoviridae[2];Acanthocystis turfacea Chlorella virus NTS-1[1]</t>
  </si>
  <si>
    <t>DNAUV-9.780-28</t>
  </si>
  <si>
    <t>Viruses[4];Caudovirales[4];Myoviridae[4];unclassified Myoviridae[2];Acidovorax virus ACP17[2];Acidovorax phage ACP17[2];Salinarchaeum[1];unclassified Salinarchaeum[1];Salinarchaeum sp. Harcht-Bsk1[1]</t>
  </si>
  <si>
    <t>Viruses;Caudovirales;Myoviridae;unclassified Myoviridae;Acidovorax virus ACP17;Acidovorax phage ACP17;Salinarchaeum;unclassified Salinarchaeum;Salinarchaeum sp. Harcht-Bsk1</t>
  </si>
  <si>
    <t>Viruses[4];Caudovirales[4];Myoviridae[4];Busanvirus[2];Acidovorax virus ACP17[2];Acidovorax phage ACP17[2]</t>
  </si>
  <si>
    <t>DNAUV-4.326-307</t>
  </si>
  <si>
    <t>Viruses[3];Caudovirales[3];Myoviridae[2];unclassified Myoviridae[2];Acinetobacter phage phiAC-1[1]</t>
  </si>
  <si>
    <t>Viruses;Caudovirales;Myoviridae;unclassified Myoviridae;Acinetobacter phage phiAC-1</t>
  </si>
  <si>
    <t>Viruses[3];Caudovirales[3];Myoviridae[2];unclassified Myoviridae[2];Pseudomonas phage TC6[1]</t>
  </si>
  <si>
    <t>DNAUV-10.134-12</t>
  </si>
  <si>
    <t>Viruses[4];Caudovirales[3];Myoviridae[3];unclassified Myoviridae[3];Aestuariivirgaceae[1];Aestuariivirga[1];Aestuariivirga litoralis[1]</t>
  </si>
  <si>
    <t>Viruses;Caudovirales;Myoviridae;unclassified Myoviridae;Aestuariivirgaceae;Aestuariivirga;Aestuariivirga litoralis</t>
  </si>
  <si>
    <t>Viruses[4];Caudovirales[3];Myoviridae[3];unclassified Myoviridae[3];Prochlorococcus phage P-SSM5[1]</t>
  </si>
  <si>
    <t>DNAUV-8.457-19</t>
  </si>
  <si>
    <t>Viruses[5];Caudovirales[5];Myoviridae[4];unclassified Myoviridae[3];Alteromonadaceae[2];Alteromonas[2];unclassified Alteromonas[2];Alteromonas sp. TMED35[2];Geomicrobium sp. JCM 19038[1]</t>
  </si>
  <si>
    <t>Viruses;Caudovirales;Myoviridae;unclassified Myoviridae;Alteromonadaceae;Alteromonas;unclassified Alteromonas;Alteromonas sp. TMED35;Geomicrobium sp. JCM 19038</t>
  </si>
  <si>
    <t>Viruses[5];Caudovirales[5];Myoviridae[4];unclassified Myoviridae[3];Ralstonia phage RSP15[1];Sinorhizobium phage phiN3[1]</t>
  </si>
  <si>
    <t>DNAUV-2.630-7.2</t>
  </si>
  <si>
    <t>Viruses[1];Caudovirales[1];Myoviridae[1];unclassified Myoviridae[1];Bacillales[1];Bacillaceae[1];Bacillus[1];Bacillus cereus group[1];Bacillus thuringiensis[1]</t>
  </si>
  <si>
    <t>Viruses[1];Caudovirales[1];Myoviridae[1];unclassified Myoviridae[1];Pseudoalteromonas phage Maelstrom[1]</t>
  </si>
  <si>
    <t>DNAUV-62.938-22</t>
  </si>
  <si>
    <t>Viruses[19];Caudovirales[17];Myoviridae[10];unclassified Myoviridae[7];Bacillales[4];Bacillaceae[3];Bacillus[2];Bacillus cereus group[2];Bacillus thuringiensis[1];Nitrolancea hollandica[1];Nitrolancea hollandica Lb[1]</t>
  </si>
  <si>
    <t>Viruses;Caudovirales;Myoviridae;unclassified Myoviridae;Bacillales;Bacillaceae;Bacillus;Bacillus cereus group;Bacillus thuringiensis;Nitrolancea hollandica;Nitrolancea hollandica Lb</t>
  </si>
  <si>
    <t>Viruses[19];Caudovirales[17];Myoviridae[10];unclassified Myoviridae[7];Okubovirus[2];Bacillus virus JL[1];Bacillus phage JL[1]</t>
  </si>
  <si>
    <t>DNAUV-2.909-11</t>
  </si>
  <si>
    <t>Viruses[1];Caudovirales[1];Myoviridae[1];unclassified Myoviridae[1];Bacteroidia[1];Marinilabiliales[1];Marinilabiliaceae[1];Marinilabilia[1];Marinilabilia salmonicolor[1]</t>
  </si>
  <si>
    <t>Viruses;Caudovirales;Myoviridae;unclassified Myoviridae;Bacteroidia;Marinilabiliales;Marinilabiliaceae;Marinilabilia;Marinilabilia salmonicolor</t>
  </si>
  <si>
    <t>DNAUV-2.414-18</t>
  </si>
  <si>
    <t>Viruses[2];Caudovirales[2];Myoviridae[2];unclassified Myoviridae[2];Bdellovibrio phage phi1422[2]</t>
  </si>
  <si>
    <t>Viruses;Caudovirales;Myoviridae;unclassified Myoviridae;Bdellovibrio phage phi1422</t>
  </si>
  <si>
    <t>DNAUV-4.279-19</t>
  </si>
  <si>
    <t>DNAUV-16.760-19</t>
  </si>
  <si>
    <t>Viruses[11];Caudovirales[11];Myoviridae[11];unclassified Myoviridae[11];Bdellovibrio phage phi1422[11];Acinetobacter[1];Streptomyces[1];Oceanobacillus arenosus[1];Streptomyces sp. 1222.2[1]</t>
  </si>
  <si>
    <t>Viruses;Caudovirales;Myoviridae;unclassified Myoviridae;Bdellovibrio phage phi1422;Acinetobacter;Streptomyces;Oceanobacillus arenosus;Streptomyces sp. 1222.2</t>
  </si>
  <si>
    <t>Viruses[11];Caudovirales[11];Myoviridae[11];unclassified Myoviridae[11];Bdellovibrio phage phi1422[11]</t>
  </si>
  <si>
    <t>DNAUV-12.430-23</t>
  </si>
  <si>
    <t>Viruses[9];Caudovirales[9];Myoviridae[9];unclassified Myoviridae[9];Bdellovibrio phage phi1422[9];Gluconobacter[1];Alicyclobacillus[1];Alicyclobacillus vulcanalis[1]</t>
  </si>
  <si>
    <t>Viruses;Caudovirales;Myoviridae;unclassified Myoviridae;Bdellovibrio phage phi1422;Gluconobacter;Alicyclobacillus;Alicyclobacillus vulcanalis</t>
  </si>
  <si>
    <t>Viruses[9];Caudovirales[9];Myoviridae[9];unclassified Myoviridae[9];Bdellovibrio phage phi1422[9]</t>
  </si>
  <si>
    <t>DNAUV-8.168-17</t>
  </si>
  <si>
    <t>Viruses[10];Caudovirales[10];Myoviridae[10];unclassified Myoviridae[10];Bdellovibrio phage phi1422[10];Opitutaceae[1];Ereboglobus[1];Ereboglobus luteus[1]</t>
  </si>
  <si>
    <t>Viruses;Caudovirales;Myoviridae;unclassified Myoviridae;Bdellovibrio phage phi1422;Opitutaceae;Ereboglobus;Ereboglobus luteus</t>
  </si>
  <si>
    <t>Viruses[10];Caudovirales[10];Myoviridae[10];unclassified Myoviridae[10];Bdellovibrio phage phi1422[10]</t>
  </si>
  <si>
    <t>DNAUV-5.748-14</t>
  </si>
  <si>
    <t>Viruses[3];Caudovirales[3];Myoviridae[2];unclassified Myoviridae[2];Caulobacter phage Cr30[2]</t>
  </si>
  <si>
    <t>DNAUV-8.877-17</t>
  </si>
  <si>
    <t>Viruses[2];Caudovirales[2];Myoviridae[2];unclassified Myoviridae[2];Caulobacter phage Cr30[1];Desulfovibrionaceae[1];Bilophila[1];Bilophila wadsworthia[1]</t>
  </si>
  <si>
    <t>Viruses;Caudovirales;Myoviridae;unclassified Myoviridae;Caulobacter phage Cr30;Desulfovibrionaceae;Bilophila;Bilophila wadsworthia</t>
  </si>
  <si>
    <t>Viruses[2];Caudovirales[2];Myoviridae[2];unclassified Myoviridae[2];Synechococcus phage S-WAM1[1]</t>
  </si>
  <si>
    <t>DNAUV-2.963-1699</t>
  </si>
  <si>
    <t>Viruses[1];Caudovirales[1];Myoviridae[1];unclassified Myoviridae[1];Caulobacter phage Cr30[1];Shewanella[1];Shewanella algae[1]</t>
  </si>
  <si>
    <t>Viruses;Caudovirales;Myoviridae;unclassified Myoviridae;Caulobacter phage Cr30;Shewanella;Shewanella algae</t>
  </si>
  <si>
    <t>DNAUV-2.175-9.2</t>
  </si>
  <si>
    <t>Viruses[2];Caudovirales[2];Myoviridae[2];unclassified Myoviridae[2];Cellulophaga phage phi3ST:2[2]</t>
  </si>
  <si>
    <t>Viruses;Caudovirales;Myoviridae;unclassified Myoviridae;Cellulophaga phage phi3ST:2</t>
  </si>
  <si>
    <t>DNAUV-3.165-56</t>
  </si>
  <si>
    <t>Viruses[1];Caudovirales[1];Myoviridae[1];unclassified Myoviridae[1];Cellulophaga phage phi3ST:2[1]</t>
  </si>
  <si>
    <t>DNAUV-51.550-178</t>
  </si>
  <si>
    <t>Viruses[34];Caudovirales[34];Myoviridae[33];unclassified Myoviridae[33];Cellulophaga phage phiSM[25];Flavobacteriales[5];Flavobacteriaceae[5];Thalassospira sp. 11-3[4];unclassified Bacteroides[1];Aquimarina sp. AU58[1]</t>
  </si>
  <si>
    <t>Viruses;Caudovirales;Myoviridae;unclassified Myoviridae;Cellulophaga phage phiSM;Flavobacteriales;Flavobacteriaceae;Thalassospira sp. 11-3;unclassified Bacteroides;Aquimarina sp. AU58</t>
  </si>
  <si>
    <t>Viruses[34];Caudovirales[34];Myoviridae[33];unclassified Myoviridae[33];Cellulophaga phage phiSM[25];Nonlabens phage P12024L[1]</t>
  </si>
  <si>
    <t>DNAUV-3.586-13</t>
  </si>
  <si>
    <t>Viruses[1];Caudovirales[1];Myoviridae[1];unclassified Myoviridae[1];Clostridiales[1];Clostridiaceae[1];Alkaliphilus[1];Alkaliphilus oremlandii[1]</t>
  </si>
  <si>
    <t>Viruses;Caudovirales;Myoviridae;unclassified Myoviridae;Clostridiales;Clostridiaceae;Alkaliphilus;Alkaliphilus oremlandii</t>
  </si>
  <si>
    <t>DNAUV-3.274-85</t>
  </si>
  <si>
    <t>Viruses[2];Caudovirales[2];Myoviridae[1];unclassified Myoviridae[1];Cornellvirus[1];unclassified Cornellvirus[1];Salmonella virus VSiP[1]</t>
  </si>
  <si>
    <t>Viruses;Caudovirales;Myoviridae;unclassified Myoviridae;Cornellvirus;unclassified Cornellvirus;Salmonella virus VSiP</t>
  </si>
  <si>
    <t>Viruses[2];Caudovirales[2];Siphoviridae[1];Guernseyvirinae[1];Cornellvirus[1];unclassified Cornellvirus[1];Salmonella virus VSiP[1]</t>
  </si>
  <si>
    <t>DNAUV-5.190-12</t>
  </si>
  <si>
    <t>DNAUV-3.976-9.8</t>
  </si>
  <si>
    <t>Viruses[4];Caudovirales[4];Myoviridae[4];unclassified Myoviridae[4];Cyanophage P-TIM40[1]</t>
  </si>
  <si>
    <t>Viruses;Caudovirales;Myoviridae;unclassified Myoviridae;Cyanophage P-TIM40</t>
  </si>
  <si>
    <t>Viruses[4];Caudovirales[4];Myoviridae[4];unclassified Myoviridae[4];Synechococcus phage ACG-2014c[1]</t>
  </si>
  <si>
    <t>DNAUV-2.153-15</t>
  </si>
  <si>
    <t>Viruses[2];Caudovirales[2];Myoviridae[2];unclassified Myoviridae[2];Cyanophage P-TIM40[1]</t>
  </si>
  <si>
    <t>DNAUV-3.505-19</t>
  </si>
  <si>
    <t>Viruses[1];Caudovirales[1];Myoviridae[1];unclassified Myoviridae[1];Cyanophage S-RIM12[1]</t>
  </si>
  <si>
    <t>Viruses;Caudovirales;Myoviridae;unclassified Myoviridae;Cyanophage S-RIM12</t>
  </si>
  <si>
    <t>DNAUV-3.766-534</t>
  </si>
  <si>
    <t>DNAUV-2.038-66</t>
  </si>
  <si>
    <t>Viruses[1];Caudovirales[1];Myoviridae[1];unclassified Myoviridae[1];Cyanophage S-TIM5[1];Kiloniella[1];Kiloniella majae[1]</t>
  </si>
  <si>
    <t>Viruses;Caudovirales;Myoviridae;unclassified Myoviridae;Cyanophage S-TIM5;Kiloniella;Kiloniella majae</t>
  </si>
  <si>
    <t>Viruses[1];Caudovirales[1];Myoviridae[1];unclassified Myoviridae[1];Cyanophage S-TIM5[1]</t>
  </si>
  <si>
    <t>DNAUV-8.897-1641</t>
  </si>
  <si>
    <t>Viruses[1];Caudovirales[1];Myoviridae[1];unclassified Myoviridae[1];Deep-sea thermophilic phage D6E[1];Leptospira[1];Leptospira levettii[1]</t>
  </si>
  <si>
    <t>Viruses;Caudovirales;Myoviridae;unclassified Myoviridae;Deep-sea thermophilic phage D6E;Leptospira;Leptospira levettii</t>
  </si>
  <si>
    <t>Viruses[1];Caudovirales[1];Myoviridae[1];unclassified Myoviridae[1];Deep-sea thermophilic phage D6E[1]</t>
  </si>
  <si>
    <t>DNAUV-11.419-18</t>
  </si>
  <si>
    <t>Viruses[6];Caudovirales[6];Myoviridae[4];unclassified Myoviridae[3];Dhakavirus[1];unclassified Zindervirus[1];Polaromonas naphthalenivorans[1];unclassified Synechococcus[1];Synechococcus sp. TMED187[1]</t>
  </si>
  <si>
    <t>Viruses;Caudovirales;Myoviridae;unclassified Myoviridae;Dhakavirus;unclassified Zindervirus;Polaromonas naphthalenivorans;unclassified Synechococcus;Synechococcus sp. TMED187</t>
  </si>
  <si>
    <t>Viruses[6];Caudovirales[6];Myoviridae[4];unclassified Myoviridae[3];Dhakavirus[1];unclassified Zindervirus[1];Enterobacteria phage vB_EcoM_IME341[1]</t>
  </si>
  <si>
    <t>DNAUV-2.296-7.2</t>
  </si>
  <si>
    <t>Viruses[1];Caudovirales[1];Myoviridae[1];unclassified Myoviridae[1];Enterobacteriaceae[1];Escherichia[1];Escherichia coli[1]</t>
  </si>
  <si>
    <t>Viruses;Caudovirales;Myoviridae;unclassified Myoviridae;Enterobacteriaceae;Escherichia;Escherichia coli</t>
  </si>
  <si>
    <t>Viruses[1];Caudovirales[1];Myoviridae[1];unclassified Myoviridae[1];Vibrio phage 1.170.O._10N.261.52.C3[1]</t>
  </si>
  <si>
    <t>DNAUV-4.010-16</t>
  </si>
  <si>
    <t>Viruses[1];Caudovirales[1];Myoviridae[1];unclassified Myoviridae[1];Erwinia phage Faunus[1]</t>
  </si>
  <si>
    <t>Viruses;Caudovirales;Myoviridae;unclassified Myoviridae;Erwinia phage Faunus</t>
  </si>
  <si>
    <t>DNAUV-56.054-300</t>
  </si>
  <si>
    <t>Viruses[29];Caudovirales[29];Myoviridae[22];unclassified Myoviridae[13];Felixounavirus[3];Endozoicomonas[2];Pseudomonas fluorescens group[1];Pseudomonas sp. NBRC 111133[1];Criblamydia sequanensis CRIB-18[1]</t>
  </si>
  <si>
    <t>Viruses;Caudovirales;Myoviridae;unclassified Myoviridae;Felixounavirus;Endozoicomonas;Pseudomonas fluorescens group;Pseudomonas sp. NBRC 111133;Criblamydia sequanensis CRIB-18</t>
  </si>
  <si>
    <t>Viruses[29];Caudovirales[29];Myoviridae[22];unclassified Myoviridae[13];Felixounavirus[3];Salmonella virus SE1[1];Dickeya phage XF4[1]</t>
  </si>
  <si>
    <t>DNAUV-2.009-128</t>
  </si>
  <si>
    <t>Viruses[2];Caudovirales[2];Myoviridae[2];unclassified Myoviridae[1];Gelderlandvirus[1];Salmonella virus S16[1];Synechococcus[1];unclassified Synechococcus[1];Synechococcus sp. TMED187[1]</t>
  </si>
  <si>
    <t>Viruses;Caudovirales;Myoviridae;unclassified Myoviridae;Gelderlandvirus;Salmonella virus S16;Synechococcus;unclassified Synechococcus;Synechococcus sp. TMED187</t>
  </si>
  <si>
    <t>Viruses[2];Caudovirales[2];Myoviridae[2];Tevenvirinae[1];Gelderlandvirus[1];Salmonella virus S16[1];Salmonella phage vB_SenM-S16[1]</t>
  </si>
  <si>
    <t>DNAUV-2.433-9.6</t>
  </si>
  <si>
    <t>Viruses[3];Caudovirales[3];Myoviridae[3];unclassified Myoviridae[2];Karamvirus[1];Escherichia virus CC31[1];Enterobacter phage CC31[1];unclassified Megasphaera[1];Megasphaera sp. ASD88[1]</t>
  </si>
  <si>
    <t>Viruses;Caudovirales;Myoviridae;unclassified Myoviridae;Karamvirus;Escherichia virus CC31;Enterobacter phage CC31;unclassified Megasphaera;Megasphaera sp. ASD88</t>
  </si>
  <si>
    <t>Viruses[3];Caudovirales[3];Myoviridae[3];unclassified Myoviridae[2];Prochlorococcus phage P-SSM2[1];Escherichia virus CC31[1];Enterobacter phage CC31[1]</t>
  </si>
  <si>
    <t>DNAUV-2.658-12</t>
  </si>
  <si>
    <t>Viruses[3];Caudovirales[3];Myoviridae[3];unclassified Myoviridae[1];Klebsiella virus KpV52[1];Edwardsiella phage PEi21[1]</t>
  </si>
  <si>
    <t>Viruses;Caudovirales;Myoviridae;unclassified Myoviridae;Klebsiella virus KpV52;Edwardsiella phage PEi21</t>
  </si>
  <si>
    <t>Viruses[3];Caudovirales[3];Myoviridae[3];Yokohamavirus[1];Klebsiella virus KpV52[1];Klebsiella phage vB_KpnM_KpV79[1]</t>
  </si>
  <si>
    <t>DNAUV-4.129-43</t>
  </si>
  <si>
    <t>Viruses[3];Caudovirales[3];Myoviridae[2];unclassified Myoviridae[1];Klebsiella virus RaK2[1];Klebsiella phage vB_KleM_RaK2[1]</t>
  </si>
  <si>
    <t>Viruses;Caudovirales;Myoviridae;unclassified Myoviridae;Klebsiella virus RaK2;Klebsiella phage vB_KleM_RaK2</t>
  </si>
  <si>
    <t>Viruses[3];Caudovirales[3];Myoviridae[2];unclassified Myoviridae[1];Synechococcus phage S-SSM4[1];Klebsiella phage vB_KleM_RaK2[1]</t>
  </si>
  <si>
    <t>DNAUV-20.101-21</t>
  </si>
  <si>
    <t>Viruses[7];Caudovirales[7];Myoviridae[7];unclassified Myoviridae[5];Krischvirus[1];Escherichia virus JSE[1];Thermus[1];Thermus antranikianii[1];Polaribacter porphyrae[1]</t>
  </si>
  <si>
    <t>Viruses;Caudovirales;Myoviridae;unclassified Myoviridae;Krischvirus;Escherichia virus JSE;Thermus;Thermus antranikianii;Polaribacter porphyrae</t>
  </si>
  <si>
    <t>Viruses[7];Caudovirales[7];Myoviridae[7];unclassified Myoviridae[5];Sphingomonas phage PAU[1];Escherichia virus JSE[1];Escherichia phage JSE[1]</t>
  </si>
  <si>
    <t>DNAUV-2.805-12</t>
  </si>
  <si>
    <t>Viruses[3];Caudovirales[3];Myoviridae[3];unclassified Myoviridae[3];Lake Baikal phage Baikal-20-5m-C28[3]</t>
  </si>
  <si>
    <t>DNAUV-3.453-18</t>
  </si>
  <si>
    <t>Viruses[3];Caudovirales[3];Myoviridae[2];unclassified Myoviridae[2];Lake Baikal phage Baikal-20-5m-C28[1]</t>
  </si>
  <si>
    <t>Viruses[3];Caudovirales[3];Myoviridae[2];unclassified Myoviridae[2];Caulobacter phage Cr30[1]</t>
  </si>
  <si>
    <t>DNAUV-3.468-9.3</t>
  </si>
  <si>
    <t>Viruses[3];Caudovirales[3];Myoviridae[3];unclassified Myoviridae[3];Lake Baikal phage Baikal-20-5m-C28[2]</t>
  </si>
  <si>
    <t>DNAUV-5.581-100</t>
  </si>
  <si>
    <t>Viruses[3];Caudovirales[3];Myoviridae[2];unclassified Myoviridae[2];Lake Baikal phage Baikal-20-5m-C28[2]</t>
  </si>
  <si>
    <t>DNAUV-2.209-12-V2</t>
  </si>
  <si>
    <t>Viruses[2];Caudovirales[2];Myoviridae[2];unclassified Myoviridae[2];Lake Baikal phage Baikal-20-5m-C28[2]</t>
  </si>
  <si>
    <t>DNAUV-5.879-30</t>
  </si>
  <si>
    <t>Viruses[4];Caudovirales[4];Myoviridae[4];unclassified Myoviridae[4];Lake Baikal phage Baikal-20-5m-C28[4]</t>
  </si>
  <si>
    <t>DNAUV-2.013-7.8</t>
  </si>
  <si>
    <t>Viruses[2];Caudovirales[2];Myoviridae[2];unclassified Myoviridae[2];Lake Baikal phage Baikal-20-5m-C28[1]</t>
  </si>
  <si>
    <t>DNAUV-3.740-206</t>
  </si>
  <si>
    <t>Viruses[4];Caudovirales[4];Myoviridae[4];unclassified Myoviridae[3];Lake Baikal phage Baikal-20-5m-C28[3];Acidovorax phage ACP17[1]</t>
  </si>
  <si>
    <t>Viruses;Caudovirales;Myoviridae;unclassified Myoviridae;Lake Baikal phage Baikal-20-5m-C28;Acidovorax phage ACP17</t>
  </si>
  <si>
    <t>DNAUV-4.412-143</t>
  </si>
  <si>
    <t>Viruses[4];Caudovirales[4];Myoviridae[4];unclassified Myoviridae[3];Lake Baikal phage Baikal-20-5m-C28[3];Aeromonas phage Ah1[1]</t>
  </si>
  <si>
    <t>Viruses;Caudovirales;Myoviridae;unclassified Myoviridae;Lake Baikal phage Baikal-20-5m-C28;Aeromonas phage Ah1</t>
  </si>
  <si>
    <t>DNAUV-14.753-15</t>
  </si>
  <si>
    <t>Viruses[10];Caudovirales[10];Myoviridae[10];unclassified Myoviridae[9];Lake Baikal phage Baikal-20-5m-C28[7];Afipia[1];Helicobacter[1];Helicobacter salomonis[1]</t>
  </si>
  <si>
    <t>Viruses;Caudovirales;Myoviridae;unclassified Myoviridae;Lake Baikal phage Baikal-20-5m-C28;Afipia;Helicobacter;Helicobacter salomonis</t>
  </si>
  <si>
    <t>Viruses[10];Caudovirales[10];Myoviridae[10];unclassified Myoviridae[9];Lake Baikal phage Baikal-20-5m-C28[7];Acidovorax phage ACP17[1]</t>
  </si>
  <si>
    <t>DNAUV-3.142-14</t>
  </si>
  <si>
    <t>Viruses[3];Caudovirales[3];Myoviridae[3];unclassified Myoviridae[3];Lake Baikal phage Baikal-20-5m-C28[1];Bathymodiolus platifrons methanotrophic gill symbiont[1]</t>
  </si>
  <si>
    <t>Viruses;Caudovirales;Myoviridae;unclassified Myoviridae;Lake Baikal phage Baikal-20-5m-C28;Bathymodiolus platifrons methanotrophic gill symbiont</t>
  </si>
  <si>
    <t>Viruses[3];Caudovirales[3];Myoviridae[3];unclassified Myoviridae[3];Lake Baikal phage Baikal-20-5m-C28[1]</t>
  </si>
  <si>
    <t>DNAUV-2.162-335</t>
  </si>
  <si>
    <t>Viruses[2];Caudovirales[2];Myoviridae[2];unclassified Myoviridae[2];Lake Baikal phage Baikal-20-5m-C28[2];Brucella[1];Brucella abortus[1];Brucella abortus LMN1[1]</t>
  </si>
  <si>
    <t>Viruses;Caudovirales;Myoviridae;unclassified Myoviridae;Lake Baikal phage Baikal-20-5m-C28;Brucella;Brucella abortus;Brucella abortus LMN1</t>
  </si>
  <si>
    <t>DNAUV-3.036-11</t>
  </si>
  <si>
    <t>Viruses[3];Caudovirales[3];Myoviridae[3];unclassified Myoviridae[3];Lake Baikal phage Baikal-20-5m-C28[1];Croceicoccus[1];Croceicoccus naphthovorans[1]</t>
  </si>
  <si>
    <t>Viruses;Caudovirales;Myoviridae;unclassified Myoviridae;Lake Baikal phage Baikal-20-5m-C28;Croceicoccus;Croceicoccus naphthovorans</t>
  </si>
  <si>
    <t>Viruses[3];Caudovirales[3];Myoviridae[3];unclassified Myoviridae[3];Prochlorococcus phage P-RSM4[1]</t>
  </si>
  <si>
    <t>DNAUV-5.512-54</t>
  </si>
  <si>
    <t>Viruses[4];Caudovirales[4];Myoviridae[3];unclassified Myoviridae[3];Lake Baikal phage Baikal-20-5m-C28[3];Enterococcus phage phiSHEF2[1]</t>
  </si>
  <si>
    <t>Viruses;Caudovirales;Myoviridae;unclassified Myoviridae;Lake Baikal phage Baikal-20-5m-C28;Enterococcus phage phiSHEF2</t>
  </si>
  <si>
    <t>DNAUV-17.838-18</t>
  </si>
  <si>
    <t>Viruses[11];Caudovirales[11];Myoviridae[8];unclassified Myoviridae[4];Lake Baikal phage Baikal-20-5m-C28[3];Escherichia virus Bp7[1];Dehalobacter[1];Achromatium sp. WMS3[1];Dehalobacter sp. FTH1[1]</t>
  </si>
  <si>
    <t>Viruses;Caudovirales;Myoviridae;unclassified Myoviridae;Lake Baikal phage Baikal-20-5m-C28;Escherichia virus Bp7;Dehalobacter;Achromatium sp. WMS3;Dehalobacter sp. FTH1</t>
  </si>
  <si>
    <t>Viruses[11];Caudovirales[11];Myoviridae[8];unclassified Myoviridae[4];Lake Baikal phage Baikal-20-5m-C28[3];Sinorhizobium phage phiN3[1];Enterobacteria phage Bp7[1]</t>
  </si>
  <si>
    <t>DNAUV-6.502-63</t>
  </si>
  <si>
    <t>Viruses[4];Caudovirales[4];Myoviridae[4];unclassified Myoviridae[4];Lake Baikal phage Baikal-20-5m-C28[4];Flavobacteriales[1];Synechococcus[1];Myroides[1];Myroides guanonis[1]</t>
  </si>
  <si>
    <t>Viruses;Caudovirales;Myoviridae;unclassified Myoviridae;Lake Baikal phage Baikal-20-5m-C28;Flavobacteriales;Synechococcus;Myroides;Myroides guanonis</t>
  </si>
  <si>
    <t>DNAUV-4.788-191</t>
  </si>
  <si>
    <t>Viruses[4];Caudovirales[4];Myoviridae[4];unclassified Myoviridae[4];Lake Baikal phage Baikal-20-5m-C28[3];Golenkiniaceae[1];Synechococcus[1];Golenkinia longispicula[1];Synechococcus sp. TMED187[1]</t>
  </si>
  <si>
    <t>Viruses;Caudovirales;Myoviridae;unclassified Myoviridae;Lake Baikal phage Baikal-20-5m-C28;Golenkiniaceae;Synechococcus;Golenkinia longispicula;Synechococcus sp. TMED187</t>
  </si>
  <si>
    <t>Viruses[4];Caudovirales[4];Myoviridae[4];unclassified Myoviridae[4];Lake Baikal phage Baikal-20-5m-C28[3]</t>
  </si>
  <si>
    <t>DNAUV-5.521-60</t>
  </si>
  <si>
    <t>Viruses[4];Caudovirales[4];Myoviridae[4];unclassified Myoviridae[3];Lake Baikal phage Baikal-20-5m-C28[2];Sinorhizobium phage phiM12[1]</t>
  </si>
  <si>
    <t>Viruses;Caudovirales;Myoviridae;unclassified Myoviridae;Lake Baikal phage Baikal-20-5m-C28;Sinorhizobium phage phiM12</t>
  </si>
  <si>
    <t>DNAUV-33.599-56</t>
  </si>
  <si>
    <t>Viruses[20];Caudovirales[20];Myoviridae[20];unclassified Myoviridae[17];Lake Baikal phage Baikal-20-5m-C28[12];Sinorhizobium phage phiM12[2];unclassified Afipia[1];Helicobacter heilmannii[1];Alistipes timonensis[1]</t>
  </si>
  <si>
    <t>Viruses;Caudovirales;Myoviridae;unclassified Myoviridae;Lake Baikal phage Baikal-20-5m-C28;Sinorhizobium phage phiM12;unclassified Afipia;Helicobacter heilmannii;Alistipes timonensis</t>
  </si>
  <si>
    <t>Viruses[20];Caudovirales[20];Myoviridae[20];unclassified Myoviridae[17];Lake Baikal phage Baikal-20-5m-C28[12];Sinorhizobium phage phiM12[2]</t>
  </si>
  <si>
    <t>DNAUV-4.271-15</t>
  </si>
  <si>
    <t>Viruses[2];Caudovirales[2];Myoviridae[2];unclassified Myoviridae[2];Lake Baikal phage Baikal-20-5m-C28[2];Synechococcaceae[1];Synechococcus[1];Geobacillus stearothermophilus[1];Synechococcus sp. TMED187[1]</t>
  </si>
  <si>
    <t>Viruses;Caudovirales;Myoviridae;unclassified Myoviridae;Lake Baikal phage Baikal-20-5m-C28;Synechococcaceae;Synechococcus;Geobacillus stearothermophilus;Synechococcus sp. TMED187</t>
  </si>
  <si>
    <t>DNAUV-4.663-398</t>
  </si>
  <si>
    <t>Viruses[3];Caudovirales[3];Myoviridae[2];unclassified Myoviridae[2];Lake Baikal phage Baikal-20-5m-C28[2];Synechococcaceae[2];Synechococcus[2];unclassified Synechococcus[2];Synechococcus sp. TMED187[2]</t>
  </si>
  <si>
    <t>Viruses;Caudovirales;Myoviridae;unclassified Myoviridae;Lake Baikal phage Baikal-20-5m-C28;Synechococcaceae;Synechococcus;unclassified Synechococcus;Synechococcus sp. TMED187</t>
  </si>
  <si>
    <t>Viruses[3];Caudovirales[3];Myoviridae[2];unclassified Myoviridae[2];Lake Baikal phage Baikal-20-5m-C28[2];Salmonella phage FSL SP-062[1]</t>
  </si>
  <si>
    <t>DNAUV-4.429-31</t>
  </si>
  <si>
    <t>Viruses[2];Caudovirales[2];Myoviridae[2];unclassified Myoviridae[2];Lake Baikal phage Baikal-20-5m-C28[2];Synechococcaceae[1];Synechococcus[1];unclassified Synechococcus[1];Synechococcus sp. TMED187[1]</t>
  </si>
  <si>
    <t>DNAUV-19.443-61</t>
  </si>
  <si>
    <t>Viruses[11];Caudovirales[11];Myoviridae[11];unclassified Myoviridae[11];Lake Baikal phage Baikal-20-5m-C28[7];Synechococcaceae[4];Synechococcus[4];unclassified Synechococcus[4];Synechococcus sp. TMED187[4]</t>
  </si>
  <si>
    <t>Viruses[11];Caudovirales[11];Myoviridae[11];unclassified Myoviridae[11];Lake Baikal phage Baikal-20-5m-C28[7]</t>
  </si>
  <si>
    <t>DNAUV-68.024-31</t>
  </si>
  <si>
    <t>Viruses[39];Caudovirales[39];Myoviridae[35];unclassified Myoviridae[32];Lake Baikal phage Baikal-20-5m-C28[21];Synechococcaceae[8];Synechococcus[8];unclassified Synechococcus[8];Synechococcus sp. TMED187[8];Aureitalea sp. RR4-38[1]</t>
  </si>
  <si>
    <t>Viruses;Caudovirales;Myoviridae;unclassified Myoviridae;Lake Baikal phage Baikal-20-5m-C28;Synechococcaceae;Synechococcus;unclassified Synechococcus;Synechococcus sp. TMED187;Aureitalea sp. RR4-38</t>
  </si>
  <si>
    <t>Viruses[39];Caudovirales[39];Myoviridae[35];unclassified Myoviridae[32];Lake Baikal phage Baikal-20-5m-C28[21];Sinorhizobium phage phiM12[1]</t>
  </si>
  <si>
    <t>DNAUV-2.939-16</t>
  </si>
  <si>
    <t>Viruses[2];Caudovirales[2];Myoviridae[1];unclassified Myoviridae[1];Minwuiaceae[1];Minwuia[1];Histophilus somni[1]</t>
  </si>
  <si>
    <t>Viruses;Caudovirales;Myoviridae;unclassified Myoviridae;Minwuiaceae;Minwuia;Histophilus somni</t>
  </si>
  <si>
    <t>Viruses[2];Caudovirales[2];Ackermannviridae[1];unclassified Ackermannviridae[1];Stenotrophomonas phage IME-SM1[1]</t>
  </si>
  <si>
    <t>DNAUV-85.908-43</t>
  </si>
  <si>
    <t>Viruses[39];Caudovirales[39];Myoviridae[34];unclassified Myoviridae[21];Mooglevirus[3];unclassified Mooglevirus[2];Escherichia coli[2];Simkania negevensis[1];Bacillus wiedmannii[1]</t>
  </si>
  <si>
    <t>Viruses;Caudovirales;Myoviridae;unclassified Myoviridae;Mooglevirus;unclassified Mooglevirus;Escherichia coli;Simkania negevensis;Bacillus wiedmannii</t>
  </si>
  <si>
    <t>Viruses[39];Caudovirales[39];Myoviridae[34];unclassified Myoviridae[21];Mooglevirus[3];Pseudomonas phage KPP10[2];Cronobacter phage CR8[1]</t>
  </si>
  <si>
    <t>DNAUV-2.431-148</t>
  </si>
  <si>
    <t>Viruses[1];Caudovirales[1];Myoviridae[1];unclassified Myoviridae[1];Nostocales[1];Aphanizomenonaceae[1];Aphanizomenon[1];Aphanizomenon flos-aquae[1];Aphanizomenon flos-aquae WA102[1]</t>
  </si>
  <si>
    <t>Viruses;Caudovirales;Myoviridae;unclassified Myoviridae;Nostocales;Aphanizomenonaceae;Aphanizomenon;Aphanizomenon flos-aquae;Aphanizomenon flos-aquae WA102</t>
  </si>
  <si>
    <t>Viruses[1];Caudovirales[1];Myoviridae[1];unclassified Myoviridae[1];Pseudoalteromonas phage H101[1]</t>
  </si>
  <si>
    <t>DNAUV-2.714-97</t>
  </si>
  <si>
    <t>Viruses[1];Caudovirales[1];Myoviridae[1];unclassified Myoviridae[1];Oxalobacteraceae[1];Oxalobacter[1];Oxalobacter formigenes[1]</t>
  </si>
  <si>
    <t>Viruses;Caudovirales;Myoviridae;unclassified Myoviridae;Oxalobacteraceae;Oxalobacter;Oxalobacter formigenes</t>
  </si>
  <si>
    <t>DNAUV-2.324-6.2</t>
  </si>
  <si>
    <t>Viruses[3];Caudovirales[3];Myoviridae[3];unclassified Myoviridae[3];Pelagibacter phage HTVC008M[1]</t>
  </si>
  <si>
    <t>DNAUV-2.317-8.2</t>
  </si>
  <si>
    <t>DNAUV-34.354-18</t>
  </si>
  <si>
    <t>Viruses[21];Caudovirales[21];Myoviridae[17];unclassified Myoviridae[10];Pelagibacter phage HTVC008M[4];Acidovorax phage ACP17[3];Vibrio harveyi group[1];Pseudomonas fluorescens[1];Corallococcus coralloides[1]</t>
  </si>
  <si>
    <t>Viruses;Caudovirales;Myoviridae;unclassified Myoviridae;Pelagibacter phage HTVC008M;Acidovorax phage ACP17;Vibrio harveyi group;Pseudomonas fluorescens;Corallococcus coralloides</t>
  </si>
  <si>
    <t>Viruses[21];Caudovirales[21];Myoviridae[17];unclassified Myoviridae[10];Pelagibacter phage HTVC008M[4];Acidovorax phage ACP17[3]</t>
  </si>
  <si>
    <t>DNAUV-2.744-424</t>
  </si>
  <si>
    <t>Viruses[1];Caudovirales[1];Myoviridae[1];unclassified Myoviridae[1];Pelagibacter phage HTVC008M[1];Bdellovibrio[1];Bdellovibrio bacteriovorus[1]</t>
  </si>
  <si>
    <t>Viruses;Caudovirales;Myoviridae;unclassified Myoviridae;Pelagibacter phage HTVC008M;Bdellovibrio;Bdellovibrio bacteriovorus</t>
  </si>
  <si>
    <t>DNAUV-8.290-65</t>
  </si>
  <si>
    <t>Viruses[8];Caudovirales[8];Myoviridae[8];unclassified Myoviridae[5];Pelagibacter phage HTVC008M[2];Campylobacter virus CPt10[1];unclassified Variovorax[1];Variovorax sp. WDL1[1]</t>
  </si>
  <si>
    <t>Viruses;Caudovirales;Myoviridae;unclassified Myoviridae;Pelagibacter phage HTVC008M;Campylobacter virus CPt10;unclassified Variovorax;Variovorax sp. WDL1</t>
  </si>
  <si>
    <t>Viruses[8];Caudovirales[8];Myoviridae[8];unclassified Myoviridae[5];Pelagibacter phage HTVC008M[2];Sinorhizobium phage phiM12[1]</t>
  </si>
  <si>
    <t>DNAUV-2.170-25</t>
  </si>
  <si>
    <t>Viruses[3];Caudovirales[3];Myoviridae[3];unclassified Myoviridae[2];Pelagibacter phage HTVC008M[2];Klebsiella virus Miro[1];Klebsiella phage Miro[1]</t>
  </si>
  <si>
    <t>Viruses;Caudovirales;Myoviridae;unclassified Myoviridae;Pelagibacter phage HTVC008M;Klebsiella virus Miro;Klebsiella phage Miro</t>
  </si>
  <si>
    <t>DNAUV-147.430-52</t>
  </si>
  <si>
    <t>Viruses[71];Caudovirales[71];Myoviridae[53];unclassified Myoviridae[45];Pelagibacter phage HTVC008M[8];Pseudomonas[4];Paenibacillus[2];Pseudomonas aeruginosa[2];Pantoea stewartii subsp. stewartii DC283[1];Mariniflexile sp. TRM1-10[1]</t>
  </si>
  <si>
    <t>Viruses;Caudovirales;Myoviridae;unclassified Myoviridae;Pelagibacter phage HTVC008M;Pseudomonas;Paenibacillus;Pseudomonas aeruginosa;Pantoea stewartii subsp. stewartii DC283;Mariniflexile sp. TRM1-10</t>
  </si>
  <si>
    <t>Viruses[71];Caudovirales[71];Myoviridae[53];unclassified Myoviridae[45];Pelagibacter phage HTVC008M[8];Sinorhizobium phage phiM12[2]</t>
  </si>
  <si>
    <t>DNAUV-2.807-39</t>
  </si>
  <si>
    <t>Viruses[1];Caudovirales[1];Myoviridae[1];unclassified Myoviridae[1];Prochlorococcus phage P-TIM68[1];Aphanizomenonaceae[1];Aphanizomenon[1];Aphanizomenon flos-aquae[1];Aphanizomenon flos-aquae WA102[1]</t>
  </si>
  <si>
    <t>Viruses;Caudovirales;Myoviridae;unclassified Myoviridae;Prochlorococcus phage P-TIM68;Aphanizomenonaceae;Aphanizomenon;Aphanizomenon flos-aquae;Aphanizomenon flos-aquae WA102</t>
  </si>
  <si>
    <t>Viruses[1];Caudovirales[1];Myoviridae[1];unclassified Myoviridae[1];Prochlorococcus phage P-TIM68[1]</t>
  </si>
  <si>
    <t>DNAUV-2.632-12</t>
  </si>
  <si>
    <t>Viruses;Caudovirales;Myoviridae;unclassified Myoviridae;Pseudoalteromonas phage H101</t>
  </si>
  <si>
    <t>DNAUV-5.208-611</t>
  </si>
  <si>
    <t>Viruses[2];Caudovirales[2];Myoviridae[2];unclassified Myoviridae[2];Pseudomonas phage ventosus[1];Aliiroseovarius[1];Aliiroseovarius pelagivivens[1]</t>
  </si>
  <si>
    <t>Viruses;Caudovirales;Myoviridae;unclassified Myoviridae;Pseudomonas phage ventosus;Aliiroseovarius;Aliiroseovarius pelagivivens</t>
  </si>
  <si>
    <t>Viruses[2];Caudovirales[2];Myoviridae[2];unclassified Myoviridae[2];Pseudoalteromonas phage PH357[1]</t>
  </si>
  <si>
    <t>DNAUV-6.248-60</t>
  </si>
  <si>
    <t>Viruses[3];Caudovirales[3];Myoviridae[3];unclassified Myoviridae[2];Pseudomonas virus pf16[1];Pseudomonas phage pf16[1];Synechococcus[1];unclassified Synechococcus[1];Synechococcus sp. TMED187[1]</t>
  </si>
  <si>
    <t>Viruses;Caudovirales;Myoviridae;unclassified Myoviridae;Pseudomonas virus pf16;Pseudomonas phage pf16;Synechococcus;unclassified Synechococcus;Synechococcus sp. TMED187</t>
  </si>
  <si>
    <t>Viruses[3];Caudovirales[3];Myoviridae[3];unclassified Myoviridae[2];Pelagibacter phage HTVC008M[1];Pseudomonas phage pf16[1]</t>
  </si>
  <si>
    <t>DNAUV-5.647-111</t>
  </si>
  <si>
    <t>Viruses[2];Caudovirales[2];Myoviridae[2];unclassified Myoviridae[1];Pseudomonas virus pf16[1];Pseudomonas phage pf16[1];Synechococcus[1];unclassified Synechococcus[1];Synechococcus sp. TMED187[1]</t>
  </si>
  <si>
    <t>DNAUV-2.708-49</t>
  </si>
  <si>
    <t>Viruses[2];Caudovirales[2];Myoviridae[2];unclassified Myoviridae[2];Psychrobacter phage pOW20-A[2];Altererythrobacter[1];unclassified Altererythrobacter[1];Altererythrobacter sp. HME9302[1]</t>
  </si>
  <si>
    <t>Viruses;Caudovirales;Myoviridae;unclassified Myoviridae;Psychrobacter phage pOW20-A;Altererythrobacter;unclassified Altererythrobacter;Altererythrobacter sp. HME9302</t>
  </si>
  <si>
    <t>Viruses[2];Caudovirales[2];Myoviridae[2];unclassified Myoviridae[2];Psychrobacter phage pOW20-A[2]</t>
  </si>
  <si>
    <t>DNAUV-2.027-1520</t>
  </si>
  <si>
    <t>Viruses[1];Caudovirales[1];Myoviridae[1];unclassified Myoviridae[1];Psychrobacter phage pOW20-A[1];Bdellovibrio[1];unclassified Bdellovibrio[1];Bdellovibrio sp. CG_4_9_14_3_um_filter_39_7[1]</t>
  </si>
  <si>
    <t>Viruses;Caudovirales;Myoviridae;unclassified Myoviridae;Psychrobacter phage pOW20-A;Bdellovibrio;unclassified Bdellovibrio;Bdellovibrio sp. CG_4_9_14_3_um_filter_39_7</t>
  </si>
  <si>
    <t>Viruses[1];Caudovirales[1];Myoviridae[1];unclassified Myoviridae[1];Psychrobacter phage pOW20-A[1]</t>
  </si>
  <si>
    <t>DNAUV-5.787-380</t>
  </si>
  <si>
    <t>Viruses[3];Caudovirales[3];Myoviridae[2];unclassified Myoviridae[2];Psychrobacter phage pOW20-A[2];Burkholderia phage vB_BceS_AH2[1]</t>
  </si>
  <si>
    <t>Viruses;Caudovirales;Myoviridae;unclassified Myoviridae;Psychrobacter phage pOW20-A;Burkholderia phage vB_BceS_AH2</t>
  </si>
  <si>
    <t>DNAUV-3.445-14</t>
  </si>
  <si>
    <t>Viruses[1];Caudovirales[1];Myoviridae[1];unclassified Myoviridae[1];Rhizobiaceae[1];Rhizobium/Agrobacterium group[1];Rhizobium[1];unclassified Rhizobium[1];Rhizobium sp. Root149[1]</t>
  </si>
  <si>
    <t>Viruses;Caudovirales;Myoviridae;unclassified Myoviridae;Rhizobiaceae;Rhizobium/Agrobacterium group;Rhizobium;unclassified Rhizobium;Rhizobium sp. Root149</t>
  </si>
  <si>
    <t>DNAUV-9.325-79</t>
  </si>
  <si>
    <t>Viruses[9];Caudovirales[9];Myoviridae[6];unclassified Myoviridae[5];Rhodobacteraceae[4];Aminobacter[2];Aminobacter aminovorans[1];Aminobacter sp. MSH1[1];Synechococcus sp. TMED187[1]</t>
  </si>
  <si>
    <t>Viruses;Caudovirales;Myoviridae;unclassified Myoviridae;Rhodobacteraceae;Aminobacter;Aminobacter aminovorans;Aminobacter sp. MSH1;Synechococcus sp. TMED187</t>
  </si>
  <si>
    <t>Viruses[9];Caudovirales[9];Myoviridae[6];unclassified Myoviridae[5];Puniceispirillum phage HMO-2011[2];Sinorhizobium phage phiN3[1]</t>
  </si>
  <si>
    <t>DNAUV-4.565-49</t>
  </si>
  <si>
    <t>Viruses[2];Caudovirales[2];Myoviridae[1];unclassified Myoviridae[1];Rhodobacteraceae[1];Leisingera[1];Leisingera methylohalidivorans[1];unclassified Synechococcus[1];Synechococcus sp. TMED187[1]</t>
  </si>
  <si>
    <t>Viruses;Caudovirales;Myoviridae;unclassified Myoviridae;Rhodobacteraceae;Leisingera;Leisingera methylohalidivorans;unclassified Synechococcus;Synechococcus sp. TMED187</t>
  </si>
  <si>
    <t>Viruses[2];Caudovirales[2];Myoviridae[1];unclassified Ackermannviridae[1];Stenotrophomonas phage vB_SmaS-DLP_6[1]</t>
  </si>
  <si>
    <t>DNAUV-3.269-81</t>
  </si>
  <si>
    <t>Viruses[1];Caudovirales[1];Myoviridae[1];unclassified Myoviridae[1];Rhodobacteraceae[1];Pararhodobacter[1];Pararhodobacter aggregans[1]</t>
  </si>
  <si>
    <t>Viruses;Caudovirales;Myoviridae;unclassified Myoviridae;Rhodobacteraceae;Pararhodobacter;Pararhodobacter aggregans</t>
  </si>
  <si>
    <t>DNAUV-3.616-8.3</t>
  </si>
  <si>
    <t>Viruses[1];Caudovirales[1];Myoviridae[1];unclassified Myoviridae[1];Rhodobacteraceae[1];Phaeobacter[1];unclassified Phaeobacter[1];Phaeobacter sp. 11ANDIMAR09[1]</t>
  </si>
  <si>
    <t>Viruses;Caudovirales;Myoviridae;unclassified Myoviridae;Rhodobacteraceae;Phaeobacter;unclassified Phaeobacter;Phaeobacter sp. 11ANDIMAR09</t>
  </si>
  <si>
    <t>Viruses[1];Caudovirales[1];Myoviridae[1];unclassified Myoviridae[1];Xanthomonas phage XacN1[1]</t>
  </si>
  <si>
    <t>DNAUV-2.110-106</t>
  </si>
  <si>
    <t>Viruses[1];Caudovirales[1];Myoviridae[1];unclassified Myoviridae[1];Rhodospirillaceae[1];Thalassospira[1];unclassified Thalassospira[1];Thalassospira sp. 11-3[1]</t>
  </si>
  <si>
    <t>Viruses;Caudovirales;Myoviridae;unclassified Myoviridae;Rhodospirillaceae;Thalassospira;unclassified Thalassospira;Thalassospira sp. 11-3</t>
  </si>
  <si>
    <t>Viruses[1];Caudovirales[1];Myoviridae[1];unclassified Myoviridae[1];Cellulophaga phage phiSM[1]</t>
  </si>
  <si>
    <t>DNAUV-3.005-191</t>
  </si>
  <si>
    <t>Viruses[1];Caudovirales[1];Myoviridae[1];unclassified Myoviridae[1];Rhodothermus phage RM378[1];Galdieria[1];Galdieria sulphuraria[1]</t>
  </si>
  <si>
    <t>Viruses;Caudovirales;Myoviridae;unclassified Myoviridae;Rhodothermus phage RM378;Galdieria;Galdieria sulphuraria</t>
  </si>
  <si>
    <t>DNAUV-2.222-115</t>
  </si>
  <si>
    <t>Viruses[2];Caudovirales[2];Myoviridae[1];unclassified Myoviridae[1];Salicola phage SCTP-2[1]</t>
  </si>
  <si>
    <t>Viruses[2];Caudovirales[2];Podoviridae[1];unclassified Myoviridae[1];Celeribacter phage P12053L[1]</t>
  </si>
  <si>
    <t>DNAUV-2.381-12</t>
  </si>
  <si>
    <t>DNAUV-3.806-21</t>
  </si>
  <si>
    <t>DNAUV-2.531-1092</t>
  </si>
  <si>
    <t>Viruses[1];Caudovirales[1];Myoviridae[1];unclassified Myoviridae[1];Salinisphaeraceae[1];Salinisphaera[1];Salinisphaera hydrothermalis[1]</t>
  </si>
  <si>
    <t>Viruses;Caudovirales;Myoviridae;unclassified Myoviridae;Salinisphaeraceae;Salinisphaera;Salinisphaera hydrothermalis</t>
  </si>
  <si>
    <t>Viruses[1];Caudovirales[1];Myoviridae[1];unclassified Myoviridae[1];Acinetobacter phage phiAC-1[1]</t>
  </si>
  <si>
    <t>DNAUV-5.178-43</t>
  </si>
  <si>
    <t>Viruses[4];Caudovirales[4];Myoviridae[4];unclassified Myoviridae[3];Schizotequatrovirus[1];unclassified Schizotequatrovirus[1];Vibrio phage 1.081.O._10N.286.52.C2[1]</t>
  </si>
  <si>
    <t>Viruses;Caudovirales;Myoviridae;unclassified Myoviridae;Schizotequatrovirus;unclassified Schizotequatrovirus;Vibrio phage 1.081.O._10N.286.52.C2</t>
  </si>
  <si>
    <t>Viruses[4];Caudovirales[4];Myoviridae[4];unclassified Myoviridae[3];Vibrio phage 11895-B1[1];unclassified Schizotequatrovirus[1];Vibrio phage 1.081.O._10N.286.52.C2[1]</t>
  </si>
  <si>
    <t>DNAUV-6.824-277</t>
  </si>
  <si>
    <t>Viruses[6];Caudovirales[6];Myoviridae[6];unclassified Myoviridae[6];Shewanella phage SppYZU01[5]</t>
  </si>
  <si>
    <t>DNAUV-7.726-37</t>
  </si>
  <si>
    <t>Viruses[6];Caudovirales[6];Myoviridae[6];unclassified Myoviridae[6];Shewanella phage SppYZU01[6]</t>
  </si>
  <si>
    <t>DNAUV-3.693-13</t>
  </si>
  <si>
    <t>Viruses[5];Caudovirales[5];Myoviridae[5];unclassified Myoviridae[5];Shewanella phage SppYZU01[4]</t>
  </si>
  <si>
    <t>DNAUV-4.255-152</t>
  </si>
  <si>
    <t>Viruses[5];Caudovirales[5];Myoviridae[5];unclassified Myoviridae[5];Shewanella phage SppYZU01[5]</t>
  </si>
  <si>
    <t>DNAUV-4.258-125</t>
  </si>
  <si>
    <t>DNAUV-2.907-13</t>
  </si>
  <si>
    <t>Viruses[4];Caudovirales[4];Myoviridae[4];unclassified Myoviridae[4];Shewanella phage SppYZU01[4]</t>
  </si>
  <si>
    <t>DNAUV-3.983-12</t>
  </si>
  <si>
    <t>Viruses[4];Caudovirales[4];Myoviridae[4];unclassified Myoviridae[4];Shewanella phage SppYZU01[2]</t>
  </si>
  <si>
    <t>DNAUV-2.072-105</t>
  </si>
  <si>
    <t>Viruses[2];Caudovirales[2];Myoviridae[2];unclassified Myoviridae[2];Shewanella phage SppYZU01[2]</t>
  </si>
  <si>
    <t>DNAUV-2.261-108</t>
  </si>
  <si>
    <t>DNAUV-2.261-159</t>
  </si>
  <si>
    <t>DNAUV-2.434-170</t>
  </si>
  <si>
    <t>DNAUV-3.049-24</t>
  </si>
  <si>
    <t>DNAUV-3.242-187</t>
  </si>
  <si>
    <t>DNAUV-3.624-689</t>
  </si>
  <si>
    <t>DNAUV-4.141-12</t>
  </si>
  <si>
    <t>DNAUV-2.618-12</t>
  </si>
  <si>
    <t>DNAUV-2.644-248</t>
  </si>
  <si>
    <t>Viruses[2];Caudovirales[2];Myoviridae[2];unclassified Myoviridae[2];Shewanella phage SppYZU01[2];Bacillaceae[1];Bacillus[1];Bacillus subtilis group[1];Bacillus paralicheniformis[1]</t>
  </si>
  <si>
    <t>Viruses;Caudovirales;Myoviridae;unclassified Myoviridae;Shewanella phage SppYZU01;Bacillaceae;Bacillus;Bacillus subtilis group;Bacillus paralicheniformis</t>
  </si>
  <si>
    <t>DNAUV-3.899-84</t>
  </si>
  <si>
    <t>Viruses[2];Caudovirales[2];Myoviridae[1];unclassified Myoviridae[1];Shewanella phage SppYZU01[1];Burkholderia[1];Burkholderia cepacia complex[1];Burkholderia cenocepacia[1]</t>
  </si>
  <si>
    <t>Viruses;Caudovirales;Myoviridae;unclassified Myoviridae;Shewanella phage SppYZU01;Burkholderia;Burkholderia cepacia complex;Burkholderia cenocepacia</t>
  </si>
  <si>
    <t>DNAUV-7.255-110</t>
  </si>
  <si>
    <t>Viruses[3];Caudovirales[3];Myoviridae[2];unclassified Myoviridae[2];Shewanella phage SppYZU01[2];Endozoicomonas[1];Endozoicomonas atrinae[1]</t>
  </si>
  <si>
    <t>Viruses;Caudovirales;Myoviridae;unclassified Myoviridae;Shewanella phage SppYZU01;Endozoicomonas;Endozoicomonas atrinae</t>
  </si>
  <si>
    <t>Viruses[3];Caudovirales[3];Myoviridae[2];unclassified Myoviridae[2];Shewanella phage SppYZU01[2]</t>
  </si>
  <si>
    <t>DNAUV-43.274-68</t>
  </si>
  <si>
    <t>Viruses[35];Caudovirales[35];Myoviridae[34];unclassified Myoviridae[33];Shewanella phage SppYZU01[30];Fibrobacteraceae[1];Virgibacillus[1];Virgibacillus massiliensis[1];Fibrobacter sp. UWH8[1]</t>
  </si>
  <si>
    <t>Viruses;Caudovirales;Myoviridae;unclassified Myoviridae;Shewanella phage SppYZU01;Fibrobacteraceae;Virgibacillus;Virgibacillus massiliensis;Fibrobacter sp. UWH8</t>
  </si>
  <si>
    <t>Viruses[35];Caudovirales[35];Myoviridae[34];unclassified Myoviridae[33];Shewanella phage SppYZU01[30];Aeromonas phage CC2[1]</t>
  </si>
  <si>
    <t>DNAUV-2.897-128</t>
  </si>
  <si>
    <t>Viruses[1];Caudovirales[1];Myoviridae[1];unclassified Myoviridae[1];Shewanella phage SppYZU01[1];Ochrobactrum[1];Ochrobactrum oryzae[1]</t>
  </si>
  <si>
    <t>Viruses;Caudovirales;Myoviridae;unclassified Myoviridae;Shewanella phage SppYZU01;Ochrobactrum;Ochrobactrum oryzae</t>
  </si>
  <si>
    <t>DNAUV-48.475-181</t>
  </si>
  <si>
    <t>Viruses[19];Caudovirales[19];Myoviridae[19];unclassified Myoviridae[19];Shewanella phage SppYZU01[12];Shewanella[1];Sphaerobacterineae[1];Rhizobium giardinii[1];Chondromyces crocatus[1];Gnathostomata[1];Teleostomi[1];Euteleostomi[1];Sarcopterygii[1];Dipnotetrapodomorpha[1];Tetrapoda[1];Amniota[1];Mammalia[1];Theria[1];Eutheria[1];Boreoeutheria[1];Euarchontoglires[1];Glires[1];Lagomorpha[1];Ochotonidae[1];Ochotona[1];Ochotona princeps[1]</t>
  </si>
  <si>
    <t>Viruses;Caudovirales;Myoviridae;unclassified Myoviridae;Shewanella phage SppYZU01;Shewanella;Sphaerobacterineae;Rhizobium giardinii;Chondromyces crocatus;Gnathostomata;Teleostomi;Euteleostomi;Sarcopterygii;Dipnotetrapodomorpha;Tetrapoda;Amniota;Mammalia;Theria;Eutheria;Boreoeutheria;Euarchontoglires;Glires;Lagomorpha;Ochotonidae;Ochotona;Ochotona princeps</t>
  </si>
  <si>
    <t>Viruses[19];Caudovirales[19];Myoviridae[19];unclassified Myoviridae[19];Shewanella phage SppYZU01[12]</t>
  </si>
  <si>
    <t>DNAUV-2.594-36</t>
  </si>
  <si>
    <t>Viruses[1];Caudovirales[1];Myoviridae[1];unclassified Myoviridae[1];Shewanella phage SppYZU01[1];Thalassospira[1];Thalassospira xiamenensis[1]</t>
  </si>
  <si>
    <t>Viruses;Caudovirales;Myoviridae;unclassified Myoviridae;Shewanella phage SppYZU01;Thalassospira;Thalassospira xiamenensis</t>
  </si>
  <si>
    <t>DNAUV-16.585-31</t>
  </si>
  <si>
    <t>Viruses[12];Caudovirales[12];Myoviridae[12];unclassified Myoviridae[12];Shewanella phage SppYZU01[9];Verrucomicrobiaceae[1];Haloferula[1];unclassified Haloferula[1];Haloferula sp. BvORR071[1]</t>
  </si>
  <si>
    <t>Viruses;Caudovirales;Myoviridae;unclassified Myoviridae;Shewanella phage SppYZU01;Verrucomicrobiaceae;Haloferula;unclassified Haloferula;Haloferula sp. BvORR071</t>
  </si>
  <si>
    <t>Viruses[12];Caudovirales[12];Myoviridae[12];unclassified Myoviridae[12];Shewanella phage SppYZU01[9]</t>
  </si>
  <si>
    <t>DNAUV-2.360-8.7</t>
  </si>
  <si>
    <t>Viruses[2];Caudovirales[2];Myoviridae[2];unclassified Myoviridae[2];Shewanella sp. phage 1/4[1];Escherichia[1];Escherichia coli[1]</t>
  </si>
  <si>
    <t>Viruses;Caudovirales;Myoviridae;unclassified Myoviridae;Shewanella sp. phage 1/4;Escherichia;Escherichia coli</t>
  </si>
  <si>
    <t>Viruses[2];Caudovirales[2];Myoviridae[2];unclassified Myoviridae[2];Vibrio phage RYC[1]</t>
  </si>
  <si>
    <t>DNAUV-8.232-22</t>
  </si>
  <si>
    <t>Viruses[3];Caudovirales[3];Myoviridae[3];unclassified Myoviridae[3];Shewanella sp. phage 1/4[1];Vibrio[1];Vibrio cholerae[1]</t>
  </si>
  <si>
    <t>Viruses;Caudovirales;Myoviridae;unclassified Myoviridae;Shewanella sp. phage 1/4;Vibrio;Vibrio cholerae</t>
  </si>
  <si>
    <t>Viruses[3];Caudovirales[3];Myoviridae[3];unclassified Myoviridae[3];Vibrio phage 1.193.O._10N.286.52.C6[1]</t>
  </si>
  <si>
    <t>DNAUV-26.213-146</t>
  </si>
  <si>
    <t>Viruses[5];Caudovirales[5];Myoviridae[3];unclassified Myoviridae[2];Sinorhizobium virus M12[1];Enterococcus virus EF24C[1];Saccharothrix[1];Robiginitalea[1];Saccharothrix sp. ST-888[1];Robiginitalea biformata HTCC2501[1]</t>
  </si>
  <si>
    <t>Viruses;Caudovirales;Myoviridae;unclassified Myoviridae;Sinorhizobium virus M12;Enterococcus virus EF24C;Saccharothrix;Robiginitalea;Saccharothrix sp. ST-888;Robiginitalea biformata HTCC2501</t>
  </si>
  <si>
    <t>Viruses[5];Caudovirales[5];Myoviridae[3];unclassified Myoviridae[2];Kochikohdavirus[1];Enterococcus virus EF24C[1];Enterococcus phage EF24C[1]</t>
  </si>
  <si>
    <t>DNAUV-8.856-17</t>
  </si>
  <si>
    <t>Viruses[7];Caudovirales[7];Myoviridae[6];unclassified Myoviridae[5];Sinorhizobium virus M12[1];Sinorhizobium phage phiM12[1]</t>
  </si>
  <si>
    <t>Viruses;Caudovirales;Myoviridae;unclassified Myoviridae;Sinorhizobium virus M12;Sinorhizobium phage phiM12</t>
  </si>
  <si>
    <t>Viruses[7];Caudovirales[7];Myoviridae[6];unclassified Myoviridae[5];Lake Baikal phage Baikal-20-5m-C28[1];Sinorhizobium phage phiM12[1]</t>
  </si>
  <si>
    <t>DNAUV-3.045-18</t>
  </si>
  <si>
    <t>Viruses[3];Caudovirales[3];Myoviridae[3];unclassified Myoviridae[2];Sinorhizobium virus M12[1];Sinorhizobium phage phiM12[1]</t>
  </si>
  <si>
    <t>DNAUV-7.103-19</t>
  </si>
  <si>
    <t>Viruses[4];Caudovirales[4];Myoviridae[3];unclassified Myoviridae[2];Sinorhizobium virus M12[1];Sinorhizobium phage phiM12[1];Bradyrhizobium japonicum[1]</t>
  </si>
  <si>
    <t>Viruses;Caudovirales;Myoviridae;unclassified Myoviridae;Sinorhizobium virus M12;Sinorhizobium phage phiM12;Bradyrhizobium japonicum</t>
  </si>
  <si>
    <t>Viruses[4];Caudovirales[4];Myoviridae[3];unclassified Myoviridae[2];Synechococcus phage Bellamy[1];Sinorhizobium phage phiM12[1]</t>
  </si>
  <si>
    <t>DNAUV-24.776-121</t>
  </si>
  <si>
    <t>Viruses[15];Caudovirales[15];Myoviridae[11];unclassified Myoviridae[6];Sinorhizobium virus M12[4];Sinorhizobium phage phiM12[4];Flavobacteriaceae[1];unclassified Dehalobacter[1];Salmonella enterica subsp. enterica serovar Typhi[1]</t>
  </si>
  <si>
    <t>Viruses;Caudovirales;Myoviridae;unclassified Myoviridae;Sinorhizobium virus M12;Sinorhizobium phage phiM12;Flavobacteriaceae;unclassified Dehalobacter;Salmonella enterica subsp. enterica serovar Typhi</t>
  </si>
  <si>
    <t>Viruses[15];Caudovirales[15];Myoviridae[11];unclassified Myoviridae[6];Sinorhizobium virus M12[4];Sinorhizobium phage phiM12[4]</t>
  </si>
  <si>
    <t>DNAUV-12.093-17</t>
  </si>
  <si>
    <t>Viruses[9];Caudovirales[9];Myoviridae[8];unclassified Myoviridae[5];Sinorhizobium virus M12[2];Sinorhizobium phage phiM12[2];Geobacillus[1];Geobacillus stearothermophilus[1]</t>
  </si>
  <si>
    <t>Viruses;Caudovirales;Myoviridae;unclassified Myoviridae;Sinorhizobium virus M12;Sinorhizobium phage phiM12;Geobacillus;Geobacillus stearothermophilus</t>
  </si>
  <si>
    <t>Viruses[9];Caudovirales[9];Myoviridae[8];unclassified Myoviridae[5];Caulobacter phage Cr30[2];Sinorhizobium phage phiM12[2]</t>
  </si>
  <si>
    <t>DNAUV-14.759-18</t>
  </si>
  <si>
    <t>Viruses[6];Caudovirales[6];Myoviridae[6];unclassified Myoviridae[3];Sinorhizobium virus M12[2];Sinorhizobium phage phiM12[2];Nitrosomonas nitrosa[1];Pseudomonas putida[1]</t>
  </si>
  <si>
    <t>Viruses;Caudovirales;Myoviridae;unclassified Myoviridae;Sinorhizobium virus M12;Sinorhizobium phage phiM12;Nitrosomonas nitrosa;Pseudomonas putida</t>
  </si>
  <si>
    <t>Viruses[6];Caudovirales[6];Myoviridae[6];unclassified Myoviridae[3];Sinorhizobium virus M12[2];Sinorhizobium phage phiM12[2]</t>
  </si>
  <si>
    <t>DNAUV-7.932-20</t>
  </si>
  <si>
    <t>Viruses[7];Caudovirales[7];Myoviridae[5];unclassified Myoviridae[3];Sinorhizobium virus M12[2];Sinorhizobium phage phiM12[2];unclassified Pseudoalteromonas[1];unclassified Phycisphaera[1];Phycisphaera sp. TMED151[1]</t>
  </si>
  <si>
    <t>Viruses;Caudovirales;Myoviridae;unclassified Myoviridae;Sinorhizobium virus M12;Sinorhizobium phage phiM12;unclassified Pseudoalteromonas;unclassified Phycisphaera;Phycisphaera sp. TMED151</t>
  </si>
  <si>
    <t>Viruses[7];Caudovirales[7];Myoviridae[5];unclassified Myoviridae[3];Sinorhizobium virus M12[2];Sinorhizobium phage phiM12[2]</t>
  </si>
  <si>
    <t>DNAUV-2.144-189</t>
  </si>
  <si>
    <t>Viruses[2];Caudovirales[2];Myoviridae[2];unclassified Myoviridae[1];Sinorhizobium virus M7[1];Sinorhizobium phage phiM7[1]</t>
  </si>
  <si>
    <t>Viruses;Caudovirales;Myoviridae;unclassified Myoviridae;Sinorhizobium virus M7;Sinorhizobium phage phiM7</t>
  </si>
  <si>
    <t>Viruses[2];Caudovirales[2];Myoviridae[2];Emdodecavirus[1];Lake Baikal phage Baikal-20-5m-C28[1];Sinorhizobium phage phiM7[1]</t>
  </si>
  <si>
    <t>DNAUV-6.655-66</t>
  </si>
  <si>
    <t>Viruses[2];Caudovirales[2];Myoviridae[2];unclassified Myoviridae[1];Sinorhizobium virus N3[1];Cellvibrio[1];unclassified Cellvibrio[1];Cellvibrio sp. 79[1]</t>
  </si>
  <si>
    <t>Viruses;Caudovirales;Myoviridae;unclassified Myoviridae;Sinorhizobium virus N3;Cellvibrio;unclassified Cellvibrio;Cellvibrio sp. 79</t>
  </si>
  <si>
    <t>Viruses[2];Caudovirales[2];Myoviridae[2];unclassified Myoviridae[1];Sinorhizobium virus N3[1];Sinorhizobium phage phiN3[1]</t>
  </si>
  <si>
    <t>DNAUV-3.823-21</t>
  </si>
  <si>
    <t>Viruses[4];Caudovirales[4];Myoviridae[3];unclassified Myoviridae[2];Sinorhizobium virus N3[1];Sinorhizobium phage phiN3[1]</t>
  </si>
  <si>
    <t>Viruses[4];Caudovirales[4];Myoviridae[3];unclassified Myoviridae[2];Stenotrophomonas phage vB_SmaS-DLP_6[1];Sinorhizobium phage phiN3[1]</t>
  </si>
  <si>
    <t>DNAUV-3.025-6.8</t>
  </si>
  <si>
    <t>Viruses[1];Caudovirales[1];Myoviridae[1];unclassified Myoviridae[1];Sphaerobacteridae[1];Sphaerobacterales[1];Sphaerobacterineae[1];Sphaerobacteraceae[1];Nitrolancea[1];Nitrolancea hollandica[1];Nitrolancea hollandica Lb[1]</t>
  </si>
  <si>
    <t>Viruses;Caudovirales;Myoviridae;unclassified Myoviridae;Sphaerobacteridae;Sphaerobacterales;Sphaerobacterineae;Sphaerobacteraceae;Nitrolancea;Nitrolancea hollandica;Nitrolancea hollandica Lb</t>
  </si>
  <si>
    <t>DNAUV-2.261-13-V2</t>
  </si>
  <si>
    <t>Viruses[1];Caudovirales[1];Myoviridae[1];unclassified Myoviridae[1];Sphingomonas phage PAU[1]</t>
  </si>
  <si>
    <t>Viruses;Caudovirales;Myoviridae;unclassified Myoviridae;Sphingomonas phage PAU</t>
  </si>
  <si>
    <t>DNAUV-2.349-13</t>
  </si>
  <si>
    <t>DNAUV-2.455-12</t>
  </si>
  <si>
    <t>DNAUV-2.680-8.6</t>
  </si>
  <si>
    <t>DNAUV-6.022-21</t>
  </si>
  <si>
    <t>Viruses[4];Caudovirales[4];Myoviridae[4];unclassified Myoviridae[4];Sphingomonas phage PAU[3];Cytophagales[1];Hymenobacteraceae[1];Hymenobacter[1];unclassified Hymenobacter[1];Hymenobacter sp. APR13[1]</t>
  </si>
  <si>
    <t>Viruses;Caudovirales;Myoviridae;unclassified Myoviridae;Sphingomonas phage PAU;Cytophagales;Hymenobacteraceae;Hymenobacter;unclassified Hymenobacter;Hymenobacter sp. APR13</t>
  </si>
  <si>
    <t>Viruses[4];Caudovirales[4];Myoviridae[4];unclassified Myoviridae[4];Sphingomonas phage PAU[3]</t>
  </si>
  <si>
    <t>DNAUV-8.786-16</t>
  </si>
  <si>
    <t>Viruses[2];Caudovirales[2];Myoviridae[2];unclassified Myoviridae[2];Sphingomonas phage PAU[1];Flavobacteriales[1];Flavobacteriaceae[1];Alteromonas sp. TMED35[1];Leeuwenhoekiella nanhaiensis[1]</t>
  </si>
  <si>
    <t>Viruses;Caudovirales;Myoviridae;unclassified Myoviridae;Sphingomonas phage PAU;Flavobacteriales;Flavobacteriaceae;Alteromonas sp. TMED35;Leeuwenhoekiella nanhaiensis</t>
  </si>
  <si>
    <t>Viruses[2];Caudovirales[2];Myoviridae[2];unclassified Myoviridae[2];Tenacibaculum phage pT24[1]</t>
  </si>
  <si>
    <t>DNAUV-5.949-12</t>
  </si>
  <si>
    <t>Viruses[5];Caudovirales[5];Myoviridae[5];unclassified Myoviridae[5];Sphingomonas phage PAU[3];Helicobacteraceae[1];Thiovulum[1];unclassified Thiovulum[1];Thiovulum sp. ES[1]</t>
  </si>
  <si>
    <t>Viruses;Caudovirales;Myoviridae;unclassified Myoviridae;Sphingomonas phage PAU;Helicobacteraceae;Thiovulum;unclassified Thiovulum;Thiovulum sp. ES</t>
  </si>
  <si>
    <t>Viruses[5];Caudovirales[5];Myoviridae[5];unclassified Myoviridae[5];Sphingomonas phage PAU[3]</t>
  </si>
  <si>
    <t>DNAUV-10.749-19</t>
  </si>
  <si>
    <t>Viruses[3];Caudovirales[3];Myoviridae[3];unclassified Myoviridae[3];Sphingomonas phage PAU[3];Massilia[1];unclassified Massilia[1];Massilia sp. JS1662[1]</t>
  </si>
  <si>
    <t>Viruses;Caudovirales;Myoviridae;unclassified Myoviridae;Sphingomonas phage PAU;Massilia;unclassified Massilia;Massilia sp. JS1662</t>
  </si>
  <si>
    <t>Viruses[3];Caudovirales[3];Myoviridae[3];unclassified Myoviridae[3];Sphingomonas phage PAU[3]</t>
  </si>
  <si>
    <t>DNAUV-2.375-10</t>
  </si>
  <si>
    <t>Viruses[1];Caudovirales[1];Myoviridae[1];unclassified Myoviridae[1];Sphingomonas phage PAU[1];Methyloversatilis[1];Methyloversatilis universalis[1]</t>
  </si>
  <si>
    <t>Viruses;Caudovirales;Myoviridae;unclassified Myoviridae;Sphingomonas phage PAU;Methyloversatilis;Methyloversatilis universalis</t>
  </si>
  <si>
    <t>DNAUV-3.971-13</t>
  </si>
  <si>
    <t>Viruses[2];Caudovirales[2];Myoviridae[1];unclassified Myoviridae[1];Stenotrophomonas phage vB_SmaS-DLP_6[1]</t>
  </si>
  <si>
    <t>DNAUV-6.343-14</t>
  </si>
  <si>
    <t>Viruses[7];Caudovirales[7];Myoviridae[5];unclassified Myoviridae[3];Stenotrophomonas phage vB_SmaS-DLP_6[2];Acinetobacter phage Ac42[1];Ecdysozoa[1];Panarthropoda[1];Arthropoda[1];Mandibulata[1];Pancrustacea[1];Crustacea[1];Multicrustacea[1];Hexanauplia[1];Copepoda[1];Neocopepoda[1];Gymnoplea[1];Calanoida[1];Temoridae[1];Eurytemora[1];Eurytemora affinis[1]</t>
  </si>
  <si>
    <t>Viruses;Caudovirales;Myoviridae;unclassified Myoviridae;Stenotrophomonas phage vB_SmaS-DLP_6;Acinetobacter phage Ac42;Ecdysozoa;Panarthropoda;Arthropoda;Mandibulata;Pancrustacea;Crustacea;Multicrustacea;Hexanauplia;Copepoda;Neocopepoda;Gymnoplea;Calanoida;Temoridae;Eurytemora;Eurytemora affinis</t>
  </si>
  <si>
    <t>Viruses[7];Caudovirales[7];Myoviridae[5];unclassified Myoviridae[3];Stenotrophomonas phage vB_SmaS-DLP_6[2];Acinetobacter phage Ac42[1]</t>
  </si>
  <si>
    <t>DNAUV-7.606-32</t>
  </si>
  <si>
    <t>Viruses[9];Caudovirales[9];Myoviridae[5];unclassified Myoviridae[5];Stenotrophomonas phage vB_SmaS-DLP_6[4];Haloferacaceae[1];Haloquadratum[1];Haloquadratum walsbyi[1]</t>
  </si>
  <si>
    <t>Viruses;Caudovirales;Myoviridae;unclassified Myoviridae;Stenotrophomonas phage vB_SmaS-DLP_6;Haloferacaceae;Haloquadratum;Haloquadratum walsbyi</t>
  </si>
  <si>
    <t>Viruses[9];Caudovirales[9];Myoviridae[5];unclassified Myoviridae[5];Stenotrophomonas phage vB_SmaS-DLP_6[4]</t>
  </si>
  <si>
    <t>DNAUV-6.021-103</t>
  </si>
  <si>
    <t>Viruses[6];Caudovirales[6];Myoviridae[4];unclassified Myoviridae[3];Stenotrophomonas phage vB_SmaS-DLP_6[2];Ruminococcaceae[1];Jiangella[1];unclassified Anaeromassilibacillus[1];Pseudomonas balearica DSM 6083[1]</t>
  </si>
  <si>
    <t>Viruses;Caudovirales;Myoviridae;unclassified Myoviridae;Stenotrophomonas phage vB_SmaS-DLP_6;Ruminococcaceae;Jiangella;unclassified Anaeromassilibacillus;Pseudomonas balearica DSM 6083</t>
  </si>
  <si>
    <t>Viruses[6];Caudovirales[6];Myoviridae[4];unclassified Myoviridae[3];Stenotrophomonas phage vB_SmaS-DLP_6[2];Sinorhizobium phage phiM12[1]</t>
  </si>
  <si>
    <t>DNAUV-7.111-19</t>
  </si>
  <si>
    <t>Viruses[7];Caudovirales[7];Myoviridae[5];unclassified Myoviridae[4];Stenotrophomonas phage vB_SmaS-DLP_6[2];Sinorhizobium phage phiM12[1]</t>
  </si>
  <si>
    <t>Viruses;Caudovirales;Myoviridae;unclassified Myoviridae;Stenotrophomonas phage vB_SmaS-DLP_6;Sinorhizobium phage phiM12</t>
  </si>
  <si>
    <t>DNAUV-36.652-126</t>
  </si>
  <si>
    <t>Viruses[16];Caudovirales[16];Myoviridae[10];unclassified Myoviridae[5];Stenotrophomonas phage vB_SmaS-DLP_6[4];Sinorhizobium phage phiM12[3];Microvirga massiliensis[1];Jannaschia sp. CCS1[1]</t>
  </si>
  <si>
    <t>Viruses;Caudovirales;Myoviridae;unclassified Myoviridae;Stenotrophomonas phage vB_SmaS-DLP_6;Sinorhizobium phage phiM12;Microvirga massiliensis;Jannaschia sp. CCS1</t>
  </si>
  <si>
    <t>Viruses[16];Caudovirales[16];Myoviridae[10];unclassified Myoviridae[5];Stenotrophomonas phage vB_SmaS-DLP_6[4];Sinorhizobium phage phiM12[3];Enterobacteria phage vB_EcoM_IME341[1]</t>
  </si>
  <si>
    <t>DNAUV-159.889-409</t>
  </si>
  <si>
    <t>Viruses[93];Caudovirales[93];Myoviridae[68];unclassified Myoviridae[29];Stenotrophomonas phage vB_SmaS-DLP_6[16];Sinorhizobium phage phiM12[14];unclassified Pseudoalteromonas[3];Pseudoalteromonas sp. TMED43[3];Corallococcus coralloides[1];Pseudocohnilembus persalinus[1];Dothideomycetidae[1];Capnodiales[1];Mycosphaerellaceae[1];Pseudocercospora[1];Pseudocercospora musae[1]</t>
  </si>
  <si>
    <t>Viruses;Caudovirales;Myoviridae;unclassified Myoviridae;Stenotrophomonas phage vB_SmaS-DLP_6;Sinorhizobium phage phiM12;unclassified Pseudoalteromonas;Pseudoalteromonas sp. TMED43;Corallococcus coralloides;Pseudocohnilembus persalinus;Dothideomycetidae;Capnodiales;Mycosphaerellaceae;Pseudocercospora;Pseudocercospora musae</t>
  </si>
  <si>
    <t>Viruses[93];Caudovirales[93];Myoviridae[68];unclassified Myoviridae[29];Stenotrophomonas phage vB_SmaS-DLP_6[16];Sinorhizobium phage phiM12[14];Escherichia phage RB3[1]</t>
  </si>
  <si>
    <t>DNAUV-16.929-17</t>
  </si>
  <si>
    <t>Viruses[12];Caudovirales[12];Myoviridae[9];unclassified Myoviridae[6];Stenotrophomonas phage vB_SmaS-DLP_6[3];Sinorhizobium phage phiN3[2];unclassified Anderseniella[1];Enterococcus malodoratus[1]</t>
  </si>
  <si>
    <t>Viruses;Caudovirales;Myoviridae;unclassified Myoviridae;Stenotrophomonas phage vB_SmaS-DLP_6;Sinorhizobium phage phiN3;unclassified Anderseniella;Enterococcus malodoratus</t>
  </si>
  <si>
    <t>Viruses[12];Caudovirales[12];Myoviridae[9];unclassified Myoviridae[6];Stenotrophomonas phage vB_SmaS-DLP_6[3];Sinorhizobium phage phiN3[2]</t>
  </si>
  <si>
    <t>DNAUV-152.980-60</t>
  </si>
  <si>
    <t>Viruses[83];Caudovirales[83];Myoviridae[58];unclassified Myoviridae[31];Stenotrophomonas phage vB_SmaS-DLP_6[15];Sinorhizobium phage phiN3[10];unclassified Pseudoalteromonas[2];Pseudoalteromonas sp. TMED43[2];Pedobacter oryzae[1];Chelicerata[1];Dothideomycetidae[1];Capnodiales[1];Mycosphaerellaceae[1];Pseudocercospora[1];Buthidae[1];Centruroides[1];Centruroides sculpturatus[1]</t>
  </si>
  <si>
    <t>Viruses;Caudovirales;Myoviridae;unclassified Myoviridae;Stenotrophomonas phage vB_SmaS-DLP_6;Sinorhizobium phage phiN3;unclassified Pseudoalteromonas;Pseudoalteromonas sp. TMED43;Pedobacter oryzae;Chelicerata;Dothideomycetidae;Capnodiales;Mycosphaerellaceae;Pseudocercospora;Buthidae;Centruroides;Centruroides sculpturatus</t>
  </si>
  <si>
    <t>Viruses[83];Caudovirales[83];Myoviridae[58];unclassified Myoviridae[31];Stenotrophomonas phage vB_SmaS-DLP_6[15];Sinorhizobium phage phiN3[10];Vibrio phage VH7D[1]</t>
  </si>
  <si>
    <t>DNAUV-19.985-108</t>
  </si>
  <si>
    <t>Viruses[9];Caudovirales[9];Myoviridae[5];unclassified Myoviridae[4];Stenotrophomonas phage vB_SmaS-DLP_6[2];Sphingobacteriales[1];unclassified Halomonas[1];Pedobacter[1];Pedobacter glucosidilyticus[1]</t>
  </si>
  <si>
    <t>Viruses;Caudovirales;Myoviridae;unclassified Myoviridae;Stenotrophomonas phage vB_SmaS-DLP_6;Sphingobacteriales;unclassified Halomonas;Pedobacter;Pedobacter glucosidilyticus</t>
  </si>
  <si>
    <t>Viruses[9];Caudovirales[9];Myoviridae[5];unclassified Myoviridae[4];Stenotrophomonas phage vB_SmaS-DLP_6[2];Sinorhizobium phage phiM7[1]</t>
  </si>
  <si>
    <t>DNAUV-13.646-18</t>
  </si>
  <si>
    <t>Viruses[11];Caudovirales[11];Myoviridae[8];unclassified Myoviridae[6];Stenotrophomonas phage vB_SmaS-DLP_6[3];Synechococcaceae[2];Synechococcus[2];unclassified Synechococcus[2];Synechococcus sp. TMED187[2]</t>
  </si>
  <si>
    <t>Viruses;Caudovirales;Myoviridae;unclassified Myoviridae;Stenotrophomonas phage vB_SmaS-DLP_6;Synechococcaceae;Synechococcus;unclassified Synechococcus;Synechococcus sp. TMED187</t>
  </si>
  <si>
    <t>Viruses[11];Caudovirales[11];Myoviridae[8];unclassified Myoviridae[6];Stenotrophomonas phage vB_SmaS-DLP_6[3];Sinorhizobium phage phiM12[1]</t>
  </si>
  <si>
    <t>DNAUV-16.459-106</t>
  </si>
  <si>
    <t>Viruses[11];Caudovirales[11];Myoviridae[7];unclassified Myoviridae[6];Stenotrophomonas phage vB_SmaS-DLP_6[3];Synechococcaceae[2];Synechococcus[2];unclassified Synechococcus[2];Synechococcus sp. TMED187[2]</t>
  </si>
  <si>
    <t>Viruses[11];Caudovirales[11];Myoviridae[7];unclassified Myoviridae[6];Stenotrophomonas phage vB_SmaS-DLP_6[3];Acidovorax phage ACP17[1]</t>
  </si>
  <si>
    <t>DNAUV-3.965-9.1</t>
  </si>
  <si>
    <t>Viruses[2];Caudovirales[2];Myoviridae[2];unclassified Myoviridae[2];Streptomyces phage BRock[1]</t>
  </si>
  <si>
    <t>Viruses;Caudovirales;Myoviridae;unclassified Myoviridae;Streptomyces phage BRock</t>
  </si>
  <si>
    <t>DNAUV-2.753-140</t>
  </si>
  <si>
    <t>Viruses[2];Caudovirales[2];Myoviridae[2];unclassified Myoviridae[2];Synechococcales[1];Allochromatium[1];Allochromatium vinosum[1];unclassified Synechococcus[1];Synechococcus sp. TMED187[1]</t>
  </si>
  <si>
    <t>Viruses;Caudovirales;Myoviridae;unclassified Myoviridae;Synechococcales;Allochromatium;Allochromatium vinosum;unclassified Synechococcus;Synechococcus sp. TMED187</t>
  </si>
  <si>
    <t>DNAUV-6.566-186</t>
  </si>
  <si>
    <t>Viruses[3];Caudovirales[3];Myoviridae[3];unclassified Myoviridae[3];Synechococcales[3];Synechococcaceae[3];Synechococcus[3];unclassified Synechococcus[3];Synechococcus sp. TMED187[3]</t>
  </si>
  <si>
    <t>DNAUV-2.776-16</t>
  </si>
  <si>
    <t>Viruses[2];Caudovirales[2];Myoviridae[2];unclassified Myoviridae[2];Synechococcales[1];Synechococcaceae[1];Synechococcus[1];unclassified Synechococcus[1];Synechococcus sp. TMED187[1]</t>
  </si>
  <si>
    <t>DNAUV-4.132-11</t>
  </si>
  <si>
    <t>Viruses[3];Caudovirales[3];Myoviridae[3];unclassified Myoviridae[3];Synechococcus phage ACG-2014f[1]</t>
  </si>
  <si>
    <t>Viruses;Caudovirales;Myoviridae;unclassified Myoviridae;Synechococcus phage ACG-2014f</t>
  </si>
  <si>
    <t>Viruses[3];Caudovirales[3];Myoviridae[3];unclassified Myoviridae[3];Salicola phage SCTP-2[1]</t>
  </si>
  <si>
    <t>DNAUV-3.246-10</t>
  </si>
  <si>
    <t>Viruses[3];Caudovirales[3];Myoviridae[3];unclassified Myoviridae[3];Synechococcus phage ACG-2014h[1]</t>
  </si>
  <si>
    <t>Viruses[3];Caudovirales[3];Myoviridae[3];unclassified Myoviridae[3];Cyanophage P-TIM40[1]</t>
  </si>
  <si>
    <t>DNAUV-2.159-14</t>
  </si>
  <si>
    <t>DNAUV-6.129-734</t>
  </si>
  <si>
    <t>Viruses[2];Caudovirales[2];Myoviridae[2];unclassified Myoviridae[2];Synechococcus phage ACG-2014h[1];Bacillaceae[1];Bacillus[1];Bacillus canaveralius[1]</t>
  </si>
  <si>
    <t>Viruses;Caudovirales;Myoviridae;unclassified Myoviridae;Synechococcus phage ACG-2014h;Bacillaceae;Bacillus;Bacillus canaveralius</t>
  </si>
  <si>
    <t>Viruses[2];Caudovirales[2];Myoviridae[2];unclassified Myoviridae[2];Synechococcus phage ACG-2014h[1]</t>
  </si>
  <si>
    <t>DNAUV-2.748-11</t>
  </si>
  <si>
    <t>Viruses[2];Caudovirales[2];Myoviridae[2];unclassified Myoviridae[2];Synechococcus phage ACG-2014j[1];Methylophilus[1];unclassified Methylophilus[1];Methylophilus sp. TWE2[1];unclassified Prosthecochloris[1];Prosthecochloris sp. GSB1[1]</t>
  </si>
  <si>
    <t>Viruses;Caudovirales;Myoviridae;unclassified Myoviridae;Synechococcus phage ACG-2014j;Methylophilus;unclassified Methylophilus;Methylophilus sp. TWE2;unclassified Prosthecochloris;Prosthecochloris sp. GSB1</t>
  </si>
  <si>
    <t>DNAUV-2.350-1109</t>
  </si>
  <si>
    <t>Viruses[2];Caudovirales[2];Myoviridae[2];unclassified Myoviridae[2];Synechococcus phage S-CAM22[1];Pseudoalteromonas[1];unclassified Pseudoalteromonas[1];Pseudoalteromonas sp. TMED43[1]</t>
  </si>
  <si>
    <t>Viruses;Caudovirales;Myoviridae;unclassified Myoviridae;Synechococcus phage S-CAM22;Pseudoalteromonas;unclassified Pseudoalteromonas;Pseudoalteromonas sp. TMED43</t>
  </si>
  <si>
    <t>Viruses[2];Caudovirales[2];Myoviridae[2];unclassified Myoviridae[2];Synechococcus phage S-CAM22[1]</t>
  </si>
  <si>
    <t>DNAUV-4.488-64</t>
  </si>
  <si>
    <t>Viruses[1];Caudovirales[1];Myoviridae[1];unclassified Myoviridae[1];Synechococcus phage S-CAM4[1];Burkholderia[1];Burkholderia cepacia complex[1];Burkholderia ubonensis[1]</t>
  </si>
  <si>
    <t>Viruses;Caudovirales;Myoviridae;unclassified Myoviridae;Synechococcus phage S-CAM4;Burkholderia;Burkholderia cepacia complex;Burkholderia ubonensis</t>
  </si>
  <si>
    <t>Viruses[1];Caudovirales[1];Myoviridae[1];unclassified Myoviridae[1];Synechococcus phage S-CAM4[1]</t>
  </si>
  <si>
    <t>DNAUV-2.609-11</t>
  </si>
  <si>
    <t>Viruses[3];Caudovirales[3];Myoviridae[3];unclassified Myoviridae[3];Synechococcus phage S-CAM9[1]</t>
  </si>
  <si>
    <t>Viruses;Caudovirales;Myoviridae;unclassified Myoviridae;Synechococcus phage S-CAM9</t>
  </si>
  <si>
    <t>DNAUV-3.100-57</t>
  </si>
  <si>
    <t>Viruses[2];Caudovirales[2];Myoviridae[2];unclassified Myoviridae[2];Synechococcus phage S-CAM9[1]</t>
  </si>
  <si>
    <t>DNAUV-2.929-14</t>
  </si>
  <si>
    <t>Viruses[1];Caudovirales[1];Myoviridae[1];unclassified Myoviridae[1];Synechococcus phage S-H35[1];Sphingomonas[1];Sphingomonas indica[1]</t>
  </si>
  <si>
    <t>Viruses;Caudovirales;Myoviridae;unclassified Myoviridae;Synechococcus phage S-H35;Sphingomonas;Sphingomonas indica</t>
  </si>
  <si>
    <t>Viruses[1];Caudovirales[1];Myoviridae[1];unclassified Myoviridae[1];Synechococcus phage S-H35[1]</t>
  </si>
  <si>
    <t>DNAUV-4.012-22</t>
  </si>
  <si>
    <t>Viruses[3];Caudovirales[3];Myoviridae[2];unclassified Myoviridae[2];Synechococcus phage S-SKS1[2]</t>
  </si>
  <si>
    <t>DNAUV-20.842-60</t>
  </si>
  <si>
    <t>DNAUV-10.764-50</t>
  </si>
  <si>
    <t>Viruses[7];Caudovirales[5];Myoviridae[4];unclassified Myoviridae[4];Synechococcus phage S-SKS1[3];Indivirus ILV1[1];Nitratireductor pacificus[1];unclassified Verrucomicrobium[1];Verrucomicrobium sp. BvORR106[1]</t>
  </si>
  <si>
    <t>Viruses;Caudovirales;Myoviridae;unclassified Myoviridae;Synechococcus phage S-SKS1;Indivirus ILV1;Nitratireductor pacificus;unclassified Verrucomicrobium;Verrucomicrobium sp. BvORR106</t>
  </si>
  <si>
    <t>Viruses[7];Caudovirales[5];Myoviridae[4];unclassified Myoviridae[4];Synechococcus phage S-SKS1[3];Indivirus ILV1[1]</t>
  </si>
  <si>
    <t>DNAUV-2.202-178</t>
  </si>
  <si>
    <t>Viruses[1];Caudovirales[1];Myoviridae[1];unclassified Myoviridae[1];Synechococcus phage S-SKS1[1];Roseovarius[1];unclassified Roseovarius[1];Roseovarius sp. BRH_c41[1]</t>
  </si>
  <si>
    <t>Viruses;Caudovirales;Myoviridae;unclassified Myoviridae;Synechococcus phage S-SKS1;Roseovarius;unclassified Roseovarius;Roseovarius sp. BRH_c41</t>
  </si>
  <si>
    <t>DNAUV-13.932-136</t>
  </si>
  <si>
    <t>Viruses[5];Caudovirales[5];Myoviridae[5];unclassified Myoviridae[5];Synechococcus phage S-SKS1[3];Sphingobacteriales[1];Nitratireductor aquibiodomus[1];Bathycoccus prasinos[1];Pedobacter glucosidilyticus[1]</t>
  </si>
  <si>
    <t>Viruses;Caudovirales;Myoviridae;unclassified Myoviridae;Synechococcus phage S-SKS1;Sphingobacteriales;Nitratireductor aquibiodomus;Bathycoccus prasinos;Pedobacter glucosidilyticus</t>
  </si>
  <si>
    <t>Viruses[5];Caudovirales[5];Myoviridae[5];unclassified Myoviridae[5];Synechococcus phage S-SKS1[3]</t>
  </si>
  <si>
    <t>DNAUV-9.153-49</t>
  </si>
  <si>
    <t>Viruses[2];Caudovirales[2];Myoviridae[2];unclassified Myoviridae[2];Synechococcus phage S-SKS1[1];Vallitaleaceae[1];Terracoccus[1];unclassified Vallitalea[1];Terracoccus sp. 273MFTsu3.1[1]</t>
  </si>
  <si>
    <t>Viruses;Caudovirales;Myoviridae;unclassified Myoviridae;Synechococcus phage S-SKS1;Vallitaleaceae;Terracoccus;unclassified Vallitalea;Terracoccus sp. 273MFTsu3.1</t>
  </si>
  <si>
    <t>Viruses[2];Caudovirales[2];Myoviridae[2];unclassified Myoviridae[2];Synechococcus phage S-SKS1[1]</t>
  </si>
  <si>
    <t>DNAUV-2.849-19</t>
  </si>
  <si>
    <t>Viruses[1];Caudovirales[1];Myoviridae[1];unclassified Myoviridae[1];Synechococcus phage S-SM2[1];Marinospirillum[1];Marinospirillum celere[1]</t>
  </si>
  <si>
    <t>Viruses;Caudovirales;Myoviridae;unclassified Myoviridae;Synechococcus phage S-SM2;Marinospirillum;Marinospirillum celere</t>
  </si>
  <si>
    <t>DNAUV-3.334-12</t>
  </si>
  <si>
    <t>Viruses[1];Caudovirales[1];Myoviridae[1];unclassified Myoviridae[1];Synechococcus phage S-SSM5[1]</t>
  </si>
  <si>
    <t>Viruses;Caudovirales;Myoviridae;unclassified Myoviridae;Synechococcus phage S-SSM5</t>
  </si>
  <si>
    <t>DNAUV-4.472-24</t>
  </si>
  <si>
    <t>Viruses[4];Caudovirales[4];Myoviridae[2];unclassified Myoviridae[2];Synechococcus phage S-SSM5[1];Paraburkholderia[1];unclassified Paraburkholderia[1];Paraburkholderia sp. C35[1]</t>
  </si>
  <si>
    <t>Viruses;Caudovirales;Myoviridae;unclassified Myoviridae;Synechococcus phage S-SSM5;Paraburkholderia;unclassified Paraburkholderia;Paraburkholderia sp. C35</t>
  </si>
  <si>
    <t>Viruses[4];Caudovirales[4];Myoviridae[2];unclassified Myoviridae[2];Synechococcus phage S-WAM2[1]</t>
  </si>
  <si>
    <t>DNAUV-3.076-128</t>
  </si>
  <si>
    <t>Viruses[2];Caudovirales[2];Myoviridae[2];unclassified Myoviridae[2];Synechococcus phage S-T4[1]</t>
  </si>
  <si>
    <t>DNAUV-3.409-167</t>
  </si>
  <si>
    <t>DNAUV-6.909-137</t>
  </si>
  <si>
    <t>Viruses[5];Caudovirales[5];Myoviridae[3];unclassified Myoviridae[3];Synechococcus phage S-T4[1];Celeribacter[1];Celeribacter manganoxidans[1]</t>
  </si>
  <si>
    <t>Viruses;Caudovirales;Myoviridae;unclassified Myoviridae;Synechococcus phage S-T4;Celeribacter;Celeribacter manganoxidans</t>
  </si>
  <si>
    <t>Viruses[5];Caudovirales[5];Myoviridae[3];unclassified Myoviridae[3];Vibrio phage 2.275.O._10N.286.54.E11[1]</t>
  </si>
  <si>
    <t>DNAUV-2.992-15-V3</t>
  </si>
  <si>
    <t>Viruses[3];Caudovirales[3];Myoviridae[2];unclassified Myoviridae[2];Synechococcus phage S-WAM1[1];Komagataeibacter[1];Bradyrhizobium japonicum[1]</t>
  </si>
  <si>
    <t>Viruses;Caudovirales;Myoviridae;unclassified Myoviridae;Synechococcus phage S-WAM1;Komagataeibacter;Bradyrhizobium japonicum</t>
  </si>
  <si>
    <t>Viruses[3];Caudovirales[3];Myoviridae[2];unclassified Myoviridae[2];Synechococcus phage S-WAM1[1]</t>
  </si>
  <si>
    <t>DNAUV-2.963-6.8</t>
  </si>
  <si>
    <t>Viruses[1];Caudovirales[1];Myoviridae[1];unclassified Myoviridae[1];Synechococcus phage S-WAM1[1];Leptolyngbyaceae[1];Alkalinema[1];unclassified Alkalinema[1];Alkalinema sp. CACIAM 70d[1]</t>
  </si>
  <si>
    <t>Viruses;Caudovirales;Myoviridae;unclassified Myoviridae;Synechococcus phage S-WAM1;Leptolyngbyaceae;Alkalinema;unclassified Alkalinema;Alkalinema sp. CACIAM 70d</t>
  </si>
  <si>
    <t>DNAUV-2.823-15</t>
  </si>
  <si>
    <t>Viruses[1];Caudovirales[1];Myoviridae[1];unclassified Myoviridae[1];Synechococcus virus S-PRM1[1]</t>
  </si>
  <si>
    <t>Viruses;Caudovirales;Myoviridae;unclassified Myoviridae;Synechococcus virus S-PRM1</t>
  </si>
  <si>
    <t>DNAUV-3.046-11</t>
  </si>
  <si>
    <t>Viruses[1];Caudovirales[1];Myoviridae[1];unclassified Myoviridae[1];Synechococcus virus S-PRM1[1];Rhodobacter[1];Rhodobacter veldkampii[1]</t>
  </si>
  <si>
    <t>Viruses;Caudovirales;Myoviridae;unclassified Myoviridae;Synechococcus virus S-PRM1;Rhodobacter;Rhodobacter veldkampii</t>
  </si>
  <si>
    <t>DNAUV-6.461-17</t>
  </si>
  <si>
    <t>Viruses[4];Caudovirales[4];Myoviridae[4];unclassified Myoviridae[4];Tenacibaculum phage pT24[2]</t>
  </si>
  <si>
    <t>DNAUV-3.919-10</t>
  </si>
  <si>
    <t>Viruses[2];Caudovirales[2];Myoviridae[2];unclassified Myoviridae[2];Tenacibaculum phage pT24[2]</t>
  </si>
  <si>
    <t>DNAUV-2.451-9.1</t>
  </si>
  <si>
    <t>DNAUV-2.866-12</t>
  </si>
  <si>
    <t>DNAUV-5.170-14</t>
  </si>
  <si>
    <t>Viruses[3];Caudovirales[3];Myoviridae[3];unclassified Myoviridae[3];Tenacibaculum phage pT24[2];Nostocaceae[1];Nostoc[1];Nostoc linckia[1]</t>
  </si>
  <si>
    <t>Viruses;Caudovirales;Myoviridae;unclassified Myoviridae;Tenacibaculum phage pT24;Nostocaceae;Nostoc;Nostoc linckia</t>
  </si>
  <si>
    <t>Viruses[3];Caudovirales[3];Myoviridae[3];unclassified Myoviridae[3];Tenacibaculum phage pT24[2]</t>
  </si>
  <si>
    <t>DNAUV-2.918-14</t>
  </si>
  <si>
    <t>Viruses[1];Caudovirales[1];Myoviridae[1];unclassified Myoviridae[1];unclassified Epsilonproteobacteria[1];Sulfurovum[1];unclassified Sulfurovum[1];Sulfurovum sp. UBA12169[1]</t>
  </si>
  <si>
    <t>Viruses;Caudovirales;Myoviridae;unclassified Myoviridae;unclassified Epsilonproteobacteria;Sulfurovum;unclassified Sulfurovum;Sulfurovum sp. UBA12169</t>
  </si>
  <si>
    <t>Viruses[1];Caudovirales[1];Myoviridae[1];unclassified Myoviridae[1];Synechococcus phage S-CAM8[1]</t>
  </si>
  <si>
    <t>DNAUV-3.953-10</t>
  </si>
  <si>
    <t>Viruses[3];Caudovirales[3];Myoviridae[2];unclassified Myoviridae[2];unclassified Nonanavirus[1];Proteus phage VB_PmiS-Isfahan[1]</t>
  </si>
  <si>
    <t>Viruses;Caudovirales;Myoviridae;unclassified Myoviridae;unclassified Nonanavirus;Proteus phage VB_PmiS-Isfahan</t>
  </si>
  <si>
    <t>DNAUV-6.013-13</t>
  </si>
  <si>
    <t>Viruses[5];Caudovirales[5];Myoviridae[4];unclassified Myoviridae[4];unclassified Soupsvirus[1];Gordonia phage JSwag[1];Synechococcus[1];unclassified Synechococcus[1];Synechococcus sp. XM-24[1]</t>
  </si>
  <si>
    <t>Viruses;Caudovirales;Myoviridae;unclassified Myoviridae;unclassified Soupsvirus;Gordonia phage JSwag;Synechococcus;unclassified Synechococcus;Synechococcus sp. XM-24</t>
  </si>
  <si>
    <t>Viruses[5];Caudovirales[5];Myoviridae[4];unclassified Myoviridae[4];Lake Baikal phage Baikal-20-5m-C28[1];Gordonia phage JSwag[1]</t>
  </si>
  <si>
    <t>DNAUV-2.045-111</t>
  </si>
  <si>
    <t>Viruses;Caudovirales;Myoviridae;unclassified Myoviridae;unclassified Tevenvirinae;Vibrio phage vB_VmeM-32</t>
  </si>
  <si>
    <t>DNAUV-34.761-382</t>
  </si>
  <si>
    <t>Viruses[14];Caudovirales[14];Myoviridae[12];unclassified Myoviridae[10];Vibrio phage 1.101.O._10N.261.45.C6[2];Shigella virus SP18[1];Thalassomonas viridans[1];Spirosoma[1];unclassified Spirosoma[1];Spirosoma sp. 209[1]</t>
  </si>
  <si>
    <t>Viruses;Caudovirales;Myoviridae;unclassified Myoviridae;Vibrio phage 1.101.O._10N.261.45.C6;Shigella virus SP18;Thalassomonas viridans;Spirosoma;unclassified Spirosoma;Spirosoma sp. 209</t>
  </si>
  <si>
    <t>Viruses[14];Caudovirales[14];Myoviridae[12];unclassified Myoviridae[10];Vibrio phage 1.101.O._10N.261.45.C6[2];Pseudomonas phage pf16[1];Shigella phage SP18[1]</t>
  </si>
  <si>
    <t>DNAUV-2.159-15</t>
  </si>
  <si>
    <t>Viruses[2];Caudovirales[2];Myoviridae[2];unclassified Myoviridae[2];Vibrio phage 1.121.O._10N.286.46.C4[2]</t>
  </si>
  <si>
    <t>Viruses;Caudovirales;Myoviridae;unclassified Myoviridae;Vibrio phage 1.121.O._10N.286.46.C4</t>
  </si>
  <si>
    <t>DNAUV-2.509-18</t>
  </si>
  <si>
    <t>Viruses[1];Caudovirales[1];Myoviridae[1];unclassified Myoviridae[1];Vibrio phage 1.161.O._10N.261.48.C5[1]</t>
  </si>
  <si>
    <t>Viruses;Caudovirales;Myoviridae;unclassified Myoviridae;Vibrio phage 1.161.O._10N.261.48.C5</t>
  </si>
  <si>
    <t>DNAUV-33.721-35</t>
  </si>
  <si>
    <t>Viruses[30];Caudovirales[30];Myoviridae[28];unclassified Myoviridae[28];Vibrio phage 1.161.O._10N.261.48.C5[12];Escherichia[2];Escherichia coli[2];Vibrio parahaemolyticus[1]</t>
  </si>
  <si>
    <t>Viruses;Caudovirales;Myoviridae;unclassified Myoviridae;Vibrio phage 1.161.O._10N.261.48.C5;Escherichia;Escherichia coli;Vibrio parahaemolyticus</t>
  </si>
  <si>
    <t>Viruses[30];Caudovirales[30];Myoviridae[28];unclassified Myoviridae[28];Vibrio phage 1.161.O._10N.261.48.C5[12]</t>
  </si>
  <si>
    <t>DNAUV-14.641-27</t>
  </si>
  <si>
    <t>Viruses[11];Caudovirales[11];Myoviridae[11];unclassified Myoviridae[10];Vibrio phage 1.161.O._10N.261.48.C5[2];unclassified Schizotequatrovirus[1];Bacteroidaceae[1];Bacteroides[1];Bacteroides caecimuris[1]</t>
  </si>
  <si>
    <t>Viruses;Caudovirales;Myoviridae;unclassified Myoviridae;Vibrio phage 1.161.O._10N.261.48.C5;unclassified Schizotequatrovirus;Bacteroidaceae;Bacteroides;Bacteroides caecimuris</t>
  </si>
  <si>
    <t>Viruses[11];Caudovirales[11];Myoviridae[11];unclassified Myoviridae[10];Vibrio phage eugene 12A10[2];unclassified Schizotequatrovirus[1];Vibrio phage 1.081.O._10N.286.52.C2[1]</t>
  </si>
  <si>
    <t>DNAUV-29.591-37</t>
  </si>
  <si>
    <t>Viruses[23];Caudovirales[22];Myoviridae[21];unclassified Myoviridae[19];Vibrio phage 1.161.O._10N.261.48.C5[6];unclassified Schizotequatrovirus[1];Vibrio phage 1.081.O._10N.286.52.C2[1];Beggiatoa sp. 4572_84[1]</t>
  </si>
  <si>
    <t>Viruses;Caudovirales;Myoviridae;unclassified Myoviridae;Vibrio phage 1.161.O._10N.261.48.C5;unclassified Schizotequatrovirus;Vibrio phage 1.081.O._10N.286.52.C2;Beggiatoa sp. 4572_84</t>
  </si>
  <si>
    <t>Viruses[23];Caudovirales[22];Myoviridae[21];unclassified Myoviridae[19];Vibrio phage 1.161.O._10N.261.48.C5[6];Vibrio phage pVp-1[1];Vibrio phage 1.081.O._10N.286.52.C2[1]</t>
  </si>
  <si>
    <t>DNAUV-2.436-9.1</t>
  </si>
  <si>
    <t>Viruses;Caudovirales;Myoviridae;unclassified Myoviridae;Vibrio phage 1.170.O._10N.261.52.C3</t>
  </si>
  <si>
    <t>DNAUV-2.807-32</t>
  </si>
  <si>
    <t>Viruses[3];Caudovirales[3];Myoviridae[3];unclassified Myoviridae[3];Vibrio phage 1.187.O._10N.286.49.F1[3]</t>
  </si>
  <si>
    <t>Viruses;Caudovirales;Myoviridae;unclassified Myoviridae;Vibrio phage 1.187.O._10N.286.49.F1</t>
  </si>
  <si>
    <t>DNAUV-2.130-16</t>
  </si>
  <si>
    <t>Viruses[2];Caudovirales[2];Myoviridae[2];unclassified Myoviridae[2];Vibrio phage 1.187.O._10N.286.49.F1[2]</t>
  </si>
  <si>
    <t>DNAUV-3.273-35</t>
  </si>
  <si>
    <t>Viruses[2];Caudovirales[2];Myoviridae[2];unclassified Myoviridae[2];Vibrio phage 1.187.O._10N.286.49.F1[1]</t>
  </si>
  <si>
    <t>Viruses[2];Caudovirales[2];Myoviridae[2];unclassified Myoviridae[2];Vibrio phage qdvp001[1]</t>
  </si>
  <si>
    <t>DNAUV-20.430-24</t>
  </si>
  <si>
    <t>Viruses[20];Caudovirales[20];Myoviridae[20];unclassified Myoviridae[20];Vibrio phage 1.187.O._10N.286.49.F1[3];Alcanivorax[1];Alcanivorax pacificus[1]</t>
  </si>
  <si>
    <t>Viruses;Caudovirales;Myoviridae;unclassified Myoviridae;Vibrio phage 1.187.O._10N.286.49.F1;Alcanivorax;Alcanivorax pacificus</t>
  </si>
  <si>
    <t>Viruses[20];Caudovirales[20];Myoviridae[20];unclassified Myoviridae[20];Vibrio phage 1.187.O._10N.286.49.F1[3]</t>
  </si>
  <si>
    <t>DNAUV-5.961-15</t>
  </si>
  <si>
    <t>Viruses[5];Caudovirales[5];Myoviridae[4];unclassified Myoviridae[4];Vibrio phage 1.193.O._10N.286.52.C6[2]</t>
  </si>
  <si>
    <t>Viruses;Caudovirales;Myoviridae;unclassified Myoviridae;Vibrio phage 1.193.O._10N.286.52.C6</t>
  </si>
  <si>
    <t>DNAUV-7.358-33</t>
  </si>
  <si>
    <t>Viruses[7];Caudovirales[7];Myoviridae[7];unclassified Myoviridae[6];Vibrio phage 1.193.O._10N.286.52.C6[2];Cronobacter virus CR9[1];Cronobacter phage CR9[1]</t>
  </si>
  <si>
    <t>Viruses;Caudovirales;Myoviridae;unclassified Myoviridae;Vibrio phage 1.193.O._10N.286.52.C6;Cronobacter virus CR9;Cronobacter phage CR9</t>
  </si>
  <si>
    <t>DNAUV-34.277-41</t>
  </si>
  <si>
    <t>Viruses[29];Caudovirales[28];Myoviridae[28];unclassified Myoviridae[28];Vibrio phage 1.193.O._10N.286.52.C6[11];Lachnospiraceae[1];Anaerostipes[1];Anaerostipes caccae[1]</t>
  </si>
  <si>
    <t>Viruses;Caudovirales;Myoviridae;unclassified Myoviridae;Vibrio phage 1.193.O._10N.286.52.C6;Lachnospiraceae;Anaerostipes;Anaerostipes caccae</t>
  </si>
  <si>
    <t>Viruses[29];Caudovirales[28];Myoviridae[28];unclassified Myoviridae[28];Vibrio phage 1.193.O._10N.286.52.C6[11]</t>
  </si>
  <si>
    <t>DNAUV-14.976-22</t>
  </si>
  <si>
    <t>Viruses[15];Caudovirales[15];Myoviridae[14];unclassified Myoviridae[13];Vibrio phage 1.193.O._10N.286.52.C6[3];Vibrio virus ValKK3[1];Vibrio phage ValKK3[1];Francisella sp. FSC1006[1]</t>
  </si>
  <si>
    <t>Viruses;Caudovirales;Myoviridae;unclassified Myoviridae;Vibrio phage 1.193.O._10N.286.52.C6;Vibrio virus ValKK3;Vibrio phage ValKK3;Francisella sp. FSC1006</t>
  </si>
  <si>
    <t>Viruses[15];Caudovirales[15];Myoviridae[14];unclassified Myoviridae[13];Vibrio phage eugene 12A10[3];Vibrio virus ValKK3[1];Vibrio phage ValKK3[1]</t>
  </si>
  <si>
    <t>DNAUV-7.232-25</t>
  </si>
  <si>
    <t>Viruses[10];Caudovirales[10];Myoviridae[10];unclassified Myoviridae[10];Vibrio phage 11895-B1[7]</t>
  </si>
  <si>
    <t>Viruses;Caudovirales;Myoviridae;unclassified Myoviridae;Vibrio phage 11895-B1</t>
  </si>
  <si>
    <t>DNAUV-2.387-10</t>
  </si>
  <si>
    <t>Viruses[2];Caudovirales[2];Myoviridae[2];unclassified Myoviridae[2];Vibrio phage CKB-S1[1]</t>
  </si>
  <si>
    <t>Viruses;Caudovirales;Myoviridae;unclassified Myoviridae;Vibrio phage CKB-S1</t>
  </si>
  <si>
    <t>DNAUV-3.191-11</t>
  </si>
  <si>
    <t>Viruses[2];Caudovirales[2];Myoviridae[2];unclassified Myoviridae[2];Vibrio phage CKB-S1[2]</t>
  </si>
  <si>
    <t>DNAUV-2.068-6.0</t>
  </si>
  <si>
    <t>Viruses[1];Caudovirales[1];Myoviridae[1];unclassified Myoviridae[1];Vibrio phage helene 12B3[1]</t>
  </si>
  <si>
    <t>Viruses;Caudovirales;Myoviridae;unclassified Myoviridae;Vibrio phage helene 12B3</t>
  </si>
  <si>
    <t>DNAUV-2.649-17</t>
  </si>
  <si>
    <t>DNAUV-28.787-28</t>
  </si>
  <si>
    <t>Viruses[26];Caudovirales[26];Myoviridae[24];unclassified Myoviridae[24];Vibrio phage helene 12B3[4];Salmonella phage vB_SenS_Sasha[1]</t>
  </si>
  <si>
    <t>Viruses;Caudovirales;Myoviridae;unclassified Myoviridae;Vibrio phage helene 12B3;Salmonella phage vB_SenS_Sasha</t>
  </si>
  <si>
    <t>DNAUV-3.116-19</t>
  </si>
  <si>
    <t>Viruses[2];Caudovirales[2];Myoviridae[2];unclassified Myoviridae[2];Vibrio phage ICP1_2006_D[1]</t>
  </si>
  <si>
    <t>Viruses;Caudovirales;Myoviridae;unclassified Myoviridae;Vibrio phage ICP1_2006_D</t>
  </si>
  <si>
    <t>Viruses[2];Caudovirales[2];Myoviridae[2];unclassified Myoviridae[2];Pseudoalteromonas phage H101[1]</t>
  </si>
  <si>
    <t>DNAUV-5.975-24</t>
  </si>
  <si>
    <t>Viruses[4];Caudovirales[4];Myoviridae[4];unclassified Myoviridae[4];Vibrio phage ICP1_2011_A[1]</t>
  </si>
  <si>
    <t>Viruses;Caudovirales;Myoviridae;unclassified Myoviridae;Vibrio phage ICP1_2011_A</t>
  </si>
  <si>
    <t>DNAUV-2.191-19</t>
  </si>
  <si>
    <t>Viruses[1];Caudovirales[1];Myoviridae[1];unclassified Myoviridae[1];Vibrio phage RYC[1]</t>
  </si>
  <si>
    <t>Viruses;Caudovirales;Myoviridae;unclassified Myoviridae;Vibrio phage RYC</t>
  </si>
  <si>
    <t>DNAUV-6.814-25</t>
  </si>
  <si>
    <t>Viruses[3];Caudovirales[3];Myoviridae[3];unclassified Myoviridae[3];Vibrio phage RYC[2];Endozoicomonas[1];Vibrio harveyi group[1];Vibrio parahaemolyticus[1]</t>
  </si>
  <si>
    <t>Viruses;Caudovirales;Myoviridae;unclassified Myoviridae;Vibrio phage RYC;Endozoicomonas;Vibrio harveyi group;Vibrio parahaemolyticus</t>
  </si>
  <si>
    <t>Viruses[3];Caudovirales[3];Myoviridae[3];unclassified Myoviridae[3];Vibrio phage RYC[2]</t>
  </si>
  <si>
    <t>DNAUV-2.374-56</t>
  </si>
  <si>
    <t>Viruses[1];Caudovirales[1];Myoviridae[1];unclassified Myoviridae[1];Vibrio phage RYC[1];Halomonas[1];unclassified Halomonas[1];Halomonas sp. BC04[1]</t>
  </si>
  <si>
    <t>Viruses;Caudovirales;Myoviridae;unclassified Myoviridae;Vibrio phage RYC;Halomonas;unclassified Halomonas;Halomonas sp. BC04</t>
  </si>
  <si>
    <t>DNAUV-10.760-29</t>
  </si>
  <si>
    <t>Viruses[12];Caudovirales[12];Myoviridae[12];unclassified Myoviridae[12];Vibrio phage S4-7[3]</t>
  </si>
  <si>
    <t>Viruses;Caudovirales;Myoviridae;unclassified Myoviridae;Vibrio phage S4-7</t>
  </si>
  <si>
    <t>Viruses[12];Caudovirales[12];Myoviridae[12];unclassified Myoviridae[12];Vibrio phage 1.193.O._10N.286.52.C6[3]</t>
  </si>
  <si>
    <t>DNAUV-7.594-31</t>
  </si>
  <si>
    <t>Viruses[8];Caudovirales[8];Myoviridae[8];unclassified Myoviridae[8];Vibrio phage S4-7[2]</t>
  </si>
  <si>
    <t>DNAUV-8.149-12</t>
  </si>
  <si>
    <t>Viruses[5];Caudovirales[5];Myoviridae[4];unclassified Myoviridae[4];Vibrio phage S4-7[2]</t>
  </si>
  <si>
    <t>DNAUV-2.334-34</t>
  </si>
  <si>
    <t>Viruses[3];Caudovirales[3];Myoviridae[2];unclassified Myoviridae[2];Vibrio phage S4-7[2];Bacillus virus Bobb[1];Bacillus phage Bobb[1]</t>
  </si>
  <si>
    <t>Viruses;Caudovirales;Myoviridae;unclassified Myoviridae;Vibrio phage S4-7;Bacillus virus Bobb;Bacillus phage Bobb</t>
  </si>
  <si>
    <t>DNAUV-2.313-264</t>
  </si>
  <si>
    <t>Viruses[1];Caudovirales[1];Myoviridae[1];unclassified Myoviridae[1];Xanthomonas phage Carpasina[1]</t>
  </si>
  <si>
    <t>Viruses;Caudovirales;Myoviridae;unclassified Myoviridae;Xanthomonas phage Carpasina</t>
  </si>
  <si>
    <t>DNAUV-2.211-31</t>
  </si>
  <si>
    <t>Viruses[2];Caudovirales[2];Myoviridae[2];unclassified Myoviridae[2];Vibrio phage 1.101.O._10N.261.45.C6[1]</t>
  </si>
  <si>
    <t>DNAUV-2.388-214</t>
  </si>
  <si>
    <t>DNAUV-7.148-65</t>
  </si>
  <si>
    <t>Viruses[3];Caudovirales[2];Myoviridae[2];unclassified Myoviridae[2];Yellowstone lake phycodnavirus 1[1];Desulfobacteraceae[1];Pseudolabrys taiwanensis[1];Desulfobacter vibrioformis[1]</t>
  </si>
  <si>
    <t>Viruses;Caudovirales;Myoviridae;unclassified Myoviridae;Yellowstone lake phycodnavirus 1;Desulfobacteraceae;Pseudolabrys taiwanensis;Desulfobacter vibrioformis</t>
  </si>
  <si>
    <t>Viruses[3];Caudovirales[2];Myoviridae[2];unclassified Myoviridae[2];Synechococcus phage S-CBM2[1]</t>
  </si>
  <si>
    <t>DNAUV-2.060-599</t>
  </si>
  <si>
    <t>Viruses[1];Caudovirales[1];Myoviridae[1];unclassified Myoviridae[1];Yersinia phage fEV-1[1]</t>
  </si>
  <si>
    <t>Viruses;Caudovirales;Myoviridae;unclassified Myoviridae;Yersinia phage fEV-1</t>
  </si>
  <si>
    <t>DNAUV-3.438-35</t>
  </si>
  <si>
    <t>Viruses[1];Caudovirales[1];Myoviridae[1];unclassified Myoviridae[1];Yersinia phage fEV-1[1];Clostridiaceae[1];Caloramator[1];unclassified Caloramator[1];Caloramator sp. ALD01[1]</t>
  </si>
  <si>
    <t>Viruses;Caudovirales;Myoviridae;unclassified Myoviridae;Yersinia phage fEV-1;Clostridiaceae;Caloramator;unclassified Caloramator;Caloramator sp. ALD01</t>
  </si>
  <si>
    <t>DNAUV-38.183-831</t>
  </si>
  <si>
    <t>Viruses[18];Caudovirales[18];Myoviridae[16];unclassified Myoviridae[16];Yersinia phage fEV-1[14];Gilliamella[1];Rodentibacter rarus[1];Aerococcus viridans[1];Chlorobium[1];Chlorobium chlorochromatii[1]</t>
  </si>
  <si>
    <t>Viruses;Caudovirales;Myoviridae;unclassified Myoviridae;Yersinia phage fEV-1;Gilliamella;Rodentibacter rarus;Aerococcus viridans;Chlorobium;Chlorobium chlorochromatii</t>
  </si>
  <si>
    <t>Viruses[18];Caudovirales[18];Myoviridae[16];unclassified Myoviridae[16];Yersinia phage fEV-1[14]</t>
  </si>
  <si>
    <t>DNAUV-2.813-485</t>
  </si>
  <si>
    <t>DNAUV-2.694-44</t>
  </si>
  <si>
    <t>Viruses[2];Caudovirales[2];Myoviridae[2];unclassified Myoviridae[1];Yersinia virus TG1[1];Rhodothermaceae[1];Salinibacter[1];Salinibacter ruber[1]</t>
  </si>
  <si>
    <t>Viruses;Caudovirales;Myoviridae;unclassified Myoviridae;Yersinia virus TG1;Rhodothermaceae;Salinibacter;Salinibacter ruber</t>
  </si>
  <si>
    <t>Viruses[2];Caudovirales[2];Myoviridae[2];Tegunavirus[1];Yersinia virus TG1[1];Yersinia phage vB_YenM_TG1[1]</t>
  </si>
  <si>
    <t>DNAUV-2.267-29</t>
  </si>
  <si>
    <t>Viruses[2];Caudovirales[2];Myoviridae[1];unclassified Podoviridae[1];Rhodobacteraceae[1];Labrenzia[1];Labrenzia alba[1]</t>
  </si>
  <si>
    <t>Viruses;Caudovirales;Myoviridae;unclassified Podoviridae;Rhodobacteraceae;Labrenzia;Labrenzia alba</t>
  </si>
  <si>
    <t>Viruses[2];Caudovirales[2];Podoviridae[1];unclassified Myoviridae[1];Synechococcus phage S-SKS1[1]</t>
  </si>
  <si>
    <t>DNAUV-2.821-198</t>
  </si>
  <si>
    <t>Viruses[2];Caudovirales[2];Myoviridae[1];unclassified Siphoviridae[1];Cyanophage KBS-S-2A[1]</t>
  </si>
  <si>
    <t>Viruses;Caudovirales;Myoviridae;unclassified Siphoviridae;Cyanophage KBS-S-2A</t>
  </si>
  <si>
    <t>Viruses[2];Caudovirales[2];Myoviridae[1];unclassified Myoviridae[1];Cyanophage KBS-S-2A[1]</t>
  </si>
  <si>
    <t>DNAUV-3.634-57</t>
  </si>
  <si>
    <t>Viruses[2];Caudovirales[2];Myoviridae[1];unclassified Siphoviridae[1];Freshwater phage uvFW-CGR-AMD-COM-C203[1]</t>
  </si>
  <si>
    <t>Viruses;Caudovirales;Myoviridae;unclassified Siphoviridae;Freshwater phage uvFW-CGR-AMD-COM-C203</t>
  </si>
  <si>
    <t>Viruses[2];Caudovirales[2];Myoviridae[1];unclassified Myoviridae[1];Freshwater phage uvFW-CGR-AMD-COM-C203[1]</t>
  </si>
  <si>
    <t>DNAUV-3.051-251</t>
  </si>
  <si>
    <t>Viruses[2];Caudovirales[2];Myoviridae[1];unclassified Siphoviridae[1];Freshwater phage uvFW-CGR-AMD-COM-C203[1];Bordetella[1];Bordetella bronchiseptica[1]</t>
  </si>
  <si>
    <t>Viruses;Caudovirales;Myoviridae;unclassified Siphoviridae;Freshwater phage uvFW-CGR-AMD-COM-C203;Bordetella;Bordetella bronchiseptica</t>
  </si>
  <si>
    <t>Viruses[2];Caudovirales[2];Siphoviridae[1];unclassified Siphoviridae[1];Yersinia phage fEV-1[1]</t>
  </si>
  <si>
    <t>DNAUV-2.910-9.3</t>
  </si>
  <si>
    <t>Viruses[2];Caudovirales[2];Myoviridae[1];unclassified Siphoviridae[1];Pseudomonas phage Psp6[1]</t>
  </si>
  <si>
    <t>Viruses;Caudovirales;Myoviridae;unclassified Siphoviridae;Pseudomonas phage Psp6</t>
  </si>
  <si>
    <t>DNAUV-3.146-31</t>
  </si>
  <si>
    <t>Viruses[2];Caudovirales[2];Myoviridae[1];unclassified Siphoviridae[1];Sinorhizobium virus N3[1];Sinorhizobium phage phiN3[1];Malasseziomycetes[1];Malasseziales[1];Malasseziaceae[1];Malassezia[1];Malassezia globosa[1];Malassezia globosa CBS 7966[1]</t>
  </si>
  <si>
    <t>Viruses;Caudovirales;Myoviridae;unclassified Siphoviridae;Sinorhizobium virus N3;Sinorhizobium phage phiN3;Malasseziomycetes;Malasseziales;Malasseziaceae;Malassezia;Malassezia globosa;Malassezia globosa CBS 7966</t>
  </si>
  <si>
    <t>DNAUV-13.692-18</t>
  </si>
  <si>
    <t>Viruses[7];Caudovirales[7];Myoviridae[3];unclassified Siphoviridae[2];unclassified Jwalphavirus[1];Kingella[1];Kingella potus[1];Psychromonas sp. CNPT3[1]</t>
  </si>
  <si>
    <t>Viruses;Caudovirales;Myoviridae;unclassified Siphoviridae;unclassified Jwalphavirus;Kingella;Kingella potus;Psychromonas sp. CNPT3</t>
  </si>
  <si>
    <t>Viruses[7];Caudovirales[7];Myoviridae[3];Emdodecavirus[2];Sinorhizobium virus M12[1];Sinorhizobium phage phiM12[1]</t>
  </si>
  <si>
    <t>DNAUV-3.305-98</t>
  </si>
  <si>
    <t>Viruses[2];Caudovirales[2];Myoviridae[1];unclassified Siphoviridae[1];Vibrio phage 1.164.O._10N.261.51.A7[1];Bacteroidales[1];Dysgonamonadaceae[1];Dysgonomonas[1];Dysgonomonas mossii[1]</t>
  </si>
  <si>
    <t>Viruses;Caudovirales;Myoviridae;unclassified Siphoviridae;Vibrio phage 1.164.O._10N.261.51.A7;Bacteroidales;Dysgonamonadaceae;Dysgonomonas;Dysgonomonas mossii</t>
  </si>
  <si>
    <t>Viruses[2];Caudovirales[2];Myoviridae[1];unclassified Siphoviridae[1];Vibrio phage 1.164.O._10N.261.51.A7[1]</t>
  </si>
  <si>
    <t>DNAUV-3.560-62</t>
  </si>
  <si>
    <t>Viruses[1];Caudovirales[1];Myoviridae[1];Vequintavirinae[1];Certrevirus[1];Cronobacter virus CR3[1];Cronobacter phage CR3[1]</t>
  </si>
  <si>
    <t>Viruses;Caudovirales;Myoviridae;Vequintavirinae;Certrevirus;Cronobacter virus CR3;Cronobacter phage CR3</t>
  </si>
  <si>
    <t>DNAUV-2.092-13</t>
  </si>
  <si>
    <t>Viruses[1];Caudovirales[1];Myoviridae[1];Vequintavirinae[1];unclassified Vequintavirinae[1];Acinetobacter phage ABPH49[1]</t>
  </si>
  <si>
    <t>Viruses;Caudovirales;Myoviridae;Vequintavirinae;unclassified Vequintavirinae;Acinetobacter phage ABPH49</t>
  </si>
  <si>
    <t>DNAUV-2.239-11</t>
  </si>
  <si>
    <t>Viruses[1];Caudovirales[1];Myoviridae[1];Vequintavirinae[1];unclassified Vequintavirinae[1];Klebsiella phage vB_KpnM_KB57[1]</t>
  </si>
  <si>
    <t>Viruses;Caudovirales;Myoviridae;Vequintavirinae;unclassified Vequintavirinae;Klebsiella phage vB_KpnM_KB57</t>
  </si>
  <si>
    <t>DNAUV-2.009-20</t>
  </si>
  <si>
    <t>Viruses[1];Caudovirales[1];Myoviridae[1];Vhmlvirus[1];Vibrio virus MAR[1];Vibrio phage vB_VpaM_MAR[1]</t>
  </si>
  <si>
    <t>Viruses;Caudovirales;Myoviridae;Vhmlvirus;Vibrio virus MAR;Vibrio phage vB_VpaM_MAR</t>
  </si>
  <si>
    <t>DNAUV-2.492-16</t>
  </si>
  <si>
    <t>Viruses[1];Caudovirales[1];Myoviridae[1];Yokohamavirus[1];Edwardsiella virus MSW3[1];Edwardsiella phage MSW-3[1];Magnetococcus marinus[1]</t>
  </si>
  <si>
    <t>Viruses;Caudovirales;Myoviridae;Yokohamavirus;Edwardsiella virus MSW3;Edwardsiella phage MSW-3;Magnetococcus marinus</t>
  </si>
  <si>
    <t>Viruses[1];Caudovirales[1];Myoviridae[1];Yokohamavirus[1];Edwardsiella virus MSW3[1];Edwardsiella phage MSW-3[1]</t>
  </si>
  <si>
    <t>DNAUV-4.394-368</t>
  </si>
  <si>
    <t>Viruses[1];Caudovirales[1];Myoviridae[1];Yokohamavirus[1];Edwardsiella virus MSW3[1];Gluconobacter[1];Gluconobacter albidus[1]</t>
  </si>
  <si>
    <t>Viruses;Caudovirales;Myoviridae;Yokohamavirus;Edwardsiella virus MSW3;Gluconobacter;Gluconobacter albidus</t>
  </si>
  <si>
    <t>DNAUV-3.238-12</t>
  </si>
  <si>
    <t>Viruses[2];Caudovirales[2];Myoviridae[1];Yuavirus[1];unclassified Yuavirus[1];Bordetella phage CN2[1];Rhizobium[1];Rhizobium favelukesii[1]</t>
  </si>
  <si>
    <t>Viruses;Caudovirales;Myoviridae;Yuavirus;unclassified Yuavirus;Bordetella phage CN2;Rhizobium;Rhizobium favelukesii</t>
  </si>
  <si>
    <t>Viruses[2];Caudovirales[2];Myoviridae[1];Busanvirus[1];Acidovorax virus ACP17[1];Bordetella phage CN2[1]</t>
  </si>
  <si>
    <t>DNAUV-4.216-20</t>
  </si>
  <si>
    <t>Viruses[2];Caudovirales[1];Pacmanvirus A23[1];unclassified Myoviridae[1];Vibrionaceae[1];Vibrio[1];Vibrio cholerae[1]</t>
  </si>
  <si>
    <t>Viruses;Caudovirales;Pacmanvirus A23;unclassified Myoviridae;Vibrionaceae;Vibrio;Vibrio cholerae</t>
  </si>
  <si>
    <t>Viruses[2];unclassified viruses[1];Myoviridae[1];unclassified Myoviridae[1];Vibrio phage 1.170.O._10N.261.52.C3[1]</t>
  </si>
  <si>
    <t>DNAUV-2.591-15</t>
  </si>
  <si>
    <t>Viruses[1];Caudovirales[1];Podoviridae[1];Autographivirinae[1];Phikmvvirus[1];unclassified Phikmvvirus[1];Pseudomonas phage MPK7[1];Campylobacter concisus[1]</t>
  </si>
  <si>
    <t>Viruses;Caudovirales;Podoviridae;Autographivirinae;Phikmvvirus;unclassified Phikmvvirus;Pseudomonas phage MPK7;Campylobacter concisus</t>
  </si>
  <si>
    <t>Viruses[1];Caudovirales[1];Podoviridae[1];Autographivirinae[1];Phikmvvirus[1];unclassified Phikmvvirus[1];Pseudomonas phage MPK7[1]</t>
  </si>
  <si>
    <t>DNAUV-3.164-1006</t>
  </si>
  <si>
    <t>Viruses[4];Caudovirales[4];Podoviridae[4];Autographivirinae[2];Prochlorococcus virus PSSP7[2];Legionella[1];Legionella pneumophila[1]</t>
  </si>
  <si>
    <t>Viruses;Caudovirales;Podoviridae;Autographivirinae;Prochlorococcus virus PSSP7;Legionella;Legionella pneumophila</t>
  </si>
  <si>
    <t>Viruses[4];Caudovirales[4];Podoviridae[4];Autographivirinae[2];Prochlorococcus virus PSSP7[2]</t>
  </si>
  <si>
    <t>DNAUV-2.070-7.2</t>
  </si>
  <si>
    <t>Viruses[1];Caudovirales[1];Podoviridae[1];Autographivirinae[1];Przondovirus[1];unclassified Przondovirus[1];Erwinia phage vB_EamP-L1[1]</t>
  </si>
  <si>
    <t>Viruses;Caudovirales;Podoviridae;Autographivirinae;Przondovirus;unclassified Przondovirus;Erwinia phage vB_EamP-L1</t>
  </si>
  <si>
    <t>DNAUV-6.532-1161</t>
  </si>
  <si>
    <t>Viruses[2];Caudovirales[2];Podoviridae[1];Autographivirinae[1];Pseudomonas virus PAE1[1];Bacteroidales[1];Bacteroidaceae[1];Bacteroides[1];unclassified Bacteroides[1];Bacteroides sp. OM05-12[1]</t>
  </si>
  <si>
    <t>Viruses;Caudovirales;Podoviridae;Autographivirinae;Pseudomonas virus PAE1;Bacteroidales;Bacteroidaceae;Bacteroides;unclassified Bacteroides;Bacteroides sp. OM05-12</t>
  </si>
  <si>
    <t>Viruses[2];Caudovirales[2];Siphoviridae[1];Yuavirus[1];unclassified Autographivirinae[1];Caulobacter phage Cd1[1]</t>
  </si>
  <si>
    <t>DNAUV-3.329-202</t>
  </si>
  <si>
    <t>Viruses[1];Caudovirales[1];Podoviridae[1];Autographivirinae[1];Synechococcus virus P60[1];Sphingomonas[1];unclassified Sphingomonas[1];Sphingomonas sp. JJ-A5[1]</t>
  </si>
  <si>
    <t>Viruses;Caudovirales;Podoviridae;Autographivirinae;Synechococcus virus P60;Sphingomonas;unclassified Sphingomonas;Sphingomonas sp. JJ-A5</t>
  </si>
  <si>
    <t>Viruses[1];Caudovirales[1];Podoviridae[1];Autographivirinae[1];Synechococcus virus P60[1]</t>
  </si>
  <si>
    <t>DNAUV-5.865-1025</t>
  </si>
  <si>
    <t>Viruses[3];Caudovirales[3];Podoviridae[2];Autographivirinae[1];Teseptimavirus[1];Microvirga[1];Microvirga flocculans[1];Sphingomonas sp. JJ-A5[1]</t>
  </si>
  <si>
    <t>Viruses;Caudovirales;Podoviridae;Autographivirinae;Teseptimavirus;Microvirga;Microvirga flocculans;Sphingomonas sp. JJ-A5</t>
  </si>
  <si>
    <t>Viruses[3];Caudovirales[3];Podoviridae[2];Autographivirinae[1];Sinorhizobium phage phiM6[1];unclassified Teseptimavirus[1];Salmonella phage Vi06[1]</t>
  </si>
  <si>
    <t>DNAUV-3.185-61</t>
  </si>
  <si>
    <t>Viruses[1];Caudovirales[1];Podoviridae[1];Autographivirinae[1];Teseptimavirus[1];unclassified Teseptimavirus[1];Cronobacter phage Dev2[1]</t>
  </si>
  <si>
    <t>Viruses;Caudovirales;Podoviridae;Autographivirinae;Teseptimavirus;unclassified Teseptimavirus;Cronobacter phage Dev2</t>
  </si>
  <si>
    <t>DNAUV-2.765-21</t>
  </si>
  <si>
    <t>Viruses[1];Caudovirales[1];Podoviridae[1];Autographivirinae[1];Teseptimavirus[1];unclassified Teseptimavirus[1];Escherichia phage JSS1[1]</t>
  </si>
  <si>
    <t>Viruses;Caudovirales;Podoviridae;Autographivirinae;Teseptimavirus;unclassified Teseptimavirus;Escherichia phage JSS1</t>
  </si>
  <si>
    <t>DNAUV-2.325-109</t>
  </si>
  <si>
    <t>Viruses[3];Caudovirales[3];Podoviridae[2];Autographivirinae[1];Teseptimavirus[1];unclassified Teseptimavirus[1];Salmonella phage Vi06[1];Polynucleobacter sp. 39-45-136[1]</t>
  </si>
  <si>
    <t>Viruses;Caudovirales;Podoviridae;Autographivirinae;Teseptimavirus;unclassified Teseptimavirus;Salmonella phage Vi06;Polynucleobacter sp. 39-45-136</t>
  </si>
  <si>
    <t>Viruses[3];Caudovirales[3];Podoviridae[2];unclassified Siphoviridae[1];Teseptimavirus[1];unclassified Teseptimavirus[1];Salmonella phage Vi06[1]</t>
  </si>
  <si>
    <t>DNAUV-7.884-127</t>
  </si>
  <si>
    <t>Viruses[7];Caudovirales[7];Podoviridae[4];Autographivirinae[3];unclassified Autographivirinae[2];Aminobacter[2];Aminobacter aminovorans[2]</t>
  </si>
  <si>
    <t>Viruses;Caudovirales;Podoviridae;Autographivirinae;unclassified Autographivirinae;Aminobacter;Aminobacter aminovorans</t>
  </si>
  <si>
    <t>Viruses[7];Caudovirales[7];Podoviridae[4];Autographivirinae[3];unclassified Autographivirinae[2];Cyanophage SS120-1[2];Yersinia phage vB_YenP_AP5[1]</t>
  </si>
  <si>
    <t>DNAUV-2.078-58</t>
  </si>
  <si>
    <t>Viruses[1];Caudovirales[1];Podoviridae[1];Autographivirinae[1];unclassified Autographivirinae[1];Burkholderia phage Bp-AMP4[1]</t>
  </si>
  <si>
    <t>Viruses;Caudovirales;Podoviridae;Autographivirinae;unclassified Autographivirinae;Burkholderia phage Bp-AMP4</t>
  </si>
  <si>
    <t>DNAUV-3.518-23</t>
  </si>
  <si>
    <t>Viruses[1];Caudovirales[1];Podoviridae[1];Autographivirinae[1];unclassified Autographivirinae[1];Chelatococcus[1];Chelatococcus sambhunathii[1]</t>
  </si>
  <si>
    <t>Viruses;Caudovirales;Podoviridae;Autographivirinae;unclassified Autographivirinae;Chelatococcus;Chelatococcus sambhunathii</t>
  </si>
  <si>
    <t>Viruses[1];Caudovirales[1];Podoviridae[1];Autographivirinae[1];unclassified Autographivirinae[1];Ralstonia phage DU_RP_I[1]</t>
  </si>
  <si>
    <t>DNAUV-6.426-20</t>
  </si>
  <si>
    <t>Viruses[1];Caudovirales[1];Podoviridae[1];Autographivirinae[1];unclassified Autographivirinae[1];Mesorhizobium phage vB_MloP_Lo5R7ANS[1]</t>
  </si>
  <si>
    <t>DNAUV-3.045-30</t>
  </si>
  <si>
    <t>Viruses[2];Caudovirales[2];Podoviridae[2];Autographivirinae[1];unclassified Autographivirinae[1];Cyanophage 9515-10a[1]</t>
  </si>
  <si>
    <t>Viruses;Caudovirales;Podoviridae;Autographivirinae;unclassified Autographivirinae;Cyanophage 9515-10a</t>
  </si>
  <si>
    <t>Viruses[2];Caudovirales[2];Podoviridae[2];unclassified Podoviridae[1];unclassified Autographivirinae[1];Cyanophage 9515-10a[1]</t>
  </si>
  <si>
    <t>DNAUV-3.875-27</t>
  </si>
  <si>
    <t>Viruses[2];Caudovirales[2];Podoviridae[2];unclassified Podoviridae[1];Sulfitobacter phage pCB2047-C[1];Cyanophage 9515-10a[1]</t>
  </si>
  <si>
    <t>DNAUV-2.010-102</t>
  </si>
  <si>
    <t>Viruses[1];Caudovirales[1];Podoviridae[1];Autographivirinae[1];unclassified Autographivirinae[1];Cyanophage 9515-10a[1]</t>
  </si>
  <si>
    <t>DNAUV-3.381-38</t>
  </si>
  <si>
    <t>DNAUV-3.337-77</t>
  </si>
  <si>
    <t>Viruses[1];Caudovirales[1];Podoviridae[1];Autographivirinae[1];unclassified Autographivirinae[1];Cyanophage NATL2A-133[1];Nitrospina[1];unclassified Nitrospina[1];Nitrospina sp. SCGC_AAA799_C22[1]</t>
  </si>
  <si>
    <t>Viruses;Caudovirales;Podoviridae;Autographivirinae;unclassified Autographivirinae;Cyanophage NATL2A-133;Nitrospina;unclassified Nitrospina;Nitrospina sp. SCGC_AAA799_C22</t>
  </si>
  <si>
    <t>DNAUV-3.319-13651</t>
  </si>
  <si>
    <t>Viruses[1];Caudovirales[1];Podoviridae[1];Autographivirinae[1];unclassified Autographivirinae[1];Cyanophage P-SSP2[1]</t>
  </si>
  <si>
    <t>Viruses;Caudovirales;Podoviridae;Autographivirinae;unclassified Autographivirinae;Cyanophage P-SSP2</t>
  </si>
  <si>
    <t>DNAUV-3.237-32</t>
  </si>
  <si>
    <t>Viruses[2];Caudovirales[2];Podoviridae[2];Autographivirinae[2];unclassified Autographivirinae[2];Cyanophage SS120-1[2]</t>
  </si>
  <si>
    <t>DNAUV-3.815-34</t>
  </si>
  <si>
    <t>Viruses[3];Caudovirales[3];Podoviridae[3];Autographivirinae[3];unclassified Autographivirinae[2];Cyanophage SS120-1[2];Yersinia phage vB_YenP_AP5[1]</t>
  </si>
  <si>
    <t>Viruses;Caudovirales;Podoviridae;Autographivirinae;unclassified Autographivirinae;Cyanophage SS120-1;Yersinia phage vB_YenP_AP5</t>
  </si>
  <si>
    <t>DNAUV-2.511-423</t>
  </si>
  <si>
    <t>Viruses[2];Caudovirales[2];Podoviridae[2];Autographivirinae[1];unclassified Autographivirinae[1];Gemmatimonadaceae[1];Gemmatimonas[1];unclassified Gemmatimonas[1];Gemmatimonas sp. SG8_38_2[1]</t>
  </si>
  <si>
    <t>Viruses;Caudovirales;Podoviridae;Autographivirinae;unclassified Autographivirinae;Gemmatimonadaceae;Gemmatimonas;unclassified Gemmatimonas;Gemmatimonas sp. SG8_38_2</t>
  </si>
  <si>
    <t>Viruses[2];Caudovirales[2];Podoviridae[2];unclassified Podoviridae[1];Puniceispirillum phage HMO-2011[1];Cyanophage 9515-10a[1]</t>
  </si>
  <si>
    <t>DNAUV-3.163-38</t>
  </si>
  <si>
    <t>Viruses[1];Caudovirales[1];Podoviridae[1];Autographivirinae[1];unclassified Autographivirinae[1];Magnetospirillum[1];Magnetospirillum magneticum[1]</t>
  </si>
  <si>
    <t>Viruses;Caudovirales;Podoviridae;Autographivirinae;unclassified Autographivirinae;Magnetospirillum;Magnetospirillum magneticum</t>
  </si>
  <si>
    <t>DNAUV-5.634-66</t>
  </si>
  <si>
    <t>Viruses[1];Caudovirales[1];Podoviridae[1];Autographivirinae[1];unclassified Autographivirinae[1];Maricaulis[1];unclassified Maricaulis[1];Maricaulis sp. W15[1]</t>
  </si>
  <si>
    <t>Viruses;Caudovirales;Podoviridae;Autographivirinae;unclassified Autographivirinae;Maricaulis;unclassified Maricaulis;Maricaulis sp. W15</t>
  </si>
  <si>
    <t>DNAUV-2.206-35</t>
  </si>
  <si>
    <t>Viruses[1];Caudovirales[1];Podoviridae[1];Autographivirinae[1];unclassified Autographivirinae[1];Mesorhizobium[1];unclassified Mesorhizobium[1];Mesorhizobium sp. WSM3866[1]</t>
  </si>
  <si>
    <t>Viruses;Caudovirales;Podoviridae;Autographivirinae;unclassified Autographivirinae;Mesorhizobium;unclassified Mesorhizobium;Mesorhizobium sp. WSM3866</t>
  </si>
  <si>
    <t>DNAUV-6.588-589</t>
  </si>
  <si>
    <t>Viruses[4];Caudovirales[4];Podoviridae[4];Autographivirinae[3];unclassified Autographivirinae[2];Microvirga[1];Microvirga flocculans[1];Polynucleobacter sp. 39-45-136[1]</t>
  </si>
  <si>
    <t>Viruses;Caudovirales;Podoviridae;Autographivirinae;unclassified Autographivirinae;Microvirga;Microvirga flocculans;Polynucleobacter sp. 39-45-136</t>
  </si>
  <si>
    <t>Viruses[4];Caudovirales[4];Podoviridae[4];Autographivirinae[3];unclassified Autographivirinae[2];unclassified Teseptimavirus[1];Salmonella phage Vi06[1]</t>
  </si>
  <si>
    <t>DNAUV-3.344-16</t>
  </si>
  <si>
    <t>Viruses[2];Caudovirales[2];Podoviridae[1];Autographivirinae[1];unclassified Autographivirinae[1];Paraburkholderia[1];Paraburkholderia phenazinium[1]</t>
  </si>
  <si>
    <t>Viruses;Caudovirales;Podoviridae;Autographivirinae;unclassified Autographivirinae;Paraburkholderia;Paraburkholderia phenazinium</t>
  </si>
  <si>
    <t>Viruses[2];Caudovirales[2];Podoviridae[1];Autographivirinae[1];unclassified Autographivirinae[1];Mesorhizobium phage vB_MloP_Lo5R7ANS[1]</t>
  </si>
  <si>
    <t>DNAUV-3.931-273</t>
  </si>
  <si>
    <t>Viruses[1];Caudovirales[1];Podoviridae[1];Autographivirinae[1];unclassified Autographivirinae[1];Paraburkholderia[1];Paraburkholderia tropica[1]</t>
  </si>
  <si>
    <t>Viruses;Caudovirales;Podoviridae;Autographivirinae;unclassified Autographivirinae;Paraburkholderia;Paraburkholderia tropica</t>
  </si>
  <si>
    <t>Viruses[1];Caudovirales[1];Podoviridae[1];Autographivirinae[1];unclassified Autographivirinae[1];Rhizobium phage RHEph01[1]</t>
  </si>
  <si>
    <t>DNAUV-12.147-754</t>
  </si>
  <si>
    <t>Viruses[7];Caudovirales[7];Podoviridae[6];Autographivirinae[3];unclassified Autographivirinae[3];Paracoccus[2];unclassified Luteibacter[1];Luteibacter sp. 22Crub2.1[1]</t>
  </si>
  <si>
    <t>Viruses;Caudovirales;Podoviridae;Autographivirinae;unclassified Autographivirinae;Paracoccus;unclassified Luteibacter;Luteibacter sp. 22Crub2.1</t>
  </si>
  <si>
    <t>Viruses[7];Caudovirales[7];Podoviridae[6];Autographivirinae[3];unclassified Autographivirinae[3];Synechococcus phage S-CBP2[1]</t>
  </si>
  <si>
    <t>DNAUV-2.782-28</t>
  </si>
  <si>
    <t>Viruses[2];Caudovirales[2];Podoviridae[2];Autographivirinae[2];unclassified Autographivirinae[2];Pelagibacter phage HTVC011P[2]</t>
  </si>
  <si>
    <t>Viruses;Caudovirales;Podoviridae;Autographivirinae;unclassified Autographivirinae;Pelagibacter phage HTVC011P</t>
  </si>
  <si>
    <t>DNAUV-2.116-21</t>
  </si>
  <si>
    <t>DNAUV-2.047-23</t>
  </si>
  <si>
    <t>Viruses[1];Caudovirales[1];Podoviridae[1];Autographivirinae[1];unclassified Autographivirinae[1];Pelagibacter phage HTVC019P[1];unclassified Coxiella (in: Bacteria)[1];Coxiella sp. DG_40[1]</t>
  </si>
  <si>
    <t>Viruses;Caudovirales;Podoviridae;Autographivirinae;unclassified Autographivirinae;Pelagibacter phage HTVC019P;unclassified Coxiella (in: Bacteria);Coxiella sp. DG_40</t>
  </si>
  <si>
    <t>Viruses[1];Caudovirales[1];Podoviridae[1];Autographivirinae[1];unclassified Autographivirinae[1];Pelagibacter phage HTVC019P[1]</t>
  </si>
  <si>
    <t>DNAUV-2.209-35</t>
  </si>
  <si>
    <t>Viruses[1];Caudovirales[1];Podoviridae[1];Autographivirinae[1];unclassified Autographivirinae[1];Phaeobacter[1];Phaeobacter inhibens[1]</t>
  </si>
  <si>
    <t>Viruses;Caudovirales;Podoviridae;Autographivirinae;unclassified Autographivirinae;Phaeobacter;Phaeobacter inhibens</t>
  </si>
  <si>
    <t>DNAUV-5.875-27</t>
  </si>
  <si>
    <t>Viruses[3];Caudovirales[3];Podoviridae[3];Autographivirinae[3];unclassified Autographivirinae[3];Phage MedPE-SWcel-C56[2]</t>
  </si>
  <si>
    <t>Viruses;Caudovirales;Podoviridae;Autographivirinae;unclassified Autographivirinae;Phage MedPE-SWcel-C56</t>
  </si>
  <si>
    <t>DNAUV-4.727-22</t>
  </si>
  <si>
    <t>Viruses[2];Caudovirales[2];Podoviridae[2];Autographivirinae[2];unclassified Autographivirinae[2];Phage MedPE-SWcel-C56[2];Pseudorhodobacter antarcticus[1]</t>
  </si>
  <si>
    <t>Viruses;Caudovirales;Podoviridae;Autographivirinae;unclassified Autographivirinae;Phage MedPE-SWcel-C56;Pseudorhodobacter antarcticus</t>
  </si>
  <si>
    <t>Viruses[2];Caudovirales[2];Podoviridae[2];Autographivirinae[2];unclassified Autographivirinae[2];Phage MedPE-SWcel-C56[2]</t>
  </si>
  <si>
    <t>DNAUV-3.278-11</t>
  </si>
  <si>
    <t>Viruses[1];Caudovirales[1];Podoviridae[1];Autographivirinae[1];unclassified Autographivirinae[1];Phage MedPE-SWcel-C56[1];Pseudorhodobacter antarcticus[1]</t>
  </si>
  <si>
    <t>Viruses[1];Caudovirales[1];Podoviridae[1];Autographivirinae[1];unclassified Autographivirinae[1];Phage MedPE-SWcel-C56[1]</t>
  </si>
  <si>
    <t>DNAUV-4.175-10</t>
  </si>
  <si>
    <t>Viruses[3];Caudovirales[3];Podoviridae[2];Autographivirinae[1];unclassified Autographivirinae[1];Phage MedPE-SWcel-C56[1];unclassified Phaeobacter[1];Phaeobacter sp. S60[1]</t>
  </si>
  <si>
    <t>Viruses;Caudovirales;Podoviridae;Autographivirinae;unclassified Autographivirinae;Phage MedPE-SWcel-C56;unclassified Phaeobacter;Phaeobacter sp. S60</t>
  </si>
  <si>
    <t>Viruses[3];Caudovirales[3];Podoviridae[2];Nanhaivirus[1];unclassified Autographivirinae[1];Dinoroseobacter phage vB_DshS-R5C[1]</t>
  </si>
  <si>
    <t>DNAUV-3.864-14</t>
  </si>
  <si>
    <t>Viruses[2];Caudovirales[2];Podoviridae[2];Autographivirinae[2];unclassified Autographivirinae[2];Podovirus Lau218[1];Devosia enhydra[1];[Ruminococcus] gnavus[1]</t>
  </si>
  <si>
    <t>Viruses;Caudovirales;Podoviridae;Autographivirinae;unclassified Autographivirinae;Podovirus Lau218;Devosia enhydra;[Ruminococcus] gnavus</t>
  </si>
  <si>
    <t>Viruses[2];Caudovirales[2];Podoviridae[2];Autographivirinae[2];unclassified Autographivirinae[2];Caulobacter phage Cd1[1]</t>
  </si>
  <si>
    <t>DNAUV-2.166-13</t>
  </si>
  <si>
    <t>Viruses[1];Caudovirales[1];Podoviridae[1];Autographivirinae[1];unclassified Autographivirinae[1];Polynucleobacter[1];unclassified Polynucleobacter[1];Polynucleobacter sp. 39-45-136[1]</t>
  </si>
  <si>
    <t>Viruses;Caudovirales;Podoviridae;Autographivirinae;unclassified Autographivirinae;Polynucleobacter;unclassified Polynucleobacter;Polynucleobacter sp. 39-45-136</t>
  </si>
  <si>
    <t>Viruses[1];Caudovirales[1];Podoviridae[1];Autographivirinae[1];unclassified Autographivirinae[1];Synechococcus phage S-CBP2[1]</t>
  </si>
  <si>
    <t>DNAUV-6.832-14</t>
  </si>
  <si>
    <t>Viruses[4];Caudovirales[4];Podoviridae[3];Autographivirinae[2];unclassified Autographivirinae[2];Pseudomonas phage PaMx25[1];Stenotrophomonas maltophilia group[1];Stenotrophomonas maltophilia[1]</t>
  </si>
  <si>
    <t>Viruses;Caudovirales;Podoviridae;Autographivirinae;unclassified Autographivirinae;Pseudomonas phage PaMx25;Stenotrophomonas maltophilia group;Stenotrophomonas maltophilia</t>
  </si>
  <si>
    <t>Viruses[4];Caudovirales[4];Podoviridae[3];Autographivirinae[2];unclassified Autographivirinae[2];Synechococcus phage S-RIP2[1]</t>
  </si>
  <si>
    <t>DNAUV-6.574-13</t>
  </si>
  <si>
    <t>Viruses[3];Caudovirales[3];Podoviridae[3];Autographivirinae[3];unclassified Autographivirinae[2];Pseudomonas virus LKA1[1];unclassified Bradyrhizobium[1];Bradyrhizobium sp. LTSP885[1]</t>
  </si>
  <si>
    <t>Viruses;Caudovirales;Podoviridae;Autographivirinae;unclassified Autographivirinae;Pseudomonas virus LKA1;unclassified Bradyrhizobium;Bradyrhizobium sp. LTSP885</t>
  </si>
  <si>
    <t>Viruses[3];Caudovirales[3];Podoviridae[3];Autographivirinae[3];unclassified Autographivirinae[2];Pseudomonas virus LKA1[1];Pseudomonas phage LKA1[1]</t>
  </si>
  <si>
    <t>DNAUV-2.509-16</t>
  </si>
  <si>
    <t>Viruses[1];Caudovirales[1];Podoviridae[1];Autographivirinae[1];unclassified Autographivirinae[1];Ralstonia phage RsoP1EGY[1]</t>
  </si>
  <si>
    <t>Viruses;Caudovirales;Podoviridae;Autographivirinae;unclassified Autographivirinae;Ralstonia phage RsoP1EGY</t>
  </si>
  <si>
    <t>DNAUV-2.661-11</t>
  </si>
  <si>
    <t>Viruses[2];Caudovirales[2];Podoviridae[1];Autographivirinae[1];unclassified Autographivirinae[1];Ralstonia phage RsoP1EGY[1];Neorhizobium[1];Neorhizobium galegae[1]</t>
  </si>
  <si>
    <t>Viruses;Caudovirales;Podoviridae;Autographivirinae;unclassified Autographivirinae;Ralstonia phage RsoP1EGY;Neorhizobium;Neorhizobium galegae</t>
  </si>
  <si>
    <t>Viruses[2];Caudovirales[2];Podoviridae[1];unclassified Myoviridae[1];Pseudomonas phage ventosus[1];Ralstonia phage RsoP1EGY[1]</t>
  </si>
  <si>
    <t>DNAUV-4.832-145</t>
  </si>
  <si>
    <t>Viruses[1];Caudovirales[1];Podoviridae[1];Autographivirinae[1];unclassified Autographivirinae[1];Ralstonia phage RsoP1EGY[1];Rubritalea[1];Rubritalea squalenifaciens[1];Rubritalea squalenifaciens DSM 18772[1]</t>
  </si>
  <si>
    <t>Viruses;Caudovirales;Podoviridae;Autographivirinae;unclassified Autographivirinae;Ralstonia phage RsoP1EGY;Rubritalea;Rubritalea squalenifaciens;Rubritalea squalenifaciens DSM 18772</t>
  </si>
  <si>
    <t>DNAUV-2.491-15</t>
  </si>
  <si>
    <t>Viruses[1];Caudovirales[1];Podoviridae[1];Autographivirinae[1];unclassified Autographivirinae[1];Ralstonia phage RsoP1EGY[1];unclassified Roseobacter[1];Roseobacter sp. MED193[1]</t>
  </si>
  <si>
    <t>Viruses;Caudovirales;Podoviridae;Autographivirinae;unclassified Autographivirinae;Ralstonia phage RsoP1EGY;unclassified Roseobacter;Roseobacter sp. MED193</t>
  </si>
  <si>
    <t>DNAUV-2.020-18</t>
  </si>
  <si>
    <t>Viruses[1];Caudovirales[1];Podoviridae[1];Autographivirinae[1];unclassified Autographivirinae[1];Rhizobium phage RHEph02[1]</t>
  </si>
  <si>
    <t>Viruses;Caudovirales;Podoviridae;Autographivirinae;unclassified Autographivirinae;Rhizobium phage RHEph02</t>
  </si>
  <si>
    <t>DNAUV-2.586-10</t>
  </si>
  <si>
    <t>Viruses[1];Caudovirales[1];Podoviridae[1];Autographivirinae[1];unclassified Autographivirinae[1];Salmonella phage vB_SpuP_Spp16[1]</t>
  </si>
  <si>
    <t>Viruses;Caudovirales;Podoviridae;Autographivirinae;unclassified Autographivirinae;Salmonella phage vB_SpuP_Spp16</t>
  </si>
  <si>
    <t>DNAUV-2.252-24</t>
  </si>
  <si>
    <t>Viruses[1];Caudovirales[1];Podoviridae[1];Autographivirinae[1];unclassified Autographivirinae[1];Synechococcus phage S-CBP1[1]</t>
  </si>
  <si>
    <t>Viruses;Caudovirales;Podoviridae;Autographivirinae;unclassified Autographivirinae;Synechococcus phage S-CBP1</t>
  </si>
  <si>
    <t>DNAUV-2.613-13</t>
  </si>
  <si>
    <t>Viruses[2];Caudovirales[2];Podoviridae[2];Autographivirinae[1];unclassified Autographivirinae[1];Synechococcus phage S-CBP42[1]</t>
  </si>
  <si>
    <t>Viruses[2];Caudovirales[2];Podoviridae[2];Autographivirinae[1];Celeribacter phage P12053L[1];Synechococcus phage S-CBP42[1]</t>
  </si>
  <si>
    <t>DNAUV-2.699-1272</t>
  </si>
  <si>
    <t>Viruses[1];Caudovirales[1];Podoviridae[1];Autographivirinae[1];unclassified Autographivirinae[1];Synechococcus phage S-CBP42[1]</t>
  </si>
  <si>
    <t>DNAUV-4.905-235</t>
  </si>
  <si>
    <t>Viruses[2];Caudovirales[2];Podoviridae[2];Autographivirinae[1];unclassified Autographivirinae[1];Synechococcus T7-like virus S-TIP37[1];unclassified Sphingomonas[1];Sphingomonas sp. SRS2[1]</t>
  </si>
  <si>
    <t>Viruses;Caudovirales;Podoviridae;Autographivirinae;unclassified Autographivirinae;Synechococcus T7-like virus S-TIP37;unclassified Sphingomonas;Sphingomonas sp. SRS2</t>
  </si>
  <si>
    <t>Viruses[2];Caudovirales[2];Podoviridae[2];Roseobacter virus SIO1[1];unclassified Autographivirinae[1];Synechococcus T7-like virus S-TIP37[1]</t>
  </si>
  <si>
    <t>DNAUV-7.883-22</t>
  </si>
  <si>
    <t>Viruses[3];Caudovirales[3];Podoviridae[2];Autographivirinae[1];unclassified Nipunavirus[1];Rhizobium/Agrobacterium group[1];unclassified Luteibacter[1];Rhizobium loessense[1]</t>
  </si>
  <si>
    <t>Viruses;Caudovirales;Podoviridae;Autographivirinae;unclassified Nipunavirus;Rhizobium/Agrobacterium group;unclassified Luteibacter;Rhizobium loessense</t>
  </si>
  <si>
    <t>Viruses[3];Caudovirales[3];Podoviridae[2];Autographivirinae[1];unclassified Autographivirinae[1];Pseudomonas phage JG054[1]</t>
  </si>
  <si>
    <t>DNAUV-3.473-43</t>
  </si>
  <si>
    <t>Viruses[1];Caudovirales[1];Podoviridae[1];Autographivirinae[1];Zindervirus[1];unclassified Zindervirus[1];Marinomonas phage CB5A[1];Vibrio parahaemolyticus[1]</t>
  </si>
  <si>
    <t>Viruses;Caudovirales;Podoviridae;Autographivirinae;Zindervirus;unclassified Zindervirus;Marinomonas phage CB5A;Vibrio parahaemolyticus</t>
  </si>
  <si>
    <t>DNAUV-2.481-9.1</t>
  </si>
  <si>
    <t>Viruses[3];Caudovirales[3];Podoviridae[2];Autographivirinae[2];Zindervirus[2];unclassified Zindervirus[2];Vibrio phage Vc1[1]</t>
  </si>
  <si>
    <t>Viruses;Caudovirales;Podoviridae;Autographivirinae;Zindervirus;unclassified Zindervirus;Vibrio phage Vc1</t>
  </si>
  <si>
    <t>DNAUV-4.245-9.3</t>
  </si>
  <si>
    <t>Viruses[2];Caudovirales[2];Podoviridae[2];Bacteroidetes[2];Cellulophaga virus Cba41[1];Cellulophaga phage phi4:1[1];Flavobacteriaceae[1];Lutibacter[1];Lutibacter profundi[1];Emticicia sp. MM[1]</t>
  </si>
  <si>
    <t>Viruses;Caudovirales;Podoviridae;Bacteroidetes;Cellulophaga virus Cba41;Cellulophaga phage phi4:1;Flavobacteriaceae;Lutibacter;Lutibacter profundi;Emticicia sp. MM</t>
  </si>
  <si>
    <t>Viruses[2];Caudovirales[2];Podoviridae[2];unclassified Podoviridae[1];Cellulophaga virus Cba41[1];Cellulophaga phage phi4:1[1]</t>
  </si>
  <si>
    <t>DNAUV-5.384-113</t>
  </si>
  <si>
    <t>Viruses[4];Caudovirales[4];Podoviridae[2];Baltimorevirus[1];Dinoroseobacter virus D5C[1];Sphingomonas[1];Phaeobacter gallaeciensis[1];Sphingomonas sp. Leaf10[1]</t>
  </si>
  <si>
    <t>Viruses;Caudovirales;Podoviridae;Baltimorevirus;Dinoroseobacter virus D5C;Sphingomonas;Phaeobacter gallaeciensis;Sphingomonas sp. Leaf10</t>
  </si>
  <si>
    <t>Viruses[4];Caudovirales[4];Podoviridae[2];Roseobacter virus SIO1[1];Freshwater phage uvFW-CGR-AMD-COM-C203[1];Dinoroseobacter phage vB_DshS-R5C[1]</t>
  </si>
  <si>
    <t>DNAUV-2.059-7.9</t>
  </si>
  <si>
    <t>DNAUV-2.585-12</t>
  </si>
  <si>
    <t>DNAUV-2.493-181</t>
  </si>
  <si>
    <t>Viruses;Caudovirales;Podoviridae;Baltimorevirus;unclassified Baltimorevirus;Dinoroseobacter phage DS-1410Ws-06</t>
  </si>
  <si>
    <t>DNAUV-2.140-18</t>
  </si>
  <si>
    <t>DNAUV-4.948-13</t>
  </si>
  <si>
    <t>Viruses[7];Caudovirales[7];Podoviridae[7];Baltimorevirus[7];unclassified Baltimorevirus[7];Roseovarius Plymouth podovirus 1[1]</t>
  </si>
  <si>
    <t>Viruses;Caudovirales;Podoviridae;Baltimorevirus;unclassified Baltimorevirus;Roseovarius Plymouth podovirus 1</t>
  </si>
  <si>
    <t>Viruses[7];Caudovirales[7];Podoviridae[7];Baltimorevirus[7];unclassified Baltimorevirus[7];Ruegeria phage vB_RpoP-V12[1]</t>
  </si>
  <si>
    <t>DNAUV-2.968-10</t>
  </si>
  <si>
    <t>Viruses[5];Caudovirales[5];Podoviridae[5];Baltimorevirus[4];unclassified Baltimorevirus[3];Roseovarius Plymouth podovirus 1[1]</t>
  </si>
  <si>
    <t>Viruses[5];Caudovirales[5];Podoviridae[5];Baltimorevirus[4];unclassified Baltimorevirus[3];Roseovarius sp. 217 phage 1[1]</t>
  </si>
  <si>
    <t>DNAUV-2.464-12</t>
  </si>
  <si>
    <t>Viruses[3];Caudovirales[3];Podoviridae[3];Baltimorevirus[3];unclassified Baltimorevirus[3];Roseovarius Plymouth podovirus 1[1]</t>
  </si>
  <si>
    <t>Viruses[3];Caudovirales[3];Podoviridae[3];Baltimorevirus[3];unclassified Baltimorevirus[3];Dinoroseobacter phage vBDshPR2C[1]</t>
  </si>
  <si>
    <t>DNAUV-3.897-15</t>
  </si>
  <si>
    <t>Viruses[3];Caudovirales[3];Podoviridae[3];Baltimorevirus[3];unclassified Baltimorevirus[3];Roseovarius sp. 217 phage 1[2]</t>
  </si>
  <si>
    <t>Viruses;Caudovirales;Podoviridae;Baltimorevirus;unclassified Baltimorevirus;Roseovarius sp. 217 phage 1</t>
  </si>
  <si>
    <t>DNAUV-73.172-54</t>
  </si>
  <si>
    <t>Viruses[55];Caudovirales[55];Podoviridae[55];Baltimorevirus[54];unclassified Baltimorevirus[46];Roseovarius sp. 217 phage 1[18];Tistlia consotensis[1];Polaromonas sp. 24-63-21[1]</t>
  </si>
  <si>
    <t>Viruses;Caudovirales;Podoviridae;Baltimorevirus;unclassified Baltimorevirus;Roseovarius sp. 217 phage 1;Tistlia consotensis;Polaromonas sp. 24-63-21</t>
  </si>
  <si>
    <t>Viruses[55];Caudovirales[55];Podoviridae[55];Baltimorevirus[54];unclassified Baltimorevirus[46];Roseovarius sp. 217 phage 1[18]</t>
  </si>
  <si>
    <t>DNAUV-3.881-10</t>
  </si>
  <si>
    <t>Viruses[2];Caudovirales[2];Podoviridae[2];Baltimorevirus[2];unclassified Baltimorevirus[2];Ruegeria phage vB_RpoP-V12[1]</t>
  </si>
  <si>
    <t>Viruses;Caudovirales;Podoviridae;Baltimorevirus;unclassified Baltimorevirus;Ruegeria phage vB_RpoP-V12</t>
  </si>
  <si>
    <t>DNAUV-2.190-38</t>
  </si>
  <si>
    <t>Viruses[2];Caudovirales[2];Podoviridae[1];Baltimorevirus[1];unclassified Baltimorevirus[1];Ruegeria phage vB_RpoP-V13[1];Phaeobacter gallaeciensis[1]</t>
  </si>
  <si>
    <t>Viruses;Caudovirales;Podoviridae;Baltimorevirus;unclassified Baltimorevirus;Ruegeria phage vB_RpoP-V13;Phaeobacter gallaeciensis</t>
  </si>
  <si>
    <t>Viruses[2];Caudovirales[2];Siphoviridae[1];Baltimorevirus[1];Vibrio phage 1.076.O._10N.286.51.B7[1];Ruegeria phage vB_RpoP-V13[1]</t>
  </si>
  <si>
    <t>DNAUV-4.800-614</t>
  </si>
  <si>
    <t>Viruses[3];Caudovirales[3];Podoviridae[2];Baltimorevirus[1];unclassified Baltimorevirus[1];Sphingomonas[1];Phaeobacter gallaeciensis[1];Sphingomonas sp. Leaf10[1]</t>
  </si>
  <si>
    <t>Viruses;Caudovirales;Podoviridae;Baltimorevirus;unclassified Baltimorevirus;Sphingomonas;Phaeobacter gallaeciensis;Sphingomonas sp. Leaf10</t>
  </si>
  <si>
    <t>Viruses[3];Caudovirales[3];Podoviridae[2];Roseobacter virus SIO1[1];Freshwater phage uvFW-CGR-AMD-COM-C203[1];Dinoroseobacter phage DS-1410Ws-06[1]</t>
  </si>
  <si>
    <t>DNAUV-2.728-7.8</t>
  </si>
  <si>
    <t>Viruses[2];Caudovirales[2];Podoviridae[2];Baltimorevirus[2];unclassified Baltimorevirus[2];Sulfitobacter phage phiCB2047-B[1]</t>
  </si>
  <si>
    <t>Viruses;Caudovirales;Podoviridae;Baltimorevirus;unclassified Baltimorevirus;Sulfitobacter phage phiCB2047-B</t>
  </si>
  <si>
    <t>Viruses[2];Caudovirales[2];Podoviridae[2];Baltimorevirus[2];unclassified Baltimorevirus[2];Roseobacter phage RD-1410W1-01[1]</t>
  </si>
  <si>
    <t>DNAUV-2.289-9.0</t>
  </si>
  <si>
    <t>Viruses[1];Caudovirales[1];Podoviridae[1];Baltimorevirus[1];unclassified Baltimorevirus[1];Sulfitobacter phage phiCB2047-B[1]</t>
  </si>
  <si>
    <t>DNAUV-2.260-234</t>
  </si>
  <si>
    <t>Viruses[2];Caudovirales[2];Podoviridae[1];Cetovirus[1];unclassified Cetovirus[1];Vibrio phage vB_VorS-PVo5[1]</t>
  </si>
  <si>
    <t>Viruses;Caudovirales;Podoviridae;Cetovirus;unclassified Cetovirus;Vibrio phage vB_VorS-PVo5</t>
  </si>
  <si>
    <t>Viruses[2];Caudovirales[2];Siphoviridae[1];Cetovirus[1];unclassified Cetovirus[1];Vibrio phage vB_VorS-PVo5[1]</t>
  </si>
  <si>
    <t>DNAUV-5.045-610</t>
  </si>
  <si>
    <t>Viruses[3];Caudovirales[3];Podoviridae[2];Deltaproteobacteria[2];Desulfobacterales[2];Desulfobulbaceae[2];Desulforhopalus[1];Desulforhopalus singaporensis[1]</t>
  </si>
  <si>
    <t>Viruses;Caudovirales;Podoviridae;Deltaproteobacteria;Desulfobacterales;Desulfobulbaceae;Desulforhopalus;Desulforhopalus singaporensis</t>
  </si>
  <si>
    <t>Viruses[3];Caudovirales[3];Podoviridae[2];unclassified Myoviridae[1];Shewanella phage SppYZU01[1];Dinoroseobacter phage DS-1410Ws-06[1]</t>
  </si>
  <si>
    <t>DNAUV-3.425-59</t>
  </si>
  <si>
    <t>Viruses[2];Caudovirales[2];Podoviridae[1];Eneladusvirus[1];Serratia virus BF[1];Serratia phage BF[1]</t>
  </si>
  <si>
    <t>Viruses;Caudovirales;Podoviridae;Eneladusvirus;Serratia virus BF;Serratia phage BF</t>
  </si>
  <si>
    <t>DNAUV-4.030-12</t>
  </si>
  <si>
    <t>Viruses[1];Caudovirales[1];Podoviridae[1];Enhodamvirus[1];unclassified Enhodamvirus[1];Bradyrhizobium[1];Bradyrhizobium elkanii[1]</t>
  </si>
  <si>
    <t>Viruses;Caudovirales;Podoviridae;Enhodamvirus;unclassified Enhodamvirus;Bradyrhizobium;Bradyrhizobium elkanii</t>
  </si>
  <si>
    <t>Viruses[1];Caudovirales[1];Podoviridae[1];Enhodamvirus[1];unclassified Enhodamvirus[1];Vibrio phage JSF15[1]</t>
  </si>
  <si>
    <t>DNAUV-2.559-13-V2</t>
  </si>
  <si>
    <t>Viruses[1];Caudovirales[1];Podoviridae[1];Enhodamvirus[1];Vibrio virus VC8[1];Maritalea[1];Maritalea myrionectae[1]</t>
  </si>
  <si>
    <t>Viruses;Caudovirales;Podoviridae;Enhodamvirus;Vibrio virus VC8;Maritalea;Maritalea myrionectae</t>
  </si>
  <si>
    <t>Viruses[1];Caudovirales[1];Podoviridae[1];Enhodamvirus[1];Vibrio virus VC8[1];Vibrio phage phiVC8[1]</t>
  </si>
  <si>
    <t>DNAUV-2.822-236</t>
  </si>
  <si>
    <t>Viruses[2];Caudovirales[2];Podoviridae[2];Enhodamvirus[2];Vibrio virus VC8[2];Vibrio phage phiVC8[2];Bacillus[1];unclassified Bacillus[1];Bacillus sp. FJAT-45122[1]</t>
  </si>
  <si>
    <t>Viruses;Caudovirales;Podoviridae;Enhodamvirus;Vibrio virus VC8;Vibrio phage phiVC8;Bacillus;unclassified Bacillus;Bacillus sp. FJAT-45122</t>
  </si>
  <si>
    <t>Viruses[2];Caudovirales[2];Podoviridae[2];Enhodamvirus[2];Vibrio virus VC8[2];Vibrio phage phiVC8[2]</t>
  </si>
  <si>
    <t>DNAUV-2.182-410</t>
  </si>
  <si>
    <t>Viruses[2];Caudovirales[2];Podoviridae[2];Enhodamvirus[2];Vibrio virus VC8[2];Vibrio phage phiVC8[2];Clostridium[1];unclassified Clostridium[1];Clostridium sp. Marseille-P299[1]</t>
  </si>
  <si>
    <t>Viruses;Caudovirales;Podoviridae;Enhodamvirus;Vibrio virus VC8;Vibrio phage phiVC8;Clostridium;unclassified Clostridium;Clostridium sp. Marseille-P299</t>
  </si>
  <si>
    <t>DNAUV-3.328-13</t>
  </si>
  <si>
    <t>Viruses[1];Caudovirales[1];Podoviridae[1];Gamaleyavirus[1];Escherichia virus G7C[1];Escherichia phage vB_EcoP_G7C[1];Desulfobacula[1];Desulfobacula toluolica[1]</t>
  </si>
  <si>
    <t>Viruses;Caudovirales;Podoviridae;Gamaleyavirus;Escherichia virus G7C;Escherichia phage vB_EcoP_G7C;Desulfobacula;Desulfobacula toluolica</t>
  </si>
  <si>
    <t>Viruses[1];Caudovirales[1];Podoviridae[1];Gamaleyavirus[1];Escherichia virus G7C[1];Escherichia phage vB_EcoP_G7C[1]</t>
  </si>
  <si>
    <t>DNAUV-8.100-11</t>
  </si>
  <si>
    <t>Viruses[2];Caudovirales[2];Podoviridae[2];Gamaleyavirus[2];Shigella virus Sb1[1];Shigella phage pSb-1[1]</t>
  </si>
  <si>
    <t>Viruses;Caudovirales;Podoviridae;Gamaleyavirus;Shigella virus Sb1;Shigella phage pSb-1</t>
  </si>
  <si>
    <t>Viruses[2];Caudovirales[2];Podoviridae[2];Gamaleyavirus[2];Escherichia virus Bp4[1];Shigella phage pSb-1[1]</t>
  </si>
  <si>
    <t>DNAUV-3.883-10</t>
  </si>
  <si>
    <t>Viruses[1];Caudovirales[1];Podoviridae[1];Ithacavirus[1];Escherichia virus Pollock[1];Escherichia phage Pollock[1]</t>
  </si>
  <si>
    <t>Viruses;Caudovirales;Podoviridae;Ithacavirus;Escherichia virus Pollock;Escherichia phage Pollock</t>
  </si>
  <si>
    <t>DNAUV-2.140-10</t>
  </si>
  <si>
    <t>Viruses[2];Caudovirales[2];Podoviridae[2];Ithacavirus[1];Salmonella virus FSL SP-058[1];Salmonella phage FSL SP-058[1]</t>
  </si>
  <si>
    <t>Viruses;Caudovirales;Podoviridae;Ithacavirus;Salmonella virus FSL SP-058;Salmonella phage FSL SP-058</t>
  </si>
  <si>
    <t>Viruses[2];Caudovirales[2];Podoviridae[2];unclassified Podoviridae[1];Vibrio phage 1.097.O._10N.286.49.B3[1];Salmonella phage FSL SP-058[1]</t>
  </si>
  <si>
    <t>DNAUV-2.362-9.1</t>
  </si>
  <si>
    <t>Viruses[1];Caudovirales[1];Podoviridae[1];Ithacavirus[1];Salmonella virus FSL SP-076[1];Alishewanella[1];unclassified Alishewanella[1];Alishewanella sp. 34-51-39[1]</t>
  </si>
  <si>
    <t>Viruses;Caudovirales;Podoviridae;Ithacavirus;Salmonella virus FSL SP-076;Alishewanella;unclassified Alishewanella;Alishewanella sp. 34-51-39</t>
  </si>
  <si>
    <t>Viruses[1];Caudovirales[1];Podoviridae[1];Ithacavirus[1];Salmonella virus FSL SP-076[1];Salmonella phage FSL SP-076[1]</t>
  </si>
  <si>
    <t>DNAUV-43.492-339</t>
  </si>
  <si>
    <t>Viruses[19];Caudovirales[19];Podoviridae[14];Jasminevirus[14];Arthrobacter virus Jasmine[10];Arthrobacter phage Jasmine[10];Aphanizomenon[3];Aphanizomenon flos-aquae[3];Aphanizomenon flos-aquae WA102[3];Strongylida[1];Trichostrongyloidea[1];Haemonchidae[1];Haemonchus[1];Haemonchus contortus[1]</t>
  </si>
  <si>
    <t>Viruses;Caudovirales;Podoviridae;Jasminevirus;Arthrobacter virus Jasmine;Arthrobacter phage Jasmine;Aphanizomenon;Aphanizomenon flos-aquae;Aphanizomenon flos-aquae WA102;Strongylida;Trichostrongyloidea;Haemonchidae;Haemonchus;Haemonchus contortus</t>
  </si>
  <si>
    <t>Viruses[19];Caudovirales[19];Podoviridae[14];Jasminevirus[14];Arthrobacter virus Jasmine[10];Arthrobacter phage Jasmine[10]</t>
  </si>
  <si>
    <t>DNAUV-2.390-10</t>
  </si>
  <si>
    <t>Viruses[1];Caudovirales[1];Podoviridae[1];Johnsonvirus[1];Erwinia virus Frozen[1];Novosphingobium[1];Novosphingobium tardaugens[1]</t>
  </si>
  <si>
    <t>Viruses;Caudovirales;Podoviridae;Johnsonvirus;Erwinia virus Frozen;Novosphingobium;Novosphingobium tardaugens</t>
  </si>
  <si>
    <t>Viruses[1];Caudovirales[1];Podoviridae[1];Johnsonvirus[1];Erwinia virus Frozen[1];Erwinia phage vB_EamP_Rexella[1]</t>
  </si>
  <si>
    <t>DNAUV-5.088-11</t>
  </si>
  <si>
    <t>Viruses[2];Caudovirales[2];Podoviridae[2];Johnsonvirus[1];Escherichia virus N4[1];Mesorhizobium[1];unclassified Mesorhizobium[1];Mesorhizobium sp. LSJC255A00[1]</t>
  </si>
  <si>
    <t>Viruses;Caudovirales;Podoviridae;Johnsonvirus;Escherichia virus N4;Mesorhizobium;unclassified Mesorhizobium;Mesorhizobium sp. LSJC255A00</t>
  </si>
  <si>
    <t>Viruses[2];Caudovirales[2];Podoviridae[2];Johnsonvirus[1];Erwinia virus Frozen[1];Erwinia phage vB_EamP_Frozen[1]</t>
  </si>
  <si>
    <t>DNAUV-11.287-15</t>
  </si>
  <si>
    <t>Viruses[8];Caudovirales[8];Podoviridae[8];Jwalphavirus[4];Achromobacter virus Axp3[3];Achromobacter phage phiAxp-3[3];unclassified Mesorhizobium[1];Mesorhizobium sp. LSJC255A00[1]</t>
  </si>
  <si>
    <t>Viruses;Caudovirales;Podoviridae;Jwalphavirus;Achromobacter virus Axp3;Achromobacter phage phiAxp-3;unclassified Mesorhizobium;Mesorhizobium sp. LSJC255A00</t>
  </si>
  <si>
    <t>Viruses[8];Caudovirales[8];Podoviridae[8];Jwalphavirus[4];Achromobacter virus Axp3[3];Achromobacter phage phiAxp-3[3]</t>
  </si>
  <si>
    <t>DNAUV-3.247-9.6</t>
  </si>
  <si>
    <t>Viruses[3];Caudovirales[3];Podoviridae[3];Jwalphavirus[1];unclassified Jwalphavirus[1];Escherichia phage vB_EcoP_G7C[1]</t>
  </si>
  <si>
    <t>Viruses;Caudovirales;Podoviridae;Jwalphavirus;unclassified Jwalphavirus;Escherichia phage vB_EcoP_G7C</t>
  </si>
  <si>
    <t>Viruses[3];Caudovirales[3];Podoviridae[3];Jwalphavirus[1];Escherichia virus G7C[1];Escherichia phage vB_EcoP_G7C[1]</t>
  </si>
  <si>
    <t>DNAUV-5.707-13</t>
  </si>
  <si>
    <t>Viruses[3];Caudovirales[3];Podoviridae[3];Jwalphavirus[2];unclassified Jwalphavirus[2];Pseudomonas phage inbricus[2]</t>
  </si>
  <si>
    <t>Viruses;Caudovirales;Podoviridae;Jwalphavirus;unclassified Jwalphavirus;Pseudomonas phage inbricus</t>
  </si>
  <si>
    <t>DNAUV-2.005-15</t>
  </si>
  <si>
    <t>Viruses[1];Caudovirales[1];Podoviridae[1];Kafunavirus[1];Edwardsiella virus KF1[1];Edwardsiella phage KF-1[1]</t>
  </si>
  <si>
    <t>Viruses;Caudovirales;Podoviridae;Kafunavirus;Edwardsiella virus KF1;Edwardsiella phage KF-1</t>
  </si>
  <si>
    <t>DNAUV-41.618-136</t>
  </si>
  <si>
    <t>Viruses[18];Caudovirales[18];Podoviridae[17];Kafunavirus[17];unclassified Kafunavirus[10];Edwardsiella phage KF-1[7];Microvirga massiliensis[1];Paenibacillus bouchesdurhonensis[1];Rhizobacter sp. Root16D2[1];Rickettsia hoogstraalii str. RCCE3[1]</t>
  </si>
  <si>
    <t>Viruses;Caudovirales;Podoviridae;Kafunavirus;unclassified Kafunavirus;Edwardsiella phage KF-1;Microvirga massiliensis;Paenibacillus bouchesdurhonensis;Rhizobacter sp. Root16D2;Rickettsia hoogstraalii str. RCCE3</t>
  </si>
  <si>
    <t>Viruses[18];Caudovirales[18];Podoviridae[17];Kafunavirus[17];unclassified Kafunavirus[10];Edwardsiella phage KF-1[7]</t>
  </si>
  <si>
    <t>DNAUV-2.416-11</t>
  </si>
  <si>
    <t>Viruses[6];Caudovirales[6];Podoviridae[3];Lacusarxvirus[2];Sphingobium virus Lacusarx[2];Sphingobium phage Lacusarx[2]</t>
  </si>
  <si>
    <t>Viruses;Caudovirales;Podoviridae;Lacusarxvirus;Sphingobium virus Lacusarx;Sphingobium phage Lacusarx</t>
  </si>
  <si>
    <t>DNAUV-3.784-13</t>
  </si>
  <si>
    <t>Viruses[1];Caudovirales[1];Podoviridae[1];Lessievirus[1];Burkholderia virus Bcepil02[1];Clostridiaceae[1];Youngiibacter[1];Youngiibacter fragilis[1];Youngiibacter fragilis 232.1[1]</t>
  </si>
  <si>
    <t>Viruses;Caudovirales;Podoviridae;Lessievirus;Burkholderia virus Bcepil02;Clostridiaceae;Youngiibacter;Youngiibacter fragilis;Youngiibacter fragilis 232.1</t>
  </si>
  <si>
    <t>Viruses[1];Caudovirales[1];Podoviridae[1];Lessievirus[1];Burkholderia virus Bcepil02[1]</t>
  </si>
  <si>
    <t>DNAUV-3.798-15</t>
  </si>
  <si>
    <t>Viruses[1];Caudovirales[1];Podoviridae[1];Lightbulbvirus[1];Cellulophaga virus Cba172[1];Chroococcales[1];Microcystaceae[1];Microcystis[1];Microcystis aeruginosa[1]</t>
  </si>
  <si>
    <t>Viruses;Caudovirales;Podoviridae;Lightbulbvirus;Cellulophaga virus Cba172;Chroococcales;Microcystaceae;Microcystis;Microcystis aeruginosa</t>
  </si>
  <si>
    <t>Viruses[1];Caudovirales[1];Podoviridae[1];Lightbulbvirus[1];Cellulophaga virus Cba172[1];Cellulophaga phage phi17:2[1]</t>
  </si>
  <si>
    <t>DNAUV-2.865-10</t>
  </si>
  <si>
    <t>Viruses[1];Caudovirales[1];Podoviridae[1];Lightbulbvirus[1];Cellulophaga virus Cba172[1];Francisella[1];Francisella tularensis[1]</t>
  </si>
  <si>
    <t>Viruses;Caudovirales;Podoviridae;Lightbulbvirus;Cellulophaga virus Cba172;Francisella;Francisella tularensis</t>
  </si>
  <si>
    <t>DNAUV-8.008-20</t>
  </si>
  <si>
    <t>Viruses[3];Caudovirales[3];Podoviridae[2];Lightbulbvirus[2];Cellulophaga virus Cba41[2];Cellulophaga phage phi4:1[2];Flavobacteriaceae[1];unclassified Ruminococcus[1];unclassified Aquimarina[1];Aquimarina sp. Aq107[1]</t>
  </si>
  <si>
    <t>Viruses;Caudovirales;Podoviridae;Lightbulbvirus;Cellulophaga virus Cba41;Cellulophaga phage phi4:1;Flavobacteriaceae;unclassified Ruminococcus;unclassified Aquimarina;Aquimarina sp. Aq107</t>
  </si>
  <si>
    <t>DNAUV-2.176-159</t>
  </si>
  <si>
    <t>Viruses[1];Caudovirales[1];Podoviridae[1];Lightbulbvirus[1];Cellulophaga virus Cba41[1];Flavobacteriales[1];Flavobacteriaceae[1];Galbibacter[1];Galbibacter marinus[1]</t>
  </si>
  <si>
    <t>Viruses;Caudovirales;Podoviridae;Lightbulbvirus;Cellulophaga virus Cba41;Flavobacteriales;Flavobacteriaceae;Galbibacter;Galbibacter marinus</t>
  </si>
  <si>
    <t>DNAUV-3.115-90</t>
  </si>
  <si>
    <t>Viruses[1];Caudovirales[1];Podoviridae[1];Lightbulbvirus[1];Cellulophaga virus Cba41[1];Flavobacteriales[1];Flavobacteriaceae[1];Leeuwenhoekiella[1];unclassified Leeuwenhoekiella[1];Leeuwenhoekiella sp. MAR_2009_132[1]</t>
  </si>
  <si>
    <t>Viruses;Caudovirales;Podoviridae;Lightbulbvirus;Cellulophaga virus Cba41;Flavobacteriales;Flavobacteriaceae;Leeuwenhoekiella;unclassified Leeuwenhoekiella;Leeuwenhoekiella sp. MAR_2009_132</t>
  </si>
  <si>
    <t>DNAUV-2.119-6.2</t>
  </si>
  <si>
    <t>Viruses[1];Caudovirales[1];Podoviridae[1];Litunavirus[1];unclassified Litunavirus[1];Pseudomonas phage DL64[1]</t>
  </si>
  <si>
    <t>Viruses;Caudovirales;Podoviridae;Litunavirus;unclassified Litunavirus;Pseudomonas phage DL64</t>
  </si>
  <si>
    <t>DNAUV-2.283-88</t>
  </si>
  <si>
    <t>Viruses[2];Caudovirales[2];Podoviridae[1];Perisivirus[1];Brucella virus Tb[1];Pseudoruegeria[1];Pseudoruegeria lutimaris[1]</t>
  </si>
  <si>
    <t>Viruses;Caudovirales;Podoviridae;Perisivirus;Brucella virus Tb;Pseudoruegeria;Pseudoruegeria lutimaris</t>
  </si>
  <si>
    <t>Viruses[2];Caudovirales[2];Podoviridae[1];unclassified Siphoviridae[1];Pseudoalteromonas phage H103[1];Brucella phage Tb[1]</t>
  </si>
  <si>
    <t>DNAUV-7.116-13</t>
  </si>
  <si>
    <t>Viruses[1];Caudovirales[1];Podoviridae[1];Pseudomonas virus 119X[1]</t>
  </si>
  <si>
    <t>Viruses;Caudovirales;Podoviridae;Pseudomonas virus 119X</t>
  </si>
  <si>
    <t>DNAUV-5.980-260</t>
  </si>
  <si>
    <t>Viruses[3];Caudovirales[3];Podoviridae[2];Rhodobacterales[2];Rhodobacteraceae[2];Bacteroidales[1];Rikenellaceae[1];Alistipes[1];unclassified Alistipes[1];Alistipes sp. CHKCI003[1]</t>
  </si>
  <si>
    <t>Viruses;Caudovirales;Podoviridae;Rhodobacterales;Rhodobacteraceae;Bacteroidales;Rikenellaceae;Alistipes;unclassified Alistipes;Alistipes sp. CHKCI003</t>
  </si>
  <si>
    <t>Viruses[3];Caudovirales[3];Podoviridae[2];unclassified Podoviridae[1];Sinorhizobium phage phiM6[1];Roseobacter phage RD-1410Ws-07[1]</t>
  </si>
  <si>
    <t>DNAUV-72.439-197</t>
  </si>
  <si>
    <t>Viruses[27];Caudovirales[27];Podoviridae[25];Rhodobacterales[12];Rhodobacteraceae[12];Mesorhizobium[3];unclassified Mesorhizobium[3];Mesorhizobium sp. LSJC255A00[3];Rhodococcus opacus B4[1]</t>
  </si>
  <si>
    <t>Viruses;Caudovirales;Podoviridae;Rhodobacterales;Rhodobacteraceae;Mesorhizobium;unclassified Mesorhizobium;Mesorhizobium sp. LSJC255A00;Rhodococcus opacus B4</t>
  </si>
  <si>
    <t>Viruses[27];Caudovirales[27];Podoviridae[25];unclassified Podoviridae[7];unclassified Baltimorevirus[5];Pseudomonas phage inbricus[2]</t>
  </si>
  <si>
    <t>DNAUV-3.097-133</t>
  </si>
  <si>
    <t>Viruses[2];Caudovirales[2];Podoviridae[2];Rhodobacterales[2];Rhodobacteraceae[2];Rhodovulum[1];unclassified Roseovarius[1];Roseovarius sp. BRH_c41[1]</t>
  </si>
  <si>
    <t>Viruses;Caudovirales;Podoviridae;Rhodobacterales;Rhodobacteraceae;Rhodovulum;unclassified Roseovarius;Roseovarius sp. BRH_c41</t>
  </si>
  <si>
    <t>DNAUV-11.532-345</t>
  </si>
  <si>
    <t>Viruses[7];Caudovirales[7];Podoviridae[4];Rhodobacterales[4];Rhodobacteraceae[4];Rubellimicrobium[2];Rubellimicrobium thermophilum[2];Rubellimicrobium thermophilum DSM 16684[2]</t>
  </si>
  <si>
    <t>Viruses;Caudovirales;Podoviridae;Rhodobacterales;Rhodobacteraceae;Rubellimicrobium;Rubellimicrobium thermophilum;Rubellimicrobium thermophilum DSM 16684</t>
  </si>
  <si>
    <t>Viruses[7];Caudovirales[7];Podoviridae[4];unclassified Siphoviridae[3];Freshwater phage uvFW-CGR-AMD-COM-C203[1];Ruegeria phage vB_RpoP-V13[1]</t>
  </si>
  <si>
    <t>DNAUV-2.255-148</t>
  </si>
  <si>
    <t>Viruses[1];Caudovirales[1];Podoviridae[1];Roseobacter virus SIO1[1]</t>
  </si>
  <si>
    <t>Viruses;Caudovirales;Podoviridae;Roseobacter virus SIO1</t>
  </si>
  <si>
    <t>DNAUV-2.358-75</t>
  </si>
  <si>
    <t>DNAUV-3.105-53</t>
  </si>
  <si>
    <t>DNAUV-3.736-106</t>
  </si>
  <si>
    <t>DNAUV-2.144-1123</t>
  </si>
  <si>
    <t>Viruses;Caudovirales;Podoviridae;Roseobacter virus SIO1;Celeribacter phage P12053L</t>
  </si>
  <si>
    <t>Viruses[2];Caudovirales[2];Podoviridae[2];unclassified Podoviridae[1];Celeribacter phage P12053L[1]</t>
  </si>
  <si>
    <t>DNAUV-4.161-16</t>
  </si>
  <si>
    <t>DNAUV-9.609-18</t>
  </si>
  <si>
    <t>Viruses[2];Caudovirales[2];Podoviridae[2];Roseobacter virus SIO1[1];Celeribacter phage P12053L[1];Cupriavidus[1];unclassified Erythrobacter[1];Erythrobacter sp. SG61-1L[1]</t>
  </si>
  <si>
    <t>Viruses;Caudovirales;Podoviridae;Roseobacter virus SIO1;Celeribacter phage P12053L;Cupriavidus;unclassified Erythrobacter;Erythrobacter sp. SG61-1L</t>
  </si>
  <si>
    <t>DNAUV-7.407-171</t>
  </si>
  <si>
    <t>Viruses[2];Caudovirales[2];Podoviridae[2];Roseobacter virus SIO1[1];Clostridiales[1];Ruminococcaceae[1];Agathobaculum[1];Agathobaculum butyriciproducens[1];Psychroflexus torquis[1]</t>
  </si>
  <si>
    <t>Viruses;Caudovirales;Podoviridae;Roseobacter virus SIO1;Clostridiales;Ruminococcaceae;Agathobaculum;Agathobaculum butyriciproducens;Psychroflexus torquis</t>
  </si>
  <si>
    <t>Viruses[2];Caudovirales[2];Podoviridae[2];unclassified Podoviridae[1];Vibrio phage 1.264.O._10N.286.51.F2[1]</t>
  </si>
  <si>
    <t>DNAUV-5.132-105</t>
  </si>
  <si>
    <t>Viruses[1];Caudovirales[1];Podoviridae[1];Roseobacter virus SIO1[1];Comamonadaceae[1];Pseudacidovorax[1];Pseudacidovorax intermedius[1]</t>
  </si>
  <si>
    <t>Viruses;Caudovirales;Podoviridae;Roseobacter virus SIO1;Comamonadaceae;Pseudacidovorax;Pseudacidovorax intermedius</t>
  </si>
  <si>
    <t>DNAUV-3.505-56</t>
  </si>
  <si>
    <t>Viruses[1];Caudovirales[1];Podoviridae[1];Roseobacter virus SIO1[1];Hyphomonadaceae[1];Maricaulis[1];unclassified Maricaulis[1];Maricaulis sp. W15[1]</t>
  </si>
  <si>
    <t>Viruses;Caudovirales;Podoviridae;Roseobacter virus SIO1;Hyphomonadaceae;Maricaulis;unclassified Maricaulis;Maricaulis sp. W15</t>
  </si>
  <si>
    <t>DNAUV-2.618-126</t>
  </si>
  <si>
    <t>Viruses[1];Caudovirales[1];Podoviridae[1];Roseobacter virus SIO1[1];Lactobacillales[1];Lactobacillaceae[1];Lactobacillus[1];Lactobacillus salivarius[1]</t>
  </si>
  <si>
    <t>Viruses;Caudovirales;Podoviridae;Roseobacter virus SIO1;Lactobacillales;Lactobacillaceae;Lactobacillus;Lactobacillus salivarius</t>
  </si>
  <si>
    <t>DNAUV-5.536-17</t>
  </si>
  <si>
    <t>Viruses;Caudovirales;Podoviridae;Roseobacter virus SIO1;Puniceispirillum phage HMO-2011</t>
  </si>
  <si>
    <t>DNAUV-2.873-21</t>
  </si>
  <si>
    <t>Viruses[1];Caudovirales[1];Podoviridae[1];Roseobacter virus SIO1[1];Rhodospirillaceae[1];Magnetospirillum[1];Magnetospirillum gryphiswaldense[1]</t>
  </si>
  <si>
    <t>Viruses;Caudovirales;Podoviridae;Roseobacter virus SIO1;Rhodospirillaceae;Magnetospirillum;Magnetospirillum gryphiswaldense</t>
  </si>
  <si>
    <t>DNAUV-3.925-19</t>
  </si>
  <si>
    <t>Viruses[1];Caudovirales[1];Podoviridae[1];Roseobacter virus SIO1[1];Syntrophobacterales[1];Syntrophobacteraceae[1];Syntrophobacter[1];unclassified Syntrophobacter[1];Syntrophobacter sp. SbD1[1]</t>
  </si>
  <si>
    <t>Viruses;Caudovirales;Podoviridae;Roseobacter virus SIO1;Syntrophobacterales;Syntrophobacteraceae;Syntrophobacter;unclassified Syntrophobacter;Syntrophobacter sp. SbD1</t>
  </si>
  <si>
    <t>DNAUV-3.020-503</t>
  </si>
  <si>
    <t>Viruses[1];Caudovirales[1];Podoviridae[1];Roseobacter virus SIO1[1];Xanthobacteraceae[1];Azorhizobium[1];Azorhizobium caulinodans[1]</t>
  </si>
  <si>
    <t>Viruses;Caudovirales;Podoviridae;Roseobacter virus SIO1;Xanthobacteraceae;Azorhizobium;Azorhizobium caulinodans</t>
  </si>
  <si>
    <t>DNAUV-5.055-156</t>
  </si>
  <si>
    <t>Viruses[2];Caudovirales[2];Podoviridae[1];unclassified Ackermannviridae[1];Freshwater phage uvFW-CGR-AMD-COM-C449[1];Coxiella[1];unclassified Coxiella (in: Bacteria)[1];Coxiella sp. DG_40[1]</t>
  </si>
  <si>
    <t>Viruses;Caudovirales;Podoviridae;unclassified Ackermannviridae;Freshwater phage uvFW-CGR-AMD-COM-C449;Coxiella;unclassified Coxiella (in: Bacteria);Coxiella sp. DG_40</t>
  </si>
  <si>
    <t>DNAUV-4.492-19</t>
  </si>
  <si>
    <t>Viruses[2];Caudovirales[2];Podoviridae[1];unclassified Myoviridae[1];crAss-like viruses[1];Lachnospiraceae[1];Anaerobutyricum[1];Anaerobutyricum hallii[1]</t>
  </si>
  <si>
    <t>Viruses;Caudovirales;Podoviridae;unclassified Myoviridae;crAss-like viruses;Lachnospiraceae;Anaerobutyricum;Anaerobutyricum hallii</t>
  </si>
  <si>
    <t>Viruses[2];Caudovirales[2];Podoviridae[1];unclassified Myoviridae[1];crAss-like viruses[1];Cellulophaga phage phi14:2[1]</t>
  </si>
  <si>
    <t>DNAUV-2.089-27</t>
  </si>
  <si>
    <t>Viruses[2];Caudovirales[2];Podoviridae[1];unclassified Myoviridae[1];Lake Baikal phage Baikal-20-5m-C28[1]</t>
  </si>
  <si>
    <t>Viruses;Caudovirales;Podoviridae;unclassified Myoviridae;Lake Baikal phage Baikal-20-5m-C28</t>
  </si>
  <si>
    <t>Viruses[2];Caudovirales[2];Podoviridae[1];unclassified Podoviridae[1];Lake Baikal phage Baikal-20-5m-C28[1]</t>
  </si>
  <si>
    <t>DNAUV-8.320-11</t>
  </si>
  <si>
    <t>Viruses[2];Caudovirales[2];Podoviridae[1];unclassified Myoviridae[1];Pseudoalteromonas virus vB_PspP-H6/1[1];Vibrio[1];Vibrio diazotrophicus[1];Bacillus subtilis group[1];Bacillus sonorensis[1]</t>
  </si>
  <si>
    <t>Viruses;Caudovirales;Podoviridae;unclassified Myoviridae;Pseudoalteromonas virus vB_PspP-H6/1;Vibrio;Vibrio diazotrophicus;Bacillus subtilis group;Bacillus sonorensis</t>
  </si>
  <si>
    <t>Viruses[2];Caudovirales[2];Myoviridae[1];unclassified Podoviridae[1];Pseudoalteromonas virus vB_PspP-H6/1[1]</t>
  </si>
  <si>
    <t>DNAUV-2.403-908</t>
  </si>
  <si>
    <t>Viruses[2];Caudovirales[2];Podoviridae[1];unclassified Myoviridae[1];Puniceispirillum phage HMO-2011[1]</t>
  </si>
  <si>
    <t>Viruses;Caudovirales;Podoviridae;unclassified Myoviridae;Puniceispirillum phage HMO-2011</t>
  </si>
  <si>
    <t>Viruses[2];Caudovirales[2];Myoviridae[1];unclassified Podoviridae[1];Puniceispirillum phage HMO-2011[1]</t>
  </si>
  <si>
    <t>DNAUV-2.332-267</t>
  </si>
  <si>
    <t>Viruses[2];Caudovirales[2];Podoviridae[1];unclassified Myoviridae[1];Salicola phage SCTP-2[1];Clostridiaceae[1];Thermobrachium[1];Thermobrachium celere[1]</t>
  </si>
  <si>
    <t>Viruses;Caudovirales;Podoviridae;unclassified Myoviridae;Salicola phage SCTP-2;Clostridiaceae;Thermobrachium;Thermobrachium celere</t>
  </si>
  <si>
    <t>Viruses[2];Caudovirales[2];Podoviridae[1];unclassified Podoviridae[1];Salicola phage SCTP-2[1]</t>
  </si>
  <si>
    <t>DNAUV-3.401-363</t>
  </si>
  <si>
    <t>Viruses[2];Caudovirales[2];Podoviridae[1];unclassified Myoviridae[1];Synechococcus virus P60[1]</t>
  </si>
  <si>
    <t>Viruses;Caudovirales;Podoviridae;unclassified Myoviridae;Synechococcus virus P60</t>
  </si>
  <si>
    <t>DNAUV-2.875-14</t>
  </si>
  <si>
    <t>Viruses[2];Caudovirales[2];Podoviridae[1];unclassified Myoviridae[1];unclassified Autographivirinae[1];Micavibrio aeruginosavorus[1]</t>
  </si>
  <si>
    <t>Viruses;Caudovirales;Podoviridae;unclassified Myoviridae;unclassified Autographivirinae;Micavibrio aeruginosavorus</t>
  </si>
  <si>
    <t>Viruses[2];Caudovirales[2];Myoviridae[1];unclassified Myoviridae[1];Cyanophage P-TIM40[1];Pelagibacter phage HTVC019P[1]</t>
  </si>
  <si>
    <t>DNAUV-2.218-29</t>
  </si>
  <si>
    <t>Viruses[2];Caudovirales[2];Podoviridae[1];unclassified Myoviridae[1];unclassified Autographivirinae[1];Podovirus Lau218[1]</t>
  </si>
  <si>
    <t>Viruses;Caudovirales;Podoviridae;unclassified Myoviridae;unclassified Autographivirinae;Podovirus Lau218</t>
  </si>
  <si>
    <t>DNAUV-4.325-20</t>
  </si>
  <si>
    <t>Viruses[2];Caudovirales[2];Podoviridae[1];unclassified Myoviridae[1];unclassified Autographivirinae[1];Pseudoalteromonas[1];unclassified Pseudoalteromonas[1];Pseudoalteromonas sp. TMED43[1]</t>
  </si>
  <si>
    <t>Viruses;Caudovirales;Podoviridae;unclassified Myoviridae;unclassified Autographivirinae;Pseudoalteromonas;unclassified Pseudoalteromonas;Pseudoalteromonas sp. TMED43</t>
  </si>
  <si>
    <t>Viruses[2];Caudovirales[2];Myoviridae[1];Autographivirinae[1];Synechococcus phage S-CAM8[1];Prochlorococcus phage P-GSP1[1]</t>
  </si>
  <si>
    <t>DNAUV-5.846-426</t>
  </si>
  <si>
    <t>Viruses[2];Caudovirales[2];Podoviridae[1];unclassified Myoviridae[1];unclassified Autographivirinae[1];Ralstonia phage RsoP1EGY[1];Rubritalea[1];Rubritalea squalenifaciens[1];Rubritalea squalenifaciens DSM 18772[1]</t>
  </si>
  <si>
    <t>Viruses;Caudovirales;Podoviridae;unclassified Myoviridae;unclassified Autographivirinae;Ralstonia phage RsoP1EGY;Rubritalea;Rubritalea squalenifaciens;Rubritalea squalenifaciens DSM 18772</t>
  </si>
  <si>
    <t>Viruses[2];Caudovirales[2];Podoviridae[1];unclassified Myoviridae[1];Vibrio phage 1.063.O._10N.261.45.C7[1];Ralstonia phage RsoP1EGY[1]</t>
  </si>
  <si>
    <t>DNAUV-2.335-9.3</t>
  </si>
  <si>
    <t>Viruses[2];Caudovirales[2];Podoviridae[1];unclassified Myoviridae[1];Vibrio phage 1.275.O._10N.286.54.E11[1]</t>
  </si>
  <si>
    <t>Viruses;Caudovirales;Podoviridae;unclassified Myoviridae;Vibrio phage 1.275.O._10N.286.54.E11</t>
  </si>
  <si>
    <t>Viruses[2];Caudovirales[2];Podoviridae[1];unclassified Podoviridae[1];Vibrio phage CKB-S1[1]</t>
  </si>
  <si>
    <t>DNAUV-2.027-21</t>
  </si>
  <si>
    <t>Viruses[1];Caudovirales[1];Podoviridae[1];unclassified Podoviridae[1];Alcaligenaceae[1];Bordetella[1];Bordetella bronchialis[1]</t>
  </si>
  <si>
    <t>Viruses;Caudovirales;Podoviridae;unclassified Podoviridae;Alcaligenaceae;Bordetella;Bordetella bronchialis</t>
  </si>
  <si>
    <t>DNAUV-2.100-7.4</t>
  </si>
  <si>
    <t>Viruses[1];Caudovirales[1];Podoviridae[1];unclassified Podoviridae[1];Anabaena phage A-4L[1]</t>
  </si>
  <si>
    <t>Viruses;Caudovirales;Podoviridae;unclassified Podoviridae;Anabaena phage A-4L</t>
  </si>
  <si>
    <t>DNAUV-6.479-21</t>
  </si>
  <si>
    <t>DNAUV-2.874-202</t>
  </si>
  <si>
    <t>Viruses[1];Caudovirales[1];Podoviridae[1];unclassified Podoviridae[1];Bradyrhizobiaceae[1];Bradyrhizobium[1];Bradyrhizobium erythrophlei[1]</t>
  </si>
  <si>
    <t>DNAUV-2.453-287</t>
  </si>
  <si>
    <t>DNAUV-2.535-22</t>
  </si>
  <si>
    <t>DNAUV-3.145-73</t>
  </si>
  <si>
    <t>Viruses[3];Caudovirales[3];Podoviridae[2];unclassified Podoviridae[1];Brucella virus Tb[1];Brucella phage Tb[1]</t>
  </si>
  <si>
    <t>Viruses;Caudovirales;Podoviridae;unclassified Podoviridae;Brucella virus Tb;Brucella phage Tb</t>
  </si>
  <si>
    <t>Viruses[3];Caudovirales[3];Podoviridae[2];Perisivirus[1];Synechococcus phage S-LBS1[1];Brucella phage Tb[1]</t>
  </si>
  <si>
    <t>DNAUV-7.580-14</t>
  </si>
  <si>
    <t>Viruses[5];Caudovirales[5];Podoviridae[5];unclassified Podoviridae[5];Burkholderiaceae[2];Burkholderia[2];Burkholderia cepacia complex[2];Burkholderia territorii[2]</t>
  </si>
  <si>
    <t>Viruses;Caudovirales;Podoviridae;unclassified Podoviridae;Burkholderiaceae;Burkholderia;Burkholderia cepacia complex;Burkholderia territorii</t>
  </si>
  <si>
    <t>Viruses[5];Caudovirales[5];Podoviridae[5];unclassified Podoviridae[5];Citrobacter phage CVT22[1]</t>
  </si>
  <si>
    <t>DNAUV-4.599-11</t>
  </si>
  <si>
    <t>Viruses[3];Caudovirales[3];Podoviridae[3];unclassified Podoviridae[3];Burkholderiaceae[3];Burkholderia[3];Burkholderia cepacia complex[3];Burkholderia territorii[3]</t>
  </si>
  <si>
    <t>Viruses[3];Caudovirales[3];Podoviridae[3];unclassified Podoviridae[3];Salinivibrio phage CW02[1]</t>
  </si>
  <si>
    <t>DNAUV-4.718-19</t>
  </si>
  <si>
    <t>Viruses[2];Caudovirales[2];Podoviridae[2];unclassified Podoviridae[2];Burkholderiaceae[1];Burkholderia[1];Burkholderia cepacia complex[1];Burkholderia territorii[1]</t>
  </si>
  <si>
    <t>Viruses[2];Caudovirales[2];Podoviridae[2];unclassified Podoviridae[2];Citrobacter phage CVT22[1]</t>
  </si>
  <si>
    <t>DNAUV-3.773-156</t>
  </si>
  <si>
    <t>Viruses[1];Caudovirales[1];Podoviridae[1];unclassified Podoviridae[1];Burkholderiaceae[1];Paraburkholderia[1];Paraburkholderia caribensis[1]</t>
  </si>
  <si>
    <t>Viruses;Caudovirales;Podoviridae;unclassified Podoviridae;Burkholderiaceae;Paraburkholderia;Paraburkholderia caribensis</t>
  </si>
  <si>
    <t>Viruses[1];Caudovirales[1];Podoviridae[1];unclassified Podoviridae[1];Methylophilales phage HIM624-A[1]</t>
  </si>
  <si>
    <t>DNAUV-3.049-88</t>
  </si>
  <si>
    <t>Viruses[1];Caudovirales[1];Podoviridae[1];unclassified Podoviridae[1];Burkholderiaceae[1];Paraburkholderia[1];Paraburkholderia rhynchosiae[1]</t>
  </si>
  <si>
    <t>Viruses;Caudovirales;Podoviridae;unclassified Podoviridae;Burkholderiaceae;Paraburkholderia;Paraburkholderia rhynchosiae</t>
  </si>
  <si>
    <t>Viruses[1];Caudovirales[1];Podoviridae[1];unclassified Podoviridae[1];Vibrio phage 1.275.O._10N.286.54.E11[1]</t>
  </si>
  <si>
    <t>DNAUV-6.721-81</t>
  </si>
  <si>
    <t>Viruses[4];Caudovirales[4];Podoviridae[2];unclassified Podoviridae[2];Caeruleovirus[1];unclassified Caeruleovirus[1];Bacillus phage PK16[1];Pedobacter[1];Pedobacter cryoconitis[1]</t>
  </si>
  <si>
    <t>Viruses;Caudovirales;Podoviridae;unclassified Podoviridae;Caeruleovirus;unclassified Caeruleovirus;Bacillus phage PK16;Pedobacter;Pedobacter cryoconitis</t>
  </si>
  <si>
    <t>Viruses[4];Caudovirales[4];Podoviridae[2];unclassified Podoviridae[2];Nonlabens virus P12024L[1];Nonlabens phage P12024S[1];Bacillus phage PK16[1]</t>
  </si>
  <si>
    <t>DNAUV-2.530-178</t>
  </si>
  <si>
    <t>Viruses[5];Caudovirales[5];Podoviridae[5];unclassified Podoviridae[5];Celeribacter phage P12053L[3]</t>
  </si>
  <si>
    <t>DNAUV-5.435-284</t>
  </si>
  <si>
    <t>Viruses[5];Caudovirales[5];Podoviridae[4];unclassified Podoviridae[4];Celeribacter phage P12053L[4]</t>
  </si>
  <si>
    <t>DNAUV-5.671-18</t>
  </si>
  <si>
    <t>Viruses[5];Caudovirales[5];Podoviridae[5];unclassified Podoviridae[4];Celeribacter phage P12053L[3]</t>
  </si>
  <si>
    <t>DNAUV-2.125-24</t>
  </si>
  <si>
    <t>DNAUV-2.414-11</t>
  </si>
  <si>
    <t>DNAUV-2.489-11</t>
  </si>
  <si>
    <t>Viruses[2];Caudovirales[2];Podoviridae[2];unclassified Podoviridae[2];Salinivibrio phage CW02[1]</t>
  </si>
  <si>
    <t>DNAUV-2.384-17</t>
  </si>
  <si>
    <t>DNAUV-2.398-1268</t>
  </si>
  <si>
    <t>DNAUV-2.049-11</t>
  </si>
  <si>
    <t>Viruses[2];Caudovirales[2];Podoviridae[2];unclassified Podoviridae[2];Celeribacter phage P12053L[2];Achromobacter[1];Achromobacter denitrificans[1]</t>
  </si>
  <si>
    <t>Viruses;Caudovirales;Podoviridae;unclassified Podoviridae;Celeribacter phage P12053L;Achromobacter;Achromobacter denitrificans</t>
  </si>
  <si>
    <t>Viruses[2];Caudovirales[2];Podoviridae[2];unclassified Podoviridae[2];Celeribacter phage P12053L[2]</t>
  </si>
  <si>
    <t>DNAUV-7.251-124</t>
  </si>
  <si>
    <t>Viruses[2];Caudovirales[2];Podoviridae[2];unclassified Podoviridae[2];Celeribacter phage P12053L[2];Ancylobacter[1];Albimonas donghaensis[1];Ancylobacter sp. FA202[1]</t>
  </si>
  <si>
    <t>Viruses;Caudovirales;Podoviridae;unclassified Podoviridae;Celeribacter phage P12053L;Ancylobacter;Albimonas donghaensis;Ancylobacter sp. FA202</t>
  </si>
  <si>
    <t>DNAUV-4.214-973</t>
  </si>
  <si>
    <t>Viruses[3];Caudovirales[3];Podoviridae[3];unclassified Podoviridae[3];Celeribacter phage P12053L[2];Bradyrhizobium[1];Bradyrhizobium erythrophlei[1]</t>
  </si>
  <si>
    <t>Viruses[3];Caudovirales[3];Podoviridae[3];unclassified Podoviridae[3];Celeribacter phage P12053L[2]</t>
  </si>
  <si>
    <t>DNAUV-24.246-33</t>
  </si>
  <si>
    <t>Viruses[9];Caudovirales[9];Podoviridae[9];unclassified Podoviridae[8];Celeribacter phage P12053L[4];Bradyrhizobium[1];unclassified Herminiimonas[1];Burkholderia territorii[1];Sinorhizobium fredii[1]</t>
  </si>
  <si>
    <t>Viruses;Caudovirales;Podoviridae;unclassified Podoviridae;Celeribacter phage P12053L;Bradyrhizobium;unclassified Herminiimonas;Burkholderia territorii;Sinorhizobium fredii</t>
  </si>
  <si>
    <t>Viruses[9];Caudovirales[9];Podoviridae[9];unclassified Podoviridae[8];Celeribacter phage P12053L[4]</t>
  </si>
  <si>
    <t>DNAUV-18.095-1024</t>
  </si>
  <si>
    <t>Viruses[5];Caudovirales[5];Podoviridae[5];unclassified Podoviridae[4];Celeribacter phage P12053L[2];Burkholderia[1];Burkholderia cepacia complex[1];Burkholderia vietnamiensis[1]</t>
  </si>
  <si>
    <t>Viruses;Caudovirales;Podoviridae;unclassified Podoviridae;Celeribacter phage P12053L;Burkholderia;Burkholderia cepacia complex;Burkholderia vietnamiensis</t>
  </si>
  <si>
    <t>DNAUV-4.690-19</t>
  </si>
  <si>
    <t>Viruses[2];Caudovirales[2];Podoviridae[2];unclassified Podoviridae[2];Celeribacter phage P12053L[1];Desulfovibrionaceae[1];Bilophila[1];Bilophila wadsworthia[1]</t>
  </si>
  <si>
    <t>Viruses;Caudovirales;Podoviridae;unclassified Podoviridae;Celeribacter phage P12053L;Desulfovibrionaceae;Bilophila;Bilophila wadsworthia</t>
  </si>
  <si>
    <t>DNAUV-37.297-108</t>
  </si>
  <si>
    <t>Viruses[21];Caudovirales[19];Podoviridae[17];unclassified Podoviridae[11];Celeribacter phage P12053L[7];Flavobacteriales[3];Flavobacteriaceae[3];Psychroflexus[3];Psychroflexus torquis[3]</t>
  </si>
  <si>
    <t>Viruses;Caudovirales;Podoviridae;unclassified Podoviridae;Celeribacter phage P12053L;Flavobacteriales;Flavobacteriaceae;Psychroflexus;Psychroflexus torquis</t>
  </si>
  <si>
    <t>Viruses[21];Caudovirales[19];Podoviridae[17];unclassified Podoviridae[11];Celeribacter phage P12053L[7];Synechococcus phage S-CBP2[1]</t>
  </si>
  <si>
    <t>DNAUV-3.452-23</t>
  </si>
  <si>
    <t>Viruses[1];Caudovirales[1];Podoviridae[1];unclassified Podoviridae[1];Celeribacter phage P12053L[1];Halomonas[1];Halomonas elongata[1]</t>
  </si>
  <si>
    <t>Viruses;Caudovirales;Podoviridae;unclassified Podoviridae;Celeribacter phage P12053L;Halomonas;Halomonas elongata</t>
  </si>
  <si>
    <t>DNAUV-2.258-474</t>
  </si>
  <si>
    <t>Viruses[3];Caudovirales[3];Podoviridae[3];unclassified Podoviridae[3];Celeribacter phage P12053L[3];Methylobacter[1];Methylobacter tundripaludum[1]</t>
  </si>
  <si>
    <t>Viruses;Caudovirales;Podoviridae;unclassified Podoviridae;Celeribacter phage P12053L;Methylobacter;Methylobacter tundripaludum</t>
  </si>
  <si>
    <t>Viruses[3];Caudovirales[3];Podoviridae[3];unclassified Podoviridae[3];Celeribacter phage P12053L[3]</t>
  </si>
  <si>
    <t>DNAUV-4.370-17</t>
  </si>
  <si>
    <t>Viruses[2];Caudovirales[2];Podoviridae[2];unclassified Podoviridae[2];Celeribacter phage P12053L[2];Paracoccus[1];Paracoccus alcaliphilus[1]</t>
  </si>
  <si>
    <t>Viruses;Caudovirales;Podoviridae;unclassified Podoviridae;Celeribacter phage P12053L;Paracoccus;Paracoccus alcaliphilus</t>
  </si>
  <si>
    <t>DNAUV-4.203-16</t>
  </si>
  <si>
    <t>Viruses[2];Caudovirales[2];Podoviridae[1];unclassified Podoviridae[1];Celeribacter phage P12053L[1];Pseudohongiella spirulinae[1];Tritonibacter horizontis[1]</t>
  </si>
  <si>
    <t>Viruses;Caudovirales;Podoviridae;unclassified Podoviridae;Celeribacter phage P12053L;Pseudohongiella spirulinae;Tritonibacter horizontis</t>
  </si>
  <si>
    <t>Viruses[2];Caudovirales[2];Podoviridae[1];unclassified Podoviridae[1];Celeribacter phage P12053L[1]</t>
  </si>
  <si>
    <t>DNAUV-5.997-503</t>
  </si>
  <si>
    <t>Viruses[6];Caudovirales[6];Podoviridae[6];unclassified Podoviridae[4];Celeribacter phage P12053L[2];Pseudomonas phage SCYZ1[1];unclassified Sphingomonas[1];Sphingomonas sp. Leaf357[1]</t>
  </si>
  <si>
    <t>Viruses;Caudovirales;Podoviridae;unclassified Podoviridae;Celeribacter phage P12053L;Pseudomonas phage SCYZ1;unclassified Sphingomonas;Sphingomonas sp. Leaf357</t>
  </si>
  <si>
    <t>Viruses[6];Caudovirales[6];Podoviridae[6];unclassified Podoviridae[4];Sinorhizobium phage phiM6[2];Pseudomonas phage SCYZ1[1]</t>
  </si>
  <si>
    <t>DNAUV-2.721-72</t>
  </si>
  <si>
    <t>Viruses[2];Caudovirales[2];Podoviridae[1];unclassified Podoviridae[1];Celeribacter phage P12053L[1];Sphingobacteriales[1];Sphingobacteriaceae[1];Arcticibacter[1];Arcticibacter pallidicorallinus[1]</t>
  </si>
  <si>
    <t>Viruses;Caudovirales;Podoviridae;unclassified Podoviridae;Celeribacter phage P12053L;Sphingobacteriales;Sphingobacteriaceae;Arcticibacter;Arcticibacter pallidicorallinus</t>
  </si>
  <si>
    <t>Viruses[2];Caudovirales[2];Podoviridae[1];unclassified Siphoviridae[1];Roseobacter phage DSS3P8[1]</t>
  </si>
  <si>
    <t>DNAUV-2.340-1337</t>
  </si>
  <si>
    <t>Viruses[1];Caudovirales[1];Podoviridae[1];unclassified Podoviridae[1];Celeribacter phage P12053L[1];Stappia[1];unclassified Stappia[1];Stappia sp. 22II-S9-Z10[1]</t>
  </si>
  <si>
    <t>Viruses;Caudovirales;Podoviridae;unclassified Podoviridae;Celeribacter phage P12053L;Stappia;unclassified Stappia;Stappia sp. 22II-S9-Z10</t>
  </si>
  <si>
    <t>DNAUV-2.053-375</t>
  </si>
  <si>
    <t>Viruses[2];Caudovirales[2];Podoviridae[2];unclassified Podoviridae[1];Celeribacter phage P12053L[1];Stenotrophomonas[1];Stenotrophomonas maltophilia group[1];Stenotrophomonas maltophilia[1]</t>
  </si>
  <si>
    <t>Viruses;Caudovirales;Podoviridae;unclassified Podoviridae;Celeribacter phage P12053L;Stenotrophomonas;Stenotrophomonas maltophilia group;Stenotrophomonas maltophilia</t>
  </si>
  <si>
    <t>DNAUV-2.211-11-V2</t>
  </si>
  <si>
    <t>Viruses[1];Caudovirales[1];Podoviridae[1];unclassified Podoviridae[1];Celeribacter phage P12053L[1];Thalassospira[1];Thalassospira tepidiphila[1]</t>
  </si>
  <si>
    <t>Viruses;Caudovirales;Podoviridae;unclassified Podoviridae;Celeribacter phage P12053L;Thalassospira;Thalassospira tepidiphila</t>
  </si>
  <si>
    <t>DNAUV-13.752-24</t>
  </si>
  <si>
    <t>Viruses[5];Caudovirales[5];Podoviridae[5];unclassified Podoviridae[4];Celeribacter phage P12053L[2];Tolypothrichaceae[1];Hassallia[1];Bradyrhizobium sp. LTSP885[1];Hassallia byssoidea VB512170[1]</t>
  </si>
  <si>
    <t>Viruses;Caudovirales;Podoviridae;unclassified Podoviridae;Celeribacter phage P12053L;Tolypothrichaceae;Hassallia;Bradyrhizobium sp. LTSP885;Hassallia byssoidea VB512170</t>
  </si>
  <si>
    <t>Viruses[5];Caudovirales[5];Podoviridae[5];unclassified Podoviridae[4];Celeribacter phage P12053L[2];Caulobacter phage Cd1[1]</t>
  </si>
  <si>
    <t>DNAUV-5.321-136</t>
  </si>
  <si>
    <t>Viruses[6];Caudovirales[6];Podoviridae[6];unclassified Podoviridae[5];Celeribacter phage P12053L[4];unclassified Zindervirus[1];Bradyrhizobium erythrophlei[1]</t>
  </si>
  <si>
    <t>Viruses;Caudovirales;Podoviridae;unclassified Podoviridae;Celeribacter phage P12053L;unclassified Zindervirus;Bradyrhizobium erythrophlei</t>
  </si>
  <si>
    <t>Viruses[6];Caudovirales[6];Podoviridae[6];unclassified Podoviridae[5];Celeribacter phage P12053L[4];unclassified Zindervirus[1];Vibrio phage Vc1[1]</t>
  </si>
  <si>
    <t>DNAUV-6.194-1210</t>
  </si>
  <si>
    <t>Viruses[1];Caudovirales[1];Podoviridae[1];unclassified Podoviridae[1];Cellulophaga phage phi13:2[1];Flavobacteriales[1];Flavobacteriaceae[1];Salegentibacter[1];unclassified Salegentibacter[1];Salegentibacter sp. Hel_I_6[1]</t>
  </si>
  <si>
    <t>Viruses;Caudovirales;Podoviridae;unclassified Podoviridae;Cellulophaga phage phi13:2;Flavobacteriales;Flavobacteriaceae;Salegentibacter;unclassified Salegentibacter;Salegentibacter sp. Hel_I_6</t>
  </si>
  <si>
    <t>DNAUV-2.312-25</t>
  </si>
  <si>
    <t>Viruses[1];Caudovirales[1];Podoviridae[1];unclassified Podoviridae[1];Cellulophaga phage phi19:3[1];Treponema[1];Treponema vincentii[1]</t>
  </si>
  <si>
    <t>Viruses;Caudovirales;Podoviridae;unclassified Podoviridae;Cellulophaga phage phi19:3;Treponema;Treponema vincentii</t>
  </si>
  <si>
    <t>DNAUV-9.188-19</t>
  </si>
  <si>
    <t>Viruses[6];Caudovirales[6];Podoviridae[6];unclassified Podoviridae[6];Cellulophaga phage phi38:1[5];Escherichia[1];Flavobacteriaceae[1];Myroides[1];Myroides odoratus[1]</t>
  </si>
  <si>
    <t>Viruses;Caudovirales;Podoviridae;unclassified Podoviridae;Cellulophaga phage phi38:1;Escherichia;Flavobacteriaceae;Myroides;Myroides odoratus</t>
  </si>
  <si>
    <t>Viruses[6];Caudovirales[6];Podoviridae[6];unclassified Podoviridae[6];Cellulophaga phage phi38:1[5]</t>
  </si>
  <si>
    <t>DNAUV-28.498-30</t>
  </si>
  <si>
    <t>Viruses[13];Caudovirales[13];Podoviridae[12];unclassified Podoviridae[12];Cellulophaga phage phi38:1[11];Flavobacteriales[4];Flavobacteriaceae[4];Acinetobacter baumannii[1];Bacteroides fragilis[1];Flavisolibacter ginsengisoli DSM 18119[1]</t>
  </si>
  <si>
    <t>Viruses;Caudovirales;Podoviridae;unclassified Podoviridae;Cellulophaga phage phi38:1;Flavobacteriales;Flavobacteriaceae;Acinetobacter baumannii;Bacteroides fragilis;Flavisolibacter ginsengisoli DSM 18119</t>
  </si>
  <si>
    <t>Viruses[13];Caudovirales[13];Podoviridae[12];unclassified Podoviridae[12];Cellulophaga phage phi38:1[11];Cellulophaga phage phiST[1]</t>
  </si>
  <si>
    <t>DNAUV-5.609-20</t>
  </si>
  <si>
    <t>Viruses[2];Caudovirales[2];Podoviridae[2];unclassified Podoviridae[2];Cellulophaga phage phi38:1[2];Flavobacteriales[2];Flavobacteriaceae[2];Muricauda[1];unclassified Muricauda[1];Muricauda sp. SM1704[1]</t>
  </si>
  <si>
    <t>Viruses;Caudovirales;Podoviridae;unclassified Podoviridae;Cellulophaga phage phi38:1;Flavobacteriales;Flavobacteriaceae;Muricauda;unclassified Muricauda;Muricauda sp. SM1704</t>
  </si>
  <si>
    <t>DNAUV-22.841-583</t>
  </si>
  <si>
    <t>Viruses[6];Caudovirales[6];Podoviridae[6];unclassified Podoviridae[6];Cellulophaga phage phi38:1[3];Flavobacteriales[3];Flavobacteriaceae[3];Myroides[1];unclassified Muricauda[1];Muricauda sp. SM1704[1]</t>
  </si>
  <si>
    <t>Viruses;Caudovirales;Podoviridae;unclassified Podoviridae;Cellulophaga phage phi38:1;Flavobacteriales;Flavobacteriaceae;Myroides;unclassified Muricauda;Muricauda sp. SM1704</t>
  </si>
  <si>
    <t>Viruses[6];Caudovirales[6];Podoviridae[6];unclassified Podoviridae[6];Cellulophaga phage phi38:1[3]</t>
  </si>
  <si>
    <t>DNAUV-6.684-19</t>
  </si>
  <si>
    <t>Viruses[2];Caudovirales[2];Podoviridae[2];unclassified Podoviridae[2];Cellulophaga phage phi38:1[2];Protostomia[1];Escherichia coli[1];Panarthropoda[1];Arthropoda[1];Mandibulata[1];Pancrustacea[1];Crustacea[1];Branchiopoda[1];Phyllopoda[1];Diplostraca[1];Cladocera[1];Anomopoda[1];Daphniidae[1];Daphnia[1];Daphnia pulex[1]</t>
  </si>
  <si>
    <t>Viruses;Caudovirales;Podoviridae;unclassified Podoviridae;Cellulophaga phage phi38:1;Protostomia;Escherichia coli;Panarthropoda;Arthropoda;Mandibulata;Pancrustacea;Crustacea;Branchiopoda;Phyllopoda;Diplostraca;Cladocera;Anomopoda;Daphniidae;Daphnia;Daphnia pulex</t>
  </si>
  <si>
    <t>DNAUV-3.227-175</t>
  </si>
  <si>
    <t>Viruses[2];Caudovirales[2];Podoviridae[1];unclassified Podoviridae[1];Cellulophaga virus Cba181[1];Cellulophaga phage phi18:1[1];Flavobacteriaceae[1];Nonlabens[1];Nonlabens sediminis[1]</t>
  </si>
  <si>
    <t>Viruses;Caudovirales;Podoviridae;unclassified Podoviridae;Cellulophaga virus Cba181;Cellulophaga phage phi18:1;Flavobacteriaceae;Nonlabens;Nonlabens sediminis</t>
  </si>
  <si>
    <t>Viruses[2];Caudovirales[2];Podoviridae[1];unclassified Podoviridae[1];Cellulophaga phage phi46:3[1];Cellulophaga phage phi18:1[1]</t>
  </si>
  <si>
    <t>DNAUV-3.590-16</t>
  </si>
  <si>
    <t>Viruses[1];Caudovirales[1];Podoviridae[1];unclassified Podoviridae[1];Citrobacter phage CVT22[1]</t>
  </si>
  <si>
    <t>Viruses;Caudovirales;Podoviridae;unclassified Podoviridae;Citrobacter phage CVT22</t>
  </si>
  <si>
    <t>DNAUV-2.153-12</t>
  </si>
  <si>
    <t>Viruses[1];Caudovirales[1];Podoviridae[1];unclassified Podoviridae[1];Citrobacter phage CVT22[1];Bradyrhizobium[1];Bradyrhizobium erythrophlei[1]</t>
  </si>
  <si>
    <t>Viruses;Caudovirales;Podoviridae;unclassified Podoviridae;Citrobacter phage CVT22;Bradyrhizobium;Bradyrhizobium erythrophlei</t>
  </si>
  <si>
    <t>DNAUV-3.953-20</t>
  </si>
  <si>
    <t>Viruses[3];Caudovirales[3];Podoviridae[3];unclassified Podoviridae[2];Citrobacter phage CVT22[2];Burkholderia[1];Variovorax paradoxus[1];Burkholderia territorii[1]</t>
  </si>
  <si>
    <t>Viruses;Caudovirales;Podoviridae;unclassified Podoviridae;Citrobacter phage CVT22;Burkholderia;Variovorax paradoxus;Burkholderia territorii</t>
  </si>
  <si>
    <t>Viruses[3];Caudovirales[3];Podoviridae[3];unclassified Podoviridae[2];Citrobacter phage CVT22[2];Pseudomonas phage Bjorn[1]</t>
  </si>
  <si>
    <t>DNAUV-2.177-33</t>
  </si>
  <si>
    <t>Viruses[1];Caudovirales[1];Podoviridae[1];unclassified Podoviridae[1];Clostridiales[1];Clostridiaceae[1];Clostridium[1];Clostridium botulinum[1]</t>
  </si>
  <si>
    <t>Viruses;Caudovirales;Podoviridae;unclassified Podoviridae;Clostridiales;Clostridiaceae;Clostridium;Clostridium botulinum</t>
  </si>
  <si>
    <t>DNAUV-4.743-11</t>
  </si>
  <si>
    <t>Viruses[1];Caudovirales[1];Podoviridae[1];unclassified Podoviridae[1];Comamonadaceae[1];Hydrogenophaga[1];Hydrogenophaga crassostreae[1]</t>
  </si>
  <si>
    <t>Viruses;Caudovirales;Podoviridae;unclassified Podoviridae;Comamonadaceae;Hydrogenophaga;Hydrogenophaga crassostreae</t>
  </si>
  <si>
    <t>DNAUV-7.618-9.9</t>
  </si>
  <si>
    <t>Viruses[6];Caudovirales[6];Podoviridae[6];unclassified Podoviridae[6];Comamonadaceae[2];Variovorax[2];Variovorax paradoxus[2]</t>
  </si>
  <si>
    <t>Viruses;Caudovirales;Podoviridae;unclassified Podoviridae;Comamonadaceae;Variovorax;Variovorax paradoxus</t>
  </si>
  <si>
    <t>Viruses[6];Caudovirales[6];Podoviridae[6];unclassified Podoviridae[6];Pseudomonas phage GP100[1]</t>
  </si>
  <si>
    <t>DNAUV-2.575-27</t>
  </si>
  <si>
    <t>Viruses[1];Caudovirales[1];Podoviridae[1];unclassified Podoviridae[1];Comamonadaceae[1];Variovorax[1];Variovorax paradoxus[1]</t>
  </si>
  <si>
    <t>Viruses[1];Caudovirales[1];Podoviridae[1];unclassified Podoviridae[1];Pseudomonas phage IME180[1]</t>
  </si>
  <si>
    <t>DNAUV-5.200-20</t>
  </si>
  <si>
    <t>Viruses[3];Caudovirales[3];Podoviridae[3];unclassified Podoviridae[3];crAss-like viruses[2];Cellulophaga phage phi14:2[2]</t>
  </si>
  <si>
    <t>DNAUV-2.290-9.6</t>
  </si>
  <si>
    <t>Viruses[3];Caudovirales[3];Podoviridae[3];unclassified Podoviridae[3];crAss-like viruses[3];Cellulophaga phage phi14:2[3];Flammeovirgaceae[1];Flammeovirga[1];unclassified Flammeovirga[1];Flammeovirga sp. MY04[1]</t>
  </si>
  <si>
    <t>Viruses;Caudovirales;Podoviridae;unclassified Podoviridae;crAss-like viruses;Cellulophaga phage phi14:2;Flammeovirgaceae;Flammeovirga;unclassified Flammeovirga;Flammeovirga sp. MY04</t>
  </si>
  <si>
    <t>DNAUV-78.511-202</t>
  </si>
  <si>
    <t>Viruses[19];Caudovirales[19];Podoviridae[18];unclassified Podoviridae[17];crAss-like viruses[17];Cellulophaga phage phi14:2[10];Flavobacteriaceae[2];Ochrovirga[1];Ochrovirga pacifica[1];Geminocystis sp. NIES-3709[1]</t>
  </si>
  <si>
    <t>Viruses;Caudovirales;Podoviridae;unclassified Podoviridae;crAss-like viruses;Cellulophaga phage phi14:2;Flavobacteriaceae;Ochrovirga;Ochrovirga pacifica;Geminocystis sp. NIES-3709</t>
  </si>
  <si>
    <t>Viruses[19];Caudovirales[19];Podoviridae[18];unclassified Podoviridae[17];crAss-like viruses[17];Cellulophaga phage phi14:2[10]</t>
  </si>
  <si>
    <t>DNAUV-100.032-102</t>
  </si>
  <si>
    <t>Viruses[30];Caudovirales[30];Podoviridae[25];unclassified Podoviridae[25];crAss-like viruses[24];Cellulophaga phage phi14:2[16];Flavobacteriaceae[3];Reichenbachiella[1];unclassified Persicobacter[1];Gillisia sp. CAL575[1]</t>
  </si>
  <si>
    <t>Viruses;Caudovirales;Podoviridae;unclassified Podoviridae;crAss-like viruses;Cellulophaga phage phi14:2;Flavobacteriaceae;Reichenbachiella;unclassified Persicobacter;Gillisia sp. CAL575</t>
  </si>
  <si>
    <t>Viruses[30];Caudovirales[30];Podoviridae[25];unclassified Podoviridae[25];crAss-like viruses[24];Cellulophaga phage phi14:2[16];Salmonella phage ST11[1]</t>
  </si>
  <si>
    <t>DNAUV-24.407-29</t>
  </si>
  <si>
    <t>Viruses[3];Caudovirales[3];Podoviridae[3];unclassified Podoviridae[2];crAss-like viruses[2];Paenibacillaceae[1];Chitinophagaceae[1];unclassified Paenibacillus[1];Paenibacillus sp. LK1[1];Chitinophaga sp. K20C18050901[1]</t>
  </si>
  <si>
    <t>Viruses;Caudovirales;Podoviridae;unclassified Podoviridae;crAss-like viruses;Paenibacillaceae;Chitinophagaceae;unclassified Paenibacillus;Paenibacillus sp. LK1;Chitinophaga sp. K20C18050901</t>
  </si>
  <si>
    <t>Viruses[3];Caudovirales[3];Podoviridae[3];unclassified Podoviridae[2];crAss-like viruses[2];Cellulophaga phage phi17:2[1]</t>
  </si>
  <si>
    <t>DNAUV-3.105-9.0</t>
  </si>
  <si>
    <t>Viruses[3];Caudovirales[3];Podoviridae[2];unclassified Podoviridae[2];Cronobacter phage vB_CsaP_Ss1[2]</t>
  </si>
  <si>
    <t>Viruses;Caudovirales;Podoviridae;unclassified Podoviridae;Cronobacter phage vB_CsaP_Ss1</t>
  </si>
  <si>
    <t>DNAUV-3.278-13</t>
  </si>
  <si>
    <t>Viruses[1];Caudovirales[1];Podoviridae[1];unclassified Podoviridae[1];Cytophagia[1];Cytophagales[1];Cytophagaceae[1];Spirosoma[1];unclassified Spirosoma[1];Spirosoma sp. 48-14[1]</t>
  </si>
  <si>
    <t>Viruses;Caudovirales;Podoviridae;unclassified Podoviridae;Cytophagia;Cytophagales;Cytophagaceae;Spirosoma;unclassified Spirosoma;Spirosoma sp. 48-14</t>
  </si>
  <si>
    <t>DNAUV-2.733-14</t>
  </si>
  <si>
    <t>Viruses[1];Caudovirales[1];Podoviridae[1];unclassified Podoviridae[1];Desulfovibrionales[1];Desulfohalobiaceae[1];Desulfohalobium[1];Desulfohalobium retbaense[1]</t>
  </si>
  <si>
    <t>Viruses;Caudovirales;Podoviridae;unclassified Podoviridae;Desulfovibrionales;Desulfohalobiaceae;Desulfohalobium;Desulfohalobium retbaense</t>
  </si>
  <si>
    <t>DNAUV-2.306-13</t>
  </si>
  <si>
    <t>Viruses[2];Caudovirales[2];Podoviridae[2];unclassified Podoviridae[2];Dunaliella viridis virus SI2[2]</t>
  </si>
  <si>
    <t>Viruses;Caudovirales;Podoviridae;unclassified Podoviridae;Dunaliella viridis virus SI2</t>
  </si>
  <si>
    <t>DNAUV-34.723-630</t>
  </si>
  <si>
    <t>Viruses[23];Caudovirales[23];Podoviridae[23];unclassified Podoviridae[23];Dunaliella viridis virus SI2[23];Aliihoeflea[1];unclassified Aureimonas[1];Maritimibacter sp. 55A14[1]</t>
  </si>
  <si>
    <t>Viruses;Caudovirales;Podoviridae;unclassified Podoviridae;Dunaliella viridis virus SI2;Aliihoeflea;unclassified Aureimonas;Maritimibacter sp. 55A14</t>
  </si>
  <si>
    <t>Viruses[23];Caudovirales[23];Podoviridae[23];unclassified Podoviridae[23];Dunaliella viridis virus SI2[23]</t>
  </si>
  <si>
    <t>DNAUV-2.199-16</t>
  </si>
  <si>
    <t>Viruses[1];Caudovirales[1];Podoviridae[1];unclassified Podoviridae[1];Dunaliella viridis virus SI2[1];Cytophagales[1];Cytophagaceae[1];Spirosoma[1];Spirosoma oryzae[1]</t>
  </si>
  <si>
    <t>Viruses;Caudovirales;Podoviridae;unclassified Podoviridae;Dunaliella viridis virus SI2;Cytophagales;Cytophagaceae;Spirosoma;Spirosoma oryzae</t>
  </si>
  <si>
    <t>Viruses[1];Caudovirales[1];Podoviridae[1];unclassified Podoviridae[1];Dunaliella viridis virus SI2[1]</t>
  </si>
  <si>
    <t>DNAUV-36.663-167</t>
  </si>
  <si>
    <t>Viruses[16];Caudovirales[16];Podoviridae[15];unclassified Podoviridae[15];Dunaliella viridis virus SI2[15];Mesorhizobium[1];unclassified Aliihoeflea[1];Sulfitobacter sp. EhC04[1]</t>
  </si>
  <si>
    <t>Viruses;Caudovirales;Podoviridae;unclassified Podoviridae;Dunaliella viridis virus SI2;Mesorhizobium;unclassified Aliihoeflea;Sulfitobacter sp. EhC04</t>
  </si>
  <si>
    <t>Viruses[16];Caudovirales[16];Podoviridae[15];unclassified Podoviridae[15];Dunaliella viridis virus SI2[15]</t>
  </si>
  <si>
    <t>DNAUV-35.210-45</t>
  </si>
  <si>
    <t>Viruses[22];Caudovirales[22];Podoviridae[21];unclassified Podoviridae[21];Dunaliella viridis virus SI2[20];Roseobacter[1];unclassified Ruegeria[1];Roseobacter sp. AzwK-3b[1]</t>
  </si>
  <si>
    <t>Viruses;Caudovirales;Podoviridae;unclassified Podoviridae;Dunaliella viridis virus SI2;Roseobacter;unclassified Ruegeria;Roseobacter sp. AzwK-3b</t>
  </si>
  <si>
    <t>Viruses[22];Caudovirales[22];Podoviridae[21];unclassified Podoviridae[21];Dunaliella viridis virus SI2[20];Pseudomonas phage phiPsa374[1]</t>
  </si>
  <si>
    <t>DNAUV-2.934-17</t>
  </si>
  <si>
    <t>Viruses[1];Caudovirales[1];Podoviridae[1];unclassified Podoviridae[1];EBPR podovirus 1[1];Bosea[1];unclassified Bosea[1];Bosea sp. 1131[1]</t>
  </si>
  <si>
    <t>Viruses;Caudovirales;Podoviridae;unclassified Podoviridae;EBPR podovirus 1;Bosea;unclassified Bosea;Bosea sp. 1131</t>
  </si>
  <si>
    <t>Viruses[1];Caudovirales[1];Podoviridae[1];unclassified Podoviridae[1];EBPR podovirus 1[1]</t>
  </si>
  <si>
    <t>DNAUV-2.571-13</t>
  </si>
  <si>
    <t>Viruses[1];Caudovirales[1];Podoviridae[1];unclassified Podoviridae[1];EBPR podovirus 2[1];Brevundimonas[1];Brevundimonas vesicularis[1]</t>
  </si>
  <si>
    <t>Viruses;Caudovirales;Podoviridae;unclassified Podoviridae;EBPR podovirus 2;Brevundimonas;Brevundimonas vesicularis</t>
  </si>
  <si>
    <t>DNAUV-2.212-16</t>
  </si>
  <si>
    <t>Viruses[1];Caudovirales[1];Podoviridae[1];unclassified Podoviridae[1];EBPR podovirus 2[1];Mameliella[1];Mameliella alba[1]</t>
  </si>
  <si>
    <t>Viruses;Caudovirales;Podoviridae;unclassified Podoviridae;EBPR podovirus 2;Mameliella;Mameliella alba</t>
  </si>
  <si>
    <t>DNAUV-3.540-430</t>
  </si>
  <si>
    <t>Viruses[2];Caudovirales[2];Podoviridae[2];unclassified Podoviridae[1];EBPR podovirus 2[1];Phage MedPE-SWcel-C56[1];Bosea vaviloviae[1]</t>
  </si>
  <si>
    <t>Viruses;Caudovirales;Podoviridae;unclassified Podoviridae;EBPR podovirus 2;Phage MedPE-SWcel-C56;Bosea vaviloviae</t>
  </si>
  <si>
    <t>Viruses[2];Caudovirales[2];Podoviridae[2];unclassified Podoviridae[1];EBPR podovirus 2[1];Phage MedPE-SWcel-C56[1]</t>
  </si>
  <si>
    <t>DNAUV-2.690-26</t>
  </si>
  <si>
    <t>Viruses[3];Caudovirales[3];Podoviridae[2];unclassified Podoviridae[2];EBPR podovirus 2[1];Ruegeria[1];unclassified Ruegeria[1];Ruegeria sp. TM1040[1]</t>
  </si>
  <si>
    <t>Viruses;Caudovirales;Podoviridae;unclassified Podoviridae;EBPR podovirus 2;Ruegeria;unclassified Ruegeria;Ruegeria sp. TM1040</t>
  </si>
  <si>
    <t>Viruses[3];Caudovirales[3];Podoviridae[2];unclassified Podoviridae[2];Synechococcus phage S-LBS1[1]</t>
  </si>
  <si>
    <t>DNAUV-20.225-38</t>
  </si>
  <si>
    <t>Viruses[10];Caudovirales[10];Podoviridae[10];unclassified Podoviridae[10];EBPR podovirus 2[10];Sinorhizobium/Ensifer group[2];Limimaricola cinnabarinus[1];unclassified Ensifer[1];Ensifer sp. M14[1]</t>
  </si>
  <si>
    <t>Viruses;Caudovirales;Podoviridae;unclassified Podoviridae;EBPR podovirus 2;Sinorhizobium/Ensifer group;Limimaricola cinnabarinus;unclassified Ensifer;Ensifer sp. M14</t>
  </si>
  <si>
    <t>Viruses[10];Caudovirales[10];Podoviridae[10];unclassified Podoviridae[10];EBPR podovirus 2[10]</t>
  </si>
  <si>
    <t>DNAUV-6.196-413</t>
  </si>
  <si>
    <t>Viruses[1];Caudovirales[1];Podoviridae[1];unclassified Podoviridae[1];Endozoicomonadaceae[1];Endozoicomonas[1];Endozoicomonas atrinae[1]</t>
  </si>
  <si>
    <t>Viruses;Caudovirales;Podoviridae;unclassified Podoviridae;Endozoicomonadaceae;Endozoicomonas;Endozoicomonas atrinae</t>
  </si>
  <si>
    <t>Viruses[1];Caudovirales[1];Podoviridae[1];unclassified Podoviridae[1];Vibrio phage 1.036.O._10N.286.45.C3[1]</t>
  </si>
  <si>
    <t>DNAUV-6.906-24</t>
  </si>
  <si>
    <t>Viruses[1];Caudovirales[1];Podoviridae[1];unclassified Podoviridae[1];Enterobacteriaceae[1];Escherichia[1];Escherichia coli[1]</t>
  </si>
  <si>
    <t>Viruses;Caudovirales;Podoviridae;unclassified Podoviridae;Enterobacteriaceae;Escherichia;Escherichia coli</t>
  </si>
  <si>
    <t>DNAUV-3.469-9.2</t>
  </si>
  <si>
    <t>Viruses[1];Caudovirales[1];Podoviridae[1];unclassified Podoviridae[1];Enterobacteriaceae[1];Trabulsiella[1];Trabulsiella guamensis[1]</t>
  </si>
  <si>
    <t>Viruses;Caudovirales;Podoviridae;unclassified Podoviridae;Enterobacteriaceae;Trabulsiella;Trabulsiella guamensis</t>
  </si>
  <si>
    <t>Viruses[1];Caudovirales[1];Podoviridae[1];unclassified Podoviridae[1];Pseudomonas phage PA11[1]</t>
  </si>
  <si>
    <t>DNAUV-3.663-12</t>
  </si>
  <si>
    <t>DNAUV-3.636-994</t>
  </si>
  <si>
    <t>Viruses[1];Caudovirales[1];Podoviridae[1];unclassified Podoviridae[1];Flavobacteriia[1];Flavobacteriales[1];Flavobacteriaceae[1];Muricauda[1];unclassified Muricauda[1];Muricauda sp. SM1704[1]</t>
  </si>
  <si>
    <t>Viruses;Caudovirales;Podoviridae;unclassified Podoviridae;Flavobacteriia;Flavobacteriales;Flavobacteriaceae;Muricauda;unclassified Muricauda;Muricauda sp. SM1704</t>
  </si>
  <si>
    <t>DNAUV-3.799-157</t>
  </si>
  <si>
    <t>Viruses[2];Caudovirales[2];Podoviridae[2];unclassified Podoviridae[2];Freshwater phage uvFW-CGR-AMD-COM-C429[1];Streptomycetaceae[1];Streptomyces[1];Streptomyces agglomeratus[1]</t>
  </si>
  <si>
    <t>Viruses;Caudovirales;Podoviridae;unclassified Podoviridae;Freshwater phage uvFW-CGR-AMD-COM-C429;Streptomycetaceae;Streptomyces;Streptomyces agglomeratus</t>
  </si>
  <si>
    <t>Viruses[2];Caudovirales[2];Podoviridae[2];unclassified Podoviridae[2];Freshwater phage uvFW-CGR-AMD-COM-C429[1]</t>
  </si>
  <si>
    <t>DNAUV-2.035-232</t>
  </si>
  <si>
    <t>Viruses[1];Caudovirales[1];Podoviridae[1];unclassified Podoviridae[1];Freshwater phage uvFW-CGR-AMD-COM-C449[1];Bradyrhizobium[1];Bradyrhizobium lablabi[1]</t>
  </si>
  <si>
    <t>Viruses;Caudovirales;Podoviridae;unclassified Podoviridae;Freshwater phage uvFW-CGR-AMD-COM-C449;Bradyrhizobium;Bradyrhizobium lablabi</t>
  </si>
  <si>
    <t>Viruses[1];Caudovirales[1];Podoviridae[1];unclassified Podoviridae[1];Freshwater phage uvFW-CGR-AMD-COM-C449[1]</t>
  </si>
  <si>
    <t>DNAUV-2.993-152</t>
  </si>
  <si>
    <t>Viruses[1];Caudovirales[1];Podoviridae[1];unclassified Podoviridae[1];Freshwater phage uvFW-CGR-AMD-COM-C449[1];Desulfobulbaceae[1];Desulfobulbus[1];unclassified Desulfobulbus[1];Desulfobulbus sp. Tol-SR[1]</t>
  </si>
  <si>
    <t>Viruses;Caudovirales;Podoviridae;unclassified Podoviridae;Freshwater phage uvFW-CGR-AMD-COM-C449;Desulfobulbaceae;Desulfobulbus;unclassified Desulfobulbus;Desulfobulbus sp. Tol-SR</t>
  </si>
  <si>
    <t>DNAUV-8.691-179</t>
  </si>
  <si>
    <t>Viruses[2];Caudovirales[2];Podoviridae[2];unclassified Podoviridae[2];Freshwater phage uvFW-CGR-AMD-COM-C449[1];Intrasporangiaceae[1];Terrabacter[1];unclassified Terrabacter[1];Terrabacter sp. 28[1]</t>
  </si>
  <si>
    <t>Viruses;Caudovirales;Podoviridae;unclassified Podoviridae;Freshwater phage uvFW-CGR-AMD-COM-C449;Intrasporangiaceae;Terrabacter;unclassified Terrabacter;Terrabacter sp. 28</t>
  </si>
  <si>
    <t>DNAUV-6.418-16</t>
  </si>
  <si>
    <t>Viruses[1];Caudovirales[1];Podoviridae[1];unclassified Podoviridae[1];Freshwater phage uvFW-CGR-AMD-COM-C455[1]</t>
  </si>
  <si>
    <t>Viruses;Caudovirales;Podoviridae;unclassified Podoviridae;Freshwater phage uvFW-CGR-AMD-COM-C455</t>
  </si>
  <si>
    <t>DNAUV-3.902-48</t>
  </si>
  <si>
    <t>Viruses[1];Caudovirales[1];Podoviridae[1];unclassified Podoviridae[1];Halomonadaceae[1];Halomonas[1];Halomonas ilicicola[1]</t>
  </si>
  <si>
    <t>Viruses;Caudovirales;Podoviridae;unclassified Podoviridae;Halomonadaceae;Halomonas;Halomonas ilicicola</t>
  </si>
  <si>
    <t>Viruses[1];Caudovirales[1];Podoviridae[1];unclassified Podoviridae[1];Ralstonia phage DU_RP_II[1]</t>
  </si>
  <si>
    <t>DNAUV-3.615-146</t>
  </si>
  <si>
    <t>Viruses[1];Caudovirales[1];Podoviridae[1];unclassified Podoviridae[1];Halomonadaceae[1];Kushneria[1];unclassified Kushneria[1];Kushneria sp. YCWA18[1]</t>
  </si>
  <si>
    <t>Viruses;Caudovirales;Podoviridae;unclassified Podoviridae;Halomonadaceae;Kushneria;unclassified Kushneria;Kushneria sp. YCWA18</t>
  </si>
  <si>
    <t>Viruses[1];Caudovirales[1];Podoviridae[1];unclassified Podoviridae[1];Pseudomonas phage O4[1]</t>
  </si>
  <si>
    <t>DNAUV-3.871-236</t>
  </si>
  <si>
    <t>DNAUV-2.209-15</t>
  </si>
  <si>
    <t>Viruses;Caudovirales;Podoviridae;unclassified Podoviridae;Methylophilales phage HIM624-A</t>
  </si>
  <si>
    <t>DNAUV-2.270-20</t>
  </si>
  <si>
    <t>Viruses[1];Caudovirales[1];Podoviridae[1];unclassified Podoviridae[1];Methylophilales phage HIM624-A[1];Pseudomonas[1];Pseudomonas stutzeri group[1];Pseudomonas stutzeri subgroup[1];Pseudomonas stutzeri[1]</t>
  </si>
  <si>
    <t>Viruses;Caudovirales;Podoviridae;unclassified Podoviridae;Methylophilales phage HIM624-A;Pseudomonas;Pseudomonas stutzeri group;Pseudomonas stutzeri subgroup;Pseudomonas stutzeri</t>
  </si>
  <si>
    <t>DNAUV-2.311-181</t>
  </si>
  <si>
    <t>Viruses[1];Caudovirales[1];Podoviridae[1];unclassified Podoviridae[1];Moraxellaceae[1];Acinetobacter[1];Acinetobacter indicus[1]</t>
  </si>
  <si>
    <t>Viruses;Caudovirales;Podoviridae;unclassified Podoviridae;Moraxellaceae;Acinetobacter;Acinetobacter indicus</t>
  </si>
  <si>
    <t>DNAUV-2.133-17</t>
  </si>
  <si>
    <t>Viruses[1];Caudovirales[1];Podoviridae[1];unclassified Podoviridae[1];Moraxellaceae[1];Alkanindiges[1];unclassified Alkanindiges[1];Alkanindiges sp. H1[1]</t>
  </si>
  <si>
    <t>Viruses;Caudovirales;Podoviridae;unclassified Podoviridae;Moraxellaceae;Alkanindiges;unclassified Alkanindiges;Alkanindiges sp. H1</t>
  </si>
  <si>
    <t>DNAUV-10.912-14</t>
  </si>
  <si>
    <t>Viruses[2];Caudovirales[2];Podoviridae[2];unclassified Podoviridae[2];Moraxellaceae[1];Klebsiella[1];Acinetobacter calcoaceticus/baumannii complex[1];Acinetobacter baumannii[1]</t>
  </si>
  <si>
    <t>Viruses;Caudovirales;Podoviridae;unclassified Podoviridae;Moraxellaceae;Klebsiella;Acinetobacter calcoaceticus/baumannii complex;Acinetobacter baumannii</t>
  </si>
  <si>
    <t>Viruses[2];Caudovirales[2];Podoviridae[2];unclassified Podoviridae[2];Vibrio phage 1.003.O._10N.286.48.A2[1]</t>
  </si>
  <si>
    <t>DNAUV-6.369-49</t>
  </si>
  <si>
    <t>Viruses[2];Caudovirales[2];Podoviridae[2];unclassified Podoviridae[2];Moraxellaceae[1];Sphingobacteriales[1];Sphingobacteriaceae[1];Mucilaginibacter[1];unclassified Mucilaginibacter[1];Mucilaginibacter sp. MYSH2[1]</t>
  </si>
  <si>
    <t>Viruses;Caudovirales;Podoviridae;unclassified Podoviridae;Moraxellaceae;Sphingobacteriales;Sphingobacteriaceae;Mucilaginibacter;unclassified Mucilaginibacter;Mucilaginibacter sp. MYSH2</t>
  </si>
  <si>
    <t>Viruses[2];Caudovirales[2];Podoviridae[2];unclassified Podoviridae[2];Vibrio phage vB_ValP_IME271[1]</t>
  </si>
  <si>
    <t>DNAUV-41.172-78</t>
  </si>
  <si>
    <t>Viruses[13];Caudovirales[13];Podoviridae[11];unclassified Podoviridae[11];Nostocales[4];Aphanizomenonaceae[4];Aphanizomenon[4];Aphanizomenon flos-aquae[4];Aphanizomenon flos-aquae WA102[4];Oxytricha[1];Oxytricha trifallax[1]</t>
  </si>
  <si>
    <t>Viruses;Caudovirales;Podoviridae;unclassified Podoviridae;Nostocales;Aphanizomenonaceae;Aphanizomenon;Aphanizomenon flos-aquae;Aphanizomenon flos-aquae WA102;Oxytricha;Oxytricha trifallax</t>
  </si>
  <si>
    <t>Viruses[13];Caudovirales[13];Podoviridae[11];unclassified Podoviridae[11];Pseudomonas phage O4[3];unclassified Likavirus[1];Streptomyces phage Nanodon[1]</t>
  </si>
  <si>
    <t>DNAUV-5.638-31</t>
  </si>
  <si>
    <t>Viruses[1];Caudovirales[1];Podoviridae[1];unclassified Podoviridae[1];Nostocales[1];Aphanizomenonaceae[1];Aphanizomenon[1];Haloplanus salinus[1];Aphanizomenon flos-aquae WA102[1]</t>
  </si>
  <si>
    <t>Viruses;Caudovirales;Podoviridae;unclassified Podoviridae;Nostocales;Aphanizomenonaceae;Aphanizomenon;Haloplanus salinus;Aphanizomenon flos-aquae WA102</t>
  </si>
  <si>
    <t>DNAUV-4.486-1697</t>
  </si>
  <si>
    <t>Viruses;Caudovirales;Podoviridae;unclassified Podoviridae;Pelagibacter phage HTVC010P</t>
  </si>
  <si>
    <t>DNAUV-2.244-255</t>
  </si>
  <si>
    <t>DNAUV-3.045-11</t>
  </si>
  <si>
    <t>Viruses[3];Caudovirales[3];Podoviridae[3];unclassified Podoviridae[3];Pelagibacter phage HTVC010P[3]</t>
  </si>
  <si>
    <t>DNAUV-3.942-14</t>
  </si>
  <si>
    <t>Viruses[3];Caudovirales[3];Podoviridae[3];unclassified Podoviridae[3];Pelagibacter phage HTVC010P[2]</t>
  </si>
  <si>
    <t>DNAUV-2.750-13</t>
  </si>
  <si>
    <t>DNAUV-2.068-11</t>
  </si>
  <si>
    <t>Viruses[1];Caudovirales[1];Podoviridae[1];unclassified Podoviridae[1];Pelagibacter phage HTVC010P[1];Fodinicurvata[1];Fodinicurvata sediminis[1]</t>
  </si>
  <si>
    <t>Viruses;Caudovirales;Podoviridae;unclassified Podoviridae;Pelagibacter phage HTVC010P;Fodinicurvata;Fodinicurvata sediminis</t>
  </si>
  <si>
    <t>DNAUV-4.975-17</t>
  </si>
  <si>
    <t>Viruses[2];Caudovirales[2];Podoviridae[2];unclassified Podoviridae[2];Pelagibacter phage HTVC010P[2];Pseudomonas[1];Pseudomonas sagittaria[1]</t>
  </si>
  <si>
    <t>Viruses;Caudovirales;Podoviridae;unclassified Podoviridae;Pelagibacter phage HTVC010P;Pseudomonas;Pseudomonas sagittaria</t>
  </si>
  <si>
    <t>Viruses[2];Caudovirales[2];Podoviridae[2];unclassified Podoviridae[2];Pelagibacter phage HTVC010P[2]</t>
  </si>
  <si>
    <t>DNAUV-2.330-7.8</t>
  </si>
  <si>
    <t>Viruses[2];Caudovirales[2];Podoviridae[2];unclassified Podoviridae[2];Pelagibacter phage HTVC010P[2];Zavarzinia[1];unclassified Zavarzinia[1];Zavarzinia sp. HR-AS[1]</t>
  </si>
  <si>
    <t>Viruses;Caudovirales;Podoviridae;unclassified Podoviridae;Pelagibacter phage HTVC010P;Zavarzinia;unclassified Zavarzinia;Zavarzinia sp. HR-AS</t>
  </si>
  <si>
    <t>DNAUV-3.813-14</t>
  </si>
  <si>
    <t>Viruses[1];Caudovirales[1];Podoviridae[1];unclassified Podoviridae[1];Pelagibacter phage HTVC010P[1];Zavarzinia[1];unclassified Zavarzinia[1];Zavarzinia sp. HR-AS[1]</t>
  </si>
  <si>
    <t>DNAUV-2.202-24</t>
  </si>
  <si>
    <t>Viruses[2];Caudovirales[2];Podoviridae[2];unclassified Podoviridae[1];Prochlorococcus virus PSSP7[1];Legionella[1];Legionella pneumophila[1]</t>
  </si>
  <si>
    <t>Viruses;Caudovirales;Podoviridae;unclassified Podoviridae;Prochlorococcus virus PSSP7;Legionella;Legionella pneumophila</t>
  </si>
  <si>
    <t>Viruses[2];Caudovirales[2];Podoviridae[2];Autographivirinae[1];Puniceispirillum phage HMO-2011[1]</t>
  </si>
  <si>
    <t>DNAUV-2.791-184</t>
  </si>
  <si>
    <t>Viruses[2];Caudovirales[2];Podoviridae[2];unclassified Podoviridae[2];Pseudoalteromonas virus vB_PspP-H6/1[1]</t>
  </si>
  <si>
    <t>Viruses[2];Caudovirales[2];Podoviridae[2];unclassified Podoviridae[2];Vibrio phage 1.275.O._10N.286.54.E11[1]</t>
  </si>
  <si>
    <t>DNAUV-2.894-11</t>
  </si>
  <si>
    <t>Viruses[2];Caudovirales[2];Podoviridae[2];unclassified Podoviridae[2];Pseudoalteromonas virus vB_PspP-H6/1[2]</t>
  </si>
  <si>
    <t>DNAUV-3.180-12</t>
  </si>
  <si>
    <t>DNAUV-3.159-13</t>
  </si>
  <si>
    <t>DNAUV-40.486-52</t>
  </si>
  <si>
    <t>Viruses[14];Caudovirales[14];Podoviridae[12];unclassified Podoviridae[10];Pseudoalteromonas virus vB_PspP-H6/1[9];Alteromonas virus vB_AspP-H4/4[2];Sphingomonas histidinilytica[1];Pseudarthrobacter siccitolerans[1];Butyrivibrio sp. M55[1]</t>
  </si>
  <si>
    <t>Viruses;Caudovirales;Podoviridae;unclassified Podoviridae;Pseudoalteromonas virus vB_PspP-H6/1;Alteromonas virus vB_AspP-H4/4;Sphingomonas histidinilytica;Pseudarthrobacter siccitolerans;Butyrivibrio sp. M55</t>
  </si>
  <si>
    <t>Viruses[14];Caudovirales[14];Podoviridae[12];unclassified Podoviridae[10];Pseudoalteromonas virus vB_PspP-H6/1[9];Alteromonas virus vB_AspP-H4/4[2]</t>
  </si>
  <si>
    <t>DNAUV-2.248-16</t>
  </si>
  <si>
    <t>Viruses[1];Caudovirales[1];Podoviridae[1];unclassified Podoviridae[1];Pseudoalteromonas virus vB_PspP-H6/1[1];Pseudoalteromonas[1];Pseudoalteromonas atlantica[1]</t>
  </si>
  <si>
    <t>Viruses;Caudovirales;Podoviridae;unclassified Podoviridae;Pseudoalteromonas virus vB_PspP-H6/1;Pseudoalteromonas;Pseudoalteromonas atlantica</t>
  </si>
  <si>
    <t>DNAUV-2.142-25</t>
  </si>
  <si>
    <t>Viruses[1];Caudovirales[1];Podoviridae[1];unclassified Podoviridae[1];Pseudoalteromonas virus vB_PspP-H6/1[1];Sinorhizobium/Ensifer group[1];Sinorhizobium[1];Sinorhizobium meliloti[1]</t>
  </si>
  <si>
    <t>Viruses;Caudovirales;Podoviridae;unclassified Podoviridae;Pseudoalteromonas virus vB_PspP-H6/1;Sinorhizobium/Ensifer group;Sinorhizobium;Sinorhizobium meliloti</t>
  </si>
  <si>
    <t>DNAUV-4.740-18</t>
  </si>
  <si>
    <t>Viruses[1];Caudovirales[1];Podoviridae[1];unclassified Podoviridae[1];Pseudomonas phage AF[1]</t>
  </si>
  <si>
    <t>Viruses;Caudovirales;Podoviridae;unclassified Podoviridae;Pseudomonas phage AF</t>
  </si>
  <si>
    <t>DNAUV-2.442-13</t>
  </si>
  <si>
    <t>Viruses[1];Caudovirales[1];Podoviridae[1];unclassified Podoviridae[1];Pseudomonas phage AF[1];Cycloclasticus[1];Cycloclasticus zancles[1]</t>
  </si>
  <si>
    <t>Viruses;Caudovirales;Podoviridae;unclassified Podoviridae;Pseudomonas phage AF;Cycloclasticus;Cycloclasticus zancles</t>
  </si>
  <si>
    <t>DNAUV-4.745-245</t>
  </si>
  <si>
    <t>Viruses[5];Caudovirales[5];Podoviridae[5];unclassified Podoviridae[4];Pseudomonas phage O4[2];Cyanophage NATL1A-7[1]</t>
  </si>
  <si>
    <t>Viruses;Caudovirales;Podoviridae;unclassified Podoviridae;Pseudomonas phage O4;Cyanophage NATL1A-7</t>
  </si>
  <si>
    <t>DNAUV-4.626-123</t>
  </si>
  <si>
    <t>Viruses[4];Caudovirales[4];Podoviridae[4];unclassified Podoviridae[4];Pseudomonas phage O4[2];Streptomycetaceae[1];Streptomyces[1];unclassified Streptomyces[1];Streptomyces sp. NRRL B-24572[1]</t>
  </si>
  <si>
    <t>Viruses;Caudovirales;Podoviridae;unclassified Podoviridae;Pseudomonas phage O4;Streptomycetaceae;Streptomyces;unclassified Streptomyces;Streptomyces sp. NRRL B-24572</t>
  </si>
  <si>
    <t>Viruses[4];Caudovirales[4];Podoviridae[4];unclassified Podoviridae[4];Pseudomonas phage O4[2]</t>
  </si>
  <si>
    <t>DNAUV-2.651-23</t>
  </si>
  <si>
    <t>Viruses[1];Caudovirales[1];Podoviridae[1];unclassified Podoviridae[1];Pseudomonas phage O4[1];Variovorax[1];Variovorax paradoxus[1]</t>
  </si>
  <si>
    <t>Viruses;Caudovirales;Podoviridae;unclassified Podoviridae;Pseudomonas phage O4;Variovorax;Variovorax paradoxus</t>
  </si>
  <si>
    <t>DNAUV-2.272-9.2</t>
  </si>
  <si>
    <t>Viruses[2];Caudovirales[2];Podoviridae[2];unclassified Podoviridae[2];Pseudomonas phage PA11[1]</t>
  </si>
  <si>
    <t>Viruses;Caudovirales;Podoviridae;unclassified Podoviridae;Pseudomonas phage PA11</t>
  </si>
  <si>
    <t>DNAUV-2.079-102</t>
  </si>
  <si>
    <t>DNAUV-4.262-15</t>
  </si>
  <si>
    <t>Viruses[1];Caudovirales[1];Podoviridae[1];unclassified Podoviridae[1];Pseudomonas phage PaP2[1]</t>
  </si>
  <si>
    <t>Viruses;Caudovirales;Podoviridae;unclassified Podoviridae;Pseudomonas phage PaP2</t>
  </si>
  <si>
    <t>DNAUV-2.054-6.8</t>
  </si>
  <si>
    <t>Viruses[1];Caudovirales[1];Podoviridae[1];unclassified Podoviridae[1];Pseudomonas phage Skulduggery[1]</t>
  </si>
  <si>
    <t>Viruses;Caudovirales;Podoviridae;unclassified Podoviridae;Pseudomonas phage Skulduggery</t>
  </si>
  <si>
    <t>DNAUV-8.731-344</t>
  </si>
  <si>
    <t>Viruses[7];Caudovirales[7];Podoviridae[7];unclassified Podoviridae[6];Pseudomonas phage TC6[2];Vibrio[1];Vibrio cholerae[1]</t>
  </si>
  <si>
    <t>Viruses;Caudovirales;Podoviridae;unclassified Podoviridae;Pseudomonas phage TC6;Vibrio;Vibrio cholerae</t>
  </si>
  <si>
    <t>Viruses[7];Caudovirales[7];Podoviridae[7];unclassified Podoviridae[6];Pseudomonas phage TC6[2]</t>
  </si>
  <si>
    <t>DNAUV-6.833-1509</t>
  </si>
  <si>
    <t>DNAUV-2.227-18</t>
  </si>
  <si>
    <t>Viruses[3];Caudovirales[3];Podoviridae[2];unclassified Podoviridae[2];Puniceispirillum phage HMO-2011[2]</t>
  </si>
  <si>
    <t>DNAUV-2.428-1765</t>
  </si>
  <si>
    <t>DNAUV-2.985-16</t>
  </si>
  <si>
    <t>DNAUV-2.193-74</t>
  </si>
  <si>
    <t>DNAUV-2.336-10</t>
  </si>
  <si>
    <t>DNAUV-3.037-16</t>
  </si>
  <si>
    <t>DNAUV-3.848-1494</t>
  </si>
  <si>
    <t>DNAUV-3.866-17</t>
  </si>
  <si>
    <t>DNAUV-2.818-29</t>
  </si>
  <si>
    <t>DNAUV-2.992-19</t>
  </si>
  <si>
    <t>Viruses[3];Caudovirales[3];Podoviridae[2];unclassified Podoviridae[2];Puniceispirillum phage HMO-2011[1]</t>
  </si>
  <si>
    <t>Viruses[3];Caudovirales[3];Podoviridae[2];unclassified Podoviridae[2];Freshwater phage uvFW-CGR-AMD-COM-C440[1]</t>
  </si>
  <si>
    <t>DNAUV-5.972-15</t>
  </si>
  <si>
    <t>DNAUV-5.324-17</t>
  </si>
  <si>
    <t>Viruses[3];Caudovirales[3];Podoviridae[3];unclassified Podoviridae[2];Puniceispirillum phage HMO-2011[2];Aminobacter[1];unclassified Aminobacter[1];Aminobacter sp. MSH1[1]</t>
  </si>
  <si>
    <t>Viruses;Caudovirales;Podoviridae;unclassified Podoviridae;Puniceispirillum phage HMO-2011;Aminobacter;unclassified Aminobacter;Aminobacter sp. MSH1</t>
  </si>
  <si>
    <t>Viruses[3];Caudovirales[3];Podoviridae[3];unclassified Podoviridae[2];Puniceispirillum phage HMO-2011[2]</t>
  </si>
  <si>
    <t>DNAUV-2.533-44</t>
  </si>
  <si>
    <t>Viruses[2];Caudovirales[2];Podoviridae[2];unclassified Podoviridae[2];Puniceispirillum phage HMO-2011[2];Bosea[1];unclassified Bosea[1];Bosea sp. LC85[1]</t>
  </si>
  <si>
    <t>Viruses;Caudovirales;Podoviridae;unclassified Podoviridae;Puniceispirillum phage HMO-2011;Bosea;unclassified Bosea;Bosea sp. LC85</t>
  </si>
  <si>
    <t>DNAUV-63.154-214</t>
  </si>
  <si>
    <t>Viruses[23];Caudovirales[22];Podoviridae[21];unclassified Podoviridae[17];Puniceispirillum phage HMO-2011[8];Bradyrhizobium[3];Bradyrhizobium erythrophlei[3];Variovorax sp. PMC12[1];Aphanizomenon flos-aquae WA102[1]</t>
  </si>
  <si>
    <t>Viruses;Caudovirales;Podoviridae;unclassified Podoviridae;Puniceispirillum phage HMO-2011;Bradyrhizobium;Bradyrhizobium erythrophlei;Variovorax sp. PMC12;Aphanizomenon flos-aquae WA102</t>
  </si>
  <si>
    <t>Viruses[23];Caudovirales[22];Podoviridae[21];unclassified Podoviridae[17];Puniceispirillum phage HMO-2011[8];Xylella phage Salvo[1];Salmonella phage Vi06[1]</t>
  </si>
  <si>
    <t>DNAUV-7.476-13</t>
  </si>
  <si>
    <t>Viruses[5];Caudovirales[5];Podoviridae[5];unclassified Podoviridae[5];Puniceispirillum phage HMO-2011[5];Caldithrix[1];unclassified Maritimibacter[1];Maritimibacter sp. 55A14[1]</t>
  </si>
  <si>
    <t>Viruses;Caudovirales;Podoviridae;unclassified Podoviridae;Puniceispirillum phage HMO-2011;Caldithrix;unclassified Maritimibacter;Maritimibacter sp. 55A14</t>
  </si>
  <si>
    <t>DNAUV-50.039-64</t>
  </si>
  <si>
    <t>Viruses[28];Caudovirales[28];Podoviridae[24];unclassified Podoviridae[22];Puniceispirillum phage HMO-2011[19];Microvirga[1];Microvirga flocculans[1];Pseudoalteromonas sp. TMED43[1]</t>
  </si>
  <si>
    <t>Viruses;Caudovirales;Podoviridae;unclassified Podoviridae;Puniceispirillum phage HMO-2011;Microvirga;Microvirga flocculans;Pseudoalteromonas sp. TMED43</t>
  </si>
  <si>
    <t>Viruses[28];Caudovirales[28];Podoviridae[24];unclassified Podoviridae[22];Puniceispirillum phage HMO-2011[19];Synechococcus phage S-RIP2[1]</t>
  </si>
  <si>
    <t>DNAUV-5.190-86</t>
  </si>
  <si>
    <t>Viruses[3];Caudovirales[2];Podoviridae[2];unclassified Podoviridae[2];Puniceispirillum phage HMO-2011[1];Paracoccus[1];Paracoccus alcaliphilus[1]</t>
  </si>
  <si>
    <t>Viruses;Caudovirales;Podoviridae;unclassified Podoviridae;Puniceispirillum phage HMO-2011;Paracoccus;Paracoccus alcaliphilus</t>
  </si>
  <si>
    <t>Viruses[3];Caudovirales[2];Podoviridae[2];unclassified Podoviridae[2];Puniceispirillum phage HMO-2011[1]</t>
  </si>
  <si>
    <t>DNAUV-29.464-218</t>
  </si>
  <si>
    <t>Viruses[15];Caudovirales[15];Podoviridae[14];unclassified Podoviridae[14];Puniceispirillum phage HMO-2011[10];Pararhodobacter[1];Rhizobium[1];unclassified Rhizobium[1];Rhizobium sp. Root149[1]</t>
  </si>
  <si>
    <t>Viruses;Caudovirales;Podoviridae;unclassified Podoviridae;Puniceispirillum phage HMO-2011;Pararhodobacter;Rhizobium;unclassified Rhizobium;Rhizobium sp. Root149</t>
  </si>
  <si>
    <t>Viruses[15];Caudovirales[15];Podoviridae[14];unclassified Podoviridae[14];Puniceispirillum phage HMO-2011[10]</t>
  </si>
  <si>
    <t>DNAUV-9.911-12</t>
  </si>
  <si>
    <t>Viruses[3];Caudovirales[3];Podoviridae[3];unclassified Podoviridae[3];Puniceispirillum phage HMO-2011[2];Rhizobium/Agrobacterium group[1];Cohaesibacter gelatinilyticus[1];Rhizobium yanglingense[1]</t>
  </si>
  <si>
    <t>Viruses;Caudovirales;Podoviridae;unclassified Podoviridae;Puniceispirillum phage HMO-2011;Rhizobium/Agrobacterium group;Cohaesibacter gelatinilyticus;Rhizobium yanglingense</t>
  </si>
  <si>
    <t>Viruses[3];Caudovirales[3];Podoviridae[3];unclassified Podoviridae[3];Puniceispirillum phage HMO-2011[2]</t>
  </si>
  <si>
    <t>DNAUV-57.114-48</t>
  </si>
  <si>
    <t>Viruses[21];Caudovirales[20];Podoviridae[18];unclassified Podoviridae[17];Puniceispirillum phage HMO-2011[11];Rhodobacter[2];Bradyrhizobium erythrophlei[2];Ruegeria sp. TM1040[1];Chlorobium[1];Chlorobium sp. KB01[1]</t>
  </si>
  <si>
    <t>Viruses;Caudovirales;Podoviridae;unclassified Podoviridae;Puniceispirillum phage HMO-2011;Rhodobacter;Bradyrhizobium erythrophlei;Ruegeria sp. TM1040;Chlorobium;Chlorobium sp. KB01</t>
  </si>
  <si>
    <t>Viruses[21];Caudovirales[20];Podoviridae[18];unclassified Podoviridae[17];Puniceispirillum phage HMO-2011[11];Klosneuvirus KNV1[1]</t>
  </si>
  <si>
    <t>DNAUV-7.430-346</t>
  </si>
  <si>
    <t>Viruses[2];Caudovirales[2];Podoviridae[2];unclassified Podoviridae[2];Puniceispirillum phage HMO-2011[2];Roseivivax[1];Roseivivax jejudonensis[1]</t>
  </si>
  <si>
    <t>Viruses;Caudovirales;Podoviridae;unclassified Podoviridae;Puniceispirillum phage HMO-2011;Roseivivax;Roseivivax jejudonensis</t>
  </si>
  <si>
    <t>DNAUV-5.271-16</t>
  </si>
  <si>
    <t>Viruses[3];Caudovirales[3];Podoviridae[3];unclassified Podoviridae[3];Puniceispirillum phage HMO-2011[3];Streptomycetaceae[1];Streptomyces[1];Streptomyces somaliensis[1]</t>
  </si>
  <si>
    <t>Viruses;Caudovirales;Podoviridae;unclassified Podoviridae;Puniceispirillum phage HMO-2011;Streptomycetaceae;Streptomyces;Streptomyces somaliensis</t>
  </si>
  <si>
    <t>DNAUV-4.050-15</t>
  </si>
  <si>
    <t>Viruses[2];Caudovirales[2];Podoviridae[2];unclassified Podoviridae[2];Puniceispirillum phage HMO-2011[2];Terasakiella[1];Terasakiella pusilla[1]</t>
  </si>
  <si>
    <t>Viruses;Caudovirales;Podoviridae;unclassified Podoviridae;Puniceispirillum phage HMO-2011;Terasakiella;Terasakiella pusilla</t>
  </si>
  <si>
    <t>DNAUV-2.404-74</t>
  </si>
  <si>
    <t>Viruses;Caudovirales;Podoviridae;unclassified Podoviridae;Ralstonia phage DU_RP_II</t>
  </si>
  <si>
    <t>DNAUV-2.062-14</t>
  </si>
  <si>
    <t>Viruses[1];Caudovirales[1];Podoviridae[1];unclassified Podoviridae[1];Ralstonia phage DU_RP_II[1];Nitrosospira[1];unclassified Nitrosospira[1];Nitrosospira sp. Nsp37[1]</t>
  </si>
  <si>
    <t>Viruses;Caudovirales;Podoviridae;unclassified Podoviridae;Ralstonia phage DU_RP_II;Nitrosospira;unclassified Nitrosospira;Nitrosospira sp. Nsp37</t>
  </si>
  <si>
    <t>DNAUV-2.697-118</t>
  </si>
  <si>
    <t>Viruses[2];Caudovirales[2];Podoviridae[2];unclassified Podoviridae[2];Ralstonia phage DU_RP_II[2];Sinorhizobium/Ensifer group[1];Ensifer[1];Ensifer adhaerens[1]</t>
  </si>
  <si>
    <t>Viruses;Caudovirales;Podoviridae;unclassified Podoviridae;Ralstonia phage DU_RP_II;Sinorhizobium/Ensifer group;Ensifer;Ensifer adhaerens</t>
  </si>
  <si>
    <t>Viruses[2];Caudovirales[2];Podoviridae[2];unclassified Podoviridae[2];Ralstonia phage DU_RP_II[2]</t>
  </si>
  <si>
    <t>DNAUV-16.119-15</t>
  </si>
  <si>
    <t>Viruses[6];Caudovirales[5];Podoviridae[3];unclassified Podoviridae[2];Ralstonia virus RP12[1];Sinorhizobium phage phiN3[1];Campylobacter[1];Campylobacter lanienae[1]</t>
  </si>
  <si>
    <t>Viruses;Caudovirales;Podoviridae;unclassified Podoviridae;Ralstonia virus RP12;Sinorhizobium phage phiN3;Campylobacter;Campylobacter lanienae</t>
  </si>
  <si>
    <t>Viruses[6];Caudovirales[5];Podoviridae[3];unclassified Podoviridae[2];Sinorhizobium phage phiM6[1];Ralstonia phage RP12[1]</t>
  </si>
  <si>
    <t>DNAUV-3.253-13</t>
  </si>
  <si>
    <t>Viruses[2];Caudovirales[2];Podoviridae[2];unclassified Podoviridae[2];Rhizobiaceae[1];Methylomagnum[1];Rhizobium[1];unclassified Rhizobium[1];Rhizobium sp. Root564[1]</t>
  </si>
  <si>
    <t>Viruses;Caudovirales;Podoviridae;unclassified Podoviridae;Rhizobiaceae;Methylomagnum;Rhizobium;unclassified Rhizobium;Rhizobium sp. Root564</t>
  </si>
  <si>
    <t>Viruses[2];Caudovirales[2];Podoviridae[2];unclassified Podoviridae[2];Sinorhizobium phage PBC5[1]</t>
  </si>
  <si>
    <t>DNAUV-7.368-81</t>
  </si>
  <si>
    <t>Viruses[4];Caudovirales[3];Podoviridae[3];unclassified Podoviridae[3];Rhizobiaceae[2];Rhizobium/Agrobacterium group[1];Ensifer[1];Rhizobium pusense[1];Ensifer sp. LCM 4579[1]</t>
  </si>
  <si>
    <t>Viruses;Caudovirales;Podoviridae;unclassified Podoviridae;Rhizobiaceae;Rhizobium/Agrobacterium group;Ensifer;Rhizobium pusense;Ensifer sp. LCM 4579</t>
  </si>
  <si>
    <t>Viruses[4];Caudovirales[3];Podoviridae[3];unclassified Podoviridae[3];Pseudomonas phage TC6[1]</t>
  </si>
  <si>
    <t>DNAUV-4.462-1084</t>
  </si>
  <si>
    <t>Viruses[1];Caudovirales[1];Podoviridae[1];unclassified Podoviridae[1];Rhizobiaceae[1];Sinorhizobium/Ensifer group[1];Sinorhizobium[1];Sinorhizobium meliloti[1]</t>
  </si>
  <si>
    <t>Viruses;Caudovirales;Podoviridae;unclassified Podoviridae;Rhizobiaceae;Sinorhizobium/Ensifer group;Sinorhizobium;Sinorhizobium meliloti</t>
  </si>
  <si>
    <t>DNAUV-22.957-353</t>
  </si>
  <si>
    <t>Viruses[10];Caudovirales[8];Podoviridae[7];unclassified Podoviridae[4];Rhodobacteraceae[4];Bacillaceae[2];Bacillus[2];Sphingomonas sp. JJ-A5[1]</t>
  </si>
  <si>
    <t>Viruses;Caudovirales;Podoviridae;unclassified Podoviridae;Rhodobacteraceae;Bacillaceae;Bacillus;Sphingomonas sp. JJ-A5</t>
  </si>
  <si>
    <t>Viruses[10];Caudovirales[8];Podoviridae[7];unclassified Podoviridae[4];Sinorhizobium phage phiM6[1];unclassified Cornellvirus[1];Enterobacter phage phiEap-2[1]</t>
  </si>
  <si>
    <t>DNAUV-38.940-21</t>
  </si>
  <si>
    <t>Viruses[15];Caudovirales[15];Podoviridae[14];unclassified Podoviridae[14];Rhodobacteraceae[4];Cognatiyoonia[2];Cognatiyoonia koreensis[2];Pararhizobium haloflavum[1]</t>
  </si>
  <si>
    <t>Viruses;Caudovirales;Podoviridae;unclassified Podoviridae;Rhodobacteraceae;Cognatiyoonia;Cognatiyoonia koreensis;Pararhizobium haloflavum</t>
  </si>
  <si>
    <t>Viruses[15];Caudovirales[15];Podoviridae[14];unclassified Podoviridae[14];Pseudomonas phage PA11[4]</t>
  </si>
  <si>
    <t>DNAUV-23.323-23</t>
  </si>
  <si>
    <t>Viruses[11];Caudovirales[11];Podoviridae[10];unclassified Podoviridae[10];Rhodobacteraceae[7];Phaeobacter[2];Brevirhabdus pacifica[1];Ensifer aridi[1]</t>
  </si>
  <si>
    <t>Viruses;Caudovirales;Podoviridae;unclassified Podoviridae;Rhodobacteraceae;Phaeobacter;Brevirhabdus pacifica;Ensifer aridi</t>
  </si>
  <si>
    <t>Viruses[11];Caudovirales[11];Podoviridae[10];unclassified Podoviridae[10];EBPR podovirus 2[6]</t>
  </si>
  <si>
    <t>DNAUV-3.106-21</t>
  </si>
  <si>
    <t>Viruses[1];Caudovirales[1];Podoviridae[1];unclassified Podoviridae[1];Rhodobacteraceae[1];Phaeobacter[1];Phaeobacter inhibens[1]</t>
  </si>
  <si>
    <t>Viruses;Caudovirales;Podoviridae;unclassified Podoviridae;Rhodobacteraceae;Phaeobacter;Phaeobacter inhibens</t>
  </si>
  <si>
    <t>DNAUV-2.193-6.4</t>
  </si>
  <si>
    <t>Viruses;Caudovirales;Podoviridae;unclassified Podoviridae;Rhodoferax phage P26218</t>
  </si>
  <si>
    <t>DNAUV-2.646-17</t>
  </si>
  <si>
    <t>Viruses[3];Caudovirales[3];Podoviridae[2];unclassified Podoviridae[2];Rhodospirillaceae[1];Aphanizomenonaceae[1];Aphanizomenon[1];Aphanizomenon flos-aquae[1];Aphanizomenon flos-aquae WA102[1]</t>
  </si>
  <si>
    <t>Viruses;Caudovirales;Podoviridae;unclassified Podoviridae;Rhodospirillaceae;Aphanizomenonaceae;Aphanizomenon;Aphanizomenon flos-aquae;Aphanizomenon flos-aquae WA102</t>
  </si>
  <si>
    <t>Viruses[3];Caudovirales[3];Podoviridae[2];unclassified Podoviridae[2];Synechococcus phage S-SKS1[1]</t>
  </si>
  <si>
    <t>DNAUV-2.140-316</t>
  </si>
  <si>
    <t>Viruses[1];Caudovirales[1];Podoviridae[1];unclassified Podoviridae[1];Rhodospirillaceae[1];Azospirillum[1];unclassified Azospirillum[1];Azospirillum sp. TSH58[1]</t>
  </si>
  <si>
    <t>Viruses;Caudovirales;Podoviridae;unclassified Podoviridae;Rhodospirillaceae;Azospirillum;unclassified Azospirillum;Azospirillum sp. TSH58</t>
  </si>
  <si>
    <t>DNAUV-2.054-13</t>
  </si>
  <si>
    <t>Viruses[1];Caudovirales[1];Podoviridae[1];unclassified Podoviridae[1];Ruegeria phage 45A6[1]</t>
  </si>
  <si>
    <t>Viruses;Caudovirales;Podoviridae;unclassified Podoviridae;Ruegeria phage 45A6</t>
  </si>
  <si>
    <t>DNAUV-2.539-13</t>
  </si>
  <si>
    <t>DNAUV-4.046-282</t>
  </si>
  <si>
    <t>Viruses[2];Caudovirales[2];Podoviridae[2];unclassified Podoviridae[2];Ruegeria phage 45A6[1]</t>
  </si>
  <si>
    <t>DNAUV-7.147-1172</t>
  </si>
  <si>
    <t>Viruses[1];Caudovirales[1];Podoviridae[1];unclassified Podoviridae[1];Ruegeria phage 45A6[1];Marinovum[1];Marinovum algicola[1]</t>
  </si>
  <si>
    <t>Viruses;Caudovirales;Podoviridae;unclassified Podoviridae;Ruegeria phage 45A6;Marinovum;Marinovum algicola</t>
  </si>
  <si>
    <t>DNAUV-4.733-16</t>
  </si>
  <si>
    <t>Viruses[2];Caudovirales[2];Podoviridae[2];unclassified Podoviridae[2];Ruegeria phage 45A6[2];Salipiger[1];Salipiger marinus[1]</t>
  </si>
  <si>
    <t>Viruses;Caudovirales;Podoviridae;unclassified Podoviridae;Ruegeria phage 45A6;Salipiger;Salipiger marinus</t>
  </si>
  <si>
    <t>Viruses[2];Caudovirales[2];Podoviridae[2];unclassified Podoviridae[2];Ruegeria phage 45A6[2]</t>
  </si>
  <si>
    <t>DNAUV-2.488-16</t>
  </si>
  <si>
    <t>Viruses[1];Caudovirales[1];Podoviridae[1];unclassified Podoviridae[1];Ruegeria phage 45A6[1];Salipiger[1];Salipiger marinus[1]</t>
  </si>
  <si>
    <t>DNAUV-6.355-99</t>
  </si>
  <si>
    <t>Viruses[7];Caudovirales[5];Podoviridae[3];unclassified Podoviridae[3];Salicola phage SCTP-2[2];Selenomonadaceae[1];Anaerovibrio[1];unclassified Anaerovibrio[1];Anaerovibrio sp. RM50[1]</t>
  </si>
  <si>
    <t>Viruses;Caudovirales;Podoviridae;unclassified Podoviridae;Salicola phage SCTP-2;Selenomonadaceae;Anaerovibrio;unclassified Anaerovibrio;Anaerovibrio sp. RM50</t>
  </si>
  <si>
    <t>Viruses[7];Caudovirales[5];Podoviridae[3];unclassified Podoviridae[3];Salicola phage SCTP-2[2]</t>
  </si>
  <si>
    <t>DNAUV-2.787-19</t>
  </si>
  <si>
    <t>Viruses[3];Caudovirales[3];Podoviridae[3];unclassified Podoviridae[3];Salinivibrio phage CW02[2]</t>
  </si>
  <si>
    <t>DNAUV-2.422-11</t>
  </si>
  <si>
    <t>Viruses[1];Caudovirales[1];Podoviridae[1];unclassified Podoviridae[1];Salinivibrio phage CW02[1];Burkholderia[1];Burkholderia cepacia complex[1];Burkholderia territorii[1]</t>
  </si>
  <si>
    <t>Viruses;Caudovirales;Podoviridae;unclassified Podoviridae;Salinivibrio phage CW02;Burkholderia;Burkholderia cepacia complex;Burkholderia territorii</t>
  </si>
  <si>
    <t>DNAUV-3.875-16</t>
  </si>
  <si>
    <t>Viruses[1];Caudovirales[1];Podoviridae[1];unclassified Podoviridae[1];Salinivibrio phage CW02[1];Leisingera[1];Leisingera caerulea[1]</t>
  </si>
  <si>
    <t>Viruses;Caudovirales;Podoviridae;unclassified Podoviridae;Salinivibrio phage CW02;Leisingera;Leisingera caerulea</t>
  </si>
  <si>
    <t>DNAUV-15.895-276</t>
  </si>
  <si>
    <t>Viruses[7];Caudovirales[7];Podoviridae[4];unclassified Podoviridae[3];Shewanella phage SppYZU01[3];Sphingobium[1];Rhizobium[1];unclassified Rhizobium[1];Rhizobium sp. Leaf341[1]</t>
  </si>
  <si>
    <t>Viruses;Caudovirales;Podoviridae;unclassified Podoviridae;Shewanella phage SppYZU01;Sphingobium;Rhizobium;unclassified Rhizobium;Rhizobium sp. Leaf341</t>
  </si>
  <si>
    <t>Viruses[7];Caudovirales[7];Podoviridae[4];unclassified Myoviridae[3];Shewanella phage SppYZU01[3]</t>
  </si>
  <si>
    <t>DNAUV-15.594-26</t>
  </si>
  <si>
    <t>Viruses[8];Caudovirales[7];Podoviridae[5];unclassified Podoviridae[5];Sinorhizobium phage phiM5[2];Klosneuvirus KNV1[1];Aphanizomenon[1];Aphanizomenon flos-aquae[1];Aphanizomenon flos-aquae WA102[1]</t>
  </si>
  <si>
    <t>Viruses;Caudovirales;Podoviridae;unclassified Podoviridae;Sinorhizobium phage phiM5;Klosneuvirus KNV1;Aphanizomenon;Aphanizomenon flos-aquae;Aphanizomenon flos-aquae WA102</t>
  </si>
  <si>
    <t>Viruses[8];Caudovirales[7];Podoviridae[5];unclassified Podoviridae[5];Sinorhizobium phage phiM5[2];Klosneuvirus KNV1[1]</t>
  </si>
  <si>
    <t>DNAUV-2.184-29</t>
  </si>
  <si>
    <t>Viruses[3];Caudovirales[2];Podoviridae[2];unclassified Podoviridae[2];Sinorhizobium phage phiM6[1]</t>
  </si>
  <si>
    <t>Viruses[3];Caudovirales[2];Podoviridae[2];unclassified Podoviridae[2];Pseudomonas phage PaMx35[1]</t>
  </si>
  <si>
    <t>DNAUV-2.206-500</t>
  </si>
  <si>
    <t>Viruses[2];Caudovirales[2];Podoviridae[2];unclassified Podoviridae[2];Sinorhizobium phage phiM6[2]</t>
  </si>
  <si>
    <t>DNAUV-2.103-152</t>
  </si>
  <si>
    <t>DNAUV-2.418-372</t>
  </si>
  <si>
    <t>DNAUV-2.540-782</t>
  </si>
  <si>
    <t>Viruses[1];Caudovirales[1];Podoviridae[1];unclassified Podoviridae[1];Sinorhizobium phage phiM6[1];Aminomonas[1];Aminomonas paucivorans[1];Aminomonas paucivorans DSM 12260[1]</t>
  </si>
  <si>
    <t>Viruses;Caudovirales;Podoviridae;unclassified Podoviridae;Sinorhizobium phage phiM6;Aminomonas;Aminomonas paucivorans;Aminomonas paucivorans DSM 12260</t>
  </si>
  <si>
    <t>DNAUV-2.669-1158</t>
  </si>
  <si>
    <t>Viruses[1];Caudovirales[1];Podoviridae[1];unclassified Podoviridae[1];Sinorhizobium phage phiM6[1];Azorhizobium[1];Azorhizobium caulinodans[1];Azorhizobium caulinodans ORS 571[1]</t>
  </si>
  <si>
    <t>Viruses;Caudovirales;Podoviridae;unclassified Podoviridae;Sinorhizobium phage phiM6;Azorhizobium;Azorhizobium caulinodans;Azorhizobium caulinodans ORS 571</t>
  </si>
  <si>
    <t>DNAUV-23.114-30</t>
  </si>
  <si>
    <t>Viruses[7];Caudovirales[7];Podoviridae[7];unclassified Podoviridae[5];Sinorhizobium phage phiM6[3];Bradyrhizobium[2];Bradyrhizobium erythrophlei[2];Prevotella[1];Pseudomonas stutzeri[1];Prevotella sp. kh1p2[1]</t>
  </si>
  <si>
    <t>Viruses;Caudovirales;Podoviridae;unclassified Podoviridae;Sinorhizobium phage phiM6;Bradyrhizobium;Bradyrhizobium erythrophlei;Prevotella;Pseudomonas stutzeri;Prevotella sp. kh1p2</t>
  </si>
  <si>
    <t>Viruses[7];Caudovirales[7];Podoviridae[7];unclassified Podoviridae[5];Sinorhizobium phage phiM6[3];Synechococcus T7-like virus S-TIP37[1]</t>
  </si>
  <si>
    <t>DNAUV-5.176-80</t>
  </si>
  <si>
    <t>Viruses[3];Caudovirales[3];Podoviridae[3];unclassified Podoviridae[3];Sinorhizobium phage phiM6[2];Mesorhizobium[1];Mesorhizobium wenxiniae[1]</t>
  </si>
  <si>
    <t>Viruses;Caudovirales;Podoviridae;unclassified Podoviridae;Sinorhizobium phage phiM6;Mesorhizobium;Mesorhizobium wenxiniae</t>
  </si>
  <si>
    <t>DNAUV-16.256-16</t>
  </si>
  <si>
    <t>Viruses[7];Caudovirales[6];Podoviridae[4];unclassified Podoviridae[3];Sinorhizobium phage phiM6[2];Pseudomonas[1];Bradyrhizobium erythrophlei[1];unclassified Streptomyces[1];Streptomyces sp. TP-A0356[1];Prosthecochloris sp. ZM_2[1]</t>
  </si>
  <si>
    <t>Viruses;Caudovirales;Podoviridae;unclassified Podoviridae;Sinorhizobium phage phiM6;Pseudomonas;Bradyrhizobium erythrophlei;unclassified Streptomyces;Streptomyces sp. TP-A0356;Prosthecochloris sp. ZM_2</t>
  </si>
  <si>
    <t>Viruses[7];Caudovirales[6];Podoviridae[4];unclassified Podoviridae[3];Sinorhizobium phage phiM6[2];Synechococcus phage S-CBP2[1]</t>
  </si>
  <si>
    <t>DNAUV-5.675-86</t>
  </si>
  <si>
    <t>Viruses[4];Caudovirales[4];Podoviridae[4];unclassified Podoviridae[2];Sinorhizobium phage phiM6[2];Pseudomonas[1];unclassified Sphingomonas[1];Sphingomonas sp. Leaf357[1]</t>
  </si>
  <si>
    <t>Viruses;Caudovirales;Podoviridae;unclassified Podoviridae;Sinorhizobium phage phiM6;Pseudomonas;unclassified Sphingomonas;Sphingomonas sp. Leaf357</t>
  </si>
  <si>
    <t>Viruses[4];Caudovirales[4];Podoviridae[4];unclassified Podoviridae[2];Sinorhizobium phage phiM6[2];Mesorhizobium phage vB_MloP_Lo5R7ANS[1]</t>
  </si>
  <si>
    <t>DNAUV-2.862-95</t>
  </si>
  <si>
    <t>Viruses[1];Caudovirales[1];Podoviridae[1];unclassified Podoviridae[1];Sinorhizobium phage phiM6[1];Rhizobium/Agrobacterium group[1];Rhizobium[1];Rhizobium pusense[1]</t>
  </si>
  <si>
    <t>Viruses;Caudovirales;Podoviridae;unclassified Podoviridae;Sinorhizobium phage phiM6;Rhizobium/Agrobacterium group;Rhizobium;Rhizobium pusense</t>
  </si>
  <si>
    <t>DNAUV-5.218-135</t>
  </si>
  <si>
    <t>Viruses[3];Caudovirales[3];Podoviridae[2];unclassified Podoviridae[2];Sinorhizobium phage phiM6[2];Streptomyces phage NootNoot[1];unclassified Ruegeria[1];Ruegeria sp. TM1040[1]</t>
  </si>
  <si>
    <t>Viruses;Caudovirales;Podoviridae;unclassified Podoviridae;Sinorhizobium phage phiM6;Streptomyces phage NootNoot;unclassified Ruegeria;Ruegeria sp. TM1040</t>
  </si>
  <si>
    <t>Viruses[3];Caudovirales[3];Podoviridae[2];unclassified Podoviridae[2];Sinorhizobium phage phiM6[2];Streptomyces phage NootNoot[1]</t>
  </si>
  <si>
    <t>DNAUV-3.832-451</t>
  </si>
  <si>
    <t>Viruses[1];Caudovirales[1];Podoviridae[1];unclassified Podoviridae[1];Sterolibacteriaceae[1];Methyloversatilis[1];Methyloversatilis universalis[1];Methyloversatilis universalis FAM5[1]</t>
  </si>
  <si>
    <t>Viruses;Caudovirales;Podoviridae;unclassified Podoviridae;Sterolibacteriaceae;Methyloversatilis;Methyloversatilis universalis;Methyloversatilis universalis FAM5</t>
  </si>
  <si>
    <t>Viruses[1];Caudovirales[1];Podoviridae[1];unclassified Podoviridae[1];Vibrio phage 1.235.O._10N.261.52.B2[1]</t>
  </si>
  <si>
    <t>DNAUV-2.004-12</t>
  </si>
  <si>
    <t>Viruses[1];Caudovirales[1];Podoviridae[1];unclassified Podoviridae[1];Sulfitobacter phage pCB2047-A[1]</t>
  </si>
  <si>
    <t>Viruses;Caudovirales;Podoviridae;unclassified Podoviridae;Sulfitobacter phage pCB2047-A</t>
  </si>
  <si>
    <t>DNAUV-8.508-392</t>
  </si>
  <si>
    <t>Viruses[3];Caudovirales[2];Podoviridae[1];unclassified Podoviridae[1];Synechococcus phage S-CBS4[1];Rhizobium/Agrobacterium group[1];Rhizobium[1];unclassified Rhizobium[1];Rhizobium sp. NXC14[1]</t>
  </si>
  <si>
    <t>Viruses;Caudovirales;Podoviridae;unclassified Podoviridae;Synechococcus phage S-CBS4;Rhizobium/Agrobacterium group;Rhizobium;unclassified Rhizobium;Rhizobium sp. NXC14</t>
  </si>
  <si>
    <t>Viruses[3];Caudovirales[2];Siphoviridae[1];unclassified Siphoviridae[1];Pseudomonas phage TC6[1]</t>
  </si>
  <si>
    <t>DNAUV-18.755-351</t>
  </si>
  <si>
    <t>Viruses[1];Caudovirales[1];Podoviridae[1];unclassified Podoviridae[1];TM7 phage DolZOral124_53_65[1]</t>
  </si>
  <si>
    <t>Viruses;Caudovirales;Podoviridae;unclassified Podoviridae;TM7 phage DolZOral124_53_65</t>
  </si>
  <si>
    <t>DNAUV-2.741-11</t>
  </si>
  <si>
    <t>DNAUV-11.762-11</t>
  </si>
  <si>
    <t>Viruses[3];Caudovirales[3];Podoviridae[2];unclassified Podoviridae[2];TM7 phage DolZOral124_53_65[2];Bacillaceae[1];Bacillus[1];Bacillus oleivorans[1]</t>
  </si>
  <si>
    <t>Viruses;Caudovirales;Podoviridae;unclassified Podoviridae;TM7 phage DolZOral124_53_65;Bacillaceae;Bacillus;Bacillus oleivorans</t>
  </si>
  <si>
    <t>Viruses[3];Caudovirales[3];Podoviridae[2];unclassified Podoviridae[2];TM7 phage DolZOral124_53_65[2]</t>
  </si>
  <si>
    <t>DNAUV-37.637-38</t>
  </si>
  <si>
    <t>Viruses[1];Caudovirales[1];Podoviridae[1];unclassified Podoviridae[1];TM7 phage DolZOral124_53_65[1];Thalassospira[1];Thalassospira lohafexi[1]</t>
  </si>
  <si>
    <t>Viruses;Caudovirales;Podoviridae;unclassified Podoviridae;TM7 phage DolZOral124_53_65;Thalassospira;Thalassospira lohafexi</t>
  </si>
  <si>
    <t>DNAUV-6.950-43</t>
  </si>
  <si>
    <t>Viruses[3];Caudovirales[3];Podoviridae[3];unclassified Podoviridae[2];unclassified Autographivirinae[1];Alteromonas virus vB_AspP-H4/4[1];unclassified Sphingomonas[1];Nostoc linckia[1]</t>
  </si>
  <si>
    <t>Viruses;Caudovirales;Podoviridae;unclassified Podoviridae;unclassified Autographivirinae;Alteromonas virus vB_AspP-H4/4;unclassified Sphingomonas;Nostoc linckia</t>
  </si>
  <si>
    <t>Viruses[3];Caudovirales[3];Podoviridae[3];unclassified Podoviridae[2];Vibrio phage 1.211.A._10N.222.52.F11[1];Alteromonas virus vB_AspP-H4/4[1]</t>
  </si>
  <si>
    <t>DNAUV-3.519-26</t>
  </si>
  <si>
    <t>Viruses[3];Caudovirales[3];Podoviridae[3];unclassified Podoviridae[2];unclassified Baltimorevirus[1];Ahrensia[1];Ahrensia sp. R2A130[1];Wolbachia endosymbiont of Drosophila incompta[1]</t>
  </si>
  <si>
    <t>Viruses;Caudovirales;Podoviridae;unclassified Podoviridae;unclassified Baltimorevirus;Ahrensia;Ahrensia sp. R2A130;Wolbachia endosymbiont of Drosophila incompta</t>
  </si>
  <si>
    <t>Viruses[3];Caudovirales[3];Podoviridae[3];unclassified Podoviridae[2];unclassified Baltimorevirus[1];Silicibacter phage DSS3phi2[1]</t>
  </si>
  <si>
    <t>DNAUV-14.799-179</t>
  </si>
  <si>
    <t>Viruses[7];Caudovirales[6];Podoviridae[5];unclassified Podoviridae[2];unclassified Baltimorevirus[1];Enterobacter[1];Sinorhizobium[1];Sinorhizobium meliloti[1];Sinorhizobium meliloti AK83[1]</t>
  </si>
  <si>
    <t>Viruses;Caudovirales;Podoviridae;unclassified Podoviridae;unclassified Baltimorevirus;Enterobacter;Sinorhizobium;Sinorhizobium meliloti;Sinorhizobium meliloti AK83</t>
  </si>
  <si>
    <t>Viruses[7];Caudovirales[6];Podoviridae[5];unclassified Podoviridae[2];Celeribacter phage P12053L[1];Dinoroseobacter phage DS-1410Ws-06[1]</t>
  </si>
  <si>
    <t>DNAUV-3.465-13</t>
  </si>
  <si>
    <t>Viruses[2];Caudovirales[2];Podoviridae[2];unclassified Podoviridae[2];Vibrio phage 1.036.O._10N.286.45.C3[1]</t>
  </si>
  <si>
    <t>Viruses;Caudovirales;Podoviridae;unclassified Podoviridae;Vibrio phage 1.036.O._10N.286.45.C3</t>
  </si>
  <si>
    <t>Viruses[2];Caudovirales[2];Podoviridae[2];unclassified Podoviridae[2];Vibrio phage 1.079.O._10N.286.45.E9[1]</t>
  </si>
  <si>
    <t>DNAUV-2.099-16</t>
  </si>
  <si>
    <t>Viruses[1];Caudovirales[1];Podoviridae[1];unclassified Podoviridae[1];Vibrio phage 1.070.O._10N.261.45.B2[1];Sinorhizobium/Ensifer group[1];Sinorhizobium[1];Sinorhizobium fredii group[1];Sinorhizobium fredii[1]</t>
  </si>
  <si>
    <t>Viruses;Caudovirales;Podoviridae;unclassified Podoviridae;Vibrio phage 1.070.O._10N.261.45.B2;Sinorhizobium/Ensifer group;Sinorhizobium;Sinorhizobium fredii group;Sinorhizobium fredii</t>
  </si>
  <si>
    <t>DNAUV-2.408-331</t>
  </si>
  <si>
    <t>Viruses[1];Caudovirales[1];Podoviridae[1];unclassified Podoviridae[1];Vibrio phage 1.183.O._10N.286.48.B7[1]</t>
  </si>
  <si>
    <t>Viruses;Caudovirales;Podoviridae;unclassified Podoviridae;Vibrio phage 1.183.O._10N.286.48.B7</t>
  </si>
  <si>
    <t>DNAUV-2.429-10-V2</t>
  </si>
  <si>
    <t>Viruses[1];Caudovirales[1];Podoviridae[1];unclassified Podoviridae[1];Vibrio phage 1.185.O._10N.286.49.C2[1]</t>
  </si>
  <si>
    <t>DNAUV-44.645-4509</t>
  </si>
  <si>
    <t>Viruses[24];Caudovirales[24];Podoviridae[22];unclassified Podoviridae[22];Vibrio phage 1.185.O._10N.286.49.C2[13];Enterobacter[1];Escherichia coli[1];Enterobacter hormaechei[1]</t>
  </si>
  <si>
    <t>Viruses;Caudovirales;Podoviridae;unclassified Podoviridae;Vibrio phage 1.185.O._10N.286.49.C2;Enterobacter;Escherichia coli;Enterobacter hormaechei</t>
  </si>
  <si>
    <t>Viruses[24];Caudovirales[24];Podoviridae[22];unclassified Podoviridae[22];Vibrio phage 1.185.O._10N.286.49.C2[13]</t>
  </si>
  <si>
    <t>DNAUV-2.163-257</t>
  </si>
  <si>
    <t>Viruses[2];Caudovirales[2];Podoviridae[2];unclassified Podoviridae[2];Vibrio phage 1.275.O._10N.286.54.E11[2]</t>
  </si>
  <si>
    <t>Viruses;Caudovirales;Podoviridae;unclassified Podoviridae;Vibrio phage 1.275.O._10N.286.54.E11</t>
  </si>
  <si>
    <t>DNAUV-2.062-228</t>
  </si>
  <si>
    <t>DNAUV-2.091-68</t>
  </si>
  <si>
    <t>DNAUV-2.324-9.5</t>
  </si>
  <si>
    <t>Viruses[1];Caudovirales[1];Podoviridae[1];unclassified Podoviridae[1];Vibrio phage ICP2[1]</t>
  </si>
  <si>
    <t>Viruses;Caudovirales;Podoviridae;unclassified Podoviridae;Vibrio phage ICP2</t>
  </si>
  <si>
    <t>DNAUV-6.533-15</t>
  </si>
  <si>
    <t>Viruses[2];Caudovirales[2];Podoviridae[2];unclassified Podoviridae[2];Vibrio phage ICP2[1];Herminiimonas[1];unclassified Herminiimonas[1];Herminiimonas sp. CN[1]</t>
  </si>
  <si>
    <t>Viruses;Caudovirales;Podoviridae;unclassified Podoviridae;Vibrio phage ICP2;Herminiimonas;unclassified Herminiimonas;Herminiimonas sp. CN</t>
  </si>
  <si>
    <t>Viruses[2];Caudovirales[2];Podoviridae[2];unclassified Podoviridae[2];Vibrio phage ICP2[1]</t>
  </si>
  <si>
    <t>DNAUV-3.433-11</t>
  </si>
  <si>
    <t>Viruses[4];Caudovirales[4];Podoviridae[3];unclassified Podoviridae[3];Vibrio phage PVA1[2]</t>
  </si>
  <si>
    <t>Viruses;Caudovirales;Podoviridae;unclassified Podoviridae;Vibrio phage PVA1</t>
  </si>
  <si>
    <t>DNAUV-2.798-17</t>
  </si>
  <si>
    <t>Viruses[2];Caudovirales[2];Podoviridae[2];unclassified Podoviridae[2];Vibrio phage vB_ValP_IME271[1];Moraxella[1];Paenisporosarcina[1];unclassified Paenisporosarcina[1];Paenisporosarcina sp. TG20[1]</t>
  </si>
  <si>
    <t>Viruses;Caudovirales;Podoviridae;unclassified Podoviridae;Vibrio phage vB_ValP_IME271;Moraxella;Paenisporosarcina;unclassified Paenisporosarcina;Paenisporosarcina sp. TG20</t>
  </si>
  <si>
    <t>DNAUV-3.668-10</t>
  </si>
  <si>
    <t>Viruses[2];Caudovirales[2];Podoviridae[2];unclassified Podoviridae[2];Vibrio phage vB_VspS_VS-ABTNL-3[2]</t>
  </si>
  <si>
    <t>Viruses;Caudovirales;Podoviridae;unclassified Podoviridae;Vibrio phage vB_VspS_VS-ABTNL-3</t>
  </si>
  <si>
    <t>DNAUV-46.666-73</t>
  </si>
  <si>
    <t>Viruses[31];Caudovirales[31];Podoviridae[30];unclassified Podoviridae[30];Vibrio phage vB_VspS_VS-ABTNL-3[29];Thalassospira[1];Thalassospira xiamenensis[1];Bradyrhizobium sp. MOS004[1]</t>
  </si>
  <si>
    <t>Viruses;Caudovirales;Podoviridae;unclassified Podoviridae;Vibrio phage vB_VspS_VS-ABTNL-3;Thalassospira;Thalassospira xiamenensis;Bradyrhizobium sp. MOS004</t>
  </si>
  <si>
    <t>Viruses[31];Caudovirales[31];Podoviridae[30];unclassified Podoviridae[30];Vibrio phage vB_VspS_VS-ABTNL-3[29]</t>
  </si>
  <si>
    <t>DNAUV-2.050-18</t>
  </si>
  <si>
    <t>Viruses[2];Caudovirales[2];Podoviridae[2];unclassified Podoviridae[2];Vibrio phage VvAW1[1];Escherichia[1];Escherichia coli[1]</t>
  </si>
  <si>
    <t>Viruses;Caudovirales;Podoviridae;unclassified Podoviridae;Vibrio phage VvAW1;Escherichia;Escherichia coli</t>
  </si>
  <si>
    <t>Viruses[2];Caudovirales[2];Podoviridae[2];unclassified Podoviridae[2];Sinorhizobium phage phiM5[1]</t>
  </si>
  <si>
    <t>DNAUV-2.608-13</t>
  </si>
  <si>
    <t>Viruses[1];Caudovirales[1];Podoviridae[1];unclassified Podoviridae[1];Xanthomonadaceae[1];Lysobacter[1];Lysobacter antibioticus[1]</t>
  </si>
  <si>
    <t>Viruses;Caudovirales;Podoviridae;unclassified Podoviridae;Xanthomonadaceae;Lysobacter;Lysobacter antibioticus</t>
  </si>
  <si>
    <t>DNAUV-3.239-34</t>
  </si>
  <si>
    <t>Viruses[1];Caudovirales[1];Podoviridae[1];unclassified Podoviridae[1];Xanthomonas citri phage CP2[1]</t>
  </si>
  <si>
    <t>Viruses;Caudovirales;Podoviridae;unclassified Podoviridae;Xanthomonas citri phage CP2</t>
  </si>
  <si>
    <t>DNAUV-2.469-231</t>
  </si>
  <si>
    <t>Viruses;Caudovirales;Podoviridae;unclassified Siphoviridae;EBPR podovirus 2</t>
  </si>
  <si>
    <t>DNAUV-2.582-400</t>
  </si>
  <si>
    <t>Viruses[2];Caudovirales[2];Siphoviridae[1];unclassified Podoviridae[1];Synechococcus phage S-LBS1[1]</t>
  </si>
  <si>
    <t>DNAUV-2.867-43</t>
  </si>
  <si>
    <t>Viruses[2];Caudovirales[2];Podoviridae[1];unclassified Podoviridae[1];EBPR podovirus 2[1]</t>
  </si>
  <si>
    <t>DNAUV-3.289-32</t>
  </si>
  <si>
    <t>DNAUV-2.883-49</t>
  </si>
  <si>
    <t>Viruses[3];Caudovirales[3];Podoviridae[2];unclassified Siphoviridae[1];Marinobacter phage PS3[1];Acinetobacter[1];Acinetobacter calcoaceticus/baumannii complex[1]</t>
  </si>
  <si>
    <t>Viruses;Caudovirales;Podoviridae;unclassified Siphoviridae;Marinobacter phage PS3;Acinetobacter;Acinetobacter calcoaceticus/baumannii complex</t>
  </si>
  <si>
    <t>Viruses[3];Caudovirales[3];Podoviridae[2];unclassified Siphoviridae[1];Celeribacter phage P12053L[1]</t>
  </si>
  <si>
    <t>DNAUV-2.630-35</t>
  </si>
  <si>
    <t>Viruses[2];Caudovirales[2];Podoviridae[1];unclassified Siphoviridae[1];Marinobacter phage PS3[1];Mameliella[1];Mameliella alba[1]</t>
  </si>
  <si>
    <t>Viruses;Caudovirales;Podoviridae;unclassified Siphoviridae;Marinobacter phage PS3;Mameliella;Mameliella alba</t>
  </si>
  <si>
    <t>DNAUV-6.046-175</t>
  </si>
  <si>
    <t>Viruses[2];Caudovirales[2];Podoviridae[1];unclassified Siphoviridae[1];Synechococcus virus S-ESS1[1];Sphingomonas[1];unclassified Sphingomonas[1];Sphingomonas sp. JJ-A5[1]</t>
  </si>
  <si>
    <t>Viruses;Caudovirales;Podoviridae;unclassified Siphoviridae;Synechococcus virus S-ESS1;Sphingomonas;unclassified Sphingomonas;Sphingomonas sp. JJ-A5</t>
  </si>
  <si>
    <t>Viruses[2];Caudovirales[2];Siphoviridae[1];unclassified Siphoviridae[1];Synechococcus virus S-ESS1[1]</t>
  </si>
  <si>
    <t>DNAUV-4.646-13</t>
  </si>
  <si>
    <t>Viruses[2];Caudovirales[2];Podoviridae[1];unclassified Siphoviridae[1];Vibrio virus VC8[1];Vibrio phage phiVC8[1]</t>
  </si>
  <si>
    <t>Viruses;Caudovirales;Podoviridae;unclassified Siphoviridae;Vibrio virus VC8;Vibrio phage phiVC8</t>
  </si>
  <si>
    <t>Viruses[2];Caudovirales[2];Siphoviridae[1];unclassified Siphoviridae[1];Vibrio virus VC8[1];Vibrio phage phiVC8[1]</t>
  </si>
  <si>
    <t>DNAUV-8.863-733</t>
  </si>
  <si>
    <t>Viruses[2];Caudovirales[2];Podoviridae[1];Vequintavirinae[1];Certrevirus[1];Cronobacter virus CR3[1];Cronobacter phage CR3[1];Christensenella massiliensis[1];unclassified Polaribacter[1];Polaribacter sp. WD7[1]</t>
  </si>
  <si>
    <t>Viruses;Caudovirales;Podoviridae;Vequintavirinae;Certrevirus;Cronobacter virus CR3;Cronobacter phage CR3;Christensenella massiliensis;unclassified Polaribacter;Polaribacter sp. WD7</t>
  </si>
  <si>
    <t>Viruses[2];Caudovirales[2];Myoviridae[1];Vequintavirinae[1];Certrevirus[1];Cronobacter virus CR3[1];Cronobacter phage CR3[1]</t>
  </si>
  <si>
    <t>DNAUV-3.244-3470</t>
  </si>
  <si>
    <t>Viruses[2];Caudovirales[2];Podoviridae[1];Vividuovirus[1];unclassified Vividuovirus[1];unclassified Teseptimavirus[1];Enterobacteria phage EcoDS1[1]</t>
  </si>
  <si>
    <t>Viruses;Caudovirales;Podoviridae;Vividuovirus;unclassified Vividuovirus;unclassified Teseptimavirus;Enterobacteria phage EcoDS1</t>
  </si>
  <si>
    <t>Viruses[2];Caudovirales[2];Siphoviridae[1];Vividuovirus[1];unclassified Vividuovirus[1];unclassified Teseptimavirus[1];Enterobacteria phage EcoDS1[1]</t>
  </si>
  <si>
    <t>DNAUV-2.213-34</t>
  </si>
  <si>
    <t>Viruses[3];Caudovirales[2];Siphoviridae[1];Acanthocystis turfacea chlorella virus 1[1];Streptomyces virus Mildred21[1];Streptomyces phage Mildred21[1]</t>
  </si>
  <si>
    <t>Viruses;Caudovirales;Siphoviridae;Acanthocystis turfacea chlorella virus 1;Streptomyces virus Mildred21;Streptomyces phage Mildred21</t>
  </si>
  <si>
    <t>Viruses[3];Caudovirales[2];Podoviridae[1];Acanthocystis turfacea chlorella virus 1[1];Sinorhizobium phage phiM6[1];Streptomyces phage Mildred21[1]</t>
  </si>
  <si>
    <t>DNAUV-4.087-405</t>
  </si>
  <si>
    <t>Viruses[2];Caudovirales[2];Siphoviridae[2];Ahduovirus[1];Burkholderia virus AH2[1];Burkholderia phage vB_BceS_AH2[1]</t>
  </si>
  <si>
    <t>Viruses;Caudovirales;Siphoviridae;Ahduovirus;Burkholderia virus AH2;Burkholderia phage vB_BceS_AH2</t>
  </si>
  <si>
    <t>Viruses[2];Caudovirales[2];Siphoviridae[2];unclassified Siphoviridae[1];Tsukamurella phage TPA4[1];Burkholderia phage vB_BceS_AH2[1]</t>
  </si>
  <si>
    <t>DNAUV-2.026-61</t>
  </si>
  <si>
    <t>Viruses[1];Caudovirales[1];Siphoviridae[1];Ahduovirus[1];Burkholderia virus AH2[1];Burkholderia phage vB_BceS_AH2[1]</t>
  </si>
  <si>
    <t>DNAUV-2.263-108</t>
  </si>
  <si>
    <t>DNAUV-2.617-1781</t>
  </si>
  <si>
    <t>DNAUV-2.962-203</t>
  </si>
  <si>
    <t>Viruses[1];Caudovirales[1];Siphoviridae[1];Ahduovirus[1];Burkholderia virus AH2[1];Burkholderia phage vB_BceS_AH2[1];Caulobacter segnis[1]</t>
  </si>
  <si>
    <t>Viruses;Caudovirales;Siphoviridae;Ahduovirus;Burkholderia virus AH2;Burkholderia phage vB_BceS_AH2;Caulobacter segnis</t>
  </si>
  <si>
    <t>DNAUV-2.748-800</t>
  </si>
  <si>
    <t>Viruses[1];Caudovirales[1];Siphoviridae[1];Andromedavirus[1];Bacillus virus Riggi[1];Acidovorax[1];Acidovorax sp. SCN 65-108[1]</t>
  </si>
  <si>
    <t>Viruses;Caudovirales;Siphoviridae;Andromedavirus;Bacillus virus Riggi;Acidovorax;Acidovorax sp. SCN 65-108</t>
  </si>
  <si>
    <t>Viruses[1];Caudovirales[1];Siphoviridae[1];Andromedavirus[1];Bacillus virus Riggi[1]</t>
  </si>
  <si>
    <t>DNAUV-2.557-3816</t>
  </si>
  <si>
    <t>Viruses[2];Caudovirales[2];Siphoviridae[2];Bacteroidetes[2];Flavobacteriia[2];Flavobacteriales[2];Flavobacteriaceae[2];Capnocytophaga[1];Leeuwenhoekiella marinoflava[1]</t>
  </si>
  <si>
    <t>Viruses;Caudovirales;Siphoviridae;Bacteroidetes;Flavobacteriia;Flavobacteriales;Flavobacteriaceae;Capnocytophaga;Leeuwenhoekiella marinoflava</t>
  </si>
  <si>
    <t>Viruses[2];Caudovirales[2];Siphoviridae[2];unclassified Siphoviridae[1];Synechococcus phage S-CBS2[1];Polaribacter phage P12002S[1]</t>
  </si>
  <si>
    <t>DNAUV-6.176-14</t>
  </si>
  <si>
    <t>Viruses[3];Caudovirales[3];Siphoviridae[3];Bacteroidetes[3];Flavobacteriia[3];Flavobacteriales[3];Flavobacteriaceae[3];Maribacter[2];Robiginitalea biformata[1];Maribacter sp. Hel_I_7[1]</t>
  </si>
  <si>
    <t>Viruses;Caudovirales;Siphoviridae;Bacteroidetes;Flavobacteriia;Flavobacteriales;Flavobacteriaceae;Maribacter;Robiginitalea biformata;Maribacter sp. Hel_I_7</t>
  </si>
  <si>
    <t>Viruses[3];Caudovirales[3];Siphoviridae[3];unclassified Siphoviridae[2];Cellulophaga phage phi19:1[2];Cellulophaga phage phi18:1[1]</t>
  </si>
  <si>
    <t>DNAUV-48.671-99</t>
  </si>
  <si>
    <t>Viruses[16];Caudovirales[16];Siphoviridae[14];Bacteroidetes[13];Flavobacteriia[11];Flavobacteriales[11];Flavobacteriaceae[11];Robiginitalea[2];Robiginitalea biformata[2];Tenacibaculum sp. SZ-18[1]</t>
  </si>
  <si>
    <t>Viruses;Caudovirales;Siphoviridae;Bacteroidetes;Flavobacteriia;Flavobacteriales;Flavobacteriaceae;Robiginitalea;Robiginitalea biformata;Tenacibaculum sp. SZ-18</t>
  </si>
  <si>
    <t>Viruses[16];Caudovirales[16];Siphoviridae[14];Incheonvrus[10];Polaribacter virus P12002S[9];Polaribacter phage P12002S[9]</t>
  </si>
  <si>
    <t>DNAUV-3.698-9.6</t>
  </si>
  <si>
    <t>Viruses[2];Caudovirales[2];Siphoviridae[2];Bacteroidetes[2];Nonlabens virus P12024L[1];Nonlabens phage P12024L[1];Emiliania[1];Elizabethkingia[1];Emiliania huxleyi CCMP1516[1]</t>
  </si>
  <si>
    <t>Viruses;Caudovirales;Siphoviridae;Bacteroidetes;Nonlabens virus P12024L;Nonlabens phage P12024L;Emiliania;Elizabethkingia;Emiliania huxleyi CCMP1516</t>
  </si>
  <si>
    <t>Viruses[2];Caudovirales[2];Siphoviridae[2];unclassified Siphoviridae[1];Cellulophaga phage phi10:1[1];Nonlabens phage P12024L[1]</t>
  </si>
  <si>
    <t>DNAUV-2.344-54</t>
  </si>
  <si>
    <t>Viruses[1];Caudovirales[1];Siphoviridae[1];Bacteroidetes[1];Polaribacter virus P12002S[1];Cytophagales[1];Hymenobacteraceae[1];Hymenobacter[1];Hymenobacter swuensis[1]</t>
  </si>
  <si>
    <t>Viruses;Caudovirales;Siphoviridae;Bacteroidetes;Polaribacter virus P12002S;Cytophagales;Hymenobacteraceae;Hymenobacter;Hymenobacter swuensis</t>
  </si>
  <si>
    <t>Viruses[1];Caudovirales[1];Siphoviridae[1];Incheonvrus[1];Polaribacter virus P12002S[1];Polaribacter phage P12002S[1]</t>
  </si>
  <si>
    <t>DNAUV-2.573-91</t>
  </si>
  <si>
    <t>Viruses[1];Caudovirales[1];Siphoviridae[1];Bacteroidetes[1];Polaribacter virus P12002S[1];Polaribacter phage P12002S[1];Flavobacteriaceae[1];Tenacibaculum[1];unclassified Tenacibaculum[1];Tenacibaculum sp. SZ-18[1]</t>
  </si>
  <si>
    <t>Viruses;Caudovirales;Siphoviridae;Bacteroidetes;Polaribacter virus P12002S;Polaribacter phage P12002S;Flavobacteriaceae;Tenacibaculum;unclassified Tenacibaculum;Tenacibaculum sp. SZ-18</t>
  </si>
  <si>
    <t>DNAUV-23.723-492</t>
  </si>
  <si>
    <t>Viruses[3];Caudovirales[3];Siphoviridae[2];Burkholderiales[2];Roseobacter virus RDJL1[1];Roseobacter phage RDJL Phi 1[1];Acidovorax wautersii[1];Methanobrevibacter gottschalkii[1];Arthropoda[1];Mandibulata[1];Pancrustacea[1];Hexapoda[1];Insecta[1];Dicondylia[1];Pterygota[1];Neoptera[1];Holometabola[1];Coleoptera[1];Polyphaga[1];Cucujiformia[1];Curculionoidea[1];Curculionidae[1];Scolytinae[1];Dendroctonus[1];Dendroctonus ponderosae[1]</t>
  </si>
  <si>
    <t>Viruses;Caudovirales;Siphoviridae;Burkholderiales;Roseobacter virus RDJL1;Roseobacter phage RDJL Phi 1;Acidovorax wautersii;Methanobrevibacter gottschalkii;Arthropoda;Mandibulata;Pancrustacea;Hexapoda;Insecta;Dicondylia;Pterygota;Neoptera;Holometabola;Coleoptera;Polyphaga;Cucujiformia;Curculionoidea;Curculionidae;Scolytinae;Dendroctonus;Dendroctonus ponderosae</t>
  </si>
  <si>
    <t>Viruses[3];Caudovirales[3];Siphoviridae[2];Xiamenvirus[1];Roseobacter virus RDJL1[1];Roseobacter phage RDJL Phi 1[1]</t>
  </si>
  <si>
    <t>DNAUV-2.032-101</t>
  </si>
  <si>
    <t>Viruses[2];Caudovirales[2];Siphoviridae[2];Cbastvirus[2];Cellulophaga virus ST[2];Cellulophaga phage phiST[2];Cellulophaga phage phi13:1[2];Fibrella[1];unclassified Fibrella[1];Fibrella sp. ES10-3-2-2[1]</t>
  </si>
  <si>
    <t>Viruses;Caudovirales;Siphoviridae;Cbastvirus;Cellulophaga virus ST;Cellulophaga phage phiST;Cellulophaga phage phi13:1;Fibrella;unclassified Fibrella;Fibrella sp. ES10-3-2-2</t>
  </si>
  <si>
    <t>Viruses[2];Caudovirales[2];Siphoviridae[2];Cbastvirus[2];Cellulophaga virus ST[2];Cellulophaga phage phiST[2];Cellulophaga phage phi13:1[2]</t>
  </si>
  <si>
    <t>DNAUV-3.395-114</t>
  </si>
  <si>
    <t>Viruses[2];Caudovirales[2];Siphoviridae[2];Cbastvirus[2];Cellulophaga virus ST[2];Cellulophaga phage phiST[2];Cellulophaga phage phi13:1[2];Nocardia vaccinii[1]</t>
  </si>
  <si>
    <t>Viruses;Caudovirales;Siphoviridae;Cbastvirus;Cellulophaga virus ST;Cellulophaga phage phiST;Cellulophaga phage phi13:1;Nocardia vaccinii</t>
  </si>
  <si>
    <t>DNAUV-80.863-259</t>
  </si>
  <si>
    <t>Viruses[42];Caudovirales[42];Siphoviridae[37];Cbastvirus[37];Cellulophaga virus ST[37];Cellulophaga phage phiST[37];Flavobacteriaceae[6];Elizabethkingia[2];Kordia sp. SMS9[1];Polaribacter sp. Hel_I_88[1]</t>
  </si>
  <si>
    <t>Viruses;Caudovirales;Siphoviridae;Cbastvirus;Cellulophaga virus ST;Cellulophaga phage phiST;Flavobacteriaceae;Elizabethkingia;Kordia sp. SMS9;Polaribacter sp. Hel_I_88</t>
  </si>
  <si>
    <t>Viruses[42];Caudovirales[42];Siphoviridae[37];Cbastvirus[37];Cellulophaga virus ST[37];Cellulophaga phage phiST[37];Cellulophaga phage phi13:1[5]</t>
  </si>
  <si>
    <t>DNAUV-31.997-76</t>
  </si>
  <si>
    <t>Viruses[1];Caudovirales[1];Siphoviridae[1];Cetovirus[1];unclassified Cetovirus[1];Pseudonocardiaceae[1];Prauserella[1];Prauserella muralis[1]</t>
  </si>
  <si>
    <t>Viruses;Caudovirales;Siphoviridae;Cetovirus;unclassified Cetovirus;Pseudonocardiaceae;Prauserella;Prauserella muralis</t>
  </si>
  <si>
    <t>Viruses[1];Caudovirales[1];Siphoviridae[1];Cetovirus[1];unclassified Cetovirus[1];Vibrio phage vB_VorS-PVo5[1]</t>
  </si>
  <si>
    <t>DNAUV-3.867-53</t>
  </si>
  <si>
    <t>Viruses;Caudovirales;Siphoviridae;Cetovirus;unclassified Cetovirus;Vibrio phage vB_VorS-PVo5</t>
  </si>
  <si>
    <t>DNAUV-8.035-135</t>
  </si>
  <si>
    <t>Viruses[5];Caudovirales[5];Siphoviridae[5];Cetovirus[3];Vibrio phage vB_VpS_PG07[2];Vibrio phage Thalassa[1];unclassified Limnohabitans[1];Limnohabitans sp. Hippo4[1]</t>
  </si>
  <si>
    <t>Viruses;Caudovirales;Siphoviridae;Cetovirus;Vibrio phage vB_VpS_PG07;Vibrio phage Thalassa;unclassified Limnohabitans;Limnohabitans sp. Hippo4</t>
  </si>
  <si>
    <t>Viruses[5];Caudovirales[5];Siphoviridae[5];Cetovirus[3];Vibrio phage vB_VpS_PG07[2];Vibrio phage Thalassa[1]</t>
  </si>
  <si>
    <t>DNAUV-40.559-174</t>
  </si>
  <si>
    <t>Viruses[13];Caudovirales[13];Siphoviridae[12];Cetovirus[5];Vibrio virus Ceto[2];Vibrio phage Ceto[2];Phormidesmis[1];Phormidesmis priestleyi[1];Rhizobium sp. PP-F2F-G38[1]</t>
  </si>
  <si>
    <t>Viruses;Caudovirales;Siphoviridae;Cetovirus;Vibrio virus Ceto;Vibrio phage Ceto;Phormidesmis;Phormidesmis priestleyi;Rhizobium sp. PP-F2F-G38</t>
  </si>
  <si>
    <t>Viruses[13];Caudovirales[13];Siphoviridae[12];Cetovirus[5];Vibrio virus JSF10[2];Vibrio phage Ceto[2];Bacillus phage Deep Blue[1]</t>
  </si>
  <si>
    <t>DNAUV-2.531-140</t>
  </si>
  <si>
    <t>Viruses[2];Caudovirales[2];Siphoviridae[2];Cetovirus[1];Vibrio virus pVp1[1];Vibrio phage pVp-1[1]</t>
  </si>
  <si>
    <t>Viruses;Caudovirales;Siphoviridae;Cetovirus;Vibrio virus pVp1;Vibrio phage pVp-1</t>
  </si>
  <si>
    <t>Viruses[2];Caudovirales[2];Siphoviridae[2];Cetovirus[1];Vibrio phage vB_VpS_PG07[1];Vibrio phage pVp-1[1]</t>
  </si>
  <si>
    <t>DNAUV-3.404-10</t>
  </si>
  <si>
    <t>Viruses[4];Caudovirales[4];Siphoviridae[3];Cetovirus[2];Vibrio virus pVp1[2];Vibrio phage pVp-1[2]</t>
  </si>
  <si>
    <t>DNAUV-8.449-135</t>
  </si>
  <si>
    <t>Viruses[3];Caudovirales[3];Siphoviridae[3];Chivirus[1];Burkholderia virus AH2[1];Thiorhodovibrio[1];Bacillus[1];Bacillus coagulans[1]</t>
  </si>
  <si>
    <t>Viruses;Caudovirales;Siphoviridae;Chivirus;Burkholderia virus AH2;Thiorhodovibrio;Bacillus;Bacillus coagulans</t>
  </si>
  <si>
    <t>Viruses[3];Caudovirales[3];Siphoviridae[3];Ahduovirus[1];Burkholderia virus AH2[1];Burkholderia phage vB_BceS_AH2[1]</t>
  </si>
  <si>
    <t>DNAUV-2.245-335</t>
  </si>
  <si>
    <t>Viruses[1];Caudovirales[1];Siphoviridae[1];Chivirus[1];unclassified Chivirus[1];Proteus phage pPM_01[1]</t>
  </si>
  <si>
    <t>Viruses;Caudovirales;Siphoviridae;Chivirus;unclassified Chivirus;Proteus phage pPM_01</t>
  </si>
  <si>
    <t>DNAUV-2.205-24</t>
  </si>
  <si>
    <t>Viruses[1];Caudovirales[1];Siphoviridae[1];Chivirus[1];unclassified Chivirus[1];Salmonella phage FSL SP-019[1]</t>
  </si>
  <si>
    <t>Viruses;Caudovirales;Siphoviridae;Chivirus;unclassified Chivirus;Salmonella phage FSL SP-019</t>
  </si>
  <si>
    <t>DNAUV-8.274-31</t>
  </si>
  <si>
    <t>Viruses[1];Caudovirales[1];Siphoviridae[1];Coetzeevirus[1];unclassified Coetzeevirus[1];Azorhizobium[1];Azorhizobium caulinodans[1]</t>
  </si>
  <si>
    <t>Viruses;Caudovirales;Siphoviridae;Coetzeevirus;unclassified Coetzeevirus;Azorhizobium;Azorhizobium caulinodans</t>
  </si>
  <si>
    <t>Viruses[1];Caudovirales[1];Siphoviridae[1];Coetzeevirus[1];unclassified Coetzeevirus[1];Lactobacillus phage Silenus[1]</t>
  </si>
  <si>
    <t>DNAUV-2.536-11</t>
  </si>
  <si>
    <t>Viruses[1];Caudovirales[1];Siphoviridae[1];Detrevirus[1];Pseudomonas virus D3[1]</t>
  </si>
  <si>
    <t>Viruses;Caudovirales;Siphoviridae;Detrevirus;Pseudomonas virus D3</t>
  </si>
  <si>
    <t>DNAUV-10.848-20</t>
  </si>
  <si>
    <t>Viruses[1];Caudovirales[1];Siphoviridae[1];Guernseyvirinae[1];Cornellvirus[1];unclassified Cornellvirus[1];Enterobacter phage phiEap-2[1]</t>
  </si>
  <si>
    <t>Viruses;Caudovirales;Siphoviridae;Guernseyvirinae;Cornellvirus;unclassified Cornellvirus;Enterobacter phage phiEap-2</t>
  </si>
  <si>
    <t>DNAUV-2.481-303</t>
  </si>
  <si>
    <t>Viruses[1];Caudovirales[1];Siphoviridae[1];Guernseyvirinae[1];Jerseyvirus[1];Salmonella virus Jersey[1];Microvirga massiliensis[1]</t>
  </si>
  <si>
    <t>Viruses;Caudovirales;Siphoviridae;Guernseyvirinae;Jerseyvirus;Salmonella virus Jersey;Microvirga massiliensis</t>
  </si>
  <si>
    <t>Viruses[1];Caudovirales[1];Siphoviridae[1];Guernseyvirinae[1];Jerseyvirus[1];Salmonella virus Jersey[1];Salmonella phage Jersey[1]</t>
  </si>
  <si>
    <t>DNAUV-2.068-243</t>
  </si>
  <si>
    <t>Viruses[1];Caudovirales[1];Siphoviridae[1];Helsingorvirus[1];Cellulophaga virus Cba121[1];Bacteroidales[1];Odoribacteraceae[1];Odoribacter[1];unclassified Odoribacter[1];Odoribacter sp. AF21-41[1]</t>
  </si>
  <si>
    <t>Viruses;Caudovirales;Siphoviridae;Helsingorvirus;Cellulophaga virus Cba121;Bacteroidales;Odoribacteraceae;Odoribacter;unclassified Odoribacter;Odoribacter sp. AF21-41</t>
  </si>
  <si>
    <t>Viruses[1];Caudovirales[1];Siphoviridae[1];Helsingorvirus[1];Cellulophaga virus Cba121[1];Cellulophaga phage phi12:1[1]</t>
  </si>
  <si>
    <t>DNAUV-2.596-682</t>
  </si>
  <si>
    <t>Viruses;Caudovirales;Siphoviridae;Helsingorvirus;Cellulophaga virus Cba121;Cellulophaga phage phi12:1</t>
  </si>
  <si>
    <t>DNAUV-10.324-175</t>
  </si>
  <si>
    <t>Viruses[3];Caudovirales[3];Siphoviridae[3];Helsingorvirus[3];Cellulophaga virus Cba121[2];Cellulophaga phage phi12:1[2];Flavobacteriaceae[1];Kordia[1];Chitinophaga parva[1]</t>
  </si>
  <si>
    <t>Viruses;Caudovirales;Siphoviridae;Helsingorvirus;Cellulophaga virus Cba121;Cellulophaga phage phi12:1;Flavobacteriaceae;Kordia;Chitinophaga parva</t>
  </si>
  <si>
    <t>Viruses[3];Caudovirales[3];Siphoviridae[3];Helsingorvirus[3];Cellulophaga virus Cba121[2];Cellulophaga phage phi12:1[2]</t>
  </si>
  <si>
    <t>DNAUV-2.560-61</t>
  </si>
  <si>
    <t>Viruses[1];Caudovirales[1];Siphoviridae[1];Helsingorvirus[1];Cellulophaga virus Cba121[1];Cellulophaga phage phi12:1[1];Odoribacteraceae[1];Butyricimonas[1];unclassified Butyricimonas[1];Butyricimonas sp. Marseille-P4593[1]</t>
  </si>
  <si>
    <t>Viruses;Caudovirales;Siphoviridae;Helsingorvirus;Cellulophaga virus Cba121;Cellulophaga phage phi12:1;Odoribacteraceae;Butyricimonas;unclassified Butyricimonas;Butyricimonas sp. Marseille-P4593</t>
  </si>
  <si>
    <t>DNAUV-3.754-23</t>
  </si>
  <si>
    <t>Viruses[3];Caudovirales[3];Siphoviridae[3];Helsingorvirus[3];Cellulophaga virus Cba121[2];Cellulophaga phage phi12:1[2];Sphingobacteriaceae[1];Chitinophaga[1];Pseudopedobacter saltans[1]</t>
  </si>
  <si>
    <t>Viruses;Caudovirales;Siphoviridae;Helsingorvirus;Cellulophaga virus Cba121;Cellulophaga phage phi12:1;Sphingobacteriaceae;Chitinophaga;Pseudopedobacter saltans</t>
  </si>
  <si>
    <t>DNAUV-3.293-14</t>
  </si>
  <si>
    <t>Viruses[2];Caudovirales[2];Siphoviridae[1];Helsingorvirus[1];Cellulophaga virus Cba121[1];Cellulophaga phage phi12:1[1];unclassified Halomonas[1];Halomonas sp. S2151[1]</t>
  </si>
  <si>
    <t>Viruses;Caudovirales;Siphoviridae;Helsingorvirus;Cellulophaga virus Cba121;Cellulophaga phage phi12:1;unclassified Halomonas;Halomonas sp. S2151</t>
  </si>
  <si>
    <t>Viruses[2];Caudovirales[2];Siphoviridae[1];unclassified Myoviridae[1];Cellulophaga virus Cba121[1];Cellulophaga phage phi12:1[1]</t>
  </si>
  <si>
    <t>DNAUV-2.037-19</t>
  </si>
  <si>
    <t>Viruses[1];Caudovirales[1];Siphoviridae[1];Helsingorvirus[1];Cellulophaga virus Cba121[1];Pseudonocardiaceae[1];Amycolatopsis[1];Amycolatopsis sacchari[1]</t>
  </si>
  <si>
    <t>Viruses;Caudovirales;Siphoviridae;Helsingorvirus;Cellulophaga virus Cba121;Pseudonocardiaceae;Amycolatopsis;Amycolatopsis sacchari</t>
  </si>
  <si>
    <t>DNAUV-3.267-14</t>
  </si>
  <si>
    <t>Viruses[1];Caudovirales[1];Siphoviridae[1];Helsingorvirus[1];Cellulophaga virus Cba181[1];Cellulophaga phage phi18:1[1];Bacillus[1];Bacillus cereus group[1];Bacillus toyonensis[1]</t>
  </si>
  <si>
    <t>Viruses;Caudovirales;Siphoviridae;Helsingorvirus;Cellulophaga virus Cba181;Cellulophaga phage phi18:1;Bacillus;Bacillus cereus group;Bacillus toyonensis</t>
  </si>
  <si>
    <t>Viruses[1];Caudovirales[1];Siphoviridae[1];Helsingorvirus[1];Cellulophaga virus Cba181[1];Cellulophaga phage phi18:1[1]</t>
  </si>
  <si>
    <t>DNAUV-10.245-283</t>
  </si>
  <si>
    <t>Viruses[2];Caudovirales[2];Siphoviridae[2];Helsingorvirus[2];Cellulophaga virus Cba181[2];Cellulophaga phage phi18:1[2];Flavobacteriaceae[1];Cruoricaptor[1];Cruoricaptor ignavus[1]</t>
  </si>
  <si>
    <t>Viruses;Caudovirales;Siphoviridae;Helsingorvirus;Cellulophaga virus Cba181;Cellulophaga phage phi18:1;Flavobacteriaceae;Cruoricaptor;Cruoricaptor ignavus</t>
  </si>
  <si>
    <t>Viruses[2];Caudovirales[2];Siphoviridae[2];Helsingorvirus[2];Cellulophaga virus Cba181[2];Cellulophaga phage phi18:1[2]</t>
  </si>
  <si>
    <t>DNAUV-3.407-104</t>
  </si>
  <si>
    <t>Viruses[1];Caudovirales[1];Siphoviridae[1];Homburgvirus[1];Listeria virus LP114[1];Listeria phage LP-114[1];Drancourtella[1];unclassified Drancourtella[1];Drancourtella sp. An210[1]</t>
  </si>
  <si>
    <t>Viruses;Caudovirales;Siphoviridae;Homburgvirus;Listeria virus LP114;Listeria phage LP-114;Drancourtella;unclassified Drancourtella;Drancourtella sp. An210</t>
  </si>
  <si>
    <t>Viruses[1];Caudovirales[1];Siphoviridae[1];Homburgvirus[1];Listeria virus LP114[1];Listeria phage LP-114[1]</t>
  </si>
  <si>
    <t>DNAUV-2.230-48</t>
  </si>
  <si>
    <t>DNAUV-3.002-19</t>
  </si>
  <si>
    <t>DNAUV-7.076-482</t>
  </si>
  <si>
    <t>Viruses[3];Caudovirales[3];Siphoviridae[3];Incheonvrus[2];Polaribacter virus P12002S[2];Flavobacteriales[2];Flavobacteriaceae[2];Maribacter[1];Polaribacter haliotis[1]</t>
  </si>
  <si>
    <t>Viruses;Caudovirales;Siphoviridae;Incheonvrus;Polaribacter virus P12002S;Flavobacteriales;Flavobacteriaceae;Maribacter;Polaribacter haliotis</t>
  </si>
  <si>
    <t>Viruses[3];Caudovirales[3];Siphoviridae[3];Incheonvrus[2];Polaribacter virus P12002S[2];Polaribacter phage P12002S[2]</t>
  </si>
  <si>
    <t>DNAUV-6.956-35</t>
  </si>
  <si>
    <t>Viruses;Caudovirales;Siphoviridae;Incheonvrus;Polaribacter virus P12002S;Polaribacter phage P12002S</t>
  </si>
  <si>
    <t>DNAUV-11.176-406</t>
  </si>
  <si>
    <t>Viruses[5];Caudovirales[5];Siphoviridae[5];Incheonvrus[3];Polaribacter virus P12002S[3];Polaribacter phage P12002S[3];Flavobacteriaceae[2];Robiginitalea[1];unclassified Tenacibaculum[1];Tenacibaculum sp. SZ-18[1]</t>
  </si>
  <si>
    <t>Viruses;Caudovirales;Siphoviridae;Incheonvrus;Polaribacter virus P12002S;Polaribacter phage P12002S;Flavobacteriaceae;Robiginitalea;unclassified Tenacibaculum;Tenacibaculum sp. SZ-18</t>
  </si>
  <si>
    <t>Viruses[5];Caudovirales[5];Siphoviridae[5];Incheonvrus[3];Polaribacter virus P12002S[3];Polaribacter phage P12002S[3]</t>
  </si>
  <si>
    <t>DNAUV-2.081-146</t>
  </si>
  <si>
    <t>Viruses[2];Caudovirales[2];Siphoviridae[2];Inhavirus[1];Nonlabens virus P12024L[1];Cellulophaga phage phiST[1]</t>
  </si>
  <si>
    <t>Viruses;Caudovirales;Siphoviridae;Inhavirus;Nonlabens virus P12024L;Cellulophaga phage phiST</t>
  </si>
  <si>
    <t>Viruses[2];Caudovirales[2];Siphoviridae[2];Cbastvirus[1];Cellulophaga virus ST[1];Nonlabens phage P12024L[1]</t>
  </si>
  <si>
    <t>DNAUV-4.886-90</t>
  </si>
  <si>
    <t>Viruses[3];Caudovirales[3];Siphoviridae[3];Inhavirus[3];Nonlabens virus P12024L[3];Flavobacteriales[2];Flavobacteriaceae[2];Elizabethkingia[2];Elizabethkingia meningoseptica[2]</t>
  </si>
  <si>
    <t>Viruses;Caudovirales;Siphoviridae;Inhavirus;Nonlabens virus P12024L;Flavobacteriales;Flavobacteriaceae;Elizabethkingia;Elizabethkingia meningoseptica</t>
  </si>
  <si>
    <t>Viruses[3];Caudovirales[3];Siphoviridae[3];Inhavirus[3];Nonlabens virus P12024L[3];Nonlabens phage P12024L[2]</t>
  </si>
  <si>
    <t>DNAUV-2.348-31</t>
  </si>
  <si>
    <t>Viruses[1];Caudovirales[1];Siphoviridae[1];Inhavirus[1];Nonlabens virus P12024L[1];Helicobacteraceae[1];Sulfuricurvum[1];unclassified Sulfuricurvum[1];Sulfuricurvum sp. MLSB[1]</t>
  </si>
  <si>
    <t>Viruses;Caudovirales;Siphoviridae;Inhavirus;Nonlabens virus P12024L;Helicobacteraceae;Sulfuricurvum;unclassified Sulfuricurvum;Sulfuricurvum sp. MLSB</t>
  </si>
  <si>
    <t>DNAUV-2.819-65</t>
  </si>
  <si>
    <t>Viruses[1];Caudovirales[1];Siphoviridae[1];Inhavirus[1];Nonlabens virus P12024L[1];Marinilabiliales[1];Marinilabiliaceae[1];Geofilum[1];Geofilum rhodophaeum[1]</t>
  </si>
  <si>
    <t>Viruses;Caudovirales;Siphoviridae;Inhavirus;Nonlabens virus P12024L;Marinilabiliales;Marinilabiliaceae;Geofilum;Geofilum rhodophaeum</t>
  </si>
  <si>
    <t>DNAUV-2.781-87</t>
  </si>
  <si>
    <t>Viruses[4];Caudovirales[4];Siphoviridae[4];Inhavirus[4];Nonlabens virus P12024L[4];Nonlabens phage P12024L[2]</t>
  </si>
  <si>
    <t>Viruses[4];Caudovirales[4];Siphoviridae[4];Inhavirus[4];Nonlabens virus P12024L[4];Nonlabens phage P12024S[2]</t>
  </si>
  <si>
    <t>DNAUV-2.204-1471</t>
  </si>
  <si>
    <t>DNAUV-2.683-16</t>
  </si>
  <si>
    <t>Viruses[2];Caudovirales[2];Siphoviridae[1];unclassified Myoviridae[1];Pelagibacter phage HTVC008M[1];Nonlabens phage P12024L[1]</t>
  </si>
  <si>
    <t>DNAUV-3.029-25</t>
  </si>
  <si>
    <t>DNAUV-3.264-36</t>
  </si>
  <si>
    <t>DNAUV-3.400-161</t>
  </si>
  <si>
    <t>Viruses[2];Caudovirales[2];Siphoviridae[2];Inhavirus[2];Nonlabens virus P12024L[2];Nonlabens phage P12024L[2]</t>
  </si>
  <si>
    <t>DNAUV-4.902-111</t>
  </si>
  <si>
    <t>DNAUV-2.164-138</t>
  </si>
  <si>
    <t>Viruses[2];Caudovirales[2];Siphoviridae[2];Inhavirus[2];Nonlabens virus P12024L[2];Nonlabens phage P12024L[2];Flavobacteriaceae[1];Elizabethkingia[1];Elizabethkingia anophelis[1]</t>
  </si>
  <si>
    <t>Viruses;Caudovirales;Siphoviridae;Inhavirus;Nonlabens virus P12024L;Nonlabens phage P12024L;Flavobacteriaceae;Elizabethkingia;Elizabethkingia anophelis</t>
  </si>
  <si>
    <t>DNAUV-5.146-200</t>
  </si>
  <si>
    <t>Viruses[2];Caudovirales[2];Siphoviridae[2];Inhavirus[2];Nonlabens virus P12024L[2];Nonlabens phage P12024L[1];Flavobacteriaceae[1];Gaetbulibacter[1];Gaetbulibacter saemankumensis[1]</t>
  </si>
  <si>
    <t>Viruses;Caudovirales;Siphoviridae;Inhavirus;Nonlabens virus P12024L;Nonlabens phage P12024L;Flavobacteriaceae;Gaetbulibacter;Gaetbulibacter saemankumensis</t>
  </si>
  <si>
    <t>Viruses[2];Caudovirales[2];Siphoviridae[2];Inhavirus[2];Nonlabens virus P12024L[2];Nonlabens phage P12024L[1]</t>
  </si>
  <si>
    <t>DNAUV-5.552-69</t>
  </si>
  <si>
    <t>Viruses[2];Caudovirales[2];Siphoviridae[2];Inhavirus[2];Nonlabens virus P12024L[2];Nonlabens phage P12024L[2];Flavobacteriaceae[1];Zunongwangia[1];Zunongwangia atlantica[1]</t>
  </si>
  <si>
    <t>Viruses;Caudovirales;Siphoviridae;Inhavirus;Nonlabens virus P12024L;Nonlabens phage P12024L;Flavobacteriaceae;Zunongwangia;Zunongwangia atlantica</t>
  </si>
  <si>
    <t>DNAUV-3.485-587</t>
  </si>
  <si>
    <t>DNAUV-2.589-13076</t>
  </si>
  <si>
    <t>Viruses[1];Caudovirales[1];Siphoviridae[1];Inhavirus[1];Nonlabens virus P12024L[1];Nonlabens phage P12024L[1];unclassified Pseudoalteromonas[1];Pseudoalteromonas sp. TMED43[1]</t>
  </si>
  <si>
    <t>Viruses;Caudovirales;Siphoviridae;Inhavirus;Nonlabens virus P12024L;Nonlabens phage P12024L;unclassified Pseudoalteromonas;Pseudoalteromonas sp. TMED43</t>
  </si>
  <si>
    <t>DNAUV-6.835-159</t>
  </si>
  <si>
    <t>Viruses[6];Caudovirales[6];Siphoviridae[6];Inhavirus[6];Nonlabens virus P12024L[6];Nonlabens phage P12024S[4]</t>
  </si>
  <si>
    <t>DNAUV-4.943-72</t>
  </si>
  <si>
    <t>Viruses[5];Caudovirales[5];Siphoviridae[5];Inhavirus[5];Nonlabens virus P12024L[5];Nonlabens phage P12024S[3]</t>
  </si>
  <si>
    <t>DNAUV-2.382-128</t>
  </si>
  <si>
    <t>Viruses[4];Caudovirales[4];Siphoviridae[4];Inhavirus[4];Nonlabens virus P12024L[4];Nonlabens phage P12024S[3]</t>
  </si>
  <si>
    <t>DNAUV-3.872-71</t>
  </si>
  <si>
    <t>DNAUV-2.308-28</t>
  </si>
  <si>
    <t>DNAUV-2.505-3008</t>
  </si>
  <si>
    <t>DNAUV-2.095-197</t>
  </si>
  <si>
    <t>DNAUV-2.447-104</t>
  </si>
  <si>
    <t>DNAUV-9.059-543</t>
  </si>
  <si>
    <t>Viruses[9];Caudovirales[9];Siphoviridae[9];Inhavirus[9];Nonlabens virus P12024L[9];Nonlabens phage P12024S[5];Flavobacteriaceae[1];Elizabethkingia[1];Elizabethkingia miricola[1]</t>
  </si>
  <si>
    <t>Viruses;Caudovirales;Siphoviridae;Inhavirus;Nonlabens virus P12024L;Nonlabens phage P12024S;Flavobacteriaceae;Elizabethkingia;Elizabethkingia miricola</t>
  </si>
  <si>
    <t>Viruses[9];Caudovirales[9];Siphoviridae[9];Inhavirus[9];Nonlabens virus P12024L[9];Nonlabens phage P12024S[5]</t>
  </si>
  <si>
    <t>DNAUV-4.958-200</t>
  </si>
  <si>
    <t>Viruses[3];Caudovirales[3];Siphoviridae[3];Inhavirus[3];Nonlabens virus P12024L[3];Nonlabens phage P12024S[3];Flavobacteriaceae[1];Nonlabens[1];Arachidicoccus rhizosphaerae[1];Nonlabens sp. YIK11[1]</t>
  </si>
  <si>
    <t>Viruses;Caudovirales;Siphoviridae;Inhavirus;Nonlabens virus P12024L;Nonlabens phage P12024S;Flavobacteriaceae;Nonlabens;Arachidicoccus rhizosphaerae;Nonlabens sp. YIK11</t>
  </si>
  <si>
    <t>Viruses[3];Caudovirales[3];Siphoviridae[3];Inhavirus[3];Nonlabens virus P12024L[3];Nonlabens phage P12024S[3]</t>
  </si>
  <si>
    <t>DNAUV-3.238-117</t>
  </si>
  <si>
    <t>Viruses[3];Caudovirales[3];Siphoviridae[3];Inhavirus[3];Nonlabens virus P12024L[3];Nonlabens phage P12024S[2];Flavobacteriaceae[1];Nonlabens[1];unclassified Nonlabens[1];Nonlabens sp. YIK11[1]</t>
  </si>
  <si>
    <t>Viruses;Caudovirales;Siphoviridae;Inhavirus;Nonlabens virus P12024L;Nonlabens phage P12024S;Flavobacteriaceae;Nonlabens;unclassified Nonlabens;Nonlabens sp. YIK11</t>
  </si>
  <si>
    <t>DNAUV-13.721-139</t>
  </si>
  <si>
    <t>Viruses[10];Caudovirales[10];Siphoviridae[10];Inhavirus[9];Nonlabens virus P12024L[9];Nonlabens phage P12024S[5];Flavobacteriaceae[2];Odoribacter[1];Apibacter mensalis[1]</t>
  </si>
  <si>
    <t>Viruses;Caudovirales;Siphoviridae;Inhavirus;Nonlabens virus P12024L;Nonlabens phage P12024S;Flavobacteriaceae;Odoribacter;Apibacter mensalis</t>
  </si>
  <si>
    <t>Viruses[10];Caudovirales[10];Siphoviridae[10];Inhavirus[9];Nonlabens virus P12024L[9];Nonlabens phage P12024S[5]</t>
  </si>
  <si>
    <t>DNAUV-8.090-285</t>
  </si>
  <si>
    <t>Viruses[4];Caudovirales[4];Siphoviridae[4];Inhavirus[3];Nonlabens virus P12024L[3];Nonlabens phage P12024S[2];Flavobacteriaceae[1];Tamlana[1];unclassified Tamlana[1];Tamlana sp. UJ94[1]</t>
  </si>
  <si>
    <t>Viruses;Caudovirales;Siphoviridae;Inhavirus;Nonlabens virus P12024L;Nonlabens phage P12024S;Flavobacteriaceae;Tamlana;unclassified Tamlana;Tamlana sp. UJ94</t>
  </si>
  <si>
    <t>Viruses[4];Caudovirales[4];Siphoviridae[4];Inhavirus[3];Nonlabens virus P12024L[3];Nonlabens phage P12024S[2]</t>
  </si>
  <si>
    <t>DNAUV-6.475-429</t>
  </si>
  <si>
    <t>Viruses[6];Caudovirales[6];Siphoviridae[6];Inhavirus[6];Nonlabens virus P12024L[6];Nonlabens phage P12024S[4];Flavobacteriaceae[3];Tenacibaculum[1];Apibacter mensalis[1];Tenacibaculum sp. MAR_2009_124[1]</t>
  </si>
  <si>
    <t>Viruses;Caudovirales;Siphoviridae;Inhavirus;Nonlabens virus P12024L;Nonlabens phage P12024S;Flavobacteriaceae;Tenacibaculum;Apibacter mensalis;Tenacibaculum sp. MAR_2009_124</t>
  </si>
  <si>
    <t>DNAUV-2.069-72</t>
  </si>
  <si>
    <t>Viruses[2];Caudovirales[2];Siphoviridae[2];Inhavirus[2];Nonlabens virus P12024L[2];Nonlabens phage P12024S[2];Flavobacteriaceae[1];Ulvibacter[1];unclassified Ulvibacter[1];Ulvibacter sp. MAR_2010_11[1]</t>
  </si>
  <si>
    <t>Viruses;Caudovirales;Siphoviridae;Inhavirus;Nonlabens virus P12024L;Nonlabens phage P12024S;Flavobacteriaceae;Ulvibacter;unclassified Ulvibacter;Ulvibacter sp. MAR_2010_11</t>
  </si>
  <si>
    <t>DNAUV-10.119-460</t>
  </si>
  <si>
    <t>Viruses[7];Caudovirales[7];Siphoviridae[7];Inhavirus[7];Nonlabens virus P12024L[7];Nonlabens phage P12024S[5];Sphingobacteriaceae[1];Elizabethkingia[1];Elizabethkingia miricola[1];Mucilaginibacter sp. PAMC 26640[1]</t>
  </si>
  <si>
    <t>Viruses;Caudovirales;Siphoviridae;Inhavirus;Nonlabens virus P12024L;Nonlabens phage P12024S;Sphingobacteriaceae;Elizabethkingia;Elizabethkingia miricola;Mucilaginibacter sp. PAMC 26640</t>
  </si>
  <si>
    <t>Viruses[7];Caudovirales[7];Siphoviridae[7];Inhavirus[7];Nonlabens virus P12024L[7];Nonlabens phage P12024S[5]</t>
  </si>
  <si>
    <t>DNAUV-7.544-40</t>
  </si>
  <si>
    <t>Viruses[9];Caudovirales[9];Siphoviridae[9];Inhavirus[9];Nonlabens virus P12024L[9];Nonlabens phage P12024S[5];Streptococcus[1];Streptococcus equinus[1];Elizabethkingia miricola[1]</t>
  </si>
  <si>
    <t>Viruses;Caudovirales;Siphoviridae;Inhavirus;Nonlabens virus P12024L;Nonlabens phage P12024S;Streptococcus;Streptococcus equinus;Elizabethkingia miricola</t>
  </si>
  <si>
    <t>DNAUV-2.120-5391</t>
  </si>
  <si>
    <t>Viruses[1];Caudovirales[1];Siphoviridae[1];Inhavirus[1];Nonlabens virus P12024L[1];Nonlabens phage P12024S[1];unclassified Pseudoalteromonas[1];Pseudoalteromonas sp. TMED43[1]</t>
  </si>
  <si>
    <t>DNAUV-7.066-2192</t>
  </si>
  <si>
    <t>Viruses[3];Caudovirales[3];Siphoviridae[3];Inhavirus[3];Nonlabens virus P12024L[3];Nonlabens phage P12024S[3];unclassified Pseudoalteromonas[2];Pseudoalteromonas sp. TMED43[2];unclassified Polaribacter[1];Polaribacter sp. Hel_I_88[1]</t>
  </si>
  <si>
    <t>Viruses;Caudovirales;Siphoviridae;Inhavirus;Nonlabens virus P12024L;Nonlabens phage P12024S;unclassified Pseudoalteromonas;Pseudoalteromonas sp. TMED43;unclassified Polaribacter;Polaribacter sp. Hel_I_88</t>
  </si>
  <si>
    <t>DNAUV-6.667-237</t>
  </si>
  <si>
    <t>Viruses[6];Caudovirales[6];Siphoviridae[6];Inhavirus[6];Nonlabens virus P12024L[6];Nonlabens phage P12024S[4];unclassified Ruegeria[1];Ruegeria sp. NKC1-1[1]</t>
  </si>
  <si>
    <t>Viruses;Caudovirales;Siphoviridae;Inhavirus;Nonlabens virus P12024L;Nonlabens phage P12024S;unclassified Ruegeria;Ruegeria sp. NKC1-1</t>
  </si>
  <si>
    <t>DNAUV-4.056-3961</t>
  </si>
  <si>
    <t>DNAUV-2.615-44</t>
  </si>
  <si>
    <t>Viruses[1];Caudovirales[1];Siphoviridae[1];Inhavirus[1];Nonlabens virus P12024L[1];Pseudoalteromonas[1];unclassified Pseudoalteromonas[1];Pseudoalteromonas sp. TMED43[1]</t>
  </si>
  <si>
    <t>DNAUV-6.332-3826</t>
  </si>
  <si>
    <t>Viruses[4];Caudovirales[4];Siphoviridae[3];Inhavirus[3];Nonlabens virus P12024L[3];Pseudoalteromonas[2];unclassified Pseudoalteromonas[2];Pseudoalteromonas sp. TMED43[2];Robiginitalea biformata[1];Nonlabens sp. YIK11[1]</t>
  </si>
  <si>
    <t>Viruses;Caudovirales;Siphoviridae;Inhavirus;Nonlabens virus P12024L;Pseudoalteromonas;unclassified Pseudoalteromonas;Pseudoalteromonas sp. TMED43;Robiginitalea biformata;Nonlabens sp. YIK11</t>
  </si>
  <si>
    <t>Viruses[4];Caudovirales[4];Siphoviridae[3];Inhavirus[3];Nonlabens virus P12024L[3];Nonlabens phage P12024S[2]</t>
  </si>
  <si>
    <t>DNAUV-2.641-7768</t>
  </si>
  <si>
    <t>Viruses[1];Caudovirales[1];Siphoviridae[1];Inhavirus[1];Nonlabens virus P12024L[1];Sphingobacteriales[1];Sphingobacteriaceae[1];Mucilaginibacter[1];Mucilaginibacter pineti[1]</t>
  </si>
  <si>
    <t>Viruses;Caudovirales;Siphoviridae;Inhavirus;Nonlabens virus P12024L;Sphingobacteriales;Sphingobacteriaceae;Mucilaginibacter;Mucilaginibacter pineti</t>
  </si>
  <si>
    <t>DNAUV-2.301-233</t>
  </si>
  <si>
    <t>Viruses[1];Caudovirales[1];Siphoviridae[1];Jesfedecavirus[1];Vibrio virus JSF10[1];Vibrio phage JSF10[1]</t>
  </si>
  <si>
    <t>Viruses;Caudovirales;Siphoviridae;Jesfedecavirus;Vibrio virus JSF10;Vibrio phage JSF10</t>
  </si>
  <si>
    <t>DNAUV-4.432-18</t>
  </si>
  <si>
    <t>Viruses[2];Caudovirales[2];Siphoviridae[2];Kairosalinivirus[1];Salinibacter virus M8CC19[1]</t>
  </si>
  <si>
    <t>Viruses;Caudovirales;Siphoviridae;Kairosalinivirus;Salinibacter virus M8CC19</t>
  </si>
  <si>
    <t>Viruses[2];Caudovirales[2];Siphoviridae[2];Kairosalinivirus[1];Salinibacter virus SRUTV1[1]</t>
  </si>
  <si>
    <t>DNAUV-4.350-11</t>
  </si>
  <si>
    <t>Viruses[2];Caudovirales[2];Siphoviridae[2];Kairosalinivirus[1];Salinibacter virus M8CC19[1];Ochrobactrum[1];Ochrobactrum rhizosphaerae[1]</t>
  </si>
  <si>
    <t>Viruses;Caudovirales;Siphoviridae;Kairosalinivirus;Salinibacter virus M8CC19;Ochrobactrum;Ochrobactrum rhizosphaerae</t>
  </si>
  <si>
    <t>Viruses[2];Caudovirales[2];Siphoviridae[2];Kairosalinivirus[1];Salinibacter virus M31CR41-2[1]</t>
  </si>
  <si>
    <t>DNAUV-2.225-123</t>
  </si>
  <si>
    <t>Viruses[1];Caudovirales[1];Siphoviridae[1];Klementvirus[1];Xanthomonas virus CP1[1];Salinisphaera[1];Salinisphaera hydrothermalis[1]</t>
  </si>
  <si>
    <t>Viruses;Caudovirales;Siphoviridae;Klementvirus;Xanthomonas virus CP1;Salinisphaera;Salinisphaera hydrothermalis</t>
  </si>
  <si>
    <t>Viruses[1];Caudovirales[1];Siphoviridae[1];Klementvirus[1];Xanthomonas virus CP1[1]</t>
  </si>
  <si>
    <t>DNAUV-4.965-18</t>
  </si>
  <si>
    <t>Viruses[1];Caudovirales[1];Siphoviridae[1];Korravirus[1];unclassified Korravirus[1];Arthrobacter phage Urla[1];Thermoflavimicrobium[1];Thermoflavimicrobium dichotomicum[1]</t>
  </si>
  <si>
    <t>Viruses;Caudovirales;Siphoviridae;Korravirus;unclassified Korravirus;Arthrobacter phage Urla;Thermoflavimicrobium;Thermoflavimicrobium dichotomicum</t>
  </si>
  <si>
    <t>Viruses[1];Caudovirales[1];Siphoviridae[1];Korravirus[1];unclassified Korravirus[1];Arthrobacter phage Urla[1]</t>
  </si>
  <si>
    <t>DNAUV-5.301-11</t>
  </si>
  <si>
    <t>Viruses[2];Caudovirales[2];Siphoviridae[2];Kryptosalinivirus[2];Salinibacter virus M8CRM1[2];Rhodothermales[1];Rubricoccaceae[1];Rubrivirga[1];Rubrivirga marina[1]</t>
  </si>
  <si>
    <t>Viruses;Caudovirales;Siphoviridae;Kryptosalinivirus;Salinibacter virus M8CRM1;Rhodothermales;Rubricoccaceae;Rubrivirga;Rubrivirga marina</t>
  </si>
  <si>
    <t>Viruses[2];Caudovirales[2];Siphoviridae[2];Kryptosalinivirus[2];Salinibacter virus M8CRM1[2]</t>
  </si>
  <si>
    <t>DNAUV-2.152-11</t>
  </si>
  <si>
    <t>Viruses[2];Caudovirales[2];Siphoviridae[2];Lokivirus[1];Acinetobacter virus Loki[1];Pseudomonas phage PaMx42[1]</t>
  </si>
  <si>
    <t>Viruses;Caudovirales;Siphoviridae;Lokivirus;Acinetobacter virus Loki;Pseudomonas phage PaMx42</t>
  </si>
  <si>
    <t>Viruses[2];Caudovirales[2];Siphoviridae[2];Septimatrevirus[1];Acinetobacter virus Loki[1];Acinetobacter phage Loki[1]</t>
  </si>
  <si>
    <t>DNAUV-3.169-11</t>
  </si>
  <si>
    <t>Viruses[1];Caudovirales[1];Siphoviridae[1];Magadivirus[1];Bacillus virus Mgbh1[1];Bacillus phage Mgbh1[1];Gemmata[1];unclassified Gemmata[1];Gemmata sp. SH-PL17[1]</t>
  </si>
  <si>
    <t>Viruses;Caudovirales;Siphoviridae;Magadivirus;Bacillus virus Mgbh1;Bacillus phage Mgbh1;Gemmata;unclassified Gemmata;Gemmata sp. SH-PL17</t>
  </si>
  <si>
    <t>Viruses[1];Caudovirales[1];Siphoviridae[1];Magadivirus[1];Bacillus virus Mgbh1[1];Bacillus phage Mgbh1[1]</t>
  </si>
  <si>
    <t>DNAUV-3.141-14</t>
  </si>
  <si>
    <t>Viruses[3];Caudovirales[3];Siphoviridae[2];Mardecavirus[1];Dinoroseobacter virus D5C[1];Vibrio phage R01[1];Streptococcus[1];Streptococcus agalactiae[1]</t>
  </si>
  <si>
    <t>Viruses;Caudovirales;Siphoviridae;Mardecavirus;Dinoroseobacter virus D5C;Vibrio phage R01;Streptococcus;Streptococcus agalactiae</t>
  </si>
  <si>
    <t>Viruses[3];Caudovirales[3];Siphoviridae[2];Mardecavirus[1];Xanthomonas phage XacN1[1];Vibrio phage R01[1]</t>
  </si>
  <si>
    <t>DNAUV-3.292-52</t>
  </si>
  <si>
    <t>Viruses[1];Caudovirales[1];Siphoviridae[1];Mardecavirus[1];unclassified Mardecavirus[1];Bradyrhizobium[1];Bradyrhizobium yuanmingense[1]</t>
  </si>
  <si>
    <t>Viruses;Caudovirales;Siphoviridae;Mardecavirus;unclassified Mardecavirus;Bradyrhizobium;Bradyrhizobium yuanmingense</t>
  </si>
  <si>
    <t>Viruses[1];Caudovirales[1];Siphoviridae[1];Mardecavirus[1];unclassified Mardecavirus[1];Vibrio phage vB_VpaS_KF6[1]</t>
  </si>
  <si>
    <t>DNAUV-6.049-15</t>
  </si>
  <si>
    <t>Viruses[4];Caudovirales[4];Siphoviridae[4];Mardecavirus[2];unclassified Mardecavirus[2];Vibrio phage R01[2];Caenispirillum salinarum[1];Pseudomonas aeruginosa[1]</t>
  </si>
  <si>
    <t>Viruses;Caudovirales;Siphoviridae;Mardecavirus;unclassified Mardecavirus;Vibrio phage R01;Caenispirillum salinarum;Pseudomonas aeruginosa</t>
  </si>
  <si>
    <t>Viruses[4];Caudovirales[4];Siphoviridae[4];Mardecavirus[2];unclassified Mardecavirus[2];Vibrio phage R01[2]</t>
  </si>
  <si>
    <t>DNAUV-6.016-15</t>
  </si>
  <si>
    <t>Viruses[4];Caudovirales[4];Siphoviridae[3];Mardecavirus[3];unclassified Mardecavirus[2];Vibrio phage R01[2];Mariprofundus micogutta[1]</t>
  </si>
  <si>
    <t>Viruses;Caudovirales;Siphoviridae;Mardecavirus;unclassified Mardecavirus;Vibrio phage R01;Mariprofundus micogutta</t>
  </si>
  <si>
    <t>Viruses[4];Caudovirales[4];Siphoviridae[3];Mardecavirus[3];unclassified Mardecavirus[2];Vibrio phage R01[2]</t>
  </si>
  <si>
    <t>DNAUV-2.481-13-V2</t>
  </si>
  <si>
    <t>Viruses[1];Caudovirales[1];Siphoviridae[1];Mardecavirus[1];Vibrio virus MAR10[1];Bordetella[1];Bordetella trematum[1]</t>
  </si>
  <si>
    <t>Viruses;Caudovirales;Siphoviridae;Mardecavirus;Vibrio virus MAR10;Bordetella;Bordetella trematum</t>
  </si>
  <si>
    <t>Viruses[1];Caudovirales[1];Siphoviridae[1];Mardecavirus[1];Vibrio virus MAR10[1];Vibrio phage vB_VpaS_MAR10[1]</t>
  </si>
  <si>
    <t>DNAUV-2.724-14</t>
  </si>
  <si>
    <t>Viruses[2];Caudovirales[2];Siphoviridae[2];Mardecavirus[2];Vibrio virus MAR10[1];Francisella[1];Francisella adeliensis[1]</t>
  </si>
  <si>
    <t>Viruses;Caudovirales;Siphoviridae;Mardecavirus;Vibrio virus MAR10;Francisella;Francisella adeliensis</t>
  </si>
  <si>
    <t>Viruses[2];Caudovirales[2];Siphoviridae[2];Mardecavirus[2];Vibrio virus SSP002[1];Vibrio phage vB_VpaS_MAR10[1]</t>
  </si>
  <si>
    <t>DNAUV-2.870-12</t>
  </si>
  <si>
    <t>Viruses[2];Caudovirales[2];Siphoviridae[2];Mardecavirus[2];Vibrio virus MAR10[1];Vibrio phage vB_VpaS_MAR10[1]</t>
  </si>
  <si>
    <t>Viruses;Caudovirales;Siphoviridae;Mardecavirus;Vibrio virus MAR10;Vibrio phage vB_VpaS_MAR10</t>
  </si>
  <si>
    <t>DNAUV-4.564-12</t>
  </si>
  <si>
    <t>Viruses[3];Caudovirales[3];Siphoviridae[3];Mardecavirus[3];Vibrio virus MAR10[1];Vibrio phage vB_VpaS_MAR10[1];Desulfovibrio[1];Campylobacter concisus[1]</t>
  </si>
  <si>
    <t>Viruses;Caudovirales;Siphoviridae;Mardecavirus;Vibrio virus MAR10;Vibrio phage vB_VpaS_MAR10;Desulfovibrio;Campylobacter concisus</t>
  </si>
  <si>
    <t>Viruses[3];Caudovirales[3];Siphoviridae[3];Mardecavirus[3];Vibrio virus MAR10[1];Vibrio phage vB_VpaS_KF3[1]</t>
  </si>
  <si>
    <t>DNAUV-6.125-18</t>
  </si>
  <si>
    <t>Viruses[6];Caudovirales[6];Siphoviridae[6];Nanhaivirus[2];Dinoroseobacter virus D5C[2];Dinoroseobacter phage vB_DshS-R5C[2];Nitratiruptor tergarcus[1]</t>
  </si>
  <si>
    <t>Viruses;Caudovirales;Siphoviridae;Nanhaivirus;Dinoroseobacter virus D5C;Dinoroseobacter phage vB_DshS-R5C;Nitratiruptor tergarcus</t>
  </si>
  <si>
    <t>Viruses[6];Caudovirales[6];Siphoviridae[6];unclassified Siphoviridae[2];Dinoroseobacter virus D5C[2];Dinoroseobacter phage vB_DshS-R5C[2]</t>
  </si>
  <si>
    <t>DNAUV-2.369-369</t>
  </si>
  <si>
    <t>Viruses[1];Caudovirales[1];Siphoviridae[1];Nanhaivirus[1];Dinoroseobacter virus D5C[1];Sphingobium[1];unclassified Sphingobium[1];Sphingobium sp. Z007[1]</t>
  </si>
  <si>
    <t>Viruses;Caudovirales;Siphoviridae;Nanhaivirus;Dinoroseobacter virus D5C;Sphingobium;unclassified Sphingobium;Sphingobium sp. Z007</t>
  </si>
  <si>
    <t>Viruses[1];Caudovirales[1];Siphoviridae[1];Nanhaivirus[1];Dinoroseobacter virus D5C[1];Dinoroseobacter phage vB_DshS-R5C[1]</t>
  </si>
  <si>
    <t>DNAUV-3.110-12</t>
  </si>
  <si>
    <t>Viruses[1];Caudovirales[1];Siphoviridae[1];Nickievirus[1];Pseudomonas virus nickie[1];Pseudomonas phage nickie[1];unclassified Bradyrhizobium[1];Bradyrhizobium sp. th.b2[1]</t>
  </si>
  <si>
    <t>Viruses;Caudovirales;Siphoviridae;Nickievirus;Pseudomonas virus nickie;Pseudomonas phage nickie;unclassified Bradyrhizobium;Bradyrhizobium sp. th.b2</t>
  </si>
  <si>
    <t>Viruses[1];Caudovirales[1];Siphoviridae[1];Nickievirus[1];Pseudomonas virus nickie[1];Pseudomonas phage nickie[1]</t>
  </si>
  <si>
    <t>DNAUV-7.922-14</t>
  </si>
  <si>
    <t>Viruses[1];Caudovirales[1];Siphoviridae[1];Nickievirus[1];unclassified Nickievirus[1];Rhizobium phage RHEph10[1];unclassified Bradyrhizobium[1];Bradyrhizobium sp. th.b2[1]</t>
  </si>
  <si>
    <t>Viruses;Caudovirales;Siphoviridae;Nickievirus;unclassified Nickievirus;Rhizobium phage RHEph10;unclassified Bradyrhizobium;Bradyrhizobium sp. th.b2</t>
  </si>
  <si>
    <t>Viruses[1];Caudovirales[1];Siphoviridae[1];Nickievirus[1];unclassified Nickievirus[1];Rhizobium phage RHEph10[1]</t>
  </si>
  <si>
    <t>DNAUV-5.349-13</t>
  </si>
  <si>
    <t>Viruses[1];Caudovirales[1];Siphoviridae[1];Nipunavirus[1];Pseudomonas virus PaMx25[1];Pseudomonas phage PaMx25[1];Acinetobacter radioresistens[1]</t>
  </si>
  <si>
    <t>Viruses;Caudovirales;Siphoviridae;Nipunavirus;Pseudomonas virus PaMx25;Pseudomonas phage PaMx25;Acinetobacter radioresistens</t>
  </si>
  <si>
    <t>Viruses[1];Caudovirales[1];Siphoviridae[1];Nipunavirus[1];Pseudomonas virus PaMx25[1];Pseudomonas phage PaMx25[1]</t>
  </si>
  <si>
    <t>DNAUV-4.538-15</t>
  </si>
  <si>
    <t>Viruses[1];Caudovirales[1];Siphoviridae[1];Nonanavirus[1];unclassified Nonanavirus[1];Cytophagales[1];Cytophagaceae[1];Dyadobacter[1];Dyadobacter jiangsuensis[1]</t>
  </si>
  <si>
    <t>Viruses;Caudovirales;Siphoviridae;Nonanavirus;unclassified Nonanavirus;Cytophagales;Cytophagaceae;Dyadobacter;Dyadobacter jiangsuensis</t>
  </si>
  <si>
    <t>Viruses[1];Caudovirales[1];Siphoviridae[1];Nonanavirus[1];unclassified Nonanavirus[1];Salmonella phage FSL SP-062[1]</t>
  </si>
  <si>
    <t>DNAUV-2.068-1567</t>
  </si>
  <si>
    <t>Viruses;Caudovirales;Siphoviridae;Nonanavirus;unclassified Nonanavirus;Salmonella phage FSL SP-062</t>
  </si>
  <si>
    <t>DNAUV-2.382-42</t>
  </si>
  <si>
    <t>Viruses[3];Caudovirales[3];Siphoviridae[1];Obolenskvirus[1];Acinetobacter virus AB2[1];Acinetobacter phage IME-AB2[1]</t>
  </si>
  <si>
    <t>Viruses;Caudovirales;Siphoviridae;Obolenskvirus;Acinetobacter virus AB2;Acinetobacter phage IME-AB2</t>
  </si>
  <si>
    <t>Viruses[3];Caudovirales[3];Myoviridae[1];Obolenskvirus[1];Celeribacter phage P12053L[1];Acinetobacter phage IME-AB2[1]</t>
  </si>
  <si>
    <t>DNAUV-22.071-221</t>
  </si>
  <si>
    <t>Viruses[12];Caudovirales[12];Siphoviridae[12];Pamexvirus[4];Paracoccus phage vB_PmaS-R3[3];Brucella[3];Brucella abortus[2];Brucella abortus LMN1[2];Brucella melitensis bv. 1 str. 16M[1]</t>
  </si>
  <si>
    <t>Viruses;Caudovirales;Siphoviridae;Pamexvirus;Paracoccus phage vB_PmaS-R3;Brucella;Brucella abortus;Brucella abortus LMN1;Brucella melitensis bv. 1 str. 16M</t>
  </si>
  <si>
    <t>Viruses[12];Caudovirales[12];Siphoviridae[12];Xiamenvirus[4];Paracoccus phage vB_PmaS-R3[3];Roseobacter phage RDJL Phi 2[2]</t>
  </si>
  <si>
    <t>DNAUV-4.575-12</t>
  </si>
  <si>
    <t>Viruses[3];Caudovirales[3];Siphoviridae[3];Pamexvirus[1];Pseudomonas virus PaMx28[1];Pseudomonas phage MP1412[1]</t>
  </si>
  <si>
    <t>Viruses;Caudovirales;Siphoviridae;Pamexvirus;Pseudomonas virus PaMx28;Pseudomonas phage MP1412</t>
  </si>
  <si>
    <t>DNAUV-2.183-7.9</t>
  </si>
  <si>
    <t>Viruses[2];Caudovirales[2];Siphoviridae[2];Pamexvirus[1];Pseudomonas virus PaMx74[1];Pseudomonas phage PaMx74[1];Vibrio quintilis[1]</t>
  </si>
  <si>
    <t>Viruses;Caudovirales;Siphoviridae;Pamexvirus;Pseudomonas virus PaMx74;Pseudomonas phage PaMx74;Vibrio quintilis</t>
  </si>
  <si>
    <t>Viruses[2];Caudovirales[2];Siphoviridae[2];Pamexvirus[1];Pseudomonas virus PaMx74[1];Pseudomonas phage PaMx11[1]</t>
  </si>
  <si>
    <t>DNAUV-16.786-275</t>
  </si>
  <si>
    <t>Viruses[5];Caudovirales[5];Siphoviridae[5];Pamexvirus[2];Roseobacter virus RDJL1[2];Roseobacter phage RDJL Phi 1[2];Bradyrhizobium erythrophlei[1];Chelatococcus sp. GW1[1];Gemmatimonas sp. SG8_17[1]</t>
  </si>
  <si>
    <t>Viruses;Caudovirales;Siphoviridae;Pamexvirus;Roseobacter virus RDJL1;Roseobacter phage RDJL Phi 1;Bradyrhizobium erythrophlei;Chelatococcus sp. GW1;Gemmatimonas sp. SG8_17</t>
  </si>
  <si>
    <t>Viruses[5];Caudovirales[5];Siphoviridae[5];Pamexvirus[2];Roseobacter virus RDJL1[2];Roseobacter phage RDJL Phi 1[2]</t>
  </si>
  <si>
    <t>DNAUV-5.897-20</t>
  </si>
  <si>
    <t>Viruses[4];Caudovirales[4];Siphoviridae[4];Pamexvirus[3];unclassified Pamexvirus[2];Xanthomonas phage Xoo-sp2[2]</t>
  </si>
  <si>
    <t>Viruses;Caudovirales;Siphoviridae;Pamexvirus;unclassified Pamexvirus;Xanthomonas phage Xoo-sp2</t>
  </si>
  <si>
    <t>DNAUV-4.621-36</t>
  </si>
  <si>
    <t>Viruses[1];Caudovirales[1];Siphoviridae[1];Phicbkvirus[1];Caulobacter virus Magneto[1];Chelatococcus[1];Chelatococcus sambhunathii[1]</t>
  </si>
  <si>
    <t>Viruses;Caudovirales;Siphoviridae;Phicbkvirus;Caulobacter virus Magneto;Chelatococcus;Chelatococcus sambhunathii</t>
  </si>
  <si>
    <t>Viruses[1];Caudovirales[1];Siphoviridae[1];Phicbkvirus[1];Caulobacter virus Magneto[1]</t>
  </si>
  <si>
    <t>DNAUV-4.905-1670</t>
  </si>
  <si>
    <t>Viruses[1];Caudovirales[1];Siphoviridae[1];Phicbkvirus[1];Caulobacter virus Magneto[1];Endozoicomonas[1];Endozoicomonas atrinae[1]</t>
  </si>
  <si>
    <t>Viruses;Caudovirales;Siphoviridae;Phicbkvirus;Caulobacter virus Magneto;Endozoicomonas;Endozoicomonas atrinae</t>
  </si>
  <si>
    <t>DNAUV-9.637-16</t>
  </si>
  <si>
    <t>Viruses[2];Caudovirales[2];Siphoviridae[2];Phicbkvirus[1];unclassified Phicbkvirus[1];Flavobacteriales[1];Flavobacteriaceae[1];Polaribacter[1];Polaribacter porphyrae[1]</t>
  </si>
  <si>
    <t>Viruses;Caudovirales;Siphoviridae;Phicbkvirus;unclassified Phicbkvirus;Flavobacteriales;Flavobacteriaceae;Polaribacter;Polaribacter porphyrae</t>
  </si>
  <si>
    <t>Viruses[2];Caudovirales[2];Siphoviridae[2];unclassified Siphoviridae[1];unclassified Phicbkvirus[1];Caulobacter phage Ccr5[1]</t>
  </si>
  <si>
    <t>DNAUV-3.328-335</t>
  </si>
  <si>
    <t>Viruses[2];Caudovirales[2];Siphoviridae[1];Rigallicvirus[1];Rhizobium virus P106B[1];Edwardsiella phage PEi21[1];Anaerovibrio[1];Anaerovibrio lipolyticus[1]</t>
  </si>
  <si>
    <t>Viruses;Caudovirales;Siphoviridae;Rigallicvirus;Rhizobium virus P106B;Edwardsiella phage PEi21;Anaerovibrio;Anaerovibrio lipolyticus</t>
  </si>
  <si>
    <t>Viruses[2];Caudovirales[2];Siphoviridae[1];Yokohamavirus[1];Edwardsiella virus PEi21[1];Rhizobium phage vB_RglS_P106B[1]</t>
  </si>
  <si>
    <t>DNAUV-4.307-189</t>
  </si>
  <si>
    <t>Viruses[2];Caudovirales[2];Siphoviridae[2];Rigallicvirus[2];Rhizobium virus P106B[2];Rhizobium phage vB_RglS_P106B[2];Marichromatium purpuratum[1];Marichromatium purpuratum 984[1]</t>
  </si>
  <si>
    <t>Viruses;Caudovirales;Siphoviridae;Rigallicvirus;Rhizobium virus P106B;Rhizobium phage vB_RglS_P106B;Marichromatium purpuratum;Marichromatium purpuratum 984</t>
  </si>
  <si>
    <t>Viruses[2];Caudovirales[2];Siphoviridae[2];Rigallicvirus[2];Rhizobium virus P106B[2];Rhizobium phage vB_RglS_P106B[2]</t>
  </si>
  <si>
    <t>DNAUV-2.272-11</t>
  </si>
  <si>
    <t>Viruses[1];Caudovirales[1];Siphoviridae[1];Roufvirus[1];unclassified Roufvirus[1];Vibrio phage pYD38-A[1]</t>
  </si>
  <si>
    <t>Viruses;Caudovirales;Siphoviridae;Roufvirus;unclassified Roufvirus;Vibrio phage pYD38-A</t>
  </si>
  <si>
    <t>DNAUV-5.550-13</t>
  </si>
  <si>
    <t>Viruses[8];Caudovirales[8];Siphoviridae[7];Septimatrevirus[4];Pseudomonas virus Ab26[3];Pseudomonas phage vB_PaeS_SCH_Ab26[3]</t>
  </si>
  <si>
    <t>Viruses;Caudovirales;Siphoviridae;Septimatrevirus;Pseudomonas virus Ab26;Pseudomonas phage vB_PaeS_SCH_Ab26</t>
  </si>
  <si>
    <t>DNAUV-2.764-31</t>
  </si>
  <si>
    <t>Viruses[4];Caudovirales[4];Siphoviridae[3];Septimatrevirus[1];Sphingobium virus Lacusarx[1];Burkholderia phage vB_BceS_KL1[1];Mesorhizobium ciceri[1]</t>
  </si>
  <si>
    <t>Viruses;Caudovirales;Siphoviridae;Septimatrevirus;Sphingobium virus Lacusarx;Burkholderia phage vB_BceS_KL1;Mesorhizobium ciceri</t>
  </si>
  <si>
    <t>Viruses[4];Caudovirales[4];Siphoviridae[3];Lacusarxvirus[1];Caulobacter phage CcrColossus[1];Sphingobium phage Lacusarx[1]</t>
  </si>
  <si>
    <t>DNAUV-2.293-13</t>
  </si>
  <si>
    <t>Viruses[1];Caudovirales[1];Siphoviridae[1];Septimatrevirus[1];unclassified Septimatrevirus[1];Cohaesibacter[1];Cohaesibacter marisflavi[1]</t>
  </si>
  <si>
    <t>Viruses;Caudovirales;Siphoviridae;Septimatrevirus;unclassified Septimatrevirus;Cohaesibacter;Cohaesibacter marisflavi</t>
  </si>
  <si>
    <t>Viruses[1];Caudovirales[1];Siphoviridae[1];Septimatrevirus[1];unclassified Septimatrevirus[1];Pseudomonas phage PaMx42[1]</t>
  </si>
  <si>
    <t>DNAUV-4.776-12</t>
  </si>
  <si>
    <t>Viruses[6];Caudovirales[6];Siphoviridae[6];Septimatrevirus[5];unclassified Septimatrevirus[5];Pseudomonas phage PaMx42[2]</t>
  </si>
  <si>
    <t>Viruses;Caudovirales;Siphoviridae;Septimatrevirus;unclassified Septimatrevirus;Pseudomonas phage PaMx42</t>
  </si>
  <si>
    <t>DNAUV-6.177-13</t>
  </si>
  <si>
    <t>Viruses[3];Caudovirales[3];Siphoviridae[3];Septimatrevirus[3];unclassified Septimatrevirus[3];Stenotrophomonas phage vB_SmaS-DLP_1[1]</t>
  </si>
  <si>
    <t>Viruses;Caudovirales;Siphoviridae;Septimatrevirus;unclassified Septimatrevirus;Stenotrophomonas phage vB_SmaS-DLP_1</t>
  </si>
  <si>
    <t>Viruses[3];Caudovirales[3];Siphoviridae[3];Septimatrevirus[3];unclassified Septimatrevirus[3];Pseudomonas phage PaMx42[1]</t>
  </si>
  <si>
    <t>DNAUV-3.028-224</t>
  </si>
  <si>
    <t>Viruses[1];Caudovirales[1];Siphoviridae[1];Slashvirus[1];Bacillus virus Stahl[1];Bacillus phage Stahl[1];Colwellia beringensis[1]</t>
  </si>
  <si>
    <t>Viruses;Caudovirales;Siphoviridae;Slashvirus;Bacillus virus Stahl;Bacillus phage Stahl;Colwellia beringensis</t>
  </si>
  <si>
    <t>Viruses[1];Caudovirales[1];Siphoviridae[1];Slashvirus[1];Bacillus virus Stahl[1];Bacillus phage Stahl[1]</t>
  </si>
  <si>
    <t>DNAUV-2.588-123</t>
  </si>
  <si>
    <t>Viruses[2];Caudovirales[2];Siphoviridae[2];Steinhofvirus[2];Achromobacter virus JWX[1];Achromobacter phage 83-24[1]</t>
  </si>
  <si>
    <t>Viruses;Caudovirales;Siphoviridae;Steinhofvirus;Achromobacter virus JWX;Achromobacter phage 83-24</t>
  </si>
  <si>
    <t>Viruses[2];Caudovirales[2];Siphoviridae[2];Steinhofvirus[2];Achromobacter virus 83-24[1];Achromobacter phage 83-24[1]</t>
  </si>
  <si>
    <t>DNAUV-2.531-183</t>
  </si>
  <si>
    <t>Viruses[2];Caudovirales[2];Siphoviridae[2];Steinhofvirus[2];Achromobacter virus JWX[1];Achromobacter phage JWX[1]</t>
  </si>
  <si>
    <t>Viruses;Caudovirales;Siphoviridae;Steinhofvirus;Achromobacter virus JWX;Achromobacter phage JWX</t>
  </si>
  <si>
    <t>DNAUV-24.309-205</t>
  </si>
  <si>
    <t>Viruses[18];Caudovirales[18];Siphoviridae[15];Tequintavirus[5];unclassified Tequintavirus[3];Vibrio phage JSF10[2];Methylomonas koyamae[1]</t>
  </si>
  <si>
    <t>Viruses;Caudovirales;Siphoviridae;Tequintavirus;unclassified Tequintavirus;Vibrio phage JSF10;Methylomonas koyamae</t>
  </si>
  <si>
    <t>Viruses[18];Caudovirales[18];Siphoviridae[15];Tequintavirus[5];Vibrio phage vB_VpS_PG07[3];Vibrio phage JSF10[2]</t>
  </si>
  <si>
    <t>DNAUV-4.356-213</t>
  </si>
  <si>
    <t>Viruses[3];Caudovirales[3];Siphoviridae[3];Tequintavirus[1];unclassified Tequintavirus[1];Vibrio phage vB_VorS-PVo5[1]</t>
  </si>
  <si>
    <t>Viruses;Caudovirales;Siphoviridae;Tequintavirus;unclassified Tequintavirus;Vibrio phage vB_VorS-PVo5</t>
  </si>
  <si>
    <t>Viruses[3];Caudovirales[3];Siphoviridae[3];Cetovirus[1];Vibrio phage vB_VpS_PG07[1];Escherichia phage Gostya9[1]</t>
  </si>
  <si>
    <t>DNAUV-5.551-98</t>
  </si>
  <si>
    <t>Viruses[3];Caudovirales[3];Siphoviridae[1];Tevenvirinae[1];unclassified Tevenvirinae[1];Cronobacter phage S13[1]</t>
  </si>
  <si>
    <t>Viruses;Caudovirales;Siphoviridae;Tevenvirinae;unclassified Tevenvirinae;Cronobacter phage S13</t>
  </si>
  <si>
    <t>Viruses[3];Caudovirales[3];Podoviridae[1];unclassified Siphoviridae[1];Roseobacter phage DSS3P8[1];Cronobacter phage S13[1]</t>
  </si>
  <si>
    <t>DNAUV-2.983-128</t>
  </si>
  <si>
    <t>Viruses[3];Caudovirales[3];Siphoviridae[1];unclassified Myoviridae[1];Caulobacter phage Seuss[1]</t>
  </si>
  <si>
    <t>Viruses;Caudovirales;Siphoviridae;unclassified Myoviridae;Caulobacter phage Seuss</t>
  </si>
  <si>
    <t>Viruses[3];Caudovirales[3];Siphoviridae[1];unclassified Podoviridae[1];Caulobacter phage Seuss[1]</t>
  </si>
  <si>
    <t>DNAUV-2.196-18</t>
  </si>
  <si>
    <t>Viruses[2];Caudovirales[2];Siphoviridae[1];unclassified Myoviridae[1];Lactococcus phage AM4[1];Alteromonas[1];unclassified Alteromonas[1];Alteromonas sp. TMED35[1]</t>
  </si>
  <si>
    <t>Viruses;Caudovirales;Siphoviridae;unclassified Myoviridae;Lactococcus phage AM4;Alteromonas;unclassified Alteromonas;Alteromonas sp. TMED35</t>
  </si>
  <si>
    <t>Viruses[2];Caudovirales[2];Siphoviridae[1];unclassified Myoviridae[1];Lactococcus phage AM4[1]</t>
  </si>
  <si>
    <t>DNAUV-4.264-36</t>
  </si>
  <si>
    <t>Viruses[3];Caudovirales[3];Siphoviridae[1];unclassified Myoviridae[1];Marinobacter phage PS3[1];Synechococcaceae[1];unclassified Magnetospirillum[1];Delftia acidovorans SPH-1[1];Synechococcus sp. UW69[1]</t>
  </si>
  <si>
    <t>Viruses;Caudovirales;Siphoviridae;unclassified Myoviridae;Marinobacter phage PS3;Synechococcaceae;unclassified Magnetospirillum;Delftia acidovorans SPH-1;Synechococcus sp. UW69</t>
  </si>
  <si>
    <t>Viruses[3];Caudovirales[3];Siphoviridae[1];Roseobacter virus SIO1[1];Marinobacter phage PS3[1]</t>
  </si>
  <si>
    <t>DNAUV-3.826-450</t>
  </si>
  <si>
    <t>Viruses[2];Caudovirales[2];Siphoviridae[1];unclassified Myoviridae[1];unclassified Phicbkvirus[1];Caulobacter phage Ccr2[1]</t>
  </si>
  <si>
    <t>Viruses;Caudovirales;Siphoviridae;unclassified Myoviridae;unclassified Phicbkvirus;Caulobacter phage Ccr2</t>
  </si>
  <si>
    <t>Viruses[2];Caudovirales[2];Myoviridae[1];unclassified Myoviridae[1];Synechococcus phage ACG-2014d[1];Caulobacter phage Ccr2[1]</t>
  </si>
  <si>
    <t>DNAUV-2.517-264</t>
  </si>
  <si>
    <t>Viruses[2];Caudovirales[2];Siphoviridae[1];unclassified Myoviridae[1];Xanthomonas virus Xp10[1];Sphingomonas[1];Sphingomonas laterariae[1]</t>
  </si>
  <si>
    <t>Viruses;Caudovirales;Siphoviridae;unclassified Myoviridae;Xanthomonas virus Xp10;Sphingomonas;Sphingomonas laterariae</t>
  </si>
  <si>
    <t>Viruses[2];Caudovirales[2];Siphoviridae[1];Xipdecavirus[1];Xanthomonas virus Xp10[1]</t>
  </si>
  <si>
    <t>DNAUV-3.093-52</t>
  </si>
  <si>
    <t>Viruses[2];Caudovirales[2];Siphoviridae[1];unclassified Podoviridae[1];Celeribacter phage P12053L[1]</t>
  </si>
  <si>
    <t>Viruses;Caudovirales;Siphoviridae;unclassified Podoviridae;Celeribacter phage P12053L</t>
  </si>
  <si>
    <t>Viruses[2];Caudovirales[2];Podoviridae[1];unclassified Podoviridae[1];Roseobacter phage DSS3P8[1]</t>
  </si>
  <si>
    <t>DNAUV-26.770-92</t>
  </si>
  <si>
    <t>Viruses[9];Caudovirales[9];Siphoviridae[5];unclassified Podoviridae[2];Celeribacter phage P12053L[2];Pseudomonas[1];unclassified Pseudoalteromonas[1];Pseudomonas aeruginosa[1]</t>
  </si>
  <si>
    <t>Viruses;Caudovirales;Siphoviridae;unclassified Podoviridae;Celeribacter phage P12053L;Pseudomonas;unclassified Pseudoalteromonas;Pseudomonas aeruginosa</t>
  </si>
  <si>
    <t>Viruses[9];Caudovirales[9];Siphoviridae[5];unclassified Podoviridae[2];Celeribacter phage P12053L[2];Dinoroseobacter phage vB_DshS-R5C[1]</t>
  </si>
  <si>
    <t>DNAUV-4.194-11475</t>
  </si>
  <si>
    <t>Viruses[2];Caudovirales[2];Siphoviridae[1];unclassified Podoviridae[1];Cellulophaga phage phi10:1[1];Pseudoalteromonas[1];unclassified Pseudoalteromonas[1];Pseudoalteromonas sp. TMED43[1]</t>
  </si>
  <si>
    <t>Viruses;Caudovirales;Siphoviridae;unclassified Podoviridae;Cellulophaga phage phi10:1;Pseudoalteromonas;unclassified Pseudoalteromonas;Pseudoalteromonas sp. TMED43</t>
  </si>
  <si>
    <t>Viruses[2];Caudovirales[2];Siphoviridae[1];unclassified Podoviridae[1];Pseudoalteromonas phage RIO-1[1]</t>
  </si>
  <si>
    <t>DNAUV-2.817-10</t>
  </si>
  <si>
    <t>Viruses[2];Caudovirales[2];Siphoviridae[1];unclassified Podoviridae[1];Croceibacter phage P2559S[1];Flavobacteriales[1];Flavobacteriaceae[1];Aquimarina[1];Aquimarina longa[1]</t>
  </si>
  <si>
    <t>Viruses;Caudovirales;Siphoviridae;unclassified Podoviridae;Croceibacter phage P2559S;Flavobacteriales;Flavobacteriaceae;Aquimarina;Aquimarina longa</t>
  </si>
  <si>
    <t>Viruses[2];Caudovirales[2];Siphoviridae[1];unclassified Podoviridae[1];Cellulophaga phage phi19:3[1]</t>
  </si>
  <si>
    <t>DNAUV-2.845-34</t>
  </si>
  <si>
    <t>Viruses;Caudovirales;Siphoviridae;unclassified Podoviridae;EBPR podovirus 2</t>
  </si>
  <si>
    <t>DNAUV-3.728-8.8</t>
  </si>
  <si>
    <t>Viruses[2];Caudovirales[2];Siphoviridae[1];unclassified Podoviridae[1];Enterobacteriaceae[1];Klebsiella[1];Klebsiella oxytoca[1]</t>
  </si>
  <si>
    <t>Viruses;Caudovirales;Siphoviridae;unclassified Podoviridae;Enterobacteriaceae;Klebsiella;Klebsiella oxytoca</t>
  </si>
  <si>
    <t>Viruses[2];Caudovirales[2];Podoviridae[1];unclassified Podoviridae[1];Cronobacter phage vB_CsaP_Ss1[1]</t>
  </si>
  <si>
    <t>DNAUV-7.253-326</t>
  </si>
  <si>
    <t>Viruses[3];Caudovirales[3];Siphoviridae[2];unclassified Podoviridae[1];Roseobacter virus RDJL1[1];Roseobacter phage RDJL Phi 1[1];unclassified Blastomonas[1];Blastomonas sp. CCH1-A6[1]</t>
  </si>
  <si>
    <t>Viruses;Caudovirales;Siphoviridae;unclassified Podoviridae;Roseobacter virus RDJL1;Roseobacter phage RDJL Phi 1;unclassified Blastomonas;Blastomonas sp. CCH1-A6</t>
  </si>
  <si>
    <t>Viruses[3];Caudovirales[3];Siphoviridae[2];Xiamenvirus[1];Celeribacter phage P12053L[1];Roseobacter phage RDJL Phi 1[1]</t>
  </si>
  <si>
    <t>DNAUV-8.665-4197</t>
  </si>
  <si>
    <t>Viruses[5];Caudovirales[5];Siphoviridae[2];unclassified Podoviridae[1];unclassified Baltimorevirus[1];Clostridiaceae[1];Phaeobacter gallaeciensis[1];Sphingomonas sp. Leaf10[1]</t>
  </si>
  <si>
    <t>Viruses;Caudovirales;Siphoviridae;unclassified Podoviridae;unclassified Baltimorevirus;Clostridiaceae;Phaeobacter gallaeciensis;Sphingomonas sp. Leaf10</t>
  </si>
  <si>
    <t>Viruses[5];Caudovirales[5];Siphoviridae[2];unclassified Myoviridae[1];unclassified Baltimorevirus[1];Dinoroseobacter phage vB_DshS-R5C[1]</t>
  </si>
  <si>
    <t>DNAUV-2.876-6.9</t>
  </si>
  <si>
    <t>Viruses[2];Caudovirales[2];Siphoviridae[1];unclassified Podoviridae[1];Vibrio phage 1.276.O._10N.286.54.E4[1]</t>
  </si>
  <si>
    <t>Viruses;Caudovirales;Siphoviridae;unclassified Podoviridae;Vibrio phage 1.276.O._10N.286.54.E4</t>
  </si>
  <si>
    <t>Viruses[2];Caudovirales[2];Siphoviridae[1];unclassified Siphoviridae[1];Vibrio phage VvAW1[1]</t>
  </si>
  <si>
    <t>DNAUV-2.112-3875</t>
  </si>
  <si>
    <t>Viruses[1];Caudovirales[1];Siphoviridae[1];unclassified Siphoviridae[1];Achromobacter phage phiAxp-2[1]</t>
  </si>
  <si>
    <t>Viruses;Caudovirales;Siphoviridae;unclassified Siphoviridae;Achromobacter phage phiAxp-2</t>
  </si>
  <si>
    <t>DNAUV-2.648-195</t>
  </si>
  <si>
    <t>Viruses[1];Caudovirales[1];Siphoviridae[1];unclassified Siphoviridae[1];Aeromonas phage AhSzq-1[1]</t>
  </si>
  <si>
    <t>Viruses;Caudovirales;Siphoviridae;unclassified Siphoviridae;Aeromonas phage AhSzq-1</t>
  </si>
  <si>
    <t>DNAUV-2.043-299</t>
  </si>
  <si>
    <t>Viruses[1];Caudovirales[1];Siphoviridae[1];unclassified Siphoviridae[1];Alteromonadaceae[1];Marinobacter[1];Marinobacter segnicrescens[1]</t>
  </si>
  <si>
    <t>Viruses;Caudovirales;Siphoviridae;unclassified Siphoviridae;Alteromonadaceae;Marinobacter;Marinobacter segnicrescens</t>
  </si>
  <si>
    <t>DNAUV-2.130-11</t>
  </si>
  <si>
    <t>Viruses[1];Caudovirales[1];Siphoviridae[1];unclassified Siphoviridae[1];Alteromonas phage JH01[1]</t>
  </si>
  <si>
    <t>Viruses;Caudovirales;Siphoviridae;unclassified Siphoviridae;Alteromonas phage JH01</t>
  </si>
  <si>
    <t>DNAUV-4.132-9.0</t>
  </si>
  <si>
    <t>Viruses[7];Caudovirales[7];Siphoviridae[7];unclassified Siphoviridae[7];Alteromonas phage PB15[6]</t>
  </si>
  <si>
    <t>Viruses;Caudovirales;Siphoviridae;unclassified Siphoviridae;Alteromonas phage PB15</t>
  </si>
  <si>
    <t>DNAUV-4.552-13</t>
  </si>
  <si>
    <t>Viruses[6];Caudovirales[6];Siphoviridae[6];unclassified Siphoviridae[6];Alteromonas phage PB15[6]</t>
  </si>
  <si>
    <t>DNAUV-6.097-23</t>
  </si>
  <si>
    <t>Viruses[5];Caudovirales[5];Siphoviridae[5];unclassified Siphoviridae[5];Alteromonas phage PB15[5]</t>
  </si>
  <si>
    <t>DNAUV-2.615-11</t>
  </si>
  <si>
    <t>Viruses[3];Caudovirales[3];Siphoviridae[3];unclassified Siphoviridae[3];Alteromonas phage PB15[3]</t>
  </si>
  <si>
    <t>DNAUV-2.695-12</t>
  </si>
  <si>
    <t>Viruses[2];Caudovirales[2];Siphoviridae[2];unclassified Siphoviridae[2];Alteromonas phage PB15[2]</t>
  </si>
  <si>
    <t>DNAUV-2.039-16</t>
  </si>
  <si>
    <t>Viruses[1];Caudovirales[1];Siphoviridae[1];unclassified Siphoviridae[1];Alteromonas phage PB15[1]</t>
  </si>
  <si>
    <t>DNAUV-5.801-14</t>
  </si>
  <si>
    <t>Viruses[6];Caudovirales[6];Siphoviridae[6];unclassified Siphoviridae[6];Alteromonas phage PB15[6];Bacillaceae[1];Bacillus[1];Bacillus cereus group[1];Bacillus cereus[1]</t>
  </si>
  <si>
    <t>Viruses;Caudovirales;Siphoviridae;unclassified Siphoviridae;Alteromonas phage PB15;Bacillaceae;Bacillus;Bacillus cereus group;Bacillus cereus</t>
  </si>
  <si>
    <t>DNAUV-3.768-12-V2</t>
  </si>
  <si>
    <t>Viruses[3];Caudovirales[3];Siphoviridae[2];unclassified Siphoviridae[2];Alteromonas phage PB15[2];Comamonas[1];Comamonas testosteroni[1]</t>
  </si>
  <si>
    <t>Viruses;Caudovirales;Siphoviridae;unclassified Siphoviridae;Alteromonas phage PB15;Comamonas;Comamonas testosteroni</t>
  </si>
  <si>
    <t>Viruses[3];Caudovirales[3];Siphoviridae[2];unclassified Siphoviridae[2];Alteromonas phage PB15[2];Pseudomonas phage pf16[1]</t>
  </si>
  <si>
    <t>DNAUV-5.235-14</t>
  </si>
  <si>
    <t>Viruses[5];Caudovirales[5];Siphoviridae[5];unclassified Siphoviridae[5];Alteromonas phage PB15[5];Tolypothrichaceae[1];Tolypothrix[1];unclassified Tolypothrix[1];Tolypothrix sp. NIES-4075[1]</t>
  </si>
  <si>
    <t>Viruses;Caudovirales;Siphoviridae;unclassified Siphoviridae;Alteromonas phage PB15;Tolypothrichaceae;Tolypothrix;unclassified Tolypothrix;Tolypothrix sp. NIES-4075</t>
  </si>
  <si>
    <t>DNAUV-4.227-15-V2</t>
  </si>
  <si>
    <t>Viruses[1];Caudovirales[1];Siphoviridae[1];unclassified Siphoviridae[1];Alteromonas phage PB15[1];Vibrio[1];unclassified Vibrio[1];Vibrio sp. 0908[1]</t>
  </si>
  <si>
    <t>Viruses;Caudovirales;Siphoviridae;unclassified Siphoviridae;Alteromonas phage PB15;Vibrio;unclassified Vibrio;Vibrio sp. 0908</t>
  </si>
  <si>
    <t>DNAUV-3.309-8.3</t>
  </si>
  <si>
    <t>Viruses[2];Caudovirales[2];Siphoviridae[2];unclassified Siphoviridae[2];Ascomycota[1];Kushneria[1];Pezizomycotina[1];unclassified Bacillus[1];sordariomyceta[1];Sordariomycetes[1];Sordariomycetidae[1];Diaporthales[1];Diaporthaceae[1];Diaporthe[1];Diaporthe ampelina[1]</t>
  </si>
  <si>
    <t>Viruses;Caudovirales;Siphoviridae;unclassified Siphoviridae;Ascomycota;Kushneria;Pezizomycotina;unclassified Bacillus;sordariomyceta;Sordariomycetes;Sordariomycetidae;Diaporthales;Diaporthaceae;Diaporthe;Diaporthe ampelina</t>
  </si>
  <si>
    <t>Viruses[2];Caudovirales[2];Siphoviridae[2];unclassified Siphoviridae[2];Vibrio phage vB_VpS_PG07[1]</t>
  </si>
  <si>
    <t>DNAUV-3.814-14</t>
  </si>
  <si>
    <t>Viruses[2];Caudovirales[2];Siphoviridae[2];unclassified Siphoviridae[2];Bacillales[1];Bacillaceae[1];Bacillus[1];Bacillus cereus group[1];Bacillus thuringiensis[1]</t>
  </si>
  <si>
    <t>Viruses;Caudovirales;Siphoviridae;unclassified Siphoviridae;Bacillales;Bacillaceae;Bacillus;Bacillus cereus group;Bacillus thuringiensis</t>
  </si>
  <si>
    <t>DNAUV-3.449-62</t>
  </si>
  <si>
    <t>Viruses[1];Caudovirales[1];Siphoviridae[1];unclassified Siphoviridae[1];Bacteroides phage B124-14[1]</t>
  </si>
  <si>
    <t>Viruses;Caudovirales;Siphoviridae;unclassified Siphoviridae;Bacteroides phage B124-14</t>
  </si>
  <si>
    <t>DNAUV-2.210-18</t>
  </si>
  <si>
    <t>Viruses[1];Caudovirales[1];Siphoviridae[1];unclassified Siphoviridae[1];Bacteroidia[1];Bacteroidales[1];Dysgonamonadaceae[1];Dysgonomonas[1];Dysgonomonas massiliensis[1]</t>
  </si>
  <si>
    <t>Viruses;Caudovirales;Siphoviridae;unclassified Siphoviridae;Bacteroidia;Bacteroidales;Dysgonamonadaceae;Dysgonomonas;Dysgonomonas massiliensis</t>
  </si>
  <si>
    <t>Viruses[1];Caudovirales[1];Siphoviridae[1];unclassified Siphoviridae[1];Enterococcus phage VPE25[1]</t>
  </si>
  <si>
    <t>DNAUV-2.792-291</t>
  </si>
  <si>
    <t>Viruses[1];Caudovirales[1];Siphoviridae[1];unclassified Siphoviridae[1];Bradyrhizobiaceae[1];Bradyrhizobium[1];unclassified Bradyrhizobium[1];Bradyrhizobium sp. ORS 285[1]</t>
  </si>
  <si>
    <t>Viruses;Caudovirales;Siphoviridae;unclassified Siphoviridae;Bradyrhizobiaceae;Bradyrhizobium;unclassified Bradyrhizobium;Bradyrhizobium sp. ORS 285</t>
  </si>
  <si>
    <t>Viruses[1];Caudovirales[1];Siphoviridae[1];unclassified Siphoviridae[1];Idiomarinaceae phage 1N2-2[1]</t>
  </si>
  <si>
    <t>DNAUV-2.857-222</t>
  </si>
  <si>
    <t>Viruses[2];Caudovirales[2];Siphoviridae[1];unclassified Siphoviridae[1];Brucella virus Tb[1];Klebsiella[1];unclassified Phaeobacter[1];Phaeobacter sp. 11ANDIMAR09[1]</t>
  </si>
  <si>
    <t>Viruses;Caudovirales;Siphoviridae;unclassified Siphoviridae;Brucella virus Tb;Klebsiella;unclassified Phaeobacter;Phaeobacter sp. 11ANDIMAR09</t>
  </si>
  <si>
    <t>Viruses[2];Caudovirales[2];Siphoviridae[1];unclassified Siphoviridae[1];Pseudoalteromonas phage H103[1];Brucella phage Tb[1]</t>
  </si>
  <si>
    <t>DNAUV-2.819-26</t>
  </si>
  <si>
    <t>Viruses[1];Caudovirales[1];Siphoviridae[1];unclassified Siphoviridae[1];Burkholderiaceae[1];Cupriavidus[1];unclassified Cupriavidus[1];Cupriavidus sp. UYPR2.512[1]</t>
  </si>
  <si>
    <t>Viruses;Caudovirales;Siphoviridae;unclassified Siphoviridae;Burkholderiaceae;Cupriavidus;unclassified Cupriavidus;Cupriavidus sp. UYPR2.512</t>
  </si>
  <si>
    <t>DNAUV-2.955-25</t>
  </si>
  <si>
    <t>Viruses[1];Caudovirales[1];Siphoviridae[1];unclassified Siphoviridae[1];Caulobacter phage CcrColossus[1]</t>
  </si>
  <si>
    <t>Viruses;Caudovirales;Siphoviridae;unclassified Siphoviridae;Caulobacter phage CcrColossus</t>
  </si>
  <si>
    <t>DNAUV-3.679-35</t>
  </si>
  <si>
    <t>Viruses[1];Caudovirales[1];Siphoviridae[1];unclassified Siphoviridae[1];Caulobacter phage CcrColossus[1];Aureimonas[1];Aureimonas ureilytica[1]</t>
  </si>
  <si>
    <t>Viruses;Caudovirales;Siphoviridae;unclassified Siphoviridae;Caulobacter phage CcrColossus;Aureimonas;Aureimonas ureilytica</t>
  </si>
  <si>
    <t>DNAUV-13.057-36</t>
  </si>
  <si>
    <t>Viruses[1];Caudovirales[1];Siphoviridae[1];unclassified Siphoviridae[1];Caulobacter phage CcrColossus[1];Cytophagales[1];Cytophagaceae[1];Fibrella[1];Fibrella aestuarina[1];Fibrella aestuarina BUZ 2[1]</t>
  </si>
  <si>
    <t>Viruses;Caudovirales;Siphoviridae;unclassified Siphoviridae;Caulobacter phage CcrColossus;Cytophagales;Cytophagaceae;Fibrella;Fibrella aestuarina;Fibrella aestuarina BUZ 2</t>
  </si>
  <si>
    <t>DNAUV-3.472-272</t>
  </si>
  <si>
    <t>Viruses[1];Caudovirales[1];Siphoviridae[1];unclassified Siphoviridae[1];Caulobacter phage CcrColossus[1];Pontibaca[1];Pontibaca methylaminivorans[1]</t>
  </si>
  <si>
    <t>Viruses;Caudovirales;Siphoviridae;unclassified Siphoviridae;Caulobacter phage CcrColossus;Pontibaca;Pontibaca methylaminivorans</t>
  </si>
  <si>
    <t>DNAUV-2.219-168</t>
  </si>
  <si>
    <t>Viruses[1];Caudovirales[1];Siphoviridae[1];unclassified Siphoviridae[1];Caulobacter phage CcrPW[1]</t>
  </si>
  <si>
    <t>Viruses;Caudovirales;Siphoviridae;unclassified Siphoviridae;Caulobacter phage CcrPW</t>
  </si>
  <si>
    <t>DNAUV-2.301-208</t>
  </si>
  <si>
    <t>DNAUV-2.618-59</t>
  </si>
  <si>
    <t>DNAUV-2.701-743</t>
  </si>
  <si>
    <t>DNAUV-2.434-510</t>
  </si>
  <si>
    <t>DNAUV-2.495-287</t>
  </si>
  <si>
    <t>Viruses[1];Caudovirales[1];Siphoviridae[1];unclassified Siphoviridae[1];Caulobacter phage Seuss[1];Caulobacter[1];unclassified Caulobacter[1];Caulobacter sp. FWC2[1]</t>
  </si>
  <si>
    <t>Viruses;Caudovirales;Siphoviridae;unclassified Siphoviridae;Caulobacter phage Seuss;Caulobacter;unclassified Caulobacter;Caulobacter sp. FWC2</t>
  </si>
  <si>
    <t>DNAUV-3.268-9.2</t>
  </si>
  <si>
    <t>Viruses[1];Caudovirales[1];Siphoviridae[1];unclassified Siphoviridae[1];Caulobacteraceae[1];Caulobacter[1];Caulobacter henricii[1]</t>
  </si>
  <si>
    <t>Viruses;Caudovirales;Siphoviridae;unclassified Siphoviridae;Caulobacteraceae;Caulobacter;Caulobacter henricii</t>
  </si>
  <si>
    <t>Viruses[1];Caudovirales[1];Siphoviridae[1];unclassified Siphoviridae[1];Ruegeria phage vB_RpoS-V10[1]</t>
  </si>
  <si>
    <t>DNAUV-5.654-32</t>
  </si>
  <si>
    <t>Viruses[1];Caudovirales[1];Siphoviridae[1];unclassified Siphoviridae[1];Caulobacteraceae[1];Caulobacter[1];Caulobacter vibrioides[1]</t>
  </si>
  <si>
    <t>Viruses;Caudovirales;Siphoviridae;unclassified Siphoviridae;Caulobacteraceae;Caulobacter;Caulobacter vibrioides</t>
  </si>
  <si>
    <t>Viruses[1];Caudovirales[1];Siphoviridae[1];unclassified Siphoviridae[1];Synechococcus phage S-CBS4[1]</t>
  </si>
  <si>
    <t>DNAUV-2.017-18</t>
  </si>
  <si>
    <t>DNAUV-24.553-87</t>
  </si>
  <si>
    <t>Viruses[14];Caudovirales[14];Siphoviridae[13];unclassified Siphoviridae[10];Cellulophaga phage phi10:1[10];Flavobacteriales[5];Flavobacteriaceae[5];Elizabethkingia[2];Sulfuricurvum sp. MLSB[2];Nonlabens sp. YIK11[1]</t>
  </si>
  <si>
    <t>Viruses;Caudovirales;Siphoviridae;unclassified Siphoviridae;Cellulophaga phage phi10:1;Flavobacteriales;Flavobacteriaceae;Elizabethkingia;Sulfuricurvum sp. MLSB;Nonlabens sp. YIK11</t>
  </si>
  <si>
    <t>Viruses[14];Caudovirales[14];Siphoviridae[13];unclassified Siphoviridae[10];Cellulophaga phage phi10:1[10];Polaribacter phage P12002L[2]</t>
  </si>
  <si>
    <t>DNAUV-3.952-366</t>
  </si>
  <si>
    <t>Viruses;Caudovirales;Siphoviridae;unclassified Siphoviridae;Cellulophaga phage phi19:1</t>
  </si>
  <si>
    <t>DNAUV-2.626-11</t>
  </si>
  <si>
    <t>Viruses[1];Caudovirales[1];Siphoviridae[1];unclassified Siphoviridae[1];Cellulophaga phage phi19:1[1];Bacteroidales[1];Porphyromonadaceae[1];Porphyromonas[1];Porphyromonas somerae[1]</t>
  </si>
  <si>
    <t>Viruses;Caudovirales;Siphoviridae;unclassified Siphoviridae;Cellulophaga phage phi19:1;Bacteroidales;Porphyromonadaceae;Porphyromonas;Porphyromonas somerae</t>
  </si>
  <si>
    <t>DNAUV-3.451-212</t>
  </si>
  <si>
    <t>Viruses[1];Caudovirales[1];Siphoviridae[1];unclassified Siphoviridae[1];Cellulophaga phage phi19:1[1];Chitinophagales[1];Chitinophagaceae[1];Arachidicoccus[1];Arachidicoccus rhizosphaerae[1]</t>
  </si>
  <si>
    <t>Viruses;Caudovirales;Siphoviridae;unclassified Siphoviridae;Cellulophaga phage phi19:1;Chitinophagales;Chitinophagaceae;Arachidicoccus;Arachidicoccus rhizosphaerae</t>
  </si>
  <si>
    <t>DNAUV-2.816-92</t>
  </si>
  <si>
    <t>Viruses[1];Caudovirales[1];Siphoviridae[1];unclassified Siphoviridae[1];Cellulophaga phage phi19:1[1];Cytophagales[1];Cytophagaceae[1];Cytophaga[1];Cytophaga xylanolytica[1]</t>
  </si>
  <si>
    <t>Viruses;Caudovirales;Siphoviridae;unclassified Siphoviridae;Cellulophaga phage phi19:1;Cytophagales;Cytophagaceae;Cytophaga;Cytophaga xylanolytica</t>
  </si>
  <si>
    <t>DNAUV-2.921-10</t>
  </si>
  <si>
    <t>Viruses[1];Caudovirales[1];Siphoviridae[1];unclassified Siphoviridae[1];Cellulophaga phage phi19:1[1];Flavobacteriales[1];Flavobacteriaceae[1];Cruoricaptor[1];Cruoricaptor ignavus[1]</t>
  </si>
  <si>
    <t>Viruses;Caudovirales;Siphoviridae;unclassified Siphoviridae;Cellulophaga phage phi19:1;Flavobacteriales;Flavobacteriaceae;Cruoricaptor;Cruoricaptor ignavus</t>
  </si>
  <si>
    <t>DNAUV-3.271-2045</t>
  </si>
  <si>
    <t>Viruses[1];Caudovirales[1];Siphoviridae[1];unclassified Siphoviridae[1];Cellulophaga phage phi19:1[1];Flavobacteriales[1];Flavobacteriaceae[1];Muricauda[1];unclassified Muricauda[1];Muricauda sp. MAR_2010_75[1]</t>
  </si>
  <si>
    <t>Viruses;Caudovirales;Siphoviridae;unclassified Siphoviridae;Cellulophaga phage phi19:1;Flavobacteriales;Flavobacteriaceae;Muricauda;unclassified Muricauda;Muricauda sp. MAR_2010_75</t>
  </si>
  <si>
    <t>DNAUV-6.006-11</t>
  </si>
  <si>
    <t>Viruses[3];Caudovirales[3];Siphoviridae[3];unclassified Siphoviridae[3];Cellulophaga phage phi19:1[3];Flavobacteriales[1];Flavobacteriaceae[1];Robiginitalea[1];Robiginitalea biformata[1];Robiginitalea biformata HTCC2501[1]</t>
  </si>
  <si>
    <t>Viruses;Caudovirales;Siphoviridae;unclassified Siphoviridae;Cellulophaga phage phi19:1;Flavobacteriales;Flavobacteriaceae;Robiginitalea;Robiginitalea biformata;Robiginitalea biformata HTCC2501</t>
  </si>
  <si>
    <t>Viruses[3];Caudovirales[3];Siphoviridae[3];unclassified Siphoviridae[3];Cellulophaga phage phi19:1[3]</t>
  </si>
  <si>
    <t>DNAUV-6.035-13</t>
  </si>
  <si>
    <t>Viruses[1];Caudovirales[1];Siphoviridae[1];unclassified Siphoviridae[1];Cellulophaga phage phi39:1[1]</t>
  </si>
  <si>
    <t>Viruses;Caudovirales;Siphoviridae;unclassified Siphoviridae;Cellulophaga phage phi39:1</t>
  </si>
  <si>
    <t>DNAUV-35.226-432</t>
  </si>
  <si>
    <t>Viruses[18];Caudovirales[18];Siphoviridae[18];unclassified Siphoviridae[16];Cellulophaga phage phi39:1[16];Flavobacteriales[10];Flavobacteriaceae[10];Aquimarina[3];unclassified Aquimarina[2];Aquimarina sp. Aq78[2]</t>
  </si>
  <si>
    <t>Viruses;Caudovirales;Siphoviridae;unclassified Siphoviridae;Cellulophaga phage phi39:1;Flavobacteriales;Flavobacteriaceae;Aquimarina;unclassified Aquimarina;Aquimarina sp. Aq78</t>
  </si>
  <si>
    <t>Viruses[18];Caudovirales[18];Siphoviridae[18];unclassified Siphoviridae[16];Cellulophaga phage phi39:1[16];Polaribacter phage P12002S[1]</t>
  </si>
  <si>
    <t>DNAUV-5.120-119</t>
  </si>
  <si>
    <t>Viruses[1];Caudovirales[1];Siphoviridae[1];unclassified Siphoviridae[1];Cellulophaga phage phi46:1[1];Saprospirales[1];Haliscomenobacteraceae[1];Phaeodactylibacter[1];Phaeodactylibacter xiamenensis[1]</t>
  </si>
  <si>
    <t>Viruses;Caudovirales;Siphoviridae;unclassified Siphoviridae;Cellulophaga phage phi46:1;Saprospirales;Haliscomenobacteraceae;Phaeodactylibacter;Phaeodactylibacter xiamenensis</t>
  </si>
  <si>
    <t>Viruses[1];Caudovirales[1];Siphoviridae[1];unclassified Siphoviridae[1];Cellulophaga phage phi46:1[1]</t>
  </si>
  <si>
    <t>DNAUV-4.605-763</t>
  </si>
  <si>
    <t>Viruses[1];Caudovirales[1];Siphoviridae[1];unclassified Siphoviridae[1];Chelatococcaceae[1];Chelatococcus[1];Chelatococcus sambhunathii[1]</t>
  </si>
  <si>
    <t>Viruses;Caudovirales;Siphoviridae;unclassified Siphoviridae;Chelatococcaceae;Chelatococcus;Chelatococcus sambhunathii</t>
  </si>
  <si>
    <t>DNAUV-6.556-14</t>
  </si>
  <si>
    <t>Viruses[1];Caudovirales[1];Siphoviridae[1];unclassified Siphoviridae[1];Chlorobia[1];Chlorobiales[1];Chlorobiaceae[1];Chlorobium/Pelodictyon group[1];Chlorobium[1];Chlorobium phaeobacteroides[1]</t>
  </si>
  <si>
    <t>Viruses;Caudovirales;Siphoviridae;unclassified Siphoviridae;Chlorobia;Chlorobiales;Chlorobiaceae;Chlorobium/Pelodictyon group;Chlorobium;Chlorobium phaeobacteroides</t>
  </si>
  <si>
    <t>Viruses[1];Caudovirales[1];Siphoviridae[1];unclassified Siphoviridae[1];Caulobacter phage Sansa[1]</t>
  </si>
  <si>
    <t>DNAUV-2.169-12</t>
  </si>
  <si>
    <t>Viruses[1];Caudovirales[1];Siphoviridae[1];unclassified Siphoviridae[1];Chloroflexales[1];Roseiflexineae[1];Roseiflexaceae[1];Kouleothrix[1];Kouleothrix aurantiaca[1]</t>
  </si>
  <si>
    <t>Viruses;Caudovirales;Siphoviridae;unclassified Siphoviridae;Chloroflexales;Roseiflexineae;Roseiflexaceae;Kouleothrix;Kouleothrix aurantiaca</t>
  </si>
  <si>
    <t>Viruses[1];Caudovirales[1];Siphoviridae[1];unclassified Siphoviridae[1];Silicibacter phage DSS3-P1[1]</t>
  </si>
  <si>
    <t>DNAUV-5.390-384</t>
  </si>
  <si>
    <t>Viruses[1];Caudovirales[1];Siphoviridae[1];unclassified Siphoviridae[1];Clostridiales[1];Clostridiales incertae sedis[1];Clostridiales Family XVII. Incertae Sedis[1];Sulfobacillus[1];Sulfobacillus acidophilus[1]</t>
  </si>
  <si>
    <t>Viruses;Caudovirales;Siphoviridae;unclassified Siphoviridae;Clostridiales;Clostridiales incertae sedis;Clostridiales Family XVII. Incertae Sedis;Sulfobacillus;Sulfobacillus acidophilus</t>
  </si>
  <si>
    <t>DNAUV-2.353-6.9</t>
  </si>
  <si>
    <t>Viruses[1];Caudovirales[1];Siphoviridae[1];unclassified Siphoviridae[1];Comamonadaceae[1];Limnohabitans[1];Limnohabitans curvus[1]</t>
  </si>
  <si>
    <t>Viruses;Caudovirales;Siphoviridae;unclassified Siphoviridae;Comamonadaceae;Limnohabitans;Limnohabitans curvus</t>
  </si>
  <si>
    <t>DNAUV-2.052-13</t>
  </si>
  <si>
    <t>Viruses[2];Caudovirales[2];Siphoviridae[1];unclassified Siphoviridae[1];Comamonadaceae[1];Pseudorhodoferax[1];unclassified Pseudorhodoferax[1];Pseudorhodoferax sp. Leaf274[1]</t>
  </si>
  <si>
    <t>Viruses;Caudovirales;Siphoviridae;unclassified Siphoviridae;Comamonadaceae;Pseudorhodoferax;unclassified Pseudorhodoferax;Pseudorhodoferax sp. Leaf274</t>
  </si>
  <si>
    <t>Viruses[2];Caudovirales[2];Podoviridae[1];unclassified Podoviridae[1];Vibrio phage 1.079.O._10N.286.45.E9[1]</t>
  </si>
  <si>
    <t>DNAUV-5.013-558</t>
  </si>
  <si>
    <t>Viruses[3];Caudovirales[3];Siphoviridae[3];unclassified Siphoviridae[3];Croceibacter phage P2559S[2]</t>
  </si>
  <si>
    <t>DNAUV-46.098-673</t>
  </si>
  <si>
    <t>Viruses[19];Caudovirales[19];Siphoviridae[19];unclassified Siphoviridae[19];Croceibacter phage P2559S[13];Bacteroidales[5];Bacteroidaceae[3];Bacteroides[3];Bacteroides plebeius[1];Bacteroides sp. HMSC073E02[1]</t>
  </si>
  <si>
    <t>Viruses;Caudovirales;Siphoviridae;unclassified Siphoviridae;Croceibacter phage P2559S;Bacteroidales;Bacteroidaceae;Bacteroides;Bacteroides plebeius;Bacteroides sp. HMSC073E02</t>
  </si>
  <si>
    <t>Viruses[19];Caudovirales[19];Siphoviridae[19];unclassified Siphoviridae[19];Croceibacter phage P2559S[13]</t>
  </si>
  <si>
    <t>DNAUV-4.836-99</t>
  </si>
  <si>
    <t>Viruses[1];Caudovirales[1];Siphoviridae[1];unclassified Siphoviridae[1];Croceibacter phage P2559S[1];Clostridiaceae[1];Clostridium[1];Clostridium botulinum[1]</t>
  </si>
  <si>
    <t>Viruses;Caudovirales;Siphoviridae;unclassified Siphoviridae;Croceibacter phage P2559S;Clostridiaceae;Clostridium;Clostridium botulinum</t>
  </si>
  <si>
    <t>Viruses[1];Caudovirales[1];Siphoviridae[1];unclassified Siphoviridae[1];Croceibacter phage P2559S[1]</t>
  </si>
  <si>
    <t>DNAUV-4.315-290</t>
  </si>
  <si>
    <t>Viruses[5];Caudovirales[5];Siphoviridae[5];unclassified Siphoviridae[5];Croceibacter phage P2559Y[5]</t>
  </si>
  <si>
    <t>DNAUV-5.733-15</t>
  </si>
  <si>
    <t>Viruses[2];Caudovirales[2];Siphoviridae[2];unclassified Siphoviridae[2];Croceibacter phage P2559Y[2]</t>
  </si>
  <si>
    <t>DNAUV-3.130-473</t>
  </si>
  <si>
    <t>DNAUV-8.723-20</t>
  </si>
  <si>
    <t>DNAUV-9.016-726</t>
  </si>
  <si>
    <t>Viruses[4];Caudovirales[4];Siphoviridae[4];unclassified Siphoviridae[4];Croceibacter phage P2559Y[2];Cytophagales[1];Bacteroidaceae[1];Adhaeribacter[1];Adhaeribacter aquaticus[1]</t>
  </si>
  <si>
    <t>Viruses;Caudovirales;Siphoviridae;unclassified Siphoviridae;Croceibacter phage P2559Y;Cytophagales;Bacteroidaceae;Adhaeribacter;Adhaeribacter aquaticus</t>
  </si>
  <si>
    <t>Viruses[4];Caudovirales[4];Siphoviridae[4];unclassified Siphoviridae[4];Croceibacter phage P2559S[2]</t>
  </si>
  <si>
    <t>DNAUV-8.053-230</t>
  </si>
  <si>
    <t>Viruses[2];Caudovirales[2];Siphoviridae[2];unclassified Siphoviridae[2];Croceibacter phage P2559Y[2];Flavobacteriales[1];Flavobacteriaceae[1];Maribacter[1];unclassified Maribacter[1];Maribacter sp. MAR_2009_60[1]</t>
  </si>
  <si>
    <t>Viruses;Caudovirales;Siphoviridae;unclassified Siphoviridae;Croceibacter phage P2559Y;Flavobacteriales;Flavobacteriaceae;Maribacter;unclassified Maribacter;Maribacter sp. MAR_2009_60</t>
  </si>
  <si>
    <t>DNAUV-9.846-39</t>
  </si>
  <si>
    <t>Viruses[5];Caudovirales[5];Siphoviridae[5];unclassified Siphoviridae[5];Croceibacter phage P2559Y[5];Lachnospiraceae[1];Clostridium[1];Herbinix hemicellulosilytica[1]</t>
  </si>
  <si>
    <t>Viruses;Caudovirales;Siphoviridae;unclassified Siphoviridae;Croceibacter phage P2559Y;Lachnospiraceae;Clostridium;Herbinix hemicellulosilytica</t>
  </si>
  <si>
    <t>DNAUV-2.161-9.0</t>
  </si>
  <si>
    <t>Viruses[1];Caudovirales[1];Siphoviridae[1];unclassified Siphoviridae[1];Cyanophage PSS2[1];Streptomycetaceae[1];Streptomyces[1];Streptomyces tsukubensis[1];Streptomyces tsukubensis NRRL18488[1]</t>
  </si>
  <si>
    <t>Viruses;Caudovirales;Siphoviridae;unclassified Siphoviridae;Cyanophage PSS2;Streptomycetaceae;Streptomyces;Streptomyces tsukubensis;Streptomyces tsukubensis NRRL18488</t>
  </si>
  <si>
    <t>DNAUV-2.360-24</t>
  </si>
  <si>
    <t>Viruses[1];Caudovirales[1];Siphoviridae[1];unclassified Siphoviridae[1];Cytophagia[1];Nitrososphaeraceae[1];Cytophagaceae[1];Nitrososphaera viennensis[1];Spirosoma oryzae[1]</t>
  </si>
  <si>
    <t>Viruses;Caudovirales;Siphoviridae;unclassified Siphoviridae;Cytophagia;Nitrososphaeraceae;Cytophagaceae;Nitrososphaera viennensis;Spirosoma oryzae</t>
  </si>
  <si>
    <t>DNAUV-4.356-49</t>
  </si>
  <si>
    <t>Viruses[3];Caudovirales[3];Siphoviridae[2];unclassified Siphoviridae[2];EBPR podovirus 2[1]</t>
  </si>
  <si>
    <t>Viruses;Caudovirales;Siphoviridae;unclassified Siphoviridae;EBPR podovirus 2</t>
  </si>
  <si>
    <t>DNAUV-4.839-80</t>
  </si>
  <si>
    <t>Viruses[3];Caudovirales[3];Siphoviridae[2];unclassified Siphoviridae[2];Pseudoalteromonas phage H103[1]</t>
  </si>
  <si>
    <t>DNAUV-2.810-49</t>
  </si>
  <si>
    <t>Viruses[2];Caudovirales[2];Siphoviridae[1];unclassified Siphoviridae[1];EBPR podovirus 2[1];Paracoccus[1];Paracoccus pantotrophus[1]</t>
  </si>
  <si>
    <t>Viruses;Caudovirales;Siphoviridae;unclassified Siphoviridae;EBPR podovirus 2;Paracoccus;Paracoccus pantotrophus</t>
  </si>
  <si>
    <t>Viruses[2];Caudovirales[2];Podoviridae[1];unclassified Podoviridae[1];Synechococcus phage S-LBS1[1]</t>
  </si>
  <si>
    <t>DNAUV-2.098-12</t>
  </si>
  <si>
    <t>Viruses;Caudovirales;Siphoviridae;unclassified Siphoviridae;EBPR siphovirus 2</t>
  </si>
  <si>
    <t>DNAUV-2.178-12</t>
  </si>
  <si>
    <t>DNAUV-4.538-757</t>
  </si>
  <si>
    <t>Viruses[1];Caudovirales[1];Siphoviridae[1];unclassified Siphoviridae[1];EBPR siphovirus 2[1];Pseudomonas[1];Pseudomonas aeruginosa group[1];Pseudomonas aeruginosa[1]</t>
  </si>
  <si>
    <t>Viruses;Caudovirales;Siphoviridae;unclassified Siphoviridae;EBPR siphovirus 2;Pseudomonas;Pseudomonas aeruginosa group;Pseudomonas aeruginosa</t>
  </si>
  <si>
    <t>DNAUV-3.685-26</t>
  </si>
  <si>
    <t>Viruses[1];Caudovirales[1];Siphoviridae[1];unclassified Siphoviridae[1];EBPR siphovirus 6[1];Legionella[1];Legionella pneumophila[1]</t>
  </si>
  <si>
    <t>Viruses;Caudovirales;Siphoviridae;unclassified Siphoviridae;EBPR siphovirus 6;Legionella;Legionella pneumophila</t>
  </si>
  <si>
    <t>Viruses[1];Caudovirales[1];Siphoviridae[1];unclassified Siphoviridae[1];EBPR siphovirus 6[1]</t>
  </si>
  <si>
    <t>DNAUV-2.049-14</t>
  </si>
  <si>
    <t>Viruses[1];Caudovirales[1];Siphoviridae[1];unclassified Siphoviridae[1];Endozoicomonadaceae[1];Endozoicomonas[1];Endozoicomonas ascidiicola[1]</t>
  </si>
  <si>
    <t>Viruses;Caudovirales;Siphoviridae;unclassified Siphoviridae;Endozoicomonadaceae;Endozoicomonas;Endozoicomonas ascidiicola</t>
  </si>
  <si>
    <t>Viruses[1];Caudovirales[1];Siphoviridae[1];unclassified Siphoviridae[1];Listeria phage LP-083-1[1]</t>
  </si>
  <si>
    <t>DNAUV-2.131-8.9</t>
  </si>
  <si>
    <t>Viruses[1];Caudovirales[1];Siphoviridae[1];unclassified Siphoviridae[1];Enterobacteria phage mEp021[1];Nocardiaceae[1];Rhodococcus[1];Rhodococcus rhodochrous[1]</t>
  </si>
  <si>
    <t>Viruses;Caudovirales;Siphoviridae;unclassified Siphoviridae;Enterobacteria phage mEp021;Nocardiaceae;Rhodococcus;Rhodococcus rhodochrous</t>
  </si>
  <si>
    <t>Viruses[1];Caudovirales[1];Siphoviridae[1];unclassified Siphoviridae[1];Enterobacteria phage mEp021[1]</t>
  </si>
  <si>
    <t>DNAUV-3.978-37</t>
  </si>
  <si>
    <t>Viruses[1];Caudovirales[1];Siphoviridae[1];unclassified Siphoviridae[1];Enterobacteriaceae[1];Bacillariales[1];Escherichia coli[1];Fragilariopsis[1];Fragilariopsis cylindrus[1];Fragilariopsis cylindrus CCMP1102[1]</t>
  </si>
  <si>
    <t>Viruses;Caudovirales;Siphoviridae;unclassified Siphoviridae;Enterobacteriaceae;Bacillariales;Escherichia coli;Fragilariopsis;Fragilariopsis cylindrus;Fragilariopsis cylindrus CCMP1102</t>
  </si>
  <si>
    <t>Viruses[1];Caudovirales[1];Siphoviridae[1];unclassified Siphoviridae[1];Cyanophage KBS-S-2A[1]</t>
  </si>
  <si>
    <t>DNAUV-2.841-16</t>
  </si>
  <si>
    <t>Viruses[1];Caudovirales[1];Siphoviridae[1];unclassified Siphoviridae[1];Flavobacteriia[1];Flavobacteriales[1];Flavobacteriaceae[1];Gaetbulibacter[1];unclassified Gaetbulibacter[1];Gaetbulibacter sp. 4G1[1]</t>
  </si>
  <si>
    <t>Viruses;Caudovirales;Siphoviridae;unclassified Siphoviridae;Flavobacteriia;Flavobacteriales;Flavobacteriaceae;Gaetbulibacter;unclassified Gaetbulibacter;Gaetbulibacter sp. 4G1</t>
  </si>
  <si>
    <t>Viruses[1];Caudovirales[1];Siphoviridae[1];unclassified Siphoviridae[1];Gordonia phage GMA1[1]</t>
  </si>
  <si>
    <t>DNAUV-3.460-27</t>
  </si>
  <si>
    <t>Viruses[1];Caudovirales[1];Siphoviridae[1];unclassified Siphoviridae[1];Flavobacteriia[1];Flavobacteriales[1];Flavobacteriaceae[1];Robiginitalea[1];Robiginitalea biformata[1]</t>
  </si>
  <si>
    <t>Viruses;Caudovirales;Siphoviridae;unclassified Siphoviridae;Flavobacteriia;Flavobacteriales;Flavobacteriaceae;Robiginitalea;Robiginitalea biformata</t>
  </si>
  <si>
    <t>DNAUV-2.094-60</t>
  </si>
  <si>
    <t>Viruses;Caudovirales;Siphoviridae;unclassified Siphoviridae;Freshwater phage uvFW-CGR-AMD-COM-C203</t>
  </si>
  <si>
    <t>DNAUV-2.892-541</t>
  </si>
  <si>
    <t>DNAUV-2.705-103</t>
  </si>
  <si>
    <t>Viruses[1];Caudovirales[1];Siphoviridae[1];unclassified Siphoviridae[1];Freshwater phage uvFW-CGR-AMD-COM-C203[1];Ahrensia[1];Ahrensia sp. R2A130[1]</t>
  </si>
  <si>
    <t>Viruses;Caudovirales;Siphoviridae;unclassified Siphoviridae;Freshwater phage uvFW-CGR-AMD-COM-C203;Ahrensia;Ahrensia sp. R2A130</t>
  </si>
  <si>
    <t>DNAUV-2.605-913</t>
  </si>
  <si>
    <t>Viruses[1];Caudovirales[1];Siphoviridae[1];unclassified Siphoviridae[1];Freshwater phage uvFW-CGR-AMD-COM-C203[1];Alteromonas[1];unclassified Alteromonas[1];Alteromonas sp. TMED35[1]</t>
  </si>
  <si>
    <t>Viruses;Caudovirales;Siphoviridae;unclassified Siphoviridae;Freshwater phage uvFW-CGR-AMD-COM-C203;Alteromonas;unclassified Alteromonas;Alteromonas sp. TMED35</t>
  </si>
  <si>
    <t>DNAUV-5.414-14</t>
  </si>
  <si>
    <t>Viruses[2];Caudovirales[2];Siphoviridae[2];unclassified Siphoviridae[2];Gordonia phage GMA2[2];Sanguibacteraceae[1];Sanguibacter[1];Sanguibacter antarcticus[1]</t>
  </si>
  <si>
    <t>Viruses;Caudovirales;Siphoviridae;unclassified Siphoviridae;Gordonia phage GMA2;Sanguibacteraceae;Sanguibacter;Sanguibacter antarcticus</t>
  </si>
  <si>
    <t>Viruses[2];Caudovirales[2];Siphoviridae[2];unclassified Siphoviridae[2];Gordonia phage GMA2[2]</t>
  </si>
  <si>
    <t>DNAUV-4.062-23</t>
  </si>
  <si>
    <t>Viruses[1];Caudovirales[1];Siphoviridae[1];unclassified Siphoviridae[1];Hyphomonadaceae[1];Hyphomonas[1];unclassified Hyphomonas[1];Hyphomonas sp. TMED31[1]</t>
  </si>
  <si>
    <t>Viruses;Caudovirales;Siphoviridae;unclassified Siphoviridae;Hyphomonadaceae;Hyphomonas;unclassified Hyphomonas;Hyphomonas sp. TMED31</t>
  </si>
  <si>
    <t>DNAUV-3.454-12</t>
  </si>
  <si>
    <t>Viruses[3];Caudovirales[3];Siphoviridae[3];unclassified Siphoviridae[3];Idiomarinaceae phage 1N2-2[1]</t>
  </si>
  <si>
    <t>Viruses;Caudovirales;Siphoviridae;unclassified Siphoviridae;Idiomarinaceae phage 1N2-2</t>
  </si>
  <si>
    <t>Viruses[3];Caudovirales[3];Siphoviridae[3];unclassified Siphoviridae[3];Salicola phage CGphi29[1]</t>
  </si>
  <si>
    <t>DNAUV-2.316-18</t>
  </si>
  <si>
    <t>Viruses[1];Caudovirales[1];Siphoviridae[1];unclassified Siphoviridae[1];Idiomarinaceae phage 1N2-2[1];Oligotropha[1];Oligotropha carboxidovorans[1]</t>
  </si>
  <si>
    <t>Viruses;Caudovirales;Siphoviridae;unclassified Siphoviridae;Idiomarinaceae phage 1N2-2;Oligotropha;Oligotropha carboxidovorans</t>
  </si>
  <si>
    <t>DNAUV-3.950-1302</t>
  </si>
  <si>
    <t>Viruses[2];Caudovirales[2];Siphoviridae[2];unclassified Siphoviridae[2];Idiomarinaceae phage 1N2-2[1];Sphingobium[1];unclassified Sphingobium[1];Sphingobium sp. EP60837[1]</t>
  </si>
  <si>
    <t>Viruses;Caudovirales;Siphoviridae;unclassified Siphoviridae;Idiomarinaceae phage 1N2-2;Sphingobium;unclassified Sphingobium;Sphingobium sp. EP60837</t>
  </si>
  <si>
    <t>Viruses[2];Caudovirales[2];Siphoviridae[2];unclassified Siphoviridae[2];Idiomarinaceae phage 1N2-2[1]</t>
  </si>
  <si>
    <t>DNAUV-4.433-14</t>
  </si>
  <si>
    <t>Viruses[1];Caudovirales[1];Siphoviridae[1];unclassified Siphoviridae[1];Idiomarinaceae phage 1N2-2[1];Streptosporangiaceae[1];Sinosporangium[1];Sinosporangium album[1]</t>
  </si>
  <si>
    <t>Viruses;Caudovirales;Siphoviridae;unclassified Siphoviridae;Idiomarinaceae phage 1N2-2;Streptosporangiaceae;Sinosporangium;Sinosporangium album</t>
  </si>
  <si>
    <t>DNAUV-3.458-416</t>
  </si>
  <si>
    <t>Viruses[2];Caudovirales[2];Siphoviridae[2];unclassified Siphoviridae[2];Idiomarinaceae phage Phi1M2-2[1]</t>
  </si>
  <si>
    <t>Viruses;Caudovirales;Siphoviridae;unclassified Siphoviridae;Idiomarinaceae phage Phi1M2-2</t>
  </si>
  <si>
    <t>DNAUV-2.188-12</t>
  </si>
  <si>
    <t>Viruses[4];Caudovirales[4];Siphoviridae[2];unclassified Siphoviridae[2];Idiomarinaceae phage Phi1M2-2[2];Acinetobacter phage YMC11/12/R2315[1]</t>
  </si>
  <si>
    <t>Viruses;Caudovirales;Siphoviridae;unclassified Siphoviridae;Idiomarinaceae phage Phi1M2-2;Acinetobacter phage YMC11/12/R2315</t>
  </si>
  <si>
    <t>DNAUV-42.184-72</t>
  </si>
  <si>
    <t>Viruses[19];Caudovirales[19];Siphoviridae[17];unclassified Siphoviridae[17];Idiomarinaceae phage Phi1M2-2[4];Alteromonas[1];Colwellia psychrerythraea[1];Sinorhizobium fredii group[1];Sinorhizobium fredii[1]</t>
  </si>
  <si>
    <t>Viruses;Caudovirales;Siphoviridae;unclassified Siphoviridae;Idiomarinaceae phage Phi1M2-2;Alteromonas;Colwellia psychrerythraea;Sinorhizobium fredii group;Sinorhizobium fredii</t>
  </si>
  <si>
    <t>Viruses[19];Caudovirales[19];Siphoviridae[17];unclassified Siphoviridae[17];Idiomarinaceae phage Phi1M2-2[4]</t>
  </si>
  <si>
    <t>DNAUV-2.073-24</t>
  </si>
  <si>
    <t>Viruses[1];Caudovirales[1];Siphoviridae[1];unclassified Siphoviridae[1];Lactobacillales[1];Enterococcaceae[1];Enterococcus[1];Enterococcus faecium[1]</t>
  </si>
  <si>
    <t>Viruses;Caudovirales;Siphoviridae;unclassified Siphoviridae;Lactobacillales;Enterococcaceae;Enterococcus;Enterococcus faecium</t>
  </si>
  <si>
    <t>Viruses[1];Caudovirales[1];Siphoviridae[1];unclassified Siphoviridae[1];Vibrio phage 1.122.A._10N.286.46.F8[1]</t>
  </si>
  <si>
    <t>DNAUV-3.399-228</t>
  </si>
  <si>
    <t>Viruses[1];Caudovirales[1];Siphoviridae[1];unclassified Siphoviridae[1];Marinomonas phage P12026[1];Martelella[1];Martelella endophytica[1]</t>
  </si>
  <si>
    <t>Viruses;Caudovirales;Siphoviridae;unclassified Siphoviridae;Marinomonas phage P12026;Martelella;Martelella endophytica</t>
  </si>
  <si>
    <t>Viruses[1];Caudovirales[1];Siphoviridae[1];unclassified Siphoviridae[1];Marinomonas phage P12026[1]</t>
  </si>
  <si>
    <t>DNAUV-10.604-22</t>
  </si>
  <si>
    <t>Viruses[12];Caudovirales[12];Siphoviridae[11];unclassified Siphoviridae[11];Marinomonas phage P12026[11];Pseudomonas[1];Pseudomonas aeruginosa group[1];Pseudomonas oleovorans/pseudoalcaligenes group[1];Pseudomonas oleovorans[1]</t>
  </si>
  <si>
    <t>Viruses;Caudovirales;Siphoviridae;unclassified Siphoviridae;Marinomonas phage P12026;Pseudomonas;Pseudomonas aeruginosa group;Pseudomonas oleovorans/pseudoalcaligenes group;Pseudomonas oleovorans</t>
  </si>
  <si>
    <t>Viruses[12];Caudovirales[12];Siphoviridae[11];unclassified Siphoviridae[11];Marinomonas phage P12026[11]</t>
  </si>
  <si>
    <t>DNAUV-22.127-23</t>
  </si>
  <si>
    <t>Viruses[12];Caudovirales[12];Siphoviridae[10];unclassified Siphoviridae[10];Marinomonas phage P12026[7];Pseudomonas[1];unclassified Marinomonas[1];Marinomonas sp. MED121[1];Ruminococcus sp. NK3A76[1]</t>
  </si>
  <si>
    <t>Viruses;Caudovirales;Siphoviridae;unclassified Siphoviridae;Marinomonas phage P12026;Pseudomonas;unclassified Marinomonas;Marinomonas sp. MED121;Ruminococcus sp. NK3A76</t>
  </si>
  <si>
    <t>Viruses[12];Caudovirales[12];Siphoviridae[10];unclassified Siphoviridae[10];Marinomonas phage P12026[7];Vibrio phage VHML[1]</t>
  </si>
  <si>
    <t>DNAUV-4.236-14</t>
  </si>
  <si>
    <t>Viruses[2];Caudovirales[2];Siphoviridae[2];unclassified Siphoviridae[2];Marinomonas phage P12026[1];Pseudooceanicola[1];Pseudooceanicola marinus[1]</t>
  </si>
  <si>
    <t>Viruses;Caudovirales;Siphoviridae;unclassified Siphoviridae;Marinomonas phage P12026;Pseudooceanicola;Pseudooceanicola marinus</t>
  </si>
  <si>
    <t>DNAUV-2.206-1997</t>
  </si>
  <si>
    <t>Viruses[1];Caudovirales[1];Siphoviridae[1];unclassified Siphoviridae[1];Marinomonas phage P12026[1];Thioalbus[1];Thioalbus denitrificans[1]</t>
  </si>
  <si>
    <t>Viruses;Caudovirales;Siphoviridae;unclassified Siphoviridae;Marinomonas phage P12026;Thioalbus;Thioalbus denitrificans</t>
  </si>
  <si>
    <t>DNAUV-3.829-9.8</t>
  </si>
  <si>
    <t>Viruses[1];Caudovirales[1];Siphoviridae[1];unclassified Siphoviridae[1];Micavibrio[1];Micavibrio aeruginosavorus[1]</t>
  </si>
  <si>
    <t>Viruses;Caudovirales;Siphoviridae;unclassified Siphoviridae;Micavibrio;Micavibrio aeruginosavorus</t>
  </si>
  <si>
    <t>DNAUV-2.479-15</t>
  </si>
  <si>
    <t>Viruses[1];Caudovirales[1];Siphoviridae[1];unclassified Siphoviridae[1];Micrococcales[1];Demequinaceae[1];Demequina[1];unclassified Demequina[1];Demequina sp. NBRC 110055[1]</t>
  </si>
  <si>
    <t>Viruses;Caudovirales;Siphoviridae;unclassified Siphoviridae;Micrococcales;Demequinaceae;Demequina;unclassified Demequina;Demequina sp. NBRC 110055</t>
  </si>
  <si>
    <t>DNAUV-3.048-855</t>
  </si>
  <si>
    <t>Viruses[1];Caudovirales[1];Siphoviridae[1];unclassified Siphoviridae[1];Micrococcales[1];Microbacteriaceae[1];Aurantimicrobium[1];Aurantimicrobium minutum[1]</t>
  </si>
  <si>
    <t>Viruses;Caudovirales;Siphoviridae;unclassified Siphoviridae;Micrococcales;Microbacteriaceae;Aurantimicrobium;Aurantimicrobium minutum</t>
  </si>
  <si>
    <t>DNAUV-2.000-1197</t>
  </si>
  <si>
    <t>Viruses[2];Caudovirales[1];Siphoviridae[1];unclassified Siphoviridae[1];Micromonas pusilla virus 12T[1]</t>
  </si>
  <si>
    <t>Viruses;Caudovirales;Siphoviridae;unclassified Siphoviridae;Micromonas pusilla virus 12T</t>
  </si>
  <si>
    <t>Viruses[2];Caudovirales[1];Siphoviridae[1];unclassified Prasinovirus[1];Micromonas pusilla virus 12T[1]</t>
  </si>
  <si>
    <t>DNAUV-2.733-28</t>
  </si>
  <si>
    <t>Viruses[2];Caudovirales[2];Siphoviridae[1];unclassified Siphoviridae[1];Nitrospiraceae[1];Nitrospira[1];unclassified Luteibacter[1];Luteibacter sp. UNC138MFCol5.1[1]</t>
  </si>
  <si>
    <t>Viruses;Caudovirales;Siphoviridae;unclassified Siphoviridae;Nitrospiraceae;Nitrospira;unclassified Luteibacter;Luteibacter sp. UNC138MFCol5.1</t>
  </si>
  <si>
    <t>Viruses[2];Caudovirales[2];Podoviridae[1];unclassified Podoviridae[1];Sulfitobacter phage pCB2047-C[1]</t>
  </si>
  <si>
    <t>DNAUV-2.014-20</t>
  </si>
  <si>
    <t>Viruses[2];Caudovirales[2];Siphoviridae[2];unclassified Siphoviridae[2];Paracoccus phage vB_PmaS-R3[2]</t>
  </si>
  <si>
    <t>Viruses;Caudovirales;Siphoviridae;unclassified Siphoviridae;Paracoccus phage vB_PmaS-R3</t>
  </si>
  <si>
    <t>DNAUV-3.433-12-V2</t>
  </si>
  <si>
    <t>Viruses[1];Caudovirales[1];Siphoviridae[1];unclassified Siphoviridae[1];Paracoccus phage vB_PmaS-R3[1]</t>
  </si>
  <si>
    <t>DNAUV-42.404-84</t>
  </si>
  <si>
    <t>Viruses[33];Caudovirales[33];Siphoviridae[33];unclassified Siphoviridae[29];Paracoccus phage vB_PmaS-R3[29];Acinetobacter[2];Acinetobacter calcoaceticus/baumannii complex[2];Acinetobacter baumannii[2];Nonomuraea sp. NEAU-YG30[1]</t>
  </si>
  <si>
    <t>Viruses;Caudovirales;Siphoviridae;unclassified Siphoviridae;Paracoccus phage vB_PmaS-R3;Acinetobacter;Acinetobacter calcoaceticus/baumannii complex;Acinetobacter baumannii;Nonomuraea sp. NEAU-YG30</t>
  </si>
  <si>
    <t>Viruses[33];Caudovirales[33];Siphoviridae[33];unclassified Siphoviridae[29];Paracoccus phage vB_PmaS-R3[29];Acinetobacter phage IMEAB3[1]</t>
  </si>
  <si>
    <t>DNAUV-44.091-1296</t>
  </si>
  <si>
    <t>Viruses[29];Caudovirales[29];Siphoviridae[29];unclassified Siphoviridae[15];Paracoccus phage vB_PmaS-R3[10];Burkholderia phage vB_BceS_KL1[4];unclassified Cohaesibacter[1];Cohaesibacter sp. YE-B6[1];Rhizobium sp. CF048[1]</t>
  </si>
  <si>
    <t>Viruses;Caudovirales;Siphoviridae;unclassified Siphoviridae;Paracoccus phage vB_PmaS-R3;Burkholderia phage vB_BceS_KL1;unclassified Cohaesibacter;Cohaesibacter sp. YE-B6;Rhizobium sp. CF048</t>
  </si>
  <si>
    <t>Viruses[29];Caudovirales[29];Siphoviridae[29];unclassified Siphoviridae[15];Paracoccus phage vB_PmaS-R3[10];Burkholderia phage vB_BceS_KL1[4]</t>
  </si>
  <si>
    <t>DNAUV-2.254-14-V2</t>
  </si>
  <si>
    <t>Viruses[1];Caudovirales[1];Siphoviridae[1];unclassified Siphoviridae[1];Paracoccus phage vB_PmaS-R3[1];Roseovarius[1];Roseovarius aestuarii[1]</t>
  </si>
  <si>
    <t>Viruses;Caudovirales;Siphoviridae;unclassified Siphoviridae;Paracoccus phage vB_PmaS-R3;Roseovarius;Roseovarius aestuarii</t>
  </si>
  <si>
    <t>DNAUV-3.683-885</t>
  </si>
  <si>
    <t>Viruses[2];Caudovirales[2];Siphoviridae[1];unclassified Siphoviridae[1];Pelagibacter phage HTVC008M[1];Deinococcaceae[1];Deinococcus[1];Deinococcus peraridilitoris[1]</t>
  </si>
  <si>
    <t>Viruses;Caudovirales;Siphoviridae;unclassified Siphoviridae;Pelagibacter phage HTVC008M;Deinococcaceae;Deinococcus;Deinococcus peraridilitoris</t>
  </si>
  <si>
    <t>Viruses[2];Caudovirales[2];Myoviridae[1];unclassified Siphoviridae[1];Pseudomonas phage KPP23[1]</t>
  </si>
  <si>
    <t>DNAUV-3.946-3390</t>
  </si>
  <si>
    <t>Viruses[2];Caudovirales[2];Siphoviridae[2];unclassified Siphoviridae[1];Polaribacter virus P12002S[1];Polaribacter phage P12002S[1]</t>
  </si>
  <si>
    <t>Viruses;Caudovirales;Siphoviridae;unclassified Siphoviridae;Polaribacter virus P12002S;Polaribacter phage P12002S</t>
  </si>
  <si>
    <t>Viruses[2];Caudovirales[2];Siphoviridae[2];Incheonvrus[1];Synechococcus phage S-CBS2[1];Polaribacter phage P12002S[1]</t>
  </si>
  <si>
    <t>DNAUV-2.010-677</t>
  </si>
  <si>
    <t>DNAUV-6.502-141</t>
  </si>
  <si>
    <t>Viruses[7];Caudovirales[7];Siphoviridae[7];unclassified Siphoviridae[7];Pontimonas phage phiPsal1[7]</t>
  </si>
  <si>
    <t>DNAUV-5.269-158</t>
  </si>
  <si>
    <t>Viruses[6];Caudovirales[6];Siphoviridae[6];unclassified Siphoviridae[6];Pontimonas phage phiPsal1[6]</t>
  </si>
  <si>
    <t>DNAUV-5.408-33</t>
  </si>
  <si>
    <t>Viruses[6];Caudovirales[5];Siphoviridae[4];unclassified Siphoviridae[4];Pontimonas phage phiPsal1[4]</t>
  </si>
  <si>
    <t>DNAUV-3.816-231</t>
  </si>
  <si>
    <t>DNAUV-4.132-106</t>
  </si>
  <si>
    <t>DNAUV-4.595-108</t>
  </si>
  <si>
    <t>DNAUV-2.589-89</t>
  </si>
  <si>
    <t>DNAUV-3.330-229</t>
  </si>
  <si>
    <t>DNAUV-3.804-223</t>
  </si>
  <si>
    <t>DNAUV-4.686-1106</t>
  </si>
  <si>
    <t>DNAUV-4.725-110</t>
  </si>
  <si>
    <t>DNAUV-4.822-298</t>
  </si>
  <si>
    <t>DNAUV-5.450-206</t>
  </si>
  <si>
    <t>DNAUV-5.795-300</t>
  </si>
  <si>
    <t>DNAUV-6.247-1163</t>
  </si>
  <si>
    <t>DNAUV-2.047-79</t>
  </si>
  <si>
    <t>DNAUV-2.203-105</t>
  </si>
  <si>
    <t>DNAUV-2.615-1035</t>
  </si>
  <si>
    <t>DNAUV-2.948-371</t>
  </si>
  <si>
    <t>DNAUV-3.237-613</t>
  </si>
  <si>
    <t>Viruses[3];Caudovirales[3];Siphoviridae[2];unclassified Siphoviridae[2];Pontimonas phage phiPsal1[2]</t>
  </si>
  <si>
    <t>DNAUV-6.350-323</t>
  </si>
  <si>
    <t>DNAUV-2.102-872</t>
  </si>
  <si>
    <t>DNAUV-2.169-96</t>
  </si>
  <si>
    <t>DNAUV-2.283-963</t>
  </si>
  <si>
    <t>DNAUV-2.325-1078</t>
  </si>
  <si>
    <t>DNAUV-2.544-154</t>
  </si>
  <si>
    <t>DNAUV-2.661-20</t>
  </si>
  <si>
    <t>DNAUV-2.287-42</t>
  </si>
  <si>
    <t>DNAUV-2.775-113</t>
  </si>
  <si>
    <t>DNAUV-2.036-97</t>
  </si>
  <si>
    <t>Viruses[1];Caudovirales[1];Siphoviridae[1];unclassified Siphoviridae[1];Pontimonas phage phiPsal1[1];Acinetobacter[1];Acinetobacter calcoaceticus/baumannii complex[1];Acinetobacter baumannii[1]</t>
  </si>
  <si>
    <t>Viruses;Caudovirales;Siphoviridae;unclassified Siphoviridae;Pontimonas phage phiPsal1;Acinetobacter;Acinetobacter calcoaceticus/baumannii complex;Acinetobacter baumannii</t>
  </si>
  <si>
    <t>DNAUV-4.322-25</t>
  </si>
  <si>
    <t>Viruses[5];Caudovirales[5];Siphoviridae[4];unclassified Siphoviridae[4];Pontimonas phage phiPsal1[4];Arthrobacter phage vB_ArtM-ArV1[1];Saccharomonospora[1];Rhodococcus kyotonensis[1];Saccharomonospora sp. CUA-673[1]</t>
  </si>
  <si>
    <t>Viruses;Caudovirales;Siphoviridae;unclassified Siphoviridae;Pontimonas phage phiPsal1;Arthrobacter phage vB_ArtM-ArV1;Saccharomonospora;Rhodococcus kyotonensis;Saccharomonospora sp. CUA-673</t>
  </si>
  <si>
    <t>Viruses[5];Caudovirales[5];Siphoviridae[4];unclassified Siphoviridae[4];Pontimonas phage phiPsal1[4];Arthrobacter phage vB_ArtM-ArV1[1]</t>
  </si>
  <si>
    <t>DNAUV-6.547-120</t>
  </si>
  <si>
    <t>Viruses[2];Caudovirales[2];Siphoviridae[2];unclassified Siphoviridae[2];Pontimonas phage phiPsal1[2];Bradyrhizobium[1];Bradyrhizobium lablabi[1]</t>
  </si>
  <si>
    <t>Viruses;Caudovirales;Siphoviridae;unclassified Siphoviridae;Pontimonas phage phiPsal1;Bradyrhizobium;Bradyrhizobium lablabi</t>
  </si>
  <si>
    <t>DNAUV-9.697-307</t>
  </si>
  <si>
    <t>Viruses[8];Caudovirales[8];Siphoviridae[7];unclassified Siphoviridae[7];Pontimonas phage phiPsal1[7];Bradyrhizobium[1];unclassified Bradyrhizobium[1];Halanaerobium congolense[1]</t>
  </si>
  <si>
    <t>Viruses;Caudovirales;Siphoviridae;unclassified Siphoviridae;Pontimonas phage phiPsal1;Bradyrhizobium;unclassified Bradyrhizobium;Halanaerobium congolense</t>
  </si>
  <si>
    <t>Viruses[8];Caudovirales[8];Siphoviridae[7];unclassified Siphoviridae[7];Pontimonas phage phiPsal1[7]</t>
  </si>
  <si>
    <t>DNAUV-19.663-1360</t>
  </si>
  <si>
    <t>Viruses[13];Caudovirales[13];Siphoviridae[13];unclassified Siphoviridae[13];Pontimonas phage phiPsal1[13];Citrobacter[1];Citrobacter freundii complex[1];Citrobacter braakii[1];Dysgonomonas macrotermitis[1]</t>
  </si>
  <si>
    <t>Viruses;Caudovirales;Siphoviridae;unclassified Siphoviridae;Pontimonas phage phiPsal1;Citrobacter;Citrobacter freundii complex;Citrobacter braakii;Dysgonomonas macrotermitis</t>
  </si>
  <si>
    <t>Viruses[13];Caudovirales[13];Siphoviridae[13];unclassified Siphoviridae[13];Pontimonas phage phiPsal1[13]</t>
  </si>
  <si>
    <t>DNAUV-3.954-103</t>
  </si>
  <si>
    <t>Viruses[4];Caudovirales[4];Siphoviridae[4];unclassified Siphoviridae[4];Pontimonas phage phiPsal1[4];Cytophagales[1];Cyclobacteriaceae[1];Algoriphagus[1];Algoriphagus marincola[1]</t>
  </si>
  <si>
    <t>Viruses;Caudovirales;Siphoviridae;unclassified Siphoviridae;Pontimonas phage phiPsal1;Cytophagales;Cyclobacteriaceae;Algoriphagus;Algoriphagus marincola</t>
  </si>
  <si>
    <t>DNAUV-2.775-62</t>
  </si>
  <si>
    <t>Viruses[3];Caudovirales[3];Siphoviridae[3];unclassified Siphoviridae[3];Pontimonas phage phiPsal1[3];Cytophagales[1];Cyclobacteriaceae[1];Algoriphagus[1];Algoriphagus marincola[1]</t>
  </si>
  <si>
    <t>DNAUV-3.914-119</t>
  </si>
  <si>
    <t>DNAUV-3.896-76</t>
  </si>
  <si>
    <t>Viruses[3];Caudovirales[3];Siphoviridae[3];unclassified Siphoviridae[3];Pontimonas phage phiPsal1[3];Gemmataceae[1];Nocardia[1];Nocardia puris[1]</t>
  </si>
  <si>
    <t>Viruses;Caudovirales;Siphoviridae;unclassified Siphoviridae;Pontimonas phage phiPsal1;Gemmataceae;Nocardia;Nocardia puris</t>
  </si>
  <si>
    <t>DNAUV-9.330-291</t>
  </si>
  <si>
    <t>Viruses[8];Caudovirales[8];Siphoviridae[8];unclassified Siphoviridae[8];Pontimonas phage phiPsal1[8];Legionella[1];Legionella pneumophila[1]</t>
  </si>
  <si>
    <t>Viruses[8];Caudovirales[8];Siphoviridae[8];unclassified Siphoviridae[8];Pontimonas phage phiPsal1[8]</t>
  </si>
  <si>
    <t>DNAUV-2.283-397</t>
  </si>
  <si>
    <t>Viruses[2];Caudovirales[2];Siphoviridae[2];unclassified Siphoviridae[2];Pontimonas phage phiPsal1[2];Microbacteriaceae[1];Aurantimicrobium[1];Aurantimicrobium minutum[1]</t>
  </si>
  <si>
    <t>Viruses;Caudovirales;Siphoviridae;unclassified Siphoviridae;Pontimonas phage phiPsal1;Microbacteriaceae;Aurantimicrobium;Aurantimicrobium minutum</t>
  </si>
  <si>
    <t>DNAUV-9.007-689</t>
  </si>
  <si>
    <t>Viruses[9];Caudovirales[9];Siphoviridae[9];unclassified Siphoviridae[9];Pontimonas phage phiPsal1[9];Micrococcaceae[1];Paeniglutamicibacter[1];Paeniglutamicibacter antarcticus[1]</t>
  </si>
  <si>
    <t>Viruses;Caudovirales;Siphoviridae;unclassified Siphoviridae;Pontimonas phage phiPsal1;Micrococcaceae;Paeniglutamicibacter;Paeniglutamicibacter antarcticus</t>
  </si>
  <si>
    <t>DNAUV-2.441-30</t>
  </si>
  <si>
    <t>Viruses[2];Caudovirales[2];Siphoviridae[2];unclassified Siphoviridae[2];Pontimonas phage phiPsal1[2];Mycobacteriaceae[1];Terracoccus[1];unclassified Terracoccus[1];Terracoccus sp. 273MFTsu3.1[1]</t>
  </si>
  <si>
    <t>Viruses;Caudovirales;Siphoviridae;unclassified Siphoviridae;Pontimonas phage phiPsal1;Mycobacteriaceae;Terracoccus;unclassified Terracoccus;Terracoccus sp. 273MFTsu3.1</t>
  </si>
  <si>
    <t>DNAUV-6.604-1139</t>
  </si>
  <si>
    <t>Viruses[7];Caudovirales[7];Siphoviridae[7];unclassified Siphoviridae[7];Pontimonas phage phiPsal1[7];Nocardiaceae[1];Rhodococcus[1];Rhodococcus erythropolis[1]</t>
  </si>
  <si>
    <t>Viruses;Caudovirales;Siphoviridae;unclassified Siphoviridae;Pontimonas phage phiPsal1;Nocardiaceae;Rhodococcus;Rhodococcus erythropolis</t>
  </si>
  <si>
    <t>DNAUV-2.979-124</t>
  </si>
  <si>
    <t>Viruses[2];Caudovirales[2];Siphoviridae[2];unclassified Siphoviridae[2];Pontimonas phage phiPsal1[2];Nocardiaceae[1];Rhodococcus[1];unclassified Rhodococcus[1];Rhodococcus sp. S2-17[1]</t>
  </si>
  <si>
    <t>Viruses;Caudovirales;Siphoviridae;unclassified Siphoviridae;Pontimonas phage phiPsal1;Nocardiaceae;Rhodococcus;unclassified Rhodococcus;Rhodococcus sp. S2-17</t>
  </si>
  <si>
    <t>DNAUV-7.580-18</t>
  </si>
  <si>
    <t>Viruses[5];Caudovirales[5];Siphoviridae[5];unclassified Siphoviridae[5];Pontimonas phage phiPsal1[5];Oscillatoriales[1];Nonomuraea[1];Cyanothece[1];unclassified Cyanothece[1];Cyanothece sp. PCC 7425[1]</t>
  </si>
  <si>
    <t>Viruses;Caudovirales;Siphoviridae;unclassified Siphoviridae;Pontimonas phage phiPsal1;Oscillatoriales;Nonomuraea;Cyanothece;unclassified Cyanothece;Cyanothece sp. PCC 7425</t>
  </si>
  <si>
    <t>DNAUV-3.331-20</t>
  </si>
  <si>
    <t>Viruses[2];Caudovirales[2];Siphoviridae[2];unclassified Siphoviridae[2];Pontimonas phage phiPsal1[2];Pantoea[1];Pantoea stewartii[1]</t>
  </si>
  <si>
    <t>Viruses;Caudovirales;Siphoviridae;unclassified Siphoviridae;Pontimonas phage phiPsal1;Pantoea;Pantoea stewartii</t>
  </si>
  <si>
    <t>DNAUV-7.475-1312</t>
  </si>
  <si>
    <t>Viruses[5];Caudovirales[5];Siphoviridae[5];unclassified Siphoviridae[5];Pontimonas phage phiPsal1[5];Pseudonocardiaceae[1];Arthrobacter[1];unclassified Arthrobacter[1];Arthrobacter sp. EpRS66[1]</t>
  </si>
  <si>
    <t>Viruses;Caudovirales;Siphoviridae;unclassified Siphoviridae;Pontimonas phage phiPsal1;Pseudonocardiaceae;Arthrobacter;unclassified Arthrobacter;Arthrobacter sp. EpRS66</t>
  </si>
  <si>
    <t>DNAUV-15.533-18</t>
  </si>
  <si>
    <t>Viruses[17];Caudovirales[16];Siphoviridae[16];unclassified Siphoviridae[16];Pontimonas phage phiPsal1[16];Pseudonocardiaceae[1];Kutzneria[1];Kutzneria albida[1];Arthrobacter sp. yr096[1]</t>
  </si>
  <si>
    <t>Viruses;Caudovirales;Siphoviridae;unclassified Siphoviridae;Pontimonas phage phiPsal1;Pseudonocardiaceae;Kutzneria;Kutzneria albida;Arthrobacter sp. yr096</t>
  </si>
  <si>
    <t>Viruses[17];Caudovirales[16];Siphoviridae[16];unclassified Siphoviridae[16];Pontimonas phage phiPsal1[16]</t>
  </si>
  <si>
    <t>DNAUV-12.383-30</t>
  </si>
  <si>
    <t>Viruses[7];Caudovirales[7];Siphoviridae[7];unclassified Siphoviridae[7];Pontimonas phage phiPsal1[7];Pseudonocardiaceae[1];Rubritepida flocculans[1];Streptomyces cattleya[1]</t>
  </si>
  <si>
    <t>Viruses;Caudovirales;Siphoviridae;unclassified Siphoviridae;Pontimonas phage phiPsal1;Pseudonocardiaceae;Rubritepida flocculans;Streptomyces cattleya</t>
  </si>
  <si>
    <t>DNAUV-8.623-317</t>
  </si>
  <si>
    <t>Viruses[5];Caudovirales[5];Siphoviridae[5];unclassified Siphoviridae[5];Pontimonas phage phiPsal1[5];Pseudonocardiaceae[1];Streptomyces[1];Aliifodinibius[1];Streptomyces sp. NBRC 109706[1]</t>
  </si>
  <si>
    <t>Viruses;Caudovirales;Siphoviridae;unclassified Siphoviridae;Pontimonas phage phiPsal1;Pseudonocardiaceae;Streptomyces;Aliifodinibius;Streptomyces sp. NBRC 109706</t>
  </si>
  <si>
    <t>DNAUV-5.320-300</t>
  </si>
  <si>
    <t>Viruses[3];Caudovirales[3];Siphoviridae[3];unclassified Siphoviridae[3];Pontimonas phage phiPsal1[3];Sinorhizobium/Ensifer group[1];Ensifer[1];Ensifer adhaerens[1]</t>
  </si>
  <si>
    <t>Viruses;Caudovirales;Siphoviridae;unclassified Siphoviridae;Pontimonas phage phiPsal1;Sinorhizobium/Ensifer group;Ensifer;Ensifer adhaerens</t>
  </si>
  <si>
    <t>DNAUV-3.229-25</t>
  </si>
  <si>
    <t>Viruses[4];Caudovirales[4];Siphoviridae[4];unclassified Siphoviridae[3];Pontimonas phage phiPsal1[3];Streptomyces virus Caliburn[1];Aphanizomenon[1];Aphanizomenon flos-aquae[1];Aphanizomenon flos-aquae WA102[1]</t>
  </si>
  <si>
    <t>Viruses;Caudovirales;Siphoviridae;unclassified Siphoviridae;Pontimonas phage phiPsal1;Streptomyces virus Caliburn;Aphanizomenon;Aphanizomenon flos-aquae;Aphanizomenon flos-aquae WA102</t>
  </si>
  <si>
    <t>Viruses[4];Caudovirales[4];Siphoviridae[4];unclassified Siphoviridae[3];Pontimonas phage phiPsal1[3];Streptomyces virus Caliburn[1];Streptomyces phage Caliburn[1]</t>
  </si>
  <si>
    <t>DNAUV-35.223-36</t>
  </si>
  <si>
    <t>Viruses[21];Caudovirales[21];Siphoviridae[20];unclassified Siphoviridae[19];Pontimonas phage phiPsal1[19];Streptomycetaceae[3];Arthrobacter[2];unclassified Arthrobacter[2];Streptomyces sp. TSRI0281[1]</t>
  </si>
  <si>
    <t>Viruses;Caudovirales;Siphoviridae;unclassified Siphoviridae;Pontimonas phage phiPsal1;Streptomycetaceae;Arthrobacter;unclassified Arthrobacter;Streptomyces sp. TSRI0281</t>
  </si>
  <si>
    <t>Viruses[21];Caudovirales[21];Siphoviridae[20];unclassified Siphoviridae[19];Pontimonas phage phiPsal1[19];Gordonia phage ClubL[1]</t>
  </si>
  <si>
    <t>DNAUV-4.427-233</t>
  </si>
  <si>
    <t>Viruses[3];Caudovirales[3];Siphoviridae[3];unclassified Siphoviridae[3];Pontimonas phage phiPsal1[3];Streptomycetaceae[1];Kitasatospora[1];unclassified Kitasatospora[1];Kitasatospora sp. CB02891[1]</t>
  </si>
  <si>
    <t>Viruses;Caudovirales;Siphoviridae;unclassified Siphoviridae;Pontimonas phage phiPsal1;Streptomycetaceae;Kitasatospora;unclassified Kitasatospora;Kitasatospora sp. CB02891</t>
  </si>
  <si>
    <t>DNAUV-2.775-59</t>
  </si>
  <si>
    <t>Viruses[2];Caudovirales[2];Siphoviridae[2];unclassified Siphoviridae[2];Pontimonas phage phiPsal1[2];Streptomycetaceae[1];Kitasatospora[1];unclassified Kitasatospora[1];Kitasatospora sp. CB02891[1]</t>
  </si>
  <si>
    <t>DNAUV-3.396-1079</t>
  </si>
  <si>
    <t>Viruses[2];Caudovirales[2];Siphoviridae[2];unclassified Siphoviridae[2];Pontimonas phage phiPsal1[2];Streptomycetaceae[1];Streptacidiphilus[1];Streptacidiphilus albus[1]</t>
  </si>
  <si>
    <t>Viruses;Caudovirales;Siphoviridae;unclassified Siphoviridae;Pontimonas phage phiPsal1;Streptomycetaceae;Streptacidiphilus;Streptacidiphilus albus</t>
  </si>
  <si>
    <t>DNAUV-12.051-269</t>
  </si>
  <si>
    <t>Viruses[7];Caudovirales[7];Siphoviridae[7];unclassified Siphoviridae[7];Pontimonas phage phiPsal1[6];Streptomycetaceae[2];Streptomyces[2];Streptomyces canus[1];Modestobacter sp. DSM 44400[1]</t>
  </si>
  <si>
    <t>Viruses;Caudovirales;Siphoviridae;unclassified Siphoviridae;Pontimonas phage phiPsal1;Streptomycetaceae;Streptomyces;Streptomyces canus;Modestobacter sp. DSM 44400</t>
  </si>
  <si>
    <t>Viruses[7];Caudovirales[7];Siphoviridae[7];unclassified Siphoviridae[7];Pontimonas phage phiPsal1[6]</t>
  </si>
  <si>
    <t>DNAUV-13.200-228</t>
  </si>
  <si>
    <t>Viruses[8];Caudovirales[8];Siphoviridae[8];unclassified Siphoviridae[8];Pontimonas phage phiPsal1[8];Streptomycetaceae[2];Streptomyces[2];Streptomyces canus[1];Streptomyces sp. SDr-06[1]</t>
  </si>
  <si>
    <t>Viruses;Caudovirales;Siphoviridae;unclassified Siphoviridae;Pontimonas phage phiPsal1;Streptomycetaceae;Streptomyces;Streptomyces canus;Streptomyces sp. SDr-06</t>
  </si>
  <si>
    <t>DNAUV-14.707-100</t>
  </si>
  <si>
    <t>Viruses[7];Caudovirales[7];Siphoviridae[7];unclassified Siphoviridae[7];Pontimonas phage phiPsal1[6];Streptomycetaceae[2];Streptomyces[2];unclassified Streptomyces[2];Streptomyces sp. NBRC 109706[1]</t>
  </si>
  <si>
    <t>Viruses;Caudovirales;Siphoviridae;unclassified Siphoviridae;Pontimonas phage phiPsal1;Streptomycetaceae;Streptomyces;unclassified Streptomyces;Streptomyces sp. NBRC 109706</t>
  </si>
  <si>
    <t>DNAUV-7.327-58</t>
  </si>
  <si>
    <t>Viruses[3];Caudovirales[3];Siphoviridae[3];unclassified Siphoviridae[3];Pontimonas phage phiPsal1[3];Streptosporangiaceae[1];Amycolatopsis[1];Nonomuraea wenchangensis[1]</t>
  </si>
  <si>
    <t>Viruses;Caudovirales;Siphoviridae;unclassified Siphoviridae;Pontimonas phage phiPsal1;Streptosporangiaceae;Amycolatopsis;Nonomuraea wenchangensis</t>
  </si>
  <si>
    <t>DNAUV-10.817-54</t>
  </si>
  <si>
    <t>Viruses[6];Caudovirales[6];Siphoviridae[6];unclassified Siphoviridae[6];Pontimonas phage phiPsal1[6];Streptosporangiaceae[1];Nonomuraea[1];Nonomuraea wenchangensis[1]</t>
  </si>
  <si>
    <t>Viruses;Caudovirales;Siphoviridae;unclassified Siphoviridae;Pontimonas phage phiPsal1;Streptosporangiaceae;Nonomuraea;Nonomuraea wenchangensis</t>
  </si>
  <si>
    <t>DNAUV-3.916-565</t>
  </si>
  <si>
    <t>Viruses[3];Caudovirales[3];Siphoviridae[3];unclassified Siphoviridae[3];Pontimonas phage phiPsal1[3];Streptosporangiaceae[1];Planobispora[1];Planobispora rosea[1]</t>
  </si>
  <si>
    <t>Viruses;Caudovirales;Siphoviridae;unclassified Siphoviridae;Pontimonas phage phiPsal1;Streptosporangiaceae;Planobispora;Planobispora rosea</t>
  </si>
  <si>
    <t>DNAUV-3.786-348</t>
  </si>
  <si>
    <t>Viruses[3];Caudovirales[3];Siphoviridae[3];unclassified Siphoviridae[3];Pseudoalteromonas phage H103[3]</t>
  </si>
  <si>
    <t>Viruses;Caudovirales;Siphoviridae;unclassified Siphoviridae;Pseudoalteromonas phage H103</t>
  </si>
  <si>
    <t>DNAUV-2.314-182</t>
  </si>
  <si>
    <t>Viruses[2];Caudovirales[2];Siphoviridae[2];unclassified Siphoviridae[2];Pseudoalteromonas phage H103[2]</t>
  </si>
  <si>
    <t>DNAUV-2.639-28</t>
  </si>
  <si>
    <t>DNAUV-2.791-15</t>
  </si>
  <si>
    <t>DNAUV-2.661-212</t>
  </si>
  <si>
    <t>DNAUV-2.999-11</t>
  </si>
  <si>
    <t>Viruses[2];Caudovirales[2];Siphoviridae[2];unclassified Siphoviridae[2];Pseudoalteromonas phage H103[2];Bacteroidales[1];Bacteroidaceae[1];Bacteroides[1];Bacteroides zoogleoformans[1]</t>
  </si>
  <si>
    <t>Viruses;Caudovirales;Siphoviridae;unclassified Siphoviridae;Pseudoalteromonas phage H103;Bacteroidales;Bacteroidaceae;Bacteroides;Bacteroides zoogleoformans</t>
  </si>
  <si>
    <t>DNAUV-2.554-139</t>
  </si>
  <si>
    <t>Viruses[3];Caudovirales[3];Siphoviridae[2];unclassified Siphoviridae[2];Pseudoalteromonas phage H103[2];Brucella phage Tb[1]</t>
  </si>
  <si>
    <t>Viruses;Caudovirales;Siphoviridae;unclassified Siphoviridae;Pseudoalteromonas phage H103;Brucella phage Tb</t>
  </si>
  <si>
    <t>DNAUV-3.210-12</t>
  </si>
  <si>
    <t>DNAUV-3.545-223</t>
  </si>
  <si>
    <t>Viruses[1];Caudovirales[1];Siphoviridae[1];unclassified Siphoviridae[1];Pseudoalteromonas phage H103[1];Burkholderia[1];unclassified Burkholderia[1];Burkholderia sp. KK1[1]</t>
  </si>
  <si>
    <t>Viruses;Caudovirales;Siphoviridae;unclassified Siphoviridae;Pseudoalteromonas phage H103;Burkholderia;unclassified Burkholderia;Burkholderia sp. KK1</t>
  </si>
  <si>
    <t>DNAUV-8.503-35</t>
  </si>
  <si>
    <t>Viruses[4];Caudovirales[4];Siphoviridae[3];unclassified Siphoviridae[3];Pseudoalteromonas phage H103[2];Hafnia[1];Hafnia alvei[1]</t>
  </si>
  <si>
    <t>Viruses;Caudovirales;Siphoviridae;unclassified Siphoviridae;Pseudoalteromonas phage H103;Hafnia;Hafnia alvei</t>
  </si>
  <si>
    <t>Viruses[4];Caudovirales[4];Siphoviridae[3];unclassified Siphoviridae[3];Pseudoalteromonas phage H103[2]</t>
  </si>
  <si>
    <t>DNAUV-2.487-15</t>
  </si>
  <si>
    <t>Viruses[1];Caudovirales[1];Siphoviridae[1];unclassified Siphoviridae[1];Pseudoalteromonas phage H103[1];Hyphomicrobium[1];Hyphomicrobium denitrificans[1]</t>
  </si>
  <si>
    <t>Viruses;Caudovirales;Siphoviridae;unclassified Siphoviridae;Pseudoalteromonas phage H103;Hyphomicrobium;Hyphomicrobium denitrificans</t>
  </si>
  <si>
    <t>DNAUV-9.187-98</t>
  </si>
  <si>
    <t>Viruses[6];Caudovirales[6];Siphoviridae[5];unclassified Siphoviridae[5];Pseudoalteromonas phage H103[4];Kaistia[1];Kaistia soli[1]</t>
  </si>
  <si>
    <t>Viruses;Caudovirales;Siphoviridae;unclassified Siphoviridae;Pseudoalteromonas phage H103;Kaistia;Kaistia soli</t>
  </si>
  <si>
    <t>Viruses[6];Caudovirales[6];Siphoviridae[5];unclassified Siphoviridae[5];Pseudoalteromonas phage H103[4]</t>
  </si>
  <si>
    <t>DNAUV-5.102-23</t>
  </si>
  <si>
    <t>Viruses[4];Caudovirales[4];Siphoviridae[4];unclassified Siphoviridae[4];Pseudoalteromonas phage H103[4];Lactobacillaceae[1];Lactobacillus[1];Lactobacillus fermentum[1]</t>
  </si>
  <si>
    <t>Viruses;Caudovirales;Siphoviridae;unclassified Siphoviridae;Pseudoalteromonas phage H103;Lactobacillaceae;Lactobacillus;Lactobacillus fermentum</t>
  </si>
  <si>
    <t>Viruses[4];Caudovirales[4];Siphoviridae[4];unclassified Siphoviridae[4];Pseudoalteromonas phage H103[4]</t>
  </si>
  <si>
    <t>DNAUV-5.343-12</t>
  </si>
  <si>
    <t>Viruses[4];Caudovirales[4];Siphoviridae[4];unclassified Siphoviridae[3];Pseudoalteromonas phage H103[2];Listeria phage LP-026[1];Bordetella genomosp. 4[1]</t>
  </si>
  <si>
    <t>Viruses;Caudovirales;Siphoviridae;unclassified Siphoviridae;Pseudoalteromonas phage H103;Listeria phage LP-026;Bordetella genomosp. 4</t>
  </si>
  <si>
    <t>Viruses[4];Caudovirales[4];Siphoviridae[4];unclassified Siphoviridae[3];Pseudoalteromonas phage H103[2];Listeria phage LP-026[1]</t>
  </si>
  <si>
    <t>DNAUV-4.606-12</t>
  </si>
  <si>
    <t>Viruses[7];Caudovirales[7];Siphoviridae[6];unclassified Siphoviridae[6];Pseudoalteromonas phage H103[4];Mameliella[1];Mameliella alba[1]</t>
  </si>
  <si>
    <t>Viruses;Caudovirales;Siphoviridae;unclassified Siphoviridae;Pseudoalteromonas phage H103;Mameliella;Mameliella alba</t>
  </si>
  <si>
    <t>Viruses[7];Caudovirales[7];Siphoviridae[6];unclassified Siphoviridae[6];Pseudoalteromonas phage H103[4];Brucella phage Tb[1]</t>
  </si>
  <si>
    <t>DNAUV-7.828-820</t>
  </si>
  <si>
    <t>Viruses[5];Caudovirales[5];Siphoviridae[3];unclassified Siphoviridae[3];Pseudoalteromonas phage H103[3];Maritimibacter[1];Maritimibacter alkaliphilus[1]</t>
  </si>
  <si>
    <t>Viruses;Caudovirales;Siphoviridae;unclassified Siphoviridae;Pseudoalteromonas phage H103;Maritimibacter;Maritimibacter alkaliphilus</t>
  </si>
  <si>
    <t>Viruses[5];Caudovirales[5];Siphoviridae[3];unclassified Siphoviridae[3];Pseudoalteromonas phage H103[3];Brucella phage Tb[1]</t>
  </si>
  <si>
    <t>DNAUV-9.183-44</t>
  </si>
  <si>
    <t>Viruses[6];Caudovirales[6];Siphoviridae[5];unclassified Siphoviridae[5];Pseudoalteromonas phage H103[4];Maritimibacter[1];Maritimibacter alkaliphilus[1]</t>
  </si>
  <si>
    <t>DNAUV-10.460-73</t>
  </si>
  <si>
    <t>Viruses[6];Caudovirales[6];Siphoviridae[5];unclassified Siphoviridae[5];Pseudoalteromonas phage H103[4];Pseudoruegeria[1];Gemmobacter nectariphilus[1]</t>
  </si>
  <si>
    <t>Viruses;Caudovirales;Siphoviridae;unclassified Siphoviridae;Pseudoalteromonas phage H103;Pseudoruegeria;Gemmobacter nectariphilus</t>
  </si>
  <si>
    <t>Viruses[6];Caudovirales[6];Siphoviridae[5];unclassified Siphoviridae[5];Pseudoalteromonas phage H103[4];Brucella phage Tb[1]</t>
  </si>
  <si>
    <t>DNAUV-5.468-24</t>
  </si>
  <si>
    <t>Viruses[4];Caudovirales[4];Siphoviridae[3];unclassified Siphoviridae[3];Pseudoalteromonas phage H103[3];Pseudoxanthomonas[1];Halocynthiibacter arcticus[1]</t>
  </si>
  <si>
    <t>Viruses;Caudovirales;Siphoviridae;unclassified Siphoviridae;Pseudoalteromonas phage H103;Pseudoxanthomonas;Halocynthiibacter arcticus</t>
  </si>
  <si>
    <t>Viruses[4];Caudovirales[4];Siphoviridae[3];unclassified Siphoviridae[3];Pseudoalteromonas phage H103[3];Brucella phage Tb[1]</t>
  </si>
  <si>
    <t>DNAUV-11.690-13</t>
  </si>
  <si>
    <t>Viruses[8];Caudovirales[8];Siphoviridae[7];unclassified Siphoviridae[7];Pseudoalteromonas phage H103[2];Thiorhodococcus[1];Streptococcus[1];Enterobacter kobei[1];Streptococcus dysgalactiae[1]</t>
  </si>
  <si>
    <t>Viruses;Caudovirales;Siphoviridae;unclassified Siphoviridae;Pseudoalteromonas phage H103;Thiorhodococcus;Streptococcus;Enterobacter kobei;Streptococcus dysgalactiae</t>
  </si>
  <si>
    <t>Viruses[8];Caudovirales[8];Siphoviridae[7];unclassified Siphoviridae[7];Pseudoalteromonas phage H103[2]</t>
  </si>
  <si>
    <t>DNAUV-3.503-677</t>
  </si>
  <si>
    <t>Viruses[2];Caudovirales[2];Siphoviridae[2];unclassified Siphoviridae[2];Pseudoalteromonas phage H103[1];Tissierellaceae[1];Tissierella[1];Tissierella creatinophila[1];Tissierella creatinophila DSM 6911[1]</t>
  </si>
  <si>
    <t>Viruses;Caudovirales;Siphoviridae;unclassified Siphoviridae;Pseudoalteromonas phage H103;Tissierellaceae;Tissierella;Tissierella creatinophila;Tissierella creatinophila DSM 6911</t>
  </si>
  <si>
    <t>DNAUV-8.322-33</t>
  </si>
  <si>
    <t>Viruses[6];Caudovirales[6];Siphoviridae[6];unclassified Siphoviridae[6];Pseudoalteromonas phage PHS21[5]</t>
  </si>
  <si>
    <t>Viruses;Caudovirales;Siphoviridae;unclassified Siphoviridae;Pseudoalteromonas phage PHS21</t>
  </si>
  <si>
    <t>DNAUV-2.253-19-V2</t>
  </si>
  <si>
    <t>Viruses[3];Caudovirales[3];Siphoviridae[2];unclassified Siphoviridae[2];Pseudoalteromonas phage PHS21[2]</t>
  </si>
  <si>
    <t>DNAUV-2.944-318</t>
  </si>
  <si>
    <t>Viruses[3];Caudovirales[3];Siphoviridae[3];unclassified Siphoviridae[3];Pseudoalteromonas phage PHS21[3]</t>
  </si>
  <si>
    <t>DNAUV-3.651-525</t>
  </si>
  <si>
    <t>DNAUV-4.908-4412</t>
  </si>
  <si>
    <t>DNAUV-2.621-257</t>
  </si>
  <si>
    <t>Viruses[1];Caudovirales[1];Siphoviridae[1];unclassified Siphoviridae[1];Pseudoalteromonas phage PHS21[1]</t>
  </si>
  <si>
    <t>DNAUV-10.431-28</t>
  </si>
  <si>
    <t>Viruses[7];Caudovirales[7];Siphoviridae[4];unclassified Siphoviridae[4];Pseudoalteromonas phage PHS21[3];Alteromonas virus vB_AspP-H4/4[1];Chitinophagaceae[1];Chitinophaga[1];unclassified Chitinophaga[1];Chitinophaga sp. K20C18050901[1]</t>
  </si>
  <si>
    <t>Viruses;Caudovirales;Siphoviridae;unclassified Siphoviridae;Pseudoalteromonas phage PHS21;Alteromonas virus vB_AspP-H4/4;Chitinophagaceae;Chitinophaga;unclassified Chitinophaga;Chitinophaga sp. K20C18050901</t>
  </si>
  <si>
    <t>Viruses[7];Caudovirales[7];Siphoviridae[4];unclassified Siphoviridae[4];Pseudoalteromonas phage PHS21[3];Alteromonas virus vB_AspP-H4/4[1]</t>
  </si>
  <si>
    <t>DNAUV-4.220-119</t>
  </si>
  <si>
    <t>Viruses[4];Caudovirales[4];Siphoviridae[4];unclassified Siphoviridae[4];Pseudoalteromonas phage PHS21[3];Bacillales incertae sedis[1];Bacillales Family X. Incertae Sedis[1];Thermicanus[1];Thermicanus aegyptius[1]</t>
  </si>
  <si>
    <t>Viruses;Caudovirales;Siphoviridae;unclassified Siphoviridae;Pseudoalteromonas phage PHS21;Bacillales incertae sedis;Bacillales Family X. Incertae Sedis;Thermicanus;Thermicanus aegyptius</t>
  </si>
  <si>
    <t>Viruses[4];Caudovirales[4];Siphoviridae[4];unclassified Siphoviridae[4];Pseudoalteromonas phage PHS21[3]</t>
  </si>
  <si>
    <t>DNAUV-2.139-350</t>
  </si>
  <si>
    <t>Viruses[2];Caudovirales[2];Siphoviridae[2];unclassified Siphoviridae[2];Pseudoalteromonas phage PHS21[2];Bacillales incertae sedis[1];Bacillales Family X. Incertae Sedis[1];Thermicanus[1];Thermicanus aegyptius[1]</t>
  </si>
  <si>
    <t>Viruses[2];Caudovirales[2];Siphoviridae[2];unclassified Siphoviridae[2];Pseudoalteromonas phage PHS21[2]</t>
  </si>
  <si>
    <t>DNAUV-2.573-1075</t>
  </si>
  <si>
    <t>DNAUV-4.187-200</t>
  </si>
  <si>
    <t>Viruses[3];Caudovirales[3];Siphoviridae[3];unclassified Siphoviridae[2];Pseudoalteromonas phage PHS21[2];Burkholderia phage vB_BceS_AH2[1]</t>
  </si>
  <si>
    <t>Viruses;Caudovirales;Siphoviridae;unclassified Siphoviridae;Pseudoalteromonas phage PHS21;Burkholderia phage vB_BceS_AH2</t>
  </si>
  <si>
    <t>DNAUV-4.187-382</t>
  </si>
  <si>
    <t>DNAUV-12.291-189</t>
  </si>
  <si>
    <t>Viruses[5];Caudovirales[5];Siphoviridae[5];unclassified Siphoviridae[4];Pseudoalteromonas phage PHS21[4];Burkholderia phage vB_BceS_AH2[1];Aphanothecaceae[1];Roseovarius sp. GCL-8[1];Thermicanus aegyptius[1]</t>
  </si>
  <si>
    <t>Viruses;Caudovirales;Siphoviridae;unclassified Siphoviridae;Pseudoalteromonas phage PHS21;Burkholderia phage vB_BceS_AH2;Aphanothecaceae;Roseovarius sp. GCL-8;Thermicanus aegyptius</t>
  </si>
  <si>
    <t>Viruses[5];Caudovirales[5];Siphoviridae[5];unclassified Siphoviridae[4];Pseudoalteromonas phage PHS21[4];Burkholderia phage vB_BceS_AH2[1]</t>
  </si>
  <si>
    <t>DNAUV-12.402-457</t>
  </si>
  <si>
    <t>Viruses[5];Caudovirales[5];Siphoviridae[5];unclassified Siphoviridae[4];Pseudoalteromonas phage PHS21[4];Erysipelotrichaceae[2];Pelagibaca abyssi[1];Massilicoli timonensis[1];Massilimicrobiota sp. An134[1]</t>
  </si>
  <si>
    <t>Viruses;Caudovirales;Siphoviridae;unclassified Siphoviridae;Pseudoalteromonas phage PHS21;Erysipelotrichaceae;Pelagibaca abyssi;Massilicoli timonensis;Massilimicrobiota sp. An134</t>
  </si>
  <si>
    <t>DNAUV-9.429-95</t>
  </si>
  <si>
    <t>Viruses[4];Caudovirales[4];Siphoviridae[4];unclassified Siphoviridae[4];Pseudoalteromonas phage PHS21[4];Pseudomonas[1];Subdoligranulum[1];Subdoligranulum sp. 4_3_54A2FAA[1]</t>
  </si>
  <si>
    <t>Viruses;Caudovirales;Siphoviridae;unclassified Siphoviridae;Pseudoalteromonas phage PHS21;Pseudomonas;Subdoligranulum;Subdoligranulum sp. 4_3_54A2FAA</t>
  </si>
  <si>
    <t>Viruses[4];Caudovirales[4];Siphoviridae[4];unclassified Siphoviridae[4];Pseudoalteromonas phage PHS21[4]</t>
  </si>
  <si>
    <t>DNAUV-4.379-418</t>
  </si>
  <si>
    <t>Viruses[3];Caudovirales[3];Siphoviridae[2];unclassified Siphoviridae[2];Pseudoalteromonas phage PHS21[2];Rhizobium/Agrobacterium group[1];Sulfitobacter pseudonitzschiae[1];unclassified Rhizobium[1];Rhizobium sp. LCM 4573[1]</t>
  </si>
  <si>
    <t>Viruses;Caudovirales;Siphoviridae;unclassified Siphoviridae;Pseudoalteromonas phage PHS21;Rhizobium/Agrobacterium group;Sulfitobacter pseudonitzschiae;unclassified Rhizobium;Rhizobium sp. LCM 4573</t>
  </si>
  <si>
    <t>DNAUV-12.287-216</t>
  </si>
  <si>
    <t>Viruses[6];Caudovirales[6];Siphoviridae[5];unclassified Siphoviridae[4];Pseudoalteromonas phage PHS21[4];Rhodoferax[1];Yersinia enterocolitica[1];unclassified Rhizobacter[1];Rhizobacter sp. Root1221[1]</t>
  </si>
  <si>
    <t>Viruses;Caudovirales;Siphoviridae;unclassified Siphoviridae;Pseudoalteromonas phage PHS21;Rhodoferax;Yersinia enterocolitica;unclassified Rhizobacter;Rhizobacter sp. Root1221</t>
  </si>
  <si>
    <t>Viruses[6];Caudovirales[6];Siphoviridae[5];unclassified Siphoviridae[4];Pseudoalteromonas phage PHS21[4];Burkholderia phage vB_BceS_AH2[1]</t>
  </si>
  <si>
    <t>DNAUV-13.625-317</t>
  </si>
  <si>
    <t>Viruses[6];Caudovirales[6];Siphoviridae[5];unclassified Siphoviridae[5];Pseudoalteromonas phage PHS21[4];Sinorhizobium/Ensifer group[1];unclassified Azospirillum[1];Enterobacter hormaechei[1];Enterobacter hormaechei subsp. hoffmannii[1];Enterobacter sp. MGH 2[1]</t>
  </si>
  <si>
    <t>Viruses;Caudovirales;Siphoviridae;unclassified Siphoviridae;Pseudoalteromonas phage PHS21;Sinorhizobium/Ensifer group;unclassified Azospirillum;Enterobacter hormaechei;Enterobacter hormaechei subsp. hoffmannii;Enterobacter sp. MGH 2</t>
  </si>
  <si>
    <t>Viruses[6];Caudovirales[6];Siphoviridae[5];unclassified Siphoviridae[5];Pseudoalteromonas phage PHS21[4];Sinorhizobium phage phiM12[1]</t>
  </si>
  <si>
    <t>DNAUV-6.067-32</t>
  </si>
  <si>
    <t>Viruses[4];Caudovirales[4];Siphoviridae[4];unclassified Siphoviridae[4];Pseudoalteromonas phage PHS21[4];Yersinia[1];Yersinia enterocolitica[1]</t>
  </si>
  <si>
    <t>Viruses;Caudovirales;Siphoviridae;unclassified Siphoviridae;Pseudoalteromonas phage PHS21;Yersinia;Yersinia enterocolitica</t>
  </si>
  <si>
    <t>DNAUV-2.543-7.8</t>
  </si>
  <si>
    <t>Viruses[1];Caudovirales[1];Siphoviridae[1];unclassified Siphoviridae[1];Pseudoalteromonas phage PHS3[1];Noviherbaspirillum[1];Noviherbaspirillum autotrophicum[1]</t>
  </si>
  <si>
    <t>Viruses;Caudovirales;Siphoviridae;unclassified Siphoviridae;Pseudoalteromonas phage PHS3;Noviherbaspirillum;Noviherbaspirillum autotrophicum</t>
  </si>
  <si>
    <t>Viruses[1];Caudovirales[1];Siphoviridae[1];unclassified Siphoviridae[1];Pseudoalteromonas phage PHS3[1]</t>
  </si>
  <si>
    <t>DNAUV-3.499-15</t>
  </si>
  <si>
    <t>Viruses[2];Caudovirales[2];Siphoviridae[1];unclassified Siphoviridae[1];Pseudoalteromonas phage vB_PspS-H40/1[1];Oleiphilus[1];Oleiphilus messinensis[1]</t>
  </si>
  <si>
    <t>Viruses;Caudovirales;Siphoviridae;unclassified Siphoviridae;Pseudoalteromonas phage vB_PspS-H40/1;Oleiphilus;Oleiphilus messinensis</t>
  </si>
  <si>
    <t>Viruses[2];Caudovirales[2];Siphoviridae[1];unclassified Siphoviridae[1];Erwinia phage phiEt88[1]</t>
  </si>
  <si>
    <t>DNAUV-43.803-72</t>
  </si>
  <si>
    <t>Viruses[22];Caudovirales[22];Siphoviridae[13];unclassified Siphoviridae[12];Pseudoalteromonas virus vB_PspP-H6/1[6];Ferrimonas[1];Neptuniibacter pectenicola[1];Delftia sp. ZNC0008[1];unclassified Chitinophaga[1];Chitinophaga sp. K20C18050901[1]</t>
  </si>
  <si>
    <t>Viruses;Caudovirales;Siphoviridae;unclassified Siphoviridae;Pseudoalteromonas virus vB_PspP-H6/1;Ferrimonas;Neptuniibacter pectenicola;Delftia sp. ZNC0008;unclassified Chitinophaga;Chitinophaga sp. K20C18050901</t>
  </si>
  <si>
    <t>Viruses[22];Caudovirales[22];Siphoviridae[13];unclassified Siphoviridae[12];Pseudoalteromonas virus vB_PspP-H6/1[6];Pseudomonas phage pf16[1]</t>
  </si>
  <si>
    <t>DNAUV-7.289-190</t>
  </si>
  <si>
    <t>Viruses[3];Caudovirales[3];Siphoviridae[1];unclassified Siphoviridae[1];Pseudomonadaceae[1];Bacillaceae[1];unclassified Sphingomonas[1];Bacillus wakoensis[1]</t>
  </si>
  <si>
    <t>Viruses;Caudovirales;Siphoviridae;unclassified Siphoviridae;Pseudomonadaceae;Bacillaceae;unclassified Sphingomonas;Bacillus wakoensis</t>
  </si>
  <si>
    <t>Viruses[3];Caudovirales[3];Siphoviridae[1];unclassified Myoviridae[1];Salicola phage SCTP-2[1]</t>
  </si>
  <si>
    <t>DNAUV-2.432-33</t>
  </si>
  <si>
    <t>Viruses[1];Caudovirales[1];Siphoviridae[1];unclassified Siphoviridae[1];Pseudomonadaceae[1];Pseudomonas[1];Pseudomonas aeruginosa group[1];Pseudomonas aeruginosa[1]</t>
  </si>
  <si>
    <t>Viruses;Caudovirales;Siphoviridae;unclassified Siphoviridae;Pseudomonadaceae;Pseudomonas;Pseudomonas aeruginosa group;Pseudomonas aeruginosa</t>
  </si>
  <si>
    <t>DNAUV-3.661-17</t>
  </si>
  <si>
    <t>Viruses[1];Caudovirales[1];Siphoviridae[1];unclassified Siphoviridae[1];Sinorhizobium phage HMSP1-Susan[1]</t>
  </si>
  <si>
    <t>DNAUV-4.744-8.1</t>
  </si>
  <si>
    <t>Viruses[2];Caudovirales[2];Siphoviridae[1];unclassified Siphoviridae[1];Pseudomonadaceae[1];Pseudomonas[1];unclassified Pseudomonas[1];Pseudomonas sp. MT-1[1]</t>
  </si>
  <si>
    <t>Viruses;Caudovirales;Siphoviridae;unclassified Siphoviridae;Pseudomonadaceae;Pseudomonas;unclassified Pseudomonas;Pseudomonas sp. MT-1</t>
  </si>
  <si>
    <t>Viruses[2];Caudovirales[2];Podoviridae[1];unclassified Siphoviridae[1];Vibrio phage 1.232.O._10N.261.51.E11[1]</t>
  </si>
  <si>
    <t>DNAUV-2.474-11</t>
  </si>
  <si>
    <t>Viruses[3];Caudovirales[3];Siphoviridae[3];unclassified Siphoviridae[2];Pseudomonas phage KPP23[2];Pseudomonas phage vB_PaeS_S218[1];Brucella abortus[1];Brucella abortus LMN1[1]</t>
  </si>
  <si>
    <t>Viruses;Caudovirales;Siphoviridae;unclassified Siphoviridae;Pseudomonas phage KPP23;Pseudomonas phage vB_PaeS_S218;Brucella abortus;Brucella abortus LMN1</t>
  </si>
  <si>
    <t>Viruses[3];Caudovirales[3];Siphoviridae[3];unclassified Siphoviridae[2];Pseudomonas phage KPP23[2];Pseudomonas phage vB_PaeS_S218[1]</t>
  </si>
  <si>
    <t>DNAUV-3.469-11</t>
  </si>
  <si>
    <t>Viruses[2];Caudovirales[2];Siphoviridae[2];unclassified Siphoviridae[1];Pseudomonas virus Kakheti25[1];Pseudomonas phage vB_Pae_PS9N[1]</t>
  </si>
  <si>
    <t>Viruses;Caudovirales;Siphoviridae;unclassified Siphoviridae;Pseudomonas virus Kakheti25;Pseudomonas phage vB_Pae_PS9N</t>
  </si>
  <si>
    <t>DNAUV-5.151-166</t>
  </si>
  <si>
    <t>Viruses[1];Caudovirales[1];Siphoviridae[1];unclassified Siphoviridae[1];Psychrobacter phage Psymv2[1];Alkalilimnicola[1];Alkalilimnicola ehrlichii[1]</t>
  </si>
  <si>
    <t>Viruses;Caudovirales;Siphoviridae;unclassified Siphoviridae;Psychrobacter phage Psymv2;Alkalilimnicola;Alkalilimnicola ehrlichii</t>
  </si>
  <si>
    <t>Viruses[1];Caudovirales[1];Siphoviridae[1];unclassified Siphoviridae[1];Psychrobacter phage Psymv2[1]</t>
  </si>
  <si>
    <t>DNAUV-2.524-15</t>
  </si>
  <si>
    <t>Viruses[1];Caudovirales[1];Siphoviridae[1];unclassified Siphoviridae[1];Rhizobiaceae[1];Rhizobium/Agrobacterium group[1];Rhizobium[1];Rhizobium leguminosarum[1]</t>
  </si>
  <si>
    <t>Viruses;Caudovirales;Siphoviridae;unclassified Siphoviridae;Rhizobiaceae;Rhizobium/Agrobacterium group;Rhizobium;Rhizobium leguminosarum</t>
  </si>
  <si>
    <t>Viruses[1];Caudovirales[1];Siphoviridae[1];unclassified Siphoviridae[1];Vibrio phage 1.144.O._10N.286.45.B3[1]</t>
  </si>
  <si>
    <t>DNAUV-4.514-67</t>
  </si>
  <si>
    <t>Viruses[1];Caudovirales[1];Siphoviridae[1];unclassified Siphoviridae[1];Rhizobiaceae[1];Rhizobium/Agrobacterium group[1];Rhizobium[1];unclassified Rhizobium[1];Rhizobium sp. Root651[1]</t>
  </si>
  <si>
    <t>Viruses;Caudovirales;Siphoviridae;unclassified Siphoviridae;Rhizobiaceae;Rhizobium/Agrobacterium group;Rhizobium;unclassified Rhizobium;Rhizobium sp. Root651</t>
  </si>
  <si>
    <t>DNAUV-4.792-15</t>
  </si>
  <si>
    <t>Viruses[2];Caudovirales[2];Siphoviridae[2];unclassified Siphoviridae[2];Rhizobium phage vB_RleS_L338C[2];Alcaligenes[1];Alcaligenes faecalis[1]</t>
  </si>
  <si>
    <t>Viruses;Caudovirales;Siphoviridae;unclassified Siphoviridae;Rhizobium phage vB_RleS_L338C;Alcaligenes;Alcaligenes faecalis</t>
  </si>
  <si>
    <t>Viruses[2];Caudovirales[2];Siphoviridae[2];unclassified Siphoviridae[2];Rhizobium phage vB_RleS_L338C[2]</t>
  </si>
  <si>
    <t>DNAUV-6.901-30</t>
  </si>
  <si>
    <t>Viruses[2];Caudovirales[2];Siphoviridae[2];unclassified Siphoviridae[2];Rhizobium phage vB_RleS_L338C[1];Ochrobactrum[1];Acetivibrio[1];Acetivibrio ethanolgignens[1]</t>
  </si>
  <si>
    <t>Viruses;Caudovirales;Siphoviridae;unclassified Siphoviridae;Rhizobium phage vB_RleS_L338C;Ochrobactrum;Acetivibrio;Acetivibrio ethanolgignens</t>
  </si>
  <si>
    <t>Viruses[2];Caudovirales[2];Siphoviridae[2];unclassified Siphoviridae[2];Vibrio phage Ares1[1]</t>
  </si>
  <si>
    <t>DNAUV-2.060-11</t>
  </si>
  <si>
    <t>Viruses[1];Caudovirales[1];Siphoviridae[1];unclassified Siphoviridae[1];Rhodobacteraceae[1];Citreimonas[1];Citreimonas salinaria[1]</t>
  </si>
  <si>
    <t>Viruses;Caudovirales;Siphoviridae;unclassified Siphoviridae;Rhodobacteraceae;Citreimonas;Citreimonas salinaria</t>
  </si>
  <si>
    <t>DNAUV-43.228-64</t>
  </si>
  <si>
    <t>Viruses[13];Caudovirales[12];Siphoviridae[10];unclassified Siphoviridae[7];Rhodobacteraceae[5];Dinoroseobacter phage vB_DshS-R5C[2];Microcystaceae[1];Microcystis[1];Microcystis aeruginosa[1]</t>
  </si>
  <si>
    <t>Viruses;Caudovirales;Siphoviridae;unclassified Siphoviridae;Rhodobacteraceae;Dinoroseobacter phage vB_DshS-R5C;Microcystaceae;Microcystis;Microcystis aeruginosa</t>
  </si>
  <si>
    <t>Viruses[13];Caudovirales[12];Siphoviridae[10];unclassified Siphoviridae[7];Sinorhizobium phage HMSP1-Susan[5];Dinoroseobacter phage vB_DshS-R5C[2]</t>
  </si>
  <si>
    <t>DNAUV-2.881-22</t>
  </si>
  <si>
    <t>Viruses[1];Caudovirales[1];Siphoviridae[1];unclassified Siphoviridae[1];Rhodobacteraceae[1];Gemmobacter[1];Gemmobacter nectariphilus[1]</t>
  </si>
  <si>
    <t>Viruses;Caudovirales;Siphoviridae;unclassified Siphoviridae;Rhodobacteraceae;Gemmobacter;Gemmobacter nectariphilus</t>
  </si>
  <si>
    <t>Viruses[1];Caudovirales[1];Siphoviridae[1];unclassified Siphoviridae[1];Vibrio phage 1.132.O._10N.222.49.F8[1]</t>
  </si>
  <si>
    <t>DNAUV-2.920-20</t>
  </si>
  <si>
    <t>Viruses[1];Caudovirales[1];Siphoviridae[1];unclassified Siphoviridae[1];Rhodobacteraceae[1];Wenxinia[1];Wenxinia marina[1]</t>
  </si>
  <si>
    <t>Viruses;Caudovirales;Siphoviridae;unclassified Siphoviridae;Rhodobacteraceae;Wenxinia;Wenxinia marina</t>
  </si>
  <si>
    <t>Viruses[1];Caudovirales[1];Siphoviridae[1];unclassified Siphoviridae[1];Vibrio phage 1.115.B._10N.222.49.B11[1]</t>
  </si>
  <si>
    <t>DNAUV-5.092-27</t>
  </si>
  <si>
    <t>Viruses[1];Caudovirales[1];Siphoviridae[1];unclassified Siphoviridae[1];Rhodovulum phage vB_RhkS_P1[1]</t>
  </si>
  <si>
    <t>Viruses;Caudovirales;Siphoviridae;unclassified Siphoviridae;Rhodovulum phage vB_RhkS_P1</t>
  </si>
  <si>
    <t>DNAUV-2.745-16</t>
  </si>
  <si>
    <t>Viruses[3];Caudovirales[3];Siphoviridae[3];unclassified Siphoviridae[3];Roseobacter phage DSS3P8[2]</t>
  </si>
  <si>
    <t>Viruses;Caudovirales;Siphoviridae;unclassified Siphoviridae;Roseobacter phage DSS3P8</t>
  </si>
  <si>
    <t>DNAUV-3.182-14</t>
  </si>
  <si>
    <t>DNAUV-3.474-19</t>
  </si>
  <si>
    <t>Viruses[2];Caudovirales[2];Siphoviridae[2];unclassified Siphoviridae[2];Roseobacter phage DSS3P8[1]</t>
  </si>
  <si>
    <t>Viruses[2];Caudovirales[2];Siphoviridae[2];unclassified Siphoviridae[2];Ruegeria phage vB_RpoS-V10[1]</t>
  </si>
  <si>
    <t>DNAUV-3.817-9.7</t>
  </si>
  <si>
    <t>Viruses[2];Caudovirales[2];Siphoviridae[2];unclassified Siphoviridae[2];Roseobacter phage DSS3P8[2]</t>
  </si>
  <si>
    <t>DNAUV-3.548-13</t>
  </si>
  <si>
    <t>Viruses[4];Caudovirales[4];Siphoviridae[4];unclassified Siphoviridae[4];Roseobacter phage DSS3P8[3];Gemmobacter[1];Gemmobacter aquatilis[1]</t>
  </si>
  <si>
    <t>Viruses;Caudovirales;Siphoviridae;unclassified Siphoviridae;Roseobacter phage DSS3P8;Gemmobacter;Gemmobacter aquatilis</t>
  </si>
  <si>
    <t>Viruses[4];Caudovirales[4];Siphoviridae[4];unclassified Siphoviridae[4];Roseobacter phage DSS3P8[3]</t>
  </si>
  <si>
    <t>DNAUV-2.129-12</t>
  </si>
  <si>
    <t>Viruses[1];Caudovirales[1];Siphoviridae[1];unclassified Siphoviridae[1];Roseobacter phage DSS3P8[1];Oceanicola[1];unclassified Oceanicola[1];Oceanicola sp. 22II-s10i[1]</t>
  </si>
  <si>
    <t>Viruses;Caudovirales;Siphoviridae;unclassified Siphoviridae;Roseobacter phage DSS3P8;Oceanicola;unclassified Oceanicola;Oceanicola sp. 22II-s10i</t>
  </si>
  <si>
    <t>Viruses[1];Caudovirales[1];Siphoviridae[1];unclassified Siphoviridae[1];Roseobacter phage DSS3P8[1]</t>
  </si>
  <si>
    <t>DNAUV-5.260-14</t>
  </si>
  <si>
    <t>Viruses[5];Caudovirales[5];Siphoviridae[4];unclassified Siphoviridae[4];Roseobacter phage DSS3P8[4];Roseivivax[1];Roseivivax isoporae[1];Roseivivax isoporae LMG 25204[1]</t>
  </si>
  <si>
    <t>Viruses;Caudovirales;Siphoviridae;unclassified Siphoviridae;Roseobacter phage DSS3P8;Roseivivax;Roseivivax isoporae;Roseivivax isoporae LMG 25204</t>
  </si>
  <si>
    <t>Viruses[5];Caudovirales[5];Siphoviridae[4];unclassified Siphoviridae[4];Roseobacter phage DSS3P8[4];Sinorhizobium phage phiM12[1]</t>
  </si>
  <si>
    <t>DNAUV-5.622-87</t>
  </si>
  <si>
    <t>Viruses[4];Caudovirales[4];Siphoviridae[2];unclassified Siphoviridae[2];Roseobacter phage DSS3P8[2];Sinorhizobium phage phiN3[1];Serratia marcescens[1];Malasseziales[1];Malasseziaceae[1];Malassezia[1];Malassezia globosa[1];Malassezia globosa CBS 7966[1]</t>
  </si>
  <si>
    <t>Viruses;Caudovirales;Siphoviridae;unclassified Siphoviridae;Roseobacter phage DSS3P8;Sinorhizobium phage phiN3;Serratia marcescens;Malasseziales;Malasseziaceae;Malassezia;Malassezia globosa;Malassezia globosa CBS 7966</t>
  </si>
  <si>
    <t>Viruses[4];Caudovirales[4];Siphoviridae[2];unclassified Siphoviridae[2];Roseobacter phage DSS3P8[2];Sinorhizobium phage phiN3[1]</t>
  </si>
  <si>
    <t>DNAUV-4.834-14</t>
  </si>
  <si>
    <t>Viruses[1];Caudovirales[1];Siphoviridae[1];unclassified Siphoviridae[1];Roseobacter phage DSS3P8[1];Sulfitobacter[1];unclassified Sulfitobacter[1];Sulfitobacter sp. HI0082[1]</t>
  </si>
  <si>
    <t>Viruses;Caudovirales;Siphoviridae;unclassified Siphoviridae;Roseobacter phage DSS3P8;Sulfitobacter;unclassified Sulfitobacter;Sulfitobacter sp. HI0082</t>
  </si>
  <si>
    <t>DNAUV-2.783-11</t>
  </si>
  <si>
    <t>Viruses[2];Caudovirales[2];Siphoviridae[2];unclassified Siphoviridae[2];Roseobacter phage DSS3P8[2];Tracheophyta[1];Martelella mediterranea[1];Spermatophyta[1];Magnoliopsida[1];Mesangiospermae[1];eudicotyledons[1];Gunneridae[1];Pentapetalae[1];rosids[1];fabids[1];Rosales[1];Rhamnaceae[1];Paliureae[1];Ziziphus[1];Ziziphus jujuba[1]</t>
  </si>
  <si>
    <t>Viruses;Caudovirales;Siphoviridae;unclassified Siphoviridae;Roseobacter phage DSS3P8;Tracheophyta;Martelella mediterranea;Spermatophyta;Magnoliopsida;Mesangiospermae;eudicotyledons;Gunneridae;Pentapetalae;rosids;fabids;Rosales;Rhamnaceae;Paliureae;Ziziphus;Ziziphus jujuba</t>
  </si>
  <si>
    <t>DNAUV-3.390-12</t>
  </si>
  <si>
    <t>Viruses[2];Caudovirales[2];Siphoviridae[2];unclassified Siphoviridae[1];Roseobacter virus RDJL1[1];Bordetella[1];Bordetella petrii[1];Bradyrhizobium sp. Tv2a-2[1]</t>
  </si>
  <si>
    <t>Viruses;Caudovirales;Siphoviridae;unclassified Siphoviridae;Roseobacter virus RDJL1;Bordetella;Bordetella petrii;Bradyrhizobium sp. Tv2a-2</t>
  </si>
  <si>
    <t>Viruses[2];Caudovirales[2];Siphoviridae[2];unclassified Siphoviridae[1];Pseudomonas phage KPP23[1];Roseobacter phage RDJL Phi 1[1]</t>
  </si>
  <si>
    <t>DNAUV-59.689-63</t>
  </si>
  <si>
    <t>Viruses[35];Caudovirales[35];Siphoviridae[34];unclassified Siphoviridae[34];Ruegeria phage DSS3-P1[17];Pseudaminobacter[1];unclassified Oceanicola[1];Aurantimonas manganoxydans SI85-9A1[1]</t>
  </si>
  <si>
    <t>Viruses;Caudovirales;Siphoviridae;unclassified Siphoviridae;Ruegeria phage DSS3-P1;Pseudaminobacter;unclassified Oceanicola;Aurantimonas manganoxydans SI85-9A1</t>
  </si>
  <si>
    <t>Viruses[35];Caudovirales[35];Siphoviridae[34];unclassified Siphoviridae[34];Ruegeria phage DSS3-P1[17]</t>
  </si>
  <si>
    <t>DNAUV-2.774-12</t>
  </si>
  <si>
    <t>Viruses;Caudovirales;Siphoviridae;unclassified Siphoviridae;Ruegeria phage vB_RpoS-V10</t>
  </si>
  <si>
    <t>DNAUV-2.016-17</t>
  </si>
  <si>
    <t>DNAUV-2.426-11</t>
  </si>
  <si>
    <t>DNAUV-3.372-27</t>
  </si>
  <si>
    <t>Viruses[1];Caudovirales[1];Siphoviridae[1];unclassified Siphoviridae[1];Ruegeria phage vB_RpoS-V10[1];Croceicoccus[1];Croceicoccus naphthovorans[1]</t>
  </si>
  <si>
    <t>Viruses;Caudovirales;Siphoviridae;unclassified Siphoviridae;Ruegeria phage vB_RpoS-V10;Croceicoccus;Croceicoccus naphthovorans</t>
  </si>
  <si>
    <t>DNAUV-3.855-13</t>
  </si>
  <si>
    <t>Viruses[3];Caudovirales[3];Siphoviridae[3];unclassified Siphoviridae[2];Ruegeria phage vB_RpoS-V10[2];Mangrovicoccus[1];Mangrovicoccus ximenensis[1]</t>
  </si>
  <si>
    <t>Viruses;Caudovirales;Siphoviridae;unclassified Siphoviridae;Ruegeria phage vB_RpoS-V10;Mangrovicoccus;Mangrovicoccus ximenensis</t>
  </si>
  <si>
    <t>Viruses[3];Caudovirales[3];Siphoviridae[3];unclassified Siphoviridae[2];Ruegeria phage vB_RpoS-V10[2]</t>
  </si>
  <si>
    <t>DNAUV-2.022-13</t>
  </si>
  <si>
    <t>Viruses[1];Caudovirales[1];Siphoviridae[1];unclassified Siphoviridae[1];Ruegeria phage vB_RpoS-V10[1];Sulfurovum[1];unclassified Sulfurovum[1];Sulfurovum sp. NBC37-1[1]</t>
  </si>
  <si>
    <t>Viruses;Caudovirales;Siphoviridae;unclassified Siphoviridae;Ruegeria phage vB_RpoS-V10;Sulfurovum;unclassified Sulfurovum;Sulfurovum sp. NBC37-1</t>
  </si>
  <si>
    <t>DNAUV-3.216-14</t>
  </si>
  <si>
    <t>Viruses[1];Caudovirales[1];Siphoviridae[1];unclassified Siphoviridae[1];Ruegeria phage vB_RpoS-V10[1];Verrucomicrobiaceae[1];Verrucomicrobium[1];Verrucomicrobium spinosum[1]</t>
  </si>
  <si>
    <t>Viruses;Caudovirales;Siphoviridae;unclassified Siphoviridae;Ruegeria phage vB_RpoS-V10;Verrucomicrobiaceae;Verrucomicrobium;Verrucomicrobium spinosum</t>
  </si>
  <si>
    <t>DNAUV-2.526-444</t>
  </si>
  <si>
    <t>Viruses[1];Caudovirales[1];Siphoviridae[1];unclassified Siphoviridae[1];Ruegeria phage vB_RpoS-V16[1]</t>
  </si>
  <si>
    <t>Viruses;Caudovirales;Siphoviridae;unclassified Siphoviridae;Ruegeria phage vB_RpoS-V16</t>
  </si>
  <si>
    <t>DNAUV-4.844-227</t>
  </si>
  <si>
    <t>DNAUV-2.054-22</t>
  </si>
  <si>
    <t>Viruses[1];Caudovirales[1];Siphoviridae[1];unclassified Siphoviridae[1];Ruegeria phage vB_RpoS-V16[1];Nitrospira[1];Nitrospira cf. moscoviensis SBR1015[1]</t>
  </si>
  <si>
    <t>Viruses;Caudovirales;Siphoviridae;unclassified Siphoviridae;Ruegeria phage vB_RpoS-V16;Nitrospira;Nitrospira cf. moscoviensis SBR1015</t>
  </si>
  <si>
    <t>DNAUV-2.198-13</t>
  </si>
  <si>
    <t>Viruses[2];Caudovirales[2];Siphoviridae[2];unclassified Siphoviridae[2];Salicola phage CGphi29[2]</t>
  </si>
  <si>
    <t>Viruses;Caudovirales;Siphoviridae;unclassified Siphoviridae;Salicola phage CGphi29</t>
  </si>
  <si>
    <t>DNAUV-3.104-96</t>
  </si>
  <si>
    <t>Viruses[1];Caudovirales[1];Siphoviridae[1];unclassified Siphoviridae[1];Salicola phage CGphi29[1]</t>
  </si>
  <si>
    <t>DNAUV-2.761-1269</t>
  </si>
  <si>
    <t>Viruses[4];Caudovirales[4];Siphoviridae[4];unclassified Siphoviridae[4];Salicola phage CGphi29[2];Oceanimonas[1];Oceanimonas smirnovii[1]</t>
  </si>
  <si>
    <t>Viruses;Caudovirales;Siphoviridae;unclassified Siphoviridae;Salicola phage CGphi29;Oceanimonas;Oceanimonas smirnovii</t>
  </si>
  <si>
    <t>Viruses[4];Caudovirales[4];Siphoviridae[4];unclassified Siphoviridae[4];Salicola phage CGphi29[2]</t>
  </si>
  <si>
    <t>DNAUV-2.578-441</t>
  </si>
  <si>
    <t>Viruses[1];Caudovirales[1];Siphoviridae[1];unclassified Siphoviridae[1];Salicola phage CGphi29[1];Palleronia[1];Palleronia abyssalis[1]</t>
  </si>
  <si>
    <t>Viruses;Caudovirales;Siphoviridae;unclassified Siphoviridae;Salicola phage CGphi29;Palleronia;Palleronia abyssalis</t>
  </si>
  <si>
    <t>DNAUV-3.823-59</t>
  </si>
  <si>
    <t>Viruses[5];Caudovirales[5];Siphoviridae[5];unclassified Siphoviridae[5];Salicola phage CGphi29[3];Xanthomonas[1];Xanthomonas citri group[1];Xanthomonas citri[1]</t>
  </si>
  <si>
    <t>Viruses;Caudovirales;Siphoviridae;unclassified Siphoviridae;Salicola phage CGphi29;Xanthomonas;Xanthomonas citri group;Xanthomonas citri</t>
  </si>
  <si>
    <t>Viruses[5];Caudovirales[5];Siphoviridae[5];unclassified Siphoviridae[5];Salicola phage CGphi29[3]</t>
  </si>
  <si>
    <t>DNAUV-4.772-16</t>
  </si>
  <si>
    <t>Viruses[1];Caudovirales[1];Siphoviridae[1];unclassified Siphoviridae[1];Streptomyces phage Ibantik[1];Bacillaceae[1];Pueribacillus[1];Pueribacillus theae[1]</t>
  </si>
  <si>
    <t>Viruses;Caudovirales;Siphoviridae;unclassified Siphoviridae;Streptomyces phage Ibantik;Bacillaceae;Pueribacillus;Pueribacillus theae</t>
  </si>
  <si>
    <t>Viruses[1];Caudovirales[1];Siphoviridae[1];unclassified Siphoviridae[1];Streptomyces phage Ibantik[1]</t>
  </si>
  <si>
    <t>DNAUV-5.430-20</t>
  </si>
  <si>
    <t>Viruses[1];Caudovirales[1];Siphoviridae[1];unclassified Siphoviridae[1];Streptomyces phage phiSASD1[1]</t>
  </si>
  <si>
    <t>Viruses;Caudovirales;Siphoviridae;unclassified Siphoviridae;Streptomyces phage phiSASD1</t>
  </si>
  <si>
    <t>DNAUV-2.538-13</t>
  </si>
  <si>
    <t>Viruses[1];Caudovirales[1];Siphoviridae[1];unclassified Siphoviridae[1];Streptomyces phage Wentworth[1]</t>
  </si>
  <si>
    <t>Viruses;Caudovirales;Siphoviridae;unclassified Siphoviridae;Streptomyces phage Wentworth</t>
  </si>
  <si>
    <t>DNAUV-2.309-12</t>
  </si>
  <si>
    <t>Viruses[1];Caudovirales[1];Siphoviridae[1];unclassified Siphoviridae[1];Synechococcus phage S-CBS1[1]</t>
  </si>
  <si>
    <t>Viruses;Caudovirales;Siphoviridae;unclassified Siphoviridae;Synechococcus phage S-CBS1</t>
  </si>
  <si>
    <t>DNAUV-3.191-827</t>
  </si>
  <si>
    <t>Viruses[1];Caudovirales[1];Siphoviridae[1];unclassified Siphoviridae[1];Synechococcus phage S-CBS2[1];Solemya elarraichensis gill symbiont[1]</t>
  </si>
  <si>
    <t>Viruses;Caudovirales;Siphoviridae;unclassified Siphoviridae;Synechococcus phage S-CBS2;Solemya elarraichensis gill symbiont</t>
  </si>
  <si>
    <t>DNAUV-2.221-12</t>
  </si>
  <si>
    <t>Viruses;Caudovirales;Siphoviridae;unclassified Siphoviridae;Synechococcus phage S-CBS4</t>
  </si>
  <si>
    <t>DNAUV-2.300-33</t>
  </si>
  <si>
    <t>DNAUV-2.978-18</t>
  </si>
  <si>
    <t>DNAUV-2.023-41</t>
  </si>
  <si>
    <t>Viruses[1];Caudovirales[1];Siphoviridae[1];unclassified Siphoviridae[1];Synechococcus phage S-LBS1[1]</t>
  </si>
  <si>
    <t>Viruses;Caudovirales;Siphoviridae;unclassified Siphoviridae;Synechococcus phage S-LBS1</t>
  </si>
  <si>
    <t>DNAUV-8.796-355</t>
  </si>
  <si>
    <t>Viruses[2];Caudovirales[2];Siphoviridae[2];unclassified Siphoviridae[2];Synechococcus virus S-ESS1[1]</t>
  </si>
  <si>
    <t>Viruses;Caudovirales;Siphoviridae;unclassified Siphoviridae;Synechococcus virus S-ESS1</t>
  </si>
  <si>
    <t>Viruses[2];Caudovirales[2];Siphoviridae[2];unclassified Siphoviridae[2];Pseudoalteromonas phage H103[1]</t>
  </si>
  <si>
    <t>DNAUV-2.219-2259</t>
  </si>
  <si>
    <t>Viruses[1];Caudovirales[1];Siphoviridae[1];unclassified Siphoviridae[1];Synechococcus virus S-ESS1[1]</t>
  </si>
  <si>
    <t>DNAUV-2.058-28</t>
  </si>
  <si>
    <t>Viruses[1];Caudovirales[1];Siphoviridae[1];unclassified Siphoviridae[1];Synechococcus virus S-ESS1[1];Bradyrhizobium[1];Bradyrhizobium elkanii[1]</t>
  </si>
  <si>
    <t>Viruses;Caudovirales;Siphoviridae;unclassified Siphoviridae;Synechococcus virus S-ESS1;Bradyrhizobium;Bradyrhizobium elkanii</t>
  </si>
  <si>
    <t>DNAUV-3.317-28</t>
  </si>
  <si>
    <t>DNAUV-6.232-891</t>
  </si>
  <si>
    <t>Viruses[1];Caudovirales[1];Siphoviridae[1];unclassified Siphoviridae[1];Synechococcus virus S-ESS1[1];Hyphomonas[1];Hyphomonas atlantica[1]</t>
  </si>
  <si>
    <t>Viruses;Caudovirales;Siphoviridae;unclassified Siphoviridae;Synechococcus virus S-ESS1;Hyphomonas;Hyphomonas atlantica</t>
  </si>
  <si>
    <t>DNAUV-4.799-18</t>
  </si>
  <si>
    <t>Viruses[3];Caudovirales[3];Siphoviridae[2];unclassified Siphoviridae[2];Tetraselmis viridis virus S20[2];Massilia[1];Massilia oculi[1]</t>
  </si>
  <si>
    <t>Viruses;Caudovirales;Siphoviridae;unclassified Siphoviridae;Tetraselmis viridis virus S20;Massilia;Massilia oculi</t>
  </si>
  <si>
    <t>Viruses[3];Caudovirales[3];Siphoviridae[2];unclassified Siphoviridae[2];Tetraselmis viridis virus S20[2]</t>
  </si>
  <si>
    <t>DNAUV-2.615-7.0</t>
  </si>
  <si>
    <t>Viruses[2];Caudovirales[2];Siphoviridae[2];unclassified Siphoviridae[2];Tetraselmis viridis virus S20[2];Sphingopyxis[1];Sphingopyxis flava[1]</t>
  </si>
  <si>
    <t>Viruses;Caudovirales;Siphoviridae;unclassified Siphoviridae;Tetraselmis viridis virus S20;Sphingopyxis;Sphingopyxis flava</t>
  </si>
  <si>
    <t>Viruses[2];Caudovirales[2];Siphoviridae[2];unclassified Siphoviridae[2];Tetraselmis viridis virus S20[2]</t>
  </si>
  <si>
    <t>DNAUV-2.349-48</t>
  </si>
  <si>
    <t>Viruses[1];Caudovirales[1];Siphoviridae[1];unclassified Siphoviridae[1];Thiotrichaceae[1];Beggiatoa[1];unclassified Beggiatoa[1];Beggiatoa sp. 4572_84[1]</t>
  </si>
  <si>
    <t>Viruses;Caudovirales;Siphoviridae;unclassified Siphoviridae;Thiotrichaceae;Beggiatoa;unclassified Beggiatoa;Beggiatoa sp. 4572_84</t>
  </si>
  <si>
    <t>DNAUV-2.360-727</t>
  </si>
  <si>
    <t>Viruses[2];Caudovirales[2];Siphoviridae[1];unclassified Siphoviridae[1];unclassified Jilinvirus[1];Burkholderia[1];Burkholderia gladioli[1]</t>
  </si>
  <si>
    <t>Viruses;Caudovirales;Siphoviridae;unclassified Siphoviridae;unclassified Jilinvirus;Burkholderia;Burkholderia gladioli</t>
  </si>
  <si>
    <t>Viruses[2];Caudovirales[2];Siphoviridae[1];unclassified Siphoviridae[1];Cellulophaga phage phi10:1[1];Pseudomonas phage PPpW-3[1]</t>
  </si>
  <si>
    <t>DNAUV-5.648-962</t>
  </si>
  <si>
    <t>Viruses[5];Caudovirales[5];Siphoviridae[4];unclassified Siphoviridae[2];unclassified Pbunavirus[1];Pseudomonas phage vB_PaeS_PAO1_Ab18[1]</t>
  </si>
  <si>
    <t>Viruses;Caudovirales;Siphoviridae;unclassified Siphoviridae;unclassified Pbunavirus;Pseudomonas phage vB_PaeS_PAO1_Ab18</t>
  </si>
  <si>
    <t>Viruses[5];Caudovirales[5];Siphoviridae[4];unclassified Siphoviridae[2];Vibrio phage VpKK5[1];Dinoroseobacter phage vB_DshS-R5C[1]</t>
  </si>
  <si>
    <t>DNAUV-2.462-13</t>
  </si>
  <si>
    <t>Viruses[3];Caudovirales[3];Siphoviridae[3];unclassified Siphoviridae[2];unclassified Roufvirus[1];Salmonella phage Skate[1]</t>
  </si>
  <si>
    <t>Viruses;Caudovirales;Siphoviridae;unclassified Siphoviridae;unclassified Roufvirus;Salmonella phage Skate</t>
  </si>
  <si>
    <t>Viruses[3];Caudovirales[3];Siphoviridae[3];unclassified Siphoviridae[2];Vibrio phage 1.076.O._10N.286.51.B7[1];Salmonella phage Skate[1]</t>
  </si>
  <si>
    <t>DNAUV-2.541-9.9</t>
  </si>
  <si>
    <t>DNAUV-5.518-23</t>
  </si>
  <si>
    <t>Viruses[2];Caudovirales[2];Siphoviridae[2];unclassified Siphoviridae[2];Verrucomicrobia phage P8625[2]</t>
  </si>
  <si>
    <t>DNAUV-3.809-46</t>
  </si>
  <si>
    <t>DNAUV-9.068-23</t>
  </si>
  <si>
    <t>Viruses[2];Caudovirales[2];Siphoviridae[2];unclassified Siphoviridae[2];Verrucomicrobia phage P8625[1];Vibrio[1];unclassified Vibrio[1];Vibrio sp. HI00D65[1]</t>
  </si>
  <si>
    <t>Viruses;Caudovirales;Siphoviridae;unclassified Siphoviridae;Verrucomicrobia phage P8625;Vibrio;unclassified Vibrio;Vibrio sp. HI00D65</t>
  </si>
  <si>
    <t>Viruses[2];Caudovirales[2];Siphoviridae[2];unclassified Siphoviridae[2];Synechococcus phage S-CBS4[1]</t>
  </si>
  <si>
    <t>DNAUV-2.180-99</t>
  </si>
  <si>
    <t>Viruses[1];Caudovirales[1];Siphoviridae[1];unclassified Siphoviridae[1];Vibrio phage 1.022.O._10N.286.45.A10[1];Roseovarius[1];Roseovarius indicus[1]</t>
  </si>
  <si>
    <t>Viruses;Caudovirales;Siphoviridae;unclassified Siphoviridae;Vibrio phage 1.022.O._10N.286.45.A10;Roseovarius;Roseovarius indicus</t>
  </si>
  <si>
    <t>Viruses[1];Caudovirales[1];Siphoviridae[1];unclassified Siphoviridae[1];Vibrio phage 1.022.O._10N.286.45.A10[1]</t>
  </si>
  <si>
    <t>DNAUV-3.981-15</t>
  </si>
  <si>
    <t>Viruses[1];Caudovirales[1];Siphoviridae[1];unclassified Siphoviridae[1];Vibrio phage 1.076.O._10N.286.51.B7[1]</t>
  </si>
  <si>
    <t>Viruses;Caudovirales;Siphoviridae;unclassified Siphoviridae;Vibrio phage 1.076.O._10N.286.51.B7</t>
  </si>
  <si>
    <t>DNAUV-3.010-10</t>
  </si>
  <si>
    <t>Viruses[1];Caudovirales[1];Siphoviridae[1];unclassified Siphoviridae[1];Vibrio phage 1.117.O._10N.261.45.E9[1]</t>
  </si>
  <si>
    <t>Viruses;Caudovirales;Siphoviridae;unclassified Siphoviridae;Vibrio phage 1.117.O._10N.261.45.E9</t>
  </si>
  <si>
    <t>DNAUV-5.981-12</t>
  </si>
  <si>
    <t>Viruses[4];Caudovirales[4];Siphoviridae[3];unclassified Siphoviridae[3];Vibrio phage 1.119.O._10N.261.51.A9[1]</t>
  </si>
  <si>
    <t>Viruses;Caudovirales;Siphoviridae;unclassified Siphoviridae;Vibrio phage 1.119.O._10N.261.51.A9</t>
  </si>
  <si>
    <t>DNAUV-4.117-32</t>
  </si>
  <si>
    <t>Viruses;Caudovirales;Siphoviridae;unclassified Siphoviridae;Vibrio phage 1.122.A._10N.286.46.F8</t>
  </si>
  <si>
    <t>DNAUV-42.055-32</t>
  </si>
  <si>
    <t>Viruses[46];Caudovirales[46];Siphoviridae[34];unclassified Siphoviridae[34];Vibrio phage 1.122.A._10N.286.46.F8[10];Vibrio[2];Vibrio harveyi group[1];Vibrio parahaemolyticus[1]</t>
  </si>
  <si>
    <t>Viruses;Caudovirales;Siphoviridae;unclassified Siphoviridae;Vibrio phage 1.122.A._10N.286.46.F8;Vibrio;Vibrio harveyi group;Vibrio parahaemolyticus</t>
  </si>
  <si>
    <t>Viruses[46];Caudovirales[46];Siphoviridae[34];unclassified Siphoviridae[34];Vibrio phage 1.122.A._10N.286.46.F8[10]</t>
  </si>
  <si>
    <t>DNAUV-4.545-14</t>
  </si>
  <si>
    <t>Viruses[3];Caudovirales[3];Siphoviridae[3];unclassified Siphoviridae[3];Vibrio phage 1.144.O._10N.286.45.B3[1];Escherichia[1];Escherichia coli[1]</t>
  </si>
  <si>
    <t>Viruses;Caudovirales;Siphoviridae;unclassified Siphoviridae;Vibrio phage 1.144.O._10N.286.45.B3;Escherichia;Escherichia coli</t>
  </si>
  <si>
    <t>Viruses[3];Caudovirales[3];Siphoviridae[3];unclassified Siphoviridae[3];Vibrio phage 1.210.O._10N.222.52.C2[1]</t>
  </si>
  <si>
    <t>DNAUV-2.699-17</t>
  </si>
  <si>
    <t>Viruses[1];Caudovirales[1];Siphoviridae[1];unclassified Siphoviridae[1];Vibrio phage 1.168.O._10N.261.52.A10[1];Bacillaceae[1];Oceanobacillus[1];Oceanobacillus jeddahense[1]</t>
  </si>
  <si>
    <t>Viruses;Caudovirales;Siphoviridae;unclassified Siphoviridae;Vibrio phage 1.168.O._10N.261.52.A10;Bacillaceae;Oceanobacillus;Oceanobacillus jeddahense</t>
  </si>
  <si>
    <t>Viruses[1];Caudovirales[1];Siphoviridae[1];unclassified Siphoviridae[1];Vibrio phage 1.168.O._10N.261.52.A10[1]</t>
  </si>
  <si>
    <t>DNAUV-2.111-11</t>
  </si>
  <si>
    <t>Viruses[1];Caudovirales[1];Siphoviridae[1];unclassified Siphoviridae[1];Vibrio phage 1.240.O._10N.261.52.F8[1]</t>
  </si>
  <si>
    <t>DNAUV-2.360-89</t>
  </si>
  <si>
    <t>Viruses[1];Caudovirales[1];Siphoviridae[1];unclassified Siphoviridae[1];Vibrio phage 1.247.A._10N.261.54.E12[1];Pseudoalteromonas[1];unclassified Pseudoalteromonas[1];Pseudoalteromonas sp. TMED43[1]</t>
  </si>
  <si>
    <t>Viruses;Caudovirales;Siphoviridae;unclassified Siphoviridae;Vibrio phage 1.247.A._10N.261.54.E12;Pseudoalteromonas;unclassified Pseudoalteromonas;Pseudoalteromonas sp. TMED43</t>
  </si>
  <si>
    <t>Viruses[1];Caudovirales[1];Siphoviridae[1];unclassified Siphoviridae[1];Vibrio phage 1.247.A._10N.261.54.E12[1]</t>
  </si>
  <si>
    <t>DNAUV-4.214-18</t>
  </si>
  <si>
    <t>Viruses[1];Caudovirales[1];Siphoviridae[1];unclassified Siphoviridae[1];Vibrio phage 1.251.O._10N.261.55.E5[1]</t>
  </si>
  <si>
    <t>Viruses;Caudovirales;Siphoviridae;unclassified Siphoviridae;Vibrio phage 1.251.O._10N.261.55.E5</t>
  </si>
  <si>
    <t>DNAUV-2.801-189</t>
  </si>
  <si>
    <t>Viruses[1];Caudovirales[1];Siphoviridae[1];unclassified Siphoviridae[1];Vibrio phage 1.285.O._10N.286.55.C12[1];Tatlockia[1];Legionella maceachernii[1]</t>
  </si>
  <si>
    <t>Viruses;Caudovirales;Siphoviridae;unclassified Siphoviridae;Vibrio phage 1.285.O._10N.286.55.C12;Tatlockia;Legionella maceachernii</t>
  </si>
  <si>
    <t>Viruses[1];Caudovirales[1];Siphoviridae[1];unclassified Siphoviridae[1];Vibrio phage 1.285.O._10N.286.55.C12[1]</t>
  </si>
  <si>
    <t>DNAUV-2.993-17</t>
  </si>
  <si>
    <t>Viruses[1];Caudovirales[1];Siphoviridae[1];unclassified Siphoviridae[1];Vibrio phage pYD21-A[1];Bacillaceae[1];Bacillus[1];unclassified Bacillus[1];Bacillus sp. FJAT-27225[1]</t>
  </si>
  <si>
    <t>Viruses;Caudovirales;Siphoviridae;unclassified Siphoviridae;Vibrio phage pYD21-A;Bacillaceae;Bacillus;unclassified Bacillus;Bacillus sp. FJAT-27225</t>
  </si>
  <si>
    <t>DNAUV-2.472-28</t>
  </si>
  <si>
    <t>Viruses[1];Caudovirales[1];Siphoviridae[1];unclassified Siphoviridae[1];Vibrio phage pYD21-A[1];Bordetella[1];Bordetella petrii[1]</t>
  </si>
  <si>
    <t>Viruses;Caudovirales;Siphoviridae;unclassified Siphoviridae;Vibrio phage pYD21-A;Bordetella;Bordetella petrii</t>
  </si>
  <si>
    <t>DNAUV-3.853-13</t>
  </si>
  <si>
    <t>Viruses[3];Caudovirales[3];Siphoviridae[3];unclassified Siphoviridae[3];Vibrio phage pYD21-A[2];Marinobacter[1];Marinobacter hydrocarbonoclasticus[1]</t>
  </si>
  <si>
    <t>Viruses;Caudovirales;Siphoviridae;unclassified Siphoviridae;Vibrio phage pYD21-A;Marinobacter;Marinobacter hydrocarbonoclasticus</t>
  </si>
  <si>
    <t>Viruses[3];Caudovirales[3];Siphoviridae[3];unclassified Siphoviridae[3];Vibrio phage pYD21-A[2]</t>
  </si>
  <si>
    <t>DNAUV-2.681-25</t>
  </si>
  <si>
    <t>Viruses[1];Caudovirales[1];Siphoviridae[1];unclassified Siphoviridae[1];Vibrio phage SHOU24[1]</t>
  </si>
  <si>
    <t>Viruses;Caudovirales;Siphoviridae;unclassified Siphoviridae;Vibrio phage SHOU24</t>
  </si>
  <si>
    <t>DNAUV-2.084-8.0</t>
  </si>
  <si>
    <t>Viruses[1];Caudovirales[1];Siphoviridae[1];unclassified Siphoviridae[1];Vibrio phage ValSw3-3[1];Providencia[1];Providencia rettgeri[1]</t>
  </si>
  <si>
    <t>Viruses;Caudovirales;Siphoviridae;unclassified Siphoviridae;Vibrio phage ValSw3-3;Providencia;Providencia rettgeri</t>
  </si>
  <si>
    <t>Viruses[1];Caudovirales[1];Siphoviridae[1];unclassified Siphoviridae[1];Vibrio phage ValSw3-3[1]</t>
  </si>
  <si>
    <t>DNAUV-43.621-123</t>
  </si>
  <si>
    <t>Viruses[22];Caudovirales[22];Siphoviridae[16];unclassified Siphoviridae[7];Vibrio phage vB_VpS_PG07[5];Klebsiella phage Sugarland[2];Devosia chinhatensis[1];Mesorhizobium sp. WSM3862[1];Bacillus sp. 5mfcol3.1[1]</t>
  </si>
  <si>
    <t>Viruses;Caudovirales;Siphoviridae;unclassified Siphoviridae;Vibrio phage vB_VpS_PG07;Klebsiella phage Sugarland;Devosia chinhatensis;Mesorhizobium sp. WSM3862;Bacillus sp. 5mfcol3.1</t>
  </si>
  <si>
    <t>Viruses[22];Caudovirales[22];Siphoviridae[16];unclassified Siphoviridae[7];Vibrio phage vB_VpS_PG07[5];Vibrio phage Ceto[2]</t>
  </si>
  <si>
    <t>DNAUV-5.434-17</t>
  </si>
  <si>
    <t>Viruses[3];Caudovirales[3];Siphoviridae[2];unclassified Siphoviridae[2];Vibrionaceae[2];Vibrio[2];Vibrio harveyi group[1];Vibrio sp. ZOR0018[1]</t>
  </si>
  <si>
    <t>Viruses;Caudovirales;Siphoviridae;unclassified Siphoviridae;Vibrionaceae;Vibrio;Vibrio harveyi group;Vibrio sp. ZOR0018</t>
  </si>
  <si>
    <t>Viruses[3];Caudovirales[3];Siphoviridae[2];unclassified Siphoviridae[2];Edwardsiella virus MSW3[1];Edwardsiella phage MSW-3[1]</t>
  </si>
  <si>
    <t>DNAUV-12.287-20</t>
  </si>
  <si>
    <t>Viruses[1];Caudovirales[1];Siphoviridae[1];unclassified Siphoviridae[1];Virus Rctr41k[1];Nocardiopsaceae[1];Nocardiopsis[1];Nocardiopsis sinuspersici[1]</t>
  </si>
  <si>
    <t>Viruses;Caudovirales;Siphoviridae;unclassified Siphoviridae;Virus Rctr41k;Nocardiopsaceae;Nocardiopsis;Nocardiopsis sinuspersici</t>
  </si>
  <si>
    <t>DNAUV-5.276-1364</t>
  </si>
  <si>
    <t>Viruses[2];Caudovirales[2];Siphoviridae[2];unclassified Siphoviridae[1];Xanthomonas virus OP1[1]</t>
  </si>
  <si>
    <t>Viruses;Caudovirales;Siphoviridae;unclassified Siphoviridae;Xanthomonas virus OP1</t>
  </si>
  <si>
    <t>Viruses[2];Caudovirales[2];Siphoviridae[2];Xipdecavirus[1];Xanthomonas virus OP1[1]</t>
  </si>
  <si>
    <t>DNAUV-7.242-34</t>
  </si>
  <si>
    <t>Viruses[2];Caudovirales[2];Siphoviridae[1];Vibrio virus VpV262[1];Polaribacter virus P12002L[1];Polaribacter phage P12002L[1];Flavobacteriaceae[1];Hyunsoonleella[1];Hyunsoonleella jejuensis[1]</t>
  </si>
  <si>
    <t>Viruses;Caudovirales;Siphoviridae;Vibrio virus VpV262;Polaribacter virus P12002L;Polaribacter phage P12002L;Flavobacteriaceae;Hyunsoonleella;Hyunsoonleella jejuensis</t>
  </si>
  <si>
    <t>Viruses[2];Caudovirales[2];Podoviridae[1];Incheonvrus[1];Polaribacter virus P12002L[1];Polaribacter phage P12002L[1]</t>
  </si>
  <si>
    <t>DNAUV-6.629-57</t>
  </si>
  <si>
    <t>Viruses[2];Caudovirales[2];Siphoviridae[1];Wilnyevirus[1];Streptomyces virus BillNye[1];Leptolyngbyaceae[1];Terrabacter[1];Phormidesmis priestleyi[1];Terrabacter sp. Soil811[1]</t>
  </si>
  <si>
    <t>Viruses;Caudovirales;Siphoviridae;Wilnyevirus;Streptomyces virus BillNye;Leptolyngbyaceae;Terrabacter;Phormidesmis priestleyi;Terrabacter sp. Soil811</t>
  </si>
  <si>
    <t>Viruses[2];Caudovirales[2];Podoviridae[1];unclassified Podoviridae[1];Cellulophaga phage phi19:3[1];Streptomyces phage BillNye[1]</t>
  </si>
  <si>
    <t>DNAUV-2.002-21</t>
  </si>
  <si>
    <t>Viruses[1];Caudovirales[1];Siphoviridae[1];Xiamenvirus[1];Roseobacter virus RDJL1[1];Roseobacter phage RDJL Phi 1[1]</t>
  </si>
  <si>
    <t>Viruses;Caudovirales;Siphoviridae;Xiamenvirus;Roseobacter virus RDJL1;Roseobacter phage RDJL Phi 1</t>
  </si>
  <si>
    <t>DNAUV-3.759-521</t>
  </si>
  <si>
    <t>Viruses[2];Caudovirales[2];Siphoviridae[1];Xiamenvirus[1];Roseobacter virus RDJL1[1];Roseobacter phage RDJL Phi 1[1]</t>
  </si>
  <si>
    <t>Viruses[2];Caudovirales[2];Siphoviridae[1];Xiamenvirus[1];Yersinia phage fEV-1[1];Roseobacter phage RDJL Phi 1[1]</t>
  </si>
  <si>
    <t>DNAUV-2.766-14-V2</t>
  </si>
  <si>
    <t>Viruses[1];Caudovirales[1];Siphoviridae[1];Xiamenvirus[1];Roseobacter virus RDJL1[1];Roseobacter phage RDJL Phi 1[1];Mameliella alba[1]</t>
  </si>
  <si>
    <t>Viruses;Caudovirales;Siphoviridae;Xiamenvirus;Roseobacter virus RDJL1;Roseobacter phage RDJL Phi 1;Mameliella alba</t>
  </si>
  <si>
    <t>DNAUV-4.120-96</t>
  </si>
  <si>
    <t>Viruses[1];Caudovirales[1];Siphoviridae[1];Xiamenvirus[1];Roseobacter virus RDJL2[1];Roseobacter phage RDJL Phi 2[1]</t>
  </si>
  <si>
    <t>Viruses;Caudovirales;Siphoviridae;Xiamenvirus;Roseobacter virus RDJL2;Roseobacter phage RDJL Phi 2</t>
  </si>
  <si>
    <t>DNAUV-3.670-621</t>
  </si>
  <si>
    <t>Viruses[1];Caudovirales[1];Siphoviridae[1];Xipdecavirus[1];Xanthomonas virus OP1[1]</t>
  </si>
  <si>
    <t>Viruses;Caudovirales;Siphoviridae;Xipdecavirus;Xanthomonas virus OP1</t>
  </si>
  <si>
    <t>DNAUV-2.137-35</t>
  </si>
  <si>
    <t>Viruses[2];Caudovirales[2];Siphoviridae[2];Xipdecavirus[2];Xanthomonas virus OP1[1];Salinisphaera[1];Salinisphaera hydrothermalis[1]</t>
  </si>
  <si>
    <t>Viruses;Caudovirales;Siphoviridae;Xipdecavirus;Xanthomonas virus OP1;Salinisphaera;Salinisphaera hydrothermalis</t>
  </si>
  <si>
    <t>Viruses[2];Caudovirales[2];Siphoviridae[2];Xipdecavirus[2];Xanthomonas virus phil7[1]</t>
  </si>
  <si>
    <t>DNAUV-2.254-115</t>
  </si>
  <si>
    <t>Viruses[1];Caudovirales[1];Siphoviridae[1];Xipdecavirus[1];Xanthomonas virus OP1[1];Salinisphaera[1];Salinisphaera hydrothermalis[1]</t>
  </si>
  <si>
    <t>DNAUV-2.312-11</t>
  </si>
  <si>
    <t>Viruses[1];Caudovirales[1];Siphoviridae[1];Xipdecavirus[1];Xanthomonas virus phil7[1];Rhizobium/Agrobacterium group[1];Rhizobium[1];Rhizobium leguminosarum[1]</t>
  </si>
  <si>
    <t>Viruses;Caudovirales;Siphoviridae;Xipdecavirus;Xanthomonas virus phil7;Rhizobium/Agrobacterium group;Rhizobium;Rhizobium leguminosarum</t>
  </si>
  <si>
    <t>Viruses[1];Caudovirales[1];Siphoviridae[1];Xipdecavirus[1];Xanthomonas virus phil7[1]</t>
  </si>
  <si>
    <t>DNAUV-64.562-41</t>
  </si>
  <si>
    <t>Viruses[43];Caudovirales[43];Siphoviridae[42];Yuavirus[31];Alphaproteobacteria virus phiJl001[31];Burkholderia phage vB_BceS_KL1[3];unclassified Mesorhizobium[1];Amycolatopsis kentuckyensis[1];Rhizobium sp. Root482[1]</t>
  </si>
  <si>
    <t>Viruses;Caudovirales;Siphoviridae;Yuavirus;Alphaproteobacteria virus phiJl001;Burkholderia phage vB_BceS_KL1;unclassified Mesorhizobium;Amycolatopsis kentuckyensis;Rhizobium sp. Root482</t>
  </si>
  <si>
    <t>Viruses[43];Caudovirales[43];Siphoviridae[42];Yuavirus[31];Alphaproteobacteria virus phiJl001[31];Burkholderia phage vB_BceS_KL1[3]</t>
  </si>
  <si>
    <t>DNAUV-2.255-9.7</t>
  </si>
  <si>
    <t>Viruses[2];Caudovirales[2];Siphoviridae[2];Yuavirus[1];Alphaproteobacteria virus phiJl001[1];Chelatococcus[1];Chelatococcus daeguensis[1]</t>
  </si>
  <si>
    <t>Viruses;Caudovirales;Siphoviridae;Yuavirus;Alphaproteobacteria virus phiJl001;Chelatococcus;Chelatococcus daeguensis</t>
  </si>
  <si>
    <t>Viruses[2];Caudovirales[2];Siphoviridae[2];Steinhofvirus[1];Alphaproteobacteria virus phiJl001[1];Achromobacter phage JWX[1]</t>
  </si>
  <si>
    <t>DNAUV-15.738-237</t>
  </si>
  <si>
    <t>Viruses[9];Caudovirales[9];Siphoviridae[9];Yuavirus[4];Rhodobacteraceae[3];Nitrosomonas[2];Nitrosomonas ureae[2];Leisingera sp. ANG-Vp[1]</t>
  </si>
  <si>
    <t>Viruses;Caudovirales;Siphoviridae;Yuavirus;Rhodobacteraceae;Nitrosomonas;Nitrosomonas ureae;Leisingera sp. ANG-Vp</t>
  </si>
  <si>
    <t>Viruses[9];Caudovirales[9];Siphoviridae[9];Yuavirus[4];Alphaproteobacteria virus phiJl001[2];Roseobacter phage RDJL Phi 1[1]</t>
  </si>
  <si>
    <t>DNAUV-64.565-409</t>
  </si>
  <si>
    <t>Viruses[27];Caudovirales[27];Siphoviridae[27];Yuavirus[8];Rhodobacteraceae[7];Pseudomonas phage ZC01[4];Euphyllophyta[2];Spermatophyta[2];Magnoliopsida[2];Mesangiospermae[2];Liliopsida[2];Alismatales[2];Zosteraceae[2];Zostera[2];Zostera marina[2]</t>
  </si>
  <si>
    <t>Viruses;Caudovirales;Siphoviridae;Yuavirus;Rhodobacteraceae;Pseudomonas phage ZC01;Euphyllophyta;Spermatophyta;Magnoliopsida;Mesangiospermae;Liliopsida;Alismatales;Zosteraceae;Zostera;Zostera marina</t>
  </si>
  <si>
    <t>Viruses[27];Caudovirales[27];Siphoviridae[27];Yuavirus[8];unclassified Abidjanvirus[4];Pseudomonas phage ZC01[4]</t>
  </si>
  <si>
    <t>DNAUV-2.256-8.1</t>
  </si>
  <si>
    <t>Viruses[3];Caudovirales[3];Siphoviridae[2];Yuavirus[2];unclassified Yuavirus[1];Bordetella phage FP1[1]</t>
  </si>
  <si>
    <t>Viruses;Caudovirales;Siphoviridae;Yuavirus;unclassified Yuavirus;Bordetella phage FP1</t>
  </si>
  <si>
    <t>Viruses[3];Caudovirales[3];Siphoviridae[2];Yuavirus[2];Pseudomonas virus SN[1];Bordetella phage FP1[1]</t>
  </si>
  <si>
    <t>DNAUV-3.603-11</t>
  </si>
  <si>
    <t>Viruses[4];Caudovirales[4];Siphoviridae[4];Yuavirus[4];unclassified Yuavirus[2];Bordetella virus LK3[1];unclassified Mesorhizobium[1];Mesorhizobium sp. LNJC386A00[1]</t>
  </si>
  <si>
    <t>Viruses;Caudovirales;Siphoviridae;Yuavirus;unclassified Yuavirus;Bordetella virus LK3;unclassified Mesorhizobium;Mesorhizobium sp. LNJC386A00</t>
  </si>
  <si>
    <t>Viruses[4];Caudovirales[4];Siphoviridae[4];Yuavirus[4];unclassified Yuavirus[2];Pseudomonas phage vB_PaeS_S218[1]</t>
  </si>
  <si>
    <t>DNAUV-2.822-12</t>
  </si>
  <si>
    <t>Viruses[2];Caudovirales[2];Siphoviridae[2];Yuavirus[2];unclassified Yuavirus[2];Pseudomonas phage AN14[1]</t>
  </si>
  <si>
    <t>Viruses;Caudovirales;Siphoviridae;Yuavirus;unclassified Yuavirus;Pseudomonas phage AN14</t>
  </si>
  <si>
    <t>Viruses[2];Caudovirales[2];Siphoviridae[2];Yuavirus[2];unclassified Yuavirus[2];Bordetella phage CN1[1]</t>
  </si>
  <si>
    <t>DNAUV-2.269-1089</t>
  </si>
  <si>
    <t>Viruses[1];Caudovirales[1];Siphoviridae[1];Yuavirus[1];unclassified Yuavirus[1];Pseudomonas phage AN14[1]</t>
  </si>
  <si>
    <t>DNAUV-4.258-10</t>
  </si>
  <si>
    <t>Viruses[5];Caudovirales[5];Siphoviridae[5];Yuavirus[3];unclassified Yuavirus[2];Pseudomonas phage ZC01[1]</t>
  </si>
  <si>
    <t>Viruses;Caudovirales;Siphoviridae;Yuavirus;unclassified Yuavirus;Pseudomonas phage ZC01</t>
  </si>
  <si>
    <t>DNAUV-3.890-10</t>
  </si>
  <si>
    <t>Viruses[3];Caudovirales[2];Skeletonema virus LDF-2015a[1];unclassified Podoviridae[1];Sinorhizobium virus M12[1];Sinorhizobium phage phiM12[1];Xanthomonas translucens[1]</t>
  </si>
  <si>
    <t>Viruses;Caudovirales;Skeletonema virus LDF-2015a;unclassified Podoviridae;Sinorhizobium virus M12;Sinorhizobium phage phiM12;Xanthomonas translucens</t>
  </si>
  <si>
    <t>Viruses[3];Caudovirales[2];Podoviridae[1];Emdodecavirus[1];Pseudomonas phage TC6[1];Sinorhizobium phage phiM12[1]</t>
  </si>
  <si>
    <t>DNAUV-2.514-711</t>
  </si>
  <si>
    <t>Viruses[3];Caudovirales[2];Skeletonema virus LDF-2015a[1];unclassified Podoviridae[1];Synechococcus phage S-CBS4[1]</t>
  </si>
  <si>
    <t>Viruses;Caudovirales;Skeletonema virus LDF-2015a;unclassified Podoviridae;Synechococcus phage S-CBS4</t>
  </si>
  <si>
    <t>Viruses[3];Caudovirales[2];Siphoviridae[1];unclassified Siphoviridae[1];Synechococcus phage S-CBS4[1]</t>
  </si>
  <si>
    <t>DNAUV-2.835-12</t>
  </si>
  <si>
    <t>DNAUV-2.520-57</t>
  </si>
  <si>
    <t>Viruses[2];Caudovirales[2];unclassified Caudovirales[1];unclassified Myoviridae[1];Cyanophage P-TIM40[1]</t>
  </si>
  <si>
    <t>Viruses;Caudovirales;unclassified Caudovirales;unclassified Myoviridae;Cyanophage P-TIM40</t>
  </si>
  <si>
    <t>DNAUV-2.676-184</t>
  </si>
  <si>
    <t>Viruses[2];Caudovirales[2];Myoviridae[1];Nitrincola phage 1M3-16[1];Cyanophage P-TIM40[1]</t>
  </si>
  <si>
    <t>DNAUV-4.807-32</t>
  </si>
  <si>
    <t>Viruses[2];Caudovirales[1];unclassified Phycodnaviridae[1];unclassified Siphoviridae[1];Marinobacter phage PS3[1];Methyloversatilis[1];Methyloversatilis universalis[1];Methyloversatilis universalis FAM5[1]</t>
  </si>
  <si>
    <t>Viruses;Caudovirales;unclassified Phycodnaviridae;unclassified Siphoviridae;Marinobacter phage PS3;Methyloversatilis;Methyloversatilis universalis;Methyloversatilis universalis FAM5</t>
  </si>
  <si>
    <t>Viruses[2];Caudovirales[1];Siphoviridae[1];unclassified Siphoviridae[1];Marinobacter phage PS3[1]</t>
  </si>
  <si>
    <t>DNAUV-3.939-149</t>
  </si>
  <si>
    <t>Microviridae</t>
  </si>
  <si>
    <t>Viruses[4];Microviridae[4];Gokushovirinae[2];Bdellomicrovirus[1];Gokushovirus WZ-2015a[1];Bdellovibrio phage phiMH2K[1]</t>
  </si>
  <si>
    <t>Viruses;Microviridae;Gokushovirinae;Bdellomicrovirus;Gokushovirus WZ-2015a;Bdellovibrio phage phiMH2K</t>
  </si>
  <si>
    <t>Viruses[4];Microviridae[4];Gokushovirinae[2];Chimpanzee faeces associated microphage 3[1];Bdellovibrio virus MH2K[1];Bdellovibrio phage phiMH2K[1]</t>
  </si>
  <si>
    <t>DNAUV-4.235-73</t>
  </si>
  <si>
    <t>Viruses[6];Microviridae[6];Gokushovirinae[5];unclassified Gokushovirinae[4];Gokushovirus WZ-2015a[2];Bdellovibrio phage phiMH2K[1]</t>
  </si>
  <si>
    <t>Viruses;Microviridae;Gokushovirinae;unclassified Gokushovirinae;Gokushovirus WZ-2015a;Bdellovibrio phage phiMH2K</t>
  </si>
  <si>
    <t>DNAUV-4.676-73</t>
  </si>
  <si>
    <t>Viruses[4];Microviridae[4];Gokushovirinae[4];unclassified Gokushovirinae[4];Gokushovirus WZ-2015a[2];Escherichia[1];Escherichia coli[1]</t>
  </si>
  <si>
    <t>Viruses;Microviridae;Gokushovirinae;unclassified Gokushovirinae;Gokushovirus WZ-2015a;Escherichia;Escherichia coli</t>
  </si>
  <si>
    <t>Viruses[4];Microviridae[4];Gokushovirinae[4];unclassified Gokushovirinae[4];Gokushovirus WZ-2015a[2]</t>
  </si>
  <si>
    <t>DNAUV-4.206-49</t>
  </si>
  <si>
    <t>Viruses[4];Microviridae[4];Gokushovirinae[3];unclassified Gokushovirinae[3];Gokushovirus WZ-2015a[2];Sulfurovum[1];unclassified Sulfurovum[1];Sulfurovum sp. FS06-10[1]</t>
  </si>
  <si>
    <t>Viruses;Microviridae;Gokushovirinae;unclassified Gokushovirinae;Gokushovirus WZ-2015a;Sulfurovum;unclassified Sulfurovum;Sulfurovum sp. FS06-10</t>
  </si>
  <si>
    <t>Viruses[4];Microviridae[4];Gokushovirinae[3];unclassified Gokushovirinae[3];Gokushovirus WZ-2015a[2]</t>
  </si>
  <si>
    <t>DNAUV-2.054-10</t>
  </si>
  <si>
    <t>Viruses[1];Microviridae[1];unclassified Microviridae[1];Eel River basin pequenovirus[1]</t>
  </si>
  <si>
    <t>DNAUV-3.948-87</t>
  </si>
  <si>
    <t>DNAUV-4.073-41</t>
  </si>
  <si>
    <t>Viruses[2];Microviridae[2];unclassified Microviridae[2];Eel River basin pequenovirus[2];Bacteroidia[2];Bacteroidales[2];Tannerellaceae[2];Parabacteroides[2];Parabacteroides distasonis[1]</t>
  </si>
  <si>
    <t>Viruses;Microviridae;unclassified Microviridae;Eel River basin pequenovirus;Bacteroidia;Bacteroidales;Tannerellaceae;Parabacteroides;Parabacteroides distasonis</t>
  </si>
  <si>
    <t>DNAUV-4.503-286</t>
  </si>
  <si>
    <t>Viruses[4];Microviridae[3];unclassified Microviridae[3];Eel River basin pequenovirus[2];Dragonfly-associated microphage 1[1]</t>
  </si>
  <si>
    <t>Viruses;Microviridae;unclassified Microviridae;Eel River basin pequenovirus;Dragonfly-associated microphage 1</t>
  </si>
  <si>
    <t>DNAUV-6.215-42</t>
  </si>
  <si>
    <t>Viruses[3];Microviridae[3];unclassified Microviridae[2];Eel River basin pequenovirus[2];Escherichia virus alpha3[1];Desulfovibrionaceae[1];Bilophila[1];unclassified Bilophila[1];Bilophila sp. 4_1_30[1]</t>
  </si>
  <si>
    <t>Viruses;Microviridae;unclassified Microviridae;Eel River basin pequenovirus;Escherichia virus alpha3;Desulfovibrionaceae;Bilophila;unclassified Bilophila;Bilophila sp. 4_1_30</t>
  </si>
  <si>
    <t>Viruses[3];Microviridae[3];unclassified Microviridae[2];Eel River basin pequenovirus[2];Escherichia virus alpha3[1];Escherichia phage alpha3[1]</t>
  </si>
  <si>
    <t>DNAUV-4.841-1604</t>
  </si>
  <si>
    <t>Viruses[5];Microviridae[5];unclassified Microviridae[3];Eel River basin pequenovirus[3];Gokushovirus WZ-2015a[1];Chlamydia phage CPG1[1];Methylocaldum szegediense[1]</t>
  </si>
  <si>
    <t>Viruses;Microviridae;unclassified Microviridae;Eel River basin pequenovirus;Gokushovirus WZ-2015a;Chlamydia phage CPG1;Methylocaldum szegediense</t>
  </si>
  <si>
    <t>Viruses[5];Microviridae[5];unclassified Microviridae[3];Eel River basin pequenovirus[3];Gokushovirus WZ-2015a[1];Chlamydia phage CPG1[1]</t>
  </si>
  <si>
    <t>DNAUV-4.312-12</t>
  </si>
  <si>
    <t>Viruses[3];Microviridae[3];unclassified Microviridae[2];Eel River basin pequenovirus[2];Marine gokushovirus[1];Campylobacteraceae[1];Campylobacter[1];Campylobacter coli[1]</t>
  </si>
  <si>
    <t>Viruses;Microviridae;unclassified Microviridae;Eel River basin pequenovirus;Marine gokushovirus;Campylobacteraceae;Campylobacter;Campylobacter coli</t>
  </si>
  <si>
    <t>Viruses[3];Microviridae[3];unclassified Microviridae[2];Eel River basin pequenovirus[2];Marine gokushovirus[1]</t>
  </si>
  <si>
    <t>DNAUV-4.411-15</t>
  </si>
  <si>
    <t>Viruses[2];Microviridae[2];unclassified Microviridae[2];Microviridae Fen7918_21[1];Bilateria[1];Protostomia[1];Ecdysozoa[1];Nematoda[1];Chromadorea[1];Strongylida[1];Ancylostomatoidea[1];Ancylostomatidae[1];Bunostominae[1];Necator[1];Necator americanus[1]</t>
  </si>
  <si>
    <t>Viruses;Microviridae;unclassified Microviridae;Microviridae Fen7918_21;Bilateria;Protostomia;Ecdysozoa;Nematoda;Chromadorea;Strongylida;Ancylostomatoidea;Ancylostomatidae;Bunostominae;Necator;Necator americanus</t>
  </si>
  <si>
    <t>Viruses[2];Microviridae[2];unclassified Microviridae[2];Eel River basin pequenovirus[1]</t>
  </si>
  <si>
    <t>DNAUV-3.569-14</t>
  </si>
  <si>
    <t>Viruses[2];Microviridae[2];unclassified Microviridae[2];Ruegeria phage DSS3-P22[2]</t>
  </si>
  <si>
    <t>Viruses;Microviridae;unclassified Microviridae;Ruegeria phage DSS3-P22</t>
  </si>
  <si>
    <t>DNAUV-3.368-21</t>
  </si>
  <si>
    <t>Podoviridae</t>
  </si>
  <si>
    <t>Viruses[2];Phycodnaviridae[1];Podoviridae[1];unclassified Podoviridae[1];Paramecium bursaria Chlorella virus Fr5L[1];Microvirga[1];Microvirga flocculans[1]</t>
  </si>
  <si>
    <t>Viruses;Phycodnaviridae;Podoviridae;unclassified Podoviridae;Paramecium bursaria Chlorella virus Fr5L;Microvirga;Microvirga flocculans</t>
  </si>
  <si>
    <t>Viruses[2];Caudovirales[1];Chlorovirus[1];unclassified Chlorovirus[1];Paramecium bursaria Chlorella virus Fr5L[1]</t>
  </si>
  <si>
    <t>DNAUV-8.031-13</t>
  </si>
  <si>
    <t>Viruses[2];Phycodnaviridae[1];unclassified Phycodnaviridae[1];unclassified Podoviridae[1];Vibrio phage 1.275.O._10N.286.54.E11[1]</t>
  </si>
  <si>
    <t>Viruses;Phycodnaviridae;unclassified Phycodnaviridae;unclassified Podoviridae;Vibrio phage 1.275.O._10N.286.54.E11</t>
  </si>
  <si>
    <t>Viruses[2];Caudovirales[1];Podoviridae[1];Orpheovirus IHUMI-LCC2[1];Vibrio phage 1.275.O._10N.286.54.E11[1]</t>
  </si>
  <si>
    <t>DNAUV-8.944-24</t>
  </si>
  <si>
    <t>Viruses[2];Proteobacteria[2];Alphaproteobacteria[2];Rhizobiales[2];Xanthobacteraceae[1];Labrys[1];Labrys sp. WJW[1]</t>
  </si>
  <si>
    <t>Viruses;Proteobacteria;Alphaproteobacteria;Rhizobiales;Xanthobacteraceae;Labrys;Labrys sp. WJW</t>
  </si>
  <si>
    <t>Viruses[2];Caudovirales[1];Chlorovirus[1];unclassified Podoviridae[1];Sinorhizobium phage phiM6[1]</t>
  </si>
  <si>
    <t>DNAUV-3.831-59</t>
  </si>
  <si>
    <t>Viruses[2];Proteobacteria[2];Alphaproteobacteria[2];Rhodobacterales[2];Rhodobacteraceae[2];Bathycoccaceae[1];Yoonia tamlensis[1];Ostreococcus tauri[1]</t>
  </si>
  <si>
    <t>Viruses;Proteobacteria;Alphaproteobacteria;Rhodobacterales;Rhodobacteraceae;Bathycoccaceae;Yoonia tamlensis;Ostreococcus tauri</t>
  </si>
  <si>
    <t>Viruses[2];Caudovirales[1];unclassified bacterial viruses[1];unclassified Podoviridae[1];Puniceispirillum phage HMO-2011[1]</t>
  </si>
  <si>
    <t>DNAUV-8.859-2624</t>
  </si>
  <si>
    <t>Viruses[4];Proteobacteria[4];Gammaproteobacteria[4];Alteromonadales[4];Pseudoalteromonadaceae[4];Pseudoalteromonas[4];unclassified Pseudoalteromonas[4];Pseudoalteromonas sp. TMED43[4]</t>
  </si>
  <si>
    <t>Viruses;Proteobacteria;Gammaproteobacteria;Alteromonadales;Pseudoalteromonadaceae;Pseudoalteromonas;unclassified Pseudoalteromonas;Pseudoalteromonas sp. TMED43</t>
  </si>
  <si>
    <t>Viruses[4];Caudovirales[3];Siphoviridae[2];Inhavirus[2];Nonlabens virus P12024L[2];Nonlabens phage P12024S[2]</t>
  </si>
  <si>
    <t>DNAUV-3.064-451</t>
  </si>
  <si>
    <t>Viruses[2];Proteobacteria[2];Podoviridae[1];unclassified Podoviridae[1];Alcaligenaceae[1];Bordetella[1];Bordetella flabilis[1]</t>
  </si>
  <si>
    <t>Viruses;Proteobacteria;Podoviridae;unclassified Podoviridae;Alcaligenaceae;Bordetella;Bordetella flabilis</t>
  </si>
  <si>
    <t>Viruses[2];Caudovirales[1];Podoviridae[1];unclassified dsDNA phages[1];Sinorhizobium phage phiM5[1]</t>
  </si>
  <si>
    <t>DNAUV-9.013-1827</t>
  </si>
  <si>
    <t>Viruses[4];Proteobacteria[4];Podoviridae[3];unclassified Podoviridae[3];Sinorhizobium phage phiM5[3];Bordetella[2];Bordetella flabilis[2]</t>
  </si>
  <si>
    <t>Viruses;Proteobacteria;Podoviridae;unclassified Podoviridae;Sinorhizobium phage phiM5;Bordetella;Bordetella flabilis</t>
  </si>
  <si>
    <t>Viruses[4];Caudovirales[3];Podoviridae[3];unclassified Podoviridae[3];Sinorhizobium phage phiM5[3]</t>
  </si>
  <si>
    <t>DNAUV-4.204-116</t>
  </si>
  <si>
    <t>Viruses[2];Proteobacteria[2];Skeletonema virus LDF-2015a[1];unclassified Podoviridae[1];Nitrosomonadaceae[1];Bradyrhizobium[1];Bradyrhizobium erythrophlei[1];Nitrosomonas sp. Is79A3[1]</t>
  </si>
  <si>
    <t>Viruses;Proteobacteria;Skeletonema virus LDF-2015a;unclassified Podoviridae;Nitrosomonadaceae;Bradyrhizobium;Bradyrhizobium erythrophlei;Nitrosomonas sp. Is79A3</t>
  </si>
  <si>
    <t>Viruses[2];Caudovirales[1];Podoviridae[1];unclassified Podoviridae[1];Pseudomonas phage TC6[1]</t>
  </si>
  <si>
    <t>DNAUV-3.730-211</t>
  </si>
  <si>
    <t>Viruses[2];Proteobacteria[2];unclassified bacterial viruses[1];unclassified Prasinovirus[1];Bathycoccus sp. RCC1105 virus BpV[1];Bathycoccus sp. RCC1105 virus BpV1[1];unclassified Roseobacter[1];Vibrio sp. HI00D65[1]</t>
  </si>
  <si>
    <t>Viruses;Proteobacteria;unclassified bacterial viruses;unclassified Prasinovirus;Bathycoccus sp. RCC1105 virus BpV;Bathycoccus sp. RCC1105 virus BpV1;unclassified Roseobacter;Vibrio sp. HI00D65</t>
  </si>
  <si>
    <t>Viruses[2];unclassified viruses[1];unclassified bacterial viruses[1];unclassified Prasinovirus[1];Bathycoccus sp. RCC1105 virus BpV[1];Bathycoccus sp. RCC1105 virus BpV1[1]</t>
  </si>
  <si>
    <t>DNAUV-9.387-31</t>
  </si>
  <si>
    <t>Viruses[2];Proteobacteria[2];unclassified Mimiviridae[1];Mimivirus AB-566-O17[1];Parvularculaceae[1];Parvularcula[1];Marinobacter salinus[1];Parvularcula sp. SM1705[1]</t>
  </si>
  <si>
    <t>Viruses;Proteobacteria;unclassified Mimiviridae;Mimivirus AB-566-O17;Parvularculaceae;Parvularcula;Marinobacter salinus;Parvularcula sp. SM1705</t>
  </si>
  <si>
    <t>Viruses[2];Caudovirales[1];Podoviridae[1];Mimivirus AB-566-O17[1];Sulfitobacter phage NYA-2014a[1]</t>
  </si>
  <si>
    <t>DNAUV-16.853-829</t>
  </si>
  <si>
    <t>Tectiviridae</t>
  </si>
  <si>
    <t>Viruses[4];Tectiviridae[4];Alphaproteobacteria[4];Rhizobiales[4];Enterobacteria phage PR4[2];Mesorhizobium[2];unclassified Mesorhizobium[2];Mesorhizobium sp. L2C066B000[1]</t>
  </si>
  <si>
    <t>Viruses;Tectiviridae;Alphaproteobacteria;Rhizobiales;Enterobacteria phage PR4;Mesorhizobium;unclassified Mesorhizobium;Mesorhizobium sp. L2C066B000</t>
  </si>
  <si>
    <t>Viruses[4];Tectiviridae[4];Alphatectivirus[3];Pseudomonas virus PR4[2];Enterobacteria phage PR4[2]</t>
  </si>
  <si>
    <t>DNAUV-11.867-26</t>
  </si>
  <si>
    <t>Viruses[3];Tectiviridae[3];Alphatectivirus[3];Pseudomonas virus PRD1[2];Enterobacteria phage PR4[1];Pseudochrobactrum[1];Methylibium[1];Pseudochrobactrum sp. AO18b[1];Methylibium sp. CF468[1]</t>
  </si>
  <si>
    <t>Viruses;Tectiviridae;Alphatectivirus;Pseudomonas virus PRD1;Enterobacteria phage PR4;Pseudochrobactrum;Methylibium;Pseudochrobactrum sp. AO18b;Methylibium sp. CF468</t>
  </si>
  <si>
    <t>Viruses[3];Tectiviridae[3];Alphatectivirus[3];Pseudomonas virus PRD1[2];Enterobacteria phage PR772[1]</t>
  </si>
  <si>
    <t>DNAUV-2.472-22</t>
  </si>
  <si>
    <t>Viruses[1];Tectiviridae[1];Gammatectivirus[1];Gluconobacter virus GC1[1];Gluconobacter phage GC1[1]</t>
  </si>
  <si>
    <t>Viruses;Tectiviridae;Gammatectivirus;Gluconobacter virus GC1;Gluconobacter phage GC1</t>
  </si>
  <si>
    <t>DNAUV-5.797-16</t>
  </si>
  <si>
    <t>Viruses[2];Tectiviridae[1];Siphoviridae[1];Gluconobacter virus GC1[1];unclassified Tequintavirus[1];Salmonella phage Stp1[1];Coraliomargarita[1];unclassified Coraliomargarita[1];Coraliomargarita sp. WN38[1]</t>
  </si>
  <si>
    <t>Viruses;Tectiviridae;Siphoviridae;Gluconobacter virus GC1;unclassified Tequintavirus;Salmonella phage Stp1;Coraliomargarita;unclassified Coraliomargarita;Coraliomargarita sp. WN38</t>
  </si>
  <si>
    <t>Viruses[2];Tectiviridae[1];Gammatectivirus[1];Tequintavirus[1];unclassified Tequintavirus[1];Salmonella phage Stp1[1]</t>
  </si>
  <si>
    <t>DNAUV-3.994-19</t>
  </si>
  <si>
    <t>Viruses[1];Tectiviridae[1];unclassified Tectiviridae[1];Methanosarcina spherical virus[1]</t>
  </si>
  <si>
    <t>Viruses;Tectiviridae;unclassified Tectiviridae;Methanosarcina spherical virus</t>
  </si>
  <si>
    <t>DNAUV-2.369-39</t>
  </si>
  <si>
    <t>VIRUSES (ss)</t>
  </si>
  <si>
    <t>Circoviridae</t>
  </si>
  <si>
    <t>Viruses[2];unclassified viruses[1];Lake Sarah-associated circular virus-1[1];Circovirus-like genome DHCV-2[1]</t>
  </si>
  <si>
    <t>Viruses;unclassified viruses;Lake Sarah-associated circular virus-1;Circovirus-like genome DHCV-2</t>
  </si>
  <si>
    <t>Viruses[2];unclassified viruses[1];unclassified Circoviridae[1];Circovirus-like genome DHCV-2[1]</t>
  </si>
  <si>
    <t>DNAUV-4.518-566</t>
  </si>
  <si>
    <t>Viruses[1];unclassified viruses[1];Sewage-associated circular DNA virus-11[1]</t>
  </si>
  <si>
    <t>Viruses;unclassified viruses;Sewage-associated circular DNA virus-11</t>
  </si>
  <si>
    <t>DNAUV-11.864-30</t>
  </si>
  <si>
    <t>Viruses[2];unclassified viruses[1];Siphoviridae[1];unclassified archaeal dsDNA viruses[1];Haloviruses[1];Halovirus HGTV-1[1];Geoglobus acetivorans[1];Geofilum[1];Geofilum rubicundum[1]</t>
  </si>
  <si>
    <t>Viruses;unclassified viruses;Siphoviridae;unclassified archaeal dsDNA viruses;Haloviruses;Halovirus HGTV-1;Geoglobus acetivorans;Geofilum;Geofilum rubicundum</t>
  </si>
  <si>
    <t>Viruses[2];Caudovirales[1];Siphoviridae[1];unclassified archaeal dsDNA viruses[1];Haloviruses[1];Halovirus HGTV-1[1]</t>
  </si>
  <si>
    <t>DNAUV-3.557-67</t>
  </si>
  <si>
    <t>unclassified</t>
  </si>
  <si>
    <t>Viruses[2];unclassified viruses[1];Skeletonema virus LDF-2015a[1];unclassified Podoviridae[1];Salinivibrio phage CW02[1];Magnetococcus[1];Magnetococcus marinus[1]</t>
  </si>
  <si>
    <t>Viruses;unclassified viruses;Skeletonema virus LDF-2015a;unclassified Podoviridae;Salinivibrio phage CW02;Magnetococcus;Magnetococcus marinus</t>
  </si>
  <si>
    <t>Viruses[2];Caudovirales[1];Skeletonema virus LDF-2015a[1];unclassified Podoviridae[1];Salinivibrio phage CW02[1]</t>
  </si>
  <si>
    <t>DNAUV-2.128-18</t>
  </si>
  <si>
    <t>Viruses[1];unclassified viruses[1];unclassified bacterial viruses[1];Cyanobacteria[1];Nostocales[1];Aphanizomenonaceae[1];Aphanizomenon[1];Aphanizomenon flos-aquae[1];Aphanizomenon flos-aquae WA102[1]</t>
  </si>
  <si>
    <t>Viruses;unclassified viruses;unclassified bacterial viruses;Cyanobacteria;Nostocales;Aphanizomenonaceae;Aphanizomenon;Aphanizomenon flos-aquae;Aphanizomenon flos-aquae WA102</t>
  </si>
  <si>
    <t>Viruses[1];unclassified viruses[1];unclassified bacterial viruses[1];Synechococcus phage S-EIVl[1]</t>
  </si>
  <si>
    <t>DNAUV-2.587-25</t>
  </si>
  <si>
    <t>Viruses[1];unclassified viruses[1];unclassified bacterial viruses[1];Hot spring virus BHS1[1]</t>
  </si>
  <si>
    <t>DNAUV-2.434-8.4</t>
  </si>
  <si>
    <t>Viruses[3];unclassified viruses[3];unclassified bacterial viruses[3];Hot spring virus BHS1[3]</t>
  </si>
  <si>
    <t>DNAUV-2.130-7.5</t>
  </si>
  <si>
    <t>DNAUV-2.965-25</t>
  </si>
  <si>
    <t>Viruses[1];unclassified viruses[1];unclassified bacterial viruses[1];Hot spring virus BHS1[1];Streptomycetales[1];Streptomycetaceae[1];Streptomyces[1];unclassified Streptomyces[1];Streptomyces sp. CC53[1]</t>
  </si>
  <si>
    <t>Viruses;unclassified viruses;unclassified bacterial viruses;Hot spring virus BHS1;Streptomycetales;Streptomycetaceae;Streptomyces;unclassified Streptomyces;Streptomyces sp. CC53</t>
  </si>
  <si>
    <t>DNAUV-2.142-189</t>
  </si>
  <si>
    <t>Viruses;unclassified viruses;unclassified Circoviridae;Circovirus-like genome DHCV-2</t>
  </si>
  <si>
    <t>DNAUV-5.312-14</t>
  </si>
  <si>
    <t>Viruses[1];unclassified viruses[1];unclassified DNA viruses[1];unclassified archaeal dsDNA viruses[1];Haloviruses[1];Halovirus HGTV-1[1]</t>
  </si>
  <si>
    <t>Viruses;unclassified viruses;unclassified DNA viruses;unclassified archaeal dsDNA viruses;Haloviruses;Halovirus HGTV-1</t>
  </si>
  <si>
    <t>DNAUV-4.591-12</t>
  </si>
  <si>
    <t>Viruses[1];unclassified viruses[1];unclassified DNA viruses[1];unclassified archaeal dsDNA viruses[1];Haloviruses[1];Halovirus HVTV-1[1];Streptomyces[1];unclassified Streptomyces[1];Streptomyces sp. FBKL.4005[1]</t>
  </si>
  <si>
    <t>Viruses;unclassified viruses;unclassified DNA viruses;unclassified archaeal dsDNA viruses;Haloviruses;Halovirus HVTV-1;Streptomyces;unclassified Streptomyces;Streptomyces sp. FBKL.4005</t>
  </si>
  <si>
    <t>Viruses[1];unclassified viruses[1];unclassified DNA viruses[1];unclassified archaeal dsDNA viruses[1];Haloviruses[1];Halovirus HVTV-1[1]</t>
  </si>
  <si>
    <t>DNAUV-3.173-17</t>
  </si>
  <si>
    <t>Viruses[1];unclassified viruses[1];unclassified DNA viruses[1];unclassified dsDNA phages[1];Prochlorococcus phage P-RSP2[1]</t>
  </si>
  <si>
    <t>DNAUV-7.382-59</t>
  </si>
  <si>
    <t>Viruses[5];unclassified viruses[4];unclassified DNA viruses[4];unclassified dsDNA viruses[4];Autolykiviridae[4];Vibrio phage 1.249.A._10N.261.55.B9[3]</t>
  </si>
  <si>
    <t>DNAUV-4.744-30</t>
  </si>
  <si>
    <t>Viruses[4];unclassified viruses[3];unclassified DNA viruses[3];unclassified dsDNA viruses[3];Autolykiviridae[3];Vibrio phage 1.249.A._10N.261.55.B9[2]</t>
  </si>
  <si>
    <t>DNAUV-11.392-193</t>
  </si>
  <si>
    <t>Viruses[5];unclassified viruses[3];unclassified DNA viruses[3];unclassified dsDNA viruses[3];Autolykiviridae[3];Vibrio phage 1.249.A._10N.261.55.B9[2];Citrobacter phage CR8[1]</t>
  </si>
  <si>
    <t>Viruses;unclassified viruses;unclassified DNA viruses;unclassified dsDNA viruses;Autolykiviridae;Vibrio phage 1.249.A._10N.261.55.B9;Citrobacter phage CR8</t>
  </si>
  <si>
    <t>DNAUV-10.898-81</t>
  </si>
  <si>
    <t>Viruses[5];unclassified viruses[5];unclassified DNA viruses[5];unclassified dsDNA viruses[5];Autolykiviridae[5];Vibrio phage 1.249.A._10N.261.55.B9[4];Klebsiella aerogenes[1]</t>
  </si>
  <si>
    <t>Viruses;unclassified viruses;unclassified DNA viruses;unclassified dsDNA viruses;Autolykiviridae;Vibrio phage 1.249.A._10N.261.55.B9;Klebsiella aerogenes</t>
  </si>
  <si>
    <t>Viruses[5];unclassified viruses[5];unclassified DNA viruses[5];unclassified dsDNA viruses[5];Autolykiviridae[5];Vibrio phage 1.249.A._10N.261.55.B9[4]</t>
  </si>
  <si>
    <t>DNAUV-10.744-185</t>
  </si>
  <si>
    <t>Viruses[4];unclassified viruses[3];unclassified DNA viruses[3];unclassified dsDNA viruses[3];Autolykiviridae[3];Vibrio phage 1.249.A._10N.261.55.B9[3];Nostoc[1];Nostoc linckia[1]</t>
  </si>
  <si>
    <t>Viruses;unclassified viruses;unclassified DNA viruses;unclassified dsDNA viruses;Autolykiviridae;Vibrio phage 1.249.A._10N.261.55.B9;Nostoc;Nostoc linckia</t>
  </si>
  <si>
    <t>Viruses[4];unclassified viruses[3];unclassified DNA viruses[3];unclassified dsDNA viruses[3];Autolykiviridae[3];Vibrio phage 1.249.A._10N.261.55.B9[3]</t>
  </si>
  <si>
    <t>DNAUV-9.244-15</t>
  </si>
  <si>
    <t>Viruses[5];unclassified viruses[5];unclassified DNA viruses[5];unclassified dsDNA viruses[5];Autolykiviridae[5];Vibrio phage 1.249.A._10N.261.55.B9[5];Rubritepida flocculans[1];Sinorhizobium meliloti[1]</t>
  </si>
  <si>
    <t>Viruses;unclassified viruses;unclassified DNA viruses;unclassified dsDNA viruses;Autolykiviridae;Vibrio phage 1.249.A._10N.261.55.B9;Rubritepida flocculans;Sinorhizobium meliloti</t>
  </si>
  <si>
    <t>Viruses[5];unclassified viruses[5];unclassified DNA viruses[5];unclassified dsDNA viruses[5];Autolykiviridae[5];Vibrio phage 1.249.A._10N.261.55.B9[5]</t>
  </si>
  <si>
    <t>DNAUV-10.553-337</t>
  </si>
  <si>
    <t>Viruses[3];unclassified viruses[3];unclassified DNA viruses[3];unclassified dsDNA viruses[3];Autolykiviridae[3];Vibrio phage 1.249.A._10N.261.55.B9[3];Thermacetogenium[1];Thermacetogenium phaeum[1]</t>
  </si>
  <si>
    <t>Viruses;unclassified viruses;unclassified DNA viruses;unclassified dsDNA viruses;Autolykiviridae;Vibrio phage 1.249.A._10N.261.55.B9;Thermacetogenium;Thermacetogenium phaeum</t>
  </si>
  <si>
    <t>Viruses[3];unclassified viruses[3];unclassified DNA viruses[3];unclassified dsDNA viruses[3];Autolykiviridae[3];Vibrio phage 1.249.A._10N.261.55.B9[3]</t>
  </si>
  <si>
    <t>DNAUV-10.232-110</t>
  </si>
  <si>
    <t>Viruses[4];unclassified viruses[3];unclassified DNA viruses[3];unclassified dsDNA viruses[3];Autolykiviridae[3];Vibrio phage 1.249.A._10N.261.55.B9[3];Tistrella mobilis[1];Azospirillum sp. 47_25[1]</t>
  </si>
  <si>
    <t>Viruses;unclassified viruses;unclassified DNA viruses;unclassified dsDNA viruses;Autolykiviridae;Vibrio phage 1.249.A._10N.261.55.B9;Tistrella mobilis;Azospirillum sp. 47_25</t>
  </si>
  <si>
    <t>DNAUV-10.932-1045</t>
  </si>
  <si>
    <t>Viruses[7];unclassified viruses[7];unclassified DNA viruses[7];unclassified dsDNA viruses[7];Autolykiviridae[7];Vibrio phage 1.249.A._10N.261.55.B9[7];unclassified Achromobacter[1];Achromobacter sp. 2789STDY5608628[1]</t>
  </si>
  <si>
    <t>Viruses;unclassified viruses;unclassified DNA viruses;unclassified dsDNA viruses;Autolykiviridae;Vibrio phage 1.249.A._10N.261.55.B9;unclassified Achromobacter;Achromobacter sp. 2789STDY5608628</t>
  </si>
  <si>
    <t>Viruses[7];unclassified viruses[7];unclassified DNA viruses[7];unclassified dsDNA viruses[7];Autolykiviridae[7];Vibrio phage 1.249.A._10N.261.55.B9[7]</t>
  </si>
  <si>
    <t>DNAUV-12.946-36</t>
  </si>
  <si>
    <t>Viruses[3];unclassified viruses[3];unclassified DNA viruses[3];unclassified dsDNA viruses[3];Autolykiviridae[3];Vibrio phage 1.249.A._10N.261.55.B9[2];Vibrio coralliilyticus[1]</t>
  </si>
  <si>
    <t>Viruses;unclassified viruses;unclassified DNA viruses;unclassified dsDNA viruses;Autolykiviridae;Vibrio phage 1.249.A._10N.261.55.B9;Vibrio coralliilyticus</t>
  </si>
  <si>
    <t>Viruses[3];unclassified viruses[3];unclassified DNA viruses[3];unclassified dsDNA viruses[3];Autolykiviridae[3];Vibrio phage 1.249.A._10N.261.55.B9[2]</t>
  </si>
  <si>
    <t>DNAUV-3.479-21</t>
  </si>
  <si>
    <t>Viruses[1];unclassified viruses[1];unclassified DNA viruses[1];unclassified ssDNA viruses[1];Sewage-associated circular DNA virus-18[1]</t>
  </si>
  <si>
    <t>Viruses;unclassified viruses;unclassified DNA viruses;unclassified ssDNA viruses;Sewage-associated circular DNA virus-18</t>
  </si>
  <si>
    <t>DNAUV-4.304-85</t>
  </si>
  <si>
    <t>Viruses[1];Viridiplantae[1];Siphoviridae[1];unclassified Siphoviridae[1];Rhodobacteraceae[1];Tracheophyta[1];Euphyllophyta[1];Spermatophyta[1];Magnoliopsida[1];Mesangiospermae[1];Liliopsida[1];Petrosaviidae[1];commelinids[1];Poales[1];Poaceae[1];PACMAD clade[1];Panicoideae[1];Andropogonodae[1];Andropogoneae[1];Sorghinae[1];Sorghum[1];Sorghum bicolor[1]</t>
  </si>
  <si>
    <t>Viruses;Viridiplantae;Siphoviridae;unclassified Siphoviridae;Rhodobacteraceae;Tracheophyta;Euphyllophyta;Spermatophyta;Magnoliopsida;Mesangiospermae;Liliopsida;Petrosaviidae;commelinids;Poales;Poaceae;PACMAD clade;Panicoideae;Andropogonodae;Andropogoneae;Sorghinae;Sorghum;Sorghum bicolor</t>
  </si>
  <si>
    <t>Sept.NODE_967_length_2367_cov_54.884083</t>
  </si>
  <si>
    <t>Viruses[2];Duplodnaviria[1];Bamfordvirae[1];Nucleocytoviricota[1];Megaviricetes[1];Caudovirales[1];unclassified Caudovirales[1];Chlorovirus[1];Acanthocystis turfacea chlorella virus 1[1]</t>
  </si>
  <si>
    <t>Viruses;Duplodnaviria;Bamfordvirae;Nucleocytoviricota;Megaviricetes;Caudovirales;unclassified Caudovirales;Chlorovirus;Acanthocystis turfacea chlorella virus 1</t>
  </si>
  <si>
    <t>Viruses[2];Varidnaviria[1];Heunggongvirae[1];Uroviricota[1];Caudoviricetes[1];Caudovirales[1];Phycodnaviridae[1];Roseobacter phage CRP-6[1];Acanthocystis turfacea chlorella virus 1[1]</t>
  </si>
  <si>
    <t>Avril.NODE_423_length_5371_cov_14.051166</t>
  </si>
  <si>
    <t>Viruses[1];Duplodnaviria[1];Heunggongvirae[1];Uroviricota[1];Caudoviricetes[1];Casjensviridae[1];Sanovirus[1];Xylella virus Salvo[1];Xylella phage Salvo[1]</t>
  </si>
  <si>
    <t>Viruses;Duplodnaviria;Heunggongvirae;Uroviricota;Caudoviricetes;Casjensviridae;Sanovirus;Xylella virus Salvo;Xylella phage Salvo</t>
  </si>
  <si>
    <t>Sept.NODE_462_length_3903_cov_6.077183</t>
  </si>
  <si>
    <t>Viruses[1];Duplodnaviria[1];Heunggongvirae[1];Uroviricota[1];Caudoviricetes[1];Caudovirales[1];Ackermannviridae[1];unclassified Ackermannviridae[1];Rhizobium phage RHph_I1_18[1]</t>
  </si>
  <si>
    <t>Viruses;Duplodnaviria;Heunggongvirae;Uroviricota;Caudoviricetes;Caudovirales;Ackermannviridae;unclassified Ackermannviridae;Rhizobium phage RHph_I1_18</t>
  </si>
  <si>
    <t>Sept.NODE_416_length_4172_cov_5.474860</t>
  </si>
  <si>
    <t>Viruses[1];Duplodnaviria[1];Heunggongvirae[1];Uroviricota[1];Caudoviricetes[1];Caudovirales[1];Ackermannviridae[1];unclassified Ackermannviridae[1];Stenotrophomonas phage vB_SmaS-DLP_6[1]</t>
  </si>
  <si>
    <t>Viruses;Duplodnaviria;Heunggongvirae;Uroviricota;Caudoviricetes;Caudovirales;Ackermannviridae;unclassified Ackermannviridae;Stenotrophomonas phage vB_SmaS-DLP_6</t>
  </si>
  <si>
    <t>Sept.NODE_520_length_3599_cov_25.326749</t>
  </si>
  <si>
    <t>Oct.NODE_816_length_3589_cov_11.342388</t>
  </si>
  <si>
    <t>Sept.NODE_561_length_3424_cov_5.582962</t>
  </si>
  <si>
    <t>Sept.NODE_569_length_3389_cov_4.134073</t>
  </si>
  <si>
    <t>Viruses[3];Duplodnaviria[3];Heunggongvirae[3];Uroviricota[3];Caudoviricetes[3];Caudovirales[3];Ackermannviridae[2];unclassified Ackermannviridae[2];Stenotrophomonas phage vB_SmaS-DLP_6[2]</t>
  </si>
  <si>
    <t>Sept.NODE_1073_length_2215_cov_5.775000</t>
  </si>
  <si>
    <t>Oct.NODE_1274_length_2705_cov_4.709811</t>
  </si>
  <si>
    <t>Viruses[1];Duplodnaviria[1];Heunggongvirae[1];Uroviricota[1];Caudoviricetes[1];Caudovirales[1];Ackermannviridae[1];unclassified Ackermannviridae[1];unclassified Muricauda[1];Muricauda sp. TMED12[1]</t>
  </si>
  <si>
    <t>Viruses;Duplodnaviria;Heunggongvirae;Uroviricota;Caudoviricetes;Caudovirales;Ackermannviridae;unclassified Ackermannviridae;unclassified Muricauda;Muricauda sp. TMED12</t>
  </si>
  <si>
    <t>Sept.NODE_641_length_3112_cov_7.066405</t>
  </si>
  <si>
    <t>Viruses[2];Duplodnaviria[2];Heunggongvirae[2];Uroviricota[2];Caudoviricetes[2];Caudovirales[2];Ackermannviridae[1];unclassified Myoviridae[1];Stenotrophomonas phage vB_SmaS-DLP_6[1]</t>
  </si>
  <si>
    <t>Viruses;Duplodnaviria;Heunggongvirae;Uroviricota;Caudoviricetes;Caudovirales;Ackermannviridae;unclassified Myoviridae;Stenotrophomonas phage vB_SmaS-DLP_6</t>
  </si>
  <si>
    <t>Viruses[2];Duplodnaviria[2];Heunggongvirae[2];Uroviricota[2];Caudoviricetes[2];Caudovirales[2];Myoviridae[1];unclassified Ackermannviridae[1];Stenotrophomonas phage vB_SmaS-DLP_6[1]</t>
  </si>
  <si>
    <t>Oct.NODE_1547_length_2372_cov_6.564091</t>
  </si>
  <si>
    <t>Viruses[1];Duplodnaviria[1];Heunggongvirae[1];Uroviricota[1];Caudoviricetes[1];Caudovirales[1];Ackermannviridae[1];Vapseptimavirus[1];Vapseptimavirus VAP7[1];Vibrio phage VAP7[1]</t>
  </si>
  <si>
    <t>Viruses;Duplodnaviria;Heunggongvirae;Uroviricota;Caudoviricetes;Caudovirales;Ackermannviridae;Vapseptimavirus;Vapseptimavirus VAP7;Vibrio phage VAP7</t>
  </si>
  <si>
    <t>Oct.NODE_1414_length_2516_cov_4.604632</t>
  </si>
  <si>
    <t>Viruses[1];Duplodnaviria[1];Heunggongvirae[1];Uroviricota[1];Caudoviricetes[1];Caudovirales[1];Autographiviridae[1];Bonnellvirus[1];unclassified Bonnellvirus[1];Escherichia phage aldrigsur[1]</t>
  </si>
  <si>
    <t>Viruses;Duplodnaviria;Heunggongvirae;Uroviricota;Caudoviricetes;Caudovirales;Autographiviridae;Bonnellvirus;unclassified Bonnellvirus;Escherichia phage aldrigsur</t>
  </si>
  <si>
    <t>Avril.NODE_535_length_4466_cov_5.137611</t>
  </si>
  <si>
    <t>Viruses[1];Duplodnaviria[1];Heunggongvirae[1];Uroviricota[1];Caudoviricetes[1];Caudovirales[1];Autographiviridae[1];Cuernavacavirus[1];unclassified Cuernavacavirus[1];Rhizobium phage RHph_I38[1]</t>
  </si>
  <si>
    <t>Viruses;Duplodnaviria;Heunggongvirae;Uroviricota;Caudoviricetes;Caudovirales;Autographiviridae;Cuernavacavirus;unclassified Cuernavacavirus;Rhizobium phage RHph_I38</t>
  </si>
  <si>
    <t>Avril.NODE_789_length_3297_cov_5.569093</t>
  </si>
  <si>
    <t>Viruses[1];Duplodnaviria[1];Heunggongvirae[1];Uroviricota[1];Caudoviricetes[1];Caudovirales[1];Autographiviridae[1];Cyclitvirus[1];Cyclitvirus cyclit[1];Vibrio phage 1.204.O._10N.222.46.F12[1]</t>
  </si>
  <si>
    <t>Viruses;Duplodnaviria;Heunggongvirae;Uroviricota;Caudoviricetes;Caudovirales;Autographiviridae;Cyclitvirus;Cyclitvirus cyclit;Vibrio phage 1.204.O._10N.222.46.F12</t>
  </si>
  <si>
    <t>Avril.NODE_1504_length_2079_cov_5.329545</t>
  </si>
  <si>
    <t>Avril.NODE_497_length_4757_cov_5.379838</t>
  </si>
  <si>
    <t>Viruses[2];Duplodnaviria[2];Heunggongvirae[2];Uroviricota[2];Caudoviricetes[2];Caudovirales[2];Autographiviridae[1];Dolichocephalovirinae[1];Colossusvirus[1];Colossusvirus colossus[1];Caulobacter phage CcrColossus[1]</t>
  </si>
  <si>
    <t>Viruses;Duplodnaviria;Heunggongvirae;Uroviricota;Caudoviricetes;Caudovirales;Autographiviridae;Dolichocephalovirinae;Colossusvirus;Colossusvirus colossus;Caulobacter phage CcrColossus</t>
  </si>
  <si>
    <t>Viruses[2];Duplodnaviria[2];Heunggongvirae[2];Uroviricota[2];Caudoviricetes[2];Caudovirales[2];Autographiviridae[1];Krylovirinae[1];unclassified Krylovirinae[1];Sphaerotilus phage vB_SnaP-R1[1];Caulobacter phage CcrColossus[1]</t>
  </si>
  <si>
    <t>Avril.NODE_1515_length_2065_cov_3.117413</t>
  </si>
  <si>
    <t>Viruses[1];Duplodnaviria[1];Heunggongvirae[1];Uroviricota[1];Caudoviricetes[1];Caudovirales[1];Autographiviridae[1];Foturvirus[1];Alteromonas virus vB_AspP-H4/4[1]</t>
  </si>
  <si>
    <t>Viruses;Duplodnaviria;Heunggongvirae;Uroviricota;Caudoviricetes;Caudovirales;Autographiviridae;Foturvirus;Alteromonas virus vB_AspP-H4/4</t>
  </si>
  <si>
    <t>Oct.NODE_888_length_3379_cov_12.332732</t>
  </si>
  <si>
    <t>Viruses[1];Duplodnaviria[1];Heunggongvirae[1];Uroviricota[1];Caudoviricetes[1];Caudovirales[1];Autographiviridae[1];Fussvirus[1];unclassified Fussvirus[1];Pelagibacter phage Gjalp EXVC020P[1]</t>
  </si>
  <si>
    <t>Viruses;Duplodnaviria;Heunggongvirae;Uroviricota;Caudoviricetes;Caudovirales;Autographiviridae;Fussvirus;unclassified Fussvirus;Pelagibacter phage Gjalp EXVC020P</t>
  </si>
  <si>
    <t>Oct.NODE_138_length_13955_cov_5.438777</t>
  </si>
  <si>
    <t>Viruses[5];Duplodnaviria[4];Heunggongvirae[4];Uroviricota[4];Caudoviricetes[4];Caudovirales[4];Autographiviridae[3];Fussvirus[2];unclassified Fussvirus[2];Pelagibacter phage HTVC025P[2]</t>
  </si>
  <si>
    <t>Viruses;Duplodnaviria;Heunggongvirae;Uroviricota;Caudoviricetes;Caudovirales;Autographiviridae;Fussvirus;unclassified Fussvirus;Pelagibacter phage HTVC025P</t>
  </si>
  <si>
    <t>Oct.NODE_1068_length_2991_cov_14.101499</t>
  </si>
  <si>
    <t>Viruses[1];Duplodnaviria[1];Heunggongvirae[1];Uroviricota[1];Caudoviricetes[1];Caudovirales[1];Autographiviridae[1];Gyeongsanvirus[1];Gyeongsanvirus RsoP1EGY[1];Bacteroides sp. An279[1]</t>
  </si>
  <si>
    <t>Viruses;Duplodnaviria;Heunggongvirae;Uroviricota;Caudoviricetes;Caudovirales;Autographiviridae;Gyeongsanvirus;Gyeongsanvirus RsoP1EGY;Bacteroides sp. An279</t>
  </si>
  <si>
    <t>Viruses[1];Duplodnaviria[1];Heunggongvirae[1];Uroviricota[1];Caudoviricetes[1];Caudovirales[1];Autographiviridae[1];Gyeongsanvirus[1];Gyeongsanvirus RsoP1EGY[1];Ralstonia phage RsoP1EGY[1]</t>
  </si>
  <si>
    <t>Sept.NODE_754_length_2797_cov_5.327863</t>
  </si>
  <si>
    <t>Viruses[1];Duplodnaviria[1];Heunggongvirae[1];Uroviricota[1];Caudoviricetes[1];Caudovirales[1];Autographiviridae[1];Gyeongsanvirus[1];Gyeongsanvirus RsoP1EGY[1];Neorhizobium galegae bv. orientalis str. HAMBI 540[1]</t>
  </si>
  <si>
    <t>Viruses;Duplodnaviria;Heunggongvirae;Uroviricota;Caudoviricetes;Caudovirales;Autographiviridae;Gyeongsanvirus;Gyeongsanvirus RsoP1EGY;Neorhizobium galegae bv. orientalis str. HAMBI 540</t>
  </si>
  <si>
    <t>Oct.NODE_641_length_4223_cov_40.475288</t>
  </si>
  <si>
    <t>Viruses[2];Duplodnaviria[2];Heunggongvirae[2];Uroviricota[2];Caudoviricetes[2];Caudovirales[2];Autographiviridae[1];Gyeongsanvirus[1];Gyeongsanvirus RsoP1EGY[1];Ralstonia phage RsoP1EGY[1]</t>
  </si>
  <si>
    <t>Viruses;Duplodnaviria;Heunggongvirae;Uroviricota;Caudoviricetes;Caudovirales;Autographiviridae;Gyeongsanvirus;Gyeongsanvirus RsoP1EGY;Ralstonia phage RsoP1EGY</t>
  </si>
  <si>
    <t>Viruses[2];Duplodnaviria[2];Heunggongvirae[2];Uroviricota[2];Caudoviricetes[2];Caudovirales[2];Myoviridae[1];unclassified Myoviridae[1];Gyeongsanvirus RsoP1EGY[1];Ralstonia phage RsoP1EGY[1]</t>
  </si>
  <si>
    <t>Sept.NODE_916_length_2464_cov_13.495641</t>
  </si>
  <si>
    <t>Sept.NODE_879_length_2526_cov_11.376366</t>
  </si>
  <si>
    <t>Viruses[1];Duplodnaviria[1];Heunggongvirae[1];Uroviricota[1];Caudoviricetes[1];Caudovirales[1];Autographiviridae[1];Gyeongsanvirus[1];unclassified Gyeongsanvirus[1];Ralstonia phage P-PSG-11[1]</t>
  </si>
  <si>
    <t>Viruses;Duplodnaviria;Heunggongvirae;Uroviricota;Caudoviricetes;Caudovirales;Autographiviridae;Gyeongsanvirus;unclassified Gyeongsanvirus;Ralstonia phage P-PSG-11</t>
  </si>
  <si>
    <t>Oct.NODE_479_length_5086_cov_7.418207</t>
  </si>
  <si>
    <t>Viruses[1];Duplodnaviria[1];Heunggongvirae[1];Uroviricota[1];Caudoviricetes[1];Caudovirales[1];Autographiviridae[1];Kafavirus[1];Kafavirus SWcelC56[1];Phage MedPE-SWcel-C56[1]</t>
  </si>
  <si>
    <t>Viruses;Duplodnaviria;Heunggongvirae;Uroviricota;Caudoviricetes;Caudovirales;Autographiviridae;Kafavirus;Kafavirus SWcelC56;Phage MedPE-SWcel-C56</t>
  </si>
  <si>
    <t>Mai.NODE_867_length_2583_cov_5.052215</t>
  </si>
  <si>
    <t>Viruses[1];Duplodnaviria[1];Heunggongvirae[1];Uroviricota[1];Caudoviricetes[1];Caudovirales[1];Autographiviridae[1];Kajamvirus[1];Kajamvirus SRIP1[1];Synechococcus phage S-RIP1[1]</t>
  </si>
  <si>
    <t>Viruses;Duplodnaviria;Heunggongvirae;Uroviricota;Caudoviricetes;Caudovirales;Autographiviridae;Kajamvirus;Kajamvirus SRIP1;Synechococcus phage S-RIP1</t>
  </si>
  <si>
    <t>Avril.NODE_839_length_3170_cov_28.074478</t>
  </si>
  <si>
    <t>Viruses[1];Duplodnaviria[1];Heunggongvirae[1];Uroviricota[1];Caudoviricetes[1];Caudovirales[1];Autographiviridae[1];Lauvirus[1];Lauvirus lau218[1]</t>
  </si>
  <si>
    <t>Viruses;Duplodnaviria;Heunggongvirae;Uroviricota;Caudoviricetes;Caudovirales;Autographiviridae;Lauvirus;Lauvirus lau218</t>
  </si>
  <si>
    <t>Sept.NODE_531_length_3550_cov_43.767096</t>
  </si>
  <si>
    <t>Viruses[3];Duplodnaviria[3];Heunggongvirae[3];Uroviricota[3];Caudoviricetes[3];Caudovirales[3];Autographiviridae[1];Lirvirus[1];Lirvirus SCBP3[1];unclassified Siovirus[1];Lentibacter virus vB_LenP_ICBM2[1]</t>
  </si>
  <si>
    <t>Viruses;Duplodnaviria;Heunggongvirae;Uroviricota;Caudoviricetes;Caudovirales;Autographiviridae;Lirvirus;Lirvirus SCBP3;unclassified Siovirus;Lentibacter virus vB_LenP_ICBM2</t>
  </si>
  <si>
    <t>Viruses[3];Duplodnaviria[3];Heunggongvirae[3];Uroviricota[3];Caudoviricetes[3];Caudovirales[3];Zobellviridae[1];Cobavirinae[1];Siovirus[1];Synechococcus phage S-CBP3[1];Lentibacter virus vB_LenP_ICBM2[1]</t>
  </si>
  <si>
    <t>Oct.NODE_1519_length_2401_cov_4.688832</t>
  </si>
  <si>
    <t>Viruses[1];Duplodnaviria[1];Heunggongvirae[1];Uroviricota[1];Caudoviricetes[1];Caudovirales[1];Autographiviridae[1];Lullwatervirus[1];Lullwatervirus lullwater[1];Caulobacter phage Lullwater[1]</t>
  </si>
  <si>
    <t>Viruses;Duplodnaviria;Heunggongvirae;Uroviricota;Caudoviricetes;Caudovirales;Autographiviridae;Lullwatervirus;Lullwatervirus lullwater;Caulobacter phage Lullwater</t>
  </si>
  <si>
    <t>Avril.NODE_984_length_2770_cov_6.102394</t>
  </si>
  <si>
    <t>Viruses[2];Duplodnaviria[2];Heunggongvirae[2];Uroviricota[2];Caudoviricetes[2];Caudovirales[2];Autographiviridae[1];Okabevirinae[1];Salinovirus utanense[1];Caulobacter phage Cd1[1]</t>
  </si>
  <si>
    <t>Viruses;Duplodnaviria;Heunggongvirae;Uroviricota;Caudoviricetes;Caudovirales;Autographiviridae;Okabevirinae;Salinovirus utanense;Caulobacter phage Cd1</t>
  </si>
  <si>
    <t>Viruses[2];Duplodnaviria[2];Heunggongvirae[2];Uroviricota[2];Caudoviricetes[2];Caudovirales[2];Zobellviridae[1];Okabevirinae[1];unclassified Okabevirinae[1];Caulobacter phage Cd1[1]</t>
  </si>
  <si>
    <t>Oct.NODE_1158_length_2858_cov_3.826258</t>
  </si>
  <si>
    <t>Viruses[1];Duplodnaviria[1];Heunggongvirae[1];Uroviricota[1];Caudoviricetes[1];Caudovirales[1];Autographiviridae[1];Paadamvirus[1];Paadamvirus RHEph01[1];Rhizobium phage RHEph01[1]</t>
  </si>
  <si>
    <t>Viruses;Duplodnaviria;Heunggongvirae;Uroviricota;Caudoviricetes;Caudovirales;Autographiviridae;Paadamvirus;Paadamvirus RHEph01;Rhizobium phage RHEph01</t>
  </si>
  <si>
    <t>Juil.NODE_52_length_2506_cov_3.952264</t>
  </si>
  <si>
    <t>Viruses[1];Duplodnaviria[1];Heunggongvirae[1];Uroviricota[1];Caudoviricetes[1];Caudovirales[1];Autographiviridae[1];Paadamvirus[1];unclassified Paadamvirus[1];Rhizobium phage vB_RleA_TRX32-1[1]</t>
  </si>
  <si>
    <t>Viruses;Duplodnaviria;Heunggongvirae;Uroviricota;Caudoviricetes;Caudovirales;Autographiviridae;Paadamvirus;unclassified Paadamvirus;Rhizobium phage vB_RleA_TRX32-1</t>
  </si>
  <si>
    <t>Oct.NODE_653_length_4173_cov_11.501214</t>
  </si>
  <si>
    <t>Viruses[1];Duplodnaviria[1];Heunggongvirae[1];Uroviricota[1];Caudoviricetes[1];Caudovirales[1];Autographiviridae[1];Pelagivirus[1];unclassified Pelagivirus[1];Pelagibacter phage HTVC031P[1]</t>
  </si>
  <si>
    <t>Viruses;Duplodnaviria;Heunggongvirae;Uroviricota;Caudoviricetes;Caudovirales;Autographiviridae;Pelagivirus;unclassified Pelagivirus;Pelagibacter phage HTVC031P</t>
  </si>
  <si>
    <t>Avril.NODE_1573_length_2010_cov_2.851662</t>
  </si>
  <si>
    <t>Avril.NODE_1563_length_2024_cov_2.643474</t>
  </si>
  <si>
    <t>Viruses[1];Duplodnaviria[1];Heunggongvirae[1];Uroviricota[1];Caudoviricetes[1];Caudovirales[1];Autographiviridae[1];Pelagivirus[1];unclassified Pelagivirus[1];Pelagibacter phage HTVC105P[1]</t>
  </si>
  <si>
    <t>Viruses;Duplodnaviria;Heunggongvirae;Uroviricota;Caudoviricetes;Caudovirales;Autographiviridae;Pelagivirus;unclassified Pelagivirus;Pelagibacter phage HTVC105P</t>
  </si>
  <si>
    <t>Oct.NODE_98_length_18794_cov_7.263194</t>
  </si>
  <si>
    <t>Viruses[3];Duplodnaviria[3];Heunggongvirae[3];Uroviricota[3];Caudoviricetes[3];Caudovirales[3];Autographiviridae[1];Pogseptimavirus[1];Pogseptimavirus VspSw1[1];Vibrio phage vB_ValS_X1[1]</t>
  </si>
  <si>
    <t>Viruses;Duplodnaviria;Heunggongvirae;Uroviricota;Caudoviricetes;Caudovirales;Autographiviridae;Pogseptimavirus;Pogseptimavirus VspSw1;Vibrio phage vB_ValS_X1</t>
  </si>
  <si>
    <t>Viruses[3];Duplodnaviria[3];Heunggongvirae[3];Uroviricota[3];Caudoviricetes[3];Caudovirales[3];Autographiviridae[1];Pogseptimavirus[1];unclassified Okabevirinae[1];Burkholderia phage Paku[1]</t>
  </si>
  <si>
    <t>Avril.NODE_198_length_9539_cov_5.856811</t>
  </si>
  <si>
    <t>Viruses[1];Duplodnaviria[1];Heunggongvirae[1];Uroviricota[1];Caudoviricetes[1];Caudovirales[1];Autographiviridae[1];Qadamvirus[1];Qadamvirus SB28[1];Synechococcus phage S-B28[1]</t>
  </si>
  <si>
    <t>Viruses;Duplodnaviria;Heunggongvirae;Uroviricota;Caudoviricetes;Caudovirales;Autographiviridae;Qadamvirus;Qadamvirus SB28;Synechococcus phage S-B28</t>
  </si>
  <si>
    <t>Sept.NODE_855_length_2577_cov_3.927439</t>
  </si>
  <si>
    <t>Viruses[1];Duplodnaviria[1];Heunggongvirae[1];Uroviricota[1];Caudoviricetes[1];Caudovirales[1];Autographiviridae[1];Studiervirinae[1];Kayfunavirus[1];Kayfunavirus Dev2[1];Cronobacter phage Dev2[1]</t>
  </si>
  <si>
    <t>Viruses;Duplodnaviria;Heunggongvirae;Uroviricota;Caudoviricetes;Caudovirales;Autographiviridae;Studiervirinae;Kayfunavirus;Kayfunavirus Dev2;Cronobacter phage Dev2</t>
  </si>
  <si>
    <t>Sept.NODE_1207_length_2055_cov_50.269500</t>
  </si>
  <si>
    <t>Viruses[2];Duplodnaviria[2];Heunggongvirae[2];Uroviricota[2];Caudoviricetes[2];Caudovirales[2];Autographiviridae[1];Studiervirinae[1];Kayfunavirus[1];Kayfunavirus Ro45lw[1];Escherichia phage Ro45lw[1]</t>
  </si>
  <si>
    <t>Viruses;Duplodnaviria;Heunggongvirae;Uroviricota;Caudoviricetes;Caudovirales;Autographiviridae;Studiervirinae;Kayfunavirus;Kayfunavirus Ro45lw;Escherichia phage Ro45lw</t>
  </si>
  <si>
    <t>Viruses[2];Duplodnaviria[2];Heunggongvirae[2];Uroviricota[2];Caudoviricetes[2];Caudovirales[2];Autographiviridae[1];Roseobacter phage CRP-6[1];Kayfunavirus[1];Kayfunavirus Ro45lw[1];Escherichia phage Ro45lw[1]</t>
  </si>
  <si>
    <t>Oct.NODE_1408_length_2526_cov_17.187778</t>
  </si>
  <si>
    <t>Viruses[1];Duplodnaviria[1];Heunggongvirae[1];Uroviricota[1];Caudoviricetes[1];Caudovirales[1];Autographiviridae[1];Studiervirinae[1];Przondovirus[1];Przondovirus KN31[1];Klebsiella phage KN3-1[1]</t>
  </si>
  <si>
    <t>Viruses;Duplodnaviria;Heunggongvirae;Uroviricota;Caudoviricetes;Caudovirales;Autographiviridae;Studiervirinae;Przondovirus;Przondovirus KN31;Klebsiella phage KN3-1</t>
  </si>
  <si>
    <t>Oct.NODE_742_length_3848_cov_8.452149</t>
  </si>
  <si>
    <t>Viruses[4];Duplodnaviria[4];Heunggongvirae[4];Uroviricota[4];Caudoviricetes[4];Caudovirales[4];Autographiviridae[2];Studiervirinae[1];Siovirus[1];Teetrevirus T3[1];Roseobacter phage CRP-4[1]</t>
  </si>
  <si>
    <t>Viruses;Duplodnaviria;Heunggongvirae;Uroviricota;Caudoviricetes;Caudovirales;Autographiviridae;Studiervirinae;Siovirus;Teetrevirus T3;Roseobacter phage CRP-4</t>
  </si>
  <si>
    <t>Viruses[4];Duplodnaviria[4];Heunggongvirae[4];Uroviricota[4];Caudoviricetes[4];Caudovirales[4];Autographiviridae[2];unclassified Myoviridae[1];Siovirus[1];unclassified Siovirus[1];Roseobacter phage CRP-4[1]</t>
  </si>
  <si>
    <t>Oct.NODE_339_length_6347_cov_9.245073</t>
  </si>
  <si>
    <t>Viruses[1];Duplodnaviria[1];Heunggongvirae[1];Uroviricota[1];Caudoviricetes[1];Caudovirales[1];Autographiviridae[1];Studiervirinae[1];Teseptimavirus[1];Teseptimavirus IME15[1];Stenotrophomonas phage IME15[1]</t>
  </si>
  <si>
    <t>Viruses;Duplodnaviria;Heunggongvirae;Uroviricota;Caudoviricetes;Caudovirales;Autographiviridae;Studiervirinae;Teseptimavirus;Teseptimavirus IME15;Stenotrophomonas phage IME15</t>
  </si>
  <si>
    <t>Oct.NODE_1256_length_2724_cov_6.996253</t>
  </si>
  <si>
    <t>Viruses[3];Duplodnaviria[3];Heunggongvirae[3];Uroviricota[3];Caudoviricetes[3];Caudovirales[3];Autographiviridae[3];Studiervirinae[1];unclassified Gyeongsanvirus[1];Chatterjeevirus ICP3[1];Vibrio phage JSF37[1]</t>
  </si>
  <si>
    <t>Viruses;Duplodnaviria;Heunggongvirae;Uroviricota;Caudoviricetes;Caudovirales;Autographiviridae;Studiervirinae;unclassified Gyeongsanvirus;Chatterjeevirus ICP3;Vibrio phage JSF37</t>
  </si>
  <si>
    <t>Viruses[3];Duplodnaviria[3];Heunggongvirae[3];Uroviricota[3];Caudoviricetes[3];Caudovirales[3];Autographiviridae[3];Stopavirus[1];Chatterjeevirus[1];Ralstonia phage P-PSG-11[1];Vibrio phage JSF37[1]</t>
  </si>
  <si>
    <t>Mai.NODE_564_length_3528_cov_6.189749</t>
  </si>
  <si>
    <t>Viruses[1];Duplodnaviria[1];Heunggongvirae[1];Uroviricota[1];Caudoviricetes[1];Caudovirales[1];Autographiviridae[1];unclassified Autographiviridae[1];Bordetella phage vB_BbrP_BB8[1]</t>
  </si>
  <si>
    <t>Viruses;Duplodnaviria;Heunggongvirae;Uroviricota;Caudoviricetes;Caudovirales;Autographiviridae;unclassified Autographiviridae;Bordetella phage vB_BbrP_BB8</t>
  </si>
  <si>
    <t>Oct.NODE_1458_length_2468_cov_3.505180</t>
  </si>
  <si>
    <t>Viruses[2];Duplodnaviria[2];Heunggongvirae[2];Uroviricota[2];Caudoviricetes[2];Caudovirales[2];Autographiviridae[1];unclassified Autographiviridae[1];Kilunavirus KL1[1];Burkholderia phage vB_BceS_KL1[1]</t>
  </si>
  <si>
    <t>Viruses;Duplodnaviria;Heunggongvirae;Uroviricota;Caudoviricetes;Caudovirales;Autographiviridae;unclassified Autographiviridae;Kilunavirus KL1;Burkholderia phage vB_BceS_KL1</t>
  </si>
  <si>
    <t>Viruses[2];Duplodnaviria[2];Heunggongvirae[2];Uroviricota[2];Caudoviricetes[2];Caudovirales[2];Siphoviridae[1];Kilunavirus[1];Kilunavirus KL1[1];Burkholderia phage vB_BceS_KL1[1]</t>
  </si>
  <si>
    <t>Oct.NODE_1520_length_2401_cov_3.054987</t>
  </si>
  <si>
    <t>Viruses[1];Duplodnaviria[1];Heunggongvirae[1];Uroviricota[1];Caudoviricetes[1];Caudovirales[1];Autographiviridae[1];unclassified Autographiviridae[1];Pelagibacter phage HTVC120P[1]</t>
  </si>
  <si>
    <t>Viruses;Duplodnaviria;Heunggongvirae;Uroviricota;Caudoviricetes;Caudovirales;Autographiviridae;unclassified Autographiviridae;Pelagibacter phage HTVC120P</t>
  </si>
  <si>
    <t>Avril.NODE_245_length_7822_cov_4.736964</t>
  </si>
  <si>
    <t>Viruses[1];Duplodnaviria[1];Heunggongvirae[1];Uroviricota[1];Caudoviricetes[1];Caudovirales[1];Autographiviridae[1];unclassified Autographiviridae[1];Prochlorococcus phage P-RSP2[1]</t>
  </si>
  <si>
    <t>Viruses;Duplodnaviria;Heunggongvirae;Uroviricota;Caudoviricetes;Caudovirales;Autographiviridae;unclassified Autographiviridae;Prochlorococcus phage P-RSP2</t>
  </si>
  <si>
    <t>Avril.NODE_1174_length_2467_cov_2.876036</t>
  </si>
  <si>
    <t>Viruses[1];Duplodnaviria[1];Heunggongvirae[1];Uroviricota[1];Caudoviricetes[1];Caudovirales[1];Autographiviridae[1];unclassified Autographiviridae[1];Rhizobium phage Pasto[1]</t>
  </si>
  <si>
    <t>Viruses;Duplodnaviria;Heunggongvirae;Uroviricota;Caudoviricetes;Caudovirales;Autographiviridae;unclassified Autographiviridae;Rhizobium phage Pasto</t>
  </si>
  <si>
    <t>Avril.NODE_994_length_2744_cov_4.212347</t>
  </si>
  <si>
    <t>Viruses[1];Duplodnaviria[1];Heunggongvirae[1];Uroviricota[1];Caudoviricetes[1];Caudovirales[1];Autographiviridae[1];unclassified Autographiviridae[1];Stappia phage SI01[1]</t>
  </si>
  <si>
    <t>Viruses;Duplodnaviria;Heunggongvirae;Uroviricota;Caudoviricetes;Caudovirales;Autographiviridae;unclassified Autographiviridae;Stappia phage SI01</t>
  </si>
  <si>
    <t>Oct.NODE_366_length_6069_cov_4.089125</t>
  </si>
  <si>
    <t>Viruses[5];Duplodnaviria[5];Heunggongvirae[5];Uroviricota[5];Caudoviricetes[5];Caudovirales[5];Autographiviridae[4];unclassified Autographiviridae[2];unclassified Paadamvirus[1];Rhizobium phage vB_RleA_TRX32-1[1]</t>
  </si>
  <si>
    <t>Viruses;Duplodnaviria;Heunggongvirae;Uroviricota;Caudoviricetes;Caudovirales;Autographiviridae;unclassified Autographiviridae;unclassified Paadamvirus;Rhizobium phage vB_RleA_TRX32-1</t>
  </si>
  <si>
    <t>Viruses[5];Duplodnaviria[5];Heunggongvirae[5];Uroviricota[5];Caudoviricetes[5];Caudovirales[5];Autographiviridae[4];unclassified Autographiviridae[2];Rhizobium phage RHph_I20[1];Ralstonia phage DU_RP_I[1]</t>
  </si>
  <si>
    <t>Avril.NODE_152_length_12366_cov_13.326375</t>
  </si>
  <si>
    <t>Viruses[4];Duplodnaviria[4];Heunggongvirae[4];Uroviricota[4];Caudoviricetes[4];Caudovirales[4];Autographiviridae[3];unclassified Autographiviridae[2];unclassified Pelagivirus[1];Pelagibacter phage HTVC031P[1]</t>
  </si>
  <si>
    <t>Viruses;Duplodnaviria;Heunggongvirae;Uroviricota;Caudoviricetes;Caudovirales;Autographiviridae;unclassified Autographiviridae;unclassified Pelagivirus;Pelagibacter phage HTVC031P</t>
  </si>
  <si>
    <t>Viruses[4];Duplodnaviria[4];Heunggongvirae[4];Uroviricota[4];Caudoviricetes[4];Caudovirales[4];Autographiviridae[3];unclassified Autographiviridae[2];Pelagibacter phage Bylgja EXVC010P[1];Pelagibacter phage HTVC031P[1]</t>
  </si>
  <si>
    <t>Sept.NODE_484_length_3759_cov_8.534017</t>
  </si>
  <si>
    <t>Viruses[2];Duplodnaviria[2];Heunggongvirae[2];Uroviricota[2];Caudoviricetes[2];Caudovirales[2];Autographiviridae[1];unclassified Myoviridae[1];unclassified Foturvirus[1];Alteromonas phage vB_AmeP_R8W[1]</t>
  </si>
  <si>
    <t>Viruses;Duplodnaviria;Heunggongvirae;Uroviricota;Caudoviricetes;Caudovirales;Autographiviridae;unclassified Myoviridae;unclassified Foturvirus;Alteromonas phage vB_AmeP_R8W</t>
  </si>
  <si>
    <t>Viruses[2];Duplodnaviria[2];Heunggongvirae[2];Uroviricota[2];Caudoviricetes[2];Caudovirales[2];Myoviridae[1];unclassified Myoviridae[1];unclassified Foturvirus[1];Alteromonas phage vB_AmeP_R8W[1]</t>
  </si>
  <si>
    <t>Sept.NODE_104_length_13001_cov_9.114862</t>
  </si>
  <si>
    <t>Viruses[6];Duplodnaviria[6];Heunggongvirae[6];Uroviricota[6];Caudoviricetes[6];Caudovirales[6];Autographiviridae[3];unclassified Podoviridae[2];Gyeongsanvirus RsoP1EGY[1];Ralstonia phage RsoP1EGY[1]</t>
  </si>
  <si>
    <t>Viruses;Duplodnaviria;Heunggongvirae;Uroviricota;Caudoviricetes;Caudovirales;Autographiviridae;unclassified Podoviridae;Gyeongsanvirus RsoP1EGY;Ralstonia phage RsoP1EGY</t>
  </si>
  <si>
    <t>Viruses[6];Duplodnaviria[6];Heunggongvirae[6];Uroviricota[6];Caudoviricetes[6];Caudovirales[6];Autographiviridae[3];unclassified Podoviridae[2];Vibrio phage vB_VhaM_VH-8[1];Ralstonia phage RsoP1EGY[1]</t>
  </si>
  <si>
    <t>Avril.NODE_868_length_3089_cov_3.823665</t>
  </si>
  <si>
    <t>Viruses[2];Duplodnaviria[2];Heunggongvirae[2];Uroviricota[2];Caudoviricetes[2];Caudovirales[2];Autographiviridae[1];unclassified Podoviridae[1];Kantovirus[1];Kantovirus C171[1];Pseudomonas phage YMC11/06/C171_PPU_BP[1]</t>
  </si>
  <si>
    <t>Viruses;Duplodnaviria;Heunggongvirae;Uroviricota;Caudoviricetes;Caudovirales;Autographiviridae;unclassified Podoviridae;Kantovirus;Kantovirus C171;Pseudomonas phage YMC11/06/C171_PPU_BP</t>
  </si>
  <si>
    <t>Sept.NODE_739_length_2836_cov_3.372528</t>
  </si>
  <si>
    <t>Viruses[2];Duplodnaviria[2];Heunggongvirae[2];Uroviricota[2];Caudoviricetes[2];Caudovirales[2];Autographiviridae[1];unclassified Siphoviridae[1];Kantovirus[1];Kantovirus C171[1];Pseudomonas phage YMC11/06/C171_PPU_BP[1]</t>
  </si>
  <si>
    <t>Viruses;Duplodnaviria;Heunggongvirae;Uroviricota;Caudoviricetes;Caudovirales;Autographiviridae;unclassified Siphoviridae;Kantovirus;Kantovirus C171;Pseudomonas phage YMC11/06/C171_PPU_BP</t>
  </si>
  <si>
    <t>Viruses[2];Duplodnaviria[2];Heunggongvirae[2];Uroviricota[2];Caudoviricetes[2];Caudovirales[2];Siphoviridae[1];unclassified Siphoviridae[1];Phaeobacter phage MD18[1];Kantovirus C171[1];Pseudomonas phage YMC11/06/C171_PPU_BP[1]</t>
  </si>
  <si>
    <t>Avril.NODE_1163_length_2478_cov_4.772596</t>
  </si>
  <si>
    <t>Viruses[2];Duplodnaviria[2];Heunggongvirae[2];Uroviricota[2];Caudoviricetes[2];Caudovirales[2];Autographiviridae[1];unclassified Siphoviridae[1];unclassified Krylovirinae[1];Sphaerotilus phage vB_SnaP-R1[1]</t>
  </si>
  <si>
    <t>Viruses;Duplodnaviria;Heunggongvirae;Uroviricota;Caudoviricetes;Caudovirales;Autographiviridae;unclassified Siphoviridae;unclassified Krylovirinae;Sphaerotilus phage vB_SnaP-R1</t>
  </si>
  <si>
    <t>Viruses[2];Duplodnaviria[2];Heunggongvirae[2];Uroviricota[2];Caudoviricetes[2];Caudovirales[2];Siphoviridae[1];Krylovirinae[1];unclassified Krylovirinae[1];Sphaerotilus phage vB_SnaP-R1[1]</t>
  </si>
  <si>
    <t>Oct.NODE_1788_length_2145_cov_2.633493</t>
  </si>
  <si>
    <t>Viruses[1];Duplodnaviria[1];Heunggongvirae[1];Uroviricota[1];Caudoviricetes[1];Caudovirales[1];Chaseviridae[1];Nefertitivirinae[1];Yushanvirus[1];Yushanvirus SppYZU05[1];Shewanella phage SppYZU05[1]</t>
  </si>
  <si>
    <t>Viruses;Duplodnaviria;Heunggongvirae;Uroviricota;Caudoviricetes;Caudovirales;Chaseviridae;Nefertitivirinae;Yushanvirus;Yushanvirus SppYZU05;Shewanella phage SppYZU05</t>
  </si>
  <si>
    <t>Oct.NODE_381_length_5961_cov_5.157467</t>
  </si>
  <si>
    <t>Viruses[1];Duplodnaviria[1];Heunggongvirae[1];Uroviricota[1];Caudoviricetes[1];Caudovirales[1];Demerecviridae[1];Ermolyevavirinae[1];Cetovirus[1];unclassified Cetovirus[1];Vibrio phage GRLPWR[1]</t>
  </si>
  <si>
    <t>Viruses;Duplodnaviria;Heunggongvirae;Uroviricota;Caudoviricetes;Caudovirales;Demerecviridae;Ermolyevavirinae;Cetovirus;unclassified Cetovirus;Vibrio phage GRLPWR</t>
  </si>
  <si>
    <t>Oct.NODE_1876_length_2072_cov_2.518592</t>
  </si>
  <si>
    <t>Viruses[2];Duplodnaviria[2];Heunggongvirae[2];Uroviricota[2];Caudoviricetes[2];Caudovirales[2];Demerecviridae[2];Pogseptimavirus[1];unclassified Sugarlandvirus[1];Klebsiella phage AmPh_EK80[1]</t>
  </si>
  <si>
    <t>Viruses;Duplodnaviria;Heunggongvirae;Uroviricota;Caudoviricetes;Caudovirales;Demerecviridae;Pogseptimavirus;unclassified Sugarlandvirus;Klebsiella phage AmPh_EK80</t>
  </si>
  <si>
    <t>Viruses[2];Duplodnaviria[2];Heunggongvirae[2];Uroviricota[2];Caudoviricetes[2];Caudovirales[2];Demerecviridae[2];Sugarlandvirus[1];unclassified Sugarlandvirus[1];Klebsiella phage AmPh_EK80[1]</t>
  </si>
  <si>
    <t>Avril.NODE_433_length_5276_cov_5.215859</t>
  </si>
  <si>
    <t>Viruses[1];Duplodnaviria[1];Heunggongvirae[1];Uroviricota[1];Caudoviricetes[1];Caudovirales[1];Demerecviridae[1];Sugarlandvirus[1];unclassified Sugarlandvirus[1];Bacteriophage Eos[1]</t>
  </si>
  <si>
    <t>Viruses;Duplodnaviria;Heunggongvirae;Uroviricota;Caudoviricetes;Caudovirales;Demerecviridae;Sugarlandvirus;unclassified Sugarlandvirus;Bacteriophage Eos</t>
  </si>
  <si>
    <t>Avril.NODE_474_length_4951_cov_5.210989</t>
  </si>
  <si>
    <t>Viruses[2];Duplodnaviria[2];Heunggongvirae[2];Uroviricota[2];Caudoviricetes[2];Caudovirales[2];Drexlerviridae[1];Kungbxnavirus[1];Kungbxnavirus pT24[1];Tenacibaculum phage pT24[1]</t>
  </si>
  <si>
    <t>Viruses;Duplodnaviria;Heunggongvirae;Uroviricota;Caudoviricetes;Caudovirales;Drexlerviridae;Kungbxnavirus;Kungbxnavirus pT24;Tenacibaculum phage pT24</t>
  </si>
  <si>
    <t>Viruses[2];Duplodnaviria[2];Heunggongvirae[2];Uroviricota[2];Caudoviricetes[2];Caudovirales[2];Myoviridae[1];Kyungwonvirus[1];Kyungwonvirus Esp29491[1];Tenacibaculum phage pT24[1]</t>
  </si>
  <si>
    <t>Avril.NODE_1318_length_2272_cov_6.227785</t>
  </si>
  <si>
    <t>Viruses[1];Duplodnaviria[1];Heunggongvirae[1];Uroviricota[1];Caudoviricetes[1];Caudovirales[1];Drexlerviridae[1];Tunavirinae[1];Tunavirus[1];Tunavirus BIFF[1];Escherichia phage Eco_BIFF[1]</t>
  </si>
  <si>
    <t>Viruses;Duplodnaviria;Heunggongvirae;Uroviricota;Caudoviricetes;Caudovirales;Drexlerviridae;Tunavirinae;Tunavirus;Tunavirus BIFF;Escherichia phage Eco_BIFF</t>
  </si>
  <si>
    <t>Sept.NODE_215_length_6821_cov_4.521726</t>
  </si>
  <si>
    <t>Viruses[3];Duplodnaviria[3];Heunggongvirae[3];Uroviricota[3];Caudoviricetes[3];Caudovirales[3];Flavobacteriaceae[3];unclassified Myoviridae[2];Xiamenvirus RDJL1[1];Roseobacter phage RDJL Phi 1[1]</t>
  </si>
  <si>
    <t>Viruses;Duplodnaviria;Heunggongvirae;Uroviricota;Caudoviricetes;Caudovirales;Flavobacteriaceae;unclassified Myoviridae;Xiamenvirus RDJL1;Roseobacter phage RDJL Phi 1</t>
  </si>
  <si>
    <t>Viruses[3];Duplodnaviria[3];Heunggongvirae[3];Uroviricota[3];Caudoviricetes[3];Caudovirales[3];Myoviridae[2];unclassified Myoviridae[2];Pelagibacter phage HTVC008M[1];Roseobacter phage RDJL Phi 1[1]</t>
  </si>
  <si>
    <t>Oct.NODE_659_length_4150_cov_4.820757</t>
  </si>
  <si>
    <t>Viruses[2];Duplodnaviria[2];Heunggongvirae[2];Uroviricota[2];Caudoviricetes[2];Caudovirales[2];Flavobacteriaceae[2];Zunongwangia[2];Zunongwangia profunda[2];Gordonia phage DinoDaryn[1]</t>
  </si>
  <si>
    <t>Viruses;Duplodnaviria;Heunggongvirae;Uroviricota;Caudoviricetes;Caudovirales;Flavobacteriaceae;Zunongwangia;Zunongwangia profunda;Gordonia phage DinoDaryn</t>
  </si>
  <si>
    <t>Viruses[2];Duplodnaviria[2];Heunggongvirae[2];Uroviricota[2];Caudoviricetes[2];Caudovirales[2];Podoviridae[1];Vendettavirus[1];Caudovirales sp. ctOwN3[1];Gordonia phage DinoDaryn[1]</t>
  </si>
  <si>
    <t>Avril.NODE_1306_length_2285_cov_21.851570</t>
  </si>
  <si>
    <t>Viruses[1];Duplodnaviria[1];Heunggongvirae[1];Uroviricota[1];Caudoviricetes[1];Caudovirales[1];Herelleviridae[1];Bastillevirinae[1];Bequatrovirus[1];Bequatrovirus spock[1];Bacillus phage Spock[1]</t>
  </si>
  <si>
    <t>Viruses;Duplodnaviria;Heunggongvirae;Uroviricota;Caudoviricetes;Caudovirales;Herelleviridae;Bastillevirinae;Bequatrovirus;Bequatrovirus spock;Bacillus phage Spock</t>
  </si>
  <si>
    <t>Avril.NODE_768_length_3366_cov_5.159468</t>
  </si>
  <si>
    <t>Viruses[1];Duplodnaviria[1];Heunggongvirae[1];Uroviricota[1];Caudoviricetes[1];Caudovirales[1];Herelleviridae[1];Bastillevirinae[1];Tsarbombavirus[1];Tsarbombavirus BCP78[1];Bacillus phage BCU4[1]</t>
  </si>
  <si>
    <t>Viruses;Duplodnaviria;Heunggongvirae;Uroviricota;Caudoviricetes;Caudovirales;Herelleviridae;Bastillevirinae;Tsarbombavirus;Tsarbombavirus BCP78;Bacillus phage BCU4</t>
  </si>
  <si>
    <t>Mai.NODE_417_length_4393_cov_4.582296</t>
  </si>
  <si>
    <t>Viruses[1];Duplodnaviria[1];Heunggongvirae[1];Uroviricota[1];Caudoviricetes[1];Caudovirales[1];Herelleviridae[1];Spounavirinae[1];unclassified Spounavirinae[1];Bacillus phage SP-10[1]</t>
  </si>
  <si>
    <t>Viruses;Duplodnaviria;Heunggongvirae;Uroviricota;Caudoviricetes;Caudovirales;Herelleviridae;Spounavirinae;unclassified Spounavirinae;Bacillus phage SP-10</t>
  </si>
  <si>
    <t>Mai.NODE_540_length_3620_cov_4.203086</t>
  </si>
  <si>
    <t>Viruses[1];Duplodnaviria[1];Heunggongvirae[1];Uroviricota[1];Caudoviricetes[1];Caudovirales[1];Herelleviridae[1];Twortvirinae[1];Kayvirus[1];unclassified Kayvirus[1];Staphylococcus phage SAM1[1]</t>
  </si>
  <si>
    <t>Viruses;Duplodnaviria;Heunggongvirae;Uroviricota;Caudoviricetes;Caudovirales;Herelleviridae;Twortvirinae;Kayvirus;unclassified Kayvirus;Staphylococcus phage SAM1</t>
  </si>
  <si>
    <t>Mai.NODE_147_length_9961_cov_24.236220</t>
  </si>
  <si>
    <t>Viruses[1];Duplodnaviria[1];Heunggongvirae[1];Uroviricota[1];Caudoviricetes[1];Caudovirales[1];Myoviridae[1];Acionnavirus[1];unclassified Acionnavirus[1];Synechococcus phage S-CAM8[1]</t>
  </si>
  <si>
    <t>Viruses;Duplodnaviria;Heunggongvirae;Uroviricota;Caudoviricetes;Caudovirales;Myoviridae;Acionnavirus;unclassified Acionnavirus;Synechococcus phage S-CAM8</t>
  </si>
  <si>
    <t>Oct.NODE_702_length_4001_cov_12.719970</t>
  </si>
  <si>
    <t>Viruses[2];Duplodnaviria[2];Heunggongvirae[2];Uroviricota[2];Caudoviricetes[2];Caudovirales[2];Myoviridae[2];Anaposvirus[1];Synechococcus virus SCAM1[1];Synechococcus phage S-CAM1[1]</t>
  </si>
  <si>
    <t>Viruses;Duplodnaviria;Heunggongvirae;Uroviricota;Caudoviricetes;Caudovirales;Myoviridae;Anaposvirus;Synechococcus virus SCAM1;Synechococcus phage S-CAM1</t>
  </si>
  <si>
    <t>Viruses[2];Duplodnaviria[2];Heunggongvirae[2];Uroviricota[2];Caudoviricetes[2];Caudovirales[2];Myoviridae[2];unclassified Myoviridae[1];Synechococcus virus SCAM1[1];Synechococcus phage S-CAM1[1]</t>
  </si>
  <si>
    <t>Mai.NODE_1027_length_2271_cov_2.271661</t>
  </si>
  <si>
    <t>Viruses[1];Duplodnaviria[1];Heunggongvirae[1];Uroviricota[1];Caudoviricetes[1];Caudovirales[1];Myoviridae[1];Asteriusvirus[1];Escherichia virus PBECO4[1];Escherichia phage UB[1]</t>
  </si>
  <si>
    <t>Viruses;Duplodnaviria;Heunggongvirae;Uroviricota;Caudoviricetes;Caudovirales;Myoviridae;Asteriusvirus;Escherichia virus PBECO4;Escherichia phage UB</t>
  </si>
  <si>
    <t>Sept.NODE_1140_length_2127_cov_4.586873</t>
  </si>
  <si>
    <t>Viruses[1];Duplodnaviria[1];Heunggongvirae[1];Uroviricota[1];Caudoviricetes[1];Caudovirales[1];Myoviridae[1];Aurunvirus[1];Aurunvirus STIM5[1];Cyanophage S-TIM5[1]</t>
  </si>
  <si>
    <t>Viruses;Duplodnaviria;Heunggongvirae;Uroviricota;Caudoviricetes;Caudovirales;Myoviridae;Aurunvirus;Aurunvirus STIM5;Cyanophage S-TIM5</t>
  </si>
  <si>
    <t>Mai.NODE_808_length_2716_cov_4.230740</t>
  </si>
  <si>
    <t>Viruses[1];Duplodnaviria[1];Heunggongvirae[1];Uroviricota[1];Caudoviricetes[1];Caudovirales[1];Myoviridae[1];Barbavirus[1];Barbavirus barba18A[1];Rheinheimera phage vB_RspM_barba_12-6F[1]</t>
  </si>
  <si>
    <t>Viruses;Duplodnaviria;Heunggongvirae;Uroviricota;Caudoviricetes;Caudovirales;Myoviridae;Barbavirus;Barbavirus barba18A;Rheinheimera phage vB_RspM_barba_12-6F</t>
  </si>
  <si>
    <t>Avril.NODE_1439_length_2143_cov_3.823276</t>
  </si>
  <si>
    <t>Viruses[1];Duplodnaviria[1];Heunggongvirae[1];Uroviricota[1];Caudoviricetes[1];Caudovirales[1];Myoviridae[1];Chiangmaivirus[1];Chiangmaivirus RSF1[1];Ralstonia phage RSF1[1]</t>
  </si>
  <si>
    <t>Viruses;Duplodnaviria;Heunggongvirae;Uroviricota;Caudoviricetes;Caudovirales;Myoviridae;Chiangmaivirus;Chiangmaivirus RSF1;Ralstonia phage RSF1</t>
  </si>
  <si>
    <t>Sept.NODE_682_length_3002_cov_5.957923</t>
  </si>
  <si>
    <t>Viruses[2];Duplodnaviria[2];Heunggongvirae[2];Uroviricota[2];Caudoviricetes[2];Caudovirales[2];Myoviridae[2];Emdodecavirus[1];Emdodecavirus N3[1];Synechococcus phage S-CAM3[1]</t>
  </si>
  <si>
    <t>Viruses;Duplodnaviria;Heunggongvirae;Uroviricota;Caudoviricetes;Caudovirales;Myoviridae;Emdodecavirus;Emdodecavirus N3;Synechococcus phage S-CAM3</t>
  </si>
  <si>
    <t>Viruses[2];Duplodnaviria[2];Heunggongvirae[2];Uroviricota[2];Caudoviricetes[2];Caudovirales[2];Myoviridae[2];Emdodecavirus[1];Emdodecavirus N3[1];Sinorhizobium phage phiN3[1]</t>
  </si>
  <si>
    <t>Sept.NODE_556_length_3456_cov_5.386357</t>
  </si>
  <si>
    <t>Viruses[3];Duplodnaviria[3];Heunggongvirae[3];Uroviricota[3];Caudoviricetes[3];Caudovirales[3];Myoviridae[2];Emdodecavirus[1];unclassified Emdodecavirus[1];Sinorhizobium phage phiM19[1]</t>
  </si>
  <si>
    <t>Viruses;Duplodnaviria;Heunggongvirae;Uroviricota;Caudoviricetes;Caudovirales;Myoviridae;Emdodecavirus;unclassified Emdodecavirus;Sinorhizobium phage phiM19</t>
  </si>
  <si>
    <t>Viruses[3];Duplodnaviria[3];Heunggongvirae[3];Uroviricota[3];Caudoviricetes[3];Caudovirales[3];Myoviridae[2];Emdodecavirus[1];Ochrobactrum phage vB_OspM_OC[1];Sinorhizobium phage phiM19[1]</t>
  </si>
  <si>
    <t>Sept.NODE_398_length_4300_cov_5.742285</t>
  </si>
  <si>
    <t>Viruses[3];Duplodnaviria[3];Heunggongvirae[3];Uroviricota[3];Caudoviricetes[3];Caudovirales[3];Myoviridae[3];Emdodecavirus[1];unclassified Libanvirus[1];Synechococcus phage S-WAM1[1]</t>
  </si>
  <si>
    <t>Viruses;Duplodnaviria;Heunggongvirae;Uroviricota;Caudoviricetes;Caudovirales;Myoviridae;Emdodecavirus;unclassified Libanvirus;Synechococcus phage S-WAM1</t>
  </si>
  <si>
    <t>Viruses[3];Duplodnaviria[3];Heunggongvirae[3];Uroviricota[3];Caudoviricetes[3];Caudovirales[3];Myoviridae[3];Emdodecavirus[1];Emdodecavirus N3[1];Synechococcus phage S-WAM1[1]</t>
  </si>
  <si>
    <t>Oct.NODE_1740_length_2179_cov_9.368173</t>
  </si>
  <si>
    <t>Viruses[1];Duplodnaviria[1];Heunggongvirae[1];Uroviricota[1];Caudoviricetes[1];Caudovirales[1];Myoviridae[1];Eneladusvirus[1];Eneladusvirus Yen904[1];Yersinia phage fHe-Yen9-03[1]</t>
  </si>
  <si>
    <t>Viruses;Duplodnaviria;Heunggongvirae;Uroviricota;Caudoviricetes;Caudovirales;Myoviridae;Eneladusvirus;Eneladusvirus Yen904;Yersinia phage fHe-Yen9-03</t>
  </si>
  <si>
    <t>Sept.NODE_602_length_3249_cov_5.403882</t>
  </si>
  <si>
    <t>Viruses[1];Duplodnaviria[1];Heunggongvirae[1];Uroviricota[1];Caudoviricetes[1];Caudovirales[1];Myoviridae[1];Eurybiavirus[1];unclassified Eurybiavirus[1];Prochlorococcus phage P-HM2[1]</t>
  </si>
  <si>
    <t>Viruses;Duplodnaviria;Heunggongvirae;Uroviricota;Caudoviricetes;Caudovirales;Myoviridae;Eurybiavirus;unclassified Eurybiavirus;Prochlorococcus phage P-HM2</t>
  </si>
  <si>
    <t>Oct.NODE_540_length_4739_cov_3.159906</t>
  </si>
  <si>
    <t>Viruses[1];Duplodnaviria[1];Heunggongvirae[1];Uroviricota[1];Caudoviricetes[1];Caudovirales[1];Myoviridae[1];Flaumdravirus[1];Flaumdravirus KIL4[1];Pseudomonas phage vB_PsyM_KIL1[1];Pseudomonas phage vB_PsyM_KIL3[1]</t>
  </si>
  <si>
    <t>Viruses;Duplodnaviria;Heunggongvirae;Uroviricota;Caudoviricetes;Caudovirales;Myoviridae;Flaumdravirus;Flaumdravirus KIL4;Pseudomonas phage vB_PsyM_KIL1;Pseudomonas phage vB_PsyM_KIL3</t>
  </si>
  <si>
    <t>Avril.NODE_518_length_4558_cov_5.956918</t>
  </si>
  <si>
    <t>Viruses[2];Duplodnaviria[2];Heunggongvirae[2];Uroviricota[2];Caudoviricetes[2];Caudovirales[2];Myoviridae[2];Gofduovirus[1];Synechococcus virus Bellamy[1];Synechococcus phage Bellamy[1]</t>
  </si>
  <si>
    <t>Viruses;Duplodnaviria;Heunggongvirae;Uroviricota;Caudoviricetes;Caudovirales;Myoviridae;Gofduovirus;Synechococcus virus Bellamy;Synechococcus phage Bellamy</t>
  </si>
  <si>
    <t>Viruses[2];Duplodnaviria[2];Heunggongvirae[2];Uroviricota[2];Caudoviricetes[2];Caudovirales[2];Myoviridae[2];Bellamyvirus[1];Gofduovirus GF2[1];Synechococcus phage Bellamy[1]</t>
  </si>
  <si>
    <t>Oct.NODE_1093_length_2955_cov_3.996552</t>
  </si>
  <si>
    <t>Viruses[1];Duplodnaviria[1];Heunggongvirae[1];Uroviricota[1];Caudoviricetes[1];Caudovirales[1];Myoviridae[1];Iapetusvirus[1];unclassified Iapetusvirus[1];Serratia phage PCH45[1]</t>
  </si>
  <si>
    <t>Viruses;Duplodnaviria;Heunggongvirae;Uroviricota;Caudoviricetes;Caudovirales;Myoviridae;Iapetusvirus;unclassified Iapetusvirus;Serratia phage PCH45</t>
  </si>
  <si>
    <t>Oct.NODE_1263_length_2714_cov_5.115457</t>
  </si>
  <si>
    <t>Viruses[2];Duplodnaviria[2];Heunggongvirae[2];Uroviricota[2];Caudoviricetes[2];Caudovirales[2];Myoviridae[1];Inhavirus[1];Inhavirus P12024L[1];Nonlabens phage P12024L[1]</t>
  </si>
  <si>
    <t>Viruses;Duplodnaviria;Heunggongvirae;Uroviricota;Caudoviricetes;Caudovirales;Myoviridae;Inhavirus;Inhavirus P12024L;Nonlabens phage P12024L</t>
  </si>
  <si>
    <t>Viruses[2];Duplodnaviria[2];Heunggongvirae[2];Uroviricota[2];Caudoviricetes[2];Caudovirales[2];Myoviridae[1];unclassified Myoviridae[1];Inhavirus P12024L[1];Nonlabens phage P12024L[1]</t>
  </si>
  <si>
    <t>Oct.NODE_749_length_3830_cov_4.865960</t>
  </si>
  <si>
    <t>Viruses[1];Duplodnaviria[1];Heunggongvirae[1];Uroviricota[1];Caudoviricetes[1];Caudovirales[1];Myoviridae[1];Jedunavirus[1];unclassified Jedunavirus[1];Klebsiella phage BUCT_49532[1];Pancrustacea[1];Hexapoda[1];Insecta[1];Dicondylia[1];Pterygota[1];Neoptera[1];Paraneoptera[1];Hemiptera[1];Prosorrhyncha[1];Heteroptera[1];Euheteroptera[1];Neoheteroptera[1];Panheteroptera[1];Cimicomorpha[1];Cimicoidea[1];Miridae[1];Bryocorinae[1];Dicyphini[1];Dicyphina[1];Nesidiocoris[1];Nesidiocoris tenuis[1]</t>
  </si>
  <si>
    <t>Viruses;Duplodnaviria;Heunggongvirae;Uroviricota;Caudoviricetes;Caudovirales;Myoviridae;Jedunavirus;unclassified Jedunavirus;Klebsiella phage BUCT_49532;Pancrustacea;Hexapoda;Insecta;Dicondylia;Pterygota;Neoptera;Paraneoptera;Hemiptera;Prosorrhyncha;Heteroptera;Euheteroptera;Neoheteroptera;Panheteroptera;Cimicomorpha;Cimicoidea;Miridae;Bryocorinae;Dicyphini;Dicyphina;Nesidiocoris;Nesidiocoris tenuis</t>
  </si>
  <si>
    <t>Viruses[1];Duplodnaviria[1];Heunggongvirae[1];Uroviricota[1];Caudoviricetes[1];Caudovirales[1];Myoviridae[1];Jedunavirus[1];unclassified Jedunavirus[1];Klebsiella phage BUCT_49532[1]</t>
  </si>
  <si>
    <t>Oct.NODE_860_length_3479_cov_5.491238</t>
  </si>
  <si>
    <t>Viruses[2];Duplodnaviria[2];Heunggongvirae[2];Uroviricota[2];Caudoviricetes[2];Caudovirales[2];Myoviridae[1];Krylovirinae[1];unclassified Krylovirinae[1];Sphaerotilus phage vB_SnaP-R1[1]</t>
  </si>
  <si>
    <t>Viruses;Duplodnaviria;Heunggongvirae;Uroviricota;Caudoviricetes;Caudovirales;Myoviridae;Krylovirinae;unclassified Krylovirinae;Sphaerotilus phage vB_SnaP-R1</t>
  </si>
  <si>
    <t>Viruses[2];Duplodnaviria[2];Heunggongvirae[2];Uroviricota[2];Caudoviricetes[2];Caudovirales[2];Myoviridae[1];unclassified Myoviridae[1];unclassified Krylovirinae[1];Sphaerotilus phage vB_SnaP-R1[1]</t>
  </si>
  <si>
    <t>Sept.NODE_294_length_5368_cov_56.468850</t>
  </si>
  <si>
    <t>Viruses[1];Duplodnaviria[1];Heunggongvirae[1];Uroviricota[1];Caudoviricetes[1];Caudovirales[1];Myoviridae[1];Kungbxnavirus[1];Kungbxnavirus pT24[1];Tenacibaculum phage pT24[1]</t>
  </si>
  <si>
    <t>Viruses;Duplodnaviria;Heunggongvirae;Uroviricota;Caudoviricetes;Caudovirales;Myoviridae;Kungbxnavirus;Kungbxnavirus pT24;Tenacibaculum phage pT24</t>
  </si>
  <si>
    <t>Oct.NODE_806_length_3631_cov_3.980425</t>
  </si>
  <si>
    <t>Oct.NODE_1943_length_2014_cov_2.109750</t>
  </si>
  <si>
    <t>Mai.NODE_939_length_2419_cov_2.817259</t>
  </si>
  <si>
    <t>Viruses[1];Duplodnaviria[1];Heunggongvirae[1];Uroviricota[1];Caudoviricetes[1];Caudovirales[1];Myoviridae[1];Libanvirus[1];Prochlorococcus virus PTIM40[1];Cyanophage P-TIM40[1]</t>
  </si>
  <si>
    <t>Viruses;Duplodnaviria;Heunggongvirae;Uroviricota;Caudoviricetes;Caudovirales;Myoviridae;Libanvirus;Prochlorococcus virus PTIM40;Cyanophage P-TIM40</t>
  </si>
  <si>
    <t>Sept.NODE_366_length_4543_cov_4.773619</t>
  </si>
  <si>
    <t>Viruses[1];Duplodnaviria[1];Heunggongvirae[1];Uroviricota[1];Caudoviricetes[1];Caudovirales[1];Myoviridae[1];Libanvirus[1];unclassified Libanvirus[1];Synechococcus phage S-WAM1[1]</t>
  </si>
  <si>
    <t>Viruses;Duplodnaviria;Heunggongvirae;Uroviricota;Caudoviricetes;Caudovirales;Myoviridae;Libanvirus;unclassified Libanvirus;Synechococcus phage S-WAM1</t>
  </si>
  <si>
    <t>Sept.NODE_154_length_9333_cov_4.224402</t>
  </si>
  <si>
    <t>Sept.NODE_659_length_3057_cov_5.261492</t>
  </si>
  <si>
    <t>Viruses[1];Duplodnaviria[1];Heunggongvirae[1];Uroviricota[1];Caudoviricetes[1];Caudovirales[1];Myoviridae[1];Llyrvirus[1];Llyrvirus SSKS1[1];Synechococcus phage S-SKS1[1]</t>
  </si>
  <si>
    <t>Viruses;Duplodnaviria;Heunggongvirae;Uroviricota;Caudoviricetes;Caudovirales;Myoviridae;Llyrvirus;Llyrvirus SSKS1;Synechococcus phage S-SKS1</t>
  </si>
  <si>
    <t>Avril.NODE_700_length_3587_cov_4.046433</t>
  </si>
  <si>
    <t>Viruses[3];Duplodnaviria[2];Heunggongvirae[2];Uroviricota[2];Caudoviricetes[2];Caudovirales[2];Myoviridae[1];Mazuvirus[1];Arthrobacter virus Liebe[1];Synechococcus phage S-CAM7[1]</t>
  </si>
  <si>
    <t>Viruses;Duplodnaviria;Heunggongvirae;Uroviricota;Caudoviricetes;Caudovirales;Myoviridae;Mazuvirus;Arthrobacter virus Liebe;Synechococcus phage S-CAM7</t>
  </si>
  <si>
    <t>Viruses[3];Duplodnaviria[2];Heunggongvirae[2];Uroviricota[2];Caudoviricetes[2];Caudovirales[2];Siphoviridae[1];Liebevirus[1];Synechococcus virus SCAM7[1];Arthrobacter phage Maureen[1]</t>
  </si>
  <si>
    <t>Oct.NODE_480_length_5084_cov_6.099423</t>
  </si>
  <si>
    <t>Viruses[4];Duplodnaviria[4];Heunggongvirae[4];Uroviricota[4];Caudoviricetes[4];Caudovirales[4];Myoviridae[3];Melnykvirinae[1];Plaisancevirus PMW[1];Pokrovskaiavirus fHeYen301[1];Yersinia phage fHe-Yen3-01[1]</t>
  </si>
  <si>
    <t>Viruses;Duplodnaviria;Heunggongvirae;Uroviricota;Caudoviricetes;Caudovirales;Myoviridae;Melnykvirinae;Plaisancevirus PMW;Pokrovskaiavirus fHeYen301;Yersinia phage fHe-Yen3-01</t>
  </si>
  <si>
    <t>Viruses[4];Duplodnaviria[4];Heunggongvirae[4];Uroviricota[4];Caudoviricetes[4];Caudovirales[4];Myoviridae[3];Plaisancevirus[1];Pokrovskaiavirus[1];Pokrovskaiavirus fHeYen301[1];Yersinia phage fHe-Yen3-01[1]</t>
  </si>
  <si>
    <t>Juil.NODE_17_length_4186_cov_6.955217</t>
  </si>
  <si>
    <t>Viruses[1];Duplodnaviria[1];Heunggongvirae[1];Uroviricota[1];Caudoviricetes[1];Caudovirales[1];Myoviridae[1];Menderavirus[1];Menderavirus moby[1];Flavilitoribacter nigricans DSM 23189 = NBRC 102662[1]</t>
  </si>
  <si>
    <t>Viruses;Duplodnaviria;Heunggongvirae;Uroviricota;Caudoviricetes;Caudovirales;Myoviridae;Menderavirus;Menderavirus moby;Flavilitoribacter nigricans DSM 23189 = NBRC 102662</t>
  </si>
  <si>
    <t>Viruses[1];Duplodnaviria[1];Heunggongvirae[1];Uroviricota[1];Caudoviricetes[1];Caudovirales[1];Myoviridae[1];Menderavirus[1];Menderavirus moby[1];Stenotrophomonas phage Moby[1]</t>
  </si>
  <si>
    <t>Mai.NODE_550_length_3579_cov_3.989501</t>
  </si>
  <si>
    <t>Viruses;Duplodnaviria;Heunggongvirae;Uroviricota;Caudoviricetes;Caudovirales;Myoviridae;Menderavirus;Menderavirus moby;Stenotrophomonas phage Moby</t>
  </si>
  <si>
    <t>Oct.NODE_517_length_4869_cov_5.027005</t>
  </si>
  <si>
    <t>Viruses[2];Duplodnaviria[2];Heunggongvirae[2];Uroviricota[2];Caudoviricetes[2];Caudovirales[2];Myoviridae[2];Muricauda[2];unclassified Muricauda[2];Muricauda sp. TMED12[2]</t>
  </si>
  <si>
    <t>Viruses;Duplodnaviria;Heunggongvirae;Uroviricota;Caudoviricetes;Caudovirales;Myoviridae;Muricauda;unclassified Muricauda;Muricauda sp. TMED12</t>
  </si>
  <si>
    <t>Viruses[2];Duplodnaviria[2];Heunggongvirae[2];Uroviricota[2];Caudoviricetes[2];Caudovirales[2];Myoviridae[2];unclassified Myoviridae[1];Busanvirus ACP17[1];Acidovorax phage ACP17[1]</t>
  </si>
  <si>
    <t>Sept.NODE_481_length_3768_cov_5.534069</t>
  </si>
  <si>
    <t>Viruses[2];Duplodnaviria[2];Heunggongvirae[2];Uroviricota[2];Caudoviricetes[2];Caudovirales[2];Myoviridae[2];Tamkungvirus[1];Tamkungvirus ST4[1];Synechococcus phage S-T4[1]</t>
  </si>
  <si>
    <t>Oct.NODE_874_length_3418_cov_4.695213</t>
  </si>
  <si>
    <t>Viruses[1];Duplodnaviria[1];Heunggongvirae[1];Uroviricota[1];Caudoviricetes[1];Caudovirales[1];Myoviridae[1];Myoalterovirus[1];Myoalterovirus PT11V22[1];Alteromonas phage vB_AmeM_PT11-V22[1]</t>
  </si>
  <si>
    <t>Viruses;Duplodnaviria;Heunggongvirae;Uroviricota;Caudoviricetes;Caudovirales;Myoviridae;Myoalterovirus;Myoalterovirus PT11V22;Alteromonas phage vB_AmeM_PT11-V22</t>
  </si>
  <si>
    <t>Oct.NODE_1568_length_2355_cov_4.012174</t>
  </si>
  <si>
    <t>Avril.NODE_1343_length_2240_cov_4.160641</t>
  </si>
  <si>
    <t>Oct.NODE_1941_length_2014_cov_3.232261</t>
  </si>
  <si>
    <t>Viruses[1];Duplodnaviria[1];Heunggongvirae[1];Uroviricota[1];Caudoviricetes[1];Caudovirales[1];Myoviridae[1];Myosmarvirus[1];Myosmarvirus MTx[1];Serratia phage vB_SmaM_Hera[1]</t>
  </si>
  <si>
    <t>Viruses;Duplodnaviria;Heunggongvirae;Uroviricota;Caudoviricetes;Caudovirales;Myoviridae;Myosmarvirus;Myosmarvirus MTx;Serratia phage vB_SmaM_Hera</t>
  </si>
  <si>
    <t>Avril.NODE_980_length_2789_cov_8.821507</t>
  </si>
  <si>
    <t>Viruses[1];Duplodnaviria[1];Heunggongvirae[1];Uroviricota[1];Caudoviricetes[1];Caudovirales[1];Myoviridae[1];Nankokuvirus[1];Nankokuvirus Ab03[1];Pseudomonas phage vB_PaeM_PAO1_Ab03[1]</t>
  </si>
  <si>
    <t>Viruses;Duplodnaviria;Heunggongvirae;Uroviricota;Caudoviricetes;Caudovirales;Myoviridae;Nankokuvirus;Nankokuvirus Ab03;Pseudomonas phage vB_PaeM_PAO1_Ab03</t>
  </si>
  <si>
    <t>Avril.NODE_1532_length_2050_cov_4.450125</t>
  </si>
  <si>
    <t>Viruses[1];Duplodnaviria[1];Heunggongvirae[1];Uroviricota[1];Caudoviricetes[1];Caudovirales[1];Myoviridae[1];Obolenskvirus[1];Obolenskvirus AbP2[1];Acinetobacter phage AbP2[1]</t>
  </si>
  <si>
    <t>Viruses;Duplodnaviria;Heunggongvirae;Uroviricota;Caudoviricetes;Caudovirales;Myoviridae;Obolenskvirus;Obolenskvirus AbP2;Acinetobacter phage AbP2</t>
  </si>
  <si>
    <t>Oct.NODE_797_length_3656_cov_16.732852</t>
  </si>
  <si>
    <t>Viruses[2];Duplodnaviria[2];Heunggongvirae[2];Uroviricota[2];Caudoviricetes[2];Caudovirales[2];Myoviridae[1];Paadamvirus[1];Paadamvirus RHEph01[1];Rhizobium phage RHEph01[1]</t>
  </si>
  <si>
    <t>Viruses;Duplodnaviria;Heunggongvirae;Uroviricota;Caudoviricetes;Caudovirales;Myoviridae;Paadamvirus;Paadamvirus RHEph01;Rhizobium phage RHEph01</t>
  </si>
  <si>
    <t>Viruses[2];Duplodnaviria[2];Heunggongvirae[2];Uroviricota[2];Caudoviricetes[2];Caudovirales[2];Myoviridae[1];Paadamvirus[1];Pelagibacter phage Mosig EXVC030M[1];Rhizobium phage RHEph01[1]</t>
  </si>
  <si>
    <t>Sept.NODE_747_length_2819_cov_4.076700</t>
  </si>
  <si>
    <t>Viruses[2];Duplodnaviria[2];Heunggongvirae[2];Uroviricota[2];Caudoviricetes[2];Caudovirales[2];Myoviridae[2];Pakpunavirus[1];Zedzedvirus[1];Acinetobacter virus ZZ1[1];Acinetobacter phage Henu6[1]</t>
  </si>
  <si>
    <t>Viruses;Duplodnaviria;Heunggongvirae;Uroviricota;Caudoviricetes;Caudovirales;Myoviridae;Pakpunavirus;Zedzedvirus;Acinetobacter virus ZZ1;Acinetobacter phage Henu6</t>
  </si>
  <si>
    <t>Viruses[2];Duplodnaviria[2];Heunggongvirae[2];Uroviricota[2];Caudoviricetes[2];Caudovirales[2];Myoviridae[2];Pakpunavirus[1];unclassified Pakpunavirus[1];Pseudomonas phage vB_PaeM_SCUT-S2[1];Acinetobacter phage Henu6[1]</t>
  </si>
  <si>
    <t>Oct.NODE_369_length_6063_cov_3.993009</t>
  </si>
  <si>
    <t>Viruses[2];Duplodnaviria[2];Heunggongvirae[2];Uroviricota[2];Caudoviricetes[2];Caudovirales[2];Myoviridae[1];Parlovirus[1];Parlovirus parlo[1];Serratia phage Parlo[1]</t>
  </si>
  <si>
    <t>Viruses;Duplodnaviria;Heunggongvirae;Uroviricota;Caudoviricetes;Caudovirales;Myoviridae;Parlovirus;Parlovirus parlo;Serratia phage Parlo</t>
  </si>
  <si>
    <t>Viruses[2];Duplodnaviria[2];Heunggongvirae[2];Uroviricota[2];Caudoviricetes[2];Caudovirales[2];Podoviridae[1];unclassified Myoviridae[1];Parlovirus parlo[1];Serratia phage Parlo[1]</t>
  </si>
  <si>
    <t>Mai.NODE_700_length_3015_cov_6.716554</t>
  </si>
  <si>
    <t>Viruses[1];Duplodnaviria[1];Heunggongvirae[1];Uroviricota[1];Caudoviricetes[1];Caudovirales[1];Myoviridae[1];Phabquatrovirus[1];Phabquatrovirus PHB04[1];Bordetella phage vB_BbrM_PHB04[1]</t>
  </si>
  <si>
    <t>Viruses;Duplodnaviria;Heunggongvirae;Uroviricota;Caudoviricetes;Caudovirales;Myoviridae;Phabquatrovirus;Phabquatrovirus PHB04;Bordetella phage vB_BbrM_PHB04</t>
  </si>
  <si>
    <t>Avril.NODE_502_length_4728_cov_211.053927</t>
  </si>
  <si>
    <t>Viruses[1];Duplodnaviria[1];Heunggongvirae[1];Uroviricota[1];Caudoviricetes[1];Caudovirales[1];Myoviridae[1];Plaisancevirus[1];Plaisancevirus PMW[1];Pseudomonas phage phiPMW[1]</t>
  </si>
  <si>
    <t>Viruses;Duplodnaviria;Heunggongvirae;Uroviricota;Caudoviricetes;Caudovirales;Myoviridae;Plaisancevirus;Plaisancevirus PMW;Pseudomonas phage phiPMW</t>
  </si>
  <si>
    <t>Oct.NODE_1917_length_2036_cov_7.036850</t>
  </si>
  <si>
    <t>Viruses[1];Duplodnaviria[1];Heunggongvirae[1];Uroviricota[1];Caudoviricetes[1];Caudovirales[1];Myoviridae[1];Rosemountvirus[1];unclassified Rosemountvirus[1];Escherichia phage vB_EcoM_fHy-Eco03[1]</t>
  </si>
  <si>
    <t>Viruses;Duplodnaviria;Heunggongvirae;Uroviricota;Caudoviricetes;Caudovirales;Myoviridae;Rosemountvirus;unclassified Rosemountvirus;Escherichia phage vB_EcoM_fHy-Eco03</t>
  </si>
  <si>
    <t>Oct.NODE_1687_length_2224_cov_4.286768</t>
  </si>
  <si>
    <t>Viruses[1];Duplodnaviria[1];Heunggongvirae[1];Uroviricota[1];Caudoviricetes[1];Caudovirales[1];Myoviridae[1];Rosemountvirus[1];unclassified Rosemountvirus[1];Salmonella phage LSE7621[1]</t>
  </si>
  <si>
    <t>Viruses;Duplodnaviria;Heunggongvirae;Uroviricota;Caudoviricetes;Caudovirales;Myoviridae;Rosemountvirus;unclassified Rosemountvirus;Salmonella phage LSE7621</t>
  </si>
  <si>
    <t>Avril.NODE_1317_length_2274_cov_5.747634</t>
  </si>
  <si>
    <t>Viruses[2];Duplodnaviria[2];Heunggongvirae[2];Uroviricota[2];Caudoviricetes[2];Caudovirales[2];Myoviridae[1];Sarumanvirus[1];Sarumanvirus bcepsauron[1];Burkholderia phage BcepSauron[1]</t>
  </si>
  <si>
    <t>Viruses;Duplodnaviria;Heunggongvirae;Uroviricota;Caudoviricetes;Caudovirales;Myoviridae;Sarumanvirus;Sarumanvirus bcepsauron;Burkholderia phage BcepSauron</t>
  </si>
  <si>
    <t>Viruses[2];Duplodnaviria[2];Heunggongvirae[2];Uroviricota[2];Caudoviricetes[2];Caudovirales[2];Myoviridae[1];Sarumanvirus[1];Mesorhizobium phage Cp1R7A-A1[1];Burkholderia phage BcepSauron[1]</t>
  </si>
  <si>
    <t>Sept.NODE_545_length_3509_cov_121.958020</t>
  </si>
  <si>
    <t>Viruses[2];Duplodnaviria[2];Heunggongvirae[2];Uroviricota[2];Caudoviricetes[2];Caudovirales[2];Myoviridae[1];Shenzhenvirus[1];Shenzhenvirus AhSzw1[1];Aeromonas phage AhSzw-1[1]</t>
  </si>
  <si>
    <t>Viruses;Duplodnaviria;Heunggongvirae;Uroviricota;Caudoviricetes;Caudovirales;Myoviridae;Shenzhenvirus;Shenzhenvirus AhSzw1;Aeromonas phage AhSzw-1</t>
  </si>
  <si>
    <t>Viruses[2];Duplodnaviria[2];Heunggongvirae[2];Uroviricota[2];Caudoviricetes[2];Caudovirales[2];Myoviridae[1];unclassified Myoviridae[1];Bacillus phage vB_BceM_WH1[1];Aeromonas phage AhSzw-1[1]</t>
  </si>
  <si>
    <t>Avril.NODE_1310_length_2280_cov_4.403146</t>
  </si>
  <si>
    <t>Viruses[1];Duplodnaviria[1];Heunggongvirae[1];Uroviricota[1];Caudoviricetes[1];Caudovirales[1];Myoviridae[1];Shirahamavirus[1];Shirahamavirus PTm1[1];Tenacibaculum phage PTm5[1]</t>
  </si>
  <si>
    <t>Viruses;Duplodnaviria;Heunggongvirae;Uroviricota;Caudoviricetes;Caudovirales;Myoviridae;Shirahamavirus;Shirahamavirus PTm1;Tenacibaculum phage PTm5</t>
  </si>
  <si>
    <t>Avril.NODE_1445_length_2136_cov_5.841903</t>
  </si>
  <si>
    <t>Viruses[1];Duplodnaviria[1];Heunggongvirae[1];Uroviricota[1];Caudoviricetes[1];Caudovirales[1];Myoviridae[1];Takahashivirus[1];unclassified Takahashivirus[1];Bacillus phage vB_BspM_Internexus[1]</t>
  </si>
  <si>
    <t>Viruses;Duplodnaviria;Heunggongvirae;Uroviricota;Caudoviricetes;Caudovirales;Myoviridae;Takahashivirus;unclassified Takahashivirus;Bacillus phage vB_BspM_Internexus</t>
  </si>
  <si>
    <t>Oct.NODE_1920_length_2032_cov_7.313101</t>
  </si>
  <si>
    <t>Viruses[1];Duplodnaviria[1];Heunggongvirae[1];Uroviricota[1];Caudoviricetes[1];Caudovirales[1];Myoviridae[1];Tamkungvirus[1];Tamkungvirus ST4[1];Synechococcus phage S-T4[1]</t>
  </si>
  <si>
    <t>Viruses;Duplodnaviria;Heunggongvirae;Uroviricota;Caudoviricetes;Caudovirales;Myoviridae;Tamkungvirus;Tamkungvirus ST4;Synechococcus phage S-T4</t>
  </si>
  <si>
    <t>Avril.NODE_208_length_8822_cov_7.156838</t>
  </si>
  <si>
    <t>Viruses[2];Duplodnaviria[2];Heunggongvirae[2];Uroviricota[2];Caudoviricetes[2];Caudovirales[2];Myoviridae[2];Tamkungvirus[2];Tamkungvirus ST4[2];Synechococcus phage S-T4[2];Ditylum brightwellii[1]</t>
  </si>
  <si>
    <t>Viruses;Duplodnaviria;Heunggongvirae;Uroviricota;Caudoviricetes;Caudovirales;Myoviridae;Tamkungvirus;Tamkungvirus ST4;Synechococcus phage S-T4;Ditylum brightwellii</t>
  </si>
  <si>
    <t>Viruses[2];Duplodnaviria[2];Heunggongvirae[2];Uroviricota[2];Caudoviricetes[2];Caudovirales[2];Myoviridae[2];Tamkungvirus[2];Tamkungvirus ST4[2];Synechococcus phage S-T4[2]</t>
  </si>
  <si>
    <t>Oct.NODE_1262_length_2714_cov_6.625047</t>
  </si>
  <si>
    <t>Viruses[1];Duplodnaviria[1];Heunggongvirae[1];Uroviricota[1];Caudoviricetes[1];Caudovirales[1];Myoviridae[1];Tevenvirinae[1];Aeromonas virus Aeh1[1]</t>
  </si>
  <si>
    <t>Viruses;Duplodnaviria;Heunggongvirae;Uroviricota;Caudoviricetes;Caudovirales;Myoviridae;Tevenvirinae;Aeromonas virus Aeh1</t>
  </si>
  <si>
    <t>Oct.NODE_1841_length_2101_cov_7.213099</t>
  </si>
  <si>
    <t>Viruses[1];Duplodnaviria[1];Heunggongvirae[1];Uroviricota[1];Caudoviricetes[1];Caudovirales[1];Myoviridae[1];Tevenvirinae[1];Gelderlandvirus[1];Salmonella virus S16[1];Salmonella phage vB_SenM-S16[1]</t>
  </si>
  <si>
    <t>Viruses;Duplodnaviria;Heunggongvirae;Uroviricota;Caudoviricetes;Caudovirales;Myoviridae;Tevenvirinae;Gelderlandvirus;Salmonella virus S16;Salmonella phage vB_SenM-S16</t>
  </si>
  <si>
    <t>Oct.NODE_1728_length_2188_cov_5.757150</t>
  </si>
  <si>
    <t>Viruses[1];Duplodnaviria[1];Heunggongvirae[1];Uroviricota[1];Caudoviricetes[1];Caudovirales[1];Myoviridae[1];Tevenvirinae[1];Schizotequatrovirus[1];unclassified Schizotequatrovirus[1];Vibrio phage V07[1]</t>
  </si>
  <si>
    <t>Viruses;Duplodnaviria;Heunggongvirae;Uroviricota;Caudoviricetes;Caudovirales;Myoviridae;Tevenvirinae;Schizotequatrovirus;unclassified Schizotequatrovirus;Vibrio phage V07</t>
  </si>
  <si>
    <t>Sept.NODE_611_length_3206_cov_5.492859</t>
  </si>
  <si>
    <t>Viruses[3];Duplodnaviria[3];Heunggongvirae[3];Uroviricota[3];Caudoviricetes[3];Caudovirales[3];Myoviridae[2];Tevenvirinae[1];Synechococcus virus SCAM9[1];Aeromonas phage Ah1[1]</t>
  </si>
  <si>
    <t>Viruses;Duplodnaviria;Heunggongvirae;Uroviricota;Caudoviricetes;Caudovirales;Myoviridae;Tevenvirinae;Synechococcus virus SCAM9;Aeromonas phage Ah1</t>
  </si>
  <si>
    <t>Viruses[3];Duplodnaviria[3];Heunggongvirae[3];Uroviricota[3];Caudoviricetes[3];Caudovirales[3];Myoviridae[2];Tevenvirinae[1];Stenotrophomonas phage vB_SmaS-DLP_6[1];Synechococcus phage S-CAM9[1]</t>
  </si>
  <si>
    <t>Mai.NODE_837_length_2643_cov_6.101623</t>
  </si>
  <si>
    <t>Viruses[2];Duplodnaviria[2];Heunggongvirae[2];Uroviricota[2];Caudoviricetes[2];Caudovirales[2];Myoviridae[2];Twarogvirinae[1];Hadassahvirus[1];Acinetobacter virus PhT2[1];Acinetobacter phage vB_AbaM_PhT2[1]</t>
  </si>
  <si>
    <t>Viruses;Duplodnaviria;Heunggongvirae;Uroviricota;Caudoviricetes;Caudovirales;Myoviridae;Twarogvirinae;Hadassahvirus;Acinetobacter virus PhT2;Acinetobacter phage vB_AbaM_PhT2</t>
  </si>
  <si>
    <t>Viruses[2];Duplodnaviria[2];Heunggongvirae[2];Uroviricota[2];Caudoviricetes[2];Caudovirales[2];Myoviridae[2];Twarogvirinae[1];Caulobacter phage Cr30[1];Acinetobacter virus PhT2[1];Acinetobacter phage vB_AbaM_PhT2[1]</t>
  </si>
  <si>
    <t>Oct.NODE_582_length_4492_cov_3.960108</t>
  </si>
  <si>
    <t>Viruses[2];Duplodnaviria[2];Heunggongvirae[2];Uroviricota[2];Caudoviricetes[2];Caudovirales[2];Myoviridae[1];unclassified Autographiviridae[1];Teseptimavirus S2B[1]</t>
  </si>
  <si>
    <t>Viruses;Duplodnaviria;Heunggongvirae;Uroviricota;Caudoviricetes;Caudovirales;Myoviridae;unclassified Autographiviridae;Teseptimavirus S2B</t>
  </si>
  <si>
    <t>Viruses[2];Duplodnaviria[2];Heunggongvirae[2];Uroviricota[2];Caudoviricetes[2];Caudovirales[2];Autographiviridae[1];unclassified Autographiviridae[1];Bradyrhizobium phage BDU-MI-1[1]</t>
  </si>
  <si>
    <t>Oct.NODE_1752_length_2168_cov_4.424988</t>
  </si>
  <si>
    <t>Viruses[1];Duplodnaviria[1];Heunggongvirae[1];Uroviricota[1];Caudoviricetes[1];Caudovirales[1];Myoviridae[1];unclassified Myoviridae[1];Aminobacter phage Erebus[1]</t>
  </si>
  <si>
    <t>Viruses;Duplodnaviria;Heunggongvirae;Uroviricota;Caudoviricetes;Caudovirales;Myoviridae;unclassified Myoviridae;Aminobacter phage Erebus</t>
  </si>
  <si>
    <t>Oct.NODE_96_length_19348_cov_9.347069</t>
  </si>
  <si>
    <t>Viruses[4];Duplodnaviria[4];Heunggongvirae[4];Uroviricota[4];Caudoviricetes[4];Caudovirales[4];Myoviridae[3];unclassified Myoviridae[3];Anchaingvirus anchaing[1];Ralstonia phage Anchaing[1]</t>
  </si>
  <si>
    <t>Viruses;Duplodnaviria;Heunggongvirae;Uroviricota;Caudoviricetes;Caudovirales;Myoviridae;unclassified Myoviridae;Anchaingvirus anchaing;Ralstonia phage Anchaing</t>
  </si>
  <si>
    <t>Viruses[4];Duplodnaviria[4];Heunggongvirae[4];Uroviricota[4];Caudoviricetes[4];Caudovirales[4];Myoviridae[3];unclassified Myoviridae[3];Synechococcus phage S-B05[1];Ralstonia phage Anchaing[1]</t>
  </si>
  <si>
    <t>Sept.NODE_842_length_2605_cov_5.732941</t>
  </si>
  <si>
    <t>Viruses[1];Duplodnaviria[1];Heunggongvirae[1];Uroviricota[1];Caudoviricetes[1];Caudovirales[1];Myoviridae[1];unclassified Myoviridae[1];Arthropoda[1];Mandibulata[1];Pancrustacea[1];Hexapoda[1];Insecta[1];Dicondylia[1];Pterygota[1];Palaeoptera[1];Ephemeroptera[1];Furcatergalia[1];Scapphodonta[1];Ephemeridae[1];Ephemera[1];Ephemera danica[1]</t>
  </si>
  <si>
    <t>Viruses;Duplodnaviria;Heunggongvirae;Uroviricota;Caudoviricetes;Caudovirales;Myoviridae;unclassified Myoviridae;Arthropoda;Mandibulata;Pancrustacea;Hexapoda;Insecta;Dicondylia;Pterygota;Palaeoptera;Ephemeroptera;Furcatergalia;Scapphodonta;Ephemeridae;Ephemera;Ephemera danica</t>
  </si>
  <si>
    <t>Viruses[1];Duplodnaviria[1];Heunggongvirae[1];Uroviricota[1];Caudoviricetes[1];Caudovirales[1];Myoviridae[1];unclassified Myoviridae[1];Cyanophage S-BnM1[1]</t>
  </si>
  <si>
    <t>Oct.NODE_1193_length_2810_cov_29.516515</t>
  </si>
  <si>
    <t>Viruses[1];Duplodnaviria[1];Heunggongvirae[1];Uroviricota[1];Caudoviricetes[1];Caudovirales[1];Myoviridae[1];unclassified Myoviridae[1];Bacillus phage vB_BceM_WH1[1]</t>
  </si>
  <si>
    <t>Viruses;Duplodnaviria;Heunggongvirae;Uroviricota;Caudoviricetes;Caudovirales;Myoviridae;unclassified Myoviridae;Bacillus phage vB_BceM_WH1</t>
  </si>
  <si>
    <t>Oct.NODE_904_length_3338_cov_18.826683</t>
  </si>
  <si>
    <t>Viruses[1];Duplodnaviria[1];Heunggongvirae[1];Uroviricota[1];Caudoviricetes[1];Caudovirales[1];Myoviridae[1];unclassified Myoviridae[1];Bdellovibrio phage phi1422[1]</t>
  </si>
  <si>
    <t>Viruses;Duplodnaviria;Heunggongvirae;Uroviricota;Caudoviricetes;Caudovirales;Myoviridae;unclassified Myoviridae;Bdellovibrio phage phi1422</t>
  </si>
  <si>
    <t>Oct.NODE_1948_length_2010_cov_37.236317</t>
  </si>
  <si>
    <t>Viruses[1];Duplodnaviria[1];Heunggongvirae[1];Uroviricota[1];Caudoviricetes[1];Caudovirales[1];Myoviridae[1];unclassified Myoviridae[1];Burkholderia phage BcepB1A[1]</t>
  </si>
  <si>
    <t>Viruses;Duplodnaviria;Heunggongvirae;Uroviricota;Caudoviricetes;Caudovirales;Myoviridae;unclassified Myoviridae;Burkholderia phage BcepB1A</t>
  </si>
  <si>
    <t>Sept.NODE_977_length_2357_cov_3.824935</t>
  </si>
  <si>
    <t>Viruses[1];Duplodnaviria[1];Heunggongvirae[1];Uroviricota[1];Caudoviricetes[1];Caudovirales[1];Myoviridae[1];unclassified Myoviridae[1];Calothrix sp. NIES-4101[1]</t>
  </si>
  <si>
    <t>Viruses;Duplodnaviria;Heunggongvirae;Uroviricota;Caudoviricetes;Caudovirales;Myoviridae;unclassified Myoviridae;Calothrix sp. NIES-4101</t>
  </si>
  <si>
    <t>Viruses[1];Duplodnaviria[1];Heunggongvirae[1];Uroviricota[1];Caudoviricetes[1];Caudovirales[1];Myoviridae[1];unclassified Myoviridae[1];Shewanella sp. phage 1/41[1]</t>
  </si>
  <si>
    <t>Sept.NODE_779_length_2736_cov_11.111526</t>
  </si>
  <si>
    <t>Viruses[1];Duplodnaviria[1];Heunggongvirae[1];Uroviricota[1];Caudoviricetes[1];Caudovirales[1];Myoviridae[1];unclassified Myoviridae[1];Caulobacter phage Cr30[1]</t>
  </si>
  <si>
    <t>Viruses;Duplodnaviria;Heunggongvirae;Uroviricota;Caudoviricetes;Caudovirales;Myoviridae;unclassified Myoviridae;Caulobacter phage Cr30</t>
  </si>
  <si>
    <t>Mai.NODE_998_length_2317_cov_12.183024</t>
  </si>
  <si>
    <t>Mai.NODE_285_length_6110_cov_6.752106</t>
  </si>
  <si>
    <t>Viruses[2];Duplodnaviria[2];Heunggongvirae[2];Uroviricota[2];Caudoviricetes[2];Caudovirales[2];Myoviridae[2];unclassified Myoviridae[2];Cellulophaga phage phi3:1[2]</t>
  </si>
  <si>
    <t>Viruses;Duplodnaviria;Heunggongvirae;Uroviricota;Caudoviricetes;Caudovirales;Myoviridae;unclassified Myoviridae;Cellulophaga phage phi3:1</t>
  </si>
  <si>
    <t>Oct.NODE_1722_length_2198_cov_4.147923</t>
  </si>
  <si>
    <t>Viruses[1];Duplodnaviria[1];Heunggongvirae[1];Uroviricota[1];Caudoviricetes[1];Caudovirales[1];Myoviridae[1];unclassified Myoviridae[1];Desulfofustis sp. PB-SRB1[1]</t>
  </si>
  <si>
    <t>Viruses;Duplodnaviria;Heunggongvirae;Uroviricota;Caudoviricetes;Caudovirales;Myoviridae;unclassified Myoviridae;Desulfofustis sp. PB-SRB1</t>
  </si>
  <si>
    <t>Viruses[1];Duplodnaviria[1];Heunggongvirae[1];Uroviricota[1];Caudoviricetes[1];Caudovirales[1];Myoviridae[1];unclassified Myoviridae[1];Pseudomonas phage ventosus[1]</t>
  </si>
  <si>
    <t>Juil.NODE_72_length_2134_cov_4.537759</t>
  </si>
  <si>
    <t>Viruses[2];Duplodnaviria[2];Heunggongvirae[2];Uroviricota[2];Caudoviricetes[2];Caudovirales[2];Myoviridae[2];unclassified Myoviridae[1];Eneladusvirus Yen904[1];Yersinia phage fHe-Yen9-04[1]</t>
  </si>
  <si>
    <t>Viruses;Duplodnaviria;Heunggongvirae;Uroviricota;Caudoviricetes;Caudovirales;Myoviridae;unclassified Myoviridae;Eneladusvirus Yen904;Yersinia phage fHe-Yen9-04</t>
  </si>
  <si>
    <t>Mai.NODE_62_length_23274_cov_154.731599</t>
  </si>
  <si>
    <t>Viruses[4];Duplodnaviria[4];Heunggongvirae[4];Uroviricota[4];Caudoviricetes[4];Caudovirales[4];Myoviridae[2];unclassified Myoviridae[1];Fukuivirus MVDC[1];Microcystis phage MaMV-DC[1]</t>
  </si>
  <si>
    <t>Viruses;Duplodnaviria;Heunggongvirae;Uroviricota;Caudoviricetes;Caudovirales;Myoviridae;unclassified Myoviridae;Fukuivirus MVDC;Microcystis phage MaMV-DC</t>
  </si>
  <si>
    <t>Viruses[4];Duplodnaviria[4];Heunggongvirae[4];Uroviricota[4];Caudoviricetes[4];Caudovirales[4];Myoviridae[2];unclassified Podoviridae[1];Fukuivirus MVDC[1];Microcystis phage MaMV-DC[1]</t>
  </si>
  <si>
    <t>Sept.NODE_383_length_4387_cov_4.317175</t>
  </si>
  <si>
    <t>Viruses[4];Duplodnaviria[4];Heunggongvirae[4];Uroviricota[4];Caudoviricetes[4];Caudovirales[4];Myoviridae[4];unclassified Myoviridae[2];Hadassahvirus[1];unclassified Hadassahvirus[1];Acinetobacter phage Mokit[1]</t>
  </si>
  <si>
    <t>Viruses;Duplodnaviria;Heunggongvirae;Uroviricota;Caudoviricetes;Caudovirales;Myoviridae;unclassified Myoviridae;Hadassahvirus;unclassified Hadassahvirus;Acinetobacter phage Mokit</t>
  </si>
  <si>
    <t>Viruses[4];Duplodnaviria[4];Heunggongvirae[4];Uroviricota[4];Caudoviricetes[4];Caudovirales[4];Myoviridae[4];unclassified Myoviridae[2];Ralstonia phage RsoM2USA[1];Pseudomonas phage phiPsa397[1];Acinetobacter phage Mokit[1]</t>
  </si>
  <si>
    <t>Sept.NODE_328_length_5063_cov_5.397764</t>
  </si>
  <si>
    <t>Viruses[4];Duplodnaviria[4];Heunggongvirae[4];Uroviricota[4];Caudoviricetes[4];Caudovirales[4];Myoviridae[4];unclassified Myoviridae[3];Lake Baikal phage Baikal-20-5m-C28[3];Muricauda sp. TMED12[2]</t>
  </si>
  <si>
    <t>Viruses;Duplodnaviria;Heunggongvirae;Uroviricota;Caudoviricetes;Caudovirales;Myoviridae;unclassified Myoviridae;Lake Baikal phage Baikal-20-5m-C28;Muricauda sp. TMED12</t>
  </si>
  <si>
    <t>Viruses[4];Duplodnaviria[4];Heunggongvirae[4];Uroviricota[4];Caudoviricetes[4];Caudovirales[4];Myoviridae[4];unclassified Myoviridae[3];Lake Baikal phage Baikal-20-5m-C28[3];Acidovorax phage ACP17[1]</t>
  </si>
  <si>
    <t>Sept.NODE_431_length_4101_cov_4.268413</t>
  </si>
  <si>
    <t>Viruses[2];Duplodnaviria[2];Heunggongvirae[2];Uroviricota[2];Caudoviricetes[2];Caudovirales[2];Myoviridae[2];unclassified Myoviridae[2];Lake Baikal phage Baikal-20-5m-C28[2];Muricauda sp. TMED12[2]</t>
  </si>
  <si>
    <t>Viruses[2];Duplodnaviria[2];Heunggongvirae[2];Uroviricota[2];Caudoviricetes[2];Caudovirales[2];Myoviridae[2];unclassified Myoviridae[2];Lake Baikal phage Baikal-20-5m-C28[2]</t>
  </si>
  <si>
    <t>Sept.NODE_184_length_7841_cov_4.225148</t>
  </si>
  <si>
    <t>Viruses[4];Duplodnaviria[4];Heunggongvirae[4];Uroviricota[4];Caudoviricetes[4];Caudovirales[4];Myoviridae[4];unclassified Myoviridae[2];Lake Baikal phage Baikal-20-5m-C28[2];unclassified Jiaodavirus[1];Klebsiella phage vB_KpnM_17-11[1]</t>
  </si>
  <si>
    <t>Viruses;Duplodnaviria;Heunggongvirae;Uroviricota;Caudoviricetes;Caudovirales;Myoviridae;unclassified Myoviridae;Lake Baikal phage Baikal-20-5m-C28;unclassified Jiaodavirus;Klebsiella phage vB_KpnM_17-11</t>
  </si>
  <si>
    <t>Viruses[4];Duplodnaviria[4];Heunggongvirae[4];Uroviricota[4];Caudoviricetes[4];Caudovirales[4];Myoviridae[4];Tevenvirinae[2];Lake Baikal phage Baikal-20-5m-C28[2];Erwinia phage Cronus[1];Klebsiella phage vB_KpnM_17-11[1]</t>
  </si>
  <si>
    <t>Oct.NODE_1449_length_2481_cov_4.838005</t>
  </si>
  <si>
    <t>Viruses[1];Duplodnaviria[1];Heunggongvirae[1];Uroviricota[1];Caudoviricetes[1];Caudovirales[1];Myoviridae[1];unclassified Myoviridae[1];Maribacter phage Molly_2[1]</t>
  </si>
  <si>
    <t>Viruses;Duplodnaviria;Heunggongvirae;Uroviricota;Caudoviricetes;Caudovirales;Myoviridae;unclassified Myoviridae;Maribacter phage Molly_2</t>
  </si>
  <si>
    <t>Avril.NODE_1092_length_2580_cov_6.548119</t>
  </si>
  <si>
    <t>Viruses[1];Duplodnaviria[1];Heunggongvirae[1];Uroviricota[1];Caudoviricetes[1];Caudovirales[1];Myoviridae[1];unclassified Myoviridae[1];Meiothermus phage MMP17[1]</t>
  </si>
  <si>
    <t>Viruses;Duplodnaviria;Heunggongvirae;Uroviricota;Caudoviricetes;Caudovirales;Myoviridae;unclassified Myoviridae;Meiothermus phage MMP17</t>
  </si>
  <si>
    <t>Avril.NODE_543_length_4416_cov_8.206833</t>
  </si>
  <si>
    <t>Oct.NODE_1042_length_3017_cov_5.475692</t>
  </si>
  <si>
    <t>Viruses[2];Duplodnaviria[2];Heunggongvirae[2];Uroviricota[2];Caudoviricetes[2];Caudovirales[2];Myoviridae[2];unclassified Myoviridae[1];Mieseafarmvirus RSL1[1];Ralstonia phage phiRSL1[1]</t>
  </si>
  <si>
    <t>Viruses;Duplodnaviria;Heunggongvirae;Uroviricota;Caudoviricetes;Caudovirales;Myoviridae;unclassified Myoviridae;Mieseafarmvirus RSL1;Ralstonia phage phiRSL1</t>
  </si>
  <si>
    <t>Viruses[2];Duplodnaviria[2];Heunggongvirae[2];Uroviricota[2];Caudoviricetes[2];Caudovirales[2];Myoviridae[2];Mieseafarmvirus[1];Mieseafarmvirus RSL1[1];Ralstonia phage phiRSL1[1]</t>
  </si>
  <si>
    <t>Oct.NODE_1132_length_2895_cov_5.114085</t>
  </si>
  <si>
    <t>Viruses[1];Duplodnaviria[1];Heunggongvirae[1];Uroviricota[1];Caudoviricetes[1];Caudovirales[1];Myoviridae[1];unclassified Myoviridae[1];Mu-like cryoconite phage AB09[1]</t>
  </si>
  <si>
    <t>Viruses;Duplodnaviria;Heunggongvirae;Uroviricota;Caudoviricetes;Caudovirales;Myoviridae;unclassified Myoviridae;Mu-like cryoconite phage AB09</t>
  </si>
  <si>
    <t>Oct.NODE_1207_length_2794_cov_2.780942</t>
  </si>
  <si>
    <t>Viruses[2];Duplodnaviria[2];Heunggongvirae[2];Uroviricota[2];Caudoviricetes[2];Caudovirales[2];Myoviridae[2];unclassified Myoviridae[2];Mu-like cryoconite phage AB09[2]</t>
  </si>
  <si>
    <t>Avril.NODE_566_length_4224_cov_4.190213</t>
  </si>
  <si>
    <t>Oct.NODE_697_length_4009_cov_3.022762</t>
  </si>
  <si>
    <t>Viruses[3];Duplodnaviria[3];Heunggongvirae[3];Uroviricota[3];Caudoviricetes[3];Caudovirales[3];Myoviridae[3];unclassified Myoviridae[2];Mu-like cryoconite phage AB09[2];Pantoea phage vB_PagM_AAM37[1]</t>
  </si>
  <si>
    <t>Viruses;Duplodnaviria;Heunggongvirae;Uroviricota;Caudoviricetes;Caudovirales;Myoviridae;unclassified Myoviridae;Mu-like cryoconite phage AB09;Pantoea phage vB_PagM_AAM37</t>
  </si>
  <si>
    <t>Oct.NODE_1778_length_2149_cov_3.065903</t>
  </si>
  <si>
    <t>Viruses[1];Duplodnaviria[1];Heunggongvirae[1];Uroviricota[1];Caudoviricetes[1];Caudovirales[1];Myoviridae[1];unclassified Myoviridae[1];Muricauda nanhaiensis[1]</t>
  </si>
  <si>
    <t>Viruses;Duplodnaviria;Heunggongvirae;Uroviricota;Caudoviricetes;Caudovirales;Myoviridae;unclassified Myoviridae;Muricauda nanhaiensis</t>
  </si>
  <si>
    <t>Viruses[1];Duplodnaviria[1];Heunggongvirae[1];Uroviricota[1];Caudoviricetes[1];Caudovirales[1];Myoviridae[1];unclassified Myoviridae[1];Cellulophaga phage phi38:2[1]</t>
  </si>
  <si>
    <t>Oct.NODE_78_length_22629_cov_4.860991</t>
  </si>
  <si>
    <t>Viruses[8];Duplodnaviria[8];Heunggongvirae[8];Uroviricota[8];Caudoviricetes[8];Caudovirales[8];Myoviridae[8];unclassified Myoviridae[3];Myoalterovirus PT11V22[2];Pseudoalteromonas phage H101[2];Salmonella phage ST-3[1]</t>
  </si>
  <si>
    <t>Viruses;Duplodnaviria;Heunggongvirae;Uroviricota;Caudoviricetes;Caudovirales;Myoviridae;unclassified Myoviridae;Myoalterovirus PT11V22;Pseudoalteromonas phage H101;Salmonella phage ST-3</t>
  </si>
  <si>
    <t>Viruses[8];Duplodnaviria[8];Heunggongvirae[8];Uroviricota[8];Caudoviricetes[8];Caudovirales[8];Myoviridae[8];unclassified Myoviridae[3];Myoalterovirus PT11V22[2];Alteromonas phage vB_AmeM_PT11-V22[2];Salmonella phage ST-3[1]</t>
  </si>
  <si>
    <t>Oct.NODE_853_length_3497_cov_5.258280</t>
  </si>
  <si>
    <t>Viruses[2];Duplodnaviria[2];Heunggongvirae[2];Uroviricota[2];Caudoviricetes[2];Caudovirales[2];Myoviridae[2];unclassified Myoviridae[1];Myoviridae sp. ctThM1[1];Pseudoalteromonas phage H101[1]</t>
  </si>
  <si>
    <t>Viruses;Duplodnaviria;Heunggongvirae;Uroviricota;Caudoviricetes;Caudovirales;Myoviridae;unclassified Myoviridae;Myoviridae sp. ctThM1;Pseudoalteromonas phage H101</t>
  </si>
  <si>
    <t>Viruses[2];Duplodnaviria[2];Heunggongvirae[2];Uroviricota[2];Caudoviricetes[2];Caudovirales[2];Myoviridae[2];unclassified Myoviridae[1];Shandongvirus H101[1];Pseudoalteromonas phage H101[1]</t>
  </si>
  <si>
    <t>Sept.NODE_674_length_3024_cov_5.701583</t>
  </si>
  <si>
    <t>Viruses[1];Duplodnaviria[1];Heunggongvirae[1];Uroviricota[1];Caudoviricetes[1];Caudovirales[1];Myoviridae[1];unclassified Myoviridae[1];Ochrobactrum phage vB_OspM_OC[1]</t>
  </si>
  <si>
    <t>Viruses;Duplodnaviria;Heunggongvirae;Uroviricota;Caudoviricetes;Caudovirales;Myoviridae;unclassified Myoviridae;Ochrobactrum phage vB_OspM_OC</t>
  </si>
  <si>
    <t>Sept.NODE_785_length_2726_cov_4.862224</t>
  </si>
  <si>
    <t>Viruses[2];Duplodnaviria[2];Heunggongvirae[2];Uroviricota[2];Caudoviricetes[2];Caudovirales[2];Myoviridae[2];unclassified Myoviridae[2];Ochrobactrum phage vB_OspM_OC[1]</t>
  </si>
  <si>
    <t>Viruses[2];Duplodnaviria[2];Heunggongvirae[2];Uroviricota[2];Caudoviricetes[2];Caudovirales[2];Myoviridae[2];unclassified Myoviridae[2];Caulobacter phage Cr30[1]</t>
  </si>
  <si>
    <t>Oct.NODE_1937_length_2015_cov_3.795918</t>
  </si>
  <si>
    <t>Oct.NODE_1965_length_2000_cov_4.510026</t>
  </si>
  <si>
    <t>Viruses[1];Duplodnaviria[1];Heunggongvirae[1];Uroviricota[1];Caudoviricetes[1];Caudovirales[1];Myoviridae[1];unclassified Myoviridae[1];Pelagibacter phage Mosig EXVC030M[1]</t>
  </si>
  <si>
    <t>Viruses;Duplodnaviria;Heunggongvirae;Uroviricota;Caudoviricetes;Caudovirales;Myoviridae;unclassified Myoviridae;Pelagibacter phage Mosig EXVC030M</t>
  </si>
  <si>
    <t>Oct.NODE_192_length_10175_cov_9.236265</t>
  </si>
  <si>
    <t>Oct.NODE_822_length_3580_cov_3.799433</t>
  </si>
  <si>
    <t>Viruses[4];Duplodnaviria[4];Heunggongvirae[4];Uroviricota[4];Caudoviricetes[4];Caudovirales[4];Myoviridae[3];unclassified Myoviridae[3];Phage 65_10[1]</t>
  </si>
  <si>
    <t>Viruses;Duplodnaviria;Heunggongvirae;Uroviricota;Caudoviricetes;Caudovirales;Myoviridae;unclassified Myoviridae;Phage 65_10</t>
  </si>
  <si>
    <t>Viruses[4];Duplodnaviria[4];Heunggongvirae[4];Uroviricota[4];Caudoviricetes[4];Caudovirales[4];Myoviridae[3];unclassified Myoviridae[3];Vibrio phage vB_VchM-138[1]</t>
  </si>
  <si>
    <t>Oct.NODE_1342_length_2616_cov_13.973448</t>
  </si>
  <si>
    <t>Viruses[1];Duplodnaviria[1];Heunggongvirae[1];Uroviricota[1];Caudoviricetes[1];Caudovirales[1];Myoviridae[1];unclassified Myoviridae[1];Proteus phage vB_PmiM_ZX7[1]</t>
  </si>
  <si>
    <t>Viruses;Duplodnaviria;Heunggongvirae;Uroviricota;Caudoviricetes;Caudovirales;Myoviridae;unclassified Myoviridae;Proteus phage vB_PmiM_ZX7</t>
  </si>
  <si>
    <t>Oct.NODE_802_length_3637_cov_4.261865</t>
  </si>
  <si>
    <t>Viruses[2];Duplodnaviria[2];Heunggongvirae[2];Uroviricota[2];Caudoviricetes[2];Caudovirales[2];Myoviridae[2];unclassified Myoviridae[2];Pseudomonas phage Persinger[1]</t>
  </si>
  <si>
    <t>Viruses;Duplodnaviria;Heunggongvirae;Uroviricota;Caudoviricetes;Caudovirales;Myoviridae;unclassified Myoviridae;Pseudomonas phage Persinger</t>
  </si>
  <si>
    <t>Viruses[2];Duplodnaviria[2];Heunggongvirae[2];Uroviricota[2];Caudoviricetes[2];Caudovirales[2];Myoviridae[2];unclassified Myoviridae[2];Yersinia phage fEV-1[1]</t>
  </si>
  <si>
    <t>Oct.NODE_1467_length_2453_cov_3.972477</t>
  </si>
  <si>
    <t>Viruses[1];Duplodnaviria[1];Heunggongvirae[1];Uroviricota[1];Caudoviricetes[1];Caudovirales[1];Myoviridae[1];unclassified Myoviridae[1];Pseudomonas phage phiK7A1[1]</t>
  </si>
  <si>
    <t>Viruses;Duplodnaviria;Heunggongvirae;Uroviricota;Caudoviricetes;Caudovirales;Myoviridae;unclassified Myoviridae;Pseudomonas phage phiK7A1</t>
  </si>
  <si>
    <t>Sept.NODE_903_length_2479_cov_24.719059</t>
  </si>
  <si>
    <t>Viruses[2];Duplodnaviria[2];Heunggongvirae[2];Uroviricota[2];Caudoviricetes[2];Caudovirales[2];Myoviridae[2];unclassified Myoviridae[2];Psychrobacter phage pOW20-A[2]</t>
  </si>
  <si>
    <t>Viruses;Duplodnaviria;Heunggongvirae;Uroviricota;Caudoviricetes;Caudovirales;Myoviridae;unclassified Myoviridae;Psychrobacter phage pOW20-A</t>
  </si>
  <si>
    <t>Avril.NODE_526_length_4502_cov_8.365865</t>
  </si>
  <si>
    <t>Viruses[2];Duplodnaviria[2];Heunggongvirae[2];Uroviricota[2];Caudoviricetes[2];Caudovirales[2];Myoviridae[2];unclassified Myoviridae[2];Qingdaovirus J21[1];Pseudoalteromonas phage J2-1[1]</t>
  </si>
  <si>
    <t>Viruses;Duplodnaviria;Heunggongvirae;Uroviricota;Caudoviricetes;Caudovirales;Myoviridae;unclassified Myoviridae;Qingdaovirus J21;Pseudoalteromonas phage J2-1</t>
  </si>
  <si>
    <t>Viruses[2];Duplodnaviria[2];Heunggongvirae[2];Uroviricota[2];Caudoviricetes[2];Caudovirales[2];Myoviridae[2];unclassified Myoviridae[2];Shewanella phage SppYZU01[1];Pseudoalteromonas phage J2-1[1]</t>
  </si>
  <si>
    <t>Oct.NODE_773_length_3746_cov_3.753725</t>
  </si>
  <si>
    <t>Viruses[2];Duplodnaviria[2];Heunggongvirae[2];Uroviricota[2];Caudoviricetes[2];Caudovirales[2];Myoviridae[2];unclassified Myoviridae[2];Ralstonia phage RsoM2USA[1]</t>
  </si>
  <si>
    <t>Viruses;Duplodnaviria;Heunggongvirae;Uroviricota;Caudoviricetes;Caudovirales;Myoviridae;unclassified Myoviridae;Ralstonia phage RsoM2USA</t>
  </si>
  <si>
    <t>Sept.NODE_884_length_2521_cov_4.802109</t>
  </si>
  <si>
    <t>Viruses[1];Duplodnaviria[1];Heunggongvirae[1];Uroviricota[1];Caudoviricetes[1];Caudovirales[1];Myoviridae[1];unclassified Myoviridae[1];Ralstonia phage RsoM2USA[1]</t>
  </si>
  <si>
    <t>Oct.NODE_799_length_3651_cov_3.160178</t>
  </si>
  <si>
    <t>Viruses[3];Duplodnaviria[3];Heunggongvirae[3];Uroviricota[3];Caudoviricetes[3];Caudovirales[3];Myoviridae[3];unclassified Myoviridae[3];Rhizobium phage RHph_I72[2]</t>
  </si>
  <si>
    <t>Viruses;Duplodnaviria;Heunggongvirae;Uroviricota;Caudoviricetes;Caudovirales;Myoviridae;unclassified Myoviridae;Rhizobium phage RHph_I72</t>
  </si>
  <si>
    <t>Oct.NODE_1556_length_2366_cov_4.595846</t>
  </si>
  <si>
    <t>Viruses[2];Duplodnaviria[2];Heunggongvirae[2];Uroviricota[2];Caudoviricetes[2];Caudovirales[2];Myoviridae[2];unclassified Myoviridae[2];Rhizobium phage RHph_TM26[2]</t>
  </si>
  <si>
    <t>Viruses;Duplodnaviria;Heunggongvirae;Uroviricota;Caudoviricetes;Caudovirales;Myoviridae;unclassified Myoviridae;Rhizobium phage RHph_TM26</t>
  </si>
  <si>
    <t>Oct.NODE_677_length_4076_cov_4.858244</t>
  </si>
  <si>
    <t>Viruses[3];Duplodnaviria[3];Heunggongvirae[3];Uroviricota[3];Caudoviricetes[3];Caudovirales[2];Myoviridae[2];unclassified Myoviridae[2];Roseivirga spongicola[1]</t>
  </si>
  <si>
    <t>Viruses;Duplodnaviria;Heunggongvirae;Uroviricota;Caudoviricetes;Caudovirales;Myoviridae;unclassified Myoviridae;Roseivirga spongicola</t>
  </si>
  <si>
    <t>Viruses[3];Duplodnaviria[3];Heunggongvirae[3];Uroviricota[3];Caudoviricetes[3];Caudovirales[2];Myoviridae[2];unclassified Myoviridae[2];Vibrio phage 1.031.O._10N.261.46.F8[1]</t>
  </si>
  <si>
    <t>Avril.NODE_255_length_7625_cov_10.166182</t>
  </si>
  <si>
    <t>Viruses[3];Duplodnaviria[3];Heunggongvirae[3];Uroviricota[3];Caudoviricetes[3];Caudovirales[2];Myoviridae[2];unclassified Myoviridae[2];Roseivirga spongicola[1];Hydrotalea sp. AMD[1]</t>
  </si>
  <si>
    <t>Viruses;Duplodnaviria;Heunggongvirae;Uroviricota;Caudoviricetes;Caudovirales;Myoviridae;unclassified Myoviridae;Roseivirga spongicola;Hydrotalea sp. AMD</t>
  </si>
  <si>
    <t>Oct.NODE_153_length_12323_cov_15.965683</t>
  </si>
  <si>
    <t>Viruses[2];Duplodnaviria[2];Heunggongvirae[2];Uroviricota[2];Caudoviricetes[2];Caudovirales[2];Myoviridae[1];unclassified Myoviridae[1];Roseobacter phage CRP-2[1]</t>
  </si>
  <si>
    <t>Viruses;Duplodnaviria;Heunggongvirae;Uroviricota;Caudoviricetes;Caudovirales;Myoviridae;unclassified Myoviridae;Roseobacter phage CRP-2</t>
  </si>
  <si>
    <t>Viruses[2];Duplodnaviria[2];Heunggongvirae[2];Uroviricota[2];Caudoviricetes[2];Caudovirales[2];Podoviridae[1];unclassified Myoviridae[1];Roseobacter phage CRP-2[1]</t>
  </si>
  <si>
    <t>Avril.NODE_810_length_3233_cov_8.993392</t>
  </si>
  <si>
    <t>Viruses[1];Duplodnaviria[1];Heunggongvirae[1];Uroviricota[1];Caudoviricetes[1];Caudovirales[1];Myoviridae[1];unclassified Myoviridae[1];Salmonella phage Munch[1]</t>
  </si>
  <si>
    <t>Viruses;Duplodnaviria;Heunggongvirae;Uroviricota;Caudoviricetes;Caudovirales;Myoviridae;unclassified Myoviridae;Salmonella phage Munch</t>
  </si>
  <si>
    <t>Avril.NODE_637_length_3818_cov_4.330322</t>
  </si>
  <si>
    <t>Viruses[4];Duplodnaviria[4];Heunggongvirae[4];Uroviricota[4];Caudoviricetes[4];Caudovirales[4];Myoviridae[4];unclassified Myoviridae[4];Shewanella phage SppYZU01[2]</t>
  </si>
  <si>
    <t>Viruses;Duplodnaviria;Heunggongvirae;Uroviricota;Caudoviricetes;Caudovirales;Myoviridae;unclassified Myoviridae;Shewanella phage SppYZU01</t>
  </si>
  <si>
    <t>Oct.NODE_752_length_3815_cov_3.573936</t>
  </si>
  <si>
    <t>Viruses[3];Duplodnaviria[3];Heunggongvirae[3];Uroviricota[3];Caudoviricetes[3];Caudovirales[3];Myoviridae[3];unclassified Myoviridae[3];Shewanella phage SppYZU01[2]</t>
  </si>
  <si>
    <t>Avril.NODE_949_length_2869_cov_5.357854</t>
  </si>
  <si>
    <t>Viruses[2];Duplodnaviria[2];Heunggongvirae[2];Uroviricota[2];Caudoviricetes[2];Caudovirales[2];Myoviridae[2];unclassified Myoviridae[2];Shewanella phage SppYZU01[1]</t>
  </si>
  <si>
    <t>Oct.NODE_1287_length_2686_cov_6.437476</t>
  </si>
  <si>
    <t>Viruses[1];Duplodnaviria[1];Heunggongvirae[1];Uroviricota[1];Caudoviricetes[1];Caudovirales[1];Myoviridae[1];unclassified Myoviridae[1];Shewanella phage SppYZU01[1]</t>
  </si>
  <si>
    <t>Oct.NODE_1426_length_2506_cov_3.088127</t>
  </si>
  <si>
    <t>Sept.NODE_944_length_2413_cov_16.659457</t>
  </si>
  <si>
    <t>Oct.NODE_1791_length_2142_cov_4.093436</t>
  </si>
  <si>
    <t>Viruses[2];Duplodnaviria[2];Heunggongvirae[2];Uroviricota[2];Caudoviricetes[2];Caudovirales[2];Myoviridae[2];unclassified Myoviridae[2];Shewanella phage SppYZU01[2]</t>
  </si>
  <si>
    <t>Oct.NODE_1922_length_2030_cov_2.668861</t>
  </si>
  <si>
    <t>Avril.NODE_314_length_6525_cov_6.168624</t>
  </si>
  <si>
    <t>Viruses[4];Duplodnaviria[4];Heunggongvirae[4];Uroviricota[4];Caudoviricetes[4];Caudovirales[4];Myoviridae[4];unclassified Myoviridae[4];Shewanella phage SppYZU01[4]</t>
  </si>
  <si>
    <t>Sept.NODE_964_length_2378_cov_43.463194</t>
  </si>
  <si>
    <t>Viruses[2];Duplodnaviria[2];Heunggongvirae[2];Uroviricota[2];Caudoviricetes[2];Caudovirales[2];Myoviridae[1];unclassified Myoviridae[1];Shewanella phage SppYZU01[1]</t>
  </si>
  <si>
    <t>Oct.NODE_309_length_6839_cov_4.241303</t>
  </si>
  <si>
    <t>Viruses[3];Duplodnaviria[3];Heunggongvirae[3];Uroviricota[3];Caudoviricetes[3];Caudovirales[3];Myoviridae[3];unclassified Myoviridae[3];Shewanella phage SppYZU01[3];Muricauda sp. TMED12[1]</t>
  </si>
  <si>
    <t>Viruses;Duplodnaviria;Heunggongvirae;Uroviricota;Caudoviricetes;Caudovirales;Myoviridae;unclassified Myoviridae;Shewanella phage SppYZU01;Muricauda sp. TMED12</t>
  </si>
  <si>
    <t>Viruses[3];Duplodnaviria[3];Heunggongvirae[3];Uroviricota[3];Caudoviricetes[3];Caudovirales[3];Myoviridae[3];unclassified Myoviridae[3];Shewanella phage SppYZU01[3]</t>
  </si>
  <si>
    <t>Avril.NODE_123_length_14650_cov_85.783830</t>
  </si>
  <si>
    <t>Viruses[9];Duplodnaviria[9];Heunggongvirae[9];Uroviricota[9];Caudoviricetes[9];Caudovirales[9];Myoviridae[7];unclassified Myoviridae[4];Shewanella phage SppYZU01[4];Nipunavirus NP1[1];Pseudomonas phage Quinobequin-P09[1]</t>
  </si>
  <si>
    <t>Viruses;Duplodnaviria;Heunggongvirae;Uroviricota;Caudoviricetes;Caudovirales;Myoviridae;unclassified Myoviridae;Shewanella phage SppYZU01;Nipunavirus NP1;Pseudomonas phage Quinobequin-P09</t>
  </si>
  <si>
    <t>Viruses[9];Duplodnaviria[9];Heunggongvirae[9];Uroviricota[9];Caudoviricetes[9];Caudovirales[9];Myoviridae[7];unclassified Myoviridae[4];Shewanella phage SppYZU01[4];Klebsiella phage BUCT_47333[1];Pseudomonas phage Quinobequin-P09[1]</t>
  </si>
  <si>
    <t>Avril.NODE_216_length_8718_cov_5.759206</t>
  </si>
  <si>
    <t>Viruses[8];Duplodnaviria[8];Heunggongvirae[8];Uroviricota[8];Caudoviricetes[8];Caudovirales[8];Myoviridae[8];unclassified Myoviridae[8];Shewanella phage SppYZU01[7];Pseudoalteromonas phage J2-1[1]</t>
  </si>
  <si>
    <t>Viruses;Duplodnaviria;Heunggongvirae;Uroviricota;Caudoviricetes;Caudovirales;Myoviridae;unclassified Myoviridae;Shewanella phage SppYZU01;Pseudoalteromonas phage J2-1</t>
  </si>
  <si>
    <t>Sept.NODE_908_length_2473_cov_4.941687</t>
  </si>
  <si>
    <t>Viruses[3];Duplodnaviria[3];Heunggongvirae[3];Uroviricota[3];Caudoviricetes[3];Caudovirales[3];Myoviridae[2];unclassified Myoviridae[2];Siovirus[1];Siovirus coreense[1];Celeribacter phage P12053L[1]</t>
  </si>
  <si>
    <t>Viruses;Duplodnaviria;Heunggongvirae;Uroviricota;Caudoviricetes;Caudovirales;Myoviridae;unclassified Myoviridae;Siovirus;Siovirus coreense;Celeribacter phage P12053L</t>
  </si>
  <si>
    <t>Viruses[3];Duplodnaviria[3];Heunggongvirae[3];Uroviricota[3];Caudoviricetes[3];Caudovirales[3];Myoviridae[2];unclassified Myoviridae[2];Ochrobactrum phage vB_OspM_OC[1];Siovirus coreense[1];Celeribacter phage P12053L[1]</t>
  </si>
  <si>
    <t>Oct.NODE_1403_length_2531_cov_5.228191</t>
  </si>
  <si>
    <t>Viruses[1];Duplodnaviria[1];Heunggongvirae[1];Uroviricota[1];Caudoviricetes[1];Caudovirales[1];Myoviridae[1];unclassified Myoviridae[1];Subdoligranulum sp. AM16-9[1]</t>
  </si>
  <si>
    <t>Viruses;Duplodnaviria;Heunggongvirae;Uroviricota;Caudoviricetes;Caudovirales;Myoviridae;unclassified Myoviridae;Subdoligranulum sp. AM16-9</t>
  </si>
  <si>
    <t>Viruses[1];Duplodnaviria[1];Heunggongvirae[1];Uroviricota[1];Caudoviricetes[1];Caudovirales[1];Myoviridae[1];unclassified Myoviridae[1];Vibrio phage 1.154.O._10N.222.52.B12[1]</t>
  </si>
  <si>
    <t>Oct.NODE_408_length_5687_cov_6.572088</t>
  </si>
  <si>
    <t>Viruses[1];Duplodnaviria[1];Heunggongvirae[1];Uroviricota[1];Caudoviricetes[1];Caudovirales[1];Myoviridae[1];unclassified Myoviridae[1];Synechococcus phage B23[1]</t>
  </si>
  <si>
    <t>Viruses;Duplodnaviria;Heunggongvirae;Uroviricota;Caudoviricetes;Caudovirales;Myoviridae;unclassified Myoviridae;Synechococcus phage B23</t>
  </si>
  <si>
    <t>Oct.NODE_1551_length_2369_cov_20.277442</t>
  </si>
  <si>
    <t>Viruses[1];Duplodnaviria[1];Heunggongvirae[1];Uroviricota[1];Caudoviricetes[1];Caudovirales[1];Myoviridae[1];unclassified Myoviridae[1];Synechococcus phage S-B68[1]</t>
  </si>
  <si>
    <t>Viruses;Duplodnaviria;Heunggongvirae;Uroviricota;Caudoviricetes;Caudovirales;Myoviridae;unclassified Myoviridae;Synechococcus phage S-B68</t>
  </si>
  <si>
    <t>Sept.NODE_1226_length_2028_cov_3.719716</t>
  </si>
  <si>
    <t>Oct.NODE_1950_length_2010_cov_4.050639</t>
  </si>
  <si>
    <t>Sept.NODE_298_length_5339_cov_5.004542</t>
  </si>
  <si>
    <t>Avril.NODE_1100_length_2568_cov_5.087943</t>
  </si>
  <si>
    <t>Viruses[1];Duplodnaviria[1];Heunggongvirae[1];Uroviricota[1];Caudoviricetes[1];Caudovirales[1];Myoviridae[1];unclassified Myoviridae[1];Synechococcus phage S-H34[1]</t>
  </si>
  <si>
    <t>Viruses;Duplodnaviria;Heunggongvirae;Uroviricota;Caudoviricetes;Caudovirales;Myoviridae;unclassified Myoviridae;Synechococcus phage S-H34</t>
  </si>
  <si>
    <t>Sept.NODE_798_length_2710_cov_3.985687</t>
  </si>
  <si>
    <t>Viruses[1];Duplodnaviria[1];Heunggongvirae[1];Uroviricota[1];Caudoviricetes[1];Caudovirales[1];Myoviridae[1];unclassified Myoviridae[1];Synechococcus phage S-H38[1]</t>
  </si>
  <si>
    <t>Viruses;Duplodnaviria;Heunggongvirae;Uroviricota;Caudoviricetes;Caudovirales;Myoviridae;unclassified Myoviridae;Synechococcus phage S-H38</t>
  </si>
  <si>
    <t>Mai.NODE_1132_length_2123_cov_13.278530</t>
  </si>
  <si>
    <t>Viruses[1];Duplodnaviria[1];Heunggongvirae[1];Uroviricota[1];Caudoviricetes[1];Caudovirales[1];Myoviridae[1];unclassified Myoviridae[1];Synechococcus phage S-SRM01[1]</t>
  </si>
  <si>
    <t>Viruses;Duplodnaviria;Heunggongvirae;Uroviricota;Caudoviricetes;Caudovirales;Myoviridae;unclassified Myoviridae;Synechococcus phage S-SRM01</t>
  </si>
  <si>
    <t>Oct.NODE_507_length_4913_cov_3.460478</t>
  </si>
  <si>
    <t>Viruses[3];Duplodnaviria[3];Heunggongvirae[3];Uroviricota[3];Caudoviricetes[3];Caudovirales[3];Myoviridae[2];unclassified Myoviridae[1];Taipeivirus KWBSE436[1];Escherichia phage vB_EcoM_KWBSE43-6[1]</t>
  </si>
  <si>
    <t>Viruses;Duplodnaviria;Heunggongvirae;Uroviricota;Caudoviricetes;Caudovirales;Myoviridae;unclassified Myoviridae;Taipeivirus KWBSE436;Escherichia phage vB_EcoM_KWBSE43-6</t>
  </si>
  <si>
    <t>Viruses[3];Duplodnaviria[3];Heunggongvirae[3];Uroviricota[3];Caudoviricetes[3];Caudovirales[3];Myoviridae[2];Kleczkowskavirus[1];unclassified Kleczkowskavirus[1];Rhizobium phage RHph_Y55[1]</t>
  </si>
  <si>
    <t>Oct.NODE_1758_length_2164_cov_3.939308</t>
  </si>
  <si>
    <t>Viruses[2];Duplodnaviria[2];Heunggongvirae[2];Uroviricota[2];Caudoviricetes[2];Caudovirales[2];Myoviridae[2];unclassified Myoviridae[1];Tamkungvirus ST4[1];Synechococcus phage S-T4[1]</t>
  </si>
  <si>
    <t>Viruses;Duplodnaviria;Heunggongvirae;Uroviricota;Caudoviricetes;Caudovirales;Myoviridae;unclassified Myoviridae;Tamkungvirus ST4;Synechococcus phage S-T4</t>
  </si>
  <si>
    <t>Oct.NODE_1690_length_2223_cov_9.258764</t>
  </si>
  <si>
    <t>Viruses[1];Duplodnaviria[1];Heunggongvirae[1];Uroviricota[1];Caudoviricetes[1];Caudovirales[1];Myoviridae[1];unclassified Myoviridae[1];Thermus phage YS40_Isch[1]</t>
  </si>
  <si>
    <t>Viruses;Duplodnaviria;Heunggongvirae;Uroviricota;Caudoviricetes;Caudovirales;Myoviridae;unclassified Myoviridae;Thermus phage YS40_Isch</t>
  </si>
  <si>
    <t>Oct.NODE_1475_length_2442_cov_4.285295</t>
  </si>
  <si>
    <t>Viruses[3];Duplodnaviria[2];Heunggongvirae[2];Uroviricota[2];Caudoviricetes[2];Caudovirales[2];Myoviridae[2];unclassified Myoviridae[2];unclassified Marseillevirus[1];Tokyovirus A1[1]</t>
  </si>
  <si>
    <t>Viruses;Duplodnaviria;Heunggongvirae;Uroviricota;Caudoviricetes;Caudovirales;Myoviridae;unclassified Myoviridae;unclassified Marseillevirus;Tokyovirus A1</t>
  </si>
  <si>
    <t>Sept.NODE_740_length_2832_cov_4.686712</t>
  </si>
  <si>
    <t>Viruses[1];Duplodnaviria[1];Heunggongvirae[1];Uroviricota[1];Caudoviricetes[1];Caudovirales[1];Myoviridae[1];unclassified Myoviridae[1];unclassified Muricauda[1];Muricauda sp. TMED12[1]</t>
  </si>
  <si>
    <t>Viruses;Duplodnaviria;Heunggongvirae;Uroviricota;Caudoviricetes;Caudovirales;Myoviridae;unclassified Myoviridae;unclassified Muricauda;Muricauda sp. TMED12</t>
  </si>
  <si>
    <t>Viruses[1];Duplodnaviria[1];Heunggongvirae[1];Uroviricota[1];Caudoviricetes[1];Caudovirales[1];Myoviridae[1];unclassified Myoviridae[1];Lake Baikal phage Baikal-20-5m-C28[1]</t>
  </si>
  <si>
    <t>Oct.NODE_1350_length_2605_cov_4.583137</t>
  </si>
  <si>
    <t>Sept.NODE_1248_length_2005_cov_4.048718</t>
  </si>
  <si>
    <t>Viruses[1];Duplodnaviria[1];Heunggongvirae[1];Uroviricota[1];Caudoviricetes[1];Caudovirales[1];Myoviridae[1];unclassified Myoviridae[1];Pelagibacter phage HTVC008M[1]</t>
  </si>
  <si>
    <t>Sept.NODE_874_length_2542_cov_6.256936</t>
  </si>
  <si>
    <t>Oct.NODE_1348_length_2608_cov_3.119859</t>
  </si>
  <si>
    <t>Viruses[2];Duplodnaviria[2];Heunggongvirae[2];Uroviricota[2];Caudoviricetes[2];Caudovirales[2];Myoviridae[2];unclassified Myoviridae[1];unclassified Tevenvirinae[1];Proteus phage phiP4-3[1]</t>
  </si>
  <si>
    <t>Viruses;Duplodnaviria;Heunggongvirae;Uroviricota;Caudoviricetes;Caudovirales;Myoviridae;unclassified Myoviridae;unclassified Tevenvirinae;Proteus phage phiP4-3</t>
  </si>
  <si>
    <t>Viruses[2];Duplodnaviria[2];Heunggongvirae[2];Uroviricota[2];Caudoviricetes[2];Caudovirales[2];Myoviridae[2];Tevenvirinae[1];unclassified Tevenvirinae[1];Proteus phage phiP4-3[1]</t>
  </si>
  <si>
    <t>Oct.NODE_648_length_4186_cov_3.942871</t>
  </si>
  <si>
    <t>Viruses[2];Duplodnaviria[2];Heunggongvirae[2];Uroviricota[2];Caudoviricetes[2];Caudovirales[2];Myoviridae[1];unclassified Myoviridae[1];Vapseptimavirus VAP7[1];Vibrio phage VAP7[1]</t>
  </si>
  <si>
    <t>Viruses;Duplodnaviria;Heunggongvirae;Uroviricota;Caudoviricetes;Caudovirales;Myoviridae;unclassified Myoviridae;Vapseptimavirus VAP7;Vibrio phage VAP7</t>
  </si>
  <si>
    <t>Viruses[2];Duplodnaviria[2];Heunggongvirae[2];Uroviricota[2];Caudoviricetes[2];Caudovirales[2];Ackermannviridae[1];unclassified Myoviridae[1];Vapseptimavirus VAP7[1];Vibrio phage VAP7[1]</t>
  </si>
  <si>
    <t>Oct.NODE_1003_length_3101_cov_4.068943</t>
  </si>
  <si>
    <t>Viruses[2];Duplodnaviria[2];Heunggongvirae[2];Uroviricota[2];Caudoviricetes[2];Caudovirales[2];Myoviridae[1];unclassified Myoviridae[1];Vibrio phage 1.181.O._10N.286.46.C9[1]</t>
  </si>
  <si>
    <t>Viruses;Duplodnaviria;Heunggongvirae;Uroviricota;Caudoviricetes;Caudovirales;Myoviridae;unclassified Myoviridae;Vibrio phage 1.181.O._10N.286.46.C9</t>
  </si>
  <si>
    <t>Viruses[2];Duplodnaviria[2];Heunggongvirae[2];Uroviricota[2];Caudoviricetes[2];Caudovirales[2];Myoviridae[1];unclassified Siphoviridae[1];Vibrio phage 1.181.O._10N.286.46.C9[1]</t>
  </si>
  <si>
    <t>Avril.NODE_1558_length_2027_cov_4.360548</t>
  </si>
  <si>
    <t>Viruses[1];Duplodnaviria[1];Heunggongvirae[1];Uroviricota[1];Caudoviricetes[1];Caudovirales[1];Myoviridae[1];unclassified Myoviridae[1];Vibrio phage 1.193.O._10N.286.52.C6[1]</t>
  </si>
  <si>
    <t>Viruses;Duplodnaviria;Heunggongvirae;Uroviricota;Caudoviricetes;Caudovirales;Myoviridae;unclassified Myoviridae;Vibrio phage 1.193.O._10N.286.52.C6</t>
  </si>
  <si>
    <t>Avril.NODE_1239_length_2378_cov_8.521309</t>
  </si>
  <si>
    <t>Viruses[1];Duplodnaviria[1];Heunggongvirae[1];Uroviricota[1];Caudoviricetes[1];Caudovirales[1];Myoviridae[1];unclassified Myoviridae[1];Vibrio phage 1.248.O._10N.261.54.F1[1]</t>
  </si>
  <si>
    <t>Viruses;Duplodnaviria;Heunggongvirae;Uroviricota;Caudoviricetes;Caudovirales;Myoviridae;unclassified Myoviridae;Vibrio phage 1.248.O._10N.261.54.F1</t>
  </si>
  <si>
    <t>Juil.NODE_27_length_3220_cov_4.846761</t>
  </si>
  <si>
    <t>Viruses[1];Duplodnaviria[1];Heunggongvirae[1];Uroviricota[1];Caudoviricetes[1];Caudovirales[1];Myoviridae[1];unclassified Myoviridae[1];Vibrio phage helene 12B3[1]</t>
  </si>
  <si>
    <t>Viruses;Duplodnaviria;Heunggongvirae;Uroviricota;Caudoviricetes;Caudovirales;Myoviridae;unclassified Myoviridae;Vibrio phage helene 12B3</t>
  </si>
  <si>
    <t>Oct.NODE_427_length_5552_cov_5.398217</t>
  </si>
  <si>
    <t>Viruses[1];Duplodnaviria[1];Heunggongvirae[1];Uroviricota[1];Caudoviricetes[1];Caudovirales[1];Myoviridae[1];unclassified Myoviridae[1];Vibrio phage RYC[1]</t>
  </si>
  <si>
    <t>Viruses;Duplodnaviria;Heunggongvirae;Uroviricota;Caudoviricetes;Caudovirales;Myoviridae;unclassified Myoviridae;Vibrio phage RYC</t>
  </si>
  <si>
    <t>Oct.NODE_1273_length_2708_cov_3.387109</t>
  </si>
  <si>
    <t>Viruses[1];Duplodnaviria[1];Heunggongvirae[1];Uroviricota[1];Caudoviricetes[1];Caudovirales[1];Myoviridae[1];unclassified Myoviridae[1];Vibrio phage vB_VchM-138[1]</t>
  </si>
  <si>
    <t>Viruses;Duplodnaviria;Heunggongvirae;Uroviricota;Caudoviricetes;Caudovirales;Myoviridae;unclassified Myoviridae;Vibrio phage vB_VchM-138</t>
  </si>
  <si>
    <t>Avril.NODE_738_length_3472_cov_4.064677</t>
  </si>
  <si>
    <t>Viruses[1];Duplodnaviria[1];Heunggongvirae[1];Uroviricota[1];Caudoviricetes[1];Caudovirales[1];Myoviridae[1];unclassified Myoviridae[1];Vibrio phage VBM1[1]</t>
  </si>
  <si>
    <t>Viruses;Duplodnaviria;Heunggongvirae;Uroviricota;Caudoviricetes;Caudovirales;Myoviridae;unclassified Myoviridae;Vibrio phage VBM1</t>
  </si>
  <si>
    <t>Avril.NODE_1050_length_2644_cov_5.071070</t>
  </si>
  <si>
    <t>Viruses[1];Duplodnaviria[1];Heunggongvirae[1];Uroviricota[1];Caudoviricetes[1];Caudovirales[1];Myoviridae[1];unclassified Myoviridae[1];Winogradskyella phage Peternella_1[1]</t>
  </si>
  <si>
    <t>Viruses;Duplodnaviria;Heunggongvirae;Uroviricota;Caudoviricetes;Caudovirales;Myoviridae;unclassified Myoviridae;Winogradskyella phage Peternella_1</t>
  </si>
  <si>
    <t>Avril.NODE_1499_length_2084_cov_3.859044</t>
  </si>
  <si>
    <t>Oct.NODE_1077_length_2977_cov_74.315880</t>
  </si>
  <si>
    <t>Viruses[1];Duplodnaviria[1];Heunggongvirae[1];Uroviricota[1];Caudoviricetes[1];Caudovirales[1];Myoviridae[1];unclassified Myoviridae[1];Xanthomarina gelatinilytica[1]</t>
  </si>
  <si>
    <t>Viruses;Duplodnaviria;Heunggongvirae;Uroviricota;Caudoviricetes;Caudovirales;Myoviridae;unclassified Myoviridae;Xanthomarina gelatinilytica</t>
  </si>
  <si>
    <t>Oct.NODE_882_length_3396_cov_16.637534</t>
  </si>
  <si>
    <t>Viruses[1];Duplodnaviria[1];Heunggongvirae[1];Uroviricota[1];Caudoviricetes[1];Caudovirales[1];Myoviridae[1];unclassified Myoviridae[1];Xanthomonas phage Xoo-sp13[1]</t>
  </si>
  <si>
    <t>Viruses;Duplodnaviria;Heunggongvirae;Uroviricota;Caudoviricetes;Caudovirales;Myoviridae;unclassified Myoviridae;Xanthomonas phage Xoo-sp13</t>
  </si>
  <si>
    <t>Sept.NODE_497_length_3709_cov_9.777504</t>
  </si>
  <si>
    <t>Viruses[2];Duplodnaviria[2];Heunggongvirae[2];Uroviricota[2];Caudoviricetes[2];Caudovirales[2];Myoviridae[2];unclassified Myoviridae[2];Yersinia phage fEV-1[2]</t>
  </si>
  <si>
    <t>Viruses;Duplodnaviria;Heunggongvirae;Uroviricota;Caudoviricetes;Caudovirales;Myoviridae;unclassified Myoviridae;Yersinia phage fEV-1</t>
  </si>
  <si>
    <t>Oct.NODE_906_length_3330_cov_3.281221</t>
  </si>
  <si>
    <t>Viruses[3];Duplodnaviria[3];Heunggongvirae[3];Uroviricota[3];Caudoviricetes[3];Caudovirales[3];Myoviridae[3];unclassified Myoviridae[3];Yersinia phage fEV-1[3]</t>
  </si>
  <si>
    <t>Oct.NODE_1216_length_2776_cov_3.749724</t>
  </si>
  <si>
    <t>Oct.NODE_1388_length_2564_cov_4.345556</t>
  </si>
  <si>
    <t>Viruses[1];Duplodnaviria[1];Heunggongvirae[1];Uroviricota[1];Caudoviricetes[1];Caudovirales[1];Myoviridae[1];unclassified Myoviridae[1];Yersinia phage fEV-1[1]</t>
  </si>
  <si>
    <t>Avril.NODE_1381_length_2207_cov_3.699814</t>
  </si>
  <si>
    <t>Oct.NODE_1760_length_2160_cov_4.801900</t>
  </si>
  <si>
    <t>Mai.NODE_155_length_9651_cov_133.830971</t>
  </si>
  <si>
    <t>Viruses[3];Duplodnaviria[3];Heunggongvirae[3];Uroviricota[3];Caudoviricetes[3];Caudovirales[3];Myoviridae[2];unclassified Podoviridae[1];Fukuivirus MVDC[1];Microcystis phage MaMV-DC[1]</t>
  </si>
  <si>
    <t>Viruses;Duplodnaviria;Heunggongvirae;Uroviricota;Caudoviricetes;Caudovirales;Myoviridae;unclassified Podoviridae;Fukuivirus MVDC;Microcystis phage MaMV-DC</t>
  </si>
  <si>
    <t>Viruses[3];Duplodnaviria[3];Heunggongvirae[3];Uroviricota[3];Caudoviricetes[3];Caudovirales[3];Myoviridae[2];unclassified Podoviridae[1];Salmonella phage Munch[1];Microcystis phage MaMV-DC[1]</t>
  </si>
  <si>
    <t>Avril.NODE_346_length_6061_cov_8.625042</t>
  </si>
  <si>
    <t>Viruses[2];Duplodnaviria[2];Heunggongvirae[2];Uroviricota[2];Caudoviricetes[2];Caudovirales[2];Myoviridae[1];unclassified Siphoviridae[1];Stenotrophomonas phage Salva[1]</t>
  </si>
  <si>
    <t>Viruses;Duplodnaviria;Heunggongvirae;Uroviricota;Caudoviricetes;Caudovirales;Myoviridae;unclassified Siphoviridae;Stenotrophomonas phage Salva</t>
  </si>
  <si>
    <t>Viruses[2];Duplodnaviria[2];Heunggongvirae[2];Uroviricota[2];Caudoviricetes[2];Caudovirales[2];Siphoviridae[1];unclassified Myoviridae[1];Stenotrophomonas phage Salva[1]</t>
  </si>
  <si>
    <t>Oct.NODE_372_length_6018_cov_5.268154</t>
  </si>
  <si>
    <t>Viruses[2];Duplodnaviria[2];Heunggongvirae[2];Uroviricota[2];Caudoviricetes[2];Caudovirales[2];Myoviridae[1];unclassified Siphoviridae[1];Synechococcus phage S-H34[1]</t>
  </si>
  <si>
    <t>Viruses;Duplodnaviria;Heunggongvirae;Uroviricota;Caudoviricetes;Caudovirales;Myoviridae;unclassified Siphoviridae;Synechococcus phage S-H34</t>
  </si>
  <si>
    <t>Viruses[2];Duplodnaviria[2];Heunggongvirae[2];Uroviricota[2];Caudoviricetes[2];Caudovirales[2];Myoviridae[1];unclassified Myoviridae[1];Synechococcus phage S-H34[1]</t>
  </si>
  <si>
    <t>Oct.NODE_1375_length_2581_cov_3.134996</t>
  </si>
  <si>
    <t>Viruses[2];Duplodnaviria[2];Heunggongvirae[2];Uroviricota[2];Caudoviricetes[2];Caudovirales[2];Myoviridae[1];unclassified Siphoviridae[1];Yokohamavirus MSW3[1];Edwardsiella phage MSW-3[1]</t>
  </si>
  <si>
    <t>Viruses;Duplodnaviria;Heunggongvirae;Uroviricota;Caudoviricetes;Caudovirales;Myoviridae;unclassified Siphoviridae;Yokohamavirus MSW3;Edwardsiella phage MSW-3</t>
  </si>
  <si>
    <t>Viruses[2];Duplodnaviria[2];Heunggongvirae[2];Uroviricota[2];Caudoviricetes[2];Caudovirales[2];Myoviridae[1];Yokohamavirus[1];Rhodobacter phage RcPutin[1];Edwardsiella phage MSW-3[1]</t>
  </si>
  <si>
    <t>Oct.NODE_278_length_7370_cov_5.554751</t>
  </si>
  <si>
    <t>Viruses[2];Duplodnaviria[2];Heunggongvirae[2];Uroviricota[2];Caudoviricetes[2];Caudovirales[2];Myoviridae[2];Vequintavirinae[1];Myoalterovirus PT11V22[1];Alteromonas phage vB_AmeM_PT11-V22[1]</t>
  </si>
  <si>
    <t>Viruses;Duplodnaviria;Heunggongvirae;Uroviricota;Caudoviricetes;Caudovirales;Myoviridae;Vequintavirinae;Myoalterovirus PT11V22;Alteromonas phage vB_AmeM_PT11-V22</t>
  </si>
  <si>
    <t>Viruses[2];Duplodnaviria[2];Heunggongvirae[2];Uroviricota[2];Caudoviricetes[2];Caudovirales[2];Myoviridae[2];Myoalterovirus[1];Myoalterovirus PT11V22[1];Alteromonas phage vB_AmeM_PT11-V22[1]</t>
  </si>
  <si>
    <t>Oct.NODE_1755_length_2164_cov_5.679943</t>
  </si>
  <si>
    <t>Viruses[2];Duplodnaviria[2];Heunggongvirae[2];Uroviricota[2];Caudoviricetes[2];Caudovirales[2];Myoviridae[2];Vequintavirinae[1];unclassified Phapecoctavirus[1];Escherichia phage ukendt[1]</t>
  </si>
  <si>
    <t>Viruses;Duplodnaviria;Heunggongvirae;Uroviricota;Caudoviricetes;Caudovirales;Myoviridae;Vequintavirinae;unclassified Phapecoctavirus;Escherichia phage ukendt</t>
  </si>
  <si>
    <t>Viruses[2];Duplodnaviria[2];Heunggongvirae[2];Uroviricota[2];Caudoviricetes[2];Caudovirales[2];Myoviridae[2];Vequintavirinae[1];unclassified Vequintavirinae[1];Klebsiella phage vB_KpM_FBKp34[1]</t>
  </si>
  <si>
    <t>Oct.NODE_373_length_6013_cov_28.507217</t>
  </si>
  <si>
    <t>Viruses[2];Duplodnaviria[2];Heunggongvirae[2];Uroviricota[2];Caudoviricetes[2];Caudovirales[2];Myoviridae[1];Yokohamavirus[1];Yokohamavirus PEi21[1];Edwardsiella phage PEi21[1]</t>
  </si>
  <si>
    <t>Viruses;Duplodnaviria;Heunggongvirae;Uroviricota;Caudoviricetes;Caudovirales;Myoviridae;Yokohamavirus;Yokohamavirus PEi21;Edwardsiella phage PEi21</t>
  </si>
  <si>
    <t>Viruses[2];Duplodnaviria[2];Heunggongvirae[2];Uroviricota[2];Caudoviricetes[2];Caudovirales[2];Siphoviridae[1];Yokohamavirus[1];Sinorhizobium phage HMSP1-Susan[1];Edwardsiella phage PEi21[1]</t>
  </si>
  <si>
    <t>Oct.NODE_1284_length_2688_cov_3.123813</t>
  </si>
  <si>
    <t>Viruses[1];Duplodnaviria[1];Heunggongvirae[1];Uroviricota[1];Caudoviricetes[1];Caudovirales[1];Myoviridae[1];Yokohamavirus[1];Yokohamavirus PEi21[1];Edwardsiella phage PEi21[1]</t>
  </si>
  <si>
    <t>Mai.NODE_66_length_21551_cov_17.455759</t>
  </si>
  <si>
    <t>Viruses[3];Duplodnaviria[3];Heunggongvirae[3];Uroviricota[3];Caudoviricetes[3];Caudovirales[2];Planctomyces[2];Planctomyces bekefii[2];Akihdevirus[1];Rhabditida[1];Spirurina[1];Spiruromorpha[1];Filarioidea[1];Onchocercidae[1];Brugia[1];Brugia timori[1]</t>
  </si>
  <si>
    <t>Viruses;Duplodnaviria;Heunggongvirae;Uroviricota;Caudoviricetes;Caudovirales;Planctomyces;Planctomyces bekefii;Akihdevirus;Rhabditida;Spirurina;Spiruromorpha;Filarioidea;Onchocercidae;Brugia;Brugia timori</t>
  </si>
  <si>
    <t>Viruses[3];Duplodnaviria[3];Heunggongvirae[3];Uroviricota[3];Caudoviricetes[3];Caudovirales[2];Myoviridae[1];Methylophilales phage MEP301[1];Synechococcus phage S-CBM2[1];Cellulophaga phage phi14:2[1]</t>
  </si>
  <si>
    <t>Oct.NODE_1729_length_2188_cov_3.784341</t>
  </si>
  <si>
    <t>Viruses[1];Duplodnaviria[1];Heunggongvirae[1];Uroviricota[1];Caudoviricetes[1];Caudovirales[1];Podoviridae[1];Anjalivirus[1];Anjalivirus anjali[1];Arthrobacter phage Anjali[1]</t>
  </si>
  <si>
    <t>Viruses;Duplodnaviria;Heunggongvirae;Uroviricota;Caudoviricetes;Caudovirales;Podoviridae;Anjalivirus;Anjalivirus anjali;Arthrobacter phage Anjali</t>
  </si>
  <si>
    <t>Sept.NODE_864_length_2555_cov_2.343600</t>
  </si>
  <si>
    <t>Viruses[2];Duplodnaviria[2];Heunggongvirae[2];Uroviricota[2];Caudoviricetes[2];Caudovirales[2];Podoviridae[2];Beephvirinae[1];Immanueltrevirus[1];Immanueltrevirus immanuel3[1];Streptomyces phage Immanuel3[1]</t>
  </si>
  <si>
    <t>Viruses;Duplodnaviria;Heunggongvirae;Uroviricota;Caudoviricetes;Caudovirales;Podoviridae;Beephvirinae;Immanueltrevirus;Immanueltrevirus immanuel3;Streptomyces phage Immanuel3</t>
  </si>
  <si>
    <t>Oct.NODE_928_length_3270_cov_3.906065</t>
  </si>
  <si>
    <t>Viruses[1];Duplodnaviria[1];Heunggongvirae[1];Uroviricota[1];Caudoviricetes[1];Caudovirales[1];Podoviridae[1];Beephvirinae[1];Manuelvirus[1];Manuelvirus manuel[1];Streptomyces phage Manuel[1]</t>
  </si>
  <si>
    <t>Viruses;Duplodnaviria;Heunggongvirae;Uroviricota;Caudoviricetes;Caudovirales;Podoviridae;Beephvirinae;Manuelvirus;Manuelvirus manuel;Streptomyces phage Manuel</t>
  </si>
  <si>
    <t>Sept.NODE_244_length_6323_cov_6.800893</t>
  </si>
  <si>
    <t>Viruses[2];Duplodnaviria[2];Heunggongvirae[2];Uroviricota[2];Caudoviricetes[2];Caudovirales[2];Podoviridae[2];Beephvirinae[1];Manuelvirus[1];Manuelvirus wrighton[1];Streptomyces phage WRightOn[1]</t>
  </si>
  <si>
    <t>Viruses;Duplodnaviria;Heunggongvirae;Uroviricota;Caudoviricetes;Caudovirales;Podoviridae;Beephvirinae;Manuelvirus;Manuelvirus wrighton;Streptomyces phage WRightOn</t>
  </si>
  <si>
    <t>Avril.NODE_534_length_4468_cov_5.084976</t>
  </si>
  <si>
    <t>Viruses[2];Duplodnaviria[2];Heunggongvirae[2];Uroviricota[2];Caudoviricetes[2];Caudovirales[2];Podoviridae[1];Cobavirinae[1];Siovirus[1];Siovirus americense[1]</t>
  </si>
  <si>
    <t>Viruses;Duplodnaviria;Heunggongvirae;Uroviricota;Caudoviricetes;Caudovirales;Podoviridae;Cobavirinae;Siovirus;Siovirus americense</t>
  </si>
  <si>
    <t>Sept.NODE_417_length_4163_cov_36.522882</t>
  </si>
  <si>
    <t>Viruses[2];Duplodnaviria[2];Heunggongvirae[2];Uroviricota[2];Caudoviricetes[2];Caudovirales[2];Podoviridae[1];Cobavirinae[1];Siovirus[1];unclassified Siovirus[1];Lentibacter virus vB_LenP_ICBM2[1]</t>
  </si>
  <si>
    <t>Viruses;Duplodnaviria;Heunggongvirae;Uroviricota;Caudoviricetes;Caudovirales;Podoviridae;Cobavirinae;Siovirus;unclassified Siovirus;Lentibacter virus vB_LenP_ICBM2</t>
  </si>
  <si>
    <t>Viruses[2];Duplodnaviria[2];Heunggongvirae[2];Uroviricota[2];Caudoviricetes[2];Caudovirales[2];Zobellviridae[1];unclassified Podoviridae[1];Siovirus[1];unclassified Siovirus[1];Lentibacter virus vB_LenP_ICBM2[1]</t>
  </si>
  <si>
    <t>Oct.NODE_783_length_3714_cov_9.905985</t>
  </si>
  <si>
    <t>Viruses[3];Duplodnaviria[3];Heunggongvirae[3];Uroviricota[3];Caudoviricetes[3];Caudovirales[3];Podoviridae[1];Cobavirinae[1];Siovirus[1];unclassified Siovirus[1];Roseobacter phage CRP-5[1]</t>
  </si>
  <si>
    <t>Viruses;Duplodnaviria;Heunggongvirae;Uroviricota;Caudoviricetes;Caudovirales;Podoviridae;Cobavirinae;Siovirus;unclassified Siovirus;Roseobacter phage CRP-5</t>
  </si>
  <si>
    <t>Viruses[3];Duplodnaviria[3];Heunggongvirae[3];Uroviricota[3];Caudoviricetes[3];Caudovirales[3];Myoviridae[1];unclassified Podoviridae[1];Pelagibacter phage Mosig EXVC030M[1];unclassified Siovirus[1];Roseobacter phage CRP-5[1]</t>
  </si>
  <si>
    <t>Oct.NODE_1081_length_2974_cov_3.416581</t>
  </si>
  <si>
    <t>Viruses[2];Duplodnaviria[2];Heunggongvirae[2];Uroviricota[2];Caudoviricetes[2];Caudovirales[2];Podoviridae[1];Cobavirinae[1];Siovirus[1];unclassified Siovirus[1];Roseobacter phage CRP-5[1]</t>
  </si>
  <si>
    <t>Viruses[2];Duplodnaviria[2];Heunggongvirae[2];Uroviricota[2];Caudoviricetes[2];Caudovirales[2];Zobellviridae[1];Cobavirinae[1];Roseobacter phage CRP-13[1];unclassified Siovirus[1];Roseobacter phage CRP-5[1]</t>
  </si>
  <si>
    <t>Mai.NODE_1155_length_2099_cov_11.670254</t>
  </si>
  <si>
    <t>Viruses[1];Duplodnaviria[1];Heunggongvirae[1];Uroviricota[1];Caudoviricetes[1];Caudovirales[1];Podoviridae[1];Gervaisevirus[1];Gervaisevirus GP4[1];Ralstonia phage GP4[1]</t>
  </si>
  <si>
    <t>Viruses;Duplodnaviria;Heunggongvirae;Uroviricota;Caudoviricetes;Caudovirales;Podoviridae;Gervaisevirus;Gervaisevirus GP4;Ralstonia phage GP4</t>
  </si>
  <si>
    <t>Oct.NODE_975_length_3161_cov_4.861880</t>
  </si>
  <si>
    <t>Viruses[2];Duplodnaviria[2];Heunggongvirae[2];Uroviricota[2];Caudoviricetes[2];Caudovirales[2];Podoviridae[2];Jasminevirus[1];Jasminevirus jasmine[1];Arthrobacter phage Jasmine[1]</t>
  </si>
  <si>
    <t>Viruses;Duplodnaviria;Heunggongvirae;Uroviricota;Caudoviricetes;Caudovirales;Podoviridae;Jasminevirus;Jasminevirus jasmine;Arthrobacter phage Jasmine</t>
  </si>
  <si>
    <t>Viruses[2];Duplodnaviria[2];Heunggongvirae[2];Uroviricota[2];Caudoviricetes[2];Caudovirales[2];Podoviridae[2];unclassified Podoviridae[1];Cellulosimicrobium phage DS1[1];Arthrobacter phage Jasmine[1]</t>
  </si>
  <si>
    <t>Oct.NODE_1269_length_2712_cov_3.156568</t>
  </si>
  <si>
    <t>Sept.NODE_600_length_3250_cov_5.209390</t>
  </si>
  <si>
    <t>Viruses[1];Duplodnaviria[1];Heunggongvirae[1];Uroviricota[1];Caudoviricetes[1];Caudovirales[1];Podoviridae[1];Kuravirus[1];unclassified Kuravirus[1];Escherichia phage MN05[1]</t>
  </si>
  <si>
    <t>Viruses;Duplodnaviria;Heunggongvirae;Uroviricota;Caudoviricetes;Caudovirales;Podoviridae;Kuravirus;unclassified Kuravirus;Escherichia phage MN05</t>
  </si>
  <si>
    <t>Mai.NODE_1162_length_2092_cov_4.730486</t>
  </si>
  <si>
    <t>Viruses[2];Duplodnaviria[2];Heunggongvirae[2];Uroviricota[2];Caudoviricetes[2];Caudovirales[2];Podoviridae[2];Lightbulbvirus[2];Lightbulbvirus Cba172[2];Cellulophaga phage phi17:2_18[2]</t>
  </si>
  <si>
    <t>Viruses;Duplodnaviria;Heunggongvirae;Uroviricota;Caudoviricetes;Caudovirales;Podoviridae;Lightbulbvirus;Lightbulbvirus Cba172;Cellulophaga phage phi17:2_18</t>
  </si>
  <si>
    <t>Oct.NODE_739_length_3859_cov_4.672713</t>
  </si>
  <si>
    <t>Viruses[2];Duplodnaviria[2];Heunggongvirae[2];Uroviricota[2];Caudoviricetes[2];Caudovirales[2];Podoviridae[1];Lightbulbvirus[1];Lightbulbvirus Cba172[1];Siovirus germanense[1];Lentibacter phage vB_LenP_ICBM3[1]</t>
  </si>
  <si>
    <t>Viruses;Duplodnaviria;Heunggongvirae;Uroviricota;Caudoviricetes;Caudovirales;Podoviridae;Lightbulbvirus;Lightbulbvirus Cba172;Siovirus germanense;Lentibacter phage vB_LenP_ICBM3</t>
  </si>
  <si>
    <t>Viruses[2];Duplodnaviria[2];Heunggongvirae[2];Uroviricota[2];Caudoviricetes[2];Caudovirales[2];Zobellviridae[1];Lightbulbvirus[1];Lightbulbvirus Cba172[1];Cellulophaga phage phi17:2_18[1];Lentibacter phage vB_LenP_ICBM3[1]</t>
  </si>
  <si>
    <t>Mai.NODE_872_length_2580_cov_3.838020</t>
  </si>
  <si>
    <t>Viruses[2];Duplodnaviria[2];Heunggongvirae[2];Uroviricota[2];Caudoviricetes[2];Caudovirales[2];Podoviridae[1];Lightbulbvirus[1];Lightbulbvirus Cba41[1];Cellulophaga phage phi4:1[1]</t>
  </si>
  <si>
    <t>Viruses;Duplodnaviria;Heunggongvirae;Uroviricota;Caudoviricetes;Caudovirales;Podoviridae;Lightbulbvirus;Lightbulbvirus Cba41;Cellulophaga phage phi4:1</t>
  </si>
  <si>
    <t>Viruses[2];Duplodnaviria[2];Heunggongvirae[2];Uroviricota[2];Caudoviricetes[2];Caudovirales[2];Podoviridae[1];unclassified Siphoviridae[1];Bacillus phage PBC2[1];Cellulophaga phage phi4:1[1]</t>
  </si>
  <si>
    <t>Mai.NODE_929_length_2436_cov_3.998740</t>
  </si>
  <si>
    <t>Viruses[1];Duplodnaviria[1];Heunggongvirae[1];Uroviricota[1];Caudoviricetes[1];Caudovirales[1];Podoviridae[1];Lightbulbvirus[1];Lightbulbvirus Cba41[1];Cellulophaga phage phi4:1[1]</t>
  </si>
  <si>
    <t>Avril.NODE_856_length_3117_cov_77.849445</t>
  </si>
  <si>
    <t>Viruses[1];Duplodnaviria[1];Heunggongvirae[1];Uroviricota[1];Caudoviricetes[1];Caudovirales[1];Podoviridae[1];Myxoctovirus[1];Myxoctovirus Mx8[1];Myxococcus phage Mx8[1]</t>
  </si>
  <si>
    <t>Viruses;Duplodnaviria;Heunggongvirae;Uroviricota;Caudoviricetes;Caudovirales;Podoviridae;Myxoctovirus;Myxoctovirus Mx8;Myxococcus phage Mx8</t>
  </si>
  <si>
    <t>Sept.NODE_508_length_3660_cov_15.113176</t>
  </si>
  <si>
    <t>Viruses[3];Duplodnaviria[3];Heunggongvirae[3];Uroviricota[3];Caudoviricetes[3];Caudovirales[3];Podoviridae[2];Privateervirus[1];Privateervirus pv009[1];Cronobacter phage vB_CsaP_009[1]</t>
  </si>
  <si>
    <t>Viruses;Duplodnaviria;Heunggongvirae;Uroviricota;Caudoviricetes;Caudovirales;Podoviridae;Privateervirus;Privateervirus pv009;Cronobacter phage vB_CsaP_009</t>
  </si>
  <si>
    <t>Viruses[3];Duplodnaviria[3];Heunggongvirae[3];Uroviricota[3];Caudoviricetes[3];Caudovirales[3];Podoviridae[2];unclassified Podoviridae[1];Roseobacter phage CRP-13[1];Cronobacter phage vB_CsaP_009[1]</t>
  </si>
  <si>
    <t>Oct.NODE_825_length_3568_cov_2.958155</t>
  </si>
  <si>
    <t>Viruses[1];Duplodnaviria[1];Heunggongvirae[1];Uroviricota[1];Caudoviricetes[1];Caudovirales[1];Podoviridae[1];Sortsnevirus[1];Sortsnevirus IME279[1];Escherichia phage sortkaff[1]</t>
  </si>
  <si>
    <t>Viruses;Duplodnaviria;Heunggongvirae;Uroviricota;Caudoviricetes;Caudovirales;Podoviridae;Sortsnevirus;Sortsnevirus IME279;Escherichia phage sortkaff</t>
  </si>
  <si>
    <t>Sept.NODE_757_length_2795_cov_5.954745</t>
  </si>
  <si>
    <t>Viruses[3];Duplodnaviria[3];Heunggongvirae[3];Uroviricota[3];Caudoviricetes[3];Caudovirales[3];Podoviridae[1];unclassified Myoviridae[1];Podoviridae sp. ct2cs2[1];Hanrivervirus henu8[1];Escherichia phage Henu8[1]</t>
  </si>
  <si>
    <t>Viruses;Duplodnaviria;Heunggongvirae;Uroviricota;Caudoviricetes;Caudovirales;Podoviridae;unclassified Myoviridae;Podoviridae sp. ct2cs2;Hanrivervirus henu8;Escherichia phage Henu8</t>
  </si>
  <si>
    <t>Viruses[3];Duplodnaviria[3];Heunggongvirae[3];Uroviricota[3];Caudoviricetes[3];Caudovirales[3];Podoviridae[1];unclassified Myoviridae[1];Hanrivervirus[1];Hanrivervirus henu8[1];Escherichia phage Henu8[1]</t>
  </si>
  <si>
    <t>Sept.NODE_797_length_2711_cov_4.733057</t>
  </si>
  <si>
    <t>Viruses[2];Duplodnaviria[2];Heunggongvirae[2];Uroviricota[2];Caudoviricetes[2];Caudovirales[2];Podoviridae[1];unclassified Myoviridae[1];Sinorhizobium phage phiM6[1]</t>
  </si>
  <si>
    <t>Viruses;Duplodnaviria;Heunggongvirae;Uroviricota;Caudoviricetes;Caudovirales;Podoviridae;unclassified Myoviridae;Sinorhizobium phage phiM6</t>
  </si>
  <si>
    <t>Viruses[2];Duplodnaviria[2];Heunggongvirae[2];Uroviricota[2];Caudoviricetes[2];Caudovirales[2];Myoviridae[1];unclassified Myoviridae[1];Sinorhizobium phage phiM6[1]</t>
  </si>
  <si>
    <t>Sept.NODE_261_length_5990_cov_74.160236</t>
  </si>
  <si>
    <t>Viruses[2];Duplodnaviria[2];Heunggongvirae[2];Uroviricota[2];Caudoviricetes[2];Caudovirales[2];Podoviridae[2];unclassified Podoviridae[2];Caudovirales sp. ctOwN3[2]</t>
  </si>
  <si>
    <t>Viruses;Duplodnaviria;Heunggongvirae;Uroviricota;Caudoviricetes;Caudovirales;Podoviridae;unclassified Podoviridae;Caudovirales sp. ctOwN3</t>
  </si>
  <si>
    <t>Avril.NODE_428_length_5323_cov_18.882878</t>
  </si>
  <si>
    <t>Viruses[2];Duplodnaviria[2];Heunggongvirae[2];Uroviricota[2];Caudoviricetes[2];Caudovirales[2];Podoviridae[2];unclassified Podoviridae[2];Caudovirales sp. ctOwN3[1]</t>
  </si>
  <si>
    <t>Avril.NODE_1197_length_2438_cov_4.616030</t>
  </si>
  <si>
    <t>Viruses[1];Duplodnaviria[1];Heunggongvirae[1];Uroviricota[1];Caudoviricetes[1];Caudovirales[1];Podoviridae[1];unclassified Podoviridae[1];Caudovirales sp. ctOwN3[1]</t>
  </si>
  <si>
    <t>Sept.NODE_249_length_6215_cov_27.048539</t>
  </si>
  <si>
    <t>Sept.NODE_83_length_15924_cov_11.425043</t>
  </si>
  <si>
    <t>Viruses[7];Duplodnaviria[7];Heunggongvirae[7];Uroviricota[7];Caudoviricetes[7];Caudovirales[7];Podoviridae[6];unclassified Podoviridae[6];Caudovirales sp. ctOwN3[1];Umbelopsis[1];Umbelopsis vinacea[1]</t>
  </si>
  <si>
    <t>Viruses;Duplodnaviria;Heunggongvirae;Uroviricota;Caudoviricetes;Caudovirales;Podoviridae;unclassified Podoviridae;Caudovirales sp. ctOwN3;Umbelopsis;Umbelopsis vinacea</t>
  </si>
  <si>
    <t>Viruses[7];Duplodnaviria[7];Heunggongvirae[7];Uroviricota[7];Caudoviricetes[7];Caudovirales[7];Podoviridae[6];unclassified Podoviridae[6];Pelagibacter phage Lederberg EXVC029P[1]</t>
  </si>
  <si>
    <t>Sept.NODE_701_length_2955_cov_7.884828</t>
  </si>
  <si>
    <t>Viruses[1];Duplodnaviria[1];Heunggongvirae[1];Uroviricota[1];Caudoviricetes[1];Caudovirales[1];Podoviridae[1];unclassified Podoviridae[1];Caulobacter phage RW[1]</t>
  </si>
  <si>
    <t>Viruses;Duplodnaviria;Heunggongvirae;Uroviricota;Caudoviricetes;Caudovirales;Podoviridae;unclassified Podoviridae;Caulobacter phage RW</t>
  </si>
  <si>
    <t>Sept.NODE_781_length_2729_cov_60.753927</t>
  </si>
  <si>
    <t>Sept.NODE_831_length_2639_cov_7.742647</t>
  </si>
  <si>
    <t>Sept.NODE_869_length_2548_cov_61.196951</t>
  </si>
  <si>
    <t>Mai.NODE_969_length_2355_cov_3.498261</t>
  </si>
  <si>
    <t>Mai.NODE_1076_length_2199_cov_15.528918</t>
  </si>
  <si>
    <t>Oct.NODE_1091_length_2957_cov_6.008615</t>
  </si>
  <si>
    <t>Viruses[1];Duplodnaviria[1];Heunggongvirae[1];Uroviricota[1];Caudoviricetes[1];Caudovirales[1];Podoviridae[1];unclassified Podoviridae[1];Cellulophaga phage Calle_3[1]</t>
  </si>
  <si>
    <t>Viruses;Duplodnaviria;Heunggongvirae;Uroviricota;Caudoviricetes;Caudovirales;Podoviridae;unclassified Podoviridae;Cellulophaga phage Calle_3</t>
  </si>
  <si>
    <t>Oct.NODE_902_length_3346_cov_3.178669</t>
  </si>
  <si>
    <t>Viruses[2];Duplodnaviria[2];Heunggongvirae[2];Uroviricota[2];Caudoviricetes[2];Caudovirales[2];Podoviridae[2];unclassified Podoviridae[2];Cellulosimicrobium phage DS1[2]</t>
  </si>
  <si>
    <t>Viruses;Duplodnaviria;Heunggongvirae;Uroviricota;Caudoviricetes;Caudovirales;Podoviridae;unclassified Podoviridae;Cellulosimicrobium phage DS1</t>
  </si>
  <si>
    <t>Oct.NODE_1049_length_3008_cov_3.913647</t>
  </si>
  <si>
    <t>Oct.NODE_581_length_4495_cov_4.197297</t>
  </si>
  <si>
    <t>Viruses[4];Duplodnaviria[4];Heunggongvirae[4];Uroviricota[4];Caudoviricetes[4];Caudovirales[4];Podoviridae[4];unclassified Podoviridae[3];Cellulosimicrobium phage DS1[3];Mandibulata[1];Pancrustacea[1];Hexapoda[1];Insecta[1];Dicondylia[1];Pterygota[1];Neoptera[1];Endopterygota[1];Hymenoptera[1];Apocrita[1];Aculeata[1];Formicoidea[1];Formicidae[1];Ponerinae[1];Ponerini[1];Dinoponera[1];Dinoponera quadriceps[1]</t>
  </si>
  <si>
    <t>Viruses;Duplodnaviria;Heunggongvirae;Uroviricota;Caudoviricetes;Caudovirales;Podoviridae;unclassified Podoviridae;Cellulosimicrobium phage DS1;Mandibulata;Pancrustacea;Hexapoda;Insecta;Dicondylia;Pterygota;Neoptera;Endopterygota;Hymenoptera;Apocrita;Aculeata;Formicoidea;Formicidae;Ponerinae;Ponerini;Dinoponera;Dinoponera quadriceps</t>
  </si>
  <si>
    <t>Viruses[4];Duplodnaviria[4];Heunggongvirae[4];Uroviricota[4];Caudoviricetes[4];Caudovirales[4];Podoviridae[4];unclassified Podoviridae[3];Cellulosimicrobium phage DS1[3];Arthrobacter phage Adat[1]</t>
  </si>
  <si>
    <t>Oct.NODE_625_length_4274_cov_6.581417</t>
  </si>
  <si>
    <t>Viruses[1];Duplodnaviria[1];Heunggongvirae[1];Uroviricota[1];Caudoviricetes[1];Caudovirales[1];Podoviridae[1];unclassified Podoviridae[1];Cronobacter phage vB_CsaP_Ss1[1]</t>
  </si>
  <si>
    <t>Viruses;Duplodnaviria;Heunggongvirae;Uroviricota;Caudoviricetes;Caudovirales;Podoviridae;unclassified Podoviridae;Cronobacter phage vB_CsaP_Ss1</t>
  </si>
  <si>
    <t>Oct.NODE_884_length_3388_cov_4.515152</t>
  </si>
  <si>
    <t>Viruses[2];Duplodnaviria[2];Heunggongvirae[2];Uroviricota[2];Caudoviricetes[2];Caudovirales[2];Podoviridae[1];unclassified Podoviridae[1];Curvibacter phage P26059A[1]</t>
  </si>
  <si>
    <t>Viruses;Duplodnaviria;Heunggongvirae;Uroviricota;Caudoviricetes;Caudovirales;Podoviridae;unclassified Podoviridae;Curvibacter phage P26059A</t>
  </si>
  <si>
    <t>Viruses[2];Duplodnaviria[2];Heunggongvirae[2];Uroviricota[2];Caudoviricetes[2];Caudovirales[2];Siphoviridae[1];unclassified Siphoviridae[1];Roseobacter phage CRP-7[1]</t>
  </si>
  <si>
    <t>Sept.NODE_800_length_2701_cov_2.975813</t>
  </si>
  <si>
    <t>Viruses[4];Duplodnaviria[4];Heunggongvirae[4];Uroviricota[4];Caudoviricetes[4];Caudovirales[4];Podoviridae[4];unclassified Podoviridae[4];Dunaliella viridis virus SI2[3]</t>
  </si>
  <si>
    <t>Viruses;Duplodnaviria;Heunggongvirae;Uroviricota;Caudoviricetes;Caudovirales;Podoviridae;unclassified Podoviridae;Dunaliella viridis virus SI2</t>
  </si>
  <si>
    <t>Oct.NODE_1504_length_2412_cov_2.187527</t>
  </si>
  <si>
    <t>Viruses[1];Duplodnaviria[1];Heunggongvirae[1];Uroviricota[1];Caudoviricetes[1];Caudovirales[1];Podoviridae[1];unclassified Podoviridae[1];Dunaliella viridis virus SI2[1]</t>
  </si>
  <si>
    <t>Oct.NODE_1601_length_2321_cov_2.400706</t>
  </si>
  <si>
    <t>Oct.NODE_1721_length_2199_cov_2.873134</t>
  </si>
  <si>
    <t>Sept.NODE_528_length_3560_cov_2.986305</t>
  </si>
  <si>
    <t>Viruses[3];Duplodnaviria[3];Heunggongvirae[3];Uroviricota[3];Caudoviricetes[3];Caudovirales[3];Podoviridae[3];unclassified Podoviridae[3];Dunaliella viridis virus SI2[3]</t>
  </si>
  <si>
    <t>Oct.NODE_1354_length_2603_cov_2.551413</t>
  </si>
  <si>
    <t>Sept.NODE_25_length_34634_cov_203.372770</t>
  </si>
  <si>
    <t>Viruses[24];Duplodnaviria[24];Heunggongvirae[24];Uroviricota[24];Caudoviricetes[24];Caudovirales[24];Podoviridae[22];unclassified Podoviridae[22];Dunaliella viridis virus SI2[22];Siovirus germanense[1];Lentibacter phage vB_LenP_ICBM3[1]</t>
  </si>
  <si>
    <t>Viruses;Duplodnaviria;Heunggongvirae;Uroviricota;Caudoviricetes;Caudovirales;Podoviridae;unclassified Podoviridae;Dunaliella viridis virus SI2;Siovirus germanense;Lentibacter phage vB_LenP_ICBM3</t>
  </si>
  <si>
    <t>Viruses[24];Duplodnaviria[24];Heunggongvirae[24];Uroviricota[24];Caudoviricetes[24];Caudovirales[24];Podoviridae[22];unclassified Podoviridae[22];Dunaliella viridis virus SI2[22];Pseudomonas phage PN09[1];Lentibacter phage vB_LenP_ICBM3[1]</t>
  </si>
  <si>
    <t>Sept.NODE_891_length_2510_cov_5.846029</t>
  </si>
  <si>
    <t>Viruses[1];Duplodnaviria[1];Heunggongvirae[1];Uroviricota[1];Caudoviricetes[1];Caudovirales[1];Podoviridae[1];unclassified Podoviridae[1];EBPR podovirus 1[1]</t>
  </si>
  <si>
    <t>Viruses;Duplodnaviria;Heunggongvirae;Uroviricota;Caudoviricetes;Caudovirales;Podoviridae;unclassified Podoviridae;EBPR podovirus 1</t>
  </si>
  <si>
    <t>Avril.NODE_1406_length_2183_cov_34.203947</t>
  </si>
  <si>
    <t>Viruses[2];Duplodnaviria[2];Heunggongvirae[2];Uroviricota[2];Caudoviricetes[2];Caudovirales[2];Podoviridae[1];unclassified Podoviridae[1];EBPR podovirus 1[1]</t>
  </si>
  <si>
    <t>Viruses[2];Duplodnaviria[2];Heunggongvirae[2];Uroviricota[2];Caudoviricetes[2];Caudovirales[2];Podoviridae[1];unclassified Siphoviridae[1];Curvibacter phage P26059A[1]</t>
  </si>
  <si>
    <t>Sept.NODE_857_length_2569_cov_23.723150</t>
  </si>
  <si>
    <t>Viruses[1];Duplodnaviria[1];Heunggongvirae[1];Uroviricota[1];Caudoviricetes[1];Caudovirales[1];Podoviridae[1];unclassified Podoviridae[1];EBPR podovirus 2[1]</t>
  </si>
  <si>
    <t>Viruses;Duplodnaviria;Heunggongvirae;Uroviricota;Caudoviricetes;Caudovirales;Podoviridae;unclassified Podoviridae;EBPR podovirus 2</t>
  </si>
  <si>
    <t>Sept.NODE_924_length_2451_cov_69.665693</t>
  </si>
  <si>
    <t>Avril.NODE_1225_length_2401_cov_5.228048</t>
  </si>
  <si>
    <t>Viruses[2];Duplodnaviria[2];Heunggongvirae[2];Uroviricota[2];Caudoviricetes[2];Caudovirales[2];Podoviridae[2];unclassified Podoviridae[2];EBPR podovirus 2[1]</t>
  </si>
  <si>
    <t>Viruses[2];Duplodnaviria[2];Heunggongvirae[2];Uroviricota[2];Caudoviricetes[2];Caudovirales[2];Podoviridae[2];unclassified Podoviridae[2];Sulfitobacter phage phiGT1[1]</t>
  </si>
  <si>
    <t>Sept.NODE_1115_length_2164_cov_36.875296</t>
  </si>
  <si>
    <t>Avril.NODE_1542_length_2043_cov_4.387324</t>
  </si>
  <si>
    <t>Avril.NODE_1308_length_2283_cov_3.387792</t>
  </si>
  <si>
    <t>Viruses[3];Duplodnaviria[3];Heunggongvirae[3];Uroviricota[3];Caudoviricetes[3];Caudovirales[3];Podoviridae[3];unclassified Podoviridae[3];EBPR podovirus 2[2]</t>
  </si>
  <si>
    <t>Sept.NODE_1184_length_2079_cov_3.527174</t>
  </si>
  <si>
    <t>Viruses[3];Duplodnaviria[3];Heunggongvirae[3];Uroviricota[3];Caudoviricetes[3];Caudovirales[3];Podoviridae[3];unclassified Podoviridae[3];EBPR podovirus 2[1]</t>
  </si>
  <si>
    <t>Viruses[3];Duplodnaviria[3];Heunggongvirae[3];Uroviricota[3];Caudoviricetes[3];Caudovirales[3];Podoviridae[3];unclassified Podoviridae[3];Sulfitobacter phage pCB2047-C[1]</t>
  </si>
  <si>
    <t>Oct.NODE_303_length_6944_cov_17.025258</t>
  </si>
  <si>
    <t>Viruses[3];Duplodnaviria[3];Heunggongvirae[3];Uroviricota[3];Caudoviricetes[3];Caudovirales[3];Podoviridae[2];unclassified Podoviridae[2];Emdodecavirus M12[1];Sinorhizobium phage phiM12[1]</t>
  </si>
  <si>
    <t>Viruses;Duplodnaviria;Heunggongvirae;Uroviricota;Caudoviricetes;Caudovirales;Podoviridae;unclassified Podoviridae;Emdodecavirus M12;Sinorhizobium phage phiM12</t>
  </si>
  <si>
    <t>Sept.NODE_1241_length_2013_cov_4.327886</t>
  </si>
  <si>
    <t>Viruses[1];Duplodnaviria[1];Heunggongvirae[1];Uroviricota[1];Caudoviricetes[1];Caudovirales[1];Podoviridae[1];unclassified Podoviridae[1];Freshwater phage uvFW-CGR-AMD-COM-C429[1]</t>
  </si>
  <si>
    <t>Viruses;Duplodnaviria;Heunggongvirae;Uroviricota;Caudoviricetes;Caudovirales;Podoviridae;unclassified Podoviridae;Freshwater phage uvFW-CGR-AMD-COM-C429</t>
  </si>
  <si>
    <t>Sept.NODE_377_length_4468_cov_6.234081</t>
  </si>
  <si>
    <t>Viruses[2];Duplodnaviria[2];Heunggongvirae[2];Uroviricota[2];Caudoviricetes[2];Caudovirales[2];Podoviridae[2];unclassified Podoviridae[2];Freshwater phage uvFW-CGR-AMD-COM-C493[1]</t>
  </si>
  <si>
    <t>Viruses;Duplodnaviria;Heunggongvirae;Uroviricota;Caudoviricetes;Caudovirales;Podoviridae;unclassified Podoviridae;Freshwater phage uvFW-CGR-AMD-COM-C493</t>
  </si>
  <si>
    <t>Viruses[2];Duplodnaviria[2];Heunggongvirae[2];Uroviricota[2];Caudoviricetes[2];Caudovirales[2];Podoviridae[2];unclassified Podoviridae[2];Freshwater phage uvFW-CGR-AMD-COM-C449[1]</t>
  </si>
  <si>
    <t>Sept.NODE_489_length_3743_cov_6.157538</t>
  </si>
  <si>
    <t>Viruses[1];Duplodnaviria[1];Heunggongvirae[1];Uroviricota[1];Caudoviricetes[1];Caudovirales[1];Podoviridae[1];unclassified Podoviridae[1];Freshwater phage uvFW-CGR-AMD-COM-C493[1]</t>
  </si>
  <si>
    <t>Oct.NODE_1134_length_2894_cov_32.028883</t>
  </si>
  <si>
    <t>Viruses[2];Duplodnaviria[2];Heunggongvirae[2];Uroviricota[2];Caudoviricetes[2];Caudovirales[2];Podoviridae[1];unclassified Podoviridae[1];Gilsonvirus comrade[1];Streptomyces phage Belfort[1]</t>
  </si>
  <si>
    <t>Viruses;Duplodnaviria;Heunggongvirae;Uroviricota;Caudoviricetes;Caudovirales;Podoviridae;unclassified Podoviridae;Gilsonvirus comrade;Streptomyces phage Belfort</t>
  </si>
  <si>
    <t>Viruses[2];Duplodnaviria[2];Heunggongvirae[2];Uroviricota[2];Caudoviricetes[2];Caudovirales[2];Siphoviridae[1];Gilsonvirus[1];Sinorhizobium phage phiM6[1];Streptomyces phage Belfort[1]</t>
  </si>
  <si>
    <t>Sept.NODE_557_length_3452_cov_6.495732</t>
  </si>
  <si>
    <t>Viruses[5];Duplodnaviria[4];Heunggongvirae[4];Uroviricota[4];Caudoviricetes[4];Caudovirales[4];Podoviridae[2];unclassified Podoviridae[2];Marseillevirus LCMAC101[1];Pelagibacter phage HTVC119P[1]</t>
  </si>
  <si>
    <t>Viruses;Duplodnaviria;Heunggongvirae;Uroviricota;Caudoviricetes;Caudovirales;Podoviridae;unclassified Podoviridae;Marseillevirus LCMAC101;Pelagibacter phage HTVC119P</t>
  </si>
  <si>
    <t>Viruses[5];Duplodnaviria[4];Heunggongvirae[4];Uroviricota[4];Caudoviricetes[4];Caudovirales[4];Podoviridae[2];unclassified Podoviridae[2];Aurunvirus STIM5[1];Cyanophage S-TIM5[1]</t>
  </si>
  <si>
    <t>Oct.NODE_1817_length_2123_cov_2.659574</t>
  </si>
  <si>
    <t>Viruses[1];Duplodnaviria[1];Heunggongvirae[1];Uroviricota[1];Caudoviricetes[1];Caudovirales[1];Podoviridae[1];unclassified Podoviridae[1];Methylophilales phage HIM624-A[1]</t>
  </si>
  <si>
    <t>Viruses;Duplodnaviria;Heunggongvirae;Uroviricota;Caudoviricetes;Caudovirales;Podoviridae;unclassified Podoviridae;Methylophilales phage HIM624-A</t>
  </si>
  <si>
    <t>Avril.NODE_991_length_2752_cov_6.556544</t>
  </si>
  <si>
    <t>Oct.NODE_1192_length_2812_cov_2.607182</t>
  </si>
  <si>
    <t>Viruses[1];Duplodnaviria[1];Heunggongvirae[1];Uroviricota[1];Caudoviricetes[1];Caudovirales[1];Podoviridae[1];unclassified Podoviridae[1];Nostoc sp. TCL240-02[1]</t>
  </si>
  <si>
    <t>Viruses;Duplodnaviria;Heunggongvirae;Uroviricota;Caudoviricetes;Caudovirales;Podoviridae;unclassified Podoviridae;Nostoc sp. TCL240-02</t>
  </si>
  <si>
    <t>Viruses[1];Duplodnaviria[1];Heunggongvirae[1];Uroviricota[1];Caudoviricetes[1];Caudovirales[1];Podoviridae[1];unclassified Podoviridae[1];Pelagibacter phage HTVC034P[1]</t>
  </si>
  <si>
    <t>Sept.NODE_549_length_3488_cov_7.186135</t>
  </si>
  <si>
    <t>Viruses[2];Duplodnaviria[2];Heunggongvirae[2];Uroviricota[2];Caudoviricetes[2];Caudovirales[2];Podoviridae[2];unclassified Podoviridae[2];Pelagibacter phage HTVC028P[2]</t>
  </si>
  <si>
    <t>Viruses;Duplodnaviria;Heunggongvirae;Uroviricota;Caudoviricetes;Caudovirales;Podoviridae;unclassified Podoviridae;Pelagibacter phage HTVC028P</t>
  </si>
  <si>
    <t>Sept.NODE_321_length_5146_cov_10.481241</t>
  </si>
  <si>
    <t>Viruses[2];Duplodnaviria[2];Heunggongvirae[2];Uroviricota[2];Caudoviricetes[2];Caudovirales[2];Podoviridae[2];unclassified Podoviridae[2];Pelagibacter phage HTVC034P[1]</t>
  </si>
  <si>
    <t>Viruses;Duplodnaviria;Heunggongvirae;Uroviricota;Caudoviricetes;Caudovirales;Podoviridae;unclassified Podoviridae;Pelagibacter phage HTVC034P</t>
  </si>
  <si>
    <t>Mai.NODE_676_length_3122_cov_4.095207</t>
  </si>
  <si>
    <t>Mai.NODE_766_length_2815_cov_6.507246</t>
  </si>
  <si>
    <t>Viruses[1];Duplodnaviria[1];Heunggongvirae[1];Uroviricota[1];Caudoviricetes[1];Caudovirales[1];Podoviridae[1];unclassified Podoviridae[1];Pelagibacter phage HTVC035P[1]</t>
  </si>
  <si>
    <t>Viruses;Duplodnaviria;Heunggongvirae;Uroviricota;Caudoviricetes;Caudovirales;Podoviridae;unclassified Podoviridae;Pelagibacter phage HTVC035P</t>
  </si>
  <si>
    <t>Oct.NODE_1472_length_2445_cov_22.527615</t>
  </si>
  <si>
    <t>Mai.NODE_877_length_2567_cov_2.630971</t>
  </si>
  <si>
    <t>Sept.NODE_685_length_2997_cov_13.380693</t>
  </si>
  <si>
    <t>Viruses[1];Duplodnaviria[1];Heunggongvirae[1];Uroviricota[1];Caudoviricetes[1];Caudovirales[1];Podoviridae[1];unclassified Podoviridae[1];Pelagibacter phage HTVC100P[1]</t>
  </si>
  <si>
    <t>Viruses;Duplodnaviria;Heunggongvirae;Uroviricota;Caudoviricetes;Caudovirales;Podoviridae;unclassified Podoviridae;Pelagibacter phage HTVC100P</t>
  </si>
  <si>
    <t>Oct.NODE_17_length_42127_cov_14.061823</t>
  </si>
  <si>
    <t>Viruses[8];Duplodnaviria[8];Heunggongvirae[8];Uroviricota[8];Caudoviricetes[8];Caudovirales[7];Podoviridae[5];unclassified Podoviridae[5];Pelagibacter phage HTVC203P[2]</t>
  </si>
  <si>
    <t>Viruses;Duplodnaviria;Heunggongvirae;Uroviricota;Caudoviricetes;Caudovirales;Podoviridae;unclassified Podoviridae;Pelagibacter phage HTVC203P</t>
  </si>
  <si>
    <t>Avril.NODE_302_length_6806_cov_5.620649</t>
  </si>
  <si>
    <t>Viruses[3];Duplodnaviria[3];Heunggongvirae[3];Uroviricota[3];Caudoviricetes[3];Caudovirales[3];Podoviridae[3];unclassified Podoviridae[3];Pelagibacter phage Lederberg EXVC029P[2]</t>
  </si>
  <si>
    <t>Viruses;Duplodnaviria;Heunggongvirae;Uroviricota;Caudoviricetes;Caudovirales;Podoviridae;unclassified Podoviridae;Pelagibacter phage Lederberg EXVC029P</t>
  </si>
  <si>
    <t>Sept.NODE_688_length_2990_cov_5.838501</t>
  </si>
  <si>
    <t>Viruses[1];Duplodnaviria[1];Heunggongvirae[1];Uroviricota[1];Caudoviricetes[1];Caudovirales[1];Podoviridae[1];unclassified Podoviridae[1];Pelagibacter phage Lederberg EXVC029P[1]</t>
  </si>
  <si>
    <t>Oct.NODE_1681_length_2233_cov_6.598714</t>
  </si>
  <si>
    <t>Avril.NODE_444_length_5193_cov_4.380304</t>
  </si>
  <si>
    <t>Viruses[2];Duplodnaviria[2];Heunggongvirae[2];Uroviricota[2];Caudoviricetes[2];Caudovirales[2];Podoviridae[2];unclassified Podoviridae[2];Pelagibacter phage Lederberg EXVC029P[1]</t>
  </si>
  <si>
    <t>Avril.NODE_1160_length_2484_cov_2.406752</t>
  </si>
  <si>
    <t>Viruses[2];Duplodnaviria[2];Heunggongvirae[2];Uroviricota[2];Caudoviricetes[2];Caudovirales[2];Podoviridae[2];unclassified Podoviridae[1];Perisivirus Pr[1];Brucella phage S708[1]</t>
  </si>
  <si>
    <t>Viruses;Duplodnaviria;Heunggongvirae;Uroviricota;Caudoviricetes;Caudovirales;Podoviridae;unclassified Podoviridae;Perisivirus Pr;Brucella phage S708</t>
  </si>
  <si>
    <t>Viruses[2];Duplodnaviria[2];Heunggongvirae[2];Uroviricota[2];Caudoviricetes[2];Caudovirales[2];Podoviridae[2];unclassified Podoviridae[1];Rhizobium phage RHph_I1_23[1];Brucella phage S708[1]</t>
  </si>
  <si>
    <t>Sept.NODE_472_length_3823_cov_3.977176</t>
  </si>
  <si>
    <t>Viruses[1];Duplodnaviria[1];Heunggongvirae[1];Uroviricota[1];Caudoviricetes[1];Caudovirales[1];Podoviridae[1];unclassified Podoviridae[1];Podoviridae sp. ct2cs2[1]</t>
  </si>
  <si>
    <t>Viruses;Duplodnaviria;Heunggongvirae;Uroviricota;Caudoviricetes;Caudovirales;Podoviridae;unclassified Podoviridae;Podoviridae sp. ct2cs2</t>
  </si>
  <si>
    <t>Avril.NODE_1411_length_2178_cov_4.468676</t>
  </si>
  <si>
    <t>Avril.NODE_251_length_7649_cov_10.635238</t>
  </si>
  <si>
    <t>Viruses[3];Duplodnaviria[3];Heunggongvirae[3];Uroviricota[3];Caudoviricetes[3];Caudovirales[3];Podoviridae[3];unclassified Podoviridae[3];Podoviridae sp. ctDWo9[2]</t>
  </si>
  <si>
    <t>Viruses;Duplodnaviria;Heunggongvirae;Uroviricota;Caudoviricetes;Caudovirales;Podoviridae;unclassified Podoviridae;Podoviridae sp. ctDWo9</t>
  </si>
  <si>
    <t>Oct.NODE_1223_length_2766_cov_2.722243</t>
  </si>
  <si>
    <t>Viruses[1];Duplodnaviria[1];Heunggongvirae[1];Uroviricota[1];Caudoviricetes[1];Caudovirales[1];Podoviridae[1];unclassified Podoviridae[1];Podoviridae sp. ctg2L5[1]</t>
  </si>
  <si>
    <t>Viruses;Duplodnaviria;Heunggongvirae;Uroviricota;Caudoviricetes;Caudovirales;Podoviridae;unclassified Podoviridae;Podoviridae sp. ctg2L5</t>
  </si>
  <si>
    <t>Mai.NODE_304_length_5671_cov_7.469729</t>
  </si>
  <si>
    <t>Oct.NODE_565_length_4608_cov_4.700857</t>
  </si>
  <si>
    <t>Viruses[3];Duplodnaviria[3];Heunggongvirae[3];Uroviricota[3];Caudoviricetes[3];Caudovirales[3];Podoviridae[3];unclassified Podoviridae[3];Podoviridae sp. ctka020[3]</t>
  </si>
  <si>
    <t>Viruses;Duplodnaviria;Heunggongvirae;Uroviricota;Caudoviricetes;Caudovirales;Podoviridae;unclassified Podoviridae;Podoviridae sp. ctka020</t>
  </si>
  <si>
    <t>Oct.NODE_681_length_4072_cov_3.505103</t>
  </si>
  <si>
    <t>Viruses[3];Duplodnaviria[3];Heunggongvirae[3];Uroviricota[3];Caudoviricetes[3];Caudovirales[3];Podoviridae[2];unclassified Podoviridae[2];Podoviridae sp. ctka020[2]</t>
  </si>
  <si>
    <t>Avril.NODE_329_length_6307_cov_6.475048</t>
  </si>
  <si>
    <t>Viruses[1];Duplodnaviria[1];Heunggongvirae[1];Uroviricota[1];Caudoviricetes[1];Caudovirales[1];Podoviridae[1];unclassified Podoviridae[1];Podoviridae sp. ctka020[1]</t>
  </si>
  <si>
    <t>Avril.NODE_489_length_4808_cov_5.960867</t>
  </si>
  <si>
    <t>Viruses[4];Duplodnaviria[4];Heunggongvirae[4];Uroviricota[4];Caudoviricetes[4];Caudovirales[4];Podoviridae[4];unclassified Podoviridae[3];Podoviridae sp. ctka020[3];Ralstonia phage Hennie[1]</t>
  </si>
  <si>
    <t>Viruses;Duplodnaviria;Heunggongvirae;Uroviricota;Caudoviricetes;Caudovirales;Podoviridae;unclassified Podoviridae;Podoviridae sp. ctka020;Ralstonia phage Hennie</t>
  </si>
  <si>
    <t>Sept.NODE_434_length_4079_cov_4.062127</t>
  </si>
  <si>
    <t>Viruses[1];Duplodnaviria[1];Heunggongvirae[1];Uroviricota[1];Caudoviricetes[1];Caudovirales[1];Podoviridae[1];unclassified Podoviridae[1];Podoviridae sp. ctKoA10[1]</t>
  </si>
  <si>
    <t>Viruses;Duplodnaviria;Heunggongvirae;Uroviricota;Caudoviricetes;Caudovirales;Podoviridae;unclassified Podoviridae;Podoviridae sp. ctKoA10</t>
  </si>
  <si>
    <t>Oct.NODE_1546_length_2374_cov_3.185856</t>
  </si>
  <si>
    <t>Viruses[2];Duplodnaviria[2];Heunggongvirae[2];Uroviricota[2];Caudoviricetes[2];Caudovirales[2];Podoviridae[2];unclassified Podoviridae[2];Podoviridae sp. ctKoA10[1]</t>
  </si>
  <si>
    <t>Viruses[2];Duplodnaviria[2];Heunggongvirae[2];Uroviricota[2];Caudoviricetes[2];Caudovirales[2];Podoviridae[2];unclassified Podoviridae[2];Vibrio phage 1.275.O._10N.286.54.E11[1]</t>
  </si>
  <si>
    <t>Sept.NODE_1106_length_2170_cov_18.304492</t>
  </si>
  <si>
    <t>Viruses[1];Duplodnaviria[1];Heunggongvirae[1];Uroviricota[1];Caudoviricetes[1];Caudovirales[1];Podoviridae[1];unclassified Podoviridae[1];Podoviridae sp. ctQNx1[1]</t>
  </si>
  <si>
    <t>Viruses;Duplodnaviria;Heunggongvirae;Uroviricota;Caudoviricetes;Caudovirales;Podoviridae;unclassified Podoviridae;Podoviridae sp. ctQNx1</t>
  </si>
  <si>
    <t>Oct.NODE_1480_length_2438_cov_3.281997</t>
  </si>
  <si>
    <t>Viruses[2];Duplodnaviria[2];Heunggongvirae[2];Uroviricota[2];Caudoviricetes[2];Caudovirales[2];Podoviridae[1];unclassified Podoviridae[1];Podoviridae sp. ctQNx1[1];Neorhizobium galegae bv. orientalis str. HAMBI 540[1]</t>
  </si>
  <si>
    <t>Viruses;Duplodnaviria;Heunggongvirae;Uroviricota;Caudoviricetes;Caudovirales;Podoviridae;unclassified Podoviridae;Podoviridae sp. ctQNx1;Neorhizobium galegae bv. orientalis str. HAMBI 540</t>
  </si>
  <si>
    <t>Viruses[2];Duplodnaviria[2];Heunggongvirae[2];Uroviricota[2];Caudoviricetes[2];Caudovirales[2];Ackermannviridae[1];unclassified Podoviridae[1];Podoviridae sp. ctQNx1[1]</t>
  </si>
  <si>
    <t>Avril.NODE_40_length_35582_cov_1508.917105</t>
  </si>
  <si>
    <t>Viruses[1];Duplodnaviria[1];Heunggongvirae[1];Uroviricota[1];Caudoviricetes[1];Caudovirales[1];Podoviridae[1];unclassified Podoviridae[1];Podoviridae sp. ctviO18[1]</t>
  </si>
  <si>
    <t>Viruses;Duplodnaviria;Heunggongvirae;Uroviricota;Caudoviricetes;Caudovirales;Podoviridae;unclassified Podoviridae;Podoviridae sp. ctviO18</t>
  </si>
  <si>
    <t>Mai.NODE_504_length_3830_cov_14.045033</t>
  </si>
  <si>
    <t>Oct.NODE_1040_length_3023_cov_3.696765</t>
  </si>
  <si>
    <t>Oct.NODE_924_length_3273_cov_4.709136</t>
  </si>
  <si>
    <t>Viruses[2];Duplodnaviria[2];Heunggongvirae[2];Uroviricota[2];Caudoviricetes[2];Caudovirales[2];Podoviridae[2];unclassified Podoviridae[2];Podoviridae sp. ctviO18[2]</t>
  </si>
  <si>
    <t>Oct.NODE_930_length_3265_cov_4.691900</t>
  </si>
  <si>
    <t>Oct.NODE_185_length_10462_cov_4.703084</t>
  </si>
  <si>
    <t>Viruses[4];Duplodnaviria[3];Heunggongvirae[3];Uroviricota[3];Caudoviricetes[3];Caudovirales[3];Podoviridae[3];unclassified Podoviridae[3];Podoviridae sp. ctviO18[3]</t>
  </si>
  <si>
    <t>Sept.NODE_358_length_4635_cov_3.001528</t>
  </si>
  <si>
    <t>Viruses[1];Duplodnaviria[1];Heunggongvirae[1];Uroviricota[1];Caudoviricetes[1];Caudovirales[1];Podoviridae[1];unclassified Podoviridae[1];Podoviridae sp. cty5g4[1]</t>
  </si>
  <si>
    <t>Viruses;Duplodnaviria;Heunggongvirae;Uroviricota;Caudoviricetes;Caudovirales;Podoviridae;unclassified Podoviridae;Podoviridae sp. cty5g4</t>
  </si>
  <si>
    <t>Oct.NODE_1272_length_2710_cov_12.889642</t>
  </si>
  <si>
    <t>Avril.NODE_804_length_3249_cov_6.841578</t>
  </si>
  <si>
    <t>Mai.NODE_681_length_3097_cov_5.750822</t>
  </si>
  <si>
    <t>Viruses[3];Duplodnaviria[3];Heunggongvirae[3];Uroviricota[3];Caudoviricetes[3];Caudovirales[3];Podoviridae[2];unclassified Podoviridae[2];Podovirus GOM[1]</t>
  </si>
  <si>
    <t>Viruses;Duplodnaviria;Heunggongvirae;Uroviricota;Caudoviricetes;Caudovirales;Podoviridae;unclassified Podoviridae;Podovirus GOM</t>
  </si>
  <si>
    <t>Oct.NODE_946_length_3224_cov_4.450615</t>
  </si>
  <si>
    <t>Viruses[3];Duplodnaviria[3];Heunggongvirae[3];Uroviricota[3];Caudoviricetes[3];Caudovirales[3];Podoviridae[3];unclassified Podoviridae[3];Pseudoalteromonas virus vB_PspP-H6/1[1]</t>
  </si>
  <si>
    <t>Viruses;Duplodnaviria;Heunggongvirae;Uroviricota;Caudoviricetes;Caudovirales;Podoviridae;unclassified Podoviridae;Pseudoalteromonas virus vB_PspP-H6/1</t>
  </si>
  <si>
    <t>Avril.NODE_1331_length_2258_cov_3.006355</t>
  </si>
  <si>
    <t>Viruses[1];Duplodnaviria[1];Heunggongvirae[1];Uroviricota[1];Caudoviricetes[1];Caudovirales[1];Podoviridae[1];unclassified Podoviridae[1];Pseudoalteromonas virus vB_PspP-H6/1[1]</t>
  </si>
  <si>
    <t>Oct.NODE_1935_length_2016_cov_2.521163</t>
  </si>
  <si>
    <t>Oct.NODE_476_length_5121_cov_3.568298</t>
  </si>
  <si>
    <t>Viruses[2];Duplodnaviria[2];Heunggongvirae[2];Uroviricota[2];Caudoviricetes[2];Caudovirales[2];Podoviridae[1];unclassified Podoviridae[1];Pseudoalteromonas virus vB_PspP-H6/1[1]</t>
  </si>
  <si>
    <t>Viruses[2];Duplodnaviria[2];Heunggongvirae[2];Uroviricota[2];Caudoviricetes[2];Caudovirales[2];Podoviridae[1];unclassified Siphoviridae[1];Pseudoalteromonas virus vB_PspP-H6/1[1]</t>
  </si>
  <si>
    <t>Avril.NODE_96_length_18205_cov_10.611129</t>
  </si>
  <si>
    <t>Viruses[8];Duplodnaviria[8];Heunggongvirae[8];Uroviricota[8];Caudoviricetes[8];Caudovirales[8];Podoviridae[7];unclassified Podoviridae[7];Pseudoalteromonas virus vB_PspP-H6/1[7];Vibrio virus KVP40[1];Vibrio phage V09[1]</t>
  </si>
  <si>
    <t>Viruses;Duplodnaviria;Heunggongvirae;Uroviricota;Caudoviricetes;Caudovirales;Podoviridae;unclassified Podoviridae;Pseudoalteromonas virus vB_PspP-H6/1;Vibrio virus KVP40;Vibrio phage V09</t>
  </si>
  <si>
    <t>Avril.NODE_1548_length_2037_cov_2.568618</t>
  </si>
  <si>
    <t>Viruses[1];Duplodnaviria[1];Heunggongvirae[1];Uroviricota[1];Caudoviricetes[1];Caudovirales[1];Podoviridae[1];unclassified Podoviridae[1];Pseudomonas phage AF[1]</t>
  </si>
  <si>
    <t>Viruses;Duplodnaviria;Heunggongvirae;Uroviricota;Caudoviricetes;Caudovirales;Podoviridae;unclassified Podoviridae;Pseudomonas phage AF</t>
  </si>
  <si>
    <t>Sept.NODE_543_length_3512_cov_29.563784</t>
  </si>
  <si>
    <t>Viruses[1];Duplodnaviria[1];Heunggongvirae[1];Uroviricota[1];Caudoviricetes[1];Caudovirales[1];Podoviridae[1];unclassified Podoviridae[1];Pseudomonas phage Itty13[1]</t>
  </si>
  <si>
    <t>Viruses;Duplodnaviria;Heunggongvirae;Uroviricota;Caudoviricetes;Caudovirales;Podoviridae;unclassified Podoviridae;Pseudomonas phage Itty13</t>
  </si>
  <si>
    <t>Avril.NODE_698_length_3595_cov_7.156215</t>
  </si>
  <si>
    <t>Viruses[1];Duplodnaviria[1];Heunggongvirae[1];Uroviricota[1];Caudoviricetes[1];Caudovirales[1];Podoviridae[1];unclassified Podoviridae[1];Pseudomonas phage vB_PaeP_Tr60_Ab31[1]</t>
  </si>
  <si>
    <t>Viruses;Duplodnaviria;Heunggongvirae;Uroviricota;Caudoviricetes;Caudovirales;Podoviridae;unclassified Podoviridae;Pseudomonas phage vB_PaeP_Tr60_Ab31</t>
  </si>
  <si>
    <t>Mai.NODE_1227_length_2010_cov_9.385678</t>
  </si>
  <si>
    <t>Viruses[1];Duplodnaviria[1];Heunggongvirae[1];Uroviricota[1];Caudoviricetes[1];Caudovirales[1];Podoviridae[1];unclassified Podoviridae[1];Puniceispirillum phage HMO-2011[1]</t>
  </si>
  <si>
    <t>Viruses;Duplodnaviria;Heunggongvirae;Uroviricota;Caudoviricetes;Caudovirales;Podoviridae;unclassified Podoviridae;Puniceispirillum phage HMO-2011</t>
  </si>
  <si>
    <t>Mai.NODE_961_length_2372_cov_3.748813</t>
  </si>
  <si>
    <t>Viruses[1];Duplodnaviria[1];Heunggongvirae[1];Uroviricota[1];Caudoviricetes[1];Caudovirales[1];Podoviridae[1];unclassified Podoviridae[1];Putridiphycobacter roseus[1]</t>
  </si>
  <si>
    <t>Viruses;Duplodnaviria;Heunggongvirae;Uroviricota;Caudoviricetes;Caudovirales;Podoviridae;unclassified Podoviridae;Putridiphycobacter roseus</t>
  </si>
  <si>
    <t>Viruses[1];Duplodnaviria[1];Heunggongvirae[1];Uroviricota[1];Caudoviricetes[1];Caudovirales[1];Podoviridae[1];unclassified Podoviridae[1];Tenacibaculum phage Gundel_1[1]</t>
  </si>
  <si>
    <t>Oct.NODE_1962_length_2001_cov_2.742035</t>
  </si>
  <si>
    <t>Viruses[1];Duplodnaviria[1];Heunggongvirae[1];Uroviricota[1];Caudoviricetes[1];Caudovirales[1];Podoviridae[1];unclassified Podoviridae[1];Ralstonia phage DU_RP_II[1]</t>
  </si>
  <si>
    <t>Viruses;Duplodnaviria;Heunggongvirae;Uroviricota;Caudoviricetes;Caudovirales;Podoviridae;unclassified Podoviridae;Ralstonia phage DU_RP_II</t>
  </si>
  <si>
    <t>Sept.NODE_483_length_3762_cov_24.779336</t>
  </si>
  <si>
    <t>Viruses[1];Duplodnaviria[1];Heunggongvirae[1];Uroviricota[1];Caudoviricetes[1];Caudovirales[1];Podoviridae[1];unclassified Podoviridae[1];Ralstonia phage RpY1[1]</t>
  </si>
  <si>
    <t>Viruses;Duplodnaviria;Heunggongvirae;Uroviricota;Caudoviricetes;Caudovirales;Podoviridae;unclassified Podoviridae;Ralstonia phage RpY1</t>
  </si>
  <si>
    <t>Sept.NODE_923_length_2453_cov_4.709341</t>
  </si>
  <si>
    <t>Avril.NODE_749_length_3437_cov_12.053519</t>
  </si>
  <si>
    <t>Viruses[1];Duplodnaviria[1];Heunggongvirae[1];Uroviricota[1];Caudoviricetes[1];Caudovirales[1];Podoviridae[1];unclassified Podoviridae[1];Rhizobium phage RHph_I1_23[1]</t>
  </si>
  <si>
    <t>Viruses;Duplodnaviria;Heunggongvirae;Uroviricota;Caudoviricetes;Caudovirales;Podoviridae;unclassified Podoviridae;Rhizobium phage RHph_I1_23</t>
  </si>
  <si>
    <t>Mai.NODE_933_length_2432_cov_340.477493</t>
  </si>
  <si>
    <t>Sept.NODE_1111_length_2166_cov_19.791094</t>
  </si>
  <si>
    <t>Avril.NODE_1540_length_2045_cov_8.818593</t>
  </si>
  <si>
    <t>Avril.NODE_623_length_3885_cov_3.234726</t>
  </si>
  <si>
    <t>Sept.NODE_296_length_5347_cov_8.580688</t>
  </si>
  <si>
    <t>Viruses[1];Duplodnaviria[1];Heunggongvirae[1];Uroviricota[1];Caudoviricetes[1];Caudovirales[1];Podoviridae[1];unclassified Podoviridae[1];Rhizobium phage RHph_I3_18[1]</t>
  </si>
  <si>
    <t>Viruses;Duplodnaviria;Heunggongvirae;Uroviricota;Caudoviricetes;Caudovirales;Podoviridae;unclassified Podoviridae;Rhizobium phage RHph_I3_18</t>
  </si>
  <si>
    <t>Mai.NODE_645_length_3242_cov_3.201443</t>
  </si>
  <si>
    <t>Sept.NODE_666_length_3034_cov_41.655925</t>
  </si>
  <si>
    <t>Viruses[2];Duplodnaviria[2];Heunggongvirae[2];Uroviricota[2];Caudoviricetes[2];Caudovirales[2];Podoviridae[2];unclassified Podoviridae[2];Rhizobium phage RHph_I3_18[1]</t>
  </si>
  <si>
    <t>Sept.NODE_707_length_2944_cov_5.138802</t>
  </si>
  <si>
    <t>Sept.NODE_947_length_2402_cov_20.125266</t>
  </si>
  <si>
    <t>Mai.NODE_1029_length_2264_cov_4.637392</t>
  </si>
  <si>
    <t>Mai.NODE_583_length_3484_cov_13.392534</t>
  </si>
  <si>
    <t>Oct.NODE_962_length_3189_cov_3.640396</t>
  </si>
  <si>
    <t>Viruses[1];Duplodnaviria[1];Heunggongvirae[1];Uroviricota[1];Caudoviricetes[1];Caudovirales[1];Podoviridae[1];unclassified Podoviridae[1];Rhizobium phage RHph_N2[1]</t>
  </si>
  <si>
    <t>Viruses;Duplodnaviria;Heunggongvirae;Uroviricota;Caudoviricetes;Caudovirales;Podoviridae;unclassified Podoviridae;Rhizobium phage RHph_N2</t>
  </si>
  <si>
    <t>Sept.NODE_715_length_2894_cov_5.567101</t>
  </si>
  <si>
    <t>Viruses[1];Duplodnaviria[1];Heunggongvirae[1];Uroviricota[1];Caudoviricetes[1];Caudovirales[1];Podoviridae[1];unclassified Podoviridae[1];Rhizobium phage RHph_N3_2[1]</t>
  </si>
  <si>
    <t>Viruses;Duplodnaviria;Heunggongvirae;Uroviricota;Caudoviricetes;Caudovirales;Podoviridae;unclassified Podoviridae;Rhizobium phage RHph_N3_2</t>
  </si>
  <si>
    <t>Sept.NODE_949_length_2394_cov_4.150492</t>
  </si>
  <si>
    <t>Viruses[3];Duplodnaviria[3];Heunggongvirae[3];Uroviricota[3];Caudoviricetes[3];Caudovirales[3];Podoviridae[3];unclassified Podoviridae[3];Rhizobium phage RHph_N3_2[2]</t>
  </si>
  <si>
    <t>Sept.NODE_1250_length_2003_cov_4.890144</t>
  </si>
  <si>
    <t>Mai.NODE_551_length_3573_cov_19.595509</t>
  </si>
  <si>
    <t>Avril.NODE_333_length_6283_cov_4.996468</t>
  </si>
  <si>
    <t>Viruses[3];Duplodnaviria[3];Heunggongvirae[3];Uroviricota[3];Caudoviricetes[3];Caudovirales[3];Podoviridae[3];unclassified Podoviridae[3];Rhizobium phage RHph_N65[3]</t>
  </si>
  <si>
    <t>Viruses;Duplodnaviria;Heunggongvirae;Uroviricota;Caudoviricetes;Caudovirales;Podoviridae;unclassified Podoviridae;Rhizobium phage RHph_N65</t>
  </si>
  <si>
    <t>Avril.NODE_1236_length_2385_cov_4.472103</t>
  </si>
  <si>
    <t>Viruses[1];Duplodnaviria[1];Heunggongvirae[1];Uroviricota[1];Caudoviricetes[1];Caudovirales[1];Podoviridae[1];unclassified Podoviridae[1];Rhizobium phage RHph_N65[1]</t>
  </si>
  <si>
    <t>Avril.NODE_1270_length_2341_cov_4.421697</t>
  </si>
  <si>
    <t>Oct.NODE_1180_length_2817_cov_3.602824</t>
  </si>
  <si>
    <t>Viruses[1];Duplodnaviria[1];Heunggongvirae[1];Uroviricota[1];Caudoviricetes[1];Caudovirales[1];Podoviridae[1];unclassified Podoviridae[1];Rhizobium phage RHph_Y1_10[1]</t>
  </si>
  <si>
    <t>Viruses;Duplodnaviria;Heunggongvirae;Uroviricota;Caudoviricetes;Caudovirales;Podoviridae;unclassified Podoviridae;Rhizobium phage RHph_Y1_10</t>
  </si>
  <si>
    <t>Oct.NODE_1559_length_2364_cov_6.619749</t>
  </si>
  <si>
    <t>Mai.NODE_1070_length_2208_cov_1.995820</t>
  </si>
  <si>
    <t>Oct.NODE_1182_length_2816_cov_4.617530</t>
  </si>
  <si>
    <t>Viruses[1];Duplodnaviria[1];Heunggongvirae[1];Uroviricota[1];Caudoviricetes[1];Caudovirales[1];Podoviridae[1];unclassified Podoviridae[1];Roseobacter phage CRP-1[1]</t>
  </si>
  <si>
    <t>Viruses;Duplodnaviria;Heunggongvirae;Uroviricota;Caudoviricetes;Caudovirales;Podoviridae;unclassified Podoviridae;Roseobacter phage CRP-1</t>
  </si>
  <si>
    <t>Oct.NODE_1742_length_2178_cov_4.090438</t>
  </si>
  <si>
    <t>Oct.NODE_1859_length_2084_cov_6.907344</t>
  </si>
  <si>
    <t>Sept.NODE_1182_length_2081_cov_4.782823</t>
  </si>
  <si>
    <t>Viruses[2];Duplodnaviria[2];Heunggongvirae[2];Uroviricota[2];Caudoviricetes[2];Caudovirales[2];Podoviridae[2];unclassified Podoviridae[2];Roseobacter phage CRP-1[1]</t>
  </si>
  <si>
    <t>Viruses[2];Duplodnaviria[2];Heunggongvirae[2];Uroviricota[2];Caudoviricetes[2];Caudovirales[2];Podoviridae[2];unclassified Podoviridae[2];Roseobacter phage CRP-9[1]</t>
  </si>
  <si>
    <t>Sept.NODE_160_length_8860_cov_9.450199</t>
  </si>
  <si>
    <t>Viruses[6];Duplodnaviria[6];Heunggongvirae[6];Uroviricota[6];Caudoviricetes[6];Caudovirales[6];Podoviridae[4];unclassified Podoviridae[4];Roseobacter phage CRP-13[2]</t>
  </si>
  <si>
    <t>Viruses;Duplodnaviria;Heunggongvirae;Uroviricota;Caudoviricetes;Caudovirales;Podoviridae;unclassified Podoviridae;Roseobacter phage CRP-13</t>
  </si>
  <si>
    <t>Sept.NODE_487_length_3752_cov_7.312686</t>
  </si>
  <si>
    <t>Viruses[2];Duplodnaviria[2];Heunggongvirae[2];Uroviricota[2];Caudoviricetes[2];Caudovirales[2];Podoviridae[2];unclassified Podoviridae[2];Roseobacter phage CRP-13[1]</t>
  </si>
  <si>
    <t>Oct.NODE_847_length_3516_cov_5.212366</t>
  </si>
  <si>
    <t>Viruses[1];Duplodnaviria[1];Heunggongvirae[1];Uroviricota[1];Caudoviricetes[1];Caudovirales[1];Podoviridae[1];unclassified Podoviridae[1];Roseobacter phage CRP-13[1]</t>
  </si>
  <si>
    <t>Oct.NODE_890_length_3374_cov_4.595661</t>
  </si>
  <si>
    <t>Viruses[3];Duplodnaviria[3];Heunggongvirae[3];Uroviricota[3];Caudoviricetes[3];Caudovirales[3];Podoviridae[3];unclassified Podoviridae[3];Roseobacter phage CRP-13[2]</t>
  </si>
  <si>
    <t>Oct.NODE_981_length_3138_cov_4.525462</t>
  </si>
  <si>
    <t>Oct.NODE_1113_length_2928_cov_3.281587</t>
  </si>
  <si>
    <t>Viruses[2];Duplodnaviria[2];Heunggongvirae[2];Uroviricota[2];Caudoviricetes[2];Caudovirales[2];Podoviridae[2];unclassified Podoviridae[2];Roseobacter phage CRP-2[1]</t>
  </si>
  <si>
    <t>Sept.NODE_802_length_2698_cov_5.368899</t>
  </si>
  <si>
    <t>Viruses[2];Duplodnaviria[2];Heunggongvirae[2];Uroviricota[2];Caudoviricetes[2];Caudovirales[2];Podoviridae[1];unclassified Podoviridae[1];Roseobacter phage CRP-13[1]</t>
  </si>
  <si>
    <t>Viruses[2];Duplodnaviria[2];Heunggongvirae[2];Uroviricota[2];Caudoviricetes[2];Caudovirales[2];Autographiviridae[1];unclassified Podoviridae[1];Bordetella phage vB_BbrP_BB8[1]</t>
  </si>
  <si>
    <t>Oct.NODE_1422_length_2507_cov_16.176183</t>
  </si>
  <si>
    <t>Oct.NODE_1785_length_2145_cov_6.470813</t>
  </si>
  <si>
    <t>Oct.NODE_1913_length_2040_cov_2.246348</t>
  </si>
  <si>
    <t>Oct.NODE_315_length_6784_cov_4.648536</t>
  </si>
  <si>
    <t>Viruses[4];Duplodnaviria[4];Heunggongvirae[4];Uroviricota[4];Caudoviricetes[4];Caudovirales[4];Podoviridae[4];unclassified Podoviridae[4];Roseobacter phage CRP-13[2]</t>
  </si>
  <si>
    <t>Oct.NODE_406_length_5710_cov_5.048630</t>
  </si>
  <si>
    <t>Sept.NODE_326_length_5098_cov_4.291295</t>
  </si>
  <si>
    <t>Viruses[3];Duplodnaviria[3];Heunggongvirae[3];Uroviricota[3];Caudoviricetes[3];Caudovirales[3];Podoviridae[3];unclassified Podoviridae[3];Roseobacter phage CRP-2[3]</t>
  </si>
  <si>
    <t>Viruses;Duplodnaviria;Heunggongvirae;Uroviricota;Caudoviricetes;Caudovirales;Podoviridae;unclassified Podoviridae;Roseobacter phage CRP-2</t>
  </si>
  <si>
    <t>Oct.NODE_555_length_4668_cov_31.706482</t>
  </si>
  <si>
    <t>Viruses[1];Duplodnaviria[1];Heunggongvirae[1];Uroviricota[1];Caudoviricetes[1];Caudovirales[1];Podoviridae[1];unclassified Podoviridae[1];Roseobacter phage CRP-2[1]</t>
  </si>
  <si>
    <t>Sept.NODE_714_length_2901_cov_4.598384</t>
  </si>
  <si>
    <t>Viruses[4];Duplodnaviria[4];Heunggongvirae[4];Uroviricota[4];Caudoviricetes[4];Caudovirales[4];Podoviridae[4];unclassified Podoviridae[4];Roseobacter phage CRP-2[4]</t>
  </si>
  <si>
    <t>Sept.NODE_1235_length_2020_cov_5.503817</t>
  </si>
  <si>
    <t>Sept.NODE_652_length_3074_cov_4.121895</t>
  </si>
  <si>
    <t>Viruses[3];Duplodnaviria[3];Heunggongvirae[3];Uroviricota[3];Caudoviricetes[3];Caudovirales[3];Podoviridae[2];unclassified Podoviridae[2];Roseobacter phage CRP-2[2];unclassified Siovirus[1];Lentibacter virus vB_LenP_ICBM2[1]</t>
  </si>
  <si>
    <t>Viruses;Duplodnaviria;Heunggongvirae;Uroviricota;Caudoviricetes;Caudovirales;Podoviridae;unclassified Podoviridae;Roseobacter phage CRP-2;unclassified Siovirus;Lentibacter virus vB_LenP_ICBM2</t>
  </si>
  <si>
    <t>Mai.NODE_594_length_3431_cov_3.930095</t>
  </si>
  <si>
    <t>Viruses[2];Duplodnaviria[2];Heunggongvirae[2];Uroviricota[2];Caudoviricetes[2];Caudovirales[2];Podoviridae[2];unclassified Podoviridae[2];Roseobacter phage CRP-3[1]</t>
  </si>
  <si>
    <t>Viruses;Duplodnaviria;Heunggongvirae;Uroviricota;Caudoviricetes;Caudovirales;Podoviridae;unclassified Podoviridae;Roseobacter phage CRP-3</t>
  </si>
  <si>
    <t>Mai.NODE_675_length_3126_cov_5.570824</t>
  </si>
  <si>
    <t>Viruses[1];Duplodnaviria[1];Heunggongvirae[1];Uroviricota[1];Caudoviricetes[1];Caudovirales[1];Podoviridae[1];unclassified Podoviridae[1];Roseobacter phage CRP-3[1]</t>
  </si>
  <si>
    <t>Sept.NODE_973_length_2361_cov_20.424545</t>
  </si>
  <si>
    <t>Viruses[1];Duplodnaviria[1];Heunggongvirae[1];Uroviricota[1];Caudoviricetes[1];Caudovirales[1];Podoviridae[1];unclassified Podoviridae[1];Roseobacter phage CRP-7[1]</t>
  </si>
  <si>
    <t>Viruses;Duplodnaviria;Heunggongvirae;Uroviricota;Caudoviricetes;Caudovirales;Podoviridae;unclassified Podoviridae;Roseobacter phage CRP-7</t>
  </si>
  <si>
    <t>Juil.NODE_60_length_2346_cov_2.758621</t>
  </si>
  <si>
    <t>Sept.NODE_95_length_14511_cov_66.561151</t>
  </si>
  <si>
    <t>Viruses[9];Duplodnaviria[9];Heunggongvirae[9];Uroviricota[9];Caudoviricetes[9];Caudovirales[9];Podoviridae[9];unclassified Podoviridae[8];Roseobacter phage CRP-9[4]</t>
  </si>
  <si>
    <t>Viruses;Duplodnaviria;Heunggongvirae;Uroviricota;Caudoviricetes;Caudovirales;Podoviridae;unclassified Podoviridae;Roseobacter phage CRP-9</t>
  </si>
  <si>
    <t>Sept.NODE_118_length_11317_cov_12.783786</t>
  </si>
  <si>
    <t>Viruses[7];Duplodnaviria[7];Heunggongvirae[7];Uroviricota[7];Caudoviricetes[7];Caudovirales[7];Podoviridae[7];unclassified Podoviridae[7];Roseobacter phage CRP-9[4]</t>
  </si>
  <si>
    <t>Sept.NODE_126_length_11052_cov_5.369283</t>
  </si>
  <si>
    <t>Viruses[3];Duplodnaviria[3];Heunggongvirae[3];Uroviricota[3];Caudoviricetes[3];Caudovirales[3];Podoviridae[3];unclassified Podoviridae[3];Roseobacter phage CRP-9[3]</t>
  </si>
  <si>
    <t>Sept.NODE_139_length_10378_cov_50.039427</t>
  </si>
  <si>
    <t>Viruses[3];Duplodnaviria[3];Heunggongvirae[3];Uroviricota[3];Caudoviricetes[3];Caudovirales[3];Podoviridae[3];unclassified Podoviridae[3];Roseobacter phage CRP-9[2]</t>
  </si>
  <si>
    <t>Juil.NODE_9_length_5493_cov_6.911548</t>
  </si>
  <si>
    <t>Viruses[4];Duplodnaviria[4];Heunggongvirae[4];Uroviricota[4];Caudoviricetes[4];Caudovirales[4];Podoviridae[3];unclassified Podoviridae[3];Roseobacter phage CRP-9[1]</t>
  </si>
  <si>
    <t>Viruses[4];Duplodnaviria[4];Heunggongvirae[4];Uroviricota[4];Caudoviricetes[4];Caudovirales[4];Podoviridae[3];unclassified Podoviridae[3];Puniceispirillum phage HMO-2011[1]</t>
  </si>
  <si>
    <t>Oct.NODE_443_length_5406_cov_21.525883</t>
  </si>
  <si>
    <t>Viruses[5];Duplodnaviria[5];Heunggongvirae[5];Uroviricota[5];Caudoviricetes[5];Caudovirales[5];Podoviridae[5];unclassified Podoviridae[4];Roseobacter phage CRP-9[2]</t>
  </si>
  <si>
    <t>Oct.NODE_589_length_4467_cov_14.027425</t>
  </si>
  <si>
    <t>Viruses[1];Duplodnaviria[1];Heunggongvirae[1];Uroviricota[1];Caudoviricetes[1];Caudovirales[1];Podoviridae[1];unclassified Podoviridae[1];Roseobacter phage CRP-9[1]</t>
  </si>
  <si>
    <t>Oct.NODE_665_length_4132_cov_3.321560</t>
  </si>
  <si>
    <t>Viruses[3];Duplodnaviria[3];Heunggongvirae[3];Uroviricota[3];Caudoviricetes[3];Caudovirales[3];Podoviridae[3];unclassified Podoviridae[3];Roseobacter phage CRP-9[1]</t>
  </si>
  <si>
    <t>Viruses[3];Duplodnaviria[3];Heunggongvirae[3];Uroviricota[3];Caudoviricetes[3];Caudovirales[3];Podoviridae[3];unclassified Podoviridae[3];Roseobacter phage CRP-13[1]</t>
  </si>
  <si>
    <t>Sept.NODE_427_length_4121_cov_52.645598</t>
  </si>
  <si>
    <t>Viruses[4];Duplodnaviria[4];Heunggongvirae[4];Uroviricota[4];Caudoviricetes[4];Caudovirales[4];Podoviridae[4];unclassified Podoviridae[4];Roseobacter phage CRP-9[2]</t>
  </si>
  <si>
    <t>Oct.NODE_685_length_4048_cov_23.160531</t>
  </si>
  <si>
    <t>Oct.NODE_750_length_3821_cov_26.646309</t>
  </si>
  <si>
    <t>Sept.NODE_540_length_3528_cov_2.960265</t>
  </si>
  <si>
    <t>Oct.NODE_1191_length_2813_cov_3.442350</t>
  </si>
  <si>
    <t>Avril.NODE_1022_length_2689_cov_13.441534</t>
  </si>
  <si>
    <t>Oct.NODE_1286_length_2687_cov_4.133739</t>
  </si>
  <si>
    <t>Viruses[2];Duplodnaviria[2];Heunggongvirae[2];Uroviricota[2];Caudoviricetes[2];Caudovirales[2];Podoviridae[2];unclassified Podoviridae[2];Roseobacter phage CRP-9[2]</t>
  </si>
  <si>
    <t>Oct.NODE_1518_length_2401_cov_27.733163</t>
  </si>
  <si>
    <t>Juil.NODE_64_length_2247_cov_2.964872</t>
  </si>
  <si>
    <t>Sept.NODE_1186_length_2076_cov_7.372588</t>
  </si>
  <si>
    <t>Oct.NODE_719_length_3945_cov_12.092031</t>
  </si>
  <si>
    <t>Sept.NODE_722_length_2874_cov_4.567222</t>
  </si>
  <si>
    <t>Sept.NODE_91_length_14791_cov_9.950122</t>
  </si>
  <si>
    <t>Viruses[7];Duplodnaviria[7];Heunggongvirae[7];Uroviricota[7];Caudoviricetes[7];Caudovirales[7];Podoviridae[5];unclassified Podoviridae[5];Roseobacter phage CRP-9[3];Siovirus coreense[1];Roseobacter phage CRP-4[1]</t>
  </si>
  <si>
    <t>Viruses;Duplodnaviria;Heunggongvirae;Uroviricota;Caudoviricetes;Caudovirales;Podoviridae;unclassified Podoviridae;Roseobacter phage CRP-9;Siovirus coreense;Roseobacter phage CRP-4</t>
  </si>
  <si>
    <t>Viruses[7];Duplodnaviria[7];Heunggongvirae[7];Uroviricota[7];Caudoviricetes[7];Caudovirales[7];Podoviridae[5];unclassified Podoviridae[5];Roseobacter phage CRP-9[3];unclassified Siovirus[1];Celeribacter phage P12053L[1]</t>
  </si>
  <si>
    <t>Oct.NODE_428_length_5549_cov_3.608300</t>
  </si>
  <si>
    <t>Viruses[3];Duplodnaviria[3];Heunggongvirae[3];Uroviricota[3];Caudoviricetes[3];Caudovirales[3];Podoviridae[3];unclassified Podoviridae[3];Ruegeria phage 45A6[3]</t>
  </si>
  <si>
    <t>Viruses;Duplodnaviria;Heunggongvirae;Uroviricota;Caudoviricetes;Caudovirales;Podoviridae;unclassified Podoviridae;Ruegeria phage 45A6</t>
  </si>
  <si>
    <t>Oct.NODE_1103_length_2938_cov_3.724939</t>
  </si>
  <si>
    <t>Viruses[1];Duplodnaviria[1];Heunggongvirae[1];Uroviricota[1];Caudoviricetes[1];Caudovirales[1];Podoviridae[1];unclassified Podoviridae[1];Ruegeria phage 45A6[1]</t>
  </si>
  <si>
    <t>Sept.NODE_827_length_2646_cov_5.586646</t>
  </si>
  <si>
    <t>Oct.NODE_1736_length_2181_cov_10.680621</t>
  </si>
  <si>
    <t>Mai.NODE_1189_length_2052_cov_2.582374</t>
  </si>
  <si>
    <t>Oct.NODE_1914_length_2038_cov_5.814927</t>
  </si>
  <si>
    <t>Oct.NODE_179_length_10819_cov_5.901895</t>
  </si>
  <si>
    <t>Viruses[5];Duplodnaviria[5];Heunggongvirae[5];Uroviricota[5];Caudoviricetes[5];Caudovirales[5];Podoviridae[2];unclassified Podoviridae[2];Sanyabayvirus[1];Sanyabayvirus DS1410Ws06[1];Dinoroseobacter phage DS-1410Ws-06[1]</t>
  </si>
  <si>
    <t>Viruses;Duplodnaviria;Heunggongvirae;Uroviricota;Caudoviricetes;Caudovirales;Podoviridae;unclassified Podoviridae;Sanyabayvirus;Sanyabayvirus DS1410Ws06;Dinoroseobacter phage DS-1410Ws-06</t>
  </si>
  <si>
    <t>Viruses[5];Duplodnaviria[5];Heunggongvirae[5];Uroviricota[5];Caudoviricetes[5];Caudovirales[5];Podoviridae[2];unclassified Podoviridae[2];Burkholderia phage BCSR129[1];Sanyabayvirus DS1410Ws06[1];Dinoroseobacter phage DS-1410Ws-06[1]</t>
  </si>
  <si>
    <t>Sept.NODE_902_length_2479_cov_283.641914</t>
  </si>
  <si>
    <t>Viruses[1];Duplodnaviria[1];Heunggongvirae[1];Uroviricota[1];Caudoviricetes[1];Caudovirales[1];Podoviridae[1];unclassified Podoviridae[1];Sinorhizobium phage phiM5[1]</t>
  </si>
  <si>
    <t>Viruses;Duplodnaviria;Heunggongvirae;Uroviricota;Caudoviricetes;Caudovirales;Podoviridae;unclassified Podoviridae;Sinorhizobium phage phiM5</t>
  </si>
  <si>
    <t>Mai.NODE_524_length_3696_cov_3.079648</t>
  </si>
  <si>
    <t>Viruses[3];Duplodnaviria[3];Heunggongvirae[3];Uroviricota[3];Caudoviricetes[3];Caudovirales[3];Podoviridae[2];unclassified Podoviridae[2];Sinorhizobium phage phiM6[2];Salinivibrio phage CW02[1]</t>
  </si>
  <si>
    <t>Viruses;Duplodnaviria;Heunggongvirae;Uroviricota;Caudoviricetes;Caudovirales;Podoviridae;unclassified Podoviridae;Sinorhizobium phage phiM6;Salinivibrio phage CW02</t>
  </si>
  <si>
    <t>Avril.NODE_792_length_3293_cov_5.259728</t>
  </si>
  <si>
    <t>Viruses[2];Duplodnaviria[2];Heunggongvirae[2];Uroviricota[2];Caudoviricetes[2];Caudovirales[2];Podoviridae[1];unclassified Podoviridae[1];Siovirus[1];Siovirus coreense[1];Celeribacter phage P12053L[1]</t>
  </si>
  <si>
    <t>Viruses;Duplodnaviria;Heunggongvirae;Uroviricota;Caudoviricetes;Caudovirales;Podoviridae;unclassified Podoviridae;Siovirus;Siovirus coreense;Celeribacter phage P12053L</t>
  </si>
  <si>
    <t>Viruses[2];Duplodnaviria[2];Heunggongvirae[2];Uroviricota[2];Caudoviricetes[2];Caudovirales[2];Podoviridae[1];unclassified Podoviridae[1];Sinorhizobium phage phiM6[1];Siovirus coreense[1];Celeribacter phage P12053L[1]</t>
  </si>
  <si>
    <t>Sept.NODE_275_length_5642_cov_11.264364</t>
  </si>
  <si>
    <t>Viruses[3];Duplodnaviria[3];Heunggongvirae[3];Uroviricota[3];Caudoviricetes[3];Caudovirales[3];Podoviridae[2];unclassified Podoviridae[2];Siovirus[1];Siovirus germanense[1]</t>
  </si>
  <si>
    <t>Viruses;Duplodnaviria;Heunggongvirae;Uroviricota;Caudoviricetes;Caudovirales;Podoviridae;unclassified Podoviridae;Siovirus;Siovirus germanense</t>
  </si>
  <si>
    <t>Viruses[3];Duplodnaviria[3];Heunggongvirae[3];Uroviricota[3];Caudoviricetes[3];Caudovirales[3];Podoviridae[2];unclassified Podoviridae[2];Sinorhizobium phage phiM6[1];Siovirus germanense[1]</t>
  </si>
  <si>
    <t>Sept.NODE_512_length_3644_cov_54.654500</t>
  </si>
  <si>
    <t>Viruses[3];Duplodnaviria[3];Heunggongvirae[3];Uroviricota[3];Caudoviricetes[3];Caudovirales[3];Podoviridae[2];unclassified Podoviridae[2];Roseobacter phage CRP-3[1];Siovirus germanense[1]</t>
  </si>
  <si>
    <t>Oct.NODE_936_length_3247_cov_2.636278</t>
  </si>
  <si>
    <t>Viruses[2];Duplodnaviria[2];Heunggongvirae[2];Uroviricota[2];Caudoviricetes[2];Caudovirales[2];Podoviridae[1];unclassified Podoviridae[1];Siovirus[1];unclassified Siovirus[1];Lentibacter virus vB_LenP_ICBM2[1]</t>
  </si>
  <si>
    <t>Viruses;Duplodnaviria;Heunggongvirae;Uroviricota;Caudoviricetes;Caudovirales;Podoviridae;unclassified Podoviridae;Siovirus;unclassified Siovirus;Lentibacter virus vB_LenP_ICBM2</t>
  </si>
  <si>
    <t>Sept.NODE_816_length_2673_cov_31.320092</t>
  </si>
  <si>
    <t>Viruses[2];Duplodnaviria[2];Heunggongvirae[2];Uroviricota[2];Caudoviricetes[2];Caudovirales[2];Zobellviridae[1];Cobavirinae[1];Siovirus[1];unclassified Siovirus[1];Lentibacter virus vB_LenP_ICBM2[1]</t>
  </si>
  <si>
    <t>Oct.NODE_124_length_14767_cov_18.698341</t>
  </si>
  <si>
    <t>Viruses[12];Duplodnaviria[12];Heunggongvirae[12];Uroviricota[12];Caudoviricetes[12];Caudovirales[12];Podoviridae[4];unclassified Podoviridae[4];Siovirus[3];unclassified Siovirus[2];Lentibacter virus vB_LenP_ICBM2[1];Crustacea[1];Oligostraca[1];Ostracoda[1];Podocopa[1];Podocopida[1];Cypridocopina[1];Cypridoidea[1];Cyprididae[1];Cyprideis[1];Cyprideis torosa[1]</t>
  </si>
  <si>
    <t>Viruses;Duplodnaviria;Heunggongvirae;Uroviricota;Caudoviricetes;Caudovirales;Podoviridae;unclassified Podoviridae;Siovirus;unclassified Siovirus;Lentibacter virus vB_LenP_ICBM2;Crustacea;Oligostraca;Ostracoda;Podocopa;Podocopida;Cypridocopina;Cypridoidea;Cyprididae;Cyprideis;Cyprideis torosa</t>
  </si>
  <si>
    <t>Viruses[12];Duplodnaviria[12];Heunggongvirae[12];Uroviricota[12];Caudoviricetes[12];Caudovirales[12];Podoviridae[4];unclassified Podoviridae[4];Siovirus[3];unclassified Siovirus[2];Roseobacter phage CRP-4[1]</t>
  </si>
  <si>
    <t>Sept.NODE_255_length_6045_cov_48.327880</t>
  </si>
  <si>
    <t>Viruses[5];Duplodnaviria[5];Heunggongvirae[5];Uroviricota[5];Caudoviricetes[5];Caudovirales[5];Podoviridae[2];unclassified Podoviridae[2];Siovirus[1];unclassified Siovirus[1];Roseobacter phage CRP-4[1];Crustacea[1];Oligostraca[1];Ostracoda[1];Podocopa[1];Podocopida[1];Cypridocopina[1];Cypridoidea[1];Cyprididae[1];Cyprideis[1];Cyprideis torosa[1]</t>
  </si>
  <si>
    <t>Viruses;Duplodnaviria;Heunggongvirae;Uroviricota;Caudoviricetes;Caudovirales;Podoviridae;unclassified Podoviridae;Siovirus;unclassified Siovirus;Roseobacter phage CRP-4;Crustacea;Oligostraca;Ostracoda;Podocopa;Podocopida;Cypridocopina;Cypridoidea;Cyprididae;Cyprideis;Cyprideis torosa</t>
  </si>
  <si>
    <t>Viruses[5];Duplodnaviria[5];Heunggongvirae[5];Uroviricota[5];Caudoviricetes[5];Caudovirales[5];Podoviridae[2];unclassified Podoviridae[2];Roseobacter phage CRP-3[1];unclassified Siovirus[1];Roseobacter phage CRP-4[1]</t>
  </si>
  <si>
    <t>Oct.NODE_1052_length_3006_cov_3.777364</t>
  </si>
  <si>
    <t>Viruses[1];Duplodnaviria[1];Heunggongvirae[1];Uroviricota[1];Caudoviricetes[1];Caudovirales[1];Podoviridae[1];unclassified Podoviridae[1];Streptomyces himalayensis subsp. himalayensis[1]</t>
  </si>
  <si>
    <t>Viruses;Duplodnaviria;Heunggongvirae;Uroviricota;Caudoviricetes;Caudovirales;Podoviridae;unclassified Podoviridae;Streptomyces himalayensis subsp. himalayensis</t>
  </si>
  <si>
    <t>Sept.NODE_1078_length_2212_cov_3.619379</t>
  </si>
  <si>
    <t>Viruses[1];Duplodnaviria[1];Heunggongvirae[1];Uroviricota[1];Caudoviricetes[1];Caudovirales[1];Podoviridae[1];unclassified Podoviridae[1];Streptomyces sp. MP131-18[1]</t>
  </si>
  <si>
    <t>Viruses;Duplodnaviria;Heunggongvirae;Uroviricota;Caudoviricetes;Caudovirales;Podoviridae;unclassified Podoviridae;Streptomyces sp. MP131-18</t>
  </si>
  <si>
    <t>Viruses[1];Duplodnaviria[1];Heunggongvirae[1];Uroviricota[1];Caudoviricetes[1];Caudovirales[1];Podoviridae[1];unclassified Podoviridae[1];Freshwater phage uvFW-CGR-AMD-COM-C449[1]</t>
  </si>
  <si>
    <t>Sept.NODE_399_length_4292_cov_8.695539</t>
  </si>
  <si>
    <t>Viruses[1];Duplodnaviria[1];Heunggongvirae[1];Uroviricota[1];Caudoviricetes[1];Caudovirales[1];Podoviridae[1];unclassified Podoviridae[1];Sulfitobacter phage NYA-2014a[1]</t>
  </si>
  <si>
    <t>Viruses;Duplodnaviria;Heunggongvirae;Uroviricota;Caudoviricetes;Caudovirales;Podoviridae;unclassified Podoviridae;Sulfitobacter phage NYA-2014a</t>
  </si>
  <si>
    <t>Sept.NODE_778_length_2739_cov_8.354694</t>
  </si>
  <si>
    <t>Sept.NODE_872_length_2544_cov_7.447168</t>
  </si>
  <si>
    <t>Oct.NODE_1725_length_2193_cov_3.797942</t>
  </si>
  <si>
    <t>Viruses[1];Duplodnaviria[1];Heunggongvirae[1];Uroviricota[1];Caudoviricetes[1];Caudovirales[1];Podoviridae[1];unclassified Podoviridae[1];Sulfitobacter phage pCB2047-A[1]</t>
  </si>
  <si>
    <t>Viruses;Duplodnaviria;Heunggongvirae;Uroviricota;Caudoviricetes;Caudovirales;Podoviridae;unclassified Podoviridae;Sulfitobacter phage pCB2047-A</t>
  </si>
  <si>
    <t>Mai.NODE_863_length_2587_cov_5.518167</t>
  </si>
  <si>
    <t>Viruses[2];Duplodnaviria[2];Heunggongvirae[2];Uroviricota[2];Caudoviricetes[2];Caudovirales[2];Podoviridae[2];unclassified Podoviridae[2];Sulfitobacter phage pCB2047-C[2]</t>
  </si>
  <si>
    <t>Viruses;Duplodnaviria;Heunggongvirae;Uroviricota;Caudoviricetes;Caudovirales;Podoviridae;unclassified Podoviridae;Sulfitobacter phage pCB2047-C</t>
  </si>
  <si>
    <t>Mai.NODE_753_length_2863_cov_8.631766</t>
  </si>
  <si>
    <t>Viruses[1];Duplodnaviria[1];Heunggongvirae[1];Uroviricota[1];Caudoviricetes[1];Caudovirales[1];Podoviridae[1];unclassified Podoviridae[1];Sulfitobacter phage phiGT1[1]</t>
  </si>
  <si>
    <t>Viruses;Duplodnaviria;Heunggongvirae;Uroviricota;Caudoviricetes;Caudovirales;Podoviridae;unclassified Podoviridae;Sulfitobacter phage phiGT1</t>
  </si>
  <si>
    <t>Avril.NODE_999_length_2734_cov_5.191116</t>
  </si>
  <si>
    <t>Viruses[2];Duplodnaviria[2];Heunggongvirae[2];Uroviricota[2];Caudoviricetes[2];Caudovirales[2];Podoviridae[2];unclassified Podoviridae[2];Vibrio phage 1.079.O._10N.286.45.E9[1]</t>
  </si>
  <si>
    <t>Avril.NODE_1340_length_2250_cov_3.562187</t>
  </si>
  <si>
    <t>Avril.NODE_1133_length_2528_cov_12.724626</t>
  </si>
  <si>
    <t>Mai.NODE_976_length_2345_cov_5.422707</t>
  </si>
  <si>
    <t>Mai.NODE_1192_length_2049_cov_4.548646</t>
  </si>
  <si>
    <t>Sept.NODE_267_length_5878_cov_62.707367</t>
  </si>
  <si>
    <t>Viruses[1];Duplodnaviria[1];Heunggongvirae[1];Uroviricota[1];Caudoviricetes[1];Caudovirales[1];Podoviridae[1];unclassified Podoviridae[1];Synechococcus phage MRHenn-2013a[1]</t>
  </si>
  <si>
    <t>Viruses;Duplodnaviria;Heunggongvirae;Uroviricota;Caudoviricetes;Caudovirales;Podoviridae;unclassified Podoviridae;Synechococcus phage MRHenn-2013a</t>
  </si>
  <si>
    <t>Oct.NODE_559_length_4654_cov_5.209828</t>
  </si>
  <si>
    <t>Viruses;Duplodnaviria;Heunggongvirae;Uroviricota;Caudoviricetes;Caudovirales;Podoviridae;unclassified Podoviridae;Tenacibaculum phage Gundel_1</t>
  </si>
  <si>
    <t>Avril.NODE_1574_length_2007_cov_3.222336</t>
  </si>
  <si>
    <t>Mai.NODE_336_length_5221_cov_6.011808</t>
  </si>
  <si>
    <t>Viruses[3];Duplodnaviria[3];Heunggongvirae[3];Uroviricota[3];Caudoviricetes[3];Caudovirales[3];Podoviridae[2];unclassified Podoviridae[2];Tetraselmis viridis virus SI1[1]</t>
  </si>
  <si>
    <t>Viruses;Duplodnaviria;Heunggongvirae;Uroviricota;Caudoviricetes;Caudovirales;Podoviridae;unclassified Podoviridae;Tetraselmis viridis virus SI1</t>
  </si>
  <si>
    <t>Viruses[3];Duplodnaviria[3];Heunggongvirae[3];Uroviricota[3];Caudoviricetes[3];Caudovirales[3];Podoviridae[2];unclassified Podoviridae[2];Pelagibacter phage HTVC100P[1]</t>
  </si>
  <si>
    <t>Mai.NODE_580_length_3496_cov_5.572799</t>
  </si>
  <si>
    <t>Viruses[3];Duplodnaviria[3];Heunggongvirae[3];Uroviricota[3];Caudoviricetes[3];Caudovirales[3];Podoviridae[2];unclassified Podoviridae[2];Pelagibacter phage Greip EXVC021P[1]</t>
  </si>
  <si>
    <t>Avril.NODE_452_length_5162_cov_3.589583</t>
  </si>
  <si>
    <t>Viruses[1];Duplodnaviria[1];Heunggongvirae[1];Uroviricota[1];Caudoviricetes[1];Caudovirales[1];Podoviridae[1];unclassified Podoviridae[1];Thalassomonas phage BA3[1]</t>
  </si>
  <si>
    <t>Viruses;Duplodnaviria;Heunggongvirae;Uroviricota;Caudoviricetes;Caudovirales;Podoviridae;unclassified Podoviridae;Thalassomonas phage BA3</t>
  </si>
  <si>
    <t>Avril.NODE_785_length_3312_cov_5.407737</t>
  </si>
  <si>
    <t>Viruses[2];Duplodnaviria[2];Heunggongvirae[2];Uroviricota[2];Caudoviricetes[2];Caudovirales[1];Podoviridae[1];unclassified Podoviridae[1];TM7 phage DolZOral124_53_65[1]</t>
  </si>
  <si>
    <t>Viruses;Duplodnaviria;Heunggongvirae;Uroviricota;Caudoviricetes;Caudovirales;Podoviridae;unclassified Podoviridae;TM7 phage DolZOral124_53_65</t>
  </si>
  <si>
    <t>Viruses[2];Duplodnaviria[2];Heunggongvirae[2];Uroviricota[2];Caudoviricetes[2];Crassvirales[1];Podoviridae[1];unclassified Podoviridae[1];TM7 phage DolZOral124_53_65[1]</t>
  </si>
  <si>
    <t>Oct.NODE_985_length_3132_cov_3.596360</t>
  </si>
  <si>
    <t>Viruses[1];Duplodnaviria[1];Heunggongvirae[1];Uroviricota[1];Caudoviricetes[1];Caudovirales[1];Podoviridae[1];unclassified Podoviridae[1];TM7 phage DolZOral124_53_65[1]</t>
  </si>
  <si>
    <t>Sept.NODE_1124_length_2145_cov_3.167943</t>
  </si>
  <si>
    <t>Oct.NODE_357_length_6175_cov_3.533007</t>
  </si>
  <si>
    <t>Viruses[5];Duplodnaviria[5];Heunggongvirae[5];Uroviricota[5];Caudoviricetes[5];Caudovirales[5];Podoviridae[2];unclassified Podoviridae[2];unclassified Ashivirus[1];Synechococcus phage S-SBP1[1]</t>
  </si>
  <si>
    <t>Viruses;Duplodnaviria;Heunggongvirae;Uroviricota;Caudoviricetes;Caudovirales;Podoviridae;unclassified Podoviridae;unclassified Ashivirus;Synechococcus phage S-SBP1</t>
  </si>
  <si>
    <t>Viruses[5];Duplodnaviria[5];Heunggongvirae[5];Uroviricota[5];Caudoviricetes[5];Caudovirales[5];unclassified Caudovirales[2];unclassified Podoviridae[2];Roseobacter phage CRP-13[1];Synechococcus phage S-SBP1[1]</t>
  </si>
  <si>
    <t>Sept.NODE_1209_length_2054_cov_5.337169</t>
  </si>
  <si>
    <t>Viruses[1];Duplodnaviria[1];Heunggongvirae[1];Uroviricota[1];Caudoviricetes[1];Caudovirales[1];Podoviridae[1];unclassified Podoviridae[1];unclassified Prevotella[1];Prevotella sp. kh1p2[1]</t>
  </si>
  <si>
    <t>Viruses;Duplodnaviria;Heunggongvirae;Uroviricota;Caudoviricetes;Caudovirales;Podoviridae;unclassified Podoviridae;unclassified Prevotella;Prevotella sp. kh1p2</t>
  </si>
  <si>
    <t>Viruses[1];Duplodnaviria[1];Heunggongvirae[1];Uroviricota[1];Caudoviricetes[1];Caudovirales[1];Podoviridae[1];unclassified Podoviridae[1];Rhizobium phage RHph_N3_19[1]</t>
  </si>
  <si>
    <t>Mai.NODE_1143_length_2114_cov_3.906265</t>
  </si>
  <si>
    <t>Viruses[1];Duplodnaviria[1];Heunggongvirae[1];Uroviricota[1];Caudoviricetes[1];Caudovirales[1];Podoviridae[1];unclassified Podoviridae[1];Vibrio phage 1.021.A._10N.222.51.F9[1]</t>
  </si>
  <si>
    <t>Viruses;Duplodnaviria;Heunggongvirae;Uroviricota;Caudoviricetes;Caudovirales;Podoviridae;unclassified Podoviridae;Vibrio phage 1.021.A._10N.222.51.F9</t>
  </si>
  <si>
    <t>Oct.NODE_954_length_3207_cov_11.022525</t>
  </si>
  <si>
    <t>Viruses[2];Duplodnaviria[1];Heunggongvirae[1];Uroviricota[1];Caudoviricetes[1];Caudovirales[1];Podoviridae[1];unclassified Podoviridae[1];Vibrio phage 1.182.O._10N.286.46.E1[1]</t>
  </si>
  <si>
    <t>Viruses;Duplodnaviria;Heunggongvirae;Uroviricota;Caudoviricetes;Caudovirales;Podoviridae;unclassified Podoviridae;Vibrio phage 1.182.O._10N.286.46.E1</t>
  </si>
  <si>
    <t>Avril.NODE_571_length_4202_cov_51.095250</t>
  </si>
  <si>
    <t>Viruses[1];Duplodnaviria[1];Heunggongvirae[1];Uroviricota[1];Caudoviricetes[1];Caudovirales[1];Podoviridae[1];unclassified Podoviridae[1];Vibrio phage 1.184.A._10N.286.49.A5[1]</t>
  </si>
  <si>
    <t>Viruses;Duplodnaviria;Heunggongvirae;Uroviricota;Caudoviricetes;Caudovirales;Podoviridae;unclassified Podoviridae;Vibrio phage 1.184.A._10N.286.49.A5</t>
  </si>
  <si>
    <t>Avril.NODE_776_length_3345_cov_3.659271</t>
  </si>
  <si>
    <t>Viruses[1];Duplodnaviria[1];Heunggongvirae[1];Uroviricota[1];Caudoviricetes[1];Caudovirales[1];Podoviridae[1];unclassified Podoviridae[1];Vibrio phage 1.185.O._10N.286.49.C2[1]</t>
  </si>
  <si>
    <t>Viruses;Duplodnaviria;Heunggongvirae;Uroviricota;Caudoviricetes;Caudovirales;Podoviridae;unclassified Podoviridae;Vibrio phage 1.185.O._10N.286.49.C2</t>
  </si>
  <si>
    <t>Avril.NODE_315_length_6512_cov_5.134583</t>
  </si>
  <si>
    <t>Viruses[1];Duplodnaviria[1];Heunggongvirae[1];Uroviricota[1];Caudoviricetes[1];Caudovirales[1];Podoviridae[1];unclassified Podoviridae[1];Vibrio phage 1.232.O._10N.261.51.E11[1]</t>
  </si>
  <si>
    <t>Viruses;Duplodnaviria;Heunggongvirae;Uroviricota;Caudoviricetes;Caudovirales;Podoviridae;unclassified Podoviridae;Vibrio phage 1.232.O._10N.261.51.E11</t>
  </si>
  <si>
    <t>Oct.NODE_578_length_4529_cov_8.021010</t>
  </si>
  <si>
    <t>Viruses[3];Duplodnaviria[3];Heunggongvirae[3];Uroviricota[3];Caudoviricetes[3];Caudovirales[3];Podoviridae[3];unclassified Podoviridae[3];Vibrio phage 1.275.O._10N.286.54.E11[3]</t>
  </si>
  <si>
    <t>Viruses;Duplodnaviria;Heunggongvirae;Uroviricota;Caudoviricetes;Caudovirales;Podoviridae;unclassified Podoviridae;Vibrio phage 1.275.O._10N.286.54.E11</t>
  </si>
  <si>
    <t>Sept.NODE_649_length_3089_cov_3.683586</t>
  </si>
  <si>
    <t>Viruses[1];Duplodnaviria[1];Heunggongvirae[1];Uroviricota[1];Caudoviricetes[1];Caudovirales[1];Podoviridae[1];unclassified Podoviridae[1];Vibrio phage 1.275.O._10N.286.54.E11[1]</t>
  </si>
  <si>
    <t>Oct.NODE_1382_length_2575_cov_3.743651</t>
  </si>
  <si>
    <t>Viruses[1];Duplodnaviria[1];Heunggongvirae[1];Uroviricota[1];Caudoviricetes[1];Caudovirales[1];Podoviridae[1];unclassified Podoviridae[1];Vibrio phage douglas 12A4[1]</t>
  </si>
  <si>
    <t>Viruses;Duplodnaviria;Heunggongvirae;Uroviricota;Caudoviricetes;Caudovirales;Podoviridae;unclassified Podoviridae;Vibrio phage douglas 12A4</t>
  </si>
  <si>
    <t>Oct.NODE_1277_length_2696_cov_4.688754</t>
  </si>
  <si>
    <t>Oct.NODE_11_length_44587_cov_74.952034</t>
  </si>
  <si>
    <t>Viruses[25];Duplodnaviria[25];Heunggongvirae[25];Uroviricota[25];Caudoviricetes[25];Caudovirales[25];Podoviridae[24];unclassified Podoviridae[24];Vibrio phage MZH0603[9]</t>
  </si>
  <si>
    <t>Viruses;Duplodnaviria;Heunggongvirae;Uroviricota;Caudoviricetes;Caudovirales;Podoviridae;unclassified Podoviridae;Vibrio phage MZH0603</t>
  </si>
  <si>
    <t>Sept.NODE_801_length_2699_cov_5.360817</t>
  </si>
  <si>
    <t>Viruses[1];Duplodnaviria[1];Heunggongvirae[1];Uroviricota[1];Caudoviricetes[1];Caudovirales[1];Podoviridae[1];unclassified Podoviridae[1];Vibrio phage Phriendly[1]</t>
  </si>
  <si>
    <t>Viruses;Duplodnaviria;Heunggongvirae;Uroviricota;Caudoviricetes;Caudovirales;Podoviridae;unclassified Podoviridae;Vibrio phage Phriendly</t>
  </si>
  <si>
    <t>Mai.NODE_593_length_3447_cov_5.065153</t>
  </si>
  <si>
    <t>Viruses[1];Duplodnaviria[1];Heunggongvirae[1];Uroviricota[1];Caudoviricetes[1];Caudovirales[1];Podoviridae[1];unclassified Podoviridae[1];Vibrio phage PVA1[1]</t>
  </si>
  <si>
    <t>Viruses;Duplodnaviria;Heunggongvirae;Uroviricota;Caudoviricetes;Caudovirales;Podoviridae;unclassified Podoviridae;Vibrio phage PVA1</t>
  </si>
  <si>
    <t>Oct.NODE_210_length_9528_cov_4.901087</t>
  </si>
  <si>
    <t>Viruses[7];Duplodnaviria[7];Heunggongvirae[7];Uroviricota[7];Caudoviricetes[7];Caudovirales[7];Podoviridae[5];unclassified Podoviridae[5];Vibrio phage vB_ValP_VA-RY-3[3];Pseudomonas phage NP3[1]</t>
  </si>
  <si>
    <t>Viruses;Duplodnaviria;Heunggongvirae;Uroviricota;Caudoviricetes;Caudovirales;Podoviridae;unclassified Podoviridae;Vibrio phage vB_ValP_VA-RY-3;Pseudomonas phage NP3</t>
  </si>
  <si>
    <t>Sept.NODE_103_length_13531_cov_23.661398</t>
  </si>
  <si>
    <t>Viruses[2];Duplodnaviria[2];Heunggongvirae[2];Uroviricota[2];Caudoviricetes[2];Caudovirales[2];Podoviridae[2];unclassified Podoviridae[2];Vibrio phage vB_VspS_VS-ABTNL-3[2]</t>
  </si>
  <si>
    <t>Viruses;Duplodnaviria;Heunggongvirae;Uroviricota;Caudoviricetes;Caudovirales;Podoviridae;unclassified Podoviridae;Vibrio phage vB_VspS_VS-ABTNL-3</t>
  </si>
  <si>
    <t>Mai.NODE_308_length_5653_cov_4.853876</t>
  </si>
  <si>
    <t>Viruses[1];Duplodnaviria[1];Heunggongvirae[1];Uroviricota[1];Caudoviricetes[1];Caudovirales[1];Podoviridae[1];unclassified Podoviridae[1];Vibrio phage VvAW1[1]</t>
  </si>
  <si>
    <t>Viruses;Duplodnaviria;Heunggongvirae;Uroviricota;Caudoviricetes;Caudovirales;Podoviridae;unclassified Podoviridae;Vibrio phage VvAW1</t>
  </si>
  <si>
    <t>Sept.NODE_1221_length_2040_cov_4.848866</t>
  </si>
  <si>
    <t>Avril.NODE_874_length_3072_cov_4.595956</t>
  </si>
  <si>
    <t>Viruses[1];Duplodnaviria[1];Heunggongvirae[1];Uroviricota[1];Caudoviricetes[1];Caudovirales[1];Podoviridae[1];unclassified Podoviridae[1];Xanthomonas citri phage CP2[1]</t>
  </si>
  <si>
    <t>Viruses;Duplodnaviria;Heunggongvirae;Uroviricota;Caudoviricetes;Caudovirales;Podoviridae;unclassified Podoviridae;Xanthomonas citri phage CP2</t>
  </si>
  <si>
    <t>Avril.NODE_1322_length_2266_cov_7.394844</t>
  </si>
  <si>
    <t>Viruses[1];Duplodnaviria[1];Heunggongvirae[1];Uroviricota[1];Caudoviricetes[1];Caudovirales[1];Podoviridae[1];unclassified Podoviridae[1];Xanthomonas phage PBR31[1]</t>
  </si>
  <si>
    <t>Viruses;Duplodnaviria;Heunggongvirae;Uroviricota;Caudoviricetes;Caudovirales;Podoviridae;unclassified Podoviridae;Xanthomonas phage PBR31</t>
  </si>
  <si>
    <t>Avril.NODE_746_length_3440_cov_5.264106</t>
  </si>
  <si>
    <t>Viruses[2];Duplodnaviria[2];Heunggongvirae[2];Uroviricota[2];Caudoviricetes[2];Caudovirales[2];Podoviridae[1];unclassified Siphoviridae[1];EBPR podovirus 3[1]</t>
  </si>
  <si>
    <t>Viruses;Duplodnaviria;Heunggongvirae;Uroviricota;Caudoviricetes;Caudovirales;Podoviridae;unclassified Siphoviridae;EBPR podovirus 3</t>
  </si>
  <si>
    <t>Avril.NODE_755_length_3417_cov_11.848602</t>
  </si>
  <si>
    <t>Viruses[2];Duplodnaviria[2];Heunggongvirae[2];Uroviricota[2];Caudoviricetes[2];Caudovirales[2];Podoviridae[1];unclassified Siphoviridae[1];Roseobacter phage CRP-13[1]</t>
  </si>
  <si>
    <t>Viruses;Duplodnaviria;Heunggongvirae;Uroviricota;Caudoviricetes;Caudovirales;Podoviridae;unclassified Siphoviridae;Roseobacter phage CRP-13</t>
  </si>
  <si>
    <t>Viruses[2];Duplodnaviria[2];Heunggongvirae[2];Uroviricota[2];Caudoviricetes[2];Caudovirales[2];Podoviridae[1];unclassified Podoviridae[1];Streptomyces phage KimJongPhill[1]</t>
  </si>
  <si>
    <t>Oct.NODE_1071_length_2985_cov_4.415358</t>
  </si>
  <si>
    <t>Viruses[1];Duplodnaviria[1];Heunggongvirae[1];Uroviricota[1];Caudoviricetes[1];Caudovirales[1];Schitoviridae[1];Enquatrovirinae[1];Gamaleyavirus[1];unclassified Gamaleyavirus[1];Escherichia phage phi G17[1]</t>
  </si>
  <si>
    <t>Viruses;Duplodnaviria;Heunggongvirae;Uroviricota;Caudoviricetes;Caudovirales;Schitoviridae;Enquatrovirinae;Gamaleyavirus;unclassified Gamaleyavirus;Escherichia phage phi G17</t>
  </si>
  <si>
    <t>Oct.NODE_413_length_5631_cov_4.085545</t>
  </si>
  <si>
    <t>Viruses[1];Duplodnaviria[1];Heunggongvirae[1];Uroviricota[1];Caudoviricetes[1];Caudovirales[1];Schitoviridae[1];Huelvavirus[1];Huelvavirus ort11[1];Sinorhizobium phage ort11[1]</t>
  </si>
  <si>
    <t>Viruses;Duplodnaviria;Heunggongvirae;Uroviricota;Caudoviricetes;Caudovirales;Schitoviridae;Huelvavirus;Huelvavirus ort11;Sinorhizobium phage ort11</t>
  </si>
  <si>
    <t>Oct.NODE_1592_length_2328_cov_4.254729</t>
  </si>
  <si>
    <t>Oct.NODE_1502_length_2413_cov_4.558100</t>
  </si>
  <si>
    <t>Viruses[2];Duplodnaviria[2];Heunggongvirae[2];Uroviricota[2];Caudoviricetes[2];Caudovirales[2];Schitoviridae[2];Huelvavirus[1];Yonginvirus[1];Yonginvirus EaP8[1];Erwinia phage phiEaP8[1]</t>
  </si>
  <si>
    <t>Viruses;Duplodnaviria;Heunggongvirae;Uroviricota;Caudoviricetes;Caudovirales;Schitoviridae;Huelvavirus;Yonginvirus;Yonginvirus EaP8;Erwinia phage phiEaP8</t>
  </si>
  <si>
    <t>Oct.NODE_660_length_4148_cov_3.799658</t>
  </si>
  <si>
    <t>Viruses[4];Duplodnaviria[4];Heunggongvirae[4];Uroviricota[4];Caudoviricetes[4];Caudovirales[4];Schitoviridae[1];Pontosvirinae[1];Obolenskvirus LZ35[1];Nahantvirus 49C7[1];Vibrio phage 1.026.O._10N.222.49.C7[1]</t>
  </si>
  <si>
    <t>Viruses;Duplodnaviria;Heunggongvirae;Uroviricota;Caudoviricetes;Caudovirales;Schitoviridae;Pontosvirinae;Obolenskvirus LZ35;Nahantvirus 49C7;Vibrio phage 1.026.O._10N.222.49.C7</t>
  </si>
  <si>
    <t>Viruses[4];Duplodnaviria[4];Heunggongvirae[4];Uroviricota[4];Caudoviricetes[4];Caudovirales[4];Myoviridae[1];Pontosvirinae[1];Roseobacter phage CRP-3[1];Nahantvirus 49C7[1];Vibrio phage 1.026.O._10N.222.49.C7[1]</t>
  </si>
  <si>
    <t>Oct.NODE_1646_length_2275_cov_1.904505</t>
  </si>
  <si>
    <t>Viruses[3];Duplodnaviria[3];Heunggongvirae[3];Uroviricota[3];Caudoviricetes[3];Caudovirales[3];Schitoviridae[3];Rhodovirinae[3];Aorunvirus[2];Aorunvirus V12[2];Ruegeria phage vB_RpoP-V14[1]</t>
  </si>
  <si>
    <t>Viruses;Duplodnaviria;Heunggongvirae;Uroviricota;Caudoviricetes;Caudovirales;Schitoviridae;Rhodovirinae;Aorunvirus;Aorunvirus V12;Ruegeria phage vB_RpoP-V14</t>
  </si>
  <si>
    <t>Viruses[3];Duplodnaviria[3];Heunggongvirae[3];Uroviricota[3];Caudoviricetes[3];Caudovirales[3];Schitoviridae[3];Rhodovirinae[3];Aorunvirus[2];Aorunvirus V12[2];Ruegeria phage vB_RpoP-V12[1]</t>
  </si>
  <si>
    <t>Avril.NODE_174_length_10675_cov_8.352919</t>
  </si>
  <si>
    <t>Viruses[8];Duplodnaviria[8];Heunggongvirae[8];Uroviricota[8];Caudoviricetes[8];Caudovirales[8];Schitoviridae[8];Rhodovirinae[8];Aorunvirus[3];Baltimorevirus DFL12[3];Dinoroseobacter phage vBDshPR2C[2]</t>
  </si>
  <si>
    <t>Viruses;Duplodnaviria;Heunggongvirae;Uroviricota;Caudoviricetes;Caudovirales;Schitoviridae;Rhodovirinae;Aorunvirus;Baltimorevirus DFL12;Dinoroseobacter phage vBDshPR2C</t>
  </si>
  <si>
    <t>Avril.NODE_118_length_15026_cov_7.254091</t>
  </si>
  <si>
    <t>Viruses[13];Duplodnaviria[13];Heunggongvirae[13];Uroviricota[13];Caudoviricetes[13];Caudovirales[13];Schitoviridae[11];Rhodovirinae[10];Baltimorevirus[4];Baltimorevirus DFL12[4];Dinoroseobacter phage DFL12phi1[3]</t>
  </si>
  <si>
    <t>Viruses;Duplodnaviria;Heunggongvirae;Uroviricota;Caudoviricetes;Caudovirales;Schitoviridae;Rhodovirinae;Baltimorevirus;Baltimorevirus DFL12;Dinoroseobacter phage DFL12phi1</t>
  </si>
  <si>
    <t>Avril.NODE_120_length_14812_cov_7.045267</t>
  </si>
  <si>
    <t>Viruses[7];Duplodnaviria[7];Heunggongvirae[7];Uroviricota[7];Caudoviricetes[7];Caudovirales[7];Schitoviridae[7];Rhodovirinae[7];Baltimorevirus[4];Baltimorevirus DFL12[4];Dinoroseobacter phage DFL12phi1[3]</t>
  </si>
  <si>
    <t>Avril.NODE_590_length_4063_cov_7.149202</t>
  </si>
  <si>
    <t>Viruses[3];Duplodnaviria[3];Heunggongvirae[3];Uroviricota[3];Caudoviricetes[3];Caudovirales[3];Schitoviridae[3];Rhodovirinae[3];Plymouthvirus[2];Roseovarius Plymouth podovirus 1[2];Dinoroseobacter phage DFL12phi1[1]</t>
  </si>
  <si>
    <t>Viruses;Duplodnaviria;Heunggongvirae;Uroviricota;Caudoviricetes;Caudovirales;Schitoviridae;Rhodovirinae;Plymouthvirus;Roseovarius Plymouth podovirus 1;Dinoroseobacter phage DFL12phi1</t>
  </si>
  <si>
    <t>Avril.NODE_78_length_21756_cov_6.683839</t>
  </si>
  <si>
    <t>Viruses[19];Duplodnaviria[19];Heunggongvirae[19];Uroviricota[19];Caudoviricetes[19];Caudovirales[19];Schitoviridae[19];Rhodovirinae[18];Plymouthvirus[7];Roseovarius Plymouth podovirus 1[7];Ruegeria phage vB_RpoP-V12[3]</t>
  </si>
  <si>
    <t>Viruses;Duplodnaviria;Heunggongvirae;Uroviricota;Caudoviricetes;Caudovirales;Schitoviridae;Rhodovirinae;Plymouthvirus;Roseovarius Plymouth podovirus 1;Ruegeria phage vB_RpoP-V12</t>
  </si>
  <si>
    <t>Oct.NODE_1828_length_2115_cov_2.841262</t>
  </si>
  <si>
    <t>Viruses[1];Duplodnaviria[1];Heunggongvirae[1];Uroviricota[1];Caudoviricetes[1];Caudovirales[1];Schitoviridae[1];Rhodovirinae[1];Sanyabayvirus[1];Sanyabayvirus DS1410Ws06[1];Dinoroseobacter phage DS-1410Ws-06[1]</t>
  </si>
  <si>
    <t>Viruses;Duplodnaviria;Heunggongvirae;Uroviricota;Caudoviricetes;Caudovirales;Schitoviridae;Rhodovirinae;Sanyabayvirus;Sanyabayvirus DS1410Ws06;Dinoroseobacter phage DS-1410Ws-06</t>
  </si>
  <si>
    <t>Mai.NODE_1053_length_2226_cov_5.347766</t>
  </si>
  <si>
    <t>Viruses[1];Duplodnaviria[1];Heunggongvirae[1];Uroviricota[1];Caudoviricetes[1];Caudovirales[1];Schitoviridae[1];Rhodovirinae[1];Sanyabayvirus[1];Sanyabayvirus DS1410Ws06[1];Roseobacter phage RD-1410Ws-07[1]</t>
  </si>
  <si>
    <t>Viruses;Duplodnaviria;Heunggongvirae;Uroviricota;Caudoviricetes;Caudovirales;Schitoviridae;Rhodovirinae;Sanyabayvirus;Sanyabayvirus DS1410Ws06;Roseobacter phage RD-1410Ws-07</t>
  </si>
  <si>
    <t>Oct.NODE_654_length_4169_cov_5.478610</t>
  </si>
  <si>
    <t>Viruses[3];Duplodnaviria[3];Heunggongvirae[3];Uroviricota[3];Caudoviricetes[3];Caudovirales[3];Schitoviridae[1];unclassified Myoviridae[1];Pomeroyivirus[1];Pomeroyivirus V13[1];Ruegeria phage vB_RpoP-V13[1]</t>
  </si>
  <si>
    <t>Viruses;Duplodnaviria;Heunggongvirae;Uroviricota;Caudoviricetes;Caudovirales;Schitoviridae;unclassified Myoviridae;Pomeroyivirus;Pomeroyivirus V13;Ruegeria phage vB_RpoP-V13</t>
  </si>
  <si>
    <t>Viruses[3];Duplodnaviria[3];Heunggongvirae[3];Uroviricota[3];Caudoviricetes[3];Caudovirales[3];Schitoviridae[1];Rhodovirinae[1];Ochrobactrum phage vB_OspM_OC[1];Pomeroyivirus V13[1];Ruegeria phage vB_RpoP-V13[1]</t>
  </si>
  <si>
    <t>Avril.NODE_517_length_4566_cov_3.824651</t>
  </si>
  <si>
    <t>Viruses[1];Duplodnaviria[1];Heunggongvirae[1];Uroviricota[1];Caudoviricetes[1];Caudovirales[1];Schitoviridae[1];unclassified Schitoviridae[1];Alteromonas phage vB_AmaP_AD45-P1[1]</t>
  </si>
  <si>
    <t>Viruses;Duplodnaviria;Heunggongvirae;Uroviricota;Caudoviricetes;Caudovirales;Schitoviridae;unclassified Schitoviridae;Alteromonas phage vB_AmaP_AD45-P1</t>
  </si>
  <si>
    <t>Oct.NODE_1479_length_2438_cov_3.936634</t>
  </si>
  <si>
    <t>Viruses[2];Duplodnaviria[2];Heunggongvirae[2];Uroviricota[2];Caudoviricetes[2];Caudovirales[2];Schitoviridae[2];unclassified Schitoviridae[1];Podoviridae sp. ctda_1[1];Yonginvirus EaP8[1];Erwinia phage phiEaP8[1]</t>
  </si>
  <si>
    <t>Viruses;Duplodnaviria;Heunggongvirae;Uroviricota;Caudoviricetes;Caudovirales;Schitoviridae;unclassified Schitoviridae;Podoviridae sp. ctda_1;Yonginvirus EaP8;Erwinia phage phiEaP8</t>
  </si>
  <si>
    <t>Viruses[2];Duplodnaviria[2];Heunggongvirae[2];Uroviricota[2];Caudoviricetes[2];Caudovirales[2];Schitoviridae[2];Erskinevirinae[1];Podoviridae sp. ctda_1[1];Yonginvirus EaP8[1];Erwinia phage phiEaP8[1]</t>
  </si>
  <si>
    <t>Oct.NODE_1423_length_2507_cov_4.869494</t>
  </si>
  <si>
    <t>Viruses[2];Duplodnaviria[2];Heunggongvirae[2];Uroviricota[2];Caudoviricetes[2];Caudovirales[2];Schitoviridae[1];unclassified Siphoviridae[1];Baltimorevirus[1];Baltimorevirus DFL12[1];Dinoroseobacter phage vBDshPR2C[1]</t>
  </si>
  <si>
    <t>Viruses;Duplodnaviria;Heunggongvirae;Uroviricota;Caudoviricetes;Caudovirales;Schitoviridae;unclassified Siphoviridae;Baltimorevirus;Baltimorevirus DFL12;Dinoroseobacter phage vBDshPR2C</t>
  </si>
  <si>
    <t>Viruses[2];Duplodnaviria[2];Heunggongvirae[2];Uroviricota[2];Caudoviricetes[2];Caudovirales[2];Siphoviridae[1];unclassified Siphoviridae[1];Roseobacter phage DSS3P8[1];Baltimorevirus DFL12[1];Dinoroseobacter phage vBDshPR2C[1]</t>
  </si>
  <si>
    <t>Oct.NODE_866_length_3448_cov_3.501032</t>
  </si>
  <si>
    <t>Viruses[3];Duplodnaviria[3];Heunggongvirae[3];Uroviricota[3];Caudoviricetes[3];Caudovirales[3];Schitoviridae[2];unclassified Siphoviridae[1];Pourcelvirus[1];Pourcelvirus Axy11[1];Achromobacter phage vB_AxyP_19-32_Axy22[1]</t>
  </si>
  <si>
    <t>Viruses;Duplodnaviria;Heunggongvirae;Uroviricota;Caudoviricetes;Caudovirales;Schitoviridae;unclassified Siphoviridae;Pourcelvirus;Pourcelvirus Axy11;Achromobacter phage vB_AxyP_19-32_Axy22</t>
  </si>
  <si>
    <t>Viruses[3];Duplodnaviria[3];Heunggongvirae[3];Uroviricota[3];Caudoviricetes[3];Caudovirales[3];Schitoviridae[2];Zicotriavirus[1];Roseobacter phage DSS3P8[1];Pseudomonas phage ZC03[1];Achromobacter phage vB_AxyP_19-32_Axy22[1]</t>
  </si>
  <si>
    <t>Oct.NODE_713_length_3956_cov_4.760574</t>
  </si>
  <si>
    <t>Viruses[2];Duplodnaviria[2];Heunggongvirae[2];Uroviricota[2];Caudoviricetes[2];Caudovirales[2];Schitoviridae[2];Waedenswilvirus[1];Jwalphavirus[1];Jwalphavirus jwalpha[1];Achromobacter phage JWDelta[1]</t>
  </si>
  <si>
    <t>Viruses;Duplodnaviria;Heunggongvirae;Uroviricota;Caudoviricetes;Caudovirales;Schitoviridae;Waedenswilvirus;Jwalphavirus;Jwalphavirus jwalpha;Achromobacter phage JWDelta</t>
  </si>
  <si>
    <t>Viruses[2];Duplodnaviria[2];Heunggongvirae[2];Uroviricota[2];Caudoviricetes[2];Caudovirales[2];Schitoviridae[2];Waedenswilvirus[1];Waedenswilvirus S6[1];Erwinia phage vB_EamP-S6[1];Achromobacter phage JWDelta[1]</t>
  </si>
  <si>
    <t>Oct.NODE_104_length_18061_cov_4.720593</t>
  </si>
  <si>
    <t>Viruses[9];Duplodnaviria[9];Heunggongvirae[9];Uroviricota[9];Caudoviricetes[9];Caudovirales[9];Schitoviridae[7];Waedenswilvirus[3];Waedenswilvirus S6[3];Erwinia phage vB_EamP-S6[3];Erwinia phage phiEaP8[1]</t>
  </si>
  <si>
    <t>Viruses;Duplodnaviria;Heunggongvirae;Uroviricota;Caudoviricetes;Caudovirales;Schitoviridae;Waedenswilvirus;Waedenswilvirus S6;Erwinia phage vB_EamP-S6;Erwinia phage phiEaP8</t>
  </si>
  <si>
    <t>Viruses[9];Duplodnaviria[9];Heunggongvirae[9];Uroviricota[9];Caudoviricetes[9];Caudovirales[9];Schitoviridae[7];Waedenswilvirus[3];Waedenswilvirus S6[3];Erwinia phage vB_EamP-S6[3];Achromobacter phage JWAlpha[1]</t>
  </si>
  <si>
    <t>Avril.NODE_763_length_3383_cov_6.780349</t>
  </si>
  <si>
    <t>Viruses[1];Duplodnaviria[1];Heunggongvirae[1];Uroviricota[1];Caudoviricetes[1];Caudovirales[1];Siphoviridae[1];Abidjanvirus[1];Pseudomonas virus Ab18[1];Pseudomonas phage ZC01[1]</t>
  </si>
  <si>
    <t>Viruses;Duplodnaviria;Heunggongvirae;Uroviricota;Caudoviricetes;Caudovirales;Siphoviridae;Abidjanvirus;Pseudomonas virus Ab18;Pseudomonas phage ZC01</t>
  </si>
  <si>
    <t>Sept.NODE_1167_length_2092_cov_6.394698</t>
  </si>
  <si>
    <t>Oct.NODE_1563_length_2358_cov_2.542336</t>
  </si>
  <si>
    <t>Viruses[1];Duplodnaviria[1];Heunggongvirae[1];Uroviricota[1];Caudoviricetes[1];Caudovirales[1];Siphoviridae[1];Abidjanvirus[1];Pseudomonas virus PaMx11[1];Pseudomonas phage PaMx11[1]</t>
  </si>
  <si>
    <t>Viruses;Duplodnaviria;Heunggongvirae;Uroviricota;Caudoviricetes;Caudovirales;Siphoviridae;Abidjanvirus;Pseudomonas virus PaMx11;Pseudomonas phage PaMx11</t>
  </si>
  <si>
    <t>Oct.NODE_1176_length_2827_cov_2.959596</t>
  </si>
  <si>
    <t>Oct.NODE_1159_length_2856_cov_9.287754</t>
  </si>
  <si>
    <t>Viruses[2];Duplodnaviria[2];Heunggongvirae[2];Uroviricota[2];Caudoviricetes[2];Caudovirales[2];Siphoviridae[1];Acionnavirus[1];unclassified Acionnavirus[1];Synechococcus phage S-CAM8[1]</t>
  </si>
  <si>
    <t>Viruses;Duplodnaviria;Heunggongvirae;Uroviricota;Caudoviricetes;Caudovirales;Siphoviridae;Acionnavirus;unclassified Acionnavirus;Synechococcus phage S-CAM8</t>
  </si>
  <si>
    <t>Viruses[2];Duplodnaviria[2];Heunggongvirae[2];Uroviricota[2];Caudoviricetes[2];Caudovirales[2];Myoviridae[1];Acionnavirus[1];Inhavirus P12024L[1];Nonlabens phage P12024S[1]</t>
  </si>
  <si>
    <t>Oct.NODE_379_length_5974_cov_5.637101</t>
  </si>
  <si>
    <t>Viruses[1];Duplodnaviria[1];Heunggongvirae[1];Uroviricota[1];Caudoviricetes[1];Caudovirales[1];Siphoviridae[1];Andromedavirus[1];Andromedavirus andromeda[1];Bacillus phage Gemini[1]</t>
  </si>
  <si>
    <t>Viruses;Duplodnaviria;Heunggongvirae;Uroviricota;Caudoviricetes;Caudovirales;Siphoviridae;Andromedavirus;Andromedavirus andromeda;Bacillus phage Gemini</t>
  </si>
  <si>
    <t>Sept.NODE_651_length_3074_cov_6.214972</t>
  </si>
  <si>
    <t>Viruses[1];Duplodnaviria[1];Heunggongvirae[1];Uroviricota[1];Caudoviricetes[1];Caudovirales[1];Siphoviridae[1];Annadreamyvirus[1];unclassified Annadreamyvirus[1];Streptomyces phage TunaTartare[1]</t>
  </si>
  <si>
    <t>Viruses;Duplodnaviria;Heunggongvirae;Uroviricota;Caudoviricetes;Caudovirales;Siphoviridae;Annadreamyvirus;unclassified Annadreamyvirus;Streptomyces phage TunaTartare</t>
  </si>
  <si>
    <t>Mai.NODE_474_length_4017_cov_42.620394</t>
  </si>
  <si>
    <t>Viruses[1];Duplodnaviria[1];Heunggongvirae[1];Uroviricota[1];Caudoviricetes[1];Caudovirales[1];Siphoviridae[1];Arquatrovirinae[1];Arequatrovirus[1];unclassified Arequatrovirus[1];Streptomyces phage Caelum[1]</t>
  </si>
  <si>
    <t>Viruses;Duplodnaviria;Heunggongvirae;Uroviricota;Caudoviricetes;Caudovirales;Siphoviridae;Arquatrovirinae;Arequatrovirus;unclassified Arequatrovirus;Streptomyces phage Caelum</t>
  </si>
  <si>
    <t>Sept.NODE_829_length_2641_cov_8.048724</t>
  </si>
  <si>
    <t>Viruses[2];Duplodnaviria[2];Heunggongvirae[2];Uroviricota[2];Caudoviricetes[2];Caudovirales[2];Siphoviridae[1];Arquatrovirinae[1];Eneladusvirus BF[1];unclassified Camvirus[1];Streptomyces phage Saftant[1]</t>
  </si>
  <si>
    <t>Viruses;Duplodnaviria;Heunggongvirae;Uroviricota;Caudoviricetes;Caudovirales;Siphoviridae;Arquatrovirinae;Eneladusvirus BF;unclassified Camvirus;Streptomyces phage Saftant</t>
  </si>
  <si>
    <t>Viruses[2];Duplodnaviria[2];Heunggongvirae[2];Uroviricota[2];Caudoviricetes[2];Caudovirales[2];Myoviridae[1];Arquatrovirinae[1];Camvirus[1];Erwinia phage pEa_SNUABM_49[1];Streptomyces phage Saftant[1]</t>
  </si>
  <si>
    <t>Sept.NODE_971_length_2364_cov_5.646600</t>
  </si>
  <si>
    <t>Viruses[1];Duplodnaviria[1];Heunggongvirae[1];Uroviricota[1];Caudoviricetes[1];Caudovirales[1];Siphoviridae[1];Arquatrovirinae[1];Likavirus[1];Likavirus aaronocolus[1];Streptomyces phage Leviticus[1]</t>
  </si>
  <si>
    <t>Viruses;Duplodnaviria;Heunggongvirae;Uroviricota;Caudoviricetes;Caudovirales;Siphoviridae;Arquatrovirinae;Likavirus;Likavirus aaronocolus;Streptomyces phage Leviticus</t>
  </si>
  <si>
    <t>Oct.NODE_1115_length_2923_cov_4.144003</t>
  </si>
  <si>
    <t>Viruses[1];Duplodnaviria[1];Heunggongvirae[1];Uroviricota[1];Caudoviricetes[1];Caudovirales[1];Siphoviridae[1];Arquatrovirinae[1];Likavirus[1];Likavirus danzina[1];Streptomyces phage Danzina[1]</t>
  </si>
  <si>
    <t>Viruses;Duplodnaviria;Heunggongvirae;Uroviricota;Caudoviricetes;Caudovirales;Siphoviridae;Arquatrovirinae;Likavirus;Likavirus danzina;Streptomyces phage Danzina</t>
  </si>
  <si>
    <t>Oct.NODE_1870_length_2079_cov_2.834486</t>
  </si>
  <si>
    <t>Viruses[1];Duplodnaviria[1];Heunggongvirae[1];Uroviricota[1];Caudoviricetes[1];Caudovirales[1];Siphoviridae[1];Audreyjarvisvirus[1];Audreyjarvisvirus WRP3[1];Lactococcus phage WRP3[1]</t>
  </si>
  <si>
    <t>Viruses;Duplodnaviria;Heunggongvirae;Uroviricota;Caudoviricetes;Caudovirales;Siphoviridae;Audreyjarvisvirus;Audreyjarvisvirus WRP3;Lactococcus phage WRP3</t>
  </si>
  <si>
    <t>Mai.NODE_1229_length_2007_cov_22.942623</t>
  </si>
  <si>
    <t>Viruses[1];Duplodnaviria[1];Heunggongvirae[1];Uroviricota[1];Caudoviricetes[1];Caudovirales[1];Siphoviridae[1];Avanivirus[1];Avanivirus Che9d[1]</t>
  </si>
  <si>
    <t>Viruses;Duplodnaviria;Heunggongvirae;Uroviricota;Caudoviricetes;Caudovirales;Siphoviridae;Avanivirus;Avanivirus Che9d</t>
  </si>
  <si>
    <t>Avril.NODE_808_length_3244_cov_5.748511</t>
  </si>
  <si>
    <t>Viruses[1];Duplodnaviria[1];Heunggongvirae[1];Uroviricota[1];Caudoviricetes[1];Caudovirales[1];Siphoviridae[1];Bacteroides[1];Incheonvrus P12002L[1];Polaribacter phage P12002L[1]</t>
  </si>
  <si>
    <t>Viruses;Duplodnaviria;Heunggongvirae;Uroviricota;Caudoviricetes;Caudovirales;Siphoviridae;Bacteroides;Incheonvrus P12002L;Polaribacter phage P12002L</t>
  </si>
  <si>
    <t>Viruses[1];Duplodnaviria[1];Heunggongvirae[1];Uroviricota[1];Caudoviricetes[1];Caudovirales[1];Siphoviridae[1];Incheonvrus[1];Incheonvrus P12002L[1];Polaribacter phage P12002L[1]</t>
  </si>
  <si>
    <t>Avril.NODE_1293_length_2301_cov_4.075690</t>
  </si>
  <si>
    <t>Viruses[1];Duplodnaviria[1];Heunggongvirae[1];Uroviricota[1];Caudoviricetes[1];Caudovirales[1];Siphoviridae[1];Brussowvirus[1];Brussowvirus bv2972[1];Streptococcus phage P9852[1]</t>
  </si>
  <si>
    <t>Viruses;Duplodnaviria;Heunggongvirae;Uroviricota;Caudoviricetes;Caudovirales;Siphoviridae;Brussowvirus;Brussowvirus bv2972;Streptococcus phage P9852</t>
  </si>
  <si>
    <t>Mai.NODE_618_length_3333_cov_6.574131</t>
  </si>
  <si>
    <t>Viruses[1];Duplodnaviria[1];Heunggongvirae[1];Uroviricota[1];Caudoviricetes[1];Caudovirales[1];Siphoviridae[1];Cbastvirus[1];Cbastvirus ST[1];Cellulophaga phage phiST[1];Cellulophaga phage phi19:2[1]</t>
  </si>
  <si>
    <t>Viruses;Duplodnaviria;Heunggongvirae;Uroviricota;Caudoviricetes;Caudovirales;Siphoviridae;Cbastvirus;Cbastvirus ST;Cellulophaga phage phiST;Cellulophaga phage phi19:2</t>
  </si>
  <si>
    <t>Oct.NODE_458_length_5235_cov_67.917181</t>
  </si>
  <si>
    <t>Viruses[1];Duplodnaviria[1];Heunggongvirae[1];Uroviricota[1];Caudoviricetes[1];Caudovirales[1];Siphoviridae[1];Cequinquevirus[1];Cequinquevirus Ld17[1];Lactobacillus phage Ld17[1]</t>
  </si>
  <si>
    <t>Viruses;Duplodnaviria;Heunggongvirae;Uroviricota;Caudoviricetes;Caudovirales;Siphoviridae;Cequinquevirus;Cequinquevirus Ld17;Lactobacillus phage Ld17</t>
  </si>
  <si>
    <t>Mai.NODE_739_length_2910_cov_88.390193</t>
  </si>
  <si>
    <t>Viruses[1];Duplodnaviria[1];Heunggongvirae[1];Uroviricota[1];Caudoviricetes[1];Caudovirales[1];Siphoviridae[1];Cinunavirus[1];Cinunavirus CN1A[1];Clavibacter phage CN1A[1]</t>
  </si>
  <si>
    <t>Viruses;Duplodnaviria;Heunggongvirae;Uroviricota;Caudoviricetes;Caudovirales;Siphoviridae;Cinunavirus;Cinunavirus CN1A;Clavibacter phage CN1A</t>
  </si>
  <si>
    <t>Oct.NODE_614_length_4341_cov_8.237984</t>
  </si>
  <si>
    <t>Viruses[2];Duplodnaviria[2];Heunggongvirae[2];Uroviricota[2];Caudoviricetes[2];Caudovirales[2];Siphoviridae[2];Dolichocephalovirinae[2];Colossusvirus[1];Colossusvirus colossus[1];Caulobacter phage CcrSC[1]</t>
  </si>
  <si>
    <t>Viruses;Duplodnaviria;Heunggongvirae;Uroviricota;Caudoviricetes;Caudovirales;Siphoviridae;Dolichocephalovirinae;Colossusvirus;Colossusvirus colossus;Caulobacter phage CcrSC</t>
  </si>
  <si>
    <t>Viruses[2];Duplodnaviria[2];Heunggongvirae[2];Uroviricota[2];Caudoviricetes[2];Caudovirales[2];Siphoviridae[2];Dolichocephalovirinae[2];Bertelyvirus[1];Bertelyvirus SC[1];Caulobacter phage CcrSC[1]</t>
  </si>
  <si>
    <t>Oct.NODE_1733_length_2185_cov_2.701878</t>
  </si>
  <si>
    <t>Viruses[1];Duplodnaviria[1];Heunggongvirae[1];Uroviricota[1];Caudoviricetes[1];Caudovirales[1];Siphoviridae[1];Dolichocephalovirinae[1];Colossusvirus[1];Colossusvirus PW[1];Caulobacter phage CcrPW[1]</t>
  </si>
  <si>
    <t>Viruses;Duplodnaviria;Heunggongvirae;Uroviricota;Caudoviricetes;Caudovirales;Siphoviridae;Dolichocephalovirinae;Colossusvirus;Colossusvirus PW;Caulobacter phage CcrPW</t>
  </si>
  <si>
    <t>Oct.NODE_1764_length_2158_cov_2.932477</t>
  </si>
  <si>
    <t>Oct.NODE_387_length_5859_cov_6.828567</t>
  </si>
  <si>
    <t>Viruses[2];Duplodnaviria[2];Heunggongvirae[2];Uroviricota[2];Caudoviricetes[2];Caudovirales[2];Siphoviridae[2];Dolichocephalovirinae[1];Colossusvirus[1];Colossusvirus PW[1];Caulobacter phage CcrPW[1]</t>
  </si>
  <si>
    <t>Viruses[2];Duplodnaviria[2];Heunggongvirae[2];Uroviricota[2];Caudoviricetes[2];Caudovirales[2];Siphoviridae[2];Dolichocephalovirinae[1];Pseudoalteromonas phage AL[1];Colossusvirus PW[1];Caulobacter phage CcrPW[1]</t>
  </si>
  <si>
    <t>Mai.NODE_576_length_3503_cov_17.456787</t>
  </si>
  <si>
    <t>Viruses[1];Duplodnaviria[1];Heunggongvirae[1];Uroviricota[1];Caudoviricetes[1];Caudovirales[1];Siphoviridae[1];Dolichocephalovirinae[1];Shapirovirus[1];unclassified Shapirovirus[1];Caulobacter phage Ccr2[1]</t>
  </si>
  <si>
    <t>Viruses;Duplodnaviria;Heunggongvirae;Uroviricota;Caudoviricetes;Caudovirales;Siphoviridae;Dolichocephalovirinae;Shapirovirus;unclassified Shapirovirus;Caulobacter phage Ccr2</t>
  </si>
  <si>
    <t>Avril.NODE_1525_length_2056_cov_10.415292</t>
  </si>
  <si>
    <t>Viruses[1];Duplodnaviria[1];Heunggongvirae[1];Uroviricota[1];Caudoviricetes[1];Caudovirales[1];Siphoviridae[1];Eisenstarkvirus[1];Eisenstarkvirus L7[1];Xanthomonas phage phiL7[1]</t>
  </si>
  <si>
    <t>Viruses;Duplodnaviria;Heunggongvirae;Uroviricota;Caudoviricetes;Caudovirales;Siphoviridae;Eisenstarkvirus;Eisenstarkvirus L7;Xanthomonas phage phiL7</t>
  </si>
  <si>
    <t>Sept.NODE_387_length_4353_cov_4.628664</t>
  </si>
  <si>
    <t>Viruses[2];Duplodnaviria[2];Heunggongvirae[2];Uroviricota[2];Caudoviricetes[2];Caudovirales[2];Siphoviridae[1];Eisenstarkvirus[1];Shandongvirus H101[1];Xanthomonas phage phiL7[1]</t>
  </si>
  <si>
    <t>Viruses;Duplodnaviria;Heunggongvirae;Uroviricota;Caudoviricetes;Caudovirales;Siphoviridae;Eisenstarkvirus;Shandongvirus H101;Xanthomonas phage phiL7</t>
  </si>
  <si>
    <t>Viruses[2];Duplodnaviria[2];Heunggongvirae[2];Uroviricota[2];Caudoviricetes[2];Caudovirales[2];Myoviridae[1];Eisenstarkvirus[1];Shandongvirus H101[1];Pseudoalteromonas phage H101[1]</t>
  </si>
  <si>
    <t>Oct.NODE_1754_length_2165_cov_2.527962</t>
  </si>
  <si>
    <t>Viruses[1];Duplodnaviria[1];Heunggongvirae[1];Uroviricota[1];Caudoviricetes[1];Caudovirales[1];Siphoviridae[1];Emalynvirus[1];unclassified Emalynvirus[1];Gordonia phage Gibbous[1]</t>
  </si>
  <si>
    <t>Viruses;Duplodnaviria;Heunggongvirae;Uroviricota;Caudoviricetes;Caudovirales;Siphoviridae;Emalynvirus;unclassified Emalynvirus;Gordonia phage Gibbous</t>
  </si>
  <si>
    <t>Mai.NODE_724_length_2955_cov_3.728966</t>
  </si>
  <si>
    <t>Viruses[1];Duplodnaviria[1];Heunggongvirae[1];Uroviricota[1];Caudoviricetes[1];Caudovirales[1];Siphoviridae[1];Fromanvirus[1];Fromanvirus backyardigan[1]</t>
  </si>
  <si>
    <t>Viruses;Duplodnaviria;Heunggongvirae;Uroviricota;Caudoviricetes;Caudovirales;Siphoviridae;Fromanvirus;Fromanvirus backyardigan</t>
  </si>
  <si>
    <t>Avril.NODE_926_length_2927_cov_264.016365</t>
  </si>
  <si>
    <t>Mai.NODE_820_length_2687_cov_7.629939</t>
  </si>
  <si>
    <t>Viruses[1];Duplodnaviria[1];Heunggongvirae[1];Uroviricota[1];Caudoviricetes[1];Caudovirales[1];Siphoviridae[1];Fromanvirus[1];Fromanvirus euphoria[1]</t>
  </si>
  <si>
    <t>Viruses;Duplodnaviria;Heunggongvirae;Uroviricota;Caudoviricetes;Caudovirales;Siphoviridae;Fromanvirus;Fromanvirus euphoria</t>
  </si>
  <si>
    <t>Mai.NODE_1203_length_2032_cov_51.548306</t>
  </si>
  <si>
    <t>Viruses[1];Duplodnaviria[1];Heunggongvirae[1];Uroviricota[1];Caudoviricetes[1];Caudovirales[1];Siphoviridae[1];Gordonvirus[1];unclassified Gordonvirus[1];Arthrobacter phage Shepard[1]</t>
  </si>
  <si>
    <t>Viruses;Duplodnaviria;Heunggongvirae;Uroviricota;Caudoviricetes;Caudovirales;Siphoviridae;Gordonvirus;unclassified Gordonvirus;Arthrobacter phage Shepard</t>
  </si>
  <si>
    <t>Avril.NODE_892_length_3016_cov_16.233029</t>
  </si>
  <si>
    <t>Viruses[2];Duplodnaviria[2];Heunggongvirae[2];Uroviricota[2];Caudoviricetes[2];Caudovirales[2];Siphoviridae[2];Gorganvirus[1];Gorganvirus isfahan[1];Proteus phage VB_PmiS-Isfahan[1]</t>
  </si>
  <si>
    <t>Viruses;Duplodnaviria;Heunggongvirae;Uroviricota;Caudoviricetes;Caudovirales;Siphoviridae;Gorganvirus;Gorganvirus isfahan;Proteus phage VB_PmiS-Isfahan</t>
  </si>
  <si>
    <t>Viruses[2];Duplodnaviria[2];Heunggongvirae[2];Uroviricota[2];Caudoviricetes[2];Caudovirales[2];Siphoviridae[2];Gorganvirus[1];Idiomarinaceae phage 1N2-2[1];Proteus phage VB_PmiS-Isfahan[1]</t>
  </si>
  <si>
    <t>Sept.NODE_948_length_2396_cov_5.047416</t>
  </si>
  <si>
    <t>Viruses[1];Duplodnaviria[1];Heunggongvirae[1];Uroviricota[1];Caudoviricetes[1];Caudovirales[1];Siphoviridae[1];Helsingorvirus[1];Helsingorvirus Cba121[1];Cellulophaga phage phi12:1[1]</t>
  </si>
  <si>
    <t>Viruses;Duplodnaviria;Heunggongvirae;Uroviricota;Caudoviricetes;Caudovirales;Siphoviridae;Helsingorvirus;Helsingorvirus Cba121;Cellulophaga phage phi12:1</t>
  </si>
  <si>
    <t>Mai.NODE_1125_length_2133_cov_4.980269</t>
  </si>
  <si>
    <t>Sept.NODE_390_length_4343_cov_5.738340</t>
  </si>
  <si>
    <t>Viruses[2];Duplodnaviria[2];Heunggongvirae[2];Uroviricota[2];Caudoviricetes[2];Caudovirales[2];Siphoviridae[2];Helsingorvirus[2];Helsingorvirus Cba181[1];Cellulophaga phage phi12:1[1];Cellulophaga phage phi12:3[1]</t>
  </si>
  <si>
    <t>Viruses;Duplodnaviria;Heunggongvirae;Uroviricota;Caudoviricetes;Caudovirales;Siphoviridae;Helsingorvirus;Helsingorvirus Cba181;Cellulophaga phage phi12:1;Cellulophaga phage phi12:3</t>
  </si>
  <si>
    <t>Viruses[2];Duplodnaviria[2];Heunggongvirae[2];Uroviricota[2];Caudoviricetes[2];Caudovirales[2];Siphoviridae[2];Helsingorvirus[2];Helsingorvirus Cba121[1];Cellulophaga phage phi18:1[1];Cellulophaga phage phi12:3[1]</t>
  </si>
  <si>
    <t>Avril.NODE_699_length_3588_cov_5.847155</t>
  </si>
  <si>
    <t>Viruses;Duplodnaviria;Heunggongvirae;Uroviricota;Caudoviricetes;Caudovirales;Siphoviridae;Incheonvrus;Incheonvrus P12002L;Polaribacter phage P12002L</t>
  </si>
  <si>
    <t>Oct.NODE_1843_length_2101_cov_2.432063</t>
  </si>
  <si>
    <t>Avril.NODE_656_length_3752_cov_6.298621</t>
  </si>
  <si>
    <t>Viruses[3];Duplodnaviria[3];Heunggongvirae[3];Uroviricota[3];Caudoviricetes[3];Caudovirales[3];Siphoviridae[3];Incheonvrus[3];Incheonvrus P12002S[2];Polaribacter phage P12002S[2]</t>
  </si>
  <si>
    <t>Viruses;Duplodnaviria;Heunggongvirae;Uroviricota;Caudoviricetes;Caudovirales;Siphoviridae;Incheonvrus;Incheonvrus P12002S;Polaribacter phage P12002S</t>
  </si>
  <si>
    <t>Avril.NODE_1094_length_2577_cov_6.281919</t>
  </si>
  <si>
    <t>Viruses[1];Duplodnaviria[1];Heunggongvirae[1];Uroviricota[1];Caudoviricetes[1];Caudovirales[1];Siphoviridae[1];Incheonvrus[1];Luteibaculum oceani[1];Polaribacter phage P12002S[1]</t>
  </si>
  <si>
    <t>Viruses;Duplodnaviria;Heunggongvirae;Uroviricota;Caudoviricetes;Caudovirales;Siphoviridae;Incheonvrus;Luteibaculum oceani;Polaribacter phage P12002S</t>
  </si>
  <si>
    <t>Viruses[1];Duplodnaviria[1];Heunggongvirae[1];Uroviricota[1];Caudoviricetes[1];Caudovirales[1];Siphoviridae[1];Incheonvrus[1];Incheonvrus P12002S[1];Polaribacter phage P12002S[1]</t>
  </si>
  <si>
    <t>Oct.NODE_785_length_3706_cov_7.256916</t>
  </si>
  <si>
    <t>Viruses[1];Duplodnaviria[1];Heunggongvirae[1];Uroviricota[1];Caudoviricetes[1];Caudovirales[1];Siphoviridae[1];Inhavirus[1];Inhavirus P12024L[1];Nonlabens phage P12024L[1]</t>
  </si>
  <si>
    <t>Viruses;Duplodnaviria;Heunggongvirae;Uroviricota;Caudoviricetes;Caudovirales;Siphoviridae;Inhavirus;Inhavirus P12024L;Nonlabens phage P12024L</t>
  </si>
  <si>
    <t>Oct.NODE_1268_length_2712_cov_7.386526</t>
  </si>
  <si>
    <t>Viruses[2];Duplodnaviria[2];Heunggongvirae[2];Uroviricota[2];Caudoviricetes[2];Caudovirales[2];Siphoviridae[2];Inhavirus[1];Inhavirus P12024L[1];Nonlabens phage P12024L[1]</t>
  </si>
  <si>
    <t>Viruses[2];Duplodnaviria[2];Heunggongvirae[2];Uroviricota[2];Caudoviricetes[2];Caudovirales[2];Siphoviridae[2];unclassified Siphoviridae[1];Cellulophaga phage phi10:1[1];Nonlabens phage P12024L[1]</t>
  </si>
  <si>
    <t>Sept.NODE_167_length_8580_cov_50.966921</t>
  </si>
  <si>
    <t>Viruses[4];Duplodnaviria[4];Heunggongvirae[4];Uroviricota[4];Caudoviricetes[4];Caudovirales[4];Siphoviridae[4];Inhavirus[4];Inhavirus P12024L[4];Nonlabens phage P12024S[2]</t>
  </si>
  <si>
    <t>Viruses;Duplodnaviria;Heunggongvirae;Uroviricota;Caudoviricetes;Caudovirales;Siphoviridae;Inhavirus;Inhavirus P12024L;Nonlabens phage P12024S</t>
  </si>
  <si>
    <t>Oct.NODE_493_length_5013_cov_24.733764</t>
  </si>
  <si>
    <t>Viruses[2];Duplodnaviria[2];Heunggongvirae[2];Uroviricota[2];Caudoviricetes[2];Caudovirales[2];Siphoviridae[2];Inhavirus[2];Inhavirus P12024L[2];Nonlabens phage P12024S[2]</t>
  </si>
  <si>
    <t>Oct.NODE_676_length_4081_cov_9.068554</t>
  </si>
  <si>
    <t>Oct.NODE_912_length_3306_cov_8.728699</t>
  </si>
  <si>
    <t>Viruses[3];Duplodnaviria[3];Heunggongvirae[3];Uroviricota[3];Caudoviricetes[3];Caudovirales[3];Siphoviridae[3];Inhavirus[3];Inhavirus P12024L[3];Nonlabens phage P12024S[3]</t>
  </si>
  <si>
    <t>Oct.NODE_1201_length_2799_cov_6.686589</t>
  </si>
  <si>
    <t>Viruses[1];Duplodnaviria[1];Heunggongvirae[1];Uroviricota[1];Caudoviricetes[1];Caudovirales[1];Siphoviridae[1];Inhavirus[1];Inhavirus P12024L[1];Nonlabens phage P12024S[1]</t>
  </si>
  <si>
    <t>Sept.NODE_1102_length_2181_cov_33.964722</t>
  </si>
  <si>
    <t>Viruses[3];Duplodnaviria[3];Heunggongvirae[3];Uroviricota[3];Caudoviricetes[3];Caudovirales[3];Siphoviridae[3];Inhavirus[3];Inhavirus P12024L[3];Nonlabens phage P12024S[2]</t>
  </si>
  <si>
    <t>Oct.NODE_271_length_7514_cov_8.153640</t>
  </si>
  <si>
    <t>Viruses[4];Duplodnaviria[4];Heunggongvirae[4];Uroviricota[4];Caudoviricetes[4];Caudovirales[4];Siphoviridae[4];Inhavirus[4];Inhavirus P12024L[4];Nonlabens phage P12024S[3]</t>
  </si>
  <si>
    <t>Oct.NODE_463_length_5216_cov_47.007169</t>
  </si>
  <si>
    <t>Viruses[1];Duplodnaviria[1];Heunggongvirae[1];Uroviricota[1];Caudoviricetes[1];Caudovirales[1];Siphoviridae[1];Inhavirus[1];Inhavirus P12024L[1];Zunongwangia atlantica 22II14-10F7[1]</t>
  </si>
  <si>
    <t>Viruses;Duplodnaviria;Heunggongvirae;Uroviricota;Caudoviricetes;Caudovirales;Siphoviridae;Inhavirus;Inhavirus P12024L;Zunongwangia atlantica 22II14-10F7</t>
  </si>
  <si>
    <t>Sept.NODE_1223_length_2035_cov_12.999495</t>
  </si>
  <si>
    <t>Viruses[1];Duplodnaviria[1];Heunggongvirae[1];Uroviricota[1];Caudoviricetes[1];Caudovirales[1];Siphoviridae[1];Karimacvirus[1];Streptomyces virus LukeCage[1];Streptomyces phage LukeCage[1]</t>
  </si>
  <si>
    <t>Viruses;Duplodnaviria;Heunggongvirae;Uroviricota;Caudoviricetes;Caudovirales;Siphoviridae;Karimacvirus;Streptomyces virus LukeCage;Streptomyces phage LukeCage</t>
  </si>
  <si>
    <t>Mai.NODE_1072_length_2205_cov_4.455349</t>
  </si>
  <si>
    <t>Viruses[1];Duplodnaviria[1];Heunggongvirae[1];Uroviricota[1];Caudoviricetes[1];Caudovirales[1];Siphoviridae[1];Lacusarxvirus[1];Lacusarxvirus lacusarx[1];Sphingobium phage Lacusarx[1]</t>
  </si>
  <si>
    <t>Viruses;Duplodnaviria;Heunggongvirae;Uroviricota;Caudoviricetes;Caudovirales;Siphoviridae;Lacusarxvirus;Lacusarxvirus lacusarx;Sphingobium phage Lacusarx</t>
  </si>
  <si>
    <t>Oct.NODE_1732_length_2186_cov_2.571563</t>
  </si>
  <si>
    <t>Viruses[1];Duplodnaviria[1];Heunggongvirae[1];Uroviricota[1];Caudoviricetes[1];Caudovirales[1];Siphoviridae[1];Lanavirus[1];Lanavirus lana[1];Pseudomonas phage Lana[1]</t>
  </si>
  <si>
    <t>Viruses;Duplodnaviria;Heunggongvirae;Uroviricota;Caudoviricetes;Caudovirales;Siphoviridae;Lanavirus;Lanavirus lana;Pseudomonas phage Lana</t>
  </si>
  <si>
    <t>Sept.NODE_812_length_2682_cov_5.116102</t>
  </si>
  <si>
    <t>Viruses[2];Duplodnaviria[2];Heunggongvirae[2];Uroviricota[2];Caudoviricetes[2];Caudovirales[2];Siphoviridae[2];Laroyevirus[1];unclassified Laroyevirus[1];Arthrobacter phage Waltz[1]</t>
  </si>
  <si>
    <t>Viruses;Duplodnaviria;Heunggongvirae;Uroviricota;Caudoviricetes;Caudovirales;Siphoviridae;Laroyevirus;unclassified Laroyevirus;Arthrobacter phage Waltz</t>
  </si>
  <si>
    <t>Viruses[2];Duplodnaviria[2];Heunggongvirae[2];Uroviricota[2];Caudoviricetes[2];Caudovirales[2];Siphoviridae[2];unclassified Siphoviridae[1];Freshwater phage uvFW-CGR-AMD-COM-C203[1];Arthrobacter phage Waltz[1]</t>
  </si>
  <si>
    <t>Mai.NODE_430_length_4270_cov_3.824674</t>
  </si>
  <si>
    <t>Viruses[1];Duplodnaviria[1];Heunggongvirae[1];Uroviricota[1];Caudoviricetes[1];Caudovirales[1];Siphoviridae[1];Mardecavirus[1];Mardecavirus MAR10[1];Vibrio phage vB_VpaS_MAR10[1]</t>
  </si>
  <si>
    <t>Viruses;Duplodnaviria;Heunggongvirae;Uroviricota;Caudoviricetes;Caudovirales;Siphoviridae;Mardecavirus;Mardecavirus MAR10;Vibrio phage vB_VpaS_MAR10</t>
  </si>
  <si>
    <t>Mai.NODE_638_length_3261_cov_5.156893</t>
  </si>
  <si>
    <t>Mai.NODE_575_length_3505_cov_3.183478</t>
  </si>
  <si>
    <t>Viruses[4];Duplodnaviria[4];Heunggongvirae[4];Uroviricota[4];Caudoviricetes[4];Caudovirales[4];Siphoviridae[4];Mardecavirus[3];Mardecavirus SSP002[2];Dinoroseobacter phage vB_DshS-R5C[1]</t>
  </si>
  <si>
    <t>Viruses;Duplodnaviria;Heunggongvirae;Uroviricota;Caudoviricetes;Caudovirales;Siphoviridae;Mardecavirus;Mardecavirus SSP002;Dinoroseobacter phage vB_DshS-R5C</t>
  </si>
  <si>
    <t>Viruses[4];Duplodnaviria[4];Heunggongvirae[4];Uroviricota[4];Caudoviricetes[4];Caudovirales[4];Siphoviridae[4];Mardecavirus[3];Mardecavirus SSP002[2];Vibrio phage vB_VpS_C2[1]</t>
  </si>
  <si>
    <t>Sept.NODE_689_length_2980_cov_3.704957</t>
  </si>
  <si>
    <t>Viruses[1];Duplodnaviria[1];Heunggongvirae[1];Uroviricota[1];Caudoviricetes[1];Caudovirales[1];Siphoviridae[1];Mardecavirus[1];unclassified Mardecavirus[1];Vibrio phage R01[1]</t>
  </si>
  <si>
    <t>Viruses;Duplodnaviria;Heunggongvirae;Uroviricota;Caudoviricetes;Caudovirales;Siphoviridae;Mardecavirus;unclassified Mardecavirus;Vibrio phage R01</t>
  </si>
  <si>
    <t>Mai.NODE_465_length_4052_cov_2.981486</t>
  </si>
  <si>
    <t>Sept.NODE_304_length_5279_cov_22.366194</t>
  </si>
  <si>
    <t>Viruses[2];Duplodnaviria[2];Heunggongvirae[2];Uroviricota[2];Caudoviricetes[2];Caudovirales[2];Siphoviridae[1];Nanhaivirus[1];Caudovirales sp. ctOwN3[1];Dinoroseobacter phage vB_DshS-R5C[1]</t>
  </si>
  <si>
    <t>Viruses;Duplodnaviria;Heunggongvirae;Uroviricota;Caudoviricetes;Caudovirales;Siphoviridae;Nanhaivirus;Caudovirales sp. ctOwN3;Dinoroseobacter phage vB_DshS-R5C</t>
  </si>
  <si>
    <t>Viruses[2];Duplodnaviria[2];Heunggongvirae[2];Uroviricota[2];Caudoviricetes[2];Caudovirales[2];Podoviridae[1];unclassified Podoviridae[1];Caudovirales sp. ctOwN3[1];Dinoroseobacter phage vB_DshS-R5C[1]</t>
  </si>
  <si>
    <t>Sept.NODE_684_length_3001_cov_4.527834</t>
  </si>
  <si>
    <t>Viruses[2];Duplodnaviria[2];Heunggongvirae[2];Uroviricota[2];Caudoviricetes[2];Caudovirales[2];Siphoviridae[1];Nanhaivirus[1];Nanhaivirus D5C[1];Dinoroseobacter phage vB_DshS-R5C[1]</t>
  </si>
  <si>
    <t>Viruses;Duplodnaviria;Heunggongvirae;Uroviricota;Caudoviricetes;Caudovirales;Siphoviridae;Nanhaivirus;Nanhaivirus D5C;Dinoroseobacter phage vB_DshS-R5C</t>
  </si>
  <si>
    <t>Viruses[2];Duplodnaviria[2];Heunggongvirae[2];Uroviricota[2];Caudoviricetes[2];Caudovirales[2];Siphoviridae[1];Roseobacter phage CRP-6[1];Nanhaivirus D5C[1];Dinoroseobacter phage vB_DshS-R5C[1]</t>
  </si>
  <si>
    <t>Oct.NODE_1784_length_2146_cov_2.259206</t>
  </si>
  <si>
    <t>Viruses[2];Duplodnaviria[2];Heunggongvirae[2];Uroviricota[2];Caudoviricetes[2];Caudovirales[2];Siphoviridae[1];Novosibvirus[1];Novosibvirus PM135[1];Proteus phage PM135[1]</t>
  </si>
  <si>
    <t>Viruses;Duplodnaviria;Heunggongvirae;Uroviricota;Caudoviricetes;Caudovirales;Siphoviridae;Novosibvirus;Novosibvirus PM135;Proteus phage PM135</t>
  </si>
  <si>
    <t>Viruses[2];Duplodnaviria[2];Heunggongvirae[2];Uroviricota[2];Caudoviricetes[2];Caudovirales[2];Siphoviridae[1];Priunavirus[1];unclassified Priunavirus[1];Providencia phage PSTCR5[1]</t>
  </si>
  <si>
    <t>Sept.NODE_307_length_5257_cov_7.243945</t>
  </si>
  <si>
    <t>Viruses[2];Duplodnaviria[2];Heunggongvirae[2];Uroviricota[2];Caudoviricetes[2];Caudovirales[2];Siphoviridae[1];Obolenskvirus[1];Obolenskvirus LZ35[1];Acinetobacter phage LZ35[1]</t>
  </si>
  <si>
    <t>Viruses;Duplodnaviria;Heunggongvirae;Uroviricota;Caudoviricetes;Caudovirales;Siphoviridae;Obolenskvirus;Obolenskvirus LZ35;Acinetobacter phage LZ35</t>
  </si>
  <si>
    <t>Sept.NODE_369_length_4519_cov_5.546147</t>
  </si>
  <si>
    <t>Viruses[1];Duplodnaviria[1];Heunggongvirae[1];Uroviricota[1];Caudoviricetes[1];Caudovirales[1];Siphoviridae[1];Omegavirus[1];Omegavirus optimus[1]</t>
  </si>
  <si>
    <t>Viruses;Duplodnaviria;Heunggongvirae;Uroviricota;Caudoviricetes;Caudovirales;Siphoviridae;Omegavirus;Omegavirus optimus</t>
  </si>
  <si>
    <t>Avril.NODE_569_length_4216_cov_3.571978</t>
  </si>
  <si>
    <t>Viruses[1];Duplodnaviria[1];Heunggongvirae[1];Uroviricota[1];Caudoviricetes[1];Caudovirales[1];Siphoviridae[1];Pamexvirus[1];unclassified Pamexvirus[1];Xanthomonas phage Xoo-sp2[1]</t>
  </si>
  <si>
    <t>Viruses;Duplodnaviria;Heunggongvirae;Uroviricota;Caudoviricetes;Caudovirales;Siphoviridae;Pamexvirus;unclassified Pamexvirus;Xanthomonas phage Xoo-sp2</t>
  </si>
  <si>
    <t>Mai.NODE_531_length_3656_cov_3.414329</t>
  </si>
  <si>
    <t>Oct.NODE_301_length_6947_cov_10.871735</t>
  </si>
  <si>
    <t>Viruses[2];Duplodnaviria[2];Heunggongvirae[2];Uroviricota[2];Caudoviricetes[2];Caudovirales[2];Siphoviridae[2];Phicbkvirus[1];Caulobacter virus Rogue[1]</t>
  </si>
  <si>
    <t>Viruses;Duplodnaviria;Heunggongvirae;Uroviricota;Caudoviricetes;Caudovirales;Siphoviridae;Phicbkvirus;Caulobacter virus Rogue</t>
  </si>
  <si>
    <t>Viruses[2];Duplodnaviria[2];Heunggongvirae[2];Uroviricota[2];Caudoviricetes[2];Caudovirales[2];Siphoviridae[2];Phicbkvirus[1];Tenacibaculum phage JQ[1]</t>
  </si>
  <si>
    <t>Sept.NODE_917_length_2463_cov_139.291944</t>
  </si>
  <si>
    <t>Viruses[1];Duplodnaviria[1];Heunggongvirae[1];Uroviricota[1];Caudoviricetes[1];Caudovirales[1];Siphoviridae[1];Queuovirinae[1];Nipunavirus[1];Nipunavirus NP1[1];Pseudomonas phage JG012[1]</t>
  </si>
  <si>
    <t>Viruses;Duplodnaviria;Heunggongvirae;Uroviricota;Caudoviricetes;Caudovirales;Siphoviridae;Queuovirinae;Nipunavirus;Nipunavirus NP1;Pseudomonas phage JG012</t>
  </si>
  <si>
    <t>Oct.NODE_1495_length_2426_cov_4.293969</t>
  </si>
  <si>
    <t>Sept.NODE_608_length_3211_cov_3.494930</t>
  </si>
  <si>
    <t>Viruses[4];Duplodnaviria[4];Heunggongvirae[4];Uroviricota[4];Caudoviricetes[4];Caudovirales[4];Siphoviridae[4];Queuovirinae[3];Nipunavirus[2];unclassified Nipunavirus[1];Pseudomonas phage JG054[1]</t>
  </si>
  <si>
    <t>Viruses;Duplodnaviria;Heunggongvirae;Uroviricota;Caudoviricetes;Caudovirales;Siphoviridae;Queuovirinae;Nipunavirus;unclassified Nipunavirus;Pseudomonas phage JG054</t>
  </si>
  <si>
    <t>Viruses[4];Duplodnaviria[4];Heunggongvirae[4];Uroviricota[4];Caudoviricetes[4];Caudovirales[4];Siphoviridae[4];Queuovirinae[3];Nipunavirus[2];Alphaproteobacteria phage PhiJL001[1];Pseudomonas phage JG054[1]</t>
  </si>
  <si>
    <t>Sept.NODE_775_length_2747_cov_21.088039</t>
  </si>
  <si>
    <t>Viruses[1];Duplodnaviria[1];Heunggongvirae[1];Uroviricota[1];Caudoviricetes[1];Caudovirales[1];Siphoviridae[1];Queuovirinae[1];Nipunavirus[1];unclassified Nipunavirus[1];Pseudomonas phage JG054[1]</t>
  </si>
  <si>
    <t>Oct.NODE_1799_length_2131_cov_3.615607</t>
  </si>
  <si>
    <t>Viruses[2];Duplodnaviria[2];Heunggongvirae[2];Uroviricota[2];Caudoviricetes[2];Caudovirales[2];Siphoviridae[2];Queuovirinae[1];Nonagvirus[1];Nonagvirus JenP2[1];Enterobacteria phage JenP2[1]</t>
  </si>
  <si>
    <t>Viruses;Duplodnaviria;Heunggongvirae;Uroviricota;Caudoviricetes;Caudovirales;Siphoviridae;Queuovirinae;Nonagvirus;Nonagvirus JenP2;Enterobacteria phage JenP2</t>
  </si>
  <si>
    <t>Viruses[2];Duplodnaviria[2];Heunggongvirae[2];Uroviricota[2];Caudoviricetes[2];Caudovirales[2];Siphoviridae[2];unclassified Siphoviridae[1];Vibrio phage 1.206.O._10N.222.51.B10[1];Nonagvirus JenP2[1];Enterobacteria phage JenP2[1]</t>
  </si>
  <si>
    <t>Mai.NODE_242_length_6849_cov_4.604210</t>
  </si>
  <si>
    <t>Viruses[2];Duplodnaviria[2];Heunggongvirae[2];Uroviricota[2];Caudoviricetes[2];Caudovirales[2];Siphoviridae[2];Queuovirinae[1];Siphoviridae sp. ctdEk19[1];Seuratvirus seurat[1];Escherichia phage Seurat[1]</t>
  </si>
  <si>
    <t>Viruses;Duplodnaviria;Heunggongvirae;Uroviricota;Caudoviricetes;Caudovirales;Siphoviridae;Queuovirinae;Siphoviridae sp. ctdEk19;Seuratvirus seurat;Escherichia phage Seurat</t>
  </si>
  <si>
    <t>Viruses[2];Duplodnaviria[2];Heunggongvirae[2];Uroviricota[2];Caudoviricetes[2];Caudovirales[2];Siphoviridae[2];Queuovirinae[1];Seuratvirus[1];Seuratvirus seurat[1];Escherichia phage Seurat[1]</t>
  </si>
  <si>
    <t>Oct.NODE_727_length_3926_cov_4.149574</t>
  </si>
  <si>
    <t>Viruses[1];Duplodnaviria[1];Heunggongvirae[1];Uroviricota[1];Caudoviricetes[1];Caudovirales[1];Siphoviridae[1];Samistivirus[1];unclassified Samistivirus[1];Streptomyces phage Bmoc[1]</t>
  </si>
  <si>
    <t>Viruses;Duplodnaviria;Heunggongvirae;Uroviricota;Caudoviricetes;Caudovirales;Siphoviridae;Samistivirus;unclassified Samistivirus;Streptomyces phage Bmoc</t>
  </si>
  <si>
    <t>Avril.NODE_1353_length_2232_cov_29.663757</t>
  </si>
  <si>
    <t>Viruses[1];Duplodnaviria[1];Heunggongvirae[1];Uroviricota[1];Caudoviricetes[1];Caudovirales[1];Siphoviridae[1];Samistivirus[1];unclassified Samistivirus[1];Streptomyces phage MulchMansion[1]</t>
  </si>
  <si>
    <t>Viruses;Duplodnaviria;Heunggongvirae;Uroviricota;Caudoviricetes;Caudovirales;Siphoviridae;Samistivirus;unclassified Samistivirus;Streptomyces phage MulchMansion</t>
  </si>
  <si>
    <t>Avril.NODE_1162_length_2481_cov_4.413026</t>
  </si>
  <si>
    <t>Viruses[1];Duplodnaviria[1];Heunggongvirae[1];Uroviricota[1];Caudoviricetes[1];Caudovirales[1];Siphoviridae[1];Saundersvirus[1];unclassified Saundersvirus[1];Bacillus phage 035JT001[1]</t>
  </si>
  <si>
    <t>Viruses;Duplodnaviria;Heunggongvirae;Uroviricota;Caudoviricetes;Caudovirales;Siphoviridae;Saundersvirus;unclassified Saundersvirus;Bacillus phage 035JT001</t>
  </si>
  <si>
    <t>Oct.NODE_1185_length_2814_cov_7.513592</t>
  </si>
  <si>
    <t>Viruses[2];Duplodnaviria[2];Heunggongvirae[2];Uroviricota[2];Caudoviricetes[2];Caudovirales[2];Siphoviridae[1];unclassified Myoviridae[1];Helsingorvirus Cba181[1];Cellulophaga phage phi18:1[1];Cellulophaga phage phi18:2[1]</t>
  </si>
  <si>
    <t>Viruses;Duplodnaviria;Heunggongvirae;Uroviricota;Caudoviricetes;Caudovirales;Siphoviridae;unclassified Myoviridae;Helsingorvirus Cba181;Cellulophaga phage phi18:1;Cellulophaga phage phi18:2</t>
  </si>
  <si>
    <t>Viruses[2];Duplodnaviria[2];Heunggongvirae[2];Uroviricota[2];Caudoviricetes[2];Caudovirales[2];Siphoviridae[1];unclassified Myoviridae[1];Maribacter phage Molly_2[1];Cellulophaga phage phi18:1[1];Cellulophaga phage phi18:2[1]</t>
  </si>
  <si>
    <t>Oct.NODE_1383_length_2573_cov_4.255759</t>
  </si>
  <si>
    <t>Viruses[2];Duplodnaviria[2];Heunggongvirae[2];Uroviricota[2];Caudoviricetes[2];Caudovirales[2];Siphoviridae[1];unclassified Myoviridae[1];Xipdecavirus Xp10[1]</t>
  </si>
  <si>
    <t>Viruses;Duplodnaviria;Heunggongvirae;Uroviricota;Caudoviricetes;Caudovirales;Siphoviridae;unclassified Myoviridae;Xipdecavirus Xp10</t>
  </si>
  <si>
    <t>Viruses[2];Duplodnaviria[2];Heunggongvirae[2];Uroviricota[2];Caudoviricetes[2];Caudovirales[2];Siphoviridae[1];unclassified Myoviridae[1];Salicola phage SCTP-2[1]</t>
  </si>
  <si>
    <t>Oct.NODE_664_length_4133_cov_7.223884</t>
  </si>
  <si>
    <t>Viruses[2];Duplodnaviria[2];Heunggongvirae[2];Uroviricota[2];Caudoviricetes[2];Caudovirales[2];Siphoviridae[1];unclassified Podoviridae[1];Alteromonas phage XX1924[1]</t>
  </si>
  <si>
    <t>Viruses;Duplodnaviria;Heunggongvirae;Uroviricota;Caudoviricetes;Caudovirales;Siphoviridae;unclassified Podoviridae;Alteromonas phage XX1924</t>
  </si>
  <si>
    <t>Viruses[2];Duplodnaviria[2];Heunggongvirae[2];Uroviricota[2];Caudoviricetes[2];Caudovirales[2];Podoviridae[1];unclassified Siphoviridae[1];Vibrio phage vB_ValP_VA-RY-3[1]</t>
  </si>
  <si>
    <t>Mai.NODE_499_length_3863_cov_4.005252</t>
  </si>
  <si>
    <t>Viruses[2];Duplodnaviria[2];Heunggongvirae[2];Uroviricota[2];Caudoviricetes[2];Caudovirales[2];Siphoviridae[1];unclassified Podoviridae[1];Nipunavirus[1];unclassified Nipunavirus[1];Pseudomonas phage JG054[1]</t>
  </si>
  <si>
    <t>Viruses;Duplodnaviria;Heunggongvirae;Uroviricota;Caudoviricetes;Caudovirales;Siphoviridae;unclassified Podoviridae;Nipunavirus;unclassified Nipunavirus;Pseudomonas phage JG054</t>
  </si>
  <si>
    <t>Viruses[2];Duplodnaviria[2];Heunggongvirae[2];Uroviricota[2];Caudoviricetes[2];Caudovirales[2];Podoviridae[1];unclassified Podoviridae[1];Ruegeria phage 45A6[1];unclassified Nipunavirus[1];Pseudomonas phage JG054[1]</t>
  </si>
  <si>
    <t>Oct.NODE_1074_length_2984_cov_5.247183</t>
  </si>
  <si>
    <t>Viruses[2];Duplodnaviria[2];Heunggongvirae[2];Uroviricota[2];Caudoviricetes[2];Caudovirales[2];Siphoviridae[1];unclassified Podoviridae[1];Pseudomonas phage AH02[1]</t>
  </si>
  <si>
    <t>Viruses;Duplodnaviria;Heunggongvirae;Uroviricota;Caudoviricetes;Caudovirales;Siphoviridae;unclassified Podoviridae;Pseudomonas phage AH02</t>
  </si>
  <si>
    <t>Viruses[2];Duplodnaviria[2];Heunggongvirae[2];Uroviricota[2];Caudoviricetes[2];Caudovirales[2];Podoviridae[1];unclassified Siphoviridae[1];Vibrio phage 1.275.O._10N.286.54.E11[1]</t>
  </si>
  <si>
    <t>Oct.NODE_1527_length_2394_cov_2.855494</t>
  </si>
  <si>
    <t>Viruses[3];Duplodnaviria[3];Heunggongvirae[3];Uroviricota[3];Caudoviricetes[3];Caudovirales[3];Siphoviridae[1];unclassified Podoviridae[1];Siovirus[1];unclassified Siovirus[1];Lentibacter virus vB_LenP_ICBM2[1]</t>
  </si>
  <si>
    <t>Viruses;Duplodnaviria;Heunggongvirae;Uroviricota;Caudoviricetes;Caudovirales;Siphoviridae;unclassified Podoviridae;Siovirus;unclassified Siovirus;Lentibacter virus vB_LenP_ICBM2</t>
  </si>
  <si>
    <t>Viruses[3];Duplodnaviria[3];Heunggongvirae[3];Uroviricota[3];Caudoviricetes[3];Caudovirales[3];Siphoviridae[1];Cobavirinae[1];Siovirus[1];unclassified Siovirus[1];Lentibacter virus vB_LenP_ICBM2[1]</t>
  </si>
  <si>
    <t>Mai.NODE_247_length_6791_cov_4.760689</t>
  </si>
  <si>
    <t>Viruses[2];Duplodnaviria[2];Heunggongvirae[2];Uroviricota[2];Caudoviricetes[2];Caudovirales[2];Siphoviridae[1];unclassified Podoviridae[1];Syntrophobotulus glycolicus DSM 8271[1]</t>
  </si>
  <si>
    <t>Viruses;Duplodnaviria;Heunggongvirae;Uroviricota;Caudoviricetes;Caudovirales;Siphoviridae;unclassified Podoviridae;Syntrophobotulus glycolicus DSM 8271</t>
  </si>
  <si>
    <t>Viruses[2];Duplodnaviria[2];Heunggongvirae[2];Uroviricota[2];Caudoviricetes[2];Caudovirales[2];Siphoviridae[1];unclassified Podoviridae[1];Xanthomonas phage PPDBI[1]</t>
  </si>
  <si>
    <t>Oct.NODE_1340_length_2617_cov_10.218970</t>
  </si>
  <si>
    <t>Viruses[1];Duplodnaviria[1];Heunggongvirae[1];Uroviricota[1];Caudoviricetes[1];Caudovirales[1];Siphoviridae[1];unclassified Siphoviridae[1];Acinetobacter phage JeffCo[1]</t>
  </si>
  <si>
    <t>Viruses;Duplodnaviria;Heunggongvirae;Uroviricota;Caudoviricetes;Caudovirales;Siphoviridae;unclassified Siphoviridae;Acinetobacter phage JeffCo</t>
  </si>
  <si>
    <t>Oct.NODE_1615_length_2303_cov_3.206851</t>
  </si>
  <si>
    <t>Viruses[2];Duplodnaviria[2];Heunggongvirae[2];Uroviricota[2];Caudoviricetes[2];Caudovirales[2];Siphoviridae[2];unclassified Siphoviridae[2];Alteromonas phage JH01[1]</t>
  </si>
  <si>
    <t>Viruses;Duplodnaviria;Heunggongvirae;Uroviricota;Caudoviricetes;Caudovirales;Siphoviridae;unclassified Siphoviridae;Alteromonas phage JH01</t>
  </si>
  <si>
    <t>Sept.NODE_969_length_2366_cov_6.111207</t>
  </si>
  <si>
    <t>Viruses[1];Duplodnaviria[1];Heunggongvirae[1];Uroviricota[1];Caudoviricetes[1];Caudovirales[1];Siphoviridae[1];unclassified Siphoviridae[1];Alteromonas phage PB15[1]</t>
  </si>
  <si>
    <t>Viruses;Duplodnaviria;Heunggongvirae;Uroviricota;Caudoviricetes;Caudovirales;Siphoviridae;unclassified Siphoviridae;Alteromonas phage PB15</t>
  </si>
  <si>
    <t>Oct.NODE_1512_length_2404_cov_1.783312</t>
  </si>
  <si>
    <t>Viruses[4];Duplodnaviria[4];Heunggongvirae[4];Uroviricota[4];Caudoviricetes[4];Caudovirales[4];Siphoviridae[4];unclassified Siphoviridae[4];Alteromonas phage XX1924[4]</t>
  </si>
  <si>
    <t>Viruses;Duplodnaviria;Heunggongvirae;Uroviricota;Caudoviricetes;Caudovirales;Siphoviridae;unclassified Siphoviridae;Alteromonas phage XX1924</t>
  </si>
  <si>
    <t>Oct.NODE_1832_length_2112_cov_7.246475</t>
  </si>
  <si>
    <t>Viruses[1];Duplodnaviria[1];Heunggongvirae[1];Uroviricota[1];Caudoviricetes[1];Caudovirales[1];Siphoviridae[1];unclassified Siphoviridae[1];Alteromonas phage XX1924[1]</t>
  </si>
  <si>
    <t>Oct.NODE_1516_length_2402_cov_3.330635</t>
  </si>
  <si>
    <t>Viruses[1];Duplodnaviria[1];Heunggongvirae[1];Uroviricota[1];Caudoviricetes[1];Caudovirales[1];Siphoviridae[1];unclassified Siphoviridae[1];Arthrobacter phage Isolde[1]</t>
  </si>
  <si>
    <t>Viruses;Duplodnaviria;Heunggongvirae;Uroviricota;Caudoviricetes;Caudovirales;Siphoviridae;unclassified Siphoviridae;Arthrobacter phage Isolde</t>
  </si>
  <si>
    <t>Sept.NODE_1056_length_2236_cov_6.039890</t>
  </si>
  <si>
    <t>Viruses[1];Duplodnaviria[1];Heunggongvirae[1];Uroviricota[1];Caudoviricetes[1];Caudovirales[1];Siphoviridae[1];unclassified Siphoviridae[1];Arthrobacter phage Racecar[1]</t>
  </si>
  <si>
    <t>Viruses;Duplodnaviria;Heunggongvirae;Uroviricota;Caudoviricetes;Caudovirales;Siphoviridae;unclassified Siphoviridae;Arthrobacter phage Racecar</t>
  </si>
  <si>
    <t>Mai.NODE_192_length_8077_cov_45.465969</t>
  </si>
  <si>
    <t>Viruses[5];Duplodnaviria[4];Heunggongvirae[4];Uroviricota[4];Caudoviricetes[4];Caudovirales[4];Siphoviridae[4];unclassified Siphoviridae[3];Arthrobacter phage Racecar[2];Arthrobacter phage Maureen[1]</t>
  </si>
  <si>
    <t>Viruses;Duplodnaviria;Heunggongvirae;Uroviricota;Caudoviricetes;Caudovirales;Siphoviridae;unclassified Siphoviridae;Arthrobacter phage Racecar;Arthrobacter phage Maureen</t>
  </si>
  <si>
    <t>Avril.NODE_1023_length_2688_cov_5.219142</t>
  </si>
  <si>
    <t>Viruses[1];Duplodnaviria[1];Heunggongvirae[1];Uroviricota[1];Caudoviricetes[1];Caudovirales[1];Siphoviridae[1];unclassified Siphoviridae[1];Azospirillum phage Cd[1]</t>
  </si>
  <si>
    <t>Viruses;Duplodnaviria;Heunggongvirae;Uroviricota;Caudoviricetes;Caudovirales;Siphoviridae;unclassified Siphoviridae;Azospirillum phage Cd</t>
  </si>
  <si>
    <t>Avril.NODE_546_length_4401_cov_29.219742</t>
  </si>
  <si>
    <t>Viruses[1];Duplodnaviria[1];Heunggongvirae[1];Uroviricota[1];Caudoviricetes[1];Caudovirales[1];Siphoviridae[1];unclassified Siphoviridae[1];Bacteriophage DSS3_MAL1[1]</t>
  </si>
  <si>
    <t>Viruses;Duplodnaviria;Heunggongvirae;Uroviricota;Caudoviricetes;Caudovirales;Siphoviridae;unclassified Siphoviridae;Bacteriophage DSS3_MAL1</t>
  </si>
  <si>
    <t>Avril.NODE_1015_length_2707_cov_3.949095</t>
  </si>
  <si>
    <t>Viruses[1];Duplodnaviria[1];Heunggongvirae[1];Uroviricota[1];Caudoviricetes[1];Caudovirales[1];Siphoviridae[1];unclassified Siphoviridae[1];Bacteriophage DSS3_VP1[1]</t>
  </si>
  <si>
    <t>Viruses;Duplodnaviria;Heunggongvirae;Uroviricota;Caudoviricetes;Caudovirales;Siphoviridae;unclassified Siphoviridae;Bacteriophage DSS3_VP1</t>
  </si>
  <si>
    <t>Avril.NODE_1098_length_2569_cov_23.758154</t>
  </si>
  <si>
    <t>Oct.NODE_1582_length_2339_cov_2.923380</t>
  </si>
  <si>
    <t>Viruses[2];Duplodnaviria[2];Heunggongvirae[2];Uroviricota[2];Caudoviricetes[2];Caudovirales[2];Siphoviridae[2];unclassified Siphoviridae[2];Bacteriophage DSS3_VP1[1]</t>
  </si>
  <si>
    <t>Viruses[2];Duplodnaviria[2];Heunggongvirae[2];Uroviricota[2];Caudoviricetes[2];Caudovirales[2];Siphoviridae[2];unclassified Siphoviridae[2];Rhizobium phage RHph_TM3_3_10[1]</t>
  </si>
  <si>
    <t>Oct.NODE_813_length_3601_cov_8.671743</t>
  </si>
  <si>
    <t>Viruses[2];Duplodnaviria[2];Heunggongvirae[2];Uroviricota[2];Caudoviricetes[2];Caudovirales[2];Siphoviridae[1];unclassified Siphoviridae[1];Burkholderiales phage 68_11[1]</t>
  </si>
  <si>
    <t>Viruses;Duplodnaviria;Heunggongvirae;Uroviricota;Caudoviricetes;Caudovirales;Siphoviridae;unclassified Siphoviridae;Burkholderiales phage 68_11</t>
  </si>
  <si>
    <t>Viruses[2];Duplodnaviria[2];Heunggongvirae[2];Uroviricota[2];Caudoviricetes[2];Caudovirales[2];Podoviridae[1];unclassified Siphoviridae[1];Ochrobactrum phage vB_OspP_OH[1]</t>
  </si>
  <si>
    <t>Avril.NODE_1088_length_2584_cov_21.173586</t>
  </si>
  <si>
    <t>Viruses[1];Duplodnaviria[1];Heunggongvirae[1];Uroviricota[1];Caudoviricetes[1];Caudovirales[1];Siphoviridae[1];unclassified Siphoviridae[1];Caudovirales GX15bay[1]</t>
  </si>
  <si>
    <t>Viruses;Duplodnaviria;Heunggongvirae;Uroviricota;Caudoviricetes;Caudovirales;Siphoviridae;unclassified Siphoviridae;Caudovirales GX15bay</t>
  </si>
  <si>
    <t>Avril.NODE_275_length_7268_cov_8.969361</t>
  </si>
  <si>
    <t>Viruses[2];Duplodnaviria[2];Heunggongvirae[2];Uroviricota[2];Caudoviricetes[2];Caudovirales[2];Siphoviridae[2];unclassified Siphoviridae[2];Cellulophaga phage Ingeline_4[2];Zhouia amylolytica AD3[1]</t>
  </si>
  <si>
    <t>Viruses;Duplodnaviria;Heunggongvirae;Uroviricota;Caudoviricetes;Caudovirales;Siphoviridae;unclassified Siphoviridae;Cellulophaga phage Ingeline_4;Zhouia amylolytica AD3</t>
  </si>
  <si>
    <t>Viruses[2];Duplodnaviria[2];Heunggongvirae[2];Uroviricota[2];Caudoviricetes[2];Caudovirales[2];Siphoviridae[2];unclassified Siphoviridae[2];Cellulophaga phage Ingeline_4[2]</t>
  </si>
  <si>
    <t>Juil.NODE_61_length_2292_cov_5.665177</t>
  </si>
  <si>
    <t>Viruses[1];Duplodnaviria[1];Heunggongvirae[1];Uroviricota[1];Caudoviricetes[1];Caudovirales[1];Siphoviridae[1];unclassified Siphoviridae[1];Cellulophaga phage Nekkels_1[1]</t>
  </si>
  <si>
    <t>Viruses;Duplodnaviria;Heunggongvirae;Uroviricota;Caudoviricetes;Caudovirales;Siphoviridae;unclassified Siphoviridae;Cellulophaga phage Nekkels_1</t>
  </si>
  <si>
    <t>Mai.NODE_429_length_4288_cov_7.569100</t>
  </si>
  <si>
    <t>Viruses[1];Duplodnaviria[1];Heunggongvirae[1];Uroviricota[1];Caudoviricetes[1];Caudovirales[1];Siphoviridae[1];unclassified Siphoviridae[1];Cellulophaga phage Nekkels_2[1]</t>
  </si>
  <si>
    <t>Viruses;Duplodnaviria;Heunggongvirae;Uroviricota;Caudoviricetes;Caudovirales;Siphoviridae;unclassified Siphoviridae;Cellulophaga phage Nekkels_2</t>
  </si>
  <si>
    <t>Oct.NODE_604_length_4381_cov_42.417707</t>
  </si>
  <si>
    <t>Mai.NODE_902_length_2500_cov_3.598773</t>
  </si>
  <si>
    <t>Viruses[1];Duplodnaviria[1];Heunggongvirae[1];Uroviricota[1];Caudoviricetes[1];Caudovirales[1];Siphoviridae[1];unclassified Siphoviridae[1];Cellulophaga phage phi10:1[1]</t>
  </si>
  <si>
    <t>Viruses;Duplodnaviria;Heunggongvirae;Uroviricota;Caudoviricetes;Caudovirales;Siphoviridae;unclassified Siphoviridae;Cellulophaga phage phi10:1</t>
  </si>
  <si>
    <t>Avril.NODE_1205_length_2430_cov_9.013474</t>
  </si>
  <si>
    <t>Viruses[2];Duplodnaviria[2];Heunggongvirae[2];Uroviricota[2];Caudoviricetes[2];Caudovirales[2];Siphoviridae[2];unclassified Siphoviridae[2];Cellulophaga phage phi10:1[2]</t>
  </si>
  <si>
    <t>Oct.NODE_1627_length_2293_cov_5.662198</t>
  </si>
  <si>
    <t>Mai.NODE_1081_length_2192_cov_7.808610</t>
  </si>
  <si>
    <t>Viruses[2];Duplodnaviria[2];Heunggongvirae[2];Uroviricota[2];Caudoviricetes[2];Caudovirales[2];Siphoviridae[2];unclassified Siphoviridae[2];Cellulophaga phage phi10:1[1]</t>
  </si>
  <si>
    <t>Avril.NODE_183_length_10179_cov_6.969380</t>
  </si>
  <si>
    <t>Viruses[5];Duplodnaviria[5];Heunggongvirae[5];Uroviricota[5];Caudoviricetes[5];Caudovirales[5];Siphoviridae[5];unclassified Siphoviridae[4];Cellulophaga phage phi10:1[4];Cellulophaga phage phi17:1[1]</t>
  </si>
  <si>
    <t>Viruses;Duplodnaviria;Heunggongvirae;Uroviricota;Caudoviricetes;Caudovirales;Siphoviridae;unclassified Siphoviridae;Cellulophaga phage phi10:1;Cellulophaga phage phi17:1</t>
  </si>
  <si>
    <t>Avril.NODE_138_length_13113_cov_12.225302</t>
  </si>
  <si>
    <t>Viruses[9];Duplodnaviria[9];Heunggongvirae[9];Uroviricota[9];Caudoviricetes[9];Caudovirales[9];Siphoviridae[9];unclassified Siphoviridae[8];Cellulophaga phage phi10:1[8];Polaribacter sp. BM10[1]</t>
  </si>
  <si>
    <t>Viruses;Duplodnaviria;Heunggongvirae;Uroviricota;Caudoviricetes;Caudovirales;Siphoviridae;unclassified Siphoviridae;Cellulophaga phage phi10:1;Polaribacter sp. BM10</t>
  </si>
  <si>
    <t>Viruses[9];Duplodnaviria[9];Heunggongvirae[9];Uroviricota[9];Caudoviricetes[9];Caudovirales[9];Siphoviridae[9];unclassified Siphoviridae[8];Cellulophaga phage phi10:1[8];Cellulophaga phage phi17:1[1]</t>
  </si>
  <si>
    <t>Avril.NODE_34_length_37560_cov_23.634315</t>
  </si>
  <si>
    <t>Viruses[16];Duplodnaviria[16];Heunggongvirae[16];Uroviricota[16];Caudoviricetes[16];Caudovirales[16];Siphoviridae[15];unclassified Siphoviridae[15];Cellulophaga phage phi10:1[10];Riemerella anatipestifer RA-CH-1[1]</t>
  </si>
  <si>
    <t>Viruses;Duplodnaviria;Heunggongvirae;Uroviricota;Caudoviricetes;Caudovirales;Siphoviridae;unclassified Siphoviridae;Cellulophaga phage phi10:1;Riemerella anatipestifer RA-CH-1</t>
  </si>
  <si>
    <t>Viruses[16];Duplodnaviria[16];Heunggongvirae[16];Uroviricota[16];Caudoviricetes[16];Caudovirales[16];Siphoviridae[15];unclassified Siphoviridae[15];Cellulophaga phage phi10:1[10]</t>
  </si>
  <si>
    <t>Mai.NODE_741_length_2906_cov_219.420554</t>
  </si>
  <si>
    <t>Viruses[1];Duplodnaviria[1];Heunggongvirae[1];Uroviricota[1];Caudoviricetes[1];Caudovirales[1];Siphoviridae[1];unclassified Siphoviridae[1];Cellulophaga phage phi19:1[1]</t>
  </si>
  <si>
    <t>Viruses;Duplodnaviria;Heunggongvirae;Uroviricota;Caudoviricetes;Caudovirales;Siphoviridae;unclassified Siphoviridae;Cellulophaga phage phi19:1</t>
  </si>
  <si>
    <t>Avril.NODE_1289_length_2310_cov_3.903769</t>
  </si>
  <si>
    <t>Mai.NODE_516_length_3735_cov_357.217120</t>
  </si>
  <si>
    <t>Viruses[2];Duplodnaviria[2];Heunggongvirae[2];Uroviricota[2];Caudoviricetes[2];Caudovirales[2];Siphoviridae[2];unclassified Siphoviridae[2];Cellulophaga phage phi19:1[1];Constantimarinum furrinae[1]</t>
  </si>
  <si>
    <t>Viruses;Duplodnaviria;Heunggongvirae;Uroviricota;Caudoviricetes;Caudovirales;Siphoviridae;unclassified Siphoviridae;Cellulophaga phage phi19:1;Constantimarinum furrinae</t>
  </si>
  <si>
    <t>Viruses[2];Duplodnaviria[2];Heunggongvirae[2];Uroviricota[2];Caudoviricetes[2];Caudovirales[2];Siphoviridae[2];unclassified Siphoviridae[2];Cellulophaga phage phi19:1[1]</t>
  </si>
  <si>
    <t>Oct.NODE_268_length_7564_cov_4.206153</t>
  </si>
  <si>
    <t>Viruses[10];Duplodnaviria[10];Heunggongvirae[10];Uroviricota[10];Caudoviricetes[10];Caudovirales[10];Siphoviridae[10];unclassified Siphoviridae[10];Cellulophaga phage phi39:1[10]</t>
  </si>
  <si>
    <t>Viruses;Duplodnaviria;Heunggongvirae;Uroviricota;Caudoviricetes;Caudovirales;Siphoviridae;unclassified Siphoviridae;Cellulophaga phage phi39:1</t>
  </si>
  <si>
    <t>Mai.NODE_617_length_3334_cov_3.419640</t>
  </si>
  <si>
    <t>Viruses[1];Duplodnaviria[1];Heunggongvirae[1];Uroviricota[1];Caudoviricetes[1];Caudovirales[1];Siphoviridae[1];unclassified Siphoviridae[1];Cellulophaga phage phi39:1[1]</t>
  </si>
  <si>
    <t>Oct.NODE_1501_length_2416_cov_3.963575</t>
  </si>
  <si>
    <t>Viruses[2];Duplodnaviria[2];Heunggongvirae[2];Uroviricota[2];Caudoviricetes[2];Caudovirales[2];Siphoviridae[2];unclassified Siphoviridae[2];Cellulophaga phage phi39:1[2]</t>
  </si>
  <si>
    <t>Oct.NODE_326_length_6563_cov_4.290873</t>
  </si>
  <si>
    <t>Viruses[3];Duplodnaviria[3];Heunggongvirae[3];Uroviricota[3];Caudoviricetes[3];Caudovirales[3];Siphoviridae[3];unclassified Siphoviridae[3];Cellulophaga phage phi39:1[3]</t>
  </si>
  <si>
    <t>Sept.NODE_1185_length_2078_cov_8.089471</t>
  </si>
  <si>
    <t>Viruses[1];Duplodnaviria[1];Heunggongvirae[1];Uroviricota[1];Caudoviricetes[1];Caudovirales[1];Siphoviridae[1];unclassified Siphoviridae[1];Chishuiella changwenlii[1]</t>
  </si>
  <si>
    <t>Viruses;Duplodnaviria;Heunggongvirae;Uroviricota;Caudoviricetes;Caudovirales;Siphoviridae;unclassified Siphoviridae;Chishuiella changwenlii</t>
  </si>
  <si>
    <t>Oct.NODE_561_length_4649_cov_14.321942</t>
  </si>
  <si>
    <t>Viruses[2];Duplodnaviria[2];Heunggongvirae[2];Uroviricota[2];Caudoviricetes[2];Caudovirales[2];Siphoviridae[2];unclassified Siphoviridae[2];Chromadorea[1];Rhabditida[1];Spirurina[1];Spiruromorpha[1];Filarioidea[1];Onchocercidae[1];Brugia[1];Brugia timori[1]</t>
  </si>
  <si>
    <t>Viruses;Duplodnaviria;Heunggongvirae;Uroviricota;Caudoviricetes;Caudovirales;Siphoviridae;unclassified Siphoviridae;Chromadorea;Rhabditida;Spirurina;Spiruromorpha;Filarioidea;Onchocercidae;Brugia;Brugia timori</t>
  </si>
  <si>
    <t>Viruses[2];Duplodnaviria[2];Heunggongvirae[2];Uroviricota[2];Caudoviricetes[2];Caudovirales[2];Siphoviridae[2];unclassified Siphoviridae[2];Pseudoalteromonas phage AL[1]</t>
  </si>
  <si>
    <t>Oct.NODE_205_length_9701_cov_8.492328</t>
  </si>
  <si>
    <t>Viruses[8];Duplodnaviria[8];Heunggongvirae[8];Uroviricota[8];Caudoviricetes[8];Caudovirales[8];Siphoviridae[8];unclassified Siphoviridae[8];Croceibacter phage P2559S[5]</t>
  </si>
  <si>
    <t>Viruses;Duplodnaviria;Heunggongvirae;Uroviricota;Caudoviricetes;Caudovirales;Siphoviridae;unclassified Siphoviridae;Croceibacter phage P2559S</t>
  </si>
  <si>
    <t>Oct.NODE_775_length_3735_cov_8.354348</t>
  </si>
  <si>
    <t>Viruses[3];Duplodnaviria[3];Heunggongvirae[3];Uroviricota[3];Caudoviricetes[3];Caudovirales[3];Siphoviridae[3];unclassified Siphoviridae[3];Croceibacter phage P2559Y[2]</t>
  </si>
  <si>
    <t>Viruses;Duplodnaviria;Heunggongvirae;Uroviricota;Caudoviricetes;Caudovirales;Siphoviridae;unclassified Siphoviridae;Croceibacter phage P2559Y</t>
  </si>
  <si>
    <t>Avril.NODE_1470_length_2107_cov_2.945906</t>
  </si>
  <si>
    <t>Viruses[2];Duplodnaviria[2];Heunggongvirae[2];Uroviricota[2];Caudoviricetes[2];Caudovirales[2];Siphoviridae[2];unclassified Siphoviridae[2];Croceibacter phage P2559Y[2]</t>
  </si>
  <si>
    <t>Mai.NODE_915_length_2475_cov_3.666529</t>
  </si>
  <si>
    <t>Viruses[1];Duplodnaviria[1];Heunggongvirae[1];Uroviricota[1];Caudoviricetes[1];Caudovirales[1];Siphoviridae[1];unclassified Siphoviridae[1];Croceibacter phage P2559Y[1]</t>
  </si>
  <si>
    <t>Oct.NODE_368_length_6063_cov_7.777796</t>
  </si>
  <si>
    <t>Viruses[3];Duplodnaviria[3];Heunggongvirae[3];Uroviricota[3];Caudoviricetes[3];Caudovirales[3];Siphoviridae[3];unclassified Siphoviridae[3];Croceibacter phage P2559Y[2];Maribacter sp. MAR_2009_72[1]</t>
  </si>
  <si>
    <t>Viruses;Duplodnaviria;Heunggongvirae;Uroviricota;Caudoviricetes;Caudovirales;Siphoviridae;unclassified Siphoviridae;Croceibacter phage P2559Y;Maribacter sp. MAR_2009_72</t>
  </si>
  <si>
    <t>Mai.NODE_140_length_10434_cov_4.998651</t>
  </si>
  <si>
    <t>Viruses[2];Duplodnaviria[2];Heunggongvirae[2];Uroviricota[2];Caudoviricetes[2];Caudovirales[2];Siphoviridae[2];unclassified Siphoviridae[1];Croceibacter phage P2559Y[1];Polaribacter phage P12002S[1]</t>
  </si>
  <si>
    <t>Viruses;Duplodnaviria;Heunggongvirae;Uroviricota;Caudoviricetes;Caudovirales;Siphoviridae;unclassified Siphoviridae;Croceibacter phage P2559Y;Polaribacter phage P12002S</t>
  </si>
  <si>
    <t>Avril.NODE_630_length_3840_cov_18.272919</t>
  </si>
  <si>
    <t>Viruses[1];Duplodnaviria[1];Heunggongvirae[1];Uroviricota[1];Caudoviricetes[1];Caudovirales[1];Siphoviridae[1];unclassified Siphoviridae[1];Curvibacter phage P26059A[1]</t>
  </si>
  <si>
    <t>Viruses;Duplodnaviria;Heunggongvirae;Uroviricota;Caudoviricetes;Caudovirales;Siphoviridae;unclassified Siphoviridae;Curvibacter phage P26059A</t>
  </si>
  <si>
    <t>Mai.NODE_1184_length_2056_cov_3.840580</t>
  </si>
  <si>
    <t>Viruses[1];Duplodnaviria[1];Heunggongvirae[1];Uroviricota[1];Caudoviricetes[1];Caudovirales[1];Siphoviridae[1];unclassified Siphoviridae[1];EBPR siphovirus 2[1]</t>
  </si>
  <si>
    <t>Viruses;Duplodnaviria;Heunggongvirae;Uroviricota;Caudoviricetes;Caudovirales;Siphoviridae;unclassified Siphoviridae;EBPR siphovirus 2</t>
  </si>
  <si>
    <t>Mai.NODE_637_length_3269_cov_95.570006</t>
  </si>
  <si>
    <t>Mai.NODE_347_length_5056_cov_157.014797</t>
  </si>
  <si>
    <t>Viruses[3];Duplodnaviria[3];Heunggongvirae[3];Uroviricota[3];Caudoviricetes[3];Caudovirales[3];Siphoviridae[2];unclassified Siphoviridae[1];Eisenstarkvirus L7[1];Xanthomonas phage phiL7[1]</t>
  </si>
  <si>
    <t>Viruses;Duplodnaviria;Heunggongvirae;Uroviricota;Caudoviricetes;Caudovirales;Siphoviridae;unclassified Siphoviridae;Eisenstarkvirus L7;Xanthomonas phage phiL7</t>
  </si>
  <si>
    <t>Viruses[3];Duplodnaviria[3];Heunggongvirae[3];Uroviricota[3];Caudoviricetes[3];Caudovirales[3];Siphoviridae[2];unclassified Siphoviridae[1];Deep-sea thermophilic phage D6E[1];Xanthomonas phage phiL7[1]</t>
  </si>
  <si>
    <t>Mai.NODE_779_length_2784_cov_3.198241</t>
  </si>
  <si>
    <t>Viruses[1];Duplodnaviria[1];Heunggongvirae[1];Uroviricota[1];Caudoviricetes[1];Caudovirales[1];Siphoviridae[1];unclassified Siphoviridae[1];Erythrobacter phage vB_EliS_R6L[1]</t>
  </si>
  <si>
    <t>Viruses;Duplodnaviria;Heunggongvirae;Uroviricota;Caudoviricetes;Caudovirales;Siphoviridae;unclassified Siphoviridae;Erythrobacter phage vB_EliS_R6L</t>
  </si>
  <si>
    <t>Avril.NODE_677_length_3682_cov_8.232975</t>
  </si>
  <si>
    <t>Viruses[1];Duplodnaviria[1];Heunggongvirae[1];Uroviricota[1];Caudoviricetes[1];Caudovirales[1];Siphoviridae[1];unclassified Siphoviridae[1];Freshwater phage uvFW-CGR-AMD-COM-C203[1]</t>
  </si>
  <si>
    <t>Viruses;Duplodnaviria;Heunggongvirae;Uroviricota;Caudoviricetes;Caudovirales;Siphoviridae;unclassified Siphoviridae;Freshwater phage uvFW-CGR-AMD-COM-C203</t>
  </si>
  <si>
    <t>Oct.NODE_1162_length_2853_cov_5.184775</t>
  </si>
  <si>
    <t>Sept.NODE_860_length_2558_cov_5.405114</t>
  </si>
  <si>
    <t>Sept.NODE_906_length_2476_cov_4.225940</t>
  </si>
  <si>
    <t>Sept.NODE_1129_length_2137_cov_5.329491</t>
  </si>
  <si>
    <t>Sept.NODE_1169_length_2090_cov_3.529238</t>
  </si>
  <si>
    <t>Viruses[2];Duplodnaviria[2];Heunggongvirae[2];Uroviricota[2];Caudoviricetes[2];Caudovirales[2];Siphoviridae[2];unclassified Siphoviridae[2];Freshwater phage uvFW-CGR-AMD-COM-C203[2]</t>
  </si>
  <si>
    <t>Oct.NODE_567_length_4596_cov_7.471042</t>
  </si>
  <si>
    <t>Viruses[3];Duplodnaviria[2];Heunggongvirae[2];Uroviricota[2];Caudoviricetes[2];Caudovirales[2];Siphoviridae[1];unclassified Siphoviridae[1];Freshwater phage uvFW-CGR-AMD-COM-C203[1]</t>
  </si>
  <si>
    <t>Viruses[3];Duplodnaviria[2];Heunggongvirae[2];Uroviricota[2];Caudoviricetes[2];Caudovirales[2];Siphoviridae[1];Roseobacter phage CRP-6[1];Freshwater phage uvFW-CGR-AMD-COM-C203[1]</t>
  </si>
  <si>
    <t>Avril.NODE_705_length_3581_cov_2.805729</t>
  </si>
  <si>
    <t>Viruses[1];Duplodnaviria[1];Heunggongvirae[1];Uroviricota[1];Caudoviricetes[1];Caudovirales[1];Siphoviridae[1];unclassified Siphoviridae[1];Gordonia phage Moosehead[1]</t>
  </si>
  <si>
    <t>Viruses;Duplodnaviria;Heunggongvirae;Uroviricota;Caudoviricetes;Caudovirales;Siphoviridae;unclassified Siphoviridae;Gordonia phage Moosehead</t>
  </si>
  <si>
    <t>Avril.NODE_747_length_3440_cov_4.221861</t>
  </si>
  <si>
    <t>Viruses[1];Duplodnaviria[1];Heunggongvirae[1];Uroviricota[1];Caudoviricetes[1];Caudovirales[1];Siphoviridae[1];unclassified Siphoviridae[1];Gramella fulva[1]</t>
  </si>
  <si>
    <t>Viruses;Duplodnaviria;Heunggongvirae;Uroviricota;Caudoviricetes;Caudovirales;Siphoviridae;unclassified Siphoviridae;Gramella fulva</t>
  </si>
  <si>
    <t>Sept.NODE_507_length_3660_cov_163.423578</t>
  </si>
  <si>
    <t>Viruses[1];Duplodnaviria[1];Heunggongvirae[1];Uroviricota[1];Caudoviricetes[1];Caudovirales[1];Siphoviridae[1];unclassified Siphoviridae[1];Haloechinothrix halophila YIM 93223[1]</t>
  </si>
  <si>
    <t>Viruses;Duplodnaviria;Heunggongvirae;Uroviricota;Caudoviricetes;Caudovirales;Siphoviridae;unclassified Siphoviridae;Haloechinothrix halophila YIM 93223</t>
  </si>
  <si>
    <t>Viruses[1];Duplodnaviria[1];Heunggongvirae[1];Uroviricota[1];Caudoviricetes[1];Caudovirales[1];Siphoviridae[1];unclassified Siphoviridae[1];Pontimonas phage phiPsal1[1]</t>
  </si>
  <si>
    <t>Avril.NODE_537_length_4464_cov_3.849399</t>
  </si>
  <si>
    <t>Viruses[1];Duplodnaviria[1];Heunggongvirae[1];Uroviricota[1];Caudoviricetes[1];Caudovirales[1];Siphoviridae[1];unclassified Siphoviridae[1];Halorubrum sp. 48-1-W[1]</t>
  </si>
  <si>
    <t>Viruses;Duplodnaviria;Heunggongvirae;Uroviricota;Caudoviricetes;Caudovirales;Siphoviridae;unclassified Siphoviridae;Halorubrum sp. 48-1-W</t>
  </si>
  <si>
    <t>Viruses[1];Duplodnaviria[1];Heunggongvirae[1];Uroviricota[1];Caudoviricetes[1];Caudovirales[1];Siphoviridae[1];unclassified Siphoviridae[1];Rhodobacter phage RcZahn[1]</t>
  </si>
  <si>
    <t>Mai.NODE_1099_length_2160_cov_3.775297</t>
  </si>
  <si>
    <t>Viruses[1];Duplodnaviria[1];Heunggongvirae[1];Uroviricota[1];Caudoviricetes[1];Caudovirales[1];Siphoviridae[1];unclassified Siphoviridae[1];Idiomarinaceae phage 1N2-2[1]</t>
  </si>
  <si>
    <t>Viruses;Duplodnaviria;Heunggongvirae;Uroviricota;Caudoviricetes;Caudovirales;Siphoviridae;unclassified Siphoviridae;Idiomarinaceae phage 1N2-2</t>
  </si>
  <si>
    <t>Mai.NODE_552_length_3571_cov_22.388225</t>
  </si>
  <si>
    <t>Avril.NODE_1541_length_2044_cov_2.967823</t>
  </si>
  <si>
    <t>Viruses[1];Duplodnaviria[1];Heunggongvirae[1];Uroviricota[1];Caudoviricetes[1];Caudovirales[1];Siphoviridae[1];unclassified Siphoviridae[1];Idiomarinaceae phage Phi1M2-2[1]</t>
  </si>
  <si>
    <t>Viruses;Duplodnaviria;Heunggongvirae;Uroviricota;Caudoviricetes;Caudovirales;Siphoviridae;unclassified Siphoviridae;Idiomarinaceae phage Phi1M2-2</t>
  </si>
  <si>
    <t>Avril.NODE_401_length_5539_cov_11.167396</t>
  </si>
  <si>
    <t>Viruses[2];Duplodnaviria[2];Heunggongvirae[2];Uroviricota[2];Caudoviricetes[2];Caudovirales[2];Siphoviridae[2];unclassified Siphoviridae[1];Incheonvrus P12002S[1];Polaribacter phage P12002S[1]</t>
  </si>
  <si>
    <t>Viruses;Duplodnaviria;Heunggongvirae;Uroviricota;Caudoviricetes;Caudovirales;Siphoviridae;unclassified Siphoviridae;Incheonvrus P12002S;Polaribacter phage P12002S</t>
  </si>
  <si>
    <t>Viruses[2];Duplodnaviria[2];Heunggongvirae[2];Uroviricota[2];Caudoviricetes[2];Caudovirales[2];Siphoviridae[2];Incheonvrus[1];Incheonvrus P12002S[1];Polaribacter phage P12002S[1]</t>
  </si>
  <si>
    <t>Avril.NODE_678_length_3679_cov_12.935706</t>
  </si>
  <si>
    <t>Viruses[1];Duplodnaviria[1];Heunggongvirae[1];Uroviricota[1];Caudoviricetes[1];Caudovirales[1];Siphoviridae[1];unclassified Siphoviridae[1];Kaistella[1];Kaistella carnis[1]</t>
  </si>
  <si>
    <t>Viruses;Duplodnaviria;Heunggongvirae;Uroviricota;Caudoviricetes;Caudovirales;Siphoviridae;unclassified Siphoviridae;Kaistella;Kaistella carnis</t>
  </si>
  <si>
    <t>Viruses[1];Duplodnaviria[1];Heunggongvirae[1];Uroviricota[1];Caudoviricetes[1];Caudovirales[1];Siphoviridae[1];unclassified Siphoviridae[1];Cellulophaga phage phi46:1[1]</t>
  </si>
  <si>
    <t>Mai.NODE_238_length_6951_cov_4.593677</t>
  </si>
  <si>
    <t>Viruses[2];Duplodnaviria[2];Heunggongvirae[2];Uroviricota[2];Caudoviricetes[2];Caudovirales[1];Siphoviridae[1];unclassified Siphoviridae[1];Kehishuvirus[1];Bacteroides phage crAss001[1]</t>
  </si>
  <si>
    <t>Viruses;Duplodnaviria;Heunggongvirae;Uroviricota;Caudoviricetes;Caudovirales;Siphoviridae;unclassified Siphoviridae;Kehishuvirus;Bacteroides phage crAss001</t>
  </si>
  <si>
    <t>Viruses[2];Duplodnaviria[2];Heunggongvirae[2];Uroviricota[2];Caudoviricetes[2];Crassvirales[1];Siphoviridae[1];Asinivirinae[1];Croceibacter phage P2559Y[1];Bacteroides phage crAss001[1]</t>
  </si>
  <si>
    <t>Oct.NODE_691_length_4026_cov_3.942836</t>
  </si>
  <si>
    <t>Viruses[1];Duplodnaviria[1];Heunggongvirae[1];Uroviricota[1];Caudoviricetes[1];Caudovirales[1];Siphoviridae[1];unclassified Siphoviridae[1];Klebsiella phage vB_KleS-HSE3[1]</t>
  </si>
  <si>
    <t>Viruses;Duplodnaviria;Heunggongvirae;Uroviricota;Caudoviricetes;Caudovirales;Siphoviridae;unclassified Siphoviridae;Klebsiella phage vB_KleS-HSE3</t>
  </si>
  <si>
    <t>Sept.NODE_1042_length_2259_cov_56.051724</t>
  </si>
  <si>
    <t>Viruses[1];Duplodnaviria[1];Heunggongvirae[1];Uroviricota[1];Caudoviricetes[1];Caudovirales[1];Siphoviridae[1];unclassified Siphoviridae[1];Listonella phage phiHSIC[1]</t>
  </si>
  <si>
    <t>Viruses;Duplodnaviria;Heunggongvirae;Uroviricota;Caudoviricetes;Caudovirales;Siphoviridae;unclassified Siphoviridae;Listonella phage phiHSIC</t>
  </si>
  <si>
    <t>Oct.NODE_1466_length_2453_cov_4.645121</t>
  </si>
  <si>
    <t>Viruses[1];Duplodnaviria[1];Heunggongvirae[1];Uroviricota[1];Caudoviricetes[1];Caudovirales[1];Siphoviridae[1];unclassified Siphoviridae[1];Marinobacter phage PS6[1]</t>
  </si>
  <si>
    <t>Viruses;Duplodnaviria;Heunggongvirae;Uroviricota;Caudoviricetes;Caudovirales;Siphoviridae;unclassified Siphoviridae;Marinobacter phage PS6</t>
  </si>
  <si>
    <t>Avril.NODE_1207_length_2430_cov_4.066105</t>
  </si>
  <si>
    <t>Viruses[1];Duplodnaviria[1];Heunggongvirae[1];Uroviricota[1];Caudoviricetes[1];Caudovirales[1];Siphoviridae[1];unclassified Siphoviridae[1];Marinomonas phage P12026[1]</t>
  </si>
  <si>
    <t>Viruses;Duplodnaviria;Heunggongvirae;Uroviricota;Caudoviricetes;Caudovirales;Siphoviridae;unclassified Siphoviridae;Marinomonas phage P12026</t>
  </si>
  <si>
    <t>Sept.NODE_814_length_2676_cov_11.223960</t>
  </si>
  <si>
    <t>Viruses[1];Duplodnaviria[1];Heunggongvirae[1];Uroviricota[1];Caudoviricetes[1];Caudovirales[1];Siphoviridae[1];unclassified Siphoviridae[1];Methanoculleus virus L4768[1]</t>
  </si>
  <si>
    <t>Viruses;Duplodnaviria;Heunggongvirae;Uroviricota;Caudoviricetes;Caudovirales;Siphoviridae;unclassified Siphoviridae;Methanoculleus virus L4768</t>
  </si>
  <si>
    <t>Mai.NODE_936_length_2429_cov_4.069082</t>
  </si>
  <si>
    <t>Viruses[1];Duplodnaviria[1];Heunggongvirae[1];Uroviricota[1];Caudoviricetes[1];Caudovirales[1];Siphoviridae[1];unclassified Siphoviridae[1];Parabacteroides phage PDS1[1]</t>
  </si>
  <si>
    <t>Viruses;Duplodnaviria;Heunggongvirae;Uroviricota;Caudoviricetes;Caudovirales;Siphoviridae;unclassified Siphoviridae;Parabacteroides phage PDS1</t>
  </si>
  <si>
    <t>Mai.NODE_938_length_2423_cov_4.543497</t>
  </si>
  <si>
    <t>Viruses[1];Duplodnaviria[1];Heunggongvirae[1];Uroviricota[1];Caudoviricetes[1];Caudovirales[1];Siphoviridae[1];unclassified Siphoviridae[1];Paracoccus phage vB_PkoS_Pkon1[1]</t>
  </si>
  <si>
    <t>Viruses;Duplodnaviria;Heunggongvirae;Uroviricota;Caudoviricetes;Caudovirales;Siphoviridae;unclassified Siphoviridae;Paracoccus phage vB_PkoS_Pkon1</t>
  </si>
  <si>
    <t>Oct.NODE_1254_length_2726_cov_2.405841</t>
  </si>
  <si>
    <t>Viruses[2];Duplodnaviria[2];Heunggongvirae[2];Uroviricota[2];Caudoviricetes[2];Caudovirales[2];Siphoviridae[2];unclassified Siphoviridae[2];Paracoccus phage vB_PmaS-R3[2]</t>
  </si>
  <si>
    <t>Viruses;Duplodnaviria;Heunggongvirae;Uroviricota;Caudoviricetes;Caudovirales;Siphoviridae;unclassified Siphoviridae;Paracoccus phage vB_PmaS-R3</t>
  </si>
  <si>
    <t>Oct.NODE_12_length_43814_cov_20.924267</t>
  </si>
  <si>
    <t>Viruses[28];Duplodnaviria[28];Heunggongvirae[28];Uroviricota[28];Caudoviricetes[28];Caudovirales[28];Siphoviridae[28];unclassified Siphoviridae[12];Paracoccus phage vB_PmaS-R3[8];Escherichia phage Halfdan[4];Alteromonas phage vB_AcoS-R7M[1]</t>
  </si>
  <si>
    <t>Viruses;Duplodnaviria;Heunggongvirae;Uroviricota;Caudoviricetes;Caudovirales;Siphoviridae;unclassified Siphoviridae;Paracoccus phage vB_PmaS-R3;Escherichia phage Halfdan;Alteromonas phage vB_AcoS-R7M</t>
  </si>
  <si>
    <t>Mai.NODE_613_length_3342_cov_6.057499</t>
  </si>
  <si>
    <t>Viruses[1];Duplodnaviria[1];Heunggongvirae[1];Uroviricota[1];Caudoviricetes[1];Caudovirales[1];Siphoviridae[1];unclassified Siphoviridae[1];Pelagibacter phage HTVC010P[1]</t>
  </si>
  <si>
    <t>Viruses;Duplodnaviria;Heunggongvirae;Uroviricota;Caudoviricetes;Caudovirales;Siphoviridae;unclassified Siphoviridae;Pelagibacter phage HTVC010P</t>
  </si>
  <si>
    <t>Sept.NODE_1143_length_2123_cov_6.757253</t>
  </si>
  <si>
    <t>Sept.NODE_966_length_2376_cov_6.867729</t>
  </si>
  <si>
    <t>Viruses[1];Duplodnaviria[1];Heunggongvirae[1];Uroviricota[1];Caudoviricetes[1];Caudovirales[1];Siphoviridae[1];unclassified Siphoviridae[1];Phaeobacter phage MD18[1]</t>
  </si>
  <si>
    <t>Viruses;Duplodnaviria;Heunggongvirae;Uroviricota;Caudoviricetes;Caudovirales;Siphoviridae;unclassified Siphoviridae;Phaeobacter phage MD18</t>
  </si>
  <si>
    <t>Mai.NODE_1181_length_2062_cov_3.628799</t>
  </si>
  <si>
    <t>Oct.NODE_898_length_3355_cov_6.005455</t>
  </si>
  <si>
    <t>Viruses[2];Duplodnaviria[2];Heunggongvirae[2];Uroviricota[2];Caudoviricetes[2];Caudovirales[2];Siphoviridae[1];unclassified Siphoviridae[1];Phage 5P_3[1]</t>
  </si>
  <si>
    <t>Viruses;Duplodnaviria;Heunggongvirae;Uroviricota;Caudoviricetes;Caudovirales;Siphoviridae;unclassified Siphoviridae;Phage 5P_3</t>
  </si>
  <si>
    <t>Viruses[2];Duplodnaviria[2];Heunggongvirae[2];Uroviricota[2];Caudoviricetes[2];Caudovirales[2];Siphoviridae[1];unclassified Podoviridae[1];Sulfitobacter phage phiGT1[1]</t>
  </si>
  <si>
    <t>Sept.NODE_795_length_2713_cov_9.948457</t>
  </si>
  <si>
    <t>Viruses[2];Duplodnaviria[1];Heunggongvirae[1];Uroviricota[1];Caudoviricetes[1];Caudovirales[1];Siphoviridae[1];unclassified Siphoviridae[1];Phage 5P_3[1]</t>
  </si>
  <si>
    <t>Viruses[2];unclassified bacterial viruses[1];Heunggongvirae[1];Uroviricota[1];Caudoviricetes[1];Caudovirales[1];Siphoviridae[1];unclassified Siphoviridae[1];Phage 5P_3[1]</t>
  </si>
  <si>
    <t>Avril.NODE_102_length_17063_cov_9.849659</t>
  </si>
  <si>
    <t>Viruses[4];Duplodnaviria[4];Heunggongvirae[4];Uroviricota[4];Caudoviricetes[4];Caudovirales[4];Siphoviridae[3];unclassified Siphoviridae[3];Phage 5P_3[2];Coprobacter secundus subsp. similis[1]</t>
  </si>
  <si>
    <t>Viruses;Duplodnaviria;Heunggongvirae;Uroviricota;Caudoviricetes;Caudovirales;Siphoviridae;unclassified Siphoviridae;Phage 5P_3;Coprobacter secundus subsp. similis</t>
  </si>
  <si>
    <t>Viruses[4];Duplodnaviria[4];Heunggongvirae[4];Uroviricota[4];Caudoviricetes[4];Caudovirales[4];Siphoviridae[3];unclassified Siphoviridae[3];Phage 5P_3[2];Cyanophage S-RIM44[1]</t>
  </si>
  <si>
    <t>Sept.NODE_246_length_6248_cov_19.530922</t>
  </si>
  <si>
    <t>Viruses[2];Duplodnaviria[2];Heunggongvirae[2];Uroviricota[2];Caudoviricetes[2];Caudovirales[2];Siphoviridae[1];unclassified Siphoviridae[1];Podoviridae sp. ctDWo9[1]</t>
  </si>
  <si>
    <t>Viruses;Duplodnaviria;Heunggongvirae;Uroviricota;Caudoviricetes;Caudovirales;Siphoviridae;unclassified Siphoviridae;Podoviridae sp. ctDWo9</t>
  </si>
  <si>
    <t>Viruses[2];Duplodnaviria[2];Heunggongvirae[2];Uroviricota[2];Caudoviricetes[2];Caudovirales[2];Siphoviridae[1];unclassified Podoviridae[1];Pontimonas phage phiPsal1[1]</t>
  </si>
  <si>
    <t>Mai.NODE_479_length_3982_cov_4.840845</t>
  </si>
  <si>
    <t>Viruses[2];Duplodnaviria[2];Heunggongvirae[2];Uroviricota[2];Caudoviricetes[2];Caudovirales[2];Siphoviridae[1];unclassified Siphoviridae[1];Polaribacter phage Danklef_1[1];Bacteroides sp. AF26-7BH[1]</t>
  </si>
  <si>
    <t>Viruses;Duplodnaviria;Heunggongvirae;Uroviricota;Caudoviricetes;Caudovirales;Siphoviridae;unclassified Siphoviridae;Polaribacter phage Danklef_1;Bacteroides sp. AF26-7BH</t>
  </si>
  <si>
    <t>Viruses[2];Duplodnaviria[2];Heunggongvirae[2];Uroviricota[2];Caudoviricetes[2];Caudovirales[2];Siphoviridae[1];Olleya phage Harreka_1[1];Polaribacter phage Danklef_1[1]</t>
  </si>
  <si>
    <t>Mai.NODE_170_length_9238_cov_8.755091</t>
  </si>
  <si>
    <t>Viruses[4];Duplodnaviria[4];Heunggongvirae[4];Uroviricota[4];Caudoviricetes[4];Caudovirales[4];Siphoviridae[4];unclassified Siphoviridae[3];Polaribacter phage Freya_4[2];Cellulophaga phage phi12:1[1]</t>
  </si>
  <si>
    <t>Viruses;Duplodnaviria;Heunggongvirae;Uroviricota;Caudoviricetes;Caudovirales;Siphoviridae;unclassified Siphoviridae;Polaribacter phage Freya_4;Cellulophaga phage phi12:1</t>
  </si>
  <si>
    <t>Avril.NODE_955_length_2850_cov_3.510197</t>
  </si>
  <si>
    <t>Viruses[1];Duplodnaviria[1];Heunggongvirae[1];Uroviricota[1];Caudoviricetes[1];Caudovirales[1];Siphoviridae[1];unclassified Siphoviridae[1];Polaribacter phage Leef_1[1]</t>
  </si>
  <si>
    <t>Viruses;Duplodnaviria;Heunggongvirae;Uroviricota;Caudoviricetes;Caudovirales;Siphoviridae;unclassified Siphoviridae;Polaribacter phage Leef_1</t>
  </si>
  <si>
    <t>Oct.NODE_133_length_14145_cov_13.486231</t>
  </si>
  <si>
    <t>Viruses[10];Duplodnaviria[10];Heunggongvirae[10];Uroviricota[10];Caudoviricetes[10];Caudovirales[10];Siphoviridae[10];unclassified Siphoviridae[10];Pontimonas phage phiPsal1[10]</t>
  </si>
  <si>
    <t>Viruses;Duplodnaviria;Heunggongvirae;Uroviricota;Caudoviricetes;Caudovirales;Siphoviridae;unclassified Siphoviridae;Pontimonas phage phiPsal1</t>
  </si>
  <si>
    <t>Oct.NODE_165_length_11404_cov_3.438805</t>
  </si>
  <si>
    <t>Viruses[7];Duplodnaviria[7];Heunggongvirae[7];Uroviricota[7];Caudoviricetes[7];Caudovirales[7];Siphoviridae[7];unclassified Siphoviridae[7];Pontimonas phage phiPsal1[7]</t>
  </si>
  <si>
    <t>Sept.NODE_121_length_11255_cov_7.763214</t>
  </si>
  <si>
    <t>Viruses[6];Duplodnaviria[6];Heunggongvirae[6];Uroviricota[6];Caudoviricetes[6];Caudovirales[6];Siphoviridae[6];unclassified Siphoviridae[6];Pontimonas phage phiPsal1[6]</t>
  </si>
  <si>
    <t>Oct.NODE_191_length_10239_cov_19.502848</t>
  </si>
  <si>
    <t>Viruses[8];Duplodnaviria[8];Heunggongvirae[8];Uroviricota[8];Caudoviricetes[8];Caudovirales[8];Siphoviridae[8];unclassified Siphoviridae[8];Pontimonas phage phiPsal1[8]</t>
  </si>
  <si>
    <t>Sept.NODE_182_length_7901_cov_110.415498</t>
  </si>
  <si>
    <t>Viruses[4];Duplodnaviria[4];Heunggongvirae[4];Uroviricota[4];Caudoviricetes[4];Caudovirales[4];Siphoviridae[4];unclassified Siphoviridae[4];Pontimonas phage phiPsal1[4]</t>
  </si>
  <si>
    <t>Sept.NODE_192_length_7666_cov_114.641966</t>
  </si>
  <si>
    <t>Sept.NODE_250_length_6152_cov_30.397737</t>
  </si>
  <si>
    <t>Oct.NODE_459_length_5234_cov_18.622321</t>
  </si>
  <si>
    <t>Viruses[3];Duplodnaviria[3];Heunggongvirae[3];Uroviricota[3];Caudoviricetes[3];Caudovirales[3];Siphoviridae[3];unclassified Siphoviridae[3];Pontimonas phage phiPsal1[3]</t>
  </si>
  <si>
    <t>Sept.NODE_348_length_4838_cov_123.874765</t>
  </si>
  <si>
    <t>Oct.NODE_548_length_4711_cov_5.970790</t>
  </si>
  <si>
    <t>Sept.NODE_363_length_4577_cov_7.199027</t>
  </si>
  <si>
    <t>Viruses[3];Duplodnaviria[3];Heunggongvirae[3];Uroviricota[3];Caudoviricetes[3];Caudovirales[3];Siphoviridae[3];unclassified Siphoviridae[3];Pontimonas phage phiPsal1[2]</t>
  </si>
  <si>
    <t>Sept.NODE_380_length_4415_cov_54.653899</t>
  </si>
  <si>
    <t>Sept.NODE_394_length_4315_cov_8.861737</t>
  </si>
  <si>
    <t>Oct.NODE_666_length_4131_cov_12.314524</t>
  </si>
  <si>
    <t>Sept.NODE_425_length_4130_cov_204.285153</t>
  </si>
  <si>
    <t>Sept.NODE_457_length_3928_cov_21.540150</t>
  </si>
  <si>
    <t>Oct.NODE_731_length_3892_cov_3.792025</t>
  </si>
  <si>
    <t>Oct.NODE_877_length_3416_cov_14.138352</t>
  </si>
  <si>
    <t>Sept.NODE_613_length_3201_cov_59.065480</t>
  </si>
  <si>
    <t>Oct.NODE_1043_length_3016_cov_20.448497</t>
  </si>
  <si>
    <t>Sept.NODE_709_length_2938_cov_5.127992</t>
  </si>
  <si>
    <t>Viruses[2];Duplodnaviria[2];Heunggongvirae[2];Uroviricota[2];Caudoviricetes[2];Caudovirales[2];Siphoviridae[2];unclassified Siphoviridae[2];Pontimonas phage phiPsal1[2]</t>
  </si>
  <si>
    <t>Sept.NODE_730_length_2848_cov_175.963838</t>
  </si>
  <si>
    <t>Oct.NODE_1178_length_2822_cov_14.986267</t>
  </si>
  <si>
    <t>Sept.NODE_774_length_2751_cov_26.977745</t>
  </si>
  <si>
    <t>Oct.NODE_1290_length_2685_cov_4.752852</t>
  </si>
  <si>
    <t>Oct.NODE_1326_length_2638_cov_25.454897</t>
  </si>
  <si>
    <t>Sept.NODE_844_length_2597_cov_3.423682</t>
  </si>
  <si>
    <t>Oct.NODE_1584_length_2335_cov_3.820175</t>
  </si>
  <si>
    <t>Oct.NODE_1684_length_2230_cov_2.792644</t>
  </si>
  <si>
    <t>Avril.NODE_1467_length_2108_cov_3.121286</t>
  </si>
  <si>
    <t>Sept.NODE_1210_length_2053_cov_12.045045</t>
  </si>
  <si>
    <t>Sept.NODE_1245_length_2006_cov_45.664787</t>
  </si>
  <si>
    <t>Sept.NODE_450_length_3976_cov_14.713083</t>
  </si>
  <si>
    <t>Viruses[5];Duplodnaviria[5];Heunggongvirae[5];Uroviricota[5];Caudoviricetes[5];Caudovirales[5];Siphoviridae[4];unclassified Siphoviridae[3];Pontimonas phage phiPsal1[3];Arthrobacter phage Andrew[1]</t>
  </si>
  <si>
    <t>Viruses;Duplodnaviria;Heunggongvirae;Uroviricota;Caudoviricetes;Caudovirales;Siphoviridae;unclassified Siphoviridae;Pontimonas phage phiPsal1;Arthrobacter phage Andrew</t>
  </si>
  <si>
    <t>Sept.NODE_265_length_5912_cov_87.377156</t>
  </si>
  <si>
    <t>Viruses[3];Duplodnaviria[3];Heunggongvirae[3];Uroviricota[3];Caudoviricetes[3];Caudovirales[3];Siphoviridae[3];unclassified Siphoviridae[2];Pontimonas phage phiPsal1[2];Arthrobacter phage KellEzio[1]</t>
  </si>
  <si>
    <t>Viruses;Duplodnaviria;Heunggongvirae;Uroviricota;Caudoviricetes;Caudovirales;Siphoviridae;unclassified Siphoviridae;Pontimonas phage phiPsal1;Arthrobacter phage KellEzio</t>
  </si>
  <si>
    <t>Oct.NODE_54_length_30916_cov_12.817180</t>
  </si>
  <si>
    <t>Viruses[18];Duplodnaviria[18];Heunggongvirae[18];Uroviricota[18];Caudoviricetes[18];Caudovirales[18];Siphoviridae[18];unclassified Siphoviridae[18];Pontimonas phage phiPsal1[18];Dysgonomonas sp. HDW5A[1]</t>
  </si>
  <si>
    <t>Viruses;Duplodnaviria;Heunggongvirae;Uroviricota;Caudoviricetes;Caudovirales;Siphoviridae;unclassified Siphoviridae;Pontimonas phage phiPsal1;Dysgonomonas sp. HDW5A</t>
  </si>
  <si>
    <t>Viruses[18];Duplodnaviria[18];Heunggongvirae[18];Uroviricota[18];Caudoviricetes[18];Caudovirales[18];Siphoviridae[18];unclassified Siphoviridae[18];Pontimonas phage phiPsal1[18]</t>
  </si>
  <si>
    <t>Sept.NODE_84_length_15916_cov_7.910283</t>
  </si>
  <si>
    <t>Viruses[8];Duplodnaviria[8];Heunggongvirae[8];Uroviricota[8];Caudoviricetes[8];Caudovirales[8];Siphoviridae[8];unclassified Siphoviridae[7];Pontimonas phage phiPsal1[6];Gordonia phage Cucurbita[1]</t>
  </si>
  <si>
    <t>Viruses;Duplodnaviria;Heunggongvirae;Uroviricota;Caudoviricetes;Caudovirales;Siphoviridae;unclassified Siphoviridae;Pontimonas phage phiPsal1;Gordonia phage Cucurbita</t>
  </si>
  <si>
    <t>Sept.NODE_73_length_17198_cov_74.588403</t>
  </si>
  <si>
    <t>Viruses[7];Duplodnaviria[7];Heunggongvirae[7];Uroviricota[7];Caudoviricetes[7];Caudovirales[7];Siphoviridae[5];unclassified Siphoviridae[3];Pontimonas phage phiPsal1[2];Gordonia phage TinaLin[1]</t>
  </si>
  <si>
    <t>Viruses;Duplodnaviria;Heunggongvirae;Uroviricota;Caudoviricetes;Caudovirales;Siphoviridae;unclassified Siphoviridae;Pontimonas phage phiPsal1;Gordonia phage TinaLin</t>
  </si>
  <si>
    <t>Sept.NODE_68_length_19049_cov_12.264083</t>
  </si>
  <si>
    <t>Viruses[15];Duplodnaviria[13];Heunggongvirae[13];Uroviricota[13];Caudoviricetes[13];Caudovirales[13];Siphoviridae[12];unclassified Siphoviridae[12];Pontimonas phage phiPsal1[12];Micromonas pusilla virus 12T[1]</t>
  </si>
  <si>
    <t>Viruses;Duplodnaviria;Heunggongvirae;Uroviricota;Caudoviricetes;Caudovirales;Siphoviridae;unclassified Siphoviridae;Pontimonas phage phiPsal1;Micromonas pusilla virus 12T</t>
  </si>
  <si>
    <t>Sept.NODE_76_length_16573_cov_22.332425</t>
  </si>
  <si>
    <t>Viruses[6];Duplodnaviria[6];Heunggongvirae[6];Uroviricota[6];Caudoviricetes[6];Caudovirales[6];Siphoviridae[6];unclassified Siphoviridae[5];Pontimonas phage phiPsal1[5];Streptomyces rapamycinicus NRRL 5491[1]</t>
  </si>
  <si>
    <t>Viruses;Duplodnaviria;Heunggongvirae;Uroviricota;Caudoviricetes;Caudovirales;Siphoviridae;unclassified Siphoviridae;Pontimonas phage phiPsal1;Streptomyces rapamycinicus NRRL 5491</t>
  </si>
  <si>
    <t>Viruses[6];Duplodnaviria[6];Heunggongvirae[6];Uroviricota[6];Caudoviricetes[6];Caudovirales[6];Siphoviridae[6];unclassified Siphoviridae[5];Pontimonas phage phiPsal1[5]</t>
  </si>
  <si>
    <t>Sept.NODE_113_length_11702_cov_94.511891</t>
  </si>
  <si>
    <t>Viruses[5];Duplodnaviria[5];Heunggongvirae[5];Uroviricota[5];Caudoviricetes[5];Caudovirales[5];Siphoviridae[5];unclassified Siphoviridae[5];Pontimonas phage phiPsal1[5];Streptomyces rapamycinicus NRRL 5491[1]</t>
  </si>
  <si>
    <t>Viruses[5];Duplodnaviria[5];Heunggongvirae[5];Uroviricota[5];Caudoviricetes[5];Caudovirales[5];Siphoviridae[5];unclassified Siphoviridae[5];Pontimonas phage phiPsal1[5]</t>
  </si>
  <si>
    <t>Sept.NODE_220_length_6664_cov_346.980481</t>
  </si>
  <si>
    <t>Viruses[4];Duplodnaviria[4];Heunggongvirae[4];Uroviricota[4];Caudoviricetes[4];Caudovirales[4];Siphoviridae[4];unclassified Siphoviridae[4];Pontimonas phage phiPsal1[4];Streptomyces roseochromogenus subsp. oscitans DS 12.976[1]</t>
  </si>
  <si>
    <t>Viruses;Duplodnaviria;Heunggongvirae;Uroviricota;Caudoviricetes;Caudovirales;Siphoviridae;unclassified Siphoviridae;Pontimonas phage phiPsal1;Streptomyces roseochromogenus subsp. oscitans DS 12.976</t>
  </si>
  <si>
    <t>Sept.NODE_77_length_16458_cov_100.393830</t>
  </si>
  <si>
    <t>Viruses[6];Duplodnaviria[6];Heunggongvirae[6];Uroviricota[6];Caudoviricetes[6];Caudovirales[6];Siphoviridae[5];unclassified Siphoviridae[3];Pontimonas phage phiPsal1[2];unclassified Arequatrovirus[1];Streptomyces phage Diane[1]</t>
  </si>
  <si>
    <t>Viruses;Duplodnaviria;Heunggongvirae;Uroviricota;Caudoviricetes;Caudovirales;Siphoviridae;unclassified Siphoviridae;Pontimonas phage phiPsal1;unclassified Arequatrovirus;Streptomyces phage Diane</t>
  </si>
  <si>
    <t>Viruses[6];Duplodnaviria[6];Heunggongvirae[6];Uroviricota[6];Caudoviricetes[6];Caudovirales[6];Siphoviridae[5];unclassified Siphoviridae[3];Pontimonas phage phiPsal1[2];Arthrobacter phage KellEzio[1];Streptomyces phage Diane[1]</t>
  </si>
  <si>
    <t>Oct.NODE_1959_length_2004_cov_26.268856</t>
  </si>
  <si>
    <t>Viruses[2];Duplodnaviria[2];Heunggongvirae[2];Uroviricota[2];Caudoviricetes[2];Caudovirales[2];Siphoviridae[2];unclassified Siphoviridae[1];Pricia antarctica[1];Polaribacter phage P12002L[1]</t>
  </si>
  <si>
    <t>Viruses;Duplodnaviria;Heunggongvirae;Uroviricota;Caudoviricetes;Caudovirales;Siphoviridae;unclassified Siphoviridae;Pricia antarctica;Polaribacter phage P12002L</t>
  </si>
  <si>
    <t>Viruses[2];Duplodnaviria[2];Heunggongvirae[2];Uroviricota[2];Caudoviricetes[2];Caudovirales[2];Siphoviridae[2];Incheonvrus[1];Tenacibaculum phage JQ[1];Polaribacter phage P12002L[1]</t>
  </si>
  <si>
    <t>Avril.NODE_1164_length_2477_cov_6.868291</t>
  </si>
  <si>
    <t>Viruses[1];Duplodnaviria[1];Heunggongvirae[1];Uroviricota[1];Caudoviricetes[1];Caudovirales[1];Siphoviridae[1];unclassified Siphoviridae[1];Propionispora sp. 2/2-37[1]</t>
  </si>
  <si>
    <t>Viruses;Duplodnaviria;Heunggongvirae;Uroviricota;Caudoviricetes;Caudovirales;Siphoviridae;unclassified Siphoviridae;Propionispora sp. 2/2-37</t>
  </si>
  <si>
    <t>Viruses[1];Duplodnaviria[1];Heunggongvirae[1];Uroviricota[1];Caudoviricetes[1];Caudovirales[1];Siphoviridae[1];unclassified Siphoviridae[1];Synechococcus phage S-CBS3[1]</t>
  </si>
  <si>
    <t>Oct.NODE_157_length_12199_cov_36.904974</t>
  </si>
  <si>
    <t>Viruses[3];Duplodnaviria[3];Heunggongvirae[3];Uroviricota[3];Caudoviricetes[3];Caudovirales[3];Siphoviridae[3];unclassified Siphoviridae[3];Pseudoalteromonas phage AL[1]</t>
  </si>
  <si>
    <t>Viruses;Duplodnaviria;Heunggongvirae;Uroviricota;Caudoviricetes;Caudovirales;Siphoviridae;unclassified Siphoviridae;Pseudoalteromonas phage AL</t>
  </si>
  <si>
    <t>Sept.NODE_367_length_4527_cov_9.569320</t>
  </si>
  <si>
    <t>Viruses[3];Duplodnaviria[3];Heunggongvirae[3];Uroviricota[3];Caudoviricetes[3];Caudovirales[3];Siphoviridae[3];unclassified Siphoviridae[3];Pseudoalteromonas phage AL[2]</t>
  </si>
  <si>
    <t>Avril.NODE_531_length_4481_cov_3.347492</t>
  </si>
  <si>
    <t>Viruses[3];Duplodnaviria[3];Heunggongvirae[3];Uroviricota[3];Caudoviricetes[3];Caudovirales[3];Siphoviridae[2];unclassified Siphoviridae[2];Pseudoalteromonas phage AL[2]</t>
  </si>
  <si>
    <t>Oct.NODE_815_length_3599_cov_6.045993</t>
  </si>
  <si>
    <t>Oct.NODE_957_length_3201_cov_3.752384</t>
  </si>
  <si>
    <t>Oct.NODE_1293_length_2678_cov_12.062905</t>
  </si>
  <si>
    <t>Viruses[1];Duplodnaviria[1];Heunggongvirae[1];Uroviricota[1];Caudoviricetes[1];Caudovirales[1];Siphoviridae[1];unclassified Siphoviridae[1];Pseudoalteromonas phage AL[1]</t>
  </si>
  <si>
    <t>Sept.NODE_871_length_2547_cov_39.919743</t>
  </si>
  <si>
    <t>Viruses[2];Duplodnaviria[2];Heunggongvirae[2];Uroviricota[2];Caudoviricetes[2];Caudovirales[2];Siphoviridae[2];unclassified Siphoviridae[2];Pseudoalteromonas phage XC[1]</t>
  </si>
  <si>
    <t>Juil.NODE_3_length_12354_cov_19.229368</t>
  </si>
  <si>
    <t>Viruses[5];Duplodnaviria[5];Heunggongvirae[5];Uroviricota[5];Caudoviricetes[5];Caudovirales[5];Siphoviridae[5];unclassified Siphoviridae[5];Pseudoalteromonas phage AL[2]</t>
  </si>
  <si>
    <t>Avril.NODE_268_length_7382_cov_6.597516</t>
  </si>
  <si>
    <t>Viruses[6];Duplodnaviria[6];Heunggongvirae[6];Uroviricota[6];Caudoviricetes[6];Caudovirales[6];Siphoviridae[6];unclassified Siphoviridae[6];Pseudoalteromonas phage H103[4]</t>
  </si>
  <si>
    <t>Viruses;Duplodnaviria;Heunggongvirae;Uroviricota;Caudoviricetes;Caudovirales;Siphoviridae;unclassified Siphoviridae;Pseudoalteromonas phage H103</t>
  </si>
  <si>
    <t>Oct.NODE_839_length_3538_cov_7.429515</t>
  </si>
  <si>
    <t>Viruses[1];Duplodnaviria[1];Heunggongvirae[1];Uroviricota[1];Caudoviricetes[1];Caudovirales[1];Siphoviridae[1];unclassified Siphoviridae[1];Pseudoalteromonas phage H103[1]</t>
  </si>
  <si>
    <t>Oct.NODE_993_length_3118_cov_4.537708</t>
  </si>
  <si>
    <t>Viruses[3];Duplodnaviria[3];Heunggongvirae[3];Uroviricota[3];Caudoviricetes[3];Caudovirales[3];Siphoviridae[3];unclassified Siphoviridae[3];Pseudoalteromonas phage H103[3]</t>
  </si>
  <si>
    <t>Oct.NODE_1762_length_2159_cov_5.081749</t>
  </si>
  <si>
    <t>Sept.NODE_342_length_4909_cov_6.039143</t>
  </si>
  <si>
    <t>Oct.NODE_518_length_4867_cov_9.753325</t>
  </si>
  <si>
    <t>Viruses[3];Duplodnaviria[3];Heunggongvirae[3];Uroviricota[3];Caudoviricetes[3];Caudovirales[3];Siphoviridae[2];unclassified Siphoviridae[2];Pseudoalteromonas phage H103[2];Brucella phage Tbilisi[1]</t>
  </si>
  <si>
    <t>Viruses;Duplodnaviria;Heunggongvirae;Uroviricota;Caudoviricetes;Caudovirales;Siphoviridae;unclassified Siphoviridae;Pseudoalteromonas phage H103;Brucella phage Tbilisi</t>
  </si>
  <si>
    <t>Oct.NODE_431_length_5507_cov_6.212216</t>
  </si>
  <si>
    <t>Viruses[4];Duplodnaviria[4];Heunggongvirae[4];Uroviricota[4];Caudoviricetes[4];Caudovirales[4];Siphoviridae[4];unclassified Siphoviridae[4];Pseudoalteromonas phage H103[4];Okeania sp. SIO3B3[1]</t>
  </si>
  <si>
    <t>Viruses;Duplodnaviria;Heunggongvirae;Uroviricota;Caudoviricetes;Caudovirales;Siphoviridae;unclassified Siphoviridae;Pseudoalteromonas phage H103;Okeania sp. SIO3B3</t>
  </si>
  <si>
    <t>Viruses[4];Duplodnaviria[4];Heunggongvirae[4];Uroviricota[4];Caudoviricetes[4];Caudovirales[4];Siphoviridae[4];unclassified Siphoviridae[4];Pseudoalteromonas phage H103[4]</t>
  </si>
  <si>
    <t>Oct.NODE_596_length_4436_cov_4.127368</t>
  </si>
  <si>
    <t>Viruses;Duplodnaviria;Heunggongvirae;Uroviricota;Caudoviricetes;Caudovirales;Siphoviridae;unclassified Siphoviridae;Pseudoalteromonas phage XC</t>
  </si>
  <si>
    <t>Oct.NODE_740_length_3851_cov_5.476554</t>
  </si>
  <si>
    <t>Viruses[1];Duplodnaviria[1];Heunggongvirae[1];Uroviricota[1];Caudoviricetes[1];Caudovirales[1];Siphoviridae[1];unclassified Siphoviridae[1];Pseudoalteromonas phage XC[1]</t>
  </si>
  <si>
    <t>Oct.NODE_590_length_4460_cov_23.935982</t>
  </si>
  <si>
    <t>Viruses[4];Duplodnaviria[4];Heunggongvirae[4];Uroviricota[4];Caudoviricetes[4];Caudovirales[4];Siphoviridae[4];unclassified Siphoviridae[4];Pseudoalteromonas phage XC[2]</t>
  </si>
  <si>
    <t>Mai.NODE_1089_length_2179_cov_4.400659</t>
  </si>
  <si>
    <t>Viruses[2];Duplodnaviria[2];Heunggongvirae[2];Uroviricota[2];Caudoviricetes[2];Caudovirales[2];Siphoviridae[2];unclassified Siphoviridae[2];Pseudoalteromonas phage XCL1123[1]</t>
  </si>
  <si>
    <t>Viruses;Duplodnaviria;Heunggongvirae;Uroviricota;Caudoviricetes;Caudovirales;Siphoviridae;unclassified Siphoviridae;Pseudoalteromonas phage XCL1123</t>
  </si>
  <si>
    <t>Sept.NODE_212_length_6860_cov_56.172079</t>
  </si>
  <si>
    <t>Viruses[3];Duplodnaviria[3];Heunggongvirae[3];Uroviricota[3];Caudoviricetes[3];Caudovirales[3];Siphoviridae[3];unclassified Siphoviridae[3];Pseudomonas phage MR14[2]</t>
  </si>
  <si>
    <t>Viruses;Duplodnaviria;Heunggongvirae;Uroviricota;Caudoviricetes;Caudovirales;Siphoviridae;unclassified Siphoviridae;Pseudomonas phage MR14</t>
  </si>
  <si>
    <t>Sept.NODE_794_length_2714_cov_3.050771</t>
  </si>
  <si>
    <t>Viruses[1];Duplodnaviria[1];Heunggongvirae[1];Uroviricota[1];Caudoviricetes[1];Caudovirales[1];Siphoviridae[1];unclassified Siphoviridae[1];Pseudomonas phage MR15[1]</t>
  </si>
  <si>
    <t>Viruses;Duplodnaviria;Heunggongvirae;Uroviricota;Caudoviricetes;Caudovirales;Siphoviridae;unclassified Siphoviridae;Pseudomonas phage MR15</t>
  </si>
  <si>
    <t>Mai.NODE_1082_length_2192_cov_4.933552</t>
  </si>
  <si>
    <t>Viruses[1];Duplodnaviria[1];Heunggongvirae[1];Uroviricota[1];Caudoviricetes[1];Caudovirales[1];Siphoviridae[1];unclassified Siphoviridae[1];Pseudomonas phage PS-1[1]</t>
  </si>
  <si>
    <t>Viruses;Duplodnaviria;Heunggongvirae;Uroviricota;Caudoviricetes;Caudovirales;Siphoviridae;unclassified Siphoviridae;Pseudomonas phage PS-1</t>
  </si>
  <si>
    <t>Avril.NODE_881_length_3051_cov_5.697597</t>
  </si>
  <si>
    <t>Viruses[2];Duplodnaviria[2];Heunggongvirae[2];Uroviricota[2];Caudoviricetes[2];Caudovirales[2];Siphoviridae[2];unclassified Siphoviridae[2];Pseudomonas phage PspYZU01[1]</t>
  </si>
  <si>
    <t>Viruses;Duplodnaviria;Heunggongvirae;Uroviricota;Caudoviricetes;Caudovirales;Siphoviridae;unclassified Siphoviridae;Pseudomonas phage PspYZU01</t>
  </si>
  <si>
    <t>Viruses[2];Duplodnaviria[2];Heunggongvirae[2];Uroviricota[2];Caudoviricetes[2];Caudovirales[2];Siphoviridae[2];unclassified Siphoviridae[2];Rhodobacter phage RcRios[1]</t>
  </si>
  <si>
    <t>Sept.NODE_384_length_4386_cov_44.822443</t>
  </si>
  <si>
    <t>Viruses[2];Duplodnaviria[2];Heunggongvirae[2];Uroviricota[2];Caudoviricetes[2];Caudovirales[2];Siphoviridae[1];unclassified Siphoviridae[1];Ralstonia phage RSP15[1]</t>
  </si>
  <si>
    <t>Viruses;Duplodnaviria;Heunggongvirae;Uroviricota;Caudoviricetes;Caudovirales;Siphoviridae;unclassified Siphoviridae;Ralstonia phage RSP15</t>
  </si>
  <si>
    <t>Viruses[2];Duplodnaviria[2];Heunggongvirae[2];Uroviricota[2];Caudoviricetes[2];Caudovirales[2];Ackermannviridae[1];unclassified Siphoviridae[1];Idiomarinaceae phage Phi1M2-2[1]</t>
  </si>
  <si>
    <t>Mai.NODE_1220_length_2017_cov_6.041284</t>
  </si>
  <si>
    <t>Viruses[1];Duplodnaviria[1];Heunggongvirae[1];Uroviricota[1];Caudoviricetes[1];Caudovirales[1];Siphoviridae[1];unclassified Siphoviridae[1];Rhizobium phage 16-3[1]</t>
  </si>
  <si>
    <t>Viruses;Duplodnaviria;Heunggongvirae;Uroviricota;Caudoviricetes;Caudovirales;Siphoviridae;unclassified Siphoviridae;Rhizobium phage 16-3</t>
  </si>
  <si>
    <t>Mai.NODE_1173_length_2073_cov_3.922696</t>
  </si>
  <si>
    <t>Viruses[1];Duplodnaviria[1];Heunggongvirae[1];Uroviricota[1];Caudoviricetes[1];Caudovirales[1];Siphoviridae[1];unclassified Siphoviridae[1];Rhizobium phage RHph_I4[1]</t>
  </si>
  <si>
    <t>Viruses;Duplodnaviria;Heunggongvirae;Uroviricota;Caudoviricetes;Caudovirales;Siphoviridae;unclassified Siphoviridae;Rhizobium phage RHph_I4</t>
  </si>
  <si>
    <t>Oct.NODE_1478_length_2440_cov_4.059539</t>
  </si>
  <si>
    <t>Viruses[1];Duplodnaviria[1];Heunggongvirae[1];Uroviricota[1];Caudoviricetes[1];Caudovirales[1];Siphoviridae[1];unclassified Siphoviridae[1];Rhizobium phage RHph_N28_2[1]</t>
  </si>
  <si>
    <t>Viruses;Duplodnaviria;Heunggongvirae;Uroviricota;Caudoviricetes;Caudovirales;Siphoviridae;unclassified Siphoviridae;Rhizobium phage RHph_N28_2</t>
  </si>
  <si>
    <t>Oct.NODE_1608_length_2310_cov_3.054102</t>
  </si>
  <si>
    <t>Viruses[1];Duplodnaviria[1];Heunggongvirae[1];Uroviricota[1];Caudoviricetes[1];Caudovirales[1];Siphoviridae[1];unclassified Siphoviridae[1];Rhizobium phage RHph_TM16[1]</t>
  </si>
  <si>
    <t>Viruses;Duplodnaviria;Heunggongvirae;Uroviricota;Caudoviricetes;Caudovirales;Siphoviridae;unclassified Siphoviridae;Rhizobium phage RHph_TM16</t>
  </si>
  <si>
    <t>Oct.NODE_566_length_4605_cov_6.112527</t>
  </si>
  <si>
    <t>Viruses[3];Duplodnaviria[2];Heunggongvirae[2];Uroviricota[2];Caudoviricetes[2];Caudovirales[2];Siphoviridae[2];unclassified Siphoviridae[2];Rhizobium phage RHph_TM3_3_10[1]</t>
  </si>
  <si>
    <t>Viruses;Duplodnaviria;Heunggongvirae;Uroviricota;Caudoviricetes;Caudovirales;Siphoviridae;unclassified Siphoviridae;Rhizobium phage RHph_TM3_3_10</t>
  </si>
  <si>
    <t>Oct.NODE_405_length_5713_cov_27.266349</t>
  </si>
  <si>
    <t>Viruses[3];Duplodnaviria[2];Heunggongvirae[2];Uroviricota[2];Caudoviricetes[2];Caudovirales[2];Siphoviridae[2];unclassified Siphoviridae[2];Rhizobium phage RHph_Y21[1]</t>
  </si>
  <si>
    <t>Viruses;Duplodnaviria;Heunggongvirae;Uroviricota;Caudoviricetes;Caudovirales;Siphoviridae;unclassified Siphoviridae;Rhizobium phage RHph_Y21</t>
  </si>
  <si>
    <t>Avril.NODE_490_length_4799_cov_82.955734</t>
  </si>
  <si>
    <t>Viruses[2];Duplodnaviria[2];Heunggongvirae[2];Uroviricota[2];Caudoviricetes[2];Caudovirales[2];Siphoviridae[1];unclassified Siphoviridae[1];Rhizobium rosettiformans W3[1]</t>
  </si>
  <si>
    <t>Viruses;Duplodnaviria;Heunggongvirae;Uroviricota;Caudoviricetes;Caudovirales;Siphoviridae;unclassified Siphoviridae;Rhizobium rosettiformans W3</t>
  </si>
  <si>
    <t>Viruses[2];Duplodnaviria[2];Heunggongvirae[2];Uroviricota[2];Caudoviricetes[2];Caudovirales[2];Myoviridae[1];unclassified Siphoviridae[1];Rhizobium phage RHph_Y60[1]</t>
  </si>
  <si>
    <t>Oct.NODE_1525_length_2396_cov_3.319949</t>
  </si>
  <si>
    <t>Viruses[1];Duplodnaviria[1];Heunggongvirae[1];Uroviricota[1];Caudoviricetes[1];Caudovirales[1];Siphoviridae[1];unclassified Siphoviridae[1];Rhodobacter phage RcMcDreamy[1]</t>
  </si>
  <si>
    <t>Viruses;Duplodnaviria;Heunggongvirae;Uroviricota;Caudoviricetes;Caudovirales;Siphoviridae;unclassified Siphoviridae;Rhodobacter phage RcMcDreamy</t>
  </si>
  <si>
    <t>Oct.NODE_512_length_4893_cov_5.145308</t>
  </si>
  <si>
    <t>Viruses[2];Duplodnaviria[2];Heunggongvirae[2];Uroviricota[2];Caudoviricetes[2];Caudovirales[2];Siphoviridae[2];unclassified Siphoviridae[2];Rhodobacter phage RcTiptonus[1]</t>
  </si>
  <si>
    <t>Viruses;Duplodnaviria;Heunggongvirae;Uroviricota;Caudoviricetes;Caudovirales;Siphoviridae;unclassified Siphoviridae;Rhodobacter phage RcTiptonus</t>
  </si>
  <si>
    <t>Viruses[2];Duplodnaviria[2];Heunggongvirae[2];Uroviricota[2];Caudoviricetes[2];Caudovirales[2];Siphoviridae[2];unclassified Siphoviridae[2];Listonella phage phiHSIC[1]</t>
  </si>
  <si>
    <t>Oct.NODE_1358_length_2598_cov_4.305545</t>
  </si>
  <si>
    <t>Viruses[1];Duplodnaviria[1];Heunggongvirae[1];Uroviricota[1];Caudoviricetes[1];Caudovirales[1];Siphoviridae[1];unclassified Siphoviridae[1];Ruegeria phage vB_RpoS-V16[1]</t>
  </si>
  <si>
    <t>Viruses;Duplodnaviria;Heunggongvirae;Uroviricota;Caudoviricetes;Caudovirales;Siphoviridae;unclassified Siphoviridae;Ruegeria phage vB_RpoS-V16</t>
  </si>
  <si>
    <t>Oct.NODE_1637_length_2288_cov_2.989252</t>
  </si>
  <si>
    <t>Viruses[1];Duplodnaviria[1];Heunggongvirae[1];Uroviricota[1];Caudoviricetes[1];Caudovirales[1];Siphoviridae[1];unclassified Siphoviridae[1];Saccharomonospora phage PIS 136[1]</t>
  </si>
  <si>
    <t>Viruses;Duplodnaviria;Heunggongvirae;Uroviricota;Caudoviricetes;Caudovirales;Siphoviridae;unclassified Siphoviridae;Saccharomonospora phage PIS 136</t>
  </si>
  <si>
    <t>Oct.NODE_1086_length_2965_cov_6.305842</t>
  </si>
  <si>
    <t>Viruses[1];Duplodnaviria[1];Heunggongvirae[1];Uroviricota[1];Caudoviricetes[1];Caudovirales[1];Siphoviridae[1];unclassified Siphoviridae[1];Salicola phage CGphi29[1]</t>
  </si>
  <si>
    <t>Viruses;Duplodnaviria;Heunggongvirae;Uroviricota;Caudoviricetes;Caudovirales;Siphoviridae;unclassified Siphoviridae;Salicola phage CGphi29</t>
  </si>
  <si>
    <t>Avril.NODE_756_length_3411_cov_3.678188</t>
  </si>
  <si>
    <t>Viruses[2];Duplodnaviria[2];Heunggongvirae[2];Uroviricota[2];Caudoviricetes[2];Caudovirales[2];Siphoviridae[2];unclassified Siphoviridae[2];Salicola phage CGphi29[1];Okeania sp. SIO2C2[1]</t>
  </si>
  <si>
    <t>Viruses;Duplodnaviria;Heunggongvirae;Uroviricota;Caudoviricetes;Caudovirales;Siphoviridae;unclassified Siphoviridae;Salicola phage CGphi29;Okeania sp. SIO2C2</t>
  </si>
  <si>
    <t>Viruses[2];Duplodnaviria[2];Heunggongvirae[2];Uroviricota[2];Caudoviricetes[2];Caudovirales[2];Siphoviridae[2];unclassified Siphoviridae[2];Salicola phage CGphi29[1]</t>
  </si>
  <si>
    <t>Oct.NODE_236_length_8728_cov_5.363657</t>
  </si>
  <si>
    <t>Viruses[5];Duplodnaviria[5];Heunggongvirae[5];Uroviricota[5];Caudoviricetes[5];Caudovirales[5];Siphoviridae[5];unclassified Siphoviridae[5];Salicola phage CGphi29[3];Symploca sp. SIO1C4[1]</t>
  </si>
  <si>
    <t>Viruses;Duplodnaviria;Heunggongvirae;Uroviricota;Caudoviricetes;Caudovirales;Siphoviridae;unclassified Siphoviridae;Salicola phage CGphi29;Symploca sp. SIO1C4</t>
  </si>
  <si>
    <t>Viruses[5];Duplodnaviria[5];Heunggongvirae[5];Uroviricota[5];Caudoviricetes[5];Caudovirales[5];Siphoviridae[5];unclassified Siphoviridae[5];Salicola phage CGphi29[3]</t>
  </si>
  <si>
    <t>Oct.NODE_729_length_3912_cov_2.744361</t>
  </si>
  <si>
    <t>Viruses[3];Duplodnaviria[3];Heunggongvirae[3];Uroviricota[3];Caudoviricetes[3];Caudovirales[3];Siphoviridae[3];unclassified Siphoviridae[3];Shewanella phage S0112[2]</t>
  </si>
  <si>
    <t>Viruses;Duplodnaviria;Heunggongvirae;Uroviricota;Caudoviricetes;Caudovirales;Siphoviridae;unclassified Siphoviridae;Shewanella phage S0112</t>
  </si>
  <si>
    <t>Mai.NODE_1101_length_2155_cov_40.975714</t>
  </si>
  <si>
    <t>Viruses[1];Duplodnaviria[1];Heunggongvirae[1];Uroviricota[1];Caudoviricetes[1];Caudovirales[1];Siphoviridae[1];unclassified Siphoviridae[1];Shewanella sp. phage 3/49[1]</t>
  </si>
  <si>
    <t>Viruses;Duplodnaviria;Heunggongvirae;Uroviricota;Caudoviricetes;Caudovirales;Siphoviridae;unclassified Siphoviridae;Shewanella sp. phage 3/49</t>
  </si>
  <si>
    <t>Oct.NODE_1682_length_2232_cov_3.752871</t>
  </si>
  <si>
    <t>Viruses[1];Duplodnaviria[1];Heunggongvirae[1];Uroviricota[1];Caudoviricetes[1];Caudovirales[1];Siphoviridae[1];unclassified Siphoviridae[1];Sinorhizobium meliloti CCNWSX0020[1]</t>
  </si>
  <si>
    <t>Viruses;Duplodnaviria;Heunggongvirae;Uroviricota;Caudoviricetes;Caudovirales;Siphoviridae;unclassified Siphoviridae;Sinorhizobium meliloti CCNWSX0020</t>
  </si>
  <si>
    <t>Avril.NODE_592_length_4053_cov_6.845923</t>
  </si>
  <si>
    <t>Viruses[1];Duplodnaviria[1];Heunggongvirae[1];Uroviricota[1];Caudoviricetes[1];Caudovirales[1];Siphoviridae[1];unclassified Siphoviridae[1];Sinorhizobium phage phi2LM21[1]</t>
  </si>
  <si>
    <t>Viruses;Duplodnaviria;Heunggongvirae;Uroviricota;Caudoviricetes;Caudovirales;Siphoviridae;unclassified Siphoviridae;Sinorhizobium phage phi2LM21</t>
  </si>
  <si>
    <t>Mai.NODE_807_length_2719_cov_4.787913</t>
  </si>
  <si>
    <t>Viruses[1];Duplodnaviria[1];Heunggongvirae[1];Uroviricota[1];Caudoviricetes[1];Caudovirales[1];Siphoviridae[1];unclassified Siphoviridae[1];Sinorhizobium phage phiLM21[1]</t>
  </si>
  <si>
    <t>Viruses;Duplodnaviria;Heunggongvirae;Uroviricota;Caudoviricetes;Caudovirales;Siphoviridae;unclassified Siphoviridae;Sinorhizobium phage phiLM21</t>
  </si>
  <si>
    <t>Mai.NODE_869_length_2581_cov_8.813143</t>
  </si>
  <si>
    <t>Avril.NODE_359_length_5917_cov_12.410611</t>
  </si>
  <si>
    <t>Viruses[2];Duplodnaviria[2];Heunggongvirae[2];Uroviricota[2];Caudoviricetes[2];Caudovirales[2];Siphoviridae[1];unclassified Siphoviridae[1];Siovirus[1];unclassified Siovirus[1];Roseobacter phage CRP-4[1]</t>
  </si>
  <si>
    <t>Viruses;Duplodnaviria;Heunggongvirae;Uroviricota;Caudoviricetes;Caudovirales;Siphoviridae;unclassified Siphoviridae;Siovirus;unclassified Siovirus;Roseobacter phage CRP-4</t>
  </si>
  <si>
    <t>Viruses[2];Duplodnaviria[2];Heunggongvirae[2];Uroviricota[2];Caudoviricetes[2];Caudovirales[2];Zobellviridae[1];unclassified Siphoviridae[1];Siovirus[1];unclassified Siovirus[1];Roseobacter phage CRP-4[1]</t>
  </si>
  <si>
    <t>Oct.NODE_269_length_7538_cov_4.819057</t>
  </si>
  <si>
    <t>Viruses[2];Duplodnaviria[2];Heunggongvirae[2];Uroviricota[2];Caudoviricetes[2];Caudovirales[2];Siphoviridae[2];unclassified Siphoviridae[2];Siphoviridae sp. ct7UA22[1]</t>
  </si>
  <si>
    <t>Viruses;Duplodnaviria;Heunggongvirae;Uroviricota;Caudoviricetes;Caudovirales;Siphoviridae;unclassified Siphoviridae;Siphoviridae sp. ct7UA22</t>
  </si>
  <si>
    <t>Viruses[2];Duplodnaviria[2];Heunggongvirae[2];Uroviricota[2];Caudoviricetes[2];Caudovirales[2];Siphoviridae[2];unclassified Siphoviridae[2];Siphoviridae sp. ctdEk19[1]</t>
  </si>
  <si>
    <t>Avril.NODE_306_length_6686_cov_5.014779</t>
  </si>
  <si>
    <t>Viruses[2];Duplodnaviria[2];Heunggongvirae[2];Uroviricota[2];Caudoviricetes[2];Caudovirales[2];Siphoviridae[1];unclassified Siphoviridae[1];Siphoviridae sp. ct7UA22[1]</t>
  </si>
  <si>
    <t>Sept.NODE_592_length_3279_cov_9.053350</t>
  </si>
  <si>
    <t>Viruses[1];Duplodnaviria[1];Heunggongvirae[1];Uroviricota[1];Caudoviricetes[1];Caudovirales[1];Siphoviridae[1];unclassified Siphoviridae[1];Siphoviridae sp. ctCJE6[1]</t>
  </si>
  <si>
    <t>Viruses;Duplodnaviria;Heunggongvirae;Uroviricota;Caudoviricetes;Caudovirales;Siphoviridae;unclassified Siphoviridae;Siphoviridae sp. ctCJE6</t>
  </si>
  <si>
    <t>Sept.NODE_53_length_23028_cov_12.499021</t>
  </si>
  <si>
    <t>Viruses[3];Duplodnaviria[3];Heunggongvirae[3];Uroviricota[3];Caudoviricetes[3];Caudovirales[3];Siphoviridae[2];unclassified Siphoviridae[2];Siphoviridae sp. ctCJE6[1];Goettingenvirus goe8[1];Bacillus phage vB_BmeM-Goe8[1]</t>
  </si>
  <si>
    <t>Viruses;Duplodnaviria;Heunggongvirae;Uroviricota;Caudoviricetes;Caudovirales;Siphoviridae;unclassified Siphoviridae;Siphoviridae sp. ctCJE6;Goettingenvirus goe8;Bacillus phage vB_BmeM-Goe8</t>
  </si>
  <si>
    <t>Viruses[3];Duplodnaviria[3];Heunggongvirae[3];Uroviricota[3];Caudoviricetes[3];Caudovirales[3];Siphoviridae[2];unclassified Siphoviridae[2];Goettingenvirus[1];Goettingenvirus goe8[1];Bacillus phage vB_BmeM-Goe8[1]</t>
  </si>
  <si>
    <t>Avril.NODE_1496_length_2085_cov_3.404433</t>
  </si>
  <si>
    <t>Viruses[1];Duplodnaviria[1];Heunggongvirae[1];Uroviricota[1];Caudoviricetes[1];Caudovirales[1];Siphoviridae[1];unclassified Siphoviridae[1];Siphoviridae sp. ctdEk19[1]</t>
  </si>
  <si>
    <t>Viruses;Duplodnaviria;Heunggongvirae;Uroviricota;Caudoviricetes;Caudovirales;Siphoviridae;unclassified Siphoviridae;Siphoviridae sp. ctdEk19</t>
  </si>
  <si>
    <t>Sept.NODE_591_length_3283_cov_4.514250</t>
  </si>
  <si>
    <t>Viruses[3];Duplodnaviria[2];Heunggongvirae[2];Uroviricota[2];Caudoviricetes[2];Caudovirales[2];Siphoviridae[2];unclassified Siphoviridae[2];Siphoviridae sp. ctdEk19[2]</t>
  </si>
  <si>
    <t>Mai.NODE_844_length_2619_cov_4.427847</t>
  </si>
  <si>
    <t>Sept.NODE_44_length_27614_cov_18.965347</t>
  </si>
  <si>
    <t>Viruses[9];Duplodnaviria[9];Heunggongvirae[9];Uroviricota[9];Caudoviricetes[9];Caudovirales[9];Siphoviridae[6];unclassified Siphoviridae[4];Siphoviridae sp. ctdEk19[2];Nipunavirus PaMx25[1];Pseudomonas phage PaMx25[1]</t>
  </si>
  <si>
    <t>Viruses;Duplodnaviria;Heunggongvirae;Uroviricota;Caudoviricetes;Caudovirales;Siphoviridae;unclassified Siphoviridae;Siphoviridae sp. ctdEk19;Nipunavirus PaMx25;Pseudomonas phage PaMx25</t>
  </si>
  <si>
    <t>Viruses[9];Duplodnaviria[9];Heunggongvirae[9];Uroviricota[9];Caudoviricetes[9];Caudovirales[9];Siphoviridae[6];unclassified Siphoviridae[4];Siphoviridae sp. ctdEk19[2];Gordonia phage Dardanus[1];Pseudomonas phage PaMx25[1]</t>
  </si>
  <si>
    <t>Mai.NODE_366_length_4831_cov_6.127722</t>
  </si>
  <si>
    <t>Viruses[1];Duplodnaviria[1];Heunggongvirae[1];Uroviricota[1];Caudoviricetes[1];Caudovirales[1];Siphoviridae[1];unclassified Siphoviridae[1];Siphoviridae sp. ctdEk19[1];Parvimonas sp. oral taxon 110 str. F0139[1]</t>
  </si>
  <si>
    <t>Viruses;Duplodnaviria;Heunggongvirae;Uroviricota;Caudoviricetes;Caudovirales;Siphoviridae;unclassified Siphoviridae;Siphoviridae sp. ctdEk19;Parvimonas sp. oral taxon 110 str. F0139</t>
  </si>
  <si>
    <t>Mai.NODE_1157_length_2097_cov_3.357982</t>
  </si>
  <si>
    <t>Viruses[1];Duplodnaviria[1];Heunggongvirae[1];Uroviricota[1];Caudoviricetes[1];Caudovirales[1];Siphoviridae[1];unclassified Siphoviridae[1];Siphoviridae sp. ctpQM7[1]</t>
  </si>
  <si>
    <t>Viruses;Duplodnaviria;Heunggongvirae;Uroviricota;Caudoviricetes;Caudovirales;Siphoviridae;unclassified Siphoviridae;Siphoviridae sp. ctpQM7</t>
  </si>
  <si>
    <t>Oct.NODE_1688_length_2224_cov_3.194560</t>
  </si>
  <si>
    <t>Avril.NODE_515_length_4594_cov_3.888522</t>
  </si>
  <si>
    <t>Viruses[3];Duplodnaviria[3];Heunggongvirae[3];Uroviricota[3];Caudoviricetes[3];Caudovirales[3];Siphoviridae[3];unclassified Siphoviridae[1];Siphoviridae sp. ctpQM7[1];Gordonia phage Gsput1[1]</t>
  </si>
  <si>
    <t>Viruses;Duplodnaviria;Heunggongvirae;Uroviricota;Caudoviricetes;Caudovirales;Siphoviridae;unclassified Siphoviridae;Siphoviridae sp. ctpQM7;Gordonia phage Gsput1</t>
  </si>
  <si>
    <t>Viruses[3];Duplodnaviria[3];Heunggongvirae[3];Uroviricota[3];Caudoviricetes[3];Caudovirales[3];Siphoviridae[3];Gesputvirus[1];Siphoviridae sp. ctpQM7[1];Gordonia phage Gsput1[1]</t>
  </si>
  <si>
    <t>Oct.NODE_818_length_3585_cov_3.432861</t>
  </si>
  <si>
    <t>Viruses[1];Duplodnaviria[1];Heunggongvirae[1];Uroviricota[1];Caudoviricetes[1];Caudovirales[1];Siphoviridae[1];unclassified Siphoviridae[1];Siphoviridae sp. cttb18[1]</t>
  </si>
  <si>
    <t>Viruses;Duplodnaviria;Heunggongvirae;Uroviricota;Caudoviricetes;Caudovirales;Siphoviridae;unclassified Siphoviridae;Siphoviridae sp. cttb18</t>
  </si>
  <si>
    <t>Oct.NODE_1831_length_2112_cov_80.614973</t>
  </si>
  <si>
    <t>Avril.NODE_82_length_20518_cov_10.265748</t>
  </si>
  <si>
    <t>Viruses[10];Duplodnaviria[10];Heunggongvirae[10];Uroviricota[10];Caudoviricetes[10];Caudovirales[10];Siphoviridae[8];unclassified Siphoviridae[8];Siphoviridae sp. ctvD11[8]</t>
  </si>
  <si>
    <t>Viruses;Duplodnaviria;Heunggongvirae;Uroviricota;Caudoviricetes;Caudovirales;Siphoviridae;unclassified Siphoviridae;Siphoviridae sp. ctvD11</t>
  </si>
  <si>
    <t>Oct.NODE_134_length_14003_cov_6.202395</t>
  </si>
  <si>
    <t>Viruses[10];Duplodnaviria[10];Heunggongvirae[10];Uroviricota[10];Caudoviricetes[10];Caudovirales[10];Siphoviridae[10];unclassified Siphoviridae[4];Sphingomonas phage Kharn[2];Pseudomonas phage MP1412[1]</t>
  </si>
  <si>
    <t>Viruses;Duplodnaviria;Heunggongvirae;Uroviricota;Caudoviricetes;Caudovirales;Siphoviridae;unclassified Siphoviridae;Sphingomonas phage Kharn;Pseudomonas phage MP1412</t>
  </si>
  <si>
    <t>Viruses[10];Duplodnaviria[10];Heunggongvirae[10];Uroviricota[10];Caudoviricetes[10];Caudovirales[10];Siphoviridae[10];unclassified Siphoviridae[4];Erythrobacter phage vB_EliS_R6L[2];Pseudomonas phage MP1412[1]</t>
  </si>
  <si>
    <t>Mai.NODE_318_length_5574_cov_4.833303</t>
  </si>
  <si>
    <t>Viruses[2];Duplodnaviria[2];Heunggongvirae[2];Uroviricota[2];Caudoviricetes[2];Caudovirales[2];Siphoviridae[2];unclassified Siphoviridae[2];Stenotrophomonas phage Sonora[1]</t>
  </si>
  <si>
    <t>Viruses;Duplodnaviria;Heunggongvirae;Uroviricota;Caudoviricetes;Caudovirales;Siphoviridae;unclassified Siphoviridae;Stenotrophomonas phage Sonora</t>
  </si>
  <si>
    <t>Viruses[2];Duplodnaviria[2];Heunggongvirae[2];Uroviricota[2];Caudoviricetes[2];Caudovirales[2];Siphoviridae[2];unclassified Siphoviridae[2];Verrucomicrobia phage P8625[1]</t>
  </si>
  <si>
    <t>Oct.NODE_33_length_37390_cov_21.424508</t>
  </si>
  <si>
    <t>Viruses[12];Duplodnaviria[11];Heunggongvirae[11];Uroviricota[11];Caudoviricetes[11];Caudovirales[11];Siphoviridae[9];unclassified Siphoviridae[4];Stenotrophomonas phage vB_SmaS-AXL_3[2];Roseobacter phage RDJL Phi 1[1]</t>
  </si>
  <si>
    <t>Viruses;Duplodnaviria;Heunggongvirae;Uroviricota;Caudoviricetes;Caudovirales;Siphoviridae;unclassified Siphoviridae;Stenotrophomonas phage vB_SmaS-AXL_3;Roseobacter phage RDJL Phi 1</t>
  </si>
  <si>
    <t>Oct.NODE_1296_length_2673_cov_4.036669</t>
  </si>
  <si>
    <t>Viruses[1];Duplodnaviria[1];Heunggongvirae[1];Uroviricota[1];Caudoviricetes[1];Caudovirales[1];Siphoviridae[1];unclassified Siphoviridae[1];Streptomyces phage Coruscant[1]</t>
  </si>
  <si>
    <t>Viruses;Duplodnaviria;Heunggongvirae;Uroviricota;Caudoviricetes;Caudovirales;Siphoviridae;unclassified Siphoviridae;Streptomyces phage Coruscant</t>
  </si>
  <si>
    <t>Mai.NODE_1084_length_2189_cov_4.776007</t>
  </si>
  <si>
    <t>Viruses[1];Duplodnaviria[1];Heunggongvirae[1];Uroviricota[1];Caudoviricetes[1];Caudovirales[1];Siphoviridae[1];unclassified Siphoviridae[1];Streptomyces sp. SID9944[1]</t>
  </si>
  <si>
    <t>Viruses;Duplodnaviria;Heunggongvirae;Uroviricota;Caudoviricetes;Caudovirales;Siphoviridae;unclassified Siphoviridae;Streptomyces sp. SID9944</t>
  </si>
  <si>
    <t>Viruses[1];Duplodnaviria[1];Heunggongvirae[1];Uroviricota[1];Caudoviricetes[1];Caudovirales[1];Siphoviridae[1];unclassified Siphoviridae[1];Thermobifida phage P1312[1]</t>
  </si>
  <si>
    <t>Sept.NODE_1199_length_2065_cov_4.475622</t>
  </si>
  <si>
    <t>Viruses[1];Duplodnaviria[1];Heunggongvirae[1];Uroviricota[1];Caudoviricetes[1];Caudovirales[1];Siphoviridae[1];unclassified Siphoviridae[1];Synechococcus phage S-CBS1[1]</t>
  </si>
  <si>
    <t>Viruses;Duplodnaviria;Heunggongvirae;Uroviricota;Caudoviricetes;Caudovirales;Siphoviridae;unclassified Siphoviridae;Synechococcus phage S-CBS1</t>
  </si>
  <si>
    <t>Avril.NODE_887_length_3031_cov_4.044019</t>
  </si>
  <si>
    <t>Viruses[1];Duplodnaviria[1];Heunggongvirae[1];Uroviricota[1];Caudoviricetes[1];Caudovirales[1];Siphoviridae[1];unclassified Siphoviridae[1];Synechococcus phage S-CBS2[1]</t>
  </si>
  <si>
    <t>Viruses;Duplodnaviria;Heunggongvirae;Uroviricota;Caudoviricetes;Caudovirales;Siphoviridae;unclassified Siphoviridae;Synechococcus phage S-CBS2</t>
  </si>
  <si>
    <t>Avril.NODE_737_length_3472_cov_83.769681</t>
  </si>
  <si>
    <t>Oct.NODE_715_length_3950_cov_11.532734</t>
  </si>
  <si>
    <t>Viruses[1];Duplodnaviria[1];Heunggongvirae[1];Uroviricota[1];Caudoviricetes[1];Caudovirales[1];Siphoviridae[1];unclassified Siphoviridae[1];Synechococcus phage S-CBS4[1]</t>
  </si>
  <si>
    <t>Viruses;Duplodnaviria;Heunggongvirae;Uroviricota;Caudoviricetes;Caudovirales;Siphoviridae;unclassified Siphoviridae;Synechococcus phage S-CBS4</t>
  </si>
  <si>
    <t>Oct.NODE_1257_length_2720_cov_6.388368</t>
  </si>
  <si>
    <t>Mai.NODE_1135_length_2120_cov_3.249879</t>
  </si>
  <si>
    <t>Juil.NODE_73_length_2066_cov_8.315763</t>
  </si>
  <si>
    <t>Mai.NODE_433_length_4257_cov_5.465017</t>
  </si>
  <si>
    <t>Mai.NODE_1146_length_2108_cov_10.620555</t>
  </si>
  <si>
    <t>Viruses[1];Duplodnaviria[1];Heunggongvirae[1];Uroviricota[1];Caudoviricetes[1];Caudovirales[1];Siphoviridae[1];unclassified Siphoviridae[1];Synechococcus phage S-CBS4[1];Aequorivita sp. H23M31[1]</t>
  </si>
  <si>
    <t>Viruses;Duplodnaviria;Heunggongvirae;Uroviricota;Caudoviricetes;Caudovirales;Siphoviridae;unclassified Siphoviridae;Synechococcus phage S-CBS4;Aequorivita sp. H23M31</t>
  </si>
  <si>
    <t>Juil.NODE_36_length_3024_cov_5.029303</t>
  </si>
  <si>
    <t>Viruses[1];Duplodnaviria[1];Heunggongvirae[1];Uroviricota[1];Caudoviricetes[1];Caudovirales[1];Siphoviridae[1];unclassified Siphoviridae[1];Synechococcus phage S-CBS4[1];Flavilitoribacter nigricans DSM 23189 = NBRC 102662[1]</t>
  </si>
  <si>
    <t>Viruses;Duplodnaviria;Heunggongvirae;Uroviricota;Caudoviricetes;Caudovirales;Siphoviridae;unclassified Siphoviridae;Synechococcus phage S-CBS4;Flavilitoribacter nigricans DSM 23189 = NBRC 102662</t>
  </si>
  <si>
    <t>Oct.NODE_983_length_3135_cov_27.829870</t>
  </si>
  <si>
    <t>Viruses[1];Duplodnaviria[1];Heunggongvirae[1];Uroviricota[1];Caudoviricetes[1];Caudovirales[1];Siphoviridae[1];unclassified Siphoviridae[1];Synechococcus phage S-H1[1]</t>
  </si>
  <si>
    <t>Viruses;Duplodnaviria;Heunggongvirae;Uroviricota;Caudoviricetes;Caudovirales;Siphoviridae;unclassified Siphoviridae;Synechococcus phage S-H1</t>
  </si>
  <si>
    <t>Avril.NODE_820_length_3218_cov_139.556118</t>
  </si>
  <si>
    <t>Viruses[1];Duplodnaviria[1];Heunggongvirae[1];Uroviricota[1];Caudoviricetes[1];Caudovirales[1];Siphoviridae[1];unclassified Siphoviridae[1];Synechococcus phage S-LBS1[1]</t>
  </si>
  <si>
    <t>Viruses;Duplodnaviria;Heunggongvirae;Uroviricota;Caudoviricetes;Caudovirales;Siphoviridae;unclassified Siphoviridae;Synechococcus phage S-LBS1</t>
  </si>
  <si>
    <t>Sept.NODE_776_length_2742_cov_151.868255</t>
  </si>
  <si>
    <t>Mai.NODE_892_length_2536_cov_7.023378</t>
  </si>
  <si>
    <t>Sept.NODE_349_length_4838_cov_17.350617</t>
  </si>
  <si>
    <t>Viruses[2];Duplodnaviria[2];Heunggongvirae[2];Uroviricota[2];Caudoviricetes[2];Caudovirales[2];Siphoviridae[1];unclassified Siphoviridae[1];Synechococcus virus S-ESS1[1]</t>
  </si>
  <si>
    <t>Viruses;Duplodnaviria;Heunggongvirae;Uroviricota;Caudoviricetes;Caudovirales;Siphoviridae;unclassified Siphoviridae;Synechococcus virus S-ESS1</t>
  </si>
  <si>
    <t>Viruses[2];Duplodnaviria[2];Heunggongvirae[2];Uroviricota[2];Caudoviricetes[2];Caudovirales[2];Siphoviridae[1];unclassified Myoviridae[1];Synechococcus virus S-ESS1[1]</t>
  </si>
  <si>
    <t>Oct.NODE_883_length_3389_cov_4.813437</t>
  </si>
  <si>
    <t>Viruses[1];Duplodnaviria[1];Heunggongvirae[1];Uroviricota[1];Caudoviricetes[1];Caudovirales[1];Siphoviridae[1];unclassified Siphoviridae[1];Synechococcus virus S-ESS1[1]</t>
  </si>
  <si>
    <t>Oct.NODE_944_length_3226_cov_3.349101</t>
  </si>
  <si>
    <t>Viruses[2];Duplodnaviria[2];Heunggongvirae[2];Uroviricota[2];Caudoviricetes[2];Caudovirales[2];Siphoviridae[2];unclassified Siphoviridae[2];Synechococcus virus S-ESS1[2]</t>
  </si>
  <si>
    <t>Sept.NODE_946_length_2411_cov_7.276316</t>
  </si>
  <si>
    <t>Avril.NODE_466_length_5014_cov_6.251260</t>
  </si>
  <si>
    <t>Viruses[1];Duplodnaviria[1];Heunggongvirae[1];Uroviricota[1];Caudoviricetes[1];Caudovirales[1];Siphoviridae[1];unclassified Siphoviridae[1];Tenacibaculum caenipelagi[1]</t>
  </si>
  <si>
    <t>Viruses;Duplodnaviria;Heunggongvirae;Uroviricota;Caudoviricetes;Caudovirales;Siphoviridae;unclassified Siphoviridae;Tenacibaculum caenipelagi</t>
  </si>
  <si>
    <t>Oct.NODE_647_length_4190_cov_8.964208</t>
  </si>
  <si>
    <t>Viruses[2];Duplodnaviria[2];Heunggongvirae[2];Uroviricota[2];Caudoviricetes[2];Caudovirales[1];Siphoviridae[1];unclassified Siphoviridae[1];Tenacibaculum phage JQ[1]</t>
  </si>
  <si>
    <t>Viruses;Duplodnaviria;Heunggongvirae;Uroviricota;Caudoviricetes;Caudovirales;Siphoviridae;unclassified Siphoviridae;Tenacibaculum phage JQ</t>
  </si>
  <si>
    <t>Viruses[2];Duplodnaviria[2];Heunggongvirae[2];Uroviricota[2];Caudoviricetes[2];Caudovirales[1];Cellulophaga phage phi19:3[1];unclassified Siphoviridae[1];Tenacibaculum phage JQ[1]</t>
  </si>
  <si>
    <t>Oct.NODE_657_length_4158_cov_3.637826</t>
  </si>
  <si>
    <t>Viruses[2];Duplodnaviria[2];Heunggongvirae[2];Uroviricota[2];Caudoviricetes[2];Caudovirales[2];Siphoviridae[2];unclassified Siphoviridae[2];Tenacibaculum phage JQ[2]</t>
  </si>
  <si>
    <t>Avril.NODE_1437_length_2144_cov_5.672092</t>
  </si>
  <si>
    <t>Viruses[1];Duplodnaviria[1];Heunggongvirae[1];Uroviricota[1];Caudoviricetes[1];Caudovirales[1];Siphoviridae[1];unclassified Siphoviridae[1];Tetraselmis viridis virus SI1[1]</t>
  </si>
  <si>
    <t>Viruses;Duplodnaviria;Heunggongvirae;Uroviricota;Caudoviricetes;Caudovirales;Siphoviridae;unclassified Siphoviridae;Tetraselmis viridis virus SI1</t>
  </si>
  <si>
    <t>Oct.NODE_989_length_3128_cov_4.042629</t>
  </si>
  <si>
    <t>Viruses[2];Duplodnaviria[2];Heunggongvirae[2];Uroviricota[2];Caudoviricetes[2];Caudovirales[2];Siphoviridae[2];unclassified Siphoviridae[1];unclassified Fulvivirga[1];Fulvivirga sp. M361[1]</t>
  </si>
  <si>
    <t>Viruses;Duplodnaviria;Heunggongvirae;Uroviricota;Caudoviricetes;Caudovirales;Siphoviridae;unclassified Siphoviridae;unclassified Fulvivirga;Fulvivirga sp. M361</t>
  </si>
  <si>
    <t>Viruses[2];Duplodnaviria[2];Heunggongvirae[2];Uroviricota[2];Caudoviricetes[2];Caudovirales[2];Siphoviridae[2];unclassified Siphoviridae[1];Fernvirus jacopo[1];Paenibacillus phage Jacopo[1]</t>
  </si>
  <si>
    <t>Sept.NODE_599_length_3251_cov_6.264393</t>
  </si>
  <si>
    <t>Viruses[3];Duplodnaviria[3];Heunggongvirae[3];Uroviricota[3];Caudoviricetes[3];Caudovirales[3];Siphoviridae[3];unclassified Siphoviridae[2];unclassified Gordonvirus[1];Arthrobacter phage Shepard[1]</t>
  </si>
  <si>
    <t>Viruses;Duplodnaviria;Heunggongvirae;Uroviricota;Caudoviricetes;Caudovirales;Siphoviridae;unclassified Siphoviridae;unclassified Gordonvirus;Arthrobacter phage Shepard</t>
  </si>
  <si>
    <t>Viruses[3];Duplodnaviria[3];Heunggongvirae[3];Uroviricota[3];Caudoviricetes[3];Caudovirales[3];Siphoviridae[3];unclassified Siphoviridae[2];Pontimonas phage phiPsal1[1];Arthrobacter phage Shepard[1]</t>
  </si>
  <si>
    <t>Oct.NODE_228_length_9019_cov_13.456604</t>
  </si>
  <si>
    <t>Viruses[5];Duplodnaviria[4];Heunggongvirae[4];Uroviricota[4];Caudoviricetes[4];Caudovirales[4];Siphoviridae[3];unclassified Siphoviridae[3];unclassified Jedunavirus[1];Klebsiella phage vB_KpnM_15-38_KLPPOU148[1]</t>
  </si>
  <si>
    <t>Viruses;Duplodnaviria;Heunggongvirae;Uroviricota;Caudoviricetes;Caudovirales;Siphoviridae;unclassified Siphoviridae;unclassified Jedunavirus;Klebsiella phage vB_KpnM_15-38_KLPPOU148</t>
  </si>
  <si>
    <t>Avril.NODE_1056_length_2640_cov_3.968279</t>
  </si>
  <si>
    <t>Viruses[1];Duplodnaviria[1];Heunggongvirae[1];Uroviricota[1];Caudoviricetes[1];Caudovirales[1];Siphoviridae[1];unclassified Siphoviridae[1];unclassified Mucilaginibacter[1];Mucilaginibacter sp. NFR10[1]</t>
  </si>
  <si>
    <t>Viruses;Duplodnaviria;Heunggongvirae;Uroviricota;Caudoviricetes;Caudovirales;Siphoviridae;unclassified Siphoviridae;unclassified Mucilaginibacter;Mucilaginibacter sp. NFR10</t>
  </si>
  <si>
    <t>Avril.NODE_673_length_3695_cov_3.051374</t>
  </si>
  <si>
    <t>Viruses[1];Duplodnaviria[1];Heunggongvirae[1];Uroviricota[1];Caudoviricetes[1];Caudovirales[1];Siphoviridae[1];unclassified Siphoviridae[1];unclassified Tenacibaculum[1];Tenacibaculum sp. SZ-18[1]</t>
  </si>
  <si>
    <t>Viruses;Duplodnaviria;Heunggongvirae;Uroviricota;Caudoviricetes;Caudovirales;Siphoviridae;unclassified Siphoviridae;unclassified Tenacibaculum;Tenacibaculum sp. SZ-18</t>
  </si>
  <si>
    <t>Viruses[1];Duplodnaviria[1];Heunggongvirae[1];Uroviricota[1];Caudoviricetes[1];Caudovirales[1];Siphoviridae[1];unclassified Siphoviridae[1];Tenacibaculum phage JQ[1]</t>
  </si>
  <si>
    <t>Mai.NODE_406_length_4480_cov_4.207910</t>
  </si>
  <si>
    <t>Viruses[1];Duplodnaviria[1];Heunggongvirae[1];Uroviricota[1];Caudoviricetes[1];Caudovirales[1];Siphoviridae[1];unclassified Siphoviridae[1];Verrucomicrobia phage P8625[1]</t>
  </si>
  <si>
    <t>Viruses;Duplodnaviria;Heunggongvirae;Uroviricota;Caudoviricetes;Caudovirales;Siphoviridae;unclassified Siphoviridae;Verrucomicrobia phage P8625</t>
  </si>
  <si>
    <t>Mai.NODE_854_length_2603_cov_24.306515</t>
  </si>
  <si>
    <t>Avril.NODE_1157_length_2486_cov_6.173591</t>
  </si>
  <si>
    <t>Avril.NODE_1042_length_2659_cov_7.129416</t>
  </si>
  <si>
    <t>Mai.NODE_367_length_4816_cov_100.873136</t>
  </si>
  <si>
    <t>Oct.NODE_1362_length_2593_cov_4.843578</t>
  </si>
  <si>
    <t>Viruses[1];Duplodnaviria[1];Heunggongvirae[1];Uroviricota[1];Caudoviricetes[1];Caudovirales[1];Siphoviridae[1];unclassified Siphoviridae[1];Vibrio phage 1.004.O._10N.261.54.A2[1]</t>
  </si>
  <si>
    <t>Viruses;Duplodnaviria;Heunggongvirae;Uroviricota;Caudoviricetes;Caudovirales;Siphoviridae;unclassified Siphoviridae;Vibrio phage 1.004.O._10N.261.54.A2</t>
  </si>
  <si>
    <t>Sept.NODE_253_length_6083_cov_195.376410</t>
  </si>
  <si>
    <t>Viruses[2];Duplodnaviria[1];Heunggongvirae[1];Uroviricota[1];Caudoviricetes[1];Caudovirales[1];Siphoviridae[1];unclassified Siphoviridae[1];Vibrio phage 1.110.O._10N.261.52.C1[1]</t>
  </si>
  <si>
    <t>Viruses;Duplodnaviria;Heunggongvirae;Uroviricota;Caudoviricetes;Caudovirales;Siphoviridae;unclassified Siphoviridae;Vibrio phage 1.110.O._10N.261.52.C1</t>
  </si>
  <si>
    <t>Viruses[2];unclassified bacterial viruses[1];Heunggongvirae[1];Uroviricota[1];Caudoviricetes[1];Caudovirales[1];Siphoviridae[1];unclassified Siphoviridae[1];Vibrio phage 1.110.O._10N.261.52.C1[1]</t>
  </si>
  <si>
    <t>Oct.NODE_1585_length_2334_cov_2.720491</t>
  </si>
  <si>
    <t>Viruses[2];Duplodnaviria[2];Heunggongvirae[2];Uroviricota[2];Caudoviricetes[2];Caudovirales[2];Siphoviridae[2];unclassified Siphoviridae[2];Vibrio phage 1.110.O._10N.261.52.C1[1]</t>
  </si>
  <si>
    <t>Viruses[2];Duplodnaviria[2];Heunggongvirae[2];Uroviricota[2];Caudoviricetes[2];Caudovirales[2];Siphoviridae[2];unclassified Siphoviridae[2];Phage 5P_3[1]</t>
  </si>
  <si>
    <t>Mai.NODE_1214_length_2024_cov_3.386998</t>
  </si>
  <si>
    <t>Viruses[1];Duplodnaviria[1];Heunggongvirae[1];Uroviricota[1];Caudoviricetes[1];Caudovirales[1];Siphoviridae[1];unclassified Siphoviridae[1];Vibrio phage 1.168.O._10N.261.52.A10[1]</t>
  </si>
  <si>
    <t>Viruses;Duplodnaviria;Heunggongvirae;Uroviricota;Caudoviricetes;Caudovirales;Siphoviridae;unclassified Siphoviridae;Vibrio phage 1.168.O._10N.261.52.A10</t>
  </si>
  <si>
    <t>Mai.NODE_423_length_4328_cov_13.072783</t>
  </si>
  <si>
    <t>Viruses[1];Duplodnaviria[1];Heunggongvirae[1];Uroviricota[1];Caudoviricetes[1];Caudovirales[1];Siphoviridae[1];unclassified Siphoviridae[1];Vibrio phage 1.216.O._10N.222.55.C12[1]</t>
  </si>
  <si>
    <t>Viruses;Duplodnaviria;Heunggongvirae;Uroviricota;Caudoviricetes;Caudovirales;Siphoviridae;unclassified Siphoviridae;Vibrio phage 1.216.O._10N.222.55.C12</t>
  </si>
  <si>
    <t>Oct.NODE_1359_length_2598_cov_2.896972</t>
  </si>
  <si>
    <t>Viruses[1];Duplodnaviria[1];Heunggongvirae[1];Uroviricota[1];Caudoviricetes[1];Caudovirales[1];Siphoviridae[1];unclassified Siphoviridae[1];Vibrio phage 2.044.O._10N.261.51.B8[1]</t>
  </si>
  <si>
    <t>Viruses;Duplodnaviria;Heunggongvirae;Uroviricota;Caudoviricetes;Caudovirales;Siphoviridae;unclassified Siphoviridae;Vibrio phage 2.044.O._10N.261.51.B8</t>
  </si>
  <si>
    <t>Oct.NODE_917_length_3297_cov_2.652067</t>
  </si>
  <si>
    <t>Viruses[1];Duplodnaviria[1];Heunggongvirae[1];Uroviricota[1];Caudoviricetes[1];Caudovirales[1];Siphoviridae[1];unclassified Siphoviridae[1];Vibrio phage LP.1[1]</t>
  </si>
  <si>
    <t>Viruses;Duplodnaviria;Heunggongvirae;Uroviricota;Caudoviricetes;Caudovirales;Siphoviridae;unclassified Siphoviridae;Vibrio phage LP.1</t>
  </si>
  <si>
    <t>Oct.NODE_1203_length_2797_cov_2.628738</t>
  </si>
  <si>
    <t>Viruses[1];Duplodnaviria[1];Heunggongvirae[1];Uroviricota[1];Caudoviricetes[1];Caudovirales[1];Siphoviridae[1];unclassified Siphoviridae[1];Vibrio phage phiV208[1]</t>
  </si>
  <si>
    <t>Viruses;Duplodnaviria;Heunggongvirae;Uroviricota;Caudoviricetes;Caudovirales;Siphoviridae;unclassified Siphoviridae;Vibrio phage phiV208</t>
  </si>
  <si>
    <t>Sept.NODE_456_length_3932_cov_4.919783</t>
  </si>
  <si>
    <t>Viruses[1];Duplodnaviria[1];Heunggongvirae[1];Uroviricota[1];Caudoviricetes[1];Caudovirales[1];Siphoviridae[1];unclassified Siphoviridae[1];Vibrio phage VH2_2019[1]</t>
  </si>
  <si>
    <t>Viruses;Duplodnaviria;Heunggongvirae;Uroviricota;Caudoviricetes;Caudovirales;Siphoviridae;unclassified Siphoviridae;Vibrio phage VH2_2019</t>
  </si>
  <si>
    <t>Sept.NODE_1043_length_2259_cov_2.843466</t>
  </si>
  <si>
    <t>Viruses[1];Duplodnaviria[1];Heunggongvirae[1];Uroviricota[1];Caudoviricetes[1];Caudovirales[1];Siphoviridae[1];unclassified Siphoviridae[1];Virus Rctr41k[1]</t>
  </si>
  <si>
    <t>Viruses;Duplodnaviria;Heunggongvirae;Uroviricota;Caudoviricetes;Caudovirales;Siphoviridae;unclassified Siphoviridae;Virus Rctr41k</t>
  </si>
  <si>
    <t>Oct.NODE_1297_length_2672_cov_3.717233</t>
  </si>
  <si>
    <t>Viruses[2];Duplodnaviria[2];Heunggongvirae[2];Uroviricota[2];Caudoviricetes[2];Caudovirales[2];Siphoviridae[2];unclassified Siphoviridae[1];Xiamenvirus RDJL2[1];Roseobacter phage RDJL Phi 2[1]</t>
  </si>
  <si>
    <t>Viruses;Duplodnaviria;Heunggongvirae;Uroviricota;Caudoviricetes;Caudovirales;Siphoviridae;unclassified Siphoviridae;Xiamenvirus RDJL2;Roseobacter phage RDJL Phi 2</t>
  </si>
  <si>
    <t>Viruses[2];Duplodnaviria[2];Heunggongvirae[2];Uroviricota[2];Caudoviricetes[2];Caudovirales[2];Siphoviridae[2];Xiamenvirus[1];Rhodobacter phage RcZahn[1];Roseobacter phage RDJL Phi 2[1]</t>
  </si>
  <si>
    <t>Avril.NODE_1351_length_2233_cov_3.587236</t>
  </si>
  <si>
    <t>Viruses[2];Duplodnaviria[2];Heunggongvirae[2];Uroviricota[2];Caudoviricetes[2];Caudovirales[2];Siphoviridae[2];Vojvodinavirus[1];Bordetella virus MW2[1];Bordetella phage MW2[1]</t>
  </si>
  <si>
    <t>Viruses;Duplodnaviria;Heunggongvirae;Uroviricota;Caudoviricetes;Caudovirales;Siphoviridae;Vojvodinavirus;Bordetella virus MW2;Bordetella phage MW2</t>
  </si>
  <si>
    <t>Avril.NODE_469_length_5004_cov_3.915943</t>
  </si>
  <si>
    <t>Viruses[1];Duplodnaviria[1];Heunggongvirae[1];Uroviricota[1];Caudoviricetes[1];Caudovirales[1];Siphoviridae[1];Xiamenvirus[1];Xiamenvirus RDJL2[1];Roseobacter phage RDJL Phi 2[1]</t>
  </si>
  <si>
    <t>Viruses;Duplodnaviria;Heunggongvirae;Uroviricota;Caudoviricetes;Caudovirales;Siphoviridae;Xiamenvirus;Xiamenvirus RDJL2;Roseobacter phage RDJL Phi 2</t>
  </si>
  <si>
    <t>Mai.NODE_412_length_4410_cov_5.075086</t>
  </si>
  <si>
    <t>Sept.NODE_474_length_3794_cov_146.258358</t>
  </si>
  <si>
    <t>Viruses[1];Duplodnaviria[1];Heunggongvirae[1];Uroviricota[1];Caudoviricetes[1];Caudovirales[1];Siphoviridae[1];Xipdecavirus[1];Xipdecavirus OP1[1]</t>
  </si>
  <si>
    <t>Viruses;Duplodnaviria;Heunggongvirae;Uroviricota;Caudoviricetes;Caudovirales;Siphoviridae;Xipdecavirus;Xipdecavirus OP1</t>
  </si>
  <si>
    <t>Sept.NODE_910_length_2471_cov_8.205298</t>
  </si>
  <si>
    <t>Viruses[1];Duplodnaviria[1];Heunggongvirae[1];Uroviricota[1];Caudoviricetes[1];Caudovirales[1];Siphoviridae[1];Yangvirus[1];unclassified Yangvirus[1];Arthrobacter phage YesChef[1]</t>
  </si>
  <si>
    <t>Viruses;Duplodnaviria;Heunggongvirae;Uroviricota;Caudoviricetes;Caudovirales;Siphoviridae;Yangvirus;unclassified Yangvirus;Arthrobacter phage YesChef</t>
  </si>
  <si>
    <t>Mai.NODE_485_length_3954_cov_5.803026</t>
  </si>
  <si>
    <t>Viruses[1];Duplodnaviria[1];Heunggongvirae[1];Uroviricota[1];Caudoviricetes[1];Caudovirales[1];Siphoviridae[1];Yuavirus[1];Alphaproteobacteria virus phiJl001[1];Alphaproteobacteria phage PhiJL001[1]</t>
  </si>
  <si>
    <t>Viruses;Duplodnaviria;Heunggongvirae;Uroviricota;Caudoviricetes;Caudovirales;Siphoviridae;Yuavirus;Alphaproteobacteria virus phiJl001;Alphaproteobacteria phage PhiJL001</t>
  </si>
  <si>
    <t>Avril.NODE_748_length_3438_cov_4.292640</t>
  </si>
  <si>
    <t>Viruses[2];Duplodnaviria[2];Heunggongvirae[2];Uroviricota[2];Caudoviricetes[2];Caudovirales[2];Siphoviridae[2];Yuavirus[1];Alphaproteobacteria virus phiJl001[1];Alphaproteobacteria phage PhiJL001[1]</t>
  </si>
  <si>
    <t>Viruses[2];Duplodnaviria[2];Heunggongvirae[2];Uroviricota[2];Caudoviricetes[2];Caudovirales[2];Siphoviridae[2];unclassified Siphoviridae[1];Rhodobacter phage RcZahn[1];Alphaproteobacteria phage PhiJL001[1]</t>
  </si>
  <si>
    <t>Avril.NODE_1514_length_2066_cov_3.336151</t>
  </si>
  <si>
    <t>Viruses[2];Duplodnaviria[2];Heunggongvirae[2];Uroviricota[2];Caudoviricetes[2];Caudovirales[2];Siphoviridae[2];Yuavirus[2];Alphaproteobacteria virus phiJl001[2];Alphaproteobacteria phage PhiJL001[2]</t>
  </si>
  <si>
    <t>Oct.NODE_398_length_5775_cov_5.308566</t>
  </si>
  <si>
    <t>Sept.NODE_763_length_2781_cov_2.961482</t>
  </si>
  <si>
    <t>Oct.NODE_1889_length_2063_cov_2.959163</t>
  </si>
  <si>
    <t>Avril.NODE_1227_length_2396_cov_3.659120</t>
  </si>
  <si>
    <t>Viruses[4];Duplodnaviria[4];Heunggongvirae[4];Uroviricota[4];Caudoviricetes[4];Caudovirales[4];Siphoviridae[3];Yuavirus[1];Bordetella virus CN2[1];Pseudomonas phage vB_PaeS_PAO1_Ab18[1]</t>
  </si>
  <si>
    <t>Viruses;Duplodnaviria;Heunggongvirae;Uroviricota;Caudoviricetes;Caudovirales;Siphoviridae;Yuavirus;Bordetella virus CN2;Pseudomonas phage vB_PaeS_PAO1_Ab18</t>
  </si>
  <si>
    <t>Viruses[4];Duplodnaviria[4];Heunggongvirae[4];Uroviricota[4];Caudoviricetes[4];Caudovirales[4];Siphoviridae[3];unclassified Podoviridae[1];Pseudomonas virus MP1412[1];Pseudomonas phage vB_PaeS_PAO1_Ab18[1]</t>
  </si>
  <si>
    <t>Oct.NODE_108_length_17648_cov_6.645257</t>
  </si>
  <si>
    <t>Viruses[12];Duplodnaviria[12];Heunggongvirae[12];Uroviricota[12];Caudoviricetes[12];Caudovirales[12];Siphoviridae[12];Yuavirus[4];Nipunavirus[3];Nipunavirus PaMx25[2];Pseudomonas phage PaMx25[2]</t>
  </si>
  <si>
    <t>Viruses;Duplodnaviria;Heunggongvirae;Uroviricota;Caudoviricetes;Caudovirales;Siphoviridae;Yuavirus;Nipunavirus;Nipunavirus PaMx25;Pseudomonas phage PaMx25</t>
  </si>
  <si>
    <t>Viruses[12];Duplodnaviria[12];Heunggongvirae[12];Uroviricota[12];Caudoviricetes[12];Caudovirales[12];Siphoviridae[12];Queuovirinae[4];Nipunavirus[3];Alphaproteobacteria phage PhiJL001[2];Pseudomonas phage PaMx25[2]</t>
  </si>
  <si>
    <t>Oct.NODE_1206_length_2795_cov_2.763869</t>
  </si>
  <si>
    <t>Viruses[2];Duplodnaviria[2];Heunggongvirae[2];Uroviricota[2];Caudoviricetes[2];Caudovirales[2];Siphoviridae[2];Yuavirus[1];Pseudomonas virus Yua[1];Pseudomonas phage ZC01[1]</t>
  </si>
  <si>
    <t>Viruses;Duplodnaviria;Heunggongvirae;Uroviricota;Caudoviricetes;Caudovirales;Siphoviridae;Yuavirus;Pseudomonas virus Yua;Pseudomonas phage ZC01</t>
  </si>
  <si>
    <t>Viruses[2];Duplodnaviria[2];Heunggongvirae[2];Uroviricota[2];Caudoviricetes[2];Caudovirales[2];Siphoviridae[2];Abidjanvirus[1];Pseudomonas virus Yua[1];Pseudomonas phage ZC01[1]</t>
  </si>
  <si>
    <t>Sept.NODE_443_length_4036_cov_2.826426</t>
  </si>
  <si>
    <t>Viruses[2];Duplodnaviria[2];Heunggongvirae[2];Uroviricota[2];Caudoviricetes[2];Caudovirales[2];Siphoviridae[2];Yuavirus[1];unclassified Yuavirus[1];Pseudomonas phage PSA20[1]</t>
  </si>
  <si>
    <t>Viruses;Duplodnaviria;Heunggongvirae;Uroviricota;Caudoviricetes;Caudovirales;Siphoviridae;Yuavirus;unclassified Yuavirus;Pseudomonas phage PSA20</t>
  </si>
  <si>
    <t>Sept.NODE_477_length_3788_cov_3.865792</t>
  </si>
  <si>
    <t>Viruses[2];Duplodnaviria[2];Heunggongvirae[2];Uroviricota[2];Caudoviricetes[2];Caudovirales[2];unclassified Caudovirales[1];Cobavirinae[1];Siovirus[1];Siovirus coreense[1];Celeribacter phage P12053L[1]</t>
  </si>
  <si>
    <t>Viruses;Duplodnaviria;Heunggongvirae;Uroviricota;Caudoviricetes;Caudovirales;unclassified Caudovirales;Cobavirinae;Siovirus;Siovirus coreense;Celeribacter phage P12053L</t>
  </si>
  <si>
    <t>Viruses[2];Duplodnaviria[2];Heunggongvirae[2];Uroviricota[2];Caudoviricetes[2];Caudovirales[2];Zobellviridae[1];Cobavirinae[1];Siovirus[1];Siovirus coreense[1];Celeribacter phage P12053L[1]</t>
  </si>
  <si>
    <t>Sept.NODE_700_length_2956_cov_4.057911</t>
  </si>
  <si>
    <t>Viruses[5];Duplodnaviria[5];Heunggongvirae[5];Uroviricota[5];Caudoviricetes[5];Caudovirales[5];unclassified Caudovirales[2];Cobavirinae[2];Siovirus[2];unclassified Siovirus[2];Lentibacter virus vB_LenP_ICBM2[1]</t>
  </si>
  <si>
    <t>Viruses;Duplodnaviria;Heunggongvirae;Uroviricota;Caudoviricetes;Caudovirales;unclassified Caudovirales;Cobavirinae;Siovirus;unclassified Siovirus;Lentibacter virus vB_LenP_ICBM2</t>
  </si>
  <si>
    <t>Viruses[5];Duplodnaviria[5];Heunggongvirae[5];Uroviricota[5];Caudoviricetes[5];Caudovirales[5];Zobellviridae[2];Cobavirinae[2];Siovirus[2];unclassified Siovirus[2];Roseobacter phage CRP-5[1]</t>
  </si>
  <si>
    <t>Oct.NODE_1885_length_2066_cov_8.262556</t>
  </si>
  <si>
    <t>Viruses[2];Duplodnaviria[1];Heunggongvirae[1];Uroviricota[1];Caudoviricetes[1];Caudovirales[1];unclassified Caudovirales[1];Luteibacter sp. 329MFSha[1]</t>
  </si>
  <si>
    <t>Viruses;Duplodnaviria;Heunggongvirae;Uroviricota;Caudoviricetes;Caudovirales;unclassified Caudovirales;Luteibacter sp. 329MFSha</t>
  </si>
  <si>
    <t>Viruses[2];Duplodnaviria[1];Heunggongvirae[1];Uroviricota[1];Caudoviricetes[1];Caudovirales[1];unclassified Caudovirales[1];Roseobacter phage CRP-6[1]</t>
  </si>
  <si>
    <t>Sept.NODE_295_length_5365_cov_6.617137</t>
  </si>
  <si>
    <t>Viruses[5];Duplodnaviria[5];Heunggongvirae[5];Uroviricota[5];Caudoviricetes[5];Caudovirales[5];unclassified Caudovirales[5];Methylophilales phage MEP301[5]</t>
  </si>
  <si>
    <t>Viruses;Duplodnaviria;Heunggongvirae;Uroviricota;Caudoviricetes;Caudovirales;unclassified Caudovirales;Methylophilales phage MEP301</t>
  </si>
  <si>
    <t>Sept.NODE_756_length_2796_cov_3.668734</t>
  </si>
  <si>
    <t>Viruses[1];Duplodnaviria[1];Heunggongvirae[1];Uroviricota[1];Caudoviricetes[1];Caudovirales[1];unclassified Caudovirales[1];Methylophilales phage MEP301[1]</t>
  </si>
  <si>
    <t>Oct.NODE_1226_length_2764_cov_3.375046</t>
  </si>
  <si>
    <t>Oct.NODE_1490_length_2432_cov_5.017669</t>
  </si>
  <si>
    <t>Sept.NODE_1089_length_2197_cov_15.773576</t>
  </si>
  <si>
    <t>Avril.NODE_723_length_3513_cov_4.836322</t>
  </si>
  <si>
    <t>Viruses[2];Duplodnaviria[2];Heunggongvirae[2];Uroviricota[2];Caudoviricetes[2];Caudovirales[2];unclassified Caudovirales[2];Olleya phage Harreka_1[2]</t>
  </si>
  <si>
    <t>Viruses;Duplodnaviria;Heunggongvirae;Uroviricota;Caudoviricetes;Caudovirales;unclassified Caudovirales;Olleya phage Harreka_1</t>
  </si>
  <si>
    <t>Avril.NODE_1011_length_2713_cov_4.411964</t>
  </si>
  <si>
    <t>Viruses[1];Duplodnaviria[1];Heunggongvirae[1];Uroviricota[1];Caudoviricetes[1];Caudovirales[1];unclassified Caudovirales[1];Olleya phage Harreka_1[1];Pontibacter burrus[1]</t>
  </si>
  <si>
    <t>Viruses;Duplodnaviria;Heunggongvirae;Uroviricota;Caudoviricetes;Caudovirales;unclassified Caudovirales;Olleya phage Harreka_1;Pontibacter burrus</t>
  </si>
  <si>
    <t>Viruses[1];Duplodnaviria[1];Heunggongvirae[1];Uroviricota[1];Caudoviricetes[1];Caudovirales[1];unclassified Caudovirales[1];Olleya phage Harreka_1[1]</t>
  </si>
  <si>
    <t>Oct.NODE_1810_length_2125_cov_3.665217</t>
  </si>
  <si>
    <t>Viruses[1];Duplodnaviria[1];Heunggongvirae[1];Uroviricota[1];Caudoviricetes[1];Caudovirales[1];unclassified Caudovirales[1];Olleya phage Harreka_1[1];Propionispora hippei DSM 15287[1]</t>
  </si>
  <si>
    <t>Viruses;Duplodnaviria;Heunggongvirae;Uroviricota;Caudoviricetes;Caudovirales;unclassified Caudovirales;Olleya phage Harreka_1;Propionispora hippei DSM 15287</t>
  </si>
  <si>
    <t>Oct.NODE_1947_length_2011_cov_2.930982</t>
  </si>
  <si>
    <t>Viruses[1];Duplodnaviria[1];Heunggongvirae[1];Uroviricota[1];Caudoviricetes[1];Caudovirales[1];unclassified Caudovirales[1];Phage CBW1004C-Prop1[1]</t>
  </si>
  <si>
    <t>Viruses;Duplodnaviria;Heunggongvirae;Uroviricota;Caudoviricetes;Caudovirales;unclassified Caudovirales;Phage CBW1004C-Prop1</t>
  </si>
  <si>
    <t>Avril.NODE_304_length_6712_cov_4.809374</t>
  </si>
  <si>
    <t>Viruses[2];Duplodnaviria[2];Heunggongvirae[2];Uroviricota[2];Caudoviricetes[2];Caudovirales[2];unclassified Caudovirales[2];Phage CBW1004C-Prop1[2];Rubinisphaera brasiliensis DSM 5305[1]</t>
  </si>
  <si>
    <t>Viruses;Duplodnaviria;Heunggongvirae;Uroviricota;Caudoviricetes;Caudovirales;unclassified Caudovirales;Phage CBW1004C-Prop1;Rubinisphaera brasiliensis DSM 5305</t>
  </si>
  <si>
    <t>Viruses[2];Duplodnaviria[2];Heunggongvirae[2];Uroviricota[2];Caudoviricetes[2];Caudovirales[2];unclassified Caudovirales[2];Phage CBW1004C-Prop1[2]</t>
  </si>
  <si>
    <t>Sept.NODE_621_length_3175_cov_23.453205</t>
  </si>
  <si>
    <t>Viruses[1];Duplodnaviria[1];Heunggongvirae[1];Uroviricota[1];Caudoviricetes[1];Caudovirales[1];unclassified Caudovirales[1];Pseudomonas aeruginosa[1]</t>
  </si>
  <si>
    <t>Viruses;Duplodnaviria;Heunggongvirae;Uroviricota;Caudoviricetes;Caudovirales;unclassified Caudovirales;Pseudomonas aeruginosa</t>
  </si>
  <si>
    <t>Oct.NODE_395_length_5798_cov_6.414243</t>
  </si>
  <si>
    <t>Viruses[2];Duplodnaviria[2];Heunggongvirae[2];Uroviricota[2];Caudoviricetes[2];Caudovirales[2];unclassified Caudovirales[1];Rhodovirinae[1];Sanyabayvirus[1];Sanyabayvirus DS1410Ws06[1];Dinoroseobacter phage DS-1410Ws-06[1]</t>
  </si>
  <si>
    <t>Viruses;Duplodnaviria;Heunggongvirae;Uroviricota;Caudoviricetes;Caudovirales;unclassified Caudovirales;Rhodovirinae;Sanyabayvirus;Sanyabayvirus DS1410Ws06;Dinoroseobacter phage DS-1410Ws-06</t>
  </si>
  <si>
    <t>Viruses[2];Duplodnaviria[2];Heunggongvirae[2];Uroviricota[2];Caudoviricetes[2];Caudovirales[2];Schitoviridae[1];Roseobacter phage CRP-6[1];Sanyabayvirus[1];Sanyabayvirus DS1410Ws06[1];Dinoroseobacter phage DS-1410Ws-06[1]</t>
  </si>
  <si>
    <t>Sept.NODE_1071_length_2216_cov_4.825081</t>
  </si>
  <si>
    <t>Viruses[1];Duplodnaviria[1];Heunggongvirae[1];Uroviricota[1];Caudoviricetes[1];Caudovirales[1];unclassified Caudovirales[1];Roseivivax isoporae LMG 25204[1]</t>
  </si>
  <si>
    <t>Viruses;Duplodnaviria;Heunggongvirae;Uroviricota;Caudoviricetes;Caudovirales;unclassified Caudovirales;Roseivivax isoporae LMG 25204</t>
  </si>
  <si>
    <t>Viruses[1];Duplodnaviria[1];Heunggongvirae[1];Uroviricota[1];Caudoviricetes[1];Caudovirales[1];unclassified Caudovirales[1];Roseobacter phage CRP-6[1]</t>
  </si>
  <si>
    <t>Juil.NODE_11_length_5327_cov_4.496017</t>
  </si>
  <si>
    <t>Viruses[6];Duplodnaviria[6];Heunggongvirae[6];Uroviricota[6];Caudoviricetes[6];Caudovirales[6];unclassified Caudovirales[6];Roseobacter phage CRP-6[6]</t>
  </si>
  <si>
    <t>Viruses;Duplodnaviria;Heunggongvirae;Uroviricota;Caudoviricetes;Caudovirales;unclassified Caudovirales;Roseobacter phage CRP-6</t>
  </si>
  <si>
    <t>Sept.NODE_301_length_5302_cov_38.608348</t>
  </si>
  <si>
    <t>Oct.NODE_457_length_5243_cov_4.956438</t>
  </si>
  <si>
    <t>Viruses[2];Duplodnaviria[2];Heunggongvirae[2];Uroviricota[2];Caudoviricetes[2];Caudovirales[2];unclassified Caudovirales[2];Roseobacter phage CRP-6[2]</t>
  </si>
  <si>
    <t>Oct.NODE_574_length_4543_cov_48.328877</t>
  </si>
  <si>
    <t>Avril.NODE_549_length_4368_cov_3.079063</t>
  </si>
  <si>
    <t>Viruses[3];Duplodnaviria[3];Heunggongvirae[3];Uroviricota[3];Caudoviricetes[3];Caudovirales[3];unclassified Caudovirales[3];Roseobacter phage CRP-6[3]</t>
  </si>
  <si>
    <t>Sept.NODE_438_length_4045_cov_5.016291</t>
  </si>
  <si>
    <t>Oct.NODE_728_length_3919_cov_55.502588</t>
  </si>
  <si>
    <t>Juil.NODE_22_length_3540_cov_4.782496</t>
  </si>
  <si>
    <t>Oct.NODE_843_length_3525_cov_47.200865</t>
  </si>
  <si>
    <t>Sept.NODE_581_length_3314_cov_83.189015</t>
  </si>
  <si>
    <t>Viruses[4];Duplodnaviria[4];Heunggongvirae[4];Uroviricota[4];Caudoviricetes[4];Caudovirales[4];unclassified Caudovirales[4];Roseobacter phage CRP-6[4]</t>
  </si>
  <si>
    <t>Oct.NODE_927_length_3271_cov_5.481965</t>
  </si>
  <si>
    <t>Oct.NODE_1046_length_3012_cov_4.835644</t>
  </si>
  <si>
    <t>Oct.NODE_1147_length_2873_cov_2.904897</t>
  </si>
  <si>
    <t>Sept.NODE_735_length_2841_cov_26.779612</t>
  </si>
  <si>
    <t>Juil.NODE_45_length_2666_cov_5.301417</t>
  </si>
  <si>
    <t>Oct.NODE_1332_length_2626_cov_3.113574</t>
  </si>
  <si>
    <t>Juil.NODE_49_length_2610_cov_5.487280</t>
  </si>
  <si>
    <t>Sept.NODE_907_length_2473_cov_50.272539</t>
  </si>
  <si>
    <t>Sept.NODE_970_length_2365_cov_7.964069</t>
  </si>
  <si>
    <t>Oct.NODE_1589_length_2332_cov_3.375933</t>
  </si>
  <si>
    <t>Sept.NODE_1004_length_2322_cov_28.526246</t>
  </si>
  <si>
    <t>Oct.NODE_1630_length_2292_cov_3.911936</t>
  </si>
  <si>
    <t>Sept.NODE_1038_length_2269_cov_27.456640</t>
  </si>
  <si>
    <t>Juil.NODE_63_length_2268_cov_6.439675</t>
  </si>
  <si>
    <t>Sept.NODE_1060_length_2231_cov_35.210938</t>
  </si>
  <si>
    <t>Oct.NODE_1692_length_2221_cov_4.511542</t>
  </si>
  <si>
    <t>Oct.NODE_1775_length_2150_cov_5.409547</t>
  </si>
  <si>
    <t>Oct.NODE_1852_length_2092_cov_10.956799</t>
  </si>
  <si>
    <t>Oct.NODE_1854_length_2087_cov_41.862697</t>
  </si>
  <si>
    <t>Sept.NODE_314_length_5194_cov_58.192450</t>
  </si>
  <si>
    <t>Oct.NODE_1065_length_2995_cov_3.167347</t>
  </si>
  <si>
    <t>Oct.NODE_1451_length_2477_cov_5.330718</t>
  </si>
  <si>
    <t>Sept.NODE_1098_length_2187_cov_38.373827</t>
  </si>
  <si>
    <t>Oct.NODE_1753_length_2167_cov_3.564394</t>
  </si>
  <si>
    <t>Oct.NODE_1816_length_2123_cov_3.812379</t>
  </si>
  <si>
    <t>Oct.NODE_172_length_11061_cov_47.852535</t>
  </si>
  <si>
    <t>Viruses[8];Duplodnaviria[7];Heunggongvirae[7];Uroviricota[7];Caudoviricetes[7];Caudovirales[7];unclassified Caudovirales[6];Roseobacter phage CRP-6[6];Aeromonas phage 62AhydR11PP[1]</t>
  </si>
  <si>
    <t>Viruses;Duplodnaviria;Heunggongvirae;Uroviricota;Caudoviricetes;Caudovirales;unclassified Caudovirales;Roseobacter phage CRP-6;Aeromonas phage 62AhydR11PP</t>
  </si>
  <si>
    <t>Oct.NODE_169_length_11288_cov_54.707825</t>
  </si>
  <si>
    <t>Viruses[5];Duplodnaviria[5];Heunggongvirae[5];Uroviricota[5];Caudoviricetes[5];Caudovirales[5];unclassified Caudovirales[2];Roseobacter phage CRP-6[2];Nanhaivirus D5C[1];Aoqinvirus RD1410W101[1];Roseobacter phage RD-1410W1-01[1]</t>
  </si>
  <si>
    <t>Viruses;Duplodnaviria;Heunggongvirae;Uroviricota;Caudoviricetes;Caudovirales;unclassified Caudovirales;Roseobacter phage CRP-6;Nanhaivirus D5C;Aoqinvirus RD1410W101;Roseobacter phage RD-1410W1-01</t>
  </si>
  <si>
    <t>Oct.NODE_120_length_15339_cov_5.617051</t>
  </si>
  <si>
    <t>Viruses[13];Duplodnaviria[13];Heunggongvirae[13];Uroviricota[13];Caudoviricetes[13];Caudovirales[13];unclassified Caudovirales[13];Roseobacter phage CRP-6[13];Parabacteroides distasonis[1]</t>
  </si>
  <si>
    <t>Viruses;Duplodnaviria;Heunggongvirae;Uroviricota;Caudoviricetes;Caudovirales;unclassified Caudovirales;Roseobacter phage CRP-6;Parabacteroides distasonis</t>
  </si>
  <si>
    <t>Viruses[13];Duplodnaviria[13];Heunggongvirae[13];Uroviricota[13];Caudoviricetes[13];Caudovirales[13];unclassified Caudovirales[13];Roseobacter phage CRP-6[13]</t>
  </si>
  <si>
    <t>Oct.NODE_300_length_6951_cov_5.242314</t>
  </si>
  <si>
    <t>Viruses[10];Duplodnaviria[10];Heunggongvirae[10];Uroviricota[10];Caudoviricetes[10];Caudovirales[10];unclassified Caudovirales[10];Roseobacter phage CRP-6[10];Parabacteroides distasonis[1]</t>
  </si>
  <si>
    <t>Viruses[10];Duplodnaviria[10];Heunggongvirae[10];Uroviricota[10];Caudoviricetes[10];Caudovirales[10];unclassified Caudovirales[10];Roseobacter phage CRP-6[10]</t>
  </si>
  <si>
    <t>Oct.NODE_382_length_5950_cov_4.942324</t>
  </si>
  <si>
    <t>Viruses[6];Duplodnaviria[6];Heunggongvirae[6];Uroviricota[6];Caudoviricetes[6];Caudovirales[6];unclassified Caudovirales[5];Roseobacter phage CRP-6[5];Shewanella phage SppYZU01[1]</t>
  </si>
  <si>
    <t>Viruses;Duplodnaviria;Heunggongvirae;Uroviricota;Caudoviricetes;Caudovirales;unclassified Caudovirales;Roseobacter phage CRP-6;Shewanella phage SppYZU01</t>
  </si>
  <si>
    <t>Juil.NODE_15_length_4263_cov_5.604800</t>
  </si>
  <si>
    <t>Viruses[5];Duplodnaviria[5];Heunggongvirae[5];Uroviricota[5];Caudoviricetes[5];Caudovirales[5];unclassified Caudovirales[4];Roseobacter phage CRP-6[4];Shewanella phage SppYZU01[1]</t>
  </si>
  <si>
    <t>Oct.NODE_181_length_10780_cov_6.015478</t>
  </si>
  <si>
    <t>Viruses[5];Duplodnaviria[5];Heunggongvirae[5];Uroviricota[5];Caudoviricetes[5];Caudovirales[5];unclassified Caudovirales[2];Roseobacter phage CRP-6[2];Siovirus[1];Sanyabayvirus DS1410Ws06[1];Roseobacter phage CRP-5[1]</t>
  </si>
  <si>
    <t>Viruses;Duplodnaviria;Heunggongvirae;Uroviricota;Caudoviricetes;Caudovirales;unclassified Caudovirales;Roseobacter phage CRP-6;Siovirus;Sanyabayvirus DS1410Ws06;Roseobacter phage CRP-5</t>
  </si>
  <si>
    <t>Oct.NODE_583_length_4490_cov_4.150846</t>
  </si>
  <si>
    <t>Viruses[4];Duplodnaviria[4];Heunggongvirae[4];Uroviricota[4];Caudoviricetes[4];Caudovirales[4];unclassified Caudovirales[2];Roseobacter phage CRP-6[2];Siovirus[1];Siovirus americense[1]</t>
  </si>
  <si>
    <t>Viruses;Duplodnaviria;Heunggongvirae;Uroviricota;Caudoviricetes;Caudovirales;unclassified Caudovirales;Roseobacter phage CRP-6;Siovirus;Siovirus americense</t>
  </si>
  <si>
    <t>Avril.NODE_4_length_52184_cov_14.862668</t>
  </si>
  <si>
    <t>Viruses[21];Duplodnaviria[20];Heunggongvirae[20];Uroviricota[20];Caudoviricetes[20];Caudovirales[20];unclassified Caudovirales[15];Roseobacter phage CRP-6[15];Siovirus[1];unclassified Siovirus[1];Lentibacter virus vB_LenP_ICBM2[1]</t>
  </si>
  <si>
    <t>Viruses;Duplodnaviria;Heunggongvirae;Uroviricota;Caudoviricetes;Caudovirales;unclassified Caudovirales;Roseobacter phage CRP-6;Siovirus;unclassified Siovirus;Lentibacter virus vB_LenP_ICBM2</t>
  </si>
  <si>
    <t>Viruses[21];Duplodnaviria[20];Heunggongvirae[20];Uroviricota[20];Caudoviricetes[20];Caudovirales[20];unclassified Caudovirales[15];Roseobacter phage CRP-6[15];Siovirus[1];Yersinia phage fHe-Yen9-03[1];Lentibacter virus vB_LenP_ICBM2[1]</t>
  </si>
  <si>
    <t>Avril.NODE_9_length_46600_cov_10.230895</t>
  </si>
  <si>
    <t>Viruses[23];Duplodnaviria[20];Heunggongvirae[20];Uroviricota[20];Caudoviricetes[20];Caudovirales[20];unclassified Caudovirales[12];Roseobacter phage CRP-6[12];Siovirus[2];unclassified Siovirus[2];Lentibacter virus vB_LenP_ICBM2[1]</t>
  </si>
  <si>
    <t>Viruses[23];Duplodnaviria[20];Heunggongvirae[20];Uroviricota[20];Caudoviricetes[20];Caudovirales[20];unclassified Caudovirales[12];Roseobacter phage CRP-6[12];Siovirus[2];unclassified Siovirus[2];Roseobacter phage CRP-4[1]</t>
  </si>
  <si>
    <t>Sept.NODE_935_length_2438_cov_13.607218</t>
  </si>
  <si>
    <t>Viruses[1];Duplodnaviria[1];Heunggongvirae[1];Uroviricota[1];Caudoviricetes[1];Caudovirales[1];unclassified Caudovirales[1];Roseobacter phage CRP-6[1];unclassified Phormidium[1];Phormidium sp. SL48-SHIP[1]</t>
  </si>
  <si>
    <t>Viruses;Duplodnaviria;Heunggongvirae;Uroviricota;Caudoviricetes;Caudovirales;unclassified Caudovirales;Roseobacter phage CRP-6;unclassified Phormidium;Phormidium sp. SL48-SHIP</t>
  </si>
  <si>
    <t>Sept.NODE_851_length_2587_cov_19.943128</t>
  </si>
  <si>
    <t>Viruses[2];Duplodnaviria[2];Heunggongvirae[2];Uroviricota[2];Caudoviricetes[2];Caudovirales[2];unclassified Caudovirales[1];unclassified Myoviridae[1];Shewanella phage SppYZU01[1]</t>
  </si>
  <si>
    <t>Viruses;Duplodnaviria;Heunggongvirae;Uroviricota;Caudoviricetes;Caudovirales;unclassified Caudovirales;unclassified Myoviridae;Shewanella phage SppYZU01</t>
  </si>
  <si>
    <t>Viruses[2];Duplodnaviria[2];Heunggongvirae[2];Uroviricota[2];Caudoviricetes[2];Caudovirales[2];Myoviridae[1];Roseobacter phage CRP-6[1];Shewanella phage SppYZU01[1]</t>
  </si>
  <si>
    <t>Oct.NODE_1535_length_2385_cov_5.032189</t>
  </si>
  <si>
    <t>Sept.NODE_664_length_3038_cov_4.305397</t>
  </si>
  <si>
    <t>Viruses[2];Duplodnaviria[2];Heunggongvirae[2];Uroviricota[2];Caudoviricetes[2];Caudovirales[2];unclassified Caudovirales[1];unclassified Myoviridae[1];Synechococcus phage S-H34[1]</t>
  </si>
  <si>
    <t>Viruses;Duplodnaviria;Heunggongvirae;Uroviricota;Caudoviricetes;Caudovirales;unclassified Caudovirales;unclassified Myoviridae;Synechococcus phage S-H34</t>
  </si>
  <si>
    <t>Sept.NODE_1193_length_2068_cov_5.778937</t>
  </si>
  <si>
    <t>Viruses[2];Duplodnaviria[2];Heunggongvirae[2];Uroviricota[2];Caudoviricetes[2];Caudovirales[2];unclassified Caudovirales[1];unclassified Podoviridae[1];Pelagibacter phage Greip EXVC021P[1]</t>
  </si>
  <si>
    <t>Viruses;Duplodnaviria;Heunggongvirae;Uroviricota;Caudoviricetes;Caudovirales;unclassified Caudovirales;unclassified Podoviridae;Pelagibacter phage Greip EXVC021P</t>
  </si>
  <si>
    <t>Viruses[2];Duplodnaviria[2];Heunggongvirae[2];Uroviricota[2];Caudoviricetes[2];Caudovirales[2];Podoviridae[1];Methylophilales phage MEP301[1];Pelagibacter phage Greip EXVC021P[1]</t>
  </si>
  <si>
    <t>Oct.NODE_455_length_5251_cov_6.479407</t>
  </si>
  <si>
    <t>Viruses[2];Duplodnaviria[2];Heunggongvirae[2];Uroviricota[2];Caudoviricetes[2];Caudovirales[2];unclassified Caudovirales[1];unclassified Podoviridae[1];Pseudoalteromonas virus vB_PspP-H6/1[1]</t>
  </si>
  <si>
    <t>Viruses;Duplodnaviria;Heunggongvirae;Uroviricota;Caudoviricetes;Caudovirales;unclassified Caudovirales;unclassified Podoviridae;Pseudoalteromonas virus vB_PspP-H6/1</t>
  </si>
  <si>
    <t>Juil.NODE_37_length_3006_cov_4.118943</t>
  </si>
  <si>
    <t>Viruses[3];Duplodnaviria[3];Heunggongvirae[3];Uroviricota[3];Caudoviricetes[3];Caudovirales[3];unclassified Caudovirales[1];unclassified Siphoviridae[1];Siovirus[1];Siovirus americense[1]</t>
  </si>
  <si>
    <t>Viruses;Duplodnaviria;Heunggongvirae;Uroviricota;Caudoviricetes;Caudovirales;unclassified Caudovirales;unclassified Siphoviridae;Siovirus;Siovirus americense</t>
  </si>
  <si>
    <t>Viruses[3];Duplodnaviria[3];Heunggongvirae[3];Uroviricota[3];Caudoviricetes[3];Caudovirales[3];unclassified Caudovirales[1];unclassified Siphoviridae[1];Marinobacter phage PS3[1];Siovirus americense[1]</t>
  </si>
  <si>
    <t>Oct.NODE_469_length_5158_cov_5.061532</t>
  </si>
  <si>
    <t>Viruses[2];Duplodnaviria[2];Heunggongvirae[2];Uroviricota[2];Caudoviricetes[2];Caudovirales[2];unclassified Caudovirales[1];unclassified Siphoviridae[1];Siphoviridae sp. ctvD11[1]</t>
  </si>
  <si>
    <t>Viruses;Duplodnaviria;Heunggongvirae;Uroviricota;Caudoviricetes;Caudovirales;unclassified Caudovirales;unclassified Siphoviridae;Siphoviridae sp. ctvD11</t>
  </si>
  <si>
    <t>Avril.NODE_988_length_2761_cov_5.259424</t>
  </si>
  <si>
    <t>Viruses[2];Duplodnaviria[2];Heunggongvirae[2];Uroviricota[2];Caudoviricetes[2];Caudovirales[2];unclassified Caudovirales[1];unclassified Siphoviridae[1];Synechococcus phage S-CBS1[1];Spirosoma sp. 48-14[1]</t>
  </si>
  <si>
    <t>Viruses;Duplodnaviria;Heunggongvirae;Uroviricota;Caudoviricetes;Caudovirales;unclassified Caudovirales;unclassified Siphoviridae;Synechococcus phage S-CBS1;Spirosoma sp. 48-14</t>
  </si>
  <si>
    <t>Viruses[2];Duplodnaviria[2];Heunggongvirae[2];Uroviricota[2];Caudoviricetes[2];Caudovirales[2];Siphoviridae[1];unclassified Siphoviridae[1];Synechococcus phage S-CBS1[1]</t>
  </si>
  <si>
    <t>Oct.NODE_1786_length_2145_cov_4.342584</t>
  </si>
  <si>
    <t>Viruses[2];Duplodnaviria[2];Heunggongvirae[2];Uroviricota[2];Caudoviricetes[2];Caudovirales[2];unclassified Caudovirales[1];unclassified Siphoviridae[1];Vibrio phage 1.013.O._10N.286.54.F9[1]</t>
  </si>
  <si>
    <t>Viruses;Duplodnaviria;Heunggongvirae;Uroviricota;Caudoviricetes;Caudovirales;unclassified Caudovirales;unclassified Siphoviridae;Vibrio phage 1.013.O._10N.286.54.F9</t>
  </si>
  <si>
    <t>Viruses[2];Duplodnaviria[2];Heunggongvirae[2];Uroviricota[2];Caudoviricetes[2];Caudovirales[2];Siphoviridae[1];unclassified Siphoviridae[1];Vibrio phage 1.013.O._10N.286.54.F9[1]</t>
  </si>
  <si>
    <t>Oct.NODE_984_length_3133_cov_7.126056</t>
  </si>
  <si>
    <t>Viruses[1];Duplodnaviria[1];Heunggongvirae[1];Uroviricota[1];Caudoviricetes[1];Caudovirales[1];unclassified Caudovirales[1];Zunongwangia[1];Zunongwangia atlantica[1];Zunongwangia atlantica 22II14-10F7[1]</t>
  </si>
  <si>
    <t>Viruses;Duplodnaviria;Heunggongvirae;Uroviricota;Caudoviricetes;Caudovirales;unclassified Caudovirales;Zunongwangia;Zunongwangia atlantica;Zunongwangia atlantica 22II14-10F7</t>
  </si>
  <si>
    <t>Avril.NODE_587_length_4079_cov_4.190109</t>
  </si>
  <si>
    <t>Viruses[4];Duplodnaviria[4];Heunggongvirae[4];Uroviricota[4];Caudoviricetes[4];Caudovirales[3];Zobellviridae[3];Citrovirus[1];unclassified Paundecimvirus[1];Pseudomonas phage IME180[1]</t>
  </si>
  <si>
    <t>Viruses;Duplodnaviria;Heunggongvirae;Uroviricota;Caudoviricetes;Caudovirales;Zobellviridae;Citrovirus;unclassified Paundecimvirus;Pseudomonas phage IME180</t>
  </si>
  <si>
    <t>Viruses[4];Duplodnaviria[4];Heunggongvirae[4];Uroviricota[4];Caudoviricetes[4];Caudovirales[3];Zobellviridae[3];Citrovirus[1];Pseudomonas phage GP100[1];Citrobacter phage CVT22[1]</t>
  </si>
  <si>
    <t>Avril.NODE_936_length_2903_cov_6.450492</t>
  </si>
  <si>
    <t>Viruses[2];Duplodnaviria[2];Heunggongvirae[2];Uroviricota[2];Caudoviricetes[2];Caudovirales[2];Zobellviridae[2];Cobavirinae[1];Siovirus[1];Siovirus americense[1]</t>
  </si>
  <si>
    <t>Viruses;Duplodnaviria;Heunggongvirae;Uroviricota;Caudoviricetes;Caudovirales;Zobellviridae;Cobavirinae;Siovirus;Siovirus americense</t>
  </si>
  <si>
    <t>Viruses[2];Duplodnaviria[2];Heunggongvirae[2];Uroviricota[2];Caudoviricetes[2];Caudovirales[2];Zobellviridae[2];Cobavirinae[1];Paundecimvirus PA11[1];Pseudomonas phage PSA11[1]</t>
  </si>
  <si>
    <t>Sept.NODE_766_length_2774_cov_5.375506</t>
  </si>
  <si>
    <t>Viruses[1];Duplodnaviria[1];Heunggongvirae[1];Uroviricota[1];Caudoviricetes[1];Caudovirales[1];Zobellviridae[1];Cobavirinae[1];Siovirus[1];Siovirus americense[1]</t>
  </si>
  <si>
    <t>Oct.NODE_1573_length_2346_cov_15.811436</t>
  </si>
  <si>
    <t>Sept.NODE_229_length_6523_cov_52.405690</t>
  </si>
  <si>
    <t>Viruses[2];Duplodnaviria[2];Heunggongvirae[2];Uroviricota[2];Caudoviricetes[2];Caudovirales[2];Zobellviridae[2];Cobavirinae[2];Siovirus[2];Siovirus coreense[2];Celeribacter phage P12053L[2]</t>
  </si>
  <si>
    <t>Viruses;Duplodnaviria;Heunggongvirae;Uroviricota;Caudoviricetes;Caudovirales;Zobellviridae;Cobavirinae;Siovirus;Siovirus coreense;Celeribacter phage P12053L</t>
  </si>
  <si>
    <t>Avril.NODE_404_length_5515_cov_20.092674</t>
  </si>
  <si>
    <t>Viruses[3];Duplodnaviria[3];Heunggongvirae[3];Uroviricota[3];Caudoviricetes[3];Caudovirales[3];Zobellviridae[1];Cobavirinae[1];Siovirus[1];Siovirus coreense[1];Celeribacter phage P12053L[1]</t>
  </si>
  <si>
    <t>Viruses[3];Duplodnaviria[3];Heunggongvirae[3];Uroviricota[3];Caudoviricetes[3];Caudovirales[3];Podoviridae[1];Cobavirinae[1];Siovirus[1];Siovirus coreense[1];Celeribacter phage P12053L[1]</t>
  </si>
  <si>
    <t>Oct.NODE_809_length_3616_cov_3.962370</t>
  </si>
  <si>
    <t>Viruses[1];Duplodnaviria[1];Heunggongvirae[1];Uroviricota[1];Caudoviricetes[1];Caudovirales[1];Zobellviridae[1];Cobavirinae[1];Siovirus[1];Siovirus coreense[1];Celeribacter phage P12053L[1]</t>
  </si>
  <si>
    <t>Sept.NODE_584_length_3304_cov_5.498615</t>
  </si>
  <si>
    <t>Oct.NODE_1761_length_2160_cov_3.948694</t>
  </si>
  <si>
    <t>Sept.NODE_114_length_11549_cov_14.463633</t>
  </si>
  <si>
    <t>Viruses[5];Duplodnaviria[5];Heunggongvirae[5];Uroviricota[5];Caudoviricetes[5];Caudovirales[5];Zobellviridae[4];Cobavirinae[3];Siovirus[3];Siovirus coreense[1];Lentibacter phage vB_LenP_ICBM3[1]</t>
  </si>
  <si>
    <t>Viruses;Duplodnaviria;Heunggongvirae;Uroviricota;Caudoviricetes;Caudovirales;Zobellviridae;Cobavirinae;Siovirus;Siovirus coreense;Lentibacter phage vB_LenP_ICBM3</t>
  </si>
  <si>
    <t>Viruses[5];Duplodnaviria[5];Heunggongvirae[5];Uroviricota[5];Caudoviricetes[5];Caudovirales[5];Zobellviridae[4];Cobavirinae[3];Siovirus[3];unclassified Siovirus[1];Lentibacter phage vB_LenP_ICBM3[1]</t>
  </si>
  <si>
    <t>Avril.NODE_528_length_4496_cov_5.266832</t>
  </si>
  <si>
    <t>Viruses[2];Duplodnaviria[2];Heunggongvirae[2];Uroviricota[2];Caudoviricetes[2];Caudovirales[2];Zobellviridae[2];Cobavirinae[2];Siovirus[2];Siovirus germanense[2]</t>
  </si>
  <si>
    <t>Viruses;Duplodnaviria;Heunggongvirae;Uroviricota;Caudoviricetes;Caudovirales;Zobellviridae;Cobavirinae;Siovirus;Siovirus germanense</t>
  </si>
  <si>
    <t>Sept.NODE_526_length_3571_cov_8.624573</t>
  </si>
  <si>
    <t>Viruses[1];Duplodnaviria[1];Heunggongvirae[1];Uroviricota[1];Caudoviricetes[1];Caudovirales[1];Zobellviridae[1];Cobavirinae[1];Siovirus[1];Siovirus germanense[1];Lentibacter phage vB_LenP_ICBM3[1]</t>
  </si>
  <si>
    <t>Viruses;Duplodnaviria;Heunggongvirae;Uroviricota;Caudoviricetes;Caudovirales;Zobellviridae;Cobavirinae;Siovirus;Siovirus germanense;Lentibacter phage vB_LenP_ICBM3</t>
  </si>
  <si>
    <t>Oct.NODE_1485_length_2436_cov_3.341453</t>
  </si>
  <si>
    <t>Viruses[2];Duplodnaviria[2];Heunggongvirae[2];Uroviricota[2];Caudoviricetes[2];Caudovirales[2];Zobellviridae[2];Cobavirinae[2];Siovirus[2];Siovirus germanense[1];Roseobacter phage CRP-4[1]</t>
  </si>
  <si>
    <t>Viruses;Duplodnaviria;Heunggongvirae;Uroviricota;Caudoviricetes;Caudovirales;Zobellviridae;Cobavirinae;Siovirus;Siovirus germanense;Roseobacter phage CRP-4</t>
  </si>
  <si>
    <t>Avril.NODE_1283_length_2325_cov_3.579736</t>
  </si>
  <si>
    <t>Viruses[4];Duplodnaviria[4];Heunggongvirae[4];Uroviricota[4];Caudoviricetes[4];Caudovirales[4];Zobellviridae[4];Cobavirinae[2];Siovirus[2];Siovirus germanense[1];Roseobacter phage CRP-5[1]</t>
  </si>
  <si>
    <t>Viruses;Duplodnaviria;Heunggongvirae;Uroviricota;Caudoviricetes;Caudovirales;Zobellviridae;Cobavirinae;Siovirus;Siovirus germanense;Roseobacter phage CRP-5</t>
  </si>
  <si>
    <t>Viruses[4];Duplodnaviria[4];Heunggongvirae[4];Uroviricota[4];Caudoviricetes[4];Caudovirales[4];Zobellviridae[4];Cobavirinae[2];Siovirus[2];unclassified Siovirus[1];Roseobacter phage CRP-5[1]</t>
  </si>
  <si>
    <t>Sept.NODE_97_length_14357_cov_113.549504</t>
  </si>
  <si>
    <t>Viruses[7];Duplodnaviria[5];Heunggongvirae[5];Uroviricota[5];Caudoviricetes[5];Caudovirales[5];Zobellviridae[2];Cobavirinae[2];Siovirus[2];unclassified Siovirus[1];Lentibacter virus vB_LenP_ICBM2[1]</t>
  </si>
  <si>
    <t>Viruses;Duplodnaviria;Heunggongvirae;Uroviricota;Caudoviricetes;Caudovirales;Zobellviridae;Cobavirinae;Siovirus;unclassified Siovirus;Lentibacter virus vB_LenP_ICBM2</t>
  </si>
  <si>
    <t>Sept.NODE_388_length_4346_cov_19.135400</t>
  </si>
  <si>
    <t>Viruses[4];Duplodnaviria[4];Heunggongvirae[4];Uroviricota[4];Caudoviricetes[4];Caudovirales[4];Zobellviridae[4];Cobavirinae[4];Siovirus[4];unclassified Siovirus[4];Lentibacter virus vB_LenP_ICBM2[2]</t>
  </si>
  <si>
    <t>Oct.NODE_632_length_4250_cov_4.267700</t>
  </si>
  <si>
    <t>Viruses[4];Duplodnaviria[4];Heunggongvirae[4];Uroviricota[4];Caudoviricetes[4];Caudovirales[4];Zobellviridae[2];Cobavirinae[2];Siovirus[2];unclassified Siovirus[2];Lentibacter virus vB_LenP_ICBM2[1]</t>
  </si>
  <si>
    <t>Sept.NODE_535_length_3542_cov_7.167192</t>
  </si>
  <si>
    <t>Viruses[2];Duplodnaviria[2];Heunggongvirae[2];Uroviricota[2];Caudoviricetes[2];Caudovirales[2];Zobellviridae[2];Cobavirinae[2];Siovirus[2];unclassified Siovirus[2];Lentibacter virus vB_LenP_ICBM2[1]</t>
  </si>
  <si>
    <t>Mai.NODE_597_length_3414_cov_4.090801</t>
  </si>
  <si>
    <t>Mai.NODE_604_length_3385_cov_4.188889</t>
  </si>
  <si>
    <t>Viruses[4];Duplodnaviria[4];Heunggongvirae[4];Uroviricota[4];Caudoviricetes[4];Caudovirales[4];Zobellviridae[3];Cobavirinae[3];Siovirus[3];unclassified Siovirus[3];Lentibacter virus vB_LenP_ICBM2[1]</t>
  </si>
  <si>
    <t>Viruses[4];Duplodnaviria[4];Heunggongvirae[4];Uroviricota[4];Caudoviricetes[4];Caudovirales[4];Zobellviridae[3];Cobavirinae[3];Siovirus[3];unclassified Siovirus[3];Roseobacter phage CRP-5[1]</t>
  </si>
  <si>
    <t>Avril.NODE_966_length_2827_cov_3.378427</t>
  </si>
  <si>
    <t>Viruses[1];Duplodnaviria[1];Heunggongvirae[1];Uroviricota[1];Caudoviricetes[1];Caudovirales[1];Zobellviridae[1];Cobavirinae[1];Siovirus[1];unclassified Siovirus[1];Lentibacter virus vB_LenP_ICBM2[1]</t>
  </si>
  <si>
    <t>Oct.NODE_1221_length_2766_cov_30.631501</t>
  </si>
  <si>
    <t>Oct.NODE_1252_length_2731_cov_3.242152</t>
  </si>
  <si>
    <t>Sept.NODE_787_length_2723_cov_49.754123</t>
  </si>
  <si>
    <t>Viruses[2];Duplodnaviria[2];Heunggongvirae[2];Uroviricota[2];Caudoviricetes[2];Caudovirales[2];Zobellviridae[1];unclassified Schitoviridae[1];Alteromonas phage vB_AmaP_AD45-P4[1];unclassified Siovirus[1];Lentibacter virus vB_LenP_ICBM2[1]</t>
  </si>
  <si>
    <t>Oct.NODE_1361_length_2596_cov_3.403384</t>
  </si>
  <si>
    <t>Viruses[4];Duplodnaviria[4];Heunggongvirae[4];Uroviricota[4];Caudoviricetes[4];Caudovirales[4];Zobellviridae[3];Cobavirinae[3];Siovirus[3];unclassified Siovirus[3];Roseobacter phage CRP-4[1]</t>
  </si>
  <si>
    <t>Oct.NODE_1374_length_2582_cov_2.048279</t>
  </si>
  <si>
    <t>Viruses[3];Duplodnaviria[3];Heunggongvirae[3];Uroviricota[3];Caudoviricetes[3];Caudovirales[3];Zobellviridae[3];Cobavirinae[2];Siovirus[2];unclassified Siovirus[2];Lentibacter virus vB_LenP_ICBM2[1]</t>
  </si>
  <si>
    <t>Oct.NODE_1455_length_2475_cov_2.053719</t>
  </si>
  <si>
    <t>Juil.NODE_71_length_2150_cov_3.641527</t>
  </si>
  <si>
    <t>Oct.NODE_1869_length_2080_cov_2.964444</t>
  </si>
  <si>
    <t>Oct.NODE_84_length_21524_cov_20.230844</t>
  </si>
  <si>
    <t>Viruses[9];Duplodnaviria[9];Heunggongvirae[9];Uroviricota[9];Caudoviricetes[9];Caudovirales[9];Zobellviridae[9];Cobavirinae[5];Siovirus[5];unclassified Siovirus[2];Lentibacter virus vB_LenP_ICBM2[2]</t>
  </si>
  <si>
    <t>Viruses[9];Duplodnaviria[9];Heunggongvirae[9];Uroviricota[9];Caudoviricetes[9];Caudovirales[9];Zobellviridae[9];Cobavirinae[5];Siovirus[5];Siovirus coreense[2];Celeribacter phage P12053L[2]</t>
  </si>
  <si>
    <t>Sept.NODE_311_length_5209_cov_6.750873</t>
  </si>
  <si>
    <t>Viruses[4];Duplodnaviria[4];Heunggongvirae[4];Uroviricota[4];Caudoviricetes[4];Caudovirales[4];Zobellviridae[4];Cobavirinae[3];Siovirus[3];unclassified Siovirus[3];Lentibacter virus vB_LenP_ICBM2[1]</t>
  </si>
  <si>
    <t>Viruses[4];Duplodnaviria[4];Heunggongvirae[4];Uroviricota[4];Caudoviricetes[4];Caudovirales[4];Zobellviridae[4];Cobavirinae[3];Siovirus[3];unclassified Siovirus[3];Roseobacter phage CRP-5[1]</t>
  </si>
  <si>
    <t>Mai.NODE_1223_length_2012_cov_8.538068</t>
  </si>
  <si>
    <t>Avril.NODE_190_length_9838_cov_12.978841</t>
  </si>
  <si>
    <t>Viruses[4];Duplodnaviria[4];Heunggongvirae[4];Uroviricota[4];Caudoviricetes[4];Caudovirales[4];Zobellviridae[3];Cobavirinae[3];Siovirus[3];unclassified Siovirus[2];Roseobacter phage CRP-4[2]</t>
  </si>
  <si>
    <t>Viruses;Duplodnaviria;Heunggongvirae;Uroviricota;Caudoviricetes;Caudovirales;Zobellviridae;Cobavirinae;Siovirus;unclassified Siovirus;Roseobacter phage CRP-4</t>
  </si>
  <si>
    <t>Sept.NODE_329_length_5057_cov_43.348461</t>
  </si>
  <si>
    <t>Viruses[1];Duplodnaviria[1];Heunggongvirae[1];Uroviricota[1];Caudoviricetes[1];Caudovirales[1];Zobellviridae[1];Cobavirinae[1];Siovirus[1];unclassified Siovirus[1];Roseobacter phage CRP-4[1]</t>
  </si>
  <si>
    <t>Sept.NODE_368_length_4519_cov_52.705421</t>
  </si>
  <si>
    <t>Viruses[5];Duplodnaviria[5];Heunggongvirae[5];Uroviricota[5];Caudoviricetes[5];Caudovirales[5];Zobellviridae[3];Cobavirinae[3];Siovirus[3];unclassified Siovirus[3];Roseobacter phage CRP-4[2]</t>
  </si>
  <si>
    <t>Oct.NODE_690_length_4033_cov_4.446456</t>
  </si>
  <si>
    <t>Sept.NODE_555_length_3459_cov_5.765276</t>
  </si>
  <si>
    <t>Viruses[4];Duplodnaviria[4];Heunggongvirae[4];Uroviricota[4];Caudoviricetes[4];Caudovirales[4];Zobellviridae[3];Cobavirinae[3];Siovirus[3];unclassified Siovirus[3];Roseobacter phage CRP-4[3]</t>
  </si>
  <si>
    <t>Oct.NODE_1189_length_2813_cov_5.303481</t>
  </si>
  <si>
    <t>Viruses[2];Duplodnaviria[2];Heunggongvirae[2];Uroviricota[2];Caudoviricetes[2];Caudovirales[2];Zobellviridae[2];Cobavirinae[2];Siovirus[2];unclassified Siovirus[1];Roseobacter phage CRP-4[1]</t>
  </si>
  <si>
    <t>Avril.NODE_1214_length_2417_cov_31.851397</t>
  </si>
  <si>
    <t>Oct.NODE_1650_length_2269_cov_4.662150</t>
  </si>
  <si>
    <t>Viruses[3];Duplodnaviria[3];Heunggongvirae[3];Uroviricota[3];Caudoviricetes[3];Caudovirales[3];Zobellviridae[2];Cobavirinae[2];Siovirus[2];unclassified Siovirus[2];Roseobacter phage CRP-4[2]</t>
  </si>
  <si>
    <t>Mai.NODE_1033_length_2262_cov_3.103308</t>
  </si>
  <si>
    <t>Sept.NODE_1088_length_2199_cov_50.671175</t>
  </si>
  <si>
    <t>Mai.NODE_1114_length_2145_cov_2.642584</t>
  </si>
  <si>
    <t>Sept.NODE_1162_length_2097_cov_5.296278</t>
  </si>
  <si>
    <t>Viruses[2];Duplodnaviria[2];Heunggongvirae[2];Uroviricota[2];Caudoviricetes[2];Caudovirales[2];Zobellviridae[1];Cobavirinae[1];Siovirus[1];unclassified Siovirus[1];Roseobacter phage CRP-4[1]</t>
  </si>
  <si>
    <t>Viruses[2];Duplodnaviria[2];Heunggongvirae[2];Uroviricota[2];Caudoviricetes[2];Caudovirales[2];Podoviridae[1];unclassified Podoviridae[1];Siovirus[1];unclassified Siovirus[1];Roseobacter phage CRP-4[1]</t>
  </si>
  <si>
    <t>Mai.NODE_1228_length_2010_cov_2.518670</t>
  </si>
  <si>
    <t>Oct.NODE_1605_length_2313_cov_3.435341</t>
  </si>
  <si>
    <t>Avril.NODE_69_length_24806_cov_10.877177</t>
  </si>
  <si>
    <t>Viruses[13];Duplodnaviria[13];Heunggongvirae[13];Uroviricota[13];Caudoviricetes[13];Caudovirales[13];Zobellviridae[11];Cobavirinae[11];Siovirus[11];unclassified Siovirus[8];Roseobacter phage CRP-5[4]</t>
  </si>
  <si>
    <t>Viruses;Duplodnaviria;Heunggongvirae;Uroviricota;Caudoviricetes;Caudovirales;Zobellviridae;Cobavirinae;Siovirus;unclassified Siovirus;Roseobacter phage CRP-5</t>
  </si>
  <si>
    <t>Sept.NODE_280_length_5543_cov_50.885751</t>
  </si>
  <si>
    <t>Viruses[4];Duplodnaviria[4];Heunggongvirae[4];Uroviricota[4];Caudoviricetes[4];Caudovirales[4];Zobellviridae[4];Cobavirinae[4];Siovirus[4];unclassified Siovirus[4];Roseobacter phage CRP-5[2]</t>
  </si>
  <si>
    <t>Viruses[4];Duplodnaviria[4];Heunggongvirae[4];Uroviricota[4];Caudoviricetes[4];Caudovirales[4];Zobellviridae[4];Cobavirinae[4];Siovirus[4];unclassified Siovirus[4];Roseobacter phage CRP-4[2]</t>
  </si>
  <si>
    <t>Oct.NODE_956_length_3201_cov_4.256516</t>
  </si>
  <si>
    <t>Viruses[1];Duplodnaviria[1];Heunggongvirae[1];Uroviricota[1];Caudoviricetes[1];Caudovirales[1];Zobellviridae[1];Cobavirinae[1];Siovirus[1];unclassified Siovirus[1];Roseobacter phage CRP-5[1]</t>
  </si>
  <si>
    <t>Sept.NODE_628_length_3154_cov_47.408842</t>
  </si>
  <si>
    <t>Viruses[3];Duplodnaviria[3];Heunggongvirae[3];Uroviricota[3];Caudoviricetes[3];Caudovirales[3];Zobellviridae[3];Cobavirinae[3];Siovirus[3];unclassified Siovirus[3];Roseobacter phage CRP-5[2]</t>
  </si>
  <si>
    <t>Oct.NODE_1177_length_2826_cov_3.725370</t>
  </si>
  <si>
    <t>Viruses[3];Duplodnaviria[3];Heunggongvirae[3];Uroviricota[3];Caudoviricetes[3];Caudovirales[3];Zobellviridae[2];Cobavirinae[2];Siovirus[2];unclassified Siovirus[2];Roseobacter phage CRP-5[2]</t>
  </si>
  <si>
    <t>Sept.NODE_899_length_2493_cov_14.631255</t>
  </si>
  <si>
    <t>Viruses[2];Duplodnaviria[2];Heunggongvirae[2];Uroviricota[2];Caudoviricetes[2];Caudovirales[2];Zobellviridae[2];Cobavirinae[2];Siovirus[2];unclassified Siovirus[2];Roseobacter phage CRP-5[1]</t>
  </si>
  <si>
    <t>Viruses[2];Duplodnaviria[2];Heunggongvirae[2];Uroviricota[2];Caudoviricetes[2];Caudovirales[2];Zobellviridae[2];Cobavirinae[2];Siovirus[2];unclassified Siovirus[2];Roseobacter phage CRP-4[1]</t>
  </si>
  <si>
    <t>Sept.NODE_982_length_2350_cov_3.810893</t>
  </si>
  <si>
    <t>Oct.NODE_1676_length_2242_cov_3.308185</t>
  </si>
  <si>
    <t>Avril.NODE_774_length_3351_cov_4.249090</t>
  </si>
  <si>
    <t>Viruses[1];Duplodnaviria[1];Heunggongvirae[1];Uroviricota[1];Caudoviricetes[1];Caudovirales[1];Zobellviridae[1];Icepovirus[1];Icepovirus bengalense[1];Vibrio phage ICP2[1]</t>
  </si>
  <si>
    <t>Viruses;Duplodnaviria;Heunggongvirae;Uroviricota;Caudoviricetes;Caudovirales;Zobellviridae;Icepovirus;Icepovirus bengalense;Vibrio phage ICP2</t>
  </si>
  <si>
    <t>Sept.NODE_726_length_2867_cov_5.149716</t>
  </si>
  <si>
    <t>Viruses[1];Duplodnaviria[1];Heunggongvirae[1];Uroviricota[1];Caudoviricetes[1];Caudovirales[1];Zobellviridae[1];Icepovirus[1];unclassified Icepovirus[1];Vibrio phage Saratov-12[1]</t>
  </si>
  <si>
    <t>Viruses;Duplodnaviria;Heunggongvirae;Uroviricota;Caudoviricetes;Caudovirales;Zobellviridae;Icepovirus;unclassified Icepovirus;Vibrio phage Saratov-12</t>
  </si>
  <si>
    <t>Sept.NODE_517_length_3626_cov_6.478857</t>
  </si>
  <si>
    <t>Viruses[1];Duplodnaviria[1];Heunggongvirae[1];Uroviricota[1];Caudoviricetes[1];Caudovirales[1];Zobellviridae[1];Melvirus[1];Melvirus orientalis[1];Pseudoalteromonas phage RIO-1[1]</t>
  </si>
  <si>
    <t>Viruses;Duplodnaviria;Heunggongvirae;Uroviricota;Caudoviricetes;Caudovirales;Zobellviridae;Melvirus;Melvirus orientalis;Pseudoalteromonas phage RIO-1</t>
  </si>
  <si>
    <t>Oct.NODE_441_length_5418_cov_5.945739</t>
  </si>
  <si>
    <t>Viruses[3];Duplodnaviria[3];Heunggongvirae[3];Uroviricota[3];Caudoviricetes[3];Caudovirales[3];Zobellviridae[3];Paundecimvirus[2];Paundecimvirus PA11[1];Pseudomonas phage IME180[1]</t>
  </si>
  <si>
    <t>Viruses;Duplodnaviria;Heunggongvirae;Uroviricota;Caudoviricetes;Caudovirales;Zobellviridae;Paundecimvirus;Paundecimvirus PA11;Pseudomonas phage IME180</t>
  </si>
  <si>
    <t>Viruses[3];Duplodnaviria[3];Heunggongvirae[3];Uroviricota[3];Caudoviricetes[3];Caudovirales[3];Zobellviridae[3];Paundecimvirus[2];Paundecimvirus PA11[1];Pseudomonas phage TC6[1]</t>
  </si>
  <si>
    <t>Oct.NODE_1506_length_2411_cov_2.969864</t>
  </si>
  <si>
    <t>Viruses[2];Duplodnaviria[2];Heunggongvirae[2];Uroviricota[2];Caudoviricetes[2];Caudovirales[2];Zobellviridae[2];Paundecimvirus[1];Paundecimvirus PA11[1];Pseudomonas phage TC6[1]</t>
  </si>
  <si>
    <t>Viruses;Duplodnaviria;Heunggongvirae;Uroviricota;Caudoviricetes;Caudovirales;Zobellviridae;Paundecimvirus;Paundecimvirus PA11;Pseudomonas phage TC6</t>
  </si>
  <si>
    <t>Viruses[2];Duplodnaviria[2];Heunggongvirae[2];Uroviricota[2];Caudoviricetes[2];Caudovirales[2];Zobellviridae[2];Paundecimvirus[1];Vibrio phage 1.253.O._10N.286.45.B12[1];Pseudomonas phage TC6[1]</t>
  </si>
  <si>
    <t>Mai.NODE_1055_length_2225_cov_6.814747</t>
  </si>
  <si>
    <t>Viruses[1];Duplodnaviria[1];Heunggongvirae[1];Uroviricota[1];Caudoviricetes[1];Caudovirales[1];Zobellviridae[1];Paundecimvirus[1];Paundecimvirus PA11[1];Pseudomonas phage TC6[1]</t>
  </si>
  <si>
    <t>Oct.NODE_376_length_5988_cov_4.606101</t>
  </si>
  <si>
    <t>Viruses[6];Duplodnaviria[6];Heunggongvirae[6];Uroviricota[6];Caudoviricetes[6];Caudovirales[6];Zobellviridae[6];Paundecimvirus[2];Salinovirus utanense[1];Pseudomonas phage K4[1]</t>
  </si>
  <si>
    <t>Viruses;Duplodnaviria;Heunggongvirae;Uroviricota;Caudoviricetes;Caudovirales;Zobellviridae;Paundecimvirus;Salinovirus utanense;Pseudomonas phage K4</t>
  </si>
  <si>
    <t>Viruses[6];Duplodnaviria[6];Heunggongvirae[6];Uroviricota[6];Caudoviricetes[6];Caudovirales[6];Zobellviridae[6];Paundecimvirus[2];unclassified Paundecimvirus[1];Vibrio phage ICP2_2013_A_Haiti[1]</t>
  </si>
  <si>
    <t>Avril.NODE_495_length_4767_cov_6.810908</t>
  </si>
  <si>
    <t>Viruses[3];Duplodnaviria[3];Heunggongvirae[3];Uroviricota[3];Caudoviricetes[3];Caudovirales[3];Zobellviridae[2];Privateervirus[1];Privateervirus privateer[1];Siovirus germanense[1];Lentibacter phage vB_LenP_ICBM3[1]</t>
  </si>
  <si>
    <t>Viruses;Duplodnaviria;Heunggongvirae;Uroviricota;Caudoviricetes;Caudovirales;Zobellviridae;Privateervirus;Privateervirus privateer;Siovirus germanense;Lentibacter phage vB_LenP_ICBM3</t>
  </si>
  <si>
    <t>Viruses[3];Duplodnaviria[3];Heunggongvirae[3];Uroviricota[3];Caudoviricetes[3];Caudovirales[3];Zobellviridae[2];Cobavirinae[1];unclassified Icepovirus[1];Proteus phage Privateer[1];Lentibacter phage vB_LenP_ICBM3[1]</t>
  </si>
  <si>
    <t>Sept.NODE_708_length_2939_cov_4.331831</t>
  </si>
  <si>
    <t>Viruses[3];Duplodnaviria[3];Heunggongvirae[3];Uroviricota[3];Caudoviricetes[3];Caudovirales[3];Zobellviridae[1];unclassified Myoviridae[1];Siovirus[1];Siovirus coreense[1];Celeribacter phage P12053L[1]</t>
  </si>
  <si>
    <t>Viruses;Duplodnaviria;Heunggongvirae;Uroviricota;Caudoviricetes;Caudovirales;Zobellviridae;unclassified Myoviridae;Siovirus;Siovirus coreense;Celeribacter phage P12053L</t>
  </si>
  <si>
    <t>Viruses[3];Duplodnaviria[3];Heunggongvirae[3];Uroviricota[3];Caudoviricetes[3];Caudovirales[3];Podoviridae[1];unclassified Myoviridae[1];Roseobacter phage CRP-2[1];Siovirus coreense[1];Celeribacter phage P12053L[1]</t>
  </si>
  <si>
    <t>Oct.NODE_146_length_12909_cov_13.241403</t>
  </si>
  <si>
    <t>Viruses[5];Duplodnaviria[5];Heunggongvirae[5];Uroviricota[5];Caudoviricetes[5];Caudovirales[5];Zobellviridae[3];unclassified Podoviridae[2];Siovirus[1];Siovirus americense[1]</t>
  </si>
  <si>
    <t>Viruses;Duplodnaviria;Heunggongvirae;Uroviricota;Caudoviricetes;Caudovirales;Zobellviridae;unclassified Podoviridae;Siovirus;Siovirus americense</t>
  </si>
  <si>
    <t>Viruses[5];Duplodnaviria[5];Heunggongvirae[5];Uroviricota[5];Caudoviricetes[5];Caudovirales[5];Zobellviridae[3];unclassified Podoviridae[2];Pseudomonas phage GP100[1];Siovirus americense[1]</t>
  </si>
  <si>
    <t>Sept.NODE_885_length_2520_cov_9.545639</t>
  </si>
  <si>
    <t>Viruses[3];Duplodnaviria[3];Heunggongvirae[3];Uroviricota[3];Caudoviricetes[3];Caudovirales[3];Zobellviridae[1];unclassified Podoviridae[1];Siovirus[1];unclassified Siovirus[1];Roseobacter phage CRP-5[1]</t>
  </si>
  <si>
    <t>Viruses;Duplodnaviria;Heunggongvirae;Uroviricota;Caudoviricetes;Caudovirales;Zobellviridae;unclassified Podoviridae;Siovirus;unclassified Siovirus;Roseobacter phage CRP-5</t>
  </si>
  <si>
    <t>Viruses[3];Duplodnaviria[3];Heunggongvirae[3];Uroviricota[3];Caudoviricetes[3];Caudovirales[3];Podoviridae[1];unclassified Podoviridae[1];unclassified Pelagivirus[1];Pelagibacter phage Jormungand EXVC012P[1];Roseobacter phage CRP-5[1]</t>
  </si>
  <si>
    <t>Avril.NODE_335_length_6250_cov_22.793059</t>
  </si>
  <si>
    <t>Viruses[3];Duplodnaviria[2];Heunggongvirae[2];Uroviricota[2];Caudoviricetes[2];Caudovirales[2];Zobellviridae[1];unclassified Siphoviridae[1];unclassified Mimivirus[1];Mimivirus LCMiAC01[1]</t>
  </si>
  <si>
    <t>Viruses;Duplodnaviria;Heunggongvirae;Uroviricota;Caudoviricetes;Caudovirales;Zobellviridae;unclassified Siphoviridae;unclassified Mimivirus;Mimivirus LCMiAC01</t>
  </si>
  <si>
    <t>Viruses[3];Duplodnaviria[2];Heunggongvirae[2];Uroviricota[2];Caudoviricetes[2];Caudovirales[2];Siphoviridae[1];unclassified Siphoviridae[1];Pseudoalteromonas phage H103[1];Mimivirus LCMiAC01[1]</t>
  </si>
  <si>
    <t>Sept.NODE_859_length_2561_cov_4.850758</t>
  </si>
  <si>
    <t>Viruses[2];Duplodnaviria[2];Heunggongvirae[2];Uroviricota[2];Caudoviricetes[2];Caudovirales[2];Zobellviridae[2];unclassified Zobellviridae[2];Podoviridae sp. ctbj_2[1]</t>
  </si>
  <si>
    <t>Viruses;Duplodnaviria;Heunggongvirae;Uroviricota;Caudoviricetes;Caudovirales;Zobellviridae;unclassified Zobellviridae;Podoviridae sp. ctbj_2</t>
  </si>
  <si>
    <t>Oct.NODE_509_length_4902_cov_5.296059</t>
  </si>
  <si>
    <t>Viruses[2];Duplodnaviria[2];Heunggongvirae[2];Uroviricota[2];Caudoviricetes[2];Caudovirales[2];Zobellviridae[2];unclassified Zobellviridae[1];unclassified Paundecimvirus[1];Pseudomonas phage O4[1]</t>
  </si>
  <si>
    <t>Viruses;Duplodnaviria;Heunggongvirae;Uroviricota;Caudoviricetes;Caudovirales;Zobellviridae;unclassified Zobellviridae;unclassified Paundecimvirus;Pseudomonas phage O4</t>
  </si>
  <si>
    <t>Mai.NODE_680_length_3105_cov_4.120984</t>
  </si>
  <si>
    <t>Viruses[2];Duplodnaviria[2];Heunggongvirae[2];Uroviricota[2];Caudoviricetes[2];Caudovirales[2];Zobellviridae[2];unclassified Zobellviridae[2];Vibrio phage 1.208.B._10N.222.52.A7[1]</t>
  </si>
  <si>
    <t>Viruses;Duplodnaviria;Heunggongvirae;Uroviricota;Caudoviricetes;Caudovirales;Zobellviridae;unclassified Zobellviridae;Vibrio phage 1.208.B._10N.222.52.A7</t>
  </si>
  <si>
    <t>Avril.NODE_1202_length_2435_cov_3.639076</t>
  </si>
  <si>
    <t>Viruses[1];Duplodnaviria[1];Heunggongvirae[1];Uroviricota[1];Caudoviricetes[1];Crassvirales[1];Cellulophaga phage phi13:2[1]</t>
  </si>
  <si>
    <t>Viruses;Duplodnaviria;Heunggongvirae;Uroviricota;Caudoviricetes;Crassvirales;Cellulophaga phage phi13:2</t>
  </si>
  <si>
    <t>Avril.NODE_1436_length_2145_cov_7.643062</t>
  </si>
  <si>
    <t>Avril.NODE_680_length_3665_cov_6.449584</t>
  </si>
  <si>
    <t>Viruses[1];Duplodnaviria[1];Heunggongvirae[1];Uroviricota[1];Caudoviricetes[1];Crassvirales[1];Cellulophaga phage phi13:2[1];Pontimicrobium[1];Pontimicrobium aquaticum[1]</t>
  </si>
  <si>
    <t>Viruses;Duplodnaviria;Heunggongvirae;Uroviricota;Caudoviricetes;Crassvirales;Cellulophaga phage phi13:2;Pontimicrobium;Pontimicrobium aquaticum</t>
  </si>
  <si>
    <t>Avril.NODE_1377_length_2210_cov_2.688167</t>
  </si>
  <si>
    <t>Viruses[1];Duplodnaviria[1];Heunggongvirae[1];Uroviricota[1];Caudoviricetes[1];Crassvirales[1];Cellulophaga phage phi19:3[1]</t>
  </si>
  <si>
    <t>Viruses;Duplodnaviria;Heunggongvirae;Uroviricota;Caudoviricetes;Crassvirales;Cellulophaga phage phi19:3</t>
  </si>
  <si>
    <t>Avril.NODE_591_length_4059_cov_7.951798</t>
  </si>
  <si>
    <t>Viruses[1];Duplodnaviria[1];Heunggongvirae[1];Uroviricota[1];Caudoviricetes[1];Crassvirales[1];Cellulophaga phage phi40:1[1];Arenibacter[1];Arenibacter algicola[1]</t>
  </si>
  <si>
    <t>Viruses;Duplodnaviria;Heunggongvirae;Uroviricota;Caudoviricetes;Crassvirales;Cellulophaga phage phi40:1;Arenibacter;Arenibacter algicola</t>
  </si>
  <si>
    <t>Viruses[1];Duplodnaviria[1];Heunggongvirae[1];Uroviricota[1];Caudoviricetes[1];Crassvirales[1];Cellulophaga phage phi40:1[1]</t>
  </si>
  <si>
    <t>Avril.NODE_879_length_3055_cov_5.167000</t>
  </si>
  <si>
    <t>Viruses[1];Duplodnaviria[1];Heunggongvirae[1];Uroviricota[1];Caudoviricetes[1];Crassvirales[1];Cellulophaga phage phi46:3[1]</t>
  </si>
  <si>
    <t>Viruses;Duplodnaviria;Heunggongvirae;Uroviricota;Caudoviricetes;Crassvirales;Cellulophaga phage phi46:3</t>
  </si>
  <si>
    <t>Oct.NODE_1862_length_2082_cov_3.688703</t>
  </si>
  <si>
    <t>Avril.NODE_558_length_4300_cov_14.209894</t>
  </si>
  <si>
    <t>Viruses[1];Duplodnaviria[1];Heunggongvirae[1];Uroviricota[1];Caudoviricetes[1];Crassvirales[1];crAssphage cr10_1[1];Paenibacillus rigui[1]</t>
  </si>
  <si>
    <t>Viruses;Duplodnaviria;Heunggongvirae;Uroviricota;Caudoviricetes;Crassvirales;crAssphage cr10_1;Paenibacillus rigui</t>
  </si>
  <si>
    <t>Viruses[1];Duplodnaviria[1];Heunggongvirae[1];Uroviricota[1];Caudoviricetes[1];Crassvirales[1];crAssphage cr10_1[1]</t>
  </si>
  <si>
    <t>Avril.NODE_930_length_2914_cov_4.095838</t>
  </si>
  <si>
    <t>Viruses[1];Duplodnaviria[1];Heunggongvirae[1];Uroviricota[1];Caudoviricetes[1];Crassvirales[1];crAssphage cr108_1[1]</t>
  </si>
  <si>
    <t>Viruses;Duplodnaviria;Heunggongvirae;Uroviricota;Caudoviricetes;Crassvirales;crAssphage cr108_1</t>
  </si>
  <si>
    <t>Oct.NODE_436_length_5451_cov_5.569496</t>
  </si>
  <si>
    <t>Viruses[3];Duplodnaviria[3];Heunggongvirae[3];Uroviricota[3];Caudoviricetes[3];Crassvirales[3];crAssphage cr108_1[2];Asinivirinae[1];Akihdevirus[1];Cellulophaga phage phi14:2[1]</t>
  </si>
  <si>
    <t>Viruses;Duplodnaviria;Heunggongvirae;Uroviricota;Caudoviricetes;Crassvirales;crAssphage cr108_1;Asinivirinae;Akihdevirus;Cellulophaga phage phi14:2</t>
  </si>
  <si>
    <t>Avril.NODE_157_length_12026_cov_10.026898</t>
  </si>
  <si>
    <t>Viruses[8];Duplodnaviria[8];Heunggongvirae[8];Uroviricota[8];Caudoviricetes[8];Crassvirales[6];crAssphage cr108_1[4];Asinivirinae[2];Akihdevirus[2];Cellulophaga phage phi14:2[2]</t>
  </si>
  <si>
    <t>Oct.NODE_704_length_3998_cov_12.299518</t>
  </si>
  <si>
    <t>Viruses[1];Duplodnaviria[1];Heunggongvirae[1];Uroviricota[1];Caudoviricetes[1];Crassvirales[1];crAssphage cr108_1[1];Caulerpaceae[1];Caulerpa[1];Caulerpa ashmeadii[1]</t>
  </si>
  <si>
    <t>Viruses;Duplodnaviria;Heunggongvirae;Uroviricota;Caudoviricetes;Crassvirales;crAssphage cr108_1;Caulerpaceae;Caulerpa;Caulerpa ashmeadii</t>
  </si>
  <si>
    <t>Avril.NODE_137_length_13160_cov_10.999695</t>
  </si>
  <si>
    <t>Viruses[1];Duplodnaviria[1];Heunggongvirae[1];Uroviricota[1];Caudoviricetes[1];Crassvirales[1];crAssphage cr112_1[1]</t>
  </si>
  <si>
    <t>Viruses;Duplodnaviria;Heunggongvirae;Uroviricota;Caudoviricetes;Crassvirales;crAssphage cr112_1</t>
  </si>
  <si>
    <t>Oct.NODE_630_length_4258_cov_6.055912</t>
  </si>
  <si>
    <t>Avril.NODE_918_length_2956_cov_7.048604</t>
  </si>
  <si>
    <t>Viruses[1];Duplodnaviria[1];Heunggongvirae[1];Uroviricota[1];Caudoviricetes[1];Crassvirales[1];crAssphage cr118_1[1]</t>
  </si>
  <si>
    <t>Viruses;Duplodnaviria;Heunggongvirae;Uroviricota;Caudoviricetes;Crassvirales;crAssphage cr118_1</t>
  </si>
  <si>
    <t>Avril.NODE_389_length_5642_cov_15.155898</t>
  </si>
  <si>
    <t>Viruses[2];Duplodnaviria[2];Heunggongvirae[2];Uroviricota[2];Caudoviricetes[2];Crassvirales[2];crAssphage cr126_1[1];crAssphage cr4_1[1]</t>
  </si>
  <si>
    <t>Viruses;Duplodnaviria;Heunggongvirae;Uroviricota;Caudoviricetes;Crassvirales;crAssphage cr126_1;crAssphage cr4_1</t>
  </si>
  <si>
    <t>Avril.NODE_402_length_5523_cov_24.101865</t>
  </si>
  <si>
    <t>Viruses[2];Duplodnaviria[2];Heunggongvirae[2];Uroviricota[2];Caudoviricetes[2];Crassvirales[2];crAssphage cr3_1[1];crAssphage cr60_1[1]</t>
  </si>
  <si>
    <t>Viruses;Duplodnaviria;Heunggongvirae;Uroviricota;Caudoviricetes;Crassvirales;crAssphage cr3_1;crAssphage cr60_1</t>
  </si>
  <si>
    <t>Viruses[2];Duplodnaviria[2];Heunggongvirae[2];Uroviricota[2];Caudoviricetes[2];Crassvirales[2];UAG-readthrough crAss clade[1];crAssphage cr60_1[1]</t>
  </si>
  <si>
    <t>Avril.NODE_1400_length_2188_cov_7.651664</t>
  </si>
  <si>
    <t>Viruses[1];Duplodnaviria[1];Heunggongvirae[1];Uroviricota[1];Caudoviricetes[1];Crassvirales[1];crAssphage cr50_1[1]</t>
  </si>
  <si>
    <t>Viruses;Duplodnaviria;Heunggongvirae;Uroviricota;Caudoviricetes;Crassvirales;crAssphage cr50_1</t>
  </si>
  <si>
    <t>Avril.NODE_394_length_5611_cov_11.271058</t>
  </si>
  <si>
    <t>Viruses[2];Duplodnaviria[2];Heunggongvirae[2];Uroviricota[2];Caudoviricetes[2];Crassvirales[2];Enterocloster[1];Gemella[1];unclassified Gemella[1];Gemella sp. zg-570[1]</t>
  </si>
  <si>
    <t>Viruses;Duplodnaviria;Heunggongvirae;Uroviricota;Caudoviricetes;Crassvirales;Enterocloster;Gemella;unclassified Gemella;Gemella sp. zg-570</t>
  </si>
  <si>
    <t>Viruses[2];Duplodnaviria[2];Heunggongvirae[2];Uroviricota[2];Caudoviricetes[2];Crassvirales[2];crAssphage cr106_1[1]</t>
  </si>
  <si>
    <t>Mai.NODE_752_length_2865_cov_4.644840</t>
  </si>
  <si>
    <t>Viruses[2];Duplodnaviria[2];Heunggongvirae[2];Uroviricota[2];Caudoviricetes[2];Crassvirales[1];Myoviridae[1];unclassified Myoviridae[1];Synechococcus phage S-B68[1]</t>
  </si>
  <si>
    <t>Viruses;Duplodnaviria;Heunggongvirae;Uroviricota;Caudoviricetes;Crassvirales;Myoviridae;unclassified Myoviridae;Synechococcus phage S-B68</t>
  </si>
  <si>
    <t>Oct.NODE_311_length_6834_cov_14.617495</t>
  </si>
  <si>
    <t>Viruses[3];Duplodnaviria[3];Heunggongvirae[3];Uroviricota[3];Caudoviricetes[3];Crassvirales[3];Podoviridae sp. ctrTa16[3]</t>
  </si>
  <si>
    <t>Viruses;Duplodnaviria;Heunggongvirae;Uroviricota;Caudoviricetes;Crassvirales;Podoviridae sp. ctrTa16</t>
  </si>
  <si>
    <t>Avril.NODE_353_length_5977_cov_5.441405</t>
  </si>
  <si>
    <t>Viruses[2];Duplodnaviria[1];Heunggongvirae[1];Uroviricota[1];Caudoviricetes[1];Crassvirales[1];Podoviridae sp. ctrTa16[1]</t>
  </si>
  <si>
    <t>Viruses[2];Duplodnaviria[1];Virus NIOZ-UU157[1];Uroviricota[1];Caudoviricetes[1];Crassvirales[1];Podoviridae sp. ctrTa16[1]</t>
  </si>
  <si>
    <t>Oct.NODE_489_length_5034_cov_3.307291</t>
  </si>
  <si>
    <t>Viruses[2];Duplodnaviria[2];Heunggongvirae[2];Uroviricota[2];Caudoviricetes[2];Crassvirales[2];Podoviridae sp. ctrTa16[2]</t>
  </si>
  <si>
    <t>Oct.NODE_878_length_3411_cov_8.217521</t>
  </si>
  <si>
    <t>Viruses[1];Duplodnaviria[1];Heunggongvirae[1];Uroviricota[1];Caudoviricetes[1];Crassvirales[1];Podoviridae sp. ctrTa16[1]</t>
  </si>
  <si>
    <t>Oct.NODE_1496_length_2425_cov_4.986920</t>
  </si>
  <si>
    <t>Oct.NODE_1617_length_2302_cov_4.315977</t>
  </si>
  <si>
    <t>Oct.NODE_160_length_11881_cov_7.238458</t>
  </si>
  <si>
    <t>Viruses[2];unclassified viruses[1];Virus NIOZ-UU157[1];Uroviricota[1];Caudoviricetes[1];Crassvirales[1];Podoviridae sp. ctrTa16[1]</t>
  </si>
  <si>
    <t>Mai.NODE_554_length_3561_cov_4.155733</t>
  </si>
  <si>
    <t>Viruses[1];Duplodnaviria[1];Heunggongvirae[1];Uroviricota[1];Caudoviricetes[1];Crassvirales[1];Podoviridae sp. ctrTa16[1];Algoriphagus[1];Algoriphagus marincola[1];Algoriphagus marincola HL-49[1]</t>
  </si>
  <si>
    <t>Viruses;Duplodnaviria;Heunggongvirae;Uroviricota;Caudoviricetes;Crassvirales;Podoviridae sp. ctrTa16;Algoriphagus;Algoriphagus marincola;Algoriphagus marincola HL-49</t>
  </si>
  <si>
    <t>Oct.NODE_143_length_13573_cov_6.327859</t>
  </si>
  <si>
    <t>Viruses[1];Duplodnaviria[1];Heunggongvirae[1];Uroviricota[1];Caudoviricetes[1];Crassvirales[1];Podoviridae sp. ctrTa16[1];Cyanothece[1];unclassified Cyanothece[1];Cyanothece sp. SIO1E1[1]</t>
  </si>
  <si>
    <t>Viruses;Duplodnaviria;Heunggongvirae;Uroviricota;Caudoviricetes;Crassvirales;Podoviridae sp. ctrTa16;Cyanothece;unclassified Cyanothece;Cyanothece sp. SIO1E1</t>
  </si>
  <si>
    <t>Oct.NODE_275_length_7406_cov_8.210039</t>
  </si>
  <si>
    <t>Viruses[3];Duplodnaviria[3];Heunggongvirae[3];Uroviricota[3];Caudoviricetes[3];Crassvirales[2];Podoviridae sp. ctrTa16[2];Inhavirus[1];Inhavirus P12024L[1];Nonlabens phage P12024L[1]</t>
  </si>
  <si>
    <t>Viruses;Duplodnaviria;Heunggongvirae;Uroviricota;Caudoviricetes;Crassvirales;Podoviridae sp. ctrTa16;Inhavirus;Inhavirus P12024L;Nonlabens phage P12024L</t>
  </si>
  <si>
    <t>Oct.NODE_328_length_6539_cov_18.505706</t>
  </si>
  <si>
    <t>Viruses[3];Duplodnaviria[3];Heunggongvirae[3];Uroviricota[3];Caudoviricetes[3];Crassvirales[2];Podoviridae sp. ctrTa16[2];Inhavirus[1];Inhavirus P12024L[1];Robiginitalea biformata HTCC2501[1]</t>
  </si>
  <si>
    <t>Viruses;Duplodnaviria;Heunggongvirae;Uroviricota;Caudoviricetes;Crassvirales;Podoviridae sp. ctrTa16;Inhavirus;Inhavirus P12024L;Robiginitalea biformata HTCC2501</t>
  </si>
  <si>
    <t>Oct.NODE_1001_length_3103_cov_3.202428</t>
  </si>
  <si>
    <t>Viruses[2];Duplodnaviria[2];Heunggongvirae[2];Uroviricota[2];Caudoviricetes[2];Crassvirales[2];Podoviridae sp. ctrTa16[2];Pontibacter[1];unclassified Pontibacter[1];Pontibacter sp. SGAir0037[1]</t>
  </si>
  <si>
    <t>Viruses;Duplodnaviria;Heunggongvirae;Uroviricota;Caudoviricetes;Crassvirales;Podoviridae sp. ctrTa16;Pontibacter;unclassified Pontibacter;Pontibacter sp. SGAir0037</t>
  </si>
  <si>
    <t>Oct.NODE_541_length_4736_cov_4.832087</t>
  </si>
  <si>
    <t>Viruses[4];Duplodnaviria[4];Heunggongvirae[4];Uroviricota[4];Caudoviricetes[4];Crassvirales[4];Podoviridae sp. ctrTa16[4];Pusillimonas sp. (ex Stolz et al. 2005)[1]</t>
  </si>
  <si>
    <t>Viruses;Duplodnaviria;Heunggongvirae;Uroviricota;Caudoviricetes;Crassvirales;Podoviridae sp. ctrTa16;Pusillimonas sp. (ex Stolz et al. 2005)</t>
  </si>
  <si>
    <t>Viruses[4];Duplodnaviria[4];Heunggongvirae[4];Uroviricota[4];Caudoviricetes[4];Crassvirales[4];Podoviridae sp. ctrTa16[4]</t>
  </si>
  <si>
    <t>Oct.NODE_1392_length_2554_cov_5.561825</t>
  </si>
  <si>
    <t>Viruses[2];Duplodnaviria[2];Heunggongvirae[2];Uroviricota[2];Caudoviricetes[2];Crassvirales[2];Podoviridae sp. ctrTa16[2];Pusillimonas sp. (ex Stolz et al. 2005)[1]</t>
  </si>
  <si>
    <t>Oct.NODE_1660_length_2256_cov_3.704680</t>
  </si>
  <si>
    <t>Oct.NODE_254_length_8067_cov_5.732651</t>
  </si>
  <si>
    <t>Viruses[5];Duplodnaviria[4];Heunggongvirae[4];Uroviricota[4];Caudoviricetes[4];Crassvirales[3];Podoviridae sp. ctrTa16[3];Roseivirga[1];Tequatrovirus[1];Escherichia virus T4[1];Escherichia phage T4[1]</t>
  </si>
  <si>
    <t>Viruses;Duplodnaviria;Heunggongvirae;Uroviricota;Caudoviricetes;Crassvirales;Podoviridae sp. ctrTa16;Roseivirga;Tequatrovirus;Escherichia virus T4;Escherichia phage T4</t>
  </si>
  <si>
    <t>Viruses[5];Duplodnaviria[4];Heunggongvirae[4];Uroviricota[4];Caudoviricetes[4];Crassvirales[3];Podoviridae sp. ctrTa16[3];Tevenvirinae[1];Marseillevirus LCMAC101[1];Escherichia virus T4[1];Escherichia phage T4[1]</t>
  </si>
  <si>
    <t>Oct.NODE_757_length_3794_cov_9.741642</t>
  </si>
  <si>
    <t>Viruses[2];Duplodnaviria[2];Heunggongvirae[2];Uroviricota[2];Caudoviricetes[2];Crassvirales[1];Podoviridae[1];unclassified Podoviridae[1];Chitinophaga caeni[1]</t>
  </si>
  <si>
    <t>Viruses;Duplodnaviria;Heunggongvirae;Uroviricota;Caudoviricetes;Crassvirales;Podoviridae;unclassified Podoviridae;Chitinophaga caeni</t>
  </si>
  <si>
    <t>Viruses[2];Duplodnaviria[2];Heunggongvirae[2];Uroviricota[2];Caudoviricetes[2];Caudovirales[1];crAssphage cr108_1[1];unclassified Podoviridae[1];Vibrio phage Phriendly[1]</t>
  </si>
  <si>
    <t>Avril.NODE_781_length_3329_cov_6.180208</t>
  </si>
  <si>
    <t>Viruses[1];Duplodnaviria[1];Heunggongvirae[1];Uroviricota[1];Caudoviricetes[1];Crassvirales[1];Roseivirgaceae[1];Roseivirga[1];Roseivirga spongicola[1]</t>
  </si>
  <si>
    <t>Viruses;Duplodnaviria;Heunggongvirae;Uroviricota;Caudoviricetes;Crassvirales;Roseivirgaceae;Roseivirga;Roseivirga spongicola</t>
  </si>
  <si>
    <t>Viruses[1];Duplodnaviria[1];Heunggongvirae[1];Uroviricota[1];Caudoviricetes[1];Crassvirales[1];Cellulophaga phage phi38:1[1]</t>
  </si>
  <si>
    <t>Avril.NODE_101_length_17099_cov_19.283795</t>
  </si>
  <si>
    <t>Viruses[4];Duplodnaviria[4];Heunggongvirae[4];Uroviricota[4];Caudoviricetes[4];Crassvirales[2];Siphoviridae[2];Smoothievirus[1];Smoothievirus smoothie[1];Gordonia phage Aphelion[1]</t>
  </si>
  <si>
    <t>Viruses;Duplodnaviria;Heunggongvirae;Uroviricota;Caudoviricetes;Crassvirales;Siphoviridae;Smoothievirus;Smoothievirus smoothie;Gordonia phage Aphelion</t>
  </si>
  <si>
    <t>Avril.NODE_381_length_5668_cov_10.280242</t>
  </si>
  <si>
    <t>Viruses[3];Duplodnaviria[3];Heunggongvirae[3];Uroviricota[3];Caudoviricetes[3];Crassvirales[3];Steigviridae[2];Asinivirinae[2];Akihdevirus[2];Cellulophaga phage phi14:2[2]</t>
  </si>
  <si>
    <t>Viruses;Duplodnaviria;Heunggongvirae;Uroviricota;Caudoviricetes;Crassvirales;Steigviridae;Asinivirinae;Akihdevirus;Cellulophaga phage phi14:2</t>
  </si>
  <si>
    <t>Oct.NODE_850_length_3511_cov_3.242477</t>
  </si>
  <si>
    <t>Viruses[3];Duplodnaviria[3];Heunggongvirae[3];Uroviricota[3];Caudoviricetes[3];Crassvirales[3];Steigviridae[1];Asinivirinae[1];Akihdevirus[1];Cellulophaga phage phi14:2[1]</t>
  </si>
  <si>
    <t>Viruses[3];Duplodnaviria[3];Heunggongvirae[3];Uroviricota[3];Caudoviricetes[3];Crassvirales[3];crAssphage cr85_1[1];Asinivirinae[1];Akihdevirus[1];Cellulophaga phage phi14:2[1]</t>
  </si>
  <si>
    <t>Avril.NODE_1263_length_2351_cov_9.305314</t>
  </si>
  <si>
    <t>Viruses[1];Duplodnaviria[1];Heunggongvirae[1];Uroviricota[1];Caudoviricetes[1];Crassvirales[1];Steigviridae[1];Asinivirinae[1];Akihdevirus[1];Cellulophaga phage phi14:2[1]</t>
  </si>
  <si>
    <t>Mai.NODE_991_length_2329_cov_4.693931</t>
  </si>
  <si>
    <t>Viruses[2];Duplodnaviria[2];Heunggongvirae[2];Uroviricota[2];Caudoviricetes[2];Crassvirales[2];Steigviridae[2];Asinivirinae[2];Akihdevirus[2];Cellulophaga phage phi14:2[2]</t>
  </si>
  <si>
    <t>Avril.NODE_1385_length_2205_cov_5.757674</t>
  </si>
  <si>
    <t>Mai.NODE_1091_length_2169_cov_3.359981</t>
  </si>
  <si>
    <t>Avril.NODE_366_length_5845_cov_16.757340</t>
  </si>
  <si>
    <t>Avril.NODE_412_length_5446_cov_9.586904</t>
  </si>
  <si>
    <t>Viruses[2];Duplodnaviria[2];Heunggongvirae[2];Uroviricota[2];Caudoviricetes[2];Crassvirales[2];Steigviridae[1];Asinivirinae[1];Akihdevirus[1];Cellulophaga phage phi14:2[1]</t>
  </si>
  <si>
    <t>Avril.NODE_104_length_16915_cov_22.927758</t>
  </si>
  <si>
    <t>Avril.NODE_724_length_3511_cov_7.855324</t>
  </si>
  <si>
    <t>Viruses[1];Duplodnaviria[1];Heunggongvirae[1];Uroviricota[1];Caudoviricetes[1];Crassvirales[1];Steigviridae[1];Asinivirinae[1];Kehishuvirus[1];Bacteroides phage crAss001[1]</t>
  </si>
  <si>
    <t>Viruses;Duplodnaviria;Heunggongvirae;Uroviricota;Caudoviricetes;Crassvirales;Steigviridae;Asinivirinae;Kehishuvirus;Bacteroides phage crAss001</t>
  </si>
  <si>
    <t>Oct.NODE_934_length_3252_cov_4.488270</t>
  </si>
  <si>
    <t>Oct.NODE_1694_length_2219_cov_10.707486</t>
  </si>
  <si>
    <t>Viruses[1];Duplodnaviria[1];Heunggongvirae[1];Uroviricota[1];Caudoviricetes[1];Crassvirales[1];UAG-readthrough crAss clade[1];crAssphage cr125_1[1]</t>
  </si>
  <si>
    <t>Viruses;Duplodnaviria;Heunggongvirae;Uroviricota;Caudoviricetes;Crassvirales;UAG-readthrough crAss clade;crAssphage cr125_1</t>
  </si>
  <si>
    <t>Avril.NODE_1054_length_2640_cov_8.724952</t>
  </si>
  <si>
    <t>Viruses[1];Duplodnaviria[1];Heunggongvirae[1];Uroviricota[1];Caudoviricetes[1];Crassvirales[1];UAG-readthrough crAss clade[1];crAssphage cr272_1[1]</t>
  </si>
  <si>
    <t>Viruses;Duplodnaviria;Heunggongvirae;Uroviricota;Caudoviricetes;Crassvirales;UAG-readthrough crAss clade;crAssphage cr272_1</t>
  </si>
  <si>
    <t>Oct.NODE_1706_length_2210_cov_3.193503</t>
  </si>
  <si>
    <t>Viruses[2];Duplodnaviria[1];Skeletonema virus LDF-2015a[1];Uroviricota[1];Caudoviricetes[1];Caudovirales[1];Siphoviridae[1];Xiamenvirus[1];Xiamenvirus RDJL1[1];Roseobacter phage RDJL Phi 1[1]</t>
  </si>
  <si>
    <t>Viruses;Duplodnaviria;Skeletonema virus LDF-2015a;Uroviricota;Caudoviricetes;Caudovirales;Siphoviridae;Xiamenvirus;Xiamenvirus RDJL1;Roseobacter phage RDJL Phi 1</t>
  </si>
  <si>
    <t>Viruses[2];Duplodnaviria[1];Heunggongvirae[1];Uroviricota[1];Caudoviricetes[1];Caudovirales[1];Siphoviridae[1];Xiamenvirus[1];Xiamenvirus RDJL1[1];Roseobacter phage RDJL Phi 1[1]</t>
  </si>
  <si>
    <t>Sept.NODE_176_length_8063_cov_18.327173</t>
  </si>
  <si>
    <t>Viruses[2];Duplodnaviria[1];Thermocrinis Great Boiling Spring virus[1];Uroviricota[1];Caudoviricetes[1];Crassvirales[1];Mediterraneibacter[1];[Ruminococcus] gnavus[1]</t>
  </si>
  <si>
    <t>Viruses;Duplodnaviria;Thermocrinis Great Boiling Spring virus;Uroviricota;Caudoviricetes;Crassvirales;Mediterraneibacter;[Ruminococcus] gnavus</t>
  </si>
  <si>
    <t>Viruses[2];Duplodnaviria[1];Thermocrinis Great Boiling Spring virus[1];Uroviricota[1];Caudoviricetes[1];Crassvirales[1];Cellulophaga phage phi40:1[1]</t>
  </si>
  <si>
    <t>Oct.NODE_1096_length_2954_cov_2.932390</t>
  </si>
  <si>
    <t>Viruses[2];Duplodnaviria[1];Virus NIOZ-UU157[1];Uroviricota[1];Caudoviricetes[1];Caudovirales[1];unclassified Caudovirales[1];Rhizobium oryzae[1]</t>
  </si>
  <si>
    <t>Viruses;Duplodnaviria;Virus NIOZ-UU157;Uroviricota;Caudoviricetes;Caudovirales;unclassified Caudovirales;Rhizobium oryzae</t>
  </si>
  <si>
    <t>Avril.NODE_298_length_6842_cov_6.606306</t>
  </si>
  <si>
    <t>Viruses[2];Duplodnaviria[1];Virus NIOZ-UU157[1];Uroviricota[1];Caudoviricetes[1];Crassvirales[1];Podoviridae sp. ctrTa16[1];Pusillimonas sp. (ex Stolz et al. 2005)[1]</t>
  </si>
  <si>
    <t>Viruses;Duplodnaviria;Virus NIOZ-UU157;Uroviricota;Caudoviricetes;Crassvirales;Podoviridae sp. ctrTa16;Pusillimonas sp. (ex Stolz et al. 2005)</t>
  </si>
  <si>
    <t>Oct.NODE_992_length_3118_cov_13.625857</t>
  </si>
  <si>
    <t>Sept.NODE_564_length_3412_cov_32.277927</t>
  </si>
  <si>
    <t>Viruses[2];Proteobacteria[2];Alphaproteobacteria[2];Hyphomicrobiales[2];Caudoviricetes[1];Caudovirales[1];unclassified Caudovirales[1];Roseobacter phage CRP-6[1]</t>
  </si>
  <si>
    <t>Viruses;Proteobacteria;Alphaproteobacteria;Hyphomicrobiales;Caudoviricetes;Caudovirales;unclassified Caudovirales;Roseobacter phage CRP-6</t>
  </si>
  <si>
    <t>Viruses[2];unclassified viruses[1];Virus NIOZ-UU157[1];Uroviricota[1];Caudoviricetes[1];Caudovirales[1];unclassified Caudovirales[1];Roseobacter phage CRP-6[1]</t>
  </si>
  <si>
    <t>Sept.NODE_183_length_7901_cov_6.751338</t>
  </si>
  <si>
    <t>Viruses[2];Proteobacteria[2];Alphaproteobacteria[2];Maricaulales[2];Maricaulaceae[2];Caudovirales[1];Siphoviridae[1];unclassified Siphoviridae[1];Stenotrophomonas phage Sonora[1]</t>
  </si>
  <si>
    <t>Viruses;Proteobacteria;Alphaproteobacteria;Maricaulales;Maricaulaceae;Caudovirales;Siphoviridae;unclassified Siphoviridae;Stenotrophomonas phage Sonora</t>
  </si>
  <si>
    <t>Viruses[2];Duplodnaviria[1];Bacteriophage sp. 438212[1];Uroviricota[1];Caudoviricetes[1];Caudovirales[1];Siphoviridae[1];unclassified Siphoviridae[1];Stenotrophomonas phage Sonora[1]</t>
  </si>
  <si>
    <t>Sept.NODE_374_length_4493_cov_110.821992</t>
  </si>
  <si>
    <t>Viruses[2];Proteobacteria[2];Bamfordvirae[1];Uroviricota[1];Megaviricetes[1];Algavirales[1];Podoviridae[1];Prasinovirus[1];unclassified Prasinovirus[1];Bathycoccus sp. RCC1105 virus BpV[1];Bathycoccus sp. RCC1105 virus BpV1[1]</t>
  </si>
  <si>
    <t>Viruses;Proteobacteria;Bamfordvirae;Uroviricota;Megaviricetes;Algavirales;Podoviridae;Prasinovirus;unclassified Prasinovirus;Bathycoccus sp. RCC1105 virus BpV;Bathycoccus sp. RCC1105 virus BpV1</t>
  </si>
  <si>
    <t>Viruses[2];Duplodnaviria[1];Heunggongvirae[1];Uroviricota[1];Caudoviricetes[1];Algavirales[1];Phycodnaviridae[1];Prasinovirus[1];unclassified Prasinovirus[1];Bathycoccus sp. RCC1105 virus BpV[1];Bathycoccus sp. RCC1105 virus BpV1[1]</t>
  </si>
  <si>
    <t>Oct.NODE_166_length_11400_cov_102.056148</t>
  </si>
  <si>
    <t>Viruses[6];Proteobacteria[6];Gammaproteobacteria virus GOV_bin_2604[5];Burkholderiales[3];Alteromonadaceae[2];Alteromonas/Salinimonas group[2];Alteromonas[2];Pusillimonas sp. (ex Stolz et al. 2005)[2];Roseobacter phage CRP-2[1]</t>
  </si>
  <si>
    <t>Viruses;Proteobacteria;Gammaproteobacteria virus GOV_bin_2604;Burkholderiales;Alteromonadaceae;Alteromonas/Salinimonas group;Alteromonas;Pusillimonas sp. (ex Stolz et al. 2005);Roseobacter phage CRP-2</t>
  </si>
  <si>
    <t>Viruses[6];unclassified bacterial viruses[5];Gammaproteobacteria virus GOV_bin_2604[5];Uroviricota[1];Caudoviricetes[1];Caudovirales[1];Podoviridae[1];unclassified Podoviridae[1];Roseobacter phage CRP-2[1]</t>
  </si>
  <si>
    <t>Oct.NODE_350_length_6217_cov_7.766472</t>
  </si>
  <si>
    <t>Viruses[4];Proteobacteria[4];Heunggongvirae[3];Uroviricota[3];Caudoviricetes[3];Caudovirales[3];unclassified Caudovirales[3];Roseobacter phage CRP-6[3]</t>
  </si>
  <si>
    <t>Viruses;Proteobacteria;Heunggongvirae;Uroviricota;Caudoviricetes;Caudovirales;unclassified Caudovirales;Roseobacter phage CRP-6</t>
  </si>
  <si>
    <t>Viruses[4];Duplodnaviria[3];Heunggongvirae[3];Uroviricota[3];Caudoviricetes[3];Caudovirales[3];unclassified Caudovirales[3];Roseobacter phage CRP-6[3]</t>
  </si>
  <si>
    <t>Mai.NODE_943_length_2410_cov_4.144798</t>
  </si>
  <si>
    <t>Viruses[1];unclassified bacterial viruses[1];Alphaproteobacteria[1];Rhodospirillales[1];Rhodospirillaceae[1];Denitrobaculum[1];Denitrobaculum tricleocarpae[1]</t>
  </si>
  <si>
    <t>Viruses;unclassified bacterial viruses;Alphaproteobacteria;Rhodospirillales;Rhodospirillaceae;Denitrobaculum;Denitrobaculum tricleocarpae</t>
  </si>
  <si>
    <t>Viruses[1];unclassified bacterial viruses[1];Phage 33_17[1]</t>
  </si>
  <si>
    <t>Oct.NODE_1544_length_2375_cov_5.509483</t>
  </si>
  <si>
    <t>Viruses[1];unclassified bacterial viruses[1];Alphaproteobacteria[1];Sphingomonadales[1];Sphingomonadaceae[1];Novosphingobium[1];unclassified Novosphingobium[1];Novosphingobium sp. KN65.2[1]</t>
  </si>
  <si>
    <t>Viruses;unclassified bacterial viruses;Alphaproteobacteria;Sphingomonadales;Sphingomonadaceae;Novosphingobium;unclassified Novosphingobium;Novosphingobium sp. KN65.2</t>
  </si>
  <si>
    <t>Avril.NODE_841_length_3164_cov_5.103570</t>
  </si>
  <si>
    <t>Viruses[1];unclassified bacterial viruses[1];Chlorobiaceae phage CV-1-33[1]</t>
  </si>
  <si>
    <t>Viruses;unclassified bacterial viruses;Chlorobiaceae phage CV-1-33</t>
  </si>
  <si>
    <t>Oct.NODE_1719_length_2200_cov_84.219580</t>
  </si>
  <si>
    <t>Viruses[1];unclassified bacterial viruses[1];delta/epsilon subdivisions[1];Deltaproteobacteria[1];Myxococcales[1];Cystobacterineae[1];Myxococcaceae[1];Myxococcus[1];Myxococcus stipitatus[1];Myxococcus stipitatus DSM 14675[1]</t>
  </si>
  <si>
    <t>Viruses;unclassified bacterial viruses;delta/epsilon subdivisions;Deltaproteobacteria;Myxococcales;Cystobacterineae;Myxococcaceae;Myxococcus;Myxococcus stipitatus;Myxococcus stipitatus DSM 14675</t>
  </si>
  <si>
    <t>Sept.NODE_125_length_11057_cov_190.633158</t>
  </si>
  <si>
    <t>Viruses[6];unclassified bacterial viruses[5];Gammaproteobacteria virus GOV_bin_2604[5];Alteromonadales[2];Alteromonadaceae[2];Alteromonas/Salinimonas group[2];Alteromonas[2];Alteromonas australica[2];Roseobacter phage CRP-2[1]</t>
  </si>
  <si>
    <t>Viruses;unclassified bacterial viruses;Gammaproteobacteria virus GOV_bin_2604;Alteromonadales;Alteromonadaceae;Alteromonas/Salinimonas group;Alteromonas;Alteromonas australica;Roseobacter phage CRP-2</t>
  </si>
  <si>
    <t>Sept.NODE_309_length_5250_cov_136.076805</t>
  </si>
  <si>
    <t>Viruses[5];unclassified bacterial viruses[3];Gammaproteobacteria virus GOV_bin_2604[3];Uroviricota[2];Caudoviricetes[2];Caudovirales[2];Podoviridae[2];unclassified Podoviridae[1];unclassified Kuravirus[1];Escherichia phage vB_EcoP_EcoN5[1]</t>
  </si>
  <si>
    <t>Viruses;unclassified bacterial viruses;Gammaproteobacteria virus GOV_bin_2604;Uroviricota;Caudoviricetes;Caudovirales;Podoviridae;unclassified Podoviridae;unclassified Kuravirus;Escherichia phage vB_EcoP_EcoN5</t>
  </si>
  <si>
    <t>Oct.NODE_126_length_14630_cov_10.497976</t>
  </si>
  <si>
    <t>Viruses[3];unclassified bacterial viruses[2];Heunggongvirae[1];Uroviricota[1];Caudoviricetes[1];Caudovirales[1];Podoviridae[1];Jasminevirus[1];Jasminevirus jasmine[1];Arthrobacter phage Jasmine[1]</t>
  </si>
  <si>
    <t>Viruses;unclassified bacterial viruses;Heunggongvirae;Uroviricota;Caudoviricetes;Caudovirales;Podoviridae;Jasminevirus;Jasminevirus jasmine;Arthrobacter phage Jasmine</t>
  </si>
  <si>
    <t>Viruses[3];unclassified bacterial viruses[2];Phage 33_17[1];Uroviricota[1];Caudoviricetes[1];Caudovirales[1];Podoviridae[1];Jasminevirus[1];Jasminevirus jasmine[1];Arthrobacter phage Jasmine[1]</t>
  </si>
  <si>
    <t>Sept.NODE_901_length_2484_cov_6.064636</t>
  </si>
  <si>
    <t>Viruses[1];unclassified bacterial viruses[1];Phage 33_17[1];Bacteroidetes[1];Cytophagia[1];Cytophagales[1];Cyclobacteriaceae[1];Algoriphagus[1];Algoriphagus halophilus[1]</t>
  </si>
  <si>
    <t>Viruses;unclassified bacterial viruses;Phage 33_17;Bacteroidetes;Cytophagia;Cytophagales;Cyclobacteriaceae;Algoriphagus;Algoriphagus halophilus</t>
  </si>
  <si>
    <t>Mai.NODE_643_length_3249_cov_13.837195</t>
  </si>
  <si>
    <t>Viruses[2];unclassified viruses[1];Heunggongvirae[1];Uroviricota[1];Caudoviricetes[1];Caudovirales[1];Siphoviridae[1];unclassified Siphoviridae[1];Acinetobacter phage Barton[1]</t>
  </si>
  <si>
    <t>Viruses;unclassified viruses;Heunggongvirae;Uroviricota;Caudoviricetes;Caudovirales;Siphoviridae;unclassified Siphoviridae;Acinetobacter phage Barton</t>
  </si>
  <si>
    <t>Viruses[2];unclassified viruses[1];Virus NIOZ-UU157[1];Uroviricota[1];Caudoviricetes[1];Caudovirales[1];Siphoviridae[1];unclassified Siphoviridae[1];Acinetobacter phage Barton[1]</t>
  </si>
  <si>
    <t>Oct.NODE_1231_length_2757_cov_5.154700</t>
  </si>
  <si>
    <t>Viruses[2];unclassified viruses[1];Heunggongvirae[1];Uroviricota[1];Caudoviricetes[1];Caudovirales[1];Zobellviridae[1];Paundecimvirus[1];Paundecimvirus PA11[1];Pseudomonas phage PSA11[1]</t>
  </si>
  <si>
    <t>Viruses;unclassified viruses;Heunggongvirae;Uroviricota;Caudoviricetes;Caudovirales;Zobellviridae;Paundecimvirus;Paundecimvirus PA11;Pseudomonas phage PSA11</t>
  </si>
  <si>
    <t>Mai.NODE_1061_length_2218_cov_7.141008</t>
  </si>
  <si>
    <t>Viruses[2];unclassified viruses[1];Virus NIOZ-UU157[1];Uroviricota[1];Caudoviricetes[1];Caudovirales[1];Siphoviridae[1];Alachuavirus[1];Alachuavirus Xp15[1];Xanthomonas phage Xp15[1]</t>
  </si>
  <si>
    <t>Viruses;unclassified viruses;Virus NIOZ-UU157;Uroviricota;Caudoviricetes;Caudovirales;Siphoviridae;Alachuavirus;Alachuavirus Xp15;Xanthomonas phage Xp15</t>
  </si>
  <si>
    <t>Viruses[2];Duplodnaviria[1];Virus NIOZ-UU157[1];Uroviricota[1];Caudoviricetes[1];Caudovirales[1];Siphoviridae[1];Alachuavirus[1];Alachuavirus Xp15[1];Xanthomonas phage Xp15[1]</t>
  </si>
  <si>
    <t>Sept.NODE_720_length_2884_cov_5.802404</t>
  </si>
  <si>
    <t>Autolykiviridae</t>
  </si>
  <si>
    <t>Viruses[2];Varidnaviria[2];Bamfordvirae[2];Preplasmiviricota[2];Tectiliviricetes[2];Autolykiviridae[2];Livvievirus[1];Livvievirus viph1249a[1];Vibrio phage 1.249.A._10N.261.55.B9[1]</t>
  </si>
  <si>
    <t>Viruses;Varidnaviria;Bamfordvirae;Preplasmiviricota;Tectiliviricetes;Autolykiviridae;Livvievirus;Livvievirus viph1249a;Vibrio phage 1.249.A._10N.261.55.B9</t>
  </si>
  <si>
    <t>Sept.NODE_956_length_2384_cov_4.336196</t>
  </si>
  <si>
    <t>Sept.NODE_1006_length_2322_cov_3.212175</t>
  </si>
  <si>
    <t>Viruses[1];Varidnaviria[1];Bamfordvirae[1];Preplasmiviricota[1];Tectiliviricetes[1];Autolykiviridae[1];Livvievirus[1];Livvievirus viph1249a[1];Vibrio phage 1.249.A._10N.261.55.B9[1]</t>
  </si>
  <si>
    <t>Avril.NODE_1196_length_2439_cov_4.161913</t>
  </si>
  <si>
    <t>Viruses[2];Varidnaviria[2];Bamfordvirae[2];Preplasmiviricota[2];Tectiliviricetes[2];Autolykiviridae[2];Livvievirus[1];Livvievirus viph1249a[1];Vibrio phage 1.249.A._10N.261.55.B9[1];Rhabditida[1];Spirurina[1];Spiruromorpha[1];Filarioidea[1];Onchocercidae[1];Wuchereria[1];Wuchereria bancrofti[1]</t>
  </si>
  <si>
    <t>Viruses;Varidnaviria;Bamfordvirae;Preplasmiviricota;Tectiliviricetes;Autolykiviridae;Livvievirus;Livvievirus viph1249a;Vibrio phage 1.249.A._10N.261.55.B9;Rhabditida;Spirurina;Spiruromorpha;Filarioidea;Onchocercidae;Wuchereria;Wuchereria bancrofti</t>
  </si>
  <si>
    <t>Sept.NODE_117_length_11333_cov_11.630254</t>
  </si>
  <si>
    <t>Viruses[5];Varidnaviria[4];Bamfordvirae[4];Preplasmiviricota[4];Tectiliviricetes[4];Autolykiviridae[3];Livvievirus[2];Livvievirus viph1249a[2];Vibrio phage 1.249.A._10N.261.55.B9[2];unclassified Kayfunavirus[1];Citrobacter phage CR8[1]</t>
  </si>
  <si>
    <t>Viruses;Varidnaviria;Bamfordvirae;Preplasmiviricota;Tectiliviricetes;Autolykiviridae;Livvievirus;Livvievirus viph1249a;Vibrio phage 1.249.A._10N.261.55.B9;unclassified Kayfunavirus;Citrobacter phage CR8</t>
  </si>
  <si>
    <t>Oct.NODE_562_length_4647_cov_5.567509</t>
  </si>
  <si>
    <t>Viruses[2];Varidnaviria[2];Bamfordvirae[2];Preplasmiviricota[2];Tectiliviricetes[2];Kalamavirales[2];Tectiviridae[2];Alphatectivirus[2];Alphatectivirus PRD1[1];Enterobacteria phage L17[1]</t>
  </si>
  <si>
    <t>Viruses;Varidnaviria;Bamfordvirae;Preplasmiviricota;Tectiliviricetes;Kalamavirales;Tectiviridae;Alphatectivirus;Alphatectivirus PRD1;Enterobacteria phage L17</t>
  </si>
  <si>
    <t>Viruses[2];Varidnaviria[2];Bamfordvirae[2];Preplasmiviricota[2];Tectiliviricetes[2];Kalamavirales[2];Tectiviridae[2];Alphatectivirus[2];Alphatectivirus PRD1[1];Enterobacteria phage PR4[1]</t>
  </si>
  <si>
    <t>Oct.NODE_901_length_3349_cov_6.900121</t>
  </si>
  <si>
    <t>Viruses[1];Varidnaviria[1];Bamfordvirae[1];Preplasmiviricota[1];Tectiliviricetes[1];Kalamavirales[1];Tectiviridae[1];Gammatectivirus[1];Gammatectivirus GC1[1];Gluconobacter phage GC1[1]</t>
  </si>
  <si>
    <t>Viruses;Varidnaviria;Bamfordvirae;Preplasmiviricota;Tectiliviricetes;Kalamavirales;Tectiviridae;Gammatectivirus;Gammatectivirus GC1;Gluconobacter phage GC1</t>
  </si>
  <si>
    <t>Oct.NODE_794_length_3680_cov_5.739862</t>
  </si>
  <si>
    <t>Siphoviridae</t>
  </si>
  <si>
    <t>Viruses[1];Viridiplantae[1];Heunggongvirae[1];Uroviricota[1];Caudoviricetes[1];Caudovirales[1];Siphoviridae[1];unclassified Siphoviridae[1];Magnoliopsida[1];Mesangiospermae[1];Liliopsida[1];Alismatales[1];Zosteraceae[1];Zostera[1];Zostera marina[1]</t>
  </si>
  <si>
    <t>Viruses;Viridiplantae;Heunggongvirae;Uroviricota;Caudoviricetes;Caudovirales;Siphoviridae;unclassified Siphoviridae;Magnoliopsida;Mesangiospermae;Liliopsida;Alismatales;Zosteraceae;Zostera;Zostera marina</t>
  </si>
  <si>
    <t>Viruses[1];Duplodnaviria[1];Heunggongvirae[1];Uroviricota[1];Caudoviricetes[1];Caudovirales[1];Siphoviridae[1];unclassified Siphoviridae[1];Stenotrophomonas phage Sonora[1]</t>
  </si>
  <si>
    <t>cumul. contig length</t>
  </si>
  <si>
    <t>ARCHAEA</t>
  </si>
  <si>
    <t>EUKARYOTA</t>
  </si>
  <si>
    <t>VIRUSES</t>
  </si>
  <si>
    <t>UNASSIGNED</t>
  </si>
  <si>
    <t>SUM</t>
  </si>
  <si>
    <t>17.04.P1</t>
  </si>
  <si>
    <t>17.04.P2</t>
  </si>
  <si>
    <t>17.04.P3</t>
  </si>
  <si>
    <t>17.04.P4</t>
  </si>
  <si>
    <t>17.05.P3</t>
  </si>
  <si>
    <t>17.05.P4</t>
  </si>
  <si>
    <t>05.07.P3</t>
  </si>
  <si>
    <t>05.07.P4</t>
  </si>
  <si>
    <t>11.09.P1</t>
  </si>
  <si>
    <t>11.09.P2</t>
  </si>
  <si>
    <t>11.09.P3</t>
  </si>
  <si>
    <t>11.09.P4</t>
  </si>
  <si>
    <t>23.10.P2</t>
  </si>
  <si>
    <t>23.10.P4</t>
  </si>
  <si>
    <t>17.04.UV</t>
  </si>
  <si>
    <t>17.05.UV</t>
  </si>
  <si>
    <t>05.07.UV</t>
  </si>
  <si>
    <t>11.09.UV</t>
  </si>
  <si>
    <t>23.10.UV</t>
  </si>
  <si>
    <t>Contig #</t>
  </si>
  <si>
    <t>id</t>
  </si>
  <si>
    <t>Column1</t>
  </si>
  <si>
    <t>ViralMatch</t>
  </si>
  <si>
    <t>SP</t>
  </si>
  <si>
    <t>COG</t>
  </si>
  <si>
    <t>f</t>
  </si>
  <si>
    <t>VOG</t>
  </si>
  <si>
    <t>uniref100</t>
  </si>
  <si>
    <t>05.07.P3-6.054-29_1</t>
  </si>
  <si>
    <t>VBM</t>
  </si>
  <si>
    <t>sp|Q5UQV0|YR355_MIMIV Putative thiol protease R355 OS=Acanthamoeba polyphaga mimivirus OX=212035 GN=MIMI_R355 PE=1 SV=1</t>
  </si>
  <si>
    <t>VOG00652 [FUNC="sp|P03252|PRO_ADE02 Protease"] [TAG=Xh TAGDEF="Virus protein with function beneficial for the host"]</t>
  </si>
  <si>
    <t>Ulp1 protease family, C-terminal catalytic domain protein n=1 Tax=Mimiviridae sp. ChoanoV1 TaxID=2596887 RepID=A0A5B8IEL0_9VIRU</t>
  </si>
  <si>
    <t>05.07.P3-6.054-29_2</t>
  </si>
  <si>
    <t>sp|Q5UR52|YR584_MIMIV Uncharacterized N-acetyltransferase R584 OS=Acanthamoeba polyphaga mimivirus OX=212035 GN=MIMI_R584 PE=1 SV=1</t>
  </si>
  <si>
    <t>VOG02426 [FUNC="sp|Q5UR52|YR584_MIMIV Uncharacterized N-acetyltransferase R584"] [TAG=Xh TAGDEF="Virus protein with function beneficial for the host"]</t>
  </si>
  <si>
    <t>Uncharacterized protein n=1 Tax=Yasminevirus sp. GU-2018 TaxID=2420051 RepID=A0A5K0UBK4_9VIRU</t>
  </si>
  <si>
    <t>/</t>
  </si>
  <si>
    <t>sp|Q9LHE9|MYO1_ARATH Myosin-1 OS=Arabidopsis thaliana OX=3702 GN=VIII-1 PE=1 SV=1</t>
  </si>
  <si>
    <t>KOG0160 [FUNC="Myosin class V heavy chain"] [shortName=] [TAG=Z TAGDEF="Cytoskeleton" PROCESS="CELLULAR PROCESSES AND SIGNALING"]  [PATHWAY=""]</t>
  </si>
  <si>
    <t>CELLULAR PROCESSES AND SIGNALING</t>
  </si>
  <si>
    <t>Unconventional myosin heavy chain n=1 Tax=Chara corallina TaxID=43696 RepID=Q9SSU1_CHACB</t>
  </si>
  <si>
    <t>11.09.P1-14.193-13_10</t>
  </si>
  <si>
    <t>X</t>
  </si>
  <si>
    <t>COG3210 [FUNC="Large exoprotein involved in heme utilization or adhesion"] [shortName=FhaB] [TAG=U TAGDEF="Intracellular trafficking, secretion, and vesicular transport" PROCESS="CELLULAR PROCESSES AND SIGNALING"]  [PATHWAY=""] hypothetical protein [Verrucomicrobia bacterium IMCC26134]</t>
  </si>
  <si>
    <t>VOG11742 [FUNC="sp|P10928|BP10_BPT4 Baseplate wedge protein gp10"] [TAG=Xh TAGDEF="Virus protein with function beneficial for the host"]</t>
  </si>
  <si>
    <t>Uncharacterized protein n=1 Tax=Cyanophage KBS-S-1A TaxID=889952 RepID=G8EXJ4_9CAUD</t>
  </si>
  <si>
    <t>11.09.P1-14.193-13_14</t>
  </si>
  <si>
    <t>VM</t>
  </si>
  <si>
    <t>sp|Q4WL66|ABFB_ASPFU Probable alpha-L-arabinofuranosidase B OS=Aspergillus fumigatus (strain ATCC MYA-4609 / CBS 101355 / FGSC A1100 / Af293) OX=330879 GN=abfB PE=3 SV=1</t>
  </si>
  <si>
    <t>COG3391 [FUNC="DNA-binding beta-propeller fold protein YncE"] [shortName=YncE] [TAG=R TAGDEF="General function prediction only" PROCESS="POORLY CHARACTERIZED"]  [PATHWAY=""] hypothetical protein [Geovibrio thiophilus]</t>
  </si>
  <si>
    <t>VOG01521 [FUNC="REFSEQ virion structural protein"] [TAG=Xu TAGDEF="Function unknown"]</t>
  </si>
  <si>
    <t>Uncharacterized protein n=1 Tax=Leptospira noumeaensis TaxID=2484964 RepID=A0A4R9I8Z1_9LEPT</t>
  </si>
  <si>
    <t>11.09.P1-14.193-13_3</t>
  </si>
  <si>
    <t>sp|Q5UQN0|YL437_MIMIV Uncharacterized protein L437 OS=Acanthamoeba polyphaga mimivirus OX=212035 GN=MIMI_L437 PE=4 SV=1</t>
  </si>
  <si>
    <t>VOG00056 [FUNC="sp|A0A7H0DND1|PG160_MONPV DNA packaging protein OPG160"] [TAG=Xu TAGDEF="Function unknown"]</t>
  </si>
  <si>
    <t>Uncharacterized protein n=1 Tax=Bathycoccus sp. RCC1105 virus BpV1 TaxID=880159 RepID=E5ES94_9PHYC</t>
  </si>
  <si>
    <t>11.09.P1-14.193-13_39</t>
  </si>
  <si>
    <t>COG1233 [FUNC="Phytoene dehydrogenase-related protein"] [shortName=] [TAG=Q TAGDEF="Secondary metabolites biosynthesis, transport and catabolism" PROCESS="METABOLISM"]  [PATHWAY=""] phytoene desaturase [Asaia bogorensis]</t>
  </si>
  <si>
    <t>VOG01335 [FUNC="sp|Q5URB2|YR188_MIMIV Uncharacterized protein R188"] [TAG=Xs TAGDEF="Virus structure"]</t>
  </si>
  <si>
    <t>Pyridine nucleotide-disulfide oxidoreductase class-II n=1 Tax=Fadolivirus 1 TaxID=2740746 RepID=A0A7D3QVD2_9VIRU</t>
  </si>
  <si>
    <t>11.09.P1-14.193-13_5</t>
  </si>
  <si>
    <t>sp|Q69XJ4|HMOX1_ORYSJ Heme oxygenase 1, chloroplastic OS=Oryza sativa subsp. japonica OX=39947 GN=HO1 PE=2 SV=1</t>
  </si>
  <si>
    <t>KOG4480 [FUNC="Heme oxygenase"] [shortName=] [TAG=P TAGDEF="Inorganic ion transport and metabolism" PROCESS="METABOLISM"]  [PATHWAY=""]</t>
  </si>
  <si>
    <t>METABOLISM</t>
  </si>
  <si>
    <t>Heme oxygenase n=3 Tax=Phaeodactylum tricornutum TaxID=2850 RepID=B7FTE3_PHATC</t>
  </si>
  <si>
    <t>11.09.P1-39.109-48_105</t>
  </si>
  <si>
    <t>x</t>
  </si>
  <si>
    <t>VOG02008 [FUNC="sp|Q5UQP1|YR447_MIMIV Uncharacterized protein R447"] [TAG=Xu TAGDEF="Function unknown"]</t>
  </si>
  <si>
    <t>Endonuclease n=1 Tax=Paramecium bursaria Chlorella virus NE-JV-1 TaxID=1278261 RepID=M1HBB1_9PHYC</t>
  </si>
  <si>
    <t>11.09.P1-39.109-48_107</t>
  </si>
  <si>
    <t>VOG33810 [FUNC="REFSEQ hypothetical protein"] [TAG=Xu TAGDEF="Function unknown"]</t>
  </si>
  <si>
    <t>Uncharacterized protein n=1 Tax=Paramecium bursaria Chlorella virus NE-JV-4 TaxID=1278262 RepID=M1HDY7_9PHYC</t>
  </si>
  <si>
    <t>11.09.P1-39.109-48_12</t>
  </si>
  <si>
    <t>Putative lipoprotein n=1 Tax=Leptospira borgpetersenii serovar Pomona str. 200901868 TaxID=1192866 RepID=M6VZK9_LEPBO</t>
  </si>
  <si>
    <t>11.09.P1-39.109-48_17</t>
  </si>
  <si>
    <t>sp|Q5UP54|YR596_MIMIV Probable FAD-linked sulfhydryl oxidase R596 OS=Acanthamoeba polyphaga mimivirus OX=212035 GN=MIMI_R596 PE=1 SV=1</t>
  </si>
  <si>
    <t>KOG3355 [FUNC="Mitochondrial sulfhydryl oxidase involved in the biogenesis of cytosolic Fe/S proteins"] [shortName=] [TAG=O TAGDEF="Posttranslational modification, protein turnover, chaperones" PROCESS="CELLULAR PROCESSES AND SIGNALING"]  [PATHWAY=""]</t>
  </si>
  <si>
    <t>VOG00197 [FUNC="sp|P0DOL5|PG072_VAR67 Probable FAD-linked sulfhydryl oxidase OPG072"] [TAG=Xh TAGDEF="Virus protein with function beneficial for the host"]</t>
  </si>
  <si>
    <t>Sulfhydryl oxidase n=1 Tax=Acanthamoeba polyphaga mimivirus TaxID=212035 RepID=A0A0G2Y114_MIMIV</t>
  </si>
  <si>
    <t>11.09.P1-39.109-48_18</t>
  </si>
  <si>
    <t>VOG00415 [FUNC="sp|Q8QMV9|MCEL_CWPXB mRNA-capping enzyme catalytic subunit"] [TAG=Xh TAGDEF="Virus protein with function beneficial for the host"]</t>
  </si>
  <si>
    <t>mRNA-capping enzyme n=1 Tax=Pithovirus sibericum TaxID=1450746 RepID=W5SB45_9VIRU</t>
  </si>
  <si>
    <t>11.09.P1-39.109-48_2</t>
  </si>
  <si>
    <t>sp|Q9M2C0|VITH4_ARATH Vacuolar iron transporter homolog 4 OS=Arabidopsis thaliana OX=3702 GN=At3g43660 PE=2 SV=1</t>
  </si>
  <si>
    <t>COG1814 [FUNC="Predicted Fe2+/Mn2+ transporter, VIT1/CCC1 family"] [shortName=Ccc1] [TAG=P TAGDEF="Inorganic ion transport and metabolism" PROCESS="METABOLISM"]  [PATHWAY=""] hypothetical protein RAAC3_TM7C00001G0887 [Candidatus Saccharibacteria bacterium RAAC3_TM7_1]</t>
  </si>
  <si>
    <t>Uncharacterized protein n=1 Tax=Vanilla planifolia TaxID=51239 RepID=A0A835UJZ5_VANPL</t>
  </si>
  <si>
    <t>11.09.P1-39.109-48_20</t>
  </si>
  <si>
    <t>sp|Q98544|Y494R_PBCV1 Putative transcription factor A494R OS=Paramecium bursaria Chlorella virus 1 OX=10506 GN=A494R PE=3 SV=1</t>
  </si>
  <si>
    <t>VOG02094 [FUNC="sp|P0DOT5|VLTF3_VAR67 Viral late gene transcription factor 3"] [TAG=Xh TAGDEF="Virus protein with function beneficial for the host"]</t>
  </si>
  <si>
    <t>TFIIB-type domain-containing protein n=1 Tax=Dishui Lake phycodnavirus 2 TaxID=2704071 RepID=A0A6G6XP48_9PHYC</t>
  </si>
  <si>
    <t>11.09.P1-39.109-48_22</t>
  </si>
  <si>
    <t>sp|P47815|IF1A_WHEAT Eukaryotic translation initiation factor 1A OS=Triticum aestivum OX=4565 PE=1 SV=2</t>
  </si>
  <si>
    <t>KOG3403 [FUNC="Translation initiation factor 1A (eIF-1A)"] [shortName=] [TAG=J TAGDEF="Translation, ribosomal structure and biogenesis" PROCESS="INFORMATION STORAGE AND PROCESSING"]  [PATHWAY=""]</t>
  </si>
  <si>
    <t>INFORMATION STORAGE AND PROCESSING</t>
  </si>
  <si>
    <t>VOG37978 [FUNC="sp|P47815|IF1A_WHEAT Eukaryotic translation initiation factor 1A"] [TAG=Xh TAGDEF="Virus protein with function beneficial for the host"]</t>
  </si>
  <si>
    <t>S1-like domain-containing protein n=1 Tax=Kockovaella imperatae TaxID=4999 RepID=A0A1Y1UE30_9TREE</t>
  </si>
  <si>
    <t>11.09.P1-39.109-48_28</t>
  </si>
  <si>
    <t>sp|P10277|PRIM_BPP4 Putative P4-specific DNA primase OS=Enterobacteria phage P4 OX=10680 GN=Alpha PE=1 SV=1</t>
  </si>
  <si>
    <t>COG3378 [FUNC="DNA primase, phage- or plasmid-associated"] [shortName=] [TAG=X TAGDEF="Mobilome: prophages, transposons" PROCESS=""]  [PATHWAY=""] hypothetical protein [Desulfotalea psychrophila]</t>
  </si>
  <si>
    <t>VOG00099 [FUNC="sp|P04305|PG117_VACCW Uncoating factor OPG117"] [TAG=Xh TAGDEF="Virus protein with function beneficial for the host"]</t>
  </si>
  <si>
    <t>SF3 helicase domain-containing protein n=1 Tax=Paramecium bursaria Chlorella virus 1 TaxID=10506 RepID=Q98507_PBCV1</t>
  </si>
  <si>
    <t>11.09.P1-39.109-48_31</t>
  </si>
  <si>
    <t>VOG17373 [FUNC="sp|Q5UQD3|YR468_MIMIV Uncharacterized protein R468"] [TAG=Xu TAGDEF="Function unknown"]</t>
  </si>
  <si>
    <t>Uncharacterized protein n=1 Tax=Paramecium bursaria Chlorella virus NE-JV-1 TaxID=1278261 RepID=M1I1F2_9PHYC</t>
  </si>
  <si>
    <t>11.09.P1-39.109-48_35</t>
  </si>
  <si>
    <t>sp|P17057|CRTK_RHOCB Protein CrtK OS=Rhodobacter capsulatus (strain ATCC BAA-309 / NBRC 16581 / SB1003) OX=272942 GN=crtK PE=3 SV=1</t>
  </si>
  <si>
    <t>COG3476 [FUNC="Tryptophan-rich sensory protein TspO/CrtK (mitochondrial benzodiazepine receptor homolog)"] [shortName=TspO] [TAG=T TAGDEF="Signal transduction mechanisms" PROCESS="CELLULAR PROCESSES AND SIGNALING"]  [PATHWAY=""] tryptophan-rich sensory protein [Ketogulonicigenium vulgare]</t>
  </si>
  <si>
    <t>VOG27635 [FUNC="REFSEQ TspO/MBR family protein"] [TAG=Xu TAGDEF="Function unknown"]</t>
  </si>
  <si>
    <t>Tryptophan-rich sensory protein n=1 Tax=Neotabrizicola shimadae TaxID=2807096 RepID=A0A8G0ZRU7_9RHOB</t>
  </si>
  <si>
    <t>11.09.P1-39.109-48_41</t>
  </si>
  <si>
    <t>sp|Q197D1|VF143_IIV3 Putative kinase protein 029R OS=Invertebrate iridescent virus 3 OX=345201 GN=IIV3-029R PE=3 SV=1</t>
  </si>
  <si>
    <t>COG1428 [FUNC="Deoxyadenosine/deoxycytidine kinase"] [shortName=Dck] [TAG=F TAGDEF="Nucleotide transport and metabolism" PROCESS="METABOLISM"]  [PATHWAY=""] deoxynucleoside kinase [Apibacter sp. HY041]</t>
  </si>
  <si>
    <t>VOG00526 [FUNC="sp|P13300|KITH_BPT4 Thymidine kinase"] [TAG=Xh TAGDEF="Virus protein with function beneficial for the host"]</t>
  </si>
  <si>
    <t>Deoxynucleoside kinase domain-containing protein n=1 Tax=Chloropicon laureae TaxID=464258 RepID=A0A7S3E603_9CHLO</t>
  </si>
  <si>
    <t>11.09.P1-39.109-48_52</t>
  </si>
  <si>
    <t>sp|Q197B8|VF136_IIV3 Uncharacterized protein 042R OS=Invertebrate iridescent virus 3 OX=345201 GN=IIV3-042R PE=3 SV=1</t>
  </si>
  <si>
    <t>VOG12623 [FUNC="sp|Q5UQR6|YR325_MIMIV Uncharacterized protein R325"] [TAG=Xu TAGDEF="Function unknown"]</t>
  </si>
  <si>
    <t>WLM domain-containing protein n=2 Tax=unclassified Chlorovirus TaxID=346674 RepID=M1I699_9PHYC</t>
  </si>
  <si>
    <t>11.09.P1-39.109-48_53</t>
  </si>
  <si>
    <t>VOG00923 [FUNC="sp|Q5UQP8|YL454_MIMIV Uncharacterized protein L454"] [TAG=Xs TAGDEF="Virus structure"]</t>
  </si>
  <si>
    <t>DUF5899 domain-containing protein n=1 Tax=Paramecium bursaria Chlorella virus 1 TaxID=10506 RepID=Q84656_PBCV1</t>
  </si>
  <si>
    <t>11.09.P1-39.109-48_55</t>
  </si>
  <si>
    <t>E3 ubiquitin-protein ligase SHPRH n=1 Tax=Dendrobium nobile TaxID=94219 RepID=A0A8T3C3P8_DENNO</t>
  </si>
  <si>
    <t>11.09.P1-39.109-48_6</t>
  </si>
  <si>
    <t>sp|P33673|CHIS_NIACI Chitosanase OS=Niallia circulans OX=1397 GN=csn PE=1 SV=2</t>
  </si>
  <si>
    <t>VOG27473 [FUNC="REFSEQ hypothetical protein"] [TAG=Xu TAGDEF="Function unknown"]</t>
  </si>
  <si>
    <t>Chitosanase n=1 Tax=Paramecium bursaria Chlorella virus CVB-1 TaxID=1278247 RepID=M1GYJ6_9PHYC</t>
  </si>
  <si>
    <t>11.09.P1-39.109-48_62</t>
  </si>
  <si>
    <t>sp|Q5UQQ2|YR450_MIMIV Uncharacterized protein R450 OS=Acanthamoeba polyphaga mimivirus OX=212035 GN=MIMI_R450 PE=4 SV=1</t>
  </si>
  <si>
    <t>VOG00895 [FUNC="sp|Q5UQQ2|YR450_MIMIV Uncharacterized protein R450"] [TAG=Xu TAGDEF="Function unknown"]</t>
  </si>
  <si>
    <t>MYM-type zinc finger with FCS sequence motif n=1 Tax=Acanthocystis turfacea Chlorella virus OR0704.3 TaxID=1278277 RepID=M1IA40_9PHYC</t>
  </si>
  <si>
    <t>11.09.P1-39.109-48_65</t>
  </si>
  <si>
    <t>VOG02017 [FUNC="sp|Q6GZW3|012L_FRG3G Uncharacterized protein 012L"] [TAG=Xu TAGDEF="Function unknown"]</t>
  </si>
  <si>
    <t>Uncharacterized protein n=1 Tax=Micromonas pusilla virus SP1 TaxID=373996 RepID=G9E5Y6_MPSP1</t>
  </si>
  <si>
    <t>11.09.P1-39.109-48_73</t>
  </si>
  <si>
    <t>VOG04356 [FUNC="REFSEQ hypothetical protein"] [TAG=Xu TAGDEF="Function unknown"]</t>
  </si>
  <si>
    <t>Polysaccharide lyase family 14 protein n=1 Tax=Chlorella desiccata (nom. nud.) TaxID=1650286 RepID=A0A8T2I113_9CHLO</t>
  </si>
  <si>
    <t>11.09.P1-39.109-48_74</t>
  </si>
  <si>
    <t>VOG00894 [FUNC="sp|A0A7H0DNC1|RUVV_MONPV Resolvase OPG149"] [TAG=Xr TAGDEF="Virus replication"]</t>
  </si>
  <si>
    <t>Poxvirus A22-like protein n=2 Tax=unclassified Chlorovirus TaxID=346674 RepID=M1HQS6_9PHYC</t>
  </si>
  <si>
    <t>11.09.P1-39.109-48_80</t>
  </si>
  <si>
    <t>COG1216 [FUNC="Glycosyltransferase, GT2 family"] [shortName=WcaE] [TAG=G TAGDEF="Carbohydrate transport and metabolism" PROCESS="METABOLISM"]  [PATHWAY=""] hypothetical protein [Acidisphaera sp. G45-3]</t>
  </si>
  <si>
    <t>VOG00710 [FUNC="REFSEQ hypothetical protein"] [TAG=Xu TAGDEF="Function unknown"]</t>
  </si>
  <si>
    <t>Uncharacterized protein n=1 Tax=Paramecium bursaria Chlorella virus 1 TaxID=10506 RepID=Q98453_PBCV1</t>
  </si>
  <si>
    <t>11.09.P1-39.109-48_81</t>
  </si>
  <si>
    <t>Uncharacterized protein B550R n=1 Tax=Paramecium bursaria Chlorella virus NY2A TaxID=46021 RepID=A7IX75_PBCVN</t>
  </si>
  <si>
    <t>11.09.P1-39.109-48_88</t>
  </si>
  <si>
    <t>VOG33669 [FUNC="REFSEQ hypothetical protein"] [TAG=Xu TAGDEF="Function unknown"]</t>
  </si>
  <si>
    <t>Uncharacterized protein n=1 Tax=Yellowstone lake phycodnavirus 1 TaxID=1586713 RepID=A0A0P0YM58_9PHYC</t>
  </si>
  <si>
    <t>11.09.P1-39.109-48_95</t>
  </si>
  <si>
    <t>VOG00909 [FUNC="sp|Q5UQD6|YR465_MIMIV Uncharacterized protein R465"] [TAG=Xu TAGDEF="Function unknown"]</t>
  </si>
  <si>
    <t>EsV-1-42 n=1 Tax=Ectocarpus siliculosus virus 1 (isolate New Zealand/Kaikoura/1988) TaxID=654926 RepID=Q8QNM2_ESV1K</t>
  </si>
  <si>
    <t>11.09.P1-39.109-48_98</t>
  </si>
  <si>
    <t>sp|Q0WW55|ZEUS1_ARATH Thymidylate kinase OS=Arabidopsis thaliana OX=3702 GN=ZEU1 PE=2 SV=1</t>
  </si>
  <si>
    <t>KOG3327 [FUNC="Thymidylate kinase/adenylate kinase"] [shortName=] [TAG=F TAGDEF="Nucleotide transport and metabolism" PROCESS="METABOLISM"]  [PATHWAY=""]</t>
  </si>
  <si>
    <t>dTMP kinase n=1 Tax=Chlorella sorokiniana TaxID=3076 RepID=A0A2P6TY72_CHLSO</t>
  </si>
  <si>
    <t>11.09.P1-5.763-40_1</t>
  </si>
  <si>
    <t>sp|P30328|MCP_PBCV1 Major capsid protein OS=Paramecium bursaria Chlorella virus 1 OX=10506 GN=A430L PE=1 SV=3</t>
  </si>
  <si>
    <t>VOG00036 [FUNC="sp|A7U6E9|MCP_POV01 Major capsid protein"] [TAG=Xs TAGDEF="Virus structure"]</t>
  </si>
  <si>
    <t>Uncharacterized protein n=1 Tax=Chlorella vulgaris TaxID=3077 RepID=A0A9D4YYP4_CHLVU</t>
  </si>
  <si>
    <t>11.09.P1-5.763-40_10</t>
  </si>
  <si>
    <t>sp|Q9C9K2|CP123_ARATH Calvin cycle protein CP12-3, chloroplastic OS=Arabidopsis thaliana OX=3702 GN=CP12-3 PE=1 SV=1</t>
  </si>
  <si>
    <t>CP12 domain-containing protein n=1 Tax=Cyanothece sp. SIO2G6 TaxID=2607797 RepID=A0A6P0TIP9_9CYAN</t>
  </si>
  <si>
    <t>11.09.P1-5.763-40_13</t>
  </si>
  <si>
    <t>VOG27862 [FUNC="REFSEQ hypothetical protein"] [TAG=Xu TAGDEF="Function unknown"]</t>
  </si>
  <si>
    <t>Uncharacterized protein C699L n=3 Tax=Chlorovirus TaxID=181083 RepID=A7RCF2_PBCVA</t>
  </si>
  <si>
    <t>11.09.P1-5.763-40_2</t>
  </si>
  <si>
    <t>Uncharacterized protein B617L n=1 Tax=Paramecium bursaria Chlorella virus NY2A TaxID=46021 RepID=A7IXE2_PBCVN</t>
  </si>
  <si>
    <t>11.09.P1-5.763-40_3</t>
  </si>
  <si>
    <t>11.09.P1-5.763-40_6</t>
  </si>
  <si>
    <t>11.09.P1-5.763-40_8</t>
  </si>
  <si>
    <t>11.09.P1-5.763-40_9</t>
  </si>
  <si>
    <t>11.09.P1-6.727-22_1</t>
  </si>
  <si>
    <t>sp|Q6QGJ5|THY_BPT5 Probable thymidylate synthase OS=Escherichia phage T5 OX=2695836 GN=thy PE=1 SV=1</t>
  </si>
  <si>
    <t>COG0207 [FUNC="Thymidylate synthase"] [shortName=ThyA] [TAG=F TAGDEF="Nucleotide transport and metabolism" PROCESS="METABOLISM"]  [PATHWAY="Thymidylate biosynthesis"] thymidylate synthase [Alkalilimnicola ehrlichii]</t>
  </si>
  <si>
    <t>VOG00668 [FUNC="sp|P00471|TYSY_BPT4 Thymidylate synthase"] [TAG=Xr TAGDEF="Virus replication"]</t>
  </si>
  <si>
    <t>thymidylate synthase n=1 Tax=Salmonella phage Stp1 TaxID=1971233 RepID=A0A240FFN3_9CAUD</t>
  </si>
  <si>
    <t>11.09.P1-6.727-22_10</t>
  </si>
  <si>
    <t>11.09.P1-6.727-22_12</t>
  </si>
  <si>
    <t>11.09.P1-6.727-22_14</t>
  </si>
  <si>
    <t>11.09.P1-6.727-22_17</t>
  </si>
  <si>
    <t>sp|Q9WBI3|TYSY_IIV6 Probable thymidylate synthase 225R OS=Invertebrate iridescent virus 6 OX=176652 GN=IIV6-225R PE=3 SV=1</t>
  </si>
  <si>
    <t>KOG1324 [FUNC="Dihydrofolate reductase"] [shortName=] [TAG=H TAGDEF="Coenzyme transport and metabolism" PROCESS="METABOLISM"]  [PATHWAY=""]</t>
  </si>
  <si>
    <t>thymidylate synthase (Fragment) n=1 Tax=Eimeria acervulina TaxID=5801 RepID=U6GM53_EIMAC</t>
  </si>
  <si>
    <t>11.09.P1-6.727-22_3</t>
  </si>
  <si>
    <t>DUF5872 domain-containing protein n=1 Tax=Paramecium bursaria Chlorella virus CVM-1 TaxID=1278249 RepID=M1H0Y3_9PHYC</t>
  </si>
  <si>
    <t>11.09.P1-6.727-22_9</t>
  </si>
  <si>
    <t>Major capsid protein VP54 n=1 Tax=Paramecium bursaria Chlorella virus NE-JV-1 TaxID=1278261 RepID=M1HB54_9PHYC</t>
  </si>
  <si>
    <t>11.09.P2-10.003-40_13</t>
  </si>
  <si>
    <t>Effector protein B, substrate of the Dot/Icm secretion system n=1 Tax=Legionella shakespearei DSM 23087 TaxID=1122169 RepID=A0A0W0YHL1_9GAMM</t>
  </si>
  <si>
    <t>11.09.P2-10.003-40_21</t>
  </si>
  <si>
    <t>sp|Q84424|MCE_PBCV1 mRNA-capping enzyme OS=Paramecium bursaria Chlorella virus 1 OX=10506 GN=A103R PE=1 SV=1</t>
  </si>
  <si>
    <t>KOG2386 [FUNC="mRNA capping enzyme, guanylyltransferase (alpha) subunit"] [shortName=] [TAG=A TAGDEF="RNA processing and modification" PROCESS="INFORMATION STORAGE AND PROCESSING"]  [PATHWAY=""]</t>
  </si>
  <si>
    <t>mRNA guanylyltransferase n=1 Tax=Paramecium bursaria Chlorella virus AR158 TaxID=380598 RepID=A7RAU1_PBCVA</t>
  </si>
  <si>
    <t>11.09.P2-10.003-40_22</t>
  </si>
  <si>
    <t>VOG02206 [FUNC="sp|P03697|EXO_LAMBD Exonuclease"] [TAG=Xu TAGDEF="Function unknown"]</t>
  </si>
  <si>
    <t>YqaJ viral recombinase domain-containing protein n=1 Tax=Ostreococcus lucimarinus virus 2 TaxID=1663208 RepID=A0A0N7HVL0_9PHYC</t>
  </si>
  <si>
    <t>11.09.P2-10.003-40_23</t>
  </si>
  <si>
    <t>YqaJ viral recombinase domain-containing protein n=1 Tax=Acanthocystis turfacea Chlorella virus Br0604L TaxID=1278268 RepID=M1HGG5_9PHYC</t>
  </si>
  <si>
    <t>11.09.P2-10.003-40_25</t>
  </si>
  <si>
    <t>Uncharacterized protein n=1 Tax=Yasminevirus sp. GU-2018 TaxID=2420051 RepID=A0A5K0U9B2_9VIRU</t>
  </si>
  <si>
    <t>11.09.P2-10.003-40_28</t>
  </si>
  <si>
    <t>sp|Q93TM9|PCYA_NOSP7 Phycocyanobilin:ferredoxin oxidoreductase OS=Nostoc punctiforme (strain ATCC 29133 / PCC 73102) OX=63737 GN=pcyA PE=3 SV=1</t>
  </si>
  <si>
    <t>COG5692 [FUNC="Phycocyanobilin:ferredoxin oxidoreductase"] [shortName=PcyA] [TAG=C TAGDEF="Energy production and conversion" PROCESS="METABOLISM"]  [PATHWAY=""] phycocyanobilin:ferredoxin oxidoreductase [Cylindrospermum stagnale PCC 7417]</t>
  </si>
  <si>
    <t>Phycocyanobilin:ferredoxin oxidoreductase n=1 Tax=Calothrix sp. NIES-4101 TaxID=2005461 RepID=A0A1Z4R813_9CYAN</t>
  </si>
  <si>
    <t>11.09.P2-10.807-12_20</t>
  </si>
  <si>
    <t>sp|Q6LXJ8|THI4_METMP Thiamine thiazole synthase OS=Methanococcus maripaludis (strain S2 / LL) OX=267377 GN=thi4 PE=3 SV=1</t>
  </si>
  <si>
    <t>COG1233 [FUNC="Phytoene dehydrogenase-related protein"] [shortName=] [TAG=Q TAGDEF="Secondary metabolites biosynthesis, transport and catabolism" PROCESS="METABOLISM"]  [PATHWAY=""] NAD(P)/FAD-dependent oxidoreductase [Conexibacter woesei]</t>
  </si>
  <si>
    <t>Flavin containing amine oxidoreductase n=1 Tax=Klosneuvirus KNV1 TaxID=1977640 RepID=A0A1V0SLK9_9VIRU</t>
  </si>
  <si>
    <t>11.09.P2-10.807-12_24</t>
  </si>
  <si>
    <t>sp|Q196X2|VF075_IIV3 Uncharacterized protein 088R OS=Invertebrate iridescent virus 3 OX=345201 GN=IIV3-088R PE=3 SV=1</t>
  </si>
  <si>
    <t>Uncharacterized protein n=1 Tax=Ostreococcus lucimarinus virus OlV4 TaxID=754063 RepID=G9E4Z1_9PHYC</t>
  </si>
  <si>
    <t>11.09.P2-10.807-12_27</t>
  </si>
  <si>
    <t>Heme oxygenase 1, chloroplastic n=1 Tax=Cinnamomum micranthum f. kanehirae TaxID=337451 RepID=A0A443NFS8_9MAGN</t>
  </si>
  <si>
    <t>11.09.P2-10.807-12_33</t>
  </si>
  <si>
    <t>Phage tail fiber-like protein n=1 Tax=Prochlorococcus phage P-SSM2 TaxID=268746 RepID=Q58M62_BPPRM</t>
  </si>
  <si>
    <t>11.09.P2-10.807-12_36</t>
  </si>
  <si>
    <t>COG4257 [FUNC="Streptogramin lyase"] [shortName=Vgb] [TAG=V TAGDEF="Defense mechanisms" PROCESS="CELLULAR PROCESSES AND SIGNALING"]  [PATHWAY=""] hypothetical protein [Pseudarcicella sp. HME7025]</t>
  </si>
  <si>
    <t>VOG03146 [FUNC="REFSEQ virion structural protein"] [TAG=Xu TAGDEF="Function unknown"]</t>
  </si>
  <si>
    <t>Alpha-L-arabinofuranosidase B catalytic domain-containing protein n=1 Tax=Pedobacter cryotolerans TaxID=2571270 RepID=A0A4U1C7R7_9SPHI</t>
  </si>
  <si>
    <t>11.09.P2-16.535-33_10</t>
  </si>
  <si>
    <t>Major capsid protein VP54 n=1 Tax=Paramecium bursaria Chlorella virus KS1B TaxID=1278258 RepID=M1HY93_9PHYC</t>
  </si>
  <si>
    <t>11.09.P2-16.535-33_11</t>
  </si>
  <si>
    <t>Uncharacterized protein n=1 Tax=Dishui Lake large algae virus 1 TaxID=2704073 RepID=A0A6G6XPH6_9VIRU</t>
  </si>
  <si>
    <t>11.09.P2-16.535-33_27</t>
  </si>
  <si>
    <t>VOG36161 [FUNC="REFSEQ hypothetical protein"] [TAG=Xu TAGDEF="Function unknown"]</t>
  </si>
  <si>
    <t>LysM domain protein n=1 Tax=Ostreococcus mediterraneus virus 2 TaxID=2726183 RepID=A0A6H1QU80_9PHYC</t>
  </si>
  <si>
    <t>11.09.P2-16.535-33_29</t>
  </si>
  <si>
    <t>VOG18587 [FUNC="sp|Q5UQA2|YL534_MIMIV Uncharacterized protein L534"] [TAG=Xu TAGDEF="Function unknown"]</t>
  </si>
  <si>
    <t>Nudix hydrolase domain-containing protein n=1 Tax=Acanthocystis turfacea Chlorella virus NE-JV-2 TaxID=1278274 RepID=M1I2A1_9PHYC</t>
  </si>
  <si>
    <t>11.09.P2-16.535-33_3</t>
  </si>
  <si>
    <t>sp|P06854|TYSY_SHV21 Thymidylate synthase OS=Saimiriine herpesvirus 2 (strain 11) OX=10383 GN=70 PE=3 SV=1</t>
  </si>
  <si>
    <t>KOG0673 [FUNC="Thymidylate synthase"] [shortName=] [TAG=F TAGDEF="Nucleotide transport and metabolism" PROCESS="METABOLISM"]  [PATHWAY=""]</t>
  </si>
  <si>
    <t>Bifunctional dihydrofolate reductase-thymidylate synthase n=1 Tax=Phytophthora parasitica P1569 TaxID=1317065 RepID=V9F6B1_PHYPR</t>
  </si>
  <si>
    <t>11.09.P2-16.535-33_32</t>
  </si>
  <si>
    <t>VOG01376 [FUNC="sp|Q5UQN9|YR449_MIMIV Uncharacterized protein R449"] [TAG=Xu TAGDEF="Function unknown"]</t>
  </si>
  <si>
    <t>Uncharacterized protein n=1 Tax=Micromonas pusilla virus SP1 TaxID=373996 RepID=G9E5W6_MPSP1</t>
  </si>
  <si>
    <t>11.09.P2-16.535-33_34</t>
  </si>
  <si>
    <t>sp|Q7XTL7|VITH5_ORYSJ Vacuolar iron transporter homolog 5 OS=Oryza sativa subsp. japonica OX=39947 GN=Os04g0686800 PE=2 SV=3</t>
  </si>
  <si>
    <t>COG1814 [FUNC="Predicted Fe2+/Mn2+ transporter, VIT1/CCC1 family"] [shortName=Ccc1] [TAG=P TAGDEF="Inorganic ion transport and metabolism" PROCESS="METABOLISM"]  [PATHWAY=""] hypothetical protein [Cellulomonas fimi]</t>
  </si>
  <si>
    <t>Nodulin 21-related protein n=1 Tax=Serinibacter arcticus TaxID=1655435 RepID=A0A4Z1E3R2_9MICO</t>
  </si>
  <si>
    <t>11.09.P2-16.535-33_37</t>
  </si>
  <si>
    <t>sp|A7U6E9|MCP_POV01 Major capsid protein OS=Pyramimonas orientalis virus OX=455367 GN=MCP PE=3 SV=1</t>
  </si>
  <si>
    <t>Major capsid protein VP54 n=1 Tax=Acanthocystis turfacea Chlorella virus Canal-1 TaxID=1278270 RepID=M1HKQ7_9PHYC</t>
  </si>
  <si>
    <t>11.09.P2-26.769-52_13</t>
  </si>
  <si>
    <t>sp|Q6DHJ3|NVD_DANRE Cholesterol 7-desaturase nvd OS=Danio rerio OX=7955 GN=nvd PE=1 SV=1</t>
  </si>
  <si>
    <t>COG4638 [FUNC="Phenylpropionate dioxygenase or related ring-hydroxylating dioxygenase, large terminal subunit"] [shortName=HcaE] [TAG=P TAGDEF="Inorganic ion transport and metabolism" PROCESS="METABOLISM"] [TAG=R TAGDEF="General function prediction only" PROCESS="POORLY CHARACTERIZED"]  [PATHWAY=""] MULTISPECIES: (2Fe-2S)-binding protein [Sphingomonadaceae]</t>
  </si>
  <si>
    <t>VOG09765 [FUNC="sp|Q5S3I3|DDMC_STEMA Dicamba O-demethylase, oxygenase component"] [TAG=Xh TAGDEF="Virus protein with function beneficial for the host"]</t>
  </si>
  <si>
    <t>Phenoxybenzoate dioxygenase subunit alpha n=2 Tax=Enhygromyxa salina TaxID=215803 RepID=A0A2S9XFJ0_9BACT</t>
  </si>
  <si>
    <t>11.09.P2-26.769-52_24</t>
  </si>
  <si>
    <t>Endonuclease n=1 Tax=Pithovirus LCPAC304 TaxID=2506594 RepID=A0A481Z9H1_9VIRU</t>
  </si>
  <si>
    <t>11.09.P2-26.769-52_26</t>
  </si>
  <si>
    <t>LysM domain-containing protein n=1 Tax=Dishui Lake phycodnavirus 2 TaxID=2704071 RepID=A0A6G6XP26_9PHYC</t>
  </si>
  <si>
    <t>11.09.P2-26.769-52_30</t>
  </si>
  <si>
    <t>Nudix hydrolase domain-containing protein n=1 Tax=Acanthocystis turfacea Chlorella virus Canal-1 TaxID=1278270 RepID=M1HKH2_9PHYC</t>
  </si>
  <si>
    <t>11.09.P2-26.769-52_33</t>
  </si>
  <si>
    <t>Uncharacterized protein n=1 Tax=Micromonas sp. RCC1109 virus MpV1 TaxID=880161 RepID=E5EQA4_9PHYC</t>
  </si>
  <si>
    <t>11.09.P2-26.769-52_36</t>
  </si>
  <si>
    <t>VIT family protein n=2 Tax=Actinobaculum suis TaxID=1657 RepID=A0A1B9BE33_9ACTO</t>
  </si>
  <si>
    <t>11.09.P2-26.769-52_39</t>
  </si>
  <si>
    <t>11.09.P2-26.769-52_53</t>
  </si>
  <si>
    <t>11.09.P2-26.769-52_54</t>
  </si>
  <si>
    <t>11.09.P2-26.769-52_58</t>
  </si>
  <si>
    <t>Mitogen-activated protein kinase n=1 Tax=Klebsormidium nitens TaxID=105231 RepID=A0A1Y1IJG6_KLENI</t>
  </si>
  <si>
    <t>11.09.P2-26.769-52_75</t>
  </si>
  <si>
    <t>sp|P07273|TFS2_YEAST Transcription elongation factor S-II OS=Saccharomyces cerevisiae (strain ATCC 204508 / S288c) OX=559292 GN=DST1 PE=1 SV=4</t>
  </si>
  <si>
    <t>KOG1105 [FUNC="Transcription elongation factor TFIIS/Cofactor of enhancer-binding protein Sp1"] [shortName=] [TAG=K TAGDEF="Transcription" PROCESS="INFORMATION STORAGE AND PROCESSING"]  [PATHWAY=""]</t>
  </si>
  <si>
    <t>VOG01305 [FUNC="sp|A0A7H0DN39|RP30_MONPV DNA-directed RNA polymerase 30 kDa polypeptide"] [TAG=Xh TAGDEF="Virus protein with function beneficial for the host"]</t>
  </si>
  <si>
    <t>Transcription elongation factor n=1 Tax=Handroanthus impetiginosus TaxID=429701 RepID=A0A2G9I4Z6_9LAMI</t>
  </si>
  <si>
    <t>11.09.P2-26.769-52_80</t>
  </si>
  <si>
    <t>sp|A7U6F1|DPOL_CEV01 DNA polymerase OS=Chrysochromulina ericina virus OX=455364 GN=dpo PE=3 SV=1</t>
  </si>
  <si>
    <t>KOG0969 [FUNC="DNA polymerase delta, catalytic subunit"] [shortName=] [TAG=L TAGDEF="Replication, recombination and repair" PROCESS="INFORMATION STORAGE AND PROCESSING"]  [PATHWAY=""]</t>
  </si>
  <si>
    <t>VOG00312 [FUNC="sp|Q38087|DPOL_BPR69 DNA-directed DNA polymerase"] [TAG=Xh TAGDEF="Virus protein with function beneficial for the host"]</t>
  </si>
  <si>
    <t>DNA polymerase n=15 Tax=unclassified Prasinovirus TaxID=880158 RepID=C7U0P0_9PHYC</t>
  </si>
  <si>
    <t>11.09.P2-26.769-52_83</t>
  </si>
  <si>
    <t>Uncharacterized protein n=1 Tax=Tribonema minus TaxID=303371 RepID=A0A835YRA6_9STRA</t>
  </si>
  <si>
    <t>11.09.P2-3.933-55_11</t>
  </si>
  <si>
    <t>sp|Q55FV4|FNKB_DICDI Probable serine/threonine-protein kinase fnkB OS=Dictyostelium discoideum OX=44689 GN=fnkB PE=3 SV=1</t>
  </si>
  <si>
    <t>COG0515 [FUNC="Serine/threonine protein kinase"] [shortName=SPS1] [TAG=T TAGDEF="Signal transduction mechanisms" PROCESS="CELLULAR PROCESSES AND SIGNALING"]  [PATHWAY=""] serine/threonine protein kinase [Hahella chejuensis]</t>
  </si>
  <si>
    <t>VOG04211 [FUNC="REFSEQ hypothetical protein"] [TAG=Xu TAGDEF="Function unknown"]</t>
  </si>
  <si>
    <t>non-specific serine/threonine protein kinase n=1 Tax=Hahella chejuensis (strain KCTC 2396) TaxID=349521 RepID=Q2S794_HAHCH</t>
  </si>
  <si>
    <t>11.09.P2-3.933-55_15</t>
  </si>
  <si>
    <t>sp|Q10988|UVE1_SCHPO UV-damage endonuclease OS=Schizosaccharomyces pombe (strain 972 / ATCC 24843) OX=284812 GN=uve1 PE=2 SV=1</t>
  </si>
  <si>
    <t>COG4294 [FUNC="UV DNA damage repair endonuclease"] [shortName=Uve] [TAG=L TAGDEF="Replication, recombination and repair" PROCESS="INFORMATION STORAGE AND PROCESSING"]  [PATHWAY=""] UV DNA damage repair endonuclease UvsE [Halohasta litchfieldiae]</t>
  </si>
  <si>
    <t>VOG22444 [FUNC="sp|B7IR00|UVSE_BACC2 UV DNA damage endonuclease"] [TAG=Xr TAGDEF="Virus replication"]</t>
  </si>
  <si>
    <t>UV-damage endonuclease n=1 Tax=Auxenochlorella protothecoides TaxID=3075 RepID=A0A1D1ZUY1_AUXPR</t>
  </si>
  <si>
    <t>11.09.P2-3.933-55_7</t>
  </si>
  <si>
    <t>11.09.P2-3.933-55_9</t>
  </si>
  <si>
    <t>sp|Q9LZP9|CP122_ARATH Calvin cycle protein CP12-2, chloroplastic OS=Arabidopsis thaliana OX=3702 GN=CP12-2 PE=1 SV=1</t>
  </si>
  <si>
    <t>COG5761 [FUNC="Cyanobacterial/chloroplast protein CP12, regulates Calvin cycle by forming a complex with GAPDH and phosphoribulokinase"] [shortName=Cp12] [TAG=C TAGDEF="Energy production and conversion" PROCESS="METABOLISM"]  [PATHWAY=""] hypothetical protein [Nostoc punctiforme]</t>
  </si>
  <si>
    <t>11.09.P2-5.179-22_12</t>
  </si>
  <si>
    <t>11.09.P2-5.179-22_16</t>
  </si>
  <si>
    <t>sp|P51281|YCF45_PORPU Uncharacterized protein ycf45 OS=Porphyra purpurea OX=2787 GN=ycf45 PE=3 SV=1</t>
  </si>
  <si>
    <t>COG3854 [FUNC="Stage III sporulation protein SpoIIIAA"] [shortName=SpoIIIAA] [TAG=D TAGDEF="Cell cycle control, cell division, chromosome partitioning" PROCESS="CELLULAR PROCESSES AND SIGNALING"]  [PATHWAY=""] hypothetical protein [Anaerolineaceae bacterium oral taxon 439]</t>
  </si>
  <si>
    <t>Conserved hypothetical plastid protein Ycf45 n=2 Tax=Chrysochromulina TaxID=35140 RepID=A0A075DVR7_9EUKA</t>
  </si>
  <si>
    <t>11.09.P2-5.179-22_5</t>
  </si>
  <si>
    <t>11.09.P2-5.179-22_6</t>
  </si>
  <si>
    <t>Heme oxygenase-like protein n=1 Tax=Coccomyxa subellipsoidea (strain C-169) TaxID=574566 RepID=I0YPD9_COCSC</t>
  </si>
  <si>
    <t>11.09.P2-7.637-49_10</t>
  </si>
  <si>
    <t>11.09.P2-7.637-49_15</t>
  </si>
  <si>
    <t>11.09.P2-7.637-49_4</t>
  </si>
  <si>
    <t>11.09.P2-7.637-49_6</t>
  </si>
  <si>
    <t>Heme oxygenase 1, chloroplastic n=1 Tax=Oryza sativa subsp. indica TaxID=39946 RepID=B8B4C9_ORYSI</t>
  </si>
  <si>
    <t>11.09.P3-11.457-48_1</t>
  </si>
  <si>
    <t>sp|Q98514|A464_PBCV1 Putative protein A464R OS=Paramecium bursaria Chlorella virus 1 OX=10506 GN=A464R PE=3 SV=1</t>
  </si>
  <si>
    <t>COG0571 [FUNC="dsRNA-specific ribonuclease"] [shortName=Rnc] [TAG=K TAGDEF="Transcription" PROCESS="INFORMATION STORAGE AND PROCESSING"]  [PATHWAY=""] ribonuclease III [Ignavibacterium album]</t>
  </si>
  <si>
    <t>VOG03624 [FUNC="sp|Q6GZP5|RNC_FRG3G Putative ribonuclease 3"] [TAG=Xu TAGDEF="Function unknown"]</t>
  </si>
  <si>
    <t>Ribonuclease III n=1 Tax=Bathycoccus sp. RCC716 virus 1 TaxID=2530038 RepID=A0A7S6NXW0_9PHYC</t>
  </si>
  <si>
    <t>11.09.P3-11.457-48_18</t>
  </si>
  <si>
    <t>VOG03599 [FUNC="REFSEQ hypothetical protein"] [TAG=Xu TAGDEF="Function unknown"]</t>
  </si>
  <si>
    <t>Uncharacterized protein n=1 Tax=Chlorella vulgaris TaxID=3077 RepID=A0A9D4TR77_CHLVU</t>
  </si>
  <si>
    <t>11.09.P3-11.457-48_20</t>
  </si>
  <si>
    <t>VOG27565 [FUNC="REFSEQ hypothetical protein"] [TAG=Xu TAGDEF="Function unknown"]</t>
  </si>
  <si>
    <t>YqaJ viral recombinase domain-containing protein n=1 Tax=Only Syngen Nebraska virus 5 TaxID=1917232 RepID=A0A1J0F9U6_9PHYC</t>
  </si>
  <si>
    <t>11.09.P3-11.457-48_21</t>
  </si>
  <si>
    <t>sp|Q5UQ75|YL507_MIMIV Uncharacterized protein L507 OS=Acanthamoeba polyphaga mimivirus OX=212035 GN=MIMI_L507 PE=4 SV=1</t>
  </si>
  <si>
    <t>VOG25885 [FUNC="sp|Q5UQ75|YL507_MIMIV Uncharacterized protein L507"] [TAG=Xu TAGDEF="Function unknown"]</t>
  </si>
  <si>
    <t>Uncharacterized protein n=1 Tax=Paramecium bursaria Chlorella virus NE-JV-1 TaxID=1278261 RepID=M1HWI0_9PHYC</t>
  </si>
  <si>
    <t>11.09.P3-11.457-48_22</t>
  </si>
  <si>
    <t>sp|Q8SR86|CDK1_ENCCU Cyclin-dependent kinase 1 OS=Encephalitozoon cuniculi (strain GB-M1) OX=284813 GN=CDC28 PE=3 SV=1</t>
  </si>
  <si>
    <t>KOG0594 [FUNC="Protein kinase PCTAIRE and related kinases"] [shortName=] [TAG=R TAGDEF="General function prediction only" PROCESS="POORLY CHARACTERIZED"]  [PATHWAY=""]</t>
  </si>
  <si>
    <t>VOG00047 [FUNC="sp|P41719|PK1_NPVHZ Serine/threonine-protein kinase 1"] [TAG=Xh TAGDEF="Virus protein with function beneficial for the host"]</t>
  </si>
  <si>
    <t>Protein kinase domain-containing protein n=1 Tax=Adiantum capillus-veneris TaxID=13818 RepID=A0A9D4VAI3_ADICA</t>
  </si>
  <si>
    <t>11.09.P3-11.457-48_23</t>
  </si>
  <si>
    <t>sp|Q3M690|YCF3_TRIV2 Photosystem I assembly protein Ycf3 OS=Trichormus variabilis (strain ATCC 29413 / PCC 7937) OX=240292 GN=ycf3 PE=3 SV=2</t>
  </si>
  <si>
    <t>COG5713 [FUNC="Photosystem I assembly protein Ycf3, contains TPR repeats"] [shortName=Ycf3] [TAG=C TAGDEF="Energy production and conversion" PROCESS="METABOLISM"]  [PATHWAY="Photosystem I"] photosystem I assembly protein Ycf3 [Chondrocystis sp. NIES-4102]</t>
  </si>
  <si>
    <t>Tetratricopeptide repeat protein n=1 Tax=Halanaerobium sp. DL-01 TaxID=1653064 RepID=A0A368YLN0_9FIRM</t>
  </si>
  <si>
    <t>11.09.P3-11.457-48_29</t>
  </si>
  <si>
    <t>COG0463 [FUNC="Glycosyltransferase involved in cell wall bisynthesis"] [shortName=WcaA] [TAG=M TAGDEF="Cell wall/membrane/envelope biogenesis" PROCESS="CELLULAR PROCESSES AND SIGNALING"]  [PATHWAY=""] glycosyltransferase family 2 protein [Candidatus Filomicrobium marinum]</t>
  </si>
  <si>
    <t>VOG03877 [FUNC="REFSEQ hypothetical protein"] [TAG=Xu TAGDEF="Function unknown"]</t>
  </si>
  <si>
    <t>Uncharacterized protein B159R n=1 Tax=Paramecium bursaria Chlorella virus NY2A TaxID=46021 RepID=A7IW34_PBCVN</t>
  </si>
  <si>
    <t>11.09.P3-12.938-48_12</t>
  </si>
  <si>
    <t>sp|Q91FB1|VF414_IIV6 Putative hydrolase 414L OS=Invertebrate iridescent virus 6 OX=176652 GN=IIV6-414L PE=3 SV=1</t>
  </si>
  <si>
    <t>COG0617 [FUNC="tRNA nucleotidyltransferase/poly(A) polymerase"] [shortName=PcnB] [TAG=J TAGDEF="Translation, ribosomal structure and biogenesis" PROCESS="INFORMATION STORAGE AND PROCESSING"]  [PATHWAY="tRNA modification"] NUDIX domain-containing protein [Leptotrichia buccalis]</t>
  </si>
  <si>
    <t>VOG00407 [FUNC="sp|P32271|Y06L_BPT4 Uncharacterized 17.7 kDa protein in e-segB intergenic region"] [TAG=Xu TAGDEF="Function unknown"]</t>
  </si>
  <si>
    <t>Diadenosine 5'5'''-P1,P4-tetraphosphate pyrophosphohydrolase (MutT/nudix family protein) n=3 Tax=Metamycoplasma alkalescens TaxID=45363 RepID=N9SQK3_9BACT</t>
  </si>
  <si>
    <t>11.09.P3-12.938-48_13</t>
  </si>
  <si>
    <t>sp|P0C8G8|FLSO_ASFK5 FAD-linked sulfhydryl oxidase OS=African swine fever virus (isolate Pig/Kenya/KEN-50/1950) OX=561445 GN=Ken-085 PE=3 SV=1</t>
  </si>
  <si>
    <t>FAD-linked sulfhydryl oxidase n=2 Tax=African swine fever virus TaxID=10497 RepID=FLSO_ASFK5</t>
  </si>
  <si>
    <t>11.09.P3-12.938-48_15</t>
  </si>
  <si>
    <t>DUF2306 domain-containing protein n=1 Tax=Only Syngen Nebraska virus 5 TaxID=1917232 RepID=A0A1J0F995_9PHYC</t>
  </si>
  <si>
    <t>11.09.P3-12.938-48_16</t>
  </si>
  <si>
    <t>sp|Q9WZ31|CORA_THEMA Cobalt/magnesium transport protein CorA OS=Thermotoga maritima (strain ATCC 43589 / DSM 3109 / JCM 10099 / NBRC 100826 / MSB8) OX=243274 GN=corA PE=1 SV=1</t>
  </si>
  <si>
    <t>COG0598 [FUNC="Mg2+ and Co2+ transporter CorA"] [shortName=CorA] [TAG=P TAGDEF="Inorganic ion transport and metabolism" PROCESS="METABOLISM"]  [PATHWAY=""] hypothetical protein [Aminipila sp. JN-39]</t>
  </si>
  <si>
    <t>Cobalt transporter n=1 Tax=Roseburia sp. OF03-24 TaxID=2292367 RepID=A0A413HF24_9FIRM</t>
  </si>
  <si>
    <t>11.09.P3-12.938-48_24</t>
  </si>
  <si>
    <t>VOG00921 [FUNC="sp|Q1I0U1|VP11_MPRVN Uncharacterized protein VP11"] [TAG=Xu TAGDEF="Function unknown"]</t>
  </si>
  <si>
    <t>SMODS and SLOG-associating 2TM effector domain-containing protein n=1 Tax=Mimiviridae sp. ChoanoV1 TaxID=2596887 RepID=A0A5B8IG29_9VIRU</t>
  </si>
  <si>
    <t>11.09.P3-12.938-48_6</t>
  </si>
  <si>
    <t>sp|P17714|ASNS_MESAU Asparagine synthetase [glutamine-hydrolyzing] OS=Mesocricetus auratus OX=10036 GN=ASNS PE=1 SV=3</t>
  </si>
  <si>
    <t>KOG0571 [FUNC="Asparagine synthase (glutamine-hydrolyzing)"] [shortName=] [TAG=E TAGDEF="Amino acid transport and metabolism" PROCESS="METABOLISM"]  [PATHWAY=""]</t>
  </si>
  <si>
    <t>VOG03637 [FUNC="sp|P19891|ASNS_CRIGR Asparagine synthetase [glutamine-hydrolyzing]"] [TAG=Xh TAGDEF="Virus protein with function beneficial for the host"]</t>
  </si>
  <si>
    <t>Asparagine synthetase B n=1 Tax=Chrysochromulina ericina virus TaxID=455364 RepID=A0A0N9QYX6_CEV01</t>
  </si>
  <si>
    <t>11.09.P3-16.243-33_11</t>
  </si>
  <si>
    <t>11.09.P3-16.243-33_12</t>
  </si>
  <si>
    <t>sp|Q3AKB1|PCYA_SYNSC Phycocyanobilin:ferredoxin oxidoreductase OS=Synechococcus sp. (strain CC9605) OX=110662 GN=pcyA PE=3 SV=1</t>
  </si>
  <si>
    <t>COG5692 [FUNC="Phycocyanobilin:ferredoxin oxidoreductase"] [shortName=PcyA] [TAG=C TAGDEF="Energy production and conversion" PROCESS="METABOLISM"]  [PATHWAY=""] phycocyanobilin:ferredoxin oxidoreductase [Chamaesiphon minutus PCC 6605]</t>
  </si>
  <si>
    <t>Phycocyanobilin:ferredoxin oxidoreductase n=1 Tax=Calothrix brevissima NIES-22 TaxID=1973478 RepID=A0A1Z4K903_9CYAN</t>
  </si>
  <si>
    <t>11.09.P3-16.243-33_16</t>
  </si>
  <si>
    <t>sp|A7U6F0|MCP_PPV01 Major capsid protein OS=Phaeocystis pouchetii virus OX=455365 GN=MCP PE=3 SV=1</t>
  </si>
  <si>
    <t>Major capsid protein Vp54 n=1 Tax=Only Syngen Nebraska virus 5 TaxID=1917232 RepID=A0A1J0FA58_9PHYC</t>
  </si>
  <si>
    <t>11.09.P3-16.243-33_23</t>
  </si>
  <si>
    <t>sp|Q9BY84|DUS16_HUMAN Dual specificity protein phosphatase 16 OS=Homo sapiens OX=9606 GN=DUSP16 PE=1 SV=1</t>
  </si>
  <si>
    <t>KOG1716 [FUNC="Dual specificity phosphatase"] [shortName=] [TAG=V TAGDEF="Defense mechanisms" PROCESS="CELLULAR PROCESSES AND SIGNALING"]  [PATHWAY=""]</t>
  </si>
  <si>
    <t>VOG01363 [FUNC="sp|A0A7H0DN78|DUSP_MONPV Dual specificity protein phosphatase OPG106"] [TAG=Xh TAGDEF="Virus protein with function beneficial for the host"]</t>
  </si>
  <si>
    <t>Dual specificity protein phosphatase 16 / mitogen-activated protein kinase phosphatase 7 n=1 Tax=Acanthocystis turfacea Chlorella virus Canal-1 TaxID=1278270 RepID=M1HIX8_9PHYC</t>
  </si>
  <si>
    <t>11.09.P3-16.243-33_27</t>
  </si>
  <si>
    <t>COG1216 [FUNC="Glycosyltransferase, GT2 family"] [shortName=WcaE] [TAG=G TAGDEF="Carbohydrate transport and metabolism" PROCESS="METABOLISM"]  [PATHWAY=""] hypothetical protein [Mitsuaria sp. 7]</t>
  </si>
  <si>
    <t>Glycosyltransferase family 2 protein n=1 Tax=Polynucleobacter paneuropaeus TaxID=2527775 RepID=A0A9Q7AWM3_9BURK</t>
  </si>
  <si>
    <t>11.09.P3-16.243-33_36</t>
  </si>
  <si>
    <t>VOG26580 [FUNC="REFSEQ hypothetical protein"] [TAG=Xu TAGDEF="Function unknown"]</t>
  </si>
  <si>
    <t>F5/8 type C domain-containing protein n=1 Tax=Paenibacillus sp. LK1 TaxID=2053014 RepID=A0A2G7LS59_9BACL</t>
  </si>
  <si>
    <t>11.09.P3-16.243-33_39</t>
  </si>
  <si>
    <t>F5/8 type C domain-containing protein n=2 Tax=Leeuwenhoekiella TaxID=283735 RepID=A3XPP6_LEEBM</t>
  </si>
  <si>
    <t>11.09.P3-16.243-33_8</t>
  </si>
  <si>
    <t>11.09.P3-16.243-33_9</t>
  </si>
  <si>
    <t>11.09.P3-42.981-52_1</t>
  </si>
  <si>
    <t>sp|B3EH32|PSD_CHLL2 Phosphatidylserine decarboxylase proenzyme OS=Chlorobium limicola (strain DSM 245 / NBRC 103803 / 6330) OX=290315 GN=psd PE=3 SV=1</t>
  </si>
  <si>
    <t>COG0688 [FUNC="Phosphatidylserine decarboxylase"] [shortName=Psd] [TAG=I TAGDEF="Lipid transport and metabolism" PROCESS="METABOLISM"]  [PATHWAY="Phospholipid biosynthesis"] phosphatidylserine decarboxylase [Thermodesulfovibrio yellowstonii DSM 11347]</t>
  </si>
  <si>
    <t>key enzymes of lipid metabolism</t>
  </si>
  <si>
    <t>Phosphatidylserine decarboxylase proenzyme n=1 Tax=Chlorobium limicola (strain DSM 245 / NBRC 103803 / 6330) TaxID=290315 RepID=PSD_CHLL2</t>
  </si>
  <si>
    <t>11.09.P3-42.981-52_10</t>
  </si>
  <si>
    <t>sp|Q9J579|DCK2_FOWPN Probable deoxycytidine kinase FPV151 OS=Fowlpox virus (strain NVSL) OX=928301 GN=FPV151 PE=3 SV=1</t>
  </si>
  <si>
    <t>COG1428 [FUNC="Deoxyadenosine/deoxycytidine kinase"] [shortName=Dck] [TAG=F TAGDEF="Nucleotide transport and metabolism" PROCESS="METABOLISM"]  [PATHWAY=""] deoxynucleoside kinase [Candidatus Dependentiae bacterium (ex Spumella elongata CCAP 955/1)]</t>
  </si>
  <si>
    <t>Deoxyribonucleoside kinase n=1 Tax=Chrysochromulina ericina virus TaxID=455364 RepID=A0A0N7G7M0_CEV01</t>
  </si>
  <si>
    <t>11.09.P3-42.981-52_12</t>
  </si>
  <si>
    <t>VOG01330 [FUNC="sp|P13303|Y05O_BPT4 Uncharacterized 14.6 kDa protein in mobD-ri intergenic region"] [TAG=Xu TAGDEF="Function unknown"]</t>
  </si>
  <si>
    <t>Uncharacterized protein n=1 Tax=Paramecium bursaria Chlorella virus MA1D TaxID=240268 RepID=M1H7G5_9PHYC</t>
  </si>
  <si>
    <t>11.09.P3-42.981-52_14</t>
  </si>
  <si>
    <t>sp|Q5UQV1|YR354_MIMIV Uncharacterized protein R354 OS=Acanthamoeba polyphaga mimivirus OX=212035 GN=MIMI_R354 PE=1 SV=1</t>
  </si>
  <si>
    <t>COG5377 [FUNC="Phage-related protein, predicted endonuclease"] [shortName=] [TAG=X TAGDEF="Mobilome: prophages, transposons" PROCESS=""]  [PATHWAY=""] exonuclease [Paenalcaligenes hominis]</t>
  </si>
  <si>
    <t>VOG01322 [FUNC="sp|Q5UQV1|YR354_MIMIV Uncharacterized protein R354"] [TAG=Xu TAGDEF="Function unknown"]</t>
  </si>
  <si>
    <t>YqaJ-like viral recombinase n=1 Tax=Chrysochromulina ericina virus TaxID=455364 RepID=A0A0N9Q9D4_CEV01</t>
  </si>
  <si>
    <t>11.09.P3-42.981-52_15</t>
  </si>
  <si>
    <t>sp|P50648|RIR1_PLAF4 Ribonucleoside-diphosphate reductase large subunit OS=Plasmodium falciparum (isolate Dd2) OX=57267 GN=RNR1 PE=2 SV=1</t>
  </si>
  <si>
    <t>COG0209 [FUNC="Ribonucleotide reductase alpha subunit"] [shortName=NrdA] [TAG=F TAGDEF="Nucleotide transport and metabolism" PROCESS="METABOLISM"]  [PATHWAY="Pyrimidine salvage"] ribonucleoside-diphosphate reductase subunit alpha [Chitinophaga pinensis]</t>
  </si>
  <si>
    <t>VOG00055 [FUNC="sp|P00452|RIR1_ECOLI Ribonucleoside-diphosphate reductase 1 subunit alpha"] [TAG=Xh TAGDEF="Virus protein with function beneficial for the host"]</t>
  </si>
  <si>
    <t>Ribonucleoside-diphosphate reductase n=3 Tax=unclassified Prymnesiovirus TaxID=358403 RepID=R4TQ72_9PHYC</t>
  </si>
  <si>
    <t>11.09.P3-42.981-52_17</t>
  </si>
  <si>
    <t>DEAD/SNF2-like helicase n=1 Tax=Catovirus CTV1 TaxID=1977631 RepID=A0A1V0SBK0_9VIRU</t>
  </si>
  <si>
    <t>11.09.P3-42.981-52_18</t>
  </si>
  <si>
    <t>Chitin-binding type-2 domain-containing protein n=1 Tax=Chrysochromulina ericina virus TaxID=455364 RepID=A0A0N7G7L5_CEV01</t>
  </si>
  <si>
    <t>11.09.P3-42.981-52_2</t>
  </si>
  <si>
    <t>sp|Q5UQ73|YL509_MIMIV Uncharacterized protein L509 OS=Acanthamoeba polyphaga mimivirus OX=212035 GN=MIMI_L509 PE=4 SV=1</t>
  </si>
  <si>
    <t>COG2129 [FUNC="Predicted phosphoesterase, related to the Icc protein"] [shortName=] [TAG=R TAGDEF="General function prediction only" PROCESS="POORLY CHARACTERIZED"]  [PATHWAY=""] metallophosphoesterase [Pusillimonas sp. T7-7]</t>
  </si>
  <si>
    <t>VOG00205 [FUNC="sp|Q5UQ73|YL509_MIMIV Uncharacterized protein L509"] [TAG=Xu TAGDEF="Function unknown"]</t>
  </si>
  <si>
    <t>Calcineurin-like phosphoesterase domain-containing protein n=1 Tax=Cafeteria roenbergensis virus (strain BV-PW1) TaxID=693272 RepID=E3T5G4_CROVB</t>
  </si>
  <si>
    <t>11.09.P3-42.981-52_20</t>
  </si>
  <si>
    <t>sp|P08003|PDIA4_MOUSE Protein disulfide-isomerase A4 OS=Mus musculus OX=10090 GN=Pdia4 PE=1 SV=3</t>
  </si>
  <si>
    <t>KOG0190 [FUNC="Protein disulfide isomerase (prolyl 4-hydroxylase beta subunit)"] [shortName=] [TAG=O TAGDEF="Posttranslational modification, protein turnover, chaperones" PROCESS="CELLULAR PROCESSES AND SIGNALING"]  [PATHWAY=""]</t>
  </si>
  <si>
    <t>VOG00039 [FUNC="sp|P00276|GLRX_BPT4 Glutaredoxin"] [TAG=Xh TAGDEF="Virus protein with function beneficial for the host"]</t>
  </si>
  <si>
    <t>Protein Disulfide Isomerase (PDIa) n=1 Tax=Chrysochromulina ericina virus TaxID=455364 RepID=A0A0N9QAF9_CEV01</t>
  </si>
  <si>
    <t>11.09.P3-42.981-52_21</t>
  </si>
  <si>
    <t>Uncharacterized protein n=1 Tax=Chrysochromulina ericina virus TaxID=455364 RepID=A0A0N9QQL3_CEV01</t>
  </si>
  <si>
    <t>11.09.P3-42.981-52_23</t>
  </si>
  <si>
    <t>Uncharacterized protein n=1 Tax=Chrysochromulina ericina virus TaxID=455364 RepID=A0A0N7G7L8_CEV01</t>
  </si>
  <si>
    <t>11.09.P3-42.981-52_24</t>
  </si>
  <si>
    <t>Uncharacterized protein n=1 Tax=Chrysochromulina ericina virus TaxID=455364 RepID=A0A0N9R3Q1_CEV01</t>
  </si>
  <si>
    <t>11.09.P3-42.981-52_3</t>
  </si>
  <si>
    <t>Major capsid protein n=1 Tax=Phaeocystis pouchetii virus TaxID=455365 RepID=MCP_PPV01</t>
  </si>
  <si>
    <t>11.09.P3-42.981-52_30</t>
  </si>
  <si>
    <t>sp|Q5UQ46|YL396_MIMIV Putative ATP-dependent RNA helicase L396 OS=Acanthamoeba polyphaga mimivirus OX=212035 GN=MIMI_L396 PE=3 SV=1</t>
  </si>
  <si>
    <t>COG4951 [FUNC="Uncharacterized conserved protein"] [shortName=] [TAG=S TAGDEF="Function unknown" PROCESS="POORLY CHARACTERIZED"]  [PATHWAY=""] DEAD/DEAH box helicase [Lactobacillus reuteri]</t>
  </si>
  <si>
    <t>VOG00037 [FUNC="sp|P20703|UVSW_BPT4 ATP-dependent DNA helicase uvsW"] [TAG=Xh TAGDEF="Virus protein with function beneficial for the host"]</t>
  </si>
  <si>
    <t>VV A18-like intein-containing helicase n=3 Tax=unclassified Prymnesiovirus TaxID=358403 RepID=R4TWJ8_9PHYC</t>
  </si>
  <si>
    <t>11.09.P3-42.981-52_34</t>
  </si>
  <si>
    <t>sp|Q5UQP2|YL446_MIMIV Uncharacterized protein L446 OS=Acanthamoeba polyphaga mimivirus OX=212035 GN=MIMI_L446 PE=3 SV=1</t>
  </si>
  <si>
    <t>COG1752 [FUNC="Predicted acylesterase/phospholipase RssA, containd patatin domain"] [shortName=RssA] [TAG=R TAGDEF="General function prediction only" PROCESS="POORLY CHARACTERIZED"]  [PATHWAY=""] MULTISPECIES: patatin [Bacillus]</t>
  </si>
  <si>
    <t>VOG13962 [FUNC="sp|Q5UQP2|YL446_MIMIV Uncharacterized protein L446"] [TAG=Xh TAGDEF="Virus protein with function beneficial for the host"]</t>
  </si>
  <si>
    <t>Patatin-like phospholipase n=1 Tax=Chrysochromulina ericina virus TaxID=455364 RepID=A0A0N9QX80_CEV01</t>
  </si>
  <si>
    <t>11.09.P3-42.981-52_35</t>
  </si>
  <si>
    <t>Sulfhydryl oxidase n=1 Tax=Chrysochromulina ericina virus TaxID=455364 RepID=A0A0N9R3C7_CEV01</t>
  </si>
  <si>
    <t>11.09.P3-42.981-52_38</t>
  </si>
  <si>
    <t>sp|A6LHT2|RNH2_PARD8 Ribonuclease HII OS=Parabacteroides distasonis (strain ATCC 8503 / DSM 20701 / CIP 104284 / JCM 5825 / NCTC 11152) OX=435591 GN=rnhB PE=3 SV=1</t>
  </si>
  <si>
    <t>COG0164 [FUNC="Ribonuclease HII"] [shortName=RnhB] [TAG=L TAGDEF="Replication, recombination and repair" PROCESS="INFORMATION STORAGE AND PROCESSING"]  [PATHWAY=""] ribonuclease HII [Tenacibaculum dicentrarchi]</t>
  </si>
  <si>
    <t>VOG26397 [FUNC="sp|A0Q7F9|RNH2_FRATN Ribonuclease HII"] [TAG=Xu TAGDEF="Function unknown"]</t>
  </si>
  <si>
    <t>Ribonuclease HII n=1 Tax=Chrysochromulina ericina virus TaxID=455364 RepID=A0A0N9QYD4_CEV01</t>
  </si>
  <si>
    <t>11.09.P3-42.981-52_4</t>
  </si>
  <si>
    <t>sp|Q5UQL9|YR423_MIMIV Uncharacterized protein R423 OS=Acanthamoeba polyphaga mimivirus OX=212035 GN=MIMI_R423 PE=4 SV=1</t>
  </si>
  <si>
    <t>VOG02070 [FUNC="sp|Q5UPT6|YL245_MIMIV Uncharacterized HNH endonuclease L245"] [TAG=Xu TAGDEF="Function unknown"]</t>
  </si>
  <si>
    <t>Uncharacterized protein n=1 Tax=Yasminevirus sp. GU-2018 TaxID=2420051 RepID=A0A5K0UAJ3_9VIRU</t>
  </si>
  <si>
    <t>11.09.P3-42.981-52_40</t>
  </si>
  <si>
    <t>sp|Q1WUF9|DPO3_LIGS1 DNA polymerase III PolC-type OS=Ligilactobacillus salivarius (strain UCC118) OX=362948 GN=polC PE=3 SV=1</t>
  </si>
  <si>
    <t>COG0847 [FUNC="DNA polymerase III, epsilon subunit or related 3'-5' exonuclease"] [shortName=DnaQ] [TAG=L TAGDEF="Replication, recombination and repair" PROCESS="INFORMATION STORAGE AND PROCESSING"]  [PATHWAY=""] 3'-5' exonuclease [Methanospirillum hungatei]</t>
  </si>
  <si>
    <t>VOG00907 [FUNC="REFSEQ putative ATP-dependent DNA helicase"] [TAG=Xu TAGDEF="Function unknown"]</t>
  </si>
  <si>
    <t>DEDDh 3'-5' exonuclease n=1 Tax=Chrysochromulina ericina virus TaxID=455364 RepID=A0A0N9R3M9_CEV01</t>
  </si>
  <si>
    <t>11.09.P3-42.981-52_43</t>
  </si>
  <si>
    <t>VOG35634 [FUNC="REFSEQ hypothetical protein"] [TAG=Xu TAGDEF="Function unknown"]</t>
  </si>
  <si>
    <t>HNH endonuclease n=1 Tax=Chrysochromulina ericina virus TaxID=455364 RepID=A0A0N7G7L6_CEV01</t>
  </si>
  <si>
    <t>11.09.P3-42.981-52_45</t>
  </si>
  <si>
    <t>Uncharacterized protein n=3 Tax=unclassified Prymnesiovirus TaxID=358403 RepID=R4TWE8_9PHYC</t>
  </si>
  <si>
    <t>11.09.P3-42.981-52_47</t>
  </si>
  <si>
    <t>VOG25844 [FUNC="REFSEQ hypothetical protein"] [TAG=Xu TAGDEF="Function unknown"]</t>
  </si>
  <si>
    <t>Rhodanese domain-containing protein n=1 Tax=Chrysochromulina ericina virus TaxID=455364 RepID=A0A0N9Q9E2_CEV01</t>
  </si>
  <si>
    <t>11.09.P3-42.981-52_49</t>
  </si>
  <si>
    <t>sp|Q5UQM6|YR429_MIMIV Putative transcription factor R429 OS=Acanthamoeba polyphaga mimivirus OX=212035 GN=MIMI_R429 PE=3 SV=1</t>
  </si>
  <si>
    <t>Poxvirus related late transcription factor VLTF3 n=1 Tax=Chrysochromulina ericina virus TaxID=455364 RepID=A0A0N9QYA5_CEV01</t>
  </si>
  <si>
    <t>11.09.P3-42.981-52_6</t>
  </si>
  <si>
    <t>sp|Q8K9D0|EX53_BUCAP 5'-3' exonuclease OS=Buchnera aphidicola subsp. Schizaphis graminum (strain Sg) OX=198804 GN=pol PE=3 SV=1</t>
  </si>
  <si>
    <t>COG0749 [FUNC="DNA polymerase I, 3'-5' exonuclease and polymerase domains"] [shortName=PolA] [TAG=L TAGDEF="Replication, recombination and repair" PROCESS="INFORMATION STORAGE AND PROCESSING"]  [PATHWAY=""] DNA polymerase I [Candidatus Filomicrobium marinum]</t>
  </si>
  <si>
    <t>VOG21610 [FUNC="sp|P13319|RNH_BPT4 Ribonuclease H"] [TAG=Xr TAGDEF="Virus replication"]</t>
  </si>
  <si>
    <t>Ribonuclease H n=1 Tax=Chrysochromulina ericina virus TaxID=455364 RepID=A0A0N9QAP6_CEV01</t>
  </si>
  <si>
    <t>11.09.P3-42.981-52_7</t>
  </si>
  <si>
    <t>Cytidylyltransferase family n=1 Tax=Mimiviridae sp. ChoanoV1 TaxID=2596887 RepID=A0A5B8IIC3_9VIRU</t>
  </si>
  <si>
    <t>11.09.P3-42.981-52_8</t>
  </si>
  <si>
    <t>Uncharacterized protein n=1 Tax=Aspergillus lentulus TaxID=293939 RepID=A0A0S7E5X5_9EURO</t>
  </si>
  <si>
    <t>11.09.P3-42.981-52_9</t>
  </si>
  <si>
    <t>sp|O69671|EGTB_MYCTU Hercynine oxygenase OS=Mycobacterium tuberculosis (strain ATCC 25618 / H37Rv) OX=83332 GN=egtB PE=1 SV=1</t>
  </si>
  <si>
    <t>COG1262 [FUNC="Formylglycine-generating enzyme, required for sulfatase activity, contains SUMF1/FGE domain"] [shortName=YfmG] [TAG=O TAGDEF="Posttranslational modification, protein turnover, chaperones" PROCESS="CELLULAR PROCESSES AND SIGNALING"]  [PATHWAY=""] protein of unknown function DUF323 [Nitrosopumilus maritimus SCM1]</t>
  </si>
  <si>
    <t>Sulfatase-modifying factor enzyme 1 n=1 Tax=Mimiviridae sp. ChoanoV1 TaxID=2596887 RepID=A0A5B8HXM3_9VIRU</t>
  </si>
  <si>
    <t>23.10.P2-4.160-19_4</t>
  </si>
  <si>
    <t>sp|Q5UQE6|TOP2_MIMIV DNA topoisomerase 2 OS=Acanthamoeba polyphaga mimivirus OX=212035 GN=TOP2 PE=3 SV=1</t>
  </si>
  <si>
    <t>KOG0355 [FUNC="DNA topoisomerase type II"] [shortName=] [TAG=B TAGDEF="Chromatin structure and dynamics" PROCESS="INFORMATION STORAGE AND PROCESSING"]  [PATHWAY=""]</t>
  </si>
  <si>
    <t>VOG00518 [FUNC="sp|P41515|TOP2A_CRIGR DNA topoisomerase 2-alpha"] [TAG=Xh TAGDEF="Virus protein with function beneficial for the host"]</t>
  </si>
  <si>
    <t>DNA topoisomerase (ATP-hydrolyzing) n=1 Tax=Iridovirus LCIVAC01 TaxID=2506607 RepID=A0A481YPP8_9VIRU</t>
  </si>
  <si>
    <t>23.10.P2-4.160-19_5</t>
  </si>
  <si>
    <t>sp|O27105|ASD_METTH Putative archaetidylserine decarboxylase proenzyme OS=Methanothermobacter thermautotrophicus (strain ATCC 29096 / DSM 1053 / JCM 10044 / NBRC 100330 / Delta H) OX=187420 GN=asd PE=3 SV=1</t>
  </si>
  <si>
    <t>COG0688 [FUNC="Phosphatidylserine decarboxylase"] [shortName=Psd] [TAG=I TAGDEF="Lipid transport and metabolism" PROCESS="METABOLISM"]  [PATHWAY="Phospholipid biosynthesis"] phosphatidylserine decarboxylase [Streptacidiphilus sp. DSM 106435]</t>
  </si>
  <si>
    <t>Phosphatidylserine decarboxylase proenzyme n=1 Tax=Streptomyces sp. Tue6028 TaxID=2036037 RepID=A0A2A3H0M5_9ACTN</t>
  </si>
  <si>
    <t>23.10.P2-4.160-19_7</t>
  </si>
  <si>
    <t>sp|O39164|MCP_IRV16 Major capsid protein OS=Costelytra zealandica iridescent virus OX=68348 GN=MCP PE=3 SV=1</t>
  </si>
  <si>
    <t>Major capsid protein n=1 Tax=Costelytra zealandica iridescent virus TaxID=68348 RepID=MCP_IRV16</t>
  </si>
  <si>
    <t>05.07.P3-10.188-27_11</t>
  </si>
  <si>
    <t>Uncharacterized protein n=1 Tax=Pyramimonas orientalis virus TaxID=455367 RepID=A0A7M4CEQ0_POV01</t>
  </si>
  <si>
    <t>05.07.P3-10.188-27_12</t>
  </si>
  <si>
    <t>sp|P09599|PHL1_BACCE Sphingomyelinase C OS=Bacillus cereus OX=1396 GN=sph PE=3 SV=1</t>
  </si>
  <si>
    <t>COG3568 [FUNC="Metal-dependent hydrolase, endonuclease/exonuclease/phosphatase family"] [shortName=ElsH] [TAG=R TAGDEF="General function prediction only" PROCESS="POORLY CHARACTERIZED"]  [PATHWAY=""] sphingomyelinase C [Bacillus anthracis str. Ames]</t>
  </si>
  <si>
    <t>POORLY CHARACTERIZED</t>
  </si>
  <si>
    <t>Endonuclease/exonuclease/phosphatase family protein n=1 Tax=Rhodococcus sp. 4CII TaxID=2834580 RepID=A0A842K6U1_9NOCA</t>
  </si>
  <si>
    <t>05.07.P3-10.188-27_6</t>
  </si>
  <si>
    <t>sp|Q04449|PHR_ALKPO Deoxyribodipyrimidine photo-lyase OS=Alkalihalophilus pseudofirmus (strain ATCC BAA-2126 / JCM 17055 / OF4) OX=398511 GN=phr PE=3 SV=2</t>
  </si>
  <si>
    <t>COG0415 [FUNC="Deoxyribodipyrimidine photolyase"] [shortName=PhrB] [TAG=L TAGDEF="Replication, recombination and repair" PROCESS="INFORMATION STORAGE AND PROCESSING"]  [PATHWAY=""] deoxyribodipyrimidine photo-lyase [Methanohalobium evestigatum]</t>
  </si>
  <si>
    <t>VOG02115 [FUNC="sp|P34205|PHR_CARAU Deoxyribodipyrimidine photo-lyase"] [TAG=Xh TAGDEF="Virus protein with function beneficial for the host"]</t>
  </si>
  <si>
    <t>Deoxyribodipyrimidine photo-lyase n=1 Tax=Methanolobus vulcani TaxID=38026 RepID=A0A7Z8P1G5_9EURY</t>
  </si>
  <si>
    <t>05.07.P3-10.188-27_8</t>
  </si>
  <si>
    <t>sp|Q9V4N3|CYB5_DROME Cytochrome b5 OS=Drosophila melanogaster OX=7227 GN=Cyt-b5 PE=2 SV=1</t>
  </si>
  <si>
    <t>KOG0537 [FUNC="Cytochrome b5"] [shortName=] [TAG=C TAGDEF="Energy production and conversion" PROCESS="METABOLISM"]  [PATHWAY=""]</t>
  </si>
  <si>
    <t>Cytochrome b5 C n=1 Tax=Cavenderia fasciculata TaxID=261658 RepID=F4QFQ2_CACFS</t>
  </si>
  <si>
    <t>05.07.P3-10.188-27_9</t>
  </si>
  <si>
    <t>sp|P44414|MTHD_HAEIN Type II methyltransferase M.HindII OS=Haemophilus influenzae (strain ATCC 51907 / DSM 11121 / KW20 / Rd) OX=71421 GN=hindIIM PE=3 SV=1</t>
  </si>
  <si>
    <t>COG0827 [FUNC="Adenine-specific DNA N6-methylase"] [shortName=YtxK] [TAG=L TAGDEF="Replication, recombination and repair" PROCESS="INFORMATION STORAGE AND PROCESSING"]  [PATHWAY=""] adenine-specific DNA methyltransferase [Helicobacter pylori 26695]</t>
  </si>
  <si>
    <t>VOG00455 [FUNC="sp|P52284|MTR1_PBCVX Type II methyltransferase M.CvrRI"] [TAG=Xh TAGDEF="Virus protein with function beneficial for the host"]</t>
  </si>
  <si>
    <t>site-specific DNA-methyltransferase (adenine-specific) n=3 Tax=unclassified Prymnesiovirus TaxID=358403 RepID=R4TFA0_9PHYC</t>
  </si>
  <si>
    <t>05.07.P3-10.306-9.0_10</t>
  </si>
  <si>
    <t>sp|Q5UQF3|YR481_MIMIV Uncharacterized protein R481 OS=Acanthamoeba polyphaga mimivirus OX=212035 GN=MIMI_R481 PE=4 SV=1</t>
  </si>
  <si>
    <t>VOG08407 [FUNC="sp|Q5UQF3|YR481_MIMIV Uncharacterized protein R481"] [TAG=Xu TAGDEF="Function unknown"]</t>
  </si>
  <si>
    <t>Putative minor capsid protein n=1 Tax=Klosneuvirus KNV1 TaxID=1977640 RepID=A0A1V0SHU9_9VIRU</t>
  </si>
  <si>
    <t>05.07.P3-10.306-9.0_5</t>
  </si>
  <si>
    <t>sp|P15348|TOP2_DROME DNA topoisomerase 2 OS=Drosophila melanogaster OX=7227 GN=Top2 PE=1 SV=1</t>
  </si>
  <si>
    <t>DNA topoisomerase 2 n=1 Tax=Catovirus CTV1 TaxID=1977631 RepID=A0A1V0SBJ6_9VIRU</t>
  </si>
  <si>
    <t>05.07.P3-10.306-9.0_6</t>
  </si>
  <si>
    <t>sp|P30182|TOP2_ARATH DNA topoisomerase 2 OS=Arabidopsis thaliana OX=3702 GN=TOP2 PE=2 SV=2</t>
  </si>
  <si>
    <t>DNA topoisomerase 2 (Fragment) n=1 Tax=Paraglomus occultum TaxID=144539 RepID=A0A9N9CZT4_9GLOM</t>
  </si>
  <si>
    <t>05.07.P3-10.306-9.0_8</t>
  </si>
  <si>
    <t>Minor capsid protein n=1 Tax=Fadolivirus 1 TaxID=2740746 RepID=A0A7D3R0U8_9VIRU</t>
  </si>
  <si>
    <t>05.07.P3-10.306-9.0_9</t>
  </si>
  <si>
    <t>05.07.P3-10.546-35_1</t>
  </si>
  <si>
    <t>sp|Q9H832|UBE2Z_HUMAN Ubiquitin-conjugating enzyme E2 Z OS=Homo sapiens OX=9606 GN=UBE2Z PE=1 SV=2</t>
  </si>
  <si>
    <t>KOG0895 [FUNC="Ubiquitin-conjugating enzyme"] [shortName=] [TAG=O TAGDEF="Posttranslational modification, protein turnover, chaperones" PROCESS="CELLULAR PROCESSES AND SIGNALING"]  [PATHWAY=""]</t>
  </si>
  <si>
    <t>VOG00918 [FUNC="sp|Q5UQ88|UBC3_MIMIV Probable ubiquitin-conjugating enzyme E2 R521"] [TAG=Xh TAGDEF="Virus protein with function beneficial for the host"]</t>
  </si>
  <si>
    <t>UBC core domain-containing protein n=1 Tax=Chromera velia CCMP2878 TaxID=1169474 RepID=A0A0G4HYP7_9ALVE</t>
  </si>
  <si>
    <t>05.07.P3-10.546-35_10</t>
  </si>
  <si>
    <t>sp|P49373|TFS2_SCHPO Transcription elongation factor S-II OS=Schizosaccharomyces pombe (strain 972 / ATCC 24843) OX=284812 GN=tfs1 PE=3 SV=1</t>
  </si>
  <si>
    <t>Transcription elongation factor TFIIS_C domain-containing protein n=3 Tax=unclassified Prymnesiovirus TaxID=358403 RepID=R4TFG1_9PHYC</t>
  </si>
  <si>
    <t>05.07.P3-10.546-35_11</t>
  </si>
  <si>
    <t>sp|Q5UQ22|YL207_MIMIV Putative helicase L207/L206 OS=Acanthamoeba polyphaga mimivirus OX=212035 GN=MIMI_L206 PE=4 SV=2</t>
  </si>
  <si>
    <t>COG3378 [FUNC="DNA primase, phage- or plasmid-associated"] [shortName=] [TAG=X TAGDEF="Mobilome: prophages, transposons" PROCESS=""]  [PATHWAY=""] primase [Cellulosilyticum lentocellum]</t>
  </si>
  <si>
    <t>D5 family helicase n=1 Tax=Chrysochromulina ericina virus TaxID=455364 RepID=A0A0N9QXE0_CEV01</t>
  </si>
  <si>
    <t>05.07.P3-10.546-35_2</t>
  </si>
  <si>
    <t>sp|P36958|RPB9_DROME DNA-directed RNA polymerase II subunit RPB9 OS=Drosophila melanogaster OX=7227 GN=RpII15 PE=2 SV=2</t>
  </si>
  <si>
    <t>VOG01370 [FUNC="sp|Q5UQ21|YL208_MIMIV Uncharacterized protein L208"] [TAG=Xs TAGDEF="Virus structure"]</t>
  </si>
  <si>
    <t>DNA-directed RNA polymerase, subunit M/Transcription elongation factor TFIIS/RPB9 n=1 Tax=Chrysochromulina ericina virus TaxID=455364 RepID=A0A0N9Q9G4_CEV01</t>
  </si>
  <si>
    <t>05.07.P3-10.546-35_3</t>
  </si>
  <si>
    <t>sp|P36595|RPAB2_SCHPO DNA-directed RNA polymerases I, II, and III subunit RPABC2 OS=Schizosaccharomyces pombe (strain 972 / ATCC 24843) OX=284812 GN=rpb6 PE=1 SV=1</t>
  </si>
  <si>
    <t>KOG3405 [FUNC="RNA polymerase subunit K"] [shortName=] [TAG=K TAGDEF="Transcription" PROCESS="INFORMATION STORAGE AND PROCESSING"]  [PATHWAY=""]</t>
  </si>
  <si>
    <t>VOG17294 [FUNC="sp|P0C9D6|RPB6_ASFM2 DNA-directed RNA polymerase RPB6 homolog"] [TAG=Xr TAGDEF="Virus replication"]</t>
  </si>
  <si>
    <t>DNA-directed RNA polymerase subunit K n=1 Tax=Chrysochromulina ericina virus TaxID=455364 RepID=A0A0N9QAJ2_CEV01</t>
  </si>
  <si>
    <t>05.07.P3-10.546-35_6</t>
  </si>
  <si>
    <t>05.07.P3-10.546-35_8</t>
  </si>
  <si>
    <t>VV A18-like helicase n=1 Tax=Chrysochromulina ericina virus TaxID=455364 RepID=A0A0N9R3L7_CEV01</t>
  </si>
  <si>
    <t>05.07.P3-11.068-14_1</t>
  </si>
  <si>
    <t>sp|Q5UPZ7|YR307_MIMIV PP2C-like domain-containing protein R307 OS=Acanthamoeba polyphaga mimivirus OX=212035 GN=MIMI_R307 PE=1 SV=1</t>
  </si>
  <si>
    <t>KOG0698 [FUNC="Serine/threonine protein phosphatase"] [shortName=] [TAG=T TAGDEF="Signal transduction mechanisms" PROCESS="CELLULAR PROCESSES AND SIGNALING"]  [PATHWAY=""]</t>
  </si>
  <si>
    <t>VOG03619 [FUNC="sp|O75688|PPM1B_HUMAN Protein phosphatase 1B"] [TAG=Xh TAGDEF="Virus protein with function beneficial for the host"]</t>
  </si>
  <si>
    <t>Protein phosphatase 2c family protein n=1 Tax=Fadolivirus 1 TaxID=2740746 RepID=A0A7D3QWW8_9VIRU</t>
  </si>
  <si>
    <t>05.07.P3-11.068-14_12</t>
  </si>
  <si>
    <t>sp|Q5UPZ6|YL308_MIMIV Uncharacterized protein L308 OS=Acanthamoeba polyphaga mimivirus OX=212035 GN=MIMI_L308 PE=4 SV=1</t>
  </si>
  <si>
    <t>Uncharacterized protein n=1 Tax=Mimivirus LCMiAC01 TaxID=2506608 RepID=A0A481YZC4_9VIRU</t>
  </si>
  <si>
    <t>05.07.P3-11.068-14_2</t>
  </si>
  <si>
    <t>Uncharacterized protein n=1 Tax=Fadolivirus 1 TaxID=2740746 RepID=A0A7D3V8P0_9VIRU</t>
  </si>
  <si>
    <t>05.07.P3-11.068-14_4</t>
  </si>
  <si>
    <t>sp|Q39050|CKL11_ARATH Casein kinase 1-like protein 11 OS=Arabidopsis thaliana OX=3702 GN=CKL11 PE=1 SV=1</t>
  </si>
  <si>
    <t>KOG1164 [FUNC="Casein kinase (serine/threonine/tyrosine protein kinase)"] [shortName=] [TAG=T TAGDEF="Signal transduction mechanisms" PROCESS="CELLULAR PROCESSES AND SIGNALING"]  [PATHWAY=""]</t>
  </si>
  <si>
    <t>Serine/threonine protein kinase n=1 Tax=Hokovirus HKV1 TaxID=1977638 RepID=A0A1V0SER8_9VIRU</t>
  </si>
  <si>
    <t>05.07.P3-11.068-14_6</t>
  </si>
  <si>
    <t>sp|P07742|RIR1_MOUSE Ribonucleoside-diphosphate reductase large subunit OS=Mus musculus OX=10090 GN=Rrm1 PE=1 SV=2</t>
  </si>
  <si>
    <t>COG0209 [FUNC="Ribonucleotide reductase alpha subunit"] [shortName=NrdA] [TAG=F TAGDEF="Nucleotide transport and metabolism" PROCESS="METABOLISM"]  [PATHWAY="Pyrimidine salvage"] ribonucleoside-diphosphate reductase subunit alpha [Chryseolinea sp. KIS68-18]</t>
  </si>
  <si>
    <t>Ribonucleoside-diphosphate reductase n=1 Tax=Fadolivirus 1 TaxID=2740746 RepID=A0A7D3USV1_9VIRU</t>
  </si>
  <si>
    <t>05.07.P3-11.068-14_8</t>
  </si>
  <si>
    <t>sp|Q7T6Y4|DPOLX_MIMIV Probable DNA polymerase family X OS=Acanthamoeba polyphaga mimivirus OX=212035 GN=MIMI_L318 PE=1 SV=2</t>
  </si>
  <si>
    <t>KOG2534 [FUNC="DNA polymerase IV (family X)"] [shortName=] [TAG=L TAGDEF="Replication, recombination and repair" PROCESS="INFORMATION STORAGE AND PROCESSING"]  [PATHWAY=""]</t>
  </si>
  <si>
    <t>VOG02119 [FUNC="sp|Q7T6Y4|DPOLX_MIMIV Probable DNA polymerase family X"] [TAG=Xh TAGDEF="Virus protein with function beneficial for the host"]</t>
  </si>
  <si>
    <t>DNA-directed DNA polymerase n=1 Tax=Mimivirus LCMiAC01 TaxID=2506608 RepID=A0A481Z0C7_9VIRU</t>
  </si>
  <si>
    <t>05.07.P3-11.068-14_9</t>
  </si>
  <si>
    <t>sp|P42170|RIR2_CAEEL Ribonucleoside-diphosphate reductase small chain OS=Caenorhabditis elegans OX=6239 GN=rnr-2 PE=3 SV=1</t>
  </si>
  <si>
    <t>COG0208 [FUNC="Ribonucleotide reductase beta subunit, ferritin-like domain"] [shortName=NrdB] [TAG=F TAGDEF="Nucleotide transport and metabolism" PROCESS="METABOLISM"]  [PATHWAY="Pyrimidine salvage"] ribonucleoside-diphosphate reductase [Solitalea canadensis]</t>
  </si>
  <si>
    <t>VOG00937 [FUNC="sp|P37427|RIR2_SALTY Ribonucleoside-diphosphate reductase 1 subunit beta"] [TAG=Xh TAGDEF="Virus protein with function beneficial for the host"]</t>
  </si>
  <si>
    <t>Ribonucleoside-diphosphate reductase small chain n=1 Tax=Klosneuvirus KNV1 TaxID=1977640 RepID=A0A1V0SJE5_9VIRU</t>
  </si>
  <si>
    <t>05.07.P3-11.673-37_10</t>
  </si>
  <si>
    <t>sp|Q6FQQ6|IF4A_CANGA ATP-dependent RNA helicase eIF4A OS=Candida glabrata (strain ATCC 2001 / BCRC 20586 / JCM 3761 / NBRC 0622 / NRRL Y-65 / CBS 138) OX=284593 GN=TIF1 PE=3 SV=1</t>
  </si>
  <si>
    <t>KOG0327 [FUNC="Translation initiation factor 4F, helicase subunit (eIF-4A) and related helicases"] [shortName=] [TAG=J TAGDEF="Translation, ribosomal structure and biogenesis" PROCESS="INFORMATION STORAGE AND PROCESSING"]  [PATHWAY=""]</t>
  </si>
  <si>
    <t>RNA helicase n=1 Tax=Tropilaelaps mercedesae TaxID=418985 RepID=A0A1V9XU99_9ACAR</t>
  </si>
  <si>
    <t>05.07.P3-11.673-37_12</t>
  </si>
  <si>
    <t>sp|Q5UQP8|YL454_MIMIV Uncharacterized protein L454 OS=Acanthamoeba polyphaga mimivirus OX=212035 GN=MIMI_L454 PE=1 SV=1</t>
  </si>
  <si>
    <t>DUF5899 domain-containing protein n=1 Tax=Mimiviridae sp. ChoanoV1 TaxID=2596887 RepID=A0A5B8HWA3_9VIRU</t>
  </si>
  <si>
    <t>05.07.P3-11.673-37_13</t>
  </si>
  <si>
    <t>VOG02266 [FUNC="REFSEQ putative glycosyltransferase"] [TAG=Xu TAGDEF="Function unknown"]</t>
  </si>
  <si>
    <t>Glycosyltransferases group 1 n=1 Tax=Catovirus CTV1 TaxID=1977631 RepID=A0A1V0SAK7_9VIRU</t>
  </si>
  <si>
    <t>05.07.P3-11.673-37_3</t>
  </si>
  <si>
    <t>sp|Q9UST8|RNH1_SCHPO Ribonuclease H OS=Schizosaccharomyces pombe (strain 972 / ATCC 24843) OX=284812 GN=rnh1 PE=1 SV=1</t>
  </si>
  <si>
    <t>KOG3752 [FUNC="Ribonuclease H"] [shortName=] [TAG=L TAGDEF="Replication, recombination and repair" PROCESS="INFORMATION STORAGE AND PROCESSING"]  [PATHWAY=""]</t>
  </si>
  <si>
    <t>VOG00412 [FUNC="sp|B8HPS9|RNH_CYAP4 Ribonuclease H"] [TAG=Xu TAGDEF="Function unknown"]</t>
  </si>
  <si>
    <t>RNase H type-1 domain-containing protein n=1 Tax=Dishui lake phycodnavirus 1 TaxID=2079134 RepID=A0A2K9R7T9_9PHYC</t>
  </si>
  <si>
    <t>05.07.P3-11.673-37_4</t>
  </si>
  <si>
    <t>COG3291 [FUNC="Uncharacterized conserved protein, PKD repeat domain"] [shortName=] [TAG=S TAGDEF="Function unknown" PROCESS="POORLY CHARACTERIZED"]  [PATHWAY=""] hypothetical protein [Limnochorda pilosa]</t>
  </si>
  <si>
    <t>Hint domain-containing protein n=1 Tax=Acidisoma silvae TaxID=2802396 RepID=A0A963YUI3_9PROT</t>
  </si>
  <si>
    <t>05.07.P3-11.673-37_6</t>
  </si>
  <si>
    <t>Uncharacterized protein n=1 Tax=Pyramimonas orientalis virus TaxID=455367 RepID=A0A7L9AYV7_POV01</t>
  </si>
  <si>
    <t>05.07.P3-11.673-37_7</t>
  </si>
  <si>
    <t>VOG21894 [FUNC="sp|Q5UQD0|YR459_MIMIV Uncharacterized protein R459"] [TAG=Xs TAGDEF="Virus structure"]</t>
  </si>
  <si>
    <t>Uncharacterized protein n=1 Tax=Mimiviridae sp. ChoanoV1 TaxID=2596887 RepID=A0A5B8IDF7_9VIRU</t>
  </si>
  <si>
    <t>05.07.P3-11.673-37_8</t>
  </si>
  <si>
    <t>VOG02023 [FUNC="sp|Q5UQP5|YR457_MIMIV Uncharacterized protein R457"] [TAG=Xs TAGDEF="Virus structure"]</t>
  </si>
  <si>
    <t>Uncharacterized protein n=1 Tax=Mimiviridae sp. ChoanoV1 TaxID=2596887 RepID=A0A5B8IES7_9VIRU</t>
  </si>
  <si>
    <t>05.07.P3-12.045-40_15</t>
  </si>
  <si>
    <t>sp|Q5UQS6|PAP1_MIMIV Putative poly(A) polymerase catalytic subunit OS=Acanthamoeba polyphaga mimivirus OX=212035 GN=MIMI_R341 PE=1 SV=1</t>
  </si>
  <si>
    <t>VOG03622 [FUNC="sp|Q5UQS6|PAP1_MIMIV Putative poly(A) polymerase catalytic subunit"] [TAG=Xh TAGDEF="Virus protein with function beneficial for the host"]</t>
  </si>
  <si>
    <t>Putative poly(A) polymerase catalytic subunit n=1 Tax=Indivirus ILV1 TaxID=1977633 RepID=A0A1V0SDJ3_9VIRU</t>
  </si>
  <si>
    <t>05.07.P3-12.045-40_2</t>
  </si>
  <si>
    <t>sp|Q5UQU2|YR350_MIMIV Putative ATP-dependent RNA helicase R350 OS=Acanthamoeba polyphaga mimivirus OX=212035 GN=MIMI_R350 PE=1 SV=1</t>
  </si>
  <si>
    <t>Fibronectin type II domain protein n=1 Tax=Mimiviridae sp. ChoanoV1 TaxID=2596887 RepID=A0A5B8IHD4_9VIRU</t>
  </si>
  <si>
    <t>05.07.P3-12.045-40_6</t>
  </si>
  <si>
    <t>COG5492 [FUNC="Uncharacterized conserved protein YjdB, contains Ig-like domain"] [shortName=YjdB] [TAG=R TAGDEF="General function prediction only" PROCESS="POORLY CHARACTERIZED"]  [PATHWAY=""] hypothetical protein [Cloacibacillus porcorum]</t>
  </si>
  <si>
    <t>The GLUG motif protein n=1 Tax=Pelotomaculum sp. FP TaxID=261474 RepID=A0A4Y7S1H6_9FIRM</t>
  </si>
  <si>
    <t>05.07.P3-12.045-40_7</t>
  </si>
  <si>
    <t>ERCC4 domain-containing protein EP364R n=1 Tax=Virus NIOZ-UU159 TaxID=2763270 RepID=A0A7S9XHM5_9VIRU</t>
  </si>
  <si>
    <t>05.07.P3-12.045-40_9</t>
  </si>
  <si>
    <t>sp|Q5UQT7|RNC_MIMIV Probable ribonuclease 3 OS=Acanthamoeba polyphaga mimivirus OX=212035 GN=MIMI_R343 PE=3 SV=1</t>
  </si>
  <si>
    <t>COG0571 [FUNC="dsRNA-specific ribonuclease"] [shortName=Rnc] [TAG=K TAGDEF="Transcription" PROCESS="INFORMATION STORAGE AND PROCESSING"]  [PATHWAY=""] ribonuclease III [Salinivirga cyanobacteriivorans]</t>
  </si>
  <si>
    <t>Ribonuclease III n=1 Tax=Mimiviridae sp. ChoanoV1 TaxID=2596887 RepID=A0A5B8HVM9_9VIRU</t>
  </si>
  <si>
    <t>05.07.P3-12.273-44_1</t>
  </si>
  <si>
    <t>VOG02229 [FUNC="REFSEQ hypothetical protein"] [TAG=Xu TAGDEF="Function unknown"]</t>
  </si>
  <si>
    <t>C2H2-type domain-containing protein n=1 Tax=Mimivirus LCMiAC02 TaxID=2506609 RepID=A0A481Z3Z9_9VIRU</t>
  </si>
  <si>
    <t>05.07.P3-12.273-44_13</t>
  </si>
  <si>
    <t>MYM-type domain-containing protein n=1 Tax=Mimiviridae sp. ChoanoV1 TaxID=2596887 RepID=A0A5B8IFG3_9VIRU</t>
  </si>
  <si>
    <t>05.07.P3-12.273-44_16</t>
  </si>
  <si>
    <t>sp|Q5UQQ1|YL451_MIMIV Uncharacterized protein L451 OS=Acanthamoeba polyphaga mimivirus OX=212035 GN=MIMI_L451 PE=4 SV=1</t>
  </si>
  <si>
    <t>Holliday junction resolvase n=1 Tax=Mimivirus LCMiAC01 TaxID=2506608 RepID=A0A481YZC7_9VIRU</t>
  </si>
  <si>
    <t>05.07.P3-12.273-44_2</t>
  </si>
  <si>
    <t>sp|B9KFK6|DNAJ_CAMLR Chaperone protein DnaJ OS=Campylobacter lari (strain RM2100 / D67 / ATCC BAA-1060) OX=306263 GN=dnaJ PE=3 SV=1</t>
  </si>
  <si>
    <t>COG0484 [FUNC="DnaJ-class molecular chaperone with C-terminal Zn finger domain"] [shortName=DnaJ] [TAG=O TAGDEF="Posttranslational modification, protein turnover, chaperones" PROCESS="CELLULAR PROCESSES AND SIGNALING"]  [PATHWAY=""] J domain-containing protein [Borrelia hermsii]</t>
  </si>
  <si>
    <t>Chaperone protein DnaJ n=1 Tax=Campylobacter iguaniorum TaxID=1244531 RepID=A0A076FBF1_9BACT</t>
  </si>
  <si>
    <t>05.07.P3-12.273-44_5</t>
  </si>
  <si>
    <t>sp|P23335|KITH_SWPVK Thymidine kinase OS=Swinepox virus (strain Kasza) OX=10277 GN=TK PE=3 SV=1</t>
  </si>
  <si>
    <t>COG1435 [FUNC="Thymidine kinase"] [shortName=Tdk] [TAG=F TAGDEF="Nucleotide transport and metabolism" PROCESS="METABOLISM"]  [PATHWAY="Pyrimidine salvage"] thymidine kinase [Candidatus Babela massiliensis]</t>
  </si>
  <si>
    <t>Thymidine kinase n=1 Tax=Mimiviridae sp. ChoanoV1 TaxID=2596887 RepID=A0A5B8IGC7_9VIRU</t>
  </si>
  <si>
    <t>05.07.P3-12.273-44_6</t>
  </si>
  <si>
    <t>VOG23711 [FUNC="REFSEQ hypothetical protein"] [TAG=Xu TAGDEF="Function unknown"]</t>
  </si>
  <si>
    <t>WW domain-containing protein n=1 Tax=Fadolivirus 1 TaxID=2740746 RepID=A0A7D3V7M6_9VIRU</t>
  </si>
  <si>
    <t>05.07.P3-12.273-44_9</t>
  </si>
  <si>
    <t>VOG00322 [FUNC="sp|Q5UPU2|YR252_MIMIV Uncharacterized protein R252"] [TAG=Xu TAGDEF="Function unknown"]</t>
  </si>
  <si>
    <t>Chromosomal protein MC1 domain-containing protein n=1 Tax=Tupanvirus deep ocean TaxID=2126984 RepID=A0A6N1NGH4_9VIRU</t>
  </si>
  <si>
    <t>05.07.P3-12.410-30_10</t>
  </si>
  <si>
    <t>sp|P42813|RNS1_ARATH Ribonuclease 1 OS=Arabidopsis thaliana OX=3702 GN=RNS1 PE=1 SV=1</t>
  </si>
  <si>
    <t>COG3719 [FUNC="Ribonuclease I"] [shortName=RnaI] [TAG=J TAGDEF="Translation, ribosomal structure and biogenesis" PROCESS="INFORMATION STORAGE AND PROCESSING"]  [PATHWAY=""] ribonuclease T [Azospirillum brasilense]</t>
  </si>
  <si>
    <t>VOG12643 [FUNC="sp|P80196|RNLX_SOLLC Intracellular ribonuclease LX"] [TAG=Xh TAGDEF="Virus protein with function beneficial for the host"]</t>
  </si>
  <si>
    <t>Uncharacterized protein n=1 Tax=Pleodorina starrii TaxID=330485 RepID=A0A9W6BA07_9CHLO</t>
  </si>
  <si>
    <t>05.07.P3-12.410-30_12</t>
  </si>
  <si>
    <t>sp|Q6BRN7|DUT_DEBHA Deoxyuridine 5'-triphosphate nucleotidohydrolase OS=Debaryomyces hansenii (strain ATCC 36239 / CBS 767 / BCRC 21394 / JCM 1990 / NBRC 0083 / IGC 2968) OX=284592 GN=DUT1 PE=3 SV=1</t>
  </si>
  <si>
    <t>COG0756 [FUNC="dUTP pyrophosphatase (dUTPase)"] [shortName=Dut] [TAG=F TAGDEF="Nucleotide transport and metabolism" PROCESS="METABOLISM"] [TAG=V TAGDEF="Defense mechanisms" PROCESS="CELLULAR PROCESSES AND SIGNALING"]  [PATHWAY="Thymidylate biosynthesis"] hypothetical protein [Kiritimatiella glycovorans]</t>
  </si>
  <si>
    <t>VOG00052 [FUNC="sp|Q9CQ43|DUT_MOUSE Deoxyuridine 5'-triphosphate nucleotidohydrolase"] [TAG=Xh TAGDEF="Virus protein with function beneficial for the host"]</t>
  </si>
  <si>
    <t>dUTP diphosphatase n=1 Tax=Pelagicoccus enzymogenes TaxID=2773457 RepID=A0A927F7X5_9BACT</t>
  </si>
  <si>
    <t>05.07.P3-12.410-30_15</t>
  </si>
  <si>
    <t>sp|P0DSZ5|PG145_VAR67 Transcript termination protein OPG145 OS=Variola virus (isolate Human/India/Ind3/1967) OX=587200 GN=OPG145 PE=3 SV=1</t>
  </si>
  <si>
    <t>COG4889 [FUNC="Predicted helicase"] [shortName=] [TAG=R TAGDEF="General function prediction only" PROCESS="POORLY CHARACTERIZED"]  [PATHWAY=""] hypothetical protein [Pontibacter korlensis]</t>
  </si>
  <si>
    <t>Helicase ATP-binding domain-containing protein n=1 Tax=Pyramimonas orientalis virus TaxID=455367 RepID=A0A7M3UNR9_POV01</t>
  </si>
  <si>
    <t>05.07.P3-12.410-30_20</t>
  </si>
  <si>
    <t>COG3544 [FUNC="Uncharacterized conserved protein, DUF305 family"] [shortName=] [TAG=S TAGDEF="Function unknown" PROCESS="POORLY CHARACTERIZED"]  [PATHWAY=""] DUF305 domain-containing protein [Robiginitalea biformata]</t>
  </si>
  <si>
    <t>VOG27432 [FUNC="sp|Q5UPL7|YL153_MIMIV Uncharacterized protein L153"] [TAG=Xu TAGDEF="Function unknown"]</t>
  </si>
  <si>
    <t>DUF305 domain-containing protein n=2 Tax=Robiginitalea TaxID=252306 RepID=A4CN12_ROBBH</t>
  </si>
  <si>
    <t>05.07.P3-12.410-30_21</t>
  </si>
  <si>
    <t>COG2263 [FUNC="Predicted RNA methylase"] [shortName=] [TAG=R TAGDEF="General function prediction only" PROCESS="POORLY CHARACTERIZED"]  [PATHWAY=""] MULTISPECIES: hypothetical protein [Sphingopyxis]</t>
  </si>
  <si>
    <t>VOG02263 [FUNC="REFSEQ putative DNA N6-adenine methyltransferase"] [TAG=Xu TAGDEF="Function unknown"]</t>
  </si>
  <si>
    <t>Putative DNA N6-adenine methyltransferase n=1 Tax=Yellowstone lake mimivirus TaxID=1586712 RepID=A0A0P0YLZ8_9VIRU</t>
  </si>
  <si>
    <t>05.07.P3-12.410-30_6</t>
  </si>
  <si>
    <t>Uncharacterized protein n=1 Tax=Cafeteria roenbergensis virus (strain BV-PW1) TaxID=693272 RepID=E3T4J3_CROVB</t>
  </si>
  <si>
    <t>05.07.P3-12.410-30_9</t>
  </si>
  <si>
    <t>05.07.P3-12.496-34_15</t>
  </si>
  <si>
    <t>sp|Q5UQ00|FPG_MIMIV Probable formamidopyrimidine-DNA glycosylase OS=Acanthamoeba polyphaga mimivirus OX=212035 GN=MIMI_L315 PE=1 SV=3</t>
  </si>
  <si>
    <t>COG0266 [FUNC="Formamidopyrimidine-DNA glycosylase"] [shortName=Nei] [TAG=L TAGDEF="Replication, recombination and repair" PROCESS="INFORMATION STORAGE AND PROCESSING"]  [PATHWAY=""] formamidopyrimidine-DNA glycosylase [Candidatus Solibacter usitatus]</t>
  </si>
  <si>
    <t>VOG02118 [FUNC="sp|Q5UQ00|FPG_MIMIV Probable formamidopyrimidine-DNA glycosylase"] [TAG=Xh TAGDEF="Virus protein with function beneficial for the host"]</t>
  </si>
  <si>
    <t>DNA-(apurinic or apyrimidinic site) lyase n=1 Tax=Cafeteria roenbergensis virus (strain BV-PW1) TaxID=693272 RepID=E3T574_CROVB</t>
  </si>
  <si>
    <t>05.07.P3-12.496-34_21</t>
  </si>
  <si>
    <t>sp|P07602|SAP_HUMAN Prosaposin OS=Homo sapiens OX=9606 GN=PSAP PE=1 SV=2</t>
  </si>
  <si>
    <t>KOG1340 [FUNC="Prosaposin"] [shortName=] [TAG=I TAGDEF="Lipid transport and metabolism" PROCESS="METABOLISM"] [TAG=G TAGDEF="Carbohydrate transport and metabolism" PROCESS="METABOLISM"]  [PATHWAY=""]</t>
  </si>
  <si>
    <t>Saposin A n=1 Tax=Dictyostelium discoideum TaxID=44689 RepID=Q54Q68_DICDI</t>
  </si>
  <si>
    <t>05.07.P3-12.496-34_23</t>
  </si>
  <si>
    <t>Uncharacterized protein n=1 Tax=Diaporthe helianthi TaxID=158607 RepID=A0A2P5I5K1_9PEZI</t>
  </si>
  <si>
    <t>05.07.P3-12.496-34_9</t>
  </si>
  <si>
    <t>sp|Q6MQS6|DNAE2_BDEBA Error-prone DNA polymerase OS=Bdellovibrio bacteriovorus (strain ATCC 15356 / DSM 50701 / NCIMB 9529 / HD100) OX=264462 GN=dnaE2 PE=3 SV=1</t>
  </si>
  <si>
    <t>COG0587 [FUNC="DNA polymerase III, alpha subunit"] [shortName=DnaE] [TAG=L TAGDEF="Replication, recombination and repair" PROCESS="INFORMATION STORAGE AND PROCESSING"]  [PATHWAY=""] DNA polymerase III subunit alpha [Aeribacillus pallidus]</t>
  </si>
  <si>
    <t>VOG36437 [FUNC="sp|Q9XDH5|DPO3A_THEAQ DNA polymerase III subunit alpha"] [TAG=Xh TAGDEF="Virus protein with function beneficial for the host"]</t>
  </si>
  <si>
    <t>DNA-directed DNA polymerase n=1 Tax=Catovirus CTV1 TaxID=1977631 RepID=A0A1V0S985_9VIRU</t>
  </si>
  <si>
    <t>05.07.P3-14.626-21_10</t>
  </si>
  <si>
    <t>sp|Q5UQA3|YL533_MIMIV Uncharacterized protein L533 OS=Acanthamoeba polyphaga mimivirus OX=212035 GN=MIMI_L533 PE=1 SV=1</t>
  </si>
  <si>
    <t>VOG31774 [FUNC="sp|Q5UQA3|YL533_MIMIV Uncharacterized protein L533"] [TAG=Xs TAGDEF="Virus structure"]</t>
  </si>
  <si>
    <t>3'-5' exonuclease n=1 Tax=Mimivirus LCMiAC02 TaxID=2506609 RepID=A0A481Z1R3_9VIRU</t>
  </si>
  <si>
    <t>05.07.P3-14.626-21_2</t>
  </si>
  <si>
    <t>sp|Q5UP39|YR873_MIMIV Putative ankyrin repeat protein R873 OS=Acanthamoeba polyphaga mimivirus OX=212035 GN=MIMI_R873 PE=4 SV=1</t>
  </si>
  <si>
    <t>COG0666 [FUNC="Ankyrin repeat"] [shortName=ANKYR] [TAG=T TAGDEF="Signal transduction mechanisms" PROCESS="CELLULAR PROCESSES AND SIGNALING"]  [PATHWAY=""] Ankyrin repeats containing protein [Candidatus Babela massiliensis]</t>
  </si>
  <si>
    <t>VOG00001 [FUNC="sp|Q5UQJ2|YR863_MIMIV Putative ankyrin repeat protein R863"] [TAG=Xh TAGDEF="Virus protein with function beneficial for the host"]</t>
  </si>
  <si>
    <t>Ankyrin n=1 Tax=Rozella allomycis (strain CSF55) TaxID=988480 RepID=A0A075B4K4_ROZAC</t>
  </si>
  <si>
    <t>05.07.P3-14.626-21_3</t>
  </si>
  <si>
    <t>sp|Q7T6X3|YR563_MIMIV Putative ATP-dependent RNA helicase R563 OS=Acanthamoeba polyphaga mimivirus OX=212035 GN=MIMI_R563 PE=1 SV=2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</si>
  <si>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[Thermogutta terrifontis]</t>
  </si>
  <si>
    <t>SNF2 helicase n=1 Tax=Fadolivirus 1 TaxID=2740746 RepID=A0A7D3QUI3_9VIRU</t>
  </si>
  <si>
    <t>05.07.P3-14.626-21_6</t>
  </si>
  <si>
    <t>sp|Q5UQ92|YR530_MIMIV Uncharacterized protein R530 OS=Acanthamoeba polyphaga mimivirus OX=212035 GN=MIMI_R530 PE=4 SV=1</t>
  </si>
  <si>
    <t>COG2378 [FUNC="Predicted DNA-binding transcriptional regulator YobV, contains HTH and WYL domains"] [shortName=YobV] [TAG=K TAGDEF="Transcription" PROCESS="INFORMATION STORAGE AND PROCESSING"]  [PATHWAY=""] TPR domain-containing protein [Thermodesulfovibrio yellowstonii DSM 11347]</t>
  </si>
  <si>
    <t>VOG02045 [FUNC="sp|P32270|DDA_BPT4 ATP-dependent DNA helicase dda"] [TAG=Xh TAGDEF="Virus protein with function beneficial for the host"]</t>
  </si>
  <si>
    <t>UvrD-family helicase n=1 Tax=Mimivirus LCMiAC02 TaxID=2506609 RepID=A0A481Z209_9VIRU</t>
  </si>
  <si>
    <t>05.07.P3-14.626-21_7</t>
  </si>
  <si>
    <t>VOG25115 [FUNC="REFSEQ hypothetical protein"] [TAG=Xu TAGDEF="Function unknown"]</t>
  </si>
  <si>
    <t>(2E,6E)-farnesyl diphosphate synthase n=1 Tax=Mimivirus LCMiAC01 TaxID=2506608 RepID=A0A481YZ67_9VIRU</t>
  </si>
  <si>
    <t>05.07.P3-14.626-21_8</t>
  </si>
  <si>
    <t>sp|Q5UQ94|YR528_MIMIV Putative 5'-3' exonuclease R528 OS=Acanthamoeba polyphaga mimivirus OX=212035 GN=MIMI_R528 PE=1 SV=1</t>
  </si>
  <si>
    <t>VOG01360 [FUNC="sp|Q9FQ04|XRN4_ARATH 5'-3' exoribonuclease 4"] [TAG=Xr TAGDEF="Virus replication"]</t>
  </si>
  <si>
    <t>XRN 5'-3' exonuclease n=1 Tax=Mimivirus LCMiAC01 TaxID=2506608 RepID=A0A481YZF1_9VIRU</t>
  </si>
  <si>
    <t>05.07.P3-14.626-21_9</t>
  </si>
  <si>
    <t>sp|P57386|PHR_BUCAI Deoxyribodipyrimidine photo-lyase OS=Buchnera aphidicola subsp. Acyrthosiphon pisum (strain APS) OX=107806 GN=phrB PE=3 SV=1</t>
  </si>
  <si>
    <t>COG0415 [FUNC="Deoxyribodipyrimidine photolyase"] [shortName=PhrB] [TAG=L TAGDEF="Replication, recombination and repair" PROCESS="INFORMATION STORAGE AND PROCESSING"]  [PATHWAY=""] deoxyribodipyrimidine photo-lyase [Petrotoga mobilis]</t>
  </si>
  <si>
    <t>Deoxyribodipyrimidine photolyase n=1 Tax=Hokovirus HKV1 TaxID=1977638 RepID=A0A1V0SGL1_9VIRU</t>
  </si>
  <si>
    <t>05.07.P3-15.986-49_15</t>
  </si>
  <si>
    <t>sp|Q9SJ20|RIR1_ARATH Ribonucleoside-diphosphate reductase large subunit OS=Arabidopsis thaliana OX=3702 GN=RNR1 PE=1 SV=1</t>
  </si>
  <si>
    <t>COG0209 [FUNC="Ribonucleotide reductase alpha subunit"] [shortName=NrdA] [TAG=F TAGDEF="Nucleotide transport and metabolism" PROCESS="METABOLISM"]  [PATHWAY="Pyrimidine salvage"] ribonucleoside-diphosphate reductase subunit alpha [Pedobacter heparinus]</t>
  </si>
  <si>
    <t>Ribonucleoside-diphosphate reductase n=1 Tax=Dishui Lake large algae virus 1 TaxID=2704073 RepID=A0A6G6XQG3_9VIRU</t>
  </si>
  <si>
    <t>05.07.P3-15.986-49_25</t>
  </si>
  <si>
    <t>sp|A9CH39|PHRB_AGRFC (6-4) photolyase OS=Agrobacterium fabrum (strain C58 / ATCC 33970) OX=176299 GN=phrB PE=1 SV=1</t>
  </si>
  <si>
    <t>COG3046 [FUNC="Uncharacterized conserved protein related to deoxyribodipyrimidine photolyase"] [shortName=] [TAG=R TAGDEF="General function prediction only" PROCESS="POORLY CHARACTERIZED"]  [PATHWAY=""] deoxyribodipyrimidine photo-lyase [Winogradskyella sp. PG-2]</t>
  </si>
  <si>
    <t>VOG08592 [FUNC="sp|A9CH39|PHRB_AGRFC (6-4) photolyase"] [TAG=Xh TAGDEF="Virus protein with function beneficial for the host"]</t>
  </si>
  <si>
    <t>Cryptochrome/photolyase family protein n=1 Tax=Brumimicrobium sp. C305 TaxID=2100725 RepID=A0A2U2XBE3_9FLAO</t>
  </si>
  <si>
    <t>05.07.P3-15.986-49_27</t>
  </si>
  <si>
    <t>sp|O55749|VF143_IIV6 Putative kinase protein 143R OS=Invertebrate iridescent virus 6 OX=176652 GN=IIV6-143R PE=3 SV=1</t>
  </si>
  <si>
    <t>COG1428 [FUNC="Deoxyadenosine/deoxycytidine kinase"] [shortName=Dck] [TAG=F TAGDEF="Nucleotide transport and metabolism" PROCESS="METABOLISM"]  [PATHWAY=""] deoxynucleoside kinase [Candidatus Babela massiliensis]</t>
  </si>
  <si>
    <t>VOG00930 [FUNC="sp|A4ZU96|KTHY_ABVP Putative thymidylate kinase"] [TAG=Xh TAGDEF="Virus protein with function beneficial for the host"]</t>
  </si>
  <si>
    <t>Thymidine kinase n=1 Tax=Anopheles minimus iridovirus TaxID=1465751 RepID=W8QE76_9VIRU</t>
  </si>
  <si>
    <t>05.07.P3-15.986-49_3</t>
  </si>
  <si>
    <t>COG5377 [FUNC="Phage-related protein, predicted endonuclease"] [shortName=] [TAG=X TAGDEF="Mobilome: prophages, transposons" PROCESS=""]  [PATHWAY=""] MULTISPECIES: endonuclease [Candidatus Phytoplasma]</t>
  </si>
  <si>
    <t>YqaJ viral recombinase domain-containing protein (Fragment) n=1 Tax=Mimiviridae sp. ChoanoV1 TaxID=2596887 RepID=A0A5B8IJD0_9VIRU</t>
  </si>
  <si>
    <t>05.07.P3-18.319-34_1</t>
  </si>
  <si>
    <t>COG3914 [FUNC="Predicted O-linked N-acetylglucosamine transferase, SPINDLY family"] [shortName=Spy] [TAG=O TAGDEF="Posttranslational modification, protein turnover, chaperones" PROCESS="CELLULAR PROCESSES AND SIGNALING"]  [PATHWAY=""] TIGR03032 family protein [Acaryochloris marina]</t>
  </si>
  <si>
    <t>VOG21797 [FUNC="REFSEQ hypothetical protein"] [TAG=Xu TAGDEF="Function unknown"]</t>
  </si>
  <si>
    <t>Uncharacterized protein n=1 Tax=Dishui Lake phycodnavirus 4 TaxID=2704072 RepID=A0A6G6XQ87_9PHYC</t>
  </si>
  <si>
    <t>05.07.P3-18.319-34_11</t>
  </si>
  <si>
    <t>VOG04074 [FUNC="sp|B1XLW1|Y2658_SYNP2 PKHD-type hydroxylase SYNPCC7002_A2658"] [TAG=Xh TAGDEF="Virus protein with function beneficial for the host"]</t>
  </si>
  <si>
    <t>Fe2OG dioxygenase domain-containing protein n=1 Tax=Tupanvirus deep ocean TaxID=2126984 RepID=A0A6N1NH31_9VIRU</t>
  </si>
  <si>
    <t>05.07.P3-18.319-34_18</t>
  </si>
  <si>
    <t>sp|Q9ZCN4|Y689_RICPR Uncharacterized protein RP689 OS=Rickettsia prowazekii (strain Madrid E) OX=272947 GN=RP689 PE=3 SV=1</t>
  </si>
  <si>
    <t>COG3475 [FUNC="Phosphorylcholine metabolism protein LicD"] [shortName=LicD] [TAG=I TAGDEF="Lipid transport and metabolism" PROCESS="METABOLISM"]  [PATHWAY=""] LicD family protein [Candidatus Fukatsuia symbiotica]</t>
  </si>
  <si>
    <t>VOG02096 [FUNC="REFSEQ hypothetical protein"] [TAG=Xu TAGDEF="Function unknown"]</t>
  </si>
  <si>
    <t>LicD family protein n=1 Tax=Brevibacillus nitrificans TaxID=651560 RepID=A0A3M8DRL9_9BACL</t>
  </si>
  <si>
    <t>05.07.P3-18.319-34_2</t>
  </si>
  <si>
    <t>Glycosyltransferase n=1 Tax=Desulfovibrio sp. MES5 TaxID=1899016 RepID=A0A231P3T7_9BACT</t>
  </si>
  <si>
    <t>05.07.P3-18.319-34_20</t>
  </si>
  <si>
    <t>sp|I1S1Q3|ERG25_GIBZE C-4 methylsterol oxidase ERG25 OS=Gibberella zeae (strain ATCC MYA-4620 / CBS 123657 / FGSC 9075 / NRRL 31084 / PH-1) OX=229533 GN=ERG25 PE=3 SV=1</t>
  </si>
  <si>
    <t>KOG0873 [FUNC="C-4 sterol methyl oxidase"] [shortName=] [TAG=I TAGDEF="Lipid transport and metabolism" PROCESS="METABOLISM"]  [PATHWAY=""]</t>
  </si>
  <si>
    <t>VOG19078 [FUNC="sp|Q4W9I3|ER25B_ASPFU Methylsterol monooxygenase erg25B"] [TAG=Xh TAGDEF="Virus protein with function beneficial for the host"]</t>
  </si>
  <si>
    <t>Fatty acid hydroxylase domain-containing protein n=1 Tax=Arcella intermedia TaxID=1963864 RepID=A0A6B2LF98_9EUKA</t>
  </si>
  <si>
    <t>05.07.P3-18.319-34_22</t>
  </si>
  <si>
    <t>Uncharacterized protein n=1 Tax=Moorena sp. SIOASIH TaxID=2607817 RepID=A0A6P0KRJ8_9CYAN</t>
  </si>
  <si>
    <t>05.07.P3-18.319-34_23</t>
  </si>
  <si>
    <t>COG0457 [FUNC="Tetratricopeptide (TPR) repeat"] [shortName=TPR] [TAG=R TAGDEF="General function prediction only" PROCESS="POORLY CHARACTERIZED"]  [PATHWAY=""] tetratricopeptide repeat protein [Anderseniella sp. Alg231-50]</t>
  </si>
  <si>
    <t>Glycosyltransferase 2-like domain-containing protein n=1 Tax=Dishui Lake phycodnavirus 2 TaxID=2704071 RepID=A0A6G6XMY9_9PHYC</t>
  </si>
  <si>
    <t>05.07.P3-18.319-34_3</t>
  </si>
  <si>
    <t>sp|Q8HZ69|FMO2_GORGO Dimethylaniline monooxygenase [N-oxide-forming] 2 OS=Gorilla gorilla gorilla OX=9595 GN=FMO2 PE=3 SV=3</t>
  </si>
  <si>
    <t>COG2072 [FUNC="Predicted flavoprotein CzcO associated with the cation diffusion facilitator CzcD"] [shortName=CzcO] [TAG=P TAGDEF="Inorganic ion transport and metabolism" PROCESS="METABOLISM"]  [PATHWAY=""] monooxygenase [Haliscomenobacter hydrossis]</t>
  </si>
  <si>
    <t>Flavin-containing monooxygenase n=1 Tax=Didymodactylos carnosus TaxID=1234261 RepID=A0A815XC32_9BILA</t>
  </si>
  <si>
    <t>05.07.P3-18.319-34_4</t>
  </si>
  <si>
    <t>sp|Q4R6Y5|ZNRF4_MACFA E3 ubiquitin-protein ligase ZNRF4 OS=Macaca fascicularis OX=9541 GN=ZNRF4 PE=2 SV=1</t>
  </si>
  <si>
    <t>VOG31625 [FUNC="REFSEQ 014L"] [TAG=Xu TAGDEF="Function unknown"]</t>
  </si>
  <si>
    <t>Putative aminoacyltransferase, E1 ubiquitin-activating enzyme n=1 Tax=Lupinus albus TaxID=3870 RepID=A0A6A4MYD8_LUPAL</t>
  </si>
  <si>
    <t>05.07.P3-18.319-34_5</t>
  </si>
  <si>
    <t>sp|O13911|PNK1_SCHPO Bifunctional polynucleotide phosphatase/kinase OS=Schizosaccharomyces pombe (strain 972 / ATCC 24843) OX=284812 GN=pnk1 PE=1 SV=2</t>
  </si>
  <si>
    <t>KOG2134 [FUNC="Polynucleotide kinase 3' phosphatase"] [shortName=] [TAG=L TAGDEF="Replication, recombination and repair" PROCESS="INFORMATION STORAGE AND PROCESSING"]  [PATHWAY=""]</t>
  </si>
  <si>
    <t>VOG02018 [FUNC="sp|Q5UQD2|PNKP_MIMIV Putative bifunctional polynucleotide phosphatase/kinase"] [TAG=Xh TAGDEF="Virus protein with function beneficial for the host"]</t>
  </si>
  <si>
    <t>DNA kinase/phosphatase Pnk1 n=1 Tax=Bodo saltans virus TaxID=2024608 RepID=A0A2H4UU49_9VIRU</t>
  </si>
  <si>
    <t>05.07.P3-18.319-34_6</t>
  </si>
  <si>
    <t>sp|Q01511|MTC1_PBCVC Type II methyltransferase M.CviBI OS=Paramecium bursaria Chlorella virus NC1A OX=46020 GN=CVIBIM PE=3 SV=1</t>
  </si>
  <si>
    <t>COG0338 [FUNC="DNA-adenine methylase"] [shortName=Dam] [TAG=L TAGDEF="Replication, recombination and repair" PROCESS="INFORMATION STORAGE AND PROCESSING"]  [PATHWAY=""] site-specific DNA methylase [Clostridium acetobutylicum ATCC 824]</t>
  </si>
  <si>
    <t>VOG00404 [FUNC="sp|P12427|DMA_BPT2 DNA adenine methylase"] [TAG=Xh TAGDEF="Virus protein with function beneficial for the host"]</t>
  </si>
  <si>
    <t>site-specific DNA-methyltransferase (adenine-specific) n=1 Tax=Paramecium bursaria Chlorella virus NY2A TaxID=46021 RepID=A7IWS4_PBCVN</t>
  </si>
  <si>
    <t>05.07.P3-18.319-34_7</t>
  </si>
  <si>
    <t>sp|P83916|CBX1_HUMAN Chromobox protein homolog 1 OS=Homo sapiens OX=9606 GN=CBX1 PE=1 SV=1</t>
  </si>
  <si>
    <t>KOG1911 [FUNC="Heterochromatin-associated protein HP1 and related CHROMO domain proteins"] [shortName=] [TAG=B TAGDEF="Chromatin structure and dynamics" PROCESS="INFORMATION STORAGE AND PROCESSING"]  [PATHWAY=""]</t>
  </si>
  <si>
    <t>Transposon-encoded protein with TYA (Fragment) n=1 Tax=Rasamsonia emersonii CBS 393.64 TaxID=1408163 RepID=A0A0F4YEU2_TALEM</t>
  </si>
  <si>
    <t>05.07.P3-18.319-34_9</t>
  </si>
  <si>
    <t>sp|Q9FFB6|ZFP34_ARATH E3 ubiquitin-protein ligase RZFP34 OS=Arabidopsis thaliana OX=3702 GN=RZPF34 PE=1 SV=1</t>
  </si>
  <si>
    <t>KOG1940 [FUNC="Zn-finger protein"] [shortName=] [TAG=R TAGDEF="General function prediction only" PROCESS="POORLY CHARACTERIZED"]  [PATHWAY=""]</t>
  </si>
  <si>
    <t>VOG17669 [FUNC="sp|Q5JL96|ZFP34_ORYSJ Probable E3 ubiquitin-protein ligase RZFP34"] [TAG=Xh TAGDEF="Virus protein with function beneficial for the host"]</t>
  </si>
  <si>
    <t>RING finger and CHY zinc finger domain-containing protein 1 (Fragment) n=1 Tax=Odontella aurita TaxID=265563 RepID=A0A7S4MNI7_9STRA</t>
  </si>
  <si>
    <t>05.07.P3-18.976-24_13</t>
  </si>
  <si>
    <t>COG1044 [FUNC="UDP-3-O-[3-hydroxymyristoyl] glucosamine N-acyltransferase"] [shortName=LpxD] [TAG=M TAGDEF="Cell wall/membrane/envelope biogenesis" PROCESS="CELLULAR PROCESSES AND SIGNALING"]  [PATHWAY="Lipid A biosynthesis"] hypothetical protein [Haliscomenobacter hydrossis]</t>
  </si>
  <si>
    <t>F5/8 type C domain-containing protein (Fragment) n=1 Tax=Blyttiomyces helicus TaxID=388810 RepID=A0A4P9W236_9FUNG</t>
  </si>
  <si>
    <t>05.07.P3-18.976-24_14</t>
  </si>
  <si>
    <t>Uncharacterized protein n=1 Tax=Blyttiomyces helicus TaxID=388810 RepID=A0A4P9WH99_9FUNG</t>
  </si>
  <si>
    <t>05.07.P3-18.976-24_18</t>
  </si>
  <si>
    <t>Uncharacterized protein n=1 Tax=Catovirus CTV1 TaxID=1977631 RepID=A0A1V0SBG6_9VIRU</t>
  </si>
  <si>
    <t>05.07.P3-18.976-24_20</t>
  </si>
  <si>
    <t>sp|Q5UQF7|YR489_MIMIV Uncharacterized protein R489 OS=Acanthamoeba polyphaga mimivirus OX=212035 GN=MIMI_R489 PE=1 SV=1</t>
  </si>
  <si>
    <t>VOG03598 [FUNC="REFSEQ hypothetical protein"] [TAG=Xu TAGDEF="Function unknown"]</t>
  </si>
  <si>
    <t>Uncharacterized protein n=1 Tax=Fadolivirus 1 TaxID=2740746 RepID=A0A7D3QX09_9VIRU</t>
  </si>
  <si>
    <t>05.07.P3-18.976-24_21</t>
  </si>
  <si>
    <t>Uncharacterized protein n=1 Tax=Catovirus CTV1 TaxID=1977631 RepID=A0A1V0SBE7_9VIRU</t>
  </si>
  <si>
    <t>05.07.P3-18.976-24_22</t>
  </si>
  <si>
    <t>VOG00320 [FUNC="REFSEQ hypothetical protein"] [TAG=Xu TAGDEF="Function unknown"]</t>
  </si>
  <si>
    <t>Putative V-type ATP synthase subunit I n=1 Tax=Fadolivirus 1 TaxID=2740746 RepID=A0A7D3QUC4_9VIRU</t>
  </si>
  <si>
    <t>05.07.P3-18.976-24_25</t>
  </si>
  <si>
    <t>VOG00328 [FUNC="sp|Q84513|PCNA1_PBCV1 Probable DNA polymerase sliding clamp 1"] [TAG=Xr TAGDEF="Virus replication"]</t>
  </si>
  <si>
    <t>Proliferating cell nuclear antigen n=1 Tax=Catovirus CTV1 TaxID=1977631 RepID=A0A1V0SBJ3_9VIRU</t>
  </si>
  <si>
    <t>05.07.P3-18.976-24_26</t>
  </si>
  <si>
    <t>sp|Q7T6Y0|PCNA_MIMIV Probable DNA polymerase sliding clamp OS=Acanthamoeba polyphaga mimivirus OX=212035 GN=PCNA PE=3 SV=2</t>
  </si>
  <si>
    <t>Proliferating cell nuclear antigen n=1 Tax=Fadolivirus 1 TaxID=2740746 RepID=A0A7D3UV92_9VIRU</t>
  </si>
  <si>
    <t>05.07.P3-18.976-24_29</t>
  </si>
  <si>
    <t>COG1051 [FUNC="ADP-ribose pyrophosphatase YjhB, NUDIX family"] [shortName=YjhB] [TAG=F TAGDEF="Nucleotide transport and metabolism" PROCESS="METABOLISM"]  [PATHWAY=""] NUDIX domain-containing protein [Niabella soli]</t>
  </si>
  <si>
    <t>VOG00081 [FUNC="sp|Q8R5N7|KPTA_FUSNN Probable RNA 2'-phosphotransferase"] [TAG=Xh TAGDEF="Virus protein with function beneficial for the host"]</t>
  </si>
  <si>
    <t>Nudix hydrolase domain-containing protein n=1 Tax=Pneumocystis wakefieldiae TaxID=38082 RepID=A0A899FWS6_9ASCO</t>
  </si>
  <si>
    <t>05.07.P3-18.976-24_3</t>
  </si>
  <si>
    <t>sp|O14003|RFC3_SCHPO Replication factor C subunit 3 OS=Schizosaccharomyces pombe (strain 972 / ATCC 24843) OX=284812 GN=rfc3 PE=1 SV=2</t>
  </si>
  <si>
    <t>KOG0990 [FUNC="Replication factor C, subunit RFC5"] [shortName=] [TAG=L TAGDEF="Replication, recombination and repair" PROCESS="INFORMATION STORAGE AND PROCESSING"]  [PATHWAY=""]</t>
  </si>
  <si>
    <t>VOG00129 [FUNC="sp|P04526|LOADL_BPT4 Sliding-clamp-loader large subunit"] [TAG=Xh TAGDEF="Virus protein with function beneficial for the host"]</t>
  </si>
  <si>
    <t>Replication factor C small subunit n=1 Tax=Fadolivirus 1 TaxID=2740746 RepID=A0A7D3V5M3_9VIRU</t>
  </si>
  <si>
    <t>05.07.P3-18.976-24_4</t>
  </si>
  <si>
    <t>sp|Q9D0F6|RFC5_MOUSE Replication factor C subunit 5 OS=Mus musculus OX=10090 GN=Rfc5 PE=1 SV=1</t>
  </si>
  <si>
    <t>05.07.P3-18.976-24_5</t>
  </si>
  <si>
    <t>sp|Q5UQG4|IF4EH_MIMIV Eukaryotic translation initiation factor 4E homolog OS=Acanthamoeba polyphaga mimivirus OX=212035 GN=MIMI_L496 PE=3 SV=1</t>
  </si>
  <si>
    <t>VOG01371 [FUNC="sp|Q5UQG4|IF4EH_MIMIV Eukaryotic translation initiation factor 4E homolog"] [TAG=Xh TAGDEF="Virus protein with function beneficial for the host"]</t>
  </si>
  <si>
    <t>Translation initiation factor eIF-4E n=1 Tax=Fadolivirus 1 TaxID=2740746 RepID=A0A7D3UUB1_9VIRU</t>
  </si>
  <si>
    <t>05.07.P3-18.976-24_7</t>
  </si>
  <si>
    <t>VOG24377 [FUNC="sp|Q5UQG1|YL492_MIMIV Uncharacterized protein L492"] [TAG=Xs TAGDEF="Virus structure"]</t>
  </si>
  <si>
    <t>Uncharacterized protein n=1 Tax=Catovirus CTV1 TaxID=1977631 RepID=A0A1V0SBF4_9VIRU</t>
  </si>
  <si>
    <t>05.07.P3-18.976-24_9</t>
  </si>
  <si>
    <t>sp|Q01484|ANK2_HUMAN Ankyrin-2 OS=Homo sapiens OX=9606 GN=ANK2 PE=1 SV=4</t>
  </si>
  <si>
    <t>COG0666 [FUNC="Ankyrin repeat"] [shortName=ANKYR] [TAG=T TAGDEF="Signal transduction mechanisms" PROCESS="CELLULAR PROCESSES AND SIGNALING"]  [PATHWAY=""] ankyrin repeat domain-containing protein [Polynucleobacter asymbioticus]</t>
  </si>
  <si>
    <t>VOG00003 [FUNC="sp|Q5UPJ9|YL122_MIMIV Putative ankyrin repeat protein L122"] [TAG=Xh TAGDEF="Virus protein with function beneficial for the host"]</t>
  </si>
  <si>
    <t>Ankyrin repeat domain-containing protein n=1 Tax=Fadolivirus 1 TaxID=2740746 RepID=A0A7D3V8T6_9VIRU</t>
  </si>
  <si>
    <t>05.07.P3-19.030-40_1</t>
  </si>
  <si>
    <t>sp|Q65143|VF859_ASFB7 Probable helicase A859L OS=African swine fever virus (strain Badajoz 1971 Vero-adapted) OX=10498 GN=Ba71V-040 PE=3 SV=1</t>
  </si>
  <si>
    <t>COG4889 [FUNC="Predicted helicase"] [shortName=] [TAG=R TAGDEF="General function prediction only" PROCESS="POORLY CHARACTERIZED"]  [PATHWAY=""] hypothetical protein [Candidatus Pelagibacter sp. IMCC9063]</t>
  </si>
  <si>
    <t>05.07.P3-19.030-40_12</t>
  </si>
  <si>
    <t>sp|A7TTQ1|MSH3_VANPO DNA mismatch repair protein MSH3 OS=Vanderwaltozyma polyspora (strain ATCC 22028 / DSM 70294 / BCRC 21397 / CBS 2163 / NBRC 10782 / NRRL Y-8283 / UCD 57-17) OX=436907 GN=MSH3 PE=3 SV=1</t>
  </si>
  <si>
    <t>COG0249 [FUNC="DNA mismatch repair ATPase MutS"] [shortName=MutS] [TAG=L TAGDEF="Replication, recombination and repair" PROCESS="INFORMATION STORAGE AND PROCESSING"]  [PATHWAY=""] hypothetical protein [Candidatus Amoebophilus asiaticus]</t>
  </si>
  <si>
    <t>VOG22111 [FUNC="REFSEQ DNA mismatch repair ATPase MutS subfamily 8"] [TAG=Xu TAGDEF="Function unknown"]</t>
  </si>
  <si>
    <t>MutS domain V n=1 Tax=Mimiviridae sp. ChoanoV1 TaxID=2596887 RepID=A0A5B8HV53_9VIRU</t>
  </si>
  <si>
    <t>05.07.P3-19.030-40_15</t>
  </si>
  <si>
    <t>sp|Q5UQF4|YL485_MIMIV Uncharacterized protein L485 OS=Acanthamoeba polyphaga mimivirus OX=212035 GN=MIMI_L485 PE=1 SV=1</t>
  </si>
  <si>
    <t>VOG01343 [FUNC="sp|Q5UQF4|YL485_MIMIV Uncharacterized protein L485"] [TAG=Xs TAGDEF="Virus structure"]</t>
  </si>
  <si>
    <t>Uncharacterized protein n=1 Tax=Mimiviridae sp. ChoanoV1 TaxID=2596887 RepID=A0A5B8HYC0_9VIRU</t>
  </si>
  <si>
    <t>05.07.P3-19.030-40_16</t>
  </si>
  <si>
    <t>Uncharacterized protein n=1 Tax=Mimiviridae sp. ChoanoV1 TaxID=2596887 RepID=A0A5B8IQ13_9VIRU</t>
  </si>
  <si>
    <t>05.07.P3-19.030-40_17</t>
  </si>
  <si>
    <t>sp|P47075|VTC4_YEAST Vacuolar transporter chaperone complex subunit 4 OS=Saccharomyces cerevisiae (strain ATCC 204508 / S288c) OX=559292 GN=VTC4 PE=1 SV=2</t>
  </si>
  <si>
    <t>KOG1161 [FUNC="Protein involved in vacuolar polyphosphate accumulation, contains SPX domain"] [shortName=] [TAG=P TAGDEF="Inorganic ion transport and metabolism" PROCESS="METABOLISM"]  [PATHWAY=""]</t>
  </si>
  <si>
    <t>SPX-domain-containing protein n=1 Tax=Basidiobolus meristosporus CBS 931.73 TaxID=1314790 RepID=A0A1Y1Z606_9FUNG</t>
  </si>
  <si>
    <t>05.07.P3-19.030-40_18</t>
  </si>
  <si>
    <t>COG2110 [FUNC="O-acetyl-ADP-ribose deacetylase (regulator of RNase III), contains Macro domain"] [shortName=YmdB] [TAG=J TAGDEF="Translation, ribosomal structure and biogenesis" PROCESS="INFORMATION STORAGE AND PROCESSING"]  [PATHWAY=""] Appr-1-p processing protein [Filimonas lacunae]</t>
  </si>
  <si>
    <t>VOG03640 [FUNC="sp|P0C6T7|R1A_BCRP3 Replicase polyprotein 1a"] [TAG=Xh TAGDEF="Virus protein with function beneficial for the host"]</t>
  </si>
  <si>
    <t>Macro domain-containing protein n=1 Tax=Edaphochlamys debaryana TaxID=47281 RepID=A0A835Y9B3_9CHLO</t>
  </si>
  <si>
    <t>05.07.P3-19.030-40_3</t>
  </si>
  <si>
    <t>sp|Q57594|T1S1_METJA Type I restriction enzyme MjaVII specificity subunit OS=Methanocaldococcus jannaschii (strain ATCC 43067 / DSM 2661 / JAL-1 / JCM 10045 / NBRC 100440) OX=243232 GN=MJ0130 PE=1 SV=3</t>
  </si>
  <si>
    <t>COG0732 [FUNC="Restriction endonuclease S subunit"] [shortName=HsdS] [TAG=V TAGDEF="Defense mechanisms" PROCESS="CELLULAR PROCESSES AND SIGNALING"]  [PATHWAY=""] restriction endonuclease subunit M/S [Arachidicoccus sp. KIS59-12]</t>
  </si>
  <si>
    <t>VOG01504 [FUNC="REFSEQ N-6 DNA methylase"] [TAG=Xu TAGDEF="Function unknown"]</t>
  </si>
  <si>
    <t>site-specific DNA-methyltransferase (adenine-specific) n=1 Tax=Pyramimonas orientalis virus TaxID=455367 RepID=A0A7M3UNR8_POV01</t>
  </si>
  <si>
    <t>05.07.P3-19.030-40_8</t>
  </si>
  <si>
    <t>sp|P56213|ALR_MOUSE FAD-linked sulfhydryl oxidase ALR OS=Mus musculus OX=10090 GN=Gfer PE=1 SV=2</t>
  </si>
  <si>
    <t>Sulfhydryl oxidase n=1 Tax=Mimiviridae sp. ChoanoV1 TaxID=2596887 RepID=A0A5B8IHF7_9VIRU</t>
  </si>
  <si>
    <t>05.07.P3-19.070-35_1</t>
  </si>
  <si>
    <t>VOG32443 [FUNC="REFSEQ hypothetical protein"] [TAG=Xu TAGDEF="Function unknown"]</t>
  </si>
  <si>
    <t>Uncharacterized protein n=1 Tax=Chrysochromulina ericina virus TaxID=455364 RepID=A0A0N9QYM8_CEV01</t>
  </si>
  <si>
    <t>05.07.P3-19.070-35_10</t>
  </si>
  <si>
    <t>VOG02390 [FUNC="REFSEQ hypothetical protein"] [TAG=Xu TAGDEF="Function unknown"]</t>
  </si>
  <si>
    <t>Concanavalin A-like lectin/glucanase superfamily protein n=1 Tax=Chrysochromulina ericina virus TaxID=455364 RepID=A0A0N9QQV5_CEV01</t>
  </si>
  <si>
    <t>05.07.P3-19.070-35_11</t>
  </si>
  <si>
    <t>VOG04141 [FUNC="REFSEQ hypothetical protein"] [TAG=Xu TAGDEF="Function unknown"]</t>
  </si>
  <si>
    <t>LamG domain-containing protein n=1 Tax=Chrysochromulina ericina virus TaxID=455364 RepID=A0A0N9QXI4_CEV01</t>
  </si>
  <si>
    <t>05.07.P3-19.070-35_15</t>
  </si>
  <si>
    <t>COG2227 [FUNC="2-polyprenyl-3-methyl-5-hydroxy-6-metoxy-1,4-benzoquinol methylase"] [shortName=UbiG] [TAG=H TAGDEF="Coenzyme transport and metabolism" PROCESS="METABOLISM"]  [PATHWAY="Ubiquinone biosynthesis"] class I SAM-dependent methyltransferase [Anoxybacter fermentans]</t>
  </si>
  <si>
    <t>VOG00515 [FUNC="REFSEQ glycosyltransferase"] [TAG=Xu TAGDEF="Function unknown"]</t>
  </si>
  <si>
    <t>SAM dependent methyltransferase domain containing protein n=1 Tax=Chrysochromulina ericina virus TaxID=455364 RepID=A0A0N7G7M8_CEV01</t>
  </si>
  <si>
    <t>05.07.P3-19.070-35_2</t>
  </si>
  <si>
    <t>COG4852 [FUNC="Uncharacterized membrane protein"] [shortName=] [TAG=S TAGDEF="Function unknown" PROCESS="POORLY CHARACTERIZED"]  [PATHWAY=""] DUF2177 family protein [Paenisporosarcina sp. K2R23-3]</t>
  </si>
  <si>
    <t>VOG03698 [FUNC="REFSEQ hypothetical protein"] [TAG=Xu TAGDEF="Function unknown"]</t>
  </si>
  <si>
    <t>DUF2177 domain containing protein n=1 Tax=Chrysochromulina ericina virus TaxID=455364 RepID=A0A0N9R0P6_CEV01</t>
  </si>
  <si>
    <t>05.07.P3-19.070-35_3</t>
  </si>
  <si>
    <t>05.07.P3-19.070-35_4</t>
  </si>
  <si>
    <t>Uncharacterized protein n=3 Tax=unclassified Prymnesiovirus TaxID=358403 RepID=R4TIB0_9PHYC</t>
  </si>
  <si>
    <t>05.07.P3-19.070-35_5</t>
  </si>
  <si>
    <t>sp|A6TLM6|DUT_ALKMQ Deoxyuridine 5'-triphosphate nucleotidohydrolase OS=Alkaliphilus metalliredigens (strain QYMF) OX=293826 GN=dut PE=3 SV=1</t>
  </si>
  <si>
    <t>dUTP diphosphatase n=1 Tax=Mimiviridae sp. ChoanoV1 TaxID=2596887 RepID=A0A5B8IIW0_9VIRU</t>
  </si>
  <si>
    <t>05.07.P3-19.070-35_8</t>
  </si>
  <si>
    <t>sp|P24200|MCRA_ECOLI Type IV methyl-directed restriction enzyme EcoKMcrA OS=Escherichia coli (strain K12) OX=83333 GN=mcrA PE=1 SV=2</t>
  </si>
  <si>
    <t>COG1403 [FUNC="5-methylcytosine-specific restriction endonuclease McrA"] [shortName=McrA] [TAG=V TAGDEF="Defense mechanisms" PROCESS="CELLULAR PROCESSES AND SIGNALING"]  [PATHWAY=""] HNH endonuclease [Trichodesmium erythraeum]</t>
  </si>
  <si>
    <t>VOG00438 [FUNC="REFSEQ HNH endonuclease"] [TAG=Xu TAGDEF="Function unknown"]</t>
  </si>
  <si>
    <t>HNH nuclease n=1 Tax=Chrysochromulina ericina virus TaxID=455364 RepID=A0A0N9Q9I3_CEV01</t>
  </si>
  <si>
    <t>05.07.P3-19.070-35_9</t>
  </si>
  <si>
    <t>VOG12955 [FUNC="REFSEQ hypothetical protein"] [TAG=Xu TAGDEF="Function unknown"]</t>
  </si>
  <si>
    <t>Uncharacterized protein n=1 Tax=Chrysochromulina ericina virus TaxID=455364 RepID=A0A0N9R1A6_CEV01</t>
  </si>
  <si>
    <t>05.07.P3-19.334-27_28</t>
  </si>
  <si>
    <t>Uncharacterized protein n=2 Tax=unclassified dsDNA viruses TaxID=51368 RepID=M4QZF7_9VIRU</t>
  </si>
  <si>
    <t>05.07.P3-19.334-27_31</t>
  </si>
  <si>
    <t>Fungal lipase-like domain-containing protein n=1 Tax=Pleurochrysis sp. Polinton-like virus TaxID=2057943 RepID=A0A2H4YBC8_9VIRU</t>
  </si>
  <si>
    <t>05.07.P3-19.334-27_33</t>
  </si>
  <si>
    <t>Major capsid protein n=2 Tax=unclassified dsDNA viruses TaxID=51368 RepID=M4QM72_9VIRU</t>
  </si>
  <si>
    <t>05.07.P3-19.334-27_47</t>
  </si>
  <si>
    <t>Uncharacterized protein n=2 Tax=unclassified dsDNA viruses TaxID=51368 RepID=M4QR75_9VIRU</t>
  </si>
  <si>
    <t>05.07.P3-19.334-27_68</t>
  </si>
  <si>
    <t>Replication origin-binding protein domain-containing protein n=2 Tax=unclassified dsDNA viruses TaxID=51368 RepID=M4QM65_9VIRU</t>
  </si>
  <si>
    <t>05.07.P3-2.546-31_2</t>
  </si>
  <si>
    <t>sp|Q9NAA5|MTR1_CAEEL Cap-specific mRNA (nucleoside-2'-O-)-methyltransferase 1 OS=Caenorhabditis elegans OX=6239 GN=Y53F4B.13 PE=3 SV=3</t>
  </si>
  <si>
    <t>KOG3673 [FUNC="FtsJ-like RNA methyltransferase"] [shortName=] [TAG=A TAGDEF="RNA processing and modification" PROCESS="INFORMATION STORAGE AND PROCESSING"]  [PATHWAY=""]</t>
  </si>
  <si>
    <t>VOG01308 [FUNC="sp|P41469|CMTR_NPVAC Cap-specific mRNA (nucleoside-2'-O-)-methyltransferase"] [TAG=Xh TAGDEF="Virus protein with function beneficial for the host"]</t>
  </si>
  <si>
    <t>FtsJ-like methyltransferase n=1 Tax=Chrysochromulina ericina virus TaxID=455364 RepID=A0A0N9R198_CEV01</t>
  </si>
  <si>
    <t>05.07.P3-2.573-54_2</t>
  </si>
  <si>
    <t>sp|Q5UQ70|DNMK_MIMIV Putative deoxynucleotide monophosphate kinase OS=Acanthamoeba polyphaga mimivirus OX=212035 GN=MIMI_R512 PE=3 SV=1</t>
  </si>
  <si>
    <t>COG0237 [FUNC="Dephospho-CoA kinase"] [shortName=CoaE] [TAG=H TAGDEF="Coenzyme transport and metabolism" PROCESS="METABOLISM"]  [PATHWAY="Pantothenate/CoA biosynthesis"] hypothetical protein [Labrenzia aggregata]</t>
  </si>
  <si>
    <t>VOG02089 [FUNC="sp|Q7Y4Y9|DNMK_BPR69 Deoxynucleotide monophosphate kinase"] [TAG=Xh TAGDEF="Virus protein with function beneficial for the host"]</t>
  </si>
  <si>
    <t>Deoxynucleoside monophosphate kinase n=1 Tax=Indivirus ILV1 TaxID=1977633 RepID=A0A1V0SD59_9VIRU</t>
  </si>
  <si>
    <t>05.07.P3-2.609-2.8_1</t>
  </si>
  <si>
    <t>VOG00887 [FUNC="sp|P16006|DCTD_BPT4 Deoxycytidylate deaminase"] [TAG=Xh TAGDEF="Virus protein with function beneficial for the host"]</t>
  </si>
  <si>
    <t>Putative cytidine deaminase n=1 Tax=Tupanvirus soda lake TaxID=2126985 RepID=A0A6N1NMN9_9VIRU</t>
  </si>
  <si>
    <t>05.07.P3-2.609-2.8_2</t>
  </si>
  <si>
    <t>VOG02062 [FUNC="sp|P0DTL2|ACPY1_PAEHA Anti-Pycsar protein Apyc1"] [TAG=Xu TAGDEF="Function unknown"]</t>
  </si>
  <si>
    <t>Ribonuclease Z/metallo-beta-lactamase domain protein n=1 Tax=Fadolivirus 1 TaxID=2740746 RepID=A0A7D3USP4_9VIRU</t>
  </si>
  <si>
    <t>05.07.P3-2.609-2.8_3</t>
  </si>
  <si>
    <t>VOG03710 [FUNC="sp|P33280|ARGI_NEUCR Arginase"] [TAG=Xu TAGDEF="Function unknown"]</t>
  </si>
  <si>
    <t>Arginase-like protein n=1 Tax=Fadolivirus 1 TaxID=2740746 RepID=A0A7D3UTS3_9VIRU</t>
  </si>
  <si>
    <t>05.07.P3-2.619-2.0_1</t>
  </si>
  <si>
    <t>VOG23446 [FUNC="REFSEQ hypothetical protein"] [TAG=Xu TAGDEF="Function unknown"]</t>
  </si>
  <si>
    <t>Uncharacterized protein n=3 Tax=unclassified Prymnesiovirus TaxID=358403 RepID=R4TFL1_9PHYC</t>
  </si>
  <si>
    <t>05.07.P3-2.619-2.0_2</t>
  </si>
  <si>
    <t>mRNA capping enzyme n=3 Tax=unclassified Prymnesiovirus TaxID=358403 RepID=R4TWP7_9PHYC</t>
  </si>
  <si>
    <t>05.07.P3-2.619-2.0_3</t>
  </si>
  <si>
    <t>sp|Q5UQX1|MCE_MIMIV Probable mRNA-capping enzyme OS=Acanthamoeba polyphaga mimivirus OX=212035 GN=MIMI_R382 PE=1 SV=1</t>
  </si>
  <si>
    <t>KOG1975 [FUNC="mRNA cap methyltransferase"] [shortName=] [TAG=A TAGDEF="RNA processing and modification" PROCESS="INFORMATION STORAGE AND PROCESSING"]  [PATHWAY=""]</t>
  </si>
  <si>
    <t>05.07.P3-2.699-32_2</t>
  </si>
  <si>
    <t>EVE domain-containing protein n=1 Tax=Mimiviridae sp. ChoanoV1 TaxID=2596887 RepID=A0A5B8HW61_9VIRU</t>
  </si>
  <si>
    <t>05.07.P3-2.699-32_4</t>
  </si>
  <si>
    <t>Glycosyltransferase n=1 Tax=Cafeteria roenbergensis virus (strain BV-PW1) TaxID=693272 RepID=E3T532_CROVB</t>
  </si>
  <si>
    <t>05.07.P3-2.792-6.4_1</t>
  </si>
  <si>
    <t>VOG01332 [FUNC="REFSEQ hypothetical protein"] [TAG=Xu TAGDEF="Function unknown"]</t>
  </si>
  <si>
    <t>Uncharacterized protein n=1 Tax=Chrysochromulina ericina virus TaxID=455364 RepID=A0A0N9R3P7_CEV01</t>
  </si>
  <si>
    <t>05.07.P3-2.792-6.4_2</t>
  </si>
  <si>
    <t>sp|D2V434|FEN1_NAEGR Flap endonuclease 1 OS=Naegleria gruberi OX=5762 GN=FEN1 PE=3 SV=1</t>
  </si>
  <si>
    <t>KOG2519 [FUNC="5'-3' exonuclease"] [shortName=] [TAG=L TAGDEF="Replication, recombination and repair" PROCESS="INFORMATION STORAGE AND PROCESSING"]  [PATHWAY=""]</t>
  </si>
  <si>
    <t>PIN domain of flap Endonuclease 1 n=1 Tax=Chrysochromulina ericina virus TaxID=455364 RepID=A0A0N9QYU9_CEV01</t>
  </si>
  <si>
    <t>05.07.P3-2.792-6.4_3</t>
  </si>
  <si>
    <t>VOG27421 [FUNC="REFSEQ hypothetical protein"] [TAG=Xu TAGDEF="Function unknown"]</t>
  </si>
  <si>
    <t>SAP domain containing protein n=1 Tax=Chrysochromulina ericina virus TaxID=455364 RepID=A0A0N9R3Z9_CEV01</t>
  </si>
  <si>
    <t>05.07.P3-2.834-2.0_3</t>
  </si>
  <si>
    <t>sp|Q27958|DPOLB_BOVIN DNA polymerase beta OS=Bos taurus OX=9913 GN=POLB PE=2 SV=3</t>
  </si>
  <si>
    <t>DNA-directed DNA polymerase n=1 Tax=Aureococcus anophagefferens virus TaxID=1474867 RepID=A0A076FFZ1_9PHYC</t>
  </si>
  <si>
    <t>05.07.P3-2.834-2.0_4</t>
  </si>
  <si>
    <t>sp|P44121|DNLI_HAEIN DNA ligase OS=Haemophilus influenzae (strain ATCC 51907 / DSM 11121 / KW20 / Rd) OX=71421 GN=ligA PE=1 SV=2</t>
  </si>
  <si>
    <t>COG1793 [FUNC="ATP-dependent DNA ligase"] [shortName=CDC9] [TAG=L TAGDEF="Replication, recombination and repair" PROCESS="INFORMATION STORAGE AND PROCESSING"]  [PATHWAY=""] DNA ligase [Sulfuricella denitrificans]</t>
  </si>
  <si>
    <t>VOG00268 [FUNC="sp|P00970|DNLI_BPT4 DNA ligase"] [TAG=Xh TAGDEF="Virus protein with function beneficial for the host"]</t>
  </si>
  <si>
    <t>DNA ligase (Fragment) n=1 Tax=Euplotes crassus TaxID=5936 RepID=A0A7S3KHM0_EUPCR</t>
  </si>
  <si>
    <t>05.07.P3-2.834-2.0_5</t>
  </si>
  <si>
    <t>sp|P73090|PHOL_SYNY3 PhoH-like protein OS=Synechocystis sp. (strain PCC 6803 / Kazusa) OX=1111708 GN=slr2047 PE=3 SV=1</t>
  </si>
  <si>
    <t>COG1702 [FUNC="Phosphate starvation-inducible protein PhoH, predicted ATPase"] [shortName=PhoH] [TAG=T TAGDEF="Signal transduction mechanisms" PROCESS="CELLULAR PROCESSES AND SIGNALING"]  [PATHWAY=""] phosphate starvation-inducible protein PhoH [Christensenella minuta]</t>
  </si>
  <si>
    <t>VOG02406 [FUNC="sp|O07635|YLAK_BACSU Uncharacterized protein YlaK"] [TAG=Xh TAGDEF="Virus protein with function beneficial for the host"]</t>
  </si>
  <si>
    <t>PhoH-like protein domain-containing protein n=1 Tax=Bathycoccus sp. RCC716 virus 3 TaxID=2530040 RepID=A0A7S6NYX9_9PHYC</t>
  </si>
  <si>
    <t>05.07.P3-2.916-20_1</t>
  </si>
  <si>
    <t>COG4641 [FUNC="Spore maturation protein CgeB"] [shortName=] [TAG=D TAGDEF="Cell cycle control, cell division, chromosome partitioning" PROCESS="CELLULAR PROCESSES AND SIGNALING"]  [PATHWAY=""] MULTISPECIES: glycosyl transferase family 1 [Bacillus]</t>
  </si>
  <si>
    <t>VOG03570 [FUNC="REFSEQ hypothetical protein"] [TAG=Xu TAGDEF="Function unknown"]</t>
  </si>
  <si>
    <t>Glycosyltransferase n=1 Tax=Tupanvirus deep ocean TaxID=2126984 RepID=A0A6N1NEJ7_9VIRU</t>
  </si>
  <si>
    <t>05.07.P3-2.916-20_3</t>
  </si>
  <si>
    <t>Sulfotransferase family protein n=1 Tax=Paracoccus alkanivorans TaxID=2116655 RepID=A0A3M0MBV5_9RHOB</t>
  </si>
  <si>
    <t>05.07.P3-2.920-6.3_1</t>
  </si>
  <si>
    <t>Deoxyribodipyrimidine photo-lyase n=1 Tax=Methanolobus zinderi TaxID=536044 RepID=A0A7D5I527_9EURY</t>
  </si>
  <si>
    <t>05.07.P3-2.920-6.3_2</t>
  </si>
  <si>
    <t>05.07.P3-2.967-5.3_2</t>
  </si>
  <si>
    <t>sp|Q9CI70|DPO3A_LACLA DNA polymerase III subunit alpha OS=Lactococcus lactis subsp. lactis (strain IL1403) OX=272623 GN=dnaE PE=3 SV=1</t>
  </si>
  <si>
    <t>COG0587 [FUNC="DNA polymerase III, alpha subunit"] [shortName=DnaE] [TAG=L TAGDEF="Replication, recombination and repair" PROCESS="INFORMATION STORAGE AND PROCESSING"]  [PATHWAY=""] DNA polymerase III subunit alpha [Syntrophobacter fumaroxidans]</t>
  </si>
  <si>
    <t>DNA-directed DNA polymerase n=1 Tax=Mimiviridae sp. ChoanoV1 TaxID=2596887 RepID=A0A5B8IDW7_9VIRU</t>
  </si>
  <si>
    <t>05.07.P3-20.601-49_11</t>
  </si>
  <si>
    <t>sp|Q5UPT0|LONH_MIMIV Lon protease homolog OS=Acanthamoeba polyphaga mimivirus OX=212035 GN=MIMI_L251 PE=3 SV=1</t>
  </si>
  <si>
    <t>COG0466 [FUNC="ATP-dependent Lon protease, bacterial type"] [shortName=Lon] [TAG=O TAGDEF="Posttranslational modification, protein turnover, chaperones" PROCESS="CELLULAR PROCESSES AND SIGNALING"]  [PATHWAY=""] peptidase S16 [Waddlia chondrophila]</t>
  </si>
  <si>
    <t>VOG01345 [FUNC="sp|Q5UPT0|LONH_MIMIV Lon protease homolog"] [TAG=Xh TAGDEF="Virus protein with function beneficial for the host"]</t>
  </si>
  <si>
    <t>ATPase family protein n=1 Tax=Mimiviridae sp. ChoanoV1 TaxID=2596887 RepID=A0A5B8IHJ8_9VIRU</t>
  </si>
  <si>
    <t>05.07.P3-20.601-49_18</t>
  </si>
  <si>
    <t>sp|Q28ET8|IF4E3_XENTR Eukaryotic translation initiation factor 4E type 3 OS=Xenopus tropicalis OX=8364 GN=eif4e3 PE=2 SV=1</t>
  </si>
  <si>
    <t>KOG1670 [FUNC="Translation initiation factor 4F, cap-binding subunit (eIF-4E) and related cap-binding proteins"] [shortName=] [TAG=J TAGDEF="Translation, ribosomal structure and biogenesis" PROCESS="INFORMATION STORAGE AND PROCESSING"]  [PATHWAY=""]</t>
  </si>
  <si>
    <t>Eukaryotic initiation factor 4E n=1 Tax=Mimiviridae sp. ChoanoV1 TaxID=2596887 RepID=A0A5B8IFZ7_9VIRU</t>
  </si>
  <si>
    <t>05.07.P3-20.601-49_21</t>
  </si>
  <si>
    <t>sp|P20227|TBP_DROME TATA-box-binding protein OS=Drosophila melanogaster OX=7227 GN=Tbp PE=1 SV=1</t>
  </si>
  <si>
    <t>VOG03595 [FUNC="sp|Q197E3|VF335_IIV3 Uncharacterized protein 017R"] [TAG=Xu TAGDEF="Function unknown"]</t>
  </si>
  <si>
    <t>Putative TATA-box binding protein n=1 Tax=Dishui Lake large algae virus 1 TaxID=2704073 RepID=A0A6G6XPL6_9VIRU</t>
  </si>
  <si>
    <t>05.07.P3-20.601-49_23</t>
  </si>
  <si>
    <t>sp|Q84513|PCNA1_PBCV1 Probable DNA polymerase sliding clamp 1 OS=Paramecium bursaria Chlorella virus 1 OX=10506 GN=A193L PE=3 SV=1</t>
  </si>
  <si>
    <t>KOG1636 [FUNC="DNA polymerase delta processivity factor (proliferating cell nuclear antigen)"] [shortName=] [TAG=L TAGDEF="Replication, recombination and repair" PROCESS="INFORMATION STORAGE AND PROCESSING"]  [PATHWAY=""]</t>
  </si>
  <si>
    <t>Proliferating cell nuclear antigen, N-terminal domain protein n=1 Tax=Mimiviridae sp. ChoanoV1 TaxID=2596887 RepID=A0A5B8HVB7_9VIRU</t>
  </si>
  <si>
    <t>05.07.P3-20.601-49_24</t>
  </si>
  <si>
    <t>sp|Q5UQA2|YL534_MIMIV Uncharacterized protein L534 OS=Acanthamoeba polyphaga mimivirus OX=212035 GN=MIMI_L534 PE=4 SV=1</t>
  </si>
  <si>
    <t>Putative nudix hydrolase n=1 Tax=Chrysochromulina ericina virus TaxID=455364 RepID=A0A0N9Q9S1_CEV01</t>
  </si>
  <si>
    <t>05.07.P3-20.601-49_31</t>
  </si>
  <si>
    <t>sp|P35084|RPB1_DICDI DNA-directed RNA polymerase II subunit rpb1 OS=Dictyostelium discoideum OX=44689 GN=polr2a PE=2 SV=2</t>
  </si>
  <si>
    <t>KOG0260 [FUNC="RNA polymerase II, large subunit"] [shortName=] [TAG=K TAGDEF="Transcription" PROCESS="INFORMATION STORAGE AND PROCESSING"]  [PATHWAY=""]</t>
  </si>
  <si>
    <t>VOG00420 [FUNC="sp|A0A7H0DN77|RP147_MONPV DNA-directed RNA polymerase 147 kDa polypeptide"] [TAG=Xh TAGDEF="Virus protein with function beneficial for the host"]</t>
  </si>
  <si>
    <t>DNA-directed RNA polymerase subunit n=1 Tax=Mimiviridae sp. ChoanoV1 TaxID=2596887 RepID=A0A5B8IPW1_9VIRU</t>
  </si>
  <si>
    <t>05.07.P3-20.601-49_9</t>
  </si>
  <si>
    <t>Uncharacterized protein n=1 Tax=Brachionus plicatilis TaxID=10195 RepID=A0A3M7RIJ0_BRAPC</t>
  </si>
  <si>
    <t>05.07.P3-21.707-38_10</t>
  </si>
  <si>
    <t>sp|Q5UPZ9|GNA1_MIMIV Probable glucosamine 6-phosphate N-acetyltransferase OS=Acanthamoeba polyphaga mimivirus OX=212035 GN=MIMI_L316 PE=3 SV=1</t>
  </si>
  <si>
    <t>COG0456 [FUNC="Ribosomal protein S18 acetylase RimI and related acetyltransferases"] [shortName=RimI] [TAG=J TAGDEF="Translation, ribosomal structure and biogenesis" PROCESS="INFORMATION STORAGE AND PROCESSING"]  [PATHWAY=""] Acetyltransferase, GNAT family [Candidatus Nitrosotalea devanaterra]</t>
  </si>
  <si>
    <t>VOG00082 [FUNC="sp|Q5UPZ9|GNA1_MIMIV Probable glucosamine 6-phosphate N-acetyltransferase"] [TAG=Xh TAGDEF="Virus protein with function beneficial for the host"]</t>
  </si>
  <si>
    <t>Glucosamine 6-phosphate N-acetyltransferase n=1 Tax=Rhodosorus marinus TaxID=101924 RepID=A0A7S3EEF1_9RHOD</t>
  </si>
  <si>
    <t>05.07.P3-21.707-38_11</t>
  </si>
  <si>
    <t>sp|O86422|UDG_PSEAE UDP-glucose 6-dehydrogenase OS=Pseudomonas aeruginosa (strain ATCC 15692 / DSM 22644 / CIP 104116 / JCM 14847 / LMG 12228 / 1C / PRS 101 / PAO1) OX=208964 GN=udg PE=3 SV=2</t>
  </si>
  <si>
    <t>COG1004 [FUNC="UDP-glucose 6-dehydrogenase"] [shortName=Ugd] [TAG=M TAGDEF="Cell wall/membrane/envelope biogenesis" PROCESS="CELLULAR PROCESSES AND SIGNALING"]  [PATHWAY=""] UDP-glucose 6-dehydrogenase, UDPglucose 6-dehydrogenase [Candidatus Woesebacteria bacterium GW2011_GWF1_31_35]</t>
  </si>
  <si>
    <t>VOG08649 [FUNC="sp|O33952|UDG8_ECOLX UDP-glucose 6-dehydrogenase"] [TAG=Xh TAGDEF="Virus protein with function beneficial for the host"]</t>
  </si>
  <si>
    <t>UDP-glucose 6-dehydrogenase n=1 Tax=Yasminevirus sp. GU-2018 TaxID=2420051 RepID=A0A5K0U9W6_9VIRU</t>
  </si>
  <si>
    <t>05.07.P3-21.707-38_12</t>
  </si>
  <si>
    <t>sp|Q9LDU6|ST7R_ARATH 7-dehydrocholesterol reductase OS=Arabidopsis thaliana OX=3702 GN=DWF5 PE=1 SV=1</t>
  </si>
  <si>
    <t>KOG1435 [FUNC="Sterol reductase/lamin B receptor"] [shortName=] [TAG=I TAGDEF="Lipid transport and metabolism" PROCESS="METABOLISM"] [TAG=T TAGDEF="Signal transduction mechanisms" PROCESS="CELLULAR PROCESSES AND SIGNALING"]  [PATHWAY=""]</t>
  </si>
  <si>
    <t>VOG34618 [FUNC="sp|Q5UQI4|DHCR7_MIMIV Probable 7-dehydrocholesterol reductase"] [TAG=Xh TAGDEF="Virus protein with function beneficial for the host"]</t>
  </si>
  <si>
    <t>7-dehydrocholesterol reductase n=1 Tax=Chionoecetes opilio TaxID=41210 RepID=A0A8J4YC08_CHIOP</t>
  </si>
  <si>
    <t>05.07.P3-21.707-38_13</t>
  </si>
  <si>
    <t>EGF-like domain-containing protein n=1 Tax=Darwinula stevensoni TaxID=69355 RepID=A0A7R8XEU6_9CRUS</t>
  </si>
  <si>
    <t>05.07.P3-21.707-38_15</t>
  </si>
  <si>
    <t>Probable deoxycytidine kinase FPV151 n=2 Tax=Fowlpox virus TaxID=10261 RepID=DCK2_FOWPN</t>
  </si>
  <si>
    <t>05.07.P3-21.707-38_17</t>
  </si>
  <si>
    <t>VOG06249 [FUNC="REFSEQ hypothetical protein"] [TAG=Xu TAGDEF="Function unknown"]</t>
  </si>
  <si>
    <t>Uncharacterized protein n=1 Tax=Invertebrate iridescent virus 30 TaxID=345585 RepID=W8W264_9VIRU</t>
  </si>
  <si>
    <t>05.07.P3-21.707-38_18</t>
  </si>
  <si>
    <t>Uncharacterized protein n=1 Tax=Mimiviridae sp. ChoanoV1 TaxID=2596887 RepID=A0A5B8IHR8_9VIRU</t>
  </si>
  <si>
    <t>05.07.P3-21.707-38_2</t>
  </si>
  <si>
    <t>Glycosyltransferase GTB-type domain protein n=3 Tax=Moumouvirus TaxID=985782 RepID=A0A1S5V1T4_9VIRU</t>
  </si>
  <si>
    <t>05.07.P3-21.707-38_20</t>
  </si>
  <si>
    <t>Uncharacterized protein n=1 Tax=Mimiviridae sp. ChoanoV1 TaxID=2596887 RepID=A0A5B8HVF8_9VIRU</t>
  </si>
  <si>
    <t>05.07.P3-21.707-38_28</t>
  </si>
  <si>
    <t>sp|Q58466|Y1066_METJA Uncharacterized protein MJ1066 OS=Methanocaldococcus jannaschii (strain ATCC 43067 / DSM 2661 / JAL-1 / JCM 10045 / NBRC 100440) OX=243232 GN=MJ1066 PE=3 SV=1</t>
  </si>
  <si>
    <t>COG0399 [FUNC="dTDP-4-amino-4,6-dideoxygalactose transaminase"] [shortName=WecE] [TAG=M TAGDEF="Cell wall/membrane/envelope biogenesis" PROCESS="CELLULAR PROCESSES AND SIGNALING"]  [PATHWAY=""] aminotransferase DegT [Salinispora arenicola]</t>
  </si>
  <si>
    <t>VOG03587 [FUNC="sp|Q9ALN8|SPNQ_SACSN dTDP-4-dehydro-2,6-dideoxy-D-glucose 3-dehydratase"] [TAG=Xh TAGDEF="Virus protein with function beneficial for the host"]</t>
  </si>
  <si>
    <t>Uncharacterized protein n=1 Tax=Eutreptiella gymnastica TaxID=73025 RepID=A0A7S1NUQ7_9EUGL</t>
  </si>
  <si>
    <t>05.07.P3-21.707-38_29</t>
  </si>
  <si>
    <t>sp|Q9LPG6|RHM2_ARATH Trifunctional UDP-glucose 4,6-dehydratase/UDP-4-keto-6-deoxy-D-glucose 3,5-epimerase/UDP-4-keto-L-rhamnose-reductase RHM2 OS=Arabidopsis thaliana OX=3702 GN=RHM2 PE=1 SV=1</t>
  </si>
  <si>
    <t>COG1088 [FUNC="dTDP-D-glucose 4,6-dehydratase"] [shortName=RfbB] [TAG=M TAGDEF="Cell wall/membrane/envelope biogenesis" PROCESS="CELLULAR PROCESSES AND SIGNALING"]  [PATHWAY=""] NAD dependent epimerase/dehydratase [Micavibrio aeruginosavorus]</t>
  </si>
  <si>
    <t>VOG00103 [FUNC="sp|Q9EQC1|3BHS7_MOUSE 3 beta-hydroxysteroid dehydrogenase type 7"] [TAG=Xh TAGDEF="Virus protein with function beneficial for the host"]</t>
  </si>
  <si>
    <t>NAD(P)-binding domain-containing protein n=1 Tax=Micromonas pusilla TaxID=38833 RepID=A0A7S0NH43_MICPS</t>
  </si>
  <si>
    <t>05.07.P3-21.707-38_3</t>
  </si>
  <si>
    <t>Putative glycosyltransferase n=1 Tax=Tupanvirus deep ocean TaxID=2126984 RepID=A0A6N1NEP7_9VIRU</t>
  </si>
  <si>
    <t>05.07.P3-21.707-38_30</t>
  </si>
  <si>
    <t>sp|P0AC91|GM4D_SHIFL GDP-mannose 4,6-dehydratase OS=Shigella flexneri OX=623 GN=gmd PE=3 SV=1</t>
  </si>
  <si>
    <t>COG1089 [FUNC="GDP-D-mannose dehydratase"] [shortName=Gmd] [TAG=M TAGDEF="Cell wall/membrane/envelope biogenesis" PROCESS="CELLULAR PROCESSES AND SIGNALING"]  [PATHWAY=""] GDP-mannose 4,6-dehydratase [Thiohalobacter thiocyanaticus]</t>
  </si>
  <si>
    <t>GDP-mannose 4,6-dehydratase n=1 Tax=Dictyostelium purpureum TaxID=5786 RepID=F0Z7X0_DICPU</t>
  </si>
  <si>
    <t>05.07.P3-21.707-38_31</t>
  </si>
  <si>
    <t>sp|Q7BLV3|HAS_PASMD Hyaluronan synthase OS=Pasteurella multocida OX=747 GN=hyaD PE=1 SV=2</t>
  </si>
  <si>
    <t>COG0463 [FUNC="Glycosyltransferase involved in cell wall bisynthesis"] [shortName=WcaA] [TAG=M TAGDEF="Cell wall/membrane/envelope biogenesis" PROCESS="CELLULAR PROCESSES AND SIGNALING"]  [PATHWAY=""] glycosyltransferase family 2 protein [Paraliobacillus sp. X-1125]</t>
  </si>
  <si>
    <t>VOG00659 [FUNC="sp|A0A0H3JNB0|TARP_STAAN Poly(ribitol-phosphate) beta-N-acetylglucosaminyltransferase TarP"] [TAG=Xh TAGDEF="Virus protein with function beneficial for the host"]</t>
  </si>
  <si>
    <t>Glycosyltransferase family 2 protein n=1 Tax=Brachyspira aalborgi TaxID=29522 RepID=A0A5C8CDG4_9SPIR</t>
  </si>
  <si>
    <t>05.07.P3-21.707-38_32</t>
  </si>
  <si>
    <t>sp|Q0P8H3|UDG_CAMJE UDP-glucose 6-dehydrogenase OS=Campylobacter jejuni subsp. jejuni serotype O:2 (strain ATCC 700819 / NCTC 11168) OX=192222 GN=kfiD PE=1 SV=1</t>
  </si>
  <si>
    <t>Putative UDP-glucose 6-dehydrogenase n=1 Tax=Cafeteria roenbergensis virus (strain BV-PW1) TaxID=693272 RepID=E3T512_CROVB</t>
  </si>
  <si>
    <t>05.07.P3-21.707-38_4</t>
  </si>
  <si>
    <t>sp|Q55C77|FCL_DICDI GDP-L-fucose synthase OS=Dictyostelium discoideum OX=44689 GN=ger PE=1 SV=1</t>
  </si>
  <si>
    <t>KOG1431 [FUNC="GDP-L-fucose synthetase"] [shortName=] [TAG=G TAGDEF="Carbohydrate transport and metabolism" PROCESS="METABOLISM"] [TAG=O TAGDEF="Posttranslational modification, protein turnover, chaperones" PROCESS="CELLULAR PROCESSES AND SIGNALING"]  [PATHWAY=""]</t>
  </si>
  <si>
    <t>NAD-dependent epimerase/dehydratase domain-containing protein n=1 Tax=Mimiviridae sp. ChoanoV1 TaxID=2596887 RepID=A0A5B8IEG2_9VIRU</t>
  </si>
  <si>
    <t>05.07.P3-21.707-38_9</t>
  </si>
  <si>
    <t>VOG14168 [FUNC="REFSEQ hypothetical protein"] [TAG=Xu TAGDEF="Function unknown"]</t>
  </si>
  <si>
    <t>Glycosyltransferase n=1 Tax=Cafeteria roenbergensis virus (strain BV-PW1) TaxID=693272 RepID=E3T513_CROVB</t>
  </si>
  <si>
    <t>05.07.P3-3.085-3.9_1</t>
  </si>
  <si>
    <t>VOG23897 [FUNC="REFSEQ hypothetical protein"] [TAG=Xu TAGDEF="Function unknown"]</t>
  </si>
  <si>
    <t>Uncharacterized protein n=3 Tax=unclassified Prymnesiovirus TaxID=358403 RepID=R4TFW0_9PHYC</t>
  </si>
  <si>
    <t>05.07.P3-3.085-3.9_5</t>
  </si>
  <si>
    <t>VOG03686 [FUNC="REFSEQ hypothetical protein"] [TAG=Xu TAGDEF="Function unknown"]</t>
  </si>
  <si>
    <t>EF-hand domain-containing protein n=3 Tax=unclassified Prymnesiovirus TaxID=358403 RepID=R4TX03_9PHYC</t>
  </si>
  <si>
    <t>05.07.P3-3.111-5.4_2</t>
  </si>
  <si>
    <t>sp|Q7T6X0|YR161_MIMIV Uncharacterized protein R161 OS=Acanthamoeba polyphaga mimivirus OX=212035 GN=MIMI_R161 PE=1 SV=2</t>
  </si>
  <si>
    <t>VOG00353 [FUNC="sp|Q5UNW2|YR706_MIMIV Uncharacterized protein R706"] [TAG=Xs TAGDEF="Virus structure"]</t>
  </si>
  <si>
    <t>Uncharacterized protein n=1 Tax=Mimivirus LCMiAC01 TaxID=2506608 RepID=A0A481YZY5_9VIRU</t>
  </si>
  <si>
    <t>05.07.P3-3.131-2.5_3</t>
  </si>
  <si>
    <t>Poxvirus A22-like protein n=1 Tax=Paramecium bursaria Chlorella virus CVG-1 TaxID=1278248 RepID=M1HN82_9PHYC</t>
  </si>
  <si>
    <t>05.07.P3-3.131-2.5_4</t>
  </si>
  <si>
    <t>sp|Q5UPT1|TF2B_MIMIV Putative transcription initiation factor IIB-like protein OS=Acanthamoeba polyphaga mimivirus OX=212035 GN=MIMI_L250 PE=3 SV=1</t>
  </si>
  <si>
    <t>VOG00254 [FUNC="sp|Q196V5|VF359_IIV3 Uncharacterized protein 105R"] [TAG=Xu TAGDEF="Function unknown"]</t>
  </si>
  <si>
    <t>Transcription factor TFIIB cyclin-like domain-containing protein n=1 Tax=Bathycoccus sp. RCC716 virus 2 TaxID=2530039 RepID=A0A7S6SX20_9PHYC</t>
  </si>
  <si>
    <t>05.07.P3-3.142-51_1</t>
  </si>
  <si>
    <t>sp|P03018|UVRD_ECOLI DNA helicase II OS=Escherichia coli (strain K12) OX=83333 GN=uvrD PE=1 SV=1</t>
  </si>
  <si>
    <t>COG0210 [FUNC="Superfamily I DNA or RNA helicase"] [shortName=UvrD] [TAG=L TAGDEF="Replication, recombination and repair" PROCESS="INFORMATION STORAGE AND PROCESSING"]  [PATHWAY=""] ATP-dependent DNA helicase PcrA [Candidatus Arthromitus sp. SFB-mouse]</t>
  </si>
  <si>
    <t>DNA 3'-5' helicase n=1 Tax=Catovirus CTV1 TaxID=1977631 RepID=A0A1V0SAV1_9VIRU</t>
  </si>
  <si>
    <t>05.07.P3-3.294-3.7_2</t>
  </si>
  <si>
    <t>VOG21731 [FUNC="REFSEQ virion structural protein"] [TAG=Xu TAGDEF="Function unknown"]</t>
  </si>
  <si>
    <t>Phage protein n=2 Tax=unclassified Caudoviricetes TaxID=2788787 RepID=A0A915VGN0_9CAUD</t>
  </si>
  <si>
    <t>05.07.P3-3.294-3.7_3</t>
  </si>
  <si>
    <t>VOG12766 [FUNC="REFSEQ virion structural protein"] [TAG=Xu TAGDEF="Function unknown"]</t>
  </si>
  <si>
    <t>Uncharacterized protein n=1 Tax=Richelia sp. RM2_1_2 TaxID=2720436 RepID=A0A969MQV6_9NOST</t>
  </si>
  <si>
    <t>05.07.P3-3.294-3.7_4</t>
  </si>
  <si>
    <t>VOG00487 [FUNC="sp|P39504|SPAN1_BPT4 Spanin, inner membrane subunit"] [TAG=Xh TAGDEF="Virus protein with function beneficial for the host"]</t>
  </si>
  <si>
    <t>Uncharacterized protein n=1 Tax=Vibrio phage Va1 TaxID=2508852 RepID=A0A410T670_9CAUD</t>
  </si>
  <si>
    <t>05.07.P3-3.294-3.7_6</t>
  </si>
  <si>
    <t>sp|P46343|PHOL_BACSU PhoH-like protein OS=Bacillus subtilis (strain 168) OX=224308 GN=phoH PE=3 SV=3</t>
  </si>
  <si>
    <t>COG1702 [FUNC="Phosphate starvation-inducible protein PhoH, predicted ATPase"] [shortName=PhoH] [TAG=T TAGDEF="Signal transduction mechanisms" PROCESS="CELLULAR PROCESSES AND SIGNALING"]  [PATHWAY=""] phosphate starvation-induced protein PhoH [Listeria monocytogenes EGD-e]</t>
  </si>
  <si>
    <t>Phosphate starvation-inducible protein n=1 Tax=Pseudomonas phage vB_PaeM_PA5oct TaxID=2163605 RepID=A0A4Y5JUZ3_9CAUD</t>
  </si>
  <si>
    <t>05.07.P3-3.442-40_3</t>
  </si>
  <si>
    <t>CMP deaminase n=1 Tax=Rhodococcus phage Grayson TaxID=2182359 RepID=A0A2U8ULL9_9CAUD</t>
  </si>
  <si>
    <t>05.07.P3-3.442-40_5</t>
  </si>
  <si>
    <t>VOG03661 [FUNC="REFSEQ Putative methyltransferase"] [TAG=Xu TAGDEF="Function unknown"]</t>
  </si>
  <si>
    <t>Methyltransferase FkbM domain-containing protein n=1 Tax=Virus NIOZ-UU159 TaxID=2763270 RepID=A0A7S9XFS0_9VIRU</t>
  </si>
  <si>
    <t>05.07.P3-3.442-40_6</t>
  </si>
  <si>
    <t>VOG03620 [FUNC="REFSEQ zinc finger C2H2-type protein"] [TAG=Xu TAGDEF="Function unknown"]</t>
  </si>
  <si>
    <t>MIGE-like protein n=1 Tax=Chrysochromulina ericina virus TaxID=455364 RepID=A0A0N9QQQ6_CEV01</t>
  </si>
  <si>
    <t>05.07.P3-3.615-48_1</t>
  </si>
  <si>
    <t>LamG-like jellyroll fold domain-containing protein n=1 Tax=Theileria annulata TaxID=5874 RepID=Q4UGJ1_THEAN</t>
  </si>
  <si>
    <t>05.07.P3-3.615-48_2</t>
  </si>
  <si>
    <t>05.07.P3-3.615-48_3</t>
  </si>
  <si>
    <t>LamG domain-containing protein n=1 Tax=Mimiviridae sp. ChoanoV1 TaxID=2596887 RepID=A0A5B8ID98_9VIRU</t>
  </si>
  <si>
    <t>05.07.P3-3.615-48_4</t>
  </si>
  <si>
    <t>sp|Q10323|IMT3_SCHPO Inositol phosphoceramide mannosyltransferase 3 OS=Schizosaccharomyces pombe (strain 972 / ATCC 24843) OX=284812 GN=SPAC17G8.11c PE=1 SV=1</t>
  </si>
  <si>
    <t>COG3774 [FUNC="Mannosyltransferase OCH1 or related enzyme"] [shortName=OCH1] [TAG=M TAGDEF="Cell wall/membrane/envelope biogenesis" PROCESS="CELLULAR PROCESSES AND SIGNALING"]  [PATHWAY=""] glycosyl transferase [Aminobacter aminovorans]</t>
  </si>
  <si>
    <t>VOG00317 [FUNC="sp|Q5UQW4|YL373_MIMIV Uncharacterized glycosyltransferase L373"] [TAG=Xh TAGDEF="Virus protein with function beneficial for the host"]</t>
  </si>
  <si>
    <t>Mannosyl phosphorylinositol ceramide synthase SUR1 n=1 Tax=Pneumocystis carinii (strain B80) TaxID=1408658 RepID=A0A0W4ZPB8_PNEC8</t>
  </si>
  <si>
    <t>05.07.P3-3.615-48_5</t>
  </si>
  <si>
    <t>sp|A0JPH3|G251A_XENLA Procollagen galactosyltransferase 1-A OS=Xenopus laevis OX=8355 GN=colgalt1-a PE=2 SV=1</t>
  </si>
  <si>
    <t>COG3306 [FUNC="Glycosyltransferase involved in LPS biosynthesis, GR25 family"] [shortName=] [TAG=M TAGDEF="Cell wall/membrane/envelope biogenesis" PROCESS="CELLULAR PROCESSES AND SIGNALING"]  [PATHWAY=""] hypothetical protein [Photorhabdus luminescens]</t>
  </si>
  <si>
    <t>VOG01337 [FUNC="sp|Q5UQ63|YR654_MIMIV Putative fucosyltransferase R654"] [TAG=Xh TAGDEF="Virus protein with function beneficial for the host"]</t>
  </si>
  <si>
    <t>Glycosyltransferase family 25 protein n=2 Tax=Providencia rettgeri TaxID=587 RepID=A0A264VQZ7_PRORE</t>
  </si>
  <si>
    <t>05.07.P3-3.693-46_1</t>
  </si>
  <si>
    <t>sp|Q9PL79|TILS_CHLMU tRNA(Ile)-lysidine synthase OS=Chlamydia muridarum (strain MoPn / Nigg) OX=243161 GN=tilS PE=3 SV=1</t>
  </si>
  <si>
    <t>COG0037 [FUNC="tRNA(Ile)-lysidine synthase TilS/MesJ"] [shortName=TilS] [TAG=J TAGDEF="Translation, ribosomal structure and biogenesis" PROCESS="INFORMATION STORAGE AND PROCESSING"]  [PATHWAY="tRNA modification"] tRNA lysidine(34) synthetase TilS [Candidatus Izimaplasma sp. HR1]</t>
  </si>
  <si>
    <t>VOG00671 [FUNC="sp|Q4JBY3|QUEC_SULAC 7-cyano-7-deazaguanine synthase"] [TAG=Xh TAGDEF="Virus protein with function beneficial for the host"]</t>
  </si>
  <si>
    <t>tRNA(Ile)-lysidine synthetase n=3 Tax=unclassified Prymnesiovirus TaxID=358403 RepID=R4TVK3_9PHYC</t>
  </si>
  <si>
    <t>05.07.P3-3.693-46_2</t>
  </si>
  <si>
    <t>sp|Q8GWW4|GUX2_ARATH UDP-glucuronate:xylan alpha-glucuronosyltransferase 2 OS=Arabidopsis thaliana OX=3702 GN=GUX2 PE=2 SV=1</t>
  </si>
  <si>
    <t>KOG1950 [FUNC="Glycosyl transferase, family 8 - glycogenin"] [shortName=] [TAG=G TAGDEF="Carbohydrate transport and metabolism" PROCESS="METABOLISM"]  [PATHWAY=""]</t>
  </si>
  <si>
    <t>VOG16354 [FUNC="sp|Q5UNW1|YR707_MIMIV Uncharacterized protein R707"] [TAG=Xu TAGDEF="Function unknown"]</t>
  </si>
  <si>
    <t>Glycosyltransferase family 8 protein n=1 Tax=Romeriopsis navalis LEGE 11480 TaxID=2777977 RepID=A0A928Z5B5_9CYAN</t>
  </si>
  <si>
    <t>05.07.P3-3.693-46_7</t>
  </si>
  <si>
    <t>ATP-grasp domain-containing protein n=1 Tax=Rhodocytophaga rosea TaxID=2704465 RepID=A0A6C0GWI4_9BACT</t>
  </si>
  <si>
    <t>05.07.P3-3.880-3.2_1</t>
  </si>
  <si>
    <t>sp|Q4KLY4|RING2_RAT E3 ubiquitin-protein ligase RING2 OS=Rattus norvegicus OX=10116 GN=Rnf2 PE=2 SV=1</t>
  </si>
  <si>
    <t>KOG0311 [FUNC="Predicted E3 ubiquitin ligase"] [shortName=] [TAG=O TAGDEF="Posttranslational modification, protein turnover, chaperones" PROCESS="CELLULAR PROCESSES AND SIGNALING"]  [PATHWAY=""]</t>
  </si>
  <si>
    <t>Putative RING finger E3 ubiquitin ligase n=1 Tax=Pithovirus LCPAC404 TaxID=2506597 RepID=A0A481ZCL8_9VIRU</t>
  </si>
  <si>
    <t>05.07.P3-3.880-3.2_3</t>
  </si>
  <si>
    <t>Uncharacterized protein n=1 Tax=Indivirus ILV1 TaxID=1977633 RepID=A0A1V0SEF7_9VIRU</t>
  </si>
  <si>
    <t>05.07.P3-3.880-3.2_4</t>
  </si>
  <si>
    <t>sp|B1HPK4|PURA_LYSSC Adenylosuccinate synthetase OS=Lysinibacillus sphaericus (strain C3-41) OX=444177 GN=purA PE=3 SV=1</t>
  </si>
  <si>
    <t>COG0104 [FUNC="Adenylosuccinate synthase"] [shortName=PurA] [TAG=F TAGDEF="Nucleotide transport and metabolism" PROCESS="METABOLISM"]  [PATHWAY="Purine biosynthesis"] adenylosuccinate synthase [Ichthyobacterium seriolicida]</t>
  </si>
  <si>
    <t>VOG25505 [FUNC="sp|Q57981|PURA_METJA Adenylosuccinate synthetase"] [TAG=Xh TAGDEF="Virus protein with function beneficial for the host"]</t>
  </si>
  <si>
    <t>Adenylosuccinate synthetase n=1 Tax=Helicobacter saguini TaxID=1548018 RepID=A0A347VR51_9HELI</t>
  </si>
  <si>
    <t>05.07.P3-35.846-45_1</t>
  </si>
  <si>
    <t>VOG00746 [FUNC="sp|P16942|T629_SHISO Transposase for insertion sequence element IS629"] [TAG=Xr TAGDEF="Virus replication"]</t>
  </si>
  <si>
    <t>Transposase n=1 Tax=Hokovirus HKV1 TaxID=1977638 RepID=A0A1V0SFN1_9VIRU</t>
  </si>
  <si>
    <t>05.07.P3-35.846-45_11</t>
  </si>
  <si>
    <t>VOG01000 [FUNC="REFSEQ hypothetical protein"] [TAG=Xu TAGDEF="Function unknown"]</t>
  </si>
  <si>
    <t>Uncharacterized protein n=1 Tax=Mimiviridae sp. ChoanoV1 TaxID=2596887 RepID=A0A5B8IPU5_9VIRU</t>
  </si>
  <si>
    <t>05.07.P3-35.846-45_15</t>
  </si>
  <si>
    <t>Multicopper oxidase domain-containing protein n=1 Tax=Neobacillus rhizophilus TaxID=2833579 RepID=A0A942U2A5_9BACI</t>
  </si>
  <si>
    <t>05.07.P3-35.846-45_20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</si>
  <si>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[Desulfomicrobium baculatum]</t>
  </si>
  <si>
    <t>Type III restriction enzyme, res subunit n=1 Tax=Mimiviridae sp. ChoanoV1 TaxID=2596887 RepID=A0A5B8IPY1_9VIRU</t>
  </si>
  <si>
    <t>05.07.P3-35.846-45_29</t>
  </si>
  <si>
    <t>Zinc finger, C2H2 type n=1 Tax=Mimiviridae sp. ChoanoV1 TaxID=2596887 RepID=A0A5B8IHB2_9VIRU</t>
  </si>
  <si>
    <t>05.07.P3-35.846-45_31</t>
  </si>
  <si>
    <t>Methyltransferase type 11 n=2 Tax=Desulfonatronovibrionaceae TaxID=3031459 RepID=D6SL36_9BACT</t>
  </si>
  <si>
    <t>05.07.P3-35.846-45_32</t>
  </si>
  <si>
    <t>VOG10007 [FUNC="sp|Q91FG9|VF355_IIV6 Putative CTD phosphatase-like protein 355R"] [TAG=Xh TAGDEF="Virus protein with function beneficial for the host"]</t>
  </si>
  <si>
    <t>NLI interacting factor-like phosphatase n=1 Tax=Orpheovirus IHUMI-LCC2 TaxID=2023057 RepID=A0A2I2L3E5_9PHYC</t>
  </si>
  <si>
    <t>05.07.P3-35.846-45_35</t>
  </si>
  <si>
    <t>VOG02032 [FUNC="REFSEQ hypothetical protein"] [TAG=Xu TAGDEF="Function unknown"]</t>
  </si>
  <si>
    <t>Class I SAM-dependent methyltransferase n=1 Tax=Actinomadura sp. KC06 TaxID=2530369 RepID=A0A4R4XZ08_9ACTN</t>
  </si>
  <si>
    <t>05.07.P3-35.846-45_36</t>
  </si>
  <si>
    <t>HNH endonuclease n=1 Tax=Yasminevirus sp. GU-2018 TaxID=2420051 RepID=A0A5K0U7Z6_9VIRU</t>
  </si>
  <si>
    <t>05.07.P3-35.846-45_4</t>
  </si>
  <si>
    <t>Uncharacterized protein n=1 Tax=Klosneuvirus KNV1 TaxID=1977640 RepID=A0A1V0SLW9_9VIRU</t>
  </si>
  <si>
    <t>05.07.P3-35.846-45_43</t>
  </si>
  <si>
    <t>sp|Q5ZJU3|ASNS_CHICK Asparagine synthetase [glutamine-hydrolyzing] OS=Gallus gallus OX=9031 GN=ASNS PE=2 SV=3</t>
  </si>
  <si>
    <t>Asparagine synthetase [glutamine-hydrolyzing] n=1 Tax=Ramazzottius varieornatus TaxID=947166 RepID=A0A1D1V4V6_RAMVA</t>
  </si>
  <si>
    <t>05.07.P3-35.846-45_45</t>
  </si>
  <si>
    <t>COG2358 [FUNC="TRAP-type uncharacterized transport system, periplasmic component"] [shortName=Imp] [TAG=R TAGDEF="General function prediction only" PROCESS="POORLY CHARACTERIZED"]  [PATHWAY=""] TAXI family TRAP transporter solute-binding subunit [Breoghania sp. L-A4]</t>
  </si>
  <si>
    <t>C4-dicarboxylate ABC transporter substrate-binding protein n=2 Tax=Kaistia sp. 32K TaxID=2795690 RepID=A0A7R7T5U9_9HYPH</t>
  </si>
  <si>
    <t>05.07.P3-35.846-45_51</t>
  </si>
  <si>
    <t>sp|Q9P4V2|AGM1_CANAX Phosphoacetylglucosamine mutase OS=Candida albicans OX=5476 GN=AGM1 PE=1 SV=1</t>
  </si>
  <si>
    <t>KOG2537 [FUNC="Phosphoglucomutase/phosphomannomutase"] [shortName=] [TAG=G TAGDEF="Carbohydrate transport and metabolism" PROCESS="METABOLISM"]  [PATHWAY=""]</t>
  </si>
  <si>
    <t>Phosphoacetylglucosamine mutase n=1 Tax=Trichosporon asahii var. asahii (strain ATCC 90039 / CBS 2479 / JCM 2466 / KCTC 7840 / NBRC 103889/ NCYC 2677 / UAMH 7654) TaxID=1186058 RepID=J5QRT1_TRIAS</t>
  </si>
  <si>
    <t>05.07.P3-35.846-45_7</t>
  </si>
  <si>
    <t>sp|P17610|YPT3_SCHPO GTP-binding protein ypt3 OS=Schizosaccharomyces pombe (strain 972 / ATCC 24843) OX=284812 GN=ypt3 PE=1 SV=1</t>
  </si>
  <si>
    <t>KOG0087 [FUNC="GTPase Rab11/YPT3, small G protein superfamily"] [shortName=] [TAG=U TAGDEF="Intracellular trafficking, secretion, and vesicular transport" PROCESS="CELLULAR PROCESSES AND SIGNALING"]  [PATHWAY=""]</t>
  </si>
  <si>
    <t>VOG00896 [FUNC="sp|Q5UQ27|RABL_MIMIV Probable Rab-related GTPase"] [TAG=Xh TAGDEF="Virus protein with function beneficial for the host"]</t>
  </si>
  <si>
    <t>Uncharacterized protein n=1 Tax=Rotaria socialis TaxID=392032 RepID=A0A818V4R4_9BILA</t>
  </si>
  <si>
    <t>05.07.P3-38.663-27_1</t>
  </si>
  <si>
    <t>COG2251 [FUNC="Predicted nuclease, RecB family"] [shortName=] [TAG=R TAGDEF="General function prediction only" PROCESS="POORLY CHARACTERIZED"]  [PATHWAY=""] hypothetical protein Haur_3075 [Herpetosiphon aurantiacus DSM 785]</t>
  </si>
  <si>
    <t>VOG03578 [FUNC="REFSEQ hypothetical protein"] [TAG=Xu TAGDEF="Function unknown"]</t>
  </si>
  <si>
    <t>YprB ribonuclease H-like domain-containing protein n=1 Tax=Mimiviridae sp. ChoanoV1 TaxID=2596887 RepID=A0A5B8HWU7_9VIRU</t>
  </si>
  <si>
    <t>05.07.P3-38.663-27_13</t>
  </si>
  <si>
    <t>sp|Q5UQR0|DPOL_MIMIV DNA polymerase OS=Acanthamoeba polyphaga mimivirus OX=212035 GN=POLB PE=3 SV=1</t>
  </si>
  <si>
    <t>DNA polymerase n=1 Tax=Mimiviridae sp. ChoanoV1 TaxID=2596887 RepID=A0A5B8IGT9_9VIRU</t>
  </si>
  <si>
    <t>05.07.P3-38.663-27_14</t>
  </si>
  <si>
    <t>sp|Q9F7P4|PRRG_PRB01 Green-light absorbing proteorhodopsin OS=Gamma-proteobacterium EBAC31A08 OX=133804 PE=1 SV=1</t>
  </si>
  <si>
    <t>Bacteriorhodopsin-like protein n=1 Tax=Mimiviridae sp. ChoanoV1 TaxID=2596887 RepID=A0A5B8IJA5_9VIRU</t>
  </si>
  <si>
    <t>05.07.P3-38.663-27_19</t>
  </si>
  <si>
    <t>sp|P54186|D1_ONCVO Protein D1 (Fragment) OS=Onchocerca volvulus OX=6282 GN=D1 PE=2 SV=1</t>
  </si>
  <si>
    <t>KOG3346 [FUNC="Phosphatidylethanolamine binding protein"] [shortName=] [TAG=R TAGDEF="General function prediction only" PROCESS="POORLY CHARACTERIZED"]  [PATHWAY=""]</t>
  </si>
  <si>
    <t>VOG33840 [FUNC="sp|Q5UR88|PEBPH_MIMIV Phosphatidylethanolamine-binding protein homolog R644"] [TAG=Xh TAGDEF="Virus protein with function beneficial for the host"]</t>
  </si>
  <si>
    <t>Phosphatidylethanolamine-binding protein 4 (inferred by orthology to a human protein) n=1 Tax=Anisakis simplex TaxID=6269 RepID=A0A0M3J700_ANISI</t>
  </si>
  <si>
    <t>05.07.P3-38.663-27_2</t>
  </si>
  <si>
    <t>sp|F4JAU3|P4H2_ARATH Prolyl 4-hydroxylase 2 OS=Arabidopsis thaliana OX=3702 GN=P4H2 PE=1 SV=1</t>
  </si>
  <si>
    <t>KOG1591 [FUNC="Prolyl 4-hydroxylase alpha subunit"] [shortName=] [TAG=E TAGDEF="Amino acid transport and metabolism" PROCESS="METABOLISM"]  [PATHWAY=""]</t>
  </si>
  <si>
    <t>VOG00031 [FUNC="sp|B1XLW1|Y2658_SYNP2 PKHD-type hydroxylase SYNPCC7002_A2658"] [TAG=Xh TAGDEF="Virus protein with function beneficial for the host"]</t>
  </si>
  <si>
    <t>2OG-Fe(II) oxygenase n=1 Tax=Priestia megaterium TaxID=1404 RepID=A0A3D8X925_PRIMG</t>
  </si>
  <si>
    <t>05.07.P3-38.663-27_20</t>
  </si>
  <si>
    <t>sp|O55759|VF161_IIV6 Putative helicase 161L OS=Invertebrate iridescent virus 6 OX=176652 GN=IIV6-161L PE=3 SV=1</t>
  </si>
  <si>
    <t>COG0610 [FUNC="Type I site-specific restriction-modification system, R (restriction) subunit and related helicases ..."] [shortName=] [TAG=V TAGDEF="Defense mechanisms" PROCESS="CELLULAR PROCESSES AND SIGNALING"]  [PATHWAY=""] type I restriction endonuclease subunit R [Halorussus sp. RC-68]</t>
  </si>
  <si>
    <t>Superfamily II DNA or RNA helicase n=1 Tax=Hokovirus HKV1 TaxID=1977638 RepID=A0A1V0SEK7_9VIRU</t>
  </si>
  <si>
    <t>05.07.P3-38.663-27_21</t>
  </si>
  <si>
    <t>COG0286 [FUNC="Type I restriction-modification system, DNA methylase subunit"] [shortName=HsdM] [TAG=V TAGDEF="Defense mechanisms" PROCESS="CELLULAR PROCESSES AND SIGNALING"]  [PATHWAY=""] SAM-dependent DNA methyltransferase [Peptoniphilus harei]</t>
  </si>
  <si>
    <t>Putative type I restriction modification enzyme, M and S domains n=1 Tax=Cafeteria roenbergensis virus (strain BV-PW1) TaxID=693272 RepID=E3T5T6_CROVB</t>
  </si>
  <si>
    <t>05.07.P3-38.663-27_22</t>
  </si>
  <si>
    <t>sp|P40818|UBP8_HUMAN Ubiquitin carboxyl-terminal hydrolase 8 OS=Homo sapiens OX=9606 GN=USP8 PE=1 SV=1</t>
  </si>
  <si>
    <t>KOG1868 [FUNC="Ubiquitin C-terminal hydrolase"] [shortName=] [TAG=O TAGDEF="Posttranslational modification, protein turnover, chaperones" PROCESS="CELLULAR PROCESSES AND SIGNALING"]  [PATHWAY=""]</t>
  </si>
  <si>
    <t>VOG00910 [FUNC="sp|O57429|UBP2_CHICK Ubiquitin carboxyl-terminal hydrolase 2"] [TAG=Xh TAGDEF="Virus protein with function beneficial for the host"]</t>
  </si>
  <si>
    <t>Ubiquitin carboxyl-terminal hydrolase n=1 Tax=Seminavis robusta TaxID=568900 RepID=A0A9N8E9T6_9STRA</t>
  </si>
  <si>
    <t>05.07.P3-38.663-27_24</t>
  </si>
  <si>
    <t>C2H2-type domain-containing protein n=1 Tax=Mimivirus LCMiAC02 TaxID=2506609 RepID=A0A481Z0N1_9VIRU</t>
  </si>
  <si>
    <t>05.07.P3-38.663-27_25</t>
  </si>
  <si>
    <t>sp|Q9TW67|NGLY1_CAEEL Peptide-N(4)-(N-acetyl-beta-glucosaminyl)asparagine amidase OS=Caenorhabditis elegans OX=6239 GN=png-1 PE=1 SV=1</t>
  </si>
  <si>
    <t>COG3118 [FUNC="Chaperedoxin CnoX, contains thioredoxin-like and TPR-like domains, YbbN/TrxSC family"] [shortName=CnoX] [TAG=O TAGDEF="Posttranslational modification, protein turnover, chaperones" PROCESS="CELLULAR PROCESSES AND SIGNALING"]  [PATHWAY=""] thioredoxin [Cyanothece sp. PCC 7822]</t>
  </si>
  <si>
    <t>Thioredoxin n=1 Tax=Gloeothece verrucosa (strain PCC 7822) TaxID=497965 RepID=E0U5Q8_GLOV7</t>
  </si>
  <si>
    <t>05.07.P3-38.663-27_27</t>
  </si>
  <si>
    <t>VOG03656 [FUNC="sp|Q5UPW0|YR287_MIMIV Uncharacterized protein R287"] [TAG=Xu TAGDEF="Function unknown"]</t>
  </si>
  <si>
    <t>Mg257 protein n=1 Tax=Tupanvirus deep ocean TaxID=2126984 RepID=A0A6N1NZA5_9VIRU</t>
  </si>
  <si>
    <t>05.07.P3-38.663-27_33</t>
  </si>
  <si>
    <t>Uncharacterized protein n=1 Tax=Indivirus ILV1 TaxID=1977633 RepID=A0A1V0SEN7_9VIRU</t>
  </si>
  <si>
    <t>05.07.P3-38.663-27_34</t>
  </si>
  <si>
    <t>COG3378 [FUNC="DNA primase, phage- or plasmid-associated"] [shortName=] [TAG=X TAGDEF="Mobilome: prophages, transposons" PROCESS=""]  [PATHWAY=""] primase [Anoxybacillus flavithermus]</t>
  </si>
  <si>
    <t>DNA primase n=1 Tax=Lactobacillus delbrueckii subsp. lactis TaxID=29397 RepID=A0A3G6JD92_LACDL</t>
  </si>
  <si>
    <t>05.07.P3-38.663-27_35</t>
  </si>
  <si>
    <t>sp|Q58524|HELS_METJA ATP-dependent DNA helicase Hel308 OS=Methanocaldococcus jannaschii (strain ATCC 43067 / DSM 2661 / JAL-1 / JCM 10045 / NBRC 100440) OX=243232 GN=hel308 PE=3 SV=1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</si>
  <si>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DEAD/DEAH box helicase [Peptoniphilus harei]</t>
  </si>
  <si>
    <t>P-loop containing nucleoside triphosphate hydrolase protein n=1 Tax=Tribonema minus TaxID=303371 RepID=A0A835YZZ6_9STRA</t>
  </si>
  <si>
    <t>05.07.P3-38.663-27_36</t>
  </si>
  <si>
    <t>Glycosyltransferase, family 25 n=1 Tax=Emiliania huxleyi TaxID=2903 RepID=R1E4W4_EMIHU</t>
  </si>
  <si>
    <t>05.07.P3-38.663-27_44</t>
  </si>
  <si>
    <t>sp|P22147|XRN1_YEAST 5'-3' exoribonuclease 1 OS=Saccharomyces cerevisiae (strain ATCC 204508 / S288c) OX=559292 GN=XRN1 PE=1 SV=1</t>
  </si>
  <si>
    <t>KOG2045 [FUNC="5'-3' exonuclease XRN1/KEM1/SEP1 involved in DNA strand exchange and mRNA turnover"] [shortName=] [TAG=L TAGDEF="Replication, recombination and repair" PROCESS="INFORMATION STORAGE AND PROCESSING"] [TAG=D TAGDEF="Cell cycle control, cell division, chromosome partitioning" PROCESS="CELLULAR PROCESSES AND SIGNALING"]  [PATHWAY=""]</t>
  </si>
  <si>
    <t>XRN 5'-3' exonuclease n=1 Tax=Mimivirus LCMiAC02 TaxID=2506609 RepID=A0A481Z3I1_9VIRU</t>
  </si>
  <si>
    <t>05.07.P3-38.663-27_45</t>
  </si>
  <si>
    <t>sp|Q23FE2|TTL3C_TETTS Tubulin glycylase 3C OS=Tetrahymena thermophila (strain SB210) OX=312017 GN=TTLL3C PE=3 SV=2</t>
  </si>
  <si>
    <t>KOG2156 [FUNC="Tubulin-tyrosine ligase-related protein"] [shortName=] [TAG=O TAGDEF="Posttranslational modification, protein turnover, chaperones" PROCESS="CELLULAR PROCESSES AND SIGNALING"]  [PATHWAY=""]</t>
  </si>
  <si>
    <t>VOG37835 [FUNC="REFSEQ hypothetical protein"] [TAG=Xu TAGDEF="Function unknown"]</t>
  </si>
  <si>
    <t>Tubulin-tyrosine ligase family protein n=1 Tax=Stentor coeruleus TaxID=5963 RepID=A0A1R2BE94_9CILI</t>
  </si>
  <si>
    <t>05.07.P3-38.663-27_46</t>
  </si>
  <si>
    <t>sp|Q5UQR6|YR325_MIMIV Uncharacterized protein R325 OS=Acanthamoeba polyphaga mimivirus OX=212035 GN=MIMI_R325 PE=3 SV=1</t>
  </si>
  <si>
    <t>Uncharacterized protein n=1 Tax=Mimiviridae sp. ChoanoV1 TaxID=2596887 RepID=A0A5B8INV8_9VIRU</t>
  </si>
  <si>
    <t>05.07.P3-38.663-27_47</t>
  </si>
  <si>
    <t>sp|Q5UQR4|YR327_MIMIV Uncharacterized protein R327 OS=Acanthamoeba polyphaga mimivirus OX=212035 GN=MIMI_R327 PE=1 SV=1</t>
  </si>
  <si>
    <t>VOG22943 [FUNC="REFSEQ hypothetical protein"] [TAG=Xu TAGDEF="Function unknown"]</t>
  </si>
  <si>
    <t>Early transcription factor VETF large subunit n=1 Tax=Indivirus ILV1 TaxID=1977633 RepID=A0A1V0SDS1_9VIRU</t>
  </si>
  <si>
    <t>05.07.P3-38.663-27_48</t>
  </si>
  <si>
    <t>05.07.P3-38.663-27_7</t>
  </si>
  <si>
    <t>sp|Q8K297|GT251_MOUSE Procollagen galactosyltransferase 1 OS=Mus musculus OX=10090 GN=Colgalt1 PE=1 SV=2</t>
  </si>
  <si>
    <t>COG3306 [FUNC="Glycosyltransferase involved in LPS biosynthesis, GR25 family"] [shortName=] [TAG=M TAGDEF="Cell wall/membrane/envelope biogenesis" PROCESS="CELLULAR PROCESSES AND SIGNALING"]  [PATHWAY=""] hypothetical protein [Candidatus Phycorickettsia trachydisci]</t>
  </si>
  <si>
    <t>Procollagen galactosyltransferase 1 n=1 Tax=Clupea harengus TaxID=7950 RepID=A0A6P8EQW9_CLUHA</t>
  </si>
  <si>
    <t>05.07.P3-4.132-48_1</t>
  </si>
  <si>
    <t>sp|Q31SH3|IPA9_SHIBS E3 ubiquitin-protein ligase ipaH9.8 OS=Shigella boydii serotype 4 (strain Sb227) OX=300268 GN=ipaH9.8 PE=3 SV=1</t>
  </si>
  <si>
    <t>COG4886 [FUNC="Leucine-rich repeat (LRR) protein"] [shortName=LRR] [TAG=K TAGDEF="Transcription" PROCESS="INFORMATION STORAGE AND PROCESSING"]  [PATHWAY=""] MULTISPECIES: hypothetical protein [Bradyrhizobium]</t>
  </si>
  <si>
    <t>Leucine-rich repeat protein n=1 Tax=Hokovirus HKV1 TaxID=1977638 RepID=A0A1V0SFF2_9VIRU</t>
  </si>
  <si>
    <t>05.07.P3-4.213-1.9_1</t>
  </si>
  <si>
    <t>Putative anthocyanidin reductase ((2S)-flavan-3-ol-forming)-like protein n=1 Tax=Dishui Lake virophage 6 TaxID=2704067 RepID=A0A6G6XNH5_9VIRU</t>
  </si>
  <si>
    <t>05.07.P3-4.213-1.9_4</t>
  </si>
  <si>
    <t>D5 N terminal like n=1 Tax=Mimiviridae sp. ChoanoV1 TaxID=2596887 RepID=A0A5B8IDJ4_9VIRU</t>
  </si>
  <si>
    <t>05.07.P3-4.279-10_1</t>
  </si>
  <si>
    <t>sp|Q5UQW2|DIPP_MIMIV Putative mRNA-decapping protein OS=Acanthamoeba polyphaga mimivirus OX=212035 GN=MIMI_L375 PE=3 SV=1</t>
  </si>
  <si>
    <t>COG0494 [FUNC="8-oxo-dGTP pyrophosphatase MutT and related house-cleaning NTP pyrophosphohydrolases, NUDIX family"] [shortName=MutT] [TAG=V TAGDEF="Defense mechanisms" PROCESS="CELLULAR PROCESSES AND SIGNALING"]  [PATHWAY=""] NUDIX domain-containing protein [Endomicrobium proavitum]</t>
  </si>
  <si>
    <t>VOG00111 [FUNC="sp|P21290|ADPP_NPVAC Protein ADP-ribose pyrophosphatase ORF38"] [TAG=Xu TAGDEF="Function unknown"]</t>
  </si>
  <si>
    <t>Nudix-like hydrolase n=1 Tax=Chrysochromulina ericina virus TaxID=455364 RepID=A0A0N9QYL7_CEV01</t>
  </si>
  <si>
    <t>05.07.P3-4.279-10_2</t>
  </si>
  <si>
    <t>sp|Q5UQW0|YL377_MIMIV Putative ATP-dependent RNA helicase L377 OS=Acanthamoeba polyphaga mimivirus OX=212035 GN=MIMI_L377 PE=1 SV=1</t>
  </si>
  <si>
    <t>Putative helicase n=1 Tax=Chrysochromulina ericina virus TaxID=455364 RepID=A0A0N9R3L6_CEV01</t>
  </si>
  <si>
    <t>05.07.P3-4.372-26_2</t>
  </si>
  <si>
    <t>COG2110 [FUNC="O-acetyl-ADP-ribose deacetylase (regulator of RNase III), contains Macro domain"] [shortName=YmdB] [TAG=J TAGDEF="Translation, ribosomal structure and biogenesis" PROCESS="INFORMATION STORAGE AND PROCESSING"]  [PATHWAY=""] tail protein [Bernardetia litoralis]</t>
  </si>
  <si>
    <t>Macro domain protein n=1 Tax=Marseillevirus LCMAC201 TaxID=2506605 RepID=A0A481YXH4_9VIRU</t>
  </si>
  <si>
    <t>05.07.P3-4.372-26_4</t>
  </si>
  <si>
    <t>sp|Q4LDE5|SVEP1_HUMAN Sushi, von Willebrand factor type A, EGF and pentraxin domain-containing protein 1 OS=Homo sapiens OX=9606 GN=SVEP1 PE=1 SV=3</t>
  </si>
  <si>
    <t>TNFR-Cys domain-containing protein n=1 Tax=Adineta ricciae TaxID=249248 RepID=A0A814VZY8_ADIRI</t>
  </si>
  <si>
    <t>05.07.P3-4.372-26_5</t>
  </si>
  <si>
    <t>sp|Q5GS83|CLPP_WOLTR ATP-dependent Clp protease proteolytic subunit OS=Wolbachia sp. subsp. Brugia malayi (strain TRS) OX=292805 GN=clpP PE=3 SV=1</t>
  </si>
  <si>
    <t>COG0740 [FUNC="ATP-dependent protease ClpP, protease subunit"] [shortName=ClpP] [TAG=O TAGDEF="Posttranslational modification, protein turnover, chaperones" PROCESS="CELLULAR PROCESSES AND SIGNALING"]  [PATHWAY=""] ATP-dependent Clp endopeptidase, proteolytic subunit ClpP [Frateuria aurantia]</t>
  </si>
  <si>
    <t>VOG28393 [FUNC="sp|P03711|SCAF_LAMBD Capsid assembly protease C"] [TAG=Xh TAGDEF="Virus protein with function beneficial for the host"]</t>
  </si>
  <si>
    <t>Clp protease n=1 Tax=Mimiviridae sp. ChoanoV1 TaxID=2596887 RepID=A0A5B8IJ65_9VIRU</t>
  </si>
  <si>
    <t>05.07.P3-4.399-30_3</t>
  </si>
  <si>
    <t>sp|Q5UPX7|RPO5_MIMIV DNA-directed RNA polymerase subunit 5 OS=Acanthamoeba polyphaga mimivirus OX=212035 GN=MIMI_L235 PE=1 SV=1</t>
  </si>
  <si>
    <t>VOG00406 [FUNC="sp|Q6GZU8|028R_FRG3G Uncharacterized protein 028R"] [TAG=Xu TAGDEF="Function unknown"]</t>
  </si>
  <si>
    <t>DNA-directed RNA polymerase subunit 5 n=1 Tax=Catovirus CTV1 TaxID=1977631 RepID=A0A1V0SB98_9VIRU</t>
  </si>
  <si>
    <t>05.07.P3-4.639-5.2_1</t>
  </si>
  <si>
    <t>sp|Q91FL8|VF306_IIV6 Putative SWIB domain-containing protein 306R OS=Invertebrate iridescent virus 6 OX=176652 GN=IIV6-306R PE=3 SV=1</t>
  </si>
  <si>
    <t>COG5531 [FUNC="DNA-binding SWIB/MDM2 domain"] [shortName=Rsc6] [TAG=B TAGDEF="Chromatin structure and dynamics" PROCESS="INFORMATION STORAGE AND PROCESSING"]  [PATHWAY=""] DNA topoisomerase III [Paenalcaligenes hominis]</t>
  </si>
  <si>
    <t>VOG03606 [FUNC="sp|Q91FL8|VF306_IIV6 Putative SWIB domain-containing protein 306R"] [TAG=Xu TAGDEF="Function unknown"]</t>
  </si>
  <si>
    <t>SWIB-domain containing protein n=1 Tax=Chrysochromulina ericina virus TaxID=455364 RepID=A0A0N7G7N1_CEV01</t>
  </si>
  <si>
    <t>05.07.P3-4.639-5.2_2</t>
  </si>
  <si>
    <t>VOG00315 [FUNC="sp|Q197F3|007R_IIV3 Uncharacterized protein 007R"] [TAG=Xu TAGDEF="Function unknown"]</t>
  </si>
  <si>
    <t>DUF2738 superfamily protein n=1 Tax=Chrysochromulina ericina virus TaxID=455364 RepID=A0A0N9R1I4_CEV01</t>
  </si>
  <si>
    <t>05.07.P3-4.639-5.2_3</t>
  </si>
  <si>
    <t>sp|Q5UPL7|YL153_MIMIV Uncharacterized protein L153 OS=Acanthamoeba polyphaga mimivirus OX=212035 GN=MIMI_L153 PE=4 SV=1</t>
  </si>
  <si>
    <t>DUF305 domain-containing protein n=1 Tax=Hymenobacter lapidiphilus TaxID=2608003 RepID=A0A7Y7PRM2_9BACT</t>
  </si>
  <si>
    <t>05.07.P3-4.639-5.2_6</t>
  </si>
  <si>
    <t>sp|Q5BIP8|DNJB5_BOVIN DnaJ homolog subfamily B member 5 OS=Bos taurus OX=9913 GN=DNAJB5 PE=2 SV=1</t>
  </si>
  <si>
    <t>KOG0714 [FUNC="Molecular chaperone (DnaJ superfamily)"] [shortName=] [TAG=O TAGDEF="Posttranslational modification, protein turnover, chaperones" PROCESS="CELLULAR PROCESSES AND SIGNALING"]  [PATHWAY=""]</t>
  </si>
  <si>
    <t>VOG01375 [FUNC="sp|Q5UPU5|YR266_MIMIV Putative J domain-containing protein R266"] [TAG=Xu TAGDEF="Function unknown"]</t>
  </si>
  <si>
    <t>Genome assembly, chromosome: 15 n=1 Tax=Phyllotreta striolata TaxID=444603 RepID=A0A9N9XNA6_PHYSR</t>
  </si>
  <si>
    <t>05.07.P3-4.999-4.9_1</t>
  </si>
  <si>
    <t>Peptidase S74 domain-containing protein n=1 Tax=Bathycoccus sp. RCC1105 virus BpV2 TaxID=880160 RepID=E5EQZ4_9PHYC</t>
  </si>
  <si>
    <t>05.07.P3-5.257-6.0_1</t>
  </si>
  <si>
    <t>VOG30030 [FUNC="REFSEQ hypothetical protein"] [TAG=Xu TAGDEF="Function unknown"]</t>
  </si>
  <si>
    <t>Chitin synthase n=1 Tax=Tupanvirus soda lake TaxID=2126985 RepID=A0A6N1NKZ0_9VIRU</t>
  </si>
  <si>
    <t>05.07.P3-5.257-6.0_2</t>
  </si>
  <si>
    <t>05.07.P3-5.436-18_1</t>
  </si>
  <si>
    <t>COG4951 [FUNC="Uncharacterized conserved protein"] [shortName=] [TAG=S TAGDEF="Function unknown" PROCESS="POORLY CHARACTERIZED"]  [PATHWAY=""] hypothetical protein [Echinicola vietnamensis]</t>
  </si>
  <si>
    <t>A18-like helicase n=1 Tax=Mimivirus LCMiAC01 TaxID=2506608 RepID=A0A481Z0I4_9VIRU</t>
  </si>
  <si>
    <t>05.07.P3-5.436-18_2</t>
  </si>
  <si>
    <t>sp|Q5UQ47|RFCS1_MIMIV Putative replication factor C small subunit R395 OS=Acanthamoeba polyphaga mimivirus OX=212035 GN=MIMI_R395 PE=3 SV=1</t>
  </si>
  <si>
    <t>COG0470 [FUNC="DNA polymerase III, delta prime subunit"] [shortName=HolB] [TAG=L TAGDEF="Replication, recombination and repair" PROCESS="INFORMATION STORAGE AND PROCESSING"]  [PATHWAY=""] replication factor C small subunit [Thermosphaera aggregans]</t>
  </si>
  <si>
    <t>Replication factor C small subunit n=1 Tax=Klosneuvirus KNV1 TaxID=1977640 RepID=A0A1V0SLV7_9VIRU</t>
  </si>
  <si>
    <t>05.07.P3-5.436-18_3</t>
  </si>
  <si>
    <t>sp|Q7XRX1|RFC4_ORYSJ Replication factor C subunit 4 OS=Oryza sativa subsp. japonica OX=39947 GN=RFC4 PE=2 SV=2</t>
  </si>
  <si>
    <t>KOG0991 [FUNC="Replication factor C, subunit RFC2"] [shortName=] [TAG=L TAGDEF="Replication, recombination and repair" PROCESS="INFORMATION STORAGE AND PROCESSING"]  [PATHWAY=""]</t>
  </si>
  <si>
    <t>Rad17 cell cycle checkpoint protein n=1 Tax=Mimivirus LCMiAC01 TaxID=2506608 RepID=A0A481Z027_9VIRU</t>
  </si>
  <si>
    <t>05.07.P3-5.436-18_4</t>
  </si>
  <si>
    <t>sp|Q5UQ48|YL394_MIMIV Putative HD domain-containing protein L394 OS=Acanthamoeba polyphaga mimivirus OX=212035 GN=MIMI_L394 PE=4 SV=1</t>
  </si>
  <si>
    <t>KOG2681 [FUNC="Metal-dependent phosphohydrolase"] [shortName=] [TAG=S TAGDEF="Function unknown" PROCESS="POORLY CHARACTERIZED"]  [PATHWAY=""]</t>
  </si>
  <si>
    <t>VOG08578 [FUNC="sp|B0G107|SAMH1_DICDI Deoxynucleoside triphosphate triphosphohydrolase SAMHD1 homolog"] [TAG=Xh TAGDEF="Virus protein with function beneficial for the host"]</t>
  </si>
  <si>
    <t>HD phosphohydrolase n=1 Tax=Fadolivirus 1 TaxID=2740746 RepID=A0A7D3R1K3_9VIRU</t>
  </si>
  <si>
    <t>05.07.P3-5.436-18_6</t>
  </si>
  <si>
    <t>Uncharacterized protein n=1 Tax=Mimivirus LCMiAC02 TaxID=2506609 RepID=A0A481Z0A8_9VIRU</t>
  </si>
  <si>
    <t>05.07.P3-5.885-22_1</t>
  </si>
  <si>
    <t>COG3774 [FUNC="Mannosyltransferase OCH1 or related enzyme"] [shortName=OCH1] [TAG=M TAGDEF="Cell wall/membrane/envelope biogenesis" PROCESS="CELLULAR PROCESSES AND SIGNALING"]  [PATHWAY=""] hypothetical protein [Arcticibacterium luteifluviistationis]</t>
  </si>
  <si>
    <t>Glycosyltransferase n=1 Tax=Klosneuvirus KNV1 TaxID=1977640 RepID=A0A1V0SK20_9VIRU</t>
  </si>
  <si>
    <t>05.07.P3-5.885-22_2</t>
  </si>
  <si>
    <t>COG0265 [FUNC="Periplasmic serine protease, S1-C subfamily, contain C-terminal PDZ domain"] [shortName=DegQ] [TAG=O TAGDEF="Posttranslational modification, protein turnover, chaperones" PROCESS="CELLULAR PROCESSES AND SIGNALING"]  [PATHWAY=""] PDZ domain-containing protein [Caldilinea aerophila]</t>
  </si>
  <si>
    <t>Peptidase S1 family protein n=1 Tax=Caldilinea aerophila (strain DSM 14535 / JCM 11387 / NBRC 104270 / STL-6-O1) TaxID=926550 RepID=I0I3U0_CALAS</t>
  </si>
  <si>
    <t>05.07.P3-5.885-22_4</t>
  </si>
  <si>
    <t>COG1196 [FUNC="Chromosome segregation ATPase Smc"] [shortName=Smc] [TAG=D TAGDEF="Cell cycle control, cell division, chromosome partitioning" PROCESS="CELLULAR PROCESSES AND SIGNALING"]  [PATHWAY=""] hypothetical protein [Ichthyobacterium seriolicida]</t>
  </si>
  <si>
    <t>Peptidase S74 domain-containing protein n=1 Tax=Emticicia agri TaxID=2492393 RepID=A0A4Q5LZI6_9BACT</t>
  </si>
  <si>
    <t>05.07.P3-5.889-4.2_2</t>
  </si>
  <si>
    <t>SMODS and SLOG-associating 2TM effector domain-containing protein n=1 Tax=Chlamydomonas incerta TaxID=51695 RepID=A0A835SCT4_CHLIN</t>
  </si>
  <si>
    <t>05.07.P3-5.889-4.2_3</t>
  </si>
  <si>
    <t>VOG28857 [FUNC="REFSEQ hypothetical protein"] [TAG=Xu TAGDEF="Function unknown"]</t>
  </si>
  <si>
    <t>Uncharacterized protein n=1 Tax=Ostreococcus tauri TaxID=70448 RepID=A0A1Y5I0W9_OSTTA</t>
  </si>
  <si>
    <t>05.07.P3-5.889-4.2_4</t>
  </si>
  <si>
    <t>COG1209 [FUNC="dTDP-glucose pyrophosphorylase"] [shortName=RmlA1] [TAG=M TAGDEF="Cell wall/membrane/envelope biogenesis" PROCESS="CELLULAR PROCESSES AND SIGNALING"]  [PATHWAY=""] lipopolysaccharide biosynthesis protein [Sediminicola sp. YIK13]</t>
  </si>
  <si>
    <t>VOG00199 [FUNC="sp|P55257|RMLA_YEREN Glucose-1-phosphate thymidylyltransferase"] [TAG=Xh TAGDEF="Virus protein with function beneficial for the host"]</t>
  </si>
  <si>
    <t>Nucleotidyl transferase domain-containing protein n=1 Tax=Indivirus ILV1 TaxID=1977633 RepID=A0A1V0SE67_9VIRU</t>
  </si>
  <si>
    <t>05.07.P3-5.889-4.2_5</t>
  </si>
  <si>
    <t>COG3774 [FUNC="Mannosyltransferase OCH1 or related enzyme"] [shortName=OCH1] [TAG=M TAGDEF="Cell wall/membrane/envelope biogenesis" PROCESS="CELLULAR PROCESSES AND SIGNALING"]  [PATHWAY=""] hypothetical protein [Siansivirga zeaxanthinifaciens]</t>
  </si>
  <si>
    <t>Glycosyl transferase n=1 Tax=Siansivirga zeaxanthinifaciens CC-SAMT-1 TaxID=1454006 RepID=A0A0C5WCQ8_9FLAO</t>
  </si>
  <si>
    <t>05.07.P3-5.889-4.2_7</t>
  </si>
  <si>
    <t>sp|Q9DBC3|CMTR1_MOUSE Cap-specific mRNA (nucleoside-2'-O-)-methyltransferase 1 OS=Mus musculus OX=10090 GN=Cmtr1 PE=1 SV=1</t>
  </si>
  <si>
    <t>VOG17170 [FUNC="sp|Q5UQX0|YR383_MIMIV Uncharacterized protein R383"] [TAG=Xs TAGDEF="Virus structure"]</t>
  </si>
  <si>
    <t>Ribosomal RNA methyltransferase FtsJ domain-containing protein n=1 Tax=Pyramimonas orientalis virus TaxID=455367 RepID=A0A7M4CER5_POV01</t>
  </si>
  <si>
    <t>05.07.P3-5.932-7.1_5</t>
  </si>
  <si>
    <t>sp|A7U6F2|DPOL_POV01 DNA polymerase OS=Pyramimonas orientalis virus OX=455367 GN=dpo PE=3 SV=1</t>
  </si>
  <si>
    <t>05.07.P3-5.932-7.1_6</t>
  </si>
  <si>
    <t>sp|Q9LRE6|DPOD1_ORYSJ DNA polymerase delta catalytic subunit OS=Oryza sativa subsp. japonica OX=39947 GN=POLD1 PE=2 SV=1</t>
  </si>
  <si>
    <t>DNA-directed DNA polymerase (Fragment) n=1 Tax=Chrysochromulina brevifilum virus PW1 TaxID=352209 RepID=Q66229_CBPW1</t>
  </si>
  <si>
    <t>05.07.P3-5.932-7.1_7</t>
  </si>
  <si>
    <t>COG4096 [FUNC="Type I site-specific restriction endonuclease, part of a restriction-modification system"] [shortName=HsdR] [TAG=V TAGDEF="Defense mechanisms" PROCESS="CELLULAR PROCESSES AND SIGNALING"]  [PATHWAY=""] type II restriction endonuclease [Amphibacillus xylanus]</t>
  </si>
  <si>
    <t>VOG00712 [FUNC="REFSEQ hypothetical protein"] [TAG=Xu TAGDEF="Function unknown"]</t>
  </si>
  <si>
    <t>site-specific DNA-methyltransferase (adenine-specific) n=1 Tax=Cafeteria roenbergensis virus (strain BV-PW1) TaxID=693272 RepID=E3T5P3_CROVB</t>
  </si>
  <si>
    <t>05.07.P3-5.961-25_1</t>
  </si>
  <si>
    <t>sp|Q8IYK4|GT252_HUMAN Procollagen galactosyltransferase 2 OS=Homo sapiens OX=9606 GN=COLGALT2 PE=1 SV=1</t>
  </si>
  <si>
    <t>5863_t:CDS:1 n=1 Tax=Cetraspora pellucida TaxID=1433469 RepID=A0A9N9DZP8_9GLOM</t>
  </si>
  <si>
    <t>05.07.P3-5.961-25_2</t>
  </si>
  <si>
    <t>sp|Q5UPD4|YL060_MIMIV Putative F-box and FNIP repeat-containing protein L60 OS=Acanthamoeba polyphaga mimivirus OX=212035 GN=MIMI_L60 PE=4 SV=1</t>
  </si>
  <si>
    <t>VOG00006 [FUNC="sp|Q5UQL2|YL414_MIMIV Putative F-box and FNIP repeat-containing protein L414"] [TAG=Xu TAGDEF="Function unknown"]</t>
  </si>
  <si>
    <t>FNIP repeat-containing protein n=1 Tax=Cafeteria roenbergensis virus (strain BV-PW1) TaxID=693272 RepID=E3T4C2_CROVB</t>
  </si>
  <si>
    <t>05.07.P3-5.961-25_3</t>
  </si>
  <si>
    <t>FNIP repeat-containing protein n=1 Tax=Cafeteria roenbergensis virus (strain BV-PW1) TaxID=693272 RepID=E3T4E7_CROVB</t>
  </si>
  <si>
    <t>05.07.P3-5.961-25_4</t>
  </si>
  <si>
    <t>05.07.P3-6.414-39_11</t>
  </si>
  <si>
    <t>sp|P00637|F16P1_RABIT Fructose-1,6-bisphosphatase 1 OS=Oryctolagus cuniculus OX=9986 GN=FBP1 PE=1 SV=4</t>
  </si>
  <si>
    <t>COG0158 [FUNC="Fructose-1,6-bisphosphatase"] [shortName=Fbp] [TAG=G TAGDEF="Carbohydrate transport and metabolism" PROCESS="METABOLISM"]  [PATHWAY="Gluconeogenesis"] class 1 fructose-bisphosphatase [Thermovibrio ammonificans]</t>
  </si>
  <si>
    <t>Fructose-1,6-bisphosphatase class 1 n=1 Tax=Hydrogenothermus marinus TaxID=133270 RepID=A0A3M0BKG9_9AQUI</t>
  </si>
  <si>
    <t>05.07.P3-6.414-39_2</t>
  </si>
  <si>
    <t>Major capsid protein n=1 Tax=Mimiviridae sp. ChoanoV1 TaxID=2596887 RepID=A0A5B8HWY2_9VIRU</t>
  </si>
  <si>
    <t>05.07.P3-65.426-44_19</t>
  </si>
  <si>
    <t>VOG28267 [FUNC="REFSEQ dolichyldiphosphatase"] [TAG=Xu TAGDEF="Function unknown"]</t>
  </si>
  <si>
    <t>Phosphatidic acid phosphatase type 2/haloperoxidase domain-containing protein n=1 Tax=Suillus discolor TaxID=1912936 RepID=A0A9P7F1M2_9AGAM</t>
  </si>
  <si>
    <t>05.07.P3-65.426-44_2</t>
  </si>
  <si>
    <t>VOG03650 [FUNC="REFSEQ hypothetical protein"] [TAG=Xu TAGDEF="Function unknown"]</t>
  </si>
  <si>
    <t>Uncharacterized protein n=1 Tax=Bodo saltans virus TaxID=2024608 RepID=A0A2H4UV90_9VIRU</t>
  </si>
  <si>
    <t>05.07.P3-65.426-44_22</t>
  </si>
  <si>
    <t>sp|P0C992|DNLI_ASFK5 DNA ligase OS=African swine fever virus (isolate Pig/Kenya/KEN-50/1950) OX=561445 GN=Ken-112 PE=3 SV=1</t>
  </si>
  <si>
    <t>COG1793 [FUNC="ATP-dependent DNA ligase"] [shortName=CDC9] [TAG=L TAGDEF="Replication, recombination and repair" PROCESS="INFORMATION STORAGE AND PROCESSING"]  [PATHWAY=""] hypothetical protein [Croceicoccus marinus]</t>
  </si>
  <si>
    <t>DNA ligase n=1 Tax=Pithovirus LCPAC401 TaxID=2506595 RepID=A0A481ZB51_9VIRU</t>
  </si>
  <si>
    <t>05.07.P3-65.426-44_24</t>
  </si>
  <si>
    <t>sp|Q5UPY4|END4_MIMIV Putative endonuclease 4 OS=Acanthamoeba polyphaga mimivirus OX=212035 GN=MIMI_R296 PE=3 SV=1</t>
  </si>
  <si>
    <t>COG0648 [FUNC="Endonuclease IV"] [shortName=Nfo] [TAG=L TAGDEF="Replication, recombination and repair" PROCESS="INFORMATION STORAGE AND PROCESSING"]  [PATHWAY=""] deoxyribonuclease IV [Desulfurobacterium thermolithotrophum]</t>
  </si>
  <si>
    <t>Probable AP endonuclease n=1 Tax=Anomala cuprea entomopoxvirus TaxID=62099 RepID=W6JJ15_9POXV</t>
  </si>
  <si>
    <t>05.07.P3-65.426-44_25</t>
  </si>
  <si>
    <t>sp|Q7M9U1|HLDE_WOLSU Bifunctional protein HldE OS=Wolinella succinogenes (strain ATCC 29543 / DSM 1740 / LMG 7466 / NCTC 11488 / FDC 602W) OX=273121 GN=hldE PE=3 SV=1</t>
  </si>
  <si>
    <t>COG2870 [FUNC="ADP-heptose synthase, bifunctional sugar kinase/adenylyltransferase"] [shortName=RfaE] [TAG=M TAGDEF="Cell wall/membrane/envelope biogenesis" PROCESS="CELLULAR PROCESSES AND SIGNALING"]  [PATHWAY=""] glycerol-3-phosphate cytidylyltransferase [Weeksella virosa]</t>
  </si>
  <si>
    <t>VOG03579 [FUNC="sp|P27623|TAGD_BACSU Glycerol-3-phosphate cytidylyltransferase"] [TAG=Xh TAGDEF="Virus protein with function beneficial for the host"]</t>
  </si>
  <si>
    <t>Cytidyltransferase-like domain-containing protein n=1 Tax=Yasminevirus sp. GU-2018 TaxID=2420051 RepID=A0A5K0UAQ6_9VIRU</t>
  </si>
  <si>
    <t>05.07.P3-65.426-44_26</t>
  </si>
  <si>
    <t>sp|Q13867|BLMH_HUMAN Bleomycin hydrolase OS=Homo sapiens OX=9606 GN=BLMH PE=1 SV=1</t>
  </si>
  <si>
    <t>COG3579 [FUNC="Aminopeptidase C"] [shortName=PepC] [TAG=E TAGDEF="Amino acid transport and metabolism" PROCESS="METABOLISM"]  [PATHWAY=""] aminopeptidase C [Halanaerobium hydrogeniformans]</t>
  </si>
  <si>
    <t>VOG37009 [FUNC="sp|P70645|BLMH_RAT Bleomycin hydrolase"] [TAG=Xh TAGDEF="Virus protein with function beneficial for the host"]</t>
  </si>
  <si>
    <t>Cysteine proteinase 1, mitochondrial n=1 Tax=Absidia repens TaxID=90262 RepID=A0A1X2J0L1_9FUNG</t>
  </si>
  <si>
    <t>05.07.P3-65.426-44_27</t>
  </si>
  <si>
    <t>sp|B0G107|SAMH1_DICDI Deoxynucleoside triphosphate triphosphohydrolase SAMHD1 homolog OS=Dictyostelium discoideum OX=44689 GN=DDB_G0272484 PE=3 SV=1</t>
  </si>
  <si>
    <t>HD domain protein n=1 Tax=Mimiviridae sp. ChoanoV1 TaxID=2596887 RepID=A0A5B8IIX2_9VIRU</t>
  </si>
  <si>
    <t>05.07.P3-65.426-44_34</t>
  </si>
  <si>
    <t>sp|Q9W5Y0|NEP3_DROME Neprilysin-3 OS=Drosophila melanogaster OX=7227 GN=Nep3 PE=2 SV=2</t>
  </si>
  <si>
    <t>COG3590 [FUNC="Predicted metalloendopeptidase"] [shortName=PepO] [TAG=O TAGDEF="Posttranslational modification, protein turnover, chaperones" PROCESS="CELLULAR PROCESSES AND SIGNALING"]  [PATHWAY=""] M13 family peptidase [Alkalitalea saponilacus]</t>
  </si>
  <si>
    <t>VOG34792 [FUNC="sp|Q5UQ76|YR519_MIMIV Putative zinc metalloproteinase R519"] [TAG=Xh TAGDEF="Virus protein with function beneficial for the host"]</t>
  </si>
  <si>
    <t>Putative metalloendopeptidase n=1 Tax=Cafeteria roenbergensis virus (strain BV-PW1) TaxID=693272 RepID=E3T4I7_CROVB</t>
  </si>
  <si>
    <t>05.07.P3-65.426-44_39</t>
  </si>
  <si>
    <t>TLC domain-containing protein n=1 Tax=Emiliania huxleyi TaxID=2903 RepID=A0A7S3SCJ7_EMIHU</t>
  </si>
  <si>
    <t>05.07.P3-65.426-44_43</t>
  </si>
  <si>
    <t>sp|F1QG30|NSMA5_DANRE Sphingomyelin phosphodiesterase 5 OS=Danio rerio OX=7955 GN=smpd5 PE=1 SV=1</t>
  </si>
  <si>
    <t>COG3568 [FUNC="Metal-dependent hydrolase, endonuclease/exonuclease/phosphatase family"] [shortName=ElsH] [TAG=R TAGDEF="General function prediction only" PROCESS="POORLY CHARACTERIZED"]  [PATHWAY=""] sphingomyelin phosphodiesterase [Nocardia brasiliensis]</t>
  </si>
  <si>
    <t>Endonuclease/exonuclease/phosphatase domain-containing protein n=1 Tax=Guillardia theta (strain CCMP2712) TaxID=905079 RepID=L1JPR9_GUITC</t>
  </si>
  <si>
    <t>05.07.P3-65.426-44_46</t>
  </si>
  <si>
    <t>sp|P16370|RPB3_YEAST DNA-directed RNA polymerase II subunit RPB3 OS=Saccharomyces cerevisiae (strain ATCC 204508 / S288c) OX=559292 GN=RPB3 PE=1 SV=2</t>
  </si>
  <si>
    <t>KOG1522 [FUNC="RNA polymerase II, subunit POLR2C/RPB3"] [shortName=] [TAG=K TAGDEF="Transcription" PROCESS="INFORMATION STORAGE AND PROCESSING"]  [PATHWAY=""]</t>
  </si>
  <si>
    <t>VOG03611 [FUNC="sp|Q5UQD9|YR470_MIMIV Putative DNA directed RNA polymerase subunit R470"] [TAG=Xh TAGDEF="Virus protein with function beneficial for the host"]</t>
  </si>
  <si>
    <t>DNA-directed RNA polymerase RpoA/D/Rpb3-type domain-containing protein n=1 Tax=Mimiviridae sp. ChoanoV1 TaxID=2596887 RepID=A0A5B8HX49_9VIRU</t>
  </si>
  <si>
    <t>05.07.P3-65.426-44_48</t>
  </si>
  <si>
    <t>sp|Q5UQC8|YL461_MIMIV Uncharacterized protein L461 OS=Acanthamoeba polyphaga mimivirus OX=212035 GN=MIMI_L461 PE=4 SV=1</t>
  </si>
  <si>
    <t>VOG02071 [FUNC="sp|Q5UQC8|YL461_MIMIV Uncharacterized protein L461"] [TAG=Xu TAGDEF="Function unknown"]</t>
  </si>
  <si>
    <t>Thioredoxin n=1 Tax=Catovirus CTV1 TaxID=1977631 RepID=A0A1V0SCF4_9VIRU</t>
  </si>
  <si>
    <t>05.07.P3-65.426-44_49</t>
  </si>
  <si>
    <t>Uncharacterized protein n=1 Tax=Micromonas pusilla virus 12T TaxID=755272 RepID=M4QZT1_9PHYC</t>
  </si>
  <si>
    <t>05.07.P3-65.426-44_50</t>
  </si>
  <si>
    <t>Uncharacterized protein n=1 Tax=Mimiviridae sp. ChoanoV1 TaxID=2596887 RepID=A0A5B8IHL8_9VIRU</t>
  </si>
  <si>
    <t>05.07.P3-65.426-44_51</t>
  </si>
  <si>
    <t>sp|Q5UQD3|YR468_MIMIV Uncharacterized protein R468 OS=Acanthamoeba polyphaga mimivirus OX=212035 GN=MIMI_R468 PE=4 SV=1</t>
  </si>
  <si>
    <t>Uncharacterized protein n=1 Tax=Mimiviridae sp. ChoanoV1 TaxID=2596887 RepID=A0A5B8HVV7_9VIRU</t>
  </si>
  <si>
    <t>05.07.P3-65.426-44_53</t>
  </si>
  <si>
    <t>sp|Q8IDF3|MCA1_PLAF7 Metacaspase-1 OS=Plasmodium falciparum (isolate 3D7) OX=36329 GN=MCA1 PE=1 SV=1</t>
  </si>
  <si>
    <t>KOG1546 [FUNC="Metacaspase involved in regulation of apoptosis"] [shortName=] [TAG=D TAGDEF="Cell cycle control, cell division, chromosome partitioning" PROCESS="CELLULAR PROCESSES AND SIGNALING"] [TAG=O TAGDEF="Posttranslational modification, protein turnover, chaperones" PROCESS="CELLULAR PROCESSES AND SIGNALING"]  [PATHWAY=""]</t>
  </si>
  <si>
    <t>VOG03647 [FUNC="sp|B0XPP3|MCA1A_ASPFC Metacaspase-1A"] [TAG=Xh TAGDEF="Virus protein with function beneficial for the host"]</t>
  </si>
  <si>
    <t>Caspase domain protein n=1 Tax=Catovirus CTV1 TaxID=1977631 RepID=A0A1V0SAU3_9VIRU</t>
  </si>
  <si>
    <t>05.07.P3-65.426-44_56</t>
  </si>
  <si>
    <t>KOG1075 [FUNC="FOG: Reverse transcriptase"] [shortName=] [TAG=R TAGDEF="General function prediction only" PROCESS="POORLY CHARACTERIZED"]  [PATHWAY=""]</t>
  </si>
  <si>
    <t>VOG18979 [FUNC="REFSEQ putative Non-LTR retrotransposon"] [TAG=Xu TAGDEF="Function unknown"]</t>
  </si>
  <si>
    <t>Reverse transcriptase n=1 Tax=Hokovirus HKV1 TaxID=1977638 RepID=A0A1V0SEZ1_9VIRU</t>
  </si>
  <si>
    <t>05.07.P3-65.426-44_59</t>
  </si>
  <si>
    <t>DUF2237 domain-containing protein n=1 Tax=Mimiviridae sp. ChoanoV1 TaxID=2596887 RepID=A0A5B8IEH4_9VIRU</t>
  </si>
  <si>
    <t>05.07.P3-65.426-44_6</t>
  </si>
  <si>
    <t>VOG00945 [FUNC="sp|A0A7H0DN63|PG091_MONPV Protein OPG091"] [TAG=Xh TAGDEF="Virus protein with function beneficial for the host"]</t>
  </si>
  <si>
    <t>PH domain-containing protein n=1 Tax=Paramecium pentaurelia TaxID=43138 RepID=A0A8S1RVW2_9CILI</t>
  </si>
  <si>
    <t>05.07.P3-65.426-44_64</t>
  </si>
  <si>
    <t>COG4043 [FUNC="ASC-1 homology (ASCH) domain, predicted RNA-binding domain"] [shortName=ASCH] [TAG=R TAGDEF="General function prediction only" PROCESS="POORLY CHARACTERIZED"]  [PATHWAY=""] ASCH domain-containing protein [Palaeococcus pacificus]</t>
  </si>
  <si>
    <t>ASCh domain-containing protein n=1 Tax=Fadolivirus 1 TaxID=2740746 RepID=A0A7D3QVC8_9VIRU</t>
  </si>
  <si>
    <t>05.07.P3-65.426-44_69</t>
  </si>
  <si>
    <t>sp|Q7VM15|RNH_HAEDU Ribonuclease HI OS=Haemophilus ducreyi (strain 35000HP / ATCC 700724) OX=233412 GN=rnhA PE=3 SV=1</t>
  </si>
  <si>
    <t>COG0328 [FUNC="Ribonuclease HI"] [shortName=RnhA] [TAG=L TAGDEF="Replication, recombination and repair" PROCESS="INFORMATION STORAGE AND PROCESSING"]  [PATHWAY=""] ribonuclease HI [Tsukamurella paurometabola]</t>
  </si>
  <si>
    <t>Ribonuclease H1 n=3 Tax=Paramuricea clavata TaxID=317549 RepID=A0A7D9D9H8_PARCT</t>
  </si>
  <si>
    <t>05.07.P3-65.426-44_7</t>
  </si>
  <si>
    <t>sp|Q5UQW3|YL374_MIMIV Uncharacterized protein L374 OS=Acanthamoeba polyphaga mimivirus OX=212035 GN=MIMI_L374 PE=4 SV=1</t>
  </si>
  <si>
    <t>COG2120 [FUNC="N-acetylglucosaminyl deacetylase, LmbE family"] [shortName=LmbE] [TAG=G TAGDEF="Carbohydrate transport and metabolism" PROCESS="METABOLISM"]  [PATHWAY=""] PIG-L family deacetylase [Cohnella sp. 18JY8-7]</t>
  </si>
  <si>
    <t>VOG31648 [FUNC="sp|Q5UQW3|YL374_MIMIV Uncharacterized protein L374"] [TAG=Xu TAGDEF="Function unknown"]</t>
  </si>
  <si>
    <t>PIG-L family deacetylase n=1 Tax=Paenibacillus sp. FSL H7-0331 TaxID=1920421 RepID=A0A1R1BAZ1_9BACL</t>
  </si>
  <si>
    <t>05.07.P3-65.426-44_71</t>
  </si>
  <si>
    <t>Uncharacterized protein n=1 Tax=Mimiviridae sp. ChoanoV1 TaxID=2596887 RepID=A0A5B8HVP3_9VIRU</t>
  </si>
  <si>
    <t>05.07.P3-65.426-44_78</t>
  </si>
  <si>
    <t>sp|P54004|Y199_SYNY3 Putative glutamine amidotransferase slr0199 OS=Synechocystis sp. (strain PCC 6803 / Kazusa) OX=1111708 GN=slr0199 PE=4 SV=1</t>
  </si>
  <si>
    <t>COG0121 [FUNC="Predicted glutamine amidotransferase YafJ"] [shortName=YafJ] [TAG=R TAGDEF="General function prediction only" PROCESS="POORLY CHARACTERIZED"]  [PATHWAY=""] ergothioneine biosynthesis protein EgtC [Trichodesmium erythraeum]</t>
  </si>
  <si>
    <t>Class II glutamine amidotransferase n=1 Tax=Pseudochryseolinea flava TaxID=2059302 RepID=A0A364Y2T5_9BACT</t>
  </si>
  <si>
    <t>05.07.P3-65.426-44_84</t>
  </si>
  <si>
    <t>COG3118 [FUNC="Chaperedoxin CnoX, contains thioredoxin-like and TPR-like domains, YbbN/TrxSC family"] [shortName=CnoX] [TAG=O TAGDEF="Posttranslational modification, protein turnover, chaperones" PROCESS="CELLULAR PROCESSES AND SIGNALING"]  [PATHWAY=""] thioredoxin [Dechloromonas aromatica]</t>
  </si>
  <si>
    <t>DnaJ homolog subfamily C member 10 n=1 Tax=Danaus chrysippus TaxID=151541 RepID=A0A8J2QZY5_9NEOP</t>
  </si>
  <si>
    <t>05.07.P3-65.426-44_85</t>
  </si>
  <si>
    <t>Glycosyl transferase family 2 n=1 Tax=Chitinophaga polysaccharea TaxID=1293035 RepID=A0A561PRA6_9BACT</t>
  </si>
  <si>
    <t>05.07.P3-65.426-44_86</t>
  </si>
  <si>
    <t>sp|Q9LMJ7|HGLS_ARATH 2-oxoadipate dioxygenase/decarboxylase, chloroplastic OS=Arabidopsis thaliana OX=3702 GN=At1g07040 PE=1 SV=1</t>
  </si>
  <si>
    <t>involved in D-lysine metabolism, catalyses a successive decarboxylation and intramolecular hydroxylation of 2-oxoadipate forming 2-hydroxyglutarate in a Fe(II) and oxygen-dependent manner</t>
  </si>
  <si>
    <t>2-oxoadipate dioxygenase/decarboxylase n=1 Tax=Flammeovirga agarivorans TaxID=2726742 RepID=A0A7X8SI43_9BACT</t>
  </si>
  <si>
    <t>05.07.P3-65.426-44_90</t>
  </si>
  <si>
    <t>Uncharacterized protein n=1 Tax=Mimiviridae sp. ChoanoV1 TaxID=2596887 RepID=A0A5B8HUT7_9VIRU</t>
  </si>
  <si>
    <t>05.07.P3-65.637-48_1</t>
  </si>
  <si>
    <t>COG4852 [FUNC="Uncharacterized membrane protein"] [shortName=] [TAG=S TAGDEF="Function unknown" PROCESS="POORLY CHARACTERIZED"]  [PATHWAY=""] DUF2177 domain-containing protein [Pelobacter propionicus]</t>
  </si>
  <si>
    <t>Uncharacterized membrane protein n=1 Tax=Anaerorhabdus furcosa TaxID=118967 RepID=A0A1T4LM81_9FIRM</t>
  </si>
  <si>
    <t>05.07.P3-65.637-48_10</t>
  </si>
  <si>
    <t>sp|Q5UP86|YL012_MIMIV Uncharacterized protein L12 OS=Acanthamoeba polyphaga mimivirus OX=212035 GN=MIMI_L12 PE=3 SV=1</t>
  </si>
  <si>
    <t>VOG00046 [FUNC="sp|Q5UP86|YL012_MIMIV Uncharacterized protein L12"] [TAG=Xu TAGDEF="Function unknown"]</t>
  </si>
  <si>
    <t>Bro-N domain-containing protein n=1 Tax=Tupanvirus soda lake TaxID=2126985 RepID=A0A6N1NP73_9VIRU</t>
  </si>
  <si>
    <t>05.07.P3-65.637-48_13</t>
  </si>
  <si>
    <t>sp|Q9SI09|XERIC_ARATH Probable E3 ubiquitin-protein ligase XERICO OS=Arabidopsis thaliana OX=3702 GN=XERICO PE=1 SV=1</t>
  </si>
  <si>
    <t>KOG0800 [FUNC="FOG: Predicted E3 ubiquitin ligase"] [shortName=] [TAG=O TAGDEF="Posttranslational modification, protein turnover, chaperones" PROCESS="CELLULAR PROCESSES AND SIGNALING"]  [PATHWAY=""]</t>
  </si>
  <si>
    <t>RING-type domain-containing protein n=1 Tax=Halicephalobus sp. NKZ332 TaxID=2598192 RepID=A0A6G0UUY3_9BILA</t>
  </si>
  <si>
    <t>05.07.P3-65.637-48_15</t>
  </si>
  <si>
    <t>Lon protease C-terminal proteolytic domain protein n=1 Tax=Mimiviridae sp. ChoanoV1 TaxID=2596887 RepID=A0A5B8HVL7_9VIRU</t>
  </si>
  <si>
    <t>05.07.P3-65.637-48_19</t>
  </si>
  <si>
    <t>Uncharacterized protein n=1 Tax=Aliidiomarina haloalkalitolerans TaxID=859059 RepID=A0A432VUG6_9GAMM</t>
  </si>
  <si>
    <t>05.07.P3-65.637-48_2</t>
  </si>
  <si>
    <t>Uncharacterized protein n=2 Tax=Arcobacter venerupis TaxID=1054033 RepID=A0A443TRW4_9BACT</t>
  </si>
  <si>
    <t>05.07.P3-65.637-48_21</t>
  </si>
  <si>
    <t>Glycosyltransferase n=1 Tax=Catovirus CTV1 TaxID=1977631 RepID=A0A1V0SAN6_9VIRU</t>
  </si>
  <si>
    <t>05.07.P3-65.637-48_22</t>
  </si>
  <si>
    <t>sp|Q23AS2|TTL3E_TETTS Tubulin glycylase 3E OS=Tetrahymena thermophila (strain SB210) OX=312017 GN=TTLL3E PE=3 SV=1</t>
  </si>
  <si>
    <t>KOG2157 [FUNC="Predicted tubulin-tyrosine ligase"] [shortName=] [TAG=O TAGDEF="Posttranslational modification, protein turnover, chaperones" PROCESS="CELLULAR PROCESSES AND SIGNALING"]  [PATHWAY=""]</t>
  </si>
  <si>
    <t>Tubulin-tyrosine ligase family protein n=1 Tax=Paramecium primaurelia TaxID=5886 RepID=A0A8S1PB52_PARPR</t>
  </si>
  <si>
    <t>05.07.P3-65.637-48_23</t>
  </si>
  <si>
    <t>sp|Q6C2R8|RAD5_YARLI DNA repair protein RAD5 OS=Yarrowia lipolytica (strain CLIB 122 / E 150) OX=284591 GN=RAD5 PE=3 SV=1</t>
  </si>
  <si>
    <t>KOG0298 [FUNC="DEAD box-containing helicase-like transcription factor/DNA repair protein"] [shortName=] [TAG=L TAGDEF="Replication, recombination and repair" PROCESS="INFORMATION STORAGE AND PROCESSING"]  [PATHWAY=""]</t>
  </si>
  <si>
    <t>Putative superfamily II helicase n=1 Tax=Cafeteria roenbergensis virus (strain BV-PW1) TaxID=693272 RepID=E3T5S7_CROVB</t>
  </si>
  <si>
    <t>05.07.P3-65.637-48_27</t>
  </si>
  <si>
    <t>Uncharacterized protein n=1 Tax=Pyramimonas orientalis virus TaxID=455367 RepID=A0A7L9AXA8_POV01</t>
  </si>
  <si>
    <t>05.07.P3-65.637-48_28</t>
  </si>
  <si>
    <t>sp|Q197E1|VF201_IIV3 Putative Bro-N domain-containing protein 019R OS=Invertebrate iridescent virus 3 OX=345201 GN=IIV3-019R PE=3 SV=1</t>
  </si>
  <si>
    <t>COG3617 [FUNC="Prophage antirepressor"] [shortName=] [TAG=X TAGDEF="Mobilome: prophages, transposons" PROCESS=""]  [PATHWAY=""] phage repressor protein [Streptobacillus moniliformis]</t>
  </si>
  <si>
    <t>VOG14911 [FUNC="sp|Q9YML3|BROJ_NPVLD Uncharacterized Bro-N domain-containing protein J"] [TAG=Xu TAGDEF="Function unknown"]</t>
  </si>
  <si>
    <t>BRO N-terminal domain containing protein n=1 Tax=Dishui Lake large algae virus 1 TaxID=2704073 RepID=A0A6G6XPE9_9VIRU</t>
  </si>
  <si>
    <t>05.07.P3-65.637-48_31</t>
  </si>
  <si>
    <t>VOG21839 [FUNC="REFSEQ hypothetical protein"] [TAG=Xu TAGDEF="Function unknown"]</t>
  </si>
  <si>
    <t>vWA found in TerF C terminus domain-containing protein n=1 Tax=Spizellomyces punctatus (strain DAOM BR117) TaxID=645134 RepID=A0A0L0HLZ3_SPIPD</t>
  </si>
  <si>
    <t>05.07.P3-65.637-48_32</t>
  </si>
  <si>
    <t>Poxvirus Late Transcription Factor VLTF3 like n=1 Tax=Mimiviridae sp. ChoanoV1 TaxID=2596887 RepID=A0A5B8IPX4_9VIRU</t>
  </si>
  <si>
    <t>05.07.P3-65.637-48_37</t>
  </si>
  <si>
    <t>sp|Q556K4|AOFC_DICDI Probable flavin-containing monoamine oxidase C OS=Dictyostelium discoideum OX=44689 GN=maoC-1 PE=3 SV=1</t>
  </si>
  <si>
    <t>COG1232 [FUNC="Protoporphyrinogen oxidase HemY/PPOX"] [shortName=HemY] [TAG=H TAGDEF="Coenzyme transport and metabolism" PROCESS="METABOLISM"]  [PATHWAY="Heme biosynthesis"] hypothetical protein [Candidatus Dependentiae bacterium (ex Spumella elongata CCAP 955/1)]</t>
  </si>
  <si>
    <t>Protoporphyrinogen oxidase n=1 Tax=Virus NIOZ-UU159 TaxID=2763270 RepID=A0A7S9SV68_9VIRU</t>
  </si>
  <si>
    <t>05.07.P3-65.637-48_4</t>
  </si>
  <si>
    <t>T-complex 11 domain-containing protein n=1 Tax=Rozella allomycis (strain CSF55) TaxID=988480 RepID=A0A075B2A6_ROZAC</t>
  </si>
  <si>
    <t>05.07.P3-65.637-48_44</t>
  </si>
  <si>
    <t>sp|P23737|MTS9_STAAU Type II methyltransferase M.Sau96I OS=Staphylococcus aureus OX=1280 GN=sau96IM PE=1 SV=1</t>
  </si>
  <si>
    <t>COG0270 [FUNC="DNA-cytosine methylase"] [shortName=Dcm] [TAG=L TAGDEF="Replication, recombination and repair" PROCESS="INFORMATION STORAGE AND PROCESSING"]  [PATHWAY=""] DNA (cytosine-5-)-methyltransferase [Spiroplasma chrysopicola]</t>
  </si>
  <si>
    <t>VOG03547 [FUNC="sp|P34877|MTSA_LACLC Type II methyltransferase M1.ScrFI"] [TAG=Xh TAGDEF="Virus protein with function beneficial for the host"]</t>
  </si>
  <si>
    <t>DNA (cytosine-5-)-methyltransferase n=1 Tax=Methanosphaera sp. rholeuAM130 TaxID=1945578 RepID=A0A328SK82_9EURY</t>
  </si>
  <si>
    <t>05.07.P3-65.637-48_45</t>
  </si>
  <si>
    <t>YqaJ viral recombinase domain-containing protein n=1 Tax=Mimiviridae sp. ChoanoV1 TaxID=2596887 RepID=A0A5B8IDR6_9VIRU</t>
  </si>
  <si>
    <t>05.07.P3-65.637-48_5</t>
  </si>
  <si>
    <t>sp|Q3SXZ7|TTLL9_HUMAN Probable tubulin polyglutamylase TTLL9 OS=Homo sapiens OX=9606 GN=TTLL9 PE=2 SV=3</t>
  </si>
  <si>
    <t>Tubulin-tyrosine ligase family protein n=1 Tax=Catovirus CTV1 TaxID=1977631 RepID=A0A1V0SC80_9VIRU</t>
  </si>
  <si>
    <t>05.07.P3-65.637-48_50</t>
  </si>
  <si>
    <t>Putative capsid protein n=6 Tax=Megaviricetes TaxID=2732523 RepID=A0A076FFR8_9PHYC</t>
  </si>
  <si>
    <t>05.07.P3-65.637-48_52</t>
  </si>
  <si>
    <t>sp|Q35136|IEND4_NEUCR Probable intron-encoded endonuclease 4 OS=Neurospora crassa (strain ATCC 24698 / 74-OR23-1A / CBS 708.71 / DSM 1257 / FGSC 987) OX=367110 GN=NCU16011 PE=3 SV=2</t>
  </si>
  <si>
    <t>LAGLIDADG endonuclease n=1 Tax=Polarella glacialis TaxID=89957 RepID=A0A813KPT4_POLGL</t>
  </si>
  <si>
    <t>05.07.P3-65.637-48_53</t>
  </si>
  <si>
    <t>COG3561 [FUNC="Phage anti-repressor protein Ant"] [shortName=] [TAG=X TAGDEF="Mobilome: prophages, transposons" PROCESS=""]  [PATHWAY=""] hypothetical protein [Cyanothece sp. PCC 7822]</t>
  </si>
  <si>
    <t>MSV199 domain-containing protein n=1 Tax=Dishui Lake large algae virus 1 TaxID=2704073 RepID=A0A6G6XQD3_9VIRU</t>
  </si>
  <si>
    <t>05.07.P3-65.637-48_55</t>
  </si>
  <si>
    <t>COG0367 [FUNC="Asparagine synthetase B (glutamine-hydrolyzing)"] [shortName=AsnB] [TAG=E TAGDEF="Amino acid transport and metabolism" PROCESS="METABOLISM"]  [PATHWAY="Asparagine biosynthesis"] asparagine synthase B [Sebaldella termitidis]</t>
  </si>
  <si>
    <t>Glutamine amidotransferase type-2 domain-containing protein n=1 Tax=Edaphochlamys debaryana TaxID=47281 RepID=A0A835Y8T4_9CHLO</t>
  </si>
  <si>
    <t>05.07.P3-65.637-48_56</t>
  </si>
  <si>
    <t>DUF4116 domain-containing protein n=1 Tax=Prosthecobacter fusiformis TaxID=48464 RepID=A0A4R7RUU8_9BACT</t>
  </si>
  <si>
    <t>05.07.P3-65.637-48_57</t>
  </si>
  <si>
    <t>COG0456 [FUNC="Ribosomal protein S18 acetylase RimI and related acetyltransferases"] [shortName=RimI] [TAG=J TAGDEF="Translation, ribosomal structure and biogenesis" PROCESS="INFORMATION STORAGE AND PROCESSING"]  [PATHWAY=""] N-acetyltransferase [Virgibacillus halodenitrificans]</t>
  </si>
  <si>
    <t>Putative acetyltransferase n=1 Tax=Marinobacter zhejiangensis TaxID=488535 RepID=A0A1I4LMI4_9GAMM</t>
  </si>
  <si>
    <t>05.07.P3-65.637-48_58</t>
  </si>
  <si>
    <t>sp|Q62009|POSTN_MOUSE Periostin OS=Mus musculus OX=10090 GN=Postn PE=1 SV=2</t>
  </si>
  <si>
    <t>COG2335 [FUNC="Uncaracterized surface protein containing fasciclin (FAS1) repeats"] [shortName=FAS1] [TAG=R TAGDEF="General function prediction only" PROCESS="POORLY CHARACTERIZED"]  [PATHWAY=""] secreted/surface protein with fasciclin-like repeats [Aequorivita sublithincola]</t>
  </si>
  <si>
    <t>Fasciclin domain-containing protein n=2 Tax=Hymenobacter properus TaxID=2791026 RepID=A0A931FHB7_9BACT</t>
  </si>
  <si>
    <t>05.07.P3-65.637-48_60</t>
  </si>
  <si>
    <t>Uncharacterized protein n=1 Tax=Chrysochromulina ericina virus TaxID=455364 RepID=A0A0N9R0E4_CEV01</t>
  </si>
  <si>
    <t>05.07.P3-65.637-48_62</t>
  </si>
  <si>
    <t>sp|P82934|ACBP_CHAVI Acyl-CoA-binding protein OS=Chaetophractus villosus OX=29080 GN=DBI PE=1 SV=2</t>
  </si>
  <si>
    <t>KOG0817 [FUNC="Acyl-CoA-binding protein"] [shortName=] [TAG=I TAGDEF="Lipid transport and metabolism" PROCESS="METABOLISM"]  [PATHWAY=""]</t>
  </si>
  <si>
    <t>Acyl-CoA-binding protein n=1 Tax=Strongyloides ratti TaxID=34506 RepID=A0A090LKM9_STRRB</t>
  </si>
  <si>
    <t>05.07.P3-65.637-48_68</t>
  </si>
  <si>
    <t>sp|O81395|DRTS_MAIZE Bifunctional dihydrofolate reductase-thymidylate synthase OS=Zea mays OX=4577 GN=DRTS PE=2 SV=1</t>
  </si>
  <si>
    <t>COG0207 [FUNC="Thymidylate synthase"] [shortName=ThyA] [TAG=F TAGDEF="Nucleotide transport and metabolism" PROCESS="METABOLISM"]  [PATHWAY="Thymidylate biosynthesis"] thymidylate synthase [Acinetobacter baumannii]</t>
  </si>
  <si>
    <t>Bifunctional dihydrofolate reductase-thymidylate synthase n=1 Tax=Tetrahymena thermophila (strain SB210) TaxID=312017 RepID=Q22KR8_TETTS</t>
  </si>
  <si>
    <t>05.07.P3-65.637-48_69</t>
  </si>
  <si>
    <t>sp|Q5UQ96|YL540_MIMIV Putative ATP-dependent RNA helicase L540 OS=Acanthamoeba polyphaga mimivirus OX=212035 GN=MIMI_L540 PE=1 SV=1</t>
  </si>
  <si>
    <t>KOG0925 [FUNC="mRNA splicing factor ATP-dependent RNA helicase"] [shortName=] [TAG=A TAGDEF="RNA processing and modification" PROCESS="INFORMATION STORAGE AND PROCESSING"]  [PATHWAY=""]</t>
  </si>
  <si>
    <t>HrpA-like RNA helicase n=1 Tax=Fadolivirus 1 TaxID=2740746 RepID=A0A7D3UTV9_9VIRU</t>
  </si>
  <si>
    <t>05.07.P3-65.637-48_74</t>
  </si>
  <si>
    <t>sp|B5FCB8|GLPE_ALIFM Thiosulfate sulfurtransferase GlpE OS=Aliivibrio fischeri (strain MJ11) OX=388396 GN=glpE PE=3 SV=1</t>
  </si>
  <si>
    <t>COG2897 [FUNC="3-mercaptopyruvate sulfurtransferase SseA, contains two rhodanese domains"] [shortName=SseA] [TAG=P TAGDEF="Inorganic ion transport and metabolism" PROCESS="METABOLISM"]  [PATHWAY=""] copper amine oxidase [Thermincola potens]</t>
  </si>
  <si>
    <t>Rhodanese domain-containing protein n=1 Tax=Frankia casuarinae (strain DSM 45818 / CECT 9043 / HFP020203 / CcI3) TaxID=106370 RepID=A0A1X1PWU5_FRACC</t>
  </si>
  <si>
    <t>05.07.P3-65.637-48_77</t>
  </si>
  <si>
    <t>COG3886 [FUNC="HKD family nuclease"] [shortName=] [TAG=L TAGDEF="Replication, recombination and repair" PROCESS="INFORMATION STORAGE AND PROCESSING"]  [PATHWAY=""] DUF3427 domain-containing protein [Sebaldella termitidis]</t>
  </si>
  <si>
    <t>Uncharacterized protein n=1 Tax=Triparma columacea TaxID=722753 RepID=A0A9W7GHQ6_9STRA</t>
  </si>
  <si>
    <t>05.07.P3-65.637-48_80</t>
  </si>
  <si>
    <t>Probable glycosyltransferase n=2 Tax=Desulfotalea TaxID=109168 RepID=Q6AIA9_DESPS</t>
  </si>
  <si>
    <t>05.07.P3-65.637-48_9</t>
  </si>
  <si>
    <t>COG3886 [FUNC="HKD family nuclease"] [shortName=] [TAG=L TAGDEF="Replication, recombination and repair" PROCESS="INFORMATION STORAGE AND PROCESSING"]  [PATHWAY=""] hypothetical protein [Entomoplasma luminosum]</t>
  </si>
  <si>
    <t>05.07.P3-7.687-13_1</t>
  </si>
  <si>
    <t>05.07.P3-7.687-13_2</t>
  </si>
  <si>
    <t>05.07.P3-7.687-13_3</t>
  </si>
  <si>
    <t>05.07.P3-7.687-13_4</t>
  </si>
  <si>
    <t>sp|Q9UW15|RIR1_NEUCR Ribonucleoside-diphosphate reductase large chain OS=Neurospora crassa (strain ATCC 24698 / 74-OR23-1A / CBS 708.71 / DSM 1257 / FGSC 987) OX=367110 GN=rnr-1 PE=1 SV=2</t>
  </si>
  <si>
    <t>COG0209 [FUNC="Ribonucleotide reductase alpha subunit"] [shortName=NrdA] [TAG=F TAGDEF="Nucleotide transport and metabolism" PROCESS="METABOLISM"]  [PATHWAY="Pyrimidine salvage"] ribonucleoside-diphosphate reductase subunit alpha [Algoriphagus sp. M8-2]</t>
  </si>
  <si>
    <t>Ribonucleoside-diphosphate reductase n=1 Tax=Neolewinella litorea TaxID=2562452 RepID=A0A4S4NNU8_9BACT</t>
  </si>
  <si>
    <t>05.07.P3-7.687-13_7</t>
  </si>
  <si>
    <t>Uncharacterized protein n=3 Tax=unclassified Prymnesiovirus TaxID=358403 RepID=R4TQ78_9PHYC</t>
  </si>
  <si>
    <t>05.07.P3-8.655-27_1</t>
  </si>
  <si>
    <t>VOG03851 [FUNC="REFSEQ hypothetical protein"] [TAG=Xu TAGDEF="Function unknown"]</t>
  </si>
  <si>
    <t>Uncharacterized protein n=1 Tax=Indivirus ILV1 TaxID=1977633 RepID=A0A1V0SCM4_9VIRU</t>
  </si>
  <si>
    <t>05.07.P3-8.655-27_11</t>
  </si>
  <si>
    <t>sp|Q52V16|ZFY_GORGO Zinc finger Y-chromosomal protein OS=Gorilla gorilla gorilla OX=9595 GN=ZFY PE=3 SV=1</t>
  </si>
  <si>
    <t>VOG00240 [FUNC="sp|P20198|A45_SSV1 Uncharacterized protein A-45"] [TAG=Xu TAGDEF="Function unknown"]</t>
  </si>
  <si>
    <t>C2H2-type domain-containing protein n=1 Tax=Klosneuvirus KNV1 TaxID=1977640 RepID=A0A1V0SKW4_9VIRU</t>
  </si>
  <si>
    <t>05.07.P3-8.655-27_12</t>
  </si>
  <si>
    <t>Uncharacterized protein n=1 Tax=Cavenderia fasciculata TaxID=261658 RepID=F4PQZ8_CACFS</t>
  </si>
  <si>
    <t>05.07.P3-8.655-27_13</t>
  </si>
  <si>
    <t>Tc1-like transposase DDE domain-containing protein n=1 Tax=Indivirus ILV1 TaxID=1977633 RepID=A0A1V0SDF3_9VIRU</t>
  </si>
  <si>
    <t>05.07.P3-8.655-27_14</t>
  </si>
  <si>
    <t>COG3335 [FUNC="Transposase"] [shortName=] [TAG=X TAGDEF="Mobilome: prophages, transposons" PROCESS=""]  [PATHWAY=""] IS630 family transposase [Leptotrichia buccalis]</t>
  </si>
  <si>
    <t>05.07.P3-8.655-27_2</t>
  </si>
  <si>
    <t>05.07.P3-8.655-27_3</t>
  </si>
  <si>
    <t>sp|Q89AD1|EX53_BUCBP 5'-3' exonuclease OS=Buchnera aphidicola subsp. Baizongia pistaciae (strain Bp) OX=224915 GN=pol PE=3 SV=1</t>
  </si>
  <si>
    <t>COG0749 [FUNC="DNA polymerase I, 3'-5' exonuclease and polymerase domains"] [shortName=PolA] [TAG=L TAGDEF="Replication, recombination and repair" PROCESS="INFORMATION STORAGE AND PROCESSING"]  [PATHWAY=""] DNA polymerase I [Candidatus Fonsibacter ubiquis]</t>
  </si>
  <si>
    <t>Putative RNaseH n=1 Tax=Cafeteria roenbergensis virus (strain BV-PW1) TaxID=693272 RepID=E3T4D1_CROVB</t>
  </si>
  <si>
    <t>05.07.P3-8.655-27_7</t>
  </si>
  <si>
    <t>sp|Q9FQ04|XRN4_ARATH 5'-3' exoribonuclease 4 OS=Arabidopsis thaliana OX=3702 GN=XRN4 PE=1 SV=1</t>
  </si>
  <si>
    <t>KOG2044 [FUNC="5'-3' exonuclease HKE1/RAT1"] [shortName=] [TAG=L TAGDEF="Replication, recombination and repair" PROCESS="INFORMATION STORAGE AND PROCESSING"] [TAG=A TAGDEF="RNA processing and modification" PROCESS="INFORMATION STORAGE AND PROCESSING"]  [PATHWAY=""]</t>
  </si>
  <si>
    <t>XRN 5'-3' exonuclease n=1 Tax=Catovirus CTV1 TaxID=1977631 RepID=A0A1V0SC63_9VIRU</t>
  </si>
  <si>
    <t>05.07.P3-9.299-48_1</t>
  </si>
  <si>
    <t>Uncharacterized protein n=1 Tax=Cafeteria roenbergensis virus (strain BV-PW1) TaxID=693272 RepID=E3T5K2_CROVB</t>
  </si>
  <si>
    <t>05.07.P3-9.299-48_10</t>
  </si>
  <si>
    <t>Uncharacterized protein n=1 Tax=Mimiviridae sp. ChoanoV1 TaxID=2596887 RepID=A0A5B8IFR7_9VIRU</t>
  </si>
  <si>
    <t>05.07.P3-9.299-48_11</t>
  </si>
  <si>
    <t>sp|Q5UQN9|YR449_MIMIV Uncharacterized protein R449 OS=Acanthamoeba polyphaga mimivirus OX=212035 GN=MIMI_R449 PE=4 SV=1</t>
  </si>
  <si>
    <t>Uncharacterized protein n=1 Tax=Pyramimonas orientalis virus TaxID=455367 RepID=A0A7L9AYJ8_POV01</t>
  </si>
  <si>
    <t>05.07.P3-9.299-48_12</t>
  </si>
  <si>
    <t>sp|Q8T1C6|GNT1_DICDI [Skp1-protein]-hydroxyproline N-acetylglucosaminyltransferase OS=Dictyostelium discoideum OX=44689 GN=gnt1 PE=1 SV=2</t>
  </si>
  <si>
    <t>Uncharacterized protein n=1 Tax=Dictyostelium purpureum TaxID=5786 RepID=F0ZXU3_DICPU</t>
  </si>
  <si>
    <t>05.07.P3-9.299-48_14</t>
  </si>
  <si>
    <t>sp|Q5UR46|YR571_MIMIV Uncharacterized protein R571 OS=Acanthamoeba polyphaga mimivirus OX=212035 GN=MIMI_R571 PE=3 SV=1</t>
  </si>
  <si>
    <t>COG1752 [FUNC="Predicted acylesterase/phospholipase RssA, containd patatin domain"] [shortName=RssA] [TAG=R TAGDEF="General function prediction only" PROCESS="POORLY CHARACTERIZED"]  [PATHWAY=""] MULTISPECIES: patatin [Serratia]</t>
  </si>
  <si>
    <t>Patatin-like phospholipase n=1 Tax=Catovirus CTV1 TaxID=1977631 RepID=A0A1V0SCG0_9VIRU</t>
  </si>
  <si>
    <t>05.07.P3-9.299-48_15</t>
  </si>
  <si>
    <t>sp|P9WER1|BRAB_ANNTR O-glycosyltransferase braB OS=Annulohypoxylon truncatum OX=327061 GN=braB PE=1 SV=1</t>
  </si>
  <si>
    <t>COG3774 [FUNC="Mannosyltransferase OCH1 or related enzyme"] [shortName=OCH1] [TAG=M TAGDEF="Cell wall/membrane/envelope biogenesis" PROCESS="CELLULAR PROCESSES AND SIGNALING"]  [PATHWAY=""] hypothetical protein [Paucibacter sp. KCTC 42545]</t>
  </si>
  <si>
    <t>Uncharacterized protein n=9 Tax=Serratia marcescens TaxID=615 RepID=A0A255NIC4_SERMA</t>
  </si>
  <si>
    <t>05.07.P3-9.299-48_2</t>
  </si>
  <si>
    <t>sp|Q869Z0|Y5025_DICDI Putative protein disulfide-isomerase DDB_G0275025 OS=Dictyostelium discoideum OX=44689 GN=DDB_G0275025 PE=1 SV=1</t>
  </si>
  <si>
    <t>KOG0191 [FUNC="Thioredoxin/protein disulfide isomerase"] [shortName=] [TAG=O TAGDEF="Posttranslational modification, protein turnover, chaperones" PROCESS="CELLULAR PROCESSES AND SIGNALING"]  [PATHWAY=""]</t>
  </si>
  <si>
    <t>protein disulfide-isomerase n=1 Tax=Adineta steineri TaxID=433720 RepID=A0A814Z7M7_9BILA</t>
  </si>
  <si>
    <t>05.07.P3-9.299-48_4</t>
  </si>
  <si>
    <t>Uncharacterized protein n=1 Tax=Mimiviridae sp. ChoanoV1 TaxID=2596887 RepID=A0A5B8IQM6_9VIRU</t>
  </si>
  <si>
    <t>11.09.P1-10.037-21_15</t>
  </si>
  <si>
    <t>Uncharacterized protein n=1 Tax=Bacillus phage BC01 TaxID=2039884 RepID=A0A346TNI1_9CAUD</t>
  </si>
  <si>
    <t>11.09.P1-10.037-21_19</t>
  </si>
  <si>
    <t>Bifunctional dihydrofolate reductase-thymidylate synthase n=2 Tax=Erythranthe guttata TaxID=4155 RepID=A0A022R1Q8_ERYGU</t>
  </si>
  <si>
    <t>11.09.P1-10.037-21_26</t>
  </si>
  <si>
    <t>11.09.P1-10.037-21_27</t>
  </si>
  <si>
    <t>11.09.P1-10.037-21_31</t>
  </si>
  <si>
    <t>11.09.P1-10.218-33_18</t>
  </si>
  <si>
    <t>KOG4235 [FUNC="Mitochondrial thymidine kinase 2/deoxyguanosine kinase"] [shortName=] [TAG=F TAGDEF="Nucleotide transport and metabolism" PROCESS="METABOLISM"]  [PATHWAY=""]</t>
  </si>
  <si>
    <t>Deoxynucleoside kinase domain-containing protein n=1 Tax=Chloropicon roscoffensis TaxID=1461544 RepID=A0A7S3C9B9_9CHLO</t>
  </si>
  <si>
    <t>11.09.P1-10.218-33_23</t>
  </si>
  <si>
    <t>11.09.P1-10.218-33_33</t>
  </si>
  <si>
    <t>Uncharacterized protein n=1 Tax=Bathycoccus sp. RCC716 virus 2 TaxID=2530039 RepID=A0A7S6NYF1_9PHYC</t>
  </si>
  <si>
    <t>11.09.P1-10.218-33_36</t>
  </si>
  <si>
    <t>VOG06157 [FUNC="REFSEQ hypothetical protein"] [TAG=Xu TAGDEF="Function unknown"]</t>
  </si>
  <si>
    <t>Uncharacterized protein m677L n=2 Tax=Paramecium bursaria Chlorella virus A1 TaxID=381899 RepID=A7IV57_PBCVM</t>
  </si>
  <si>
    <t>11.09.P1-10.218-33_6</t>
  </si>
  <si>
    <t>COG3378 [FUNC="DNA primase, phage- or plasmid-associated"] [shortName=] [TAG=X TAGDEF="Mobilome: prophages, transposons" PROCESS=""]  [PATHWAY=""] phage/plasmid primase, P4 family, C-terminal domain [Rodentibacter pneumotropicus]</t>
  </si>
  <si>
    <t>Phage/plasmid primase, ATPase, superfamily III helicase n=1 Tax=Only Syngen Nebraska virus 5 TaxID=1917232 RepID=A0A1J0F9Y1_9PHYC</t>
  </si>
  <si>
    <t>11.09.P1-10.218-33_8</t>
  </si>
  <si>
    <t>Uncharacterized protein n=1 Tax=Bathycoccus sp. RCC716 virus 3 TaxID=2530040 RepID=A0A7S6SWC1_9PHYC</t>
  </si>
  <si>
    <t>11.09.P1-10.240-11_11</t>
  </si>
  <si>
    <t>VOG01328 [FUNC="sp|Q5UQ22|YL207_MIMIV Putative helicase L207/L206"] [TAG=Xh TAGDEF="Virus protein with function beneficial for the host"]</t>
  </si>
  <si>
    <t>DNA primase n=1 Tax=Only Syngen Nebraska virus 5 TaxID=1917232 RepID=A0A1J0F9T4_9PHYC</t>
  </si>
  <si>
    <t>11.09.P1-10.240-11_23</t>
  </si>
  <si>
    <t>sp|O13762|YF2C_SCHPO Uncharacterized ATP-dependent helicase C17A2.12 OS=Schizosaccharomyces pombe (strain 972 / ATCC 24843) OX=284812 GN=SPAC17A2.12 PE=3 SV=1</t>
  </si>
  <si>
    <t>KOG1001 [FUNC="Helicase-like transcription factor HLTF/DNA helicase RAD5, DEAD-box superfamily"] [shortName=] [TAG=K TAGDEF="Transcription" PROCESS="INFORMATION STORAGE AND PROCESSING"] [TAG=L TAGDEF="Replication, recombination and repair" PROCESS="INFORMATION STORAGE AND PROCESSING"]  [PATHWAY=""]</t>
  </si>
  <si>
    <t>SWI/SNF-related matrix-associated actin-dependent regulator of chromatin subfamily A member 3-like 1 n=1 Tax=Punica granatum TaxID=22663 RepID=A0A218X335_PUNGR</t>
  </si>
  <si>
    <t>11.09.P1-10.240-11_3</t>
  </si>
  <si>
    <t>HMG domain-containing protein n=1 Tax=Crassostrea gigas TaxID=29159 RepID=A0A8W8MPD0_CRAGI</t>
  </si>
  <si>
    <t>11.09.P1-10.240-11_5</t>
  </si>
  <si>
    <t>COG3979 [FUNC="Chitodextrinase"] [shortName=] [TAG=G TAGDEF="Carbohydrate transport and metabolism" PROCESS="METABOLISM"]  [PATHWAY=""] hypothetical protein [Microbulbifer agarilyticus]</t>
  </si>
  <si>
    <t>11.09.P1-10.240-11_6</t>
  </si>
  <si>
    <t>MYM-type zinc finger with FCS sequence motif n=1 Tax=Acanthocystis turfacea Chlorella virus MN0810.1 TaxID=1278272 RepID=M1HZI2_9PHYC</t>
  </si>
  <si>
    <t>11.09.P1-10.240-11_7</t>
  </si>
  <si>
    <t>Uncharacterized protein n=1 Tax=Micromonas pusilla virus PL1 TaxID=373997 RepID=G8DDF1_9PHYC</t>
  </si>
  <si>
    <t>11.09.P1-10.336-18_11</t>
  </si>
  <si>
    <t>VOG00418 [FUNC="sp|Q5UQU0|YL352_MIMIV Uncharacterized protein L352"] [TAG=Xs TAGDEF="Virus structure"]</t>
  </si>
  <si>
    <t>Uncharacterized protein n=1 Tax=Bathycoccus sp. RCC716 virus 1 TaxID=2530038 RepID=A0A7S6NXS3_9PHYC</t>
  </si>
  <si>
    <t>11.09.P1-10.336-18_14</t>
  </si>
  <si>
    <t>sp|H9N290|NDMB_PSEPU Methylxanthine N3-demethylase NdmB OS=Pseudomonas putida OX=303 GN=ndmB PE=1 SV=1</t>
  </si>
  <si>
    <t>COG4638 [FUNC="Phenylpropionate dioxygenase or related ring-hydroxylating dioxygenase, large terminal subunit"] [shortName=HcaE] [TAG=P TAGDEF="Inorganic ion transport and metabolism" PROCESS="METABOLISM"] [TAG=R TAGDEF="General function prediction only" PROCESS="POORLY CHARACTERIZED"]  [PATHWAY=""] aromatic ring-hydroxylating dioxygenase subunit alpha [Archangium gephyra]</t>
  </si>
  <si>
    <t>Rieske domain-containing protein n=1 Tax=Archangium sp. Cb G35 TaxID=1920190 RepID=A0A1Q3HUC8_9BACT</t>
  </si>
  <si>
    <t>11.09.P1-10.336-18_27</t>
  </si>
  <si>
    <t>COG1216 [FUNC="Glycosyltransferase, GT2 family"] [shortName=WcaE] [TAG=G TAGDEF="Carbohydrate transport and metabolism" PROCESS="METABOLISM"]  [PATHWAY=""] MULTISPECIES: DUF616 domain-containing protein [Methanosphaera]</t>
  </si>
  <si>
    <t>UDP-galactopyranose mutase C-terminal domain-containing protein n=1 Tax=Hemiselmis tepida TaxID=464990 RepID=A0A6T6SVH8_9CRYP</t>
  </si>
  <si>
    <t>11.09.P1-10.336-18_31</t>
  </si>
  <si>
    <t>Major capsid protein VP54 n=1 Tax=Acanthocystis turfacea Chlorella virus TN603.4.2 TaxID=1278278 RepID=M1HKD7_9PHYC</t>
  </si>
  <si>
    <t>11.09.P1-10.355-23_1</t>
  </si>
  <si>
    <t>sp|Q9J5H7|V024_FOWPN Putative ankyrin repeat protein FPV024 OS=Fowlpox virus (strain NVSL) OX=928301 GN=FPV024 PE=4 SV=1</t>
  </si>
  <si>
    <t>COG0666 [FUNC="Ankyrin repeat"] [shortName=ANKYR] [TAG=T TAGDEF="Signal transduction mechanisms" PROCESS="CELLULAR PROCESSES AND SIGNALING"]  [PATHWAY=""] hypothetical protein [Wolbachia sp. wRi]</t>
  </si>
  <si>
    <t>VOG00005 [FUNC="sp|Q5UPF8|YL088_MIMIV Putative ankyrin repeat protein L88"] [TAG=Xh TAGDEF="Virus protein with function beneficial for the host"]</t>
  </si>
  <si>
    <t>Ankyrin repeat and kinase domain containing 1 n=1 Tax=Vombatus ursinus TaxID=29139 RepID=A0A4X2LV47_VOMUR</t>
  </si>
  <si>
    <t>11.09.P1-10.355-23_17</t>
  </si>
  <si>
    <t>LysM domain-containing protein n=1 Tax=Chlorella vulgaris TaxID=3077 RepID=A0A9D4TRE2_CHLVU</t>
  </si>
  <si>
    <t>11.09.P1-10.355-23_20</t>
  </si>
  <si>
    <t>Uncharacterized protein B457L n=1 Tax=Paramecium bursaria Chlorella virus NY2A TaxID=46021 RepID=A7IWY2_PBCVN</t>
  </si>
  <si>
    <t>11.09.P1-10.355-23_33</t>
  </si>
  <si>
    <t>Uncharacterized protein N165L n=1 Tax=Paramecium bursaria Chlorella virus FR483 TaxID=399781 RepID=A7J6L9_PBCVF</t>
  </si>
  <si>
    <t>11.09.P1-10.355-23_42</t>
  </si>
  <si>
    <t>sp|P30321|DPOL_PBCV1 DNA polymerase OS=Paramecium bursaria Chlorella virus 1 OX=10506 GN=DPO PE=3 SV=2</t>
  </si>
  <si>
    <t>DNA polymerase n=1 Tax=Paramecium bursaria Chlorella virus CVB-1 TaxID=1278247 RepID=M1GYI1_9PHYC</t>
  </si>
  <si>
    <t>11.09.P1-10.376-26_16</t>
  </si>
  <si>
    <t>DNA primase n=1 Tax=Paramecium bursaria Chlorella virus Can18-4 TaxID=1278252 RepID=M1HID8_9PHYC</t>
  </si>
  <si>
    <t>11.09.P1-10.376-26_2</t>
  </si>
  <si>
    <t>Uncharacterized protein n=1 Tax=Chlorella desiccata (nom. nud.) TaxID=1650286 RepID=A0A8T2VIK9_9CHLO</t>
  </si>
  <si>
    <t>11.09.P1-10.376-26_24</t>
  </si>
  <si>
    <t>VOG28343 [FUNC="REFSEQ hypothetical protein"] [TAG=Xu TAGDEF="Function unknown"]</t>
  </si>
  <si>
    <t>RING-type domain-containing protein n=4 Tax=Chlorovirus TaxID=181083 RepID=M1H6B7_9PHYC</t>
  </si>
  <si>
    <t>11.09.P1-10.376-26_30</t>
  </si>
  <si>
    <t>sp|P22856|VL96_IRV1 Putative ubiquitin thioesterase L96 OS=Tipula iridescent virus OX=10490 GN=L96 PE=3 SV=1</t>
  </si>
  <si>
    <t>VOG13159 [FUNC="sp|P22856|VL96_IRV1 Putative ubiquitin thioesterase L96"] [TAG=Xh TAGDEF="Virus protein with function beneficial for the host"]</t>
  </si>
  <si>
    <t>Ubiquitin thioesterase OTU n=1 Tax=Guillardia theta (strain CCMP2712) TaxID=905079 RepID=L1J6A7_GUITC</t>
  </si>
  <si>
    <t>11.09.P1-10.376-26_4</t>
  </si>
  <si>
    <t>MYM-type zinc finger with FCS sequence motif n=1 Tax=Acanthocystis turfacea Chlorella virus Canal-1 TaxID=1278270 RepID=M1GXH0_9PHYC</t>
  </si>
  <si>
    <t>11.09.P1-10.376-26_8</t>
  </si>
  <si>
    <t>SF3 helicase domain-containing protein n=1 Tax=Klebsormidium nitens TaxID=105231 RepID=A0A1Y1ILU6_KLENI</t>
  </si>
  <si>
    <t>11.09.P1-10.411-16_11</t>
  </si>
  <si>
    <t>sp|Q9J569|V162_FOWPN Putative ankyrin repeat protein FPV162 OS=Fowlpox virus (strain NVSL) OX=928301 GN=FPV162 PE=4 SV=1</t>
  </si>
  <si>
    <t>COG2909 [FUNC="ATP-, maltotriose- and DNA-dependent transcriptional regulator MalT"] [shortName=MalT] [TAG=K TAGDEF="Transcription" PROCESS="INFORMATION STORAGE AND PROCESSING"]  [PATHWAY=""] tetratricopeptide repeat protein [Candidatus Amoebophilus asiaticus]</t>
  </si>
  <si>
    <t>CNPV319 ankyrin repeat protein n=1 Tax=Canarypox virus TaxID=44088 RepID=Q6VZ28_CNPV</t>
  </si>
  <si>
    <t>11.09.P1-10.411-16_18</t>
  </si>
  <si>
    <t>COG1752 [FUNC="Predicted acylesterase/phospholipase RssA, containd patatin domain"] [shortName=RssA] [TAG=R TAGDEF="General function prediction only" PROCESS="POORLY CHARACTERIZED"]  [PATHWAY=""] patatin family phospholipase (plasmid) [Desulfovibrio vulgaris str. Hildenborough]</t>
  </si>
  <si>
    <t>Lipid hydrolase n=1 Tax=Acanthocystis turfacea Chlorella virus MN0810.1 TaxID=1278272 RepID=M1I190_9PHYC</t>
  </si>
  <si>
    <t>11.09.P1-10.411-16_19</t>
  </si>
  <si>
    <t>sp|Q96NW4|ANR27_HUMAN Ankyrin repeat domain-containing protein 27 OS=Homo sapiens OX=9606 GN=ANKRD27 PE=1 SV=2</t>
  </si>
  <si>
    <t>COG0666 [FUNC="Ankyrin repeat"] [shortName=ANKYR] [TAG=T TAGDEF="Signal transduction mechanisms" PROCESS="CELLULAR PROCESSES AND SIGNALING"]  [PATHWAY=""] hypothetical protein [Candidatus Amoebophilus asiaticus]</t>
  </si>
  <si>
    <t>Uncharacterized protein n=2 Tax=Triparma laevis TaxID=1534972 RepID=A0A9W6Z7K7_9STRA</t>
  </si>
  <si>
    <t>11.09.P1-10.411-16_3</t>
  </si>
  <si>
    <t>Uncharacterized protein n=1 Tax=Chlorella desiccata (nom. nud.) TaxID=1650286 RepID=A0A8T2I550_9CHLO</t>
  </si>
  <si>
    <t>11.09.P1-10.411-16_4</t>
  </si>
  <si>
    <t>Uncharacterized protein n=1 Tax=Paramecium bursaria Chlorella virus Can18-4 TaxID=1278252 RepID=M1HJI8_9PHYC</t>
  </si>
  <si>
    <t>11.09.P1-10.411-16_6</t>
  </si>
  <si>
    <t>Uncharacterized protein n=1 Tax=Chlorella vulgaris TaxID=3077 RepID=A0A9D4TR47_CHLVU</t>
  </si>
  <si>
    <t>11.09.P1-10.601-28_18</t>
  </si>
  <si>
    <t>Uncharacterized protein n=1 Tax=Chlorella vulgaris TaxID=3077 RepID=A0A9D4TR57_CHLVU</t>
  </si>
  <si>
    <t>11.09.P1-10.601-28_22</t>
  </si>
  <si>
    <t>sp|Q9MA15|AB1K3_ARATH Protein ACTIVITY OF BC1 COMPLEX KINASE 3, chloroplastic OS=Arabidopsis thaliana OX=3702 GN=ABC1K3 PE=1 SV=1</t>
  </si>
  <si>
    <t>COG2208 [FUNC="Phosphoserine phosphatase RsbU, regulator of sigma subunit"] [shortName=RsbU] [TAG=T TAGDEF="Signal transduction mechanisms" PROCESS="CELLULAR PROCESSES AND SIGNALING"] [TAG=K TAGDEF="Transcription" PROCESS="INFORMATION STORAGE AND PROCESSING"]  [PATHWAY=""] serine/threonine protein kinase [Waddlia chondrophila]</t>
  </si>
  <si>
    <t>ABC transporter ATP-binding protein n=1 Tax=Mycolicibacter arupensis TaxID=342002 RepID=A0A0F5N490_9MYCO</t>
  </si>
  <si>
    <t>11.09.P1-10.601-28_4</t>
  </si>
  <si>
    <t>Transposase n=1 Tax=Trebouxia sp. A1-2 TaxID=2608996 RepID=A0A5J4XEK0_9CHLO</t>
  </si>
  <si>
    <t>11.09.P1-10.844-36_1</t>
  </si>
  <si>
    <t>COG1793 [FUNC="ATP-dependent DNA ligase"] [shortName=CDC9] [TAG=L TAGDEF="Replication, recombination and repair" PROCESS="INFORMATION STORAGE AND PROCESSING"]  [PATHWAY=""] DNA ligase [Gallaecimonas sp. HK-28]</t>
  </si>
  <si>
    <t>DNA ligase n=1 Tax=Marinobacter nanhaiticus D15-8W TaxID=626887 RepID=N6VYZ5_9GAMM</t>
  </si>
  <si>
    <t>11.09.P1-10.844-36_11</t>
  </si>
  <si>
    <t>11.09.P1-10.844-36_16</t>
  </si>
  <si>
    <t>sp|Q7NZD1|UBIB_CHRVO Probable protein kinase UbiB OS=Chromobacterium violaceum (strain ATCC 12472 / DSM 30191 / JCM 1249 / NBRC 12614 / NCIMB 9131 / NCTC 9757) OX=243365 GN=ubiB PE=3 SV=1</t>
  </si>
  <si>
    <t>COG0661 [FUNC="Predicted protein kinase regulating ubiquinone biosynthesis, AarF/ABC1/UbiB family"] [shortName=AarF] [TAG=H TAGDEF="Coenzyme transport and metabolism" PROCESS="METABOLISM"] [TAG=T TAGDEF="Signal transduction mechanisms" PROCESS="CELLULAR PROCESSES AND SIGNALING"]  [PATHWAY="Ubiquinone biosynthesis"] 2-polyprenylphenol 6-hydroxylase [Anoxybacter fermentans]</t>
  </si>
  <si>
    <t>VOG29925 [FUNC="sp|Q93Y08|AB1K8_ARATH Protein ACTIVITY OF BC1 COMPLEX KINASE 8, chloroplastic"] [TAG=Xh TAGDEF="Virus protein with function beneficial for the host"]</t>
  </si>
  <si>
    <t>Putative ABC-1 domain protein n=1 Tax=Dishui Lake phycodnavirus 3 TaxID=2704074 RepID=A0A6G6XNC6_9PHYC</t>
  </si>
  <si>
    <t>11.09.P1-10.844-36_18</t>
  </si>
  <si>
    <t>DUF5899 domain-containing protein n=1 Tax=Acanthocystis turfacea Chlorella virus Canal-1 TaxID=1278270 RepID=M1HE68_9PHYC</t>
  </si>
  <si>
    <t>11.09.P1-10.844-36_6</t>
  </si>
  <si>
    <t>COG0661 [FUNC="Predicted protein kinase regulating ubiquinone biosynthesis, AarF/ABC1/UbiB family"] [shortName=AarF] [TAG=H TAGDEF="Coenzyme transport and metabolism" PROCESS="METABOLISM"] [TAG=T TAGDEF="Signal transduction mechanisms" PROCESS="CELLULAR PROCESSES AND SIGNALING"]  [PATHWAY="Ubiquinone biosynthesis"] AarF/ABC1/UbiB kinase family protein [Chryseobacterium indologenes]</t>
  </si>
  <si>
    <t>11.09.P1-10.844-36_8</t>
  </si>
  <si>
    <t>11.09.P1-10.968-12_2</t>
  </si>
  <si>
    <t>sp|Q5B0V6|AKR1_EMENI Palmitoyltransferase akr1 OS=Emericella nidulans (strain FGSC A4 / ATCC 38163 / CBS 112.46 / NRRL 194 / M139) OX=227321 GN=akr1 PE=3 SV=2</t>
  </si>
  <si>
    <t>NACHT domain-containing protein n=1 Tax=Fusarium vanettenii (strain ATCC MYA-4622 / CBS 123669 / FGSC 9596 / NRRL 45880 / 77-13-4) TaxID=660122 RepID=C7ZR63_FUSV7</t>
  </si>
  <si>
    <t>11.09.P1-10.968-12_30</t>
  </si>
  <si>
    <t>ATP-dependent RNA helicase n=1 Tax=Paramecium bursaria Chlorella virus CVM-1 TaxID=1278249 RepID=M1HZM5_9PHYC</t>
  </si>
  <si>
    <t>11.09.P1-10.968-12_35</t>
  </si>
  <si>
    <t>Polysaccharide lyase family 14 protein n=1 Tax=Chlorella desiccata (nom. nud.) TaxID=1650286 RepID=A0A8T2W935_9CHLO</t>
  </si>
  <si>
    <t>11.09.P1-10.968-12_43</t>
  </si>
  <si>
    <t>COG0571 [FUNC="dsRNA-specific ribonuclease"] [shortName=Rnc] [TAG=K TAGDEF="Transcription" PROCESS="INFORMATION STORAGE AND PROCESSING"]  [PATHWAY=""] ribonuclease III [Candidatus Cyclonatronum proteinivorum]</t>
  </si>
  <si>
    <t>Ribonuclease III n=1 Tax=Chlorella vulgaris TaxID=3077 RepID=A0A9D4TRA6_CHLVU</t>
  </si>
  <si>
    <t>11.09.P1-10.968-12_54</t>
  </si>
  <si>
    <t>sp|P36216|MTC1_PBCVI Type II methyltransferase M.CviJI OS=Paramecium bursaria Chlorella virus IL3A OX=46019 GN=CVIJIM PE=3 SV=1</t>
  </si>
  <si>
    <t>COG0270 [FUNC="DNA-cytosine methylase"] [shortName=Dcm] [TAG=L TAGDEF="Replication, recombination and repair" PROCESS="INFORMATION STORAGE AND PROCESSING"]  [PATHWAY=""] DNA methyltransferase [Chondromyces crocatus]</t>
  </si>
  <si>
    <t>S-adenosyl-L-methionine-dependent methyltransferase n=1 Tax=Tribonema minus TaxID=303371 RepID=A0A835YX27_9STRA</t>
  </si>
  <si>
    <t>11.09.P1-10.968-12_9</t>
  </si>
  <si>
    <t>YqaJ viral recombinase domain-containing protein n=4 Tax=Chlorovirus TaxID=181083 RepID=M1I7E5_9PHYC</t>
  </si>
  <si>
    <t>11.09.P1-11.900-64_23</t>
  </si>
  <si>
    <t>sp|Q7XI08|XB34_ORYSJ Probable E3 ubiquitin-protein ligase XBOS34 OS=Oryza sativa subsp. japonica OX=39947 GN=XBOS34 PE=2 SV=1</t>
  </si>
  <si>
    <t>VOG00203 [FUNC="sp|P41436|IAP_GVCPM Apoptosis inhibitor IAP"] [TAG=Xh TAGDEF="Virus protein with function beneficial for the host"]</t>
  </si>
  <si>
    <t>Zf-C3HC4 3 and/or Neuralized domain containing protein n=1 Tax=Asbolus verrucosus TaxID=1661398 RepID=A0A482VSL0_9CUCU</t>
  </si>
  <si>
    <t>11.09.P1-11.900-64_24</t>
  </si>
  <si>
    <t>VOG22191 [FUNC="REFSEQ hypothetical protein"] [TAG=Xu TAGDEF="Function unknown"]</t>
  </si>
  <si>
    <t>Uncharacterized protein n=1 Tax=Micromonas pusilla virus 12T TaxID=755272 RepID=M4QQE4_9PHYC</t>
  </si>
  <si>
    <t>11.09.P1-11.900-64_28</t>
  </si>
  <si>
    <t>COG0270 [FUNC="DNA-cytosine methylase"] [shortName=Dcm] [TAG=L TAGDEF="Replication, recombination and repair" PROCESS="INFORMATION STORAGE AND PROCESSING"]  [PATHWAY=""] DNA (cytosine-5-)-methyltransferase [Saprospira grandis]</t>
  </si>
  <si>
    <t>11.09.P1-12.360-36_1</t>
  </si>
  <si>
    <t>11.09.P1-12.360-36_13</t>
  </si>
  <si>
    <t>11.09.P1-12.360-36_15</t>
  </si>
  <si>
    <t>sp|Q9RFC8|TSPO_CERSP Tryptophan-rich sensory protein OS=Cereibacter sphaeroides OX=1063 GN=tspO PE=1 SV=1</t>
  </si>
  <si>
    <t>CrtK n=1 Tax=Pseudaestuariivita atlantica TaxID=1317121 RepID=A0A0L1JQN4_9RHOB</t>
  </si>
  <si>
    <t>11.09.P1-12.360-36_21</t>
  </si>
  <si>
    <t>11.09.P1-12.360-36_25</t>
  </si>
  <si>
    <t>11.09.P1-12.360-36_37</t>
  </si>
  <si>
    <t>11.09.P1-12.360-36_44</t>
  </si>
  <si>
    <t>11.09.P1-12.537-50_1</t>
  </si>
  <si>
    <t>sp|O55742|VF136_IIV6 Uncharacterized protein 136R OS=Invertebrate iridescent virus 6 OX=176652 GN=IIV6-136R PE=3 SV=1</t>
  </si>
  <si>
    <t>YqaJ viral recombinase domain-containing protein n=1 Tax=Klebsormidium nitens TaxID=105231 RepID=A0A1Y1ICM4_KLENI</t>
  </si>
  <si>
    <t>11.09.P1-12.537-50_14</t>
  </si>
  <si>
    <t>HMG domain-containing protein n=2 Tax=Coccomyxa sp. Obi TaxID=2315456 RepID=A0A8J9WJK3_9CHLO</t>
  </si>
  <si>
    <t>11.09.P1-12.537-50_16</t>
  </si>
  <si>
    <t>11.09.P1-12.537-50_17</t>
  </si>
  <si>
    <t>MYM-type domain-containing protein n=4 Tax=Chlorovirus TaxID=181083 RepID=Q98532_PBCV1</t>
  </si>
  <si>
    <t>11.09.P1-12.537-50_18</t>
  </si>
  <si>
    <t>Uncharacterized protein n=1 Tax=Yellowstone lake phycodnavirus 2 TaxID=1586714 RepID=A0A0P0YMK9_9PHYC</t>
  </si>
  <si>
    <t>11.09.P1-12.537-50_33</t>
  </si>
  <si>
    <t>Uncharacterized protein n=1 Tax=Yellowstone lake phycodnavirus 1 TaxID=1586713 RepID=A0A0P0YMD5_9PHYC</t>
  </si>
  <si>
    <t>11.09.P1-12.537-50_5</t>
  </si>
  <si>
    <t>DUF5899 domain-containing protein n=1 Tax=Chlorella vulgaris TaxID=3077 RepID=A0A9D4TRK7_CHLVU</t>
  </si>
  <si>
    <t>11.09.P1-12.886-49_13</t>
  </si>
  <si>
    <t>COG1233 [FUNC="Phytoene dehydrogenase-related protein"] [shortName=] [TAG=Q TAGDEF="Secondary metabolites biosynthesis, transport and catabolism" PROCESS="METABOLISM"]  [PATHWAY=""] NAD(P)/FAD-dependent oxidoreductase [Phenylobacterium zucineum]</t>
  </si>
  <si>
    <t>Flavin containing amine oxidoreductase n=1 Tax=Indivirus ILV1 TaxID=1977633 RepID=A0A1V0SE07_9VIRU</t>
  </si>
  <si>
    <t>11.09.P1-12.886-49_17</t>
  </si>
  <si>
    <t>sp|F4J3R7|SPD1_ARATH Protein SEEDLING PLASTID DEVELOPMENT 1 OS=Arabidopsis thaliana OX=3702 GN=SPD1 PE=2 SV=1</t>
  </si>
  <si>
    <t>Uncharacterized protein ycf45-like n=1 Tax=Momordica charantia TaxID=3673 RepID=A0A6J1CHU4_MOMCH</t>
  </si>
  <si>
    <t>11.09.P1-12.886-49_2</t>
  </si>
  <si>
    <t>Uncharacterized protein n=1 Tax=Dactylonectria estremocensis TaxID=1079267 RepID=A0A9P9D730_9HYPO</t>
  </si>
  <si>
    <t>11.09.P1-12.886-49_22</t>
  </si>
  <si>
    <t>VOG00697 [FUNC="sp|Q5UP30|YL851_MIMIV Uncharacterized protein L851"] [TAG=Xs TAGDEF="Virus structure"]</t>
  </si>
  <si>
    <t>Tlr 6F-like protein n=1 Tax=Chrysochromulina parva virophage Larry TaxID=2420056 RepID=A0A499S3U4_9VIRU</t>
  </si>
  <si>
    <t>11.09.P1-12.886-49_31</t>
  </si>
  <si>
    <t>11.09.P1-12.886-49_39</t>
  </si>
  <si>
    <t>sp|P12865|BS2_TRYBB Bloodstream-specific protein 2 OS=Trypanosoma brucei brucei OX=5702 GN=BS2 PE=3 SV=1</t>
  </si>
  <si>
    <t>COG3118 [FUNC="Chaperedoxin CnoX, contains thioredoxin-like and TPR-like domains, YbbN/TrxSC family"] [shortName=CnoX] [TAG=O TAGDEF="Posttranslational modification, protein turnover, chaperones" PROCESS="CELLULAR PROCESSES AND SIGNALING"]  [PATHWAY=""] thioredoxin [Petrimonas mucosa]</t>
  </si>
  <si>
    <t>Protein disulfide-isomerase n=1 Tax=Carnegiea gigantea TaxID=171969 RepID=A0A9Q1KS97_9CARY</t>
  </si>
  <si>
    <t>11.09.P1-12.886-49_4</t>
  </si>
  <si>
    <t>Secreted protein n=1 Tax=Dactylonectria estremocensis TaxID=1079267 RepID=A0A9P9I8S5_9HYPO</t>
  </si>
  <si>
    <t>11.09.P1-12.886-49_48</t>
  </si>
  <si>
    <t>sp|Q12974|TP4A2_HUMAN Protein tyrosine phosphatase type IVA 2 OS=Homo sapiens OX=9606 GN=PTP4A2 PE=1 SV=1</t>
  </si>
  <si>
    <t>protein-tyrosine-phosphatase n=1 Tax=Argiope bruennichi TaxID=94029 RepID=A0A8T0FH66_ARGBR</t>
  </si>
  <si>
    <t>11.09.P1-12.886-49_49</t>
  </si>
  <si>
    <t>sp|Q54HW1|PSD10_DICDI 26S proteasome non-ATPase regulatory subunit 10 OS=Dictyostelium discoideum OX=44689 GN=psmD10 PE=2 SV=1</t>
  </si>
  <si>
    <t>COG0666 [FUNC="Ankyrin repeat"] [shortName=ANKYR] [TAG=T TAGDEF="Signal transduction mechanisms" PROCESS="CELLULAR PROCESSES AND SIGNALING"]  [PATHWAY=""] MULTISPECIES: hypothetical protein [Thermofilum]</t>
  </si>
  <si>
    <t>Ankyrin repeat-containing domain,Ankyrin repeat n=1 Tax=Cinara cedri TaxID=506608 RepID=A0A5E4NHT9_9HEMI</t>
  </si>
  <si>
    <t>11.09.P1-12.886-49_50</t>
  </si>
  <si>
    <t>sp|Q54KA7|SECG_DICDI Ankyrin repeat, PH and SEC7 domain containing protein secG OS=Dictyostelium discoideum OX=44689 GN=secG PE=2 SV=1</t>
  </si>
  <si>
    <t>COG0666 [FUNC="Ankyrin repeat"] [shortName=ANKYR] [TAG=T TAGDEF="Signal transduction mechanisms" PROCESS="CELLULAR PROCESSES AND SIGNALING"]  [PATHWAY=""] hypothetical protein [Candidatus Phycorickettsia trachydisci]</t>
  </si>
  <si>
    <t>Ankyrin repeat domain-containing protein n=1 Tax=Paludibaculum fermentans TaxID=1473598 RepID=A0A7S7NKX0_9BACT</t>
  </si>
  <si>
    <t>11.09.P1-12.886-49_6</t>
  </si>
  <si>
    <t>sp|A7U6E7|MCP_CEV01 Major capsid protein OS=Chrysochromulina ericina virus OX=455364 GN=MCP PE=3 SV=1</t>
  </si>
  <si>
    <t>11.09.P1-13.472-29_17</t>
  </si>
  <si>
    <t>sp|Q5UNU2|UVE1H_MIMIV Putative UV-damage endonuclease OS=Acanthamoeba polyphaga mimivirus OX=212035 GN=MIMI_L687 PE=1 SV=1</t>
  </si>
  <si>
    <t>Putative UV-damage endonuclease n=1 Tax=Chlorella desiccata (nom. nud.) TaxID=1650286 RepID=A0A8T2WHJ6_9CHLO</t>
  </si>
  <si>
    <t>11.09.P1-13.472-29_18</t>
  </si>
  <si>
    <t>VOG01215 [FUNC="REFSEQ hypothetical protein"] [TAG=Xu TAGDEF="Function unknown"]</t>
  </si>
  <si>
    <t>Uncharacterized protein n=1 Tax=Pyruvatibacter mobilis TaxID=1712261 RepID=A0A845Q8S6_9HYPH</t>
  </si>
  <si>
    <t>11.09.P1-13.472-29_38</t>
  </si>
  <si>
    <t>VOG01467 [FUNC="sp|Q197D0|030L_IIV3 uncharacterized protein 030L"] [TAG=Xu TAGDEF="Function unknown"]</t>
  </si>
  <si>
    <t>Thioredoxin n=4 Tax=Chlorovirus TaxID=181083 RepID=M1HJG7_9PHYC</t>
  </si>
  <si>
    <t>11.09.P1-13.472-29_41</t>
  </si>
  <si>
    <t>Putative DNA polymerase sliding clamp n=1 Tax=Pyramimonas orientalis virus TaxID=455367 RepID=A0A7M3UNW6_POV01</t>
  </si>
  <si>
    <t>11.09.P1-13.472-29_9</t>
  </si>
  <si>
    <t>sp|Q15075|EEA1_HUMAN Early endosome antigen 1 OS=Homo sapiens OX=9606 GN=EEA1 PE=1 SV=2</t>
  </si>
  <si>
    <t>TWOG0975 [FUNC="Conserved alpha-helical peripheral membrane protein, contains a calmodulin-binding IQ motif"] [shortName=] [TAG=X TAGDEF="Mobilome: prophages, transposons" PROCESS=""]  [PATHWAY=""]</t>
  </si>
  <si>
    <t>VOG08361 [FUNC="sp|P41467|AC66_NPVAC Protein Ac66"] [TAG=Xu TAGDEF="Function unknown"]</t>
  </si>
  <si>
    <t>F5/8 type C domain-containing protein n=1 Tax=Cellvibrio sp. 79 TaxID=1954207 RepID=A0A2T6FQC8_9GAMM</t>
  </si>
  <si>
    <t>11.09.P1-14.376-49_12</t>
  </si>
  <si>
    <t>VOG25418 [FUNC="sp|Q5UQL1|YR409_MIMIV Uncharacterized protein R409"] [TAG=Xu TAGDEF="Function unknown"]</t>
  </si>
  <si>
    <t>4-oxalocrotonate tautomerase n=4 Tax=unclassified Chlorovirus TaxID=346674 RepID=M1IBN8_9PHYC</t>
  </si>
  <si>
    <t>11.09.P1-14.376-49_30</t>
  </si>
  <si>
    <t>Major capsid protein VP54 n=3 Tax=Chlorovirus TaxID=181083 RepID=M1GYE4_9PHYC</t>
  </si>
  <si>
    <t>11.09.P1-14.376-49_34</t>
  </si>
  <si>
    <t>sp|Q942L2|PDI22_ORYSJ Protein disulfide isomerase-like 2-2 OS=Oryza sativa subsp. japonica OX=39947 GN=PDIL2-2 PE=2 SV=1</t>
  </si>
  <si>
    <t>COG3118 [FUNC="Chaperedoxin CnoX, contains thioredoxin-like and TPR-like domains, YbbN/TrxSC family"] [shortName=CnoX] [TAG=O TAGDEF="Posttranslational modification, protein turnover, chaperones" PROCESS="CELLULAR PROCESSES AND SIGNALING"]  [PATHWAY=""] thiol reductase thioredoxin [Odoribacter splanchnicus]</t>
  </si>
  <si>
    <t>Putative thioredoxin-related protein n=1 Tax=Ostreococcus tauri TaxID=70448 RepID=A0A1Y5IKA1_OSTTA</t>
  </si>
  <si>
    <t>11.09.P1-14.376-49_41</t>
  </si>
  <si>
    <t>sp|Q9VVW5|DUSK3_DROME Dual specificity protein phosphatase Mpk3 OS=Drosophila melanogaster OX=7227 GN=Mkp3 PE=1 SV=2</t>
  </si>
  <si>
    <t>KOG1717 [FUNC="Dual specificity phosphatase"] [shortName=] [TAG=V TAGDEF="Defense mechanisms" PROCESS="CELLULAR PROCESSES AND SIGNALING"]  [PATHWAY=""]</t>
  </si>
  <si>
    <t>11.09.P1-14.376-49_64</t>
  </si>
  <si>
    <t>Major capsid protein VP54 n=1 Tax=Acanthocystis turfacea Chlorella virus Canal-1 TaxID=1278270 RepID=M1HUP0_9PHYC</t>
  </si>
  <si>
    <t>11.09.P1-14.376-49_65</t>
  </si>
  <si>
    <t>11.09.P1-14.376-49_9</t>
  </si>
  <si>
    <t>VOG20649 [FUNC="REFSEQ hypothetical protein"] [TAG=Xu TAGDEF="Function unknown"]</t>
  </si>
  <si>
    <t>SprT-like domain-containing protein n=1 Tax=Paramecium bursaria Chlorella virus CviKI TaxID=1278253 RepID=M1H0D8_9PHYC</t>
  </si>
  <si>
    <t>11.09.P1-14.826-9.1_2</t>
  </si>
  <si>
    <t>SRCR domain-containing protein n=1 Tax=Aphanomyces invadans TaxID=157072 RepID=A0A3R6WEX3_9STRA</t>
  </si>
  <si>
    <t>11.09.P1-14.826-9.1_35</t>
  </si>
  <si>
    <t>Uncharacterized protein n=1 Tax=Tanacetum cinerariifolium TaxID=118510 RepID=A0A699GDQ0_TANCI</t>
  </si>
  <si>
    <t>11.09.P1-14.826-9.1_36</t>
  </si>
  <si>
    <t>Uncharacterized protein n770R n=1 Tax=Paramecium bursaria Chlorella virus FR483 TaxID=399781 RepID=A7J8C4_PBCVF</t>
  </si>
  <si>
    <t>11.09.P1-14.826-9.1_42</t>
  </si>
  <si>
    <t>COG0209 [FUNC="Ribonucleotide reductase alpha subunit"] [shortName=NrdA] [TAG=F TAGDEF="Nucleotide transport and metabolism" PROCESS="METABOLISM"]  [PATHWAY="Pyrimidine salvage"] ribonucleoside-diphosphate reductase subunit alpha [Niastella koreensis]</t>
  </si>
  <si>
    <t>Ribonucleoside-diphosphate reductase n=1 Tax=Niastella populi TaxID=550983 RepID=A0A1V9GBB4_9BACT</t>
  </si>
  <si>
    <t>11.09.P1-14.826-9.1_49</t>
  </si>
  <si>
    <t>COG1382 [FUNC="Prefoldin, chaperonin cofactor"] [shortName=GimC] [TAG=O TAGDEF="Posttranslational modification, protein turnover, chaperones" PROCESS="CELLULAR PROCESSES AND SIGNALING"]  [PATHWAY=""] hypothetical protein [Flavisolibacter tropicus]</t>
  </si>
  <si>
    <t>Uncharacterized protein n=1 Tax=Vallitalea longa TaxID=2936439 RepID=A0A9W5Y973_9FIRM</t>
  </si>
  <si>
    <t>11.09.P1-14.826-9.1_56</t>
  </si>
  <si>
    <t>sp|A1SP12|MSHA_NOCSJ D-inositol 3-phosphate glycosyltransferase OS=Nocardioides sp. (strain ATCC BAA-499 / JS614) OX=196162 GN=mshA PE=3 SV=1</t>
  </si>
  <si>
    <t>COG0438 [FUNC="Glycosyltransferase involved in cell wall bisynthesis"] [shortName=RfaB] [TAG=M TAGDEF="Cell wall/membrane/envelope biogenesis" PROCESS="CELLULAR PROCESSES AND SIGNALING"]  [PATHWAY=""] Glycosyl transferase, group 1 [Minicystis rosea]</t>
  </si>
  <si>
    <t>VOG00264 [FUNC="sp|Q8QL20|Y356_SIRV1 Uncharacterized protein 356"] [TAG=Xu TAGDEF="Function unknown"]</t>
  </si>
  <si>
    <t>Glycosyl transferase n=1 Tax=Acanthocystis turfacea Chlorella virus MO0605SPH TaxID=1278273 RepID=M1I069_9PHYC</t>
  </si>
  <si>
    <t>11.09.P1-15.305-43_1</t>
  </si>
  <si>
    <t>11.09.P1-15.305-43_14</t>
  </si>
  <si>
    <t>11.09.P1-15.305-43_18</t>
  </si>
  <si>
    <t>11.09.P1-15.305-43_24</t>
  </si>
  <si>
    <t>11.09.P1-15.305-43_26</t>
  </si>
  <si>
    <t>sp|Q5UQL4|YL417_MIMIV Uncharacterized protein L417 OS=Acanthamoeba polyphaga mimivirus OX=212035 GN=MIMI_L417 PE=1 SV=1</t>
  </si>
  <si>
    <t>11.09.P1-15.305-43_31</t>
  </si>
  <si>
    <t>sp|Q5UPW9|YL291_MIMIV Uncharacterized protein L291 OS=Acanthamoeba polyphaga mimivirus OX=212035 GN=MIMI_L291 PE=4 SV=1</t>
  </si>
  <si>
    <t>11.09.P1-15.305-43_33</t>
  </si>
  <si>
    <t>VOG06326 [FUNC="REFSEQ hypothetical protein"] [TAG=Xu TAGDEF="Function unknown"]</t>
  </si>
  <si>
    <t>Uncharacterized protein n=1 Tax=Only Syngen Nebraska virus 5 TaxID=1917232 RepID=A0A1J0F9M0_9PHYC</t>
  </si>
  <si>
    <t>11.09.P1-15.305-43_42</t>
  </si>
  <si>
    <t>sp|Q6GVM3|IF1AY_PANTR Eukaryotic translation initiation factor 1A, Y-chromosomal OS=Pan troglodytes OX=9598 GN=EIF1AY PE=2 SV=3</t>
  </si>
  <si>
    <t>Eukaryotic translation initiation factor 4C n=1 Tax=Wallemia mellicola TaxID=1708541 RepID=A0A4T0QB88_9BASI</t>
  </si>
  <si>
    <t>11.09.P1-15.305-43_50</t>
  </si>
  <si>
    <t>11.09.P1-15.305-43_52</t>
  </si>
  <si>
    <t>Uncharacterized protein n=1 Tax=Dishui Lake large algae virus 1 TaxID=2704073 RepID=A0A6G6XPG0_9VIRU</t>
  </si>
  <si>
    <t>11.09.P1-15.305-43_62</t>
  </si>
  <si>
    <t>P-loop containing nucleoside triphosphate hydrolase protein n=1 Tax=Scenedesmus sp. NREL 46B-D3 TaxID=2650976 RepID=A0A7J7PM74_9CHLO</t>
  </si>
  <si>
    <t>11.09.P1-15.886-60_1</t>
  </si>
  <si>
    <t>sp|Q5UPQ8|YL770_MIMIV TnpB-like protein L770 OS=Acanthamoeba polyphaga mimivirus OX=212035 GN=MIMI_L770 PE=3 SV=1</t>
  </si>
  <si>
    <t>COG0675 [FUNC="Transposase"] [shortName=InsQ] [TAG=X TAGDEF="Mobilome: prophages, transposons" PROCESS=""]  [PATHWAY=""] transposase [Microcystis aeruginosa]</t>
  </si>
  <si>
    <t>VOG00075 [FUNC="sp|P54992|YSNA_STRPR Putative RNA-guided DNA endonuclease"] [TAG=Xr TAGDEF="Virus replication"]</t>
  </si>
  <si>
    <t>Transposase n=1 Tax=Moorena sp. SIO3C2 TaxID=2607842 RepID=A0A6P0N288_9CYAN</t>
  </si>
  <si>
    <t>11.09.P1-15.886-60_16</t>
  </si>
  <si>
    <t>COG4638 [FUNC="Phenylpropionate dioxygenase or related ring-hydroxylating dioxygenase, large terminal subunit"] [shortName=HcaE] [TAG=P TAGDEF="Inorganic ion transport and metabolism" PROCESS="METABOLISM"] [TAG=R TAGDEF="General function prediction only" PROCESS="POORLY CHARACTERIZED"]  [PATHWAY=""] Hypothetical protein A7982_06071 [Minicystis rosea]</t>
  </si>
  <si>
    <t>11.09.P1-15.886-60_25</t>
  </si>
  <si>
    <t>COG1372 [FUNC="Intein/homing endonuclease"] [shortName=Hop] [TAG=L TAGDEF="Replication, recombination and repair" PROCESS="INFORMATION STORAGE AND PROCESSING"] [TAG=X TAGDEF="Mobilome: prophages, transposons" PROCESS=""]  [PATHWAY=""] DNA polymerase [Candidatus Nitrososphaera gargensis Ga9.2]</t>
  </si>
  <si>
    <t>DNA-directed DNA polymerase n=1 Tax=Heterosigma akashiwo virus 01 TaxID=97195 RepID=Q4JF81_HAV01</t>
  </si>
  <si>
    <t>11.09.P1-15.886-60_28</t>
  </si>
  <si>
    <t>11.09.P1-16.163-51_14</t>
  </si>
  <si>
    <t>11.09.P1-16.163-51_19</t>
  </si>
  <si>
    <t>11.09.P1-16.163-51_27</t>
  </si>
  <si>
    <t>Uncharacterized protein B651R n=1 Tax=Paramecium bursaria Chlorella virus NY2A TaxID=46021 RepID=A7IXH6_PBCVN</t>
  </si>
  <si>
    <t>11.09.P1-16.163-51_29</t>
  </si>
  <si>
    <t>Uncharacterized protein n=3 Tax=unclassified Chlorovirus TaxID=346674 RepID=M1HUA6_9PHYC</t>
  </si>
  <si>
    <t>11.09.P1-16.163-51_34</t>
  </si>
  <si>
    <t>Uncharacterized protein n=1 Tax=Only Syngen Nebraska virus 5 TaxID=1917232 RepID=A0A1J0F9L1_9PHYC</t>
  </si>
  <si>
    <t>11.09.P1-16.163-51_38</t>
  </si>
  <si>
    <t>11.09.P1-16.163-51_40</t>
  </si>
  <si>
    <t>COG1752 [FUNC="Predicted acylesterase/phospholipase RssA, containd patatin domain"] [shortName=RssA] [TAG=R TAGDEF="General function prediction only" PROCESS="POORLY CHARACTERIZED"]  [PATHWAY=""] hypothetical protein [Hymenobacter swuensis]</t>
  </si>
  <si>
    <t>PNPLA domain-containing protein n=1 Tax=Runella sp. SP2 TaxID=2268026 RepID=A0A3G3GS36_9BACT</t>
  </si>
  <si>
    <t>11.09.P1-16.163-51_50</t>
  </si>
  <si>
    <t>Translation initiation factor 1A n=1 Tax=Coemansia asiatica TaxID=1052880 RepID=A0A9W7XJR7_9FUNG</t>
  </si>
  <si>
    <t>11.09.P1-16.163-51_63</t>
  </si>
  <si>
    <t>COG3378 [FUNC="DNA primase, phage- or plasmid-associated"] [shortName=] [TAG=X TAGDEF="Mobilome: prophages, transposons" PROCESS=""]  [PATHWAY=""] hypothetical protein [Loktanella vestfoldensis]</t>
  </si>
  <si>
    <t>ATPase n=1 Tax=Paramecium bursaria Chlorella virus NE-JV-1 TaxID=1278261 RepID=M1I2L0_9PHYC</t>
  </si>
  <si>
    <t>11.09.P1-16.163-51_66</t>
  </si>
  <si>
    <t>SAYSvFN domain-containing protein n=2 Tax=Chlorovirus TaxID=181083 RepID=Q98459_PBCV1</t>
  </si>
  <si>
    <t>11.09.P1-16.163-51_79</t>
  </si>
  <si>
    <t>11.09.P1-16.163-51_81</t>
  </si>
  <si>
    <t>RING-type domain-containing protein n=1 Tax=Dothidotthia symphoricarpi CBS 119687 TaxID=1392245 RepID=A0A6A6A7I0_9PLEO</t>
  </si>
  <si>
    <t>11.09.P1-17.734-25_14</t>
  </si>
  <si>
    <t>11.09.P1-17.734-25_21</t>
  </si>
  <si>
    <t>Uncharacterized protein n=1 Tax=Acanthocystis turfacea Chlorella virus NE-JV-3 TaxID=1278275 RepID=M1I376_9PHYC</t>
  </si>
  <si>
    <t>11.09.P1-17.734-25_24</t>
  </si>
  <si>
    <t>Uncharacterized protein n=1 Tax=Only Syngen Nebraska virus 5 TaxID=1917232 RepID=A0A1J0F9Z4_9PHYC</t>
  </si>
  <si>
    <t>11.09.P1-17.734-25_29</t>
  </si>
  <si>
    <t>Uncharacterized protein n=1 Tax=Chlorella desiccata (nom. nud.) TaxID=1650286 RepID=A0A8T2W0N2_9CHLO</t>
  </si>
  <si>
    <t>11.09.P1-17.734-25_30</t>
  </si>
  <si>
    <t>11.09.P1-17.734-25_32</t>
  </si>
  <si>
    <t>11.09.P1-17.734-25_33</t>
  </si>
  <si>
    <t>sp|Q91F63|463L_IIV6 Probable lipid hydrolase 463L OS=Invertebrate iridescent virus 6 OX=176652 GN=IIV6-463L PE=3 SV=1</t>
  </si>
  <si>
    <t>Patatin-like phospholipase n=1 Tax=Only Syngen Nebraska virus 5 TaxID=1917232 RepID=A0A1J0F9C6_9PHYC</t>
  </si>
  <si>
    <t>11.09.P1-17.734-25_45</t>
  </si>
  <si>
    <t>sp|P38912|IF1A_YEAST Eukaryotic translation initiation factor 1A OS=Saccharomyces cerevisiae (strain ATCC 204508 / S288c) OX=559292 GN=TIF11 PE=1 SV=1</t>
  </si>
  <si>
    <t>Eukaryotic translation initiation factor 4C n=2 Tax=Wallemia ichthyophaga TaxID=245174 RepID=R9AJP5_WALI9</t>
  </si>
  <si>
    <t>11.09.P1-17.734-25_5</t>
  </si>
  <si>
    <t>Uncharacterized protein n=1 Tax=Yellowstone lake phycodnavirus 2 TaxID=1586714 RepID=A0A0P0YN92_9PHYC</t>
  </si>
  <si>
    <t>11.09.P1-17.734-25_52</t>
  </si>
  <si>
    <t>COG3378 [FUNC="DNA primase, phage- or plasmid-associated"] [shortName=] [TAG=X TAGDEF="Mobilome: prophages, transposons" PROCESS=""]  [PATHWAY=""] DNA primase [Lysinibacillus sphaericus]</t>
  </si>
  <si>
    <t>Uncharacterized protein B623L n=1 Tax=Paramecium bursaria Chlorella virus NY2A TaxID=46021 RepID=A7IXE8_PBCVN</t>
  </si>
  <si>
    <t>11.09.P1-17.734-25_53</t>
  </si>
  <si>
    <t>SAYSvFN domain-containing protein n=1 Tax=Scenedesmus sp. NREL 46B-D3 TaxID=2650976 RepID=A0A7J7PLY0_9CHLO</t>
  </si>
  <si>
    <t>11.09.P1-17.734-25_61</t>
  </si>
  <si>
    <t>sp|Q5ZJM7|DCK2_CHICK Deoxycytidine kinase 2 OS=Gallus gallus OX=9031 GN=DCK2 PE=1 SV=1</t>
  </si>
  <si>
    <t>11.09.P1-18.226-51_19</t>
  </si>
  <si>
    <t>COG3378 [FUNC="DNA primase, phage- or plasmid-associated"] [shortName=] [TAG=X TAGDEF="Mobilome: prophages, transposons" PROCESS=""]  [PATHWAY=""] bacteriophage P4 DNA primase [Shigella flexneri 2a str. 301]</t>
  </si>
  <si>
    <t>11.09.P1-18.226-51_20</t>
  </si>
  <si>
    <t>Uncharacterized protein n=1 Tax=Acanthocystis turfacea Chlorella virus NE-JV-2 TaxID=1278274 RepID=M1IDT5_9PHYC</t>
  </si>
  <si>
    <t>11.09.P1-18.226-51_30</t>
  </si>
  <si>
    <t>11.09.P1-18.226-51_39</t>
  </si>
  <si>
    <t>11.09.P1-18.226-51_47</t>
  </si>
  <si>
    <t>Uncharacterized protein n=1 Tax=Bathycoccus sp. RCC1105 virus BpV1 TaxID=880159 RepID=E5ESA4_9PHYC</t>
  </si>
  <si>
    <t>11.09.P1-18.226-51_55</t>
  </si>
  <si>
    <t>sp|Q5UQP1|YR447_MIMIV Uncharacterized protein R447 OS=Acanthamoeba polyphaga mimivirus OX=212035 GN=MIMI_R447 PE=4 SV=1</t>
  </si>
  <si>
    <t>11.09.P1-18.226-51_56</t>
  </si>
  <si>
    <t>11.09.P1-18.226-51_59</t>
  </si>
  <si>
    <t>11.09.P1-18.226-51_61</t>
  </si>
  <si>
    <t>11.09.P1-18.226-51_62</t>
  </si>
  <si>
    <t>11.09.P1-18.226-51_63</t>
  </si>
  <si>
    <t>Uncharacterized protein n=1 Tax=Chlorella vulgaris TaxID=3077 RepID=A0A9D4YY81_CHLVU</t>
  </si>
  <si>
    <t>11.09.P1-18.226-51_9</t>
  </si>
  <si>
    <t>sp|Q54YJ6|IF1A_DICDI Eukaryotic translation initiation factor 1A OS=Dictyostelium discoideum OX=44689 GN=eif1a PE=3 SV=1</t>
  </si>
  <si>
    <t>COG0361 [FUNC="Translation initiation factor IF-1"] [shortName=InfA] [TAG=J TAGDEF="Translation, ribosomal structure and biogenesis" PROCESS="INFORMATION STORAGE AND PROCESSING"]  [PATHWAY="Translation factors"] Translation initiation factor IF1A [uncultured marine group II euryarchaeote]</t>
  </si>
  <si>
    <t>11.09.P1-18.335-44_10</t>
  </si>
  <si>
    <t>11.09.P1-18.335-44_18</t>
  </si>
  <si>
    <t>11.09.P1-18.335-44_23</t>
  </si>
  <si>
    <t>sp|P52588|PDI_MAIZE Protein disulfide-isomerase OS=Zea mays OX=4577 GN=PDI PE=2 SV=1</t>
  </si>
  <si>
    <t>COG3118 [FUNC="Chaperedoxin CnoX, contains thioredoxin-like and TPR-like domains, YbbN/TrxSC family"] [shortName=CnoX] [TAG=O TAGDEF="Posttranslational modification, protein turnover, chaperones" PROCESS="CELLULAR PROCESSES AND SIGNALING"]  [PATHWAY=""] thioredoxin [Methanolinea tarda]</t>
  </si>
  <si>
    <t>11.09.P1-18.335-44_3</t>
  </si>
  <si>
    <t>11.09.P1-18.335-44_30</t>
  </si>
  <si>
    <t>11.09.P1-18.335-44_37</t>
  </si>
  <si>
    <t>11.09.P1-18.335-44_45</t>
  </si>
  <si>
    <t>11.09.P1-18.335-44_50</t>
  </si>
  <si>
    <t>11.09.P1-18.841-38_2</t>
  </si>
  <si>
    <t>sp|Q24JN5|P4H5_ARATH Prolyl 4-hydroxylase 5 OS=Arabidopsis thaliana OX=3702 GN=P4H5 PE=2 SV=1</t>
  </si>
  <si>
    <t>2OG-Fe(II) oxygenase n=1 Tax=Halobacillus locisalis TaxID=220753 RepID=A0A838CUN7_9BACI</t>
  </si>
  <si>
    <t>11.09.P1-18.841-38_32</t>
  </si>
  <si>
    <t>Uncharacterized protein B350L n=1 Tax=Paramecium bursaria Chlorella virus NY2A TaxID=46021 RepID=A7IWM5_PBCVN</t>
  </si>
  <si>
    <t>11.09.P1-18.841-38_46</t>
  </si>
  <si>
    <t>11.09.P1-18.841-38_48</t>
  </si>
  <si>
    <t>11.09.P1-18.841-38_49</t>
  </si>
  <si>
    <t>MYM-type zinc finger with FCS sequence motif n=1 Tax=Paramecium bursaria Chlorella virus NW665.2 TaxID=1278263 RepID=M1I775_9PHYC</t>
  </si>
  <si>
    <t>11.09.P1-18.841-38_52</t>
  </si>
  <si>
    <t>11.09.P1-18.841-38_56</t>
  </si>
  <si>
    <t>11.09.P1-18.841-38_9</t>
  </si>
  <si>
    <t>Helicase-like transcription factor n=1 Tax=Raphidocelis subcapitata TaxID=307507 RepID=A0A2V0P6A8_9CHLO</t>
  </si>
  <si>
    <t>11.09.P1-19.384-39_13</t>
  </si>
  <si>
    <t>11.09.P1-19.384-39_16</t>
  </si>
  <si>
    <t>Nudix hydrolase domain-containing protein n=1 Tax=Acanthocystis turfacea Chlorella virus MN0810.1 TaxID=1278272 RepID=M1HUS4_9PHYC</t>
  </si>
  <si>
    <t>11.09.P1-19.384-39_18</t>
  </si>
  <si>
    <t>Uncharacterized protein n=1 Tax=Ostreococcus lucimarinus virus OlV4 TaxID=754063 RepID=G9E4Y2_9PHYC</t>
  </si>
  <si>
    <t>11.09.P1-19.384-39_19</t>
  </si>
  <si>
    <t>sp|Q6H658|VITH1_ORYSJ Vacuolar iron transporter homolog 1 OS=Oryza sativa subsp. japonica OX=39947 GN=Os02g0644200 PE=2 SV=1</t>
  </si>
  <si>
    <t>VIT1/CCC1 transporter family protein n=1 Tax=Aquiluna borgnonia TaxID=2499157 RepID=A0A7D4PQK9_9MICO</t>
  </si>
  <si>
    <t>11.09.P1-19.384-39_2</t>
  </si>
  <si>
    <t>sp|Q9XJ38|CAO_DUNSA Chlorophyllide a oxygenase, chloroplastic OS=Dunaliella salina OX=3046 GN=CAO PE=2 SV=1</t>
  </si>
  <si>
    <t>COG4638 [FUNC="Phenylpropionate dioxygenase or related ring-hydroxylating dioxygenase, large terminal subunit"] [shortName=HcaE] [TAG=P TAGDEF="Inorganic ion transport and metabolism" PROCESS="METABOLISM"] [TAG=R TAGDEF="General function prediction only" PROCESS="POORLY CHARACTERIZED"]  [PATHWAY=""] aromatic ring-hydroxylating dioxygenase subunit alpha [Thermosipho africanus]</t>
  </si>
  <si>
    <t>Uncharacterized protein n=1 Tax=Klebsormidium nitens TaxID=105231 RepID=A0A1Y1INR2_KLENI</t>
  </si>
  <si>
    <t>11.09.P1-19.384-39_23</t>
  </si>
  <si>
    <t>11.09.P1-19.384-39_29</t>
  </si>
  <si>
    <t>Major capsid protein VP54 n=3 Tax=unclassified Chlorovirus TaxID=346674 RepID=M1H0A1_9PHYC</t>
  </si>
  <si>
    <t>11.09.P1-19.384-39_31</t>
  </si>
  <si>
    <t>11.09.P1-19.384-39_33</t>
  </si>
  <si>
    <t>11.09.P1-19.384-39_50</t>
  </si>
  <si>
    <t>Transcription elongation factor n=1 Tax=Wickerhamiella sorbophila TaxID=45607 RepID=A0A2T0FQ40_9ASCO</t>
  </si>
  <si>
    <t>11.09.P1-19.384-39_53</t>
  </si>
  <si>
    <t>DNA polymerase n=1 Tax=Acanthocystis turfacea Chlorella virus MN0810.1 TaxID=1278272 RepID=M1HZZ7_9PHYC</t>
  </si>
  <si>
    <t>11.09.P1-19.384-39_54</t>
  </si>
  <si>
    <t>11.09.P1-19.912-39_1</t>
  </si>
  <si>
    <t>Polysaccharide lyase family 14 protein n=1 Tax=Chlorella desiccata (nom. nud.) TaxID=1650286 RepID=A0A8T2HWI4_9CHLO</t>
  </si>
  <si>
    <t>11.09.P1-19.912-39_15</t>
  </si>
  <si>
    <t>11.09.P1-19.912-39_16</t>
  </si>
  <si>
    <t>sp|Q43266|PCNA_MAIZE Proliferating cell nuclear antigen OS=Zea mays OX=4577 GN=PCNA PE=2 SV=1</t>
  </si>
  <si>
    <t>Proliferating cell nuclear antigen n=1 Tax=Tetradesmus obliquus TaxID=3088 RepID=A0A383VHK5_TETOB</t>
  </si>
  <si>
    <t>11.09.P1-19.912-39_22</t>
  </si>
  <si>
    <t>VOG26579 [FUNC="REFSEQ hypothetical protein"] [TAG=Xu TAGDEF="Function unknown"]</t>
  </si>
  <si>
    <t>Uncharacterized protein n=1 Tax=Paramecium bursaria Chlorella virus CVB-1 TaxID=1278247 RepID=M1HKN3_9PHYC</t>
  </si>
  <si>
    <t>11.09.P1-19.912-39_24</t>
  </si>
  <si>
    <t>sp|P15250|HMC1B_METSH Chromosomal protein MC1b OS=Methanothrix soehngenii OX=2223 PE=1 SV=1</t>
  </si>
  <si>
    <t>Uncharacterized protein n=1 Tax=Chlorella vulgaris TaxID=3077 RepID=A0A9D4TR69_CHLVU</t>
  </si>
  <si>
    <t>11.09.P1-19.912-39_25</t>
  </si>
  <si>
    <t>sp|O41033|DUT_PBCV1 Deoxyuridine 5'-triphosphate nucleotidohydrolase OS=Paramecium bursaria Chlorella virus 1 OX=10506 GN=A551L PE=3 SV=1</t>
  </si>
  <si>
    <t>KOG3370 [FUNC="dUTPase"] [shortName=] [TAG=F TAGDEF="Nucleotide transport and metabolism" PROCESS="METABOLISM"]  [PATHWAY=""]</t>
  </si>
  <si>
    <t>Deoxyuridine 5'-triphosphate nucleotidohydrolase n=1 Tax=Pseudictyota dubia TaxID=2749911 RepID=A0A7R9WDQ0_9STRA</t>
  </si>
  <si>
    <t>11.09.P1-19.912-39_37</t>
  </si>
  <si>
    <t>sp|P49730|RIR2_TOBAC Ribonucleoside-diphosphate reductase small chain OS=Nicotiana tabacum OX=4097 PE=2 SV=1</t>
  </si>
  <si>
    <t>COG0208 [FUNC="Ribonucleotide reductase beta subunit, ferritin-like domain"] [shortName=NrdB] [TAG=F TAGDEF="Nucleotide transport and metabolism" PROCESS="METABOLISM"]  [PATHWAY="Pyrimidine salvage"] ribonucleoside-diphosphate reductase [Flavisolibacter tropicus]</t>
  </si>
  <si>
    <t>Ribonucleoside-diphosphate reductase small chain n=1 Tax=Oxyrrhis marina TaxID=2969 RepID=A0A7S3XI99_OXYMA</t>
  </si>
  <si>
    <t>11.09.P1-19.912-39_49</t>
  </si>
  <si>
    <t>mRNA guanylyltransferase n=1 Tax=Only Syngen Nebraska virus 5 TaxID=1917232 RepID=A0A1J0F992_9PHYC</t>
  </si>
  <si>
    <t>11.09.P1-19.912-39_5</t>
  </si>
  <si>
    <t>COG0571 [FUNC="dsRNA-specific ribonuclease"] [shortName=Rnc] [TAG=K TAGDEF="Transcription" PROCESS="INFORMATION STORAGE AND PROCESSING"]  [PATHWAY=""] ribonuclease III [Melioribacter roseus]</t>
  </si>
  <si>
    <t>11.09.P1-19.912-39_56</t>
  </si>
  <si>
    <t>YqaJ viral recombinase domain-containing protein n=1 Tax=Paramecium bursaria Chlorella virus NYs1 TaxID=83442 RepID=M1HH86_9PHYC</t>
  </si>
  <si>
    <t>11.09.P1-19.912-39_6</t>
  </si>
  <si>
    <t>COG2518 [FUNC="Protein-L-isoaspartate O-methyltransferase"] [shortName=Pcm] [TAG=O TAGDEF="Posttranslational modification, protein turnover, chaperones" PROCESS="CELLULAR PROCESSES AND SIGNALING"]  [PATHWAY=""] hypothetical protein [Candidatus Babela massiliensis]</t>
  </si>
  <si>
    <t>VOG26575 [FUNC="REFSEQ hypothetical protein"] [TAG=Xu TAGDEF="Function unknown"]</t>
  </si>
  <si>
    <t>Class I SAM-dependent methyltransferase n=1 Tax=Synechococcus phage S-SCSM1 TaxID=2588487 RepID=A0A6M2ZI35_9CAUD</t>
  </si>
  <si>
    <t>11.09.P1-19.912-39_68</t>
  </si>
  <si>
    <t>COG4951 [FUNC="Uncharacterized conserved protein"] [shortName=] [TAG=S TAGDEF="Function unknown" PROCESS="POORLY CHARACTERIZED"]  [PATHWAY=""] DEAD/DEAH box helicase [Verminephrobacter eiseniae]</t>
  </si>
  <si>
    <t>Type III restriction enzyme n=1 Tax=Scenedesmus sp. NREL 46B-D3 TaxID=2650976 RepID=A0A7J7PL56_9CHLO</t>
  </si>
  <si>
    <t>11.09.P1-19.928-12_10</t>
  </si>
  <si>
    <t>11.09.P1-19.928-12_112</t>
  </si>
  <si>
    <t>OTU domain-containing protein n=1 Tax=Glossina palpalis gambiensis TaxID=67801 RepID=A0A1B0B1R0_9MUSC</t>
  </si>
  <si>
    <t>11.09.P1-19.928-12_31</t>
  </si>
  <si>
    <t>sp|Q9FF61|SM3L1_ARATH Putative SWI/SNF-related matrix-associated actin-dependent regulator of chromatin subfamily A member 3-like 1 OS=Arabidopsis thaliana OX=3702 GN=At5g05130 PE=2 SV=1</t>
  </si>
  <si>
    <t>RanBP-type and C3HC4-type zinc finger-containing protein 1 n=1 Tax=Aphanomyces euteiches TaxID=100861 RepID=A0A6G0XYJ5_9STRA</t>
  </si>
  <si>
    <t>11.09.P1-19.928-12_7</t>
  </si>
  <si>
    <t>Metallopeptidase WLM n=1 Tax=Armadillidium vulgare iridescent virus TaxID=72201 RepID=A0A068QKR1_9VIRU</t>
  </si>
  <si>
    <t>11.09.P1-19.928-12_75</t>
  </si>
  <si>
    <t>DNA primase n=1 Tax=Paramecium bursaria Chlorella virus NE-JV-1 TaxID=1278261 RepID=M1ICN5_9PHYC</t>
  </si>
  <si>
    <t>11.09.P1-19.928-12_88</t>
  </si>
  <si>
    <t>Glycosyltransferase n=1 Tax=Only Syngen Nebraska virus 5 TaxID=1917232 RepID=A0A1J0F9P9_9PHYC</t>
  </si>
  <si>
    <t>11.09.P1-19.928-12_96</t>
  </si>
  <si>
    <t>Uncharacterized protein n=1 Tax=Scenedesmus sp. NREL 46B-D3 TaxID=2650976 RepID=A0A7J7PLV5_9CHLO</t>
  </si>
  <si>
    <t>11.09.P1-2.415-42_11</t>
  </si>
  <si>
    <t>Dual specificity protein phosphatase 16 / mitogen-activated protein kinase phosphatase 7 n=3 Tax=Chlorovirus TaxID=181083 RepID=M1HKX2_9PHYC</t>
  </si>
  <si>
    <t>11.09.P1-2.415-42_5</t>
  </si>
  <si>
    <t>Putative capsid protein n=1 Tax=Chlorella virus TaxID=10507 RepID=O90312_9PHYC</t>
  </si>
  <si>
    <t>11.09.P1-2.422-48_5</t>
  </si>
  <si>
    <t>Glycosyl transferase n=1 Tax=Paramecium bursaria Chlorella virus NE-JV-1 TaxID=1278261 RepID=M1I1N9_9PHYC</t>
  </si>
  <si>
    <t>11.09.P1-2.422-48_8</t>
  </si>
  <si>
    <t>sp|O74842|FFT2_SCHPO ATP-dependent helicase fft2 OS=Schizosaccharomyces pombe (strain 972 / ATCC 24843) OX=284812 GN=fft2 PE=1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</si>
  <si>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[Archangium gephyra]</t>
  </si>
  <si>
    <t>Helicase HelZ n=1 Tax=Mangrovihabitans endophyticus TaxID=1751298 RepID=A0A8J3FNG5_9ACTN</t>
  </si>
  <si>
    <t>11.09.P1-2.435-4.9_12</t>
  </si>
  <si>
    <t>YqaJ viral recombinase domain-containing protein n=1 Tax=Yellowstone lake phycodnavirus 3 TaxID=1586715 RepID=A0A0P0YPC9_9PHYC</t>
  </si>
  <si>
    <t>11.09.P1-2.443-3.8_3</t>
  </si>
  <si>
    <t>YgaJ-like virus recombinase n=1 Tax=Only Syngen Nebraska virus 5 TaxID=1917232 RepID=A0A1J0F9C0_9PHYC</t>
  </si>
  <si>
    <t>11.09.P1-2.443-3.8_6</t>
  </si>
  <si>
    <t>11.09.P1-2.446-47_1</t>
  </si>
  <si>
    <t>Uncharacterized protein n=1 Tax=Paramecium bursaria Chlorella virus 1 TaxID=10506 RepID=Q84671_PBCV1</t>
  </si>
  <si>
    <t>11.09.P1-2.446-47_2</t>
  </si>
  <si>
    <t>11.09.P1-2.446-47_3</t>
  </si>
  <si>
    <t>11.09.P1-2.458-40_3</t>
  </si>
  <si>
    <t>Glycosyl transferase n=2 Tax=unclassified Chlorovirus TaxID=346674 RepID=M1HZS0_9PHYC</t>
  </si>
  <si>
    <t>11.09.P1-2.462-42_5</t>
  </si>
  <si>
    <t>COG1752 [FUNC="Predicted acylesterase/phospholipase RssA, containd patatin domain"] [shortName=RssA] [TAG=R TAGDEF="General function prediction only" PROCESS="POORLY CHARACTERIZED"]  [PATHWAY=""] patatin [Lacimicrobium alkaliphilum]</t>
  </si>
  <si>
    <t>Lipid hydrolase n=1 Tax=Acanthocystis turfacea Chlorella virus NTS-1 TaxID=1278276 RepID=M1HF13_9PHYC</t>
  </si>
  <si>
    <t>11.09.P1-2.462-42_6</t>
  </si>
  <si>
    <t>11.09.P1-2.466-14_5</t>
  </si>
  <si>
    <t>SprT-like domain-containing protein n=1 Tax=Acanthocystis turfacea Chlorella virus NE-JV-2 TaxID=1278274 RepID=M1I2I7_9PHYC</t>
  </si>
  <si>
    <t>11.09.P1-2.477-17_3</t>
  </si>
  <si>
    <t>COG2849 [FUNC="Antitoxin component YwqK of the YwqJK toxin-antitoxin module"] [shortName=YwqK] [TAG=V TAGDEF="Defense mechanisms" PROCESS="CELLULAR PROCESSES AND SIGNALING"]  [PATHWAY=""] BspA family leucine-rich repeat surface protein [Siansivirga zeaxanthinifaciens]</t>
  </si>
  <si>
    <t>VOG00648 [FUNC="REFSEQ hypothetical protein"] [TAG=Xu TAGDEF="Function unknown"]</t>
  </si>
  <si>
    <t>BspA family leucine-rich repeat surface protein n=1 Tax=Nitratiruptor sp. YY08-13 TaxID=2724898 RepID=A0A7R6V9Q9_9BACT</t>
  </si>
  <si>
    <t>11.09.P1-2.477-17_8</t>
  </si>
  <si>
    <t>VOG35180 [FUNC="REFSEQ FirrV-1-A47 precursor"] [TAG=Xu TAGDEF="Function unknown"]</t>
  </si>
  <si>
    <t>Uncharacterized protein n=1 Tax=Tribonema minus TaxID=303371 RepID=A0A835YIY3_9STRA</t>
  </si>
  <si>
    <t>11.09.P1-2.537-6.3_1</t>
  </si>
  <si>
    <t>11.09.P1-2.539-49_2</t>
  </si>
  <si>
    <t>11.09.P1-2.539-49_3</t>
  </si>
  <si>
    <t>sp|Q9CQ43|DUT_MOUSE Deoxyuridine 5'-triphosphate nucleotidohydrolase OS=Mus musculus OX=10090 GN=Dut PE=1 SV=1</t>
  </si>
  <si>
    <t>dUTP diphosphatase n=1 Tax=Yellowstone lake phycodnavirus 1 TaxID=1586713 RepID=A0A0P0YM27_9PHYC</t>
  </si>
  <si>
    <t>11.09.P1-2.539-49_5</t>
  </si>
  <si>
    <t>11.09.P1-2.576-30_2</t>
  </si>
  <si>
    <t>11.09.P1-2.601-30_11</t>
  </si>
  <si>
    <t>DNA polymerase n=1 Tax=Paramecium bursaria Chlorella virus AN69C TaxID=240269 RepID=M1H9R3_9PHYC</t>
  </si>
  <si>
    <t>11.09.P1-2.601-30_4</t>
  </si>
  <si>
    <t>Endonuclease n=1 Tax=Pithovirus LCPAC304 TaxID=2506594 RepID=A0A481Z7X3_9VIRU</t>
  </si>
  <si>
    <t>11.09.P1-2.601-30_6</t>
  </si>
  <si>
    <t>LysM domain-containing protein n=1 Tax=Bathycoccus sp. RCC716 virus 3 TaxID=2530040 RepID=A0A7S6NZ56_9PHYC</t>
  </si>
  <si>
    <t>11.09.P1-2.601-30_8</t>
  </si>
  <si>
    <t>sp|Q29RL9|TCEA1_BOVIN Transcription elongation factor A protein 1 OS=Bos taurus OX=9913 GN=TCEA1 PE=2 SV=1</t>
  </si>
  <si>
    <t>Transcription elongation factor S-II, central domain n=2 Tax=Ostreococcus tauri TaxID=70448 RepID=A0A090M994_OSTTA</t>
  </si>
  <si>
    <t>11.09.P1-2.602-14_2</t>
  </si>
  <si>
    <t>sp|Q6GZQ2|073L_FRG3G Uncharacterized protein 073L OS=Frog virus 3 (isolate Goorha) OX=654924 GN=FV3-073L PE=4 SV=1</t>
  </si>
  <si>
    <t>VOG00525 [FUNC="sp|Q6GZQ2|073L_FRG3G Uncharacterized protein 073L"] [TAG=Xu TAGDEF="Function unknown"]</t>
  </si>
  <si>
    <t>E3 ubiquitin-protein ligase n=1 Tax=Pithovirus LCPAC104 TaxID=2506589 RepID=A0A481Z602_9VIRU</t>
  </si>
  <si>
    <t>11.09.P1-2.602-14_4</t>
  </si>
  <si>
    <t>11.09.P1-2.623-8.3_2</t>
  </si>
  <si>
    <t>COG3063 [FUNC="Type IV pilus assembly protein PilF/PilW"] [shortName=PilF] [TAG=N TAGDEF="Cell motility" PROCESS="CELLULAR PROCESSES AND SIGNALING"] [TAG=W TAGDEF="Extracellular structures" PROCESS="CELLULAR PROCESSES AND SIGNALING"]  [PATHWAY=""] tetratricopeptide repeat protein [Pararhodospirillum photometricum]</t>
  </si>
  <si>
    <t>Tetratricopeptide (TPR) repeat n=1 Tax=Bradyrhizobium sp. OK095 TaxID=1882760 RepID=A0A1H8C2R2_9BRAD</t>
  </si>
  <si>
    <t>11.09.P1-2.623-8.3_3</t>
  </si>
  <si>
    <t>sp|P20376|SSDNA_BPT5 Probable ssDNA-binding protein OS=Escherichia phage T5 OX=2695836 GN=D11 PE=2 SV=1</t>
  </si>
  <si>
    <t>VOG37441 [FUNC="sp|P20376|SSDNA_BPT5 Probable ssDNA-binding protein"] [TAG=Xh TAGDEF="Virus protein with function beneficial for the host"]</t>
  </si>
  <si>
    <t>SsDNA-binding protein n=1 Tax=Salmonella phage GSP001 TaxID=2962598 RepID=A0A9E7TH75_9CAUD</t>
  </si>
  <si>
    <t>11.09.P1-2.623-8.3_4</t>
  </si>
  <si>
    <t>Glycosyltransferase 2-like domain-containing protein n=1 Tax=Micromonas pusilla virus 12T TaxID=755272 RepID=M4QMN4_9PHYC</t>
  </si>
  <si>
    <t>11.09.P1-2.638-4.1_10</t>
  </si>
  <si>
    <t>sp|Q97IC2|PKN2_CLOAB Probable serine/threonine-protein kinase CA_C1728 OS=Clostridium acetobutylicum (strain ATCC 824 / DSM 792 / JCM 1419 / LMG 5710 / VKM B-1787) OX=272562 GN=CA_C1728 PE=3 SV=1</t>
  </si>
  <si>
    <t>COG2815 [FUNC="PASTA domain, binds beta-lactams"] [shortName=PASTA] [TAG=M TAGDEF="Cell wall/membrane/envelope biogenesis" PROCESS="CELLULAR PROCESSES AND SIGNALING"]  [PATHWAY=""] serine/threonine protein kinase [Ammonifex degensii]</t>
  </si>
  <si>
    <t>PBCV-specific basic adaptor domain-containing protein n=1 Tax=Paramecium bursaria Chlorella virus NE-JV-4 TaxID=1278262 RepID=M1HDL8_9PHYC</t>
  </si>
  <si>
    <t>11.09.P1-2.638-4.1_7</t>
  </si>
  <si>
    <t>VIT family protein n=2 Tax=Cellulomonas fimi TaxID=1708 RepID=F4H6P9_CELFA</t>
  </si>
  <si>
    <t>11.09.P1-2.652-4.7_4</t>
  </si>
  <si>
    <t>Uncharacterized protein n=3 Tax=Prasinovirus TaxID=181084 RepID=A0A0P0CP52_9PHYC</t>
  </si>
  <si>
    <t>11.09.P1-2.671-19_3</t>
  </si>
  <si>
    <t>11.09.P1-2.688-37_1</t>
  </si>
  <si>
    <t>Sulfhydryl oxidase n=1 Tax=Tupanvirus soda lake TaxID=2126985 RepID=A0A6N1NX95_9VIRU</t>
  </si>
  <si>
    <t>11.09.P1-2.688-37_4</t>
  </si>
  <si>
    <t>DEXDc helicase n=1 Tax=Yasminevirus sp. GU-2018 TaxID=2420051 RepID=A0A5K0UA18_9VIRU</t>
  </si>
  <si>
    <t>11.09.P1-2.704-4.9_1</t>
  </si>
  <si>
    <t>COG3210 [FUNC="Large exoprotein involved in heme utilization or adhesion"] [shortName=FhaB] [TAG=U TAGDEF="Intracellular trafficking, secretion, and vesicular transport" PROCESS="CELLULAR PROCESSES AND SIGNALING"]  [PATHWAY=""] filamentous hemagglutinin N-terminal domain-containing protein [Sphingosinicella microcystinivorans]</t>
  </si>
  <si>
    <t>VOG03638 [FUNC="REFSEQ FG-GAP repeat protein"] [TAG=Xu TAGDEF="Function unknown"]</t>
  </si>
  <si>
    <t>LamG-like jellyroll fold domain-containing protein n=1 Tax=Symploca sp. SIO2E9 TaxID=2607812 RepID=A0A6B3LTU3_9CYAN</t>
  </si>
  <si>
    <t>11.09.P1-2.704-4.9_3</t>
  </si>
  <si>
    <t>Peptidase A1 domain-containing protein n=1 Tax=Acanthocystis turfacea Chlorella virus OR0704.3 TaxID=1278277 RepID=M1I5R7_9PHYC</t>
  </si>
  <si>
    <t>11.09.P1-2.704-4.9_5</t>
  </si>
  <si>
    <t>Uncharacterized protein n=1 Tax=Lutibacter oricola TaxID=762486 RepID=A0A1H3CC33_9FLAO</t>
  </si>
  <si>
    <t>11.09.P1-2.708-34_1</t>
  </si>
  <si>
    <t>Uncharacterized protein n=1 Tax=Yellowstone lake phycodnavirus 1 TaxID=1586713 RepID=A0A0P0YMC8_9PHYC</t>
  </si>
  <si>
    <t>11.09.P1-2.708-34_2</t>
  </si>
  <si>
    <t>Putative phage tail fiber protein n=1 Tax=Celeribacter phage P12053L TaxID=1197951 RepID=I6S6K3_9CAUD</t>
  </si>
  <si>
    <t>11.09.P1-2.728-5.2_2</t>
  </si>
  <si>
    <t>sp|Q6IVY4|SSH_XENLA Protein phosphatase Slingshot homolog OS=Xenopus laevis OX=8355 GN=ssh PE=1 SV=2</t>
  </si>
  <si>
    <t>KOG1718 [FUNC="Dual specificity phosphatase"] [shortName=] [TAG=V TAGDEF="Defense mechanisms" PROCESS="CELLULAR PROCESSES AND SIGNALING"]  [PATHWAY=""]</t>
  </si>
  <si>
    <t>Dual specificity protein phosphatase 16 / mitogen-activated protein kinase phosphatase 7 n=3 Tax=Chlorovirus TaxID=181083 RepID=M1HDC4_9PHYC</t>
  </si>
  <si>
    <t>11.09.P1-2.728-5.2_4</t>
  </si>
  <si>
    <t>Uncharacterized protein C741L n=5 Tax=Chlorovirus TaxID=181083 RepID=A7RCJ4_PBCVA</t>
  </si>
  <si>
    <t>11.09.P1-2.740-53_7</t>
  </si>
  <si>
    <t>COG3378 [FUNC="DNA primase, phage- or plasmid-associated"] [shortName=] [TAG=X TAGDEF="Mobilome: prophages, transposons" PROCESS=""]  [PATHWAY=""] primase [Ruminiclostridium thermocellum]</t>
  </si>
  <si>
    <t>11.09.P1-2.740-53_9</t>
  </si>
  <si>
    <t>Uncharacterized protein B559L n=1 Tax=Paramecium bursaria Chlorella virus NY2A TaxID=46021 RepID=A7IX84_PBCVN</t>
  </si>
  <si>
    <t>11.09.P1-2.752-50_1</t>
  </si>
  <si>
    <t>COG3854 [FUNC="Stage III sporulation protein SpoIIIAA"] [shortName=SpoIIIAA] [TAG=D TAGDEF="Cell cycle control, cell division, chromosome partitioning" PROCESS="CELLULAR PROCESSES AND SIGNALING"]  [PATHWAY=""] single-stranded DNA-binding protein [Syntrophobacter fumaroxidans]</t>
  </si>
  <si>
    <t>Single-stranded nucleic acid binding R3H domain protein n=1 Tax=Zostera marina TaxID=29655 RepID=A0A0K9P5D4_ZOSMR</t>
  </si>
  <si>
    <t>11.09.P1-2.752-50_5</t>
  </si>
  <si>
    <t>TspO and MBR related proteins n=1 Tax=Gemmobacter megaterium TaxID=1086013 RepID=A0A1N7PQK6_9RHOB</t>
  </si>
  <si>
    <t>11.09.P1-2.752-50_7</t>
  </si>
  <si>
    <t>11.09.P1-2.778-5.3_1</t>
  </si>
  <si>
    <t>sp|P50650|RIR2_PLAF4 Ribonucleoside-diphosphate reductase small chain OS=Plasmodium falciparum (isolate Dd2) OX=57267 GN=RNR2 PE=2 SV=1</t>
  </si>
  <si>
    <t>COG0208 [FUNC="Ribonucleotide reductase beta subunit, ferritin-like domain"] [shortName=NrdB] [TAG=F TAGDEF="Nucleotide transport and metabolism" PROCESS="METABOLISM"]  [PATHWAY="Pyrimidine salvage"] ribonucleoside-diphosphate reductase [Hymenobacter swuensis]</t>
  </si>
  <si>
    <t>ribonucleoside-diphosphate reductase n=1 Tax=Paramecium bursaria Chlorella virus AR158 TaxID=380598 RepID=A7RC32_PBCVA</t>
  </si>
  <si>
    <t>11.09.P1-2.778-5.3_4</t>
  </si>
  <si>
    <t>sp|Q10FF9|DUT_ORYSJ Deoxyuridine 5'-triphosphate nucleotidohydrolase OS=Oryza sativa subsp. japonica OX=39947 GN=DUT PE=3 SV=1</t>
  </si>
  <si>
    <t>Deoxyuridine 5'-triphosphate nucleotidohydrolase n=1 Tax=Hypsibius exemplaris TaxID=2072580 RepID=A0A1W0WIB0_HYPEX</t>
  </si>
  <si>
    <t>11.09.P1-2.810-41_2</t>
  </si>
  <si>
    <t>11.09.P1-2.810-41_6</t>
  </si>
  <si>
    <t>11.09.P1-2.845-37_1</t>
  </si>
  <si>
    <t>11.09.P1-2.845-37_2</t>
  </si>
  <si>
    <t>sp|Q58015|MTM3_METJA Type II methyltransferase M.MjaIII OS=Methanocaldococcus jannaschii (strain ATCC 43067 / DSM 2661 / JAL-1 / JCM 10045 / NBRC 100440) OX=243232 GN=mjaIIIM PE=3 SV=1</t>
  </si>
  <si>
    <t>COG0338 [FUNC="DNA-adenine methylase"] [shortName=Dam] [TAG=L TAGDEF="Replication, recombination and repair" PROCESS="INFORMATION STORAGE AND PROCESSING"]  [PATHWAY=""] DNA adenine methylase [Bathymodiolus thermophilus thioautotrophic gill symbiont]</t>
  </si>
  <si>
    <t>site-specific DNA-methyltransferase (adenine-specific) n=1 Tax=Yellowstone lake mimivirus TaxID=1586712 RepID=A0A0P0YLZ5_9VIRU</t>
  </si>
  <si>
    <t>11.09.P1-2.872-17_4</t>
  </si>
  <si>
    <t>sp|Q5UQW4|YL373_MIMIV Uncharacterized glycosyltransferase L373 OS=Acanthamoeba polyphaga mimivirus OX=212035 GN=MIMI_L373 PE=3 SV=1</t>
  </si>
  <si>
    <t>COG3774 [FUNC="Mannosyltransferase OCH1 or related enzyme"] [shortName=OCH1] [TAG=M TAGDEF="Cell wall/membrane/envelope biogenesis" PROCESS="CELLULAR PROCESSES AND SIGNALING"]  [PATHWAY=""] hypothetical protein [Candidatus Fukatsuia symbiotica]</t>
  </si>
  <si>
    <t>Putative glycosyltransferase sugar-binding protein containing DXd motif n=1 Tax=Fadolivirus 1 TaxID=2740746 RepID=A0A7D3QVW7_9VIRU</t>
  </si>
  <si>
    <t>11.09.P1-2.878-2.1_2</t>
  </si>
  <si>
    <t>Nudix hydrolase domain-containing protein n=3 Tax=unclassified Chlorovirus TaxID=346674 RepID=M1H3P8_9PHYC</t>
  </si>
  <si>
    <t>11.09.P1-2.878-2.1_6</t>
  </si>
  <si>
    <t>Uncharacterized protein n=2 Tax=unclassified Prasinovirus TaxID=880158 RepID=A0A0P0CLZ1_9PHYC</t>
  </si>
  <si>
    <t>11.09.P1-2.904-12_2</t>
  </si>
  <si>
    <t>Thioredoxin n=1 Tax=Acanthocystis turfacea Chlorella virus Canal-1 TaxID=1278270 RepID=M1HV54_9PHYC</t>
  </si>
  <si>
    <t>11.09.P1-2.904-12_3</t>
  </si>
  <si>
    <t>Putative DNA polymerase sliding clamp 1 n=1 Tax=Dishui Lake large algae virus 1 TaxID=2704073 RepID=A0A6G6XQ95_9VIRU</t>
  </si>
  <si>
    <t>11.09.P1-2.908-3.9_2</t>
  </si>
  <si>
    <t>sp|Q8IYT2|CMTR2_HUMAN Cap-specific mRNA (nucleoside-2'-O-)-methyltransferase 2 OS=Homo sapiens OX=9606 GN=CMTR2 PE=1 SV=2</t>
  </si>
  <si>
    <t>KOG3674 [FUNC="FtsJ-like RNA methyltransferase"] [shortName=] [TAG=A TAGDEF="RNA processing and modification" PROCESS="INFORMATION STORAGE AND PROCESSING"]  [PATHWAY=""]</t>
  </si>
  <si>
    <t>11.09.P1-2.933-23_1</t>
  </si>
  <si>
    <t>11.09.P1-2.933-23_2</t>
  </si>
  <si>
    <t>Major capsid protein VP54 n=1 Tax=Acanthocystis turfacea Chlorella virus MN0810.1 TaxID=1278272 RepID=M1H9Q7_9PHYC</t>
  </si>
  <si>
    <t>11.09.P1-2.933-23_7</t>
  </si>
  <si>
    <t>11.09.P1-2.982-52_11</t>
  </si>
  <si>
    <t>11.09.P1-25.824-42_100</t>
  </si>
  <si>
    <t>11.09.P1-25.824-42_19</t>
  </si>
  <si>
    <t>Mitochondrial resolvase Ydc2 catalytic domain-containing protein n=1 Tax=Dishui lake phycodnavirus 1 TaxID=2079134 RepID=A0A2N9QVU0_9PHYC</t>
  </si>
  <si>
    <t>11.09.P1-25.824-42_32</t>
  </si>
  <si>
    <t>11.09.P1-25.824-42_38</t>
  </si>
  <si>
    <t>11.09.P1-25.824-42_49</t>
  </si>
  <si>
    <t>Uncharacterized protein n=2 Tax=unclassified Prasinovirus TaxID=880158 RepID=A0A0P0BY63_9PHYC</t>
  </si>
  <si>
    <t>11.09.P1-25.824-42_60</t>
  </si>
  <si>
    <t>ATPase n=3 Tax=unclassified Chlorovirus TaxID=346674 RepID=M1HZ50_9PHYC</t>
  </si>
  <si>
    <t>11.09.P1-25.824-42_64</t>
  </si>
  <si>
    <t>Uncharacterized protein n=2 Tax=unclassified Chlorovirus TaxID=346674 RepID=M1I9G5_9PHYC</t>
  </si>
  <si>
    <t>11.09.P1-25.824-42_69</t>
  </si>
  <si>
    <t>11.09.P1-25.824-42_80</t>
  </si>
  <si>
    <t>WLM domain-containing protein n=1 Tax=Klebsormidium nitens TaxID=105231 RepID=A0A1Y1IJS5_KLENI</t>
  </si>
  <si>
    <t>11.09.P1-25.824-42_83</t>
  </si>
  <si>
    <t>11.09.P1-25.824-42_95</t>
  </si>
  <si>
    <t>11.09.P1-25.824-42_97</t>
  </si>
  <si>
    <t>11.09.P1-25.824-42_99</t>
  </si>
  <si>
    <t>MYM-type zinc finger with FCS sequence motif n=1 Tax=Acanthocystis turfacea Chlorella virus Br0604L TaxID=1278268 RepID=M1GVS0_9PHYC</t>
  </si>
  <si>
    <t>11.09.P1-3.007-47_1</t>
  </si>
  <si>
    <t>Uncharacterized protein n=1 Tax=Tupanvirus deep ocean TaxID=2126984 RepID=A0A6N1NFB2_9VIRU</t>
  </si>
  <si>
    <t>11.09.P1-3.069-12_2</t>
  </si>
  <si>
    <t>DNA-directed DNA polymerase n=1 Tax=Dishui Lake phycodnavirus 4 TaxID=2704072 RepID=A0A6G6XPT9_9PHYC</t>
  </si>
  <si>
    <t>11.09.P1-3.086-49_8</t>
  </si>
  <si>
    <t>11.09.P1-3.138-43_7</t>
  </si>
  <si>
    <t>sp|Q5UQL1|YR409_MIMIV Uncharacterized protein R409 OS=Acanthamoeba polyphaga mimivirus OX=212035 GN=MIMI_R409 PE=4 SV=1</t>
  </si>
  <si>
    <t>Uncharacterized protein n=5 Tax=Mimivirus TaxID=315393 RepID=A0A2L2DMC2_MIMIV</t>
  </si>
  <si>
    <t>11.09.P1-3.165-25_1</t>
  </si>
  <si>
    <t>sp|Q61024|ASNS_MOUSE Asparagine synthetase [glutamine-hydrolyzing] OS=Mus musculus OX=10090 GN=Asns PE=1 SV=3</t>
  </si>
  <si>
    <t>11.09.P1-3.168-2.3_7</t>
  </si>
  <si>
    <t>Major capsid protein VP54 n=1 Tax=Paramecium bursaria Chlorella virus NE-JV-1 TaxID=1278261 RepID=M1ICM3_9PHYC</t>
  </si>
  <si>
    <t>11.09.P1-3.168-2.3_8</t>
  </si>
  <si>
    <t>Uncharacterized protein n=1 Tax=Cladocopium goreaui TaxID=2562237 RepID=A0A9P1DEJ6_9DINO</t>
  </si>
  <si>
    <t>11.09.P1-3.211-24_1</t>
  </si>
  <si>
    <t>VOG00917 [FUNC="sp|O10332|Y079_NPVOP UPF0213 protein ORF82"] [TAG=Xu TAGDEF="Function unknown"]</t>
  </si>
  <si>
    <t>Uncharacterized protein n=1 Tax=Rotaria sordida TaxID=392033 RepID=A0A814D288_9BILA</t>
  </si>
  <si>
    <t>11.09.P1-3.211-24_3</t>
  </si>
  <si>
    <t>sp|Q2P644|Y1228_XANOM UPF0213 protein XOO1228 OS=Xanthomonas oryzae pv. oryzae (strain MAFF 311018) OX=342109 GN=XOO1228 PE=3 SV=1</t>
  </si>
  <si>
    <t>COG2827 [FUNC="Predicted endonuclease, GIY-YIG superfamily"] [shortName=YhbQ] [TAG=L TAGDEF="Replication, recombination and repair" PROCESS="INFORMATION STORAGE AND PROCESSING"]  [PATHWAY=""] GIY-YIG nuclease family protein [Iodobacter sp. H11R3]</t>
  </si>
  <si>
    <t>GIY-YIG nuclease n=1 Tax=Catovirus CTV1 TaxID=1977631 RepID=A0A1V0SA94_9VIRU</t>
  </si>
  <si>
    <t>11.09.P1-3.211-24_4</t>
  </si>
  <si>
    <t>sp|Q9KGL3|Y048_HALH5 UPF0213 protein BH0048 OS=Halalkalibacterium halodurans (strain ATCC BAA-125 / DSM 18197 / FERM 7344 / JCM 9153 / C-125) OX=272558 GN=BH0048 PE=1 SV=1</t>
  </si>
  <si>
    <t>COG2827 [FUNC="Predicted endonuclease, GIY-YIG superfamily"] [shortName=YhbQ] [TAG=L TAGDEF="Replication, recombination and repair" PROCESS="INFORMATION STORAGE AND PROCESSING"]  [PATHWAY=""] GIY-YIG nuclease family protein [Echinicola vietnamensis]</t>
  </si>
  <si>
    <t>CCHC-type domain-containing protein (Fragment) n=1 Tax=Phytophthora parasitica (strain INRA-310) TaxID=761204 RepID=W2QEQ1_PHYPN</t>
  </si>
  <si>
    <t>11.09.P1-3.222-2.9_1</t>
  </si>
  <si>
    <t>Capsid protein n=1 Tax=Bodo saltans virus TaxID=2024608 RepID=A0A2H4UUF1_9VIRU</t>
  </si>
  <si>
    <t>11.09.P1-3.222-2.9_2</t>
  </si>
  <si>
    <t>Uncharacterized protein n=3 Tax=Chlorovirus TaxID=181083 RepID=M1HLN1_9PHYC</t>
  </si>
  <si>
    <t>11.09.P1-3.222-2.9_4</t>
  </si>
  <si>
    <t>Lipid hydrolase n=1 Tax=Paramecium bursaria Chlorella virus NE-JV-1 TaxID=1278261 RepID=M1ICD6_9PHYC</t>
  </si>
  <si>
    <t>11.09.P1-3.222-2.9_6</t>
  </si>
  <si>
    <t>Uncharacterized protein n=2 Tax=Chlorovirus TaxID=181083 RepID=M1HVT3_9PHYC</t>
  </si>
  <si>
    <t>11.09.P1-3.231-3.2_1</t>
  </si>
  <si>
    <t>Uncharacterized protein n=1 Tax=Roseobacter phage CRP-6 TaxID=2559285 RepID=A0A646QWJ3_9CAUD</t>
  </si>
  <si>
    <t>11.09.P1-3.231-3.2_2</t>
  </si>
  <si>
    <t>Uncharacterized protein n=1 Tax=Bradyrhizobium sp. CCBAU 51753 TaxID=1325100 RepID=A0A7S7QR23_9BRAD</t>
  </si>
  <si>
    <t>11.09.P1-3.231-3.2_3</t>
  </si>
  <si>
    <t>Uncharacterized protein z839R n=1 Tax=Acanthocystis turfacea chlorella virus 1 TaxID=322019 RepID=A7KA99_9PHYC</t>
  </si>
  <si>
    <t>11.09.P1-3.231-3.2_4</t>
  </si>
  <si>
    <t>Uncharacterized protein z841R n=1 Tax=Acanthocystis turfacea chlorella virus 1 TaxID=322019 RepID=A7KAA1_9PHYC</t>
  </si>
  <si>
    <t>11.09.P1-3.231-3.2_5</t>
  </si>
  <si>
    <t>sp|A6Q367|RTPR_NITSB Probable adenosylcobalamin-dependent ribonucleoside-triphosphate reductase OS=Nitratiruptor sp. (strain SB155-2) OX=387092 GN=rtpR PE=3 SV=1</t>
  </si>
  <si>
    <t>COG1328 [FUNC="Anaerobic ribonucleoside-triphosphate reductase"] [shortName=NrdD] [TAG=F TAGDEF="Nucleotide transport and metabolism" PROCESS="METABOLISM"]  [PATHWAY="Thymidylate biosynthesis"] oxygen-sensitive ribonucleoside-triphosphate reductase, ribonucleoside-diphosphate reductase alpha chain [Candidatus Campbellbacteria bacterium GW2011_OD1_34_28]</t>
  </si>
  <si>
    <t>Adenosylcobalamin-dependent ribonucleoside-triphosphate reductase n=1 Tax=Roseobacter phage CRP-2 TaxID=2559281 RepID=A0A646QVR8_9CAUD</t>
  </si>
  <si>
    <t>11.09.P1-3.253-50_6</t>
  </si>
  <si>
    <t>DNA polymerase n=1 Tax=Paramecium bursaria Chlorella virus NE-JV-1 TaxID=1278261 RepID=M1I119_9PHYC</t>
  </si>
  <si>
    <t>11.09.P1-3.253-50_8</t>
  </si>
  <si>
    <t>11.09.P1-3.277-8.7_7</t>
  </si>
  <si>
    <t>Putative poxvirus late transcription factor VLTF3-like protein n=1 Tax=Ostreococcus tauri virus OtV5 TaxID=1785753 RepID=A9YW15_9PHYC</t>
  </si>
  <si>
    <t>11.09.P1-3.290-10_3</t>
  </si>
  <si>
    <t>sp|Q6NN85|SSH_DROME Protein phosphatase Slingshot OS=Drosophila melanogaster OX=7227 GN=ssh PE=1 SV=2</t>
  </si>
  <si>
    <t>Dual specificity protein phosphatase 16 / mitogen-activated protein kinase phosphatase 7 n=1 Tax=Acanthocystis turfacea Chlorella virus TN603.4.2 TaxID=1278278 RepID=M1IMF6_9PHYC</t>
  </si>
  <si>
    <t>11.09.P1-3.290-10_6</t>
  </si>
  <si>
    <t>Major capsid protein VP54 n=1 Tax=Paramecium bursaria Chlorella virus CviKI TaxID=1278253 RepID=M1HIJ1_9PHYC</t>
  </si>
  <si>
    <t>11.09.P1-3.318-37_1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</si>
  <si>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[Haliangium ochraceum]</t>
  </si>
  <si>
    <t>ATP-dependent RNA helicase n=1 Tax=Paramecium bursaria Chlorella virus OR0704.2.2 TaxID=1278265 RepID=M1IKH0_9PHYC</t>
  </si>
  <si>
    <t>11.09.P1-3.318-37_4</t>
  </si>
  <si>
    <t>Uncharacterized protein n=1 Tax=Tetraselmis virus 1 TaxID=2060617 RepID=A0A2P0VN66_9PHYC</t>
  </si>
  <si>
    <t>11.09.P1-3.328-16_3</t>
  </si>
  <si>
    <t>Uncharacterized protein n=1 Tax=Bathycoccus sp. RCC1105 virus BpV1 TaxID=880159 RepID=E5ES69_9PHYC</t>
  </si>
  <si>
    <t>11.09.P1-3.328-16_8</t>
  </si>
  <si>
    <t>sp|Q505D1|ANR28_MOUSE Serine/threonine-protein phosphatase 6 regulatory ankyrin repeat subunit A OS=Mus musculus OX=10090 GN=Ankrd28 PE=1 SV=1</t>
  </si>
  <si>
    <t>COG5750 [FUNC="Chlorophyll biosynthesis regulator GUN4/Ycf53 domain"] [shortName=Ycf53] [TAG=T TAGDEF="Signal transduction mechanisms" PROCESS="CELLULAR PROCESSES AND SIGNALING"]  [PATHWAY=""] MULTISPECIES: hypothetical protein [Nostocaceae]</t>
  </si>
  <si>
    <t>Uncharacterized protein (Fragment) n=1 Tax=Prasinoderma coloniale TaxID=156133 RepID=A0A7R9TJ78_9VIRI</t>
  </si>
  <si>
    <t>11.09.P1-3.330-39_4</t>
  </si>
  <si>
    <t>GNAT family acetyltransferase n=1 Tax=Pseudomonas syringae pv. cilantro TaxID=81035 RepID=A0A0N0XE65_PSESX</t>
  </si>
  <si>
    <t>11.09.P1-3.330-39_6</t>
  </si>
  <si>
    <t>COG4951 [FUNC="Uncharacterized conserved protein"] [shortName=] [TAG=S TAGDEF="Function unknown" PROCESS="POORLY CHARACTERIZED"]  [PATHWAY=""] DNA helicase [Methylophaga nitratireducenticrescens]</t>
  </si>
  <si>
    <t>ATP-dependent RNA helicase n=1 Tax=Paramecium bursaria Chlorella virus AP110A TaxID=1278246 RepID=M1HAP3_9PHYC</t>
  </si>
  <si>
    <t>11.09.P1-3.340-13_5</t>
  </si>
  <si>
    <t>sp|Q0IID7|DUS10_BOVIN Dual specificity protein phosphatase 10 OS=Bos taurus OX=9913 GN=DUSP10 PE=2 SV=1</t>
  </si>
  <si>
    <t>Protein-tyrosine-phosphatase n=1 Tax=Rhodotorula mucilaginosa TaxID=5537 RepID=A0A9P6W1M1_RHOMI</t>
  </si>
  <si>
    <t>11.09.P1-3.340-13_6</t>
  </si>
  <si>
    <t>Dual specificity protein phosphatase 16 / mitogen-activated protein kinase phosphatase 7 n=1 Tax=Acanthocystis turfacea Chlorella virus NTS-1 TaxID=1278276 RepID=M1I5U7_9PHYC</t>
  </si>
  <si>
    <t>11.09.P1-3.340-13_9</t>
  </si>
  <si>
    <t>Hypothetical major capsid protein n=1 Tax=Heterosigma akashiwo virus 01 TaxID=97195 RepID=Q4H484_HAV01</t>
  </si>
  <si>
    <t>11.09.P1-3.368-17_1</t>
  </si>
  <si>
    <t>11.09.P1-3.368-17_10</t>
  </si>
  <si>
    <t>Eukaryotic translation initiation factor 4C n=1 Tax=Rhodotorula sp. CCFEE 5036 TaxID=1965284 RepID=A0A4U0VW43_9BASI</t>
  </si>
  <si>
    <t>11.09.P1-3.368-17_5</t>
  </si>
  <si>
    <t>Uncharacterized protein n=1 Tax=Acanthocystis turfacea Chlorella virus TN603.4.2 TaxID=1278278 RepID=M1IAX5_9PHYC</t>
  </si>
  <si>
    <t>11.09.P1-3.378-50_3</t>
  </si>
  <si>
    <t>sp|O59952|LIP_THELA Lipase OS=Thermomyces lanuginosus OX=5541 GN=LIP PE=1 SV=1</t>
  </si>
  <si>
    <t>KOG4569 [FUNC="Predicted lipase"] [shortName=] [TAG=I TAGDEF="Lipid transport and metabolism" PROCESS="METABOLISM"]  [PATHWAY=""]</t>
  </si>
  <si>
    <t>VOG00689 [FUNC="REFSEQ esterase/lipase"] [TAG=Xu TAGDEF="Function unknown"]</t>
  </si>
  <si>
    <t>Triacylglycerol lipase-like protein triacylglycerol lipase n=1 Tax=Cavenderia fasciculata TaxID=261658 RepID=F4PWA6_CACFS</t>
  </si>
  <si>
    <t>11.09.P1-3.378-50_5</t>
  </si>
  <si>
    <t>Peptidase S74 domain-containing protein n=1 Tax=Pedobacter steynii TaxID=430522 RepID=A0A1D7QBD8_9SPHI</t>
  </si>
  <si>
    <t>11.09.P1-3.378-50_7</t>
  </si>
  <si>
    <t>VOG13380 [FUNC="REFSEQ hypothetical protein"] [TAG=Xu TAGDEF="Function unknown"]</t>
  </si>
  <si>
    <t>Uncharacterized protein C690L n=1 Tax=Paramecium bursaria Chlorella virus AR158 TaxID=380598 RepID=A7RCE3_PBCVA</t>
  </si>
  <si>
    <t>11.09.P1-3.406-80_2</t>
  </si>
  <si>
    <t>COG2755 [FUNC="Lysophospholipase L1 or related esterase. Includes spore coat protein LipC/YcsK"] [shortName=TesA] [TAG=D TAGDEF="Cell cycle control, cell division, chromosome partitioning" PROCESS="CELLULAR PROCESSES AND SIGNALING"] [TAG=I TAGDEF="Lipid transport and metabolism" PROCESS="METABOLISM"]  [PATHWAY=""] hypothetical protein [Altererythrobacter atlanticus]</t>
  </si>
  <si>
    <t>F5/8 type C domain-containing protein n=1 Tax=Micromonas pusilla virus PL1 TaxID=373997 RepID=G8DDH3_9PHYC</t>
  </si>
  <si>
    <t>11.09.P1-3.433-16_3</t>
  </si>
  <si>
    <t>11.09.P1-3.433-16_6</t>
  </si>
  <si>
    <t>11.09.P1-3.433-16_7</t>
  </si>
  <si>
    <t>11.09.P1-3.450-4.6_10</t>
  </si>
  <si>
    <t>11.09.P1-3.450-4.6_7</t>
  </si>
  <si>
    <t>11.09.P1-3.485-4.0_10</t>
  </si>
  <si>
    <t>11.09.P1-3.485-4.0_17</t>
  </si>
  <si>
    <t>Uncharacterized protein n=1 Tax=Acanthocystis turfacea Chlorella virus Br0604L TaxID=1278268 RepID=M1GVR3_9PHYC</t>
  </si>
  <si>
    <t>11.09.P1-3.485-4.0_19</t>
  </si>
  <si>
    <t>11.09.P1-3.485-4.0_6</t>
  </si>
  <si>
    <t>11.09.P1-3.508-6.2_6</t>
  </si>
  <si>
    <t>Sulfhydryl oxidase n=4 Tax=Chlorovirus TaxID=181083 RepID=Q98515_PBCV1</t>
  </si>
  <si>
    <t>11.09.P1-3.547-3.5_12</t>
  </si>
  <si>
    <t>mRNA guanylyltransferase n=2 Tax=unclassified Chlorovirus TaxID=346674 RepID=M1H7T0_9PHYC</t>
  </si>
  <si>
    <t>11.09.P1-3.547-3.5_3</t>
  </si>
  <si>
    <t>11.09.P1-3.562-8.3_12</t>
  </si>
  <si>
    <t>Putative leucine-rich repeat domain, L domain-containing protein n=1 Tax=Rosa chinensis TaxID=74649 RepID=A0A2P6RNS6_ROSCH</t>
  </si>
  <si>
    <t>11.09.P1-3.562-8.3_5</t>
  </si>
  <si>
    <t>11.09.P1-3.564-4.8_15</t>
  </si>
  <si>
    <t>11.09.P1-3.564-4.8_3</t>
  </si>
  <si>
    <t>11.09.P1-3.564-4.8_4</t>
  </si>
  <si>
    <t>11.09.P1-3.564-4.8_7</t>
  </si>
  <si>
    <t>11.09.P1-3.598-14_2</t>
  </si>
  <si>
    <t>11.09.P1-3.598-14_5</t>
  </si>
  <si>
    <t>COG1752 [FUNC="Predicted acylesterase/phospholipase RssA, containd patatin domain"] [shortName=RssA] [TAG=R TAGDEF="General function prediction only" PROCESS="POORLY CHARACTERIZED"]  [PATHWAY=""] hypothetical protein [Photobacterium profundum]</t>
  </si>
  <si>
    <t>Lipid hydrolase n=7 Tax=Chlorovirus TaxID=181083 RepID=M1HLA0_9PHYC</t>
  </si>
  <si>
    <t>11.09.P1-3.598-14_6</t>
  </si>
  <si>
    <t>11.09.P1-3.630-19_1</t>
  </si>
  <si>
    <t>11.09.P1-3.630-19_2</t>
  </si>
  <si>
    <t>Galactose-binding protein n=1 Tax=Carcinoscorpius rotundicauda TaxID=6848 RepID=Q2TS30_CARRO</t>
  </si>
  <si>
    <t>11.09.P1-3.630-19_6</t>
  </si>
  <si>
    <t>sp|P82151|LEC6_TACTR Lectin L6 OS=Tachypleus tridentatus OX=6853 PE=1 SV=1</t>
  </si>
  <si>
    <t>Lectin n=1 Tax=Pythium oligandrum TaxID=41045 RepID=A0A8K1FK51_PYTOL</t>
  </si>
  <si>
    <t>11.09.P1-3.637-3.0_10</t>
  </si>
  <si>
    <t>sp|O75764|TCEA3_HUMAN Transcription elongation factor A protein 3 OS=Homo sapiens OX=9606 GN=TCEA3 PE=1 SV=2</t>
  </si>
  <si>
    <t>Transcription elongation factor S-II n=1 Tax=Acanthocystis turfacea Chlorella virus OR0704.3 TaxID=1278277 RepID=M1IM27_9PHYC</t>
  </si>
  <si>
    <t>11.09.P1-3.637-3.0_12</t>
  </si>
  <si>
    <t>sp|P30320|DPOL_PBCVN DNA polymerase OS=Paramecium bursaria Chlorella virus NY2A OX=46021 GN=DPO PE=3 SV=1</t>
  </si>
  <si>
    <t>DNA polymerase n=1 Tax=Acanthocystis turfacea Chlorella virus NTS-1 TaxID=1278276 RepID=M1I0R4_9PHYC</t>
  </si>
  <si>
    <t>11.09.P1-3.637-3.0_5</t>
  </si>
  <si>
    <t>11.09.P1-3.637-3.0_7</t>
  </si>
  <si>
    <t>11.09.P1-3.654-29_3</t>
  </si>
  <si>
    <t>11.09.P1-3.654-29_4</t>
  </si>
  <si>
    <t>sp|O88508|DNM3A_MOUSE DNA (cytosine-5)-methyltransferase 3A OS=Mus musculus OX=10090 GN=Dnmt3a PE=1 SV=2</t>
  </si>
  <si>
    <t>COG0270 [FUNC="DNA-cytosine methylase"] [shortName=Dcm] [TAG=L TAGDEF="Replication, recombination and repair" PROCESS="INFORMATION STORAGE AND PROCESSING"]  [PATHWAY=""] DNA-methyltransferase Dcm [Bernardetia litoralis]</t>
  </si>
  <si>
    <t>DNA (cytosine-5-)-methyltransferase n=1 Tax=Clostridium formicaceticum TaxID=1497 RepID=A0A1D9FPG7_9CLOT</t>
  </si>
  <si>
    <t>11.09.P1-3.654-29_7</t>
  </si>
  <si>
    <t>sp|P20232|TFS2_DROME Transcription elongation factor S-II OS=Drosophila melanogaster OX=7227 GN=TfIIS PE=2 SV=1</t>
  </si>
  <si>
    <t>Transcription elongation factor S-II n=1 Tax=Paramecium bursaria Chlorella virus CviKI TaxID=1278253 RepID=M1HMM0_9PHYC</t>
  </si>
  <si>
    <t>11.09.P1-3.668-77_1</t>
  </si>
  <si>
    <t>mRNA guanylyltransferase n=1 Tax=Paramecium bursaria Chlorella virus NE-JV-1 TaxID=1278261 RepID=M1ICK5_9PHYC</t>
  </si>
  <si>
    <t>11.09.P1-3.668-77_5</t>
  </si>
  <si>
    <t>11.09.P1-3.668-77_6</t>
  </si>
  <si>
    <t>sp|O02115|PCNA_CAEEL Proliferating cell nuclear antigen OS=Caenorhabditis elegans OX=6239 GN=pcn-1 PE=1 SV=3</t>
  </si>
  <si>
    <t>Proliferating cell nuclear antigen n=1 Tax=Polytomella parva TaxID=51329 RepID=A0A6U0TM54_9CHLO</t>
  </si>
  <si>
    <t>11.09.P1-3.686-10_5</t>
  </si>
  <si>
    <t>sp|Q58752|MJK2_METJA Probable potassium channel protein 2 OS=Methanocaldococcus jannaschii (strain ATCC 43067 / DSM 2661 / JAL-1 / JCM 10045 / NBRC 100440) OX=243232 GN=MJ1357 PE=4 SV=1</t>
  </si>
  <si>
    <t>COG1226 [FUNC="Voltage-gated potassium channel Kch"] [shortName=Kch] [TAG=P TAGDEF="Inorganic ion transport and metabolism" PROCESS="METABOLISM"]  [PATHWAY=""] ion transporter [Turneriella parva]</t>
  </si>
  <si>
    <t>VOG00914 [FUNC="sp|Q84568|KCV_PBCV1 Potassium channel protein kcv"] [TAG=Xh TAGDEF="Virus protein with function beneficial for the host"]</t>
  </si>
  <si>
    <t>Pentapeptide repeat-containing protein n=2 Tax=Parahaliea mediterranea TaxID=651086 RepID=A0A939DBJ8_9GAMM</t>
  </si>
  <si>
    <t>11.09.P1-3.686-10_6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</si>
  <si>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helicase [Desulfobulbus sp. ORNL]</t>
  </si>
  <si>
    <t>ATP-dependent RNA helicase n=2 Tax=unclassified Chlorovirus TaxID=346674 RepID=M1I6L3_9PHYC</t>
  </si>
  <si>
    <t>11.09.P1-3.707-6.5_1</t>
  </si>
  <si>
    <t>11.09.P1-3.707-6.5_3</t>
  </si>
  <si>
    <t>11.09.P1-3.707-6.5_6</t>
  </si>
  <si>
    <t>11.09.P1-3.760-5.2_12</t>
  </si>
  <si>
    <t>sp|Q8G4G1|PKNA2_BIFLO Probable serine/threonine-protein kinase pknA2 OS=Bifidobacterium longum (strain NCC 2705) OX=206672 GN=pknA2 PE=3 SV=1</t>
  </si>
  <si>
    <t>COG4403 [FUNC="Lantibiotic modifying enzyme"] [shortName=LcnDR2] [TAG=V TAGDEF="Defense mechanisms" PROCESS="CELLULAR PROCESSES AND SIGNALING"]  [PATHWAY=""] serine/threonine protein kinase [Streptosporangium roseum]</t>
  </si>
  <si>
    <t>VOG01057 [FUNC="REFSEQ hypothetical protein"] [TAG=Xu TAGDEF="Function unknown"]</t>
  </si>
  <si>
    <t>PBCV-specific basic adaptor domain-containing protein n=1 Tax=Paramecium bursaria Chlorella virus NE-JV-4 TaxID=1278262 RepID=M1HZR0_9PHYC</t>
  </si>
  <si>
    <t>11.09.P1-3.760-5.2_6</t>
  </si>
  <si>
    <t>11.09.P1-3.760-5.2_8</t>
  </si>
  <si>
    <t>COG3584 [FUNC="3D (Asp-Asp-Asp) domain, usually in lytic transglycosylases"] [shortName=] [TAG=S TAGDEF="Function unknown" PROCESS="POORLY CHARACTERIZED"]  [PATHWAY="3D"] hypothetical protein [Haliangium ochraceum]</t>
  </si>
  <si>
    <t>VOG04152 [FUNC="REFSEQ hypothetical protein"] [TAG=Xu TAGDEF="Function unknown"]</t>
  </si>
  <si>
    <t>3D domain-containing protein (Fragment) n=1 Tax=Mucor plumbeus TaxID=97098 RepID=A0A8H7QCS6_9FUNG</t>
  </si>
  <si>
    <t>11.09.P1-3.802-21_3</t>
  </si>
  <si>
    <t>11.09.P1-3.802-21_5</t>
  </si>
  <si>
    <t>11.09.P1-3.851-48_14</t>
  </si>
  <si>
    <t>Putative DNA polymerase sliding clamp 2 n=1 Tax=Acanthocystis turfacea Chlorella virus NE-JV-2 TaxID=1278274 RepID=M1I3V9_9PHYC</t>
  </si>
  <si>
    <t>11.09.P1-3.874-28_3</t>
  </si>
  <si>
    <t>Uncharacterized protein n=1 Tax=Dishui Lake phycodnavirus 3 TaxID=2704074 RepID=A0A6G6XPA5_9PHYC</t>
  </si>
  <si>
    <t>11.09.P1-3.874-28_7</t>
  </si>
  <si>
    <t>COG3405 [FUNC="Endo-1,4-beta-D-glucanase Y"] [shortName=BcsZ] [TAG=G TAGDEF="Carbohydrate transport and metabolism" PROCESS="METABOLISM"]  [PATHWAY=""] hypothetical protein [Paraphotobacterium marinum]</t>
  </si>
  <si>
    <t>RlpA-like protein double-psi beta-barrel domain-containing protein n=1 Tax=Chlorella variabilis TaxID=554065 RepID=E1ZTJ4_CHLVA</t>
  </si>
  <si>
    <t>11.09.P1-3.885-48_1</t>
  </si>
  <si>
    <t>TFIIS-type domain-containing protein n=1 Tax=Ostreococcus tauri virus RT-2011 TaxID=1120767 RepID=H8ZJJ7_9PHYC</t>
  </si>
  <si>
    <t>11.09.P1-3.942-37_5</t>
  </si>
  <si>
    <t>VOG33683 [FUNC="REFSEQ hypothetical protein"] [TAG=Xu TAGDEF="Function unknown"]</t>
  </si>
  <si>
    <t>11.09.P1-3.942-37_6</t>
  </si>
  <si>
    <t>11.09.P1-3.964-100_2</t>
  </si>
  <si>
    <t>sp|A3KGW5|GT253_MOUSE Inactive glycosyltransferase 25 family member 3 OS=Mus musculus OX=10090 GN=Cercam PE=3 SV=1</t>
  </si>
  <si>
    <t>COG3306 [FUNC="Glycosyltransferase involved in LPS biosynthesis, GR25 family"] [shortName=] [TAG=M TAGDEF="Cell wall/membrane/envelope biogenesis" PROCESS="CELLULAR PROCESSES AND SIGNALING"]  [PATHWAY=""] hypothetical protein [Mesorhizobium loti]</t>
  </si>
  <si>
    <t>histidine kinase n=1 Tax=Symbiodinium sp. CCMP2456 TaxID=1519616 RepID=A0A812Y2G1_9DINO</t>
  </si>
  <si>
    <t>11.09.P1-3.964-100_3</t>
  </si>
  <si>
    <t>RING-type domain-containing protein n=1 Tax=Dishui Lake phycodnavirus 4 TaxID=2704072 RepID=A0A6G6XPX6_9PHYC</t>
  </si>
  <si>
    <t>11.09.P1-3.964-100_7</t>
  </si>
  <si>
    <t>11.09.P1-3.964-100_8</t>
  </si>
  <si>
    <t>RING-type domain-containing protein n=1 Tax=Yellowstone lake phycodnavirus 1 TaxID=1586713 RepID=A0A0P0YLZ2_9PHYC</t>
  </si>
  <si>
    <t>11.09.P1-3.975-9.7_2</t>
  </si>
  <si>
    <t>TFIIB-type domain-containing protein n=1 Tax=Ostreococcus lucimarinus virus OlV5 TaxID=754064 RepID=M4R0H9_9PHYC</t>
  </si>
  <si>
    <t>11.09.P1-3.975-9.7_4</t>
  </si>
  <si>
    <t>COG2244 [FUNC="Membrane protein involved in the export of O-antigen and teichoic acid"] [shortName=RfbX] [TAG=M TAGDEF="Cell wall/membrane/envelope biogenesis" PROCESS="CELLULAR PROCESSES AND SIGNALING"]  [PATHWAY=""] FkbM family methyltransferase [Ilyobacter polytropus]</t>
  </si>
  <si>
    <t>VOG02010 [FUNC="REFSEQ hypothetical protein"] [TAG=Xu TAGDEF="Function unknown"]</t>
  </si>
  <si>
    <t>Methyltransferase FkbM domain-containing protein n=1 Tax=Pyrodinium bahamense TaxID=73915 RepID=A0A7R9ZXK9_9DINO</t>
  </si>
  <si>
    <t>11.09.P1-3.975-9.7_7</t>
  </si>
  <si>
    <t>11.09.P1-31.804-66_101</t>
  </si>
  <si>
    <t>11.09.P1-31.804-66_103</t>
  </si>
  <si>
    <t>11.09.P1-31.804-66_114</t>
  </si>
  <si>
    <t>Uncharacterized protein n=1 Tax=Dishui Lake large algae virus 1 TaxID=2704073 RepID=A0A6G6XPG7_9VIRU</t>
  </si>
  <si>
    <t>11.09.P1-31.804-66_13</t>
  </si>
  <si>
    <t>11.09.P1-31.804-66_22</t>
  </si>
  <si>
    <t>11.09.P1-31.804-66_3</t>
  </si>
  <si>
    <t>sp|P79733|RIR2_DANRE Ribonucleoside-diphosphate reductase subunit M2 OS=Danio rerio OX=7955 GN=rrm2 PE=1 SV=1</t>
  </si>
  <si>
    <t>Ribonucleoside-diphosphate reductase subunit M2 n=1 Tax=Sphaeramia orbicularis TaxID=375764 RepID=A0A672ZLW5_9TELE</t>
  </si>
  <si>
    <t>11.09.P1-31.804-66_34</t>
  </si>
  <si>
    <t>Potassium channel protein kcv n=1 Tax=Acanthocystis turfacea Chlorella virus NTS-1 TaxID=1278276 RepID=M1I5I2_9PHYC</t>
  </si>
  <si>
    <t>11.09.P1-31.804-66_36</t>
  </si>
  <si>
    <t>COG4951 [FUNC="Uncharacterized conserved protein"] [shortName=] [TAG=S TAGDEF="Function unknown" PROCESS="POORLY CHARACTERIZED"]  [PATHWAY=""] MULTISPECIES: DEAD/DEAH box helicase [Bacteria]</t>
  </si>
  <si>
    <t>ATP-dependent RNA helicase n=2 Tax=Chlorovirus TaxID=181083 RepID=M1I330_9PHYC</t>
  </si>
  <si>
    <t>11.09.P1-31.804-66_38</t>
  </si>
  <si>
    <t>Uncharacterized protein n=1 Tax=Micromonas pusilla virus 12T TaxID=755272 RepID=M4R044_9PHYC</t>
  </si>
  <si>
    <t>11.09.P1-31.804-66_61</t>
  </si>
  <si>
    <t>sp|P36607|RAD5_SCHPO DNA repair protein rad8 OS=Schizosaccharomyces pombe (strain 972 / ATCC 24843) OX=284812 GN=rad8 PE=1 SV=1</t>
  </si>
  <si>
    <t>Snf2 family protein n=2 Tax=unclassified Enterococcus TaxID=2608891 RepID=A0A242B9B6_9ENTE</t>
  </si>
  <si>
    <t>11.09.P1-31.804-66_63</t>
  </si>
  <si>
    <t>sp|D3Q051|MSHA_STANL D-inositol 3-phosphate glycosyltransferase OS=Stackebrandtia nassauensis (strain DSM 44728 / CIP 108903 / NRRL B-16338 / NBRC 102104 / LLR-40K-21) OX=446470 GN=mshA PE=3 SV=1</t>
  </si>
  <si>
    <t>COG0438 [FUNC="Glycosyltransferase involved in cell wall bisynthesis"] [shortName=RfaB] [TAG=M TAGDEF="Cell wall/membrane/envelope biogenesis" PROCESS="CELLULAR PROCESSES AND SIGNALING"]  [PATHWAY=""] glycosyltransferase family 1 protein [Acidithiobacillus ferrooxidans]</t>
  </si>
  <si>
    <t>Glycosyl transferase n=1 Tax=Paramecium bursaria Chlorella virus CZ-2 TaxID=1278251 RepID=M1I2U3_9PHYC</t>
  </si>
  <si>
    <t>11.09.P1-31.804-66_69</t>
  </si>
  <si>
    <t>COG5301 [FUNC="Phage-related tail fiber protein"] [shortName=] [TAG=X TAGDEF="Mobilome: prophages, transposons" PROCESS=""]  [PATHWAY=""] hypothetical protein [Bdellovibrio bacteriovorus]</t>
  </si>
  <si>
    <t>Peptidase S74 domain-containing protein n=1 Tax=Pedobacter steynii TaxID=430522 RepID=A0A1D7QBD4_9SPHI</t>
  </si>
  <si>
    <t>11.09.P1-31.804-66_71</t>
  </si>
  <si>
    <t>sp|Q5F478|ANR44_CHICK Serine/threonine-protein phosphatase 6 regulatory ankyrin repeat subunit B OS=Gallus gallus OX=9031 GN=ANKRD44 PE=2 SV=1</t>
  </si>
  <si>
    <t>Ankyrin repeat and SOCS box protein 3 (Fragment) n=1 Tax=Culex pipiens TaxID=7175 RepID=A0A8D8L1B2_CULPI</t>
  </si>
  <si>
    <t>11.09.P1-31.804-66_78</t>
  </si>
  <si>
    <t>Uncharacterized protein n=1 Tax=Chlorella desiccata (nom. nud.) TaxID=1650286 RepID=A0A8T2VXK0_9CHLO</t>
  </si>
  <si>
    <t>11.09.P1-31.804-66_83</t>
  </si>
  <si>
    <t>COG0571 [FUNC="dsRNA-specific ribonuclease"] [shortName=Rnc] [TAG=K TAGDEF="Transcription" PROCESS="INFORMATION STORAGE AND PROCESSING"]  [PATHWAY=""] ribonuclease III [Rhodothermus marinus]</t>
  </si>
  <si>
    <t>11.09.P1-31.804-66_85</t>
  </si>
  <si>
    <t>VOG04410 [FUNC="REFSEQ hypothetical protein"] [TAG=Xu TAGDEF="Function unknown"]</t>
  </si>
  <si>
    <t>DUF5672 domain-containing protein n=1 Tax=Sphaeroforma arctica JP610 TaxID=667725 RepID=A0A0L0FJ20_9EUKA</t>
  </si>
  <si>
    <t>11.09.P1-31.804-66_86</t>
  </si>
  <si>
    <t>Uncharacterized protein n=1 Tax=Mimivirus AB-566-O17 TaxID=1988039 RepID=A0A1X9VNX1_9VIRU</t>
  </si>
  <si>
    <t>11.09.P1-31.804-66_91</t>
  </si>
  <si>
    <t>11.09.P1-31.804-66_92</t>
  </si>
  <si>
    <t>Proliferating cell nuclear antigen n=1 Tax=Lomentospora prolificans TaxID=41688 RepID=A0A2N3NDR8_9PEZI</t>
  </si>
  <si>
    <t>11.09.P1-31.804-66_99</t>
  </si>
  <si>
    <t>11.09.P1-4.008-33_11</t>
  </si>
  <si>
    <t>11.09.P1-4.008-33_16</t>
  </si>
  <si>
    <t>11.09.P1-4.010-5.9_10</t>
  </si>
  <si>
    <t>COG4447 [FUNC="Uncharacterized conserved protein related to plant photosystem II stability/assembly factor"] [shortName=] [TAG=R TAGDEF="General function prediction only" PROCESS="POORLY CHARACTERIZED"]  [PATHWAY=""] hypothetical protein [Ktedonobacterales bacterium SCAWS-G2]</t>
  </si>
  <si>
    <t>Uncharacterized protein n=2 Tax=Leptospira saintgironsiae TaxID=2023183 RepID=A0A2M9YCD8_9LEPT</t>
  </si>
  <si>
    <t>11.09.P1-4.010-5.9_6</t>
  </si>
  <si>
    <t>11.09.P1-4.122-15_11</t>
  </si>
  <si>
    <t>11.09.P1-4.122-15_4</t>
  </si>
  <si>
    <t>11.09.P1-4.150-4.8_5</t>
  </si>
  <si>
    <t>sp|Q8TGE1|AWA1_YEASK Cell wall protein AWA1 OS=Saccharomyces cerevisiae (strain Kyokai no. 7 / NBRC 101557) OX=721032 GN=AWA1 PE=1 SV=1</t>
  </si>
  <si>
    <t>Long tail fiber protein p37 n=1 Tax=Synechococcus phage S-SKS1 TaxID=754042 RepID=M4QRQ4_9CAUD</t>
  </si>
  <si>
    <t>11.09.P1-4.150-4.8_6</t>
  </si>
  <si>
    <t>Uncharacterized protein n=1 Tax=Moumouvirus goulette TaxID=1247379 RepID=M1PBM6_9VIRU</t>
  </si>
  <si>
    <t>11.09.P1-4.244-5.8_5</t>
  </si>
  <si>
    <t>sp|Q14527|HLTF_HUMAN Helicase-like transcription factor OS=Homo sapiens OX=9606 GN=HLTF PE=1 SV=2</t>
  </si>
  <si>
    <t>11.09.P1-4.244-5.8_7</t>
  </si>
  <si>
    <t>Uncharacterized protein M664L n=1 Tax=Paramecium bursaria Chlorella virus MT325 TaxID=346932 RepID=A7IV44_PBCVM</t>
  </si>
  <si>
    <t>11.09.P1-4.350-7.9_11</t>
  </si>
  <si>
    <t>WLM domain-containing protein n=1 Tax=Yellowstone lake phycodnavirus 2 TaxID=1586714 RepID=A0A0P0YN19_9PHYC</t>
  </si>
  <si>
    <t>11.09.P1-4.350-7.9_15</t>
  </si>
  <si>
    <t>11.09.P1-4.430-23_14</t>
  </si>
  <si>
    <t>COG0666 [FUNC="Ankyrin repeat"] [shortName=ANKYR] [TAG=T TAGDEF="Signal transduction mechanisms" PROCESS="CELLULAR PROCESSES AND SIGNALING"]  [PATHWAY=""] hypothetical protein [Geobacter metallireducens]</t>
  </si>
  <si>
    <t>Uncharacterized protein n=1 Tax=Aspergillus hiratsukae TaxID=1194566 RepID=A0A8H6ULQ6_9EURO</t>
  </si>
  <si>
    <t>11.09.P1-4.430-23_17</t>
  </si>
  <si>
    <t>YqaJ viral recombinase domain-containing protein n=1 Tax=Acanthocystis turfacea Chlorella virus Canal-1 TaxID=1278270 RepID=M1HIP3_9PHYC</t>
  </si>
  <si>
    <t>11.09.P1-4.463-8.0_11</t>
  </si>
  <si>
    <t>Glycosyltransferase 2-like domain-containing protein n=1 Tax=Gonium pectorale TaxID=33097 RepID=A0A150GE27_GONPE</t>
  </si>
  <si>
    <t>11.09.P1-4.463-8.0_4</t>
  </si>
  <si>
    <t>NTPase/helicase n=1 Tax=Singapore grouper iridovirus TaxID=262968 RepID=Q5YFB9_9VIRU</t>
  </si>
  <si>
    <t>11.09.P1-4.469-17_15</t>
  </si>
  <si>
    <t>sp|D2S4K7|MSHA_GEOOG D-inositol 3-phosphate glycosyltransferase OS=Geodermatophilus obscurus (strain ATCC 25078 / DSM 43160 / JCM 3152 / KCC A-0152 / KCTC 9177 / NBRC 13315 / NRRL B-3577 / G-20) OX=526225 GN=mshA PE=3 SV=1</t>
  </si>
  <si>
    <t>Uncharacterized protein Z667L n=1 Tax=Acanthocystis turfacea chlorella virus 1 TaxID=322019 RepID=A7K9S7_9PHYC</t>
  </si>
  <si>
    <t>11.09.P1-4.469-17_21</t>
  </si>
  <si>
    <t>11.09.P1-4.539-21_2</t>
  </si>
  <si>
    <t>Tail fiber protein n=1 Tax=Mimivirus AB-566-O17 TaxID=1988039 RepID=A0A1X9VNQ1_9VIRU</t>
  </si>
  <si>
    <t>11.09.P1-4.539-21_5</t>
  </si>
  <si>
    <t>11.09.P1-4.593-7.5_9</t>
  </si>
  <si>
    <t>Glycosyl transferase n=1 Tax=Paramecium bursaria Chlorella virus KS1B TaxID=1278258 RepID=M1HRJ4_9PHYC</t>
  </si>
  <si>
    <t>11.09.P1-4.604-40_2</t>
  </si>
  <si>
    <t>COG0208 [FUNC="Ribonucleotide reductase beta subunit, ferritin-like domain"] [shortName=NrdB] [TAG=F TAGDEF="Nucleotide transport and metabolism" PROCESS="METABOLISM"]  [PATHWAY="Pyrimidine salvage"] ribonucleoside-diphosphate reductase [Chitinophaga pinensis]</t>
  </si>
  <si>
    <t>11.09.P1-4.604-40_7</t>
  </si>
  <si>
    <t>sp|Q4UMH6|Y381_RICFE Putative ankyrin repeat protein RF_0381 OS=Rickettsia felis (strain ATCC VR-1525 / URRWXCal2) OX=315456 GN=RF_0381 PE=4 SV=1</t>
  </si>
  <si>
    <t>Uncharacterized protein n=1 Tax=Dictyostelium discoideum TaxID=44689 RepID=Q54Q43_DICDI</t>
  </si>
  <si>
    <t>11.09.P1-4.684-9.9_1</t>
  </si>
  <si>
    <t>Major capsid protein VP54 n=1 Tax=Only Syngen Nebraska virus 5 TaxID=1917232 RepID=A0A1J0F9Q9_9PHYC</t>
  </si>
  <si>
    <t>11.09.P1-4.684-9.9_10</t>
  </si>
  <si>
    <t>DUF5872 domain-containing protein n=1 Tax=Acanthocystis turfacea Chlorella virus NE-JV-2 TaxID=1278274 RepID=M1HC28_9PHYC</t>
  </si>
  <si>
    <t>11.09.P1-4.684-9.9_2</t>
  </si>
  <si>
    <t>Major capsid protein VP54 n=1 Tax=Paramecium bursaria Chlorella virus OR0704.2.2 TaxID=1278265 RepID=M1I9U3_9PHYC</t>
  </si>
  <si>
    <t>11.09.P1-4.684-9.9_3</t>
  </si>
  <si>
    <t>11.09.P1-4.691-52_3</t>
  </si>
  <si>
    <t>Helicase, Snf2 family n=1 Tax=Desulfonema limicola TaxID=45656 RepID=A0A975B8K5_9BACT</t>
  </si>
  <si>
    <t>11.09.P1-4.691-52_7</t>
  </si>
  <si>
    <t>11.09.P1-4.691-52_9</t>
  </si>
  <si>
    <t>11.09.P1-4.701-49_10</t>
  </si>
  <si>
    <t>Uncharacterized protein n=1 Tax=Tetraselmis virus 1 TaxID=2060617 RepID=A0A2P0VMR2_9PHYC</t>
  </si>
  <si>
    <t>11.09.P1-4.701-49_8</t>
  </si>
  <si>
    <t>11.09.P1-4.784-40_4</t>
  </si>
  <si>
    <t>Putative DNA polymerase sliding clamp 2 n=1 Tax=Acanthocystis turfacea Chlorella virus NTS-1 TaxID=1278276 RepID=M1IH27_9PHYC</t>
  </si>
  <si>
    <t>11.09.P1-4.791-46_1</t>
  </si>
  <si>
    <t>11.09.P1-4.791-46_10</t>
  </si>
  <si>
    <t>11.09.P1-4.791-46_11</t>
  </si>
  <si>
    <t>sp|O82797|PCNA_TOBAC Proliferating cell nuclear antigen OS=Nicotiana tabacum OX=4097 GN=PCNA PE=2 SV=1</t>
  </si>
  <si>
    <t>11.09.P1-4.791-46_9</t>
  </si>
  <si>
    <t>11.09.P1-4.862-23_1</t>
  </si>
  <si>
    <t>LysM domain-containing protein n=1 Tax=Bathycoccus sp. RCC716 virus 1 TaxID=2530038 RepID=A0A7S6NYN5_9PHYC</t>
  </si>
  <si>
    <t>11.09.P1-4.862-23_4</t>
  </si>
  <si>
    <t>11.09.P1-4.862-23_9</t>
  </si>
  <si>
    <t>Uncharacterized protein n=1 Tax=Ostreococcus tauri virus RT-2011 TaxID=1120767 RepID=H8ZJ66_9PHYC</t>
  </si>
  <si>
    <t>11.09.P1-4.864-6.1_18</t>
  </si>
  <si>
    <t>11.09.P1-4.864-6.1_26</t>
  </si>
  <si>
    <t>Uncharacterized protein n=1 Tax=Paramecium bursaria Chlorella virus CVG-1 TaxID=1278248 RepID=M1GZ79_9PHYC</t>
  </si>
  <si>
    <t>11.09.P1-4.864-6.1_6</t>
  </si>
  <si>
    <t>11.09.P1-4.903-16_3</t>
  </si>
  <si>
    <t>11.09.P1-4.903-16_5</t>
  </si>
  <si>
    <t>11.09.P1-4.926-14_2</t>
  </si>
  <si>
    <t>11.09.P1-4.926-14_9</t>
  </si>
  <si>
    <t>sp|O61065|RIR1_CRYPV Ribonucleoside-diphosphate reductase large chain OS=Cryptosporidium parvum OX=5807 GN=RNR1 PE=3 SV=2</t>
  </si>
  <si>
    <t>COG0209 [FUNC="Ribonucleotide reductase alpha subunit"] [shortName=NrdA] [TAG=F TAGDEF="Nucleotide transport and metabolism" PROCESS="METABOLISM"]  [PATHWAY="Pyrimidine salvage"] ribonucleoside-diphosphate reductase subunit alpha [Leadbetterella byssophila]</t>
  </si>
  <si>
    <t>Ribonucleoside-diphosphate reductase n=1 Tax=Chitinophaga niabensis TaxID=536979 RepID=A0A1N6KGE1_9BACT</t>
  </si>
  <si>
    <t>11.09.P1-4.949-25_14</t>
  </si>
  <si>
    <t>Sulfhydryl oxidase n=1 Tax=Acanthocystis turfacea Chlorella virus MN0810.1 TaxID=1278272 RepID=M1I0P3_9PHYC</t>
  </si>
  <si>
    <t>11.09.P1-4.949-25_7</t>
  </si>
  <si>
    <t>11.09.P1-4.966-48_10</t>
  </si>
  <si>
    <t>GIY-YIG domain-containing protein n=7 Tax=Chlorovirus TaxID=181083 RepID=Q84430_PBCV1</t>
  </si>
  <si>
    <t>11.09.P1-4.966-48_3</t>
  </si>
  <si>
    <t>GIY-YIG domain-containing protein n=1 Tax=Chlorella vulgaris TaxID=3077 RepID=A0A9D4TSG3_CHLVU</t>
  </si>
  <si>
    <t>11.09.P1-5.030-43_15</t>
  </si>
  <si>
    <t>11.09.P1-5.030-43_3</t>
  </si>
  <si>
    <t>sp|Q27783|DRTS_TRYBB Bifunctional dihydrofolate reductase-thymidylate synthase OS=Trypanosoma brucei brucei OX=5702 PE=1 SV=1</t>
  </si>
  <si>
    <t>COG0262 [FUNC="Dihydrofolate reductase"] [shortName=FolA] [TAG=H TAGDEF="Coenzyme transport and metabolism" PROCESS="METABOLISM"]  [PATHWAY="Folate biosynthesis"] dihydrofolate reductase [Haliangium ochraceum]</t>
  </si>
  <si>
    <t>VOG02170 [FUNC="sp|P04382|DYR_BPT4 Dihydrofolate reductase"] [TAG=Xh TAGDEF="Virus protein with function beneficial for the host"]</t>
  </si>
  <si>
    <t>dihydrofolate reductase n=1 Tax=Nelumbo nucifera TaxID=4432 RepID=A0A822ZBG4_NELNU</t>
  </si>
  <si>
    <t>11.09.P1-5.044-5.6_10</t>
  </si>
  <si>
    <t>11.09.P1-5.044-5.6_5</t>
  </si>
  <si>
    <t>DNA polymerase n=1 Tax=Marseillevirus LCMAC201 TaxID=2506605 RepID=A0A481YXB9_9VIRU</t>
  </si>
  <si>
    <t>11.09.P1-5.044-5.6_8</t>
  </si>
  <si>
    <t>COG0417 [FUNC="DNA polymerase B elongation subunit"] [shortName=PolB] [TAG=L TAGDEF="Replication, recombination and repair" PROCESS="INFORMATION STORAGE AND PROCESSING"]  [PATHWAY=""] DNA-directed DNA polymerase [Methanolobus psychrophilus]</t>
  </si>
  <si>
    <t>11.09.P1-5.044-5.7_11</t>
  </si>
  <si>
    <t>SGNH/GDSL hydrolase family protein n=1 Tax=Cerasicoccus arenae TaxID=424488 RepID=A0A8J3D924_9BACT</t>
  </si>
  <si>
    <t>11.09.P1-5.044-5.7_17</t>
  </si>
  <si>
    <t>11.09.P1-5.044-5.7_7</t>
  </si>
  <si>
    <t>11.09.P1-5.082-45_10</t>
  </si>
  <si>
    <t>Major capsid protein n=2 Tax=unclassified Chlorovirus TaxID=346674 RepID=Q9YZZ8_9PHYC</t>
  </si>
  <si>
    <t>11.09.P1-5.082-45_11</t>
  </si>
  <si>
    <t>11.09.P1-5.082-45_13</t>
  </si>
  <si>
    <t>11.09.P1-5.090-36_10</t>
  </si>
  <si>
    <t>11.09.P1-5.090-36_6</t>
  </si>
  <si>
    <t>DUF3431 domain-containing protein n=1 Tax=Spirosoma rhododendri TaxID=2728024 RepID=A0A7L5DNU0_9BACT</t>
  </si>
  <si>
    <t>11.09.P1-5.090-36_8</t>
  </si>
  <si>
    <t>11.09.P1-5.090-36_9</t>
  </si>
  <si>
    <t>11.09.P1-5.097-8.1_6</t>
  </si>
  <si>
    <t>sp|O10302|GTA_NPVOP Probable global transactivator OS=Orgyia pseudotsugata multicapsid polyhedrosis virus OX=262177 GN=GTA PE=3 SV=1</t>
  </si>
  <si>
    <t>KOG4439 [FUNC="RNA polymerase II transcription termination factor TTF2/lodestar, DEAD-box superfamily"] [shortName=] [TAG=K TAGDEF="Transcription" PROCESS="INFORMATION STORAGE AND PROCESSING"] [TAG=L TAGDEF="Replication, recombination and repair" PROCESS="INFORMATION STORAGE AND PROCESSING"]  [PATHWAY=""]</t>
  </si>
  <si>
    <t>GTA n=1 Tax=Parapoynx stagnalis nucleopolyhedrovirus TaxID=2993413 RepID=A0A9E7Y5W5_9ABAC</t>
  </si>
  <si>
    <t>11.09.P1-5.214-46_4</t>
  </si>
  <si>
    <t>11.09.P1-5.214-46_9</t>
  </si>
  <si>
    <t>11.09.P1-5.235-5.6_14</t>
  </si>
  <si>
    <t>sp|P41447|GTA_NPVAC Probable global transactivator OS=Autographa californica nuclear polyhedrosis virus OX=46015 GN=GTA PE=3 SV=1</t>
  </si>
  <si>
    <t>Gta n=1 Tax=Oxyplax ochracea nucleopolyhedrovirus TaxID=2083176 RepID=A0A2L0WU59_9ABAC</t>
  </si>
  <si>
    <t>11.09.P1-5.235-5.6_15</t>
  </si>
  <si>
    <t>sp|Q4WJI7|BTAF1_ASPFU TATA-binding protein-associated factor mot1 OS=Aspergillus fumigatus (strain ATCC MYA-4609 / CBS 101355 / FGSC A1100 / Af293) OX=330879 GN=mot1 PE=1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</si>
  <si>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SNF2-related protein [Candidatus Nitrosotalea devanaterra]</t>
  </si>
  <si>
    <t>Uncharacterized protein C663L n=1 Tax=Paramecium bursaria Chlorella virus AR158 TaxID=380598 RepID=A7RCB6_PBCVA</t>
  </si>
  <si>
    <t>11.09.P1-5.238-5.8_1</t>
  </si>
  <si>
    <t>Major capsid protein VP54 n=1 Tax=Acanthocystis turfacea Chlorella virus MN0810.1 TaxID=1278272 RepID=M1HZR9_9PHYC</t>
  </si>
  <si>
    <t>11.09.P1-5.238-5.8_10</t>
  </si>
  <si>
    <t>11.09.P1-5.238-5.8_13</t>
  </si>
  <si>
    <t>Proliferating cell nuclear antigen n=1 Tax=Klebsormidium nitens TaxID=105231 RepID=A0A1Y1IIK7_KLENI</t>
  </si>
  <si>
    <t>11.09.P1-5.238-5.8_9</t>
  </si>
  <si>
    <t>Major capsid protein VP54 n=1 Tax=Acanthocystis turfacea Chlorella virus Can0610SP TaxID=1278269 RepID=M1HIR2_9PHYC</t>
  </si>
  <si>
    <t>11.09.P1-5.261-27_1</t>
  </si>
  <si>
    <t>sp|Q5UNW0|YR695_MIMIV Uncharacterized protein R695 OS=Acanthamoeba polyphaga mimivirus OX=212035 GN=MIMI_R695 PE=1 SV=1</t>
  </si>
  <si>
    <t>VOG36350 [FUNC="sp|Q5UNW0|YR695_MIMIV Uncharacterized protein R695"] [TAG=Xs TAGDEF="Virus structure"]</t>
  </si>
  <si>
    <t>SMODS and SLOG-associating 2TM effector domain-containing protein n=1 Tax=Tupanvirus deep ocean TaxID=2126984 RepID=A0A6N1NZ63_9VIRU</t>
  </si>
  <si>
    <t>11.09.P1-5.261-27_6</t>
  </si>
  <si>
    <t>11.09.P1-5.261-27_7</t>
  </si>
  <si>
    <t>sp|Q8KBX2|TSPO_CHLTE Tryptophan-rich protein TspO OS=Chlorobaculum tepidum (strain ATCC 49652 / DSM 12025 / NBRC 103806 / TLS) OX=194439 GN=crtK-2 PE=1 SV=1</t>
  </si>
  <si>
    <t>COG3476 [FUNC="Tryptophan-rich sensory protein TspO/CrtK (mitochondrial benzodiazepine receptor homolog)"] [shortName=TspO] [TAG=T TAGDEF="Signal transduction mechanisms" PROCESS="CELLULAR PROCESSES AND SIGNALING"]  [PATHWAY=""] tryptophan-rich sensory protein [Methanobacterium lacus]</t>
  </si>
  <si>
    <t>Tryptophan-rich sensory protein n=1 Tax=Zongyangia hominis TaxID=2763677 RepID=A0A926I9L5_9FIRM</t>
  </si>
  <si>
    <t>11.09.P1-5.261-27_8</t>
  </si>
  <si>
    <t>COG3378 [FUNC="DNA primase, phage- or plasmid-associated"] [shortName=] [TAG=X TAGDEF="Mobilome: prophages, transposons" PROCESS=""]  [PATHWAY=""] phage/plasmid primase P4 family C-terminal domain protein, partial [Desulfomonile tiedjei]</t>
  </si>
  <si>
    <t>Uncharacterized protein C562L n=4 Tax=Chlorovirus TaxID=181083 RepID=A7RC15_PBCVA</t>
  </si>
  <si>
    <t>11.09.P1-5.455-32_11</t>
  </si>
  <si>
    <t>11.09.P1-5.455-32_13</t>
  </si>
  <si>
    <t>11.09.P1-5.455-32_24</t>
  </si>
  <si>
    <t>Transposase n=1 Tax=Acanthocystis turfacea Chlorella virus Canal-1 TaxID=1278270 RepID=M1HJ12_9PHYC</t>
  </si>
  <si>
    <t>11.09.P1-5.456-201_1</t>
  </si>
  <si>
    <t>Uncharacterized protein n=1 Tax=Tolypothrix campylonemoides VB511288 TaxID=1245935 RepID=A0A0C2L9Z7_9CYAN</t>
  </si>
  <si>
    <t>11.09.P1-5.456-201_13</t>
  </si>
  <si>
    <t>Uncharacterized protein n=1 Tax=Paramecium bursaria Chlorella virus CVB-1 TaxID=1278247 RepID=M1HGF5_9PHYC</t>
  </si>
  <si>
    <t>11.09.P1-5.456-201_18</t>
  </si>
  <si>
    <t>sp|Q03604|RIR1_CAEEL Ribonucleoside-diphosphate reductase large subunit OS=Caenorhabditis elegans OX=6239 GN=rnr-1 PE=3 SV=1</t>
  </si>
  <si>
    <t>COG0209 [FUNC="Ribonucleotide reductase alpha subunit"] [shortName=NrdA] [TAG=F TAGDEF="Nucleotide transport and metabolism" PROCESS="METABOLISM"]  [PATHWAY="Pyrimidine salvage"] ribonucleoside-diphosphate reductase subunit alpha [Echinicola vietnamensis]</t>
  </si>
  <si>
    <t>Ribonucleoside-diphosphate reductase n=1 Tax=Neolewinella marina TaxID=438751 RepID=A0A2G0CK83_9BACT</t>
  </si>
  <si>
    <t>11.09.P1-5.488-22_1</t>
  </si>
  <si>
    <t>sp|P75093|Y020_MYCPN Uncharacterized ATP-dependent helicase MPN_020 OS=Mycoplasma pneumoniae (strain ATCC 29342 / M129 / Subtype 1) OX=272634 GN=MPN_020 PE=3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</si>
  <si>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helicase SNF2 [Hoyosella subflava]</t>
  </si>
  <si>
    <t>Helicase SNF2 n=1 Tax=Prauserella sp. PE36 TaxID=1504709 RepID=A0A365ZJV6_9PSEU</t>
  </si>
  <si>
    <t>11.09.P1-5.488-22_11</t>
  </si>
  <si>
    <t>sp|Q10332|YBMA_SCHPO Uncharacterized ATP-dependent helicase C582.10c OS=Schizosaccharomyces pombe (strain 972 / ATCC 24843) OX=284812 GN=SPBC582.10c PE=1 SV=1</t>
  </si>
  <si>
    <t>Helicase n=1 Tax=Micromonas pusilla virus PL1 TaxID=373997 RepID=G8DDA1_9PHYC</t>
  </si>
  <si>
    <t>11.09.P1-5.488-22_2</t>
  </si>
  <si>
    <t>DNA polymerase n=1 Tax=Acanthocystis turfacea Chlorella virus NE-JV-2 TaxID=1278274 RepID=M1IE53_9PHYC</t>
  </si>
  <si>
    <t>11.09.P1-5.488-22_4</t>
  </si>
  <si>
    <t>sp|P79051|RHP16_SCHPO ATP-dependent helicase rhp16 OS=Schizosaccharomyces pombe (strain 972 / ATCC 24843) OX=284812 GN=rhp16 PE=3 SV=2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</si>
  <si>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helicase SNF2 [Lentibacillus amyloliquefaciens]</t>
  </si>
  <si>
    <t>Helicase ATP-binding domain-containing protein (Fragment) n=1 Tax=Zooxanthella nutricula TaxID=1333877 RepID=A0A7S2PQE2_9DINO</t>
  </si>
  <si>
    <t>11.09.P1-5.488-22_8</t>
  </si>
  <si>
    <t>11.09.P1-5.488-22_9</t>
  </si>
  <si>
    <t>11.09.P1-5.499-22_4</t>
  </si>
  <si>
    <t>Uncharacterized protein n=1 Tax=Only Syngen Nebraska virus 5 TaxID=1917232 RepID=A0A1J0F9F7_9PHYC</t>
  </si>
  <si>
    <t>11.09.P1-5.499-22_5</t>
  </si>
  <si>
    <t>VOG28289 [FUNC="REFSEQ hypothetical protein"] [TAG=Xu TAGDEF="Function unknown"]</t>
  </si>
  <si>
    <t>Uncharacterized protein n=3 Tax=Chlorovirus TaxID=181083 RepID=M1I5A2_9PHYC</t>
  </si>
  <si>
    <t>11.09.P1-5.499-22_6</t>
  </si>
  <si>
    <t>Uncharacterized protein n=1 Tax=Acanthocystis turfacea Chlorella virus NTS-1 TaxID=1278276 RepID=M1I573_9PHYC</t>
  </si>
  <si>
    <t>11.09.P1-5.499-22_7</t>
  </si>
  <si>
    <t>11.09.P1-5.576-52_13</t>
  </si>
  <si>
    <t>Uncharacterized protein n=1 Tax=Indivirus ILV1 TaxID=1977633 RepID=A0A1V0SDR4_9VIRU</t>
  </si>
  <si>
    <t>11.09.P1-5.673-50_1</t>
  </si>
  <si>
    <t>11.09.P1-5.673-50_10</t>
  </si>
  <si>
    <t>11.09.P1-5.673-50_12</t>
  </si>
  <si>
    <t>Sulfhydryl oxidase n=1 Tax=Tupanvirus deep ocean TaxID=2126984 RepID=A0A6N1NK31_9VIRU</t>
  </si>
  <si>
    <t>11.09.P1-5.673-50_8</t>
  </si>
  <si>
    <t>Poxvirus A22-like protein n=1 Tax=Paramecium bursaria Chlorella virus AP110A TaxID=1278246 RepID=M1HGH2_9PHYC</t>
  </si>
  <si>
    <t>11.09.P1-5.713-9.1_10</t>
  </si>
  <si>
    <t>11.09.P1-5.713-9.1_14</t>
  </si>
  <si>
    <t>11.09.P1-5.747-4.3_10</t>
  </si>
  <si>
    <t>11.09.P1-5.747-4.3_12</t>
  </si>
  <si>
    <t>Lipid hydrolase n=1 Tax=Acanthocystis turfacea Chlorella virus Br0604L TaxID=1278268 RepID=M1HRY6_9PHYC</t>
  </si>
  <si>
    <t>11.09.P1-5.747-4.3_22</t>
  </si>
  <si>
    <t>sp|O14602|IF1AY_HUMAN Eukaryotic translation initiation factor 1A, Y-chromosomal OS=Homo sapiens OX=9606 GN=EIF1AY PE=1 SV=4</t>
  </si>
  <si>
    <t>Eukaryotic translation initiation factor 4C n=1 Tax=Babesia microti (strain RI) TaxID=1133968 RepID=I7J9C7_BABMR</t>
  </si>
  <si>
    <t>11.09.P1-5.747-4.3_24</t>
  </si>
  <si>
    <t>Uncharacterized protein n=3 Tax=Chlorovirus TaxID=181083 RepID=M1HDQ2_9PHYC</t>
  </si>
  <si>
    <t>11.09.P1-5.747-4.3_6</t>
  </si>
  <si>
    <t>11.09.P1-5.747-4.3_8</t>
  </si>
  <si>
    <t>11.09.P1-5.775-11_15</t>
  </si>
  <si>
    <t>Uncharacterized protein n=1 Tax=Chlorella desiccata (nom. nud.) TaxID=1650286 RepID=A0A8T2IAP2_9CHLO</t>
  </si>
  <si>
    <t>11.09.P1-5.775-11_17</t>
  </si>
  <si>
    <t>11.09.P1-5.775-11_18</t>
  </si>
  <si>
    <t>11.09.P1-5.775-11_6</t>
  </si>
  <si>
    <t>11.09.P1-5.775-11_8</t>
  </si>
  <si>
    <t>11.09.P1-5.775-11_9</t>
  </si>
  <si>
    <t>11.09.P1-5.788-6.0_17</t>
  </si>
  <si>
    <t>Uncharacterized protein B825L n=1 Tax=Paramecium bursaria Chlorella virus NY2A TaxID=46021 RepID=A7IY00_PBCVN</t>
  </si>
  <si>
    <t>11.09.P1-5.788-6.0_2</t>
  </si>
  <si>
    <t>sp|Q92249|ERP38_NEUCR Protein disulfide-isomerase erp38 OS=Neurospora crassa (strain ATCC 24698 / 74-OR23-1A / CBS 708.71 / DSM 1257 / FGSC 987) OX=367110 GN=erp38 PE=2 SV=2</t>
  </si>
  <si>
    <t>Thioredoxin domain-containing protein n=1 Tax=Heterosigma akashiwo TaxID=2829 RepID=A0A6S9KDT0_HETAK</t>
  </si>
  <si>
    <t>11.09.P1-5.788-6.0_8</t>
  </si>
  <si>
    <t>Dual specificity protein phosphatase 16 / mitogen-activated protein kinase phosphatase 7 n=1 Tax=Paramecium bursaria Chlorella virus CZ-2 TaxID=1278251 RepID=M1H2V0_9PHYC</t>
  </si>
  <si>
    <t>11.09.P1-5.876-4.3_10</t>
  </si>
  <si>
    <t>WLM domain-containing protein n=2 Tax=unclassified Chlorovirus TaxID=346674 RepID=M1I4D5_9PHYC</t>
  </si>
  <si>
    <t>11.09.P1-5.876-4.3_13</t>
  </si>
  <si>
    <t>11.09.P1-5.876-4.3_23</t>
  </si>
  <si>
    <t>11.09.P1-5.876-4.3_26</t>
  </si>
  <si>
    <t>11.09.P1-5.983-58_15</t>
  </si>
  <si>
    <t>11.09.P1-5.983-58_6</t>
  </si>
  <si>
    <t>11.09.P1-5.983-58_8</t>
  </si>
  <si>
    <t>11.09.P1-6.007-9.5_20</t>
  </si>
  <si>
    <t>sp|A5E8F3|Y150_BRASB UPF0314 protein BBta_0150 OS=Bradyrhizobium sp. (strain BTAi1 / ATCC BAA-1182) OX=288000 GN=BBta_0150 PE=3 SV=1</t>
  </si>
  <si>
    <t>UPF0314 protein E8M01_30390 n=1 Tax=Phreatobacter stygius TaxID=1940610 RepID=A0A4D7BPM9_9HYPH</t>
  </si>
  <si>
    <t>11.09.P1-6.007-9.5_6</t>
  </si>
  <si>
    <t>11.09.P1-6.062-43_12</t>
  </si>
  <si>
    <t>LRRCT domain-containing protein n=1 Tax=Timema douglasi TaxID=61478 RepID=A0A7R8VMN1_TIMDO</t>
  </si>
  <si>
    <t>11.09.P1-6.062-43_20</t>
  </si>
  <si>
    <t>sp|O55737|123R_IIV6 Putative tyrosine phosphatase 123R OS=Invertebrate iridescent virus 6 OX=176652 GN=IIV6-123R PE=3 SV=1</t>
  </si>
  <si>
    <t>Dual specificity protein phosphatase 16 / mitogen-activated protein kinase phosphatase 7 n=1 Tax=Acanthocystis turfacea Chlorella virus Can0610SP TaxID=1278269 RepID=M1GW92_9PHYC</t>
  </si>
  <si>
    <t>11.09.P1-6.062-43_6</t>
  </si>
  <si>
    <t>Capsid protein n=1 Tax=Bathycoccus sp. RCC716 virus 2 TaxID=2530039 RepID=A0A7S6P1T5_9PHYC</t>
  </si>
  <si>
    <t>11.09.P1-6.092-4.3_1</t>
  </si>
  <si>
    <t>11.09.P1-6.092-4.3_4</t>
  </si>
  <si>
    <t>11.09.P1-6.092-4.3_5</t>
  </si>
  <si>
    <t>11.09.P1-6.092-4.3_7</t>
  </si>
  <si>
    <t>COG0666 [FUNC="Ankyrin repeat"] [shortName=ANKYR] [TAG=T TAGDEF="Signal transduction mechanisms" PROCESS="CELLULAR PROCESSES AND SIGNALING"]  [PATHWAY=""] tetratricopeptide repeat protein [Wolbachia sp. wRi]</t>
  </si>
  <si>
    <t>Uncharacterized protein n=1 Tax=Nephila pilipes TaxID=299642 RepID=A0A8X6NL86_NEPPI</t>
  </si>
  <si>
    <t>11.09.P1-6.100-38_1</t>
  </si>
  <si>
    <t>Nudix hydrolase domain-containing protein n=3 Tax=unclassified Chlorovirus TaxID=346674 RepID=M1HYU0_9PHYC</t>
  </si>
  <si>
    <t>11.09.P1-6.100-38_2</t>
  </si>
  <si>
    <t>11.09.P1-6.100-38_3</t>
  </si>
  <si>
    <t>DNA-directed DNA polymerase n=1 Tax=Acanthocystis turfacea Chlorella virus Canal-1 TaxID=1278270 RepID=M1HES2_9PHYC</t>
  </si>
  <si>
    <t>11.09.P1-6.100-38_6</t>
  </si>
  <si>
    <t>DNA primase n=1 Tax=Paramecium bursaria Chlorella virus KS1B TaxID=1278258 RepID=M1HWW4_9PHYC</t>
  </si>
  <si>
    <t>11.09.P1-6.100-38_9</t>
  </si>
  <si>
    <t>Uncharacterized protein b251L n=1 Tax=Paramecium bursaria Chlorella virus NY2A TaxID=46021 RepID=A7IWC6_PBCVN</t>
  </si>
  <si>
    <t>11.09.P1-6.178-40_2</t>
  </si>
  <si>
    <t>11.09.P1-6.178-40_3</t>
  </si>
  <si>
    <t>11.09.P1-6.217-50_12</t>
  </si>
  <si>
    <t>sp|Q6CJM4|RAD5_KLULA DNA repair protein RAD5 OS=Kluyveromyces lactis (strain ATCC 8585 / CBS 2359 / DSM 70799 / NBRC 1267 / NRRL Y-1140 / WM37) OX=284590 GN=RAD5 PE=1 SV=1</t>
  </si>
  <si>
    <t>Uncharacterized protein n=1 Tax=Chlorella vulgaris TaxID=3077 RepID=A0A9D4TR68_CHLVU</t>
  </si>
  <si>
    <t>11.09.P1-6.217-50_13</t>
  </si>
  <si>
    <t>sp|O30569|CCRM_RHIME DNA methyltransferase CcrM OS=Rhizobium meliloti (strain 1021) OX=266834 GN=smeIM PE=3 SV=2</t>
  </si>
  <si>
    <t>COG0863 [FUNC="DNA modification methylase"] [shortName=YhdJ] [TAG=L TAGDEF="Replication, recombination and repair" PROCESS="INFORMATION STORAGE AND PROCESSING"]  [PATHWAY=""] site-specific DNA-methyltransferase [Geoalkalibacter subterraneus]</t>
  </si>
  <si>
    <t>VOG00513 [FUNC="sp|A9M916|CCRM_BRUC2 DNA methyltransferase CcrM"] [TAG=Xh TAGDEF="Virus protein with function beneficial for the host"]</t>
  </si>
  <si>
    <t>Methyltransferase n=1 Tax=Ventosimonas gracilis TaxID=1680762 RepID=A0A139SV77_9GAMM</t>
  </si>
  <si>
    <t>11.09.P1-6.217-50_15</t>
  </si>
  <si>
    <t>DNA polymerase n=1 Tax=Paramecium bursaria Chlorella virus AR158 TaxID=380598 RepID=A7RB34_PBCVA</t>
  </si>
  <si>
    <t>11.09.P1-6.305-23_14</t>
  </si>
  <si>
    <t>Uncharacterized protein n=1 Tax=Micromonas pusilla virus PL1 TaxID=373997 RepID=G8DDN9_9PHYC</t>
  </si>
  <si>
    <t>11.09.P1-6.305-23_5</t>
  </si>
  <si>
    <t>Nudix hydrolase domain-containing protein n=1 Tax=Paramecium bursaria Chlorella virus 1 TaxID=10506 RepID=Q84640_PBCV1</t>
  </si>
  <si>
    <t>11.09.P1-6.468-44_4</t>
  </si>
  <si>
    <t>Major capsid protein VP54 n=1 Tax=Acanthocystis turfacea Chlorella virus WI0606 TaxID=1278279 RepID=M1HKT6_9PHYC</t>
  </si>
  <si>
    <t>11.09.P1-6.468-44_9</t>
  </si>
  <si>
    <t>11.09.P1-6.501-49_13</t>
  </si>
  <si>
    <t>COG0661 [FUNC="Predicted protein kinase regulating ubiquinone biosynthesis, AarF/ABC1/UbiB family"] [shortName=AarF] [TAG=H TAGDEF="Coenzyme transport and metabolism" PROCESS="METABOLISM"] [TAG=T TAGDEF="Signal transduction mechanisms" PROCESS="CELLULAR PROCESSES AND SIGNALING"]  [PATHWAY="Ubiquinone biosynthesis"] AarF/ABC1/UbiB kinase family protein [Picrophilus torridus]</t>
  </si>
  <si>
    <t>PBCV-specific basic adaptor domain-containing protein n=1 Tax=Paramecium bursaria Chlorella virus KS1B TaxID=1278258 RepID=M1HWL7_9PHYC</t>
  </si>
  <si>
    <t>11.09.P1-6.501-49_15</t>
  </si>
  <si>
    <t>sp|O95376|ARI2_HUMAN E3 ubiquitin-protein ligase ARIH2 OS=Homo sapiens OX=9606 GN=ARIH2 PE=1 SV=1</t>
  </si>
  <si>
    <t>KOG1812 [FUNC="Predicted E3 ubiquitin ligase"] [shortName=] [TAG=O TAGDEF="Posttranslational modification, protein turnover, chaperones" PROCESS="CELLULAR PROCESSES AND SIGNALING"]  [PATHWAY=""]</t>
  </si>
  <si>
    <t>RING-type domain-containing protein n=1 Tax=Trichomonas vaginalis (strain ATCC PRA-98 / G3) TaxID=412133 RepID=A2G368_TRIV3</t>
  </si>
  <si>
    <t>11.09.P1-6.506-5.9_14</t>
  </si>
  <si>
    <t>11.09.P1-6.512-35_14</t>
  </si>
  <si>
    <t>11.09.P1-6.512-35_18</t>
  </si>
  <si>
    <t>Tlr 6F-like protein n=1 Tax=Chrysochromulina parva virophage Curly TaxID=2420054 RepID=A0A4P1LUE1_9VIRU</t>
  </si>
  <si>
    <t>11.09.P1-6.512-35_35</t>
  </si>
  <si>
    <t>sp|P49540|YCF45_TRICV Uncharacterized protein ycf45 OS=Trieres chinensis OX=1514140 GN=ycf45 PE=3 SV=1</t>
  </si>
  <si>
    <t>COG3854 [FUNC="Stage III sporulation protein SpoIIIAA"] [shortName=SpoIIIAA] [TAG=D TAGDEF="Cell cycle control, cell division, chromosome partitioning" PROCESS="CELLULAR PROCESSES AND SIGNALING"]  [PATHWAY=""] single-stranded DNA-binding protein [Thermobaculum terrenum]</t>
  </si>
  <si>
    <t>Stage III sporulation protein SpoIIIAA n=2 Tax=Thiohalorhabdus denitrificans TaxID=381306 RepID=A0A1G5BTK6_9GAMM</t>
  </si>
  <si>
    <t>11.09.P1-6.549-20_1</t>
  </si>
  <si>
    <t>Uncharacterized protein n=5 Tax=unclassified Prasinovirus TaxID=880158 RepID=I3UJX0_9PHYC</t>
  </si>
  <si>
    <t>11.09.P1-6.549-20_9</t>
  </si>
  <si>
    <t>11.09.P1-6.583-38_29</t>
  </si>
  <si>
    <t>11.09.P1-6.583-38_6</t>
  </si>
  <si>
    <t>Major capsid protein VP54 n=1 Tax=Paramecium bursaria Chlorella virus KS1B TaxID=1278258 RepID=M1HX28_9PHYC</t>
  </si>
  <si>
    <t>11.09.P1-6.590-63_11</t>
  </si>
  <si>
    <t>COG0463 [FUNC="Glycosyltransferase involved in cell wall bisynthesis"] [shortName=WcaA] [TAG=M TAGDEF="Cell wall/membrane/envelope biogenesis" PROCESS="CELLULAR PROCESSES AND SIGNALING"]  [PATHWAY=""] glycosyltransferase family 2 protein [Bibersteinia trehalosi]</t>
  </si>
  <si>
    <t>11.09.P1-6.590-63_29</t>
  </si>
  <si>
    <t>sp|P0C927|ASB14_RAT Ankyrin repeat and SOCS box protein 14 OS=Rattus norvegicus OX=10116 GN=Asb14 PE=3 SV=1</t>
  </si>
  <si>
    <t>COG0666 [FUNC="Ankyrin repeat"] [shortName=ANKYR] [TAG=T TAGDEF="Signal transduction mechanisms" PROCESS="CELLULAR PROCESSES AND SIGNALING"]  [PATHWAY=""] hypothetical protein [Brachyspira intermedia]</t>
  </si>
  <si>
    <t>Uncharacterized protein n=1 Tax=Alkalicoccus saliphilus TaxID=200989 RepID=A0A2T4U318_9BACI</t>
  </si>
  <si>
    <t>11.09.P1-6.605-39_18</t>
  </si>
  <si>
    <t>Putative capsid protein n=1 Tax=Dishui Lake large algae virus 1 TaxID=2704073 RepID=A0A6G6XQE7_9VIRU</t>
  </si>
  <si>
    <t>11.09.P1-6.620-14_1</t>
  </si>
  <si>
    <t>VOG12466 [FUNC="REFSEQ hypothetical protein"] [TAG=Xu TAGDEF="Function unknown"]</t>
  </si>
  <si>
    <t>11.09.P1-6.620-14_10</t>
  </si>
  <si>
    <t>COG0270 [FUNC="DNA-cytosine methylase"] [shortName=Dcm] [TAG=L TAGDEF="Replication, recombination and repair" PROCESS="INFORMATION STORAGE AND PROCESSING"]  [PATHWAY=""] DNA (cytosine-5-)-methyltransferase [Dokdonella koreensis]</t>
  </si>
  <si>
    <t>Cytosine-specific methyltransferase n=1 Tax=Pseudomonas sp. FDAARGOS_761 TaxID=2545800 RepID=A0A6N0KPK1_9PSED</t>
  </si>
  <si>
    <t>11.09.P1-6.620-14_3</t>
  </si>
  <si>
    <t>11.09.P1-6.620-14_8</t>
  </si>
  <si>
    <t>11.09.P1-6.670-36_1</t>
  </si>
  <si>
    <t>Uncharacterized protein n=1 Tax=Bathycoccus sp. RCC716 virus 2 TaxID=2530039 RepID=A0A7S6NYI8_9PHYC</t>
  </si>
  <si>
    <t>11.09.P1-6.670-36_12</t>
  </si>
  <si>
    <t>sp|A5PMF6|GT251_DANRE Procollagen galactosyltransferase 1 OS=Danio rerio OX=7955 GN=colgalt1 PE=3 SV=1</t>
  </si>
  <si>
    <t>COG3306 [FUNC="Glycosyltransferase involved in LPS biosynthesis, GR25 family"] [shortName=] [TAG=M TAGDEF="Cell wall/membrane/envelope biogenesis" PROCESS="CELLULAR PROCESSES AND SIGNALING"]  [PATHWAY=""] hypothetical protein [Gemmobacter sp. HYN0069]</t>
  </si>
  <si>
    <t>Glycosyl transferase n=1 Tax=Chlorella sorokiniana TaxID=3076 RepID=A0A2P6TV65_CHLSO</t>
  </si>
  <si>
    <t>11.09.P1-6.670-36_5</t>
  </si>
  <si>
    <t>Large eukaryotic DNA virus major capsid protein-domain-containing protein n=1 Tax=Catenaria anguillulae PL171 TaxID=765915 RepID=A0A1Y2H8B9_9FUNG</t>
  </si>
  <si>
    <t>11.09.P1-6.670-36_7</t>
  </si>
  <si>
    <t>sp|P13100|TYSY_PNECA Thymidylate synthase OS=Pneumocystis carinii OX=4754 GN=THYA PE=1 SV=1</t>
  </si>
  <si>
    <t>thymidylate synthase n=1 Tax=Mixia osmundae (strain CBS 9802 / IAM 14324 / JCM 22182 / KY 12970) TaxID=764103 RepID=G7E3K6_MIXOS</t>
  </si>
  <si>
    <t>11.09.P1-6.863-14_7</t>
  </si>
  <si>
    <t>VOG36897 [FUNC="REFSEQ hypothetical protein"] [TAG=Xu TAGDEF="Function unknown"]</t>
  </si>
  <si>
    <t>Tail fiber protein n=1 Tax=Ostreococcus tauri virus 2 TaxID=696472 RepID=E4WLU0_9PHYC</t>
  </si>
  <si>
    <t>11.09.P1-6.863-14_8</t>
  </si>
  <si>
    <t>VOG02434 [FUNC="REFSEQ Fascin-like incomplete domain containing protein"] [TAG=Xu TAGDEF="Function unknown"]</t>
  </si>
  <si>
    <t>Ig-like domain-containing protein n=1 Tax=Virus NIOZ-UU159 TaxID=2763270 RepID=A0A7S9XFT8_9VIRU</t>
  </si>
  <si>
    <t>11.09.P1-7.006-11_16</t>
  </si>
  <si>
    <t>11.09.P1-7.006-11_2</t>
  </si>
  <si>
    <t>11.09.P1-7.028-47_1</t>
  </si>
  <si>
    <t>11.09.P1-7.028-47_10</t>
  </si>
  <si>
    <t>COG4886 [FUNC="Leucine-rich repeat (LRR) protein"] [shortName=LRR] [TAG=K TAGDEF="Transcription" PROCESS="INFORMATION STORAGE AND PROCESSING"]  [PATHWAY=""] hypothetical protein [Catenulispora acidiphila]</t>
  </si>
  <si>
    <t>11.09.P1-7.028-47_21</t>
  </si>
  <si>
    <t>11.09.P1-7.028-47_22</t>
  </si>
  <si>
    <t>11.09.P1-7.028-47_5</t>
  </si>
  <si>
    <t>11.09.P1-7.132-201_1</t>
  </si>
  <si>
    <t>LamG-like jellyroll fold domain-containing protein n=1 Tax=Yellowstone lake phycodnavirus 1 TaxID=1586713 RepID=A0A0P0YMD2_9PHYC</t>
  </si>
  <si>
    <t>11.09.P1-7.132-201_5</t>
  </si>
  <si>
    <t>Major capsid protein VP54 n=1 Tax=Paramecium bursaria Chlorella virus KS1B TaxID=1278258 RepID=M1HS05_9PHYC</t>
  </si>
  <si>
    <t>11.09.P1-7.132-201_6</t>
  </si>
  <si>
    <t>sp|A7MQL5|UBIB_CROS8 Probable protein kinase UbiB OS=Cronobacter sakazakii (strain ATCC BAA-894) OX=290339 GN=ubiB PE=3 SV=1</t>
  </si>
  <si>
    <t>COG0661 [FUNC="Predicted protein kinase regulating ubiquinone biosynthesis, AarF/ABC1/UbiB family"] [shortName=AarF] [TAG=H TAGDEF="Coenzyme transport and metabolism" PROCESS="METABOLISM"] [TAG=T TAGDEF="Signal transduction mechanisms" PROCESS="CELLULAR PROCESSES AND SIGNALING"]  [PATHWAY="Ubiquinone biosynthesis"] AarF/ABC1/UbiB kinase family protein [Flexistipes sinusarabici]</t>
  </si>
  <si>
    <t>2-polyprenylphenol 6-hydroxylase n=1 Tax=Dishui Lake large algae virus 1 TaxID=2704073 RepID=A0A6G6XPY3_9VIRU</t>
  </si>
  <si>
    <t>11.09.P1-7.132-201_9</t>
  </si>
  <si>
    <t>sp|Q5U483|G251B_XENLA Procollagen galactosyltransferase 1-B OS=Xenopus laevis OX=8355 GN=colgalt1-b PE=2 SV=1</t>
  </si>
  <si>
    <t>COG3306 [FUNC="Glycosyltransferase involved in LPS biosynthesis, GR25 family"] [shortName=] [TAG=M TAGDEF="Cell wall/membrane/envelope biogenesis" PROCESS="CELLULAR PROCESSES AND SIGNALING"]  [PATHWAY=""] Glycosyltransferase [Candidatus Tokpelaia hoelldoblerii]</t>
  </si>
  <si>
    <t>Glycosyltransferase family 25 n=1 Tax=Micractinium conductrix TaxID=554055 RepID=A0A2P6VHF9_9CHLO</t>
  </si>
  <si>
    <t>11.09.P1-7.561-29_15</t>
  </si>
  <si>
    <t>11.09.P1-7.561-29_16</t>
  </si>
  <si>
    <t>11.09.P1-7.561-29_4</t>
  </si>
  <si>
    <t>Major capsid protein VP54 n=1 Tax=Paramecium bursaria Chlorella virus CvsA1 TaxID=1278254 RepID=M1HL12_9PHYC</t>
  </si>
  <si>
    <t>11.09.P1-7.567-48_1</t>
  </si>
  <si>
    <t>11.09.P1-7.567-48_14</t>
  </si>
  <si>
    <t>sp|Q9ZHQ4|TYLE_STRFR Demethylmacrocin O-methyltransferase OS=Streptomyces fradiae OX=1906 GN=tylE PE=1 SV=1</t>
  </si>
  <si>
    <t>COG1216 [FUNC="Glycosyltransferase, GT2 family"] [shortName=WcaE] [TAG=G TAGDEF="Carbohydrate transport and metabolism" PROCESS="METABOLISM"]  [PATHWAY=""] hypothetical protein [Sulfuriferula sp. AH1]</t>
  </si>
  <si>
    <t>VOG08064 [FUNC="sp|Q83WF2|MYCE_MICGR Mycinamicin VI 2''-O-methyltransferase"] [TAG=Xh TAGDEF="Virus protein with function beneficial for the host"]</t>
  </si>
  <si>
    <t>Methyltransferase n=1 Tax=Williamsia sp. Leaf354 TaxID=1736349 RepID=A0A0Q5QSS8_9NOCA</t>
  </si>
  <si>
    <t>11.09.P1-7.567-48_6</t>
  </si>
  <si>
    <t>11.09.P1-7.567-48_9</t>
  </si>
  <si>
    <t>11.09.P1-7.585-44_28</t>
  </si>
  <si>
    <t>11.09.P1-7.787-12_16</t>
  </si>
  <si>
    <t>WLM domain-containing protein n=1 Tax=Paramecium bursaria Chlorella virus NE-JV-1 TaxID=1278261 RepID=M1I2Q0_9PHYC</t>
  </si>
  <si>
    <t>11.09.P1-7.787-12_6</t>
  </si>
  <si>
    <t>11.09.P1-7.858-45_2</t>
  </si>
  <si>
    <t>sp|Q8SR75|RPB2_ENCCU DNA-directed RNA polymerase II subunit RPB2 OS=Encephalitozoon cuniculi (strain GB-M1) OX=284813 GN=RPB2 PE=3 SV=1</t>
  </si>
  <si>
    <t>KOG0214 [FUNC="RNA polymerase II, second largest subunit"] [shortName=] [TAG=K TAGDEF="Transcription" PROCESS="INFORMATION STORAGE AND PROCESSING"]  [PATHWAY=""]</t>
  </si>
  <si>
    <t>VOG01377 [FUNC="sp|Q76ZP7|RP132_VACCW DNA-directed RNA polymerase 133 kDa polypeptide"] [TAG=Xh TAGDEF="Virus protein with function beneficial for the host"]</t>
  </si>
  <si>
    <t>DNA-directed RNA polymerase subunit beta n=1 Tax=Nannochloropsis gaditana TaxID=72520 RepID=W7TPI7_9STRA</t>
  </si>
  <si>
    <t>11.09.P1-7.858-45_3</t>
  </si>
  <si>
    <t>sp|Q5JE31|RPO5_THEKO DNA-directed RNA polymerase subunit Rpo5 OS=Thermococcus kodakarensis (strain ATCC BAA-918 / JCM 12380 / KOD1) OX=69014 GN=rpo5 PE=1 SV=1</t>
  </si>
  <si>
    <t>COG2012 [FUNC="DNA-directed RNA polymerase, subunit H, RpoH/RPB5"] [shortName=RPB5] [TAG=K TAGDEF="Transcription" PROCESS="INFORMATION STORAGE AND PROCESSING"]  [PATHWAY="RNA polymerase"] DNA-directed RNA polymerase subunit H [Thermococcus kodakarensis]</t>
  </si>
  <si>
    <t>DNA-directed RNA polymerase II, subunit RpB5 n=1 Tax=Chrysochromulina ericina virus TaxID=455364 RepID=A0A0N9R3T1_CEV01</t>
  </si>
  <si>
    <t>11.09.P1-7.892-12_20</t>
  </si>
  <si>
    <t>sp|G0SA56|MLP1_CHATD Protein MLP1 homolog OS=Chaetomium thermophilum (strain DSM 1495 / CBS 144.50 / IMI 039719) OX=759272 GN=MLP1 PE=3 SV=1</t>
  </si>
  <si>
    <t>Chromosome partition protein Smc n=1 Tax=Mycoplasma feriruminatoris TaxID=1179777 RepID=A0A654IQI4_9MOLU</t>
  </si>
  <si>
    <t>11.09.P1-7.892-12_27</t>
  </si>
  <si>
    <t>11.09.P1-7.892-12_33</t>
  </si>
  <si>
    <t>2OG-Fe(II) oxygenase n=1 Tax=Lysobacter silvisoli TaxID=2293254 RepID=A0A371K6U2_9GAMM</t>
  </si>
  <si>
    <t>11.09.P1-8.608-26_20</t>
  </si>
  <si>
    <t>VOG19339 [FUNC="REFSEQ N-acetyl-glucosamine transferase"] [TAG=Xu TAGDEF="Function unknown"]</t>
  </si>
  <si>
    <t>[Skp1-protein]-hydroxyproline N-acetylglucosaminyltransferase n=1 Tax=Coccomyxa sp. Obi TaxID=2315456 RepID=A0A8J9SGY1_9CHLO</t>
  </si>
  <si>
    <t>11.09.P1-8.608-26_33</t>
  </si>
  <si>
    <t>Uncharacterized protein n=1 Tax=Micromonas pusilla virus 12T TaxID=755272 RepID=M4QMJ5_9PHYC</t>
  </si>
  <si>
    <t>11.09.P1-8.672-22_15</t>
  </si>
  <si>
    <t>Glycosyl transferase n=1 Tax=Paramecium bursaria Chlorella virus MA1D TaxID=240268 RepID=M1HXM7_9PHYC</t>
  </si>
  <si>
    <t>11.09.P1-8.672-22_26</t>
  </si>
  <si>
    <t>11.09.P1-8.899-15_17</t>
  </si>
  <si>
    <t>Major capsid protein VP54 n=1 Tax=Paramecium bursaria Chlorella virus NW665.2 TaxID=1278263 RepID=M1I6P5_9PHYC</t>
  </si>
  <si>
    <t>11.09.P1-8.899-15_18</t>
  </si>
  <si>
    <t>11.09.P1-8.899-15_29</t>
  </si>
  <si>
    <t>Uncharacterized protein n=1 Tax=Ostreococcus lucimarinus virus 1 TaxID=880162 RepID=E5ERP2_9PHYC</t>
  </si>
  <si>
    <t>11.09.P1-8.899-15_35</t>
  </si>
  <si>
    <t>sp|O70511|ANK3_RAT Ankyrin-3 OS=Rattus norvegicus OX=10116 GN=Ank3 PE=1 SV=3</t>
  </si>
  <si>
    <t>Galectin domain-containing protein n=1 Tax=Caenorhabditis auriculariae TaxID=2777116 RepID=A0A8S1HJD8_9PELO</t>
  </si>
  <si>
    <t>11.09.P1-8.899-15_37</t>
  </si>
  <si>
    <t>11.09.P1-9.596-11_12</t>
  </si>
  <si>
    <t>11.09.P1-9.596-11_28</t>
  </si>
  <si>
    <t>11.09.P1-9.596-11_32</t>
  </si>
  <si>
    <t>COG3854 [FUNC="Stage III sporulation protein SpoIIIAA"] [shortName=SpoIIIAA] [TAG=D TAGDEF="Cell cycle control, cell division, chromosome partitioning" PROCESS="CELLULAR PROCESSES AND SIGNALING"]  [PATHWAY=""] single-stranded DNA-binding protein [Thermodesulfobium narugense]</t>
  </si>
  <si>
    <t>Stage III sporulation protein SpoIIIAA n=2 Tax=Thermodesulfobium TaxID=227388 RepID=A0A2R4VZV9_THEAF</t>
  </si>
  <si>
    <t>11.09.P1-9.596-11_34</t>
  </si>
  <si>
    <t>11.09.P1-9.596-11_35</t>
  </si>
  <si>
    <t>COG4675 [FUNC="Phage tail collar domain"] [shortName=MdpB] [TAG=X TAGDEF="Mobilome: prophages, transposons" PROCESS=""]  [PATHWAY=""] hypothetical protein [Aurantimicrobium minutum]</t>
  </si>
  <si>
    <t>Collagen-like protein n=2 Tax=Oscillospiraceae TaxID=216572 RepID=A0A1Y4ND36_9FIRM</t>
  </si>
  <si>
    <t>11.09.P1-9.777-23_16</t>
  </si>
  <si>
    <t>Uncharacterized protein n=1 Tax=Chlorella desiccata (nom. nud.) TaxID=1650286 RepID=A0A8T2VUA0_9CHLO</t>
  </si>
  <si>
    <t>11.09.P1-9.777-23_18</t>
  </si>
  <si>
    <t>Eukaryotic translation initiation factor 4C n=1 Tax=Thraustotheca clavata TaxID=74557 RepID=A0A1V9ZAE4_9STRA</t>
  </si>
  <si>
    <t>11.09.P1-9.777-23_23</t>
  </si>
  <si>
    <t>11.09.P1-9.777-23_24</t>
  </si>
  <si>
    <t>11.09.P1-9.777-23_27</t>
  </si>
  <si>
    <t>11.09.P1-9.777-23_28</t>
  </si>
  <si>
    <t>11.09.P1-9.777-23_3</t>
  </si>
  <si>
    <t>COG3401 [FUNC="Fibronectin type 3 domain"] [shortName=FN3] [TAG=R TAGDEF="General function prediction only" PROCESS="POORLY CHARACTERIZED"]  [PATHWAY=""] hypothetical protein [Filimonas lacunae]</t>
  </si>
  <si>
    <t>Possible ATP/GTP-binding protein n=1 Tax=Paenibacillus sp. NAIST15-1 TaxID=1605994 RepID=A0A1E1VGX2_9BACL</t>
  </si>
  <si>
    <t>11.09.P1-9.777-23_30</t>
  </si>
  <si>
    <t>11.09.P1-9.777-23_32</t>
  </si>
  <si>
    <t>sp|O07921|CHIS_BACSU Chitosanase OS=Bacillus subtilis (strain 168) OX=224308 GN=csn PE=1 SV=1</t>
  </si>
  <si>
    <t>Chitosanase n=1 Tax=Paramecium bursaria Chlorella virus CvsA1 TaxID=1278254 RepID=M1HS73_9PHYC</t>
  </si>
  <si>
    <t>11.09.P1-9.805-56_1</t>
  </si>
  <si>
    <t>11.09.P1-9.805-56_12</t>
  </si>
  <si>
    <t>11.09.P1-9.805-56_14</t>
  </si>
  <si>
    <t>11.09.P1-9.805-56_16</t>
  </si>
  <si>
    <t>sp|P33316|DUT_HUMAN Deoxyuridine 5'-triphosphate nucleotidohydrolase, mitochondrial OS=Homo sapiens OX=9606 GN=DUT PE=1 SV=4</t>
  </si>
  <si>
    <t>11.09.P1-9.805-56_24</t>
  </si>
  <si>
    <t>11.09.P1-9.805-56_31</t>
  </si>
  <si>
    <t>11.09.P1-9.805-56_5</t>
  </si>
  <si>
    <t>11.09.P1-9.805-56_6</t>
  </si>
  <si>
    <t>Proliferating cell nuclear antigen n=1 Tax=Coccomyxa sp. Obi TaxID=2315456 RepID=A0A8J9RBT6_9CHLO</t>
  </si>
  <si>
    <t>11.09.P1-9.913-52_11</t>
  </si>
  <si>
    <t>11.09.P1-9.913-52_15</t>
  </si>
  <si>
    <t>Phage protein n=1 Tax=Ligilactobacillus acidipiscis TaxID=89059 RepID=A0A0R2KLQ0_9LACO</t>
  </si>
  <si>
    <t>11.09.P1-9.913-52_17</t>
  </si>
  <si>
    <t>Uncharacterized protein n=1 Tax=Klebsormidium nitens TaxID=105231 RepID=A0A1Y1IUW3_KLENI</t>
  </si>
  <si>
    <t>11.09.P1-9.913-52_2</t>
  </si>
  <si>
    <t>COG4951 [FUNC="Uncharacterized conserved protein"] [shortName=] [TAG=S TAGDEF="Function unknown" PROCESS="POORLY CHARACTERIZED"]  [PATHWAY=""] DEAD/DEAH box helicase [Hydrogenophaga sp. PBC]</t>
  </si>
  <si>
    <t>Uncharacterized protein B203R n=1 Tax=Paramecium bursaria Chlorella virus NY2A TaxID=46021 RepID=A7IW78_PBCVN</t>
  </si>
  <si>
    <t>11.09.P1-9.913-52_26</t>
  </si>
  <si>
    <t>Periaxin n=1 Tax=Larimichthys crocea TaxID=215358 RepID=A0A6G0IUN4_LARCR</t>
  </si>
  <si>
    <t>11.09.P1-9.913-52_31</t>
  </si>
  <si>
    <t>Tail fiber protein n=1 Tax=Hafnia phage yong3 TaxID=2928840 RepID=A0A9Y1CQ58_9CAUD</t>
  </si>
  <si>
    <t>11.09.P1-9.913-52_5</t>
  </si>
  <si>
    <t>11.09.P2-10.133-65_10</t>
  </si>
  <si>
    <t>11.09.P2-10.133-65_17</t>
  </si>
  <si>
    <t>11.09.P2-10.133-65_2</t>
  </si>
  <si>
    <t>11.09.P2-10.133-65_25</t>
  </si>
  <si>
    <t>11.09.P2-10.133-65_26</t>
  </si>
  <si>
    <t>11.09.P2-10.133-65_27</t>
  </si>
  <si>
    <t>11.09.P2-10.133-65_5</t>
  </si>
  <si>
    <t>11.09.P2-10.168-49_1</t>
  </si>
  <si>
    <t>11.09.P2-10.168-49_26</t>
  </si>
  <si>
    <t>11.09.P2-10.168-49_27</t>
  </si>
  <si>
    <t>11.09.P2-10.168-49_3</t>
  </si>
  <si>
    <t>11.09.P2-10.168-49_31</t>
  </si>
  <si>
    <t>sp|P36170|FLO10_YEAST Flocculation protein FLO10 OS=Saccharomyces cerevisiae (strain ATCC 204508 / S288c) OX=559292 GN=FLO10 PE=3 SV=1</t>
  </si>
  <si>
    <t>COG2133 [FUNC="Glucose/arabinose dehydrogenase, beta-propeller fold"] [shortName=YliI] [TAG=G TAGDEF="Carbohydrate transport and metabolism" PROCESS="METABOLISM"]  [PATHWAY=""] carbohydrate-binding protein [Chryseolinea sp. KIS68-18]</t>
  </si>
  <si>
    <t>PA14 domain-containing protein n=1 Tax=Bathycoccus sp. RCC1105 virus BpV1 TaxID=880159 RepID=E5ESL5_9PHYC</t>
  </si>
  <si>
    <t>11.09.P2-10.168-49_5</t>
  </si>
  <si>
    <t>11.09.P2-10.168-49_6</t>
  </si>
  <si>
    <t>sp|P48846|CHIS_NOCSP Chitosanase OS=Nocardioides sp. (strain N106) OX=47919 GN=csn PE=3 SV=1</t>
  </si>
  <si>
    <t>Chitosanase n=1 Tax=Paramecium bursaria Chlorella virus NE-JV-1 TaxID=1278261 RepID=M1HAZ2_9PHYC</t>
  </si>
  <si>
    <t>11.09.P2-10.202-50_7</t>
  </si>
  <si>
    <t>sp|O74288|ABFB_EMENI Alpha-L-arabinofuranosidase B OS=Emericella nidulans (strain FGSC A4 / ATCC 38163 / CBS 112.46 / NRRL 194 / M139) OX=227321 GN=abfB PE=1 SV=1</t>
  </si>
  <si>
    <t>EGF-like domain-containing protein n=1 Tax=Chromera velia CCMP2878 TaxID=1169474 RepID=A0A0G4GSL1_9ALVE</t>
  </si>
  <si>
    <t>11.09.P2-10.202-50_9</t>
  </si>
  <si>
    <t>11.09.P2-10.230-29_13</t>
  </si>
  <si>
    <t>11.09.P2-10.230-29_7</t>
  </si>
  <si>
    <t>COG1216 [FUNC="Glycosyltransferase, GT2 family"] [shortName=WcaE] [TAG=G TAGDEF="Carbohydrate transport and metabolism" PROCESS="METABOLISM"]  [PATHWAY=""] glycosyltransferase family 2 protein [Kingella kingae]</t>
  </si>
  <si>
    <t>Glycosyl transferase n=1 Tax=Paramecium bursaria Chlorella virus CviKI TaxID=1278253 RepID=M1HML4_9PHYC</t>
  </si>
  <si>
    <t>11.09.P2-10.237-50_18</t>
  </si>
  <si>
    <t>Uncharacterized protein n=1 Tax=Acanthocystis turfacea Chlorella virus GM0701.1 TaxID=1278271 RepID=M1HTV9_9PHYC</t>
  </si>
  <si>
    <t>11.09.P2-10.237-50_22</t>
  </si>
  <si>
    <t>11.09.P2-10.237-50_31</t>
  </si>
  <si>
    <t>11.09.P2-10.237-50_34</t>
  </si>
  <si>
    <t>11.09.P2-10.237-50_7</t>
  </si>
  <si>
    <t>11.09.P2-10.424-14_24</t>
  </si>
  <si>
    <t>Uncharacterized protein n=1 Tax=Dishui Lake large algae virus 1 TaxID=2704073 RepID=A0A6G6XPG6_9VIRU</t>
  </si>
  <si>
    <t>11.09.P2-10.424-14_35</t>
  </si>
  <si>
    <t>IPT/TIG domain-containing protein n=1 Tax=Coniophora puteana (strain RWD-64-598) TaxID=741705 RepID=A0A5M3MVI4_CONPW</t>
  </si>
  <si>
    <t>11.09.P2-10.424-14_46</t>
  </si>
  <si>
    <t>11.09.P2-10.424-14_6</t>
  </si>
  <si>
    <t>11.09.P2-10.433-30_14</t>
  </si>
  <si>
    <t>11.09.P2-10.433-30_30</t>
  </si>
  <si>
    <t>11.09.P2-10.468-21_10</t>
  </si>
  <si>
    <t>sp|Q6DG60|UBE2Z_DANRE Ubiquitin-conjugating enzyme E2 Z OS=Danio rerio OX=7955 GN=ube2z PE=2 SV=2</t>
  </si>
  <si>
    <t>UBC core domain-containing protein n=1 Tax=Valsa malicola TaxID=356882 RepID=A0A423WR08_9PEZI</t>
  </si>
  <si>
    <t>11.09.P2-10.468-21_11</t>
  </si>
  <si>
    <t>sp|P38078|VATA_CANTR V-type proton ATPase catalytic subunit A OS=Candida tropicalis OX=5482 GN=VMA1 PE=3 SV=1</t>
  </si>
  <si>
    <t>COG0305 [FUNC="Replicative DNA helicase"] [shortName=DnaB] [TAG=L TAGDEF="Replication, recombination and repair" PROCESS="INFORMATION STORAGE AND PROCESSING"]  [PATHWAY=""] replicative DNA helicase [Sulfurovum sp. NBC37-1]</t>
  </si>
  <si>
    <t>DEAD-like RNA helicase, superfamily II n=1 Tax=Chrysochromulina ericina virus TaxID=455364 RepID=A0A0N9R1K5_CEV01</t>
  </si>
  <si>
    <t>11.09.P2-10.468-21_2</t>
  </si>
  <si>
    <t>Holliday junction resolvase n=1 Tax=Mimivirus AB-566-O17 TaxID=1988039 RepID=A0A1X9VNW6_9VIRU</t>
  </si>
  <si>
    <t>11.09.P2-10.468-21_3</t>
  </si>
  <si>
    <t>COG0305 [FUNC="Replicative DNA helicase"] [shortName=DnaB] [TAG=L TAGDEF="Replication, recombination and repair" PROCESS="INFORMATION STORAGE AND PROCESSING"]  [PATHWAY=""] replicative DNA helicase [Ignavibacterium album]</t>
  </si>
  <si>
    <t>Packaging ATPase n=1 Tax=Mimiviridae sp. ChoanoV1 TaxID=2596887 RepID=A0A5B8IQH5_9VIRU</t>
  </si>
  <si>
    <t>11.09.P2-10.468-21_4</t>
  </si>
  <si>
    <t>sp|Q10038|VHP1_CAEEL Tyrosine-protein phosphatase vhp-1 OS=Caenorhabditis elegans OX=6239 GN=vhp-1 PE=1 SV=2</t>
  </si>
  <si>
    <t>Protein phosphatase n=1 Tax=Paramecium bursaria Chlorella virus 1 TaxID=10506 RepID=Q84621_PBCV1</t>
  </si>
  <si>
    <t>11.09.P2-10.468-21_6</t>
  </si>
  <si>
    <t>Late transcription factor VLTF3 like protein n=1 Tax=Virus NIOZ-UU159 TaxID=2763270 RepID=A0A7S9XEB1_9VIRU</t>
  </si>
  <si>
    <t>11.09.P2-10.468-21_7</t>
  </si>
  <si>
    <t>RING domain protein n=1 Tax=Hokovirus HKV1 TaxID=1977638 RepID=A0A1V0SG67_9VIRU</t>
  </si>
  <si>
    <t>11.09.P2-10.468-21_8</t>
  </si>
  <si>
    <t>sp|Q5A4N0|ATG15_CANAL Putative lipase ATG15 OS=Candida albicans (strain SC5314 / ATCC MYA-2876) OX=237561 GN=ATG15 PE=3 SV=1</t>
  </si>
  <si>
    <t>KOG4540 [FUNC="Putative lipase essential for disintegration of autophagic bodies inside the vacuole"] [shortName=] [TAG=U TAGDEF="Intracellular trafficking, secretion, and vesicular transport" PROCESS="CELLULAR PROCESSES AND SIGNALING"] [TAG=I TAGDEF="Lipid transport and metabolism" PROCESS="METABOLISM"]  [PATHWAY=""]</t>
  </si>
  <si>
    <t>14604_t:CDS:1 n=1 Tax=Funneliformis geosporum TaxID=1117311 RepID=A0A9W4WXM7_9GLOM</t>
  </si>
  <si>
    <t>11.09.P2-10.536-52_25</t>
  </si>
  <si>
    <t>BAH domain-containing protein n=1 Tax=Monosiga brevicollis TaxID=81824 RepID=A9UTI4_MONBE</t>
  </si>
  <si>
    <t>11.09.P2-10.536-52_37</t>
  </si>
  <si>
    <t>Uncharacterized protein B536R n=1 Tax=Paramecium bursaria Chlorella virus NY2A TaxID=46021 RepID=A7IX61_PBCVN</t>
  </si>
  <si>
    <t>11.09.P2-10.536-52_40</t>
  </si>
  <si>
    <t>11.09.P2-10.536-52_49</t>
  </si>
  <si>
    <t>sp|Q8K330|SSH3_MOUSE Protein phosphatase Slingshot homolog 3 OS=Mus musculus OX=10090 GN=Ssh3 PE=1 SV=1</t>
  </si>
  <si>
    <t>Dual specificity protein phosphatase 16 / mitogen n=1 Tax=Only Syngen Nebraska virus 5 TaxID=1917232 RepID=A0A1J0F9J5_9PHYC</t>
  </si>
  <si>
    <t>11.09.P2-10.536-52_6</t>
  </si>
  <si>
    <t>11.09.P2-10.796-14_4</t>
  </si>
  <si>
    <t>sp|Q5UQU6|MUTSL_MIMIV Putative DNA mismatch repair protein mutS homolog L359 OS=Acanthamoeba polyphaga mimivirus OX=212035 GN=MIMI_L359 PE=3 SV=1</t>
  </si>
  <si>
    <t>COG0249 [FUNC="DNA mismatch repair ATPase MutS"] [shortName=MutS] [TAG=L TAGDEF="Replication, recombination and repair" PROCESS="INFORMATION STORAGE AND PROCESSING"]  [PATHWAY=""] DNA mismatch repair protein [Arcobacter nitrofigilis]</t>
  </si>
  <si>
    <t>VOG00408 [FUNC="sp|P76162|YDFU_ECOLI Uncharacterized protein YdfU"] [TAG=Xu TAGDEF="Function unknown"]</t>
  </si>
  <si>
    <t>MutS domain V n=1 Tax=Mimiviridae sp. ChoanoV1 TaxID=2596887 RepID=A0A5B8IIK9_9VIRU</t>
  </si>
  <si>
    <t>11.09.P2-10.796-14_6</t>
  </si>
  <si>
    <t>Clavaminate synthase n=1 Tax=Trebouxia sp. A1-2 TaxID=2608996 RepID=A0A5J4YAL0_9CHLO</t>
  </si>
  <si>
    <t>11.09.P2-11.086-15_1</t>
  </si>
  <si>
    <t>11.09.P2-11.086-15_2</t>
  </si>
  <si>
    <t>11.09.P2-11.086-15_34</t>
  </si>
  <si>
    <t>11.09.P2-11.086-15_5</t>
  </si>
  <si>
    <t>Uncharacterized protein n=1 Tax=Only Syngen Nebraska virus 5 TaxID=1917232 RepID=A0A1J0F9V9_9PHYC</t>
  </si>
  <si>
    <t>11.09.P2-11.086-15_9</t>
  </si>
  <si>
    <t>11.09.P2-11.105-17_10</t>
  </si>
  <si>
    <t>sp|P30774|MTX1_XANCC Type II methyltransferase M.XycI OS=Xanthomonas campestris pv. cyanopsidis OX=29444 GN=xcyIM PE=3 SV=1</t>
  </si>
  <si>
    <t>COG0863 [FUNC="DNA modification methylase"] [shortName=YhdJ] [TAG=L TAGDEF="Replication, recombination and repair" PROCESS="INFORMATION STORAGE AND PROCESSING"]  [PATHWAY=""] MULTISPECIES: site-specific DNA-methyltransferase [Gammaproteobacteria]</t>
  </si>
  <si>
    <t>VOG00131 [FUNC="sp|P14243|MTC9_CITFR Type II methyltransferase M.Cfr9I"] [TAG=Xh TAGDEF="Virus protein with function beneficial for the host"]</t>
  </si>
  <si>
    <t>site-specific DNA-methyltransferase (cytosine-N(4)-specific) n=1 Tax=Bordetella phage vB_BbrM_PHB04 TaxID=2029657 RepID=A0A291LAN5_9CAUD</t>
  </si>
  <si>
    <t>11.09.P2-11.105-17_15</t>
  </si>
  <si>
    <t>sp|Q28BK1|HACE1_XENTR E3 ubiquitin-protein ligase HACE1 OS=Xenopus tropicalis OX=8364 GN=hace1 PE=2 SV=1</t>
  </si>
  <si>
    <t>VOG03881 [FUNC="sp|A0A7H0DMZ9|PG023_MONPV Ankyrin repeat domain-containing protein OPG023"] [TAG=Xh TAGDEF="Virus protein with function beneficial for the host"]</t>
  </si>
  <si>
    <t>Ankyrin repeat protein n=1 Tax=Mytilus edulis TaxID=6550 RepID=A0A8S3PX83_MYTED</t>
  </si>
  <si>
    <t>11.09.P2-11.105-17_18</t>
  </si>
  <si>
    <t>sp|O52691|T2S1_STRCS Type II restriction enzyme ScaI OS=Streptomyces caespitosus OX=53502 GN=scaIR PE=4 SV=1</t>
  </si>
  <si>
    <t>Uncharacterized protein n=1 Tax=Oceanisphaera profunda TaxID=1416627 RepID=A0A1Y0D3X0_9GAMM</t>
  </si>
  <si>
    <t>11.09.P2-11.105-17_2</t>
  </si>
  <si>
    <t>sp|Q9LH76|RHM3_ARATH Trifunctional UDP-glucose 4,6-dehydratase/UDP-4-keto-6-deoxy-D-glucose 3,5-epimerase/UDP-4-keto-L-rhamnose-reductase RHM3 OS=Arabidopsis thaliana OX=3702 GN=RHM3 PE=2 SV=1</t>
  </si>
  <si>
    <t>KOG0747 [FUNC="Putative NAD+-dependent epimerases"] [shortName=] [TAG=G TAGDEF="Carbohydrate transport and metabolism" PROCESS="METABOLISM"]  [PATHWAY=""]</t>
  </si>
  <si>
    <t>GDP-L-fucose synthase 2 n=1 Tax=Acanthocystis turfacea Chlorella virus Br0604L TaxID=1278268 RepID=M1GVX5_9PHYC</t>
  </si>
  <si>
    <t>11.09.P2-11.105-17_5</t>
  </si>
  <si>
    <t>Uncharacterized protein n=1 Tax=Iridovirus LCIVAC01 TaxID=2506607 RepID=A0A481YQ49_9VIRU</t>
  </si>
  <si>
    <t>11.09.P2-11.136-22_12</t>
  </si>
  <si>
    <t>sp|Q6DH94|R1442_DANRE Probable E3 ubiquitin-protein ligase RNF144A-B OS=Danio rerio OX=7955 GN=rnf144ab PE=2 SV=1</t>
  </si>
  <si>
    <t>RING-type domain-containing protein n=2 Tax=Ostreococcus lucimarinus virus 1 TaxID=880162 RepID=E5ERV0_9PHYC</t>
  </si>
  <si>
    <t>11.09.P2-11.136-22_13</t>
  </si>
  <si>
    <t>sp|Q8KAN7|RNC_CHLTE Ribonuclease 3 OS=Chlorobaculum tepidum (strain ATCC 49652 / DSM 12025 / NBRC 103806 / TLS) OX=194439 GN=rnc PE=3 SV=1</t>
  </si>
  <si>
    <t>COG0571 [FUNC="dsRNA-specific ribonuclease"] [shortName=Rnc] [TAG=K TAGDEF="Transcription" PROCESS="INFORMATION STORAGE AND PROCESSING"]  [PATHWAY=""] ribonuclease III [Chlorobium tepidum TLS]</t>
  </si>
  <si>
    <t>Ribonuclease III n=1 Tax=Micromonas sp. RCC1109 virus MpV1 TaxID=880161 RepID=E5EQH1_9PHYC</t>
  </si>
  <si>
    <t>11.09.P2-11.136-22_8</t>
  </si>
  <si>
    <t>COG3306 [FUNC="Glycosyltransferase involved in LPS biosynthesis, GR25 family"] [shortName=] [TAG=M TAGDEF="Cell wall/membrane/envelope biogenesis" PROCESS="CELLULAR PROCESSES AND SIGNALING"]  [PATHWAY=""] MULTISPECIES: beta-1,4-galactosyltransferase [Pectobacterium]</t>
  </si>
  <si>
    <t>Putative glycosyltransferase n=1 Tax=Fragilariopsis cylindrus CCMP1102 TaxID=635003 RepID=A0A1E7FHV4_9STRA</t>
  </si>
  <si>
    <t>11.09.P2-11.164-57_16</t>
  </si>
  <si>
    <t>11.09.P2-11.164-57_24</t>
  </si>
  <si>
    <t>11.09.P2-11.164-57_40</t>
  </si>
  <si>
    <t>ATP-dependent RNA helicase n=1 Tax=Paramecium bursaria Chlorella virus Can18-4 TaxID=1278252 RepID=M1HHW6_9PHYC</t>
  </si>
  <si>
    <t>11.09.P2-11.164-57_44</t>
  </si>
  <si>
    <t>Uncharacterized protein n=1 Tax=Yellowstone lake phycodnavirus 2 TaxID=1586714 RepID=A0A0P0YN23_9PHYC</t>
  </si>
  <si>
    <t>11.09.P2-11.164-57_5</t>
  </si>
  <si>
    <t>sp|Q38394|FIB37_BPK3 Long tail fiber protein Gp37 OS=Enterobacteria phage K3 OX=10674 GN=37 PE=3 SV=1</t>
  </si>
  <si>
    <t>Peptidase S74 domain-containing protein n=1 Tax=Pedobacter sp. PACM 27299 TaxID=1727164 RepID=A0A0P0NIW7_9SPHI</t>
  </si>
  <si>
    <t>11.09.P2-11.164-57_52</t>
  </si>
  <si>
    <t>11.09.P2-11.181-53_10</t>
  </si>
  <si>
    <t>sp|K7ZP88|ATAA_ACIS5 Trimeric autotransporter adhesin AtaA OS=Acinetobacter sp. (strain Tol 5) OX=710648 GN=ataA PE=1 SV=1</t>
  </si>
  <si>
    <t>COG5295 [FUNC="Autotransporter adhesin"] [shortName=Hia] [TAG=U TAGDEF="Intracellular trafficking, secretion, and vesicular transport" PROCESS="CELLULAR PROCESSES AND SIGNALING"] [TAG=W TAGDEF="Extracellular structures" PROCESS="CELLULAR PROCESSES AND SIGNALING"]  [PATHWAY=""] hypothetical protein [Taylorella equigenitalis]</t>
  </si>
  <si>
    <t>Tail fiber domain-containing protein n=1 Tax=Arcticibacter tournemirensis TaxID=699437 RepID=A0A5M9HGP5_9SPHI</t>
  </si>
  <si>
    <t>11.09.P2-11.181-53_2</t>
  </si>
  <si>
    <t>VOG35962 [FUNC="REFSEQ hypothetical protein"] [TAG=Xu TAGDEF="Function unknown"]</t>
  </si>
  <si>
    <t>HNH endonuclease n=1 Tax=Ostreococcus lucimarinus virus 1 TaxID=880162 RepID=E5ERM9_9PHYC</t>
  </si>
  <si>
    <t>11.09.P2-11.181-53_7</t>
  </si>
  <si>
    <t>Exostosin GT47 domain-containing protein n=1 Tax=Mimivirus AB-566-O17 TaxID=1988039 RepID=A0A1X9VNN8_9VIRU</t>
  </si>
  <si>
    <t>11.09.P2-11.181-53_8</t>
  </si>
  <si>
    <t>11.09.P2-11.181-53_9</t>
  </si>
  <si>
    <t>sp|P43871|MTH3_HAEIN Type II methyltransferase M.HindIII OS=Haemophilus influenzae (strain ATCC 51907 / DSM 11121 / KW20 / Rd) OX=71421 GN=hindIIIM PE=1 SV=1</t>
  </si>
  <si>
    <t>COG0863 [FUNC="DNA modification methylase"] [shortName=YhdJ] [TAG=L TAGDEF="Replication, recombination and repair" PROCESS="INFORMATION STORAGE AND PROCESSING"]  [PATHWAY=""] site-specific DNA-methyltransferase [Bernardetia litoralis]</t>
  </si>
  <si>
    <t>DNA methylase N-4/N-6 domain-containing protein n=1 Tax=Ostreococcus lucimarinus virus 1 TaxID=880162 RepID=E5ERN0_9PHYC</t>
  </si>
  <si>
    <t>11.09.P2-11.646-43_17</t>
  </si>
  <si>
    <t>Uncharacterized protein n=1 Tax=Ralstonia phage RP13 TaxID=2743402 RepID=A0A6J4EIU1_9CAUD</t>
  </si>
  <si>
    <t>11.09.P2-11.646-43_6</t>
  </si>
  <si>
    <t>sp|Q22993|PMT2_CAEEL Phosphoethanolamine N-methyltransferase 2 OS=Caenorhabditis elegans OX=6239 GN=pmt-2 PE=1 SV=1</t>
  </si>
  <si>
    <t>COG2226 [FUNC="Ubiquinone/menaquinone biosynthesis C-methylase UbiE/MenG"] [shortName=UbiE] [TAG=H TAGDEF="Coenzyme transport and metabolism" PROCESS="METABOLISM"]  [PATHWAY="Biotin biosynthesis"] MULTISPECIES: class I SAM-dependent methyltransferase [Hydrogenophaga]</t>
  </si>
  <si>
    <t>VOG32234 [FUNC="REFSEQ SAM-dependent methyltransferase"] [TAG=Xu TAGDEF="Function unknown"]</t>
  </si>
  <si>
    <t>Methyltransferase domain n=1 Tax=Hokovirus HKV1 TaxID=1977638 RepID=A0A1V0SF53_9VIRU</t>
  </si>
  <si>
    <t>11.09.P2-11.736-50_12</t>
  </si>
  <si>
    <t>sp|Q43116|PDI_RICCO Protein disulfide-isomerase OS=Ricinus communis OX=3988 PE=2 SV=1</t>
  </si>
  <si>
    <t>11.09.P2-11.736-50_20</t>
  </si>
  <si>
    <t>sp|P0C599|DUS29_TAKRU Dual specificity phosphatase 29 OS=Takifugu rubripes OX=31033 GN=Dusp29 PE=3 SV=1</t>
  </si>
  <si>
    <t>11.09.P2-11.736-50_22</t>
  </si>
  <si>
    <t>11.09.P2-11.736-50_34</t>
  </si>
  <si>
    <t>11.09.P2-11.736-50_4</t>
  </si>
  <si>
    <t>Uncharacterized protein n=1 Tax=Salpingoeca rosetta (strain ATCC 50818 / BSB-021) TaxID=946362 RepID=F2UPN3_SALR5</t>
  </si>
  <si>
    <t>11.09.P2-11.736-50_42</t>
  </si>
  <si>
    <t>sp|Q8KPS9|PCYA_SYNE7 Phycocyanobilin:ferredoxin oxidoreductase OS=Synechococcus elongatus (strain ATCC 33912 / PCC 7942 / FACHB-805) OX=1140 GN=pcyA PE=3 SV=1</t>
  </si>
  <si>
    <t>COG5692 [FUNC="Phycocyanobilin:ferredoxin oxidoreductase"] [shortName=PcyA] [TAG=C TAGDEF="Energy production and conversion" PROCESS="METABOLISM"]  [PATHWAY=""] phycocyanobilin:ferredoxin oxidoreductase [Nodularia spumigena]</t>
  </si>
  <si>
    <t>VOG04113 [FUNC="sp|Q58MU6|PEBS_BPPRM Phycoerythrobilin synthase"] [TAG=Xh TAGDEF="Virus protein with function beneficial for the host"]</t>
  </si>
  <si>
    <t>Phycocyanobilin:ferredoxin oxidoreductase n=1 Tax=Chlorella sorokiniana TaxID=3076 RepID=A0A2P6TV29_CHLSO</t>
  </si>
  <si>
    <t>11.09.P2-11.805-59_1</t>
  </si>
  <si>
    <t>Glycosyltransferase family 2 protein n=1 Tax=Spirobacillus cienkowskii TaxID=495820 RepID=A0A369L0E8_9BACT</t>
  </si>
  <si>
    <t>11.09.P2-11.805-59_11</t>
  </si>
  <si>
    <t>11.09.P2-11.805-59_25</t>
  </si>
  <si>
    <t>11.09.P2-11.805-59_26</t>
  </si>
  <si>
    <t>11.09.P2-11.805-59_28</t>
  </si>
  <si>
    <t>11.09.P2-12.328-47_4</t>
  </si>
  <si>
    <t>COG0305 [FUNC="Replicative DNA helicase"] [shortName=DnaB] [TAG=L TAGDEF="Replication, recombination and repair" PROCESS="INFORMATION STORAGE AND PROCESSING"]  [PATHWAY=""] replicative DNA helicase [Salinibacter ruber]</t>
  </si>
  <si>
    <t>Putative ATP-dependent RNA helicase n=1 Tax=Tupanvirus deep ocean TaxID=2126984 RepID=A0A6N1NNH1_9VIRU</t>
  </si>
  <si>
    <t>11.09.P2-12.328-47_5</t>
  </si>
  <si>
    <t>sp|P42519|STAR_DROME Protein Star OS=Drosophila melanogaster OX=7227 GN=S PE=2 SV=1</t>
  </si>
  <si>
    <t>COG0457 [FUNC="Tetratricopeptide (TPR) repeat"] [shortName=TPR] [TAG=R TAGDEF="General function prediction only" PROCESS="POORLY CHARACTERIZED"]  [PATHWAY=""] FkbM family methyltransferase [Oscillatoria nigro-viridis]</t>
  </si>
  <si>
    <t>Methyltransferase FkbM domain-containing protein n=1 Tax=Cyanobium sp. NAT70 TaxID=2024872 RepID=A0A2E0AGQ1_9CYAN</t>
  </si>
  <si>
    <t>11.09.P2-12.328-47_6</t>
  </si>
  <si>
    <t>COG2755 [FUNC="Lysophospholipase L1 or related esterase. Includes spore coat protein LipC/YcsK"] [shortName=TesA] [TAG=D TAGDEF="Cell cycle control, cell division, chromosome partitioning" PROCESS="CELLULAR PROCESSES AND SIGNALING"] [TAG=I TAGDEF="Lipid transport and metabolism" PROCESS="METABOLISM"]  [PATHWAY=""] hypothetical protein UR58_C0001G0047 [Candidatus Campbellbacteria bacterium GW2011_OD1_34_28]</t>
  </si>
  <si>
    <t>Peptidase S74 domain-containing protein n=1 Tax=Yellowstone lake phycodnavirus 2 TaxID=1586714 RepID=A0A0P0YMK6_9PHYC</t>
  </si>
  <si>
    <t>11.09.P2-12.707-53_20</t>
  </si>
  <si>
    <t>11.09.P2-12.707-53_23</t>
  </si>
  <si>
    <t>sp|O88509|DNM3B_MOUSE DNA (cytosine-5)-methyltransferase 3B OS=Mus musculus OX=10090 GN=Dnmt3b PE=1 SV=2</t>
  </si>
  <si>
    <t>COG0270 [FUNC="DNA-cytosine methylase"] [shortName=Dcm] [TAG=L TAGDEF="Replication, recombination and repair" PROCESS="INFORMATION STORAGE AND PROCESSING"]  [PATHWAY=""] hypothetical protein [Rufibacter tibetensis]</t>
  </si>
  <si>
    <t>11.09.P2-12.707-53_30</t>
  </si>
  <si>
    <t>11.09.P2-12.707-53_33</t>
  </si>
  <si>
    <t>11.09.P2-12.707-53_40</t>
  </si>
  <si>
    <t>11.09.P2-12.707-53_44</t>
  </si>
  <si>
    <t>sp|P71366|T3MH_HAEIN Probable type III restriction-modification enzyme HindVI Mod subunit OS=Haemophilus influenzae (strain ATCC 51907 / DSM 11121 / KW20 / Rd) OX=71421 GN=mod PE=3 SV=2</t>
  </si>
  <si>
    <t>COG2189 [FUNC="Adenine specific DNA methylase Mod"] [shortName=Mod] [TAG=L TAGDEF="Replication, recombination and repair" PROCESS="INFORMATION STORAGE AND PROCESSING"]  [PATHWAY=""] site-specific DNA-methyltransferase [Geovibrio thiophilus]</t>
  </si>
  <si>
    <t>Site-specific DNA-methyltransferase n=1 Tax=Vibrio tarriae TaxID=2014742 RepID=A0A366A617_9VIBR</t>
  </si>
  <si>
    <t>11.09.P2-12.707-53_46</t>
  </si>
  <si>
    <t>COG2189 [FUNC="Adenine specific DNA methylase Mod"] [shortName=Mod] [TAG=L TAGDEF="Replication, recombination and repair" PROCESS="INFORMATION STORAGE AND PROCESSING"]  [PATHWAY=""] site-specific DNA-methyltransferase [Erwinia amylovora]</t>
  </si>
  <si>
    <t>11.09.P2-12.707-53_47</t>
  </si>
  <si>
    <t>sp|Q7T163|KDISB_DANRE Kinase D-interacting substrate of 220 kDa B OS=Danio rerio OX=7955 GN=kidins220b PE=1 SV=3</t>
  </si>
  <si>
    <t>COG0666 [FUNC="Ankyrin repeat"] [shortName=ANKYR] [TAG=T TAGDEF="Signal transduction mechanisms" PROCESS="CELLULAR PROCESSES AND SIGNALING"]  [PATHWAY=""] hypothetical protein [Filimonas lacunae]</t>
  </si>
  <si>
    <t>VOG01994 [FUNC="sp|Q5UQV3|YL371_MIMIV Putative ankyrin repeat protein L371"] [TAG=Xh TAGDEF="Virus protein with function beneficial for the host"]</t>
  </si>
  <si>
    <t>FYVE zinc finger domain/Ankyrin repeatcontaining protein n=1 Tax=Acanthamoeba castellanii str. Neff TaxID=1257118 RepID=L8HM44_ACACA</t>
  </si>
  <si>
    <t>11.09.P2-12.781-28_21</t>
  </si>
  <si>
    <t>11.09.P2-12.781-28_24</t>
  </si>
  <si>
    <t>11.09.P2-12.781-28_28</t>
  </si>
  <si>
    <t>11.09.P2-12.781-28_30</t>
  </si>
  <si>
    <t>11.09.P2-12.781-28_31</t>
  </si>
  <si>
    <t>11.09.P2-12.781-28_35</t>
  </si>
  <si>
    <t>Mitochondrial resolvase Ydc2 catalytic domain-containing protein n=1 Tax=Dishui Lake phycodnavirus 3 TaxID=2704074 RepID=A0A6G6XPI1_9PHYC</t>
  </si>
  <si>
    <t>11.09.P2-12.781-28_5</t>
  </si>
  <si>
    <t>11.09.P2-12.781-28_53</t>
  </si>
  <si>
    <t>11.09.P2-12.781-28_58</t>
  </si>
  <si>
    <t>11.09.P2-12.781-28_8</t>
  </si>
  <si>
    <t>11.09.P2-13.205-33_19</t>
  </si>
  <si>
    <t>11.09.P2-13.205-33_2</t>
  </si>
  <si>
    <t>11.09.P2-13.205-33_25</t>
  </si>
  <si>
    <t>Protein disulfide-isomerase n=1 Tax=Tenebrio molitor TaxID=7067 RepID=A0A8J6HPP0_TENMO</t>
  </si>
  <si>
    <t>11.09.P2-13.205-33_29</t>
  </si>
  <si>
    <t>11.09.P2-13.205-33_34</t>
  </si>
  <si>
    <t>11.09.P2-13.205-33_6</t>
  </si>
  <si>
    <t>11.09.P2-13.205-33_9</t>
  </si>
  <si>
    <t>11.09.P2-13.364-55_22</t>
  </si>
  <si>
    <t>COG3537 [FUNC="Putative alpha-1,2-mannosidase"] [shortName=] [TAG=G TAGDEF="Carbohydrate transport and metabolism" PROCESS="METABOLISM"]  [PATHWAY=""] alpha-mannosidase [Cystobacter fuscus]</t>
  </si>
  <si>
    <t>F5/8 type C domain-containing protein n=1 Tax=Pseudoalteromonas luteoviolacea NCIMB 1942 TaxID=1365253 RepID=A0A167A396_9GAMM</t>
  </si>
  <si>
    <t>11.09.P2-13.364-55_25</t>
  </si>
  <si>
    <t>11.09.P2-13.364-55_27</t>
  </si>
  <si>
    <t>11.09.P2-13.364-55_3</t>
  </si>
  <si>
    <t>11.09.P2-13.364-55_45</t>
  </si>
  <si>
    <t>11.09.P2-13.364-55_5</t>
  </si>
  <si>
    <t>11.09.P2-13.620-64_16</t>
  </si>
  <si>
    <t>11.09.P2-13.620-64_23</t>
  </si>
  <si>
    <t>11.09.P2-13.620-64_28</t>
  </si>
  <si>
    <t>11.09.P2-13.620-64_37</t>
  </si>
  <si>
    <t>11.09.P2-13.620-64_45</t>
  </si>
  <si>
    <t>11.09.P2-13.620-64_47</t>
  </si>
  <si>
    <t>11.09.P2-13.620-64_5</t>
  </si>
  <si>
    <t>11.09.P2-13.620-64_6</t>
  </si>
  <si>
    <t>11.09.P2-13.784-47_11</t>
  </si>
  <si>
    <t>11.09.P2-13.784-47_19</t>
  </si>
  <si>
    <t>11.09.P2-13.784-47_28</t>
  </si>
  <si>
    <t>11.09.P2-13.784-47_29</t>
  </si>
  <si>
    <t>sp|Q02357|ANK1_MOUSE Ankyrin-1 OS=Mus musculus OX=10090 GN=Ank1 PE=1 SV=2</t>
  </si>
  <si>
    <t>TKL protein kinase n=1 Tax=Saprolegnia diclina (strain VS20) TaxID=1156394 RepID=T0RHX0_SAPDV</t>
  </si>
  <si>
    <t>11.09.P2-13.784-47_3</t>
  </si>
  <si>
    <t>11.09.P2-13.784-47_30</t>
  </si>
  <si>
    <t>Uncharacterized protein n=1 Tax=Photinus pyralis TaxID=7054 RepID=A0A1Y1KFG1_PHOPY</t>
  </si>
  <si>
    <t>11.09.P2-13.784-47_31</t>
  </si>
  <si>
    <t>COG0666 [FUNC="Ankyrin repeat"] [shortName=ANKYR] [TAG=T TAGDEF="Signal transduction mechanisms" PROCESS="CELLULAR PROCESSES AND SIGNALING"]  [PATHWAY=""] hypothetical protein [Caldithrix abyssi]</t>
  </si>
  <si>
    <t>11.09.P2-13.784-47_32</t>
  </si>
  <si>
    <t>11.09.P2-13.784-47_38</t>
  </si>
  <si>
    <t>11.09.P2-13.784-47_45</t>
  </si>
  <si>
    <t>11.09.P2-13.784-47_49</t>
  </si>
  <si>
    <t>ATPase AAA n=1 Tax=Synechococcus sp. GFB01 TaxID=1662190 RepID=A0A0J6B4I2_9SYNE</t>
  </si>
  <si>
    <t>11.09.P2-13.959-12_14</t>
  </si>
  <si>
    <t>11.09.P2-13.959-12_19</t>
  </si>
  <si>
    <t>11.09.P2-13.959-12_35</t>
  </si>
  <si>
    <t>COG2931 [FUNC="Ca2+-binding protein, RTX toxin-related"] [shortName=] [TAG=Q TAGDEF="Secondary metabolites biosynthesis, transport and catabolism" PROCESS="METABOLISM"]  [PATHWAY=""] tandem-95 repeat protein [Desulfomonile tiedjei]</t>
  </si>
  <si>
    <t>VOG35271 [FUNC="REFSEQ hypothetical protein"] [TAG=Xu TAGDEF="Function unknown"]</t>
  </si>
  <si>
    <t>Collagen triple helix repeat containing protein n=1 Tax=Mimivirus LCMiAC01 TaxID=2506608 RepID=A0A481Z0W4_9VIRU</t>
  </si>
  <si>
    <t>11.09.P2-13.959-12_36</t>
  </si>
  <si>
    <t>11.09.P2-13.959-12_56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</si>
  <si>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[Methylomonas methanica]</t>
  </si>
  <si>
    <t>ATP-dependent RNA helicase n=1 Tax=Acanthocystis turfacea Chlorella virus NTS-1 TaxID=1278276 RepID=M1I0L1_9PHYC</t>
  </si>
  <si>
    <t>11.09.P2-13.959-12_59</t>
  </si>
  <si>
    <t>Uncharacterized protein n=1 Tax=Dishui lake phycodnavirus 1 TaxID=2079134 RepID=A0A2N9QVY9_9PHYC</t>
  </si>
  <si>
    <t>11.09.P2-14.060-13_19</t>
  </si>
  <si>
    <t>Major capsid protein VP54 n=2 Tax=unclassified Chlorovirus TaxID=346674 RepID=M1I767_9PHYC</t>
  </si>
  <si>
    <t>11.09.P2-14.060-13_20</t>
  </si>
  <si>
    <t>11.09.P2-14.060-13_22</t>
  </si>
  <si>
    <t>Genome assembly, chromosome: 3 n=1 Tax=Nezara viridula TaxID=85310 RepID=A0A9P0H7X3_NEZVI</t>
  </si>
  <si>
    <t>11.09.P2-14.060-13_34</t>
  </si>
  <si>
    <t>11.09.P2-14.060-13_40</t>
  </si>
  <si>
    <t>RIPK4 kinase (Fragment) n=1 Tax=Illadopsis cleaveri TaxID=201329 RepID=A0A7L1CPS4_9PASS</t>
  </si>
  <si>
    <t>11.09.P2-14.060-13_44</t>
  </si>
  <si>
    <t>11.09.P2-14.377-6.3_18</t>
  </si>
  <si>
    <t>11.09.P2-14.377-6.3_40</t>
  </si>
  <si>
    <t>Uncharacterized protein n=1 Tax=Dishui lake phycodnavirus 1 TaxID=2079134 RepID=A0A2N9QVV5_9PHYC</t>
  </si>
  <si>
    <t>11.09.P2-14.377-6.3_46</t>
  </si>
  <si>
    <t>11.09.P2-14.377-6.3_47</t>
  </si>
  <si>
    <t>11.09.P2-14.377-6.3_5</t>
  </si>
  <si>
    <t>11.09.P2-14.377-6.3_50</t>
  </si>
  <si>
    <t>Dual specificity protein phosphatase 16 / mitogen-activated protein kinase phosphatase 7 n=1 Tax=Acanthocystis turfacea Chlorella virus NE-JV-2 TaxID=1278274 RepID=M1HBT4_9PHYC</t>
  </si>
  <si>
    <t>11.09.P2-14.475-46_12</t>
  </si>
  <si>
    <t>COG5010 [FUNC="Flp pilus assembly protein TadD, contains TPR repeats"] [shortName=TadD] [TAG=U TAGDEF="Intracellular trafficking, secretion, and vesicular transport" PROCESS="CELLULAR PROCESSES AND SIGNALING"] [TAG=W TAGDEF="Extracellular structures" PROCESS="CELLULAR PROCESSES AND SIGNALING"]  [PATHWAY=""] hypothetical protein [Azospirillum brasilense]</t>
  </si>
  <si>
    <t>VOG33771 [FUNC="REFSEQ hypothetical protein"] [TAG=Xu TAGDEF="Function unknown"]</t>
  </si>
  <si>
    <t>DUF5672 domain-containing protein n=1 Tax=Chlorella vulgaris TaxID=3077 RepID=A0A9D4YXQ9_CHLVU</t>
  </si>
  <si>
    <t>11.09.P2-14.475-46_17</t>
  </si>
  <si>
    <t>Major capsid protein VP54 n=2 Tax=unclassified Chlorovirus TaxID=346674 RepID=M1HX03_9PHYC</t>
  </si>
  <si>
    <t>11.09.P2-14.475-46_23</t>
  </si>
  <si>
    <t>sp|P29054|TF2B_XENLA Transcription initiation factor IIB OS=Xenopus laevis OX=8355 GN=gtf2b PE=2 SV=1</t>
  </si>
  <si>
    <t>COG1405 [FUNC="Transcription initiation factor TFIIIB, Brf1 subunit/Transcription initiation factor TFIIB"] [shortName=SUA7] [TAG=K TAGDEF="Transcription" PROCESS="INFORMATION STORAGE AND PROCESSING"]  [PATHWAY=""] MULTISPECIES: transcription initiation factor IIB [Ferroplasma]</t>
  </si>
  <si>
    <t>Transcription initiation factor IIB n=1 Tax=Methanothermobacter wolfeii TaxID=145261 RepID=A0A9E7RUP9_METWO</t>
  </si>
  <si>
    <t>11.09.P2-14.475-46_24</t>
  </si>
  <si>
    <t>Poxvirus A22-like protein n=1 Tax=Acanthocystis turfacea Chlorella virus Br0604L TaxID=1278268 RepID=M1HFY2_9PHYC</t>
  </si>
  <si>
    <t>11.09.P2-14.475-46_25</t>
  </si>
  <si>
    <t>Uncharacterized protein n=1 Tax=Micromonas pusilla virus PL1 TaxID=373997 RepID=G8DDD4_9PHYC</t>
  </si>
  <si>
    <t>11.09.P2-14.475-46_26</t>
  </si>
  <si>
    <t>Uncharacterized protein n=1 Tax=Acanthocystis turfacea Chlorella virus GM0701.1 TaxID=1278271 RepID=M1HP00_9PHYC</t>
  </si>
  <si>
    <t>11.09.P2-14.475-46_29</t>
  </si>
  <si>
    <t>DNA ligase n=1 Tax=Thalassolituus sp. C2-1 TaxID=2597518 RepID=A0A558NHL4_9GAMM</t>
  </si>
  <si>
    <t>11.09.P2-14.475-46_7</t>
  </si>
  <si>
    <t>Sulfhydryl oxidase n=1 Tax=Tokyovirus A1 TaxID=1826170 RepID=A0A146JIH5_9VIRU</t>
  </si>
  <si>
    <t>11.09.P2-14.475-46_8</t>
  </si>
  <si>
    <t>sp|Q54L81|Y0700_DICDI Probable serine/threonine-protein kinase DDB_G0286841 OS=Dictyostelium discoideum OX=44689 GN=DDB_G0286841 PE=3 SV=1</t>
  </si>
  <si>
    <t>COG0515 [FUNC="Serine/threonine protein kinase"] [shortName=SPS1] [TAG=T TAGDEF="Signal transduction mechanisms" PROCESS="CELLULAR PROCESSES AND SIGNALING"]  [PATHWAY=""] serine/threonine protein kinase [Chlamydia trachomatis D/UW-3/CX]</t>
  </si>
  <si>
    <t>Serine/threonine-protein kinase PknB n=1 Tax=Aliarcobacter thereius TaxID=544718 RepID=A0A1C0B335_9BACT</t>
  </si>
  <si>
    <t>11.09.P2-14.768-23_1</t>
  </si>
  <si>
    <t>Glycosyl hydrolase family 65 protein n=1 Tax=Tetraselmis virus 1 TaxID=2060617 RepID=A0A2P0VNC6_9PHYC</t>
  </si>
  <si>
    <t>11.09.P2-14.768-23_14</t>
  </si>
  <si>
    <t>Uncharacterized protein n=1 Tax=Tetraselmis virus 1 TaxID=2060617 RepID=A0A2P0VN14_9PHYC</t>
  </si>
  <si>
    <t>11.09.P2-14.768-23_19</t>
  </si>
  <si>
    <t>Uncharacterized protein n=1 Tax=Tetraselmis virus 1 TaxID=2060617 RepID=A0A2P0VNF5_9PHYC</t>
  </si>
  <si>
    <t>11.09.P2-14.768-23_20</t>
  </si>
  <si>
    <t>Uncharacterized protein n=1 Tax=Tetraselmis virus 1 TaxID=2060617 RepID=A0A2P0VND0_9PHYC</t>
  </si>
  <si>
    <t>11.09.P2-14.768-23_21</t>
  </si>
  <si>
    <t>Uncharacterized protein n=1 Tax=Tetraselmis virus 1 TaxID=2060617 RepID=A0A2P0VNE4_9PHYC</t>
  </si>
  <si>
    <t>11.09.P2-14.768-23_26</t>
  </si>
  <si>
    <t>11.09.P2-14.768-23_9</t>
  </si>
  <si>
    <t>Glycine rich protein n=1 Tax=Tetraselmis virus 1 TaxID=2060617 RepID=A0A2P0VMX4_9PHYC</t>
  </si>
  <si>
    <t>11.09.P2-14.894-54_10</t>
  </si>
  <si>
    <t>11.09.P2-14.894-54_12</t>
  </si>
  <si>
    <t>11.09.P2-14.894-54_28</t>
  </si>
  <si>
    <t>sp|Q9ZVH8|RDO2_ARATH Transcription elongation factor TFIIS OS=Arabidopsis thaliana OX=3702 GN=TFIIS PE=1 SV=1</t>
  </si>
  <si>
    <t>11.09.P2-14.894-54_3</t>
  </si>
  <si>
    <t>thymidylate synthase n=1 Tax=Mitosporidium daphniae TaxID=1485682 RepID=A0A098VQV5_9MICR</t>
  </si>
  <si>
    <t>11.09.P2-14.894-54_30</t>
  </si>
  <si>
    <t>11.09.P2-14.894-54_34</t>
  </si>
  <si>
    <t>11.09.P2-14.894-54_36</t>
  </si>
  <si>
    <t>11.09.P2-14.894-54_38</t>
  </si>
  <si>
    <t>11.09.P2-14.894-54_39</t>
  </si>
  <si>
    <t>11.09.P2-14.894-54_43</t>
  </si>
  <si>
    <t>11.09.P2-14.894-54_8</t>
  </si>
  <si>
    <t>11.09.P2-15.571-50_3</t>
  </si>
  <si>
    <t>sp|Q9ZWM5|CAO_CHLRE Chlorophyllide a oxygenase, chloroplastic OS=Chlamydomonas reinhardtii OX=3055 GN=CAO PE=2 SV=2</t>
  </si>
  <si>
    <t>COG4638 [FUNC="Phenylpropionate dioxygenase or related ring-hydroxylating dioxygenase, large terminal subunit"] [shortName=HcaE] [TAG=P TAGDEF="Inorganic ion transport and metabolism" PROCESS="METABOLISM"] [TAG=R TAGDEF="General function prediction only" PROCESS="POORLY CHARACTERIZED"]  [PATHWAY=""] aromatic ring-hydroxylating dioxygenase subunit alpha [Cystobacter fuscus]</t>
  </si>
  <si>
    <t>PAO protein n=1 Tax=Symbiodinium sp. CCMP2592 TaxID=631055 RepID=A0A812S345_9DINO</t>
  </si>
  <si>
    <t>11.09.P2-15.571-50_36</t>
  </si>
  <si>
    <t>COG3401 [FUNC="Fibronectin type 3 domain"] [shortName=FN3] [TAG=R TAGDEF="General function prediction only" PROCESS="POORLY CHARACTERIZED"]  [PATHWAY=""] BspA family leucine-rich repeat surface protein [Salinibacter ruber]</t>
  </si>
  <si>
    <t>Surface protein n=1 Tax=Salinibacter ruber TaxID=146919 RepID=A0A9X2V437_9BACT</t>
  </si>
  <si>
    <t>11.09.P2-15.571-50_45</t>
  </si>
  <si>
    <t>11.09.P2-15.571-50_46</t>
  </si>
  <si>
    <t>11.09.P2-15.571-50_47</t>
  </si>
  <si>
    <t>sp|P26262|KLKB1_MOUSE Plasma kallikrein OS=Mus musculus OX=10090 GN=Klkb1 PE=1 SV=2</t>
  </si>
  <si>
    <t>COG5640 [FUNC="Secreted trypsin-like serine protease"] [shortName=] [TAG=O TAGDEF="Posttranslational modification, protein turnover, chaperones" PROCESS="CELLULAR PROCESSES AND SIGNALING"]  [PATHWAY=""] serine protease [Alloactinosynnema sp. L-07]</t>
  </si>
  <si>
    <t>Peptidase S1 domain-containing protein n=2 Tax=Macrostomum lignano TaxID=282301 RepID=A0A1I8J6X0_9PLAT</t>
  </si>
  <si>
    <t>11.09.P2-15.571-50_49</t>
  </si>
  <si>
    <t>Uncharacterized protein (Fragment) n=1 Tax=Phaeomonas parva TaxID=124430 RepID=A0A7S1TS76_9STRA</t>
  </si>
  <si>
    <t>11.09.P2-15.571-50_58</t>
  </si>
  <si>
    <t>COG4547 [FUNC="Cobalamin biosynthesis cobaltochelatase CobT subunit"] [shortName=CobT2] [TAG=H TAGDEF="Coenzyme transport and metabolism" PROCESS="METABOLISM"]  [PATHWAY="Cobalamine/B12 biosynthesis"] BspA family leucine-rich repeat surface protein [Arenibacter algicola]</t>
  </si>
  <si>
    <t>BspA family leucine-rich repeat surface protein n=1 Tax=Rhodohalobacter mucosus TaxID=2079485 RepID=A0A316TWU9_9BACT</t>
  </si>
  <si>
    <t>11.09.P2-15.571-50_8</t>
  </si>
  <si>
    <t>11.09.P2-15.589-13_19</t>
  </si>
  <si>
    <t>sp|Q7Z569|BRAP_HUMAN BRCA1-associated protein OS=Homo sapiens OX=9606 GN=BRAP PE=1 SV=2</t>
  </si>
  <si>
    <t>KOG0804 [FUNC="Cytoplasmic Zn-finger protein BRAP2 (BRCA1 associated protein)"] [shortName=] [TAG=R TAGDEF="General function prediction only" PROCESS="POORLY CHARACTERIZED"]  [PATHWAY=""]</t>
  </si>
  <si>
    <t>VOG00246 [FUNC="sp|O10310|Y053_NPVOP Uncharacterized 17.0 kDa protein"] [TAG=Xu TAGDEF="Function unknown"]</t>
  </si>
  <si>
    <t>RING-type domain-containing protein n=1 Tax=Perkinsus chesapeaki TaxID=330153 RepID=A0A7J6MC23_PERCH</t>
  </si>
  <si>
    <t>11.09.P2-15.589-13_22</t>
  </si>
  <si>
    <t>Uncharacterized protein n=1 Tax=Micromonas pusilla virus 12T TaxID=755272 RepID=M4QMF1_9PHYC</t>
  </si>
  <si>
    <t>11.09.P2-15.589-13_26</t>
  </si>
  <si>
    <t>11.09.P2-15.589-13_32</t>
  </si>
  <si>
    <t>11.09.P2-15.589-13_55</t>
  </si>
  <si>
    <t>11.09.P2-15.589-13_62</t>
  </si>
  <si>
    <t>11.09.P2-15.589-13_67</t>
  </si>
  <si>
    <t>DNA polymerase n=1 Tax=Paramecium bursaria Chlorella virus NY2B TaxID=240271 RepID=M1I7L8_9PHYC</t>
  </si>
  <si>
    <t>11.09.P2-15.589-13_72</t>
  </si>
  <si>
    <t>Uncharacterized protein (Fragment) n=1 Tax=Chlamydomonas eustigma TaxID=1157962 RepID=A0A250XJZ3_9CHLO</t>
  </si>
  <si>
    <t>11.09.P2-15.589-13_9</t>
  </si>
  <si>
    <t>VOG28232 [FUNC="REFSEQ hypothetical protein"] [TAG=Xu TAGDEF="Function unknown"]</t>
  </si>
  <si>
    <t>Uncharacterized protein z799R n=1 Tax=Acanthocystis turfacea chlorella virus 1 TaxID=322019 RepID=A7KA59_9PHYC</t>
  </si>
  <si>
    <t>11.09.P2-15.812-44_2</t>
  </si>
  <si>
    <t>sp|Q9J4Z4|V246_FOWPN Putative ankyrin repeat protein FPV246 OS=Fowlpox virus (strain NVSL) OX=928301 GN=FPV246 PE=4 SV=1</t>
  </si>
  <si>
    <t>Transient receptor potential cation channel subfamily A member 1-like n=1 Tax=Denticeps clupeoides TaxID=299321 RepID=A0A8C4G941_9TELE</t>
  </si>
  <si>
    <t>11.09.P2-15.812-44_21</t>
  </si>
  <si>
    <t>11.09.P2-16.017-41_13</t>
  </si>
  <si>
    <t>11.09.P2-16.017-41_16</t>
  </si>
  <si>
    <t>11.09.P2-16.017-41_2</t>
  </si>
  <si>
    <t>11.09.P2-16.017-41_32</t>
  </si>
  <si>
    <t>11.09.P2-16.017-41_37</t>
  </si>
  <si>
    <t>11.09.P2-16.017-41_38</t>
  </si>
  <si>
    <t>11.09.P2-16.017-41_43</t>
  </si>
  <si>
    <t>11.09.P2-16.017-41_46</t>
  </si>
  <si>
    <t>11.09.P2-16.017-41_7</t>
  </si>
  <si>
    <t>11.09.P2-16.017-41_8</t>
  </si>
  <si>
    <t>11.09.P2-16.323-33_17</t>
  </si>
  <si>
    <t>11.09.P2-16.323-33_18</t>
  </si>
  <si>
    <t>11.09.P2-16.323-33_27</t>
  </si>
  <si>
    <t>DUF2784 family protein n=1 Tax=Catovirus CTV1 TaxID=1977631 RepID=A0A1V0SAZ7_9VIRU</t>
  </si>
  <si>
    <t>11.09.P2-16.323-33_40</t>
  </si>
  <si>
    <t>WLM domain-containing protein n=1 Tax=Paramecium bursaria Chlorella virus CZ-2 TaxID=1278251 RepID=M1HTA1_9PHYC</t>
  </si>
  <si>
    <t>11.09.P2-16.323-33_42</t>
  </si>
  <si>
    <t>Uncharacterized protein B488L n=1 Tax=Paramecium bursaria Chlorella virus NY2A TaxID=46021 RepID=A7IX13_PBCVN</t>
  </si>
  <si>
    <t>11.09.P2-16.323-33_44</t>
  </si>
  <si>
    <t>11.09.P2-16.323-33_49</t>
  </si>
  <si>
    <t>11.09.P2-16.323-33_53</t>
  </si>
  <si>
    <t>11.09.P2-16.323-33_6</t>
  </si>
  <si>
    <t>11.09.P2-16.323-33_7</t>
  </si>
  <si>
    <t>11.09.P2-16.444-39_1</t>
  </si>
  <si>
    <t>11.09.P2-16.444-39_13</t>
  </si>
  <si>
    <t>11.09.P2-16.444-39_14</t>
  </si>
  <si>
    <t>sp|Q9ZW35|PCNA2_ARATH Proliferating cell nuclear antigen 2 OS=Arabidopsis thaliana OX=3702 GN=PCNA2 PE=1 SV=1</t>
  </si>
  <si>
    <t>11.09.P2-16.444-39_22</t>
  </si>
  <si>
    <t>Uncharacterized protein n=1 Tax=Paramecium bursaria Chlorella virus CVM-1 TaxID=1278249 RepID=M1HIP6_9PHYC</t>
  </si>
  <si>
    <t>11.09.P2-16.444-39_24</t>
  </si>
  <si>
    <t>11.09.P2-16.444-39_26</t>
  </si>
  <si>
    <t>sp|P0CY19|DUT_CANAL Deoxyuridine 5'-triphosphate nucleotidohydrolase OS=Candida albicans (strain SC5314 / ATCC MYA-2876) OX=237561 GN=DUT1 PE=3 SV=1</t>
  </si>
  <si>
    <t>11.09.P2-16.444-39_3</t>
  </si>
  <si>
    <t>sp|Q7Q021|GLT25_ANOGA Glycosyltransferase 25 family member OS=Anopheles gambiae OX=7165 GN=AGAP012208 PE=3 SV=4</t>
  </si>
  <si>
    <t>COG3306 [FUNC="Glycosyltransferase involved in LPS biosynthesis, GR25 family"] [shortName=] [TAG=M TAGDEF="Cell wall/membrane/envelope biogenesis" PROCESS="CELLULAR PROCESSES AND SIGNALING"]  [PATHWAY=""] hypothetical protein [Kordia sp. SMS9]</t>
  </si>
  <si>
    <t>11.09.P2-16.444-39_34</t>
  </si>
  <si>
    <t>Aspartic peptidase domain containing protein n=1 Tax=Trema orientale TaxID=63057 RepID=A0A2P5FC76_TREOI</t>
  </si>
  <si>
    <t>11.09.P2-16.444-39_37</t>
  </si>
  <si>
    <t>Uncharacterized protein n=1 Tax=Blyttiomyces helicus TaxID=388810 RepID=A0A4P9WUP4_9FUNG</t>
  </si>
  <si>
    <t>11.09.P2-16.444-39_40</t>
  </si>
  <si>
    <t>Ribonucleoside-diphosphate reductase subunit M2 n=1 Tax=Oreochromis niloticus TaxID=8128 RepID=A0A669B9A0_ORENI</t>
  </si>
  <si>
    <t>11.09.P2-16.444-39_50</t>
  </si>
  <si>
    <t>Ankyrin repeat domain 28 n=1 Tax=Malurus cyaneus samueli TaxID=2593467 RepID=A0A8C5TMJ9_9PASS</t>
  </si>
  <si>
    <t>11.09.P2-16.444-39_54</t>
  </si>
  <si>
    <t>11.09.P2-16.444-39_6</t>
  </si>
  <si>
    <t>11.09.P2-16.444-39_62</t>
  </si>
  <si>
    <t>11.09.P2-18.346-71_11</t>
  </si>
  <si>
    <t>11.09.P2-18.346-71_14</t>
  </si>
  <si>
    <t>11.09.P2-18.346-71_22</t>
  </si>
  <si>
    <t>11.09.P2-18.346-71_3</t>
  </si>
  <si>
    <t>11.09.P2-18.346-71_31</t>
  </si>
  <si>
    <t>11.09.P2-18.346-71_32</t>
  </si>
  <si>
    <t>Uncharacterized protein n=1 Tax=Paramecium bursaria Chlorella virus NE-JV-1 TaxID=1278261 RepID=M1I1M1_9PHYC</t>
  </si>
  <si>
    <t>11.09.P2-18.346-71_45</t>
  </si>
  <si>
    <t>11.09.P2-18.346-71_47</t>
  </si>
  <si>
    <t>11.09.P2-18.346-71_55</t>
  </si>
  <si>
    <t>11.09.P2-18.346-71_64</t>
  </si>
  <si>
    <t>11.09.P2-18.346-71_66</t>
  </si>
  <si>
    <t>11.09.P2-19.022-33_17</t>
  </si>
  <si>
    <t>11.09.P2-19.022-33_18</t>
  </si>
  <si>
    <t>11.09.P2-19.022-33_28</t>
  </si>
  <si>
    <t>11.09.P2-19.022-33_31</t>
  </si>
  <si>
    <t>11.09.P2-19.022-33_33</t>
  </si>
  <si>
    <t>11.09.P2-19.022-33_35</t>
  </si>
  <si>
    <t>11.09.P2-19.022-33_51</t>
  </si>
  <si>
    <t>11.09.P2-19.022-33_6</t>
  </si>
  <si>
    <t>11.09.P2-19.022-33_60</t>
  </si>
  <si>
    <t>11.09.P2-19.022-33_64</t>
  </si>
  <si>
    <t>11.09.P2-19.602-46_112</t>
  </si>
  <si>
    <t>11.09.P2-19.602-46_12</t>
  </si>
  <si>
    <t>11.09.P2-19.602-46_32</t>
  </si>
  <si>
    <t>Uncharacterized protein n=2 Tax=Adiantum capillus-veneris TaxID=13818 RepID=A0A9D4V0P7_ADICA</t>
  </si>
  <si>
    <t>11.09.P2-19.602-46_34</t>
  </si>
  <si>
    <t>sp|A0A0P0WGX7|ENL1_ORYSJ SNF2 domain-containing protein ENL1 OS=Oryza sativa subsp. japonica OX=39947 GN=ENL1 PE=2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</si>
  <si>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helicase SNF2 [Filimonas lacunae]</t>
  </si>
  <si>
    <t>VOG00048 [FUNC="sp|Q9T1Q7|VP41_BPAPS Putative protein p41"] [TAG=Xu TAGDEF="Function unknown"]</t>
  </si>
  <si>
    <t>SNF2 family N-terminal domain-containing protein n=1 Tax=Dactylonectria estremocensis TaxID=1079267 RepID=A0A9P9IE28_9HYPO</t>
  </si>
  <si>
    <t>11.09.P2-19.602-46_72</t>
  </si>
  <si>
    <t>11.09.P2-19.602-46_85</t>
  </si>
  <si>
    <t>11.09.P2-19.602-46_9</t>
  </si>
  <si>
    <t>11.09.P2-19.602-46_93</t>
  </si>
  <si>
    <t>11.09.P2-19.683-43_17</t>
  </si>
  <si>
    <t>11.09.P2-19.683-43_19</t>
  </si>
  <si>
    <t>COG4951 [FUNC="Uncharacterized conserved protein"] [shortName=] [TAG=S TAGDEF="Function unknown" PROCESS="POORLY CHARACTERIZED"]  [PATHWAY=""] helicase [Microlunatus phosphovorus]</t>
  </si>
  <si>
    <t>11.09.P2-19.683-43_23</t>
  </si>
  <si>
    <t>11.09.P2-19.683-43_26</t>
  </si>
  <si>
    <t>Tail fiber domain-containing protein n=2 Tax=Hafnia paralvei TaxID=546367 RepID=A0A4Q9EQ07_9GAMM</t>
  </si>
  <si>
    <t>11.09.P2-19.683-43_38</t>
  </si>
  <si>
    <t>11.09.P2-19.683-43_41</t>
  </si>
  <si>
    <t>sp|Q9VCA8|ANKHM_DROME Ankyrin repeat and KH domain-containing protein mask OS=Drosophila melanogaster OX=7227 GN=mask PE=1 SV=2</t>
  </si>
  <si>
    <t>COG0666 [FUNC="Ankyrin repeat"] [shortName=ANKYR] [TAG=T TAGDEF="Signal transduction mechanisms" PROCESS="CELLULAR PROCESSES AND SIGNALING"]  [PATHWAY=""] hypothetical protein [endosymbiont of Acanthamoeba sp. UWC8]</t>
  </si>
  <si>
    <t>Glycosyl transferase family 1 domain-containing protein (Fragment) n=1 Tax=Pocillopora damicornis TaxID=46731 RepID=A0A3M6TST9_POCDA</t>
  </si>
  <si>
    <t>11.09.P2-19.683-43_53</t>
  </si>
  <si>
    <t>11.09.P2-19.683-43_58</t>
  </si>
  <si>
    <t>11.09.P2-19.683-43_61</t>
  </si>
  <si>
    <t>11.09.P2-19.800-46_10</t>
  </si>
  <si>
    <t>11.09.P2-19.800-46_14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</si>
  <si>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[Stigmatella aurantiaca]</t>
  </si>
  <si>
    <t>11.09.P2-19.800-46_17</t>
  </si>
  <si>
    <t>11.09.P2-19.800-46_45</t>
  </si>
  <si>
    <t>sp|Q9FNI6|SM3L2_ARATH DNA repair protein RAD5A OS=Arabidopsis thaliana OX=3702 GN=RAD5A PE=1 SV=1</t>
  </si>
  <si>
    <t>DEAD/DEAH box helicase family protein n=1 Tax=Streptomyces sp. SID5770 TaxID=2690308 RepID=A0A7K3G8I0_9ACTN</t>
  </si>
  <si>
    <t>11.09.P2-19.800-46_48</t>
  </si>
  <si>
    <t>COG0789 [FUNC="DNA-binding transcriptional regulator, MerR family"] [shortName=SoxR] [TAG=K TAGDEF="Transcription" PROCESS="INFORMATION STORAGE AND PROCESSING"]  [PATHWAY=""] YapH protein [candidate division WWE3 bacterium RAAC2_WWE3_1]</t>
  </si>
  <si>
    <t>Tail fiber domain-containing protein n=3 Tax=Escherichia coli TaxID=562 RepID=A0A785IVZ0_ECOLX</t>
  </si>
  <si>
    <t>11.09.P2-19.800-46_52</t>
  </si>
  <si>
    <t>Uncharacterized protein n=1 Tax=Timema genevievae TaxID=629358 RepID=A0A7R9PL21_TIMGE</t>
  </si>
  <si>
    <t>11.09.P2-19.800-46_66</t>
  </si>
  <si>
    <t>11.09.P2-19.952-22_11</t>
  </si>
  <si>
    <t>sp|Q6BNU7|XRN2_DEBHA 5'-3' exoribonuclease 2 OS=Debaryomyces hansenii (strain ATCC 36239 / CBS 767 / BCRC 21394 / JCM 1990 / NBRC 0083 / IGC 2968) OX=284592 GN=RAT1 PE=3 SV=4</t>
  </si>
  <si>
    <t>XRN 5'-3' exonuclease n=1 Tax=Klosneuvirus KNV1 TaxID=1977640 RepID=A0A1V0SLJ5_9VIRU</t>
  </si>
  <si>
    <t>11.09.P2-19.952-22_12</t>
  </si>
  <si>
    <t>sp|Q05024|TRI1_YEAST Protein TRI1 OS=Saccharomyces cerevisiae (strain ATCC 204508 / S288c) OX=559292 GN=TRI1 PE=1 SV=1</t>
  </si>
  <si>
    <t>COG5531 [FUNC="DNA-binding SWIB/MDM2 domain"] [shortName=Rsc6] [TAG=B TAGDEF="Chromatin structure and dynamics" PROCESS="INFORMATION STORAGE AND PROCESSING"]  [PATHWAY=""] hypothetical protein [Waddlia chondrophila]</t>
  </si>
  <si>
    <t>DNA topoisomerase I/SWI domain fusion protein n=1 Tax=Virus NIOZ-UU159 TaxID=2763270 RepID=A0A7S9ST65_9VIRU</t>
  </si>
  <si>
    <t>11.09.P2-19.952-22_16</t>
  </si>
  <si>
    <t>Putative ATP-dependent RNA helicase n=1 Tax=Megavirus baoshan TaxID=2496520 RepID=A0A3S8UWU9_9VIRU</t>
  </si>
  <si>
    <t>11.09.P2-19.952-22_17</t>
  </si>
  <si>
    <t>Uncharacterized protein n=1 Tax=Blyttiomyces helicus TaxID=388810 RepID=A0A4P9WQ65_9FUNG</t>
  </si>
  <si>
    <t>11.09.P2-19.952-22_19</t>
  </si>
  <si>
    <t>Uncharacterized protein n=1 Tax=Mimiviridae sp. ChoanoV1 TaxID=2596887 RepID=A0A5B8IDT6_9VIRU</t>
  </si>
  <si>
    <t>11.09.P2-19.952-22_2</t>
  </si>
  <si>
    <t>Uncharacterized protein n=1 Tax=Blyttiomyces helicus TaxID=388810 RepID=A0A4P9WN54_9FUNG</t>
  </si>
  <si>
    <t>11.09.P2-19.952-22_3</t>
  </si>
  <si>
    <t>sp|Q5UQE1|ASNS_MIMIV Probable asparagine synthetase [glutamine-hydrolyzing] OS=Acanthamoeba polyphaga mimivirus OX=212035 GN=MIMI_R475 PE=3 SV=3</t>
  </si>
  <si>
    <t>COG0367 [FUNC="Asparagine synthetase B (glutamine-hydrolyzing)"] [shortName=AsnB] [TAG=E TAGDEF="Amino acid transport and metabolism" PROCESS="METABOLISM"]  [PATHWAY="Asparagine biosynthesis"] asparagine synthase B [Flavobacterium johnsoniae]</t>
  </si>
  <si>
    <t>Asparagine synthase B n=2 Tax=Halobacteriovorax TaxID=1652133 RepID=A0A4Z0KVL9_9BACT</t>
  </si>
  <si>
    <t>11.09.P2-19.952-22_5</t>
  </si>
  <si>
    <t>COG1525 [FUNC="Endonuclease YncB, thermonuclease family"] [shortName=YncB] [TAG=L TAGDEF="Replication, recombination and repair" PROCESS="INFORMATION STORAGE AND PROCESSING"]  [PATHWAY=""] hypothetical protein [Methanotorris igneus]</t>
  </si>
  <si>
    <t>VOG03636 [FUNC="REFSEQ endonuclease"] [TAG=Xu TAGDEF="Function unknown"]</t>
  </si>
  <si>
    <t>Staphylococcal nuclease homologue n=1 Tax=Mimiviridae sp. ChoanoV1 TaxID=2596887 RepID=A0A5B8IJ57_9VIRU</t>
  </si>
  <si>
    <t>11.09.P2-2.408-49_4</t>
  </si>
  <si>
    <t>11.09.P2-2.417-30_1</t>
  </si>
  <si>
    <t>sp|Q49398|GLF_MYCGE UDP-galactopyranose mutase OS=Mycoplasma genitalium (strain ATCC 33530 / DSM 19775 / NCTC 10195 / G37) OX=243273 GN=glf PE=3 SV=1</t>
  </si>
  <si>
    <t>COG1233 [FUNC="Phytoene dehydrogenase-related protein"] [shortName=] [TAG=Q TAGDEF="Secondary metabolites biosynthesis, transport and catabolism" PROCESS="METABOLISM"]  [PATHWAY=""] NAD(P)/FAD-dependent oxidoreductase [Brachyspira intermedia]</t>
  </si>
  <si>
    <t>11.09.P2-2.417-30_2</t>
  </si>
  <si>
    <t>COG3655 [FUNC="DNA-binding transcriptional regulator, XRE family"] [shortName=YozG] [TAG=K TAGDEF="Transcription" PROCESS="INFORMATION STORAGE AND PROCESSING"]  [PATHWAY=""] DNA (cytosine-5-)-methyltransferase [Gottschalkia acidurici]</t>
  </si>
  <si>
    <t>Uncharacterized protein n=1 Tax=Klebsormidium flaccidum TaxID=3175 RepID=A0A0B5H4Y4_KLEFL</t>
  </si>
  <si>
    <t>11.09.P2-2.435-14_1</t>
  </si>
  <si>
    <t>11.09.P2-2.436-19_1</t>
  </si>
  <si>
    <t>COG1752 [FUNC="Predicted acylesterase/phospholipase RssA, containd patatin domain"] [shortName=RssA] [TAG=R TAGDEF="General function prediction only" PROCESS="POORLY CHARACTERIZED"]  [PATHWAY=""] hypothetical protein BHV42_01620 [Candidatus Melainabacteria bacterium MEL.A1]</t>
  </si>
  <si>
    <t>11.09.P2-2.436-19_2</t>
  </si>
  <si>
    <t>Uncharacterized protein n=1 Tax=Paramecium bursaria Chlorella virus NW665.2 TaxID=1278263 RepID=M1HFV1_9PHYC</t>
  </si>
  <si>
    <t>11.09.P2-2.436-9.2_1</t>
  </si>
  <si>
    <t>COG0417 [FUNC="DNA polymerase B elongation subunit"] [shortName=PolB] [TAG=L TAGDEF="Replication, recombination and repair" PROCESS="INFORMATION STORAGE AND PROCESSING"]  [PATHWAY=""] DNA polymerase elongation subunit [Methanohalobium evestigatum]</t>
  </si>
  <si>
    <t>VOG02131 [FUNC="sp|P30320|DPOL_PBCVN DNA polymerase"] [TAG=Xh TAGDEF="Virus protein with function beneficial for the host"]</t>
  </si>
  <si>
    <t>11.09.P2-2.436-9.2_5</t>
  </si>
  <si>
    <t>11.09.P2-2.441-8.7_2</t>
  </si>
  <si>
    <t>11.09.P2-2.444-11_2</t>
  </si>
  <si>
    <t>sp|P75451|Y111_MYCPN Uncharacterized adenine-specific methylase MPN_111 OS=Mycoplasma pneumoniae (strain ATCC 29342 / M129 / Subtype 1) OX=272634 GN=MPN_111 PE=3 SV=1</t>
  </si>
  <si>
    <t>COG0827 [FUNC="Adenine-specific DNA N6-methylase"] [shortName=YtxK] [TAG=L TAGDEF="Replication, recombination and repair" PROCESS="INFORMATION STORAGE AND PROCESSING"]  [PATHWAY=""] Site-specific DNA-methyltransferase (adenine-specific) [Runella slithyformis DSM 19594]</t>
  </si>
  <si>
    <t>11.09.P2-2.459-70_2</t>
  </si>
  <si>
    <t>COG3476 [FUNC="Tryptophan-rich sensory protein TspO/CrtK (mitochondrial benzodiazepine receptor homolog)"] [shortName=TspO] [TAG=T TAGDEF="Signal transduction mechanisms" PROCESS="CELLULAR PROCESSES AND SIGNALING"]  [PATHWAY=""] tryptophan-rich sensory protein [Tabrizicola sp. K13M18]</t>
  </si>
  <si>
    <t>Tryptophan-rich sensory protein n=1 Tax=Aurantimonas marianensis TaxID=2920428 RepID=A0A9X2HAC5_9HYPH</t>
  </si>
  <si>
    <t>11.09.P2-2.459-70_4</t>
  </si>
  <si>
    <t>11.09.P2-2.459-70_7</t>
  </si>
  <si>
    <t>11.09.P2-2.460-3.3_3</t>
  </si>
  <si>
    <t>11.09.P2-2.463-4.6_1</t>
  </si>
  <si>
    <t>Sulfhydryl oxidase n=1 Tax=Mimivirus AB-566-O17 TaxID=1988039 RepID=A0A1X9VNU8_9VIRU</t>
  </si>
  <si>
    <t>11.09.P2-2.463-4.6_2</t>
  </si>
  <si>
    <t>Uncharacterized protein n=1 Tax=Mimivirus AB-566-O17 TaxID=1988039 RepID=A0A1X9VNU5_9VIRU</t>
  </si>
  <si>
    <t>11.09.P2-2.480-42_3</t>
  </si>
  <si>
    <t>11.09.P2-2.480-42_4</t>
  </si>
  <si>
    <t>11.09.P2-2.480-42_5</t>
  </si>
  <si>
    <t>11.09.P2-2.486-48_1</t>
  </si>
  <si>
    <t>Uncharacterized protein M553R n=1 Tax=Paramecium bursaria Chlorella virus MT325 TaxID=346932 RepID=A7IUT3_PBCVM</t>
  </si>
  <si>
    <t>11.09.P2-2.522-51_3</t>
  </si>
  <si>
    <t>11.09.P2-2.525-32_3</t>
  </si>
  <si>
    <t>11.09.P2-2.527-51_7</t>
  </si>
  <si>
    <t>sp|Q7T6X4|CAPS2_MIMIV Probable capsid protein 2 OS=Acanthamoeba polyphaga mimivirus OX=212035 GN=MIMI_R439 PE=3 SV=2</t>
  </si>
  <si>
    <t>Major capsid protein VP54 n=1 Tax=Paramecium bursaria Chlorella virus AP110A TaxID=1278246 RepID=M1HQN9_9PHYC</t>
  </si>
  <si>
    <t>11.09.P2-2.528-20_5</t>
  </si>
  <si>
    <t>11.09.P2-2.534-44_8</t>
  </si>
  <si>
    <t>ATPase n=3 Tax=unclassified Chlorovirus TaxID=346674 RepID=M1IBS8_9PHYC</t>
  </si>
  <si>
    <t>11.09.P2-2.540-56_2</t>
  </si>
  <si>
    <t>11.09.P2-2.540-56_3</t>
  </si>
  <si>
    <t>VOG00279 [FUNC="REFSEQ tail fiber protein"] [TAG=Xu TAGDEF="Function unknown"]</t>
  </si>
  <si>
    <t>DUF1565 domain-containing protein n=1 Tax=Synechococcus phage SynMITS9220M01 TaxID=2736186 RepID=A0A6M5CBK2_9CAUD</t>
  </si>
  <si>
    <t>11.09.P2-2.542-14_8</t>
  </si>
  <si>
    <t>11.09.P2-2.548-79_3</t>
  </si>
  <si>
    <t>sp|P0DKH3|RI2BL_ARATH Ribonucleoside-diphosphate reductase small chain B OS=Arabidopsis thaliana OX=3702 GN=RNR2B PE=2 SV=1</t>
  </si>
  <si>
    <t>KOG1567 [FUNC="Ribonucleotide reductase, beta subunit"] [shortName=] [TAG=F TAGDEF="Nucleotide transport and metabolism" PROCESS="METABOLISM"]  [PATHWAY=""]</t>
  </si>
  <si>
    <t>Putative Ribonucleoside-diphosphate reductase small chain n=1 Tax=Chlorella desiccata (nom. nud.) TaxID=1650286 RepID=A0A8T2WDQ5_9CHLO</t>
  </si>
  <si>
    <t>11.09.P2-2.548-79_4</t>
  </si>
  <si>
    <t>sp|P20560|YVFB_VACCC Uncharacterized 8.3 kDa protein OS=Vaccinia virus (strain Copenhagen) OX=10249 GN=F ORF B PE=4 SV=1</t>
  </si>
  <si>
    <t>VOG03787 [FUNC="REFSEQ hypothetical protein"] [TAG=Xu TAGDEF="Function unknown"]</t>
  </si>
  <si>
    <t>ORF_053L n=1 Tax=Scale drop disease virus TaxID=1697349 RepID=A0A0K1L6T7_9VIRU</t>
  </si>
  <si>
    <t>11.09.P2-2.553-5.4_1</t>
  </si>
  <si>
    <t>Eukaryotic translation initiation factor 4C n=4 Tax=Phytophthora TaxID=4783 RepID=G4YTS4_PHYSP</t>
  </si>
  <si>
    <t>11.09.P2-2.553-5.4_10</t>
  </si>
  <si>
    <t>11.09.P2-2.553-5.4_8</t>
  </si>
  <si>
    <t>11.09.P2-2.568-61_4</t>
  </si>
  <si>
    <t>11.09.P2-2.570-88_1</t>
  </si>
  <si>
    <t>sp|D3YYI7|RN217_MOUSE E3 ubiquitin-protein ligase RNF217 OS=Mus musculus OX=10090 GN=Rnf217 PE=1 SV=2</t>
  </si>
  <si>
    <t>RING-type domain-containing protein n=1 Tax=Pyramimonas orientalis virus TaxID=455367 RepID=A0A7M3UNS5_POV01</t>
  </si>
  <si>
    <t>11.09.P2-2.570-88_3</t>
  </si>
  <si>
    <t>Glycosyltransferase n=1 Tax=Klosneuvirus KNV1 TaxID=1977640 RepID=A0A1V0SIE3_9VIRU</t>
  </si>
  <si>
    <t>11.09.P2-2.606-52_3</t>
  </si>
  <si>
    <t>11.09.P2-2.606-52_6</t>
  </si>
  <si>
    <t>11.09.P2-2.613-54_2</t>
  </si>
  <si>
    <t>Endonuclease n=1 Tax=Pithovirus LCPAC304 TaxID=2506594 RepID=A0A481Z9S1_9VIRU</t>
  </si>
  <si>
    <t>11.09.P2-2.613-54_5</t>
  </si>
  <si>
    <t>11.09.P2-2.613-54_7</t>
  </si>
  <si>
    <t>11.09.P2-2.613-54_9</t>
  </si>
  <si>
    <t>11.09.P2-2.616-47_2</t>
  </si>
  <si>
    <t>COG0666 [FUNC="Ankyrin repeat"] [shortName=ANKYR] [TAG=T TAGDEF="Signal transduction mechanisms" PROCESS="CELLULAR PROCESSES AND SIGNALING"]  [PATHWAY=""] ankyrin repeat-containing protein [Syntrophus aciditrophicus]</t>
  </si>
  <si>
    <t>11.09.P2-2.622-15_2</t>
  </si>
  <si>
    <t>11.09.P2-2.622-15_6</t>
  </si>
  <si>
    <t>11.09.P2-2.630-60_2</t>
  </si>
  <si>
    <t>TFIIB-type domain-containing protein n=1 Tax=Ostreococcus lucimarinus virus OlV4 TaxID=754063 RepID=G9E5D2_9PHYC</t>
  </si>
  <si>
    <t>11.09.P2-2.635-52_3</t>
  </si>
  <si>
    <t>11.09.P2-2.635-52_6</t>
  </si>
  <si>
    <t>COG4951 [FUNC="Uncharacterized conserved protein"] [shortName=] [TAG=S TAGDEF="Function unknown" PROCESS="POORLY CHARACTERIZED"]  [PATHWAY=""] DEAD/DEAH box helicase [Variovorax paradoxus]</t>
  </si>
  <si>
    <t>11.09.P2-2.641-3.4_1</t>
  </si>
  <si>
    <t>11.09.P2-2.641-3.4_3</t>
  </si>
  <si>
    <t>Uncharacterized protein n=1 Tax=Chrysochromulina ericina virus TaxID=455364 RepID=A0A0N9Q953_CEV01</t>
  </si>
  <si>
    <t>11.09.P2-2.643-43_7</t>
  </si>
  <si>
    <t>11.09.P2-2.643-43_9</t>
  </si>
  <si>
    <t>COG1814 [FUNC="Predicted Fe2+/Mn2+ transporter, VIT1/CCC1 family"] [shortName=Ccc1] [TAG=P TAGDEF="Inorganic ion transport and metabolism" PROCESS="METABOLISM"]  [PATHWAY=""] hypothetical protein [Jonesia denitrificans]</t>
  </si>
  <si>
    <t>11.09.P2-2.661-29_3</t>
  </si>
  <si>
    <t>COG3537 [FUNC="Putative alpha-1,2-mannosidase"] [shortName=] [TAG=G TAGDEF="Carbohydrate transport and metabolism" PROCESS="METABOLISM"]  [PATHWAY=""] alpha-mannosidase [Melittangium boletus]</t>
  </si>
  <si>
    <t>Putative alpha-1,2-mannosidase n=2 Tax=Rarobacter faecitabidus TaxID=13243 RepID=A0A542ZA30_RARFA</t>
  </si>
  <si>
    <t>11.09.P2-2.661-29_5</t>
  </si>
  <si>
    <t>F5/8 type C domain-containing protein (Fragment) n=1 Tax=Hanusia phi TaxID=3032 RepID=A0A7S0E827_9CRYP</t>
  </si>
  <si>
    <t>11.09.P2-2.696-47_4</t>
  </si>
  <si>
    <t>11.09.P2-2.696-47_5</t>
  </si>
  <si>
    <t>11.09.P2-2.699-37_5</t>
  </si>
  <si>
    <t>11.09.P2-2.711-34_4</t>
  </si>
  <si>
    <t>Uncharacterized protein n=1 Tax=Bathycoccus sp. RCC716 virus 3 TaxID=2530040 RepID=A0A7S6NYT7_9PHYC</t>
  </si>
  <si>
    <t>11.09.P2-2.711-34_5</t>
  </si>
  <si>
    <t>COG1233 [FUNC="Phytoene dehydrogenase-related protein"] [shortName=] [TAG=Q TAGDEF="Secondary metabolites biosynthesis, transport and catabolism" PROCESS="METABOLISM"]  [PATHWAY=""] NAD(P)/FAD-dependent oxidoreductase [Arsenicicoccus sp. oral taxon 190]</t>
  </si>
  <si>
    <t>11.09.P2-2.729-47_5</t>
  </si>
  <si>
    <t>11.09.P2-2.749-44_1</t>
  </si>
  <si>
    <t>11.09.P2-2.749-44_3</t>
  </si>
  <si>
    <t>Major capsid protein VP54 n=1 Tax=Only Syngen Nebraska virus 5 TaxID=1917232 RepID=A0A1J0F9N8_9PHYC</t>
  </si>
  <si>
    <t>11.09.P2-2.749-44_4</t>
  </si>
  <si>
    <t>11.09.P2-2.749-44_5</t>
  </si>
  <si>
    <t>11.09.P2-2.757-52_10</t>
  </si>
  <si>
    <t>11.09.P2-2.757-52_9</t>
  </si>
  <si>
    <t>11.09.P2-2.815-18_4</t>
  </si>
  <si>
    <t>11.09.P2-2.827-79_10</t>
  </si>
  <si>
    <t>11.09.P2-2.827-79_6</t>
  </si>
  <si>
    <t>Helicase ATP-binding domain-containing protein n=1 Tax=Dishui lake phycodnavirus 1 TaxID=2079134 RepID=A0A2K9R7J3_9PHYC</t>
  </si>
  <si>
    <t>11.09.P2-2.828-48_2</t>
  </si>
  <si>
    <t>COG2931 [FUNC="Ca2+-binding protein, RTX toxin-related"] [shortName=] [TAG=Q TAGDEF="Secondary metabolites biosynthesis, transport and catabolism" PROCESS="METABOLISM"]  [PATHWAY=""] hemolysin-type calcium-binding region [Methylobacterium extorquens]</t>
  </si>
  <si>
    <t>VOG08974 [FUNC="REFSEQ hypothetical protein"] [TAG=Xu TAGDEF="Function unknown"]</t>
  </si>
  <si>
    <t>Concanavalin A-like lectin/glucanase domain-containing protein n=1 Tax=Scenedesmus sp. NREL 46B-D3 TaxID=2650976 RepID=A0A7J7PME9_9CHLO</t>
  </si>
  <si>
    <t>11.09.P2-2.861-7.8_1</t>
  </si>
  <si>
    <t>LysM domain-containing protein n=1 Tax=Bathycoccus sp. RCC1105 virus BpV2 TaxID=880160 RepID=E5ER75_9PHYC</t>
  </si>
  <si>
    <t>11.09.P2-2.861-7.8_3</t>
  </si>
  <si>
    <t>Nudix hydrolase domain-containing protein n=1 Tax=Acanthocystis turfacea Chlorella virus Br0604L TaxID=1278268 RepID=M1HHN1_9PHYC</t>
  </si>
  <si>
    <t>11.09.P2-2.863-110_12</t>
  </si>
  <si>
    <t>Uncharacterized protein n=1 Tax=Guillardia theta (strain CCMP2712) TaxID=905079 RepID=L1IKC5_GUITC</t>
  </si>
  <si>
    <t>11.09.P2-2.863-110_2</t>
  </si>
  <si>
    <t>11.09.P2-2.866-36_4</t>
  </si>
  <si>
    <t>11.09.P2-2.866-36_6</t>
  </si>
  <si>
    <t>11.09.P2-2.870-18_10</t>
  </si>
  <si>
    <t>11.09.P2-2.916-60_1</t>
  </si>
  <si>
    <t>11.09.P2-2.916-60_3</t>
  </si>
  <si>
    <t>sp|Q502K3|ANR52_DANRE Serine/threonine-protein phosphatase 6 regulatory ankyrin repeat subunit C OS=Danio rerio OX=7955 GN=ankrd52 PE=2 SV=1</t>
  </si>
  <si>
    <t>Ankyrin n=1 Tax=Morchella conica CCBAS932 TaxID=1392247 RepID=A0A3N4L082_9PEZI</t>
  </si>
  <si>
    <t>11.09.P2-2.919-40_1</t>
  </si>
  <si>
    <t>sp|Q54Y32|MPL3_DICDI MAP kinase phosphatase with leucine-rich repeats protein 3 OS=Dictyostelium discoideum OX=44689 GN=mpl3 PE=3 SV=1</t>
  </si>
  <si>
    <t>11.09.P2-2.937-10_6</t>
  </si>
  <si>
    <t>Glycosyl transferase n=1 Tax=Paramecium bursaria Chlorella virus KS1B TaxID=1278258 RepID=M1HY23_9PHYC</t>
  </si>
  <si>
    <t>11.09.P2-2.940-21_2</t>
  </si>
  <si>
    <t>VOG10816 [FUNC="REFSEQ hypothetical protein"] [TAG=Xu TAGDEF="Function unknown"]</t>
  </si>
  <si>
    <t>RING-type domain-containing protein n=1 Tax=Pandoravirus macleodensis TaxID=2107707 RepID=A0A2U7UEV4_9VIRU</t>
  </si>
  <si>
    <t>11.09.P2-2.940-43_3</t>
  </si>
  <si>
    <t>11.09.P2-2.940-43_6</t>
  </si>
  <si>
    <t>11.09.P2-2.949-55_14</t>
  </si>
  <si>
    <t>Uncharacterized protein n=1 Tax=Calcidiscus leptoporus TaxID=127549 RepID=A0A7S0IP19_9EUKA</t>
  </si>
  <si>
    <t>11.09.P2-2.949-55_16</t>
  </si>
  <si>
    <t>Major capsid protein VP54 n=1 Tax=Acanthocystis turfacea Chlorella virus GM0701.1 TaxID=1278271 RepID=M1H4P3_9PHYC</t>
  </si>
  <si>
    <t>11.09.P2-2.949-55_9</t>
  </si>
  <si>
    <t>11.09.P2-2.952-56_16</t>
  </si>
  <si>
    <t>VOG20347 [FUNC="REFSEQ hypothetical protein"] [TAG=Xu TAGDEF="Function unknown"]</t>
  </si>
  <si>
    <t>Uncharacterized protein n=1 Tax=Pseudomonas savastanoi TaxID=29438 RepID=A0A3M2ZJZ2_PSESS</t>
  </si>
  <si>
    <t>11.09.P2-2.952-56_4</t>
  </si>
  <si>
    <t>sp|P36602|RIR1_SCHPO Ribonucleoside-diphosphate reductase large chain OS=Schizosaccharomyces pombe (strain 972 / ATCC 24843) OX=284812 GN=cdc22 PE=1 SV=2</t>
  </si>
  <si>
    <t>COG0209 [FUNC="Ribonucleotide reductase alpha subunit"] [shortName=NrdA] [TAG=F TAGDEF="Nucleotide transport and metabolism" PROCESS="METABOLISM"]  [PATHWAY="Pyrimidine salvage"] ribonucleoside-diphosphate reductase subunit alpha [Saprospira grandis]</t>
  </si>
  <si>
    <t>Ribonucleoside-diphosphate reductase n=1 Tax=Aureispira sp. EL160426 TaxID=2864201 RepID=A0A915YEH9_9BACT</t>
  </si>
  <si>
    <t>11.09.P2-2.964-12_6</t>
  </si>
  <si>
    <t>11.09.P2-2.964-12_9</t>
  </si>
  <si>
    <t>Uncharacterized protein n=1 Tax=Paramecium bursaria Chlorella virus 1 TaxID=10506 RepID=Q98571_PBCV1</t>
  </si>
  <si>
    <t>11.09.P2-2.983-43_12</t>
  </si>
  <si>
    <t>Putative DNA polymerase sliding clamp 2 n=1 Tax=Acanthocystis turfacea Chlorella virus OR0704.3 TaxID=1278277 RepID=M1I5Q8_9PHYC</t>
  </si>
  <si>
    <t>11.09.P2-20.044-36_1</t>
  </si>
  <si>
    <t>Uncharacterized protein n=1 Tax=Bathycoccus sp. RCC716 virus 1 TaxID=2530038 RepID=A0A7S6NXY2_9PHYC</t>
  </si>
  <si>
    <t>11.09.P2-20.044-36_11</t>
  </si>
  <si>
    <t>sp|Q9W644|PCNA_ANGJA Proliferating cell nuclear antigen OS=Anguilla japonica OX=7937 GN=pcna PE=2 SV=1</t>
  </si>
  <si>
    <t>Putative proliferating cell nuclear antigen n=1 Tax=Mimivirus AB-566-O17 TaxID=1988039 RepID=A0A1X9VNV3_9VIRU</t>
  </si>
  <si>
    <t>11.09.P2-20.044-36_12</t>
  </si>
  <si>
    <t>Uncharacterized protein n=1 Tax=Phycisphaera sp. TMED151 TaxID=1986610 RepID=A0A1Z9HDA6_9BACT</t>
  </si>
  <si>
    <t>11.09.P2-20.044-36_14</t>
  </si>
  <si>
    <t>Uncharacterized protein n=1 Tax=Blyttiomyces helicus TaxID=388810 RepID=A0A4P9WPN7_9FUNG</t>
  </si>
  <si>
    <t>11.09.P2-20.044-36_15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</si>
  <si>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type III restriction endonuclease subunit R [Desulfobacca acetoxidans]</t>
  </si>
  <si>
    <t>11.09.P2-20.044-36_17</t>
  </si>
  <si>
    <t>Transcription elongation factor TFIIS n=1 Tax=Coemansia spiralis TaxID=417178 RepID=A0A9W8KYG0_9FUNG</t>
  </si>
  <si>
    <t>11.09.P2-20.044-36_18</t>
  </si>
  <si>
    <t>sp|P47481|LON_MYCGE Lon protease OS=Mycoplasma genitalium (strain ATCC 33530 / DSM 19775 / NCTC 10195 / G37) OX=243273 GN=lon PE=3 SV=1</t>
  </si>
  <si>
    <t>COG0466 [FUNC="ATP-dependent Lon protease, bacterial type"] [shortName=Lon] [TAG=O TAGDEF="Posttranslational modification, protein turnover, chaperones" PROCESS="CELLULAR PROCESSES AND SIGNALING"]  [PATHWAY=""] Lon protease [Mycoplasma genitalium]</t>
  </si>
  <si>
    <t>AAA+ ATPase domain-containing protein n=1 Tax=Tupanvirus soda lake TaxID=2126985 RepID=A0A6N1NLN0_9VIRU</t>
  </si>
  <si>
    <t>11.09.P2-20.044-36_19</t>
  </si>
  <si>
    <t>sp|P29563|BACR2_HALS2 Archaerhodopsin-2 OS=Halobacterium sp. (strain aus-2) OX=29285 PE=1 SV=1</t>
  </si>
  <si>
    <t>COG5524 [FUNC="Bacteriorhodopsin"] [shortName=] [TAG=C TAGDEF="Energy production and conversion" PROCESS="METABOLISM"] [TAG=T TAGDEF="Signal transduction mechanisms" PROCESS="CELLULAR PROCESSES AND SIGNALING"]  [PATHWAY=""] MULTISPECIES: rhodopsin [Exiguobacterium]</t>
  </si>
  <si>
    <t>11.09.P2-20.044-36_20</t>
  </si>
  <si>
    <t>11.09.P2-20.044-36_24</t>
  </si>
  <si>
    <t>11.09.P2-20.044-36_25</t>
  </si>
  <si>
    <t>sp|P71398|LSG4_HAEIN Lsg locus putative protein 4 OS=Haemophilus influenzae (strain ATCC 51907 / DSM 11121 / KW20 / Rd) OX=71421 GN=HI_1697 PE=3 SV=1</t>
  </si>
  <si>
    <t>Glycosyltransferase family 25 protein n=1 Tax=Florenciella parvula TaxID=236787 RepID=A0A7S2BKJ8_9STRA</t>
  </si>
  <si>
    <t>11.09.P2-20.044-36_26</t>
  </si>
  <si>
    <t>sp|P09358|MTD22_STREE Type II methyltransferase M2.DpnII OS=Streptococcus pneumoniae OX=1313 GN=dpnA PE=1 SV=1</t>
  </si>
  <si>
    <t>COG0863 [FUNC="DNA modification methylase"] [shortName=YhdJ] [TAG=L TAGDEF="Replication, recombination and repair" PROCESS="INFORMATION STORAGE AND PROCESSING"]  [PATHWAY=""] adenine-specific DNA methyltransferase [Helicobacter pylori 26695]</t>
  </si>
  <si>
    <t>N-4 cytosine/N-6 adenine-specific DNA methylase n=1 Tax=Chrysochromulina ericina virus TaxID=455364 RepID=A0A0N9QJ96_CEV01</t>
  </si>
  <si>
    <t>11.09.P2-20.044-36_6</t>
  </si>
  <si>
    <t>Uncharacterized protein n=1 Tax=Dimargaris cristalligena TaxID=215637 RepID=A0A4P9ZJ15_9FUNG</t>
  </si>
  <si>
    <t>11.09.P2-20.536-53_1</t>
  </si>
  <si>
    <t>11.09.P2-20.536-53_11</t>
  </si>
  <si>
    <t>11.09.P2-20.536-53_13</t>
  </si>
  <si>
    <t>11.09.P2-20.536-53_14</t>
  </si>
  <si>
    <t>11.09.P2-20.536-53_17</t>
  </si>
  <si>
    <t>11.09.P2-20.536-53_2</t>
  </si>
  <si>
    <t>11.09.P2-20.536-53_21</t>
  </si>
  <si>
    <t>11.09.P2-20.536-53_41</t>
  </si>
  <si>
    <t>11.09.P2-20.536-53_64</t>
  </si>
  <si>
    <t>11.09.P2-20.536-53_73</t>
  </si>
  <si>
    <t>Glycosyl transferase n=1 Tax=Acanthocystis turfacea Chlorella virus Canal-1 TaxID=1278270 RepID=M1HEE1_9PHYC</t>
  </si>
  <si>
    <t>11.09.P2-22.904-40_1</t>
  </si>
  <si>
    <t>Fe2OG dioxygenase domain-containing protein n=1 Tax=Neobodo designis TaxID=312471 RepID=A0A7S1MP33_NEODS</t>
  </si>
  <si>
    <t>11.09.P2-22.904-40_18</t>
  </si>
  <si>
    <t>Helicase n=1 Tax=Acanthocystis turfacea Chlorella virus Canal-1 TaxID=1278270 RepID=M1HIZ3_9PHYC</t>
  </si>
  <si>
    <t>11.09.P2-22.904-40_22</t>
  </si>
  <si>
    <t>11.09.P2-22.904-40_23</t>
  </si>
  <si>
    <t>COG1874 [FUNC="Beta-galactosidase GanA"] [shortName=GanA] [TAG=G TAGDEF="Carbohydrate transport and metabolism" PROCESS="METABOLISM"]  [PATHWAY=""] hypothetical protein [Trichodesmium erythraeum]</t>
  </si>
  <si>
    <t>Glycoside hydrolase family 42 N-terminal domain-containing protein n=1 Tax=Trichodesmium erythraeum (strain IMS101) TaxID=203124 RepID=Q10WF4_TRIEI</t>
  </si>
  <si>
    <t>11.09.P2-22.904-40_29</t>
  </si>
  <si>
    <t>Cas12f1-like TNB domain-containing protein n=1 Tax=Nothophytophthora sp. Chile5 TaxID=2483409 RepID=A0A662YCM1_9STRA</t>
  </si>
  <si>
    <t>11.09.P2-22.904-40_30</t>
  </si>
  <si>
    <t>Tlr 6Fp protein n=1 Tax=Tupanvirus soda lake TaxID=2126985 RepID=A0A6N1NX72_9VIRU</t>
  </si>
  <si>
    <t>11.09.P2-22.904-40_31</t>
  </si>
  <si>
    <t>WLM domain-containing protein n=1 Tax=Paramecium bursaria Chlorella virus AP110A TaxID=1278246 RepID=M1HF87_9PHYC</t>
  </si>
  <si>
    <t>11.09.P2-22.904-40_37</t>
  </si>
  <si>
    <t>RING-type domain-containing protein n=1 Tax=Paramecium bursaria Chlorella virus CVB-1 TaxID=1278247 RepID=M1HX38_9PHYC</t>
  </si>
  <si>
    <t>11.09.P2-22.904-40_9</t>
  </si>
  <si>
    <t>SprT-like domain-containing protein n=1 Tax=Acanthocystis turfacea Chlorella virus Canal-1 TaxID=1278270 RepID=M1GXL7_9PHYC</t>
  </si>
  <si>
    <t>11.09.P2-25.584-43_102</t>
  </si>
  <si>
    <t>11.09.P2-25.584-43_13</t>
  </si>
  <si>
    <t>11.09.P2-25.584-43_19</t>
  </si>
  <si>
    <t>11.09.P2-25.584-43_30</t>
  </si>
  <si>
    <t>11.09.P2-25.584-43_37</t>
  </si>
  <si>
    <t>11.09.P2-25.584-43_38</t>
  </si>
  <si>
    <t>11.09.P2-25.584-43_44</t>
  </si>
  <si>
    <t>11.09.P2-25.584-43_46</t>
  </si>
  <si>
    <t>11.09.P2-25.584-43_49</t>
  </si>
  <si>
    <t>11.09.P2-25.584-43_50</t>
  </si>
  <si>
    <t>11.09.P2-25.584-43_51</t>
  </si>
  <si>
    <t>11.09.P2-25.584-43_68</t>
  </si>
  <si>
    <t>11.09.P2-25.584-43_79</t>
  </si>
  <si>
    <t>11.09.P2-25.584-43_83</t>
  </si>
  <si>
    <t>11.09.P2-25.584-43_88</t>
  </si>
  <si>
    <t>11.09.P2-25.584-43_99</t>
  </si>
  <si>
    <t>11.09.P2-29.016-44_11</t>
  </si>
  <si>
    <t>11.09.P2-29.016-44_13</t>
  </si>
  <si>
    <t>COG0270 [FUNC="DNA-cytosine methylase"] [shortName=Dcm] [TAG=L TAGDEF="Replication, recombination and repair" PROCESS="INFORMATION STORAGE AND PROCESSING"]  [PATHWAY=""] MULTISPECIES: DNA cytosine methyltransferase [Nostocaceae]</t>
  </si>
  <si>
    <t>DNA (cytosine-5-)-methyltransferase n=1 Tax=Klebsormidium nitens TaxID=105231 RepID=A0A1Y1IS46_KLENI</t>
  </si>
  <si>
    <t>11.09.P2-29.016-44_15</t>
  </si>
  <si>
    <t>sp|Q80YE7|DAPK1_MOUSE Death-associated protein kinase 1 OS=Mus musculus OX=10090 GN=Dapk1 PE=1 SV=3</t>
  </si>
  <si>
    <t>COG0666 [FUNC="Ankyrin repeat"] [shortName=ANKYR] [TAG=T TAGDEF="Signal transduction mechanisms" PROCESS="CELLULAR PROCESSES AND SIGNALING"]  [PATHWAY=""] hypothetical protein [Candidatus Dependentiae bacterium (ex Spumella elongata CCAP 955/1)]</t>
  </si>
  <si>
    <t>Ankyrin repeat isoform A n=1 Tax=Chlorella sorokiniana TaxID=3076 RepID=A0A2P6U2K9_CHLSO</t>
  </si>
  <si>
    <t>11.09.P2-29.016-44_16</t>
  </si>
  <si>
    <t>11.09.P2-29.016-44_29</t>
  </si>
  <si>
    <t>sp|A0A5F9C6I2|RN123_RABIT E3 ubiquitin-protein ligase RNF123 OS=Oryctolagus cuniculus OX=9986 GN=RNF123 PE=1 SV=2</t>
  </si>
  <si>
    <t>KOG4692 [FUNC="Predicted E3 ubiquitin ligase"] [shortName=] [TAG=O TAGDEF="Posttranslational modification, protein turnover, chaperones" PROCESS="CELLULAR PROCESSES AND SIGNALING"]  [PATHWAY=""]</t>
  </si>
  <si>
    <t>RING-type domain-containing protein n=1 Tax=Pseudocohnilembus persalinus TaxID=266149 RepID=A0A0V0QTB5_PSEPJ</t>
  </si>
  <si>
    <t>11.09.P2-29.016-44_33</t>
  </si>
  <si>
    <t>RING-type domain-containing protein n=1 Tax=Acanthocystis turfacea Chlorella virus GM0701.1 TaxID=1278271 RepID=M1HP24_9PHYC</t>
  </si>
  <si>
    <t>11.09.P2-29.016-44_36</t>
  </si>
  <si>
    <t>sp|Q0CBM7|FAEA_ASPTN Probable feruloyl esterase A OS=Aspergillus terreus (strain NIH 2624 / FGSC A1156) OX=341663 GN=faeA PE=3 SV=1</t>
  </si>
  <si>
    <t>Fungal lipase-like domain-containing protein (Fragment) n=1 Tax=Nymphaea colorata TaxID=210225 RepID=A0A5K1HNG4_9MAGN</t>
  </si>
  <si>
    <t>11.09.P2-29.016-44_41</t>
  </si>
  <si>
    <t>Uncharacterized protein n=1 Tax=Chlorella vulgaris TaxID=3077 RepID=A0A9D4YY73_CHLVU</t>
  </si>
  <si>
    <t>11.09.P2-29.016-44_42</t>
  </si>
  <si>
    <t>Uncharacterized protein n=3 Tax=Chlorovirus TaxID=181083 RepID=M1I524_9PHYC</t>
  </si>
  <si>
    <t>11.09.P2-29.016-44_43</t>
  </si>
  <si>
    <t>COG3325 [FUNC="Chitinase, GH18 family"] [shortName=ChiA] [TAG=G TAGDEF="Carbohydrate transport and metabolism" PROCESS="METABOLISM"]  [PATHWAY=""] polysaccharide degrading enzyme [Citrobacter freundii]</t>
  </si>
  <si>
    <t>Beta/gamma crystallin 'Greek key' domain-containing protein (Fragment) n=1 Tax=Segatella copri TaxID=165179 RepID=A0A6A7W961_9BACT</t>
  </si>
  <si>
    <t>11.09.P2-29.016-44_44</t>
  </si>
  <si>
    <t>S1-like domain-containing protein n=2 Tax=Cryptococcus neoformans var. neoformans TaxID=40410 RepID=F5HDW7_CRYNB</t>
  </si>
  <si>
    <t>11.09.P2-29.016-44_6</t>
  </si>
  <si>
    <t>Uncharacterized protein C493R n=5 Tax=Chlorovirus TaxID=181083 RepID=A7RBU6_PBCVA</t>
  </si>
  <si>
    <t>11.09.P2-3.021-49_7</t>
  </si>
  <si>
    <t>Glycosyl transferase n=1 Tax=Only Syngen Nebraska virus 5 TaxID=1917232 RepID=A0A1J0F9A3_9PHYC</t>
  </si>
  <si>
    <t>11.09.P2-3.068-2.8_5</t>
  </si>
  <si>
    <t>VOG12845 [FUNC="REFSEQ hypothetical protein"] [TAG=Xu TAGDEF="Function unknown"]</t>
  </si>
  <si>
    <t>DUF1772 domain-containing protein n=1 Tax=Fadolivirus 1 TaxID=2740746 RepID=A0A7D3UQW5_9VIRU</t>
  </si>
  <si>
    <t>11.09.P2-3.080-2.7_2</t>
  </si>
  <si>
    <t>Large eukaryotic DNA virus major capsid protein-domain-containing protein n=1 Tax=Scenedesmus sp. NREL 46B-D3 TaxID=2650976 RepID=A0A7J7PNU3_9CHLO</t>
  </si>
  <si>
    <t>11.09.P2-3.080-2.7_4</t>
  </si>
  <si>
    <t>Capsid protein n=1 Tax=Paramecium bursaria Chlorella virus 1 TaxID=10506 RepID=Q89346_PBCV1</t>
  </si>
  <si>
    <t>11.09.P2-3.084-18_1</t>
  </si>
  <si>
    <t>VOG00347 [FUNC="REFSEQ tail fiber protein"] [TAG=Xu TAGDEF="Function unknown"]</t>
  </si>
  <si>
    <t>11.09.P2-3.084-18_3</t>
  </si>
  <si>
    <t>sp|A1CGD1|ABFB_ASPCL Probable alpha-L-arabinofuranosidase B OS=Aspergillus clavatus (strain ATCC 1007 / CBS 513.65 / DSM 816 / NCTC 3887 / NRRL 1 / QM 1276 / 107) OX=344612 GN=abfB PE=3 SV=1</t>
  </si>
  <si>
    <t>Peptidase S74 domain-containing protein n=1 Tax=Bathycoccus sp. RCC1105 virus BpV2 TaxID=880160 RepID=E5EQY8_9PHYC</t>
  </si>
  <si>
    <t>11.09.P2-3.128-36_1</t>
  </si>
  <si>
    <t>Helicase n=1 Tax=Paramecium bursaria Chlorella virus CvsA1 TaxID=1278254 RepID=M1HL06_9PHYC</t>
  </si>
  <si>
    <t>11.09.P2-3.128-36_2</t>
  </si>
  <si>
    <t>DUF5901 domain-containing protein n=1 Tax=Paramecium bursaria Chlorella virus Can18-4 TaxID=1278252 RepID=M1HI79_9PHYC</t>
  </si>
  <si>
    <t>11.09.P2-3.150-6.4_2</t>
  </si>
  <si>
    <t>MYM-type domain-containing protein n=1 Tax=Pyramimonas orientalis virus TaxID=455367 RepID=A0A7M3UNE7_POV01</t>
  </si>
  <si>
    <t>11.09.P2-3.150-6.4_3</t>
  </si>
  <si>
    <t>sp|Q91FD1|ICP46_IIV6 Immediate-early protein ICP-46 homolog OS=Invertebrate iridescent virus 6 OX=176652 GN=IIV6-393L PE=3 SV=1</t>
  </si>
  <si>
    <t>VOG02049 [FUNC="sp|P14358|ICP46_FRG3G Immediate-early protein ICP-46"] [TAG=Xh TAGDEF="Virus protein with function beneficial for the host"]</t>
  </si>
  <si>
    <t>Putative RNA ligase n=1 Tax=Mimivirus AB-566-O17 TaxID=1988039 RepID=A0A1X9VNR1_9VIRU</t>
  </si>
  <si>
    <t>11.09.P2-3.154-52_2</t>
  </si>
  <si>
    <t>Uncharacterized protein n=1 Tax=Bathycoccus sp. RCC1105 virus BpV1 TaxID=880159 RepID=E5ESK1_9PHYC</t>
  </si>
  <si>
    <t>11.09.P2-3.154-52_3</t>
  </si>
  <si>
    <t>11.09.P2-3.154-52_8</t>
  </si>
  <si>
    <t>11.09.P2-3.154-52_9</t>
  </si>
  <si>
    <t>11.09.P2-3.155-9.3_11</t>
  </si>
  <si>
    <t>Discoidin domain-containing protein n=1 Tax=Paenibacillus rhizovicinus TaxID=2704463 RepID=A0A6C0PCH8_9BACL</t>
  </si>
  <si>
    <t>11.09.P2-3.155-9.3_7</t>
  </si>
  <si>
    <t>COG1752 [FUNC="Predicted acylesterase/phospholipase RssA, containd patatin domain"] [shortName=RssA] [TAG=R TAGDEF="General function prediction only" PROCESS="POORLY CHARACTERIZED"]  [PATHWAY=""] hypothetical protein [Archangium gephyra]</t>
  </si>
  <si>
    <t>11.09.P2-3.155-9.3_8</t>
  </si>
  <si>
    <t>11.09.P2-3.201-11_8</t>
  </si>
  <si>
    <t>DUF805 domain-containing protein n=1 Tax=Chrysochromulina ericina virus TaxID=455364 RepID=A0A0N9QA39_CEV01</t>
  </si>
  <si>
    <t>11.09.P2-3.204-70_10</t>
  </si>
  <si>
    <t>11.09.P2-3.204-70_8</t>
  </si>
  <si>
    <t>11.09.P2-3.235-20_2</t>
  </si>
  <si>
    <t>sp|A0LQY9|MSHA_ACIC1 D-inositol 3-phosphate glycosyltransferase OS=Acidothermus cellulolyticus (strain ATCC 43068 / DSM 8971 / 11B) OX=351607 GN=mshA PE=3 SV=1</t>
  </si>
  <si>
    <t>COG0438 [FUNC="Glycosyltransferase involved in cell wall bisynthesis"] [shortName=RfaB] [TAG=M TAGDEF="Cell wall/membrane/envelope biogenesis" PROCESS="CELLULAR PROCESSES AND SIGNALING"]  [PATHWAY=""] glycosyltransferase family 1 protein [Breoghania sp. L-A4]</t>
  </si>
  <si>
    <t>Glycosyl transferase n=1 Tax=Paramecium bursaria Chlorella virus OR0704.2.2 TaxID=1278265 RepID=M1I9Z9_9PHYC</t>
  </si>
  <si>
    <t>11.09.P2-3.240-48_1</t>
  </si>
  <si>
    <t>COG0270 [FUNC="DNA-cytosine methylase"] [shortName=Dcm] [TAG=L TAGDEF="Replication, recombination and repair" PROCESS="INFORMATION STORAGE AND PROCESSING"]  [PATHWAY=""] DNA cytosine methyltransferase [Cellulosilyticum lentocellum]</t>
  </si>
  <si>
    <t>DNA (cytosine-5-)-methyltransferase n=2 Tax=unclassified Septimatrevirus TaxID=2234106 RepID=A0A6G9LL03_9CAUD</t>
  </si>
  <si>
    <t>11.09.P2-3.240-48_5</t>
  </si>
  <si>
    <t>11.09.P2-3.243-72_1</t>
  </si>
  <si>
    <t>DNA primase n=1 Tax=Paramecium bursaria Chlorella virus MA1D TaxID=240268 RepID=M1HXX3_9PHYC</t>
  </si>
  <si>
    <t>11.09.P2-3.243-72_4</t>
  </si>
  <si>
    <t>11.09.P2-3.243-72_5</t>
  </si>
  <si>
    <t>11.09.P2-3.265-52_1</t>
  </si>
  <si>
    <t>11.09.P2-3.265-52_6</t>
  </si>
  <si>
    <t>DEAD-box protein n=1 Tax=Klebsormidium nitens TaxID=105231 RepID=A0A1Y1I9A0_KLENI</t>
  </si>
  <si>
    <t>11.09.P2-3.284-1.7_11</t>
  </si>
  <si>
    <t>11.09.P2-3.284-1.7_4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</si>
  <si>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[Verrucosispora maris]</t>
  </si>
  <si>
    <t>Non-specific serine/threonine protein kinase n=1 Tax=Micromonospora pattaloongensis TaxID=405436 RepID=A0A1H3PTX4_9ACTN</t>
  </si>
  <si>
    <t>11.09.P2-3.284-1.7_6</t>
  </si>
  <si>
    <t>Anaphase-promoting complex subunit 11 (Fragment) n=1 Tax=Pycnococcus provasolii TaxID=41880 RepID=A0A7S2BBR7_9CHLO</t>
  </si>
  <si>
    <t>11.09.P2-3.295-15_1</t>
  </si>
  <si>
    <t>RRM domain-containing protein n=1 Tax=Mikania micrantha TaxID=192012 RepID=A0A5N6P7U9_9ASTR</t>
  </si>
  <si>
    <t>11.09.P2-3.295-15_4</t>
  </si>
  <si>
    <t>sp|Q5UPZ0|DNLJ_MIMIV DNA ligase OS=Acanthamoeba polyphaga mimivirus OX=212035 GN=MIMI_R303 PE=1 SV=1</t>
  </si>
  <si>
    <t>COG0272 [FUNC="NAD-dependent DNA ligase"] [shortName=Lig] [TAG=L TAGDEF="Replication, recombination and repair" PROCESS="INFORMATION STORAGE AND PROCESSING"]  [PATHWAY=""] DNA ligase [Desulfomicrobium baculatum]</t>
  </si>
  <si>
    <t>VOG28269 [FUNC="sp|A7ZED8|DNLJ_CAMC1 DNA ligase"] [TAG=Xh TAGDEF="Virus protein with function beneficial for the host"]</t>
  </si>
  <si>
    <t>DNA polymerase beta n=1 Tax=Chrysochromulina ericina virus TaxID=455364 RepID=A0A0N9R450_CEV01</t>
  </si>
  <si>
    <t>11.09.P2-3.314-46_6</t>
  </si>
  <si>
    <t>11.09.P2-3.314-46_7</t>
  </si>
  <si>
    <t>Ankyrin-3 like protein n=1 Tax=Argiope bruennichi TaxID=94029 RepID=A0A8T0F643_ARGBR</t>
  </si>
  <si>
    <t>11.09.P2-3.314-46_8</t>
  </si>
  <si>
    <t>11.09.P2-3.319-52_2</t>
  </si>
  <si>
    <t>VOG06104 [FUNC="REFSEQ hypothetical protein"] [TAG=Xu TAGDEF="Function unknown"]</t>
  </si>
  <si>
    <t>mRNA 5'-phosphatase n=1 Tax=Acanthocystis turfacea Chlorella virus Canal-1 TaxID=1278270 RepID=M1HKA8_9PHYC</t>
  </si>
  <si>
    <t>11.09.P2-3.348-20_1</t>
  </si>
  <si>
    <t>11.09.P2-3.348-20_7</t>
  </si>
  <si>
    <t>Glycoside hydrolase n=1 Tax=Sulfobacillus sp. hq2 TaxID=2039167 RepID=A0A2S3QEX0_9FIRM</t>
  </si>
  <si>
    <t>11.09.P2-3.356-2.9_10</t>
  </si>
  <si>
    <t>11.09.P2-3.371-41_1</t>
  </si>
  <si>
    <t>11.09.P2-3.371-41_2</t>
  </si>
  <si>
    <t>11.09.P2-3.371-41_5</t>
  </si>
  <si>
    <t>Uncharacterized protein n=1 Tax=Pyramimonas orientalis virus TaxID=455367 RepID=A0A7M3UP28_POV01</t>
  </si>
  <si>
    <t>11.09.P2-3.388-48_8</t>
  </si>
  <si>
    <t>11.09.P2-3.391-22_3</t>
  </si>
  <si>
    <t>11.09.P2-3.391-22_6</t>
  </si>
  <si>
    <t>sp|Q43124|PCNA_BRANA Proliferating cell nuclear antigen OS=Brassica napus OX=3708 PE=2 SV=1</t>
  </si>
  <si>
    <t>Proliferating cell nuclear antigen n=1 Tax=Dugesia japonica TaxID=6161 RepID=Q5H7M5_DUGJA</t>
  </si>
  <si>
    <t>11.09.P2-3.393-8.7_6</t>
  </si>
  <si>
    <t>sp|A7IXI8|Y663R_PBCVN Putative transcription factor B663R OS=Paramecium bursaria Chlorella virus NY2A OX=46021 GN=B663R PE=3 SV=1</t>
  </si>
  <si>
    <t>Putative transcription factor n=3 Tax=Chlorovirus TaxID=181083 RepID=M1HLP9_9PHYC</t>
  </si>
  <si>
    <t>11.09.P2-3.407-26_3</t>
  </si>
  <si>
    <t>sp|Q5UPM6|YR156_MIMIV Uncharacterized protein R156 OS=Acanthamoeba polyphaga mimivirus OX=212035 GN=MIMI_R156 PE=4 SV=1</t>
  </si>
  <si>
    <t>VOG00160 [FUNC="sp|Q5UPM6|YR156_MIMIV Uncharacterized protein R156"] [TAG=Xu TAGDEF="Function unknown"]</t>
  </si>
  <si>
    <t>Uncharacterized protein n=1 Tax=Moumouvirus goulette TaxID=1247379 RepID=M1PAV2_9VIRU</t>
  </si>
  <si>
    <t>11.09.P2-3.426-50_1</t>
  </si>
  <si>
    <t>sp|Q5UPQ7|YR771_MIMIV Putative resolvase R771 OS=Acanthamoeba polyphaga mimivirus OX=212035 GN=MIMI_R771 PE=3 SV=1</t>
  </si>
  <si>
    <t>COG2452 [FUNC="Predicted site-specific integrase-resolvase"] [shortName=] [TAG=X TAGDEF="Mobilome: prophages, transposons" PROCESS=""]  [PATHWAY=""] MerR family DNA-binding transcriptional regulator [Dactylococcopsis salina]</t>
  </si>
  <si>
    <t>VOG01307 [FUNC="sp|Q60329|Y014_METJA Uncharacterized protein MJ0014"] [TAG=Xu TAGDEF="Function unknown"]</t>
  </si>
  <si>
    <t>IS607 family transposase n=4 Tax=Moorena TaxID=1155738 RepID=A0A9Q9UWM1_9CYAN</t>
  </si>
  <si>
    <t>11.09.P2-3.426-50_2</t>
  </si>
  <si>
    <t>sp|Q5UPI0|YR104_MIMIV Putative transposase R104 OS=Acanthamoeba polyphaga mimivirus OX=212035 GN=MIMI_R104 PE=3 SV=1</t>
  </si>
  <si>
    <t>COG0675 [FUNC="Transposase"] [shortName=InsQ] [TAG=X TAGDEF="Mobilome: prophages, transposons" PROCESS=""]  [PATHWAY=""] transposase [Cylindrospermum stagnale PCC 7417]</t>
  </si>
  <si>
    <t>Uncharacterized protein C068R n=1 Tax=Paramecium bursaria Chlorella virus AR158 TaxID=380598 RepID=A7RAM2_PBCVA</t>
  </si>
  <si>
    <t>11.09.P2-3.426-50_5</t>
  </si>
  <si>
    <t>Phytoene dehydrogenase n=1 Tax=Xanthomonas fragariae TaxID=48664 RepID=A0A1Y6HBB0_9XANT</t>
  </si>
  <si>
    <t>11.09.P2-3.426-50_9</t>
  </si>
  <si>
    <t>Uncharacterized protein b084R n=1 Tax=Paramecium bursaria Chlorella virus NY2A TaxID=46021 RepID=A7IVV9_PBCVN</t>
  </si>
  <si>
    <t>11.09.P2-3.434-33_7</t>
  </si>
  <si>
    <t>COG1233 [FUNC="Phytoene dehydrogenase-related protein"] [shortName=] [TAG=Q TAGDEF="Secondary metabolites biosynthesis, transport and catabolism" PROCESS="METABOLISM"]  [PATHWAY=""] NAD(P)/FAD-dependent oxidoreductase [Labrenzia aggregata]</t>
  </si>
  <si>
    <t>11.09.P2-3.461-60_7</t>
  </si>
  <si>
    <t>11.09.P2-3.461-60_8</t>
  </si>
  <si>
    <t>11.09.P2-3.483-53_10</t>
  </si>
  <si>
    <t>11.09.P2-3.483-53_6</t>
  </si>
  <si>
    <t>11.09.P2-3.520-40_6</t>
  </si>
  <si>
    <t>COG4254 [FUNC="Uncharacterized peptidoglycan binding protein, contains LysM and FecR  domains"] [shortName=] [TAG=R TAGDEF="General function prediction only" PROCESS="POORLY CHARACTERIZED"]  [PATHWAY=""] hypothetical protein [Magnetospira sp. QH-2]</t>
  </si>
  <si>
    <t>11.09.P2-3.520-40_8</t>
  </si>
  <si>
    <t>11.09.P2-3.574-12_1</t>
  </si>
  <si>
    <t>11.09.P2-3.596-9.7_5</t>
  </si>
  <si>
    <t>COG1752 [FUNC="Predicted acylesterase/phospholipase RssA, containd patatin domain"] [shortName=RssA] [TAG=R TAGDEF="General function prediction only" PROCESS="POORLY CHARACTERIZED"]  [PATHWAY=""] phospholipase [Alteromonas macleodii]</t>
  </si>
  <si>
    <t>Patatin-like phospholipase n=1 Tax=Bodo saltans virus TaxID=2024608 RepID=A0A2H4UUE4_9VIRU</t>
  </si>
  <si>
    <t>11.09.P2-3.596-9.7_6</t>
  </si>
  <si>
    <t>sp|Q8TGI1|ATG1_PICPA Serine/threonine-protein kinase ATG1 OS=Komagataella pastoris OX=4922 GN=ATG1 PE=3 SV=1</t>
  </si>
  <si>
    <t>KOG0597 [FUNC="Serine-threonine protein kinase FUSED"] [shortName=] [TAG=R TAGDEF="General function prediction only" PROCESS="POORLY CHARACTERIZED"]  [PATHWAY=""]</t>
  </si>
  <si>
    <t>Protein kinase domain-containing protein n=1 Tax=Paramecium octaurelia TaxID=43137 RepID=A0A8S1W243_PAROT</t>
  </si>
  <si>
    <t>11.09.P2-3.599-36_2</t>
  </si>
  <si>
    <t>NCLDV major capsid protein n=1 Tax=Indivirus ILV1 TaxID=1977633 RepID=A0A1V0SDN0_9VIRU</t>
  </si>
  <si>
    <t>11.09.P2-3.599-36_3</t>
  </si>
  <si>
    <t>11.09.P2-3.599-36_5</t>
  </si>
  <si>
    <t>sp|Q7T6Y5|CAPS4_MIMIV Probable capsid protein 4 OS=Acanthamoeba polyphaga mimivirus OX=212035 GN=MIMI_R441 PE=3 SV=2</t>
  </si>
  <si>
    <t>Major capsid protein VP54 n=3 Tax=Chlorovirus TaxID=181083 RepID=M1HZR5_9PHYC</t>
  </si>
  <si>
    <t>11.09.P2-3.599-36_6</t>
  </si>
  <si>
    <t>11.09.P2-3.613-22_3</t>
  </si>
  <si>
    <t>Uncharacterized protein N206R n=1 Tax=Paramecium bursaria Chlorella virus FR483 TaxID=399781 RepID=A7J6R0_PBCVF</t>
  </si>
  <si>
    <t>11.09.P2-3.613-22_5</t>
  </si>
  <si>
    <t>11.09.P2-3.618-15_1</t>
  </si>
  <si>
    <t>11.09.P2-3.618-15_3</t>
  </si>
  <si>
    <t>sp|P23919|KTHY_HUMAN Thymidylate kinase OS=Homo sapiens OX=9606 GN=DTYMK PE=1 SV=4</t>
  </si>
  <si>
    <t>dTMP kinase n=1 Tax=Chlorella variabilis TaxID=554065 RepID=E1Z8Z0_CHLVA</t>
  </si>
  <si>
    <t>11.09.P2-3.620-47_9</t>
  </si>
  <si>
    <t>11.09.P2-3.628-3.2_12</t>
  </si>
  <si>
    <t>Uncharacterized protein n=1 Tax=Paramecium bursaria Chlorella virus MA1E TaxID=240263 RepID=M1HTT4_9PHYC</t>
  </si>
  <si>
    <t>11.09.P2-3.628-3.2_6</t>
  </si>
  <si>
    <t>11.09.P2-3.636-44_5</t>
  </si>
  <si>
    <t>11.09.P2-3.656-2.7_2</t>
  </si>
  <si>
    <t>Major capsid protein n=1 Tax=Prymnesium parvum DNA virus BW1 TaxID=1962447 RepID=A0A1S6PVI2_9PHYC</t>
  </si>
  <si>
    <t>11.09.P2-3.671-31_3</t>
  </si>
  <si>
    <t>11.09.P2-3.671-47_4</t>
  </si>
  <si>
    <t>11.09.P2-3.671-49_10</t>
  </si>
  <si>
    <t>11.09.P2-3.671-49_11</t>
  </si>
  <si>
    <t>11.09.P2-3.671-49_5</t>
  </si>
  <si>
    <t>sp|C0HKC8|SMK3A_MOUSE Sperm motility kinase 3A OS=Mus musculus OX=10090 GN=Smok3a PE=2 SV=1</t>
  </si>
  <si>
    <t>COG0515 [FUNC="Serine/threonine protein kinase"] [shortName=SPS1] [TAG=T TAGDEF="Signal transduction mechanisms" PROCESS="CELLULAR PROCESSES AND SIGNALING"]  [PATHWAY=""] serine/threonine protein kinase [Chondromyces crocatus]</t>
  </si>
  <si>
    <t>11.09.P2-3.671-49_6</t>
  </si>
  <si>
    <t>11.09.P2-3.708-35_10</t>
  </si>
  <si>
    <t>11.09.P2-3.715-42_3</t>
  </si>
  <si>
    <t>11.09.P2-3.715-42_4</t>
  </si>
  <si>
    <t>Major capsid protein VP54 n=1 Tax=Acanthocystis turfacea Chlorella virus Can0610SP TaxID=1278269 RepID=M1HIF3_9PHYC</t>
  </si>
  <si>
    <t>11.09.P2-3.721-50_1</t>
  </si>
  <si>
    <t>11.09.P2-3.721-50_2</t>
  </si>
  <si>
    <t>Uncharacterized protein n=1 Tax=Micromonas pusilla virus SP1 TaxID=373996 RepID=G9E5X5_MPSP1</t>
  </si>
  <si>
    <t>11.09.P2-3.721-50_5</t>
  </si>
  <si>
    <t>SprT-like domain-containing protein n=1 Tax=Acanthocystis turfacea Chlorella virus Br0604L TaxID=1278268 RepID=M1GVX0_9PHYC</t>
  </si>
  <si>
    <t>11.09.P2-3.746-51_1</t>
  </si>
  <si>
    <t>Putative transcription factor n=1 Tax=Acanthocystis turfacea Chlorella virus GM0701.1 TaxID=1278271 RepID=M1H4G5_9PHYC</t>
  </si>
  <si>
    <t>11.09.P2-3.746-51_6</t>
  </si>
  <si>
    <t>11.09.P2-3.757-44_1</t>
  </si>
  <si>
    <t>11.09.P2-3.757-44_4</t>
  </si>
  <si>
    <t>11.09.P2-3.785-53_1</t>
  </si>
  <si>
    <t>sp|Q58839|FEN_METJA Flap endonuclease 1 OS=Methanocaldococcus jannaschii (strain ATCC 43067 / DSM 2661 / JAL-1 / JCM 10045 / NBRC 100440) OX=243232 GN=fen PE=1 SV=1</t>
  </si>
  <si>
    <t>Exonuclease 1 n=1 Tax=Stylophora pistillata TaxID=50429 RepID=A0A2B4R7Q0_STYPI</t>
  </si>
  <si>
    <t>11.09.P2-3.785-53_2</t>
  </si>
  <si>
    <t>11.09.P2-3.785-53_6</t>
  </si>
  <si>
    <t>Mitogen-activated protein kinase n=1 Tax=Dishui Lake large algae virus 1 TaxID=2704073 RepID=A0A6G6XPH0_9VIRU</t>
  </si>
  <si>
    <t>11.09.P2-3.785-53_7</t>
  </si>
  <si>
    <t>11.09.P2-3.791-55_18</t>
  </si>
  <si>
    <t>11.09.P2-3.829-21_15</t>
  </si>
  <si>
    <t>Glycosyl transferase n=1 Tax=Acanthocystis turfacea Chlorella virus NE-JV-3 TaxID=1278275 RepID=M1HYS1_9PHYC</t>
  </si>
  <si>
    <t>11.09.P2-3.851-47_4</t>
  </si>
  <si>
    <t>Major capsid protein VP54 n=1 Tax=Paramecium bursaria Chlorella virus Fr5L TaxID=1278255 RepID=M1H3T2_9PHYC</t>
  </si>
  <si>
    <t>11.09.P2-3.851-47_5</t>
  </si>
  <si>
    <t>11.09.P2-3.851-47_6</t>
  </si>
  <si>
    <t>11.09.P2-3.882-42_13</t>
  </si>
  <si>
    <t>11.09.P2-3.882-42_7</t>
  </si>
  <si>
    <t>protein-tyrosine-phosphatase n=1 Tax=Glossina pallidipes TaxID=7398 RepID=A0A1A9ZBX1_GLOPL</t>
  </si>
  <si>
    <t>11.09.P2-3.904-27_12</t>
  </si>
  <si>
    <t>COG0270 [FUNC="DNA-cytosine methylase"] [shortName=Dcm] [TAG=L TAGDEF="Replication, recombination and repair" PROCESS="INFORMATION STORAGE AND PROCESSING"]  [PATHWAY=""] DNA cytosine methyltransferase [Methylobacterium extorquens]</t>
  </si>
  <si>
    <t>11.09.P2-3.904-27_8</t>
  </si>
  <si>
    <t>YqaJ viral recombinase domain-containing protein n=1 Tax=Acanthocystis turfacea Chlorella virus NTS-1 TaxID=1278276 RepID=M1I0K3_9PHYC</t>
  </si>
  <si>
    <t>11.09.P2-3.916-42_13</t>
  </si>
  <si>
    <t>11.09.P2-3.916-42_3</t>
  </si>
  <si>
    <t>11.09.P2-3.928-21_1</t>
  </si>
  <si>
    <t>Uncharacterized protein n=1 Tax=Chlamydomonas eustigma TaxID=1157962 RepID=A0A250XRK7_9CHLO</t>
  </si>
  <si>
    <t>11.09.P2-3.953-14_1</t>
  </si>
  <si>
    <t>VOG03662 [FUNC="sp|Q49492|MYCF_MICGR Mycinamicin III 3''-O-methyltransferase"] [TAG=Xh TAGDEF="Virus protein with function beneficial for the host"]</t>
  </si>
  <si>
    <t>Putative methyltransferase n=1 Tax=Tetraselmis virus 1 TaxID=2060617 RepID=A0A2P0VN78_9PHYC</t>
  </si>
  <si>
    <t>11.09.P2-3.953-14_10</t>
  </si>
  <si>
    <t>11.09.P2-3.953-47_10</t>
  </si>
  <si>
    <t>sp|P38991|IPL1_YEAST Spindle assembly checkpoint kinase OS=Saccharomyces cerevisiae (strain ATCC 204508 / S288c) OX=559292 GN=IPL1 PE=1 SV=1</t>
  </si>
  <si>
    <t>COG0515 [FUNC="Serine/threonine protein kinase"] [shortName=SPS1] [TAG=T TAGDEF="Signal transduction mechanisms" PROCESS="CELLULAR PROCESSES AND SIGNALING"]  [PATHWAY=""] hypothetical protein [Fimbriimonas ginsengisoli]</t>
  </si>
  <si>
    <t>Protein kinase domain-containing protein n=1 Tax=Paramecium primaurelia TaxID=5886 RepID=A0A8S1MBE6_PARPR</t>
  </si>
  <si>
    <t>11.09.P2-3.953-47_12</t>
  </si>
  <si>
    <t>11.09.P2-3.953-47_2</t>
  </si>
  <si>
    <t>11.09.P2-3.955-38_1</t>
  </si>
  <si>
    <t>Uncharacterized protein n=3 Tax=unclassified Prymnesiovirus TaxID=358403 RepID=R4THP6_9PHYC</t>
  </si>
  <si>
    <t>11.09.P2-3.955-38_7</t>
  </si>
  <si>
    <t>11.09.P2-31.224-38_106</t>
  </si>
  <si>
    <t>11.09.P2-31.224-38_118</t>
  </si>
  <si>
    <t>11.09.P2-31.224-38_119</t>
  </si>
  <si>
    <t>11.09.P2-31.224-38_17</t>
  </si>
  <si>
    <t>11.09.P2-31.224-38_23</t>
  </si>
  <si>
    <t>11.09.P2-31.224-38_3</t>
  </si>
  <si>
    <t>Poxvirus A22-like protein n=1 Tax=Paramecium bursaria Chlorella virus CVM-1 TaxID=1278249 RepID=M1HZH9_9PHYC</t>
  </si>
  <si>
    <t>11.09.P2-31.224-38_34</t>
  </si>
  <si>
    <t>11.09.P2-31.224-38_42</t>
  </si>
  <si>
    <t>Uncharacterized protein n=1 Tax=Acanthocystis turfacea Chlorella virus MN0810.1 TaxID=1278272 RepID=M1HZI9_9PHYC</t>
  </si>
  <si>
    <t>11.09.P2-31.224-38_43</t>
  </si>
  <si>
    <t>11.09.P2-31.224-38_50</t>
  </si>
  <si>
    <t>11.09.P2-31.224-38_53</t>
  </si>
  <si>
    <t>11.09.P2-31.224-38_55</t>
  </si>
  <si>
    <t>11.09.P2-31.224-38_56</t>
  </si>
  <si>
    <t>11.09.P2-31.224-38_58</t>
  </si>
  <si>
    <t>11.09.P2-31.224-38_60</t>
  </si>
  <si>
    <t>11.09.P2-31.224-38_73</t>
  </si>
  <si>
    <t>Fibronectin type-III domain-containing protein n=1 Tax=Rufibacter latericius TaxID=2487040 RepID=A0A3M9N136_9BACT</t>
  </si>
  <si>
    <t>11.09.P2-31.224-38_86</t>
  </si>
  <si>
    <t>Translation initiation factor 1A n=1 Tax=Tetraselmis virus 1 TaxID=2060617 RepID=A0A2P0VMN2_9PHYC</t>
  </si>
  <si>
    <t>11.09.P2-31.224-38_95</t>
  </si>
  <si>
    <t>COG3378 [FUNC="DNA primase, phage- or plasmid-associated"] [shortName=] [TAG=X TAGDEF="Mobilome: prophages, transposons" PROCESS=""]  [PATHWAY=""] hypothetical protein [Frischella perrara]</t>
  </si>
  <si>
    <t>11.09.P2-31.224-38_98</t>
  </si>
  <si>
    <t>11.09.P2-32.729-47_10</t>
  </si>
  <si>
    <t>11.09.P2-32.729-47_12</t>
  </si>
  <si>
    <t>11.09.P2-32.729-47_17</t>
  </si>
  <si>
    <t>11.09.P2-32.729-47_2</t>
  </si>
  <si>
    <t>11.09.P2-32.729-47_20</t>
  </si>
  <si>
    <t>11.09.P2-32.729-47_22</t>
  </si>
  <si>
    <t>11.09.P2-32.729-47_28</t>
  </si>
  <si>
    <t>11.09.P2-32.729-47_39</t>
  </si>
  <si>
    <t>11.09.P2-32.729-47_40</t>
  </si>
  <si>
    <t>11.09.P2-32.729-47_42</t>
  </si>
  <si>
    <t>11.09.P2-32.729-47_49</t>
  </si>
  <si>
    <t>11.09.P2-32.729-47_52</t>
  </si>
  <si>
    <t>11.09.P2-32.729-47_56</t>
  </si>
  <si>
    <t>11.09.P2-32.729-47_57</t>
  </si>
  <si>
    <t>11.09.P2-32.729-47_63</t>
  </si>
  <si>
    <t>11.09.P2-32.729-47_64</t>
  </si>
  <si>
    <t>11.09.P2-32.729-47_7</t>
  </si>
  <si>
    <t>11.09.P2-32.729-47_71</t>
  </si>
  <si>
    <t>11.09.P2-32.729-47_78</t>
  </si>
  <si>
    <t>11.09.P2-32.729-47_8</t>
  </si>
  <si>
    <t>11.09.P2-32.729-47_85</t>
  </si>
  <si>
    <t>11.09.P2-32.729-47_86</t>
  </si>
  <si>
    <t>11.09.P2-35.477-47_1</t>
  </si>
  <si>
    <t>COG5184 [FUNC="Alpha-tubulin suppressor ATS1 and related RCC1 domain-containing proteins"] [shortName=ATS1] [TAG=D TAGDEF="Cell cycle control, cell division, chromosome partitioning" PROCESS="CELLULAR PROCESSES AND SIGNALING"] [TAG=Z TAGDEF="Cytoskeleton" PROCESS="CELLULAR PROCESSES AND SIGNALING"]  [PATHWAY=""] T9SS C-terminal target domain-containing protein [Flavobacterium johnsoniae]</t>
  </si>
  <si>
    <t>VOG00729 [FUNC="REFSEQ hypothetical protein"] [TAG=Xu TAGDEF="Function unknown"]</t>
  </si>
  <si>
    <t>F5/8 type C domain-containing protein n=1 Tax=Dishui Lake phycodnavirus 3 TaxID=2704074 RepID=A0A6G6XNP2_9PHYC</t>
  </si>
  <si>
    <t>11.09.P2-35.477-47_15</t>
  </si>
  <si>
    <t>Putative DNA polymerase sliding clamp 2 n=6 Tax=Chlorovirus TaxID=181083 RepID=M1HZ44_9PHYC</t>
  </si>
  <si>
    <t>11.09.P2-35.477-47_16</t>
  </si>
  <si>
    <t>COG2890 [FUNC="Methylase of polypeptide chain release factors"] [shortName=HemK] [TAG=J TAGDEF="Translation, ribosomal structure and biogenesis" PROCESS="INFORMATION STORAGE AND PROCESSING"]  [PATHWAY=""] class I SAM-dependent methyltransferase [Commensalibacter sp. AMU001]</t>
  </si>
  <si>
    <t>VOG02013 [FUNC="sp|Q38156|DAM_BPT1 DNA N-6-adenine-methyltransferase"] [TAG=Xh TAGDEF="Virus protein with function beneficial for the host"]</t>
  </si>
  <si>
    <t>Methyltransferase n=1 Tax=Aquificae Conch Spring virus TaxID=2770615 RepID=A0A823A0Y2_9VIRU</t>
  </si>
  <si>
    <t>11.09.P2-35.477-47_2</t>
  </si>
  <si>
    <t>Major capsid protein VP54 n=2 Tax=Chlorovirus TaxID=181083 RepID=M1HLD6_9PHYC</t>
  </si>
  <si>
    <t>11.09.P2-35.477-47_20</t>
  </si>
  <si>
    <t>sp|B1ILA9|HIS8_CLOBK Histidinol-phosphate aminotransferase OS=Clostridium botulinum (strain Okra / Type B1) OX=498213 GN=hisC PE=3 SV=1</t>
  </si>
  <si>
    <t>COG0079 [FUNC="Histidinol-phosphate/aromatic aminotransferase or cobyric acid decarboxylase"] [shortName=HisC] [TAG=E TAGDEF="Amino acid transport and metabolism" PROCESS="METABOLISM"]  [PATHWAY="Cobalamine/B12 biosynthesis"] hypothetical protein CCB80_05365 [Armatimonadetes bacterium Uphvl-Ar1]</t>
  </si>
  <si>
    <t>Aminotransferase class I/II-fold pyridoxal phosphate-dependent enzyme n=1 Tax=Muriicola jejuensis TaxID=504488 RepID=A0A6P0UAC0_9FLAO</t>
  </si>
  <si>
    <t>11.09.P2-35.477-47_23</t>
  </si>
  <si>
    <t>sp|P36096|TUL1_YEAST Transmembrane E3 ubiquitin-protein ligase 1 OS=Saccharomyces cerevisiae (strain ATCC 204508 / S288c) OX=559292 GN=TUL1 PE=1 SV=1</t>
  </si>
  <si>
    <t>KOG0828 [FUNC="Predicted E3 ubiquitin ligase"] [shortName=] [TAG=O TAGDEF="Posttranslational modification, protein turnover, chaperones" PROCESS="CELLULAR PROCESSES AND SIGNALING"]  [PATHWAY=""]</t>
  </si>
  <si>
    <t>VOG01485 [FUNC="sp|P28990|ICP0_EHV1B E3 ubiquitin-protein ligase ICP0"] [TAG=Xh TAGDEF="Virus protein with function beneficial for the host"]</t>
  </si>
  <si>
    <t>RING-type domain-containing protein n=1 Tax=Galdieria sulphuraria TaxID=130081 RepID=M2WUQ6_GALSU</t>
  </si>
  <si>
    <t>11.09.P2-35.477-47_25</t>
  </si>
  <si>
    <t>11.09.P2-35.477-47_26</t>
  </si>
  <si>
    <t>11.09.P2-35.477-47_28</t>
  </si>
  <si>
    <t>Uncharacterized protein n=1 Tax=Dishui lake phycodnavirus 1 TaxID=2079134 RepID=A0A2N9QVV8_9PHYC</t>
  </si>
  <si>
    <t>11.09.P2-35.477-47_29</t>
  </si>
  <si>
    <t>11.09.P2-35.477-47_3</t>
  </si>
  <si>
    <t>11.09.P2-35.477-47_31</t>
  </si>
  <si>
    <t>11.09.P2-35.477-47_39</t>
  </si>
  <si>
    <t>Nudix hydrolase domain-containing protein n=1 Tax=Acanthocystis turfacea Chlorella virus GM0701.1 TaxID=1278271 RepID=M1HNM5_9PHYC</t>
  </si>
  <si>
    <t>11.09.P2-35.477-47_41</t>
  </si>
  <si>
    <t>11.09.P2-35.477-47_42</t>
  </si>
  <si>
    <t>Uncharacterized protein N470L n=1 Tax=Paramecium bursaria Chlorella virus FR483 TaxID=399781 RepID=A7J7H4_PBCVF</t>
  </si>
  <si>
    <t>11.09.P2-35.477-47_43</t>
  </si>
  <si>
    <t>11.09.P2-35.477-47_44</t>
  </si>
  <si>
    <t>sp|P23940|T2BA_BACAM Type II restriction enzyme BamHI OS=Bacillus amyloliquefaciens OX=1390 GN=bamHIR PE=1 SV=1</t>
  </si>
  <si>
    <t>Restriction endonuclease n=1 Tax=Azohydromonas caseinilytica TaxID=2728836 RepID=A0A848F9R8_9BURK</t>
  </si>
  <si>
    <t>11.09.P2-35.477-47_45</t>
  </si>
  <si>
    <t>COG3306 [FUNC="Glycosyltransferase involved in LPS biosynthesis, GR25 family"] [shortName=] [TAG=M TAGDEF="Cell wall/membrane/envelope biogenesis" PROCESS="CELLULAR PROCESSES AND SIGNALING"]  [PATHWAY=""] hypothetical protein [Aminobacter aminovorans]</t>
  </si>
  <si>
    <t>11.09.P2-35.477-47_48</t>
  </si>
  <si>
    <t>Uncharacterized protein n=1 Tax=Aureliella helgolandensis TaxID=2527968 RepID=A0A518G4P9_9BACT</t>
  </si>
  <si>
    <t>11.09.P2-35.477-47_6</t>
  </si>
  <si>
    <t>DNA primase n=3 Tax=unclassified Chlorovirus TaxID=346674 RepID=M1HZ55_9PHYC</t>
  </si>
  <si>
    <t>11.09.P2-35.477-47_9</t>
  </si>
  <si>
    <t>11.09.P2-4.012-60_2</t>
  </si>
  <si>
    <t>Tail fiber protein n=1 Tax=Vibrio sp. 03-59-1 TaxID=2607607 RepID=A0A7Y4ABJ3_9VIBR</t>
  </si>
  <si>
    <t>11.09.P2-4.012-60_7</t>
  </si>
  <si>
    <t>11.09.P2-4.014-51_12</t>
  </si>
  <si>
    <t>11.09.P2-4.014-51_6</t>
  </si>
  <si>
    <t>sp|P45350|DRTS_DAUCA Bifunctional dihydrofolate reductase-thymidylate synthase OS=Daucus carota OX=4039 PE=2 SV=1</t>
  </si>
  <si>
    <t>Bifunctional dihydrofolate reductase-thymidylate synthase n=1 Tax=Macleaya cordata TaxID=56857 RepID=A0A200QEA5_9MAGN</t>
  </si>
  <si>
    <t>11.09.P2-4.018-29_1</t>
  </si>
  <si>
    <t>11.09.P2-4.018-29_2</t>
  </si>
  <si>
    <t>KOG4177 [FUNC="Ankyrin"] [shortName=] [TAG=M TAGDEF="Cell wall/membrane/envelope biogenesis" PROCESS="CELLULAR PROCESSES AND SIGNALING"]  [PATHWAY=""]</t>
  </si>
  <si>
    <t>11.09.P2-4.035-49_7</t>
  </si>
  <si>
    <t>11.09.P2-4.035-49_9</t>
  </si>
  <si>
    <t>11.09.P2-4.073-42_5</t>
  </si>
  <si>
    <t>Glycosyltransferase n=1 Tax=Chlamydomonas incerta TaxID=51695 RepID=A0A835SK71_CHLIN</t>
  </si>
  <si>
    <t>11.09.P2-4.073-42_9</t>
  </si>
  <si>
    <t>11.09.P2-4.112-48_1</t>
  </si>
  <si>
    <t>Helicase ATP-binding domain-containing protein (Fragment) n=1 Tax=Klebsormidium nitens TaxID=105231 RepID=A0A1Y1IRR6_KLENI</t>
  </si>
  <si>
    <t>11.09.P2-4.112-48_3</t>
  </si>
  <si>
    <t>11.09.P2-4.112-48_7</t>
  </si>
  <si>
    <t>11.09.P2-4.112-48_9</t>
  </si>
  <si>
    <t>11.09.P2-4.151-48_12</t>
  </si>
  <si>
    <t>Uncharacterized protein C532L n=6 Tax=Chlorovirus TaxID=181083 RepID=A7RBY5_PBCVA</t>
  </si>
  <si>
    <t>11.09.P2-4.190-27_6</t>
  </si>
  <si>
    <t>11.09.P2-4.220-55_3</t>
  </si>
  <si>
    <t>11.09.P2-4.220-55_9</t>
  </si>
  <si>
    <t>11.09.P2-4.254-25_1</t>
  </si>
  <si>
    <t>sp|Q9C9U5|SIS8_ARATH Probable serine/threonine-protein kinase SIS8 OS=Arabidopsis thaliana OX=3702 GN=SIS8 PE=1 SV=1</t>
  </si>
  <si>
    <t>COG0666 [FUNC="Ankyrin repeat"] [shortName=ANKYR] [TAG=T TAGDEF="Signal transduction mechanisms" PROCESS="CELLULAR PROCESSES AND SIGNALING"]  [PATHWAY=""] hypothetical protein [Oscillatoria nigro-viridis]</t>
  </si>
  <si>
    <t>Putative serine/threonine-protein kinase drkA n=1 Tax=Chlorella desiccata (nom. nud.) TaxID=1650286 RepID=A0A8T2VJI6_9CHLO</t>
  </si>
  <si>
    <t>11.09.P2-4.254-25_13</t>
  </si>
  <si>
    <t>Putative ORfan n=1 Tax=Saudi moumouvirus TaxID=1956188 RepID=A0A1S5V1W2_9VIRU</t>
  </si>
  <si>
    <t>11.09.P2-4.254-25_9</t>
  </si>
  <si>
    <t>sp|Q9ULJ7|ANR50_HUMAN Ankyrin repeat domain-containing protein 50 OS=Homo sapiens OX=9606 GN=ANKRD50 PE=1 SV=4</t>
  </si>
  <si>
    <t>VOG00994 [FUNC="sp|Q5UP80|YL007_MIMIV Uncharacterized protein L7"] [TAG=Xu TAGDEF="Function unknown"]</t>
  </si>
  <si>
    <t>Uncharacterized protein n=1 Tax=Phytophthora pseudosyringae TaxID=221518 RepID=A0A8T1W449_9STRA</t>
  </si>
  <si>
    <t>11.09.P2-4.256-11_11</t>
  </si>
  <si>
    <t>Putative transcription factor n=2 Tax=unclassified Chlorovirus TaxID=346674 RepID=M1HN34_9PHYC</t>
  </si>
  <si>
    <t>11.09.P2-4.256-11_13</t>
  </si>
  <si>
    <t>11.09.P2-4.256-11_17</t>
  </si>
  <si>
    <t>11.09.P2-4.266-17_4</t>
  </si>
  <si>
    <t>11.09.P2-4.266-17_6</t>
  </si>
  <si>
    <t>11.09.P2-4.266-17_8</t>
  </si>
  <si>
    <t>11.09.P2-4.280-4.3_2</t>
  </si>
  <si>
    <t>Uncharacterized protein n=3 Tax=unclassified Prymnesiovirus TaxID=358403 RepID=R4TFW4_9PHYC</t>
  </si>
  <si>
    <t>11.09.P2-4.280-4.3_4</t>
  </si>
  <si>
    <t>sp|Q03392|PCNA_SCHPO Proliferating cell nuclear antigen OS=Schizosaccharomyces pombe (strain 972 / ATCC 24843) OX=284812 GN=pcn1 PE=1 SV=1</t>
  </si>
  <si>
    <t>Proliferating cell nuclear antigen n=1 Tax=Percolomonas cosmopolitus TaxID=63605 RepID=A0A7S1KS54_9EUKA</t>
  </si>
  <si>
    <t>11.09.P2-4.283-53_5</t>
  </si>
  <si>
    <t>Glycosyl transferase n=1 Tax=Paramecium bursaria Chlorella virus MA1E TaxID=240263 RepID=M1HYP7_9PHYC</t>
  </si>
  <si>
    <t>11.09.P2-4.293-49_12</t>
  </si>
  <si>
    <t>11.09.P2-4.293-49_2</t>
  </si>
  <si>
    <t>sp|Q6CA87|SWR1_YARLI Helicase SWR1 OS=Yarrowia lipolytica (strain CLIB 122 / E 150) OX=284591 GN=SWR1 PE=3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</si>
  <si>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[Odoribacter splanchnicus]</t>
  </si>
  <si>
    <t>Uncharacterized protein n=1 Tax=Triparma verrucosa TaxID=1606542 RepID=A0A9W7DQT1_9STRA</t>
  </si>
  <si>
    <t>11.09.P2-4.293-49_6</t>
  </si>
  <si>
    <t>11.09.P2-4.316-9.4_9</t>
  </si>
  <si>
    <t>11.09.P2-4.319-11_1</t>
  </si>
  <si>
    <t>VOG07397 [FUNC="REFSEQ hypothetical protein"] [TAG=Xu TAGDEF="Function unknown"]</t>
  </si>
  <si>
    <t>Uncharacterized protein n=3 Tax=Chlorovirus TaxID=181083 RepID=M1H6D7_9PHYC</t>
  </si>
  <si>
    <t>11.09.P2-4.319-11_4</t>
  </si>
  <si>
    <t>11.09.P2-4.322-40_13</t>
  </si>
  <si>
    <t>11.09.P2-4.322-40_15</t>
  </si>
  <si>
    <t>11.09.P2-4.322-40_21</t>
  </si>
  <si>
    <t>11.09.P2-4.322-40_3</t>
  </si>
  <si>
    <t>11.09.P2-4.335-5.0_8</t>
  </si>
  <si>
    <t>Uncharacterized protein n=1 Tax=Klosneuvirus KNV1 TaxID=1977640 RepID=A0A1V0SIE9_9VIRU</t>
  </si>
  <si>
    <t>11.09.P2-4.344-26_3</t>
  </si>
  <si>
    <t>11.09.P2-4.355-25_19</t>
  </si>
  <si>
    <t>11.09.P2-4.355-25_21</t>
  </si>
  <si>
    <t>11.09.P2-4.355-25_9</t>
  </si>
  <si>
    <t>11.09.P2-4.390-42_1</t>
  </si>
  <si>
    <t>COG2452 [FUNC="Predicted site-specific integrase-resolvase"] [shortName=] [TAG=X TAGDEF="Mobilome: prophages, transposons" PROCESS=""]  [PATHWAY=""] IS607 family transposase [Crinalium epipsammum]</t>
  </si>
  <si>
    <t>IS607 family transposase n=1 Tax=Moorena sp. SIO4G3 TaxID=2607821 RepID=A0A845WVW0_9CYAN</t>
  </si>
  <si>
    <t>11.09.P2-4.390-42_2</t>
  </si>
  <si>
    <t>COG0675 [FUNC="Transposase"] [shortName=InsQ] [TAG=X TAGDEF="Mobilome: prophages, transposons" PROCESS=""]  [PATHWAY=""] transposase [Halothece sp. PCC 7418]</t>
  </si>
  <si>
    <t>Transposase n=3 Tax=Phytophthora nicotianae TaxID=4790 RepID=A0A0W8CI95_PHYNI</t>
  </si>
  <si>
    <t>11.09.P2-4.390-42_4</t>
  </si>
  <si>
    <t>11.09.P2-4.390-42_6</t>
  </si>
  <si>
    <t>11.09.P2-4.425-38_11</t>
  </si>
  <si>
    <t>COG2452 [FUNC="Predicted site-specific integrase-resolvase"] [shortName=] [TAG=X TAGDEF="Mobilome: prophages, transposons" PROCESS=""]  [PATHWAY=""] IS607 family transposase [Arthrospira sp. TJSD091]</t>
  </si>
  <si>
    <t>Uncharacterized protein C069R n=1 Tax=Paramecium bursaria Chlorella virus AR158 TaxID=380598 RepID=A7RAM3_PBCVA</t>
  </si>
  <si>
    <t>11.09.P2-4.425-38_14</t>
  </si>
  <si>
    <t>BspA family leucine-rich repeat surface protein n=1 Tax=Chlorella desiccata (nom. nud.) TaxID=1650286 RepID=A0A8T2VNE0_9CHLO</t>
  </si>
  <si>
    <t>11.09.P2-4.425-38_4</t>
  </si>
  <si>
    <t>11.09.P2-4.425-38_6</t>
  </si>
  <si>
    <t>11.09.P2-4.430-3.2_11</t>
  </si>
  <si>
    <t>Uncharacterized protein n=1 Tax=Pyramimonas orientalis virus TaxID=455367 RepID=A0A7M3UNT1_POV01</t>
  </si>
  <si>
    <t>11.09.P2-4.430-3.2_15</t>
  </si>
  <si>
    <t>sp|P00787|CATB_RAT Cathepsin B OS=Rattus norvegicus OX=10116 GN=Ctsb PE=1 SV=2</t>
  </si>
  <si>
    <t>KOG1543 [FUNC="Cysteine proteinase Cathepsin L"] [shortName=] [TAG=O TAGDEF="Posttranslational modification, protein turnover, chaperones" PROCESS="CELLULAR PROCESSES AND SIGNALING"]  [PATHWAY=""]</t>
  </si>
  <si>
    <t>VOG01339 [FUNC="sp|O10364|CATV_NPVOP Viral cathepsin"] [TAG=Xh TAGDEF="Virus protein with function beneficial for the host"]</t>
  </si>
  <si>
    <t>Peptidase C1A papain C-terminal domain-containing protein n=1 Tax=Tieghemostelium lacteum TaxID=361077 RepID=A0A151Z7A1_TIELA</t>
  </si>
  <si>
    <t>11.09.P2-4.472-50_10</t>
  </si>
  <si>
    <t>11.09.P2-4.472-50_5</t>
  </si>
  <si>
    <t>Uncharacterized protein n=1 Tax=Colletotrichum orchidophilum TaxID=1209926 RepID=A0A1G4AN72_9PEZI</t>
  </si>
  <si>
    <t>11.09.P2-4.504-32_10</t>
  </si>
  <si>
    <t>11.09.P2-4.504-32_3</t>
  </si>
  <si>
    <t>COG0666 [FUNC="Ankyrin repeat"] [shortName=ANKYR] [TAG=T TAGDEF="Signal transduction mechanisms" PROCESS="CELLULAR PROCESSES AND SIGNALING"]  [PATHWAY=""] MULTISPECIES: ankyrin 3 [Wolbachia]</t>
  </si>
  <si>
    <t>Uncharacterized protein n=1 Tax=Trichogramma brassicae TaxID=86971 RepID=A0A6H5J906_9HYME</t>
  </si>
  <si>
    <t>11.09.P2-4.519-31_11</t>
  </si>
  <si>
    <t>11.09.P2-4.519-31_14</t>
  </si>
  <si>
    <t>11.09.P2-4.519-31_15</t>
  </si>
  <si>
    <t>11.09.P2-4.540-9.8_2</t>
  </si>
  <si>
    <t>Protein kinase domain-containing protein n=1 Tax=Blyttiomyces helicus TaxID=388810 RepID=A0A4P9VYX2_9FUNG</t>
  </si>
  <si>
    <t>11.09.P2-4.540-9.8_5</t>
  </si>
  <si>
    <t>VOG07515 [FUNC="REFSEQ hypothetical protein"] [TAG=Xu TAGDEF="Function unknown"]</t>
  </si>
  <si>
    <t>Uncharacterized protein n=1 Tax=Micromonas pusilla virus SP1 TaxID=373996 RepID=G9E696_MPSP1</t>
  </si>
  <si>
    <t>11.09.P2-4.540-9.8_7</t>
  </si>
  <si>
    <t>sp|P50192|MTHA_HAEPH Type II methyltransferase M1.HphI OS=Haemophilus parahaemolyticus OX=735 GN=hphIAM PE=3 SV=1</t>
  </si>
  <si>
    <t>COG0270 [FUNC="DNA-cytosine methylase"] [shortName=Dcm] [TAG=L TAGDEF="Replication, recombination and repair" PROCESS="INFORMATION STORAGE AND PROCESSING"]  [PATHWAY=""] DNA cytosine methyltransferase [Candidatus Nitrosopelagicus brevis]</t>
  </si>
  <si>
    <t>Cytosine-specific methyltransferase n=1 Tax=Micromonas pusilla virus SP1 TaxID=373996 RepID=G9E695_MPSP1</t>
  </si>
  <si>
    <t>11.09.P2-4.542-30_10</t>
  </si>
  <si>
    <t>sp|C7MSY6|MSHA_SACVD D-inositol 3-phosphate glycosyltransferase OS=Saccharomonospora viridis (strain ATCC 15386 / DSM 43017 / JCM 3036 / NBRC 12207 / P101) OX=471857 GN=mshA PE=3 SV=1</t>
  </si>
  <si>
    <t>Glycosyl transferase n=1 Tax=Acanthocystis turfacea Chlorella virus NE-JV-2 TaxID=1278274 RepID=M1HC67_9PHYC</t>
  </si>
  <si>
    <t>11.09.P2-4.542-30_5</t>
  </si>
  <si>
    <t>Peptidase S74 domain-containing protein n=1 Tax=Limnovirga soli TaxID=2656915 RepID=A0A8J8JVM2_9BACT</t>
  </si>
  <si>
    <t>11.09.P2-4.549-60_2</t>
  </si>
  <si>
    <t>11.09.P2-4.557-25_1</t>
  </si>
  <si>
    <t>sp|Q59185|LON1_BORBU Lon protease 1 OS=Borreliella burgdorferi (strain ATCC 35210 / DSM 4680 / CIP 102532 / B31) OX=224326 GN=lon1 PE=3 SV=1</t>
  </si>
  <si>
    <t>11.09.P2-4.557-25_4</t>
  </si>
  <si>
    <t>Sulfotransferase domain-containing protein n=1 Tax=Muricauda eckloniae TaxID=346185 RepID=A0A0Q1BG94_9FLAO</t>
  </si>
  <si>
    <t>11.09.P2-4.563-54_11</t>
  </si>
  <si>
    <t>11.09.P2-4.563-54_9</t>
  </si>
  <si>
    <t>Transposase n=1 Tax=Trebouxia sp. A1-2 TaxID=2608996 RepID=A0A5J4XHZ2_9CHLO</t>
  </si>
  <si>
    <t>11.09.P2-4.571-13_1</t>
  </si>
  <si>
    <t>SMODS and SLOG-associating 2TM effector domain-containing protein n=1 Tax=Tupanvirus soda lake TaxID=2126985 RepID=A0A6N1NPX5_9VIRU</t>
  </si>
  <si>
    <t>11.09.P2-4.571-13_2</t>
  </si>
  <si>
    <t>SF3 helicase domain-containing protein n=1 Tax=Tetrabaena socialis TaxID=47790 RepID=A0A2J7ZIK8_9CHLO</t>
  </si>
  <si>
    <t>11.09.P2-4.571-13_3</t>
  </si>
  <si>
    <t>11.09.P2-4.571-13_4</t>
  </si>
  <si>
    <t>11.09.P2-4.571-13_5</t>
  </si>
  <si>
    <t>11.09.P2-4.571-13_6</t>
  </si>
  <si>
    <t>11.09.P2-4.583-47_11</t>
  </si>
  <si>
    <t>11.09.P2-4.629-26_10</t>
  </si>
  <si>
    <t>COG3349 [FUNC="Uncharacterized protein, contains NAD-binding domain and a Fe-S cluster"] [shortName=] [TAG=R TAGDEF="General function prediction only" PROCESS="POORLY CHARACTERIZED"]  [PATHWAY=""] FAD-dependent oxidoreductase [Pseudonocardia dioxanivorans]</t>
  </si>
  <si>
    <t>11.09.P2-4.629-26_6</t>
  </si>
  <si>
    <t>11.09.P2-4.629-26_8</t>
  </si>
  <si>
    <t>sp|O48782|HMOX1_ARATH Heme oxygenase 1, chloroplastic OS=Arabidopsis thaliana OX=3702 GN=HO1 PE=1 SV=2</t>
  </si>
  <si>
    <t>Heme oxygenase n=2 Tax=Heterosigma akashiwo TaxID=2829 RepID=A0A6V1QVP2_HETAK</t>
  </si>
  <si>
    <t>11.09.P2-4.634-11_17</t>
  </si>
  <si>
    <t>sp|O34680|YDIP_BACSU Type II methyltransferase M2.BsuMI OS=Bacillus subtilis (strain 168) OX=224308 GN=ydiP PE=1 SV=1</t>
  </si>
  <si>
    <t>COG0270 [FUNC="DNA-cytosine methylase"] [shortName=Dcm] [TAG=L TAGDEF="Replication, recombination and repair" PROCESS="INFORMATION STORAGE AND PROCESSING"]  [PATHWAY=""] hypothetical protein [Verrucomicrobia bacterium IMCC26134]</t>
  </si>
  <si>
    <t>Cytosine-specific methyltransferase n=1 Tax=Bosea sp. F3-2 TaxID=2599640 RepID=A0A5C1AS22_9HYPH</t>
  </si>
  <si>
    <t>11.09.P2-4.663-52_1</t>
  </si>
  <si>
    <t>RBR-type E3 ubiquitin transferase n=1 Tax=Brachionus calyciflorus TaxID=104777 RepID=A0A814JLR5_9BILA</t>
  </si>
  <si>
    <t>11.09.P2-4.663-52_7</t>
  </si>
  <si>
    <t>11.09.P2-4.724-54_11</t>
  </si>
  <si>
    <t>Glycosyl transferase n=1 Tax=Paramecium bursaria Chlorella virus Fr5L TaxID=1278255 RepID=M1HSS5_9PHYC</t>
  </si>
  <si>
    <t>11.09.P2-4.730-54_12</t>
  </si>
  <si>
    <t>11.09.P2-4.730-54_3</t>
  </si>
  <si>
    <t>11.09.P2-4.730-54_5</t>
  </si>
  <si>
    <t>sp|Q01389|BCK1_YEAST Serine/threonine-protein kinase BCK1/SLK1/SSP31 OS=Saccharomyces cerevisiae (strain ATCC 204508 / S288c) OX=559292 GN=BCK1 PE=1 SV=1</t>
  </si>
  <si>
    <t>KOG0198 [FUNC="MEKK and related serine/threonine protein kinases"] [shortName=] [TAG=T TAGDEF="Signal transduction mechanisms" PROCESS="CELLULAR PROCESSES AND SIGNALING"]  [PATHWAY=""]</t>
  </si>
  <si>
    <t>non-specific serine/threonine protein kinase n=1 Tax=Azospira restricta TaxID=404405 RepID=A0A974PXQ3_9RHOO</t>
  </si>
  <si>
    <t>11.09.P2-4.740-6.4_2</t>
  </si>
  <si>
    <t>EsV-1-42 n=1 Tax=Ectocarpus siliculosus TaxID=2880 RepID=D8LP75_ECTSI</t>
  </si>
  <si>
    <t>11.09.P2-4.740-6.4_3</t>
  </si>
  <si>
    <t>11.09.P2-4.740-6.4_5</t>
  </si>
  <si>
    <t>11.09.P2-4.791-6.5_1</t>
  </si>
  <si>
    <t>Helicase ATP-binding domain-containing protein n=1 Tax=Pyramimonas orientalis virus TaxID=455367 RepID=A0A7M4CEP2_POV01</t>
  </si>
  <si>
    <t>11.09.P2-4.806-14_13</t>
  </si>
  <si>
    <t>sp|P48592|RIR2_DROME Ribonucleoside-diphosphate reductase subunit M2 OS=Drosophila melanogaster OX=7227 GN=RnrS PE=1 SV=2</t>
  </si>
  <si>
    <t>COG0208 [FUNC="Ribonucleotide reductase beta subunit, ferritin-like domain"] [shortName=NrdB] [TAG=F TAGDEF="Nucleotide transport and metabolism" PROCESS="METABOLISM"]  [PATHWAY="Pyrimidine salvage"] ribonucleoside-diphosphate reductase [Croceibacter atlanticus]</t>
  </si>
  <si>
    <t>ribonucleoside-diphosphate reductase n=1 Tax=Tenacibaculum holothuriorum TaxID=1635173 RepID=A0A1Y2PER7_9FLAO</t>
  </si>
  <si>
    <t>11.09.P2-4.806-14_2</t>
  </si>
  <si>
    <t>11.09.P2-4.806-14_3</t>
  </si>
  <si>
    <t>Uncharacterized protein n=2 Tax=Chlorovirus TaxID=181083 RepID=M1IFD6_9PHYC</t>
  </si>
  <si>
    <t>11.09.P2-4.806-14_4</t>
  </si>
  <si>
    <t>11.09.P2-4.833-93_11</t>
  </si>
  <si>
    <t>11.09.P2-4.833-93_14</t>
  </si>
  <si>
    <t>11.09.P2-4.833-93_15</t>
  </si>
  <si>
    <t>11.09.P2-4.833-93_5</t>
  </si>
  <si>
    <t>11.09.P2-4.837-53_14</t>
  </si>
  <si>
    <t>11.09.P2-4.837-53_2</t>
  </si>
  <si>
    <t>11.09.P2-4.837-53_3</t>
  </si>
  <si>
    <t>11.09.P2-4.837-53_4</t>
  </si>
  <si>
    <t>mRNA guanylyltransferase n=2 Tax=Chlorovirus TaxID=181083 RepID=M1I6I0_9PHYC</t>
  </si>
  <si>
    <t>11.09.P2-4.839-40_12</t>
  </si>
  <si>
    <t>HepHag n=1 Tax=Bacillus subtilis TaxID=1423 RepID=A0A165AE44_BACIU</t>
  </si>
  <si>
    <t>11.09.P2-4.839-40_18</t>
  </si>
  <si>
    <t>11.09.P2-4.839-40_25</t>
  </si>
  <si>
    <t>Viral late gene transcription factor 3 zinc ribbon domain-containing protein n=1 Tax=Tupanvirus soda lake TaxID=2126985 RepID=A0A6N1NLF7_9VIRU</t>
  </si>
  <si>
    <t>11.09.P2-4.842-45_1</t>
  </si>
  <si>
    <t>11.09.P2-4.842-45_7</t>
  </si>
  <si>
    <t>11.09.P2-4.893-19_10</t>
  </si>
  <si>
    <t>11.09.P2-4.893-19_12</t>
  </si>
  <si>
    <t>Pherophorin domain-containing protein n=1 Tax=Edaphochlamys debaryana TaxID=47281 RepID=A0A836C184_9CHLO</t>
  </si>
  <si>
    <t>11.09.P2-4.893-19_3</t>
  </si>
  <si>
    <t>Sulfhydryl oxidase n=1 Tax=Klosneuvirus KNV1 TaxID=1977640 RepID=A0A1V0SIM0_9VIRU</t>
  </si>
  <si>
    <t>11.09.P2-4.909-18_17</t>
  </si>
  <si>
    <t>11.09.P2-4.909-18_2</t>
  </si>
  <si>
    <t>sp|Q4R7Q7|RIR2_MACFA Ribonucleoside-diphosphate reductase subunit M2 OS=Macaca fascicularis OX=9541 GN=RRM2 PE=2 SV=1</t>
  </si>
  <si>
    <t>Ribonucleoside-diphosphate reductase subunit M2-like n=1 Tax=Neolamprologus brichardi TaxID=32507 RepID=A0A3Q4MCJ7_NEOBR</t>
  </si>
  <si>
    <t>11.09.P2-4.970-9.7_12</t>
  </si>
  <si>
    <t>11.09.P2-4.970-9.7_16</t>
  </si>
  <si>
    <t>11.09.P2-4.970-9.7_17</t>
  </si>
  <si>
    <t>11.09.P2-4.970-9.7_8</t>
  </si>
  <si>
    <t>11.09.P2-4.986-48_1</t>
  </si>
  <si>
    <t>11.09.P2-4.986-48_11</t>
  </si>
  <si>
    <t>Uncharacterized protein m020R n=2 Tax=Paramecium bursaria Chlorella virus A1 TaxID=381899 RepID=A7ITA0_PBCVM</t>
  </si>
  <si>
    <t>11.09.P2-4.986-48_2</t>
  </si>
  <si>
    <t>11.09.P2-4.986-48_4</t>
  </si>
  <si>
    <t>11.09.P2-4.986-48_6</t>
  </si>
  <si>
    <t>11.09.P2-45.306-44_101</t>
  </si>
  <si>
    <t>sp|Q5UQJ6|YR400_MIMIV Putative serine/threonine-protein kinase R400 OS=Acanthamoeba polyphaga mimivirus OX=212035 GN=MIMI_R400 PE=1 SV=1</t>
  </si>
  <si>
    <t>Uncharacterized protein B818R n=1 Tax=Paramecium bursaria Chlorella virus NY2A TaxID=46021 RepID=A7IXZ3_PBCVN</t>
  </si>
  <si>
    <t>11.09.P2-45.306-44_110</t>
  </si>
  <si>
    <t>11.09.P2-45.306-44_14</t>
  </si>
  <si>
    <t>sp|Q8N8A2|ANR44_HUMAN Serine/threonine-protein phosphatase 6 regulatory ankyrin repeat subunit B OS=Homo sapiens OX=9606 GN=ANKRD44 PE=1 SV=3</t>
  </si>
  <si>
    <t>COG1196 [FUNC="Chromosome segregation ATPase Smc"] [shortName=Smc] [TAG=D TAGDEF="Cell cycle control, cell division, chromosome partitioning" PROCESS="CELLULAR PROCESSES AND SIGNALING"]  [PATHWAY=""] hypothetical protein [Candidatus Phycorickettsia trachydisci]</t>
  </si>
  <si>
    <t>Ankyrin repeat protein n=2 Tax=Leptospira interrogans TaxID=173 RepID=A0A829D9W3_LEPIR</t>
  </si>
  <si>
    <t>11.09.P2-45.306-44_17</t>
  </si>
  <si>
    <t>YqaJ viral recombinase domain-containing protein n=1 Tax=Paramecium bursaria Chlorella virus MA1E TaxID=240263 RepID=M1HZT9_9PHYC</t>
  </si>
  <si>
    <t>11.09.P2-45.306-44_24</t>
  </si>
  <si>
    <t>Putative DNA polymerase sliding clamp 2 n=1 Tax=Paramecium bursaria Chlorella virus Can18-4 TaxID=1278252 RepID=M1GWQ0_9PHYC</t>
  </si>
  <si>
    <t>11.09.P2-45.306-44_27</t>
  </si>
  <si>
    <t>Capsid protein n=1 Tax=Bathycoccus sp. RCC1105 virus BpV1 TaxID=880159 RepID=E5ESE6_9PHYC</t>
  </si>
  <si>
    <t>11.09.P2-45.306-44_29</t>
  </si>
  <si>
    <t>sp|Q99956|DUS9_HUMAN Dual specificity protein phosphatase 9 OS=Homo sapiens OX=9606 GN=DUSP9 PE=1 SV=1</t>
  </si>
  <si>
    <t>11.09.P2-45.306-44_3</t>
  </si>
  <si>
    <t>sp|Q3UES3|TNKS2_MOUSE Poly [ADP-ribose] polymerase tankyrase-2 OS=Mus musculus OX=10090 GN=Tnks2 PE=2 SV=2</t>
  </si>
  <si>
    <t>COG0666 [FUNC="Ankyrin repeat"] [shortName=ANKYR] [TAG=T TAGDEF="Signal transduction mechanisms" PROCESS="CELLULAR PROCESSES AND SIGNALING"]  [PATHWAY=""] hypothetical protein [Thioalkalivibrio nitratireducens]</t>
  </si>
  <si>
    <t>Ankyrin repeat protein n=1 Tax=Leptospira kirschneri str. 200802841 TaxID=1193047 RepID=A0A828Y0T1_9LEPT</t>
  </si>
  <si>
    <t>11.09.P2-45.306-44_32</t>
  </si>
  <si>
    <t>Type-2 restriction enzyme ScaI n=1 Tax=Planktothrix agardhii TaxID=1160 RepID=A0A9W4CDQ3_PLAAG</t>
  </si>
  <si>
    <t>11.09.P2-45.306-44_35</t>
  </si>
  <si>
    <t>Uncharacterized protein n=1 Tax=Only Syngen Nebraska virus 5 TaxID=1917232 RepID=A0A1J0F9A2_9PHYC</t>
  </si>
  <si>
    <t>11.09.P2-45.306-44_37</t>
  </si>
  <si>
    <t>sp|P52652|TFS2_CAEEL Putative transcription elongation factor S-II OS=Caenorhabditis elegans OX=6239 GN=T24H10.1 PE=3 SV=1</t>
  </si>
  <si>
    <t>Transcription elongation factor SII n=3 Tax=unclassified Chlorovirus TaxID=346674 RepID=Q9YPH8_9PHYC</t>
  </si>
  <si>
    <t>11.09.P2-45.306-44_40</t>
  </si>
  <si>
    <t>Uncharacterized protein B549R n=1 Tax=Paramecium bursaria Chlorella virus NY2A TaxID=46021 RepID=A7IX74_PBCVN</t>
  </si>
  <si>
    <t>11.09.P2-45.306-44_41</t>
  </si>
  <si>
    <t>Uncharacterized protein N570L n=1 Tax=Paramecium bursaria Chlorella virus FR483 TaxID=399781 RepID=A7J7S4_PBCVF</t>
  </si>
  <si>
    <t>11.09.P2-45.306-44_44</t>
  </si>
  <si>
    <t>UbiA prenyltransferase family-domain-containing protein n=1 Tax=Scenedesmus sp. NREL 46B-D3 TaxID=2650976 RepID=A0A7J7PL77_9CHLO</t>
  </si>
  <si>
    <t>11.09.P2-45.306-44_46</t>
  </si>
  <si>
    <t>11.09.P2-45.306-44_51</t>
  </si>
  <si>
    <t>COG1970 [FUNC="Large-conductance mechanosensitive channel"] [shortName=MscL] [TAG=M TAGDEF="Cell wall/membrane/envelope biogenesis" PROCESS="CELLULAR PROCESSES AND SIGNALING"]  [PATHWAY=""] large conductance mechanosensitive channel protein MscL [Butyrivibrio proteoclasticus]</t>
  </si>
  <si>
    <t>Large-conductance mechanosensitive channel n=1 Tax=Atopostipes suicloacalis DSM 15692 TaxID=1121025 RepID=A0A1M4Z428_9LACT</t>
  </si>
  <si>
    <t>11.09.P2-45.306-44_58</t>
  </si>
  <si>
    <t>MYM-type domain-containing protein n=1 Tax=Dishui Lake phycodnavirus 3 TaxID=2704074 RepID=A0A6G6XNG1_9PHYC</t>
  </si>
  <si>
    <t>11.09.P2-45.306-44_60</t>
  </si>
  <si>
    <t>WLM domain-containing protein n=1 Tax=Acanthocystis turfacea Chlorella virus NTS-1 TaxID=1278276 RepID=M1HEW9_9PHYC</t>
  </si>
  <si>
    <t>11.09.P2-45.306-44_63</t>
  </si>
  <si>
    <t>11.09.P2-45.306-44_64</t>
  </si>
  <si>
    <t>RING-type domain-containing protein n=1 Tax=Paramecium bursaria Chlorella virus NE-JV-1 TaxID=1278261 RepID=M1ICZ9_9PHYC</t>
  </si>
  <si>
    <t>11.09.P2-45.306-44_67</t>
  </si>
  <si>
    <t>11.09.P2-45.306-44_69</t>
  </si>
  <si>
    <t>sp|Q84568|KCV_PBCV1 Potassium channel protein kcv OS=Paramecium bursaria Chlorella virus 1 OX=10506 GN=A250R PE=3 SV=1</t>
  </si>
  <si>
    <t>COG1226 [FUNC="Voltage-gated potassium channel Kch"] [shortName=Kch] [TAG=P TAGDEF="Inorganic ion transport and metabolism" PROCESS="METABOLISM"]  [PATHWAY=""] potassium channel protein [Halanaeroarchaeum sulfurireducens]</t>
  </si>
  <si>
    <t>VOG01380 [FUNC="REFSEQ cAMP-dependent Kef-type K+ transporter"] [TAG=Xu TAGDEF="Function unknown"]</t>
  </si>
  <si>
    <t>Potassium channel protein kcv n=3 Tax=Chlorovirus TaxID=181083 RepID=M1INR6_9PHYC</t>
  </si>
  <si>
    <t>11.09.P2-45.306-44_7</t>
  </si>
  <si>
    <t>11.09.P2-45.306-44_72</t>
  </si>
  <si>
    <t>Helicase n=3 Tax=Chlorovirus TaxID=181083 RepID=M1I489_9PHYC</t>
  </si>
  <si>
    <t>11.09.P2-45.306-44_74</t>
  </si>
  <si>
    <t>sp|P47813|IF1AX_HUMAN Eukaryotic translation initiation factor 1A, X-chromosomal OS=Homo sapiens OX=9606 GN=EIF1AX PE=1 SV=2</t>
  </si>
  <si>
    <t>Translation initiation factor 1A n=3 Tax=Coemansia TaxID=4863 RepID=A0A9W8LCX2_9FUNG</t>
  </si>
  <si>
    <t>11.09.P2-45.306-44_79</t>
  </si>
  <si>
    <t>Alginate lyase 2 domain-containing protein n=1 Tax=Lottia gigantea TaxID=225164 RepID=V4AQL7_LOTGI</t>
  </si>
  <si>
    <t>11.09.P2-45.306-44_82</t>
  </si>
  <si>
    <t>Uncharacterized protein n=3 Tax=unclassified Prasinovirus TaxID=880158 RepID=A0A0P0CRU3_9PHYC</t>
  </si>
  <si>
    <t>11.09.P2-45.306-44_93</t>
  </si>
  <si>
    <t>Uncharacterized protein n=1 Tax=Pyramimonas orientalis virus TaxID=455367 RepID=A0A7L9AXV1_POV01</t>
  </si>
  <si>
    <t>11.09.P2-45.306-44_96</t>
  </si>
  <si>
    <t>sp|F4JZ24|P4H10_ARATH Probable prolyl 4-hydroxylase 10 OS=Arabidopsis thaliana OX=3702 GN=P4H10 PE=3 SV=1</t>
  </si>
  <si>
    <t>Fe2OG dioxygenase domain-containing protein n=1 Tax=Prunus armeniaca TaxID=36596 RepID=A0A6J5VJL0_PRUAR</t>
  </si>
  <si>
    <t>11.09.P2-5.021-13_1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</si>
  <si>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hypothetical protein [Candidatus Nitrosotenuis cloacae]</t>
  </si>
  <si>
    <t>11.09.P2-5.050-63_12</t>
  </si>
  <si>
    <t>11.09.P2-5.050-63_14</t>
  </si>
  <si>
    <t>11.09.P2-5.050-63_20</t>
  </si>
  <si>
    <t>11.09.P2-5.074-3.4_27</t>
  </si>
  <si>
    <t>sp|P15251|HMC1C_METSH Chromosomal protein MC1c OS=Methanothrix soehngenii OX=2223 PE=1 SV=1</t>
  </si>
  <si>
    <t>11.09.P2-5.074-3.4_7</t>
  </si>
  <si>
    <t>11.09.P2-5.142-16_10</t>
  </si>
  <si>
    <t>Uncharacterized protein n=1 Tax=Ostreococcus tauri virus RT-2011 TaxID=1120767 RepID=H8ZJ90_9PHYC</t>
  </si>
  <si>
    <t>11.09.P2-5.142-16_5</t>
  </si>
  <si>
    <t>11.09.P2-5.156-30_11</t>
  </si>
  <si>
    <t>11.09.P2-5.156-30_2</t>
  </si>
  <si>
    <t>11.09.P2-5.156-30_9</t>
  </si>
  <si>
    <t>11.09.P2-5.170-69_12</t>
  </si>
  <si>
    <t>Uncharacterized protein N327L n=1 Tax=Paramecium bursaria Chlorella virus FR483 TaxID=399781 RepID=A7J731_PBCVF</t>
  </si>
  <si>
    <t>11.09.P2-5.170-69_7</t>
  </si>
  <si>
    <t>11.09.P2-5.170-69_8</t>
  </si>
  <si>
    <t>11.09.P2-5.170-69_9</t>
  </si>
  <si>
    <t>Uncharacterized protein B636R n=1 Tax=Paramecium bursaria Chlorella virus NY2A TaxID=46021 RepID=A7IXG1_PBCVN</t>
  </si>
  <si>
    <t>11.09.P2-5.181-31_1</t>
  </si>
  <si>
    <t>sp|P31689|DNJA1_HUMAN DnaJ homolog subfamily A member 1 OS=Homo sapiens OX=9606 GN=DNAJA1 PE=1 SV=2</t>
  </si>
  <si>
    <t>KOG0712 [FUNC="Molecular chaperone (DnaJ superfamily)"] [shortName=] [TAG=O TAGDEF="Posttranslational modification, protein turnover, chaperones" PROCESS="CELLULAR PROCESSES AND SIGNALING"]  [PATHWAY=""]</t>
  </si>
  <si>
    <t>VOG00665 [FUNC="sp|Q5UP23|YR260_MIMIV DnaJ-like protein R260"] [TAG=Xu TAGDEF="Function unknown"]</t>
  </si>
  <si>
    <t>DnaJ-like protein subfamily A member 2 n=2 Tax=Auxenochlorella protothecoides TaxID=3075 RepID=A0A1D2A7B4_AUXPR</t>
  </si>
  <si>
    <t>11.09.P2-5.181-31_2</t>
  </si>
  <si>
    <t>11.09.P2-5.181-31_3</t>
  </si>
  <si>
    <t>DNA polymerase (Fragment) n=2 Tax=Mimiviridae TaxID=549779 RepID=I6QYY1_9VIRU</t>
  </si>
  <si>
    <t>11.09.P2-5.195-30_1</t>
  </si>
  <si>
    <t>11.09.P2-5.195-30_3</t>
  </si>
  <si>
    <t>11.09.P2-5.195-30_4</t>
  </si>
  <si>
    <t>11.09.P2-5.195-30_6</t>
  </si>
  <si>
    <t>11.09.P2-5.203-34_10</t>
  </si>
  <si>
    <t>Ribonucleoside-diphosphate reductase n=1 Tax=Solitalea canadensis (strain ATCC 29591 / DSM 3403 / NBRC 15130 / NCIMB 12057 / USAM 9D) TaxID=929556 RepID=H8KPF4_SOLCM</t>
  </si>
  <si>
    <t>11.09.P2-5.203-34_11</t>
  </si>
  <si>
    <t>Uncharacterized protein n=1 Tax=Wickerhamomyces pijperi TaxID=599730 RepID=A0A9P8TP52_WICPI</t>
  </si>
  <si>
    <t>11.09.P2-5.203-34_2</t>
  </si>
  <si>
    <t>11.09.P2-5.249-40_3</t>
  </si>
  <si>
    <t>11.09.P2-5.249-40_4</t>
  </si>
  <si>
    <t>11.09.P2-5.249-40_6</t>
  </si>
  <si>
    <t>Uncharacterized protein n=1 Tax=Cyanophage MED4-117 TaxID=889954 RepID=M4Q1E0_9CAUD</t>
  </si>
  <si>
    <t>11.09.P2-5.260-48-V2_20</t>
  </si>
  <si>
    <t>11.09.P2-5.260-48-V2_4</t>
  </si>
  <si>
    <t>Potassium channel protein kcv n=1 Tax=Acanthocystis turfacea Chlorella virus MN0810.1 TaxID=1278272 RepID=M1HV21_9PHYC</t>
  </si>
  <si>
    <t>11.09.P2-5.260-48-V2_5</t>
  </si>
  <si>
    <t>COG4951 [FUNC="Uncharacterized conserved protein"] [shortName=] [TAG=S TAGDEF="Function unknown" PROCESS="POORLY CHARACTERIZED"]  [PATHWAY=""] DNA helicase [Halioglobus pacificus]</t>
  </si>
  <si>
    <t>11.09.P2-5.260-48-V2_8</t>
  </si>
  <si>
    <t>11.09.P2-5.318-32_1</t>
  </si>
  <si>
    <t>11.09.P2-5.318-32_10</t>
  </si>
  <si>
    <t>ATP-dependent RNA helicase n=1 Tax=Only Syngen Nebraska virus 5 TaxID=1917232 RepID=A0A1J0F9B5_9PHYC</t>
  </si>
  <si>
    <t>11.09.P2-5.318-32_13</t>
  </si>
  <si>
    <t>Uncharacterized protein n=1 Tax=Yellowstone lake phycodnavirus 2 TaxID=1586714 RepID=A0A0P0YMZ4_9PHYC</t>
  </si>
  <si>
    <t>11.09.P2-5.318-32_17</t>
  </si>
  <si>
    <t>11.09.P2-5.382-15_13</t>
  </si>
  <si>
    <t>Poxvirus A22-like protein n=1 Tax=Paramecium bursaria Chlorella virus NW665.2 TaxID=1278263 RepID=M1IH98_9PHYC</t>
  </si>
  <si>
    <t>11.09.P2-5.382-15_2</t>
  </si>
  <si>
    <t>11.09.P2-5.383-12_11</t>
  </si>
  <si>
    <t>11.09.P2-5.383-12_3</t>
  </si>
  <si>
    <t>11.09.P2-5.409-11_12</t>
  </si>
  <si>
    <t>11.09.P2-5.409-11_13</t>
  </si>
  <si>
    <t>11.09.P2-5.409-11_4</t>
  </si>
  <si>
    <t>11.09.P2-5.409-11_8</t>
  </si>
  <si>
    <t>11.09.P2-5.409-38_10</t>
  </si>
  <si>
    <t>11.09.P2-5.409-38_3</t>
  </si>
  <si>
    <t>11.09.P2-5.453-9.3_1</t>
  </si>
  <si>
    <t>11.09.P2-5.453-9.3_10</t>
  </si>
  <si>
    <t>11.09.P2-5.453-9.3_15</t>
  </si>
  <si>
    <t>11.09.P2-5.453-9.3_5</t>
  </si>
  <si>
    <t>11.09.P2-5.471-39_12</t>
  </si>
  <si>
    <t>11.09.P2-5.471-39_18</t>
  </si>
  <si>
    <t>11.09.P2-5.471-39_24</t>
  </si>
  <si>
    <t>11.09.P2-5.508-45_3</t>
  </si>
  <si>
    <t>11.09.P2-5.508-45_9</t>
  </si>
  <si>
    <t>11.09.P2-5.530-46_13</t>
  </si>
  <si>
    <t>11.09.P2-5.530-46_15</t>
  </si>
  <si>
    <t>11.09.P2-5.530-46_22</t>
  </si>
  <si>
    <t>BspA family leucine-rich repeat surface protein (Fragment) n=2 Tax=Emticicia agri TaxID=2492393 RepID=A0A4Q5LJY6_9BACT</t>
  </si>
  <si>
    <t>11.09.P2-5.530-46_5</t>
  </si>
  <si>
    <t>11.09.P2-5.545-59_1</t>
  </si>
  <si>
    <t>Uncharacterized protein C507L n=2 Tax=unclassified Chlorovirus TaxID=346674 RepID=A7RBW0_PBCVA</t>
  </si>
  <si>
    <t>11.09.P2-5.545-59_10</t>
  </si>
  <si>
    <t>11.09.P2-5.545-59_15</t>
  </si>
  <si>
    <t>11.09.P2-5.545-59_16</t>
  </si>
  <si>
    <t>11.09.P2-5.545-59_9</t>
  </si>
  <si>
    <t>11.09.P2-5.601-28_14</t>
  </si>
  <si>
    <t>Mitochondrial resolvase Ydc2 catalytic domain-containing protein n=1 Tax=Bathycoccus sp. RCC1105 virus BpV2 TaxID=880160 RepID=E5EQX7_9PHYC</t>
  </si>
  <si>
    <t>11.09.P2-5.601-28_3</t>
  </si>
  <si>
    <t>11.09.P2-5.730-5.8_11</t>
  </si>
  <si>
    <t>sp|Q4U3U9|CAPSD_TNAVC Major capsid protein OS=Trichoplusia ni ascovirus 2c OX=328615 GN=MCP-1 PE=1 SV=2</t>
  </si>
  <si>
    <t>11.09.P2-5.730-5.8_2</t>
  </si>
  <si>
    <t>11.09.P2-5.730-5.8_3</t>
  </si>
  <si>
    <t>11.09.P2-5.730-5.8_6</t>
  </si>
  <si>
    <t>11.09.P2-5.749-2.7_1</t>
  </si>
  <si>
    <t>sp|Q91FS8|VF244_IIV6 Putative phosphoesterase 244L OS=Invertebrate iridescent virus 6 OX=176652 GN=IIV6-244L PE=3 SV=1</t>
  </si>
  <si>
    <t>VOG00430 [FUNC="sp|P04521|EXO1_BPT4 Exonuclease subunit 1"] [TAG=Xp TAGDEF="Virus protein with function beneficial for the virus"]</t>
  </si>
  <si>
    <t>DNA repair exonuclease n=1 Tax=Marseillevirus LCMAC102 TaxID=2506603 RepID=A0A481YVS8_9VIRU</t>
  </si>
  <si>
    <t>11.09.P2-5.749-2.7_13</t>
  </si>
  <si>
    <t>sp|Q9LP24|Y1571_ARATH Probable leucine-rich repeat receptor-like protein kinase At1g35710 OS=Arabidopsis thaliana OX=3702 GN=At1g35710 PE=1 SV=1</t>
  </si>
  <si>
    <t>COG4886 [FUNC="Leucine-rich repeat (LRR) protein"] [shortName=LRR] [TAG=K TAGDEF="Transcription" PROCESS="INFORMATION STORAGE AND PROCESSING"]  [PATHWAY=""] hypothetical protein [Thioploca ingrica]</t>
  </si>
  <si>
    <t>VOG00091 [FUNC="sp|Q54AX5|LRRA_DICDI Leucine-rich repeat protein lrrA"] [TAG=Xh TAGDEF="Virus protein with function beneficial for the host"]</t>
  </si>
  <si>
    <t>Putative LRR receptor-like serine/threonine-protein kinase n=1 Tax=Glycine soja TaxID=3848 RepID=A0A0B2PSY9_GLYSO</t>
  </si>
  <si>
    <t>11.09.P2-5.749-2.7_15</t>
  </si>
  <si>
    <t>COG0420 [FUNC="DNA repair exonuclease SbcCD nuclease subunit"] [shortName=SbcD] [TAG=L TAGDEF="Replication, recombination and repair" PROCESS="INFORMATION STORAGE AND PROCESSING"]  [PATHWAY=""] exonuclease SbcCD subunit D [Herbinix luporum]</t>
  </si>
  <si>
    <t>11.09.P2-5.749-2.7_2</t>
  </si>
  <si>
    <t>Uncharacterized protein n=1 Tax=Marseillevirus LCMAC102 TaxID=2506603 RepID=A0A481YV08_9VIRU</t>
  </si>
  <si>
    <t>11.09.P2-5.749-2.7_9</t>
  </si>
  <si>
    <t>VOG07655 [FUNC="REFSEQ multiple zinc ribbon protein"] [TAG=Xu TAGDEF="Function unknown"]</t>
  </si>
  <si>
    <t>Fez1 n=1 Tax=Marseillevirus LCMAC101 TaxID=2506602 RepID=A0A481YQF2_9VIRU</t>
  </si>
  <si>
    <t>11.09.P2-5.763-52_15</t>
  </si>
  <si>
    <t>11.09.P2-5.763-52_5</t>
  </si>
  <si>
    <t>11.09.P2-5.765-23_2</t>
  </si>
  <si>
    <t>11.09.P2-5.765-23_3</t>
  </si>
  <si>
    <t>COG1403 [FUNC="5-methylcytosine-specific restriction endonuclease McrA"] [shortName=McrA] [TAG=V TAGDEF="Defense mechanisms" PROCESS="CELLULAR PROCESSES AND SIGNALING"]  [PATHWAY=""] HNH endonuclease [Ethanoligenens harbinense]</t>
  </si>
  <si>
    <t>HNH endonuclease n=1 Tax=Mimiviridae sp. ChoanoV1 TaxID=2596887 RepID=A0A5B8HWY9_9VIRU</t>
  </si>
  <si>
    <t>11.09.P2-5.765-23_5</t>
  </si>
  <si>
    <t>sp|P07260|IF4E_YEAST Eukaryotic translation initiation factor 4E OS=Saccharomyces cerevisiae (strain ATCC 204508 / S288c) OX=559292 GN=CDC33 PE=1 SV=1</t>
  </si>
  <si>
    <t>Eukaryotic initiation factor 4E family protein n=3 Tax=unclassified Prymnesiovirus TaxID=358403 RepID=R4TUP9_9PHYC</t>
  </si>
  <si>
    <t>11.09.P2-5.765-23_8</t>
  </si>
  <si>
    <t>NUDIX hydrolase n=1 Tax=Klosneuvirus KNV1 TaxID=1977640 RepID=A0A1V0SJE4_9VIRU</t>
  </si>
  <si>
    <t>11.09.P2-5.765-47_1</t>
  </si>
  <si>
    <t>Superfamily II helicase n=1 Tax=Only Syngen Nebraska virus 5 TaxID=1917232 RepID=A0A1J0F9M3_9PHYC</t>
  </si>
  <si>
    <t>11.09.P2-5.765-47_5</t>
  </si>
  <si>
    <t>DUF5901 domain-containing protein n=1 Tax=Paramecium bursaria Chlorella virus CZ-2 TaxID=1278251 RepID=M1HTA6_9PHYC</t>
  </si>
  <si>
    <t>11.09.P2-5.773-22_1</t>
  </si>
  <si>
    <t>11.09.P2-5.773-22_11</t>
  </si>
  <si>
    <t>11.09.P2-5.773-22_5</t>
  </si>
  <si>
    <t>11.09.P2-5.773-22_6</t>
  </si>
  <si>
    <t>11.09.P2-5.773-22_9</t>
  </si>
  <si>
    <t>Uncharacterized protein (Fragment) n=1 Tax=Pyramimonas orientalis virus TaxID=455367 RepID=A0A7M3UP16_POV01</t>
  </si>
  <si>
    <t>11.09.P2-5.780-25_12</t>
  </si>
  <si>
    <t>11.09.P2-5.780-25_14</t>
  </si>
  <si>
    <t>11.09.P2-5.780-25_6</t>
  </si>
  <si>
    <t>11.09.P2-5.801-50_6</t>
  </si>
  <si>
    <t>COG0571 [FUNC="dsRNA-specific ribonuclease"] [shortName=Rnc] [TAG=K TAGDEF="Transcription" PROCESS="INFORMATION STORAGE AND PROCESSING"]  [PATHWAY=""] ribonuclease III [Cytophaga hutchinsonii]</t>
  </si>
  <si>
    <t>11.09.P2-5.821-51_1</t>
  </si>
  <si>
    <t>ATP-dependent lon protease n=1 Tax=Fadolivirus 1 TaxID=2740746 RepID=A0A7D3V5I8_9VIRU</t>
  </si>
  <si>
    <t>11.09.P2-5.821-51_3</t>
  </si>
  <si>
    <t>sp|A0AUV4|SMKY_MOUSE Sperm motility kinase Y OS=Mus musculus OX=10090 GN=Gm7168 PE=2 SV=1</t>
  </si>
  <si>
    <t>COG4252 [FUNC="Extracytoplasmic sensor domain CHASE2 (specificity unknown)"] [shortName=CHASE2] [TAG=T TAGDEF="Signal transduction mechanisms" PROCESS="CELLULAR PROCESSES AND SIGNALING"]  [PATHWAY=""] CHASE2 domain-containing protein [Sulfurivermis fontis]</t>
  </si>
  <si>
    <t>non-specific serine/threonine protein kinase n=1 Tax=Lentisphaera araneosa HTCC2155 TaxID=313628 RepID=A6DL73_9BACT</t>
  </si>
  <si>
    <t>11.09.P2-5.821-51_4</t>
  </si>
  <si>
    <t>11.09.P2-5.821-51_6</t>
  </si>
  <si>
    <t>11.09.P2-5.999-45_10</t>
  </si>
  <si>
    <t>sp|O13704|YEU5_SCHPO Thioredoxin domain-containing protein C13F5.05, mitochondrial OS=Schizosaccharomyces pombe (strain 972 / ATCC 24843) OX=284812 GN=SPAC13F5.05 PE=4 SV=2</t>
  </si>
  <si>
    <t>11.09.P2-5.999-45_16</t>
  </si>
  <si>
    <t>11.09.P2-6.076-29_11</t>
  </si>
  <si>
    <t>DUF5872 domain-containing protein n=1 Tax=Acanthocystis turfacea Chlorella virus NTS-1 TaxID=1278276 RepID=M1I0I0_9PHYC</t>
  </si>
  <si>
    <t>11.09.P2-6.076-29_19</t>
  </si>
  <si>
    <t>COG2815 [FUNC="PASTA domain, binds beta-lactams"] [shortName=PASTA] [TAG=M TAGDEF="Cell wall/membrane/envelope biogenesis" PROCESS="CELLULAR PROCESSES AND SIGNALING"]  [PATHWAY=""] serine/threonine-protein kinase [Peptoclostridium acidaminophilum]</t>
  </si>
  <si>
    <t>11.09.P2-6.076-29_6</t>
  </si>
  <si>
    <t>11.09.P2-6.124-32_3</t>
  </si>
  <si>
    <t>Tail fiber domain-containing protein n=1 Tax=Aureispira sp. EL160426 TaxID=2864201 RepID=A0A915YLH1_9BACT</t>
  </si>
  <si>
    <t>11.09.P2-6.124-32_8</t>
  </si>
  <si>
    <t>11.09.P2-6.132-17_2</t>
  </si>
  <si>
    <t>VOG16356 [FUNC="REFSEQ ATP-dependent RNA helicase"] [TAG=Xu TAGDEF="Function unknown"]</t>
  </si>
  <si>
    <t>Helicase ATP-binding domain-containing protein n=1 Tax=Pyramimonas orientalis virus TaxID=455367 RepID=A0A7M3UNN0_POV01</t>
  </si>
  <si>
    <t>11.09.P2-6.153-48_13</t>
  </si>
  <si>
    <t>11.09.P2-6.153-48_18</t>
  </si>
  <si>
    <t>sp|Q9SRG3|PDI12_ARATH Protein disulfide isomerase-like 1-2 OS=Arabidopsis thaliana OX=3702 GN=PDIL1-2 PE=2 SV=1</t>
  </si>
  <si>
    <t>11.09.P2-6.153-48_23</t>
  </si>
  <si>
    <t>11.09.P2-6.153-48_4</t>
  </si>
  <si>
    <t>11.09.P2-6.161-27_13</t>
  </si>
  <si>
    <t>11.09.P2-6.161-27_19</t>
  </si>
  <si>
    <t>NTPase/helicase-like protein n=1 Tax=Armadillidium vulgare iridescent virus TaxID=72201 RepID=A0A068QLP5_9VIRU</t>
  </si>
  <si>
    <t>11.09.P2-6.168-32_2</t>
  </si>
  <si>
    <t>Proliferating cell nuclear antigen n=1 Tax=Tetraselmis virus 1 TaxID=2060617 RepID=A0A2P0VPD8_9PHYC</t>
  </si>
  <si>
    <t>11.09.P2-6.203-56_12</t>
  </si>
  <si>
    <t>COG4447 [FUNC="Uncharacterized conserved protein related to plant photosystem II stability/assembly factor"] [shortName=] [TAG=R TAGDEF="General function prediction only" PROCESS="POORLY CHARACTERIZED"]  [PATHWAY=""] hypothetical protein [Aneurinibacillus soli]</t>
  </si>
  <si>
    <t>11.09.P2-6.203-56_20</t>
  </si>
  <si>
    <t>11.09.P2-6.203-56_23</t>
  </si>
  <si>
    <t>11.09.P2-6.203-56_28</t>
  </si>
  <si>
    <t>11.09.P2-6.224-32_1</t>
  </si>
  <si>
    <t>sp|Q2KHV7|UBP2_BOVIN Ubiquitin carboxyl-terminal hydrolase 2 OS=Bos taurus OX=9913 GN=USP2 PE=2 SV=1</t>
  </si>
  <si>
    <t>Ubiquitin specific peptidase C19 n=3 Tax=unclassified Prymnesiovirus TaxID=358403 RepID=R4TFM8_9PHYC</t>
  </si>
  <si>
    <t>11.09.P2-6.224-32_8</t>
  </si>
  <si>
    <t>Uncharacterized protein n=1 Tax=Yasminevirus sp. GU-2018 TaxID=2420051 RepID=A0A5K0UA23_9VIRU</t>
  </si>
  <si>
    <t>11.09.P2-6.226-16_18</t>
  </si>
  <si>
    <t>11.09.P2-6.226-16_3</t>
  </si>
  <si>
    <t>11.09.P2-6.226-16_4</t>
  </si>
  <si>
    <t>Uncharacterized protein (Fragment) n=1 Tax=Haptolina ericina TaxID=156174 RepID=A0A7S3C1A0_9EUKA</t>
  </si>
  <si>
    <t>11.09.P2-6.226-16_6</t>
  </si>
  <si>
    <t>Uncharacterized protein n=1 Tax=Spizellomyces sp. 'palustris' TaxID=117820 RepID=A0A507DXK0_9FUNG</t>
  </si>
  <si>
    <t>11.09.P2-6.239-66_10</t>
  </si>
  <si>
    <t>11.09.P2-6.239-66_12</t>
  </si>
  <si>
    <t>11.09.P2-6.239-66_27</t>
  </si>
  <si>
    <t>11.09.P2-6.239-66_3</t>
  </si>
  <si>
    <t>11.09.P2-6.239-66_4</t>
  </si>
  <si>
    <t>11.09.P2-6.239-66_7</t>
  </si>
  <si>
    <t>11.09.P2-6.239-66_8</t>
  </si>
  <si>
    <t>11.09.P2-6.252-36_12</t>
  </si>
  <si>
    <t>DNA polymerase n=1 Tax=Paramecium bursaria Chlorella virus FR483 TaxID=399781 RepID=A7J677_PBCVF</t>
  </si>
  <si>
    <t>11.09.P2-6.252-36_23</t>
  </si>
  <si>
    <t>11.09.P2-6.252-36_3</t>
  </si>
  <si>
    <t>11.09.P2-6.252-36_8</t>
  </si>
  <si>
    <t>COG0666 [FUNC="Ankyrin repeat"] [shortName=ANKYR] [TAG=T TAGDEF="Signal transduction mechanisms" PROCESS="CELLULAR PROCESSES AND SIGNALING"]  [PATHWAY=""] ankyrin repeat domain-containing protein [Stigmatella aurantiaca]</t>
  </si>
  <si>
    <t>Myotrophin n=1 Tax=Parascaris univalens TaxID=6257 RepID=A0A914ZLA3_PARUN</t>
  </si>
  <si>
    <t>11.09.P2-6.284-2.1_1</t>
  </si>
  <si>
    <t>11.09.P2-6.284-2.1_24</t>
  </si>
  <si>
    <t>sp|Q9XZT6|DNK_DROME Deoxynucleoside kinase OS=Drosophila melanogaster OX=7227 GN=dnk PE=1 SV=1</t>
  </si>
  <si>
    <t>Deoxynucleoside kinase n=1 Tax=Chloropicon primus TaxID=1764295 RepID=A0A5B8MRJ7_9CHLO</t>
  </si>
  <si>
    <t>11.09.P2-6.284-2.1_7</t>
  </si>
  <si>
    <t>11.09.P2-6.351-21_3</t>
  </si>
  <si>
    <t>sp|Q00946|VPRT_ASFB7 Cysteine protease S273R OS=African swine fever virus (strain Badajoz 1971 Vero-adapted) OX=10498 GN=Ba71V-111 PE=1 SV=1</t>
  </si>
  <si>
    <t>Cysteine protease n=1 Tax=Pacmanvirus S19 TaxID=2862371 RepID=A0A8F8SMC7_9VIRU</t>
  </si>
  <si>
    <t>11.09.P2-6.505-49_4</t>
  </si>
  <si>
    <t>11.09.P2-6.550-28_4</t>
  </si>
  <si>
    <t>Putative DNA polymerase sliding clamp 2 n=2 Tax=unclassified Chlorovirus TaxID=346674 RepID=M1HU53_9PHYC</t>
  </si>
  <si>
    <t>11.09.P2-6.564-18_1</t>
  </si>
  <si>
    <t>Uncharacterized protein (Fragment) n=1 Tax=Mimivirus AB-566-O17 TaxID=1988039 RepID=A0A1X9VNS6_9VIRU</t>
  </si>
  <si>
    <t>11.09.P2-6.564-18_7</t>
  </si>
  <si>
    <t>COG4967 [FUNC="Type IV pilus assembly protein PilV"] [shortName=PilV] [TAG=N TAGDEF="Cell motility" PROCESS="CELLULAR PROCESSES AND SIGNALING"] [TAG=W TAGDEF="Extracellular structures" PROCESS="CELLULAR PROCESSES AND SIGNALING"]  [PATHWAY=""] prepilin-type cleavage/methylation domain-containing protein [Ammonifex degensii]</t>
  </si>
  <si>
    <t>11.09.P2-6.564-18_8</t>
  </si>
  <si>
    <t>sp|A1XIH0|SUB6_TRIEQ Subtilisin-like protease 6 OS=Trichophyton equinum OX=63418 GN=SUB6 PE=1 SV=1</t>
  </si>
  <si>
    <t>COG4935 [FUNC="Regulatory P domain of the subtilisin-like proprotein convertases and other proteases"] [shortName=] [TAG=O TAGDEF="Posttranslational modification, protein turnover, chaperones" PROCESS="CELLULAR PROCESSES AND SIGNALING"]  [PATHWAY=""] peptidase S8 [Saccharothrix espanaensis]</t>
  </si>
  <si>
    <t>VOG00682 [FUNC="sp|P29139|ISP_PAEPO Intracellular serine protease"] [TAG=Xh TAGDEF="Virus protein with function beneficial for the host"]</t>
  </si>
  <si>
    <t>Putative subtilisin-like protease (Fragment) n=1 Tax=Pandora neoaphidis TaxID=76017 RepID=E2EYY5_9FUNG</t>
  </si>
  <si>
    <t>11.09.P2-6.565-29_10</t>
  </si>
  <si>
    <t>11.09.P2-6.565-29_16</t>
  </si>
  <si>
    <t>11.09.P2-6.565-29_3</t>
  </si>
  <si>
    <t>COG2242 [FUNC="Precorrin-6B methylase 2"] [shortName=CobL] [TAG=H TAGDEF="Coenzyme transport and metabolism" PROCESS="METABOLISM"]  [PATHWAY="Cobalamine/B12 biosynthesis"] FkbM family methyltransferase [Brevibacillus brevis]</t>
  </si>
  <si>
    <t>Methyltransferase n=1 Tax=Moorena producens JHB TaxID=1454205 RepID=A0A1D9G1T9_9CYAN</t>
  </si>
  <si>
    <t>11.09.P2-6.565-29_9</t>
  </si>
  <si>
    <t>11.09.P2-6.590-47_17</t>
  </si>
  <si>
    <t>11.09.P2-6.590-47_4</t>
  </si>
  <si>
    <t>11.09.P2-6.592-53_16</t>
  </si>
  <si>
    <t>11.09.P2-6.592-53_3</t>
  </si>
  <si>
    <t>11.09.P2-6.719-5.8_2</t>
  </si>
  <si>
    <t>DNA-directed RNA polymerase subunit n=1 Tax=Chrysochromulina ericina virus TaxID=455364 RepID=A0A0N9QZ01_CEV01</t>
  </si>
  <si>
    <t>11.09.P2-6.719-5.8_3</t>
  </si>
  <si>
    <t>sp|Q5UP45|YR502_MIMIV Uncharacterized protein R502 OS=Acanthamoeba polyphaga mimivirus OX=212035 GN=MIMI_R502 PE=4 SV=1</t>
  </si>
  <si>
    <t>VOG02143 [FUNC="REFSEQ GIY-YIG catalytic domain-containing endonuclease"] [TAG=Xu TAGDEF="Function unknown"]</t>
  </si>
  <si>
    <t>GIY-YIG catalytic domain-containing endonuclease n=1 Tax=Tokyovirus A1 TaxID=1826170 RepID=A0A146JK16_9VIRU</t>
  </si>
  <si>
    <t>11.09.P2-6.719-5.8_4</t>
  </si>
  <si>
    <t>DNA-directed RNA polymerase subunit n=3 Tax=unclassified Prymnesiovirus TaxID=358403 RepID=R4TQM7_9PHYC</t>
  </si>
  <si>
    <t>11.09.P2-6.719-5.8_5</t>
  </si>
  <si>
    <t>sp|P36594|RPB1_SCHPO DNA-directed RNA polymerase II subunit rpb1 OS=Schizosaccharomyces pombe (strain 972 / ATCC 24843) OX=284812 GN=rpb1 PE=1 SV=1</t>
  </si>
  <si>
    <t>11.09.P2-6.719-5.8_9</t>
  </si>
  <si>
    <t>ATP-dependent Lon protease n=1 Tax=Chrysochromulina ericina virus TaxID=455364 RepID=A0A0N7G7N8_CEV01</t>
  </si>
  <si>
    <t>11.09.P2-6.902-48_10</t>
  </si>
  <si>
    <t>Mitochondrial resolvase Ydc2 catalytic domain-containing protein n=3 Tax=unclassified Prasinovirus TaxID=880158 RepID=I3UKE0_9PHYC</t>
  </si>
  <si>
    <t>11.09.P2-6.902-48_22</t>
  </si>
  <si>
    <t>11.09.P2-6.990-38_3</t>
  </si>
  <si>
    <t>11.09.P2-6.990-38_4</t>
  </si>
  <si>
    <t>Major capsid protein VP54 n=1 Tax=Acanthocystis turfacea Chlorella virus TN603.4.2 TaxID=1278278 RepID=M1IBN2_9PHYC</t>
  </si>
  <si>
    <t>11.09.P2-6.990-38_5</t>
  </si>
  <si>
    <t>GATA-type domain-containing protein (Fragment) n=1 Tax=Chlamydomonas euryale TaxID=1486919 RepID=A0A7R9UZM5_9CHLO</t>
  </si>
  <si>
    <t>11.09.P2-6.990-38_8</t>
  </si>
  <si>
    <t>11.09.P2-7.003-33_1</t>
  </si>
  <si>
    <t>Nudix hydrolase domain-containing protein n=1 Tax=Dimargaris cristalligena TaxID=215637 RepID=A0A4V1J4F4_9FUNG</t>
  </si>
  <si>
    <t>11.09.P2-7.003-33_3</t>
  </si>
  <si>
    <t>WLM domain-containing protein n=1 Tax=Pyramimonas orientalis virus TaxID=455367 RepID=A0A7M3UNM5_POV01</t>
  </si>
  <si>
    <t>11.09.P2-7.003-33_4</t>
  </si>
  <si>
    <t>ParB/Sulfiredoxin domain-containing protein n=1 Tax=Marseillevirus LCMAC102 TaxID=2506603 RepID=A0A481YSP1_9VIRU</t>
  </si>
  <si>
    <t>11.09.P2-7.003-33_5</t>
  </si>
  <si>
    <t>sp|P43420|MTB6_BACSF Type II methyltransferase M.Bsp6I OS=Bacillus sp. (strain RFL6) OX=72577 GN=bsp6IM PE=3 SV=1</t>
  </si>
  <si>
    <t>COG0270 [FUNC="DNA-cytosine methylase"] [shortName=Dcm] [TAG=L TAGDEF="Replication, recombination and repair" PROCESS="INFORMATION STORAGE AND PROCESSING"]  [PATHWAY=""] DNA (cytosine-5-)-methyltransferase [Brachyspira intermedia]</t>
  </si>
  <si>
    <t>Cytosine-specific methyltransferase n=1 Tax=Bathycoccus sp. RCC716 virus 3 TaxID=2530040 RepID=A0A7S6SWJ3_9PHYC</t>
  </si>
  <si>
    <t>11.09.P2-7.003-33_8</t>
  </si>
  <si>
    <t>Uncharacterized protein n=1 Tax=Bathycoccus sp. RCC716 virus 3 TaxID=2530040 RepID=A0A7S6SXS7_9PHYC</t>
  </si>
  <si>
    <t>11.09.P2-7.008-12_10</t>
  </si>
  <si>
    <t>Uncharacterized protein n=1 Tax=Paramecium bursaria Chlorella virus 1 TaxID=10506 RepID=Q98508_PBCV1</t>
  </si>
  <si>
    <t>11.09.P2-7.008-12_13</t>
  </si>
  <si>
    <t>11.09.P2-7.008-12_3</t>
  </si>
  <si>
    <t>11.09.P2-7.008-12_8</t>
  </si>
  <si>
    <t>S-adenosyl-L-methionine-dependent methyltransferase n=1 Tax=Scenedesmus sp. NREL 46B-D3 TaxID=2650976 RepID=A0A7J7PL31_9CHLO</t>
  </si>
  <si>
    <t>11.09.P2-7.008-12_9</t>
  </si>
  <si>
    <t>sp|Q3JJK4|DNS2_BURP1 Putative deoxyribonuclease-2 OS=Burkholderia pseudomallei (strain 1710b) OX=320372 GN=BURPS1710b_A1091 PE=3 SV=1</t>
  </si>
  <si>
    <t>KOG3825 [FUNC="Deoxyribonuclease II"] [shortName=] [TAG=L TAGDEF="Replication, recombination and repair" PROCESS="INFORMATION STORAGE AND PROCESSING"]  [PATHWAY=""]</t>
  </si>
  <si>
    <t>VOG33311 [FUNC="sp|Q17778|NUC1_CAEEL Deoxyribonuclease-2"] [TAG=Xh TAGDEF="Virus protein with function beneficial for the host"]</t>
  </si>
  <si>
    <t>Plancitoxin-1 isoform X2 n=1 Tax=Micractinium conductrix TaxID=554055 RepID=A0A2P6VD70_9CHLO</t>
  </si>
  <si>
    <t>11.09.P2-7.084-54_1</t>
  </si>
  <si>
    <t>Beta/gamma crystallin 'Greek key' domain-containing protein n=1 Tax=Paenibacillus roseus TaxID=2798579 RepID=A0A934MQ44_9BACL</t>
  </si>
  <si>
    <t>11.09.P2-7.084-54_21</t>
  </si>
  <si>
    <t>Helicase n=1 Tax=Paramecium bursaria Chlorella virus NE-JV-1 TaxID=1278261 RepID=M1ICW8_9PHYC</t>
  </si>
  <si>
    <t>11.09.P2-7.112-7.5_2</t>
  </si>
  <si>
    <t>sp|Q6DRD3|DPOLB_DANRE DNA polymerase beta OS=Danio rerio OX=7955 GN=polb PE=2 SV=2</t>
  </si>
  <si>
    <t>11.09.P2-7.146-11_1</t>
  </si>
  <si>
    <t>COG4951 [FUNC="Uncharacterized conserved protein"] [shortName=] [TAG=S TAGDEF="Function unknown" PROCESS="POORLY CHARACTERIZED"]  [PATHWAY=""] hypothetical protein [Niastella koreensis]</t>
  </si>
  <si>
    <t>11.09.P2-7.146-11_10</t>
  </si>
  <si>
    <t>Peptidase S74 domain-containing protein n=2 Tax=Roseivirga TaxID=290180 RepID=A0A150XIC9_9BACT</t>
  </si>
  <si>
    <t>11.09.P2-7.146-11_6</t>
  </si>
  <si>
    <t>mRNA capping enzyme adenylation domain-containing protein n=1 Tax=Tetrabaena socialis TaxID=47790 RepID=A0A2J7ZJT1_9CHLO</t>
  </si>
  <si>
    <t>11.09.P2-7.167-30_13</t>
  </si>
  <si>
    <t>sp|Q5UQV6|YR368_MIMIV Probable FAD-linked sulfhydryl oxidase R368 OS=Acanthamoeba polyphaga mimivirus OX=212035 GN=MIMI_R368 PE=3 SV=1</t>
  </si>
  <si>
    <t>Sulfhydryl oxidase n=1 Tax=Tupanvirus deep ocean TaxID=2126984 RepID=A0A6N1NLN7_9VIRU</t>
  </si>
  <si>
    <t>11.09.P2-7.167-30_5</t>
  </si>
  <si>
    <t>sp|P36415|HS7C1_DICDI Heat shock cognate 70 kDa protein 1 OS=Dictyostelium discoideum OX=44689 GN=hspB PE=1 SV=2</t>
  </si>
  <si>
    <t>KOG0101 [FUNC="Molecular chaperones HSP70/HSC70, HSP70 superfamily"] [shortName=] [TAG=O TAGDEF="Posttranslational modification, protein turnover, chaperones" PROCESS="CELLULAR PROCESSES AND SIGNALING"]  [PATHWAY=""]</t>
  </si>
  <si>
    <t>VOG02069 [FUNC="sp|Q5UQ49|HSP70_MIMIV Heat shock 70 kDa protein homolog"] [TAG=Xh TAGDEF="Virus protein with function beneficial for the host"]</t>
  </si>
  <si>
    <t>Heat shock protein family A (Hsp70) member 8 n=1 Tax=Oryzias sinensis TaxID=183150 RepID=A0A8C7YHX9_9TELE</t>
  </si>
  <si>
    <t>11.09.P2-7.167-30_7</t>
  </si>
  <si>
    <t>Putative secreted protein (Fragment) n=1 Tax=Anopheles triannulatus TaxID=58253 RepID=A0A2M4ADI7_9DIPT</t>
  </si>
  <si>
    <t>11.09.P2-7.167-30_8</t>
  </si>
  <si>
    <t>Putative NAD-specific glutamate dehydrogenase n=1 Tax=Comamonas thiooxydans TaxID=363952 RepID=A0A7U9A8M2_9BURK</t>
  </si>
  <si>
    <t>11.09.P2-7.167-30_9</t>
  </si>
  <si>
    <t>sp|Q5UPI6|YL112_MIMIV Putative ankyrin repeat protein L112 OS=Acanthamoeba polyphaga mimivirus OX=212035 GN=MIMI_L112 PE=4 SV=1</t>
  </si>
  <si>
    <t>Ankyrin n=1 Tax=Piromyces finnis TaxID=1754191 RepID=A0A1Y1V5T2_9FUNG</t>
  </si>
  <si>
    <t>11.09.P2-7.181-56_12</t>
  </si>
  <si>
    <t>Pox VLTF3 late transcription factor n=1 Tax=Only Syngen Nebraska virus 5 TaxID=1917232 RepID=A0A1J0F9V6_9PHYC</t>
  </si>
  <si>
    <t>11.09.P2-7.181-56_4</t>
  </si>
  <si>
    <t>11.09.P2-7.245-5.0_28</t>
  </si>
  <si>
    <t>11.09.P2-7.245-5.0_35</t>
  </si>
  <si>
    <t>Putative transcription factor n=1 Tax=Acanthocystis turfacea Chlorella virus MN0810.1 TaxID=1278272 RepID=M1HZJ3_9PHYC</t>
  </si>
  <si>
    <t>11.09.P2-7.245-5.0_8</t>
  </si>
  <si>
    <t>11.09.P2-7.247-54_1</t>
  </si>
  <si>
    <t>Apple domain-containing protein n=1 Tax=Haptolina ericina TaxID=156174 RepID=A0A7S3B321_9EUKA</t>
  </si>
  <si>
    <t>11.09.P2-7.247-54_13</t>
  </si>
  <si>
    <t>11.09.P2-7.247-54_5</t>
  </si>
  <si>
    <t>11.09.P2-7.247-54_9</t>
  </si>
  <si>
    <t>11.09.P2-7.314-14_28</t>
  </si>
  <si>
    <t>Uncharacterized protein n=1 Tax=Ostreococcus lucimarinus virus OlV4 TaxID=754063 RepID=G9E5J2_9PHYC</t>
  </si>
  <si>
    <t>11.09.P2-7.314-14_31</t>
  </si>
  <si>
    <t>Ribonucleoside-diphosphate reductase n=1 Tax=Parastrongyloides trichosuri TaxID=131310 RepID=A0A0N4ZVE0_PARTI</t>
  </si>
  <si>
    <t>11.09.P2-7.344-36_10</t>
  </si>
  <si>
    <t>Uncharacterized protein n=1 Tax=Guillardia theta (strain CCMP2712) TaxID=905079 RepID=L1I6W3_GUITC</t>
  </si>
  <si>
    <t>11.09.P2-7.344-36_14</t>
  </si>
  <si>
    <t>11.09.P2-7.344-36_7</t>
  </si>
  <si>
    <t>11.09.P2-7.395-37_18</t>
  </si>
  <si>
    <t>sp|P12609|VANA_PSES9 Vanillate O-demethylase oxygenase subunit OS=Pseudomonas sp. (strain ATCC 19151) OX=315 GN=vanA PE=3 SV=1</t>
  </si>
  <si>
    <t>COG4638 [FUNC="Phenylpropionate dioxygenase or related ring-hydroxylating dioxygenase, large terminal subunit"] [shortName=HcaE] [TAG=P TAGDEF="Inorganic ion transport and metabolism" PROCESS="METABOLISM"] [TAG=R TAGDEF="General function prediction only" PROCESS="POORLY CHARACTERIZED"]  [PATHWAY=""] hypothetical protein [Pigmentiphaga sp. H8]</t>
  </si>
  <si>
    <t>Aromatic ring-hydroxylating dioxygenase subunit alpha n=1 Tax=Phormidium tenue FACHB-886 TaxID=2692911 RepID=A0A927I7Y1_9CYAN</t>
  </si>
  <si>
    <t>11.09.P2-7.419-39_1</t>
  </si>
  <si>
    <t>COG2452 [FUNC="Predicted site-specific integrase-resolvase"] [shortName=] [TAG=X TAGDEF="Mobilome: prophages, transposons" PROCESS=""]  [PATHWAY=""] DNA invertase [Oscillatoria nigro-viridis]</t>
  </si>
  <si>
    <t>Resolvase n=1 Tax=Acanthocystis turfacea Chlorella virus GM0701.1 TaxID=1278271 RepID=M1I5D0_9PHYC</t>
  </si>
  <si>
    <t>11.09.P2-7.419-39_11</t>
  </si>
  <si>
    <t>11.09.P2-7.419-39_3</t>
  </si>
  <si>
    <t>sp|O41107|A625_PBCV1 Putative transposase A625R OS=Paramecium bursaria Chlorella virus 1 OX=10506 GN=A625R PE=3 SV=1</t>
  </si>
  <si>
    <t>Transposase n=1 Tax=Acanthocystis turfacea Chlorella virus GM0701.1 TaxID=1278271 RepID=M1HU29_9PHYC</t>
  </si>
  <si>
    <t>11.09.P2-7.470-24_11</t>
  </si>
  <si>
    <t>sp|P21672|RIR3_YEAST Ribonucleoside-diphosphate reductase large chain 2 OS=Saccharomyces cerevisiae (strain ATCC 204508 / S288c) OX=559292 GN=RNR3 PE=1 SV=4</t>
  </si>
  <si>
    <t>COG0209 [FUNC="Ribonucleotide reductase alpha subunit"] [shortName=NrdA] [TAG=F TAGDEF="Nucleotide transport and metabolism" PROCESS="METABOLISM"]  [PATHWAY="Pyrimidine salvage"] ribonucleoside-diphosphate reductase subunit alpha [Hydromonas sp. F02]</t>
  </si>
  <si>
    <t>Ribonucleoside-diphosphate reductase n=1 Tax=Acanthocystis turfacea Chlorella virus TN603.4.2 TaxID=1278278 RepID=M1HJW4_9PHYC</t>
  </si>
  <si>
    <t>11.09.P2-7.470-24_12</t>
  </si>
  <si>
    <t>Uncharacterized protein n=1 Tax=Caenorhabditis remanei TaxID=31234 RepID=A0A6A5H029_CAERE</t>
  </si>
  <si>
    <t>11.09.P2-7.470-24_2</t>
  </si>
  <si>
    <t>sp|P23192|MTM2_MORBO Type II methyltransferase M1.MboII OS=Moraxella bovis OX=476 GN=mboIIM PE=1 SV=1</t>
  </si>
  <si>
    <t>COG0863 [FUNC="DNA modification methylase"] [shortName=YhdJ] [TAG=L TAGDEF="Replication, recombination and repair" PROCESS="INFORMATION STORAGE AND PROCESSING"]  [PATHWAY=""] site-specific DNA-methyltransferase [Methanoculleus bourgensis]</t>
  </si>
  <si>
    <t>Type II methyltransferase n=1 Tax=Methanospirillum stamsii TaxID=1277351 RepID=A0A2V2NJS7_9EURY</t>
  </si>
  <si>
    <t>11.09.P2-7.470-24_3</t>
  </si>
  <si>
    <t>sp|P09915|MTBR_BPRH1 Orphan methyltransferase M.Rho11sI OS=Bacillus phage rho11s OX=10735 PE=3 SV=2</t>
  </si>
  <si>
    <t>DNA (cytosine-5-)-methyltransferase n=1 Tax=Campylobacter pinnipediorum subsp. pinnipediorum TaxID=1660067 RepID=A0A1S6TPJ7_9BACT</t>
  </si>
  <si>
    <t>11.09.P2-7.470-24_6</t>
  </si>
  <si>
    <t>YqaJ viral recombinase domain-containing protein n=2 Tax=Chlorovirus TaxID=181083 RepID=Q98517_PBCV1</t>
  </si>
  <si>
    <t>11.09.P2-7.481-48_10</t>
  </si>
  <si>
    <t>11.09.P2-7.481-48_12</t>
  </si>
  <si>
    <t>11.09.P2-7.481-48_14</t>
  </si>
  <si>
    <t>11.09.P2-7.481-48_15</t>
  </si>
  <si>
    <t>11.09.P2-7.481-48_2</t>
  </si>
  <si>
    <t>sp|Q5URB4|YR186_MIMIV Putative transposase R186 OS=Acanthamoeba polyphaga mimivirus OX=212035 GN=MIMI_R186 PE=3 SV=1</t>
  </si>
  <si>
    <t>COG0675 [FUNC="Transposase"] [shortName=InsQ] [TAG=X TAGDEF="Mobilome: prophages, transposons" PROCESS=""]  [PATHWAY=""] hypothetical protein [Oscillatoria nigro-viridis]</t>
  </si>
  <si>
    <t>Cas12f1-like TNB domain-containing protein n=2 Tax=Chloropicon primus TaxID=1764295 RepID=A0A7S2WXA0_9CHLO</t>
  </si>
  <si>
    <t>11.09.P2-7.481-48_32</t>
  </si>
  <si>
    <t>11.09.P2-7.481-48_5</t>
  </si>
  <si>
    <t>11.09.P2-7.481-48_7</t>
  </si>
  <si>
    <t>11.09.P2-7.533-12_10</t>
  </si>
  <si>
    <t>sp|P27707|DCK_HUMAN Deoxycytidine kinase OS=Homo sapiens OX=9606 GN=DCK PE=1 SV=1</t>
  </si>
  <si>
    <t>11.09.P2-7.533-12_5</t>
  </si>
  <si>
    <t>11.09.P2-7.542-45_15</t>
  </si>
  <si>
    <t>sp|O13811|PDI2_SCHPO Protein disulfide-isomerase C17H9.14c OS=Schizosaccharomyces pombe (strain 972 / ATCC 24843) OX=284812 GN=SPAC17H9.14c PE=3 SV=1</t>
  </si>
  <si>
    <t>COG3118 [FUNC="Chaperedoxin CnoX, contains thioredoxin-like and TPR-like domains, YbbN/TrxSC family"] [shortName=CnoX] [TAG=O TAGDEF="Posttranslational modification, protein turnover, chaperones" PROCESS="CELLULAR PROCESSES AND SIGNALING"]  [PATHWAY=""] thioredoxin [Christensenella minuta]</t>
  </si>
  <si>
    <t>11.09.P2-7.542-45_22</t>
  </si>
  <si>
    <t>11.09.P2-7.542-45_6</t>
  </si>
  <si>
    <t>11.09.P2-7.573-5.6_13</t>
  </si>
  <si>
    <t>COG0237 [FUNC="Dephospho-CoA kinase"] [shortName=CoaE] [TAG=H TAGDEF="Coenzyme transport and metabolism" PROCESS="METABOLISM"]  [PATHWAY="Pantothenate/CoA biosynthesis"] adenylate kinase and related kinases [Pelotomaculum thermopropionicum SI]</t>
  </si>
  <si>
    <t>Putative deoxynucleotide monophosphate kinase n=1 Tax=Anopheles minimus iridovirus TaxID=1465751 RepID=W8R9U1_9VIRU</t>
  </si>
  <si>
    <t>11.09.P2-7.573-5.6_16</t>
  </si>
  <si>
    <t>VOG01378 [FUNC="sp|Q196X7|VF358_IIV3 Uncharacterized protein 083L"] [TAG=Xu TAGDEF="Function unknown"]</t>
  </si>
  <si>
    <t>Uncharacterized protein n=1 Tax=Marseillevirus LCMAC102 TaxID=2506603 RepID=A0A481YUQ8_9VIRU</t>
  </si>
  <si>
    <t>11.09.P2-7.573-5.6_20</t>
  </si>
  <si>
    <t>sp|O25511|PSEB_HELPY UDP-N-acetylglucosamine 4,6-dehydratase (inverting) OS=Helicobacter pylori (strain ATCC 700392 / 26695) OX=85962 GN=pseB PE=1 SV=1</t>
  </si>
  <si>
    <t>COG1086 [FUNC="NDP-sugar epimerase, includes UDP-GlcNAc-inverting 4,6-dehydratase FlaA1 and capsular polysaccharide biosynthesis protein EpsC"] [shortName=FlaA1] [TAG=M TAGDEF="Cell wall/membrane/envelope biogenesis" PROCESS="CELLULAR PROCESSES AND SIGNALING"] [TAG=O TAGDEF="Posttranslational modification, protein turnover, chaperones" PROCESS="CELLULAR PROCESSES AND SIGNALING"]  [PATHWAY=""] UDP-N-acetylglucosamine 4,6-dehydratase (inverting) [Desulfobacca acetoxidans]</t>
  </si>
  <si>
    <t>UDP-N-acetylglucosamine 4,6-dehydratase (Inverting) n=1 Tax=Coraliomargarita sinensis TaxID=2174842 RepID=A0A317ZIM2_9BACT</t>
  </si>
  <si>
    <t>11.09.P2-7.573-5.6_3</t>
  </si>
  <si>
    <t>sp|P9WH08|RMLD_MYCTO dTDP-4-dehydrorhamnose reductase OS=Mycobacterium tuberculosis (strain CDC 1551 / Oshkosh) OX=83331 GN=rmlD PE=3 SV=1</t>
  </si>
  <si>
    <t>COG1091 [FUNC="dTDP-4-dehydrorhamnose reductase"] [shortName=RfbD] [TAG=M TAGDEF="Cell wall/membrane/envelope biogenesis" PROCESS="CELLULAR PROCESSES AND SIGNALING"]  [PATHWAY=""] NAD(P)-dependent oxidoreductase [Melioribacter roseus]</t>
  </si>
  <si>
    <t>dTDP-4-dehydrorhamnose reductase n=1 Tax=Catovirus CTV1 TaxID=1977631 RepID=A0A1V0SAG7_9VIRU</t>
  </si>
  <si>
    <t>11.09.P2-7.573-5.6_8</t>
  </si>
  <si>
    <t>sp|Q5UPH8|YR106_MIMIV Uncharacterized protein R106 OS=Acanthamoeba polyphaga mimivirus OX=212035 GN=MIMI_R106 PE=4 SV=1</t>
  </si>
  <si>
    <t>COG2404 [FUNC="Oligoribonuclease NrnA/c-di-AMP phosphodiesterase DhhP, DHH superfamily"] [shortName=DhhP] [TAG=J TAGDEF="Translation, ribosomal structure and biogenesis" PROCESS="INFORMATION STORAGE AND PROCESSING"] [TAG=T TAGDEF="Signal transduction mechanisms" PROCESS="CELLULAR PROCESSES AND SIGNALING"]  [PATHWAY=""] phosphoesterase [Ketobacter alkanivorans]</t>
  </si>
  <si>
    <t>VOG00531 [FUNC="sp|Q5UPH8|YR106_MIMIV Uncharacterized protein R106"] [TAG=Xu TAGDEF="Function unknown"]</t>
  </si>
  <si>
    <t>DHH family phosphohydrolase n=1 Tax=Marseillevirus LCMAC102 TaxID=2506603 RepID=A0A481YUA9_9VIRU</t>
  </si>
  <si>
    <t>11.09.P2-7.596-7.0_11</t>
  </si>
  <si>
    <t>11.09.P2-7.596-7.0_15</t>
  </si>
  <si>
    <t>11.09.P2-7.596-7.0_16</t>
  </si>
  <si>
    <t>11.09.P2-7.596-7.0_17</t>
  </si>
  <si>
    <t>COG3537 [FUNC="Putative alpha-1,2-mannosidase"] [shortName=] [TAG=G TAGDEF="Carbohydrate transport and metabolism" PROCESS="METABOLISM"]  [PATHWAY=""] hypothetical protein [Actinoplanes friuliensis]</t>
  </si>
  <si>
    <t>T9SS type B sorting domain-containing protein n=1 Tax=Rufibacter hautae TaxID=2595005 RepID=A0A5B6TEA1_9BACT</t>
  </si>
  <si>
    <t>11.09.P2-7.596-7.0_2</t>
  </si>
  <si>
    <t>11.09.P2-7.596-7.0_29</t>
  </si>
  <si>
    <t>S1-like domain-containing protein n=1 Tax=Smittium simulii TaxID=133385 RepID=A0A2T9YBA4_9FUNG</t>
  </si>
  <si>
    <t>11.09.P2-7.596-7.0_8</t>
  </si>
  <si>
    <t>11.09.P2-7.661-61_13</t>
  </si>
  <si>
    <t>DNA polymerase n=2 Tax=Chlorovirus TaxID=181083 RepID=M1HDG9_9PHYC</t>
  </si>
  <si>
    <t>11.09.P2-7.661-61_19</t>
  </si>
  <si>
    <t>11.09.P2-7.661-61_22</t>
  </si>
  <si>
    <t>11.09.P2-7.661-61_27</t>
  </si>
  <si>
    <t>11.09.P2-7.661-61_29</t>
  </si>
  <si>
    <t>Major capsid protein n=1 Tax=Dishui lake phycodnavirus 1 TaxID=2079134 RepID=A0A2N9QVX5_9PHYC</t>
  </si>
  <si>
    <t>11.09.P2-7.778-47_10</t>
  </si>
  <si>
    <t>Fe2OG dioxygenase domain-containing protein n=1 Tax=Acidithiobacillus thiooxidans TaxID=930 RepID=A0A1C2JLP4_ACITH</t>
  </si>
  <si>
    <t>11.09.P2-7.778-47_2</t>
  </si>
  <si>
    <t>11.09.P2-7.796-13_37</t>
  </si>
  <si>
    <t>Putative DNA polymerase sliding clamp 2 n=1 Tax=Acanthocystis turfacea Chlorella virus Canal-1 TaxID=1278270 RepID=M1GXS2_9PHYC</t>
  </si>
  <si>
    <t>11.09.P2-7.796-13_8</t>
  </si>
  <si>
    <t>SMODS and SLOG-associating 2TM effector domain-containing protein n=2 Tax=Mimiviridae TaxID=549779 RepID=J3E7Z9_9VIRU</t>
  </si>
  <si>
    <t>11.09.P2-7.872-44_12</t>
  </si>
  <si>
    <t>VOG29890 [FUNC="REFSEQ hypothetical protein"] [TAG=Xu TAGDEF="Function unknown"]</t>
  </si>
  <si>
    <t>Uncharacterized protein n=1 Tax=Chrysochromulina ericina virus TaxID=455364 RepID=A0A0N9QY14_CEV01</t>
  </si>
  <si>
    <t>11.09.P2-7.872-44_3</t>
  </si>
  <si>
    <t>Transcription factor S-II n=1 Tax=Mimiviridae sp. ChoanoV1 TaxID=2596887 RepID=A0A5B8HXC3_9VIRU</t>
  </si>
  <si>
    <t>11.09.P2-7.872-44_5</t>
  </si>
  <si>
    <t>VOG07875 [FUNC="REFSEQ hypothetical protein"] [TAG=Xu TAGDEF="Function unknown"]</t>
  </si>
  <si>
    <t>Uncharacterized protein n=1 Tax=Mimiviridae sp. ChoanoV1 TaxID=2596887 RepID=A0A5B8HVA3_9VIRU</t>
  </si>
  <si>
    <t>11.09.P2-7.872-44_8</t>
  </si>
  <si>
    <t>11.09.P2-7.957-43_11</t>
  </si>
  <si>
    <t>Uncharacterized protein n=1 Tax=Mimiviridae sp. ChoanoV1 TaxID=2596887 RepID=A0A5B8HY43_9VIRU</t>
  </si>
  <si>
    <t>11.09.P2-7.957-43_4</t>
  </si>
  <si>
    <t>KOG1946 [FUNC="RNA polymerase I transcription factor UAF"] [shortName=] [TAG=K TAGDEF="Transcription" PROCESS="INFORMATION STORAGE AND PROCESSING"]  [PATHWAY=""]</t>
  </si>
  <si>
    <t>11.09.P2-7.957-43_5</t>
  </si>
  <si>
    <t>COG4421 [FUNC="Capsular polysaccharide biosynthesis protein"] [shortName=] [TAG=M TAGDEF="Cell wall/membrane/envelope biogenesis" PROCESS="CELLULAR PROCESSES AND SIGNALING"]  [PATHWAY=""] DUF563 domain-containing protein [Moorea producens]</t>
  </si>
  <si>
    <t>Glycosyltransferase family 61 protein n=2 Tax=Mytilus galloprovincialis TaxID=29158 RepID=A0A8B6GQP4_MYTGA</t>
  </si>
  <si>
    <t>11.09.P2-7.957-43_9</t>
  </si>
  <si>
    <t>COG3210 [FUNC="Large exoprotein involved in heme utilization or adhesion"] [shortName=FhaB] [TAG=U TAGDEF="Intracellular trafficking, secretion, and vesicular transport" PROCESS="CELLULAR PROCESSES AND SIGNALING"]  [PATHWAY=""] filamentous hemagglutinin N-terminal domain-containing protein [Thiomicrospira cyclica]</t>
  </si>
  <si>
    <t>Peptidase S74 domain-containing protein n=1 Tax=Rasiella rasia TaxID=2744027 RepID=A0A6G6GKE6_9FLAO</t>
  </si>
  <si>
    <t>11.09.P2-8.025-23_1</t>
  </si>
  <si>
    <t>11.09.P2-8.025-23_11</t>
  </si>
  <si>
    <t>11.09.P2-8.025-23_15</t>
  </si>
  <si>
    <t>COG1196 [FUNC="Chromosome segregation ATPase Smc"] [shortName=Smc] [TAG=D TAGDEF="Cell cycle control, cell division, chromosome partitioning" PROCESS="CELLULAR PROCESSES AND SIGNALING"]  [PATHWAY=""] hypothetical protein [Microcystis aeruginosa]</t>
  </si>
  <si>
    <t>FIP-RBD domain-containing protein n=1 Tax=Pocillopora damicornis TaxID=46731 RepID=A0A3M6UW32_POCDA</t>
  </si>
  <si>
    <t>11.09.P2-8.025-23_2</t>
  </si>
  <si>
    <t>PKD domain-containing protein n=1 Tax=Richelia sp. RM2_1_2 TaxID=2720436 RepID=A0A969SVZ0_9NOST</t>
  </si>
  <si>
    <t>11.09.P2-8.025-23_4</t>
  </si>
  <si>
    <t>11.09.P2-8.027-7.1_2</t>
  </si>
  <si>
    <t>DNA-directed DNA polymerase n=1 Tax=Megavirus courdo11 TaxID=1128140 RepID=K7YWE8_9VIRU</t>
  </si>
  <si>
    <t>11.09.P2-8.046-22_14</t>
  </si>
  <si>
    <t>sp|Q1MTR1|IRC3_SCHPO Putative mitochondrial ATP-dependent helicase irc3 OS=Schizosaccharomyces pombe (strain 972 / ATCC 24843) OX=284812 GN=irc3 PE=3 SV=2</t>
  </si>
  <si>
    <t>COG4889 [FUNC="Predicted helicase"] [shortName=] [TAG=R TAGDEF="General function prediction only" PROCESS="POORLY CHARACTERIZED"]  [PATHWAY=""] hypothetical protein [Phoenicibacter massiliensis]</t>
  </si>
  <si>
    <t>Helicase ATP-binding domain-containing protein n=1 Tax=Kitasatospora sp. Root187 TaxID=1736486 RepID=A0A0Q8NWK6_9ACTN</t>
  </si>
  <si>
    <t>11.09.P2-8.046-22_18</t>
  </si>
  <si>
    <t>11.09.P2-8.046-22_27</t>
  </si>
  <si>
    <t>sp|B2RXR6|ANR44_MOUSE Serine/threonine-protein phosphatase 6 regulatory ankyrin repeat subunit B OS=Mus musculus OX=10090 GN=Ankrd44 PE=1 SV=1</t>
  </si>
  <si>
    <t>COG0666 [FUNC="Ankyrin repeat"] [shortName=ANKYR] [TAG=T TAGDEF="Signal transduction mechanisms" PROCESS="CELLULAR PROCESSES AND SIGNALING"]  [PATHWAY=""] hypothetical protein [Acetohalobium arabaticum]</t>
  </si>
  <si>
    <t>U-box domain-containing protein n=1 Tax=Ostreobium quekettii TaxID=121088 RepID=A0A8S1ISR8_9CHLO</t>
  </si>
  <si>
    <t>11.09.P2-8.046-22_5</t>
  </si>
  <si>
    <t>11.09.P2-8.046-22_8</t>
  </si>
  <si>
    <t>11.09.P2-8.108-40_15</t>
  </si>
  <si>
    <t>COG0361 [FUNC="Translation initiation factor IF-1"] [shortName=InfA] [TAG=J TAGDEF="Translation, ribosomal structure and biogenesis" PROCESS="INFORMATION STORAGE AND PROCESSING"]  [PATHWAY="Translation factors"] translation initiation factor eIF-1A [Natronomonas pharaonis]</t>
  </si>
  <si>
    <t>Eukaryotic translation initiation factor 4C n=1 Tax=Arabidopsis thaliana TaxID=3702 RepID=A0A7G2FHW4_ARATH</t>
  </si>
  <si>
    <t>11.09.P2-8.108-40_23</t>
  </si>
  <si>
    <t>11.09.P2-8.108-40_25</t>
  </si>
  <si>
    <t>11.09.P2-8.108-40_26</t>
  </si>
  <si>
    <t>11.09.P2-8.108-40_27</t>
  </si>
  <si>
    <t>11.09.P2-8.108-40_28</t>
  </si>
  <si>
    <t>11.09.P2-8.108-40_3</t>
  </si>
  <si>
    <t>VOG03272 [FUNC="REFSEQ hypothetical protein"] [TAG=Xu TAGDEF="Function unknown"]</t>
  </si>
  <si>
    <t>Uncharacterized protein n=1 Tax=Paramecium bursaria Chlorella virus 1 TaxID=10506 RepID=Q84609_PBCV1</t>
  </si>
  <si>
    <t>11.09.P2-8.153-47_15</t>
  </si>
  <si>
    <t>Filamentous hemagglutinin family N-terminal domain-containing protein (Fragment) n=2 Tax=Sphingomonas sp. YR710 TaxID=1882773 RepID=A0A1G6V299_9SPHN</t>
  </si>
  <si>
    <t>11.09.P2-8.153-47_3</t>
  </si>
  <si>
    <t>11.09.P2-8.153-47_6</t>
  </si>
  <si>
    <t>11.09.P2-8.153-47_7</t>
  </si>
  <si>
    <t>11.09.P2-8.201-19_10</t>
  </si>
  <si>
    <t>Uncharacterized protein B645L n=1 Tax=Paramecium bursaria Chlorella virus NY2A TaxID=46021 RepID=A7IXH0_PBCVN</t>
  </si>
  <si>
    <t>11.09.P2-8.201-19_15</t>
  </si>
  <si>
    <t>DNA primase n=1 Tax=Paramecium bursaria Chlorella virus CVG-1 TaxID=1278248 RepID=M1HNR8_9PHYC</t>
  </si>
  <si>
    <t>11.09.P2-8.201-19_6</t>
  </si>
  <si>
    <t>SWI/SNF-related matrix-associated actin-dependent regulator of chromatin subfamily A member 3-like 1 n=1 Tax=Castanea mollissima TaxID=60419 RepID=A0A8J4R6Q2_9ROSI</t>
  </si>
  <si>
    <t>11.09.P2-8.302-34_1</t>
  </si>
  <si>
    <t>sp|Q8RVB2|SPY_SOLLC Probable UDP-N-acetylglucosamine--peptide N-acetylglucosaminyltransferase SPINDLY OS=Solanum lycopersicum OX=4081 GN=SPY PE=2 SV=1</t>
  </si>
  <si>
    <t>KOG4626 [FUNC="O-linked N-acetylglucosamine transferase OGT"] [shortName=] [TAG=G TAGDEF="Carbohydrate transport and metabolism" PROCESS="METABOLISM"] [TAG=O TAGDEF="Posttranslational modification, protein turnover, chaperones" PROCESS="CELLULAR PROCESSES AND SIGNALING"] [TAG=T TAGDEF="Signal transduction mechanisms" PROCESS="CELLULAR PROCESSES AND SIGNALING"]  [PATHWAY=""]</t>
  </si>
  <si>
    <t>Probable UDP-N-acetylglucosamine--peptide N-acetylglucosaminyltransferase SPINDLY n=4 Tax=Vitrella brassicaformis TaxID=1169539 RepID=A0A0G4F2L2_VITBC</t>
  </si>
  <si>
    <t>11.09.P2-8.302-34_3</t>
  </si>
  <si>
    <t>COG3979 [FUNC="Chitodextrinase"] [shortName=] [TAG=G TAGDEF="Carbohydrate transport and metabolism" PROCESS="METABOLISM"]  [PATHWAY=""] Fibronectin type III domain protein [Herpetosiphon aurantiacus DSM 785]</t>
  </si>
  <si>
    <t>VOG01398 [FUNC="REFSEQ hypothetical protein"] [TAG=Xu TAGDEF="Function unknown"]</t>
  </si>
  <si>
    <t>Fibronectin type-III domain-containing protein n=1 Tax=Desulfofundulus salinum TaxID=2419843 RepID=A0A494X1T5_9FIRM</t>
  </si>
  <si>
    <t>11.09.P2-8.302-34_4</t>
  </si>
  <si>
    <t>11.09.P2-8.492-15_20</t>
  </si>
  <si>
    <t>11.09.P2-8.492-15_21</t>
  </si>
  <si>
    <t>11.09.P2-8.492-15_23</t>
  </si>
  <si>
    <t>11.09.P2-8.492-15_4</t>
  </si>
  <si>
    <t>TIGR00267 family protein n=1 Tax=Actinobaculum massiliense ACS-171-V-Col2 TaxID=883066 RepID=K9F1T0_9ACTO</t>
  </si>
  <si>
    <t>11.09.P2-8.492-15_6</t>
  </si>
  <si>
    <t>Major capsid protein VP54 n=1 Tax=Acanthocystis turfacea Chlorella virus GM0701.1 TaxID=1278271 RepID=M1HTY2_9PHYC</t>
  </si>
  <si>
    <t>11.09.P2-8.514-32_15</t>
  </si>
  <si>
    <t>sp|O75011|NAK1_SCHPO Serine/threonine-protein kinase nak1 OS=Schizosaccharomyces pombe (strain 972 / ATCC 24843) OX=284812 GN=nak1 PE=1 SV=1</t>
  </si>
  <si>
    <t>COG0661 [FUNC="Predicted protein kinase regulating ubiquinone biosynthesis, AarF/ABC1/UbiB family"] [shortName=AarF] [TAG=H TAGDEF="Coenzyme transport and metabolism" PROCESS="METABOLISM"] [TAG=T TAGDEF="Signal transduction mechanisms" PROCESS="CELLULAR PROCESSES AND SIGNALING"]  [PATHWAY="Ubiquinone biosynthesis"] AarF/ABC1/UbiB kinase family protein [Tsukamurella paurometabola]</t>
  </si>
  <si>
    <t>tRNA A-37 threonylcarbamoyl transferase component Bud32 n=2 Tax=Nonomuraea soli TaxID=1032476 RepID=A0A7W0HQS3_9ACTN</t>
  </si>
  <si>
    <t>11.09.P2-8.514-32_17</t>
  </si>
  <si>
    <t>sp|Q3SZE4|ASB11_BOVIN Ankyrin repeat and SOCS box protein 11 OS=Bos taurus OX=9913 GN=ASB11 PE=2 SV=1</t>
  </si>
  <si>
    <t>COG0666 [FUNC="Ankyrin repeat"] [shortName=ANKYR] [TAG=T TAGDEF="Signal transduction mechanisms" PROCESS="CELLULAR PROCESSES AND SIGNALING"]  [PATHWAY=""] hypothetical protein [Singulisphaera acidiphila]</t>
  </si>
  <si>
    <t>11.09.P2-8.546-49_1</t>
  </si>
  <si>
    <t>Sulfhydryl oxidase n=1 Tax=Moumouvirus Monve TaxID=1128131 RepID=H2EDP9_9VIRU</t>
  </si>
  <si>
    <t>11.09.P2-8.546-49_11</t>
  </si>
  <si>
    <t>11.09.P2-8.546-49_13</t>
  </si>
  <si>
    <t>COG3828 [FUNC="Type 1 glutamine amidotransferase (GATase1)-like domain"] [shortName=] [TAG=R TAGDEF="General function prediction only" PROCESS="POORLY CHARACTERIZED"]  [PATHWAY=""] DUF1080 domain-containing protein [Georgenia sp. ZLJ0423]</t>
  </si>
  <si>
    <t>Carbohydrate-binding protein n=1 Tax=Paenibacillus alvei TaxID=44250 RepID=A0A8I2F538_PAEAL</t>
  </si>
  <si>
    <t>11.09.P2-8.546-49_9</t>
  </si>
  <si>
    <t>11.09.P2-8.597-12_1</t>
  </si>
  <si>
    <t>11.09.P2-8.597-12_13</t>
  </si>
  <si>
    <t>Lectin L6-like n=1 Tax=Acanthaster planci TaxID=133434 RepID=A0A8B7YJG6_ACAPL</t>
  </si>
  <si>
    <t>11.09.P2-8.597-12_33</t>
  </si>
  <si>
    <t>Glycosyl transferase n=1 Tax=Paramecium bursaria Chlorella virus NE-JV-1 TaxID=1278261 RepID=M1HB50_9PHYC</t>
  </si>
  <si>
    <t>11.09.P2-8.900-23_2</t>
  </si>
  <si>
    <t>11.09.P2-8.952-18_1</t>
  </si>
  <si>
    <t>sp|Q5UPZ2|YR301_MIMIV Putative serine/threonine-protein kinase R301 OS=Acanthamoeba polyphaga mimivirus OX=212035 GN=MIMI_R301 PE=1 SV=1</t>
  </si>
  <si>
    <t>KOG2464 [FUNC="Serine/threonine kinase (haspin family)"] [shortName=] [TAG=D TAGDEF="Cell cycle control, cell division, chromosome partitioning" PROCESS="CELLULAR PROCESSES AND SIGNALING"]  [PATHWAY=""]</t>
  </si>
  <si>
    <t>VOG37894 [FUNC="REFSEQ hypothetical protein"] [TAG=Xu TAGDEF="Function unknown"]</t>
  </si>
  <si>
    <t>Putative phosphotransferase n=1 Tax=Chrysochromulina ericina virus TaxID=455364 RepID=A0A0N9QY38_CEV01</t>
  </si>
  <si>
    <t>11.09.P2-8.952-18_10</t>
  </si>
  <si>
    <t>sp|Q19683|YZR5_CAEEL Uncharacterized protein F21D5.5 OS=Caenorhabditis elegans OX=6239 GN=F21D5.5 PE=2 SV=2</t>
  </si>
  <si>
    <t>PNK FHA domain-containing protein n=1 Tax=Polypedilum vanderplanki TaxID=319348 RepID=A0A9J6BYJ6_POLVA</t>
  </si>
  <si>
    <t>11.09.P2-8.952-18_5</t>
  </si>
  <si>
    <t>11.09.P2-8.952-18_6</t>
  </si>
  <si>
    <t>11.09.P2-9.014-50_32</t>
  </si>
  <si>
    <t>11.09.P2-9.019-41_4</t>
  </si>
  <si>
    <t>Solute-binding protein family 3/N-terminal domain-containing protein n=1 Tax=Chlorella vulgaris TaxID=3077 RepID=A0A9D4TSQ0_CHLVU</t>
  </si>
  <si>
    <t>11.09.P2-9.019-41_5</t>
  </si>
  <si>
    <t>COG4951 [FUNC="Uncharacterized conserved protein"] [shortName=] [TAG=S TAGDEF="Function unknown" PROCESS="POORLY CHARACTERIZED"]  [PATHWAY=""] DNA helicase [Hahella chejuensis]</t>
  </si>
  <si>
    <t>11.09.P2-9.019-41_6</t>
  </si>
  <si>
    <t>Uncharacterized protein n=1 Tax=Dishui Lake phycodnavirus 2 TaxID=2704071 RepID=A0A6G6XNP4_9PHYC</t>
  </si>
  <si>
    <t>11.09.P2-9.019-41_8</t>
  </si>
  <si>
    <t>11.09.P2-9.019-50_10</t>
  </si>
  <si>
    <t>sp|Q59002|Y1607_METJA Uncharacterized glycosyltransferase MJ1607 OS=Methanocaldococcus jannaschii (strain ATCC 43067 / DSM 2661 / JAL-1 / JCM 10045 / NBRC 100440) OX=243232 GN=MJ1607 PE=3 SV=1</t>
  </si>
  <si>
    <t>COG0438 [FUNC="Glycosyltransferase involved in cell wall bisynthesis"] [shortName=RfaB] [TAG=M TAGDEF="Cell wall/membrane/envelope biogenesis" PROCESS="CELLULAR PROCESSES AND SIGNALING"]  [PATHWAY=""] putative glycosyl transferase [Planktothrix agardhii NIES-204]</t>
  </si>
  <si>
    <t>Glycosyl transferase group 1 n=1 Tax=Geobacter sp. (strain M21) TaxID=443144 RepID=C6E7H5_GEOSM</t>
  </si>
  <si>
    <t>11.09.P2-9.019-50_2</t>
  </si>
  <si>
    <t>sp|O88445|AURKC_MOUSE Aurora kinase C OS=Mus musculus OX=10090 GN=Aurkc PE=1 SV=2</t>
  </si>
  <si>
    <t>KOG0580 [FUNC="Serine/threonine protein kinase"] [shortName=] [TAG=D TAGDEF="Cell cycle control, cell division, chromosome partitioning" PROCESS="CELLULAR PROCESSES AND SIGNALING"]  [PATHWAY=""]</t>
  </si>
  <si>
    <t>Protein kinase domain-containing protein n=1 Tax=Chytriomyces confervae TaxID=246404 RepID=A0A507FGE8_9FUNG</t>
  </si>
  <si>
    <t>11.09.P2-9.019-50_3</t>
  </si>
  <si>
    <t>Uncharacterized protein n=1 Tax=Mimivirus AB-566-O17 TaxID=1988039 RepID=A0A1X9VNW2_9VIRU</t>
  </si>
  <si>
    <t>11.09.P2-9.019-50_7</t>
  </si>
  <si>
    <t>11.09.P2-9.019-50_8</t>
  </si>
  <si>
    <t>11.09.P2-9.019-50_9</t>
  </si>
  <si>
    <t>Chromosomal protein MC1 domain-containing protein n=1 Tax=Aureococcus anophagefferens virus TaxID=1474867 RepID=A0A076FH36_9PHYC</t>
  </si>
  <si>
    <t>11.09.P2-9.148-9.5_10</t>
  </si>
  <si>
    <t>sp|Q5UPI7|YL111_MIMIV Uncharacterized protein L111 OS=Acanthamoeba polyphaga mimivirus OX=212035 GN=MIMI_L111 PE=3 SV=1</t>
  </si>
  <si>
    <t>VOG00561 [FUNC="sp|Q5UPJ3|YL116_MIMIV Uncharacterized protein L116"] [TAG=Xu TAGDEF="Function unknown"]</t>
  </si>
  <si>
    <t>MORN repeat-containing protein n=1 Tax=Powai lake megavirus TaxID=1842663 RepID=A0A167RPW8_9VIRU</t>
  </si>
  <si>
    <t>11.09.P2-9.148-9.5_11</t>
  </si>
  <si>
    <t>sp|Q5UPC0|YL041_MIMIV Uncharacterized protein L41 OS=Acanthamoeba polyphaga mimivirus OX=212035 GN=MIMI_L41 PE=3 SV=1</t>
  </si>
  <si>
    <t>COG2849 [FUNC="Antitoxin component YwqK of the YwqJK toxin-antitoxin module"] [shortName=YwqK] [TAG=V TAGDEF="Defense mechanisms" PROCESS="CELLULAR PROCESSES AND SIGNALING"]  [PATHWAY=""] hypothetical protein [Moritella viscosa]</t>
  </si>
  <si>
    <t>MORN repeat protein n=1 Tax=Psychroflexus torquis (strain ATCC 700755 / ACAM 623) TaxID=313595 RepID=K4IF45_PSYTT</t>
  </si>
  <si>
    <t>11.09.P2-9.148-9.5_13</t>
  </si>
  <si>
    <t>VOG15090 [FUNC="sp|P16009|NEEDL_BPT4 Pre-baseplate central spike protein Gp5"] [TAG=Xh TAGDEF="Virus protein with function beneficial for the host"]</t>
  </si>
  <si>
    <t>CHAP domain-containing protein n=1 Tax=Agitococcus lubricus TaxID=1077255 RepID=A0A2T5IYE7_9GAMM</t>
  </si>
  <si>
    <t>11.09.P2-9.148-9.5_15</t>
  </si>
  <si>
    <t>COG0827 [FUNC="Adenine-specific DNA N6-methylase"] [shortName=YtxK] [TAG=L TAGDEF="Replication, recombination and repair" PROCESS="INFORMATION STORAGE AND PROCESSING"]  [PATHWAY=""] restriction endonuclease [Caproiciproducens sp. NJN-50]</t>
  </si>
  <si>
    <t>site-specific DNA-methyltransferase (adenine-specific) n=1 Tax=Hokovirus HKV1 TaxID=1977638 RepID=A0A1V0SG34_9VIRU</t>
  </si>
  <si>
    <t>11.09.P2-9.148-9.5_3</t>
  </si>
  <si>
    <t>11.09.P2-9.148-9.5_4</t>
  </si>
  <si>
    <t>11.09.P2-9.148-9.5_6</t>
  </si>
  <si>
    <t>11.09.P2-9.148-9.5_8</t>
  </si>
  <si>
    <t>11.09.P2-9.404-33_2</t>
  </si>
  <si>
    <t>Major capsid protein VP54 n=1 Tax=Acanthocystis turfacea Chlorella virus OR0704.3 TaxID=1278277 RepID=M1ILI2_9PHYC</t>
  </si>
  <si>
    <t>11.09.P2-9.404-33_4</t>
  </si>
  <si>
    <t>Major capsid protein VP54 n=1 Tax=Acanthocystis turfacea Chlorella virus MN0810.1 TaxID=1278272 RepID=M1H9S1_9PHYC</t>
  </si>
  <si>
    <t>11.09.P2-9.404-33_7</t>
  </si>
  <si>
    <t>Tail fibers protein n=1 Tax=Synechococcus phage S-SBP1 TaxID=2735125 RepID=A0A6M4ELY8_9CAUD</t>
  </si>
  <si>
    <t>11.09.P2-9.404-33_9</t>
  </si>
  <si>
    <t>sp|Q9D9D8|DUS21_MOUSE Dual specificity phosphatase 21 OS=Mus musculus OX=10090 GN=Dusp21 PE=1 SV=1</t>
  </si>
  <si>
    <t>Tyrosine specific protein phosphatases domain-containing protein n=1 Tax=Daphnia pulex TaxID=6669 RepID=E9HVL2_DAPPU</t>
  </si>
  <si>
    <t>11.09.P2-9.671-6.0_1</t>
  </si>
  <si>
    <t>Ring finger ubiquitin ligase n=1 Tax=Only Syngen Nebraska virus 5 TaxID=1917232 RepID=A0A1J0F9U7_9PHYC</t>
  </si>
  <si>
    <t>11.09.P2-9.671-6.0_21</t>
  </si>
  <si>
    <t>11.09.P2-9.671-6.0_23</t>
  </si>
  <si>
    <t>11.09.P2-9.671-6.0_27</t>
  </si>
  <si>
    <t>Uncharacterized protein n=1 Tax=Yellowstone lake phycodnavirus 2 TaxID=1586714 RepID=A0A0N7KVU6_9PHYC</t>
  </si>
  <si>
    <t>11.09.P2-9.671-6.0_5</t>
  </si>
  <si>
    <t>11.09.P2-9.671-6.0_6</t>
  </si>
  <si>
    <t>11.09.P2-9.689-28_12</t>
  </si>
  <si>
    <t>11.09.P2-9.689-28_14</t>
  </si>
  <si>
    <t>11.09.P2-9.689-28_15</t>
  </si>
  <si>
    <t>11.09.P2-9.689-28_29</t>
  </si>
  <si>
    <t>11.09.P2-9.689-28_8</t>
  </si>
  <si>
    <t>11.09.P2-9.785-55_19</t>
  </si>
  <si>
    <t>11.09.P2-9.785-55_4</t>
  </si>
  <si>
    <t>11.09.P2-9.822-16_10</t>
  </si>
  <si>
    <t>Translation initiation factor eIF-1A n=1 Tax=Cryptococcus gattii VGII Ram5 TaxID=1296110 RepID=A0A0D0TVX9_9TREE</t>
  </si>
  <si>
    <t>11.09.P2-9.822-16_16</t>
  </si>
  <si>
    <t>11.09.P2-9.822-16_2</t>
  </si>
  <si>
    <t>11.09.P2-9.822-16_25</t>
  </si>
  <si>
    <t>11.09.P2-9.822-16_26</t>
  </si>
  <si>
    <t>11.09.P2-9.822-16_7</t>
  </si>
  <si>
    <t>11.09.P2-9.830-6.4_15</t>
  </si>
  <si>
    <t>11.09.P2-9.830-6.4_26</t>
  </si>
  <si>
    <t>11.09.P2-9.830-6.4_29</t>
  </si>
  <si>
    <t>Nudix hydrolase domain-containing protein n=1 Tax=Paramecium bursaria Chlorella virus KS1B TaxID=1278258 RepID=M1H6Y9_9PHYC</t>
  </si>
  <si>
    <t>11.09.P2-9.830-6.4_38</t>
  </si>
  <si>
    <t>11.09.P2-9.929-51_21</t>
  </si>
  <si>
    <t>11.09.P2-9.929-51_26</t>
  </si>
  <si>
    <t>11.09.P2-9.929-51_4</t>
  </si>
  <si>
    <t>11.09.P2-9.929-51_44</t>
  </si>
  <si>
    <t>11.09.P2-9.929-51_50</t>
  </si>
  <si>
    <t>11.09.P3-10.098-32_1</t>
  </si>
  <si>
    <t>VOG02149 [FUNC="REFSEQ putative glycosyltransferase"] [TAG=Xu TAGDEF="Function unknown"]</t>
  </si>
  <si>
    <t>Putative glycosyltransferase n=1 Tax=Tunisvirus fontaine2 TaxID=1421067 RepID=V9SDV6_9VIRU</t>
  </si>
  <si>
    <t>11.09.P3-10.098-32_11</t>
  </si>
  <si>
    <t>Surface protein n=1 Tax=Fibrobacter sp. UWB13 TaxID=1896204 RepID=A0A1X7IDF3_9BACT</t>
  </si>
  <si>
    <t>11.09.P3-10.098-32_4</t>
  </si>
  <si>
    <t>COG0037 [FUNC="tRNA(Ile)-lysidine synthase TilS/MesJ"] [shortName=TilS] [TAG=J TAGDEF="Translation, ribosomal structure and biogenesis" PROCESS="INFORMATION STORAGE AND PROCESSING"]  [PATHWAY="tRNA modification"] putative tRNA(Ile)-lysidine synthetase [Candidatus Zinderia insecticola CARI]</t>
  </si>
  <si>
    <t>tRNA(Ile)-lysidine synthetase n=1 Tax=Klosneuvirus KNV1 TaxID=1977640 RepID=A0A1V0SI91_9VIRU</t>
  </si>
  <si>
    <t>11.09.P3-10.098-32_8</t>
  </si>
  <si>
    <t>MIGE-like protein n=1 Tax=Chrysochromulina ericina virus TaxID=455364 RepID=A0A0N9R2T5_CEV01</t>
  </si>
  <si>
    <t>11.09.P3-10.793-21_3</t>
  </si>
  <si>
    <t>11.09.P3-10.793-21_6</t>
  </si>
  <si>
    <t>sp|Q5UQF1|YL483_MIMIV Putative ankyrin repeat protein L483 OS=Acanthamoeba polyphaga mimivirus OX=212035 GN=MIMI_L483 PE=4 SV=1</t>
  </si>
  <si>
    <t>Putative ankyrin repeat protein n=1 Tax=Smittium culicis TaxID=133412 RepID=A0A1R1XNX9_9FUNG</t>
  </si>
  <si>
    <t>11.09.P3-11.052-4.7_1</t>
  </si>
  <si>
    <t>11.09.P3-11.052-4.7_18</t>
  </si>
  <si>
    <t>DNA polymerase n=26 Tax=Chlorovirus TaxID=181083 RepID=DPOL_PBCV1</t>
  </si>
  <si>
    <t>11.09.P3-11.052-4.7_28</t>
  </si>
  <si>
    <t>11.09.P3-11.052-4.7_4</t>
  </si>
  <si>
    <t>11.09.P3-11.052-4.7_7</t>
  </si>
  <si>
    <t>11.09.P3-11.052-4.7_9</t>
  </si>
  <si>
    <t>11.09.P3-11.205-43_14</t>
  </si>
  <si>
    <t>11.09.P3-11.205-43_4</t>
  </si>
  <si>
    <t>11.09.P3-11.343-6.7_10</t>
  </si>
  <si>
    <t>Protein kinase n=1 Tax=Fadolivirus 1 TaxID=2740746 RepID=A0A7D3UVK6_9VIRU</t>
  </si>
  <si>
    <t>11.09.P3-11.343-6.7_11</t>
  </si>
  <si>
    <t>COG1075 [FUNC="Triacylglycerol esterase/lipase EstA, alpha/beta hydrolase fold"] [shortName=EstA] [TAG=I TAGDEF="Lipid transport and metabolism" PROCESS="METABOLISM"]  [PATHWAY=""] acetyltransferase/hydrolase family protein [Vibrio fischeri ES114]</t>
  </si>
  <si>
    <t>Cobinamide adenolsyltransferase n=1 Tax=Photobacterium sp. (strain ATCC 43367) TaxID=379097 RepID=A0A0A5I3P6_PHOS4</t>
  </si>
  <si>
    <t>11.09.P3-11.343-6.7_12</t>
  </si>
  <si>
    <t>VOG01477 [FUNC="REFSEQ hypothetical protein"] [TAG=Xu TAGDEF="Function unknown"]</t>
  </si>
  <si>
    <t>Uncharacterized protein n=1 Tax=Indivirus ILV1 TaxID=1977633 RepID=A0A1V0SEA8_9VIRU</t>
  </si>
  <si>
    <t>11.09.P3-11.343-6.7_19</t>
  </si>
  <si>
    <t>Collagen triple helix repeat-containing protein n=1 Tax=Pedobacter sp. SL55 TaxID=2995161 RepID=A0A9E8PQG8_9SPHI</t>
  </si>
  <si>
    <t>11.09.P3-11.343-6.7_8</t>
  </si>
  <si>
    <t>sp|O60841|IF2P_HUMAN Eukaryotic translation initiation factor 5B OS=Homo sapiens OX=9606 GN=EIF5B PE=1 SV=4</t>
  </si>
  <si>
    <t>KOG1144 [FUNC="Translation initiation factor 5B (eIF-5B)"] [shortName=] [TAG=J TAGDEF="Translation, ribosomal structure and biogenesis" PROCESS="INFORMATION STORAGE AND PROCESSING"]  [PATHWAY=""]</t>
  </si>
  <si>
    <t>VOG12363 [FUNC="sp|O60841|IF2P_HUMAN Eukaryotic translation initiation factor 5B"] [TAG=Xh TAGDEF="Virus protein with function beneficial for the host"]</t>
  </si>
  <si>
    <t>Translation initiation factor aIF-2 n=1 Tax=Fadolivirus 1 TaxID=2740746 RepID=A0A7D3R215_9VIRU</t>
  </si>
  <si>
    <t>11.09.P3-11.391-22_2</t>
  </si>
  <si>
    <t>11.09.P3-11.391-22_3</t>
  </si>
  <si>
    <t>sp|P18248|PCNA_XENLA Proliferating cell nuclear antigen OS=Xenopus laevis OX=8355 GN=pcna PE=1 SV=1</t>
  </si>
  <si>
    <t>Proliferating cell nuclear antigen n=2 Tax=Mytilus TaxID=6548 RepID=A0A8S3RR91_MYTED</t>
  </si>
  <si>
    <t>11.09.P3-11.391-22_5</t>
  </si>
  <si>
    <t>sp|P27484|GRP2_NICSY Glycine-rich protein 2 OS=Nicotiana sylvestris OX=4096 GN=GRP-2 PE=2 SV=1</t>
  </si>
  <si>
    <t>COG1278 [FUNC="Cold shock protein, CspA family"] [shortName=CspC] [TAG=K TAGDEF="Transcription" PROCESS="INFORMATION STORAGE AND PROCESSING"]  [PATHWAY=""] cold-shock protein [Cellvibrio japonicus]</t>
  </si>
  <si>
    <t>VOG02128 [FUNC="sp|Q9KSW4|CSPD_VIBCH Cold shock-like protein CspD"] [TAG=Xu TAGDEF="Function unknown"]</t>
  </si>
  <si>
    <t>Cold-Shock Protein n=1 Tax=Chrysochromulina ericina virus TaxID=455364 RepID=A0A0N9QJF4_CEV01</t>
  </si>
  <si>
    <t>11.09.P3-11.391-22_6</t>
  </si>
  <si>
    <t>sp|B0Y567|AFUMC_ASPFC Glycosyltransferase afumC OS=Aspergillus fumigatus (strain CBS 144.89 / FGSC A1163 / CEA10) OX=451804 GN=afumC PE=1 SV=1</t>
  </si>
  <si>
    <t>COG3774 [FUNC="Mannosyltransferase OCH1 or related enzyme"] [shortName=OCH1] [TAG=M TAGDEF="Cell wall/membrane/envelope biogenesis" PROCESS="CELLULAR PROCESSES AND SIGNALING"]  [PATHWAY=""] mannosyltransferase [Delftia acidovorans]</t>
  </si>
  <si>
    <t>Capsular polysaccharide synthesis protein n=1 Tax=Aliidiomarina maris TaxID=531312 RepID=A0A327X2G9_9GAMM</t>
  </si>
  <si>
    <t>11.09.P3-11.391-22_7</t>
  </si>
  <si>
    <t>COG1470 [FUNC="Uncharacterized membrane protein"] [shortName=] [TAG=S TAGDEF="Function unknown" PROCESS="POORLY CHARACTERIZED"]  [PATHWAY=""] hypothetical protein [Fervidobacterium pennivorans]</t>
  </si>
  <si>
    <t>NHl repeat unit of beta-propeller protein n=1 Tax=Fadolivirus 1 TaxID=2740746 RepID=A0A7D3UU09_9VIRU</t>
  </si>
  <si>
    <t>11.09.P3-11.391-22_8</t>
  </si>
  <si>
    <t>Mannosyltransferase OCH1 and related enzymes n=1 Tax=Empedobacter falsenii TaxID=343874 RepID=A0A7H9DP14_9FLAO</t>
  </si>
  <si>
    <t>11.09.P3-11.391-22_9</t>
  </si>
  <si>
    <t>COG4852 [FUNC="Uncharacterized membrane protein"] [shortName=] [TAG=S TAGDEF="Function unknown" PROCESS="POORLY CHARACTERIZED"]  [PATHWAY=""] DUF2177 family protein [Tabrizicola sp. K13M18]</t>
  </si>
  <si>
    <t>Uncharacterized protein n=1 Tax=Mimiviridae sp. ChoanoV1 TaxID=2596887 RepID=A0A5B8HYK4_9VIRU</t>
  </si>
  <si>
    <t>11.09.P3-11.519-33_18</t>
  </si>
  <si>
    <t>11.09.P3-11.519-33_26</t>
  </si>
  <si>
    <t>Uncharacterized protein n=1 Tax=Marchantia polymorpha TaxID=3197 RepID=A0A2R6XUN8_MARPO</t>
  </si>
  <si>
    <t>11.09.P3-11.519-33_34</t>
  </si>
  <si>
    <t>11.09.P3-11.519-33_4</t>
  </si>
  <si>
    <t>11.09.P3-11.519-33_40</t>
  </si>
  <si>
    <t>Ubiquitin thioesterase OTU n=1 Tax=Hemiselmis andersenii TaxID=464988 RepID=A0A7S0TTI5_HEMAN</t>
  </si>
  <si>
    <t>11.09.P3-11.519-33_50</t>
  </si>
  <si>
    <t>11.09.P3-11.519-33_6</t>
  </si>
  <si>
    <t>11.09.P3-11.519-33_9</t>
  </si>
  <si>
    <t>11.09.P3-11.640-16_11</t>
  </si>
  <si>
    <t>TLC domain-containing protein n=1 Tax=Physcomitrium patens TaxID=3218 RepID=A9SEA1_PHYPA</t>
  </si>
  <si>
    <t>11.09.P3-11.640-16_14</t>
  </si>
  <si>
    <t>VOG02022 [FUNC="sp|P04310|RP18_VACCW DNA-directed RNA polymerase 18 kDa subunit"] [TAG=Xh TAGDEF="Virus protein with function beneficial for the host"]</t>
  </si>
  <si>
    <t>Putative helicase n=1 Tax=Dishui Lake large algae virus 1 TaxID=2704073 RepID=A0A6G6XPR7_9VIRU</t>
  </si>
  <si>
    <t>11.09.P3-11.640-16_2</t>
  </si>
  <si>
    <t>TIGR03032 family protein n=1 Tax=Moorena sp. SIO2B7 TaxID=2607823 RepID=A0A846DRJ9_9CYAN</t>
  </si>
  <si>
    <t>11.09.P3-11.640-16_4</t>
  </si>
  <si>
    <t>11.09.P3-11.640-16_7</t>
  </si>
  <si>
    <t>11.09.P3-11.640-16_9</t>
  </si>
  <si>
    <t>11.09.P3-11.641-19_14</t>
  </si>
  <si>
    <t>Eukaryotic translation initiation factor 4C n=1 Tax=Rhodotorula graminis (strain WP1) TaxID=578459 RepID=A0A0P9GYX7_RHOGW</t>
  </si>
  <si>
    <t>11.09.P3-11.641-19_28</t>
  </si>
  <si>
    <t>ATPase n=1 Tax=Acanthocystis turfacea Chlorella virus Canal-1 TaxID=1278270 RepID=M1HE35_9PHYC</t>
  </si>
  <si>
    <t>11.09.P3-11.641-19_38</t>
  </si>
  <si>
    <t>11.09.P3-11.641-19_39</t>
  </si>
  <si>
    <t>11.09.P3-11.641-19_43</t>
  </si>
  <si>
    <t>11.09.P3-11.641-19_48</t>
  </si>
  <si>
    <t>11.09.P3-11.641-19_50</t>
  </si>
  <si>
    <t>Lipid hydrolase n=3 Tax=Chlorovirus TaxID=181083 RepID=M1HSF2_9PHYC</t>
  </si>
  <si>
    <t>11.09.P3-11.641-19_51</t>
  </si>
  <si>
    <t>11.09.P3-11.641-19_56</t>
  </si>
  <si>
    <t>sp|Q9VJE5|CL190_DROME Restin homolog OS=Drosophila melanogaster OX=7227 GN=CLIP-190 PE=1 SV=1</t>
  </si>
  <si>
    <t>KOG4568 [FUNC="Cytoskeleton-associated protein and related proteins"] [shortName=] [TAG=Z TAGDEF="Cytoskeleton" PROCESS="CELLULAR PROCESSES AND SIGNALING"] [TAG=R TAGDEF="General function prediction only" PROCESS="POORLY CHARACTERIZED"]  [PATHWAY=""]</t>
  </si>
  <si>
    <t>F5/8 type C domain-containing protein n=1 Tax=Lysinibacillus sp. AC-3 TaxID=1680467 RepID=A0A1T5HFC6_9BACI</t>
  </si>
  <si>
    <t>11.09.P3-11.970-53_1</t>
  </si>
  <si>
    <t>NUDIX-like hydrolase n=3 Tax=unclassified Prymnesiovirus TaxID=358403 RepID=R4TWQ3_9PHYC</t>
  </si>
  <si>
    <t>11.09.P3-11.970-53_10</t>
  </si>
  <si>
    <t>DUF5899 domain-containing protein n=3 Tax=unclassified Prymnesiovirus TaxID=358403 RepID=R4TF74_9PHYC</t>
  </si>
  <si>
    <t>11.09.P3-11.970-53_14</t>
  </si>
  <si>
    <t>VOG03677 [FUNC="REFSEQ hypothetical protein"] [TAG=Xu TAGDEF="Function unknown"]</t>
  </si>
  <si>
    <t>Sulfhydryl oxidase n=1 Tax=Chrysochromulina ericina virus TaxID=455364 RepID=A0A0N9R3W1_CEV01</t>
  </si>
  <si>
    <t>11.09.P3-11.970-53_2</t>
  </si>
  <si>
    <t>11.09.P3-11.970-53_3</t>
  </si>
  <si>
    <t>PilZ domain-containing protein n=1 Tax=Chrysochromulina ericina virus TaxID=455364 RepID=A0A0N9QAN2_CEV01</t>
  </si>
  <si>
    <t>11.09.P3-11.970-53_5</t>
  </si>
  <si>
    <t>Uncharacterized protein n=1 Tax=Catovirus CTV1 TaxID=1977631 RepID=A0A1V0S977_9VIRU</t>
  </si>
  <si>
    <t>11.09.P3-11.970-53_8</t>
  </si>
  <si>
    <t>Uncharacterized protein n=1 Tax=Yellowstone lake mimivirus TaxID=1586712 RepID=A0A0P0YLT4_9VIRU</t>
  </si>
  <si>
    <t>11.09.P3-12.264-30_11</t>
  </si>
  <si>
    <t>DCL family protein n=1 Tax=Anabaena sphaerica FACHB-251 TaxID=2692883 RepID=A0A926WD31_9NOST</t>
  </si>
  <si>
    <t>11.09.P3-12.264-30_12</t>
  </si>
  <si>
    <t>11.09.P3-12.264-30_3</t>
  </si>
  <si>
    <t>COG0286 [FUNC="Type I restriction-modification system, DNA methylase subunit"] [shortName=HsdM] [TAG=V TAGDEF="Defense mechanisms" PROCESS="CELLULAR PROCESSES AND SIGNALING"]  [PATHWAY=""] restriction endonuclease HincII [Bernardetia litoralis]</t>
  </si>
  <si>
    <t>site-specific DNA-methyltransferase (adenine-specific) n=1 Tax=Klosneuvirus KNV1 TaxID=1977640 RepID=A0A1V0SLQ2_9VIRU</t>
  </si>
  <si>
    <t>11.09.P3-12.264-30_5</t>
  </si>
  <si>
    <t>11.09.P3-12.264-30_6</t>
  </si>
  <si>
    <t>11.09.P3-12.264-30_9</t>
  </si>
  <si>
    <t>11.09.P3-12.396-21_11</t>
  </si>
  <si>
    <t>UV damage endonuclease UvdE n=1 Tax=Orpheovirus IHUMI-LCC2 TaxID=2023057 RepID=A0A2I2L3D9_9PHYC</t>
  </si>
  <si>
    <t>11.09.P3-12.396-21_12</t>
  </si>
  <si>
    <t>Nucleotide-diphospho-sugar transferase domain-containing protein n=1 Tax=Chlamydomonas eustigma TaxID=1157962 RepID=A0A250XDI3_9CHLO</t>
  </si>
  <si>
    <t>11.09.P3-12.396-21_13</t>
  </si>
  <si>
    <t>COG4122 [FUNC="tRNA 5-hydroxyU34 O-methylase TrmR/YrrM"] [shortName=TrmR] [TAG=J TAGDEF="Translation, ribosomal structure and biogenesis" PROCESS="INFORMATION STORAGE AND PROCESSING"]  [PATHWAY="tRNA modification"] glycosyl transferase [Microcoleus sp. PCC 7113]</t>
  </si>
  <si>
    <t>Group 1 glycosyl transferase n=1 Tax=Tolypothrix sp. NIES-4075 TaxID=2005459 RepID=A0A218QGT2_9CYAN</t>
  </si>
  <si>
    <t>11.09.P3-12.396-21_14</t>
  </si>
  <si>
    <t>sp|Q5UR44|GLNA_MIMIV Putative glutamine synthetase OS=Acanthamoeba polyphaga mimivirus OX=212035 GN=MIMI_R565 PE=3 SV=1</t>
  </si>
  <si>
    <t>KOG0683 [FUNC="Glutamine synthetase"] [shortName=] [TAG=E TAGDEF="Amino acid transport and metabolism" PROCESS="METABOLISM"]  [PATHWAY=""]</t>
  </si>
  <si>
    <t>VOG30254 [FUNC="sp|P38561|GLNA3_MAIZE Glutamine synthetase root isozyme 3"] [TAG=Xh TAGDEF="Virus protein with function beneficial for the host"]</t>
  </si>
  <si>
    <t>Glutamine synthetase n=1 Tax=Strongyloides papillosus TaxID=174720 RepID=A0A0N5CH41_STREA</t>
  </si>
  <si>
    <t>11.09.P3-12.396-21_15</t>
  </si>
  <si>
    <t>11.09.P3-12.396-21_16</t>
  </si>
  <si>
    <t>11.09.P3-12.396-21_17</t>
  </si>
  <si>
    <t>sp|Q4JAB0|RFCS_SULAC Replication factor C small subunit OS=Sulfolobus acidocaldarius (strain ATCC 33909 / DSM 639 / JCM 8929 / NBRC 15157 / NCIMB 11770) OX=330779 GN=rfcS PE=3 SV=1</t>
  </si>
  <si>
    <t>COG0470 [FUNC="DNA polymerase III, delta prime subunit"] [shortName=HolB] [TAG=L TAGDEF="Replication, recombination and repair" PROCESS="INFORMATION STORAGE AND PROCESSING"]  [PATHWAY=""] replication factor C small subunit [Thermogladius calderae]</t>
  </si>
  <si>
    <t>Replication factor C small subunit n=1 Tax=Chrysochromulina ericina virus TaxID=455364 RepID=A0A0N7G7K3_CEV01</t>
  </si>
  <si>
    <t>11.09.P3-12.396-21_18</t>
  </si>
  <si>
    <t>Uncharacterized protein n=1 Tax=Yellowstone lake mimivirus TaxID=1586712 RepID=A0A0P0YLS4_9VIRU</t>
  </si>
  <si>
    <t>11.09.P3-12.396-21_4</t>
  </si>
  <si>
    <t>ATP-grasp domain-containing protein n=1 Tax=Pseudogymnoascus sp. VKM F-4520 (FW-2644) TaxID=1420915 RepID=A0A094H7T8_9PEZI</t>
  </si>
  <si>
    <t>11.09.P3-12.396-21_5</t>
  </si>
  <si>
    <t>COG3551 [FUNC="Uncharacterized conserved protein"] [shortName=] [TAG=S TAGDEF="Function unknown" PROCESS="POORLY CHARACTERIZED"]  [PATHWAY=""] sulfotransferase family protein [Alteromonas macleodii]</t>
  </si>
  <si>
    <t>Exostosin family protein n=1 Tax=Cohaesibacter sp. ES.047 TaxID=1798205 RepID=A0A285M9G6_9HYPH</t>
  </si>
  <si>
    <t>11.09.P3-12.464-16_1</t>
  </si>
  <si>
    <t>Uncharacterized protein n=1 Tax=Chrysochromulina ericina virus TaxID=455364 RepID=A0A0N9Q967_CEV01</t>
  </si>
  <si>
    <t>11.09.P3-12.464-16_11</t>
  </si>
  <si>
    <t>Putative XRNA family 5'-3' exonuclease n=1 Tax=Chrysochromulina ericina virus TaxID=455364 RepID=A0A0N9R383_CEV01</t>
  </si>
  <si>
    <t>11.09.P3-12.464-16_12</t>
  </si>
  <si>
    <t>sp|P59527|THIO_BUCBP Thioredoxin OS=Buchnera aphidicola subsp. Baizongia pistaciae (strain Bp) OX=224915 GN=trxA PE=3 SV=1</t>
  </si>
  <si>
    <t>COG0526 [FUNC="Thiol-disulfide isomerase or thioredoxin"] [shortName=TrxA] [TAG=O TAGDEF="Posttranslational modification, protein turnover, chaperones" PROCESS="CELLULAR PROCESSES AND SIGNALING"]  [PATHWAY=""] thioredoxin [Olleya sp. Bg11-27]</t>
  </si>
  <si>
    <t>Thioredoxin n=1 Tax=Olleya aquimaris TaxID=639310 RepID=A0A6H3Q0Q5_9FLAO</t>
  </si>
  <si>
    <t>11.09.P3-12.464-16_13</t>
  </si>
  <si>
    <t>Uncharacterized protein n=3 Tax=unclassified Prymnesiovirus TaxID=358403 RepID=R4TPY6_9PHYC</t>
  </si>
  <si>
    <t>11.09.P3-12.464-16_2</t>
  </si>
  <si>
    <t>COG0859 [FUNC="ADP-heptose:LPS heptosyltransferase"] [shortName=RfaF] [TAG=M TAGDEF="Cell wall/membrane/envelope biogenesis" PROCESS="CELLULAR PROCESSES AND SIGNALING"]  [PATHWAY=""] glycosyltransferase [Beijerinckia indica]</t>
  </si>
  <si>
    <t>VOG02431 [FUNC="REFSEQ hypothetical protein"] [TAG=Xu TAGDEF="Function unknown"]</t>
  </si>
  <si>
    <t>Uncharacterized protein n=1 Tax=Prochlorococcus marinus (strain NATL2A) TaxID=59920 RepID=Q46J84_PROMT</t>
  </si>
  <si>
    <t>11.09.P3-12.464-16_3</t>
  </si>
  <si>
    <t>Intein containing ATP-dependent Lon peptidase n=1 Tax=Chrysochromulina ericina virus TaxID=455364 RepID=A0A0N9R2V4_CEV01</t>
  </si>
  <si>
    <t>11.09.P3-12.464-16_4</t>
  </si>
  <si>
    <t>VOG22371 [FUNC="REFSEQ hypothetical protein"] [TAG=Xu TAGDEF="Function unknown"]</t>
  </si>
  <si>
    <t>Uncharacterized protein n=1 Tax=Chrysochromulina ericina virus TaxID=455364 RepID=A0A0N9QWS7_CEV01</t>
  </si>
  <si>
    <t>11.09.P3-12.464-16_5</t>
  </si>
  <si>
    <t>VOG06277 [FUNC="REFSEQ hypothetical protein"] [TAG=Xu TAGDEF="Function unknown"]</t>
  </si>
  <si>
    <t>SAP domain containing protein n=1 Tax=Chrysochromulina ericina virus TaxID=455364 RepID=A0A0N9R0D8_CEV01</t>
  </si>
  <si>
    <t>11.09.P3-12.464-16_7</t>
  </si>
  <si>
    <t>VOG21814 [FUNC="REFSEQ hypothetical protein"] [TAG=Xu TAGDEF="Function unknown"]</t>
  </si>
  <si>
    <t>Uncharacterized protein n=1 Tax=Chrysochromulina ericina virus TaxID=455364 RepID=A0A0N9QIT1_CEV01</t>
  </si>
  <si>
    <t>11.09.P3-12.464-16_9</t>
  </si>
  <si>
    <t>Sulfhydryl oxidase n=3 Tax=unclassified Prymnesiovirus TaxID=358403 RepID=R4TW41_9PHYC</t>
  </si>
  <si>
    <t>11.09.P3-12.500-35_11</t>
  </si>
  <si>
    <t>sp|Q05763|DRTS2_ARATH Bifunctional dihydrofolate reductase-thymidylate synthase 2 OS=Arabidopsis thaliana OX=3702 GN=THY-2 PE=2 SV=2</t>
  </si>
  <si>
    <t>Thymidylate synthase n=1 Tax=Mimiviridae sp. ChoanoV1 TaxID=2596887 RepID=A0A5B8HVY0_9VIRU</t>
  </si>
  <si>
    <t>11.09.P3-12.500-35_12</t>
  </si>
  <si>
    <t>sp|Q91FT7|235L_IIV6 Putative methyltransferase 235L OS=Invertebrate iridescent virus 6 OX=176652 GN=IIV6-235L PE=3 SV=1</t>
  </si>
  <si>
    <t>COG0500 [FUNC="SAM-dependent methyltransferase"] [shortName=SmtA] [TAG=Q TAGDEF="Secondary metabolites biosynthesis, transport and catabolism" PROCESS="METABOLISM"] [TAG=R TAGDEF="General function prediction only" PROCESS="POORLY CHARACTERIZED"]  [PATHWAY=""] class I SAM-dependent methyltransferase [Candidatus Gracilibacteria bacterium HOT-871]</t>
  </si>
  <si>
    <t>11.09.P3-12.500-35_2</t>
  </si>
  <si>
    <t>Uncharacterized protein n=3 Tax=unclassified Prymnesiovirus TaxID=358403 RepID=R4TQU7_9PHYC</t>
  </si>
  <si>
    <t>11.09.P3-12.500-35_3</t>
  </si>
  <si>
    <t>Uncharacterized protein n=1 Tax=Chrysochromulina ericina virus TaxID=455364 RepID=A0A0N9R3M7_CEV01</t>
  </si>
  <si>
    <t>11.09.P3-12.500-35_7</t>
  </si>
  <si>
    <t>Uncharacterized protein n=3 Tax=unclassified Prymnesiovirus TaxID=358403 RepID=R4TV54_9PHYC</t>
  </si>
  <si>
    <t>11.09.P3-12.500-35_8</t>
  </si>
  <si>
    <t>11.09.P3-12.500-35_9</t>
  </si>
  <si>
    <t>11.09.P3-12.654-16_10</t>
  </si>
  <si>
    <t>Nudix hydrolase domain-containing protein n=1 Tax=Only Syngen Nebraska virus 5 TaxID=1917232 RepID=A0A1J0F9L8_9PHYC</t>
  </si>
  <si>
    <t>11.09.P3-12.654-16_11</t>
  </si>
  <si>
    <t>LysM domain-containing protein n=1 Tax=Micromonas pusilla virus SP1 TaxID=373996 RepID=G9E642_MPSP1</t>
  </si>
  <si>
    <t>11.09.P3-12.654-16_13</t>
  </si>
  <si>
    <t>Uncharacterized protein C167L n=1 Tax=Paramecium bursaria Chlorella virus AR158 TaxID=380598 RepID=A7RAX1_PBCVA</t>
  </si>
  <si>
    <t>11.09.P3-12.654-16_16</t>
  </si>
  <si>
    <t>11.09.P3-12.654-16_20</t>
  </si>
  <si>
    <t>Glycosyl transferase n=3 Tax=unclassified Chlorovirus TaxID=346674 RepID=M1HYZ0_9PHYC</t>
  </si>
  <si>
    <t>11.09.P3-12.654-16_7</t>
  </si>
  <si>
    <t>Polysaccharide lyase n=1 Tax=Synechococcus sp. NP17 TaxID=2024885 RepID=A0A2E9J0F9_9SYNE</t>
  </si>
  <si>
    <t>11.09.P3-13.062-11_15</t>
  </si>
  <si>
    <t>11.09.P3-13.062-11_19</t>
  </si>
  <si>
    <t>11.09.P3-13.062-11_23</t>
  </si>
  <si>
    <t>11.09.P3-13.062-11_27</t>
  </si>
  <si>
    <t>11.09.P3-13.062-11_28</t>
  </si>
  <si>
    <t>DNA polymerase n=1 Tax=Bathycoccus sp. RCC716 virus 3 TaxID=2530040 RepID=A0A7S6NZ25_9PHYC</t>
  </si>
  <si>
    <t>11.09.P3-13.062-11_29</t>
  </si>
  <si>
    <t>11.09.P3-13.062-11_31</t>
  </si>
  <si>
    <t>11.09.P3-13.062-11_4</t>
  </si>
  <si>
    <t>sp|O05616|VANA_PSEUH Vanillate O-demethylase oxygenase subunit OS=Pseudomonas sp. (strain HR199 / DSM 7063) OX=86003 GN=vanA PE=3 SV=1</t>
  </si>
  <si>
    <t>11.09.P3-13.238-52_1</t>
  </si>
  <si>
    <t>11.09.P3-13.238-52_11</t>
  </si>
  <si>
    <t>11.09.P3-13.238-52_14</t>
  </si>
  <si>
    <t>11.09.P3-13.238-52_15</t>
  </si>
  <si>
    <t>11.09.P3-13.238-52_17</t>
  </si>
  <si>
    <t>sp|P48598|IF4E_DROME Eukaryotic translation initiation factor 4E1 OS=Drosophila melanogaster OX=7227 GN=eIF4E1 PE=1 SV=1</t>
  </si>
  <si>
    <t>11.09.P3-13.238-52_6</t>
  </si>
  <si>
    <t>11.09.P3-13.238-52_7</t>
  </si>
  <si>
    <t>11.09.P3-13.260-6.1_23</t>
  </si>
  <si>
    <t>Uncharacterized protein n=1 Tax=Bathymodiolus azoricus thioautotrophic gill symbiont TaxID=235205 RepID=A0A1H6K157_9GAMM</t>
  </si>
  <si>
    <t>11.09.P3-13.260-6.1_24</t>
  </si>
  <si>
    <t>11.09.P3-13.260-6.1_27</t>
  </si>
  <si>
    <t>11.09.P3-13.260-6.1_29</t>
  </si>
  <si>
    <t>11.09.P3-13.260-6.1_38</t>
  </si>
  <si>
    <t>11.09.P3-13.260-6.1_42</t>
  </si>
  <si>
    <t>11.09.P3-13.260-6.1_48</t>
  </si>
  <si>
    <t>11.09.P3-13.548-33_10</t>
  </si>
  <si>
    <t>11.09.P3-13.548-33_19</t>
  </si>
  <si>
    <t>COG1233 [FUNC="Phytoene dehydrogenase-related protein"] [shortName=] [TAG=Q TAGDEF="Secondary metabolites biosynthesis, transport and catabolism" PROCESS="METABOLISM"]  [PATHWAY=""] NAD(P)/FAD-dependent oxidoreductase [Verrucosispora maris]</t>
  </si>
  <si>
    <t>11.09.P3-13.548-33_23</t>
  </si>
  <si>
    <t>COG0666 [FUNC="Ankyrin repeat"] [shortName=ANKYR] [TAG=T TAGDEF="Signal transduction mechanisms" PROCESS="CELLULAR PROCESSES AND SIGNALING"]  [PATHWAY=""] ankyrin repeat domain-containing protein [Brevibacillus brevis]</t>
  </si>
  <si>
    <t>Ankyrin 2,3/unc44, putative n=1 Tax=Acanthamoeba castellanii str. Neff TaxID=1257118 RepID=L8HI15_ACACA</t>
  </si>
  <si>
    <t>11.09.P3-13.548-33_28</t>
  </si>
  <si>
    <t>11.09.P3-13.548-33_37</t>
  </si>
  <si>
    <t>11.09.P3-13.548-33_44</t>
  </si>
  <si>
    <t>11.09.P3-13.548-33_46</t>
  </si>
  <si>
    <t>11.09.P3-13.548-33_47</t>
  </si>
  <si>
    <t>11.09.P3-13.548-33_5</t>
  </si>
  <si>
    <t>11.09.P3-13.548-51_10</t>
  </si>
  <si>
    <t>Uncharacterized protein n=1 Tax=Mimiviridae sp. ChoanoV1 TaxID=2596887 RepID=A0A5B8HX59_9VIRU</t>
  </si>
  <si>
    <t>11.09.P3-13.548-51_14</t>
  </si>
  <si>
    <t>VOG08915 [FUNC="REFSEQ hypothetical protein"] [TAG=Xu TAGDEF="Function unknown"]</t>
  </si>
  <si>
    <t>Transmembrane protein n=1 Tax=Ogataea philodendri TaxID=1378263 RepID=A0A9P8T2N5_9ASCO</t>
  </si>
  <si>
    <t>11.09.P3-13.548-51_17</t>
  </si>
  <si>
    <t>sp|P41515|TOP2A_CRIGR DNA topoisomerase 2-alpha OS=Cricetulus griseus OX=10029 GN=TOP2A PE=2 SV=1</t>
  </si>
  <si>
    <t>DNA topoisomerase 2 n=1 Tax=Aphanomyces invadans TaxID=157072 RepID=A0A024UQ77_9STRA</t>
  </si>
  <si>
    <t>11.09.P3-13.548-51_20</t>
  </si>
  <si>
    <t>sp|Q5UQ09|YL193_MIMIV Uncharacterized glycosyltransferase L193 OS=Acanthamoeba polyphaga mimivirus OX=212035 GN=MIMI_L193 PE=3 SV=1</t>
  </si>
  <si>
    <t>COG0463 [FUNC="Glycosyltransferase involved in cell wall bisynthesis"] [shortName=WcaA] [TAG=M TAGDEF="Cell wall/membrane/envelope biogenesis" PROCESS="CELLULAR PROCESSES AND SIGNALING"]  [PATHWAY=""] glycosyltransferase family 2 protein [Hafnia alvei]</t>
  </si>
  <si>
    <t>Putative glycosyltransferase n=1 Tax=Chrysochromulina ericina virus TaxID=455364 RepID=A0A0N9R0I0_CEV01</t>
  </si>
  <si>
    <t>11.09.P3-13.548-51_27</t>
  </si>
  <si>
    <t>DNA-directed RNA polymerase subunit (Fragment) n=1 Tax=Acytostelium leptosomum TaxID=133408 RepID=A0A1L2FUP1_9MYCE</t>
  </si>
  <si>
    <t>11.09.P3-13.548-51_3</t>
  </si>
  <si>
    <t>Uncharacterized protein n=1 Tax=Wickerhamomyces pijperi TaxID=599730 RepID=A0A9P8TM19_WICPI</t>
  </si>
  <si>
    <t>11.09.P3-13.548-51_4</t>
  </si>
  <si>
    <t>11.09.P3-13.548-51_7</t>
  </si>
  <si>
    <t>COG0237 [FUNC="Dephospho-CoA kinase"] [shortName=CoaE] [TAG=H TAGDEF="Coenzyme transport and metabolism" PROCESS="METABOLISM"]  [PATHWAY="Pantothenate/CoA biosynthesis"] hypothetical protein [Curtobacterium pusillum]</t>
  </si>
  <si>
    <t>Dephospho-CoA kinase n=1 Tax=Mimivirus AB-566-O17 TaxID=1988039 RepID=A0A1X9VNV8_9VIRU</t>
  </si>
  <si>
    <t>11.09.P3-13.591-22_1</t>
  </si>
  <si>
    <t>VOG36278 [FUNC="REFSEQ hypothetical protein"] [TAG=Xu TAGDEF="Function unknown"]</t>
  </si>
  <si>
    <t>Uncharacterized protein n=1 Tax=Chrysochromulina ericina virus TaxID=455364 RepID=A0A0N9R002_CEV01</t>
  </si>
  <si>
    <t>11.09.P3-13.591-22_2</t>
  </si>
  <si>
    <t>VOG20487 [FUNC="REFSEQ hypothetical protein"] [TAG=Xu TAGDEF="Function unknown"]</t>
  </si>
  <si>
    <t>Uncharacterized protein n=1 Tax=Chrysochromulina ericina virus TaxID=455364 RepID=A0A0N9R3D1_CEV01</t>
  </si>
  <si>
    <t>11.09.P3-13.591-22_3</t>
  </si>
  <si>
    <t>11.09.P3-13.591-22_4</t>
  </si>
  <si>
    <t>VOG06181 [FUNC="REFSEQ hypothetical protein"] [TAG=Xu TAGDEF="Function unknown"]</t>
  </si>
  <si>
    <t>Uncharacterized protein n=1 Tax=Chrysochromulina ericina virus TaxID=455364 RepID=A0A0N9QWX3_CEV01</t>
  </si>
  <si>
    <t>11.09.P3-13.591-22_5</t>
  </si>
  <si>
    <t>sp|Q8K1E6|ALKB3_MOUSE Alpha-ketoglutarate-dependent dioxygenase alkB homolog 3 OS=Mus musculus OX=10090 GN=Alkbh3 PE=1 SV=1</t>
  </si>
  <si>
    <t>COG3145 [FUNC="Alkylated DNA repair dioxygenase AlkB"] [shortName=AlkB] [TAG=L TAGDEF="Replication, recombination and repair" PROCESS="INFORMATION STORAGE AND PROCESSING"]  [PATHWAY=""] alpha-ketoglutarate-dependent dioxygenase AlkB [Psychrobacter arcticus]</t>
  </si>
  <si>
    <t>Fe2OG dioxygenase domain-containing protein n=1 Tax=Mimiviridae sp. ChoanoV1 TaxID=2596887 RepID=A0A5B8IJ96_9VIRU</t>
  </si>
  <si>
    <t>11.09.P3-13.591-22_6</t>
  </si>
  <si>
    <t>Uncharacterized protein n=1 Tax=Yellowstone lake mimivirus TaxID=1586712 RepID=A0A0P0YM31_9VIRU</t>
  </si>
  <si>
    <t>11.09.P3-13.591-22_7</t>
  </si>
  <si>
    <t>sp|Q9N1T2|RPGR_CANLF X-linked retinitis pigmentosa GTPase regulator OS=Canis lupus familiaris OX=9615 GN=RPGR PE=2 SV=1</t>
  </si>
  <si>
    <t>COG5184 [FUNC="Alpha-tubulin suppressor ATS1 and related RCC1 domain-containing proteins"] [shortName=ATS1] [TAG=D TAGDEF="Cell cycle control, cell division, chromosome partitioning" PROCESS="CELLULAR PROCESSES AND SIGNALING"] [TAG=Z TAGDEF="Cytoskeleton" PROCESS="CELLULAR PROCESSES AND SIGNALING"]  [PATHWAY=""] hypothetical protein [Arachidicoccus sp. KIS59-12]</t>
  </si>
  <si>
    <t>VOG00069 [FUNC="sp|Q9FN03|UVR8_ARATH Ultraviolet-B receptor UVR8"] [TAG=Xh TAGDEF="Virus protein with function beneficial for the host"]</t>
  </si>
  <si>
    <t>RPGR regulator (Fragment) n=1 Tax=Rhinopomastus cyanomelas TaxID=113115 RepID=A0A7L1NNH7_RHICY</t>
  </si>
  <si>
    <t>11.09.P3-13.591-22_8</t>
  </si>
  <si>
    <t>sp|Q9PTP1|PCNA_DANRE Proliferating cell nuclear antigen OS=Danio rerio OX=7955 GN=pcna PE=1 SV=2</t>
  </si>
  <si>
    <t>Putative proliferating cell nuclear antigen n=1 Tax=Yellowstone lake mimivirus TaxID=1586712 RepID=A0A0N7KVR1_9VIRU</t>
  </si>
  <si>
    <t>11.09.P3-13.591-22_9</t>
  </si>
  <si>
    <t>VOG06117 [FUNC="REFSEQ hypothetical protein"] [TAG=Xu TAGDEF="Function unknown"]</t>
  </si>
  <si>
    <t>Uncharacterized protein n=1 Tax=Chrysochromulina ericina virus TaxID=455364 RepID=A0A0N7G7K1_CEV01</t>
  </si>
  <si>
    <t>11.09.P3-13.602-49_1</t>
  </si>
  <si>
    <t>11.09.P3-13.602-49_13</t>
  </si>
  <si>
    <t>sp|Q54J75|RPB2_DICDI DNA-directed RNA polymerase II subunit rpb2 OS=Dictyostelium discoideum OX=44689 GN=polr2b PE=3 SV=1</t>
  </si>
  <si>
    <t>DNA-directed RNA polymerase subunit beta n=4 Tax=Aphanomyces astaci TaxID=112090 RepID=W4GKI2_APHAT</t>
  </si>
  <si>
    <t>11.09.P3-13.602-49_16</t>
  </si>
  <si>
    <t>sp|P40383|XRN1_SCHPO 5'-3' exoribonuclease 1 OS=Schizosaccharomyces pombe (strain 972 / ATCC 24843) OX=284812 GN=exo2 PE=1 SV=1</t>
  </si>
  <si>
    <t>XRN family 5'-3' exonuclease n=3 Tax=unclassified Prymnesiovirus TaxID=358403 RepID=R4THG2_9PHYC</t>
  </si>
  <si>
    <t>11.09.P3-13.602-49_8</t>
  </si>
  <si>
    <t>VOG28689 [FUNC="REFSEQ hypothetical protein"] [TAG=Xu TAGDEF="Function unknown"]</t>
  </si>
  <si>
    <t>DUF5824 domain-containing protein n=1 Tax=Bathycoccus sp. RCC1105 virus BpV1 TaxID=880159 RepID=E5ES59_9PHYC</t>
  </si>
  <si>
    <t>11.09.P3-13.821-29_1</t>
  </si>
  <si>
    <t>VOG04195 [FUNC="REFSEQ putative Serine/Threonine Kinase"] [TAG=Xu TAGDEF="Function unknown"]</t>
  </si>
  <si>
    <t>Putative Serine/Threonine Kinase n=1 Tax=Chrysochromulina ericina virus TaxID=455364 RepID=A0A0N9QB01_CEV01</t>
  </si>
  <si>
    <t>11.09.P3-13.821-29_10</t>
  </si>
  <si>
    <t>sp|P38748|ETP1_YEAST RING finger protein ETP1 OS=Saccharomyces cerevisiae (strain ATCC 204508 / S288c) OX=559292 GN=ETP1 PE=1 SV=1</t>
  </si>
  <si>
    <t>RING-type domain-containing protein n=1 Tax=Sistotremastrum niveocremeum HHB9708 TaxID=1314777 RepID=A0A164RRS1_9AGAM</t>
  </si>
  <si>
    <t>11.09.P3-13.821-29_20</t>
  </si>
  <si>
    <t>sp|E2RA18|CLGN_CANLF Calmegin OS=Canis lupus familiaris OX=9615 GN=CLGN PE=1 SV=2</t>
  </si>
  <si>
    <t>Uncharacterized protein n=1 Tax=Mimivirus AB-566-O17 TaxID=1988039 RepID=A0A1X9VNP0_9VIRU</t>
  </si>
  <si>
    <t>11.09.P3-13.821-29_23</t>
  </si>
  <si>
    <t>sp|Q3SYT6|CLGN_BOVIN Calmegin OS=Bos taurus OX=9913 GN=CLGN PE=2 SV=1</t>
  </si>
  <si>
    <t>VOG04158 [FUNC="REFSEQ hypothetical protein"] [TAG=Xu TAGDEF="Function unknown"]</t>
  </si>
  <si>
    <t>11.09.P3-13.821-29_25</t>
  </si>
  <si>
    <t>COG0687 [FUNC="Spermidine/putrescine-binding periplasmic protein"] [shortName=PotD] [TAG=E TAGDEF="Amino acid transport and metabolism" PROCESS="METABOLISM"]  [PATHWAY=""] putrescine/spermidine ABC transporter substrate-binding protein [Shinella sp. HZN7]</t>
  </si>
  <si>
    <t>Uncharacterized protein n=1 Tax=Pithovirus LCPAC304 TaxID=2506594 RepID=A0A481Z8H5_9VIRU</t>
  </si>
  <si>
    <t>11.09.P3-13.821-29_26</t>
  </si>
  <si>
    <t>11.09.P3-13.875-38_20</t>
  </si>
  <si>
    <t>OTU domain-containing protein n=1 Tax=Chlorella vulgaris TaxID=3077 RepID=A0A9D4YY13_CHLVU</t>
  </si>
  <si>
    <t>11.09.P3-13.875-38_23</t>
  </si>
  <si>
    <t>sp|Q54F46|WARA_DICDI Homeobox protein Wariai OS=Dictyostelium discoideum OX=44689 GN=warA PE=2 SV=1</t>
  </si>
  <si>
    <t>COG0666 [FUNC="Ankyrin repeat"] [shortName=ANKYR] [TAG=T TAGDEF="Signal transduction mechanisms" PROCESS="CELLULAR PROCESSES AND SIGNALING"]  [PATHWAY=""] ankyrin domain protein [Persephonella marina]</t>
  </si>
  <si>
    <t>Uncharacterized protein n=1 Tax=Mucochytrium quahogii TaxID=96639 RepID=A0A7S2RSK9_9STRA</t>
  </si>
  <si>
    <t>11.09.P3-13.875-38_24</t>
  </si>
  <si>
    <t>Uncharacterized protein n=1 Tax=Dishui Lake phycodnavirus 2 TaxID=2704071 RepID=A0A6G6XP06_9PHYC</t>
  </si>
  <si>
    <t>11.09.P3-13.875-38_3</t>
  </si>
  <si>
    <t>Transmembrane protein n=1 Tax=Acanthocystis turfacea Chlorella virus Canal-1 TaxID=1278270 RepID=M1HV50_9PHYC</t>
  </si>
  <si>
    <t>11.09.P3-13.875-38_4</t>
  </si>
  <si>
    <t>Uncharacterized protein n=1 Tax=Paramecium bursaria Chlorella virus IL-5-2s1 TaxID=1278257 RepID=M1HVY2_9PHYC</t>
  </si>
  <si>
    <t>11.09.P3-13.875-38_6</t>
  </si>
  <si>
    <t>11.09.P3-13.875-38_8</t>
  </si>
  <si>
    <t>VOG34956 [FUNC="REFSEQ hypothetical protein"] [TAG=Xu TAGDEF="Function unknown"]</t>
  </si>
  <si>
    <t>Uncharacterized protein n=1 Tax=Only Syngen Nebraska virus 5 TaxID=1917232 RepID=A0A1J0F9R7_9PHYC</t>
  </si>
  <si>
    <t>11.09.P3-14.029-6.2_1</t>
  </si>
  <si>
    <t>11.09.P3-14.029-6.2_11</t>
  </si>
  <si>
    <t>11.09.P3-14.029-6.2_12</t>
  </si>
  <si>
    <t>11.09.P3-14.029-6.2_13</t>
  </si>
  <si>
    <t>11.09.P3-14.029-6.2_14</t>
  </si>
  <si>
    <t>11.09.P3-14.029-6.2_2</t>
  </si>
  <si>
    <t>11.09.P3-14.029-6.2_7</t>
  </si>
  <si>
    <t>Replication factor C small subunit n=1 Tax=Catovirus CTV1 TaxID=1977631 RepID=A0A1V0SBV5_9VIRU</t>
  </si>
  <si>
    <t>11.09.P3-14.514-5.7_18</t>
  </si>
  <si>
    <t>11.09.P3-14.514-5.7_21</t>
  </si>
  <si>
    <t>sp|P14243|MTC9_CITFR Type II methyltransferase M.Cfr9I OS=Citrobacter freundii OX=546 GN=cfr9IM PE=3 SV=2</t>
  </si>
  <si>
    <t>COG0863 [FUNC="DNA modification methylase"] [shortName=YhdJ] [TAG=L TAGDEF="Replication, recombination and repair" PROCESS="INFORMATION STORAGE AND PROCESSING"]  [PATHWAY=""] MULTISPECIES: site-specific DNA-methyltransferase [Clostridiales]</t>
  </si>
  <si>
    <t>11.09.P3-14.514-5.7_27</t>
  </si>
  <si>
    <t>11.09.P3-14.514-5.7_28</t>
  </si>
  <si>
    <t>Uncharacterized protein (Fragment) n=1 Tax=Strombidium rassoulzadegani TaxID=1082188 RepID=A0A7S3CU07_9SPIT</t>
  </si>
  <si>
    <t>11.09.P3-14.514-5.7_43</t>
  </si>
  <si>
    <t>11.09.P3-14.514-5.7_49</t>
  </si>
  <si>
    <t>COG0209 [FUNC="Ribonucleotide reductase alpha subunit"] [shortName=NrdA] [TAG=F TAGDEF="Nucleotide transport and metabolism" PROCESS="METABOLISM"]  [PATHWAY="Pyrimidine salvage"] ribonucleoside-diphosphate reductase subunit alpha [Solitalea canadensis]</t>
  </si>
  <si>
    <t>Ribonucleoside-diphosphate reductase n=1 Tax=Lishizhenia tianjinensis TaxID=477690 RepID=A0A1I7BDU8_9FLAO</t>
  </si>
  <si>
    <t>11.09.P3-14.514-5.7_5</t>
  </si>
  <si>
    <t>11.09.P3-14.514-5.7_56</t>
  </si>
  <si>
    <t>sp|P07201|RIR2_SPISO Ribonucleoside-diphosphate reductase small chain OS=Spisula solidissima OX=6584 PE=2 SV=2</t>
  </si>
  <si>
    <t>COG0208 [FUNC="Ribonucleotide reductase beta subunit, ferritin-like domain"] [shortName=NrdB] [TAG=F TAGDEF="Nucleotide transport and metabolism" PROCESS="METABOLISM"]  [PATHWAY="Pyrimidine salvage"] ribonucleoside-diphosphate reductase [Pedobacter heparinus]</t>
  </si>
  <si>
    <t>RIR2B reductase (Fragment) n=1 Tax=Podilymbus podiceps TaxID=9252 RepID=A0A7L0SPG8_PODPO</t>
  </si>
  <si>
    <t>11.09.P3-14.514-5.7_6</t>
  </si>
  <si>
    <t>11.09.P3-14.514-5.7_66</t>
  </si>
  <si>
    <t>11.09.P3-14.514-5.7_8</t>
  </si>
  <si>
    <t>11.09.P3-14.884-28_14</t>
  </si>
  <si>
    <t>11.09.P3-14.884-28_23</t>
  </si>
  <si>
    <t>11.09.P3-14.884-28_24</t>
  </si>
  <si>
    <t>COG3537 [FUNC="Putative alpha-1,2-mannosidase"] [shortName=] [TAG=G TAGDEF="Carbohydrate transport and metabolism" PROCESS="METABOLISM"]  [PATHWAY=""] hypothetical protein [Psychromicrobium lacuslunae]</t>
  </si>
  <si>
    <t>Putative pre-pepdidase, basic secretory protein n=1 Tax=Pseudoalteromonas luteoviolacea 2ta16 TaxID=1353533 RepID=V4J5W0_9GAMM</t>
  </si>
  <si>
    <t>11.09.P3-14.884-28_8</t>
  </si>
  <si>
    <t>11.09.P3-15.483-12_1</t>
  </si>
  <si>
    <t>11.09.P3-15.483-12_10</t>
  </si>
  <si>
    <t>11.09.P3-15.483-12_17</t>
  </si>
  <si>
    <t>11.09.P3-15.483-12_20</t>
  </si>
  <si>
    <t>11.09.P3-15.483-12_25</t>
  </si>
  <si>
    <t>11.09.P3-15.483-12_26</t>
  </si>
  <si>
    <t>11.09.P3-15.483-12_27</t>
  </si>
  <si>
    <t>11.09.P3-15.483-12_28</t>
  </si>
  <si>
    <t>Lipid hydrolase n=2 Tax=Chlorovirus TaxID=181083 RepID=M1HQN6_9PHYC</t>
  </si>
  <si>
    <t>11.09.P3-15.483-12_37</t>
  </si>
  <si>
    <t>11.09.P3-15.483-12_43</t>
  </si>
  <si>
    <t>11.09.P3-15.483-12_44</t>
  </si>
  <si>
    <t>11.09.P3-15.483-12_54</t>
  </si>
  <si>
    <t>11.09.P3-16.558-19_1</t>
  </si>
  <si>
    <t>11.09.P3-16.558-19_12</t>
  </si>
  <si>
    <t>11.09.P3-16.558-19_13</t>
  </si>
  <si>
    <t>11.09.P3-16.558-19_16</t>
  </si>
  <si>
    <t>11.09.P3-16.558-19_19</t>
  </si>
  <si>
    <t>Putative VV A32-like packaging ATPase n=1 Tax=Chrysochromulina ericina virus TaxID=455364 RepID=A0A0N9R3E8_CEV01</t>
  </si>
  <si>
    <t>11.09.P3-16.558-19_2</t>
  </si>
  <si>
    <t>Uncharacterized protein n=3 Tax=unclassified Prymnesiovirus TaxID=358403 RepID=R4TQ16_9PHYC</t>
  </si>
  <si>
    <t>11.09.P3-16.558-19_20</t>
  </si>
  <si>
    <t>Uncharacterized protein n=2 Tax=Vitrella brassicaformis TaxID=1169539 RepID=A0A0G4EB08_VITBC</t>
  </si>
  <si>
    <t>11.09.P3-16.558-19_5</t>
  </si>
  <si>
    <t>sp|Q54LU8|Y8646_DICDI Probable serine/threonine-protein kinase DDB_G0286465 OS=Dictyostelium discoideum OX=44689 GN=DDB_G0286465 PE=3 SV=1</t>
  </si>
  <si>
    <t>Phosphotransferase GIV83-like protein n=3 Tax=unclassified Prymnesiovirus TaxID=358403 RepID=R4TUM9_9PHYC</t>
  </si>
  <si>
    <t>11.09.P3-17.246-12_13</t>
  </si>
  <si>
    <t>Ribonucleoside-diphosphate reductase n=1 Tax=Darwinula stevensoni TaxID=69355 RepID=A0A7R8X4Z1_9CRUS</t>
  </si>
  <si>
    <t>11.09.P3-17.246-12_53</t>
  </si>
  <si>
    <t>11.09.P3-17.246-12_56</t>
  </si>
  <si>
    <t>sp|Q25662|ROPE_PLACH Repetitive organellar protein OS=Plasmodium chabaudi OX=5825 GN=ROPE PE=1 SV=1</t>
  </si>
  <si>
    <t>Uncharacterized protein n=1 Tax=Paramecium octaurelia TaxID=43137 RepID=A0A8S1SBD3_PAROT</t>
  </si>
  <si>
    <t>11.09.P3-17.246-12_58</t>
  </si>
  <si>
    <t>Uncharacterized protein z104R n=1 Tax=Acanthocystis turfacea chlorella virus 1 TaxID=322019 RepID=A7K864_9PHYC</t>
  </si>
  <si>
    <t>11.09.P3-17.246-12_59</t>
  </si>
  <si>
    <t>Uncharacterized protein n=1 Tax=Ogataea philodendri TaxID=1378263 RepID=A0A9P8T0C2_9ASCO</t>
  </si>
  <si>
    <t>11.09.P3-17.246-12_7</t>
  </si>
  <si>
    <t>11.09.P3-17.355-50_1</t>
  </si>
  <si>
    <t>VOG00116 [FUNC="sp|O10293|Y030_NPVOP Uncharacterized 52.7 kDa protein"] [TAG=Xu TAGDEF="Function unknown"]</t>
  </si>
  <si>
    <t>Uncharacterized protein n=1 Tax=Blyttiomyces helicus TaxID=388810 RepID=A0A4P9W1G6_9FUNG</t>
  </si>
  <si>
    <t>11.09.P3-17.355-50_10</t>
  </si>
  <si>
    <t>11.09.P3-17.355-50_15</t>
  </si>
  <si>
    <t>Uncharacterized protein n=1 Tax=Chrysochromulina ericina virus TaxID=455364 RepID=A0A0N9R0X1_CEV01</t>
  </si>
  <si>
    <t>11.09.P3-17.355-50_16</t>
  </si>
  <si>
    <t>11.09.P3-17.355-50_2</t>
  </si>
  <si>
    <t>VOG04255 [FUNC="REFSEQ cytidyltransferase"] [TAG=Xu TAGDEF="Function unknown"]</t>
  </si>
  <si>
    <t>Cytidylyltransferase n=1 Tax=Synechococcus phage S-RIM2 TaxID=687800 RepID=A0A1D7RFD8_9CAUD</t>
  </si>
  <si>
    <t>11.09.P3-17.355-50_3</t>
  </si>
  <si>
    <t>KOG1597 [FUNC="Transcription initiation factor TFIIB"] [shortName=] [TAG=K TAGDEF="Transcription" PROCESS="INFORMATION STORAGE AND PROCESSING"]  [PATHWAY=""]</t>
  </si>
  <si>
    <t>Transcription initiation factor TFIIIB n=1 Tax=Chrysochromulina ericina virus TaxID=455364 RepID=A0A0N9Q9D0_CEV01</t>
  </si>
  <si>
    <t>11.09.P3-17.355-50_4</t>
  </si>
  <si>
    <t>11.09.P3-17.355-50_5</t>
  </si>
  <si>
    <t>COG0209 [FUNC="Ribonucleotide reductase alpha subunit"] [shortName=NrdA] [TAG=F TAGDEF="Nucleotide transport and metabolism" PROCESS="METABOLISM"]  [PATHWAY="Pyrimidine salvage"] ribonucleoside-diphosphate reductase subunit alpha [Arachidicoccus sp. KIS59-12]</t>
  </si>
  <si>
    <t>Ribonucleoside-diphosphate reductase subunit alpha n=1 Tax=Fulvivirga sedimenti TaxID=2879465 RepID=A0A9X1HV37_9BACT</t>
  </si>
  <si>
    <t>11.09.P3-17.355-50_6</t>
  </si>
  <si>
    <t>Histidine kinase-, DNA gyrase B-, and HSP90-like ATPase n=1 Tax=Mimiviridae sp. ChoanoV1 TaxID=2596887 RepID=A0A5B8HWU9_9VIRU</t>
  </si>
  <si>
    <t>11.09.P3-17.355-50_8</t>
  </si>
  <si>
    <t>sp|P32839|BCS1_YEAST Mitochondrial chaperone BCS1 OS=Saccharomyces cerevisiae (strain ATCC 204508 / S288c) OX=559292 GN=BCS1 PE=1 SV=2</t>
  </si>
  <si>
    <t>KOG0743 [FUNC="AAA+-type ATPase"] [shortName=] [TAG=O TAGDEF="Posttranslational modification, protein turnover, chaperones" PROCESS="CELLULAR PROCESSES AND SIGNALING"]  [PATHWAY=""]</t>
  </si>
  <si>
    <t>VOG00548 [FUNC="REFSEQ AAA ATPase"] [TAG=Xu TAGDEF="Function unknown"]</t>
  </si>
  <si>
    <t>ATPase family protein n=1 Tax=Mimiviridae sp. ChoanoV1 TaxID=2596887 RepID=A0A5B8IQU9_9VIRU</t>
  </si>
  <si>
    <t>11.09.P3-17.440-26_10</t>
  </si>
  <si>
    <t>11.09.P3-17.440-26_13</t>
  </si>
  <si>
    <t>11.09.P3-17.440-26_23</t>
  </si>
  <si>
    <t>11.09.P3-17.440-26_24</t>
  </si>
  <si>
    <t>11.09.P3-17.440-26_25</t>
  </si>
  <si>
    <t>11.09.P3-17.440-26_28</t>
  </si>
  <si>
    <t>Major capsid protein VP54 n=1 Tax=Acanthocystis turfacea Chlorella virus NE-JV-2 TaxID=1278274 RepID=M1HBV0_9PHYC</t>
  </si>
  <si>
    <t>11.09.P3-17.440-26_3</t>
  </si>
  <si>
    <t>11.09.P3-17.440-26_31</t>
  </si>
  <si>
    <t>11.09.P3-17.440-26_33</t>
  </si>
  <si>
    <t>Restriction endonuclease n=2 Tax=Pseudanabaena sp. FACHB-1277 TaxID=1540896 RepID=A0A926USB1_9CYAN</t>
  </si>
  <si>
    <t>11.09.P3-17.440-26_38</t>
  </si>
  <si>
    <t>11.09.P3-17.808-45_11</t>
  </si>
  <si>
    <t>11.09.P3-17.808-45_14</t>
  </si>
  <si>
    <t>11.09.P3-17.808-45_15</t>
  </si>
  <si>
    <t>Uncharacterized protein n=1 Tax=Bathymodiolus azoricus thioautotrophic gill symbiont TaxID=235205 RepID=A0A1H6JXG4_9GAMM</t>
  </si>
  <si>
    <t>11.09.P3-17.808-45_16</t>
  </si>
  <si>
    <t>11.09.P3-17.808-45_17</t>
  </si>
  <si>
    <t>2OG-Fe(II) oxygenase n=1 Tax=Orpheovirus IHUMI-LCC2 TaxID=2023057 RepID=A0A2I2L521_9PHYC</t>
  </si>
  <si>
    <t>11.09.P3-17.808-45_18</t>
  </si>
  <si>
    <t>Surface protein n=1 Tax=Fibrobacter sp. UWB13 TaxID=1896204 RepID=A0A1X7K1W0_9BACT</t>
  </si>
  <si>
    <t>11.09.P3-17.808-45_19</t>
  </si>
  <si>
    <t>11.09.P3-17.808-45_20</t>
  </si>
  <si>
    <t>COG2931 [FUNC="Ca2+-binding protein, RTX toxin-related"] [shortName=] [TAG=Q TAGDEF="Secondary metabolites biosynthesis, transport and catabolism" PROCESS="METABOLISM"]  [PATHWAY=""] BspA family leucine-rich repeat surface protein [Bathymodiolus thermophilus thioautotrophic gill symbiont]</t>
  </si>
  <si>
    <t>11.09.P3-17.808-45_3</t>
  </si>
  <si>
    <t>sp|P23857|PSPE_ECOLI Thiosulfate sulfurtransferase PspE OS=Escherichia coli (strain K12) OX=83333 GN=pspE PE=1 SV=1</t>
  </si>
  <si>
    <t>COG0607 [FUNC="Rhodanese-related sulfurtransferase"] [shortName=PspE] [TAG=P TAGDEF="Inorganic ion transport and metabolism" PROCESS="METABOLISM"]  [PATHWAY="Urea cycle"] MBL fold hydrolase [Methanosarcina mazei]</t>
  </si>
  <si>
    <t>VOG10669 [FUNC="REFSEQ hypothetical protein"] [TAG=Xu TAGDEF="Function unknown"]</t>
  </si>
  <si>
    <t>Rhodanese domain-containing protein n=1 Tax=Micromonas sp. RCC1109 virus MpV1 TaxID=880161 RepID=E5EQQ4_9PHYC</t>
  </si>
  <si>
    <t>11.09.P3-17.808-45_5</t>
  </si>
  <si>
    <t>sp|Q9Y462|ZN711_HUMAN Zinc finger protein 711 OS=Homo sapiens OX=9606 GN=ZNF711 PE=1 SV=2</t>
  </si>
  <si>
    <t>C2H2-type domain-containing protein n=1 Tax=Chrysochromulina parva virus TaxID=2565304 RepID=A0A4Y6GRD5_9PHYC</t>
  </si>
  <si>
    <t>11.09.P3-17.808-45_6</t>
  </si>
  <si>
    <t>Uncharacterized protein n=1 Tax=Vannella robusta TaxID=1487602 RepID=A0A7S4MTE9_9EUKA</t>
  </si>
  <si>
    <t>11.09.P3-17.808-45_7</t>
  </si>
  <si>
    <t>11.09.P3-17.808-45_9</t>
  </si>
  <si>
    <t>sp|Q58834|Y1439_METJA Uncharacterized protein MJ1439 OS=Methanocaldococcus jannaschii (strain ATCC 43067 / DSM 2661 / JAL-1 / JCM 10045 / NBRC 100440) OX=243232 GN=MJ1439 PE=3 SV=1</t>
  </si>
  <si>
    <t>COG1525 [FUNC="Endonuclease YncB, thermonuclease family"] [shortName=YncB] [TAG=L TAGDEF="Replication, recombination and repair" PROCESS="INFORMATION STORAGE AND PROCESSING"]  [PATHWAY=""] nuclease [Bdellovibrio bacteriovorus]</t>
  </si>
  <si>
    <t>Nuclease-like protein n=1 Tax=Mimivirus LCMiAC01 TaxID=2506608 RepID=A0A481YZY1_9VIRU</t>
  </si>
  <si>
    <t>11.09.P3-18.040-27_10</t>
  </si>
  <si>
    <t>sp|P29749|MTT8_THET8 Type II methyltransferase M.TthHB8I OS=Thermus thermophilus (strain ATCC 27634 / DSM 579 / HB8) OX=300852 GN=tthHB8IM PE=3 SV=2</t>
  </si>
  <si>
    <t>COG4123 [FUNC="tRNA1(Val) A37 N6-methylase TrmN6"] [shortName=TrmN6] [TAG=J TAGDEF="Translation, ribosomal structure and biogenesis" PROCESS="INFORMATION STORAGE AND PROCESSING"]  [PATHWAY="tRNA modification"] modification methyltransferase [Lachnoclostridium phytofermentans]</t>
  </si>
  <si>
    <t>site-specific DNA-methyltransferase (adenine-specific) n=1 Tax=Chrysochromulina ericina virus TaxID=455364 RepID=A0A0N7G7Q0_CEV01</t>
  </si>
  <si>
    <t>11.09.P3-18.040-27_14</t>
  </si>
  <si>
    <t>VOG28200 [FUNC="REFSEQ hypothetical protein"] [TAG=Xu TAGDEF="Function unknown"]</t>
  </si>
  <si>
    <t>Uncharacterized protein n=3 Tax=unclassified Prymnesiovirus TaxID=358403 RepID=R4TVJ7_9PHYC</t>
  </si>
  <si>
    <t>11.09.P3-18.040-27_18</t>
  </si>
  <si>
    <t>VOG36942 [FUNC="sp|Q5UNY3|YL729_MIMIV Uncharacterized protein L729"] [TAG=Xu TAGDEF="Function unknown"]</t>
  </si>
  <si>
    <t>Uncharacterized protein n=1 Tax=Cafeteria roenbergensis virus (strain BV-PW1) TaxID=693272 RepID=E3T4P1_CROVB</t>
  </si>
  <si>
    <t>11.09.P3-18.040-27_20</t>
  </si>
  <si>
    <t>ATP-dependent RNA helicase n=1 Tax=Chrysochromulina parva virus TaxID=2565304 RepID=A0A4Y6GSC3_9PHYC</t>
  </si>
  <si>
    <t>11.09.P3-18.040-27_22</t>
  </si>
  <si>
    <t>COG0272 [FUNC="NAD-dependent DNA ligase"] [shortName=Lig] [TAG=L TAGDEF="Replication, recombination and repair" PROCESS="INFORMATION STORAGE AND PROCESSING"]  [PATHWAY=""] hypothetical protein [Bacteriovorax stolpii]</t>
  </si>
  <si>
    <t>DNA ligase n=1 Tax=Megavirus baoshan TaxID=2496520 RepID=A0A3S8UWR7_9VIRU</t>
  </si>
  <si>
    <t>11.09.P3-18.040-27_24</t>
  </si>
  <si>
    <t>VOG01086 [FUNC="sp|Q38423|GP30_BPSP1 Gene 30 protein"] [TAG=Xu TAGDEF="Function unknown"]</t>
  </si>
  <si>
    <t>DUF1599 domain-containing protein n=3 Tax=unclassified Prymnesiovirus TaxID=358403 RepID=R4TVJ1_9PHYC</t>
  </si>
  <si>
    <t>11.09.P3-18.159-46_12</t>
  </si>
  <si>
    <t>11.09.P3-18.159-46_18</t>
  </si>
  <si>
    <t>11.09.P3-18.159-46_20</t>
  </si>
  <si>
    <t>11.09.P3-18.159-46_25</t>
  </si>
  <si>
    <t>11.09.P3-18.159-46_27</t>
  </si>
  <si>
    <t>11.09.P3-18.159-46_30</t>
  </si>
  <si>
    <t>11.09.P3-18.159-46_31</t>
  </si>
  <si>
    <t>11.09.P3-18.159-46_33</t>
  </si>
  <si>
    <t>11.09.P3-18.159-46_34</t>
  </si>
  <si>
    <t>11.09.P3-18.159-46_42</t>
  </si>
  <si>
    <t>COG3537 [FUNC="Putative alpha-1,2-mannosidase"] [shortName=] [TAG=G TAGDEF="Carbohydrate transport and metabolism" PROCESS="METABOLISM"]  [PATHWAY=""] ATP-binding protein [Cellulosimicrobium cellulans]</t>
  </si>
  <si>
    <t>Plant Basic Secretory family protein n=1 Tax=Vibrio sp. HENC-03 TaxID=992012 RepID=K5UN84_9VIBR</t>
  </si>
  <si>
    <t>11.09.P3-18.159-46_59</t>
  </si>
  <si>
    <t>11.09.P3-18.159-46_66</t>
  </si>
  <si>
    <t>11.09.P3-18.159-46_68</t>
  </si>
  <si>
    <t>11.09.P3-18.159-46_8</t>
  </si>
  <si>
    <t>11.09.P3-18.299-22_1</t>
  </si>
  <si>
    <t>11.09.P3-18.299-22_11</t>
  </si>
  <si>
    <t>11.09.P3-18.299-22_14</t>
  </si>
  <si>
    <t>Uncharacterized protein z279R n=1 Tax=Acanthocystis turfacea chlorella virus 1 TaxID=322019 RepID=A7K8N9_9PHYC</t>
  </si>
  <si>
    <t>11.09.P3-18.299-22_17</t>
  </si>
  <si>
    <t>11.09.P3-18.299-22_25</t>
  </si>
  <si>
    <t>11.09.P3-18.299-22_27</t>
  </si>
  <si>
    <t>Uncharacterized protein N737L n=1 Tax=Paramecium bursaria Chlorella virus FR483 TaxID=399781 RepID=A7J891_PBCVF</t>
  </si>
  <si>
    <t>11.09.P3-18.299-22_31</t>
  </si>
  <si>
    <t>11.09.P3-18.299-22_38</t>
  </si>
  <si>
    <t>11.09.P3-18.299-22_39</t>
  </si>
  <si>
    <t>11.09.P3-18.299-22_40</t>
  </si>
  <si>
    <t>11.09.P3-18.299-22_46</t>
  </si>
  <si>
    <t>11.09.P3-18.299-22_50</t>
  </si>
  <si>
    <t>11.09.P3-18.299-22_51</t>
  </si>
  <si>
    <t>11.09.P3-18.299-22_53</t>
  </si>
  <si>
    <t>11.09.P3-18.513-53_19</t>
  </si>
  <si>
    <t>11.09.P3-18.513-53_21</t>
  </si>
  <si>
    <t>11.09.P3-18.513-53_26</t>
  </si>
  <si>
    <t>11.09.P3-18.513-53_39</t>
  </si>
  <si>
    <t>11.09.P3-18.513-53_41</t>
  </si>
  <si>
    <t>11.09.P3-18.513-53_5</t>
  </si>
  <si>
    <t>11.09.P3-19.151-16_1</t>
  </si>
  <si>
    <t>sp|Q9U8B8|DYR_HELVI Dihydrofolate reductase OS=Heliothis virescens OX=7102 GN=DHFR PE=1 SV=1</t>
  </si>
  <si>
    <t>COG0262 [FUNC="Dihydrofolate reductase"] [shortName=FolA] [TAG=H TAGDEF="Coenzyme transport and metabolism" PROCESS="METABOLISM"]  [PATHWAY="Folate biosynthesis"] dihydrofolate reductase [Bdellovibrio bacteriovorus]</t>
  </si>
  <si>
    <t>dihydrofolate reductase n=2 Tax=Rhodnius TaxID=13248 RepID=R4G4F4_RHOPR</t>
  </si>
  <si>
    <t>11.09.P3-19.151-16_15</t>
  </si>
  <si>
    <t>VOG12029 [FUNC="REFSEQ hypothetical protein"] [TAG=Xu TAGDEF="Function unknown"]</t>
  </si>
  <si>
    <t>Uncharacterized protein n=1 Tax=Chrysochromulina ericina virus TaxID=455364 RepID=A0A0N7G7N4_CEV01</t>
  </si>
  <si>
    <t>11.09.P3-19.151-16_18</t>
  </si>
  <si>
    <t>sp|Q7SXA9|MUS81_DANRE Crossover junction endonuclease MUS81 OS=Danio rerio OX=7955 GN=mus81 PE=1 SV=1</t>
  </si>
  <si>
    <t>KOG2379 [FUNC="Endonuclease MUS81"] [shortName=] [TAG=L TAGDEF="Replication, recombination and repair" PROCESS="INFORMATION STORAGE AND PROCESSING"]  [PATHWAY=""]</t>
  </si>
  <si>
    <t>VOG02160 [FUNC="sp|P0CAF6|VF364_ASFK5 ERCC4 domain-containing protein EP364R"] [TAG=Xh TAGDEF="Virus protein with function beneficial for the host"]</t>
  </si>
  <si>
    <t>ERCC4 domain-containing protein EP364R n=3 Tax=unclassified Prymnesiovirus TaxID=358403 RepID=R4TQV4_9PHYC</t>
  </si>
  <si>
    <t>11.09.P3-19.151-16_20</t>
  </si>
  <si>
    <t>sp|Q9XF61|PDI_DATGL Protein disulfide-isomerase OS=Datisca glomerata OX=34297 GN=PDI PE=2 SV=1</t>
  </si>
  <si>
    <t>Thioredoxin domain-containing protein 5 n=1 Tax=Lasius niger TaxID=67767 RepID=A0A0J7KY64_LASNI</t>
  </si>
  <si>
    <t>11.09.P3-19.151-16_22</t>
  </si>
  <si>
    <t>DNA polymerase n=1 Tax=Chrysochromulina ericina virus TaxID=455364 RepID=A0A0N9R419_CEV01</t>
  </si>
  <si>
    <t>11.09.P3-19.151-16_24</t>
  </si>
  <si>
    <t>11.09.P3-19.151-16_25</t>
  </si>
  <si>
    <t>sp|Q9ESM3|HPLN2_MOUSE Hyaluronan and proteoglycan link protein 2 OS=Mus musculus OX=10090 GN=Hapln2 PE=2 SV=1</t>
  </si>
  <si>
    <t>VOG04374 [FUNC="REFSEQ Link (Hyaluronan-binding) domain containing protein"] [TAG=Xu TAGDEF="Function unknown"]</t>
  </si>
  <si>
    <t>Link (Hyaluronan-binding) domain containing protein n=1 Tax=Chrysochromulina ericina virus TaxID=455364 RepID=A0A0N7G7N3_CEV01</t>
  </si>
  <si>
    <t>11.09.P3-19.151-16_27</t>
  </si>
  <si>
    <t>VOG06306 [FUNC="REFSEQ hypothetical protein"] [TAG=Xu TAGDEF="Function unknown"]</t>
  </si>
  <si>
    <t>Uncharacterized protein n=1 Tax=Chrysochromulina ericina virus TaxID=455364 RepID=A0A0N9R408_CEV01</t>
  </si>
  <si>
    <t>11.09.P3-19.151-16_28</t>
  </si>
  <si>
    <t>Uncharacterized protein n=1 Tax=Chrysochromulina ericina virus TaxID=455364 RepID=A0A0N9QYV4_CEV01</t>
  </si>
  <si>
    <t>11.09.P3-19.151-16_29</t>
  </si>
  <si>
    <t>Metal-dependent hydrolase n=3 Tax=unclassified Prymnesiovirus TaxID=358403 RepID=R4TWS9_9PHYC</t>
  </si>
  <si>
    <t>11.09.P3-19.151-16_4</t>
  </si>
  <si>
    <t>Phage protein n=3 Tax=unclassified Prymnesiovirus TaxID=358403 RepID=R4TWS3_9PHYC</t>
  </si>
  <si>
    <t>11.09.P3-19.151-16_7</t>
  </si>
  <si>
    <t>sp|Q8RXX9|ATL6_ARATH E3 ubiquitin-protein ligase ATL6 OS=Arabidopsis thaliana OX=3702 GN=ATL6 PE=1 SV=2</t>
  </si>
  <si>
    <t>VOG01387 [FUNC="sp|A0A7H0DMZ7|PG021_MONPV Host range factor p28"] [TAG=Xh TAGDEF="Virus protein with function beneficial for the host"]</t>
  </si>
  <si>
    <t>Uncharacterized protein n=1 Tax=Triparma retinervis TaxID=2557542 RepID=A0A9W7AVB0_9STRA</t>
  </si>
  <si>
    <t>11.09.P3-19.151-16_8</t>
  </si>
  <si>
    <t>sp|P08228|SODC_MOUSE Superoxide dismutase [Cu-Zn] OS=Mus musculus OX=10090 GN=Sod1 PE=1 SV=2</t>
  </si>
  <si>
    <t>KOG0441 [FUNC="Cu2+/Zn2+ superoxide dismutase SOD1"] [shortName=] [TAG=P TAGDEF="Inorganic ion transport and metabolism" PROCESS="METABOLISM"]  [PATHWAY=""]</t>
  </si>
  <si>
    <t>VOG10362 [FUNC="sp|P24705|SODC_NPVAC Putative superoxide dismutase [Cu-Zn]"] [TAG=Xh TAGDEF="Virus protein with function beneficial for the host"]</t>
  </si>
  <si>
    <t>Superoxide dismutase copper/zinc binding domain-containing protein n=1 Tax=Mimiviridae sp. ChoanoV1 TaxID=2596887 RepID=A0A5B8IQY9_9VIRU</t>
  </si>
  <si>
    <t>11.09.P3-2.401-2.0_1</t>
  </si>
  <si>
    <t>11.09.P3-2.418-3.9_2</t>
  </si>
  <si>
    <t>11.09.P3-2.418-3.9_3</t>
  </si>
  <si>
    <t>11.09.P3-2.458-3.9_6</t>
  </si>
  <si>
    <t>VOG02066 [FUNC="REFSEQ RING-finger domain-containing protein"] [TAG=Xu TAGDEF="Function unknown"]</t>
  </si>
  <si>
    <t>11.09.P3-2.458-3.9_7</t>
  </si>
  <si>
    <t>11.09.P3-2.480-43_1</t>
  </si>
  <si>
    <t>Peptidase S74 domain-containing protein n=2 Tax=Paramecium bursaria Chlorella virus 1 TaxID=10506 RepID=Q98587_PBCV1</t>
  </si>
  <si>
    <t>11.09.P3-2.494-49_3</t>
  </si>
  <si>
    <t>Putative mRNA-capping enzyme n=1 Tax=Pyramimonas orientalis virus TaxID=455367 RepID=A0A7M4CER6_POV01</t>
  </si>
  <si>
    <t>11.09.P3-2.517-44_1</t>
  </si>
  <si>
    <t>DNA-directed RNA polymerase n=3 Tax=unclassified Prymnesiovirus TaxID=358403 RepID=R4TQG3_9PHYC</t>
  </si>
  <si>
    <t>11.09.P3-2.517-44_2</t>
  </si>
  <si>
    <t>11.09.P3-2.518-57_2</t>
  </si>
  <si>
    <t>Cyclin-like domain-containing protein n=1 Tax=Pyramimonas orientalis virus TaxID=455367 RepID=A0A7M3UNU7_POV01</t>
  </si>
  <si>
    <t>11.09.P3-2.562-2.4_1</t>
  </si>
  <si>
    <t>sp|Q9LUZ9|ATL63_ARATH RING-H2 finger protein ATL63 OS=Arabidopsis thaliana OX=3702 GN=ATL63 PE=2 SV=1</t>
  </si>
  <si>
    <t>VOG00318 [FUNC="sp|Q641J8|RF12A_XENLA E3 ubiquitin-protein ligase RNF12-A"] [TAG=Xh TAGDEF="Virus protein with function beneficial for the host"]</t>
  </si>
  <si>
    <t>Uncharacterized protein LOC106069007 n=1 Tax=Biomphalaria glabrata TaxID=6526 RepID=A0A9W3BP79_BIOGL</t>
  </si>
  <si>
    <t>11.09.P3-2.562-2.4_2</t>
  </si>
  <si>
    <t>Uncharacterized protein n=1 Tax=Klosneuvirus KNV1 TaxID=1977640 RepID=A0A1V0SKI2_9VIRU</t>
  </si>
  <si>
    <t>11.09.P3-2.567-2.4_1</t>
  </si>
  <si>
    <t>11.09.P3-2.587-2.5_6</t>
  </si>
  <si>
    <t>Exonuclease domain-containing protein n=1 Tax=Dishui Lake phycodnavirus 4 TaxID=2704072 RepID=A0A6G6XP34_9PHYC</t>
  </si>
  <si>
    <t>11.09.P3-2.599-56_3</t>
  </si>
  <si>
    <t>11.09.P3-2.613-9.6_2</t>
  </si>
  <si>
    <t>VOG02090 [FUNC="REFSEQ hypothetical protein"] [TAG=Xu TAGDEF="Function unknown"]</t>
  </si>
  <si>
    <t>AAA family ATPase n=1 Tax=Okeania sp. SIO3H1 TaxID=2607810 RepID=A0A6P0HR92_9CYAN</t>
  </si>
  <si>
    <t>11.09.P3-2.613-9.6_3</t>
  </si>
  <si>
    <t>YprB ribonuclease H-like domain-containing protein n=1 Tax=Indivirus ILV1 TaxID=1977633 RepID=A0A1V0SD89_9VIRU</t>
  </si>
  <si>
    <t>11.09.P3-2.625-6.1_2</t>
  </si>
  <si>
    <t>Helicase n=1 Tax=Acanthocystis turfacea Chlorella virus Can0610SP TaxID=1278269 RepID=M1HIE7_9PHYC</t>
  </si>
  <si>
    <t>11.09.P3-2.633-2.4_1</t>
  </si>
  <si>
    <t>sp|O95455|TGDS_HUMAN dTDP-D-glucose 4,6-dehydratase OS=Homo sapiens OX=9606 GN=TGDS PE=1 SV=1</t>
  </si>
  <si>
    <t>GDP-mannose 4,6 dehydratase n=1 Tax=Mimiviridae sp. ChoanoV1 TaxID=2596887 RepID=A0A5B8IHX4_9VIRU</t>
  </si>
  <si>
    <t>11.09.P3-2.633-2.4_2</t>
  </si>
  <si>
    <t>COG0438 [FUNC="Glycosyltransferase involved in cell wall bisynthesis"] [shortName=RfaB] [TAG=M TAGDEF="Cell wall/membrane/envelope biogenesis" PROCESS="CELLULAR PROCESSES AND SIGNALING"]  [PATHWAY=""] glycosyl transferase family 1 [Methylobacterium nodulans]</t>
  </si>
  <si>
    <t>Multiple glycosyltransferase domain containing protein n=1 Tax=Chrysochromulina ericina virus TaxID=455364 RepID=A0A0N9QZQ5_CEV01</t>
  </si>
  <si>
    <t>11.09.P3-2.678-3.7_4</t>
  </si>
  <si>
    <t>11.09.P3-2.678-3.7_7</t>
  </si>
  <si>
    <t>COG0515 [FUNC="Serine/threonine protein kinase"] [shortName=SPS1] [TAG=T TAGDEF="Signal transduction mechanisms" PROCESS="CELLULAR PROCESSES AND SIGNALING"]  [PATHWAY=""] serine/threonine protein kinase [Marivirga tractuosa]</t>
  </si>
  <si>
    <t>Protein kinase domain-containing protein n=1 Tax=Caenorhabditis auriculariae TaxID=2777116 RepID=A0A8S1GUF8_9PELO</t>
  </si>
  <si>
    <t>11.09.P3-2.694-8.8_1</t>
  </si>
  <si>
    <t>11.09.P3-2.706-11_1</t>
  </si>
  <si>
    <t>11.09.P3-2.713-17_3</t>
  </si>
  <si>
    <t>11.09.P3-2.754-3.7_2</t>
  </si>
  <si>
    <t>VOG00053 [FUNC="REFSEQ HNH endonuclease"] [TAG=Xu TAGDEF="Function unknown"]</t>
  </si>
  <si>
    <t>Putative HNH endonuclease n=1 Tax=Klosneuvirus KNV1 TaxID=1977640 RepID=A0A1V0SL38_9VIRU</t>
  </si>
  <si>
    <t>11.09.P3-2.754-3.7_3</t>
  </si>
  <si>
    <t>VOG03744 [FUNC="REFSEQ hypothetical protein"] [TAG=Xu TAGDEF="Function unknown"]</t>
  </si>
  <si>
    <t>Uncharacterized protein n=1 Tax=Orpheovirus IHUMI-LCC2 TaxID=2023057 RepID=A0A2I2L3W6_9PHYC</t>
  </si>
  <si>
    <t>11.09.P3-2.785-3.5_3</t>
  </si>
  <si>
    <t>Transmembrane protein n=1 Tax=Brazilian marseillevirus TaxID=1813599 RepID=A0A142CKC2_9VIRU</t>
  </si>
  <si>
    <t>11.09.P3-2.791-60_3</t>
  </si>
  <si>
    <t>11.09.P3-2.791-60_5</t>
  </si>
  <si>
    <t>WLM domain-containing protein n=1 Tax=Dishui Lake large algae virus 1 TaxID=2704073 RepID=A0A6G6XPP5_9VIRU</t>
  </si>
  <si>
    <t>11.09.P3-2.806-6.3_1</t>
  </si>
  <si>
    <t>11.09.P3-2.806-6.3_2</t>
  </si>
  <si>
    <t>sp|Q90023|SODC_PBCV1 Superoxide dismutase [Cu-Zn] OS=Paramecium bursaria Chlorella virus 1 OX=10506 GN=A245R PE=3 SV=1</t>
  </si>
  <si>
    <t>Superoxide dismutase [Cu-Zn] n=1 Tax=Hondaea fermentalgiana TaxID=2315210 RepID=A0A2R5GB85_9STRA</t>
  </si>
  <si>
    <t>11.09.P3-2.806-6.3_3</t>
  </si>
  <si>
    <t>sp|P17744|MTHC_HAEIF Type II methyltransferase M.HincII OS=Haemophilus influenzae OX=727 GN=hincIIM PE=3 SV=1</t>
  </si>
  <si>
    <t>11.09.P3-2.916-45_2</t>
  </si>
  <si>
    <t>sp|Q5UPF8|YL088_MIMIV Putative ankyrin repeat protein L88 OS=Acanthamoeba polyphaga mimivirus OX=212035 GN=MIMI_L88 PE=4 SV=1</t>
  </si>
  <si>
    <t>COG0666 [FUNC="Ankyrin repeat"] [shortName=ANKYR] [TAG=T TAGDEF="Signal transduction mechanisms" PROCESS="CELLULAR PROCESSES AND SIGNALING"]  [PATHWAY=""] ankyrin repeat domain-containing protein [Candidatus Dependentiae bacterium (ex Spumella elongata CCAP 955/1)]</t>
  </si>
  <si>
    <t>Ankyrin repeat protein n=1 Tax=Mimivirus LCMiAC02 TaxID=2506609 RepID=A0A481Z140_9VIRU</t>
  </si>
  <si>
    <t>11.09.P3-2.977-3.7_10</t>
  </si>
  <si>
    <t>Helicase n=1 Tax=Ostreococcus lucimarinus virus OlV5 TaxID=754064 RepID=M4QQR7_9PHYC</t>
  </si>
  <si>
    <t>11.09.P3-2.981-3.3_1</t>
  </si>
  <si>
    <t>Ankyrin repeat domain containing protein n=1 Tax=Pandoravirus quercus TaxID=2107709 RepID=A0A2U7UA84_9VIRU</t>
  </si>
  <si>
    <t>11.09.P3-2.981-3.3_3</t>
  </si>
  <si>
    <t>YqaJ viral recombinase domain-containing protein (Fragment) n=1 Tax=Amorphochlora amoebiformis TaxID=1561963 RepID=A0A7S0DFS3_9EUKA</t>
  </si>
  <si>
    <t>11.09.P3-21.205-43_1</t>
  </si>
  <si>
    <t>COG1051 [FUNC="ADP-ribose pyrophosphatase YjhB, NUDIX family"] [shortName=YjhB] [TAG=F TAGDEF="Nucleotide transport and metabolism" PROCESS="METABOLISM"]  [PATHWAY=""] NUDIX hydrolase [Belliella baltica]</t>
  </si>
  <si>
    <t>11.09.P3-21.205-43_10</t>
  </si>
  <si>
    <t>VOG27191 [FUNC="sp|Q5UQU5|YL360_MIMIV Uncharacterized protein L360"] [TAG=Xu TAGDEF="Function unknown"]</t>
  </si>
  <si>
    <t>Uncharacterized protein n=1 Tax=Catovirus CTV1 TaxID=1977631 RepID=A0A1V0SC13_9VIRU</t>
  </si>
  <si>
    <t>11.09.P3-21.205-43_12</t>
  </si>
  <si>
    <t>COG0249 [FUNC="DNA mismatch repair ATPase MutS"] [shortName=MutS] [TAG=L TAGDEF="Replication, recombination and repair" PROCESS="INFORMATION STORAGE AND PROCESSING"]  [PATHWAY=""] DNA mismatch repair protein MutS [Nautilia profundicola]</t>
  </si>
  <si>
    <t>DNA mismatch repair ATPase MutS n=1 Tax=Indivirus ILV1 TaxID=1977633 RepID=A0A1V0SDQ0_9VIRU</t>
  </si>
  <si>
    <t>11.09.P3-21.205-43_13</t>
  </si>
  <si>
    <t>VOG21019 [FUNC="REFSEQ hypothetical protein"] [TAG=Xu TAGDEF="Function unknown"]</t>
  </si>
  <si>
    <t>Uncharacterized protein n=1 Tax=Klosneuvirus KNV1 TaxID=1977640 RepID=A0A1V0SJ76_9VIRU</t>
  </si>
  <si>
    <t>11.09.P3-21.205-43_14</t>
  </si>
  <si>
    <t>sp|P20459|IF2A_YEAST Eukaryotic translation initiation factor 2 subunit alpha OS=Saccharomyces cerevisiae (strain ATCC 204508 / S288c) OX=559292 GN=SUI2 PE=1 SV=1</t>
  </si>
  <si>
    <t>KOG2916 [FUNC="Translation initiation factor 2, alpha subunit (eIF-2alpha)"] [shortName=] [TAG=J TAGDEF="Translation, ribosomal structure and biogenesis" PROCESS="INFORMATION STORAGE AND PROCESSING"]  [PATHWAY=""]</t>
  </si>
  <si>
    <t>VOG01359 [FUNC="sp|P18378|PG041_VACCW Protein K3"] [TAG=Xp TAGDEF="Virus protein with function beneficial for the virus"]</t>
  </si>
  <si>
    <t>Translation initiation factor 2 subunit 1 n=1 Tax=Kwoniella bestiolae CBS 10118 TaxID=1296100 RepID=A0A1B9G3Q2_9TREE</t>
  </si>
  <si>
    <t>11.09.P3-21.205-43_18</t>
  </si>
  <si>
    <t>sp|Q5UR20|YR366_MIMIV Putative ATP-dependent RNA helicase R366 OS=Acanthamoeba polyphaga mimivirus OX=212035 GN=MIMI_R366 PE=3 SV=1</t>
  </si>
  <si>
    <t>COG1643 [FUNC="HrpA-like RNA helicase"] [shortName=HrpA] [TAG=J TAGDEF="Translation, ribosomal structure and biogenesis" PROCESS="INFORMATION STORAGE AND PROCESSING"]  [PATHWAY=""] ATP-dependent RNA helicase HrpA [Desulfatibacillum alkenivorans]</t>
  </si>
  <si>
    <t>DEAD/DEAH box helicase n=1 Tax=Mimivirus LCMiAC02 TaxID=2506609 RepID=A0A481Z1Z3_9VIRU</t>
  </si>
  <si>
    <t>11.09.P3-21.205-43_19</t>
  </si>
  <si>
    <t>Uncharacterized protein n=1 Tax=Indivirus ILV1 TaxID=1977633 RepID=A0A1V0SDM4_9VIRU</t>
  </si>
  <si>
    <t>11.09.P3-21.205-43_2</t>
  </si>
  <si>
    <t>sp|Q5UQV3|YL371_MIMIV Putative ankyrin repeat protein L371 OS=Acanthamoeba polyphaga mimivirus OX=212035 GN=MIMI_L371 PE=4 SV=1</t>
  </si>
  <si>
    <t>Ankyrin repeat protein n=1 Tax=Mimivirus LCMiAC02 TaxID=2506609 RepID=A0A481Z1T1_9VIRU</t>
  </si>
  <si>
    <t>11.09.P3-21.205-43_20</t>
  </si>
  <si>
    <t>Sulfhydryl oxidase n=1 Tax=Klosneuvirus KNV1 TaxID=1977640 RepID=A0A1V0SJ57_9VIRU</t>
  </si>
  <si>
    <t>11.09.P3-21.205-43_5</t>
  </si>
  <si>
    <t>sp|Q5FFL8|GPMI_EHRRG 2,3-bisphosphoglycerate-independent phosphoglycerate mutase OS=Ehrlichia ruminantium (strain Gardel) OX=302409 GN=gpmI PE=3 SV=1</t>
  </si>
  <si>
    <t>COG1524 [FUNC="c-di-AMP phosphodiesterase AtaC or nucleotide pyrophosphatase, AlkP superfamily"] [shortName=AtaC] [TAG=T TAGDEF="Signal transduction mechanisms" PROCESS="CELLULAR PROCESSES AND SIGNALING"]  [PATHWAY=""] hypothetical protein [Pimelobacter simplex]</t>
  </si>
  <si>
    <t>Alkaline phosphatase family protein n=1 Tax=Nocardioides iriomotensis TaxID=715784 RepID=A0A4Q5JAB5_9ACTN</t>
  </si>
  <si>
    <t>11.09.P3-21.205-43_6</t>
  </si>
  <si>
    <t>DnaJ-like subfamily C member 3 n=1 Tax=Yasminevirus sp. GU-2018 TaxID=2420051 RepID=A0A5K0UBJ7_9VIRU</t>
  </si>
  <si>
    <t>11.09.P3-21.205-43_8</t>
  </si>
  <si>
    <t>sp|Q5UR22|YL364_MIMIV Putative ATP-dependent RNA helicase L364 OS=Acanthamoeba polyphaga mimivirus OX=212035 GN=MIMI_L364 PE=3 SV=1</t>
  </si>
  <si>
    <t>COG1372 [FUNC="Intein/homing endonuclease"] [shortName=Hop] [TAG=L TAGDEF="Replication, recombination and repair" PROCESS="INFORMATION STORAGE AND PROCESSING"] [TAG=X TAGDEF="Mobilome: prophages, transposons" PROCESS=""]  [PATHWAY=""] hypothetical protein [Rivularia sp. PCC 7116]</t>
  </si>
  <si>
    <t>DEAD/SNF2-like helicase n=1 Tax=Fadolivirus 1 TaxID=2740746 RepID=A0A7D3V7E1_9VIRU</t>
  </si>
  <si>
    <t>11.09.P3-21.205-43_9</t>
  </si>
  <si>
    <t>sp|Q5UR23|YL361_MIMIV Uncharacterized protein L361 OS=Acanthamoeba polyphaga mimivirus OX=212035 GN=MIMI_L361 PE=4 SV=1</t>
  </si>
  <si>
    <t>VOG25099 [FUNC="sp|Q5UR23|YL361_MIMIV Uncharacterized protein L361"] [TAG=Xu TAGDEF="Function unknown"]</t>
  </si>
  <si>
    <t>Uncharacterized protein n=1 Tax=Mimivirus LCMiAC02 TaxID=2506609 RepID=A0A481Z0S7_9VIRU</t>
  </si>
  <si>
    <t>11.09.P3-21.756-22_12</t>
  </si>
  <si>
    <t>11.09.P3-21.756-22_13</t>
  </si>
  <si>
    <t>VOG07429 [FUNC="REFSEQ hypothetical protein"] [TAG=Xu TAGDEF="Function unknown"]</t>
  </si>
  <si>
    <t>Uncharacterized protein n=1 Tax=Chrysochromulina ericina virus TaxID=455364 RepID=A0A0N9QXS4_CEV01</t>
  </si>
  <si>
    <t>11.09.P3-21.756-22_14</t>
  </si>
  <si>
    <t>sp|Q5UQB5|TOP1P_MIMIV DNA topoisomerase 1 type prokaryotic OS=Acanthamoeba polyphaga mimivirus OX=212035 GN=TOP1P PE=1 SV=1</t>
  </si>
  <si>
    <t>COG1754 [FUNC="Uncharacterized C-terminal domain of topoisomerase IA"] [shortName=] [TAG=S TAGDEF="Function unknown" PROCESS="POORLY CHARACTERIZED"]  [PATHWAY=""] type I DNA topoisomerase [Ichthyobacterium seriolicida]</t>
  </si>
  <si>
    <t>VOG17765 [FUNC="sp|Q5UQB5|TOP1P_MIMIV DNA topoisomerase 1 type prokaryotic"] [TAG=Xh TAGDEF="Virus protein with function beneficial for the host"]</t>
  </si>
  <si>
    <t>DNA topoisomerase n=1 Tax=Chrysochromulina ericina virus TaxID=455364 RepID=A0A0N9R437_CEV01</t>
  </si>
  <si>
    <t>11.09.P3-21.756-22_18</t>
  </si>
  <si>
    <t>VOG20823 [FUNC="REFSEQ hypothetical protein"] [TAG=Xu TAGDEF="Function unknown"]</t>
  </si>
  <si>
    <t>Uncharacterized protein n=1 Tax=Chrysochromulina ericina virus TaxID=455364 RepID=A0A0N9QXQ0_CEV01</t>
  </si>
  <si>
    <t>11.09.P3-21.756-22_19</t>
  </si>
  <si>
    <t>Membrane transport protein MMPL domain-containing protein n=1 Tax=Chrysochromulina ericina virus TaxID=455364 RepID=A0A0N9QAT7_CEV01</t>
  </si>
  <si>
    <t>11.09.P3-21.756-22_20</t>
  </si>
  <si>
    <t>Uncharacterized protein n=1 Tax=Chrysochromulina ericina virus TaxID=455364 RepID=A0A0N9R3U4_CEV01</t>
  </si>
  <si>
    <t>11.09.P3-21.756-22_22</t>
  </si>
  <si>
    <t>sp|Q8SSC4|RPB1_ENCCU DNA-directed RNA polymerase II subunit RPB1 OS=Encephalitozoon cuniculi (strain GB-M1) OX=284813 GN=RPB1 PE=3 SV=1</t>
  </si>
  <si>
    <t>DNA-directed RNA polymerase subunit n=1 Tax=Macrostomum lignano TaxID=282301 RepID=A0A267ERY6_9PLAT</t>
  </si>
  <si>
    <t>11.09.P3-21.756-22_25</t>
  </si>
  <si>
    <t>11.09.P3-21.756-22_26</t>
  </si>
  <si>
    <t>11.09.P3-21.756-22_27</t>
  </si>
  <si>
    <t>11.09.P3-21.756-22_4</t>
  </si>
  <si>
    <t>11.09.P3-21.756-22_5</t>
  </si>
  <si>
    <t>11.09.P3-21.756-22_6</t>
  </si>
  <si>
    <t>11.09.P3-21.756-22_8</t>
  </si>
  <si>
    <t>11.09.P3-21.813-41_10</t>
  </si>
  <si>
    <t>11.09.P3-21.813-41_12</t>
  </si>
  <si>
    <t>sp|Q9P975|IF4E_CANAL Eukaryotic translation initiation factor 4E OS=Candida albicans (strain SC5314 / ATCC MYA-2876) OX=237561 GN=TIF45 PE=3 SV=1</t>
  </si>
  <si>
    <t>11.09.P3-21.813-41_15</t>
  </si>
  <si>
    <t>VOG37583 [FUNC="REFSEQ hypothetical protein"] [TAG=Xu TAGDEF="Function unknown"]</t>
  </si>
  <si>
    <t>Transmembrane protein n=1 Tax=Yellowstone lake mimivirus TaxID=1586712 RepID=A0A0P0YLX0_9VIRU</t>
  </si>
  <si>
    <t>11.09.P3-21.813-41_16</t>
  </si>
  <si>
    <t>sp|A6UWR5|RFCL_META3 Replication factor C large subunit OS=Methanococcus aeolicus (strain ATCC BAA-1280 / DSM 17508 / OCM 812 / Nankai-3) OX=419665 GN=rfcL PE=3 SV=1</t>
  </si>
  <si>
    <t>KOG1968 [FUNC="Replication factor C, subunit RFC1 (large subunit)"] [shortName=] [TAG=L TAGDEF="Replication, recombination and repair" PROCESS="INFORMATION STORAGE AND PROCESSING"]  [PATHWAY=""]</t>
  </si>
  <si>
    <t>Putative replication factor C large subunit n=1 Tax=Yellowstone lake mimivirus TaxID=1586712 RepID=A0A0P0YLW9_9VIRU</t>
  </si>
  <si>
    <t>11.09.P3-21.813-41_17</t>
  </si>
  <si>
    <t>Lipoprotein with conserved repeat domains n=1 Tax=Psychroflexus torquis (strain ATCC 700755 / ACAM 623) TaxID=313595 RepID=K4IBL5_PSYTT</t>
  </si>
  <si>
    <t>11.09.P3-21.813-41_18</t>
  </si>
  <si>
    <t>sp|B6ERC3|GUAC_ALISL GMP reductase OS=Aliivibrio salmonicida (strain LFI1238) OX=316275 GN=guaC PE=3 SV=1</t>
  </si>
  <si>
    <t>COG0516 [FUNC="IMP dehydrogenase/GMP reductase"] [shortName=GuaB] [TAG=F TAGDEF="Nucleotide transport and metabolism" PROCESS="METABOLISM"]  [PATHWAY="Purine biosynthesis"] GMP reductase [Chryseobacterium indologenes]</t>
  </si>
  <si>
    <t>VOG28225 [FUNC="sp|Q9NJD8|GMPR_ONCVO GMP reductase"] [TAG=Xh TAGDEF="Virus protein with function beneficial for the host"]</t>
  </si>
  <si>
    <t>GMP reductase n=1 Tax=Kaistella daneshvariae TaxID=2487074 RepID=A0A3N0WSC2_9FLAO</t>
  </si>
  <si>
    <t>11.09.P3-21.813-41_19</t>
  </si>
  <si>
    <t>VOG36619 [FUNC="REFSEQ hypothetical protein"] [TAG=Xu TAGDEF="Function unknown"]</t>
  </si>
  <si>
    <t>PI-PLC Y-box domain-containing protein n=1 Tax=Yellowstone lake mimivirus TaxID=1586712 RepID=A0A0P0YMP5_9VIRU</t>
  </si>
  <si>
    <t>11.09.P3-21.813-41_20</t>
  </si>
  <si>
    <t>sp|Q65159|PAP1_ASFB7 Putative poly(A) polymerase catalytic subunit OS=African swine fever virus (strain Badajoz 1971 Vero-adapted) OX=10498 GN=Ba71V-067 PE=2 SV=1</t>
  </si>
  <si>
    <t>Putative poly(A) polymerase catalytic subunit n=3 Tax=unclassified Prymnesiovirus TaxID=358403 RepID=R4TUN7_9PHYC</t>
  </si>
  <si>
    <t>11.09.P3-21.813-41_21</t>
  </si>
  <si>
    <t>11.09.P3-21.813-41_3</t>
  </si>
  <si>
    <t>Putative major capsid protein MCP2 n=1 Tax=Yellowstone lake mimivirus TaxID=1586712 RepID=A0A0N7KVQ8_9VIRU</t>
  </si>
  <si>
    <t>11.09.P3-21.813-41_5</t>
  </si>
  <si>
    <t>Glycotransferase domain-containing protein n=3 Tax=unclassified Prymnesiovirus TaxID=358403 RepID=R4THL8_9PHYC</t>
  </si>
  <si>
    <t>11.09.P3-21.813-41_6</t>
  </si>
  <si>
    <t>Uncharacterized protein n=1 Tax=Yellowstone lake mimivirus TaxID=1586712 RepID=A0A0P0YM19_9VIRU</t>
  </si>
  <si>
    <t>11.09.P3-21.813-41_7</t>
  </si>
  <si>
    <t>DNA topoisomerase 2 n=3 Tax=unclassified Prymnesiovirus TaxID=358403 RepID=R4THI6_9PHYC</t>
  </si>
  <si>
    <t>11.09.P3-21.813-41_8</t>
  </si>
  <si>
    <t>VOG13689 [FUNC="REFSEQ hypothetical protein"] [TAG=Xu TAGDEF="Function unknown"]</t>
  </si>
  <si>
    <t>PBCV-specific basic adaptor domain-containing protein n=3 Tax=unclassified Prymnesiovirus TaxID=358403 RepID=R4TF70_9PHYC</t>
  </si>
  <si>
    <t>11.09.P3-21.813-41_9</t>
  </si>
  <si>
    <t>Proliferating cell nuclear antigen n=1 Tax=Chrysochromulina ericina virus TaxID=455364 RepID=A0A0N9QIV3_CEV01</t>
  </si>
  <si>
    <t>11.09.P3-23.839-60_1</t>
  </si>
  <si>
    <t>DNA ligase (NAD(+)) n=1 Tax=Klosneuvirus KNV1 TaxID=1977640 RepID=A0A1V0SI75_9VIRU</t>
  </si>
  <si>
    <t>11.09.P3-23.839-60_11</t>
  </si>
  <si>
    <t>COG0607 [FUNC="Rhodanese-related sulfurtransferase"] [shortName=PspE] [TAG=P TAGDEF="Inorganic ion transport and metabolism" PROCESS="METABOLISM"]  [PATHWAY="Urea cycle"] hypothetical protein CBO0187 [Clostridium botulinum A str. ATCC 3502]</t>
  </si>
  <si>
    <t>Rhodanese domain-containing protein n=1 Tax=Ostreococcus tauri virus RT-2011 TaxID=1120767 RepID=H8ZJP5_9PHYC</t>
  </si>
  <si>
    <t>11.09.P3-23.839-60_12</t>
  </si>
  <si>
    <t>sp|A6L046|RNH2_PHOV8 Ribonuclease HII OS=Phocaeicola vulgatus (strain ATCC 8482 / DSM 1447 / JCM 5826 / CCUG 4940 / NBRC 14291 / NCTC 11154) OX=435590 GN=rnhB PE=3 SV=1</t>
  </si>
  <si>
    <t>COG0164 [FUNC="Ribonuclease HII"] [shortName=RnhB] [TAG=L TAGDEF="Replication, recombination and repair" PROCESS="INFORMATION STORAGE AND PROCESSING"]  [PATHWAY=""] ribonuclease HII [Lutibacter profundi]</t>
  </si>
  <si>
    <t>Ribonuclease HII n=1 Tax=Mimiviridae sp. ChoanoV1 TaxID=2596887 RepID=A0A5B8IFK3_9VIRU</t>
  </si>
  <si>
    <t>11.09.P3-23.839-60_15</t>
  </si>
  <si>
    <t>sp|Q5UPJ9|YL122_MIMIV Putative ankyrin repeat protein L122 OS=Acanthamoeba polyphaga mimivirus OX=212035 GN=MIMI_L122 PE=4 SV=1</t>
  </si>
  <si>
    <t>COG0666 [FUNC="Ankyrin repeat"] [shortName=ANKYR] [TAG=T TAGDEF="Signal transduction mechanisms" PROCESS="CELLULAR PROCESSES AND SIGNALING"]  [PATHWAY=""] ankyrin repeat domain-containing protein [Candidatus Babela massiliensis]</t>
  </si>
  <si>
    <t>11.09.P3-23.839-60_16</t>
  </si>
  <si>
    <t>sp|Q5UPG5|YL093_MIMIV Putative ankyrin repeat protein L93 OS=Acanthamoeba polyphaga mimivirus OX=212035 GN=MIMI_L93 PE=4 SV=1</t>
  </si>
  <si>
    <t>11.09.P3-23.839-60_18</t>
  </si>
  <si>
    <t>VOG21296 [FUNC="REFSEQ hypothetical protein"] [TAG=Xu TAGDEF="Function unknown"]</t>
  </si>
  <si>
    <t>Uncharacterized protein n=1 Tax=Pyramimonas orientalis virus TaxID=455367 RepID=A0A7M4CER4_POV01</t>
  </si>
  <si>
    <t>11.09.P3-23.839-60_20</t>
  </si>
  <si>
    <t>11.09.P3-23.839-60_21</t>
  </si>
  <si>
    <t>COG0847 [FUNC="DNA polymerase III, epsilon subunit or related 3'-5' exonuclease"] [shortName=DnaQ] [TAG=L TAGDEF="Replication, recombination and repair" PROCESS="INFORMATION STORAGE AND PROCESSING"]  [PATHWAY=""] 3'-5' exonuclease [Rufibacter tibetensis]</t>
  </si>
  <si>
    <t>VOG00074 [FUNC="sp|P04536|EXOD_BPT4 Exodeoxyribonuclease"] [TAG=Xu TAGDEF="Function unknown"]</t>
  </si>
  <si>
    <t>DNA-directed DNA polymerase n=1 Tax=Roseivirga pacifica TaxID=1267423 RepID=A0A4D7JJ93_9BACT</t>
  </si>
  <si>
    <t>11.09.P3-23.839-60_22</t>
  </si>
  <si>
    <t>11.09.P3-23.839-60_24</t>
  </si>
  <si>
    <t>sp|Q6NMM8|F8H_ARATH Probable glucuronoxylan glucuronosyltransferase F8H OS=Arabidopsis thaliana OX=3702 GN=F8H PE=2 SV=1</t>
  </si>
  <si>
    <t>KOG1021 [FUNC="Acetylglucosaminyltransferase EXT1/exostosin 1"] [shortName=] [TAG=G TAGDEF="Carbohydrate transport and metabolism" PROCESS="METABOLISM"] [TAG=M TAGDEF="Cell wall/membrane/envelope biogenesis" PROCESS="CELLULAR PROCESSES AND SIGNALING"] [TAG=W TAGDEF="Extracellular structures" PROCESS="CELLULAR PROCESSES AND SIGNALING"]  [PATHWAY=""]</t>
  </si>
  <si>
    <t>VOG06148 [FUNC="REFSEQ putative exostosin family protein"] [TAG=Xu TAGDEF="Function unknown"]</t>
  </si>
  <si>
    <t>Putative exostosin family protein/glycosyltransferase for heparan sulfate n=1 Tax=Chrysochromulina ericina virus TaxID=455364 RepID=A0A0N9QPV4_CEV01</t>
  </si>
  <si>
    <t>11.09.P3-23.839-60_3</t>
  </si>
  <si>
    <t>Uncharacterized protein n=1 Tax=Dishui Lake phycodnavirus 3 TaxID=2704074 RepID=A0A6G6XPE1_9PHYC</t>
  </si>
  <si>
    <t>11.09.P3-23.839-60_30</t>
  </si>
  <si>
    <t>sp|Q5UQN2|YL434_MIMIV Uncharacterized protein L434 OS=Acanthamoeba polyphaga mimivirus OX=212035 GN=MIMI_L434 PE=4 SV=1</t>
  </si>
  <si>
    <t>VOG14501 [FUNC="sp|Q5UQN2|YL434_MIMIV Uncharacterized protein L434"] [TAG=Xu TAGDEF="Function unknown"]</t>
  </si>
  <si>
    <t>Uncharacterized protein n=1 Tax=Mimiviridae sp. ChoanoV1 TaxID=2596887 RepID=A0A5B8HVU0_9VIRU</t>
  </si>
  <si>
    <t>11.09.P3-23.839-60_33</t>
  </si>
  <si>
    <t>11.09.P3-23.839-60_34</t>
  </si>
  <si>
    <t>HNH nuclease domain-containing protein n=1 Tax=Paramecium bursaria Chlorella virus 1 TaxID=10506 RepID=Q98474_PBCV1</t>
  </si>
  <si>
    <t>11.09.P3-23.839-60_35</t>
  </si>
  <si>
    <t>Uncharacterized protein n=1 Tax=Heliothis virescens TaxID=7102 RepID=A0A2A4JMR1_HELVI</t>
  </si>
  <si>
    <t>11.09.P3-23.839-60_4</t>
  </si>
  <si>
    <t>11.09.P3-23.839-60_7</t>
  </si>
  <si>
    <t>Uncharacterized protein n=1 Tax=Aureococcus anophagefferens virus TaxID=1474867 RepID=A0A076FG40_9PHYC</t>
  </si>
  <si>
    <t>11.09.P3-23.839-60_8</t>
  </si>
  <si>
    <t>11.09.P3-23.839-60_9</t>
  </si>
  <si>
    <t>LPS:glycosyltransferase n=1 Tax=Marinobacter santoriniensis NKSG1 TaxID=1288826 RepID=M7CVQ4_9GAMM</t>
  </si>
  <si>
    <t>11.09.P3-24.503-52_10</t>
  </si>
  <si>
    <t>11.09.P3-24.503-52_11</t>
  </si>
  <si>
    <t>VOG27600 [FUNC="REFSEQ hypothetical protein"] [TAG=Xu TAGDEF="Function unknown"]</t>
  </si>
  <si>
    <t>Uncharacterized protein n=3 Tax=unclassified Prymnesiovirus TaxID=358403 RepID=R4TUM1_9PHYC</t>
  </si>
  <si>
    <t>11.09.P3-24.503-52_16</t>
  </si>
  <si>
    <t>11.09.P3-24.503-52_17</t>
  </si>
  <si>
    <t>11.09.P3-24.503-52_18</t>
  </si>
  <si>
    <t>11.09.P3-24.503-52_23</t>
  </si>
  <si>
    <t>sp|P17719|DYR_DROME Dihydrofolate reductase OS=Drosophila melanogaster OX=7227 GN=Dhfr PE=1 SV=3</t>
  </si>
  <si>
    <t>dihydrofolate reductase n=1 Tax=Triatoma dimidiata TaxID=72491 RepID=A0A0V0G6V5_TRIDM</t>
  </si>
  <si>
    <t>11.09.P3-24.503-52_25</t>
  </si>
  <si>
    <t>Uncharacterized protein n=1 Tax=Chrysochromulina ericina virus TaxID=455364 RepID=A0A0N9Q9K3_CEV01</t>
  </si>
  <si>
    <t>11.09.P3-24.503-52_3</t>
  </si>
  <si>
    <t>11.09.P3-24.503-52_4</t>
  </si>
  <si>
    <t>11.09.P3-24.503-52_5</t>
  </si>
  <si>
    <t>11.09.P3-24.503-52_6</t>
  </si>
  <si>
    <t>VOG23071 [FUNC="REFSEQ hypothetical protein"] [TAG=Xu TAGDEF="Function unknown"]</t>
  </si>
  <si>
    <t>Repeat containing protein n=1 Tax=Chrysochromulina ericina virus TaxID=455364 RepID=A0A0N9R0T4_CEV01</t>
  </si>
  <si>
    <t>11.09.P3-24.694-34_1</t>
  </si>
  <si>
    <t>Uncharacterized protein n=3 Tax=unclassified Prymnesiovirus TaxID=358403 RepID=R4TV40_9PHYC</t>
  </si>
  <si>
    <t>11.09.P3-24.694-34_10</t>
  </si>
  <si>
    <t>Uncharacterized protein n=1 Tax=Pleodorina starrii TaxID=330485 RepID=A0A9W6F312_9CHLO</t>
  </si>
  <si>
    <t>11.09.P3-24.694-34_11</t>
  </si>
  <si>
    <t>11.09.P3-24.694-34_12</t>
  </si>
  <si>
    <t>11.09.P3-24.694-34_13</t>
  </si>
  <si>
    <t>11.09.P3-24.694-34_14</t>
  </si>
  <si>
    <t>VOG03660 [FUNC="sp|Q5UPZ3|YR311_MIMIV Putative RING finger protein R311"] [TAG=Xu TAGDEF="Function unknown"]</t>
  </si>
  <si>
    <t>11.09.P3-24.694-34_15</t>
  </si>
  <si>
    <t>sp|Q5UQV9|YR378_MIMIV Uncharacterized protein R378 OS=Acanthamoeba polyphaga mimivirus OX=212035 GN=MIMI_R378 PE=4 SV=1</t>
  </si>
  <si>
    <t>VOG06331 [FUNC="REFSEQ hypothetical protein"] [TAG=Xu TAGDEF="Function unknown"]</t>
  </si>
  <si>
    <t>NET domain-containing protein n=3 Tax=unclassified Prymnesiovirus TaxID=358403 RepID=R4TI11_9PHYC</t>
  </si>
  <si>
    <t>11.09.P3-24.694-34_17</t>
  </si>
  <si>
    <t>sp|Q3ITQ4|Y776_NATPD UPF0213 protein NP_0776A OS=Natronomonas pharaonis (strain ATCC 35678 / DSM 2160 / CIP 103997 / JCM 8858 / NBRC 14720 / NCIMB 2260 / Gabara) OX=348780 GN=NP_0776A PE=3 SV=1</t>
  </si>
  <si>
    <t>COG2827 [FUNC="Predicted endonuclease, GIY-YIG superfamily"] [shortName=YhbQ] [TAG=L TAGDEF="Replication, recombination and repair" PROCESS="INFORMATION STORAGE AND PROCESSING"]  [PATHWAY=""] GIY-YIG nuclease family protein [Halomicrobium mukohataei]</t>
  </si>
  <si>
    <t>GIY-YIG superfamily protein n=3 Tax=unclassified Prymnesiovirus TaxID=358403 RepID=R4TFI6_9PHYC</t>
  </si>
  <si>
    <t>11.09.P3-24.694-34_19</t>
  </si>
  <si>
    <t>sp|Q15560|TCEA2_HUMAN Transcription elongation factor A protein 2 OS=Homo sapiens OX=9606 GN=TCEA2 PE=1 SV=1</t>
  </si>
  <si>
    <t>11.09.P3-24.694-34_2</t>
  </si>
  <si>
    <t>MutS protein n=2 Tax=Chrysochromulina ericina virus TaxID=455364 RepID=F2QAG1_CEV01</t>
  </si>
  <si>
    <t>11.09.P3-24.694-34_3</t>
  </si>
  <si>
    <t>sp|P52284|MTR1_PBCVX Type II methyltransferase M.CvrRI OS=Paramecium bursaria Chlorella virus XZ-6E OX=36360 GN=CVIRIM PE=3 SV=1</t>
  </si>
  <si>
    <t>COG0286 [FUNC="Type I restriction-modification system, DNA methylase subunit"] [shortName=HsdM] [TAG=V TAGDEF="Defense mechanisms" PROCESS="CELLULAR PROCESSES AND SIGNALING"]  [PATHWAY=""] restriction endonuclease subunit M [Brachyspira intermedia]</t>
  </si>
  <si>
    <t>site-specific DNA-methyltransferase (adenine-specific) n=1 Tax=Mimiviridae sp. ChoanoV1 TaxID=2596887 RepID=A0A5B8IIC6_9VIRU</t>
  </si>
  <si>
    <t>11.09.P3-24.694-34_30</t>
  </si>
  <si>
    <t>CHRNN n=1 Tax=Mytilus coruscus TaxID=42192 RepID=A0A6J8AE93_MYTCO</t>
  </si>
  <si>
    <t>11.09.P3-24.694-34_38</t>
  </si>
  <si>
    <t>11.09.P3-24.694-34_39</t>
  </si>
  <si>
    <t>YqaJ-like viral recombinase domain protein n=1 Tax=Mimiviridae sp. ChoanoV1 TaxID=2596887 RepID=A0A5B8IQR9_9VIRU</t>
  </si>
  <si>
    <t>11.09.P3-24.694-34_40</t>
  </si>
  <si>
    <t>sp|P30876|RPB2_HUMAN DNA-directed RNA polymerase II subunit RPB2 OS=Homo sapiens OX=9606 GN=POLR2B PE=1 SV=1</t>
  </si>
  <si>
    <t>DNA-directed RNA polymerase subunit beta n=3 Tax=unclassified Prymnesiovirus TaxID=358403 RepID=R4TQI5_9PHYC</t>
  </si>
  <si>
    <t>11.09.P3-24.694-34_6</t>
  </si>
  <si>
    <t>sp|Q8L5V0|RPB9B_ARATH DNA-directed RNA polymerases II, IV and V subunit 9B OS=Arabidopsis thaliana OX=3702 GN=NRPB9B PE=1 SV=1</t>
  </si>
  <si>
    <t>KOG2691 [FUNC="RNA polymerase II subunit 9"] [shortName=] [TAG=K TAGDEF="Transcription" PROCESS="INFORMATION STORAGE AND PROCESSING"]  [PATHWAY=""]</t>
  </si>
  <si>
    <t>DNA-directed RNA polymerase II subunit RPB9 n=3 Tax=unclassified Prymnesiovirus TaxID=358403 RepID=R4TQF0_9PHYC</t>
  </si>
  <si>
    <t>11.09.P3-24.694-34_7</t>
  </si>
  <si>
    <t>sp|Q17684|RPAB2_CAEEL Probable DNA-directed RNA polymerases I, II, and III subunit RPABC2 OS=Caenorhabditis elegans OX=6239 GN=rpb-6 PE=3 SV=1</t>
  </si>
  <si>
    <t>DNA-directed RNA polymerase II subunit RPB6 n=3 Tax=unclassified Prymnesiovirus TaxID=358403 RepID=R4THW7_9PHYC</t>
  </si>
  <si>
    <t>11.09.P3-24.694-34_8</t>
  </si>
  <si>
    <t>11.09.P3-24.694-34_9</t>
  </si>
  <si>
    <t>11.09.P3-24.782-37_1</t>
  </si>
  <si>
    <t>11.09.P3-24.782-37_11</t>
  </si>
  <si>
    <t>sp|Q196W4|VF347_IIV3 Putative FAD-linked sulfhydryl oxidase 096R OS=Invertebrate iridescent virus 3 OX=345201 GN=IIV3-096R PE=3 SV=1</t>
  </si>
  <si>
    <t>11.09.P3-24.782-37_13</t>
  </si>
  <si>
    <t>11.09.P3-24.782-37_14</t>
  </si>
  <si>
    <t>sp|Q4VWQ3|THIO3_PLAF7 Thioredoxin 3 OS=Plasmodium falciparum (isolate 3D7) OX=36329 GN=TRX3 PE=1 SV=1</t>
  </si>
  <si>
    <t>Thioredoxin family protein n=3 Tax=unclassified Prymnesiovirus TaxID=358403 RepID=R4TPY0_9PHYC</t>
  </si>
  <si>
    <t>11.09.P3-24.782-37_15</t>
  </si>
  <si>
    <t>VOG03970 [FUNC="REFSEQ hypothetical protein"] [TAG=Xu TAGDEF="Function unknown"]</t>
  </si>
  <si>
    <t>J domain-containing protein n=3 Tax=unclassified Prymnesiovirus TaxID=358403 RepID=R4THG8_9PHYC</t>
  </si>
  <si>
    <t>11.09.P3-24.782-37_16</t>
  </si>
  <si>
    <t>11.09.P3-24.782-37_19</t>
  </si>
  <si>
    <t>11.09.P3-24.782-37_2</t>
  </si>
  <si>
    <t>11.09.P3-24.782-37_20</t>
  </si>
  <si>
    <t>Uncharacterized protein n=3 Tax=unclassified Prymnesiovirus TaxID=358403 RepID=R4TF10_9PHYC</t>
  </si>
  <si>
    <t>11.09.P3-24.782-37_21</t>
  </si>
  <si>
    <t>11.09.P3-24.782-37_24</t>
  </si>
  <si>
    <t>Uncharacterized protein n=1 Tax=Chrysochromulina ericina virus TaxID=455364 RepID=A0A0N9Q961_CEV01</t>
  </si>
  <si>
    <t>11.09.P3-24.782-37_25</t>
  </si>
  <si>
    <t>Uncharacterized protein n=1 Tax=Chrysochromulina ericina virus TaxID=455364 RepID=A0A0N9QZU0_CEV01</t>
  </si>
  <si>
    <t>11.09.P3-24.782-37_26</t>
  </si>
  <si>
    <t>11.09.P3-24.782-37_27</t>
  </si>
  <si>
    <t>Uncharacterized protein n=1 Tax=Chrysochromulina ericina virus TaxID=455364 RepID=A0A0N9R370_CEV01</t>
  </si>
  <si>
    <t>11.09.P3-24.782-37_28</t>
  </si>
  <si>
    <t>DUF5824 domain-containing protein n=3 Tax=unclassified Prymnesiovirus TaxID=358403 RepID=R4THL0_9PHYC</t>
  </si>
  <si>
    <t>11.09.P3-24.782-37_29</t>
  </si>
  <si>
    <t>sp|Q9KVG8|CAPV_VIBCH cGAMP-activated phospholipase OS=Vibrio cholerae serotype O1 (strain ATCC 39315 / El Tor Inaba N16961) OX=243277 GN=capV PE=1 SV=1</t>
  </si>
  <si>
    <t>COG1752 [FUNC="Predicted acylesterase/phospholipase RssA, containd patatin domain"] [shortName=RssA] [TAG=R TAGDEF="General function prediction only" PROCESS="POORLY CHARACTERIZED"]  [PATHWAY=""] hypothetical protein [Methylocaldum marinum]</t>
  </si>
  <si>
    <t>PNPLA domain-containing protein n=1 Tax=Stentor coeruleus TaxID=5963 RepID=A0A1R2B3H9_9CILI</t>
  </si>
  <si>
    <t>11.09.P3-24.782-37_30</t>
  </si>
  <si>
    <t>Uncharacterized protein n=3 Tax=unclassified Prymnesiovirus TaxID=358403 RepID=R4THD7_9PHYC</t>
  </si>
  <si>
    <t>11.09.P3-24.782-37_8</t>
  </si>
  <si>
    <t>11.09.P3-24.782-37_9</t>
  </si>
  <si>
    <t>sp|Q8Z5H2|GMM_SALTI GDP-mannose mannosyl hydrolase OS=Salmonella typhi OX=90370 GN=gmm PE=3 SV=1</t>
  </si>
  <si>
    <t>COG1051 [FUNC="ADP-ribose pyrophosphatase YjhB, NUDIX family"] [shortName=YjhB] [TAG=F TAGDEF="Nucleotide transport and metabolism" PROCESS="METABOLISM"]  [PATHWAY=""] GDP-mannose mannosyl hydrolase [Psychromonas ingrahamii]</t>
  </si>
  <si>
    <t>GDP-mannose mannosyl hydrolase n=1 Tax=Synechococcus sp. A15-44 TaxID=1050646 RepID=A0A7G8E5V6_9SYNE</t>
  </si>
  <si>
    <t>11.09.P3-25.439-32_1</t>
  </si>
  <si>
    <t>Uncharacterized protein n=1 Tax=Wickerhamomyces pijperi TaxID=599730 RepID=A0A9P8TEV8_WICPI</t>
  </si>
  <si>
    <t>11.09.P3-25.439-32_11</t>
  </si>
  <si>
    <t>11.09.P3-25.439-32_13</t>
  </si>
  <si>
    <t>VOG36932 [FUNC="REFSEQ hypothetical protein"] [TAG=Xu TAGDEF="Function unknown"]</t>
  </si>
  <si>
    <t>Uncharacterized protein n=3 Tax=unclassified Prymnesiovirus TaxID=358403 RepID=R4TV92_9PHYC</t>
  </si>
  <si>
    <t>11.09.P3-25.439-32_16</t>
  </si>
  <si>
    <t>11.09.P3-25.439-32_17</t>
  </si>
  <si>
    <t>11.09.P3-25.439-32_18</t>
  </si>
  <si>
    <t>sp|P39814|TOP1_BACSU DNA topoisomerase 1 OS=Bacillus subtilis (strain 168) OX=224308 GN=topA PE=1 SV=1</t>
  </si>
  <si>
    <t>COG1754 [FUNC="Uncharacterized C-terminal domain of topoisomerase IA"] [shortName=] [TAG=S TAGDEF="Function unknown" PROCESS="POORLY CHARACTERIZED"]  [PATHWAY=""] type I DNA topoisomerase [Candidatus Saccharibacteria bacterium YM_S32_TM7_50_20]</t>
  </si>
  <si>
    <t>11.09.P3-25.439-32_2</t>
  </si>
  <si>
    <t>VOG18157 [FUNC="REFSEQ hypothetical protein"] [TAG=Xu TAGDEF="Function unknown"]</t>
  </si>
  <si>
    <t>MIF4G domain-containing protein n=1 Tax=Chrysochromulina ericina virus TaxID=455364 RepID=A0A0N9R1C8_CEV01</t>
  </si>
  <si>
    <t>11.09.P3-25.439-32_21</t>
  </si>
  <si>
    <t>11.09.P3-25.439-32_22</t>
  </si>
  <si>
    <t>11.09.P3-25.439-32_24</t>
  </si>
  <si>
    <t>COG3335 [FUNC="Transposase"] [shortName=] [TAG=X TAGDEF="Mobilome: prophages, transposons" PROCESS=""]  [PATHWAY=""] transposase [Pseudanabaena sp. PCC 7367]</t>
  </si>
  <si>
    <t>11.09.P3-25.439-32_25</t>
  </si>
  <si>
    <t>sp|P27639|IF4A_CAEEL Eukaryotic initiation factor 4A OS=Caenorhabditis elegans OX=6239 GN=inf-1 PE=2 SV=1</t>
  </si>
  <si>
    <t>KOG0328 [FUNC="Predicted ATP-dependent RNA helicase FAL1, involved in rRNA maturation, DEAD-box superfamily"] [shortName=] [TAG=J TAGDEF="Translation, ribosomal structure and biogenesis" PROCESS="INFORMATION STORAGE AND PROCESSING"]  [PATHWAY=""]</t>
  </si>
  <si>
    <t>Helicase 45 n=1 Tax=Chrysochromulina ericina virus TaxID=455364 RepID=A0A0N9Q9J4_CEV01</t>
  </si>
  <si>
    <t>11.09.P3-25.439-32_26</t>
  </si>
  <si>
    <t>sp|C4ZI07|MUTS2_AGARV Endonuclease MutS2 OS=Agathobacter rectalis (strain ATCC 33656 / DSM 3377 / JCM 17463 / KCTC 5835 / VPI 0990) OX=515619 GN=mutS2 PE=3 SV=1</t>
  </si>
  <si>
    <t>MutS8 n=1 Tax=Chrysochromulina ericina virus TaxID=455364 RepID=A0A0N9R0S5_CEV01</t>
  </si>
  <si>
    <t>11.09.P3-25.439-32_3</t>
  </si>
  <si>
    <t>COG4783 [FUNC="Outer membrane protein chaperone/metalloprotease BepA/YfgC, contains M48 and TPR domains"] [shortName=BepA] [TAG=M TAGDEF="Cell wall/membrane/envelope biogenesis" PROCESS="CELLULAR PROCESSES AND SIGNALING"] [TAG=O TAGDEF="Posttranslational modification, protein turnover, chaperones" PROCESS="CELLULAR PROCESSES AND SIGNALING"]  [PATHWAY=""] DUF3808 domain-containing protein [Trichodesmium erythraeum]</t>
  </si>
  <si>
    <t>Sulfotransferase family protein n=2 Tax=Pelagovum pacificum TaxID=2588711 RepID=A0A5C5GCZ5_9RHOB</t>
  </si>
  <si>
    <t>11.09.P3-25.439-32_5</t>
  </si>
  <si>
    <t>OTU domain-containing protein n=3 Tax=unclassified Prymnesiovirus TaxID=358403 RepID=R4TI66_9PHYC</t>
  </si>
  <si>
    <t>11.09.P3-25.439-32_6</t>
  </si>
  <si>
    <t>Uncharacterized protein n=1 Tax=Mimivirus LCMiAC01 TaxID=2506608 RepID=A0A481YZV9_9VIRU</t>
  </si>
  <si>
    <t>11.09.P3-25.439-32_7</t>
  </si>
  <si>
    <t>11.09.P3-25.439-32_8</t>
  </si>
  <si>
    <t>sp|Q8SS91|FEN1_ENCCU Flap endonuclease 1 OS=Encephalitozoon cuniculi (strain GB-M1) OX=284813 GN=FEN1 PE=3 SV=1</t>
  </si>
  <si>
    <t>11.09.P3-25.439-32_9</t>
  </si>
  <si>
    <t>RING-type domain-containing protein n=1 Tax=Marseillevirus LCMAC103 TaxID=2506604 RepID=A0A481YTT6_9VIRU</t>
  </si>
  <si>
    <t>11.09.P3-26.974-49_12</t>
  </si>
  <si>
    <t>sp|Q5UNY4|YL728_MIMIV Uncharacterized protein L728 OS=Acanthamoeba polyphaga mimivirus OX=212035 GN=MIMI_L728 PE=4 SV=1</t>
  </si>
  <si>
    <t>VOG02103 [FUNC="sp|Q5UNY4|YL728_MIMIV Uncharacterized protein L728"] [TAG=Xu TAGDEF="Function unknown"]</t>
  </si>
  <si>
    <t>von Willebrand factor type A/DUF2828 domain containing protein n=1 Tax=Chrysochromulina ericina virus TaxID=455364 RepID=A0A0N9QR83_CEV01</t>
  </si>
  <si>
    <t>11.09.P3-26.974-49_13</t>
  </si>
  <si>
    <t>sp|Q9P0P0|RN181_HUMAN E3 ubiquitin-protein ligase RNF181 OS=Homo sapiens OX=9606 GN=RNF181 PE=1 SV=1</t>
  </si>
  <si>
    <t>RING domain containing protein n=1 Tax=Chrysochromulina ericina virus TaxID=455364 RepID=A0A0N7G7P6_CEV01</t>
  </si>
  <si>
    <t>11.09.P3-26.974-49_15</t>
  </si>
  <si>
    <t>COG0607 [FUNC="Rhodanese-related sulfurtransferase"] [shortName=PspE] [TAG=P TAGDEF="Inorganic ion transport and metabolism" PROCESS="METABOLISM"]  [PATHWAY="Urea cycle"] rhodanese-like domain-containing protein [Dehalobacterium formicoaceticum]</t>
  </si>
  <si>
    <t>Rhodanese domain-containing protein n=1 Tax=Micromonas pusilla virus SP1 TaxID=373996 RepID=G9E686_MPSP1</t>
  </si>
  <si>
    <t>11.09.P3-26.974-49_16</t>
  </si>
  <si>
    <t>COG4295 [FUNC="Predicted RNA repair component, a phosphatase of H2Macro superfamily, DUF2263 family"] [shortName=] [TAG=R TAGDEF="General function prediction only" PROCESS="POORLY CHARACTERIZED"]  [PATHWAY=""] TIGR02452 family protein [Sphaerochaeta pleomorpha]</t>
  </si>
  <si>
    <t>VOG03709 [FUNC="REFSEQ hypothetical protein"] [TAG=Xu TAGDEF="Function unknown"]</t>
  </si>
  <si>
    <t>Microbial-type PARG catalytic domain-containing protein n=1 Tax=Catovirus CTV1 TaxID=1977631 RepID=A0A1V0SBV4_9VIRU</t>
  </si>
  <si>
    <t>11.09.P3-26.974-49_22</t>
  </si>
  <si>
    <t>sp|Q9H611|PIF1_HUMAN ATP-dependent DNA helicase PIF1 OS=Homo sapiens OX=9606 GN=PIF1 PE=1 SV=2</t>
  </si>
  <si>
    <t>KOG0987 [FUNC="DNA helicase PIF1/RRM3"] [shortName=] [TAG=D TAGDEF="Cell cycle control, cell division, chromosome partitioning" PROCESS="CELLULAR PROCESSES AND SIGNALING"]  [PATHWAY=""]</t>
  </si>
  <si>
    <t>PIF1-like helicase n=1 Tax=Chrysochromulina ericina virus TaxID=455364 RepID=A0A0N9QZ70_CEV01</t>
  </si>
  <si>
    <t>11.09.P3-26.974-49_23</t>
  </si>
  <si>
    <t>VOG00532 [FUNC="sp|O41156|THYX_PBCV1 Probable flavin-dependent thymidylate synthase"] [TAG=Xh TAGDEF="Virus protein with function beneficial for the host"]</t>
  </si>
  <si>
    <t>FirrV-1-A45 n=1 Tax=Tribonema minus TaxID=303371 RepID=A0A836CLT5_9STRA</t>
  </si>
  <si>
    <t>11.09.P3-26.974-49_26</t>
  </si>
  <si>
    <t>COG3914 [FUNC="Predicted O-linked N-acetylglucosamine transferase, SPINDLY family"] [shortName=Spy] [TAG=O TAGDEF="Posttranslational modification, protein turnover, chaperones" PROCESS="CELLULAR PROCESSES AND SIGNALING"]  [PATHWAY=""] tetratricopeptide repeat protein [Halomonas elongata]</t>
  </si>
  <si>
    <t>Predicted O-linked N-acetylglucosamine transferase, SPINDLY family n=1 Tax=Alcanivorax sp. DSM 26295 TaxID=1938738 RepID=A0A521BTA4_9GAMM</t>
  </si>
  <si>
    <t>11.09.P3-26.974-49_36</t>
  </si>
  <si>
    <t>sp|A4G3E3|DUT_HERAR Deoxyuridine 5'-triphosphate nucleotidohydrolase OS=Herminiimonas arsenicoxydans OX=204773 GN=dut PE=3 SV=1</t>
  </si>
  <si>
    <t>Deoxyuridine 5'-triphosphate nucleotidohydrolase n=1 Tax=Chrysochromulina ericina virus TaxID=455364 RepID=A0A0N9R4A9_CEV01</t>
  </si>
  <si>
    <t>11.09.P3-26.974-49_37</t>
  </si>
  <si>
    <t>Uncharacterized protein n=1 Tax=Phaeocystis globosa virus 12T TaxID=755273 RepID=G8DIC2_9PHYC</t>
  </si>
  <si>
    <t>11.09.P3-26.974-49_6</t>
  </si>
  <si>
    <t>DUF1772 domain-containing protein n=1 Tax=Mimiviridae sp. ChoanoV1 TaxID=2596887 RepID=A0A5B8IG93_9VIRU</t>
  </si>
  <si>
    <t>11.09.P3-27.405-44_1</t>
  </si>
  <si>
    <t>COG5010 [FUNC="Flp pilus assembly protein TadD, contains TPR repeats"] [shortName=TadD] [TAG=U TAGDEF="Intracellular trafficking, secretion, and vesicular transport" PROCESS="CELLULAR PROCESSES AND SIGNALING"] [TAG=W TAGDEF="Extracellular structures" PROCESS="CELLULAR PROCESSES AND SIGNALING"]  [PATHWAY=""] tetratricopeptide repeat protein [Simonsiella muelleri]</t>
  </si>
  <si>
    <t>11.09.P3-27.405-44_11</t>
  </si>
  <si>
    <t>11.09.P3-27.405-44_13</t>
  </si>
  <si>
    <t>sp|E7FDB3|NANO1_DANRE Nanos homolog 1 OS=Danio rerio OX=7955 GN=nanos1 PE=3 SV=1</t>
  </si>
  <si>
    <t>KOG4602 [FUNC="Nanos and related proteins"] [shortName=] [TAG=R TAGDEF="General function prediction only" PROCESS="POORLY CHARACTERIZED"]  [PATHWAY=""]</t>
  </si>
  <si>
    <t>Nanos-type domain-containing protein n=1 Tax=Culex quinquefasciatus TaxID=7176 RepID=B0WP65_CULQU</t>
  </si>
  <si>
    <t>11.09.P3-27.405-44_2</t>
  </si>
  <si>
    <t>11.09.P3-27.405-44_22</t>
  </si>
  <si>
    <t>11.09.P3-27.405-44_25</t>
  </si>
  <si>
    <t>sp|Q7RV88|IF4A_NEUCR ATP-dependent RNA helicase eIF4A OS=Neurospora crassa (strain ATCC 24698 / 74-OR23-1A / CBS 708.71 / DSM 1257 / FGSC 987) OX=367110 GN=tif-1 PE=3 SV=2</t>
  </si>
  <si>
    <t>11.09.P3-27.405-44_26</t>
  </si>
  <si>
    <t>sp|Q9ZEH5|MUTS2_STAAU Endonuclease MutS2 (Fragment) OS=Staphylococcus aureus OX=1280 GN=mutS2 PE=3 SV=1</t>
  </si>
  <si>
    <t>COG0249 [FUNC="DNA mismatch repair ATPase MutS"] [shortName=MutS] [TAG=L TAGDEF="Replication, recombination and repair" PROCESS="INFORMATION STORAGE AND PROCESSING"]  [PATHWAY=""] hypothetical protein [Cardinium endosymbiont of Encarsia pergandiella]</t>
  </si>
  <si>
    <t>MutS protein n=1 Tax=Phaeocystis pouchetii virus TaxID=455365 RepID=F2QAG0_PPV01</t>
  </si>
  <si>
    <t>11.09.P3-27.405-44_29</t>
  </si>
  <si>
    <t>Uncharacterized protein n=3 Tax=unclassified Prymnesiovirus TaxID=358403 RepID=R4TI93_9PHYC</t>
  </si>
  <si>
    <t>11.09.P3-27.405-44_3</t>
  </si>
  <si>
    <t>11.09.P3-27.405-44_30</t>
  </si>
  <si>
    <t>COG5524 [FUNC="Bacteriorhodopsin"] [shortName=] [TAG=C TAGDEF="Energy production and conversion" PROCESS="METABOLISM"] [TAG=T TAGDEF="Signal transduction mechanisms" PROCESS="CELLULAR PROCESSES AND SIGNALING"]  [PATHWAY=""] biphenyl 2,3-dioxygenase [Candidatus Thioglobus singularis]</t>
  </si>
  <si>
    <t>11.09.P3-27.405-44_31</t>
  </si>
  <si>
    <t>Mitochondrial resolvase Ydc2 catalytic domain-containing protein n=1 Tax=Chrysochromulina ericina virus TaxID=455364 RepID=A0A0N9QYR1_CEV01</t>
  </si>
  <si>
    <t>11.09.P3-27.405-44_32</t>
  </si>
  <si>
    <t>Uncharacterized protein n=1 Tax=Chrysochromulina ericina virus TaxID=455364 RepID=A0A0N9R3N8_CEV01</t>
  </si>
  <si>
    <t>11.09.P3-27.405-44_33</t>
  </si>
  <si>
    <t>Uncharacterized protein n=1 Tax=Salpingoeca rosetta (strain ATCC 50818 / BSB-021) TaxID=946362 RepID=F2U0J2_SALR5</t>
  </si>
  <si>
    <t>11.09.P3-27.405-44_35</t>
  </si>
  <si>
    <t>Uncharacterized protein n=1 Tax=Chrysochromulina ericina virus TaxID=455364 RepID=A0A0N9QQW5_CEV01</t>
  </si>
  <si>
    <t>11.09.P3-27.405-44_36</t>
  </si>
  <si>
    <t>11.09.P3-27.405-44_37</t>
  </si>
  <si>
    <t>11.09.P3-27.405-44_6</t>
  </si>
  <si>
    <t>11.09.P3-27.405-44_7</t>
  </si>
  <si>
    <t>sp|Q8IDQ9|PMT_PLAF7 Phosphoethanolamine N-methyltransferase OS=Plasmodium falciparum (isolate 3D7) OX=36329 GN=PMT PE=1 SV=1</t>
  </si>
  <si>
    <t>11.09.P3-27.405-44_8</t>
  </si>
  <si>
    <t>sp|O61613|NMT_DROME Glycylpeptide N-tetradecanoyltransferase OS=Drosophila melanogaster OX=7227 GN=Nmt PE=1 SV=2</t>
  </si>
  <si>
    <t>glycylpeptide N-tetradecanoyltransferase n=1 Tax=Chrysochromulina ericina virus TaxID=455364 RepID=A0A0N9R1B3_CEV01</t>
  </si>
  <si>
    <t>11.09.P3-27.831-27_13</t>
  </si>
  <si>
    <t>Sulfhydryl oxidase n=1 Tax=Chrysochromulina parva virus TaxID=2565304 RepID=A0A4Y6GR92_9PHYC</t>
  </si>
  <si>
    <t>11.09.P3-27.831-27_14</t>
  </si>
  <si>
    <t>COG1403 [FUNC="5-methylcytosine-specific restriction endonuclease McrA"] [shortName=McrA] [TAG=V TAGDEF="Defense mechanisms" PROCESS="CELLULAR PROCESSES AND SIGNALING"]  [PATHWAY=""] HNH endonuclease [Halothece sp. PCC 7418]</t>
  </si>
  <si>
    <t>11.09.P3-27.831-27_15</t>
  </si>
  <si>
    <t>11.09.P3-27.831-27_16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</si>
  <si>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MULTISPECIES: ATP-dependent helicase [Bacillaceae]</t>
  </si>
  <si>
    <t>11.09.P3-27.831-27_17</t>
  </si>
  <si>
    <t>sp|Q5UQW1|YL376_MIMIV Putative DNA-directed RNA polymerase subunit L376 OS=Acanthamoeba polyphaga mimivirus OX=212035 GN=MIMI_L376 PE=1 SV=1</t>
  </si>
  <si>
    <t>11.09.P3-27.831-27_18</t>
  </si>
  <si>
    <t>Rho termination factor N-terminal domain-containing protein n=1 Tax=Chrysochromulina ericina virus TaxID=455364 RepID=A0A0N7G7M6_CEV01</t>
  </si>
  <si>
    <t>11.09.P3-27.831-27_19</t>
  </si>
  <si>
    <t>mRNA capping enzyme n=1 Tax=Chrysochromulina ericina virus TaxID=455364 RepID=A0A0N9QQU5_CEV01</t>
  </si>
  <si>
    <t>11.09.P3-27.831-27_2</t>
  </si>
  <si>
    <t>sp|Q42877|RPB2_SOLLC DNA-directed RNA polymerase II subunit RPB2 OS=Solanum lycopersicum OX=4081 GN=RPB2 PE=2 SV=1</t>
  </si>
  <si>
    <t>11.09.P3-27.831-27_20</t>
  </si>
  <si>
    <t>11.09.P3-27.831-27_21</t>
  </si>
  <si>
    <t>sp|Q38AH0|MTR1_TRYB2 Cap-specific mRNA (nucleoside-2'-O-)-methyltransferase 1 OS=Trypanosoma brucei brucei (strain 927/4 GUTat10.1) OX=185431 GN=MTR1 PE=1 SV=1</t>
  </si>
  <si>
    <t>11.09.P3-27.831-27_22</t>
  </si>
  <si>
    <t>11.09.P3-27.831-27_24</t>
  </si>
  <si>
    <t>VOG19933 [FUNC="REFSEQ hypothetical protein"] [TAG=Xu TAGDEF="Function unknown"]</t>
  </si>
  <si>
    <t>Uncharacterized protein n=1 Tax=Chrysochromulina ericina virus TaxID=455364 RepID=A0A0N9QQT8_CEV01</t>
  </si>
  <si>
    <t>11.09.P3-27.831-27_26</t>
  </si>
  <si>
    <t>sp|Q5UNY2|CFXQ_MIMIV Putative cfxQ-like protein R730 OS=Acanthamoeba polyphaga mimivirus OX=212035 GN=MIMI_R730 PE=3 SV=1</t>
  </si>
  <si>
    <t>COG0464 [FUNC="AAA+-type ATPase, SpoVK/Ycf46/Vps4 family"] [shortName=SpoVK] [TAG=M TAGDEF="Cell wall/membrane/envelope biogenesis" PROCESS="CELLULAR PROCESSES AND SIGNALING"] [TAG=D TAGDEF="Cell cycle control, cell division, chromosome partitioning" PROCESS="CELLULAR PROCESSES AND SIGNALING"] [TAG=T TAGDEF="Signal transduction mechanisms" PROCESS="CELLULAR PROCESSES AND SIGNALING"]  [PATHWAY=""] ATPase [Herbinix luporum]</t>
  </si>
  <si>
    <t>VOG32745 [FUNC="sp|Q5UNY2|CFXQ_MIMIV Putative cfxQ-like protein R730"] [TAG=Xh TAGDEF="Virus protein with function beneficial for the host"]</t>
  </si>
  <si>
    <t>Putative stage V sporulation protein K, AAA ATPase superfamily n=1 Tax=Chrysochromulina ericina virus TaxID=455364 RepID=A0A0N7G7M4_CEV01</t>
  </si>
  <si>
    <t>11.09.P3-27.831-27_27</t>
  </si>
  <si>
    <t>11.09.P3-27.831-27_28</t>
  </si>
  <si>
    <t>11.09.P3-27.831-27_3</t>
  </si>
  <si>
    <t>Uncharacterized protein n=1 Tax=Chrysochromulina ericina virus TaxID=455364 RepID=A0A0N9Q9H3_CEV01</t>
  </si>
  <si>
    <t>11.09.P3-27.831-27_6</t>
  </si>
  <si>
    <t>Uncharacterized protein n=1 Tax=Chrysochromulina ericina virus TaxID=455364 RepID=A0A0N7G7M5_CEV01</t>
  </si>
  <si>
    <t>11.09.P3-27.831-27_7</t>
  </si>
  <si>
    <t>Uncharacterized protein n=1 Tax=Chrysochromulina ericina virus TaxID=455364 RepID=A0A0N9R0N7_CEV01</t>
  </si>
  <si>
    <t>11.09.P3-28.672-35_1</t>
  </si>
  <si>
    <t>11.09.P3-28.672-35_10</t>
  </si>
  <si>
    <t>11.09.P3-28.672-35_12</t>
  </si>
  <si>
    <t>sp|O74743|IF4E2_SCHPO Eukaryotic translation initiation factor 4E-2 OS=Schizosaccharomyces pombe (strain 972 / ATCC 24843) OX=284812 GN=tif452 PE=3 SV=1</t>
  </si>
  <si>
    <t>Eukaryotic initiation factor 4E n=1 Tax=Chrysochromulina ericina virus TaxID=455364 RepID=A0A0N9QXY6_CEV01</t>
  </si>
  <si>
    <t>11.09.P3-28.672-35_15</t>
  </si>
  <si>
    <t>11.09.P3-28.672-35_18</t>
  </si>
  <si>
    <t>11.09.P3-28.672-35_22</t>
  </si>
  <si>
    <t>11.09.P3-28.672-35_23</t>
  </si>
  <si>
    <t>11.09.P3-28.672-35_29</t>
  </si>
  <si>
    <t>11.09.P3-28.672-35_30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</si>
  <si>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DEAD/DEAH box helicase [Terribacillus goriensis]</t>
  </si>
  <si>
    <t>Helicase C-terminal domain protein n=3 Tax=unclassified Prymnesiovirus TaxID=358403 RepID=R4TV50_9PHYC</t>
  </si>
  <si>
    <t>11.09.P3-28.672-35_31</t>
  </si>
  <si>
    <t>S1 motif domain-containing protein n=1 Tax=Mimiviridae sp. ChoanoV1 TaxID=2596887 RepID=A0A5B8IDA3_9VIRU</t>
  </si>
  <si>
    <t>11.09.P3-28.672-35_33</t>
  </si>
  <si>
    <t>11.09.P3-28.672-35_34</t>
  </si>
  <si>
    <t>11.09.P3-28.672-35_36</t>
  </si>
  <si>
    <t>11.09.P3-28.672-35_37</t>
  </si>
  <si>
    <t>11.09.P3-28.672-35_4</t>
  </si>
  <si>
    <t>11.09.P3-28.672-35_9</t>
  </si>
  <si>
    <t>11.09.P3-29.011-47_14</t>
  </si>
  <si>
    <t>11.09.P3-29.011-47_18</t>
  </si>
  <si>
    <t>11.09.P3-29.011-47_22</t>
  </si>
  <si>
    <t>Proline hydroxylase n=1 Tax=Cohnella terricola TaxID=1289167 RepID=A0A559JGP2_9BACL</t>
  </si>
  <si>
    <t>11.09.P3-29.011-47_3</t>
  </si>
  <si>
    <t>Peptidase S74 domain-containing protein n=1 Tax=Tetrabaena socialis TaxID=47790 RepID=A0A2J7ZM67_9CHLO</t>
  </si>
  <si>
    <t>11.09.P3-29.011-47_33</t>
  </si>
  <si>
    <t>Uncharacterized protein n=1 Tax=Tetradesmus obliquus TaxID=3088 RepID=A0A383VRJ5_TETOB</t>
  </si>
  <si>
    <t>11.09.P3-29.011-47_54</t>
  </si>
  <si>
    <t>11.09.P3-29.011-47_62</t>
  </si>
  <si>
    <t>11.09.P3-29.011-47_64</t>
  </si>
  <si>
    <t>11.09.P3-29.011-47_72</t>
  </si>
  <si>
    <t>11.09.P3-29.011-47_75</t>
  </si>
  <si>
    <t>11.09.P3-29.011-47_76</t>
  </si>
  <si>
    <t>11.09.P3-29.011-47_77</t>
  </si>
  <si>
    <t>11.09.P3-29.011-47_80</t>
  </si>
  <si>
    <t>11.09.P3-29.390-32_13</t>
  </si>
  <si>
    <t>VOG03707 [FUNC="REFSEQ Hypothetical protein"] [TAG=Xu TAGDEF="Function unknown"]</t>
  </si>
  <si>
    <t>Ankyrin repeat protein n=1 Tax=Klosneuvirus KNV1 TaxID=1977640 RepID=A0A1V0SJ54_9VIRU</t>
  </si>
  <si>
    <t>11.09.P3-29.390-32_17</t>
  </si>
  <si>
    <t>MIGE-like protein n=1 Tax=Chrysochromulina ericina virus TaxID=455364 RepID=A0A0N9R168_CEV01</t>
  </si>
  <si>
    <t>11.09.P3-29.390-32_18</t>
  </si>
  <si>
    <t>11.09.P3-29.390-32_19</t>
  </si>
  <si>
    <t>11.09.P3-29.390-32_22</t>
  </si>
  <si>
    <t>VOG22536 [FUNC="REFSEQ hypothetical protein"] [TAG=Xu TAGDEF="Function unknown"]</t>
  </si>
  <si>
    <t>Uncharacterized protein n=1 Tax=Chrysochromulina ericina virus TaxID=455364 RepID=A0A0N9Q9H0_CEV01</t>
  </si>
  <si>
    <t>11.09.P3-29.390-32_23</t>
  </si>
  <si>
    <t>sp|P08266|RPB2_DROME DNA-directed RNA polymerase II subunit RPB2 OS=Drosophila melanogaster OX=7227 GN=RpII140 PE=2 SV=2</t>
  </si>
  <si>
    <t>DNA-directed RNA polymerase n=1 Tax=Chrysochromulina ericina virus TaxID=455364 RepID=A0A0N9R0J7_CEV01</t>
  </si>
  <si>
    <t>11.09.P3-29.390-32_24</t>
  </si>
  <si>
    <t>sp|Q757H7|RPAB1_EREGS DNA-directed RNA polymerases I, II, and III subunit RPABC1 OS=Eremothecium gossypii (strain ATCC 10895 / CBS 109.51 / FGSC 9923 / NRRL Y-1056) OX=284811 GN=RPB5 PE=3 SV=1</t>
  </si>
  <si>
    <t>KOG3218 [FUNC="RNA polymerase, 25-kDa subunit (common to polymerases I, II and III)"] [shortName=] [TAG=K TAGDEF="Transcription" PROCESS="INFORMATION STORAGE AND PROCESSING"]  [PATHWAY=""]</t>
  </si>
  <si>
    <t>DNA-directed RNA polymerase II subunit RPB5 n=3 Tax=unclassified Prymnesiovirus TaxID=358403 RepID=R4THX8_9PHYC</t>
  </si>
  <si>
    <t>11.09.P3-29.390-32_27</t>
  </si>
  <si>
    <t>Uncharacterized protein n=1 Tax=Chrysochromulina ericina virus TaxID=455364 RepID=A0A0N9R3I6_CEV01</t>
  </si>
  <si>
    <t>11.09.P3-29.390-32_28</t>
  </si>
  <si>
    <t>PDIL1-3 protein n=1 Tax=Symbiodinium natans TaxID=878477 RepID=A0A812Q1K4_9DINO</t>
  </si>
  <si>
    <t>11.09.P3-29.390-32_31</t>
  </si>
  <si>
    <t>sp|Q66KB0|UBE2Z_XENTR Ubiquitin-conjugating enzyme E2 Z OS=Xenopus tropicalis OX=8364 GN=ube2z PE=2 SV=2</t>
  </si>
  <si>
    <t>E2 ubiquitin-conjugating enzyme n=1 Tax=Chrysochromulina ericina virus TaxID=455364 RepID=A0A0N9QQR9_CEV01</t>
  </si>
  <si>
    <t>11.09.P3-29.390-32_35</t>
  </si>
  <si>
    <t>Uncharacterized protein n=1 Tax=Chrysochromulina ericina virus TaxID=455364 RepID=A0A0N9QXZ4_CEV01</t>
  </si>
  <si>
    <t>11.09.P3-29.390-32_4</t>
  </si>
  <si>
    <t>sp|Q9C167|RIR2_NEUCR Ribonucleoside-diphosphate reductase small chain OS=Neurospora crassa (strain ATCC 24698 / 74-OR23-1A / CBS 708.71 / DSM 1257 / FGSC 987) OX=367110 GN=rnr-2 PE=3 SV=2</t>
  </si>
  <si>
    <t>Ribonucleoside-diphosphate reductase small chain n=1 Tax=Plasmodiophora brassicae TaxID=37360 RepID=A0A0G4IZJ3_PLABS</t>
  </si>
  <si>
    <t>11.09.P3-29.390-32_5</t>
  </si>
  <si>
    <t>COG4983 [FUNC="Primase-polymerase (Primpol) domain protein"] [shortName=] [TAG=X TAGDEF="Mobilome: prophages, transposons" PROCESS=""]  [PATHWAY=""] primase [Listeria innocua]</t>
  </si>
  <si>
    <t>11.09.P3-29.575-50_1</t>
  </si>
  <si>
    <t>C2H2-type domain-containing protein n=3 Tax=unclassified Prymnesiovirus TaxID=358403 RepID=R4TW46_9PHYC</t>
  </si>
  <si>
    <t>11.09.P3-29.575-50_10</t>
  </si>
  <si>
    <t>11.09.P3-29.575-50_13</t>
  </si>
  <si>
    <t>VOG06286 [FUNC="REFSEQ hypothetical protein"] [TAG=Xu TAGDEF="Function unknown"]</t>
  </si>
  <si>
    <t>11.09.P3-29.575-50_16</t>
  </si>
  <si>
    <t>11.09.P3-29.575-50_17</t>
  </si>
  <si>
    <t>11.09.P3-29.575-50_2</t>
  </si>
  <si>
    <t>C2H2-type domain-containing protein n=3 Tax=unclassified Prymnesiovirus TaxID=358403 RepID=R4TQN8_9PHYC</t>
  </si>
  <si>
    <t>11.09.P3-29.575-50_21</t>
  </si>
  <si>
    <t>11.09.P3-29.575-50_22</t>
  </si>
  <si>
    <t>COG1754 [FUNC="Uncharacterized C-terminal domain of topoisomerase IA"] [shortName=] [TAG=S TAGDEF="Function unknown" PROCESS="POORLY CHARACTERIZED"]  [PATHWAY=""] type I DNA topoisomerase [Petrimonas mucosa]</t>
  </si>
  <si>
    <t>DNA topoisomerase n=3 Tax=unclassified Prymnesiovirus TaxID=358403 RepID=R4TFQ7_9PHYC</t>
  </si>
  <si>
    <t>11.09.P3-29.575-50_24</t>
  </si>
  <si>
    <t>Replication factor C small subunit n=1 Tax=Virus NIOZ-UU159 TaxID=2763270 RepID=A0A7S9SUE5_9VIRU</t>
  </si>
  <si>
    <t>11.09.P3-29.575-50_25</t>
  </si>
  <si>
    <t>sp|P63037|DNJA1_MOUSE DnaJ homolog subfamily A member 1 OS=Mus musculus OX=10090 GN=Dnaja1 PE=1 SV=1</t>
  </si>
  <si>
    <t>COG1141 [FUNC="Ferredoxin"] [shortName=Fer] [TAG=C TAGDEF="Energy production and conversion" PROCESS="METABOLISM"]  [PATHWAY=""] heat shock protein DnaJ domain protein [Nitrosopumilus maritimus SCM1]</t>
  </si>
  <si>
    <t>Chaperone protein n=1 Tax=Virus NIOZ-UU159 TaxID=2763270 RepID=A0A7S9SUD1_9VIRU</t>
  </si>
  <si>
    <t>11.09.P3-29.575-50_28</t>
  </si>
  <si>
    <t>SAP domain-containing protein n=3 Tax=unclassified Prymnesiovirus TaxID=358403 RepID=R4TV99_9PHYC</t>
  </si>
  <si>
    <t>11.09.P3-29.575-50_29</t>
  </si>
  <si>
    <t>sp|O74503|UAF30_SCHPO Upstream activation factor subunit spp27 OS=Schizosaccharomyces pombe (strain 972 / ATCC 24843) OX=284812 GN=spp27 PE=1 SV=1</t>
  </si>
  <si>
    <t>11.09.P3-29.575-50_34</t>
  </si>
  <si>
    <t>sp|P0CQ71|IF4A_CRYNB ATP-dependent RNA helicase eIF4A OS=Cryptococcus neoformans var. neoformans serotype D (strain B-3501A) OX=283643 GN=TIF1 PE=3 SV=1</t>
  </si>
  <si>
    <t>11.09.P3-29.575-50_35</t>
  </si>
  <si>
    <t>sp|B9DVK7|MUTS2_STRU0 Endonuclease MutS2 OS=Streptococcus uberis (strain ATCC BAA-854 / 0140J) OX=218495 GN=mutS2 PE=3 SV=1</t>
  </si>
  <si>
    <t>COG0249 [FUNC="DNA mismatch repair ATPase MutS"] [shortName=MutS] [TAG=L TAGDEF="Replication, recombination and repair" PROCESS="INFORMATION STORAGE AND PROCESSING"]  [PATHWAY=""] DNA mismatch repair protein MutS [Peptoniphilus harei]</t>
  </si>
  <si>
    <t>11.09.P3-29.575-50_37</t>
  </si>
  <si>
    <t>11.09.P3-29.575-50_38</t>
  </si>
  <si>
    <t>11.09.P3-29.575-50_39</t>
  </si>
  <si>
    <t>11.09.P3-29.575-50_5</t>
  </si>
  <si>
    <t>11.09.P3-29.575-50_6</t>
  </si>
  <si>
    <t>COG3236 [FUNC="N-glycosidase YbiA/RibX (riboflavin biosynthesis, damage control), NADAR superfamily"] [shortName=RibX] [TAG=H TAGDEF="Coenzyme transport and metabolism" PROCESS="METABOLISM"] [TAG=V TAGDEF="Defense mechanisms" PROCESS="CELLULAR PROCESSES AND SIGNALING"]  [PATHWAY=""] Hypothetical protein A7982_11841 [Minicystis rosea]</t>
  </si>
  <si>
    <t>11.09.P3-29.575-50_7</t>
  </si>
  <si>
    <t>sp|Q5UQ31|YR210_MIMIV Uncharacterized protein R210 OS=Acanthamoeba polyphaga mimivirus OX=212035 GN=MIMI_R210 PE=4 SV=1</t>
  </si>
  <si>
    <t>11.09.P3-29.575-50_8</t>
  </si>
  <si>
    <t>sp|Q6C116|FEN1_YARLI Flap endonuclease 1 OS=Yarrowia lipolytica (strain CLIB 122 / E 150) OX=284591 GN=FEN1 PE=3 SV=1</t>
  </si>
  <si>
    <t>11.09.P3-29.694-17_17</t>
  </si>
  <si>
    <t>sp|Q8CG76|ARK72_MOUSE Aflatoxin B1 aldehyde reductase member 2 OS=Mus musculus OX=10090 GN=Akr7a2 PE=1 SV=3</t>
  </si>
  <si>
    <t>NADP-dependent oxidoreductase domain-containing protein (Fragment) n=1 Tax=Micromonas commoda (strain RCC299 / NOUM17 / CCMP2709) TaxID=296587 RepID=C1E5P0_MICCC</t>
  </si>
  <si>
    <t>11.09.P3-29.694-17_18</t>
  </si>
  <si>
    <t>sp|Q9VLC1|FUCTB_DROME Alpha-(1,3)-fucosyltransferase B OS=Drosophila melanogaster OX=7227 GN=FucTB PE=2 SV=2</t>
  </si>
  <si>
    <t>11.09.P3-29.694-17_25</t>
  </si>
  <si>
    <t>Sulfhydryl oxidase n=1 Tax=Acanthocystis turfacea Chlorella virus GM0701.1 TaxID=1278271 RepID=M1HUK6_9PHYC</t>
  </si>
  <si>
    <t>11.09.P3-29.694-17_33</t>
  </si>
  <si>
    <t>11.09.P3-29.694-17_34</t>
  </si>
  <si>
    <t>11.09.P3-29.694-17_37</t>
  </si>
  <si>
    <t>11.09.P3-29.694-17_50</t>
  </si>
  <si>
    <t>11.09.P3-29.694-17_54</t>
  </si>
  <si>
    <t>11.09.P3-29.694-17_56</t>
  </si>
  <si>
    <t>11.09.P3-29.694-17_58</t>
  </si>
  <si>
    <t>11.09.P3-29.694-17_59</t>
  </si>
  <si>
    <t>11.09.P3-29.694-17_6</t>
  </si>
  <si>
    <t>sp|D3ZSP7|TTC3_RAT E3 ubiquitin-protein ligase TTC3 OS=Rattus norvegicus OX=10116 GN=Ttc3 PE=3 SV=3</t>
  </si>
  <si>
    <t>RING-type domain-containing protein n=1 Tax=Pseudictyota dubia TaxID=2749911 RepID=A0A7R9ZCR9_9STRA</t>
  </si>
  <si>
    <t>11.09.P3-29.694-17_60</t>
  </si>
  <si>
    <t>11.09.P3-29.694-17_62</t>
  </si>
  <si>
    <t>11.09.P3-29.694-17_84</t>
  </si>
  <si>
    <t>COG0558 [FUNC="Phosphatidylglycerophosphate synthase"] [shortName=PgsA] [TAG=I TAGDEF="Lipid transport and metabolism" PROCESS="METABOLISM"]  [PATHWAY="Phospholipid biosynthesis"] MULTISPECIES: CDP-alcohol phosphatidyltransferase family protein [Pandoraea]</t>
  </si>
  <si>
    <t>Fe2OG dioxygenase domain-containing protein n=1 Tax=Tetrabaena socialis TaxID=47790 RepID=A0A2J7ZNP8_9CHLO</t>
  </si>
  <si>
    <t>11.09.P3-3.032-2.8_1</t>
  </si>
  <si>
    <t>11.09.P3-3.036-4.8_2</t>
  </si>
  <si>
    <t>sp|Q7S834|LTN1_NEUCR E3 ubiquitin-protein ligase listerin OS=Neurospora crassa (strain ATCC 24698 / 74-OR23-1A / CBS 708.71 / DSM 1257 / FGSC 987) OX=367110 GN=rkr-1 PE=3 SV=1</t>
  </si>
  <si>
    <t>11.09.P3-3.036-4.8_3</t>
  </si>
  <si>
    <t>sp|P0C9B9|VPRT_ASFK5 SUMO-1 cysteine protease S273R OS=African swine fever virus (isolate Pig/Kenya/KEN-50/1950) OX=561445 GN=Ken-123 PE=1 SV=1</t>
  </si>
  <si>
    <t>C-terminal catalytic domain of Ulp1 protease n=1 Tax=Chrysochromulina ericina virus TaxID=455364 RepID=A0A0N9R0W1_CEV01</t>
  </si>
  <si>
    <t>11.09.P3-3.036-4.8_4</t>
  </si>
  <si>
    <t>sp|A6ZY34|UBP4_YEAS7 Ubiquitin carboxyl-terminal hydrolase 4 OS=Saccharomyces cerevisiae (strain YJM789) OX=307796 GN=DOA4 PE=3 SV=1</t>
  </si>
  <si>
    <t>11.09.P3-3.085-10_1</t>
  </si>
  <si>
    <t>Transposase n=3 Tax=unclassified Prymnesiovirus TaxID=358403 RepID=R4TV23_9PHYC</t>
  </si>
  <si>
    <t>11.09.P3-3.085-10_4</t>
  </si>
  <si>
    <t>COG2827 [FUNC="Predicted endonuclease, GIY-YIG superfamily"] [shortName=YhbQ] [TAG=L TAGDEF="Replication, recombination and repair" PROCESS="INFORMATION STORAGE AND PROCESSING"]  [PATHWAY=""] GIY-YIG nuclease family protein [Salinivirga cyanobacteriivorans]</t>
  </si>
  <si>
    <t>11.09.P3-3.085-10_5</t>
  </si>
  <si>
    <t>11.09.P3-3.085-10_6</t>
  </si>
  <si>
    <t>11.09.P3-3.138-45_3</t>
  </si>
  <si>
    <t>11.09.P3-3.138-45_5</t>
  </si>
  <si>
    <t>11.09.P3-3.189-1.7_1</t>
  </si>
  <si>
    <t>sp|Q5UR12|TGDS_MIMIV Putative dTDP-D-glucose 4,6-dehydratase OS=Acanthamoeba polyphaga mimivirus OX=212035 GN=MIMI_R141 PE=1 SV=1</t>
  </si>
  <si>
    <t>GDP-mannose 4,6 dehydratase n=1 Tax=Marseillevirus LCMAC201 TaxID=2506605 RepID=A0A481YWF6_9VIRU</t>
  </si>
  <si>
    <t>11.09.P3-3.189-1.7_2</t>
  </si>
  <si>
    <t>Uncharacterized protein (Fragment) n=2 Tax=unclassified Vibrio TaxID=2614977 RepID=A0A6G3L502_9VIBR</t>
  </si>
  <si>
    <t>11.09.P3-3.189-1.7_3</t>
  </si>
  <si>
    <t>sp|Q5UPS5|YL780_MIMIV Uncharacterized protein L780 OS=Acanthamoeba polyphaga mimivirus OX=212035 GN=MIMI_L780 PE=1 SV=1</t>
  </si>
  <si>
    <t>dTDP-D-glucose 4,6-dehydratase n=1 Tax=Hokovirus HKV1 TaxID=1977638 RepID=A0A1V0SG27_9VIRU</t>
  </si>
  <si>
    <t>11.09.P3-3.224-4.5_2</t>
  </si>
  <si>
    <t>MIGE-like protein n=1 Tax=Chrysochromulina ericina virus TaxID=455364 RepID=A0A0N9R361_CEV01</t>
  </si>
  <si>
    <t>11.09.P3-3.224-4.5_3</t>
  </si>
  <si>
    <t>Uncharacterized protein n=1 Tax=Chrysochromulina ericina virus TaxID=455364 RepID=A0A0N9QB32_CEV01</t>
  </si>
  <si>
    <t>11.09.P3-3.297-4.1_4</t>
  </si>
  <si>
    <t>Putative SNF2_N domain containing helicase, transcription termination factor n=1 Tax=Chrysochromulina ericina virus TaxID=455364 RepID=A0A0N9QR13_CEV01</t>
  </si>
  <si>
    <t>11.09.P3-3.347-29_7</t>
  </si>
  <si>
    <t>sp|Q5QXE0|CRYD_IDILO Cryptochrome DASH OS=Idiomarina loihiensis (strain ATCC BAA-735 / DSM 15497 / L2-TR) OX=283942 GN=cry PE=3 SV=1</t>
  </si>
  <si>
    <t>Deoxyribodipyrimidine photolyase n=2 Tax=Megavirus baoshan TaxID=2496520 RepID=A0A8K1W7D5_9VIRU</t>
  </si>
  <si>
    <t>11.09.P3-3.418-40_2</t>
  </si>
  <si>
    <t>Chlorovirus glycoprotein repeat domain-containing protein n=1 Tax=Paramecium bursaria Chlorella virus IL3A TaxID=46019 RepID=M1I682_PBCVI</t>
  </si>
  <si>
    <t>11.09.P3-3.444-6.1_2</t>
  </si>
  <si>
    <t>COG1525 [FUNC="Endonuclease YncB, thermonuclease family"] [shortName=YncB] [TAG=L TAGDEF="Replication, recombination and repair" PROCESS="INFORMATION STORAGE AND PROCESSING"]  [PATHWAY=""] nuclease [Klebsiella variicola]</t>
  </si>
  <si>
    <t>11.09.P3-3.444-6.1_4</t>
  </si>
  <si>
    <t>RING-type domain-containing protein n=1 Tax=Chrysochromulina ericina virus TaxID=455364 RepID=A0A0N9QY02_CEV01</t>
  </si>
  <si>
    <t>11.09.P3-3.483-40_2</t>
  </si>
  <si>
    <t>sp|P05302|MTD1_DESNO Type II methyltransferase M.DdeI OS=Desulfomicrobium norvegicum (strain DSM 1741 / NCIMB 8310) OX=52561 GN=ddeIM PE=1 SV=1</t>
  </si>
  <si>
    <t>COG0270 [FUNC="DNA-cytosine methylase"] [shortName=Dcm] [TAG=L TAGDEF="Replication, recombination and repair" PROCESS="INFORMATION STORAGE AND PROCESSING"]  [PATHWAY=""] DNA (cytosine-5-)-methyltransferase [Endomicrobium proavitum]</t>
  </si>
  <si>
    <t>Cytosine-specific methyltransferase n=1 Tax=Paramecium bursaria Chlorella virus NY2A TaxID=46021 RepID=A7IX91_PBCVN</t>
  </si>
  <si>
    <t>11.09.P3-3.483-40_4</t>
  </si>
  <si>
    <t>11.09.P3-3.518-3.9_1</t>
  </si>
  <si>
    <t>COG0367 [FUNC="Asparagine synthetase B (glutamine-hydrolyzing)"] [shortName=AsnB] [TAG=E TAGDEF="Amino acid transport and metabolism" PROCESS="METABOLISM"]  [PATHWAY="Asparagine biosynthesis"] asparagine synthetase B [Psychroflexus torquis]</t>
  </si>
  <si>
    <t>11.09.P3-3.532-52_1</t>
  </si>
  <si>
    <t>Collagen triple helix repeat motif-containing protein n=1 Tax=Hokovirus HKV1 TaxID=1977638 RepID=A0A1V0SG21_9VIRU</t>
  </si>
  <si>
    <t>11.09.P3-3.590-60_3</t>
  </si>
  <si>
    <t>sp|Q39239|TRXH4_ARATH Thioredoxin H4 OS=Arabidopsis thaliana OX=3702 GN=TRX4 PE=1 SV=2</t>
  </si>
  <si>
    <t>KOG0908 [FUNC="Thioredoxin-like protein"] [shortName=] [TAG=O TAGDEF="Posttranslational modification, protein turnover, chaperones" PROCESS="CELLULAR PROCESSES AND SIGNALING"]  [PATHWAY=""]</t>
  </si>
  <si>
    <t>Thioredoxin (Fragment) n=1 Tax=Genlisea aurea TaxID=192259 RepID=S8EHF6_9LAMI</t>
  </si>
  <si>
    <t>11.09.P3-3.590-60_4</t>
  </si>
  <si>
    <t>sp|Q5URB2|YR188_MIMIV Uncharacterized protein R188 OS=Acanthamoeba polyphaga mimivirus OX=212035 GN=MIMI_R188 PE=1 SV=1</t>
  </si>
  <si>
    <t>Flavin containing amine oxidoreductase n=1 Tax=Mimiviridae sp. ChoanoV1 TaxID=2596887 RepID=A0A5B8HW88_9VIRU</t>
  </si>
  <si>
    <t>11.09.P3-3.590-60_5</t>
  </si>
  <si>
    <t>TMF family protein n=1 Tax=Spirosoma profusum TaxID=2771354 RepID=A0A926XWR5_9BACT</t>
  </si>
  <si>
    <t>11.09.P3-3.614-4.1_3</t>
  </si>
  <si>
    <t>sp|P18616|NRPB1_ARATH DNA-directed RNA polymerase II subunit RPB1 OS=Arabidopsis thaliana OX=3702 GN=NRPB1 PE=1 SV=3</t>
  </si>
  <si>
    <t>11.09.P3-3.614-4.1_5</t>
  </si>
  <si>
    <t>11.09.P3-3.634-4.5_1</t>
  </si>
  <si>
    <t>sp|Q8CFA2|GCST_MOUSE Aminomethyltransferase, mitochondrial OS=Mus musculus OX=10090 GN=Amt PE=1 SV=1</t>
  </si>
  <si>
    <t>COG0404 [FUNC="Glycine cleavage system protein T (aminomethyltransferase)"] [shortName=GcvT] [TAG=E TAGDEF="Amino acid transport and metabolism" PROCESS="METABOLISM"]  [PATHWAY="Glycine cleavage"] glycine cleavage system aminomethyltransferase T [Sphingorhabdus flavimaris]</t>
  </si>
  <si>
    <t>Aminomethyltransferase n=1 Tax=Rhizopus oryzae TaxID=64495 RepID=A0A9P6XDD6_RHIOR</t>
  </si>
  <si>
    <t>11.09.P3-3.634-4.5_2</t>
  </si>
  <si>
    <t>NUDIX hydrolase n=1 Tax=Indivirus ILV1 TaxID=1977633 RepID=A0A1V0SCW5_9VIRU</t>
  </si>
  <si>
    <t>11.09.P3-3.634-4.5_3</t>
  </si>
  <si>
    <t>Uncharacterized protein n=1 Tax=Opuntia streptacantha TaxID=393608 RepID=A0A7C9DB24_OPUST</t>
  </si>
  <si>
    <t>11.09.P3-3.634-4.5_4</t>
  </si>
  <si>
    <t>11.09.P3-3.673-2.4_4</t>
  </si>
  <si>
    <t>VOG02098 [FUNC="REFSEQ dynamin family protein"] [TAG=Xu TAGDEF="Function unknown"]</t>
  </si>
  <si>
    <t>Dynamin superfamily protein n=1 Tax=Fadolivirus 1 TaxID=2740746 RepID=A0A7D3QTU0_9VIRU</t>
  </si>
  <si>
    <t>11.09.P3-3.747-61_4</t>
  </si>
  <si>
    <t>DNA-directed RNA polymerase n=1 Tax=Mimiviridae sp. ChoanoV1 TaxID=2596887 RepID=A0A5B8IHA4_9VIRU</t>
  </si>
  <si>
    <t>11.09.P3-3.755-5.3_2</t>
  </si>
  <si>
    <t>11.09.P3-3.755-5.3_3</t>
  </si>
  <si>
    <t>11.09.P3-3.814-37_2</t>
  </si>
  <si>
    <t>sp|A3DMP2|RPO5_STAMF DNA-directed RNA polymerase subunit Rpo5 OS=Staphylothermus marinus (strain ATCC 43588 / DSM 3639 / JCM 9404 / F1) OX=399550 GN=rpo5 PE=3 SV=1</t>
  </si>
  <si>
    <t>COG2012 [FUNC="DNA-directed RNA polymerase, subunit H, RpoH/RPB5"] [shortName=RPB5] [TAG=K TAGDEF="Transcription" PROCESS="INFORMATION STORAGE AND PROCESSING"]  [PATHWAY="RNA polymerase"] DNA-directed RNA polymerase subunit H [Staphylothermus hellenicus]</t>
  </si>
  <si>
    <t>RNA polymerase subunit H/Rpb5 C-terminal domain-containing protein n=1 Tax=Aplanochytrium stocchinoi TaxID=215587 RepID=A0A6S8FF23_9STRA</t>
  </si>
  <si>
    <t>11.09.P3-3.814-37_5</t>
  </si>
  <si>
    <t>sp|Q91F86|VF439_IIV6 Probable kinase 439L OS=Invertebrate iridescent virus 6 OX=176652 GN=IIV6-439L PE=3 SV=1</t>
  </si>
  <si>
    <t>VOG01022 [FUNC="sp|Q196W2|VF439_IIV3 Probable kinase 098L"] [TAG=Xh TAGDEF="Virus protein with function beneficial for the host"]</t>
  </si>
  <si>
    <t>Protein kinase (Fragment) n=1 Tax=Pithovirus LCDPAC01 TaxID=2506600 RepID=A0A481YPP2_9VIRU</t>
  </si>
  <si>
    <t>11.09.P3-3.853-5.1_1</t>
  </si>
  <si>
    <t>Uncharacterized protein n=1 Tax=Arundo donax TaxID=35708 RepID=A0A0A9MXN5_ARUDO</t>
  </si>
  <si>
    <t>11.09.P3-3.853-5.1_2</t>
  </si>
  <si>
    <t>Secreted protein n=1 Tax=Rhipicephalus microplus TaxID=6941 RepID=A0A6G5A4I2_RHIMP</t>
  </si>
  <si>
    <t>11.09.P3-3.853-5.1_3</t>
  </si>
  <si>
    <t>DNA topoisomerase 2 n=1 Tax=Chrysochromulina ericina virus TaxID=455364 RepID=A0A0N9Q973_CEV01</t>
  </si>
  <si>
    <t>11.09.P3-3.853-5.1_4</t>
  </si>
  <si>
    <t>VOG01465 [FUNC="sp|P07065|TOP5_BPT4 DNA topoisomerase medium subunit"] [TAG=Xh TAGDEF="Virus protein with function beneficial for the host"]</t>
  </si>
  <si>
    <t>Putative DNA gyrase/DNA topoisomerase IV subunit A n=1 Tax=Yellowstone lake mimivirus TaxID=1586712 RepID=A0A0N7KVR0_9VIRU</t>
  </si>
  <si>
    <t>11.09.P3-3.877-46_2</t>
  </si>
  <si>
    <t>sp|P50183|T2N4_NEILA Type II restriction enzyme NlaIV OS=Neisseria lactamica OX=486 GN=nlaIVR PE=1 SV=1</t>
  </si>
  <si>
    <t>Restriction endonuclease n=1 Tax=Ostreococcus lucimarinus virus OlV4 TaxID=754063 RepID=G9E547_9PHYC</t>
  </si>
  <si>
    <t>11.09.P3-3.877-46_5</t>
  </si>
  <si>
    <t>sp|P50182|MTN4_NEILA Type II methyltransferase M.NlaIV OS=Neisseria lactamica OX=486 GN=nlaIVM PE=3 SV=1</t>
  </si>
  <si>
    <t>COG0270 [FUNC="DNA-cytosine methylase"] [shortName=Dcm] [TAG=L TAGDEF="Replication, recombination and repair" PROCESS="INFORMATION STORAGE AND PROCESSING"]  [PATHWAY=""] DNA (cytosine-5-)-methyltransferase [Chondrocystis sp. NIES-4102]</t>
  </si>
  <si>
    <t>Cytosine-specific methyltransferase n=1 Tax=Ostreococcus lucimarinus virus OlV4 TaxID=754063 RepID=G9E546_9PHYC</t>
  </si>
  <si>
    <t>11.09.P3-3.999-7.9_2</t>
  </si>
  <si>
    <t>COG5295 [FUNC="Autotransporter adhesin"] [shortName=Hia] [TAG=U TAGDEF="Intracellular trafficking, secretion, and vesicular transport" PROCESS="CELLULAR PROCESSES AND SIGNALING"] [TAG=W TAGDEF="Extracellular structures" PROCESS="CELLULAR PROCESSES AND SIGNALING"]  [PATHWAY=""] surface protein A1 UspA1 [Moraxella catarrhalis]</t>
  </si>
  <si>
    <t>Collagen triple helix repeat motif-containing protein n=1 Tax=Klosneuvirus KNV1 TaxID=1977640 RepID=A0A1V0SLM6_9VIRU</t>
  </si>
  <si>
    <t>11.09.P3-30.875-34_1</t>
  </si>
  <si>
    <t>Glutaredoxin domain-containing protein n=1 Tax=Chrysochromulina ericina virus TaxID=455364 RepID=A0A0N9QQ76_CEV01</t>
  </si>
  <si>
    <t>11.09.P3-30.875-34_10</t>
  </si>
  <si>
    <t>Rhodanese domain-containing protein n=3 Tax=unclassified Prymnesiovirus TaxID=358403 RepID=R4THS1_9PHYC</t>
  </si>
  <si>
    <t>11.09.P3-30.875-34_11</t>
  </si>
  <si>
    <t>VOG17347 [FUNC="REFSEQ hypothetical protein"] [TAG=Xu TAGDEF="Function unknown"]</t>
  </si>
  <si>
    <t>Helicase n=1 Tax=Yellowstone lake mimivirus TaxID=1586712 RepID=A0A0P0YLS6_9VIRU</t>
  </si>
  <si>
    <t>11.09.P3-30.875-34_13</t>
  </si>
  <si>
    <t>sp|Q7DBF9|UDG_ECO57 UDP-glucose 6-dehydrogenase OS=Escherichia coli O157:H7 OX=83334 GN=ugd PE=3 SV=1</t>
  </si>
  <si>
    <t>Putative UDP-glucose 6-dehydrogenase n=1 Tax=Catovirus CTV1 TaxID=1977631 RepID=A0A1V0SAG2_9VIRU</t>
  </si>
  <si>
    <t>11.09.P3-30.875-34_14</t>
  </si>
  <si>
    <t>sp|Q6M0B4|WECBH_METMP UDP-N-acetylglucosamine 2-epimerase homolog OS=Methanococcus maripaludis (strain S2 / LL) OX=267377 GN=MMP0357 PE=1 SV=1</t>
  </si>
  <si>
    <t>COG0381 [FUNC="UDP-N-acetylglucosamine 2-epimerase"] [shortName=WecB] [TAG=M TAGDEF="Cell wall/membrane/envelope biogenesis" PROCESS="CELLULAR PROCESSES AND SIGNALING"]  [PATHWAY=""] UDP-N-acetylglucosamine 2-epimerase [Runella slithyformis DSM 19594]</t>
  </si>
  <si>
    <t>UDP-N-acetylglucosamine 2-epimerase n=1 Tax=Chrysochromulina ericina virus TaxID=455364 RepID=A0A0N9R0B2_CEV01</t>
  </si>
  <si>
    <t>11.09.P3-30.875-34_15</t>
  </si>
  <si>
    <t>sp|Q58899|WECB_METJA UDP-N-acetylglucosamine 2-epimerase OS=Methanocaldococcus jannaschii (strain ATCC 43067 / DSM 2661 / JAL-1 / JCM 10045 / NBRC 100440) OX=243232 GN=wecB PE=1 SV=1</t>
  </si>
  <si>
    <t>COG0381 [FUNC="UDP-N-acetylglucosamine 2-epimerase"] [shortName=WecB] [TAG=M TAGDEF="Cell wall/membrane/envelope biogenesis" PROCESS="CELLULAR PROCESSES AND SIGNALING"]  [PATHWAY=""] UDP-N-acetylglucosamine 2-epimerase (non-hydrolyzing) [Candidatus Cloacimonas acidaminovorans]</t>
  </si>
  <si>
    <t>11.09.P3-30.875-34_16</t>
  </si>
  <si>
    <t>VOG28338 [FUNC="REFSEQ hypothetical protein"] [TAG=Xu TAGDEF="Function unknown"]</t>
  </si>
  <si>
    <t>11.09.P3-30.875-34_2</t>
  </si>
  <si>
    <t>Uncharacterized protein n=1 Tax=Yellowstone lake mimivirus TaxID=1586712 RepID=A0A0P0YM49_9VIRU</t>
  </si>
  <si>
    <t>11.09.P3-30.875-34_20</t>
  </si>
  <si>
    <t>sp|Q5UPT5|YL246_MIMIV Uncharacterized protein L246 OS=Acanthamoeba polyphaga mimivirus OX=212035 GN=MIMI_L246 PE=3 SV=1</t>
  </si>
  <si>
    <t>HNH endonuclease n=1 Tax=Schinkia azotoformans MEV2011 TaxID=1348973 RepID=A0A072P4N2_SCHAZ</t>
  </si>
  <si>
    <t>11.09.P3-30.875-34_21</t>
  </si>
  <si>
    <t>sp|Q05274|VG61_BPML5 Gene 61 protein OS=Mycobacterium phage L5 OX=31757 GN=61 PE=4 SV=1</t>
  </si>
  <si>
    <t>COG0758 [FUNC="Predicted Rossmann fold nucleotide-binding protein DprA/Smf involved in DNA uptake"] [shortName=Smf] [TAG=L TAGDEF="Replication, recombination and repair" PROCESS="INFORMATION STORAGE AND PROCESSING"]  [PATHWAY=""] DUF2493 domain-containing protein [Geoalkalibacter subterraneus]</t>
  </si>
  <si>
    <t>VOG00413 [FUNC="sp|O64253|VG61_BPMD2 Gene 61 protein"] [TAG=Xu TAGDEF="Function unknown"]</t>
  </si>
  <si>
    <t>DNA recombination-mediator protein A n=1 Tax=Marseillevirus LCMAC202 TaxID=2506606 RepID=A0A481YZA6_9VIRU</t>
  </si>
  <si>
    <t>11.09.P3-30.875-34_23</t>
  </si>
  <si>
    <t>VOG15585 [FUNC="REFSEQ hypothetical protein"] [TAG=Xu TAGDEF="Function unknown"]</t>
  </si>
  <si>
    <t>Zinc-binding loop containing protein n=1 Tax=Chrysochromulina ericina virus TaxID=455364 RepID=A0A0N9QAE0_CEV01</t>
  </si>
  <si>
    <t>11.09.P3-30.875-34_24</t>
  </si>
  <si>
    <t>COG2129 [FUNC="Predicted phosphoesterase, related to the Icc protein"] [shortName=] [TAG=R TAGDEF="General function prediction only" PROCESS="POORLY CHARACTERIZED"]  [PATHWAY=""] phosphoesterase [Hahella chejuensis]</t>
  </si>
  <si>
    <t>11.09.P3-30.875-34_27</t>
  </si>
  <si>
    <t>Uncharacterized protein n=1 Tax=Chrysochromulina ericina virus TaxID=455364 RepID=A0A0N7G7K5_CEV01</t>
  </si>
  <si>
    <t>11.09.P3-30.875-34_28</t>
  </si>
  <si>
    <t>sp|P46915|COTSA_BACSU Spore coat protein SA OS=Bacillus subtilis (strain 168) OX=224308 GN=cotSA PE=1 SV=1</t>
  </si>
  <si>
    <t>COG0438 [FUNC="Glycosyltransferase involved in cell wall bisynthesis"] [shortName=RfaB] [TAG=M TAGDEF="Cell wall/membrane/envelope biogenesis" PROCESS="CELLULAR PROCESSES AND SIGNALING"]  [PATHWAY=""] glycosyltransferase WbuB [Orrella dioscoreae]</t>
  </si>
  <si>
    <t>VOG33185 [FUNC="REFSEQ hypothetical protein"] [TAG=Xu TAGDEF="Function unknown"]</t>
  </si>
  <si>
    <t>Glycosyl transferase family 1 n=1 Tax=Zobellella endophytica TaxID=2116700 RepID=A0A2P7RCV0_9GAMM</t>
  </si>
  <si>
    <t>11.09.P3-30.875-34_3</t>
  </si>
  <si>
    <t>11.09.P3-30.875-34_30</t>
  </si>
  <si>
    <t>COG2327 [FUNC="Polysaccharide pyruvyl transferase family protein WcaK (colanic acid biosynthesis)"] [shortName=WcaK] [TAG=M TAGDEF="Cell wall/membrane/envelope biogenesis" PROCESS="CELLULAR PROCESSES AND SIGNALING"]  [PATHWAY=""] polysaccharide pyruvyl transferase family protein [Leuconostoc kimchii]</t>
  </si>
  <si>
    <t>Polysaccharide pyruvyl transferase family protein n=1 Tax=Paracoccus denitrificans TaxID=266 RepID=A0A533I617_PARDE</t>
  </si>
  <si>
    <t>11.09.P3-30.875-34_32</t>
  </si>
  <si>
    <t>COG1752 [FUNC="Predicted acylesterase/phospholipase RssA, containd patatin domain"] [shortName=RssA] [TAG=R TAGDEF="General function prediction only" PROCESS="POORLY CHARACTERIZED"]  [PATHWAY=""] patatin [Neorickettsia sennetsu]</t>
  </si>
  <si>
    <t>Putative patatin-like phospholipase n=1 Tax=Cafeteria roenbergensis virus (strain BV-PW1) TaxID=693272 RepID=E3T4T9_CROVB</t>
  </si>
  <si>
    <t>11.09.P3-30.875-34_33</t>
  </si>
  <si>
    <t>COG1752 [FUNC="Predicted acylesterase/phospholipase RssA, containd patatin domain"] [shortName=RssA] [TAG=R TAGDEF="General function prediction only" PROCESS="POORLY CHARACTERIZED"]  [PATHWAY=""] patatin [Pseudopedobacter saltans]</t>
  </si>
  <si>
    <t>11.09.P3-30.875-34_34</t>
  </si>
  <si>
    <t>VOG03932 [FUNC="REFSEQ Protein kinase"] [TAG=Xu TAGDEF="Function unknown"]</t>
  </si>
  <si>
    <t>Protein kinase n=3 Tax=unclassified Prymnesiovirus TaxID=358403 RepID=R4TVG2_9PHYC</t>
  </si>
  <si>
    <t>11.09.P3-30.875-34_35</t>
  </si>
  <si>
    <t>11.09.P3-30.875-34_36</t>
  </si>
  <si>
    <t>COG0847 [FUNC="DNA polymerase III, epsilon subunit or related 3'-5' exonuclease"] [shortName=DnaQ] [TAG=L TAGDEF="Replication, recombination and repair" PROCESS="INFORMATION STORAGE AND PROCESSING"]  [PATHWAY=""] 3'-5' exonuclease [Odoribacter splanchnicus]</t>
  </si>
  <si>
    <t>11.09.P3-30.875-34_5</t>
  </si>
  <si>
    <t>Deoxynucleoside kinase n=3 Tax=unclassified Prymnesiovirus TaxID=358403 RepID=R4TQ88_9PHYC</t>
  </si>
  <si>
    <t>11.09.P3-30.875-34_6</t>
  </si>
  <si>
    <t>COG0164 [FUNC="Ribonuclease HII"] [shortName=RnhB] [TAG=L TAGDEF="Replication, recombination and repair" PROCESS="INFORMATION STORAGE AND PROCESSING"]  [PATHWAY=""] ribonuclease HII [Filimonas lacunae]</t>
  </si>
  <si>
    <t>Ribonuclease HII n=2 Tax=unclassified Prymnesiovirus TaxID=358403 RepID=R4THQ2_9PHYC</t>
  </si>
  <si>
    <t>11.09.P3-30.875-34_7</t>
  </si>
  <si>
    <t>sp|P38661|PDIA6_MEDSA Probable protein disulfide-isomerase A6 OS=Medicago sativa OX=3879 PE=2 SV=1</t>
  </si>
  <si>
    <t>11.09.P3-30.875-34_8</t>
  </si>
  <si>
    <t>Uncharacterized protein n=4 Tax=unclassified Prymnesiovirus TaxID=358403 RepID=R4TVE9_9PHYC</t>
  </si>
  <si>
    <t>11.09.P3-30.875-34_9</t>
  </si>
  <si>
    <t>11.09.P3-32.228-55_1</t>
  </si>
  <si>
    <t>DnaJ domain protein n=1 Tax=Mimiviridae sp. ChoanoV1 TaxID=2596887 RepID=A0A5B8HVG9_9VIRU</t>
  </si>
  <si>
    <t>11.09.P3-32.228-55_12</t>
  </si>
  <si>
    <t>COG0270 [FUNC="DNA-cytosine methylase"] [shortName=Dcm] [TAG=L TAGDEF="Replication, recombination and repair" PROCESS="INFORMATION STORAGE AND PROCESSING"]  [PATHWAY=""] DNA (cytosine-5-)-methyltransferase [Flavobacterium johnsoniae]</t>
  </si>
  <si>
    <t>Cytosine-specific methyltransferase n=1 Tax=Ostreococcus tauri virus 2 TaxID=696472 RepID=E4WLM9_9PHYC</t>
  </si>
  <si>
    <t>11.09.P3-32.228-55_14</t>
  </si>
  <si>
    <t>VOG31939 [FUNC="REFSEQ hypothetical protein"] [TAG=Xu TAGDEF="Function unknown"]</t>
  </si>
  <si>
    <t>Uncharacterized protein n=1 Tax=Chrysochromulina ericina virus TaxID=455364 RepID=A0A0N9QIS4_CEV01</t>
  </si>
  <si>
    <t>11.09.P3-32.228-55_18</t>
  </si>
  <si>
    <t>COG3533 [FUNC="Beta-L-arabinofuranosidase, GH127 family"] [shortName=HybA1] [TAG=G TAGDEF="Carbohydrate transport and metabolism" PROCESS="METABOLISM"]  [PATHWAY=""] hypothetical protein [Muricauda ruestringensis]</t>
  </si>
  <si>
    <t>LamG-like jellyroll fold domain-containing protein (Fragment) n=1 Tax=Okeania sp. SIO2C9 TaxID=2607791 RepID=A0A846ABF6_9CYAN</t>
  </si>
  <si>
    <t>11.09.P3-32.228-55_20</t>
  </si>
  <si>
    <t>11.09.P3-32.228-55_24</t>
  </si>
  <si>
    <t>Glycosyl transferase family 1 domain-containing protein n=1 Tax=Pyramimonas orientalis virus TaxID=455367 RepID=A0A7M3UNE5_POV01</t>
  </si>
  <si>
    <t>11.09.P3-32.228-55_3</t>
  </si>
  <si>
    <t>sp|Q2HJ94|DNJA2_BOVIN DnaJ homolog subfamily A member 2 OS=Bos taurus OX=9913 GN=DNAJA2 PE=2 SV=1</t>
  </si>
  <si>
    <t>-domain-containing protein n=1 Tax=Ceraceosorus bombacis TaxID=401625 RepID=A0A0P1BLP3_9BASI</t>
  </si>
  <si>
    <t>11.09.P3-32.228-55_34</t>
  </si>
  <si>
    <t>11.09.P3-32.228-55_38</t>
  </si>
  <si>
    <t>sp|Q9C587|RFC1_ARATH Replication factor C subunit 1 OS=Arabidopsis thaliana OX=3702 GN=RFC1 PE=2 SV=1</t>
  </si>
  <si>
    <t>ATPase family protein n=1 Tax=Mimiviridae sp. ChoanoV1 TaxID=2596887 RepID=A0A5B8IPI1_9VIRU</t>
  </si>
  <si>
    <t>11.09.P3-32.228-55_42</t>
  </si>
  <si>
    <t>sp|Q5UQP9|TBPL_MIMIV TATA-box-binding protein-like OS=Acanthamoeba polyphaga mimivirus OX=212035 GN=MIMI_R453 PE=3 SV=1</t>
  </si>
  <si>
    <t>Transcription factor TFIID n=1 Tax=Mimiviridae sp. ChoanoV1 TaxID=2596887 RepID=A0A5B8IQX1_9VIRU</t>
  </si>
  <si>
    <t>11.09.P3-32.228-55_43</t>
  </si>
  <si>
    <t>VOG34144 [FUNC="REFSEQ hypothetical protein"] [TAG=Xu TAGDEF="Function unknown"]</t>
  </si>
  <si>
    <t>Uncharacterized protein n=2 Tax=unclassified Prymnesiovirus TaxID=358403 RepID=R4TUK8_9PHYC</t>
  </si>
  <si>
    <t>11.09.P3-32.228-55_46</t>
  </si>
  <si>
    <t>sp|P40339|RFC4_YEAST Replication factor C subunit 4 OS=Saccharomyces cerevisiae (strain ATCC 204508 / S288c) OX=559292 GN=RFC4 PE=1 SV=1</t>
  </si>
  <si>
    <t>COG0470 [FUNC="DNA polymerase III, delta prime subunit"] [shortName=HolB] [TAG=L TAGDEF="Replication, recombination and repair" PROCESS="INFORMATION STORAGE AND PROCESSING"]  [PATHWAY=""] replication factor C small subunit [Candidatus Nitrosotenuis cloacae]</t>
  </si>
  <si>
    <t>AAA+ ATPase domain-containing protein n=1 Tax=Vavraia culicis (isolate floridensis) TaxID=948595 RepID=L2GTT3_VAVCU</t>
  </si>
  <si>
    <t>11.09.P3-32.228-55_47</t>
  </si>
  <si>
    <t>Uncharacterized protein n=1 Tax=Pyramimonas orientalis virus TaxID=455367 RepID=A0A7L9AXQ3_POV01</t>
  </si>
  <si>
    <t>11.09.P3-32.228-55_7</t>
  </si>
  <si>
    <t>11.09.P3-32.228-55_9</t>
  </si>
  <si>
    <t>Major capsid protein n=1 Tax=Pyramimonas orientalis virus TaxID=455367 RepID=A0A7L9AXD4_POV01</t>
  </si>
  <si>
    <t>11.09.P3-32.471-38_12</t>
  </si>
  <si>
    <t>Multiple copy protein PGV_MIGE n=3 Tax=unclassified Prymnesiovirus TaxID=358403 RepID=R4TUP2_9PHYC</t>
  </si>
  <si>
    <t>11.09.P3-32.471-38_13</t>
  </si>
  <si>
    <t>Repeat protein n=1 Tax=Aminipila terrae TaxID=2697030 RepID=A0A6P1MF09_9FIRM</t>
  </si>
  <si>
    <t>11.09.P3-32.471-38_15</t>
  </si>
  <si>
    <t>sp|K9NVA6|DVNP5_HEMSX Dinoflagellate viral nucleoprotein 5 OS=Hematodinium sp. OX=173654 PE=1 SV=1</t>
  </si>
  <si>
    <t>11.09.P3-32.471-38_16</t>
  </si>
  <si>
    <t>11.09.P3-32.471-38_17</t>
  </si>
  <si>
    <t>11.09.P3-32.471-38_18</t>
  </si>
  <si>
    <t>Uncharacterized protein n=1 Tax=Chrysochromulina ericina virus TaxID=455364 RepID=A0A0N9Q9C4_CEV01</t>
  </si>
  <si>
    <t>11.09.P3-32.471-38_24</t>
  </si>
  <si>
    <t>11.09.P3-32.471-38_26</t>
  </si>
  <si>
    <t>VOG01315 [FUNC="sp|Q5UNU5|YL684_MIMIV Uncharacterized protein L684"] [TAG=Xu TAGDEF="Function unknown"]</t>
  </si>
  <si>
    <t>Uncharacterized protein n=1 Tax=Virus NIOZ-UU157 TaxID=2763269 RepID=A0A7S9STY8_9VIRU</t>
  </si>
  <si>
    <t>11.09.P3-32.471-38_3</t>
  </si>
  <si>
    <t>11.09.P3-32.471-38_30</t>
  </si>
  <si>
    <t>sp|O42131|TOP2B_CHICK DNA topoisomerase 2-beta OS=Gallus gallus OX=9031 GN=TOP2B PE=2 SV=1</t>
  </si>
  <si>
    <t>11.09.P3-32.471-38_31</t>
  </si>
  <si>
    <t>Uncharacterized protein n=1 Tax=Chrysochromulina ericina virus TaxID=455364 RepID=A0A0N9R3B5_CEV01</t>
  </si>
  <si>
    <t>11.09.P3-32.471-38_37</t>
  </si>
  <si>
    <t>Putative phosphoinositide-specific phospholipase C-beta2 n=1 Tax=Chrysochromulina ericina virus TaxID=455364 RepID=A0A0N9R2Z5_CEV01</t>
  </si>
  <si>
    <t>11.09.P3-32.471-38_38</t>
  </si>
  <si>
    <t>Putative poly(A) polymerase catalytic subunit n=1 Tax=Chrysochromulina ericina virus TaxID=455364 RepID=A0A0N9QY05_CEV01</t>
  </si>
  <si>
    <t>11.09.P3-32.471-38_4</t>
  </si>
  <si>
    <t>sp|Q54QR3|RB32A_DICDI Ras-related protein Rab-32A OS=Dictyostelium discoideum OX=44689 GN=rab32A PE=1 SV=1</t>
  </si>
  <si>
    <t>Ras-related protein Rab n=1 Tax=Heterostelium pallidum (strain ATCC 26659 / Pp 5 / PN500) TaxID=670386 RepID=D3BU57_HETP5</t>
  </si>
  <si>
    <t>11.09.P3-32.471-38_6</t>
  </si>
  <si>
    <t>sp|P27442|GMPR_ASCSU GMP reductase OS=Ascaris suum OX=6253 PE=2 SV=1</t>
  </si>
  <si>
    <t>COG0516 [FUNC="IMP dehydrogenase/GMP reductase"] [shortName=GuaB] [TAG=F TAGDEF="Nucleotide transport and metabolism" PROCESS="METABOLISM"]  [PATHWAY="Purine biosynthesis"] GMP reductase [Gynuella sunshinyii]</t>
  </si>
  <si>
    <t>GMP reductase n=1 Tax=Amphimedon queenslandica TaxID=400682 RepID=A0A1X7VV29_AMPQE</t>
  </si>
  <si>
    <t>11.09.P3-32.471-38_8</t>
  </si>
  <si>
    <t>11.09.P3-33.360-50_10</t>
  </si>
  <si>
    <t>sp|Q9UUA2|PIF1_SCHPO ATP-dependent DNA helicase pfh1 OS=Schizosaccharomyces pombe (strain 972 / ATCC 24843) OX=284812 GN=pfh1 PE=1 SV=1</t>
  </si>
  <si>
    <t>11.09.P3-33.360-50_15</t>
  </si>
  <si>
    <t>HNH endonuclease n=1 Tax=Vibrio phage phi 1 TaxID=1589297 RepID=A0A0B5H2K0_9CAUD</t>
  </si>
  <si>
    <t>11.09.P3-33.360-50_19</t>
  </si>
  <si>
    <t>Uncharacterized protein n=1 Tax=Chrysochromulina ericina virus TaxID=455364 RepID=A0A0N9QX57_CEV01</t>
  </si>
  <si>
    <t>11.09.P3-33.360-50_21</t>
  </si>
  <si>
    <t>sp|P9WLH5|RNHPH_MYCTU Bifunctional protein Rv2228c OS=Mycobacterium tuberculosis (strain ATCC 25618 / H37Rv) OX=83332 GN=Rv2228c PE=1 SV=1</t>
  </si>
  <si>
    <t>COG0328 [FUNC="Ribonuclease HI"] [shortName=RnhA] [TAG=L TAGDEF="Replication, recombination and repair" PROCESS="INFORMATION STORAGE AND PROCESSING"]  [PATHWAY=""] RNase H [Melittangium boletus]</t>
  </si>
  <si>
    <t>RNase H type-1 domain-containing protein n=1 Tax=Pyramimonas orientalis virus TaxID=455367 RepID=A0A7L9AXN8_POV01</t>
  </si>
  <si>
    <t>11.09.P3-33.360-50_22</t>
  </si>
  <si>
    <t>sp|Q58536|ELP3_METJA tRNA uridine(34) acetyltransferase OS=Methanocaldococcus jannaschii (strain ATCC 43067 / DSM 2661 / JAL-1 / JCM 10045 / NBRC 100440) OX=243232 GN=MJ1136 PE=3 SV=1</t>
  </si>
  <si>
    <t>COG1243 [FUNC="tRNA U34 5-carboxymethylaminomethylation enzyme Elp3 (RNA elongator complex protein 3), contains radical SAM and acetyltransferase domains"] [shortName=ELP3] [TAG=J TAGDEF="Translation, ribosomal structure and biogenesis" PROCESS="INFORMATION STORAGE AND PROCESSING"]  [PATHWAY=""] tRNA uridine(34) 5-carboxymethylaminomethyl modification radical SAM/GNAT enzyme Elp3 [Methanothermus fervidus]</t>
  </si>
  <si>
    <t>VOG31680 [FUNC="REFSEQ hypothetical protein"] [TAG=Xu TAGDEF="Function unknown"]</t>
  </si>
  <si>
    <t>ELP3-like acetyltransferase n=3 Tax=unclassified Prymnesiovirus TaxID=358403 RepID=R4TX69_9PHYC</t>
  </si>
  <si>
    <t>11.09.P3-33.360-50_24</t>
  </si>
  <si>
    <t>C2H2-type domain-containing protein n=3 Tax=unclassified Prymnesiovirus TaxID=358403 RepID=R4TG23_9PHYC</t>
  </si>
  <si>
    <t>11.09.P3-33.360-50_3</t>
  </si>
  <si>
    <t>11.09.P3-33.360-50_31</t>
  </si>
  <si>
    <t>sp|Q1I0V1|VP1_MPRVN Uncharacterized protein VP1 OS=Micromonas pusilla reovirus (isolate Netherlands/2005) OX=649596 GN=S1 PE=4 SV=1</t>
  </si>
  <si>
    <t>Peptidase S74 domain-containing protein n=1 Tax=Dishui Lake phycodnavirus 3 TaxID=2704074 RepID=A0A6G6XPP0_9PHYC</t>
  </si>
  <si>
    <t>11.09.P3-33.360-50_32</t>
  </si>
  <si>
    <t>PD-(D/E)XK endonuclease-like domain-containing protein n=1 Tax=Pithovirus sibericum TaxID=1450746 RepID=W5S592_9VIRU</t>
  </si>
  <si>
    <t>11.09.P3-33.360-50_4</t>
  </si>
  <si>
    <t>COG0272 [FUNC="NAD-dependent DNA ligase"] [shortName=Lig] [TAG=L TAGDEF="Replication, recombination and repair" PROCESS="INFORMATION STORAGE AND PROCESSING"]  [PATHWAY=""] hypothetical protein [Geoalkalibacter subterraneus]</t>
  </si>
  <si>
    <t>11.09.P3-33.360-50_5</t>
  </si>
  <si>
    <t>TIGR03118 family protein n=1 Tax=Geovibrio thiophilus TaxID=139438 RepID=A0A3R5XYV0_9BACT</t>
  </si>
  <si>
    <t>11.09.P3-33.360-50_6</t>
  </si>
  <si>
    <t>COG0756 [FUNC="dUTP pyrophosphatase (dUTPase)"] [shortName=Dut] [TAG=F TAGDEF="Nucleotide transport and metabolism" PROCESS="METABOLISM"] [TAG=V TAGDEF="Defense mechanisms" PROCESS="CELLULAR PROCESSES AND SIGNALING"]  [PATHWAY="Thymidylate biosynthesis"] hypothetical protein [Chondromyces crocatus]</t>
  </si>
  <si>
    <t>Nucleotide modification associated domain-containing protein n=1 Tax=Pithovirus LCPAC404 TaxID=2506597 RepID=A0A481ZBU3_9VIRU</t>
  </si>
  <si>
    <t>11.09.P3-33.360-50_8</t>
  </si>
  <si>
    <t>sp|Q54MZ4|MCFB_DICDI Mitochondrial substrate carrier family protein B OS=Dictyostelium discoideum OX=44689 GN=mcfB PE=3 SV=1</t>
  </si>
  <si>
    <t>KOG0752 [FUNC="Mitochondrial solute carrier protein"] [shortName=] [TAG=C TAGDEF="Energy production and conversion" PROCESS="METABOLISM"]  [PATHWAY=""]</t>
  </si>
  <si>
    <t>VOG03623 [FUNC="sp|Q5UPV8|MCAR_MIMIV Mitochondrial carrier-like protein L276"] [TAG=Xu TAGDEF="Function unknown"]</t>
  </si>
  <si>
    <t>EF-hand domain-containing protein n=1 Tax=Polysphondylium violaceum TaxID=133409 RepID=A0A8J4PS53_9MYCE</t>
  </si>
  <si>
    <t>11.09.P3-34.263-34_1</t>
  </si>
  <si>
    <t>11.09.P3-34.263-34_12</t>
  </si>
  <si>
    <t>sp|Q6GJG2|TILS_STAAR tRNA(Ile)-lysidine synthase OS=Staphylococcus aureus (strain MRSA252) OX=282458 GN=tilS PE=3 SV=1</t>
  </si>
  <si>
    <t>tRNA(Ile)-lysidine synthetase n=1 Tax=Indivirus ILV1 TaxID=1977633 RepID=A0A1V0SD04_9VIRU</t>
  </si>
  <si>
    <t>11.09.P3-34.263-34_13</t>
  </si>
  <si>
    <t>VOG25525 [FUNC="REFSEQ hypothetical protein"] [TAG=Xu TAGDEF="Function unknown"]</t>
  </si>
  <si>
    <t>TspO/MBR family protein n=1 Tax=Mimivirus LCMiAC01 TaxID=2506608 RepID=A0A481YZS5_9VIRU</t>
  </si>
  <si>
    <t>11.09.P3-34.263-34_14</t>
  </si>
  <si>
    <t>COG2124 [FUNC="Cytochrome P450"] [shortName=CypX] [TAG=Q TAGDEF="Secondary metabolites biosynthesis, transport and catabolism" PROCESS="METABOLISM"] [TAG=V TAGDEF="Defense mechanisms" PROCESS="CELLULAR PROCESSES AND SIGNALING"]  [PATHWAY="Biotin biosynthesis"] hypothetical protein Tel_08980 [Candidatus Tenderia electrophaga]</t>
  </si>
  <si>
    <t>Cytochrome P450 n=2 Tax=root TaxID=1 RepID=A0A481YYS5_9VIRU</t>
  </si>
  <si>
    <t>11.09.P3-34.263-34_16</t>
  </si>
  <si>
    <t>sp|B8D0W1|ALR_HALOH Alanine racemase OS=Halothermothrix orenii (strain H 168 / OCM 544 / DSM 9562) OX=373903 GN=alr PE=3 SV=1</t>
  </si>
  <si>
    <t>COG0787 [FUNC="Alanine racemase"] [shortName=Alr] [TAG=M TAGDEF="Cell wall/membrane/envelope biogenesis" PROCESS="CELLULAR PROCESSES AND SIGNALING"]  [PATHWAY="Mureine biosynthesis"] alanine racemase [Candidatus Xiphinematobacter sp. Idaho Grape]</t>
  </si>
  <si>
    <t>Alanine racemase n=2 Tax=Phragmitibacter flavus TaxID=2576071 RepID=A0A5R8KH91_9BACT</t>
  </si>
  <si>
    <t>11.09.P3-34.263-34_17</t>
  </si>
  <si>
    <t>sp|P14827|MTEC_ENTCL Type II methyltransferase M.EcaI OS=Enterobacter cloacae OX=550 GN=ecaIM PE=1 SV=1</t>
  </si>
  <si>
    <t>COG0863 [FUNC="DNA modification methylase"] [shortName=YhdJ] [TAG=L TAGDEF="Replication, recombination and repair" PROCESS="INFORMATION STORAGE AND PROCESSING"]  [PATHWAY=""] site-specific DNA-methyltransferase [Nodularia spumigena]</t>
  </si>
  <si>
    <t>site-specific DNA-methyltransferase (adenine-specific) n=2 Tax=Limnohabitans sp. TS-CS-82 TaxID=2094193 RepID=A0A2S7JHH7_9BURK</t>
  </si>
  <si>
    <t>11.09.P3-34.263-34_19</t>
  </si>
  <si>
    <t>11.09.P3-34.263-34_25</t>
  </si>
  <si>
    <t>sp|D5VRB9|ELP3_METIM tRNA uridine(34) acetyltransferase OS=Methanocaldococcus infernus (strain DSM 11812 / JCM 15783 / ME) OX=573063 GN=Metin_0452 PE=1 SV=1</t>
  </si>
  <si>
    <t>COG1243 [FUNC="tRNA U34 5-carboxymethylaminomethylation enzyme Elp3 (RNA elongator complex protein 3), contains radical SAM and acetyltransferase domains"] [shortName=ELP3] [TAG=J TAGDEF="Translation, ribosomal structure and biogenesis" PROCESS="INFORMATION STORAGE AND PROCESSING"]  [PATHWAY=""] tRNA uridine(34) 5-carboxymethylaminomethyl modification radical SAM/GNAT enzyme Elp3 [Candidatus Gracilibacteria bacterium HOT-871]</t>
  </si>
  <si>
    <t>Elongator complex protein 3 n=1 Tax=Thraustotheca clavata TaxID=74557 RepID=A0A1W0A9H2_9STRA</t>
  </si>
  <si>
    <t>11.09.P3-34.263-34_27</t>
  </si>
  <si>
    <t>Uncharacterized protein n=1 Tax=Chrysochromulina ericina virus TaxID=455364 RepID=A0A0N9R1S1_CEV01</t>
  </si>
  <si>
    <t>11.09.P3-34.263-34_28</t>
  </si>
  <si>
    <t>11.09.P3-34.263-34_29</t>
  </si>
  <si>
    <t>sp|Q9LK99|RAA1G_ARATH Ras-related protein RABA1g OS=Arabidopsis thaliana OX=3702 GN=RABA1G PE=2 SV=1</t>
  </si>
  <si>
    <t>Ras-related protein Rab-39B-like n=1 Tax=Branchiostoma belcheri TaxID=7741 RepID=A0A6P5A0Y9_BRABE</t>
  </si>
  <si>
    <t>11.09.P3-34.263-34_31</t>
  </si>
  <si>
    <t>Uncharacterized protein n=1 Tax=Chrysochromulina ericina virus TaxID=455364 RepID=A0A0N9R4D2_CEV01</t>
  </si>
  <si>
    <t>11.09.P3-34.263-34_34</t>
  </si>
  <si>
    <t>11.09.P3-34.263-34_35</t>
  </si>
  <si>
    <t>Uncharacterized protein n=1 Tax=Catovirus CTV1 TaxID=1977631 RepID=A0A1V0S9J1_9VIRU</t>
  </si>
  <si>
    <t>11.09.P3-34.263-34_38</t>
  </si>
  <si>
    <t>sp|P25201|MTA1_ACICA Type II methyltransferase M.AccI OS=Acinetobacter calcoaceticus OX=471 GN=accIM PE=3 SV=2</t>
  </si>
  <si>
    <t>COG0286 [FUNC="Type I restriction-modification system, DNA methylase subunit"] [shortName=HsdM] [TAG=V TAGDEF="Defense mechanisms" PROCESS="CELLULAR PROCESSES AND SIGNALING"]  [PATHWAY=""] SAM-dependent DNA methyltransferase [Calditerrivibrio nitroreducens]</t>
  </si>
  <si>
    <t>11.09.P3-34.263-34_39</t>
  </si>
  <si>
    <t>Uncharacterized protein n=1 Tax=Chrysochromulina ericina virus TaxID=455364 RepID=A0A0N9QRB3_CEV01</t>
  </si>
  <si>
    <t>11.09.P3-34.263-34_41</t>
  </si>
  <si>
    <t>11.09.P3-34.263-34_5</t>
  </si>
  <si>
    <t>11.09.P3-35.400-48_10</t>
  </si>
  <si>
    <t>11.09.P3-35.400-48_2</t>
  </si>
  <si>
    <t>Eukaryotic translation initiation factor Y-chromosomal n=1 Tax=Brachionus plicatilis TaxID=10195 RepID=A0A3M7PWV5_BRAPC</t>
  </si>
  <si>
    <t>11.09.P3-35.400-48_28</t>
  </si>
  <si>
    <t>C2H2-type domain-containing protein n=3 Tax=unclassified Prymnesiovirus TaxID=358403 RepID=G8DIB1_9PHYC</t>
  </si>
  <si>
    <t>11.09.P3-35.400-48_32</t>
  </si>
  <si>
    <t>11.09.P3-35.400-48_33</t>
  </si>
  <si>
    <t>sp|Q9UNY4|TTF2_HUMAN Transcription termination factor 2 OS=Homo sapiens OX=9606 GN=TTF2 PE=1 SV=2</t>
  </si>
  <si>
    <t>Transcription termination factor 2 n=1 Tax=Python bivittatus TaxID=176946 RepID=A0A9F2PMN1_PYTBI</t>
  </si>
  <si>
    <t>11.09.P3-35.400-48_34</t>
  </si>
  <si>
    <t>11.09.P3-35.400-48_37</t>
  </si>
  <si>
    <t>Uncharacterized protein n=1 Tax=Chrysochromulina ericina virus TaxID=455364 RepID=A0A0N9QJG1_CEV01</t>
  </si>
  <si>
    <t>11.09.P3-35.400-48_42</t>
  </si>
  <si>
    <t>Uncharacterized protein n=1 Tax=Marseillevirus LCMAC202 TaxID=2506606 RepID=A0A481YY88_9VIRU</t>
  </si>
  <si>
    <t>11.09.P3-35.400-48_45</t>
  </si>
  <si>
    <t>11.09.P3-35.400-48_5</t>
  </si>
  <si>
    <t>sp|B0S1D8|DUT_FINM2 Deoxyuridine 5'-triphosphate nucleotidohydrolase OS=Finegoldia magna (strain ATCC 29328 / DSM 20472 / WAL 2508) OX=334413 GN=dut PE=3 SV=1</t>
  </si>
  <si>
    <t>dUTP diphosphatase n=1 Tax=Catovirus CTV1 TaxID=1977631 RepID=A0A1V0SBR1_9VIRU</t>
  </si>
  <si>
    <t>11.09.P3-35.400-48_50</t>
  </si>
  <si>
    <t>Deoxycytidylate deaminase n=1 Tax=Streptomyces phage LukeCage TaxID=2283304 RepID=A0A345MGN6_9CAUD</t>
  </si>
  <si>
    <t>11.09.P3-35.400-48_53</t>
  </si>
  <si>
    <t>11.09.P3-35.400-48_54</t>
  </si>
  <si>
    <t>sp|P0CH30|RING1_GOSHI E3 ubiquitin-protein ligase RING1 OS=Gossypium hirsutum OX=3635 GN=RING1 PE=1 SV=1</t>
  </si>
  <si>
    <t>11.09.P3-35.400-48_8</t>
  </si>
  <si>
    <t>Glutamine synthetase n=1 Tax=Schizosaccharomyces pombe (strain 972 / ATCC 24843) TaxID=284812 RepID=GLNA_SCHPO</t>
  </si>
  <si>
    <t>11.09.P3-37.909-50_1</t>
  </si>
  <si>
    <t>Multiple copy protein PGV_MIGE n=3 Tax=unclassified Prymnesiovirus TaxID=358403 RepID=R4TW26_9PHYC</t>
  </si>
  <si>
    <t>11.09.P3-37.909-50_11</t>
  </si>
  <si>
    <t>Uncharacterized protein n=3 Tax=unclassified Prymnesiovirus TaxID=358403 RepID=R4THU7_9PHYC</t>
  </si>
  <si>
    <t>11.09.P3-37.909-50_12</t>
  </si>
  <si>
    <t>11.09.P3-37.909-50_13</t>
  </si>
  <si>
    <t>Uncharacterized protein n=3 Tax=unclassified Prymnesiovirus TaxID=358403 RepID=R4TQB6_9PHYC</t>
  </si>
  <si>
    <t>11.09.P3-37.909-50_14</t>
  </si>
  <si>
    <t>COG1752 [FUNC="Predicted acylesterase/phospholipase RssA, containd patatin domain"] [shortName=RssA] [TAG=R TAGDEF="General function prediction only" PROCESS="POORLY CHARACTERIZED"]  [PATHWAY=""] patatin [Arcobacter nitrofigilis]</t>
  </si>
  <si>
    <t>Putative patatin-like phospholipase n=1 Tax=Chrysochromulina ericina virus TaxID=455364 RepID=A0A0N9R0J0_CEV01</t>
  </si>
  <si>
    <t>11.09.P3-37.909-50_15</t>
  </si>
  <si>
    <t>sp|P32393|COMEB_BACSU ComE operon protein 2 OS=Bacillus subtilis (strain 168) OX=224308 GN=comEB PE=3 SV=1</t>
  </si>
  <si>
    <t>COG2131 [FUNC="Deoxycytidylate deaminase"] [shortName=ComEB] [TAG=F TAGDEF="Nucleotide transport and metabolism" PROCESS="METABOLISM"]  [PATHWAY=""] MULTISPECIES: dCMP deaminase [unclassified Opitutaceae]</t>
  </si>
  <si>
    <t>Cytidine and deoxycytidylate deaminase zinc-binding region n=1 Tax=Mimiviridae sp. ChoanoV1 TaxID=2596887 RepID=A0A5B8IFI6_9VIRU</t>
  </si>
  <si>
    <t>11.09.P3-37.909-50_17</t>
  </si>
  <si>
    <t>11.09.P3-37.909-50_2</t>
  </si>
  <si>
    <t>11.09.P3-37.909-50_20</t>
  </si>
  <si>
    <t>RNA ligase n=3 Tax=unclassified Prymnesiovirus TaxID=358403 RepID=R4TFD8_9PHYC</t>
  </si>
  <si>
    <t>11.09.P3-37.909-50_21</t>
  </si>
  <si>
    <t>Serine/threonine protein kinase n=1 Tax=Pithovirus LCPAC304 TaxID=2506594 RepID=A0A481ZAE2_9VIRU</t>
  </si>
  <si>
    <t>11.09.P3-37.909-50_23</t>
  </si>
  <si>
    <t>Thioredoxin n=3 Tax=unclassified Prymnesiovirus TaxID=358403 RepID=R4TUY1_9PHYC</t>
  </si>
  <si>
    <t>11.09.P3-37.909-50_24</t>
  </si>
  <si>
    <t>11.09.P3-37.909-50_25</t>
  </si>
  <si>
    <t>Uncharacterized protein n=1 Tax=Chrysochromulina ericina virus TaxID=455364 RepID=A0A0N9QA71_CEV01</t>
  </si>
  <si>
    <t>11.09.P3-37.909-50_26</t>
  </si>
  <si>
    <t>Uncharacterized protein n=3 Tax=unclassified Prymnesiovirus TaxID=358403 RepID=R4TQD3_9PHYC</t>
  </si>
  <si>
    <t>11.09.P3-37.909-50_27</t>
  </si>
  <si>
    <t>VOG04465 [FUNC="REFSEQ hypothetical protein"] [TAG=Xu TAGDEF="Function unknown"]</t>
  </si>
  <si>
    <t>Uncharacterized protein n=1 Tax=Yellowstone lake mimivirus TaxID=1586712 RepID=A0A0N7KVQ4_9VIRU</t>
  </si>
  <si>
    <t>11.09.P3-37.909-50_29</t>
  </si>
  <si>
    <t>VOG27683 [FUNC="REFSEQ hypothetical protein"] [TAG=Xu TAGDEF="Function unknown"]</t>
  </si>
  <si>
    <t>Uncharacterized protein n=1 Tax=Yellowstone lake mimivirus TaxID=1586712 RepID=A0A0P0YMB1_9VIRU</t>
  </si>
  <si>
    <t>11.09.P3-37.909-50_30</t>
  </si>
  <si>
    <t>Glycoprotein repeat domain-containing protein n=1 Tax=Dishui Lake virophage 6 TaxID=2704067 RepID=A0A6G6XMK0_9VIRU</t>
  </si>
  <si>
    <t>11.09.P3-37.909-50_31</t>
  </si>
  <si>
    <t>11.09.P3-37.909-50_32</t>
  </si>
  <si>
    <t>DUF5899 domain-containing protein n=1 Tax=Yellowstone lake mimivirus TaxID=1586712 RepID=A0A0P0YLV8_9VIRU</t>
  </si>
  <si>
    <t>11.09.P3-37.909-50_33</t>
  </si>
  <si>
    <t>sp|A1RWU7|RFCS_THEPD Replication factor C small subunit OS=Thermofilum pendens (strain DSM 2475 / Hrk 5) OX=368408 GN=rfcS PE=3 SV=1</t>
  </si>
  <si>
    <t>11.09.P3-37.909-50_34</t>
  </si>
  <si>
    <t>11.09.P3-37.909-50_36</t>
  </si>
  <si>
    <t>VV A32-like packaging ATPase n=1 Tax=Phaeocystis globosa virus 14T TaxID=755274 RepID=G8DE13_9PHYC</t>
  </si>
  <si>
    <t>11.09.P3-37.909-50_38</t>
  </si>
  <si>
    <t>DUF421 domain-containing protein n=1 Tax=Chrysochromulina ericina virus TaxID=455364 RepID=A0A0N9QAE8_CEV01</t>
  </si>
  <si>
    <t>11.09.P3-37.909-50_5</t>
  </si>
  <si>
    <t>Uncharacterized protein n=1 Tax=Chrysochromulina ericina virus TaxID=455364 RepID=A0A0N9R3B9_CEV01</t>
  </si>
  <si>
    <t>11.09.P3-37.909-50_6</t>
  </si>
  <si>
    <t>11.09.P3-37.909-50_8</t>
  </si>
  <si>
    <t>sp|O26144|RPO3_METTH DNA-directed RNA polymerase subunit Rpo3 OS=Methanothermobacter thermautotrophicus (strain ATCC 29096 / DSM 1053 / JCM 10044 / NBRC 100330 / Delta H) OX=187420 GN=rpo3 PE=3 SV=1</t>
  </si>
  <si>
    <t>COG0202 [FUNC="DNA-directed RNA polymerase, alpha subunit/40 kD subunit"] [shortName=RpoA] [TAG=K TAGDEF="Transcription" PROCESS="INFORMATION STORAGE AND PROCESSING"]  [PATHWAY="RNA polymerase"] DNA-directed RNA polymerase subunit D [Methanothermobacter thermautotrophicus]</t>
  </si>
  <si>
    <t>DNA-directed RNA polymerase II subunit D n=3 Tax=unclassified Prymnesiovirus TaxID=358403 RepID=R4TQC8_9PHYC</t>
  </si>
  <si>
    <t>11.09.P3-37.909-50_9</t>
  </si>
  <si>
    <t>11.09.P3-38.180-49_12</t>
  </si>
  <si>
    <t>sp|B3QLI9|MENG_CHLP8 Demethylmenaquinone methyltransferase OS=Chlorobaculum parvum (strain DSM 263 / NCIMB 8327) OX=517417 GN=menG PE=3 SV=1</t>
  </si>
  <si>
    <t>COG2226 [FUNC="Ubiquinone/menaquinone biosynthesis C-methylase UbiE/MenG"] [shortName=UbiE] [TAG=H TAGDEF="Coenzyme transport and metabolism" PROCESS="METABOLISM"]  [PATHWAY="Biotin biosynthesis"] class I SAM-dependent methyltransferase [Methanospirillum hungatei]</t>
  </si>
  <si>
    <t>11.09.P3-38.180-49_13</t>
  </si>
  <si>
    <t>sp|Q5UP10|YR849_MIMIV Uncharacterized protein R849 OS=Acanthamoeba polyphaga mimivirus OX=212035 GN=MIMI_R849 PE=3 SV=1</t>
  </si>
  <si>
    <t>VOG19359 [FUNC="sp|Q5UP10|YR849_MIMIV Uncharacterized protein R849"] [TAG=Xu TAGDEF="Function unknown"]</t>
  </si>
  <si>
    <t>Uncharacterized protein R849 n=10 Tax=Mimiviridae TaxID=549779 RepID=YR849_MIMIV</t>
  </si>
  <si>
    <t>11.09.P3-38.180-49_16</t>
  </si>
  <si>
    <t>EF-hand domain-containing protein n=1 Tax=Chrysochromulina ericina virus TaxID=455364 RepID=A0A0N9QXJ3_CEV01</t>
  </si>
  <si>
    <t>11.09.P3-38.180-49_19</t>
  </si>
  <si>
    <t>11.09.P3-38.180-49_2</t>
  </si>
  <si>
    <t>11.09.P3-38.180-49_21</t>
  </si>
  <si>
    <t>sp|C3KXT3|SFSA_CLOB6 Sugar fermentation stimulation protein homolog OS=Clostridium botulinum (strain 657 / Type Ba4) OX=515621 GN=sfsA PE=3 SV=1</t>
  </si>
  <si>
    <t>COG1489 [FUNC="DNA-binding protein, stimulates sugar fermentation"] [shortName=SfsA] [TAG=G TAGDEF="Carbohydrate transport and metabolism" PROCESS="METABOLISM"] [TAG=T TAGDEF="Signal transduction mechanisms" PROCESS="CELLULAR PROCESSES AND SIGNALING"]  [PATHWAY=""] DNA/RNA nuclease SfsA [Draconibacterium orientale]</t>
  </si>
  <si>
    <t>Sugar fermentation stimulation protein C-terminal domain-containing protein n=1 Tax=Nannochloropsis salina CCMP1776 TaxID=1027361 RepID=A0A4D9D5W8_9STRA</t>
  </si>
  <si>
    <t>11.09.P3-38.180-49_22</t>
  </si>
  <si>
    <t>VOG06141 [FUNC="REFSEQ COG4956 domain containing protein"] [TAG=Xu TAGDEF="Function unknown"]</t>
  </si>
  <si>
    <t>COG4956 domain containing protein n=1 Tax=Chrysochromulina ericina virus TaxID=455364 RepID=A0A0N9QQB8_CEV01</t>
  </si>
  <si>
    <t>11.09.P3-38.180-49_24</t>
  </si>
  <si>
    <t>COG4852 [FUNC="Uncharacterized membrane protein"] [shortName=] [TAG=S TAGDEF="Function unknown" PROCESS="POORLY CHARACTERIZED"]  [PATHWAY=""] DUF2177 domain-containing protein [Rhodopseudomonas palustris]</t>
  </si>
  <si>
    <t>11.09.P3-38.180-49_26</t>
  </si>
  <si>
    <t>sp|Q7XJE5|MCA2_ARATH Metacaspase-2 OS=Arabidopsis thaliana OX=3702 GN=AMC2 PE=1 SV=1</t>
  </si>
  <si>
    <t>Peptidase C14 caspase domain-containing protein (Fragment) n=1 Tax=Sphaeroforma arctica JP610 TaxID=667725 RepID=A0A0L0G1H6_9EUKA</t>
  </si>
  <si>
    <t>11.09.P3-38.180-49_27</t>
  </si>
  <si>
    <t>Ankyrin repeat protein n=1 Tax=Klosneuvirus KNV1 TaxID=1977640 RepID=A0A1V0SKX3_9VIRU</t>
  </si>
  <si>
    <t>11.09.P3-38.180-49_28</t>
  </si>
  <si>
    <t>11.09.P3-38.180-49_3</t>
  </si>
  <si>
    <t>COG3344 [FUNC="Retron-type reverse transcriptase"] [shortName=YkfC] [TAG=X TAGDEF="Mobilome: prophages, transposons" PROCESS=""]  [PATHWAY=""] group II intron reverse transcriptase/maturase [Cyanobacterium aponinum]</t>
  </si>
  <si>
    <t>11.09.P3-38.180-49_30</t>
  </si>
  <si>
    <t>11.09.P3-38.180-49_31</t>
  </si>
  <si>
    <t>Uncharacterized protein n=1 Tax=Arthrobacter sp. 260 TaxID=2735314 RepID=A0A7Y4HU43_9MICC</t>
  </si>
  <si>
    <t>11.09.P3-38.180-49_33</t>
  </si>
  <si>
    <t>sp|Q2NIF5|SYN_AYWBP Asparagine--tRNA ligase OS=Aster yellows witches'-broom phytoplasma (strain AYWB) OX=322098 GN=asnS PE=3 SV=1</t>
  </si>
  <si>
    <t>COG0017 [FUNC="Aspartyl/asparaginyl-tRNA synthetase"] [shortName=AsnS] [TAG=J TAGDEF="Translation, ribosomal structure and biogenesis" PROCESS="INFORMATION STORAGE AND PROCESSING"]  [PATHWAY="Aminoacyl-tRNA synthetases"] asparagine--tRNA ligase [Candidatus Izimaplasma sp. HR1]</t>
  </si>
  <si>
    <t>VOG01348 [FUNC="sp|Q0SQ51|SYN_CLOPS Asparagine--tRNA ligase"] [TAG=Xh TAGDEF="Virus protein with function beneficial for the host"]</t>
  </si>
  <si>
    <t>Asparagine--tRNA ligase n=1 Tax=Alistipes sp. CAG:514 TaxID=1262696 RepID=R5BL32_9BACT</t>
  </si>
  <si>
    <t>11.09.P3-38.180-49_34</t>
  </si>
  <si>
    <t>11.09.P3-38.180-49_37</t>
  </si>
  <si>
    <t>11.09.P3-38.180-49_38</t>
  </si>
  <si>
    <t>11.09.P3-38.180-49_39</t>
  </si>
  <si>
    <t>11.09.P3-38.180-49_4</t>
  </si>
  <si>
    <t>11.09.P3-38.180-49_41</t>
  </si>
  <si>
    <t>11.09.P3-38.180-49_42</t>
  </si>
  <si>
    <t>sp|Q7ZVS8|CMTR2_DANRE Cap-specific mRNA (nucleoside-2'-O-)-methyltransferase 2 OS=Danio rerio OX=7955 GN=cmtr2 PE=2 SV=1</t>
  </si>
  <si>
    <t>11.09.P3-38.180-49_5</t>
  </si>
  <si>
    <t>11.09.P3-38.180-49_6</t>
  </si>
  <si>
    <t>Uncharacterized protein n=3 Tax=unclassified Prymnesiovirus TaxID=358403 RepID=R4TFM1_9PHYC</t>
  </si>
  <si>
    <t>11.09.P3-38.180-49_9</t>
  </si>
  <si>
    <t>COG0415 [FUNC="Deoxyribodipyrimidine photolyase"] [shortName=PhrB] [TAG=L TAGDEF="Replication, recombination and repair" PROCESS="INFORMATION STORAGE AND PROCESSING"]  [PATHWAY=""] deoxyribodipyrimidine photo-lyase [Methanomethylovorans hollandica]</t>
  </si>
  <si>
    <t>Deoxyribodipyrimidine photo-lyase n=1 Tax=Methanosalsum natronophilum TaxID=768733 RepID=A0A3R8CD00_9EURY</t>
  </si>
  <si>
    <t>11.09.P3-4.005-2.6_10</t>
  </si>
  <si>
    <t>DNA topoisomerase 2 n=1 Tax=Marseillevirus LCMAC102 TaxID=2506603 RepID=A0A481YTB8_9VIRU</t>
  </si>
  <si>
    <t>11.09.P3-4.005-2.6_12</t>
  </si>
  <si>
    <t>sp|P87078|TOP2_CANAX DNA topoisomerase 2 OS=Candida albicans OX=5476 GN=TOP2 PE=3 SV=1</t>
  </si>
  <si>
    <t>11.09.P3-4.103-7.9_1</t>
  </si>
  <si>
    <t>sp|Q5UQK0|YR408_MIMIV Uncharacterized protein R408 OS=Acanthamoeba polyphaga mimivirus OX=212035 GN=MIMI_R408 PE=4 SV=1</t>
  </si>
  <si>
    <t>VOG01365 [FUNC="sp|Q5UQK0|YR408_MIMIV Uncharacterized protein R408"] [TAG=Xu TAGDEF="Function unknown"]</t>
  </si>
  <si>
    <t>Uncharacterized protein n=1 Tax=Parablautia intestinalis TaxID=2320100 RepID=A0A3A9A8I8_9FIRM</t>
  </si>
  <si>
    <t>11.09.P3-4.103-7.9_2</t>
  </si>
  <si>
    <t>VOG17093 [FUNC="REFSEQ hypothetical protein"] [TAG=Xu TAGDEF="Function unknown"]</t>
  </si>
  <si>
    <t>11.09.P3-4.123-9.8_7</t>
  </si>
  <si>
    <t>sp|Q24537|HMG2_DROME High mobility group protein DSP1 OS=Drosophila melanogaster OX=7227 GN=Dsp1 PE=2 SV=1</t>
  </si>
  <si>
    <t>KOG0381 [FUNC="HMG box-containing protein"] [shortName=] [TAG=R TAGDEF="General function prediction only" PROCESS="POORLY CHARACTERIZED"]  [PATHWAY=""]</t>
  </si>
  <si>
    <t>VOG36006 [FUNC="sp|P40628|HMGH_IIV6 High mobility group protein homolog"] [TAG=Xu TAGDEF="Function unknown"]</t>
  </si>
  <si>
    <t>High mobility group protein DSP1 n=1 Tax=Sarcoptes scabiei TaxID=52283 RepID=A0A834RF68_SARSC</t>
  </si>
  <si>
    <t>11.09.P3-4.123-9.8_8</t>
  </si>
  <si>
    <t>EsV-1-52 n=1 Tax=Ectocarpus siliculosus virus 1 (isolate New Zealand/Kaikoura/1988) TaxID=654926 RepID=Q8QNL5_ESV1K</t>
  </si>
  <si>
    <t>11.09.P3-4.187-37_1</t>
  </si>
  <si>
    <t>sp|Q196T9|VF184_IIV3 Putative helicase 121R OS=Invertebrate iridescent virus 3 OX=345201 GN=IIV3-121R PE=3 SV=1</t>
  </si>
  <si>
    <t>COG3378 [FUNC="DNA primase, phage- or plasmid-associated"] [shortName=] [TAG=X TAGDEF="Mobilome: prophages, transposons" PROCESS=""]  [PATHWAY=""] phage/plasmid primase, P4 family [Nitrosococcus halophilus]</t>
  </si>
  <si>
    <t>D5 family helicase-primase n=1 Tax=Tokyovirus A1 TaxID=1826170 RepID=A0A146JFU2_9VIRU</t>
  </si>
  <si>
    <t>11.09.P3-4.198-3.0_2</t>
  </si>
  <si>
    <t>11.09.P3-4.198-3.0_4</t>
  </si>
  <si>
    <t>11.09.P3-4.198-3.0_6</t>
  </si>
  <si>
    <t>11.09.P3-4.226-34_1</t>
  </si>
  <si>
    <t>11.09.P3-4.226-34_6</t>
  </si>
  <si>
    <t>Uncharacterized protein n=1 Tax=Acanthocystis turfacea Chlorella virus NTS-1 TaxID=1278276 RepID=M1I543_9PHYC</t>
  </si>
  <si>
    <t>11.09.P3-4.251-1.8_18</t>
  </si>
  <si>
    <t>11.09.P3-4.251-1.8_4</t>
  </si>
  <si>
    <t>11.09.P3-4.251-1.8_7</t>
  </si>
  <si>
    <t>11.09.P3-4.264-6.9_1</t>
  </si>
  <si>
    <t>Uncharacterized protein n=1 Tax=Paramecium bursaria Chlorella virus CVB-1 TaxID=1278247 RepID=M1HKY5_9PHYC</t>
  </si>
  <si>
    <t>11.09.P3-4.264-6.9_2</t>
  </si>
  <si>
    <t>11.09.P3-4.264-6.9_5</t>
  </si>
  <si>
    <t>Eukaryotic translation initiation factor 4C n=1 Tax=Noctiluca scintillans TaxID=2966 RepID=A0A7S1A741_NOCSC</t>
  </si>
  <si>
    <t>11.09.P3-4.264-6.9_7</t>
  </si>
  <si>
    <t>11.09.P3-4.265-38_2</t>
  </si>
  <si>
    <t>11.09.P3-4.265-38_3</t>
  </si>
  <si>
    <t>Uncharacterized protein n=3 Tax=unclassified Prymnesiovirus TaxID=358403 RepID=R4TWI4_9PHYC</t>
  </si>
  <si>
    <t>11.09.P3-4.303-33_4</t>
  </si>
  <si>
    <t>sp|G0SF70|PCNA_CHATD Proliferating cell nuclear antigen OS=Chaetomium thermophilum (strain DSM 1495 / CBS 144.50 / IMI 039719) OX=759272 GN=CTHT_0061010 PE=1 SV=2</t>
  </si>
  <si>
    <t>Putative DNA polymerase sliding clamp 2 n=1 Tax=Acanthocystis turfacea Chlorella virus MO0605SPH TaxID=1278273 RepID=M1HVV6_9PHYC</t>
  </si>
  <si>
    <t>11.09.P3-4.303-33_8</t>
  </si>
  <si>
    <t>VOG19916 [FUNC="REFSEQ hypothetical protein"] [TAG=Xu TAGDEF="Function unknown"]</t>
  </si>
  <si>
    <t>Putative Alpha-Mannosidase Binding Domain containing protein n=1 Tax=Chrysochromulina ericina virus TaxID=455364 RepID=A0A0N9QJE8_CEV01</t>
  </si>
  <si>
    <t>11.09.P3-4.334-48_3</t>
  </si>
  <si>
    <t>VOG03918 [FUNC="sp|Q5UR22|YL364_MIMIV Putative ATP-dependent RNA helicase L364"] [TAG=Xh TAGDEF="Virus protein with function beneficial for the host"]</t>
  </si>
  <si>
    <t>DEAD/SNF2-like helicase n=1 Tax=Pithovirus LCPAC302 TaxID=2506593 RepID=A0A481Z6E5_9VIRU</t>
  </si>
  <si>
    <t>11.09.P3-4.348-11_2</t>
  </si>
  <si>
    <t>11.09.P3-4.348-11_5</t>
  </si>
  <si>
    <t>11.09.P3-4.348-11_8</t>
  </si>
  <si>
    <t>11.09.P3-4.360-3.1_5</t>
  </si>
  <si>
    <t>11.09.P3-4.360-3.1_8</t>
  </si>
  <si>
    <t>11.09.P3-4.475-47_1</t>
  </si>
  <si>
    <t>11.09.P3-4.629-29_5</t>
  </si>
  <si>
    <t>COG4942 [FUNC="Septal ring factor EnvC, activator of murein hydrolases AmiA and AmiB"] [shortName=EnvC] [TAG=D TAGDEF="Cell cycle control, cell division, chromosome partitioning" PROCESS="CELLULAR PROCESSES AND SIGNALING"]  [PATHWAY=""] hypothetical protein [Ichthyobacterium seriolicida]</t>
  </si>
  <si>
    <t>Peptidase S74 domain-containing protein n=1 Tax=Dishui Lake phycodnavirus 3 TaxID=2704074 RepID=A0A6G6XP93_9PHYC</t>
  </si>
  <si>
    <t>11.09.P3-4.654-36_3</t>
  </si>
  <si>
    <t>Exonuclease n=1 Tax=Marseillevirus LCMAC202 TaxID=2506606 RepID=A0A481YZ08_9VIRU</t>
  </si>
  <si>
    <t>11.09.P3-4.654-36_4</t>
  </si>
  <si>
    <t>Uncharacterized protein n=1 Tax=Chrysochromulina ericina virus TaxID=455364 RepID=A0A0N9QJI2_CEV01</t>
  </si>
  <si>
    <t>11.09.P3-4.654-36_5</t>
  </si>
  <si>
    <t>DUF2827 domain-containing protein n=1 Tax=Dyella japonica A8 TaxID=1217721 RepID=A0A075K1J6_9GAMM</t>
  </si>
  <si>
    <t>11.09.P3-4.658-16_2</t>
  </si>
  <si>
    <t>C2H2-type domain-containing protein n=1 Tax=Chrysochromulina ericina virus TaxID=455364 RepID=A0A0N9QRA7_CEV01</t>
  </si>
  <si>
    <t>11.09.P3-4.658-16_4</t>
  </si>
  <si>
    <t>11.09.P3-4.658-16_7</t>
  </si>
  <si>
    <t>DUF1772 domain-containing protein n=1 Tax=Klosneuvirus KNV1 TaxID=1977640 RepID=A0A1V0SKJ8_9VIRU</t>
  </si>
  <si>
    <t>11.09.P3-4.741-59_2</t>
  </si>
  <si>
    <t>Major capsid protein n=1 Tax=Mimiviridae sp. ChoanoV1 TaxID=2596887 RepID=A0A5B8IEZ3_9VIRU</t>
  </si>
  <si>
    <t>11.09.P3-4.741-59_4</t>
  </si>
  <si>
    <t>11.09.P3-4.803-64_10</t>
  </si>
  <si>
    <t>11.09.P3-4.803-64_5</t>
  </si>
  <si>
    <t>sp|O60547|GMDS_HUMAN GDP-mannose 4,6 dehydratase OS=Homo sapiens OX=9606 GN=GMDS PE=1 SV=1</t>
  </si>
  <si>
    <t>COG1089 [FUNC="GDP-D-mannose dehydratase"] [shortName=Gmd] [TAG=M TAGDEF="Cell wall/membrane/envelope biogenesis" PROCESS="CELLULAR PROCESSES AND SIGNALING"]  [PATHWAY=""] GDP-mannose 4,6-dehydratase [Candidatus Nucleicultrix amoebiphila]</t>
  </si>
  <si>
    <t>GDP-mannose 4,6-dehydratase n=1 Tax=Flavivirga aquatica TaxID=1849968 RepID=A0A1E5T3W8_9FLAO</t>
  </si>
  <si>
    <t>11.09.P3-4.844-45_7</t>
  </si>
  <si>
    <t>11.09.P3-4.847-5.9_12</t>
  </si>
  <si>
    <t>11.09.P3-4.847-5.9_2</t>
  </si>
  <si>
    <t>11.09.P3-4.847-5.9_4</t>
  </si>
  <si>
    <t>11.09.P3-4.917-50_1</t>
  </si>
  <si>
    <t>Ankyrin repeat-containing protein n=1 Tax=Moumouvirus maliensis TaxID=2682469 RepID=A0A650DBS5_9VIRU</t>
  </si>
  <si>
    <t>11.09.P3-4.917-50_2</t>
  </si>
  <si>
    <t>Uncharacterized protein n=1 Tax=Mimiviridae sp. ChoanoV1 TaxID=2596887 RepID=A0A5B8IDT9_9VIRU</t>
  </si>
  <si>
    <t>11.09.P3-4.917-50_3</t>
  </si>
  <si>
    <t>sp|Q9DCZ1|GMPR1_MOUSE GMP reductase 1 OS=Mus musculus OX=10090 GN=Gmpr PE=1 SV=1</t>
  </si>
  <si>
    <t>COG0516 [FUNC="IMP dehydrogenase/GMP reductase"] [shortName=GuaB] [TAG=F TAGDEF="Nucleotide transport and metabolism" PROCESS="METABOLISM"]  [PATHWAY="Purine biosynthesis"] GMP reductase [Seonamhaeicola sp. S2-3]</t>
  </si>
  <si>
    <t>GMP reductase n=2 Tax=Spodoptera TaxID=7106 RepID=A0A9P0N145_SPOLI</t>
  </si>
  <si>
    <t>11.09.P3-4.917-50_4</t>
  </si>
  <si>
    <t>sp|O90760|V031_FOWPN Putative ankyrin repeat protein FPV031 OS=Fowlpox virus (strain NVSL) OX=928301 GN=ANK3 PE=4 SV=1</t>
  </si>
  <si>
    <t>Uncharacterized protein n=1 Tax=Neochlamydia sp. EPS4 TaxID=1478175 RepID=A0A0C1K320_9BACT</t>
  </si>
  <si>
    <t>11.09.P3-4.922-7.1_1</t>
  </si>
  <si>
    <t>sp|P42825|DNAJ2_ARATH Chaperone protein dnaJ 2 OS=Arabidopsis thaliana OX=3702 GN=ATJ2 PE=1 SV=2</t>
  </si>
  <si>
    <t>Chaperone protein DnaJ n=1 Tax=Chrysochromulina ericina virus TaxID=455364 RepID=A0A0N9QPY2_CEV01</t>
  </si>
  <si>
    <t>11.09.P3-4.922-7.1_2</t>
  </si>
  <si>
    <t>Uncharacterized protein n=1 Tax=Chrysochromulina ericina virus TaxID=455364 RepID=A0A0N9QXX9_CEV01</t>
  </si>
  <si>
    <t>11.09.P3-4.922-7.1_4</t>
  </si>
  <si>
    <t>TATA-box binding protein n=3 Tax=unclassified Prymnesiovirus TaxID=358403 RepID=R4TUL7_9PHYC</t>
  </si>
  <si>
    <t>11.09.P3-4.922-7.1_5</t>
  </si>
  <si>
    <t>11.09.P3-4.922-7.1_6</t>
  </si>
  <si>
    <t>sp|Q8S920|UBC5A_ORYSJ Ubiquitin-conjugating enzyme E2 5A OS=Oryza sativa subsp. japonica OX=39947 GN=UBC5A PE=2 SV=1</t>
  </si>
  <si>
    <t>KOG0417 [FUNC="Ubiquitin-protein ligase"] [shortName=] [TAG=O TAGDEF="Posttranslational modification, protein turnover, chaperones" PROCESS="CELLULAR PROCESSES AND SIGNALING"]  [PATHWAY=""]</t>
  </si>
  <si>
    <t>VOG07588 [FUNC="sp|Q5UQC9|UBC1_MIMIV Probable ubiquitin-conjugating enzyme E2 L460"] [TAG=Xh TAGDEF="Virus protein with function beneficial for the host"]</t>
  </si>
  <si>
    <t>UBC core domain-containing protein n=1 Tax=Arion vulgaris TaxID=1028688 RepID=A0A0B7B4W3_9EUPU</t>
  </si>
  <si>
    <t>11.09.P3-42.567-30_1</t>
  </si>
  <si>
    <t>11.09.P3-42.567-30_11</t>
  </si>
  <si>
    <t>VOG34064 [FUNC="REFSEQ hypothetical protein"] [TAG=Xu TAGDEF="Function unknown"]</t>
  </si>
  <si>
    <t>Uncharacterized protein n=3 Tax=unclassified Prymnesiovirus TaxID=358403 RepID=R4TQ47_9PHYC</t>
  </si>
  <si>
    <t>11.09.P3-42.567-30_14</t>
  </si>
  <si>
    <t>COG3338 [FUNC="Carbonic anhydrase"] [shortName=Cah] [TAG=P TAGDEF="Inorganic ion transport and metabolism" PROCESS="METABOLISM"]  [PATHWAY=""] carbonic anhydrase [Caldithrix abyssi]</t>
  </si>
  <si>
    <t>Alpha-carbonic anhydrase domain-containing protein n=1 Tax=Chrysochromulina ericina virus TaxID=455364 RepID=A0A0N9R3R1_CEV01</t>
  </si>
  <si>
    <t>11.09.P3-42.567-30_18</t>
  </si>
  <si>
    <t>11.09.P3-42.567-30_19</t>
  </si>
  <si>
    <t>VOG11263 [FUNC="REFSEQ hypothetical protein"] [TAG=Xu TAGDEF="Function unknown"]</t>
  </si>
  <si>
    <t>Uncharacterized protein n=3 Tax=unclassified Prymnesiovirus TaxID=358403 RepID=R4TWK3_9PHYC</t>
  </si>
  <si>
    <t>11.09.P3-42.567-30_2</t>
  </si>
  <si>
    <t>sp|P08037|B4GT1_BOVIN Beta-1,4-galactosyltransferase 1 OS=Bos taurus OX=9913 GN=B4GALT1 PE=1 SV=3</t>
  </si>
  <si>
    <t>KOG3916 [FUNC="UDP-Gal:glucosylceramide beta-1,4-galactosyltransferase"] [shortName=] [TAG=G TAGDEF="Carbohydrate transport and metabolism" PROCESS="METABOLISM"]  [PATHWAY=""]</t>
  </si>
  <si>
    <t>VOG04019 [FUNC="REFSEQ beta-1,4-galactosyltransferase 1-like protein"] [TAG=Xu TAGDEF="Function unknown"]</t>
  </si>
  <si>
    <t>Beta-4-Galactosyltransferase n=1 Tax=Chrysochromulina ericina virus TaxID=455364 RepID=A0A0N9QJ43_CEV01</t>
  </si>
  <si>
    <t>11.09.P3-42.567-30_20</t>
  </si>
  <si>
    <t>11.09.P3-42.567-30_22</t>
  </si>
  <si>
    <t>11.09.P3-42.567-30_25</t>
  </si>
  <si>
    <t>VOG27818 [FUNC="REFSEQ hypothetical protein"] [TAG=Xu TAGDEF="Function unknown"]</t>
  </si>
  <si>
    <t>Uncharacterized protein n=1 Tax=Yellowstone lake mimivirus TaxID=1586712 RepID=A0A0N7KVQ2_9VIRU</t>
  </si>
  <si>
    <t>11.09.P3-42.567-30_28</t>
  </si>
  <si>
    <t>sp|Q9V116|RPO5_PYRAB DNA-directed RNA polymerase subunit Rpo5 OS=Pyrococcus abyssi (strain GE5 / Orsay) OX=272844 GN=rpo5 PE=3 SV=1</t>
  </si>
  <si>
    <t>11.09.P3-42.567-30_30</t>
  </si>
  <si>
    <t>11.09.P3-42.567-30_32</t>
  </si>
  <si>
    <t>COG0338 [FUNC="DNA-adenine methylase"] [shortName=Dam] [TAG=L TAGDEF="Replication, recombination and repair" PROCESS="INFORMATION STORAGE AND PROCESSING"]  [PATHWAY=""] restriction endonuclease subunit M [Methanocaldococcus jannaschii]</t>
  </si>
  <si>
    <t>11.09.P3-42.567-30_35</t>
  </si>
  <si>
    <t>Uncharacterized protein n=1 Tax=Chrysochromulina ericina virus TaxID=455364 RepID=A0A0N7G7M2_CEV01</t>
  </si>
  <si>
    <t>11.09.P3-42.567-30_37</t>
  </si>
  <si>
    <t>11.09.P3-42.567-30_38</t>
  </si>
  <si>
    <t>sp|Q6NLH0|RPB9A_ARATH DNA-directed RNA polymerases II, IV and V subunit 9A OS=Arabidopsis thaliana OX=3702 GN=NRPB9A PE=1 SV=1</t>
  </si>
  <si>
    <t>11.09.P3-42.567-30_39</t>
  </si>
  <si>
    <t>sp|Q54FA8|RPAB2_DICDI DNA-directed RNA polymerases I, II, and III subunit rpabc2 OS=Dictyostelium discoideum OX=44689 GN=polr2f PE=3 SV=1</t>
  </si>
  <si>
    <t>11.09.P3-42.567-30_43</t>
  </si>
  <si>
    <t>11.09.P3-42.567-30_44</t>
  </si>
  <si>
    <t>11.09.P3-42.567-30_51</t>
  </si>
  <si>
    <t>COG0208 [FUNC="Ribonucleotide reductase beta subunit, ferritin-like domain"] [shortName=NrdB] [TAG=F TAGDEF="Nucleotide transport and metabolism" PROCESS="METABOLISM"]  [PATHWAY="Pyrimidine salvage"] ribonucleoside-diphosphate reductase [Mariniflexile sp. TRM1-10]</t>
  </si>
  <si>
    <t>Ribonucleoside-diphosphate reductase small chain n=1 Tax=Chrysochromulina ericina virus TaxID=455364 RepID=A0A0N9QQP4_CEV01</t>
  </si>
  <si>
    <t>11.09.P3-42.567-30_52</t>
  </si>
  <si>
    <t>Chaperone of endosialidase n=1 Tax=Paenibacillus jilunlii TaxID=682956 RepID=A0A1G9NNZ8_9BACL</t>
  </si>
  <si>
    <t>11.09.P3-42.567-30_53</t>
  </si>
  <si>
    <t>F5/8 type C domain-containing protein n=1 Tax=Bathycoccus sp. RCC1105 virus BpV1 TaxID=880159 RepID=E5ES67_9PHYC</t>
  </si>
  <si>
    <t>11.09.P3-42.567-30_55</t>
  </si>
  <si>
    <t>11.09.P3-42.567-30_7</t>
  </si>
  <si>
    <t>Uncharacterized protein n=1 Tax=Anopheles coluzzii TaxID=1518534 RepID=A0A8W7PH27_ANOCL</t>
  </si>
  <si>
    <t>11.09.P3-43.737-46_10</t>
  </si>
  <si>
    <t>11.09.P3-43.737-46_11</t>
  </si>
  <si>
    <t>11.09.P3-43.737-46_12</t>
  </si>
  <si>
    <t>Phosphatidic acid phosphatase type 2/haloperoxidase domain-containing protein n=1 Tax=Chrysochromulina parva virus TaxID=2565304 RepID=A0A4Y6GR75_9PHYC</t>
  </si>
  <si>
    <t>11.09.P3-43.737-46_13</t>
  </si>
  <si>
    <t>11.09.P3-43.737-46_14</t>
  </si>
  <si>
    <t>11.09.P3-43.737-46_15</t>
  </si>
  <si>
    <t>11.09.P3-43.737-46_19</t>
  </si>
  <si>
    <t>11.09.P3-43.737-46_20</t>
  </si>
  <si>
    <t>11.09.P3-43.737-46_21</t>
  </si>
  <si>
    <t>11.09.P3-43.737-46_23</t>
  </si>
  <si>
    <t>sp|P10039|TENA_CHICK Tenascin OS=Gallus gallus OX=9031 GN=TNC PE=1 SV=2</t>
  </si>
  <si>
    <t>KOG1217 [FUNC="Fibrillins and related proteins containing Ca2+-binding EGF-like domains"] [shortName=] [TAG=T TAGDEF="Signal transduction mechanisms" PROCESS="CELLULAR PROCESSES AND SIGNALING"]  [PATHWAY=""]</t>
  </si>
  <si>
    <t>EGF-like domain-containing protein n=1 Tax=Loa loa TaxID=7209 RepID=A0A1I7V6G3_LOALO</t>
  </si>
  <si>
    <t>11.09.P3-43.737-46_24</t>
  </si>
  <si>
    <t>KOG3070 [FUNC="Predicted RNA-binding protein containing PIN domain and invovled in translation or RNA processing"] [shortName=] [TAG=J TAGDEF="Translation, ribosomal structure and biogenesis" PROCESS="INFORMATION STORAGE AND PROCESSING"]  [PATHWAY=""]</t>
  </si>
  <si>
    <t>Cold-shock domain family protein n=3 Tax=unclassified Prymnesiovirus TaxID=358403 RepID=R4TQX3_9PHYC</t>
  </si>
  <si>
    <t>11.09.P3-43.737-46_25</t>
  </si>
  <si>
    <t>VOG00327 [FUNC="sp|P0AGC9|QACE_ECOLX Quaternary ammonium compound-resistance protein QacE"] [TAG=Xh TAGDEF="Virus protein with function beneficial for the host"]</t>
  </si>
  <si>
    <t>Small multidrug resistance protein n=1 Tax=Fadolivirus 1 TaxID=2740746 RepID=A0A7D3V5W8_9VIRU</t>
  </si>
  <si>
    <t>11.09.P3-43.737-46_26</t>
  </si>
  <si>
    <t>sp|Q196Z0|VF306_IIV3 Putative SWIB domain-containing protein 070L OS=Invertebrate iridescent virus 3 OX=345201 GN=IIV3-070L PE=3 SV=1</t>
  </si>
  <si>
    <t>COG5531 [FUNC="DNA-binding SWIB/MDM2 domain"] [shortName=Rsc6] [TAG=B TAGDEF="Chromatin structure and dynamics" PROCESS="INFORMATION STORAGE AND PROCESSING"]  [PATHWAY=""] hypothetical protein [Parachlamydia acanthamoebae]</t>
  </si>
  <si>
    <t>11.09.P3-43.737-46_27</t>
  </si>
  <si>
    <t>sp|P24582|MTN3_NEILA Type II methyltransferase M.NlaIII OS=Neisseria lactamica OX=486 GN=nlaIIIM PE=3 SV=1</t>
  </si>
  <si>
    <t>COG3392 [FUNC="Adenine-specific DNA methylase"] [shortName=] [TAG=L TAGDEF="Replication, recombination and repair" PROCESS="INFORMATION STORAGE AND PROCESSING"]  [PATHWAY=""] restriction endonuclease subunit M [Akkermansia muciniphila]</t>
  </si>
  <si>
    <t>VOG32504 [FUNC="sp|P24582|MTN3_NEILA Type II methyltransferase M.NlaIII"] [TAG=Xh TAGDEF="Virus protein with function beneficial for the host"]</t>
  </si>
  <si>
    <t>site-specific DNA-methyltransferase (adenine-specific) n=1 Tax=Mesoplasma corruscae TaxID=216874 RepID=A0A2S5RGF5_9MOLU</t>
  </si>
  <si>
    <t>11.09.P3-43.737-46_29</t>
  </si>
  <si>
    <t>COG2931 [FUNC="Ca2+-binding protein, RTX toxin-related"] [shortName=] [TAG=Q TAGDEF="Secondary metabolites biosynthesis, transport and catabolism" PROCESS="METABOLISM"]  [PATHWAY=""] hemolysin-type calcium-binding region [Chlorobium phaeobacteroides]</t>
  </si>
  <si>
    <t>DUF4347 domain-containing protein n=1 Tax=Symploca sp. SIO2B6 TaxID=2607785 RepID=A0A6M0ENL4_9CYAN</t>
  </si>
  <si>
    <t>11.09.P3-43.737-46_30</t>
  </si>
  <si>
    <t>COG2931 [FUNC="Ca2+-binding protein, RTX toxin-related"] [shortName=] [TAG=Q TAGDEF="Secondary metabolites biosynthesis, transport and catabolism" PROCESS="METABOLISM"]  [PATHWAY=""] hypothetical protein [Azotobacter vinelandii]</t>
  </si>
  <si>
    <t>DUF4347 domain-containing protein n=1 Tax=Symploca sp. SIO2B6 TaxID=2607785 RepID=A0A6M0F7B5_9CYAN</t>
  </si>
  <si>
    <t>11.09.P3-43.737-46_31</t>
  </si>
  <si>
    <t>M10 family metallopeptidase C-terminal domain-containing protein n=1 Tax=Azotobacter chroococcum TaxID=353 RepID=A0A7T5FDQ1_9GAMM</t>
  </si>
  <si>
    <t>11.09.P3-43.737-46_32</t>
  </si>
  <si>
    <t>VOG01251 [FUNC="sp|P18305|443R_IIV6 Uncharacterized protein 443R"] [TAG=Xu TAGDEF="Function unknown"]</t>
  </si>
  <si>
    <t>11.09.P3-43.737-46_36</t>
  </si>
  <si>
    <t>Methyltransferase n=1 Tax=Pedobacter ginsengisoli TaxID=363852 RepID=A0A2D1U1X5_9SPHI</t>
  </si>
  <si>
    <t>11.09.P3-43.737-46_4</t>
  </si>
  <si>
    <t>sp|Q54ST4|RFC5_DICDI Probable replication factor C subunit 5 OS=Dictyostelium discoideum OX=44689 GN=rfc5 PE=3 SV=1</t>
  </si>
  <si>
    <t>Replication factor C small subunit n=1 Tax=Chrysochromulina ericina virus TaxID=455364 RepID=A0A0N9QZV9_CEV01</t>
  </si>
  <si>
    <t>11.09.P3-43.737-46_42</t>
  </si>
  <si>
    <t>Peptidase M26 n=1 Tax=Bacteroides ovatus TaxID=28116 RepID=A0A1G6G603_BACOV</t>
  </si>
  <si>
    <t>11.09.P3-43.737-46_43</t>
  </si>
  <si>
    <t>11.09.P3-43.737-46_44</t>
  </si>
  <si>
    <t>SMODS and SLOG-associating 2TM effector domain-containing protein n=1 Tax=Chrysochromulina ericina virus TaxID=455364 RepID=A0A0N9R3H4_CEV01</t>
  </si>
  <si>
    <t>11.09.P3-43.737-46_45</t>
  </si>
  <si>
    <t>sp|Q8DWM9|TILS_STRMU tRNA(Ile)-lysidine synthase OS=Streptococcus mutans serotype c (strain ATCC 700610 / UA159) OX=210007 GN=tilS PE=3 SV=1</t>
  </si>
  <si>
    <t>COG0037 [FUNC="tRNA(Ile)-lysidine synthase TilS/MesJ"] [shortName=TilS] [TAG=J TAGDEF="Translation, ribosomal structure and biogenesis" PROCESS="INFORMATION STORAGE AND PROCESSING"]  [PATHWAY="tRNA modification"] tRNA lysidine(34) synthetase TilS [Hippea maritima]</t>
  </si>
  <si>
    <t>11.09.P3-43.737-46_46</t>
  </si>
  <si>
    <t>11.09.P3-43.737-46_48</t>
  </si>
  <si>
    <t>sp|Q8IZH2|XRN1_HUMAN 5'-3' exoribonuclease 1 OS=Homo sapiens OX=9606 GN=XRN1 PE=1 SV=1</t>
  </si>
  <si>
    <t>11.09.P3-43.737-46_49</t>
  </si>
  <si>
    <t>sp|P08629|THIO_CHICK Thioredoxin OS=Gallus gallus OX=9031 GN=TXN PE=3 SV=2</t>
  </si>
  <si>
    <t>KOG0907 [FUNC="Thioredoxin"] [shortName=] [TAG=O TAGDEF="Posttranslational modification, protein turnover, chaperones" PROCESS="CELLULAR PROCESSES AND SIGNALING"]  [PATHWAY=""]</t>
  </si>
  <si>
    <t>Thioredoxin n=1 Tax=Timspurckia oligopyrenoides TaxID=708627 RepID=A0A6T6M5W3_9RHOD</t>
  </si>
  <si>
    <t>11.09.P3-43.737-46_5</t>
  </si>
  <si>
    <t>11.09.P3-43.737-46_50</t>
  </si>
  <si>
    <t>11.09.P3-43.737-46_51</t>
  </si>
  <si>
    <t>11.09.P3-43.737-46_52</t>
  </si>
  <si>
    <t>sp|Q24133|DNAJ1_DROME DnaJ protein homolog 1 OS=Drosophila melanogaster OX=7227 GN=DnaJ-1 PE=1 SV=3</t>
  </si>
  <si>
    <t>11.09.P3-43.737-46_53</t>
  </si>
  <si>
    <t>11.09.P3-43.737-46_54</t>
  </si>
  <si>
    <t>COG1435 [FUNC="Thymidine kinase"] [shortName=Tdk] [TAG=F TAGDEF="Nucleotide transport and metabolism" PROCESS="METABOLISM"]  [PATHWAY="Pyrimidine salvage"] thymidine kinase [Saprospira grandis]</t>
  </si>
  <si>
    <t>11.09.P3-43.737-46_55</t>
  </si>
  <si>
    <t>MYM-type domain-containing protein n=1 Tax=Chrysochromulina ericina virus TaxID=455364 RepID=A0A0N9R0G0_CEV01</t>
  </si>
  <si>
    <t>11.09.P3-43.737-46_6</t>
  </si>
  <si>
    <t>Uncharacterized protein n=1 Tax=Chrysochromulina ericina virus TaxID=455364 RepID=A0A0N7G7J5_CEV01</t>
  </si>
  <si>
    <t>11.09.P3-43.737-46_9</t>
  </si>
  <si>
    <t>COG0470 [FUNC="DNA polymerase III, delta prime subunit"] [shortName=HolB] [TAG=L TAGDEF="Replication, recombination and repair" PROCESS="INFORMATION STORAGE AND PROCESSING"]  [PATHWAY=""] MULTISPECIES: ATPase AAA [Picrophilus]</t>
  </si>
  <si>
    <t>Replication factor C small subunit n=1 Tax=Chrysochromulina ericina virus TaxID=455364 RepID=A0A0N9R0E7_CEV01</t>
  </si>
  <si>
    <t>11.09.P3-46.276-51_11</t>
  </si>
  <si>
    <t>11.09.P3-46.276-51_12</t>
  </si>
  <si>
    <t>VOG14620 [FUNC="REFSEQ hypothetical protein"] [TAG=Xu TAGDEF="Function unknown"]</t>
  </si>
  <si>
    <t>430R n=2 Tax=Iridovirus TaxID=10487 RepID=Q91F95_IIV6</t>
  </si>
  <si>
    <t>11.09.P3-46.276-51_14</t>
  </si>
  <si>
    <t>11.09.P3-46.276-51_16</t>
  </si>
  <si>
    <t>11.09.P3-46.276-51_17</t>
  </si>
  <si>
    <t>Uncharacterized protein n=1 Tax=Wickerhamomyces pijperi TaxID=599730 RepID=A0A9P8TQJ3_WICPI</t>
  </si>
  <si>
    <t>11.09.P3-46.276-51_18</t>
  </si>
  <si>
    <t>COG0464 [FUNC="AAA+-type ATPase, SpoVK/Ycf46/Vps4 family"] [shortName=SpoVK] [TAG=M TAGDEF="Cell wall/membrane/envelope biogenesis" PROCESS="CELLULAR PROCESSES AND SIGNALING"] [TAG=D TAGDEF="Cell cycle control, cell division, chromosome partitioning" PROCESS="CELLULAR PROCESSES AND SIGNALING"] [TAG=T TAGDEF="Signal transduction mechanisms" PROCESS="CELLULAR PROCESSES AND SIGNALING"]  [PATHWAY=""] ATPase [Syntrophomonas wolfei]</t>
  </si>
  <si>
    <t>11.09.P3-46.276-51_19</t>
  </si>
  <si>
    <t>Uncharacterized protein n=1 Tax=Virus NIOZ-UU159 TaxID=2763270 RepID=A0A7S9XFS8_9VIRU</t>
  </si>
  <si>
    <t>11.09.P3-46.276-51_2</t>
  </si>
  <si>
    <t>COG0208 [FUNC="Ribonucleotide reductase beta subunit, ferritin-like domain"] [shortName=NrdB] [TAG=F TAGDEF="Nucleotide transport and metabolism" PROCESS="METABOLISM"]  [PATHWAY="Pyrimidine salvage"] ribonucleoside-diphosphate reductase [Sphingobacterium sp. 21]</t>
  </si>
  <si>
    <t>11.09.P3-46.276-51_20</t>
  </si>
  <si>
    <t>11.09.P3-46.276-51_23</t>
  </si>
  <si>
    <t>Yip1 domain-containing protein n=3 Tax=unclassified Prymnesiovirus TaxID=358403 RepID=R4TV17_9PHYC</t>
  </si>
  <si>
    <t>11.09.P3-46.276-51_24</t>
  </si>
  <si>
    <t>DNA-directed RNA polymerase subunit beta n=1 Tax=Mimiviridae sp. ChoanoV1 TaxID=2596887 RepID=A0A5B8III9_9VIRU</t>
  </si>
  <si>
    <t>11.09.P3-46.276-51_25</t>
  </si>
  <si>
    <t>11.09.P3-46.276-51_27</t>
  </si>
  <si>
    <t>11.09.P3-46.276-51_28</t>
  </si>
  <si>
    <t>sp|Q9I926|FUCL6_ANGJA Fucolectin-6 OS=Anguilla japonica OX=7937 PE=2 SV=1</t>
  </si>
  <si>
    <t>COG5492 [FUNC="Uncharacterized conserved protein YjdB, contains Ig-like domain"] [shortName=YjdB] [TAG=R TAGDEF="General function prediction only" PROCESS="POORLY CHARACTERIZED"]  [PATHWAY=""] hypothetical protein [Bathymodiolus thermophilus thioautotrophic gill symbiont]</t>
  </si>
  <si>
    <t>VOG07916 [FUNC="REFSEQ hypothetical protein"] [TAG=Xu TAGDEF="Function unknown"]</t>
  </si>
  <si>
    <t>NPCBM-associated, NEW3 domain of alpha-galactosidase n=1 Tax=Jiangella alba TaxID=561176 RepID=A0A1H5JDI4_9ACTN</t>
  </si>
  <si>
    <t>11.09.P3-46.276-51_3</t>
  </si>
  <si>
    <t>VOG01327 [FUNC="REFSEQ GIY-YIG superfamily protein"] [TAG=Xu TAGDEF="Function unknown"]</t>
  </si>
  <si>
    <t>GIY-YIG domain-containing protein n=1 Tax=Organic Lake virophage TaxID=938080 RepID=F2Y0K7_9VIRU</t>
  </si>
  <si>
    <t>11.09.P3-46.276-51_31</t>
  </si>
  <si>
    <t>11.09.P3-46.276-51_32</t>
  </si>
  <si>
    <t>11.09.P3-46.276-51_33</t>
  </si>
  <si>
    <t>sp|A8WSV7|RPAB2_CAEBR Probable DNA-directed RNA polymerases I, II, and III subunit RPABC2 OS=Caenorhabditis briggsae OX=6238 GN=rpb-6 PE=3 SV=1</t>
  </si>
  <si>
    <t>11.09.P3-46.276-51_35</t>
  </si>
  <si>
    <t>11.09.P3-46.276-51_36</t>
  </si>
  <si>
    <t>11.09.P3-46.276-51_37</t>
  </si>
  <si>
    <t>sp|A8Y1P7|BRE4_CAEBR Beta-1,4-N-acetylgalactosaminyltransferase bre-4 OS=Caenorhabditis briggsae OX=6238 GN=bre-4 PE=3 SV=1</t>
  </si>
  <si>
    <t>Beta-1,4-galactosyltransferase 1-like protein n=1 Tax=Chrysochromulina parva virus TaxID=2565304 RepID=A0A4Y6GSY5_9PHYC</t>
  </si>
  <si>
    <t>11.09.P3-46.276-51_38</t>
  </si>
  <si>
    <t>Exostosin GT47 domain-containing protein n=3 Tax=unclassified Prymnesiovirus TaxID=358403 RepID=R4THE2_9PHYC</t>
  </si>
  <si>
    <t>11.09.P3-46.276-51_39</t>
  </si>
  <si>
    <t>sp|P55473|NOEI_SINFN 2-O-methyltransferase NoeI OS=Sinorhizobium fredii (strain NBRC 101917 / NGR234) OX=394 GN=noeI PE=1 SV=1</t>
  </si>
  <si>
    <t>COG5010 [FUNC="Flp pilus assembly protein TadD, contains TPR repeats"] [shortName=TadD] [TAG=U TAGDEF="Intracellular trafficking, secretion, and vesicular transport" PROCESS="CELLULAR PROCESSES AND SIGNALING"] [TAG=W TAGDEF="Extracellular structures" PROCESS="CELLULAR PROCESSES AND SIGNALING"]  [PATHWAY=""] hypothetical protein NIES204_22960 [Planktothrix agardhii NIES-204]</t>
  </si>
  <si>
    <t>VOG03577 [FUNC="REFSEQ methyltransferase"] [TAG=Xu TAGDEF="Function unknown"]</t>
  </si>
  <si>
    <t>FkbM family methyltransferase n=1 Tax=Trichocoleus sp. FACHB-832 TaxID=2692875 RepID=A0A8J6RR14_9CYAN</t>
  </si>
  <si>
    <t>11.09.P3-46.276-51_4</t>
  </si>
  <si>
    <t>sp|Q58454|Y1054_METJA Uncharacterized protein MJ1054 OS=Methanocaldococcus jannaschii (strain ATCC 43067 / DSM 2661 / JAL-1 / JCM 10045 / NBRC 100440) OX=243232 GN=MJ1054 PE=3 SV=1</t>
  </si>
  <si>
    <t>11.09.P3-46.276-51_43</t>
  </si>
  <si>
    <t>VOG17226 [FUNC="REFSEQ hypothetical protein"] [TAG=Xu TAGDEF="Function unknown"]</t>
  </si>
  <si>
    <t>Uncharacterized protein n=3 Tax=unclassified Prymnesiovirus TaxID=358403 RepID=R4TWB9_9PHYC</t>
  </si>
  <si>
    <t>11.09.P3-46.276-51_44</t>
  </si>
  <si>
    <t>11.09.P3-46.276-51_45</t>
  </si>
  <si>
    <t>COG0569 [FUNC="Trk/Ktr K+ transport system regulatory component TrkA/KtrA/KtrC, RCK domain"] [shortName=TrkA] [TAG=P TAGDEF="Inorganic ion transport and metabolism" PROCESS="METABOLISM"] [TAG=T TAGDEF="Signal transduction mechanisms" PROCESS="CELLULAR PROCESSES AND SIGNALING"]  [PATHWAY=""] potassium transporter Kef [Dietzia timorensis]</t>
  </si>
  <si>
    <t>Potassium channel protein kcv n=4 Tax=Chlorovirus TaxID=181083 RepID=KCV_PBCV1</t>
  </si>
  <si>
    <t>11.09.P3-46.276-51_5</t>
  </si>
  <si>
    <t>Uncharacterized protein n=1 Tax=Mucilaginibacter segetis TaxID=2793071 RepID=A0A934ULU7_9SPHI</t>
  </si>
  <si>
    <t>11.09.P3-46.276-51_6</t>
  </si>
  <si>
    <t>VOG19119 [FUNC="REFSEQ hypothetical protein"] [TAG=Xu TAGDEF="Function unknown"]</t>
  </si>
  <si>
    <t>Glycosyltransferase n=1 Tax=Chrysochromulina ericina virus TaxID=455364 RepID=A0A0N9QA10_CEV01</t>
  </si>
  <si>
    <t>11.09.P3-46.276-51_7</t>
  </si>
  <si>
    <t>11.09.P3-46.276-51_8</t>
  </si>
  <si>
    <t>11.09.P3-5.098-7.2_1</t>
  </si>
  <si>
    <t>COG0607 [FUNC="Rhodanese-related sulfurtransferase"] [shortName=PspE] [TAG=P TAGDEF="Inorganic ion transport and metabolism" PROCESS="METABOLISM"]  [PATHWAY="Urea cycle"] rhodanese-like domain-containing protein [Filifactor alocis]</t>
  </si>
  <si>
    <t>11.09.P3-5.098-7.2_2</t>
  </si>
  <si>
    <t>COG0164 [FUNC="Ribonuclease HII"] [shortName=RnhB] [TAG=L TAGDEF="Replication, recombination and repair" PROCESS="INFORMATION STORAGE AND PROCESSING"]  [PATHWAY=""] ribonuclease HII [Butyricimonas sp. Marseille-P4593]</t>
  </si>
  <si>
    <t>11.09.P3-5.098-7.2_4</t>
  </si>
  <si>
    <t>Ankyrin repeat domain-containing protein 29-like n=1 Tax=Branchiostoma floridae TaxID=7739 RepID=A0A9J7HQ38_BRAFL</t>
  </si>
  <si>
    <t>11.09.P3-5.106-6.2_3</t>
  </si>
  <si>
    <t>11.09.P3-5.106-6.2_4</t>
  </si>
  <si>
    <t>11.09.P3-5.106-6.2_6</t>
  </si>
  <si>
    <t>11.09.P3-5.107-5.1_4</t>
  </si>
  <si>
    <t>sp|F4KFX5|AATPJ_ARATH AAA-ATPase At5g40000 OS=Arabidopsis thaliana OX=3702 GN=At5g40000 PE=3 SV=1</t>
  </si>
  <si>
    <t>VOG02029 [FUNC="sp|Q5UQE0|YR476_MIMIV Putative AAA family ATPase R476"] [TAG=Xh TAGDEF="Virus protein with function beneficial for the host"]</t>
  </si>
  <si>
    <t>AAA family ATPase n=1 Tax=Catovirus CTV1 TaxID=1977631 RepID=A0A1V0SAR8_9VIRU</t>
  </si>
  <si>
    <t>11.09.P3-5.161-7.9_11</t>
  </si>
  <si>
    <t>11.09.P3-5.161-7.9_12</t>
  </si>
  <si>
    <t>11.09.P3-5.161-7.9_5</t>
  </si>
  <si>
    <t>11.09.P3-5.161-7.9_9</t>
  </si>
  <si>
    <t>11.09.P3-5.214-3.8_1</t>
  </si>
  <si>
    <t>Endonuclease/exonuclease/phosphatase superfamily n=1 Tax=Fadolivirus 1 TaxID=2740746 RepID=A0A7D3UVJ3_9VIRU</t>
  </si>
  <si>
    <t>11.09.P3-5.214-3.8_2</t>
  </si>
  <si>
    <t>Uncharacterized protein n=1 Tax=Adineta ricciae TaxID=249248 RepID=A0A813U6V6_ADIRI</t>
  </si>
  <si>
    <t>11.09.P3-5.214-3.8_3</t>
  </si>
  <si>
    <t>COG3774 [FUNC="Mannosyltransferase OCH1 or related enzyme"] [shortName=OCH1] [TAG=M TAGDEF="Cell wall/membrane/envelope biogenesis" PROCESS="CELLULAR PROCESSES AND SIGNALING"]  [PATHWAY=""] MULTISPECIES: glycosyl transferase [Parabacteroides]</t>
  </si>
  <si>
    <t>Glycosyltransferase n=1 Tax=Moumouvirus goulette TaxID=1247379 RepID=M1PBI4_9VIRU</t>
  </si>
  <si>
    <t>11.09.P3-5.214-3.8_4</t>
  </si>
  <si>
    <t>COG0847 [FUNC="DNA polymerase III, epsilon subunit or related 3'-5' exonuclease"] [shortName=DnaQ] [TAG=L TAGDEF="Replication, recombination and repair" PROCESS="INFORMATION STORAGE AND PROCESSING"]  [PATHWAY=""] DNA polymerase III subunit alpha [Riemerella anatipestifer]</t>
  </si>
  <si>
    <t>DNA 3'-5' helicase n=1 Tax=Hokovirus HKV1 TaxID=1977638 RepID=A0A1V0SG90_9VIRU</t>
  </si>
  <si>
    <t>11.09.P3-5.325-4.1-V2_11</t>
  </si>
  <si>
    <t>11.09.P3-5.325-4.1-V2_14</t>
  </si>
  <si>
    <t>Thymidylate synthase n=1 Tax=Branchiostoma belcheri TaxID=7741 RepID=A0A6P4Z3K7_BRABE</t>
  </si>
  <si>
    <t>11.09.P3-5.325-4.1-V2_18</t>
  </si>
  <si>
    <t>Capsid protein n=1 Tax=Paramecium bursaria Chlorella virus 1 TaxID=10506 RepID=O41040_PBCV1</t>
  </si>
  <si>
    <t>11.09.P3-5.326-5.4_1</t>
  </si>
  <si>
    <t>11.09.P3-5.326-5.4_3</t>
  </si>
  <si>
    <t>sp|Q8NBS9|TXND5_HUMAN Thioredoxin domain-containing protein 5 OS=Homo sapiens OX=9606 GN=TXNDC5 PE=1 SV=2</t>
  </si>
  <si>
    <t>11.09.P3-5.326-5.4_5</t>
  </si>
  <si>
    <t>11.09.P3-5.326-5.4_6</t>
  </si>
  <si>
    <t>COG1752 [FUNC="Predicted acylesterase/phospholipase RssA, containd patatin domain"] [shortName=RssA] [TAG=R TAGDEF="General function prediction only" PROCESS="POORLY CHARACTERIZED"]  [PATHWAY=""] patatin [Bibersteinia trehalosi]</t>
  </si>
  <si>
    <t>11.09.P3-5.326-5.4_7</t>
  </si>
  <si>
    <t>11.09.P3-5.326-5.4_8</t>
  </si>
  <si>
    <t>Ribonuclease HII n=1 Tax=Chrysochromulina parva virus TaxID=2565304 RepID=A0A4Y6GR94_9PHYC</t>
  </si>
  <si>
    <t>11.09.P3-5.369-42_5</t>
  </si>
  <si>
    <t>sp|Q8VYX1|PEAM1_WHEAT Phosphoethanolamine N-methyltransferase 1 OS=Triticum aestivum OX=4565 GN=PEAMT1 PE=1 SV=1</t>
  </si>
  <si>
    <t>COG2230 [FUNC="Cyclopropane fatty-acyl-phospholipid synthase and related methyltransferases"] [shortName=Cfa] [TAG=I TAGDEF="Lipid transport and metabolism" PROCESS="METABOLISM"]  [PATHWAY=""] MULTISPECIES: class I SAM-dependent methyltransferase [Methanosphaera]</t>
  </si>
  <si>
    <t>Methyltransferase domain-containing protein n=1 Tax=Bathycoccus sp. RCC1105 virus BpV2 TaxID=880160 RepID=E5EQV9_9PHYC</t>
  </si>
  <si>
    <t>11.09.P3-5.369-42_6</t>
  </si>
  <si>
    <t>LicD family protein n=1 Tax=Bathycoccus sp. RCC1105 virus BpV2 TaxID=880160 RepID=E5EQV8_9PHYC</t>
  </si>
  <si>
    <t>11.09.P3-5.372-2.8_2</t>
  </si>
  <si>
    <t>Thioredoxin n=1 Tax=Chrysochromulina parva virus TaxID=2565304 RepID=A0A4Y6GRL4_9PHYC</t>
  </si>
  <si>
    <t>11.09.P3-5.372-2.8_3</t>
  </si>
  <si>
    <t>11.09.P3-5.372-2.8_4</t>
  </si>
  <si>
    <t>11.09.P3-5.372-2.8_5</t>
  </si>
  <si>
    <t>11.09.P3-5.372-2.8_6</t>
  </si>
  <si>
    <t>11.09.P3-5.372-2.8_7</t>
  </si>
  <si>
    <t>sp|Q39212|RPD3B_ARATH DNA-directed RNA polymerases IV and V subunit 3B OS=Arabidopsis thaliana OX=3702 GN=NRPD3B PE=1 SV=2</t>
  </si>
  <si>
    <t>Putative DNA-directed RNA polymerase II subunit D n=1 Tax=Yellowstone lake mimivirus TaxID=1586712 RepID=A0A0N7KVQ5_9VIRU</t>
  </si>
  <si>
    <t>11.09.P3-5.378-6.5_6</t>
  </si>
  <si>
    <t>sp|B2KZE7|TPDA_CORST Cysteinylglycine-S-conjugate dipeptidase OS=Corynebacterium striatum OX=43770 GN=tpdA PE=1 SV=1</t>
  </si>
  <si>
    <t>COG0624 [FUNC="Acetylornithine deacetylase/Succinyl-diaminopimelate desuccinylase or related deacylase"] [shortName=ArgE] [TAG=E TAGDEF="Amino acid transport and metabolism" PROCESS="METABOLISM"]  [PATHWAY="Arginine biosynthesis"] peptidase M20 [Nitrosococcus halophilus]</t>
  </si>
  <si>
    <t>Peptidase M20/M25/M40 n=1 Tax=Perkinsela sp. CCAP 1560/4 TaxID=1314962 RepID=A0A0L1KWB8_9EUGL</t>
  </si>
  <si>
    <t>11.09.P3-5.378-6.5_8</t>
  </si>
  <si>
    <t>sp|Q5UP32|YR828_MIMIV Uncharacterized protein R828 OS=Acanthamoeba polyphaga mimivirus OX=212035 GN=MIMI_R828 PE=4 SV=1</t>
  </si>
  <si>
    <t>VOG14833 [FUNC="sp|Q5UP32|YR828_MIMIV Uncharacterized protein R828"] [TAG=Xu TAGDEF="Function unknown"]</t>
  </si>
  <si>
    <t>Uncharacterized protein n=1 Tax=Tupanvirus deep ocean TaxID=2126984 RepID=A0A6N1NM51_9VIRU</t>
  </si>
  <si>
    <t>11.09.P3-5.446-16_2</t>
  </si>
  <si>
    <t>VOG01002 [FUNC="sp|Q5UR16|YR659_MIMIV Putative EGF-like domain-containing protein R659"] [TAG=Xh TAGDEF="Virus protein with function beneficial for the host"]</t>
  </si>
  <si>
    <t>Secreted protein n=1 Tax=Pithovirus sibericum TaxID=1450746 RepID=W5S583_9VIRU</t>
  </si>
  <si>
    <t>11.09.P3-5.446-16_3</t>
  </si>
  <si>
    <t>DNA recombination-mediator protein A n=1 Tax=Marseillevirus LCMAC201 TaxID=2506605 RepID=A0A481YWI5_9VIRU</t>
  </si>
  <si>
    <t>11.09.P3-5.446-16_4</t>
  </si>
  <si>
    <t>sp|Q0R4F1|PIF1_XENLA ATP-dependent DNA helicase PIF1 OS=Xenopus laevis OX=8355 GN=pif1 PE=2 SV=1</t>
  </si>
  <si>
    <t>RecD helicase /ATP-dependent exoDNAse n=1 Tax=Marseillevirus LCMAC101 TaxID=2506602 RepID=A0A481YRI3_9VIRU</t>
  </si>
  <si>
    <t>11.09.P3-5.446-16_5</t>
  </si>
  <si>
    <t>sp|Q9QSK5|EXON_IIV6 Putative exonuclease 012L OS=Invertebrate iridescent virus 6 OX=176652 GN=IIV6-012L PE=3 SV=1</t>
  </si>
  <si>
    <t>XRN 5'-3' exonuclease n=1 Tax=Marseillevirus LCMAC101 TaxID=2506602 RepID=A0A481YT79_9VIRU</t>
  </si>
  <si>
    <t>11.09.P3-5.455-15_1</t>
  </si>
  <si>
    <t>COG3291 [FUNC="Uncharacterized conserved protein, PKD repeat domain"] [shortName=] [TAG=S TAGDEF="Function unknown" PROCESS="POORLY CHARACTERIZED"]  [PATHWAY=""] PKD domain-containing protein [Cellulomonas fimi]</t>
  </si>
  <si>
    <t>11.09.P3-5.455-15_3</t>
  </si>
  <si>
    <t>11.09.P3-5.455-15_4</t>
  </si>
  <si>
    <t>11.09.P3-5.488-18_2</t>
  </si>
  <si>
    <t>COG3568 [FUNC="Metal-dependent hydrolase, endonuclease/exonuclease/phosphatase family"] [shortName=ElsH] [TAG=R TAGDEF="General function prediction only" PROCESS="POORLY CHARACTERIZED"]  [PATHWAY=""] hypothetical protein BA_0373 [Bacillus anthracis str. Ames]</t>
  </si>
  <si>
    <t>11.09.P3-5.488-18_4</t>
  </si>
  <si>
    <t>VOG23534 [FUNC="REFSEQ hypothetical protein"] [TAG=Xu TAGDEF="Function unknown"]</t>
  </si>
  <si>
    <t>Putative tartrate-resistant acid phosphatase type 5 n=1 Tax=Tupanvirus deep ocean TaxID=2126984 RepID=A0A6N1NQE7_9VIRU</t>
  </si>
  <si>
    <t>11.09.P3-5.488-18_7</t>
  </si>
  <si>
    <t>sp|Q8TFK3|GSP1_YARLI GTP-binding nuclear protein GSP1/Ran OS=Yarrowia lipolytica (strain CLIB 122 / E 150) OX=284591 GN=GSP1 PE=3 SV=1</t>
  </si>
  <si>
    <t>KOG0096 [FUNC="GTPase Ran/TC4/GSP1 (nuclear protein transport pathway), small G protein superfamily"] [shortName=] [TAG=U TAGDEF="Intracellular trafficking, secretion, and vesicular transport" PROCESS="CELLULAR PROCESSES AND SIGNALING"]  [PATHWAY=""]</t>
  </si>
  <si>
    <t>GTP-binding nuclear protein n=1 Tax=Paramoeba aestuarina TaxID=180227 RepID=A0A7S4UNI2_9EUKA</t>
  </si>
  <si>
    <t>11.09.P3-5.515-34_1</t>
  </si>
  <si>
    <t>VOG00826 [FUNC="sp|Q06717|GSTG_BPT2 Beta-glucosyl-HMC-alpha-glucosyl-transferase"] [TAG=Xh TAGDEF="Virus protein with function beneficial for the host"]</t>
  </si>
  <si>
    <t>Glycosyltransferase 2-like domain-containing protein n=1 Tax=Mimiviridae sp. ChoanoV1 TaxID=2596887 RepID=A0A5B8IF74_9VIRU</t>
  </si>
  <si>
    <t>11.09.P3-5.515-34_3</t>
  </si>
  <si>
    <t>COG2131 [FUNC="Deoxycytidylate deaminase"] [shortName=ComEB] [TAG=F TAGDEF="Nucleotide transport and metabolism" PROCESS="METABOLISM"]  [PATHWAY=""] dCMP deaminase [Verrucomicrobia bacterium]</t>
  </si>
  <si>
    <t>11.09.P3-5.515-34_6</t>
  </si>
  <si>
    <t>11.09.P3-5.515-34_8</t>
  </si>
  <si>
    <t>11.09.P3-5.530-4.3_4</t>
  </si>
  <si>
    <t>Sulfotransferase domain-containing protein n=1 Tax=Chrysochromulina ericina virus TaxID=455364 RepID=A0A0N9QY64_CEV01</t>
  </si>
  <si>
    <t>11.09.P3-5.576-5.0_1</t>
  </si>
  <si>
    <t>11.09.P3-5.576-5.0_5</t>
  </si>
  <si>
    <t>11.09.P3-5.576-5.0_7</t>
  </si>
  <si>
    <t>11.09.P3-5.576-5.0_9</t>
  </si>
  <si>
    <t>11.09.P3-5.610-4.0_1</t>
  </si>
  <si>
    <t>sp|Q4Q089|MTR1_LEIMA Cap-specific mRNA (nucleoside-2'-O-)-methyltransferase 1 OS=Leishmania major OX=5664 GN=LmjF36.6660 PE=3 SV=1</t>
  </si>
  <si>
    <t>11.09.P3-5.610-4.0_5</t>
  </si>
  <si>
    <t>11.09.P3-5.610-4.0_6</t>
  </si>
  <si>
    <t>Histidine phosphatase superfamily clade-1 n=1 Tax=Fadolivirus 1 TaxID=2740746 RepID=A0A7D3UQT3_9VIRU</t>
  </si>
  <si>
    <t>11.09.P3-5.613-5.5_1</t>
  </si>
  <si>
    <t>11.09.P3-5.613-5.5_2</t>
  </si>
  <si>
    <t>COG0338 [FUNC="DNA-adenine methylase"] [shortName=Dam] [TAG=L TAGDEF="Replication, recombination and repair" PROCESS="INFORMATION STORAGE AND PROCESSING"]  [PATHWAY=""] DNA adenine methylase [Methanothermococcus okinawensis]</t>
  </si>
  <si>
    <t>11.09.P3-5.613-5.5_5</t>
  </si>
  <si>
    <t>Uncharacterized protein (Fragment) n=1 Tax=Rhizoclosmatium globosum TaxID=329046 RepID=A0A1Y2BV35_9FUNG</t>
  </si>
  <si>
    <t>11.09.P3-5.805-16_11</t>
  </si>
  <si>
    <t>11.09.P3-5.805-16_13</t>
  </si>
  <si>
    <t>11.09.P3-5.805-16_6</t>
  </si>
  <si>
    <t>11.09.P3-5.865-48_7</t>
  </si>
  <si>
    <t>11.09.P3-5.865-48_8</t>
  </si>
  <si>
    <t>COG1196 [FUNC="Chromosome segregation ATPase Smc"] [shortName=Smc] [TAG=D TAGDEF="Cell cycle control, cell division, chromosome partitioning" PROCESS="CELLULAR PROCESSES AND SIGNALING"]  [PATHWAY=""] LysM peptidoglycan-binding domain-containing protein [Lacunisphaera limnophila]</t>
  </si>
  <si>
    <t>Aggrecan core protein n=1 Tax=Hymenochirus boettgeri TaxID=247094 RepID=A0A8T2JAS2_9PIPI</t>
  </si>
  <si>
    <t>11.09.P3-5.877-4.7_1</t>
  </si>
  <si>
    <t>11.09.P3-5.877-4.7_17</t>
  </si>
  <si>
    <t>11.09.P3-5.920-49_5</t>
  </si>
  <si>
    <t>Uncharacterized protein n=1 Tax=Mimiviridae sp. ChoanoV1 TaxID=2596887 RepID=A0A5B8II12_9VIRU</t>
  </si>
  <si>
    <t>11.09.P3-5.920-49_7</t>
  </si>
  <si>
    <t>sp|Q65UH7|CMOB_MANSM tRNA U34 carboxymethyltransferase OS=Mannheimia succiniciproducens (strain MBEL55E) OX=221988 GN=cmoB PE=3 SV=1</t>
  </si>
  <si>
    <t>COG2226 [FUNC="Ubiquinone/menaquinone biosynthesis C-methylase UbiE/MenG"] [shortName=UbiE] [TAG=H TAGDEF="Coenzyme transport and metabolism" PROCESS="METABOLISM"]  [PATHWAY="Biotin biosynthesis"] class I SAM-dependent methyltransferase [Caldisericum exile]</t>
  </si>
  <si>
    <t>11.09.P3-5.926-32_2</t>
  </si>
  <si>
    <t>COG1372 [FUNC="Intein/homing endonuclease"] [shortName=Hop] [TAG=L TAGDEF="Replication, recombination and repair" PROCESS="INFORMATION STORAGE AND PROCESSING"] [TAG=X TAGDEF="Mobilome: prophages, transposons" PROCESS=""]  [PATHWAY=""] helicase [Anabaena cylindrica]</t>
  </si>
  <si>
    <t>DEAD/SNF2-like helicase n=1 Tax=Mimivirus LCMiAC01 TaxID=2506608 RepID=A0A481YZ21_9VIRU</t>
  </si>
  <si>
    <t>11.09.P3-5.926-32_3</t>
  </si>
  <si>
    <t>sp|O43567|RNF13_HUMAN E3 ubiquitin-protein ligase RNF13 OS=Homo sapiens OX=9606 GN=RNF13 PE=1 SV=1</t>
  </si>
  <si>
    <t>KOG4628 [FUNC="Predicted E3 ubiquitin ligase"] [shortName=] [TAG=O TAGDEF="Posttranslational modification, protein turnover, chaperones" PROCESS="CELLULAR PROCESSES AND SIGNALING"]  [PATHWAY=""]</t>
  </si>
  <si>
    <t>RING finger protein n=1 Tax=Nosema granulosis TaxID=83296 RepID=A0A9P6GZB4_9MICR</t>
  </si>
  <si>
    <t>11.09.P3-5.926-32_4</t>
  </si>
  <si>
    <t>COG0457 [FUNC="Tetratricopeptide (TPR) repeat"] [shortName=TPR] [TAG=R TAGDEF="General function prediction only" PROCESS="POORLY CHARACTERIZED"]  [PATHWAY=""] FkbM family methyltransferase [Moorea producens]</t>
  </si>
  <si>
    <t>Nucleotide-diphospho-sugar transferase family protein n=1 Tax=Lyngbya aestuarii BL J TaxID=1348334 RepID=U7Q8X3_9CYAN</t>
  </si>
  <si>
    <t>11.09.P3-6.041-32_1</t>
  </si>
  <si>
    <t>VOG31967 [FUNC="REFSEQ hypothetical protein"] [TAG=Xu TAGDEF="Function unknown"]</t>
  </si>
  <si>
    <t>FCP1 homology domain-containing protein n=1 Tax=Chrysochromulina ericina virus TaxID=455364 RepID=A0A0N7G7N5_CEV01</t>
  </si>
  <si>
    <t>11.09.P3-6.041-32_3</t>
  </si>
  <si>
    <t>VOG22764 [FUNC="REFSEQ hypothetical protein"] [TAG=Xu TAGDEF="Function unknown"]</t>
  </si>
  <si>
    <t>Uncharacterized protein n=3 Tax=unclassified Prymnesiovirus TaxID=358403 RepID=R4TFX5_9PHYC</t>
  </si>
  <si>
    <t>11.09.P3-6.041-32_4</t>
  </si>
  <si>
    <t>Uncharacterized protein n=1 Tax=Chrysochromulina ericina virus TaxID=455364 RepID=A0A0N9QJC8_CEV01</t>
  </si>
  <si>
    <t>11.09.P3-6.041-32_5</t>
  </si>
  <si>
    <t>Thiol protease n=3 Tax=unclassified Prymnesiovirus TaxID=358403 RepID=R4TVE7_9PHYC</t>
  </si>
  <si>
    <t>11.09.P3-6.041-32_6</t>
  </si>
  <si>
    <t>Asparagine synthetase B n=3 Tax=unclassified Prymnesiovirus TaxID=358403 RepID=R4TIC1_9PHYC</t>
  </si>
  <si>
    <t>11.09.P3-6.041-32_7</t>
  </si>
  <si>
    <t>sp|Q1LZA3|ASNS_BOVIN Asparagine synthetase [glutamine-hydrolyzing] OS=Bos taurus OX=9913 GN=ASNS PE=2 SV=3</t>
  </si>
  <si>
    <t>11.09.P3-6.041-32_8</t>
  </si>
  <si>
    <t>Uncharacterized protein n=2 Tax=unclassified Prymnesiovirus TaxID=358403 RepID=R4TX17_9PHYC</t>
  </si>
  <si>
    <t>11.09.P3-6.092-46_4</t>
  </si>
  <si>
    <t>sp|P73001|Y1608_SYNY3 Uncharacterized protein slr1608 OS=Synechocystis sp. (strain PCC 6803 / Kazusa) OX=1111708 GN=slr1608 PE=3 SV=1</t>
  </si>
  <si>
    <t>COG2133 [FUNC="Glucose/arabinose dehydrogenase, beta-propeller fold"] [shortName=YliI] [TAG=G TAGDEF="Carbohydrate transport and metabolism" PROCESS="METABOLISM"]  [PATHWAY=""] PQQ-dependent sugar dehydrogenase [Hahella chejuensis]</t>
  </si>
  <si>
    <t>T9SS type A sorting domain-containing protein n=1 Tax=Hymenobacter sediminicola TaxID=2761579 RepID=A0A7G7W8N5_9BACT</t>
  </si>
  <si>
    <t>11.09.P3-6.092-46_5</t>
  </si>
  <si>
    <t>sp|Q8K409|DPOLB_MOUSE DNA polymerase beta OS=Mus musculus OX=10090 GN=Polb PE=1 SV=3</t>
  </si>
  <si>
    <t>11.09.P3-6.234-36_2</t>
  </si>
  <si>
    <t>Protein kinase domain-containing protein n=1 Tax=Lichtheimia ramosa TaxID=688394 RepID=A0A077W9D3_9FUNG</t>
  </si>
  <si>
    <t>11.09.P3-6.234-36_7</t>
  </si>
  <si>
    <t>11.09.P3-6.234-36_9</t>
  </si>
  <si>
    <t>Hedgehog/Intein (Hint) domain-containing protein n=1 Tax=Cafeteria roenbergensis virus (strain BV-PW1) TaxID=693272 RepID=E3T509_CROVB</t>
  </si>
  <si>
    <t>11.09.P3-6.252-2.9_12</t>
  </si>
  <si>
    <t>11.09.P3-6.252-2.9_13</t>
  </si>
  <si>
    <t>Thymidylate synthase n=1 Tax=Coemansia erecta TaxID=147472 RepID=A0A9W8CU33_9FUNG</t>
  </si>
  <si>
    <t>11.09.P3-6.252-2.9_4</t>
  </si>
  <si>
    <t>11.09.P3-6.252-2.9_8</t>
  </si>
  <si>
    <t>11.09.P3-6.349-14_1</t>
  </si>
  <si>
    <t>Yip1 domain-containing protein n=3 Tax=unclassified Prymnesiovirus TaxID=358403 RepID=R4TQP4_9PHYC</t>
  </si>
  <si>
    <t>11.09.P3-6.349-14_2</t>
  </si>
  <si>
    <t>sp|P38251|RFC5_YEAST Replication factor C subunit 5 OS=Saccharomyces cerevisiae (strain ATCC 204508 / S288c) OX=559292 GN=RFC5 PE=1 SV=1</t>
  </si>
  <si>
    <t>KOG2035 [FUNC="Replication factor C, subunit RFC3"] [shortName=] [TAG=D TAGDEF="Cell cycle control, cell division, chromosome partitioning" PROCESS="CELLULAR PROCESSES AND SIGNALING"] [TAG=L TAGDEF="Replication, recombination and repair" PROCESS="INFORMATION STORAGE AND PROCESSING"]  [PATHWAY=""]</t>
  </si>
  <si>
    <t>11.09.P3-6.349-14_3</t>
  </si>
  <si>
    <t>COG0484 [FUNC="DnaJ-class molecular chaperone with C-terminal Zn finger domain"] [shortName=DnaJ] [TAG=O TAGDEF="Posttranslational modification, protein turnover, chaperones" PROCESS="CELLULAR PROCESSES AND SIGNALING"]  [PATHWAY=""] hypothetical protein [Candidatus Nitrosopelagicus brevis]</t>
  </si>
  <si>
    <t>DnaJ domain containing protein n=1 Tax=Chrysochromulina ericina virus TaxID=455364 RepID=A0A0N9Q9L4_CEV01</t>
  </si>
  <si>
    <t>11.09.P3-6.349-14_5</t>
  </si>
  <si>
    <t>COG5531 [FUNC="DNA-binding SWIB/MDM2 domain"] [shortName=Rsc6] [TAG=B TAGDEF="Chromatin structure and dynamics" PROCESS="INFORMATION STORAGE AND PROCESSING"]  [PATHWAY=""] DNA topoisomerase III [Ottowia oryzae]</t>
  </si>
  <si>
    <t>11.09.P3-6.349-14_6</t>
  </si>
  <si>
    <t>11.09.P3-6.349-14_9</t>
  </si>
  <si>
    <t>Uncharacterized protein n=1 Tax=Chrysochromulina ericina virus TaxID=455364 RepID=A0A0N9R0X2_CEV01</t>
  </si>
  <si>
    <t>11.09.P3-6.395-44_1</t>
  </si>
  <si>
    <t>Putative DNA N6-adenine methyltransferase n=1 Tax=Cafeteria roenbergensis virus (strain BV-PW1) TaxID=693272 RepID=E3T4J4_CROVB</t>
  </si>
  <si>
    <t>11.09.P3-6.395-44_5</t>
  </si>
  <si>
    <t>VOG19286 [FUNC="REFSEQ putative glycosyltransferase"] [TAG=Xu TAGDEF="Function unknown"]</t>
  </si>
  <si>
    <t>Glycosyltransferase n=1 Tax=Pithovirus LCDPAC01 TaxID=2506600 RepID=A0A4D5XEM8_9VIRU</t>
  </si>
  <si>
    <t>11.09.P3-6.395-44_8</t>
  </si>
  <si>
    <t>sp|Q5E9G4|TRI10_BOVIN Tripartite motif-containing protein 10 OS=Bos taurus OX=9913 GN=TRIM10 PE=2 SV=1</t>
  </si>
  <si>
    <t>RING-type domain-containing protein n=1 Tax=Gonium pectorale TaxID=33097 RepID=A0A150GUY8_GONPE</t>
  </si>
  <si>
    <t>11.09.P3-6.395-44_9</t>
  </si>
  <si>
    <t>11.09.P3-6.398-34_1</t>
  </si>
  <si>
    <t>sp|Q6QNM1|KC1_TOXGO Casein kinase I OS=Toxoplasma gondii OX=5811 PE=2 SV=1</t>
  </si>
  <si>
    <t>KOG1163 [FUNC="Casein kinase (serine/threonine/tyrosine protein kinase)"] [shortName=] [TAG=T TAGDEF="Signal transduction mechanisms" PROCESS="CELLULAR PROCESSES AND SIGNALING"]  [PATHWAY=""]</t>
  </si>
  <si>
    <t>Protein kinase domain-containing protein n=1 Tax=Stentor coeruleus TaxID=5963 RepID=A0A1R2C424_9CILI</t>
  </si>
  <si>
    <t>11.09.P3-6.398-34_2</t>
  </si>
  <si>
    <t>COG1278 [FUNC="Cold shock protein, CspA family"] [shortName=CspC] [TAG=K TAGDEF="Transcription" PROCESS="INFORMATION STORAGE AND PROCESSING"]  [PATHWAY=""] cold-shock protein [Melittangium boletus]</t>
  </si>
  <si>
    <t>11.09.P3-6.398-34_3</t>
  </si>
  <si>
    <t>SWIB domain-containing protein n=1 Tax=Yellowstone lake phycodnavirus 2 TaxID=1586714 RepID=A0A0N7KVU9_9PHYC</t>
  </si>
  <si>
    <t>11.09.P3-6.398-34_7</t>
  </si>
  <si>
    <t>sp|Q92834|RPGR_HUMAN X-linked retinitis pigmentosa GTPase regulator OS=Homo sapiens OX=9606 GN=RPGR PE=1 SV=2</t>
  </si>
  <si>
    <t>COG5184 [FUNC="Alpha-tubulin suppressor ATS1 and related RCC1 domain-containing proteins"] [shortName=ATS1] [TAG=D TAGDEF="Cell cycle control, cell division, chromosome partitioning" PROCESS="CELLULAR PROCESSES AND SIGNALING"] [TAG=Z TAGDEF="Cytoskeleton" PROCESS="CELLULAR PROCESSES AND SIGNALING"]  [PATHWAY=""] beta-lactamase-inhibitor protein II [Clostridioides difficile 630]</t>
  </si>
  <si>
    <t>X-linked retinitis pigmentosa GTPase regulator n=1 Tax=Papilio xuthus TaxID=66420 RepID=A0A194Q9G0_PAPXU</t>
  </si>
  <si>
    <t>11.09.P3-6.398-34_8</t>
  </si>
  <si>
    <t>sp|Q54DY9|BCS1B_DICDI Probable mitochondrial chaperone BCS1-B OS=Dictyostelium discoideum OX=44689 GN=bcsl1b PE=3 SV=1</t>
  </si>
  <si>
    <t>AAA ATPase n=2 Tax=unclassified Chlorovirus TaxID=346674 RepID=M1H8C0_9PHYC</t>
  </si>
  <si>
    <t>11.09.P3-6.422-3.9_13</t>
  </si>
  <si>
    <t>COG0787 [FUNC="Alanine racemase"] [shortName=Alr] [TAG=M TAGDEF="Cell wall/membrane/envelope biogenesis" PROCESS="CELLULAR PROCESSES AND SIGNALING"]  [PATHWAY="Mureine biosynthesis"] bifunctional UDP-N-acetylmuramoyl-tripeptide:D-alanyl-D-alanine ligase/alanine racemase [Myroides profundi]</t>
  </si>
  <si>
    <t>Capsid protein n=2 Tax=unclassified Prasinovirus TaxID=880158 RepID=I3UKB9_9PHYC</t>
  </si>
  <si>
    <t>11.09.P3-6.513-5.3_1</t>
  </si>
  <si>
    <t>11.09.P3-6.513-5.3_3</t>
  </si>
  <si>
    <t>11.09.P3-6.513-5.3_4</t>
  </si>
  <si>
    <t>MIGE-like protein n=1 Tax=Chrysochromulina ericina virus TaxID=455364 RepID=A0A0N9QXR0_CEV01</t>
  </si>
  <si>
    <t>11.09.P3-6.513-5.3_6</t>
  </si>
  <si>
    <t>11.09.P3-6.513-5.3_7</t>
  </si>
  <si>
    <t>sp|Q7SD49|MUS81_NEUCR Crossover junction endonuclease mus-81 OS=Neurospora crassa (strain ATCC 24698 / 74-OR23-1A / CBS 708.71 / DSM 1257 / FGSC 987) OX=367110 GN=mus-81 PE=3 SV=1</t>
  </si>
  <si>
    <t>COG1948 [FUNC="ERCC4-type crossover junction endonuclease"] [shortName=MUS81] [TAG=L TAGDEF="Replication, recombination and repair" PROCESS="INFORMATION STORAGE AND PROCESSING"]  [PATHWAY=""] ERCC4-type nuclease [Fervidicoccus fontis Kam940]</t>
  </si>
  <si>
    <t>11.09.P3-6.593-50_11</t>
  </si>
  <si>
    <t>11.09.P3-6.593-50_15</t>
  </si>
  <si>
    <t>2OG-Fe(II) oxygenase n=1 Tax=Oceanospirillum sediminis TaxID=2760088 RepID=A0A839IPY1_9GAMM</t>
  </si>
  <si>
    <t>11.09.P3-6.593-50_6</t>
  </si>
  <si>
    <t>RING-type domain-containing protein n=1 Tax=Paramecium bursaria Chlorella virus NW665.2 TaxID=1278263 RepID=M1HFX0_9PHYC</t>
  </si>
  <si>
    <t>11.09.P3-6.593-50_8</t>
  </si>
  <si>
    <t>11.09.P3-6.593-50_9</t>
  </si>
  <si>
    <t>11.09.P3-6.618-23_10</t>
  </si>
  <si>
    <t>COG3291 [FUNC="Uncharacterized conserved protein, PKD repeat domain"] [shortName=] [TAG=S TAGDEF="Function unknown" PROCESS="POORLY CHARACTERIZED"]  [PATHWAY=""] PKD domain-containing protein [Sphingobacterium sp. 21]</t>
  </si>
  <si>
    <t>11.09.P3-6.618-23_8</t>
  </si>
  <si>
    <t>COG3119 [FUNC="Arylsulfatase A or related enzyme, AlkP superfamily"] [shortName=AslA] [TAG=P TAGDEF="Inorganic ion transport and metabolism" PROCESS="METABOLISM"]  [PATHWAY=""] hypothetical protein [Flavivirga eckloniae]</t>
  </si>
  <si>
    <t>11.09.P3-6.626-44_10</t>
  </si>
  <si>
    <t>Major capsid protein VP54 n=1 Tax=Paramecium bursaria Chlorella virus AP110A TaxID=1278246 RepID=M1HF07_9PHYC</t>
  </si>
  <si>
    <t>11.09.P3-6.626-44_12</t>
  </si>
  <si>
    <t>11.09.P3-6.626-44_7</t>
  </si>
  <si>
    <t>11.09.P3-6.675-4.2_13</t>
  </si>
  <si>
    <t>11.09.P3-6.675-4.2_22</t>
  </si>
  <si>
    <t>11.09.P3-6.914-66_16</t>
  </si>
  <si>
    <t>COG1428 [FUNC="Deoxyadenosine/deoxycytidine kinase"] [shortName=Dck] [TAG=F TAGDEF="Nucleotide transport and metabolism" PROCESS="METABOLISM"]  [PATHWAY=""] 2-amino-4-hydroxy-6-hydroxymethyldihydropteridine diphosphokinase [Cellulophaga algicola]</t>
  </si>
  <si>
    <t>11.09.P3-6.914-66_17</t>
  </si>
  <si>
    <t>11.09.P3-6.914-66_21</t>
  </si>
  <si>
    <t>Uncharacterized protein n=1 Tax=Ostreococcus mediterraneus virus 1 TaxID=1663210 RepID=A0A0P0BWH6_9PHYC</t>
  </si>
  <si>
    <t>11.09.P3-6.914-66_23</t>
  </si>
  <si>
    <t>11.09.P3-6.914-66_6</t>
  </si>
  <si>
    <t>RING-type domain-containing protein n=1 Tax=Halicephalobus sp. NKZ332 TaxID=2598192 RepID=A0A6G0V1H7_9BILA</t>
  </si>
  <si>
    <t>11.09.P3-6.936-49_4</t>
  </si>
  <si>
    <t>Uncharacterized protein n=1 Tax=Blyttiomyces helicus TaxID=388810 RepID=A0A4P9W7B3_9FUNG</t>
  </si>
  <si>
    <t>11.09.P3-6.936-49_8</t>
  </si>
  <si>
    <t>sp|P31974|MTA1_CELCE Type II methyltransferase M.AluI OS=Cellulosimicrobium cellulans OX=1710 GN=aluIM PE=3 SV=1</t>
  </si>
  <si>
    <t>COG0270 [FUNC="DNA-cytosine methylase"] [shortName=Dcm] [TAG=L TAGDEF="Replication, recombination and repair" PROCESS="INFORMATION STORAGE AND PROCESSING"]  [PATHWAY=""] DNA (cytosine-5-)-methyltransferase [Tenericutes bacterium MO-XQ]</t>
  </si>
  <si>
    <t>Cytosine-specific methyltransferase n=1 Tax=Urechidicola croceus TaxID=1850246 RepID=A0A1D8P7Z4_9FLAO</t>
  </si>
  <si>
    <t>11.09.P3-6.987-25_1</t>
  </si>
  <si>
    <t>11.09.P3-6.987-25_3</t>
  </si>
  <si>
    <t>11.09.P3-6.987-25_6</t>
  </si>
  <si>
    <t>11.09.P3-6.987-25_7</t>
  </si>
  <si>
    <t>11.09.P3-7.040-8.1_1</t>
  </si>
  <si>
    <t>Methyltransferase FkbM domain-containing protein n=1 Tax=Bacteroides sp. SM23_62_1 TaxID=1703353 RepID=A0A0S8HHN4_9BACE</t>
  </si>
  <si>
    <t>11.09.P3-7.040-8.1_2</t>
  </si>
  <si>
    <t>sp|Q9Y2B1|RXLT1_HUMAN Ribitol-5-phosphate xylosyltransferase 1 OS=Homo sapiens OX=9606 GN=RXYLT1 PE=1 SV=1</t>
  </si>
  <si>
    <t>11.09.P3-7.040-8.1_3</t>
  </si>
  <si>
    <t>sp|Q12555|MET3_EMENI Sulfate adenylyltransferase OS=Emericella nidulans (strain FGSC A4 / ATCC 38163 / CBS 112.46 / NRRL 194 / M139) OX=227321 GN=met3 PE=3 SV=1</t>
  </si>
  <si>
    <t>COG2046 [FUNC="ATP sulfurylase (sulfate adenylyltransferase)"] [shortName=MET3] [TAG=P TAGDEF="Inorganic ion transport and metabolism" PROCESS="METABOLISM"]  [PATHWAY="Cysteine biosynthesis"] sulfate adenylyltransferase [Candidatus Babela massiliensis]</t>
  </si>
  <si>
    <t>VOG16960 [FUNC="sp|O67174|SATC_AQUAE Probable bifunctional SAT/APS kinase"] [TAG=Xh TAGDEF="Virus protein with function beneficial for the host"]</t>
  </si>
  <si>
    <t>Sulfate adenylyltransferase n=1 Tax=Sugiyamaella lignohabitans TaxID=796027 RepID=A0A167FDH6_9ASCO</t>
  </si>
  <si>
    <t>11.09.P3-7.040-8.1_5</t>
  </si>
  <si>
    <t>COG0438 [FUNC="Glycosyltransferase involved in cell wall bisynthesis"] [shortName=RfaB] [TAG=M TAGDEF="Cell wall/membrane/envelope biogenesis" PROCESS="CELLULAR PROCESSES AND SIGNALING"]  [PATHWAY=""] hypothetical protein [Anderseniella sp. Alg231-50]</t>
  </si>
  <si>
    <t>Putative methyltransferase n=1 Tax=Cafeteria roenbergensis virus (strain BV-PW1) TaxID=693272 RepID=E3T531_CROVB</t>
  </si>
  <si>
    <t>11.09.P3-7.040-8.1_6</t>
  </si>
  <si>
    <t>Uncharacterized protein (Fragment) n=1 Tax=Okeania sp. SIO3C4 TaxID=2607786 RepID=A0A6P0TV85_9CYAN</t>
  </si>
  <si>
    <t>11.09.P3-7.118-18_3</t>
  </si>
  <si>
    <t>sp|P47264|Y018_MYCGE Uncharacterized ATP-dependent helicase MG018 OS=Mycoplasma genitalium (strain ATCC 33530 / DSM 19775 / NCTC 10195 / G37) OX=243273 GN=MG018 PE=3 SV=3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</si>
  <si>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helicase SNF2 [Pseudopedobacter saltans]</t>
  </si>
  <si>
    <t>11.09.P3-7.205-22_15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</si>
  <si>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[Aquimarina sp. AD10]</t>
  </si>
  <si>
    <t>SNF2 family DNA-dependent ATPase domain-containing protein n=1 Tax=Baudoinia panamericana (strain UAMH 10762) TaxID=717646 RepID=M2MXS5_BAUPA</t>
  </si>
  <si>
    <t>11.09.P3-7.205-22_23</t>
  </si>
  <si>
    <t>11.09.P3-7.205-22_28</t>
  </si>
  <si>
    <t>11.09.P3-7.205-22_8</t>
  </si>
  <si>
    <t>11.09.P3-7.241-44_11</t>
  </si>
  <si>
    <t>11.09.P3-7.355-8.6_4</t>
  </si>
  <si>
    <t>Helicase n=1 Tax=Acanthocystis turfacea Chlorella virus GM0701.1 TaxID=1278271 RepID=M1HUU8_9PHYC</t>
  </si>
  <si>
    <t>11.09.P3-7.355-8.6_6</t>
  </si>
  <si>
    <t>11.09.P3-7.516-13_10</t>
  </si>
  <si>
    <t>11.09.P3-7.516-13_11</t>
  </si>
  <si>
    <t>11.09.P3-7.516-13_2</t>
  </si>
  <si>
    <t>Uncharacterized protein n=1 Tax=Chrysochromulina ericina virus TaxID=455364 RepID=A0A0N9Q9B1_CEV01</t>
  </si>
  <si>
    <t>11.09.P3-7.516-13_7</t>
  </si>
  <si>
    <t>VOG03228 [FUNC="REFSEQ hypothetical protein"] [TAG=Xu TAGDEF="Function unknown"]</t>
  </si>
  <si>
    <t>Restriction endonuclease type IV Mrr domain-containing protein n=1 Tax=Chrysochromulina ericina virus TaxID=455364 RepID=A0A0N9QB43_CEV01</t>
  </si>
  <si>
    <t>11.09.P3-7.580-30_6</t>
  </si>
  <si>
    <t>VOG03683 [FUNC="REFSEQ hypothetical protein"] [TAG=Xu TAGDEF="Function unknown"]</t>
  </si>
  <si>
    <t>Uncharacterized protein n=1 Tax=Tetraselmis virus 1 TaxID=2060617 RepID=A0A2P0VNU9_9PHYC</t>
  </si>
  <si>
    <t>11.09.P3-7.582-52_1</t>
  </si>
  <si>
    <t>sp|Q8N8W4|PLPL1_HUMAN Omega-hydroxyceramide transacylase OS=Homo sapiens OX=9606 GN=PNPLA1 PE=1 SV=3</t>
  </si>
  <si>
    <t>11.09.P3-7.582-52_14</t>
  </si>
  <si>
    <t>B box-type domain-containing protein n=1 Tax=Solanum commersonii TaxID=4109 RepID=A0A9J6A8S9_SOLCO</t>
  </si>
  <si>
    <t>11.09.P3-7.582-52_23</t>
  </si>
  <si>
    <t>Thioredoxin n=1 Tax=Paramecium bursaria Chlorella virus NE-JV-1 TaxID=1278261 RepID=M1I2C8_9PHYC</t>
  </si>
  <si>
    <t>11.09.P3-7.582-52_24</t>
  </si>
  <si>
    <t>Putative DNA polymerase sliding clamp 2 n=1 Tax=Paramecium bursaria Chlorella virus NE-JV-1 TaxID=1278261 RepID=M1HAV9_9PHYC</t>
  </si>
  <si>
    <t>11.09.P3-7.606-2.3_5</t>
  </si>
  <si>
    <t>sp|Q5UQR2|YL320_MIMIV Uncharacterized protein L320 OS=Acanthamoeba polyphaga mimivirus OX=212035 GN=MIMI_L320 PE=4 SV=1</t>
  </si>
  <si>
    <t>VOG33081 [FUNC="sp|Q5UQR2|YL320_MIMIV Uncharacterized protein L320"] [TAG=Xu TAGDEF="Function unknown"]</t>
  </si>
  <si>
    <t>Putative RNA cap guanine-N2 methyltransferase n=1 Tax=Pacmanvirus A23 TaxID=1932881 RepID=A0A1X6WFL4_9VIRU</t>
  </si>
  <si>
    <t>11.09.P3-7.656-49_1</t>
  </si>
  <si>
    <t>COG3415 [FUNC="CRISPR-associated protein Csa3, CARF domain"] [shortName=Csa3] [TAG=V TAGDEF="Defense mechanisms" PROCESS="CELLULAR PROCESSES AND SIGNALING"]  [PATHWAY="CRISPR-Cas system"] IS630 family transposase [Nitrospirillum amazonense]</t>
  </si>
  <si>
    <t>11.09.P3-7.656-49_4</t>
  </si>
  <si>
    <t>Mitochondrial resolvase Ydc2 catalytic domain-containing protein n=3 Tax=unclassified Prymnesiovirus TaxID=358403 RepID=G8DEP8_9PHYC</t>
  </si>
  <si>
    <t>11.09.P3-7.656-49_5</t>
  </si>
  <si>
    <t>11.09.P3-7.656-49_7</t>
  </si>
  <si>
    <t>VOG00939 [FUNC="REFSEQ hypothetical protein"] [TAG=Xu TAGDEF="Function unknown"]</t>
  </si>
  <si>
    <t>HNH nuclease domain-containing protein n=1 Tax=Phytophthora pseudosyringae TaxID=221518 RepID=A0A8T1V654_9STRA</t>
  </si>
  <si>
    <t>11.09.P3-7.656-49_8</t>
  </si>
  <si>
    <t>11.09.P3-7.683-4.1_1</t>
  </si>
  <si>
    <t>sp|Q9P792|YN8B_SCHPO ZZ-type zinc finger-containing protein P35G2.11c OS=Schizosaccharomyces pombe (strain 972 / ATCC 24843) OX=284812 GN=SPBP35G2.11c PE=1 SV=1</t>
  </si>
  <si>
    <t>KOG4582 [FUNC="Uncharacterized conserved protein, contains ZZ-type Zn-finger"] [shortName=] [TAG=R TAGDEF="General function prediction only" PROCESS="POORLY CHARACTERIZED"]  [PATHWAY=""]</t>
  </si>
  <si>
    <t>VOG33634 [FUNC="REFSEQ hypothetical protein"] [TAG=Xu TAGDEF="Function unknown"]</t>
  </si>
  <si>
    <t>ZZ-type zinc finger-containing protein P35G2.11c n=1 Tax=Holothuria leucospilota TaxID=206669 RepID=A0A9Q1CM05_HOLLE</t>
  </si>
  <si>
    <t>11.09.P3-7.683-4.1_6</t>
  </si>
  <si>
    <t>sp|Q37893|FIB12_BPB03 Pre-neck appendage protein OS=Bacillus phage B103 OX=2994042 GN=12 PE=3 SV=1</t>
  </si>
  <si>
    <t>COG3064 [FUNC="Membrane protein TolA involved in colicin uptake"] [shortName=TolA] [TAG=M TAGDEF="Cell wall/membrane/envelope biogenesis" PROCESS="CELLULAR PROCESSES AND SIGNALING"]  [PATHWAY=""] DUF2479 domain-containing protein [Clostridium tetani]</t>
  </si>
  <si>
    <t>VOG02488 [FUNC="REFSEQ pre-neck appendage protein"] [TAG=Xu TAGDEF="Function unknown"]</t>
  </si>
  <si>
    <t>Collagen triple helix repeat protein n=1 Tax=Pithovirus LCPAC101 TaxID=2506586 RepID=A0A481Z384_9VIRU</t>
  </si>
  <si>
    <t>11.09.P3-7.829-4.2_12</t>
  </si>
  <si>
    <t>11.09.P3-7.829-4.2_15</t>
  </si>
  <si>
    <t>11.09.P3-7.829-4.2_23</t>
  </si>
  <si>
    <t>11.09.P3-7.829-4.2_28</t>
  </si>
  <si>
    <t>11.09.P3-7.829-4.2_36</t>
  </si>
  <si>
    <t>11.09.P3-7.829-4.2_38</t>
  </si>
  <si>
    <t>11.09.P3-7.871-38_10</t>
  </si>
  <si>
    <t>EF-hand domain-containing protein n=1 Tax=Dictyocha speculum TaxID=35687 RepID=A0A7S2DUI4_9STRA</t>
  </si>
  <si>
    <t>11.09.P3-7.871-38_8</t>
  </si>
  <si>
    <t>sp|Q5UQE7|YL479_MIMIV Uncharacterized protein L479 OS=Acanthamoeba polyphaga mimivirus OX=212035 GN=MIMI_L479 PE=4 SV=1</t>
  </si>
  <si>
    <t>COG4696 [FUNC="NTP pyrophosphatase, MazG superfamily"] [shortName=MazG2] [TAG=F TAGDEF="Nucleotide transport and metabolism" PROCESS="METABOLISM"]  [PATHWAY=""] Protein of unknown function DUF2166 [Emticicia oligotrophica DSM 17448]</t>
  </si>
  <si>
    <t>VOG02111 [FUNC="sp|P39262|VG56_BPT4 dCTP pyrophosphatase"] [TAG=Xu TAGDEF="Function unknown"]</t>
  </si>
  <si>
    <t>Phosphoribosyl-ATP pyrophosphohydrolase n=1 Tax=Amoebophrya sp. A25 TaxID=1410381 RepID=A0A8J1W105_9DINO</t>
  </si>
  <si>
    <t>11.09.P3-7.871-38_9</t>
  </si>
  <si>
    <t>VOG00974 [FUNC="REFSEQ baseplate wedge subunit"] [TAG=Xu TAGDEF="Function unknown"]</t>
  </si>
  <si>
    <t>Chlorovirus glycoprotein repeat domain-containing protein n=1 Tax=Paramecium bursaria Chlorella virus KS1B TaxID=1278258 RepID=M1H749_9PHYC</t>
  </si>
  <si>
    <t>11.09.P3-7.941-19_7</t>
  </si>
  <si>
    <t>11.09.P3-7.978-8.3_3</t>
  </si>
  <si>
    <t>KOG0778 [FUNC="Protease, Ulp1 family"] [shortName=] [TAG=O TAGDEF="Posttranslational modification, protein turnover, chaperones" PROCESS="CELLULAR PROCESSES AND SIGNALING"]  [PATHWAY=""]</t>
  </si>
  <si>
    <t>Putative cysteine protease n=1 Tax=Cafeteria roenbergensis virus (strain BV-PW1) TaxID=693272 RepID=E3T4V4_CROVB</t>
  </si>
  <si>
    <t>11.09.P3-7.978-8.3_4</t>
  </si>
  <si>
    <t>sp|Q197F0|VF380_IIV3 Probable serine/threonine-protein kinase 010L OS=Invertebrate iridescent virus 3 OX=345201 GN=IIV3-010L PE=3 SV=1</t>
  </si>
  <si>
    <t>VOG00206 [FUNC="sp|Q6GZV6|019R_FRG3G Putative serine/threonine-protein kinase 019R"] [TAG=Xh TAGDEF="Virus protein with function beneficial for the host"]</t>
  </si>
  <si>
    <t>Putative serine/threonine protein kinase n=1 Tax=Mimivirus AB-566-O17 TaxID=1988039 RepID=A0A1X9VNX3_9VIRU</t>
  </si>
  <si>
    <t>11.09.P3-7.978-8.3_6</t>
  </si>
  <si>
    <t>Putative zinc finger domain-containing protein n=1 Tax=Mimivirus AB-566-O17 TaxID=1988039 RepID=A0A1X9VNX8_9VIRU</t>
  </si>
  <si>
    <t>11.09.P3-72.487-45_11</t>
  </si>
  <si>
    <t>Uncharacterized protein LOC116303744 isoform X2 n=1 Tax=Actinia tenebrosa TaxID=6105 RepID=A0A6P8IQ38_ACTTE</t>
  </si>
  <si>
    <t>11.09.P3-72.487-45_15</t>
  </si>
  <si>
    <t>VOG26524 [FUNC="REFSEQ hypothetical protein"] [TAG=Xu TAGDEF="Function unknown"]</t>
  </si>
  <si>
    <t>Uncharacterized protein n=1 Tax=Chrysochromulina ericina virus TaxID=455364 RepID=A0A0N9R1G0_CEV01</t>
  </si>
  <si>
    <t>11.09.P3-72.487-45_16</t>
  </si>
  <si>
    <t>11.09.P3-72.487-45_17</t>
  </si>
  <si>
    <t>11.09.P3-72.487-45_18</t>
  </si>
  <si>
    <t>11.09.P3-72.487-45_19</t>
  </si>
  <si>
    <t>11.09.P3-72.487-45_2</t>
  </si>
  <si>
    <t>11.09.P3-72.487-45_21</t>
  </si>
  <si>
    <t>Uncharacterized protein n=1 Tax=Virus NIOZ-UU159 TaxID=2763270 RepID=A0A7S9XHQ2_9VIRU</t>
  </si>
  <si>
    <t>11.09.P3-72.487-45_22</t>
  </si>
  <si>
    <t>NPH-I transcription termination factor n=1 Tax=Chrysochromulina parva virus TaxID=2565304 RepID=A0A4Y6GRD4_9PHYC</t>
  </si>
  <si>
    <t>11.09.P3-72.487-45_24</t>
  </si>
  <si>
    <t>COG0463 [FUNC="Glycosyltransferase involved in cell wall bisynthesis"] [shortName=WcaA] [TAG=M TAGDEF="Cell wall/membrane/envelope biogenesis" PROCESS="CELLULAR PROCESSES AND SIGNALING"]  [PATHWAY=""] glycosyltransferase family 2 protein [Simkania negevensis]</t>
  </si>
  <si>
    <t>VOG03668 [FUNC="REFSEQ hypothetical protein"] [TAG=Xu TAGDEF="Function unknown"]</t>
  </si>
  <si>
    <t>Glycosyltransferase 2-like domain-containing protein n=2 Tax=Simkania negevensis TaxID=83561 RepID=F8L4A4_SIMNZ</t>
  </si>
  <si>
    <t>11.09.P3-72.487-45_25</t>
  </si>
  <si>
    <t>sp|Q5W9E7|MUS81_ARATH Crossover junction endonuclease MUS81 OS=Arabidopsis thaliana OX=3702 GN=MUS81 PE=1 SV=1</t>
  </si>
  <si>
    <t>COG1948 [FUNC="ERCC4-type crossover junction endonuclease"] [shortName=MUS81] [TAG=L TAGDEF="Replication, recombination and repair" PROCESS="INFORMATION STORAGE AND PROCESSING"]  [PATHWAY=""] nuclease [Candidatus Thiodictyon syntrophicum]</t>
  </si>
  <si>
    <t>11.09.P3-72.487-45_27</t>
  </si>
  <si>
    <t>AAA ATPase n=1 Tax=Only Syngen Nebraska virus 5 TaxID=1917232 RepID=A0A1J0F963_9PHYC</t>
  </si>
  <si>
    <t>11.09.P3-72.487-45_28</t>
  </si>
  <si>
    <t>Protein disulfide-isomerase n=1 Tax=Trifolium pratense TaxID=57577 RepID=A0A2K3NWF8_TRIPR</t>
  </si>
  <si>
    <t>11.09.P3-72.487-45_36</t>
  </si>
  <si>
    <t>11.09.P3-72.487-45_37</t>
  </si>
  <si>
    <t>11.09.P3-72.487-45_38</t>
  </si>
  <si>
    <t>Multiple copy protein PGV_MIGE n=3 Tax=unclassified Prymnesiovirus TaxID=358403 RepID=R4TWM9_9PHYC</t>
  </si>
  <si>
    <t>11.09.P3-72.487-45_39</t>
  </si>
  <si>
    <t>DNA-directed DNA polymerase n=3 Tax=unclassified Prymnesiovirus TaxID=358403 RepID=R4TQL0_9PHYC</t>
  </si>
  <si>
    <t>11.09.P3-72.487-45_4</t>
  </si>
  <si>
    <t>sp|Q96Q83|ALKB3_HUMAN Alpha-ketoglutarate-dependent dioxygenase alkB homolog 3 OS=Homo sapiens OX=9606 GN=ALKBH3 PE=1 SV=1</t>
  </si>
  <si>
    <t>COG3145 [FUNC="Alkylated DNA repair dioxygenase AlkB"] [shortName=AlkB] [TAG=L TAGDEF="Replication, recombination and repair" PROCESS="INFORMATION STORAGE AND PROCESSING"]  [PATHWAY=""] alpha-ketoglutarate-dependent dioxygenase AlkB [Methylomicrobium alcaliphilum]</t>
  </si>
  <si>
    <t>11.09.P3-72.487-45_41</t>
  </si>
  <si>
    <t>sp|Q80U87|UBP8_MOUSE Ubiquitin carboxyl-terminal hydrolase 8 OS=Mus musculus OX=10090 GN=Usp8 PE=1 SV=2</t>
  </si>
  <si>
    <t>11.09.P3-72.487-45_42</t>
  </si>
  <si>
    <t>sp|P81282|CSPG2_BOVIN Versican core protein OS=Bos taurus OX=9913 GN=VCAN PE=1 SV=2</t>
  </si>
  <si>
    <t>11.09.P3-72.487-45_46</t>
  </si>
  <si>
    <t>sp|Q9FKX5|NIPL1_ARATH NEP1-interacting protein-like 1 OS=Arabidopsis thaliana OX=3702 GN=ATL27 PE=2 SV=1</t>
  </si>
  <si>
    <t>VOG09078 [FUNC="REFSEQ EsV-1-172"] [TAG=Xu TAGDEF="Function unknown"]</t>
  </si>
  <si>
    <t>11.09.P3-72.487-45_47</t>
  </si>
  <si>
    <t>Uncharacterized protein n=1 Tax=Phaeocystis globosa virus TaxID=251749 RepID=R4TG11_9PHYC</t>
  </si>
  <si>
    <t>11.09.P3-72.487-45_50</t>
  </si>
  <si>
    <t>sp|P32279|Y14A_BPT4 Uncharacterized 12.4 kDa protein in nrdA-td intergenic region OS=Enterobacteria phage T4 OX=10665 GN=y14A PE=4 SV=1</t>
  </si>
  <si>
    <t>VOG00667 [FUNC="sp|P32279|Y14A_BPT4 Uncharacterized 12.4 kDa protein in nrdA-td intergenic region"] [TAG=Xu TAGDEF="Function unknown"]</t>
  </si>
  <si>
    <t>DUF4326 domain-containing protein n=1 Tax=Bodo saltans virus TaxID=2024608 RepID=A0A2H4UV76_9VIRU</t>
  </si>
  <si>
    <t>11.09.P3-72.487-45_54</t>
  </si>
  <si>
    <t>AAA domain protein n=1 Tax=Hokovirus HKV1 TaxID=1977638 RepID=A0A1V0SFN8_9VIRU</t>
  </si>
  <si>
    <t>11.09.P3-72.487-45_56</t>
  </si>
  <si>
    <t>11.09.P3-72.487-45_57</t>
  </si>
  <si>
    <t>sp|Q8CFJ7|S2545_MOUSE Solute carrier family 25 member 45 OS=Mus musculus OX=10090 GN=Slc25a45 PE=1 SV=1</t>
  </si>
  <si>
    <t>KOG0762 [FUNC="Mitochondrial carrier protein"] [shortName=] [TAG=C TAGDEF="Energy production and conversion" PROCESS="METABOLISM"]  [PATHWAY=""]</t>
  </si>
  <si>
    <t>Mitochondrial carrier protein, putative n=1 Tax=Ichthyophthirius multifiliis TaxID=5932 RepID=G0QWZ1_ICHMU</t>
  </si>
  <si>
    <t>11.09.P3-72.487-45_6</t>
  </si>
  <si>
    <t>Uncharacterized protein n=1 Tax=Mimiviridae sp. ChoanoV1 TaxID=2596887 RepID=A0A5B8IE59_9VIRU</t>
  </si>
  <si>
    <t>11.09.P3-72.487-45_60</t>
  </si>
  <si>
    <t>sp|Q82ZG1|RNC_ENTFA Ribonuclease 3 OS=Enterococcus faecalis (strain ATCC 700802 / V583) OX=226185 GN=rnc PE=3 SV=1</t>
  </si>
  <si>
    <t>COG0571 [FUNC="dsRNA-specific ribonuclease"] [shortName=Rnc] [TAG=K TAGDEF="Transcription" PROCESS="INFORMATION STORAGE AND PROCESSING"]  [PATHWAY=""] ribonuclease III [Enterococcus faecalis V583]</t>
  </si>
  <si>
    <t>DsRNA-specific ribonuclease n=1 Tax=Chrysochromulina ericina virus TaxID=455364 RepID=A0A0N7G7N6_CEV01</t>
  </si>
  <si>
    <t>11.09.P3-72.487-45_62</t>
  </si>
  <si>
    <t>NPH-I transcription termination factor n=3 Tax=unclassified Prymnesiovirus TaxID=358403 RepID=R4TFX3_9PHYC</t>
  </si>
  <si>
    <t>11.09.P3-72.487-45_63</t>
  </si>
  <si>
    <t>COG0338 [FUNC="DNA-adenine methylase"] [shortName=Dam] [TAG=L TAGDEF="Replication, recombination and repair" PROCESS="INFORMATION STORAGE AND PROCESSING"]  [PATHWAY=""] restriction endonuclease [Caldimicrobium thiodismutans]</t>
  </si>
  <si>
    <t>site-specific DNA-methyltransferase (adenine-specific) n=1 Tax=Virus NIOZ-UU159 TaxID=2763270 RepID=A0A7S9SUP5_9VIRU</t>
  </si>
  <si>
    <t>11.09.P3-72.487-45_65</t>
  </si>
  <si>
    <t>sp|P19891|ASNS_CRIGR Asparagine synthetase [glutamine-hydrolyzing] OS=Cricetulus griseus OX=10029 GN=ASNS PE=2 SV=2</t>
  </si>
  <si>
    <t>11.09.P3-72.487-45_66</t>
  </si>
  <si>
    <t>VOG26719 [FUNC="REFSEQ hypothetical protein"] [TAG=Xu TAGDEF="Function unknown"]</t>
  </si>
  <si>
    <t>Uncharacterized protein n=3 Tax=unclassified Prymnesiovirus TaxID=358403 RepID=R4TIC4_9PHYC</t>
  </si>
  <si>
    <t>11.09.P3-72.487-45_7</t>
  </si>
  <si>
    <t>sp|Q9WZI1|RNR_THEMA Ribonuclease R OS=Thermotoga maritima (strain ATCC 43589 / DSM 3109 / JCM 10099 / NBRC 100826 / MSB8) OX=243274 GN=rnr PE=3 SV=1</t>
  </si>
  <si>
    <t>COG0557 [FUNC="Exoribonuclease R"] [shortName=VacB] [TAG=K TAGDEF="Transcription" PROCESS="INFORMATION STORAGE AND PROCESSING"]  [PATHWAY=""] ribonuclease R [Flexistipes sinusarabici]</t>
  </si>
  <si>
    <t>VOG24565 [FUNC="sp|O32231|RNR_BACSU Ribonuclease R"] [TAG=Xu TAGDEF="Function unknown"]</t>
  </si>
  <si>
    <t>VacB/RNase II family 3'-5' exoribonuclease n=1 Tax=Euhalothece natronophila Z-M001 TaxID=522448 RepID=A0A5B8NMI8_9CHRO</t>
  </si>
  <si>
    <t>11.09.P3-72.487-45_70</t>
  </si>
  <si>
    <t>C2H2-type domain-containing protein n=2 Tax=unclassified Prymnesiovirus TaxID=358403 RepID=G8DDZ3_9PHYC</t>
  </si>
  <si>
    <t>11.09.P3-72.487-45_71</t>
  </si>
  <si>
    <t>11.09.P3-72.487-45_72</t>
  </si>
  <si>
    <t>sp|P07382|DRTS_LEIMA Bifunctional dihydrofolate reductase-thymidylate synthase OS=Leishmania major OX=5664 GN=LmjF06.0860 PE=1 SV=1</t>
  </si>
  <si>
    <t>Thymidylate synthase n=1 Tax=Acanthaster planci TaxID=133434 RepID=A0A8B7XRY8_ACAPL</t>
  </si>
  <si>
    <t>11.09.P3-72.487-45_74</t>
  </si>
  <si>
    <t>sp|C6A1Y5|PCNA_THESM DNA polymerase sliding clamp OS=Thermococcus sibiricus (strain DSM 12597 / MM 739) OX=604354 GN=pcn PE=3 SV=1</t>
  </si>
  <si>
    <t>COG0592 [FUNC="DNA polymerase III sliding clamp (beta) subunit, PCNA homolog"] [shortName=DnaN] [TAG=L TAGDEF="Replication, recombination and repair" PROCESS="INFORMATION STORAGE AND PROCESSING"]  [PATHWAY=""] proliferating cell nuclear antigen (pcna) [Methanothermus fervidus]</t>
  </si>
  <si>
    <t>Proliferating cell nuclear antigen n=1 Tax=Arcella intermedia TaxID=1963864 RepID=A0A6B2LEY1_9EUKA</t>
  </si>
  <si>
    <t>11.09.P3-72.487-45_75</t>
  </si>
  <si>
    <t>sp|Q8BLR9|HIF1N_MOUSE Hypoxia-inducible factor 1-alpha inhibitor OS=Mus musculus OX=10090 GN=Hif1an PE=1 SV=2</t>
  </si>
  <si>
    <t>COG2850 [FUNC="Ribosomal protein L16 Arg81 hydroxylase, contains JmjC domain"] [shortName=RoxA] [TAG=J TAGDEF="Translation, ribosomal structure and biogenesis" PROCESS="INFORMATION STORAGE AND PROCESSING"]  [PATHWAY=""] cupin-like domain-containing protein [Dyadobacter fermentans]</t>
  </si>
  <si>
    <t>11.09.P3-72.487-45_76</t>
  </si>
  <si>
    <t>sp|Q9PR88|RNR_UREPA Ribonuclease R OS=Ureaplasma parvum serovar 3 (strain ATCC 700970) OX=273119 GN=rnr PE=3 SV=1</t>
  </si>
  <si>
    <t>COG0557 [FUNC="Exoribonuclease R"] [shortName=VacB] [TAG=K TAGDEF="Transcription" PROCESS="INFORMATION STORAGE AND PROCESSING"]  [PATHWAY=""] ribonuclease R [Caldithrix abyssi]</t>
  </si>
  <si>
    <t>Ribonuclease II family protein n=1 Tax=Chrysochromulina ericina virus TaxID=455364 RepID=A0A0N9Q9M5_CEV01</t>
  </si>
  <si>
    <t>11.09.P3-72.487-45_77</t>
  </si>
  <si>
    <t>Ubiquitinyl hydrolase 1 n=1 Tax=Adineta ricciae TaxID=249248 RepID=A0A814YCG9_ADIRI</t>
  </si>
  <si>
    <t>11.09.P3-72.487-45_79</t>
  </si>
  <si>
    <t>11.09.P3-72.487-45_8</t>
  </si>
  <si>
    <t>VOG25357 [FUNC="REFSEQ hypothetical protein"] [TAG=Xu TAGDEF="Function unknown"]</t>
  </si>
  <si>
    <t>Uncharacterized protein n=3 Tax=unclassified Prymnesiovirus TaxID=358403 RepID=R4TFY2_9PHYC</t>
  </si>
  <si>
    <t>11.09.P3-72.487-45_80</t>
  </si>
  <si>
    <t>sp|O59801|SKI2_SCHPO Putative ATP-dependent RNA helicase C550.03c OS=Schizosaccharomyces pombe (strain 972 / ATCC 24843) OX=284812 GN=SPCC550.03c PE=3 SV=1</t>
  </si>
  <si>
    <t>KOG0947 [FUNC="Cytoplasmic exosomal RNA helicase SKI2, DEAD-box superfamily"] [shortName=] [TAG=A TAGDEF="RNA processing and modification" PROCESS="INFORMATION STORAGE AND PROCESSING"]  [PATHWAY=""]</t>
  </si>
  <si>
    <t>Antiviral helicase n=1 Tax=Tuber magnatum TaxID=42249 RepID=A0A317SR23_9PEZI</t>
  </si>
  <si>
    <t>11.09.P3-72.487-45_82</t>
  </si>
  <si>
    <t>11.09.P3-72.487-45_84</t>
  </si>
  <si>
    <t>sp|Q5UP56|YL594_MIMIV Uncharacterized protein L594 OS=Acanthamoeba polyphaga mimivirus OX=212035 GN=MIMI_L594 PE=4 SV=1</t>
  </si>
  <si>
    <t>VOG13538 [FUNC="sp|Q5UP56|YL594_MIMIV Uncharacterized protein L594"] [TAG=Xu TAGDEF="Function unknown"]</t>
  </si>
  <si>
    <t>Helicase ATP-binding domain-containing protein n=1 Tax=Pyramimonas orientalis virus TaxID=455367 RepID=A0A7M3UPA4_POV01</t>
  </si>
  <si>
    <t>11.09.P3-8.006-51_13</t>
  </si>
  <si>
    <t>11.09.P3-8.006-51_19</t>
  </si>
  <si>
    <t>11.09.P3-8.006-51_2</t>
  </si>
  <si>
    <t>Protein disulfide-isomerase n=1 Tax=Daucus carota subsp. sativus TaxID=79200 RepID=A0A162AA29_DAUCS</t>
  </si>
  <si>
    <t>11.09.P3-8.062-42_1</t>
  </si>
  <si>
    <t>11.09.P3-8.062-42_11</t>
  </si>
  <si>
    <t>Uncharacterized protein n=1 Tax=Paramecium bursaria Chlorella virus NE-JV-1 TaxID=1278261 RepID=M1I2E1_9PHYC</t>
  </si>
  <si>
    <t>11.09.P3-8.062-42_3</t>
  </si>
  <si>
    <t>Uncharacterized protein n=1 Tax=Mimiviridae sp. ChoanoV1 TaxID=2596887 RepID=A0A5B8IE37_9VIRU</t>
  </si>
  <si>
    <t>11.09.P3-8.062-42_4</t>
  </si>
  <si>
    <t>11.09.P3-8.062-42_5</t>
  </si>
  <si>
    <t>sp|B2V6N0|LON_SULSY Lon protease OS=Sulfurihydrogenibium sp. (strain YO3AOP1) OX=436114 GN=lon PE=3 SV=1</t>
  </si>
  <si>
    <t>P-loop containing nucleoside triphosphate hydrolase protein n=1 Tax=Blyttiomyces helicus TaxID=388810 RepID=A0A4P9W1J2_9FUNG</t>
  </si>
  <si>
    <t>11.09.P3-8.062-42_9</t>
  </si>
  <si>
    <t>sp|Q00216|TIGA_ASPNG Protein disulfide-isomerase tigA OS=Aspergillus niger OX=5061 GN=tigA PE=2 SV=1</t>
  </si>
  <si>
    <t>COG3118 [FUNC="Chaperedoxin CnoX, contains thioredoxin-like and TPR-like domains, YbbN/TrxSC family"] [shortName=CnoX] [TAG=O TAGDEF="Posttranslational modification, protein turnover, chaperones" PROCESS="CELLULAR PROCESSES AND SIGNALING"]  [PATHWAY=""] thioredoxin [Acidothermus cellulolyticus]</t>
  </si>
  <si>
    <t>Thioredoxin domain-containing protein n=1 Tax=Aplosporella prunicola CBS 121167 TaxID=1176127 RepID=A0A6A6B1K8_9PEZI</t>
  </si>
  <si>
    <t>11.09.P3-8.067-46_20</t>
  </si>
  <si>
    <t>non-specific serine/threonine protein kinase n=5 Tax=Crocosphaera watsonii TaxID=263511 RepID=T2JPZ6_CROWT</t>
  </si>
  <si>
    <t>11.09.P3-8.067-46_28</t>
  </si>
  <si>
    <t>11.09.P3-8.067-46_29</t>
  </si>
  <si>
    <t>11.09.P3-8.115-39_11</t>
  </si>
  <si>
    <t>11.09.P3-8.115-39_12</t>
  </si>
  <si>
    <t>COG0272 [FUNC="NAD-dependent DNA ligase"] [shortName=Lig] [TAG=L TAGDEF="Replication, recombination and repair" PROCESS="INFORMATION STORAGE AND PROCESSING"]  [PATHWAY=""] NAD-dependent DNA ligase LigA [Brachyspira intermedia]</t>
  </si>
  <si>
    <t>11.09.P3-8.115-39_14</t>
  </si>
  <si>
    <t>sp|O62584|TYS1_ENCCU Thymidylate synthase 1/2 OS=Encephalitozoon cuniculi (strain GB-M1) OX=284813 GN=TS-1 PE=1 SV=2</t>
  </si>
  <si>
    <t>Thymidylate synthase n=1 Tax=Armadillidium nasatum TaxID=96803 RepID=A0A5N5SXC3_9CRUS</t>
  </si>
  <si>
    <t>11.09.P3-8.115-39_9</t>
  </si>
  <si>
    <t>11.09.P3-8.171-12_1</t>
  </si>
  <si>
    <t>sp|O13790|CUL1_SCHPO Cullin-1 OS=Schizosaccharomyces pombe (strain 972 / ATCC 24843) OX=284812 GN=cul1 PE=1 SV=1</t>
  </si>
  <si>
    <t>KOG2166 [FUNC="Cullins"] [shortName=] [TAG=D TAGDEF="Cell cycle control, cell division, chromosome partitioning" PROCESS="CELLULAR PROCESSES AND SIGNALING"]  [PATHWAY=""]</t>
  </si>
  <si>
    <t>VOG34714 [FUNC="REFSEQ hypothetical protein"] [TAG=Xu TAGDEF="Function unknown"]</t>
  </si>
  <si>
    <t>Cullin-like protein n=1 Tax=Mimivirus LCMiAC01 TaxID=2506608 RepID=A0A481Z049_9VIRU</t>
  </si>
  <si>
    <t>11.09.P3-8.171-12_2</t>
  </si>
  <si>
    <t>sp|Q5UQS9|YR338_MIMIV Uncharacterized protein R338 OS=Acanthamoeba polyphaga mimivirus OX=212035 GN=MIMI_R338 PE=4 SV=1</t>
  </si>
  <si>
    <t>VOG31824 [FUNC="sp|Q5UQS9|YR338_MIMIV Uncharacterized protein R338"] [TAG=Xu TAGDEF="Function unknown"]</t>
  </si>
  <si>
    <t>Uncharacterized protein n=1 Tax=Fadolivirus 1 TaxID=2740746 RepID=A0A7D3UUY1_9VIRU</t>
  </si>
  <si>
    <t>11.09.P3-8.171-12_3</t>
  </si>
  <si>
    <t>Putative poly(A) polymerase catalytic subunit n=1 Tax=Catovirus CTV1 TaxID=1977631 RepID=A0A1V0SC31_9VIRU</t>
  </si>
  <si>
    <t>11.09.P3-8.171-12_4</t>
  </si>
  <si>
    <t>VOG19622 [FUNC="REFSEQ hypothetical protein"] [TAG=Xu TAGDEF="Function unknown"]</t>
  </si>
  <si>
    <t>Uncharacterized protein n=1 Tax=Bodo saltans virus TaxID=2024608 RepID=A0A2H4UUW1_9VIRU</t>
  </si>
  <si>
    <t>11.09.P3-8.171-12_5</t>
  </si>
  <si>
    <t>sp|Q5UQS8|TFS2_MIMIV Transcription factor S-II-related protein OS=Acanthamoeba polyphaga mimivirus OX=212035 GN=MIMI_R339 PE=3 SV=1</t>
  </si>
  <si>
    <t>Transcription elongation factor TFIIS n=1 Tax=Catovirus CTV1 TaxID=1977631 RepID=A0A1V0SC19_9VIRU</t>
  </si>
  <si>
    <t>11.09.P3-8.220-47_10</t>
  </si>
  <si>
    <t>Uncharacterized protein n=1 Tax=Mimiviridae sp. ChoanoV1 TaxID=2596887 RepID=A0A5B8HW36_9VIRU</t>
  </si>
  <si>
    <t>11.09.P3-8.220-47_3</t>
  </si>
  <si>
    <t>VOG24068 [FUNC="REFSEQ hypothetical protein"] [TAG=Xu TAGDEF="Function unknown"]</t>
  </si>
  <si>
    <t>Glycosyltransferase 2-like domain-containing protein n=1 Tax=Bathycoccus sp. RCC1105 virus BpV2 TaxID=880160 RepID=E5ER32_9PHYC</t>
  </si>
  <si>
    <t>11.09.P3-8.326-27_10</t>
  </si>
  <si>
    <t>sp|Q9ZCN5|Y688_RICPR Uncharacterized protein RP688 OS=Rickettsia prowazekii (strain Madrid E) OX=272947 GN=RP688 PE=3 SV=1</t>
  </si>
  <si>
    <t>COG3475 [FUNC="Phosphorylcholine metabolism protein LicD"] [shortName=LicD] [TAG=I TAGDEF="Lipid transport and metabolism" PROCESS="METABOLISM"]  [PATHWAY=""] lipooligosaccharide cholinephosphotransferase [Fusobacterium nucleatum subsp. nucleatum ATCC 25586]</t>
  </si>
  <si>
    <t>Putative LicD family protein n=1 Tax=Clostridium chauvoei JF4335 TaxID=1351755 RepID=S6EXP4_9CLOT</t>
  </si>
  <si>
    <t>11.09.P3-8.326-27_12</t>
  </si>
  <si>
    <t>sp|Q91VC9|GHITM_MOUSE Growth hormone-inducible transmembrane protein OS=Mus musculus OX=10090 GN=Ghitm PE=1 SV=1</t>
  </si>
  <si>
    <t>KOG1630 [FUNC="Growth hormone-induced protein and related proteins"] [shortName=] [TAG=T TAGDEF="Signal transduction mechanisms" PROCESS="CELLULAR PROCESSES AND SIGNALING"]  [PATHWAY=""]</t>
  </si>
  <si>
    <t>VOG32067 [FUNC="REFSEQ hypothetical protein"] [TAG=Xu TAGDEF="Function unknown"]</t>
  </si>
  <si>
    <t>Inhibitor of apoptosis-promoting bax1 protein n=1 Tax=Fadolivirus 1 TaxID=2740746 RepID=A0A7D3USF7_9VIRU</t>
  </si>
  <si>
    <t>11.09.P3-8.326-27_2</t>
  </si>
  <si>
    <t>sp|O55096|DPP3_RAT Dipeptidyl peptidase 3 OS=Rattus norvegicus OX=10116 GN=Dpp3 PE=1 SV=2</t>
  </si>
  <si>
    <t>KOG3675 [FUNC="Dipeptidyl peptidase III"] [shortName=] [TAG=R TAGDEF="General function prediction only" PROCESS="POORLY CHARACTERIZED"]  [PATHWAY=""]</t>
  </si>
  <si>
    <t>Peptidase family M49 n=1 Tax=Fadolivirus 1 TaxID=2740746 RepID=A0A7D3UWB5_9VIRU</t>
  </si>
  <si>
    <t>11.09.P3-8.326-27_3</t>
  </si>
  <si>
    <t>DUF2493 protein n=1 Tax=Fadolivirus 1 TaxID=2740746 RepID=A0A7D3R1I8_9VIRU</t>
  </si>
  <si>
    <t>11.09.P3-8.326-27_7</t>
  </si>
  <si>
    <t>EF-hand domain-containing protein n=1 Tax=Marseillevirus LCMAC202 TaxID=2506606 RepID=A0A481YZQ6_9VIRU</t>
  </si>
  <si>
    <t>11.09.P3-8.429-4.2_15</t>
  </si>
  <si>
    <t>11.09.P3-8.429-4.2_17</t>
  </si>
  <si>
    <t>11.09.P3-8.429-4.2_2</t>
  </si>
  <si>
    <t>11.09.P3-8.429-4.2_32</t>
  </si>
  <si>
    <t>11.09.P3-8.508-9.8_1</t>
  </si>
  <si>
    <t>sp|Q196X3|VF022_IIV3 Putative helicase 087L OS=Invertebrate iridescent virus 3 OX=345201 GN=IIV3-087L PE=3 SV=1</t>
  </si>
  <si>
    <t>DEAD/SNF2-like helicase n=1 Tax=Marseillevirus LCMAC102 TaxID=2506603 RepID=A0A481YVQ5_9VIRU</t>
  </si>
  <si>
    <t>11.09.P3-8.508-9.8_5</t>
  </si>
  <si>
    <t>Uncharacterized protein n=1 Tax=Marseillevirus LCMAC101 TaxID=2506602 RepID=A0A481YSF2_9VIRU</t>
  </si>
  <si>
    <t>11.09.P3-8.508-9.8_7</t>
  </si>
  <si>
    <t>COG0237 [FUNC="Dephospho-CoA kinase"] [shortName=CoaE] [TAG=H TAGDEF="Coenzyme transport and metabolism" PROCESS="METABOLISM"]  [PATHWAY="Pantothenate/CoA biosynthesis"] hypothetical protein [Flexistipes sinusarabici]</t>
  </si>
  <si>
    <t>11.09.P3-8.508-9.8_8</t>
  </si>
  <si>
    <t>sp|Q5UNT7|YR679_MIMIV Putative serine/threonine-protein kinase R679 OS=Acanthamoeba polyphaga mimivirus OX=212035 GN=MIMI_R679 PE=1 SV=1</t>
  </si>
  <si>
    <t>VOG29343 [FUNC="sp|Q5UNT7|YR679_MIMIV Putative serine/threonine-protein kinase R679"] [TAG=Xh TAGDEF="Virus protein with function beneficial for the host"]</t>
  </si>
  <si>
    <t>Protein tyrosine kinase n=1 Tax=Marseillevirus LCMAC101 TaxID=2506602 RepID=A0A481YQG5_9VIRU</t>
  </si>
  <si>
    <t>11.09.P3-8.519-9.3_23</t>
  </si>
  <si>
    <t>11.09.P3-8.519-9.3_28</t>
  </si>
  <si>
    <t>sp|P80284|PDI_HORVU Protein disulfide-isomerase OS=Hordeum vulgare OX=4513 GN=PDI PE=1 SV=2</t>
  </si>
  <si>
    <t>11.09.P3-8.519-9.3_34</t>
  </si>
  <si>
    <t>11.09.P3-8.519-9.3_9</t>
  </si>
  <si>
    <t>11.09.P3-8.588-47_2</t>
  </si>
  <si>
    <t>11.09.P3-8.588-47_3</t>
  </si>
  <si>
    <t>11.09.P3-8.588-47_5</t>
  </si>
  <si>
    <t>11.09.P3-8.588-47_6</t>
  </si>
  <si>
    <t>11.09.P3-8.594-53_6</t>
  </si>
  <si>
    <t>sp|Q551H0|MUS81_DICDI Probable crossover junction endonuclease mus81 OS=Dictyostelium discoideum OX=44689 GN=mus81 PE=3 SV=1</t>
  </si>
  <si>
    <t>COG1948 [FUNC="ERCC4-type crossover junction endonuclease"] [shortName=MUS81] [TAG=L TAGDEF="Replication, recombination and repair" PROCESS="INFORMATION STORAGE AND PROCESSING"]  [PATHWAY=""] ERCC4 domain protein [Ignisphaera aggregans DSM 17230]</t>
  </si>
  <si>
    <t>ERCC4 domain-containing protein EP364R n=1 Tax=Chrysochromulina ericina virus TaxID=455364 RepID=A0A0N9Q9K6_CEV01</t>
  </si>
  <si>
    <t>11.09.P3-8.594-53_7</t>
  </si>
  <si>
    <t>KOG3396 [FUNC="Glucosamine-phosphate N-acetyltransferase"] [shortName=] [TAG=M TAGDEF="Cell wall/membrane/envelope biogenesis" PROCESS="CELLULAR PROCESSES AND SIGNALING"]  [PATHWAY=""]</t>
  </si>
  <si>
    <t>VOG01317 [FUNC="sp|A0A0S0MX59|AT_BPPAM 5-NmdU N-acetyltransferase"] [TAG=Xh TAGDEF="Virus protein with function beneficial for the host"]</t>
  </si>
  <si>
    <t>Acetyltransferase GNAT family protein n=1 Tax=Hokovirus HKV1 TaxID=1977638 RepID=A0A1V0SFT4_9VIRU</t>
  </si>
  <si>
    <t>11.09.P3-8.594-53_9</t>
  </si>
  <si>
    <t>DNA polymerase n=2 Tax=Pyramimonas orientalis virus TaxID=455367 RepID=DPOL_POV01</t>
  </si>
  <si>
    <t>11.09.P3-8.594-8.1_14</t>
  </si>
  <si>
    <t>11.09.P3-8.594-8.1_23</t>
  </si>
  <si>
    <t>11.09.P3-8.594-8.1_25</t>
  </si>
  <si>
    <t>Uncharacterized protein n=4 Tax=Chlorovirus TaxID=181083 RepID=M1I6Y6_9PHYC</t>
  </si>
  <si>
    <t>11.09.P3-8.594-8.1_36</t>
  </si>
  <si>
    <t>11.09.P3-8.666-25_10</t>
  </si>
  <si>
    <t>11.09.P3-8.666-25_3</t>
  </si>
  <si>
    <t>11.09.P3-8.666-25_7</t>
  </si>
  <si>
    <t>COG2131 [FUNC="Deoxycytidylate deaminase"] [shortName=ComEB] [TAG=F TAGDEF="Nucleotide transport and metabolism" PROCESS="METABOLISM"]  [PATHWAY=""] cytidine deaminase [Megamonas hypermegale]</t>
  </si>
  <si>
    <t>Cytidine deaminase n=3 Tax=unclassified Prymnesiovirus TaxID=358403 RepID=R4TVI3_9PHYC</t>
  </si>
  <si>
    <t>11.09.P3-8.691-10_10</t>
  </si>
  <si>
    <t>11.09.P3-8.691-10_3</t>
  </si>
  <si>
    <t>sp|P34429|RFC5_CAEEL Probable replication factor C subunit 5 OS=Caenorhabditis elegans OX=6239 GN=F44B9.8 PE=3 SV=3</t>
  </si>
  <si>
    <t>11.09.P3-8.691-10_4</t>
  </si>
  <si>
    <t>sp|Q91FI9|VF335_IIV6 Uncharacterized protein 335L OS=Invertebrate iridescent virus 6 OX=176652 GN=IIV6-335L PE=3 SV=1</t>
  </si>
  <si>
    <t>Putative TATA-box binding protein n=1 Tax=Chrysochromulina ericina virus TaxID=455364 RepID=A0A0N9R397_CEV01</t>
  </si>
  <si>
    <t>11.09.P3-8.691-10_5</t>
  </si>
  <si>
    <t>11.09.P3-8.691-10_6</t>
  </si>
  <si>
    <t>sp|Q99J62|RFC4_MOUSE Replication factor C subunit 4 OS=Mus musculus OX=10090 GN=Rfc4 PE=1 SV=1</t>
  </si>
  <si>
    <t>KOG0989 [FUNC="Replication factor C, subunit RFC4"] [shortName=] [TAG=L TAGDEF="Replication, recombination and repair" PROCESS="INFORMATION STORAGE AND PROCESSING"]  [PATHWAY=""]</t>
  </si>
  <si>
    <t>11.09.P3-8.691-10_7</t>
  </si>
  <si>
    <t>sp|Q0JB88|DJA6_ORYSJ Chaperone protein dnaJ A6 OS=Oryza sativa subsp. japonica OX=39947 GN=DJA6 PE=1 SV=1</t>
  </si>
  <si>
    <t>COG0484 [FUNC="DnaJ-class molecular chaperone with C-terminal Zn finger domain"] [shortName=DnaJ] [TAG=O TAGDEF="Posttranslational modification, protein turnover, chaperones" PROCESS="CELLULAR PROCESSES AND SIGNALING"]  [PATHWAY=""] J domain-containing protein [Ignavibacterium album]</t>
  </si>
  <si>
    <t>11.09.P3-8.691-10_8</t>
  </si>
  <si>
    <t>11.09.P3-8.691-10_9</t>
  </si>
  <si>
    <t>KOG3125 [FUNC="Thymidine kinase"] [shortName=] [TAG=F TAGDEF="Nucleotide transport and metabolism" PROCESS="METABOLISM"]  [PATHWAY=""]</t>
  </si>
  <si>
    <t>Thymidine kinase n=1 Tax=Brazilian porcupinepox virus 1 TaxID=2704521 RepID=A0A7D0Q8U5_9POXV</t>
  </si>
  <si>
    <t>11.09.P3-8.721-8.8_23</t>
  </si>
  <si>
    <t>11.09.P3-8.721-8.8_26</t>
  </si>
  <si>
    <t>11.09.P3-8.721-8.8_27</t>
  </si>
  <si>
    <t>11.09.P3-8.721-8.8_7</t>
  </si>
  <si>
    <t>11.09.P3-8.769-7.6_22</t>
  </si>
  <si>
    <t>11.09.P3-8.769-7.6_25</t>
  </si>
  <si>
    <t>Uncharacterized protein n=1 Tax=Rhodnius prolixus TaxID=13249 RepID=T1HE02_RHOPR</t>
  </si>
  <si>
    <t>11.09.P3-8.769-7.6_3</t>
  </si>
  <si>
    <t>11.09.P3-8.769-7.6_6</t>
  </si>
  <si>
    <t>11.09.P3-8.817-16_10</t>
  </si>
  <si>
    <t>sp|Q91G49|VF050_IIV6 Uncharacterized protein 050L OS=Invertebrate iridescent virus 6 OX=176652 GN=IIV6-050L PE=3 SV=1</t>
  </si>
  <si>
    <t>COG0419 [FUNC="DNA repair exonuclease SbcCD ATPase subunit"] [shortName=SbcC] [TAG=L TAGDEF="Replication, recombination and repair" PROCESS="INFORMATION STORAGE AND PROCESSING"]  [PATHWAY=""] double-stranded DNA repair protein Rad50 [Archaeoglobus fulgidus]</t>
  </si>
  <si>
    <t>VOG00162 [FUNC="sp|P04522|EXO2_BPT4 Exonuclease subunit 2"] [TAG=Xh TAGDEF="Virus protein with function beneficial for the host"]</t>
  </si>
  <si>
    <t>Chromosome segregation ATPase n=1 Tax=Marseillevirus LCMAC102 TaxID=2506603 RepID=A0A481YVA4_9VIRU</t>
  </si>
  <si>
    <t>11.09.P3-8.817-16_2</t>
  </si>
  <si>
    <t>Uncharacterized protein n=1 Tax=Marseillevirus LCMAC102 TaxID=2506603 RepID=A0A481YTV4_9VIRU</t>
  </si>
  <si>
    <t>11.09.P3-8.817-16_3</t>
  </si>
  <si>
    <t>sp|Q9C1X4|YKW3_SCHPO Uncharacterized RING finger protein P32A8.03c OS=Schizosaccharomyces pombe (strain 972 / ATCC 24843) OX=284812 GN=SPAP32A8.03c PE=4 SV=1</t>
  </si>
  <si>
    <t>Ubiquitin-protein ligase E3 n=1 Tax=Schizosaccharomyces cryophilus (strain OY26 / ATCC MYA-4695 / CBS 11777 / NBRC 106824 / NRRL Y48691) TaxID=653667 RepID=S9VWM0_SCHCR</t>
  </si>
  <si>
    <t>11.09.P3-8.817-16_4</t>
  </si>
  <si>
    <t>Uncharacterized protein n=1 Tax=Marseillevirus LCMAC102 TaxID=2506603 RepID=A0A481YTN0_9VIRU</t>
  </si>
  <si>
    <t>11.09.P3-8.817-16_5</t>
  </si>
  <si>
    <t>COG2110 [FUNC="O-acetyl-ADP-ribose deacetylase (regulator of RNase III), contains Macro domain"] [shortName=YmdB] [TAG=J TAGDEF="Translation, ribosomal structure and biogenesis" PROCESS="INFORMATION STORAGE AND PROCESSING"]  [PATHWAY=""] Appr-1-p processing protein [Arcticibacterium luteifluviistationis]</t>
  </si>
  <si>
    <t>VOG00522 [FUNC="sp|P13309|Y06D_BPT4 Uncharacterized 17.5 kDa protein in tk-vs intergenic region"] [TAG=Xu TAGDEF="Function unknown"]</t>
  </si>
  <si>
    <t>Macro domain-containing protein n=1 Tax=Bacteroides faecium TaxID=2715212 RepID=A0A6H0KTS6_9BACE</t>
  </si>
  <si>
    <t>11.09.P3-8.817-16_7</t>
  </si>
  <si>
    <t>Uncharacterized protein n=1 Tax=Marseillevirus LCMAC102 TaxID=2506603 RepID=A0A481YTN9_9VIRU</t>
  </si>
  <si>
    <t>11.09.P3-8.817-16_9</t>
  </si>
  <si>
    <t>SUEL-type lectin domain-containing protein n=1 Tax=Marseillevirus LCMAC102 TaxID=2506603 RepID=A0A481YUD0_9VIRU</t>
  </si>
  <si>
    <t>11.09.P3-9.052-50_1</t>
  </si>
  <si>
    <t>COG0827 [FUNC="Adenine-specific DNA N6-methylase"] [shortName=YtxK] [TAG=L TAGDEF="Replication, recombination and repair" PROCESS="INFORMATION STORAGE AND PROCESSING"]  [PATHWAY=""] restriction endonuclease [Candidatus Cyclonatronum proteinivorum]</t>
  </si>
  <si>
    <t>11.09.P3-9.052-50_10</t>
  </si>
  <si>
    <t>KOG1815 [FUNC="Predicted E3 ubiquitin ligase"] [shortName=] [TAG=O TAGDEF="Posttranslational modification, protein turnover, chaperones" PROCESS="CELLULAR PROCESSES AND SIGNALING"]  [PATHWAY=""]</t>
  </si>
  <si>
    <t>11.09.P3-9.052-50_3</t>
  </si>
  <si>
    <t>11.09.P3-9.052-50_5</t>
  </si>
  <si>
    <t>11.09.P3-9.052-50_6</t>
  </si>
  <si>
    <t>11.09.P3-9.134-62_1</t>
  </si>
  <si>
    <t>Uncharacterized protein n=1 Tax=Wickerhamomyces pijperi TaxID=599730 RepID=A0A9P8Q7M2_WICPI</t>
  </si>
  <si>
    <t>11.09.P3-9.134-62_10</t>
  </si>
  <si>
    <t>SWIB-domain-containing protein n=3 Tax=unclassified Prymnesiovirus TaxID=358403 RepID=R4TQQ0_9PHYC</t>
  </si>
  <si>
    <t>11.09.P3-9.134-62_11</t>
  </si>
  <si>
    <t>11.09.P3-9.134-62_15</t>
  </si>
  <si>
    <t>COG5377 [FUNC="Phage-related protein, predicted endonuclease"] [shortName=] [TAG=X TAGDEF="Mobilome: prophages, transposons" PROCESS=""]  [PATHWAY=""] exonuclease [Methyloceanibacter caenitepidi]</t>
  </si>
  <si>
    <t>Putative lambda-type exonuclease n=1 Tax=Aureococcus anophagefferens virus TaxID=1474867 RepID=A0A076FHB8_9PHYC</t>
  </si>
  <si>
    <t>11.09.P3-9.134-62_16</t>
  </si>
  <si>
    <t>COG0209 [FUNC="Ribonucleotide reductase alpha subunit"] [shortName=NrdA] [TAG=F TAGDEF="Nucleotide transport and metabolism" PROCESS="METABOLISM"]  [PATHWAY="Pyrimidine salvage"] ribonucleoside-diphosphate reductase subunit alpha [Fluviicola taffensis]</t>
  </si>
  <si>
    <t>Ribonucleoside-diphosphate reductase n=1 Tax=Salibacter halophilus TaxID=1803916 RepID=A0A6N6MC32_9FLAO</t>
  </si>
  <si>
    <t>11.09.P3-9.134-62_2</t>
  </si>
  <si>
    <t>Uncharacterized protein n=1 Tax=Brachionus plicatilis TaxID=10195 RepID=A0A3M7P674_BRAPC</t>
  </si>
  <si>
    <t>11.09.P3-9.134-62_6</t>
  </si>
  <si>
    <t>Uncharacterized protein n=1 Tax=Mimiviridae sp. ChoanoV1 TaxID=2596887 RepID=A0A5B8HWE1_9VIRU</t>
  </si>
  <si>
    <t>11.09.P3-9.314-9.9_1</t>
  </si>
  <si>
    <t>11.09.P3-9.314-9.9_3</t>
  </si>
  <si>
    <t>VOG27524 [FUNC="REFSEQ hypothetical protein"] [TAG=Xu TAGDEF="Function unknown"]</t>
  </si>
  <si>
    <t>Uncharacterized protein n=1 Tax=Hokovirus HKV1 TaxID=1977638 RepID=A0A1V0SFW2_9VIRU</t>
  </si>
  <si>
    <t>11.09.P3-9.314-9.9_5</t>
  </si>
  <si>
    <t>Major capsid protein n=2 Tax=Chrysochromulina ericina virus TaxID=455364 RepID=MCP_CEV01</t>
  </si>
  <si>
    <t>11.09.P3-9.314-9.9_7</t>
  </si>
  <si>
    <t>11.09.P3-9.314-9.9_8</t>
  </si>
  <si>
    <t>11.09.P3-9.314-9.9_9</t>
  </si>
  <si>
    <t>11.09.P3-9.357-38_12</t>
  </si>
  <si>
    <t>COG0415 [FUNC="Deoxyribodipyrimidine photolyase"] [shortName=PhrB] [TAG=L TAGDEF="Replication, recombination and repair" PROCESS="INFORMATION STORAGE AND PROCESSING"]  [PATHWAY=""] deoxyribodipyrimidine photo-lyase [Methanococcoides burtonii]</t>
  </si>
  <si>
    <t>11.09.P3-9.357-38_13</t>
  </si>
  <si>
    <t>VOG00202 [FUNC="sp|P32839|BCS1_YEAST Mitochondrial chaperone BCS1"] [TAG=Xh TAGDEF="Virus protein with function beneficial for the host"]</t>
  </si>
  <si>
    <t>AAA+ ATPase domain-containing protein n=1 Tax=Tupanvirus soda lake TaxID=2126985 RepID=A0A6N1NVB5_9VIRU</t>
  </si>
  <si>
    <t>11.09.P3-9.357-38_14</t>
  </si>
  <si>
    <t>sp|Q6UVM3|KCNT2_HUMAN Potassium channel subfamily T member 2 OS=Homo sapiens OX=9606 GN=KCNT2 PE=1 SV=1</t>
  </si>
  <si>
    <t>COG0569 [FUNC="Trk/Ktr K+ transport system regulatory component TrkA/KtrA/KtrC, RCK domain"] [shortName=TrkA] [TAG=P TAGDEF="Inorganic ion transport and metabolism" PROCESS="METABOLISM"] [TAG=T TAGDEF="Signal transduction mechanisms" PROCESS="CELLULAR PROCESSES AND SIGNALING"]  [PATHWAY=""] potassium channel protein [Aquifex aeolicus VF5]</t>
  </si>
  <si>
    <t>Putative ion channel n=1 Tax=Alishewanella agri BL06 TaxID=1195246 RepID=I9NZ70_9ALTE</t>
  </si>
  <si>
    <t>11.09.P3-9.357-38_2</t>
  </si>
  <si>
    <t>11.09.P3-9.357-38_5</t>
  </si>
  <si>
    <t>11.09.P3-9.357-38_6</t>
  </si>
  <si>
    <t>11.09.P3-9.357-38_7</t>
  </si>
  <si>
    <t>11.09.P3-9.357-38_9</t>
  </si>
  <si>
    <t>11.09.P3-9.385-25_12</t>
  </si>
  <si>
    <t>sp|Q196W3|VF170_IIV3 Uncharacterized protein 97L OS=Invertebrate iridescent virus 3 OX=345201 GN=IIV3-097L PE=3 SV=1</t>
  </si>
  <si>
    <t>Holliday junction resolvase n=1 Tax=Marseillevirus LCMAC102 TaxID=2506603 RepID=A0A481YVJ8_9VIRU</t>
  </si>
  <si>
    <t>11.09.P3-9.385-25_14</t>
  </si>
  <si>
    <t>Protein kinase n=1 Tax=Marseillevirus LCMAC101 TaxID=2506602 RepID=A0A481YRW0_9VIRU</t>
  </si>
  <si>
    <t>11.09.P3-9.385-25_2</t>
  </si>
  <si>
    <t>Transmembrane protein n=1 Tax=Marseillevirus LCMAC102 TaxID=2506603 RepID=A0A481YTK5_9VIRU</t>
  </si>
  <si>
    <t>11.09.P3-9.385-25_5</t>
  </si>
  <si>
    <t>sp|Q5UPU2|YR252_MIMIV Uncharacterized protein R252 OS=Acanthamoeba polyphaga mimivirus OX=212035 GN=MIMI_R252 PE=4 SV=1</t>
  </si>
  <si>
    <t>Non-histone chromosomal protein n=1 Tax=Marseillevirus LCMAC101 TaxID=2506602 RepID=A0A481YS47_9VIRU</t>
  </si>
  <si>
    <t>11.09.P3-9.385-25_6</t>
  </si>
  <si>
    <t>Transmembrane protein n=1 Tax=Marseillevirus LCMAC101 TaxID=2506602 RepID=A0A481YSU1_9VIRU</t>
  </si>
  <si>
    <t>11.09.P3-9.385-25_7</t>
  </si>
  <si>
    <t>sp|Q9BXW4|MLP3C_HUMAN Microtubule-associated proteins 1A/1B light chain 3C OS=Homo sapiens OX=9606 GN=MAP1LC3C PE=1 SV=1</t>
  </si>
  <si>
    <t>KOG1654 [FUNC="Microtubule-associated anchor protein involved in autophagy and membrane trafficking"] [shortName=] [TAG=Z TAGDEF="Cytoskeleton" PROCESS="CELLULAR PROCESSES AND SIGNALING"]  [PATHWAY=""]</t>
  </si>
  <si>
    <t>VOG03670 [FUNC="sp|Q8LEM4|ATG8A_ARATH Autophagy-related protein 8a"] [TAG=Xh TAGDEF="Virus protein with function beneficial for the host"]</t>
  </si>
  <si>
    <t>Microtubule associated protein 1 light chain 3 gamma n=1 Tax=Cebus imitator TaxID=2715852 RepID=A0A2K5PG81_CEBIM</t>
  </si>
  <si>
    <t>11.09.P3-9.385-25_9</t>
  </si>
  <si>
    <t>Tail fiber protein n=1 Tax=Marseillevirus LCMAC201 TaxID=2506605 RepID=A0A481YXX9_9VIRU</t>
  </si>
  <si>
    <t>11.09.P4-10.057-8.0_3</t>
  </si>
  <si>
    <t>Transcription factor n=1 Tax=Heterosigma akashiwo virus 01 TaxID=97195 RepID=A0A1C9C4Z1_HAV01</t>
  </si>
  <si>
    <t>11.09.P4-10.057-8.0_8</t>
  </si>
  <si>
    <t>Dephospho-CoA kinase n=1 Tax=Hymenobacter gelipurpurascens TaxID=89968 RepID=A0A212TR35_9BACT</t>
  </si>
  <si>
    <t>11.09.P4-10.133-3.2_1</t>
  </si>
  <si>
    <t>11.09.P4-10.133-3.2_10</t>
  </si>
  <si>
    <t>11.09.P4-10.133-3.2_12</t>
  </si>
  <si>
    <t>11.09.P4-10.133-3.2_17</t>
  </si>
  <si>
    <t>COG0666 [FUNC="Ankyrin repeat"] [shortName=ANKYR] [TAG=T TAGDEF="Signal transduction mechanisms" PROCESS="CELLULAR PROCESSES AND SIGNALING"]  [PATHWAY=""] hypothetical protein [Kozakia baliensis]</t>
  </si>
  <si>
    <t>Ankyrin repeat domain-containing protein n=1 Tax=Leptospira jelokensis TaxID=2484931 RepID=A0A4Z0ZUL8_9LEPT</t>
  </si>
  <si>
    <t>11.09.P4-10.133-3.2_19</t>
  </si>
  <si>
    <t>COG0863 [FUNC="DNA modification methylase"] [shortName=YhdJ] [TAG=L TAGDEF="Replication, recombination and repair" PROCESS="INFORMATION STORAGE AND PROCESSING"]  [PATHWAY=""] site-specific DNA-methyltransferase [Cyanothece sp. PCC 7822]</t>
  </si>
  <si>
    <t>site-specific DNA-methyltransferase (cytosine-N(4)-specific) n=1 Tax=Caudovirales sp. ctlwr10 TaxID=2825771 RepID=A0A8S5Q5M2_9CAUD</t>
  </si>
  <si>
    <t>11.09.P4-10.133-3.2_28</t>
  </si>
  <si>
    <t>11.09.P4-10.133-3.2_7</t>
  </si>
  <si>
    <t>sp|P11107|HEL10_BPT5 Probable helicase D10 OS=Escherichia phage T5 OX=2695836 GN=D10 PE=2 SV=1</t>
  </si>
  <si>
    <t>ATP-dependent RNA helicase n=1 Tax=Paramecium bursaria Chlorella virus NE-JV-1 TaxID=1278261 RepID=M1I289_9PHYC</t>
  </si>
  <si>
    <t>11.09.P4-10.942-16_1</t>
  </si>
  <si>
    <t>COG1793 [FUNC="ATP-dependent DNA ligase"] [shortName=CDC9] [TAG=L TAGDEF="Replication, recombination and repair" PROCESS="INFORMATION STORAGE AND PROCESSING"]  [PATHWAY=""] DNA ligase [Catenovulum sp. CCB-QB4]</t>
  </si>
  <si>
    <t>Atp-dependent dna ligase n=1 Tax=Psychromonas sp. SP041 TaxID=1365007 RepID=A0A0A6YVN6_9GAMM</t>
  </si>
  <si>
    <t>11.09.P4-10.942-16_12</t>
  </si>
  <si>
    <t>sp|Q5UQE9|YL477_MIMIV Uncharacterized peptidase C1-like protein L477 OS=Acanthamoeba polyphaga mimivirus OX=212035 GN=MIMI_L477 PE=3 SV=1</t>
  </si>
  <si>
    <t>COG4870 [FUNC="Cysteine protease, C1A family"] [shortName=] [TAG=O TAGDEF="Posttranslational modification, protein turnover, chaperones" PROCESS="CELLULAR PROCESSES AND SIGNALING"]  [PATHWAY=""] peptidase [Niabella soli]</t>
  </si>
  <si>
    <t>Peptidase n=1 Tax=Taibaiella soli TaxID=1649169 RepID=A0A2W2AWX4_9BACT</t>
  </si>
  <si>
    <t>11.09.P4-10.942-16_15</t>
  </si>
  <si>
    <t>Holliday junction resolvase n=1 Tax=Dishui Lake phycodnavirus 4 TaxID=2704072 RepID=A0A6G6XP68_9PHYC</t>
  </si>
  <si>
    <t>11.09.P4-10.942-16_6</t>
  </si>
  <si>
    <t>DNA 3'-5' helicase n=1 Tax=Klebsormidium nitens TaxID=105231 RepID=A0A1Y1IMN7_KLENI</t>
  </si>
  <si>
    <t>11.09.P4-10.942-16_8</t>
  </si>
  <si>
    <t>VOG03589 [FUNC="sp|Q5UQQ2|YR450_MIMIV Uncharacterized protein R450"] [TAG=Xu TAGDEF="Function unknown"]</t>
  </si>
  <si>
    <t>11.09.P4-10.942-16_9</t>
  </si>
  <si>
    <t>DNA polymerase sliding clamp 2 n=1 Tax=Heterosigma akashiwo virus 01 TaxID=97195 RepID=A0A1C9C4Y8_HAV01</t>
  </si>
  <si>
    <t>11.09.P4-12.299-26_1</t>
  </si>
  <si>
    <t>sp|C4V9L5|Y1265_VAIC1 Putative methyltransferase NCER_101265 OS=Vairimorpha ceranae (strain BRL01) OX=578460 GN=NCER_101265 PE=3 SV=1</t>
  </si>
  <si>
    <t>KOG4176 [FUNC="Uncharacterized conserved protein"] [shortName=] [TAG=S TAGDEF="Function unknown" PROCESS="POORLY CHARACTERIZED"]  [PATHWAY=""]</t>
  </si>
  <si>
    <t>VOG00168 [FUNC="sp|Q605H3|CMOA_METCA Carboxy-S-adenosyl-L-methionine synthase"] [TAG=Xh TAGDEF="Virus protein with function beneficial for the host"]</t>
  </si>
  <si>
    <t>SAM-dependent methyltransferase n=1 Tax=Chrysochromulina ericina virus TaxID=455364 RepID=A0A0N9QQY7_CEV01</t>
  </si>
  <si>
    <t>11.09.P4-12.299-26_10</t>
  </si>
  <si>
    <t>COG0270 [FUNC="DNA-cytosine methylase"] [shortName=Dcm] [TAG=L TAGDEF="Replication, recombination and repair" PROCESS="INFORMATION STORAGE AND PROCESSING"]  [PATHWAY=""] restriction endonuclease [Petrimonas mucosa]</t>
  </si>
  <si>
    <t>11.09.P4-12.299-26_4</t>
  </si>
  <si>
    <t>11.09.P4-12.299-26_8</t>
  </si>
  <si>
    <t>11.09.P4-13.890-31_10</t>
  </si>
  <si>
    <t>Phytanoyl-CoA dioxygenase n=1 Tax=Emiliania huxleyi virus PS401 TaxID=754068 RepID=G8DGX4_9PHYC</t>
  </si>
  <si>
    <t>11.09.P4-13.890-31_11</t>
  </si>
  <si>
    <t>11.09.P4-13.890-31_12</t>
  </si>
  <si>
    <t>COG4278 [FUNC="Uncharacterized conserved protein"] [shortName=] [TAG=S TAGDEF="Function unknown" PROCESS="POORLY CHARACTERIZED"]  [PATHWAY=""] hypothetical protein [[Polyangium] brachysporum]</t>
  </si>
  <si>
    <t>VOG32039 [FUNC="REFSEQ Glycine-rich domain-containing protein"] [TAG=Xu TAGDEF="Function unknown"]</t>
  </si>
  <si>
    <t>Ubiquitin-like domain-containing protein n=1 Tax=Planoprotostelium fungivorum TaxID=1890364 RepID=A0A2P6NVU1_9EUKA</t>
  </si>
  <si>
    <t>11.09.P4-13.890-31_14</t>
  </si>
  <si>
    <t>sp|Q6C8H7|LPE10_YARLI Mitochondrial inner membrane magnesium transporter LPE10 OS=Yarrowia lipolytica (strain CLIB 122 / E 150) OX=284591 GN=LPE10 PE=3 SV=1</t>
  </si>
  <si>
    <t>KOG2662 [FUNC="Magnesium transporters: CorA family"] [shortName=] [TAG=P TAGDEF="Inorganic ion transport and metabolism" PROCESS="METABOLISM"]  [PATHWAY=""]</t>
  </si>
  <si>
    <t>Magnesium transporter n=1 Tax=Mortierella sp. AD032 TaxID=1896183 RepID=A0A9P6VAQ5_9FUNG</t>
  </si>
  <si>
    <t>11.09.P4-13.890-31_15</t>
  </si>
  <si>
    <t>sp|Q94128|WRT1_CAEEL Warthog protein 1 OS=Caenorhabditis elegans OX=6239 GN=wrt-1 PE=2 SV=1</t>
  </si>
  <si>
    <t>KOG3638 [FUNC="Sonic hedgehog and related proteins"] [shortName=] [TAG=T TAGDEF="Signal transduction mechanisms" PROCESS="CELLULAR PROCESSES AND SIGNALING"]  [PATHWAY=""]</t>
  </si>
  <si>
    <t>Hint domain-containing protein n=1 Tax=Haptolina brevifila TaxID=156173 RepID=A0A7S2DH14_9EUKA</t>
  </si>
  <si>
    <t>11.09.P4-13.890-31_16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</si>
  <si>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Putative helicase [Minicystis rosea]</t>
  </si>
  <si>
    <t>DEAD/SNF2-like helicase n=1 Tax=Catovirus CTV1 TaxID=1977631 RepID=A0A1V0SAW7_9VIRU</t>
  </si>
  <si>
    <t>11.09.P4-13.890-31_19</t>
  </si>
  <si>
    <t>sp|Q5UQA6|ADPRM_MIMIV Putative ADP-ribosyl glycohydrolase L543 OS=Acanthamoeba polyphaga mimivirus OX=212035 GN=MIMI_L543 PE=3 SV=1</t>
  </si>
  <si>
    <t>COG1397 [FUNC="ADP-ribosylglycohydrolase"] [shortName=DraG] [TAG=O TAGDEF="Posttranslational modification, protein turnover, chaperones" PROCESS="CELLULAR PROCESSES AND SIGNALING"]  [PATHWAY=""] ADP-ribosylglycohydrolase family protein [Chondrocystis sp. NIES-4102]</t>
  </si>
  <si>
    <t>VOG02085 [FUNC="sp|B0KTG8|TRI1_PSEPG ADP-ribosylarginine hydrolase Tri1"] [TAG=Xu TAGDEF="Function unknown"]</t>
  </si>
  <si>
    <t>ADP-ribosylglycohydrolase n=1 Tax=Fadolivirus 1 TaxID=2740746 RepID=A0A7D3V5Y3_9VIRU</t>
  </si>
  <si>
    <t>11.09.P4-13.890-31_3</t>
  </si>
  <si>
    <t>VOG14069 [FUNC="REFSEQ hypothetical protein"] [TAG=Xu TAGDEF="Function unknown"]</t>
  </si>
  <si>
    <t>TLC domain-containing protein (Fragment) n=1 Tax=Coccolithus braarudii TaxID=221442 RepID=A0A7S0L1Y3_9EUKA</t>
  </si>
  <si>
    <t>11.09.P4-13.890-31_4</t>
  </si>
  <si>
    <t>sp|Q9RDT3|WALK_STAAU Sensor protein kinase WalK (Fragment) OS=Staphylococcus aureus OX=1280 GN=walK PE=1 SV=1</t>
  </si>
  <si>
    <t>COG0784 [FUNC="CheY-like REC (receiver) domain, includes chemotaxis protein CheY  and sporulation regulator Spo0F"] [shortName=CheY] [TAG=T TAGDEF="Signal transduction mechanisms" PROCESS="CELLULAR PROCESSES AND SIGNALING"]  [PATHWAY=""] sensory box sensor histidine kinase/response regulator [Vibrio parahaemolyticus RIMD 2210633]</t>
  </si>
  <si>
    <t>histidine kinase n=1 Tax=Vibrio parahaemolyticus TaxID=670 RepID=A0A7H5D4J5_VIBPH</t>
  </si>
  <si>
    <t>11.09.P4-13.890-31_6</t>
  </si>
  <si>
    <t>VOG15931 [FUNC="REFSEQ hypothetical protein"] [TAG=Xu TAGDEF="Function unknown"]</t>
  </si>
  <si>
    <t>Uncharacterized protein n=1 Tax=Fadolivirus 1 TaxID=2740746 RepID=A0A7D3QUM6_9VIRU</t>
  </si>
  <si>
    <t>11.09.P4-13.890-31_7</t>
  </si>
  <si>
    <t>Putative AAA+ family ATPase n=1 Tax=Tupanvirus deep ocean TaxID=2126984 RepID=A0A6N1NCP7_9VIRU</t>
  </si>
  <si>
    <t>11.09.P4-13.908-5.4_17</t>
  </si>
  <si>
    <t>11.09.P4-13.908-5.4_18</t>
  </si>
  <si>
    <t>11.09.P4-13.908-5.4_19</t>
  </si>
  <si>
    <t>11.09.P4-13.908-5.4_22</t>
  </si>
  <si>
    <t>11.09.P4-13.908-5.4_30</t>
  </si>
  <si>
    <t>Uncharacterized protein n=1 Tax=Dishui Lake phycodnavirus 3 TaxID=2704074 RepID=A0A6G6XNB1_9PHYC</t>
  </si>
  <si>
    <t>11.09.P4-13.908-5.4_33</t>
  </si>
  <si>
    <t>11.09.P4-14.501-20_17</t>
  </si>
  <si>
    <t>11.09.P4-14.501-20_22</t>
  </si>
  <si>
    <t>11.09.P4-14.501-20_34</t>
  </si>
  <si>
    <t>sp|C7B178|VPY_PETHY Protein VAPYRIN OS=Petunia hybrida OX=4102 GN=VPY PE=2 SV=1</t>
  </si>
  <si>
    <t>Uncharacterized protein n=1 Tax=Clonostachys solani TaxID=160281 RepID=A0A9N9W5W4_9HYPO</t>
  </si>
  <si>
    <t>11.09.P4-14.501-20_38</t>
  </si>
  <si>
    <t>11.09.P4-14.501-20_4</t>
  </si>
  <si>
    <t>11.09.P4-14.501-20_44</t>
  </si>
  <si>
    <t>Ankyrin repeat and kinase domain containing 1 n=1 Tax=Periophthalmus magnuspinnatus TaxID=409849 RepID=A0A3B4A4Z8_9GOBI</t>
  </si>
  <si>
    <t>11.09.P4-14.501-20_47</t>
  </si>
  <si>
    <t>Uncharacterized protein (Fragment) n=1 Tax=Piromyces sp. (strain E2) TaxID=73868 RepID=A0A1Y3MX23_PIRSE</t>
  </si>
  <si>
    <t>11.09.P4-14.501-20_5</t>
  </si>
  <si>
    <t>11.09.P4-14.501-20_7</t>
  </si>
  <si>
    <t>11.09.P4-15.047-27_1</t>
  </si>
  <si>
    <t>Uncharacterized protein n=1 Tax=Ogataea polymorpha TaxID=460523 RepID=A0A9P8TG90_9ASCO</t>
  </si>
  <si>
    <t>11.09.P4-15.047-27_13</t>
  </si>
  <si>
    <t>sp|Q9US25|HRP1_SCHPO Chromodomain helicase hrp1 OS=Schizosaccharomyces pombe (strain 972 / ATCC 24843) OX=284812 GN=hrp1 PE=1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</si>
  <si>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hypothetical protein [Persicobacter sp. JZB09]</t>
  </si>
  <si>
    <t>11.09.P4-15.047-27_16</t>
  </si>
  <si>
    <t>sp|O76924|ARI2_DROME Potential E3 ubiquitin-protein ligase ariadne-2 OS=Drosophila melanogaster OX=7227 GN=ari-2 PE=1 SV=1</t>
  </si>
  <si>
    <t>E3 ubiquitin-protein ligase n=1 Tax=Pithovirus LCPAC101 TaxID=2506586 RepID=A0A481Z4B6_9VIRU</t>
  </si>
  <si>
    <t>11.09.P4-15.047-27_2</t>
  </si>
  <si>
    <t>Uncharacterized protein n=1 Tax=Wickerhamomyces mucosus TaxID=1378264 RepID=A0A9P8PTQ4_9ASCO</t>
  </si>
  <si>
    <t>11.09.P4-15.047-27_25</t>
  </si>
  <si>
    <t>Uncharacterized protein N684L n=1 Tax=Paramecium bursaria Chlorella virus FR483 TaxID=399781 RepID=A7J838_PBCVF</t>
  </si>
  <si>
    <t>11.09.P4-15.047-27_26</t>
  </si>
  <si>
    <t>Sulfhydryl oxidase n=1 Tax=Paramecium bursaria Chlorella virus NE-JV-4 TaxID=1278262 RepID=M1HZH1_9PHYC</t>
  </si>
  <si>
    <t>11.09.P4-15.047-27_27</t>
  </si>
  <si>
    <t>sp|Q54Q71|RIR1_DICDI Ribonucleoside-diphosphate reductase large subunit OS=Dictyostelium discoideum OX=44689 GN=rnrA PE=3 SV=1</t>
  </si>
  <si>
    <t>COG0209 [FUNC="Ribonucleotide reductase alpha subunit"] [shortName=NrdA] [TAG=F TAGDEF="Nucleotide transport and metabolism" PROCESS="METABOLISM"]  [PATHWAY="Pyrimidine salvage"] ribonucleoside-diphosphate reductase subunit alpha [Psychroflexus torquis]</t>
  </si>
  <si>
    <t>Ribonucleoside-diphosphate reductase n=1 Tax=Pachysolen tannophilus NRRL Y-2460 TaxID=669874 RepID=A0A1E4U3L1_PACTA</t>
  </si>
  <si>
    <t>11.09.P4-15.047-27_28</t>
  </si>
  <si>
    <t>sp|O15909|RIR1_TRYBB Ribonucleoside-diphosphate reductase large subunit OS=Trypanosoma brucei brucei OX=5702 GN=RNR1 PE=1 SV=1</t>
  </si>
  <si>
    <t>Ribonucleoside-diphosphate reductase n=1 Tax=Microscilla marina ATCC 23134 TaxID=313606 RepID=A1ZFY6_MICM2</t>
  </si>
  <si>
    <t>11.09.P4-15.047-27_30</t>
  </si>
  <si>
    <t>COG0209 [FUNC="Ribonucleotide reductase alpha subunit"] [shortName=NrdA] [TAG=F TAGDEF="Nucleotide transport and metabolism" PROCESS="METABOLISM"]  [PATHWAY="Pyrimidine salvage"] ribonucleoside-diphosphate reductase subunit alpha [Weeksella virosa]</t>
  </si>
  <si>
    <t>Ribonucleoside-diphosphate reductase n=1 Tax=Octopus vulgaris TaxID=6645 RepID=A0A6P7SKG5_OCTVU</t>
  </si>
  <si>
    <t>11.09.P4-15.047-27_31</t>
  </si>
  <si>
    <t>sp|P67773|Y3657_MYCBO Uncharacterized protein Mb3657 OS=Mycobacterium bovis (strain ATCC BAA-935 / AF2122/97) OX=233413 GN=BQ2027_MB3657 PE=3 SV=1</t>
  </si>
  <si>
    <t>COG5285 [FUNC="Ectoine hydroxylase-related dioxygenase, phytanoyl-CoA dioxygenase (PhyH) family"] [shortName=PhyH] [TAG=Q TAGDEF="Secondary metabolites biosynthesis, transport and catabolism" PROCESS="METABOLISM"]  [PATHWAY=""] phytanoyl-CoA dioxygenase family protein [Antarctobacter heliothermus]</t>
  </si>
  <si>
    <t>Uncharacterized protein n=1 Tax=Symbiodinium natans TaxID=878477 RepID=A0A812L013_9DINO</t>
  </si>
  <si>
    <t>11.09.P4-15.047-27_9</t>
  </si>
  <si>
    <t>sp|O34481|RECDL_BACSU ATP-dependent RecD-like DNA helicase OS=Bacillus subtilis (strain 168) OX=224308 GN=yrrC PE=3 SV=1</t>
  </si>
  <si>
    <t>ATP-dependent RecD-like DNA helicase n=1 Tax=Christensenella hongkongensis TaxID=270498 RepID=A0A0M2NI92_9FIRM</t>
  </si>
  <si>
    <t>11.09.P4-17.564-18_11</t>
  </si>
  <si>
    <t>COG3476 [FUNC="Tryptophan-rich sensory protein TspO/CrtK (mitochondrial benzodiazepine receptor homolog)"] [shortName=TspO] [TAG=T TAGDEF="Signal transduction mechanisms" PROCESS="CELLULAR PROCESSES AND SIGNALING"]  [PATHWAY=""] tryptophan-rich sensory protein [Paeniclostridium sordellii]</t>
  </si>
  <si>
    <t>TspO protein n=1 Tax=Lacrimispora algidixylanolytica TaxID=94868 RepID=A0A419SZW6_9FIRM</t>
  </si>
  <si>
    <t>11.09.P4-17.564-18_14</t>
  </si>
  <si>
    <t>11.09.P4-17.564-18_20</t>
  </si>
  <si>
    <t>11.09.P4-17.564-18_23</t>
  </si>
  <si>
    <t>11.09.P4-17.564-18_26</t>
  </si>
  <si>
    <t>11.09.P4-17.564-18_37</t>
  </si>
  <si>
    <t>11.09.P4-17.564-18_7</t>
  </si>
  <si>
    <t>Putative transcription factor n=1 Tax=Acanthocystis turfacea Chlorella virus NE-JV-2 TaxID=1278274 RepID=M1IDP2_9PHYC</t>
  </si>
  <si>
    <t>11.09.P4-17.564-18_9</t>
  </si>
  <si>
    <t>VV A32 virion packaging ATPase n=1 Tax=Dishui Lake phycodnavirus 4 TaxID=2704072 RepID=A0A6G6XP69_9PHYC</t>
  </si>
  <si>
    <t>11.09.P4-18.949-9.2_1</t>
  </si>
  <si>
    <t>11.09.P4-18.949-9.2_10</t>
  </si>
  <si>
    <t>11.09.P4-18.949-9.2_11</t>
  </si>
  <si>
    <t>11.09.P4-18.949-9.2_13</t>
  </si>
  <si>
    <t>11.09.P4-18.949-9.2_15</t>
  </si>
  <si>
    <t>11.09.P4-18.949-9.2_16</t>
  </si>
  <si>
    <t>11.09.P4-18.949-9.2_18</t>
  </si>
  <si>
    <t>11.09.P4-18.949-9.2_19</t>
  </si>
  <si>
    <t>11.09.P4-18.949-9.2_20</t>
  </si>
  <si>
    <t>11.09.P4-18.949-9.2_21</t>
  </si>
  <si>
    <t>11.09.P4-18.949-9.2_3</t>
  </si>
  <si>
    <t>11.09.P4-2.437-4.3_1</t>
  </si>
  <si>
    <t>11.09.P4-2.582-1.4_2</t>
  </si>
  <si>
    <t>sp|Q5UR76|YR632_MIMIV Uncharacterized protein R632 OS=Acanthamoeba polyphaga mimivirus OX=212035 GN=MIMI_R632 PE=4 SV=1</t>
  </si>
  <si>
    <t>VOG25872 [FUNC="sp|Q5UR76|YR632_MIMIV Uncharacterized protein R632"] [TAG=Xu TAGDEF="Function unknown"]</t>
  </si>
  <si>
    <t>Acid ceramidase-like protein n=1 Tax=Adineta steineri TaxID=433720 RepID=A0A818HSR9_9BILA</t>
  </si>
  <si>
    <t>11.09.P4-2.673-2.5_3</t>
  </si>
  <si>
    <t>(wild Malaysian banana) hypothetical protein n=1 Tax=Musa acuminata subsp. malaccensis TaxID=214687 RepID=A0A804HZ22_MUSAM</t>
  </si>
  <si>
    <t>11.09.P4-2.673-2.5_8</t>
  </si>
  <si>
    <t>11.09.P4-2.952-5.6_2</t>
  </si>
  <si>
    <t>11.09.P4-2.952-5.6_3</t>
  </si>
  <si>
    <t>11.09.P4-2.957-1.6_1</t>
  </si>
  <si>
    <t>11.09.P4-2.957-1.6_9</t>
  </si>
  <si>
    <t>Uncharacterized protein n=1 Tax=Rhododendron simsii TaxID=118357 RepID=A0A834HE66_RHOSS</t>
  </si>
  <si>
    <t>11.09.P4-20.521-7.3_34</t>
  </si>
  <si>
    <t>11.09.P4-20.521-7.3_36</t>
  </si>
  <si>
    <t>11.09.P4-20.521-7.3_54</t>
  </si>
  <si>
    <t>11.09.P4-20.521-7.3_72</t>
  </si>
  <si>
    <t>11.09.P4-21.297-13_11</t>
  </si>
  <si>
    <t>Tail fiber domain-containing protein n=3 Tax=Escherichia coli TaxID=562 RepID=A0A418GF82_ECOLX</t>
  </si>
  <si>
    <t>11.09.P4-21.297-13_23</t>
  </si>
  <si>
    <t>11.09.P4-21.297-13_27</t>
  </si>
  <si>
    <t>11.09.P4-21.297-13_28</t>
  </si>
  <si>
    <t>11.09.P4-21.297-13_30</t>
  </si>
  <si>
    <t>COG3306 [FUNC="Glycosyltransferase involved in LPS biosynthesis, GR25 family"] [shortName=] [TAG=M TAGDEF="Cell wall/membrane/envelope biogenesis" PROCESS="CELLULAR PROCESSES AND SIGNALING"]  [PATHWAY=""] glycosyl transferase [Cupriavidus necator]</t>
  </si>
  <si>
    <t>11.09.P4-21.297-13_37</t>
  </si>
  <si>
    <t>11.09.P4-21.297-13_38</t>
  </si>
  <si>
    <t>11.09.P4-21.297-13_42</t>
  </si>
  <si>
    <t>11.09.P4-21.297-13_5</t>
  </si>
  <si>
    <t>Snf2 family protein n=2 Tax=Secundilactobacillus collinoides TaxID=33960 RepID=A0A0R2BF35_SECCO</t>
  </si>
  <si>
    <t>11.09.P4-21.297-13_61</t>
  </si>
  <si>
    <t>11.09.P4-21.297-13_64</t>
  </si>
  <si>
    <t>11.09.P4-21.297-13_66</t>
  </si>
  <si>
    <t>11.09.P4-26.193-16_13</t>
  </si>
  <si>
    <t>11.09.P4-26.193-16_16</t>
  </si>
  <si>
    <t>11.09.P4-26.193-16_23</t>
  </si>
  <si>
    <t>2OG-Fe(II) oxygenase n=1 Tax=Niallia circulans TaxID=1397 RepID=A0A553SU32_NIACI</t>
  </si>
  <si>
    <t>11.09.P4-26.193-16_35</t>
  </si>
  <si>
    <t>Uncharacterized ATP-dependent helicase C17A2.12 n=1 Tax=Schizosaccharomyces pombe (strain 972 / ATCC 24843) TaxID=284812 RepID=YF2C_SCHPO</t>
  </si>
  <si>
    <t>11.09.P4-26.193-16_44</t>
  </si>
  <si>
    <t>11.09.P4-26.193-16_46</t>
  </si>
  <si>
    <t>11.09.P4-26.193-16_47</t>
  </si>
  <si>
    <t>11.09.P4-26.193-16_50</t>
  </si>
  <si>
    <t>11.09.P4-26.193-16_77</t>
  </si>
  <si>
    <t>3d domain protein n=1 Tax=Lichtheimia corymbifera JMRC:FSU:9682 TaxID=1263082 RepID=A0A068SB52_9FUNG</t>
  </si>
  <si>
    <t>11.09.P4-26.193-16_80</t>
  </si>
  <si>
    <t>11.09.P4-28.815-18_29</t>
  </si>
  <si>
    <t>11.09.P4-28.815-18_34</t>
  </si>
  <si>
    <t>sp|Q67UF5|PDI23_ORYSJ Protein disulfide isomerase-like 2-3 OS=Oryza sativa subsp. japonica OX=39947 GN=PDIL2-3 PE=2 SV=1</t>
  </si>
  <si>
    <t>COG3118 [FUNC="Chaperedoxin CnoX, contains thioredoxin-like and TPR-like domains, YbbN/TrxSC family"] [shortName=CnoX] [TAG=O TAGDEF="Posttranslational modification, protein turnover, chaperones" PROCESS="CELLULAR PROCESSES AND SIGNALING"]  [PATHWAY=""] thioredoxin [Pseudoalteromonas atlantica]</t>
  </si>
  <si>
    <t>11.09.P4-28.815-18_38</t>
  </si>
  <si>
    <t>11.09.P4-28.815-18_47</t>
  </si>
  <si>
    <t>11.09.P4-28.815-18_53</t>
  </si>
  <si>
    <t>11.09.P4-28.815-18_60</t>
  </si>
  <si>
    <t>11.09.P4-28.815-18_68</t>
  </si>
  <si>
    <t>COG2165 [FUNC="Type II secretory pathway, pseudopilin PulG"] [shortName=PulG] [TAG=N TAGDEF="Cell motility" PROCESS="CELLULAR PROCESSES AND SIGNALING"] [TAG=U TAGDEF="Intracellular trafficking, secretion, and vesicular transport" PROCESS="CELLULAR PROCESSES AND SIGNALING"] [TAG=W TAGDEF="Extracellular structures" PROCESS="CELLULAR PROCESSES AND SIGNALING"]  [PATHWAY=""] shufflon system plasmid conjugative transfer pilus tip adhesin PilV [Rhodanobacter denitrificans]</t>
  </si>
  <si>
    <t>Virion structural protein n=1 Tax=Cyanophage S-TIM54 TaxID=1137744 RepID=A0A9X9P3F8_9CAUD</t>
  </si>
  <si>
    <t>11.09.P4-3.068-6.2_8</t>
  </si>
  <si>
    <t>Helicase n=1 Tax=Paramecium bursaria Chlorella virus CZ-2 TaxID=1278251 RepID=M1H2X8_9PHYC</t>
  </si>
  <si>
    <t>11.09.P4-3.162-1.7_5</t>
  </si>
  <si>
    <t>11.09.P4-3.359-7.3_2</t>
  </si>
  <si>
    <t>11.09.P4-3.359-7.3_9</t>
  </si>
  <si>
    <t>11.09.P4-3.363-1.5_11</t>
  </si>
  <si>
    <t>COG0270 [FUNC="DNA-cytosine methylase"] [shortName=Dcm] [TAG=L TAGDEF="Replication, recombination and repair" PROCESS="INFORMATION STORAGE AND PROCESSING"]  [PATHWAY=""] DNA cytosine methyltransferase [Acinetobacter baumannii]</t>
  </si>
  <si>
    <t>11.09.P4-3.410-3.7_1</t>
  </si>
  <si>
    <t>11.09.P4-3.410-3.7_2</t>
  </si>
  <si>
    <t>11.09.P4-3.436-2.3_4</t>
  </si>
  <si>
    <t>COG0863 [FUNC="DNA modification methylase"] [shortName=YhdJ] [TAG=L TAGDEF="Replication, recombination and repair" PROCESS="INFORMATION STORAGE AND PROCESSING"]  [PATHWAY=""] site-specific DNA-methyltransferase [Methanospirillum hungatei]</t>
  </si>
  <si>
    <t>11.09.P4-3.436-2.3_6</t>
  </si>
  <si>
    <t>11.09.P4-3.494-3.9_2</t>
  </si>
  <si>
    <t>RING-type domain-containing protein n=1 Tax=Bathycoccus sp. RCC716 virus 1 TaxID=2530038 RepID=A0A7S6NYL2_9PHYC</t>
  </si>
  <si>
    <t>11.09.P4-3.494-3.9_3</t>
  </si>
  <si>
    <t>NTPase/helicase n=1 Tax=Ostreococcus mediterraneus virus 2 TaxID=2726183 RepID=A0A6H1QUU4_9PHYC</t>
  </si>
  <si>
    <t>11.09.P4-3.494-3.9_5</t>
  </si>
  <si>
    <t>11.09.P4-3.502-4.4_2</t>
  </si>
  <si>
    <t>11.09.P4-3.502-4.4_8</t>
  </si>
  <si>
    <t>11.09.P4-3.538-5.1_2</t>
  </si>
  <si>
    <t>sp|P06766|DPOLB_RAT DNA polymerase beta OS=Rattus norvegicus OX=10116 GN=Polb PE=1 SV=4</t>
  </si>
  <si>
    <t>11.09.P4-3.561-12_12</t>
  </si>
  <si>
    <t>11.09.P4-3.561-12_9</t>
  </si>
  <si>
    <t>Tail fiber domain-containing protein n=1 Tax=Emticicia sp. C21 TaxID=2302915 RepID=A0A372FAU3_9BACT</t>
  </si>
  <si>
    <t>11.09.P4-3.713-2.5_8</t>
  </si>
  <si>
    <t>11.09.P4-4.026-2.3_3</t>
  </si>
  <si>
    <t>11.09.P4-4.026-2.3_4</t>
  </si>
  <si>
    <t>11.09.P4-4.026-2.3_5</t>
  </si>
  <si>
    <t>11.09.P4-4.026-2.3_6</t>
  </si>
  <si>
    <t>11.09.P4-4.026-2.3_8</t>
  </si>
  <si>
    <t>11.09.P4-4.033-2.8_6</t>
  </si>
  <si>
    <t>11.09.P4-4.097-2.0_4</t>
  </si>
  <si>
    <t>11.09.P4-4.097-2.0_8</t>
  </si>
  <si>
    <t>11.09.P4-4.362-2.3_11</t>
  </si>
  <si>
    <t>11.09.P4-4.362-2.3_12</t>
  </si>
  <si>
    <t>11.09.P4-4.362-2.3_27</t>
  </si>
  <si>
    <t>ATPase n=1 Tax=Acanthocystis turfacea Chlorella virus GM0701.1 TaxID=1278271 RepID=M1H454_9PHYC</t>
  </si>
  <si>
    <t>11.09.P4-4.442-2.9_22</t>
  </si>
  <si>
    <t>11.09.P4-4.442-2.9_3</t>
  </si>
  <si>
    <t>Transcription elongation factor TFIIS n=1 Tax=Klebsormidium nitens TaxID=105231 RepID=A0A1Y1IJ28_KLENI</t>
  </si>
  <si>
    <t>11.09.P4-4.442-2.9_8</t>
  </si>
  <si>
    <t>11.09.P4-4.623-1.7_1</t>
  </si>
  <si>
    <t>RING-type domain-containing protein n=1 Tax=Ostreococcus lucimarinus virus OlV4 TaxID=754063 RepID=G9E5N0_9PHYC</t>
  </si>
  <si>
    <t>11.09.P4-4.693-8.7_2</t>
  </si>
  <si>
    <t>sp|A6Q675|CLPP_SULNB ATP-dependent Clp protease proteolytic subunit OS=Sulfurovum sp. (strain NBC37-1) OX=387093 GN=clpP PE=3 SV=1</t>
  </si>
  <si>
    <t>COG0740 [FUNC="ATP-dependent protease ClpP, protease subunit"] [shortName=ClpP] [TAG=O TAGDEF="Posttranslational modification, protein turnover, chaperones" PROCESS="CELLULAR PROCESSES AND SIGNALING"]  [PATHWAY=""] ATP-dependent Clp protease proteolytic subunit [Sulfurovum sp. NBC37-1]</t>
  </si>
  <si>
    <t>Clp protease n=1 Tax=Klosneuvirus KNV1 TaxID=1977640 RepID=A0A1V0SIM7_9VIRU</t>
  </si>
  <si>
    <t>11.09.P4-4.824-3.4_3</t>
  </si>
  <si>
    <t>11.09.P4-4.824-3.4_9</t>
  </si>
  <si>
    <t>11.09.P4-4.861-33_3</t>
  </si>
  <si>
    <t>11.09.P4-4.861-33_4</t>
  </si>
  <si>
    <t>MYM-type zinc finger with FCS sequence motif n=1 Tax=Paramecium bursaria Chlorella virus Fr5L TaxID=1278255 RepID=M1HSZ4_9PHYC</t>
  </si>
  <si>
    <t>11.09.P4-4.861-33_5</t>
  </si>
  <si>
    <t>11.09.P4-4.861-33_9</t>
  </si>
  <si>
    <t>11.09.P4-5.075-28_1</t>
  </si>
  <si>
    <t>11.09.P4-5.075-28_8</t>
  </si>
  <si>
    <t>11.09.P4-5.143-6.6_2</t>
  </si>
  <si>
    <t>COG5377 [FUNC="Phage-related protein, predicted endonuclease"] [shortName=] [TAG=X TAGDEF="Mobilome: prophages, transposons" PROCESS=""]  [PATHWAY=""] exonuclease [Ensifer adhaerens]</t>
  </si>
  <si>
    <t>DNA-directed DNA polymerase n=1 Tax=Chlamydomonas incerta TaxID=51695 RepID=A0A835VTN2_CHLIN</t>
  </si>
  <si>
    <t>11.09.P4-5.143-6.6_3</t>
  </si>
  <si>
    <t>sp|Q8QZX0|SBK1_MOUSE Serine/threonine-protein kinase SBK1 OS=Mus musculus OX=10090 GN=Sbk1 PE=2 SV=1</t>
  </si>
  <si>
    <t>Pkinase-domain-containing protein n=1 Tax=Tothia fuscella TaxID=1048955 RepID=A0A9P4P1R6_9PEZI</t>
  </si>
  <si>
    <t>11.09.P4-5.837-3.4_2</t>
  </si>
  <si>
    <t>Uncharacterized protein n=1 Tax=Salpingoeca rosetta (strain ATCC 50818 / BSB-021) TaxID=946362 RepID=F2UQ42_SALR5</t>
  </si>
  <si>
    <t>11.09.P4-5.837-3.4_4</t>
  </si>
  <si>
    <t>11.09.P4-5.837-3.4_6</t>
  </si>
  <si>
    <t>11.09.P4-5.946-2.8_14</t>
  </si>
  <si>
    <t>Dual specificity phosphatase n=1 Tax=Catovirus CTV1 TaxID=1977631 RepID=A0A1V0SBE3_9VIRU</t>
  </si>
  <si>
    <t>11.09.P4-5.946-2.8_17</t>
  </si>
  <si>
    <t>11.09.P4-5.946-2.8_7</t>
  </si>
  <si>
    <t>COG0526 [FUNC="Thiol-disulfide isomerase or thioredoxin"] [shortName=TrxA] [TAG=O TAGDEF="Posttranslational modification, protein turnover, chaperones" PROCESS="CELLULAR PROCESSES AND SIGNALING"]  [PATHWAY=""] MULTISPECIES: thioredoxin [Alicycliphilus]</t>
  </si>
  <si>
    <t>Protein disulfide-isomerase n=1 Tax=Cannabis sativa TaxID=3483 RepID=A0A803QTX3_CANSA</t>
  </si>
  <si>
    <t>11.09.P4-6.317-9.2_10</t>
  </si>
  <si>
    <t>11.09.P4-6.317-9.2_2</t>
  </si>
  <si>
    <t>11.09.P4-6.317-9.2_3</t>
  </si>
  <si>
    <t>COG2452 [FUNC="Predicted site-specific integrase-resolvase"] [shortName=] [TAG=X TAGDEF="Mobilome: prophages, transposons" PROCESS=""]  [PATHWAY=""] MerR family DNA-binding transcriptional regulator [Moorea producens]</t>
  </si>
  <si>
    <t>IS607 family transposase n=1 Tax=Microcystis aeruginosa FD4 TaxID=2686288 RepID=A0A857D7W3_MICAE</t>
  </si>
  <si>
    <t>11.09.P4-6.317-9.2_4</t>
  </si>
  <si>
    <t>Transposase n=1 Tax=Microcystis aeruginosa Ma_QC_C_20070823_S13 TaxID=2486246 RepID=A0A552H6V5_MICAE</t>
  </si>
  <si>
    <t>11.09.P4-6.317-9.2_6</t>
  </si>
  <si>
    <t>11.09.P4-6.477-7.5_3</t>
  </si>
  <si>
    <t>11.09.P4-6.477-7.5_8</t>
  </si>
  <si>
    <t>sp|Q5LIS2|RNC_BACFN Ribonuclease 3 OS=Bacteroides fragilis (strain ATCC 25285 / DSM 2151 / CCUG 4856 / JCM 11019 / NCTC 9343 / Onslow) OX=272559 GN=rnc PE=3 SV=1</t>
  </si>
  <si>
    <t>COG0571 [FUNC="dsRNA-specific ribonuclease"] [shortName=Rnc] [TAG=K TAGDEF="Transcription" PROCESS="INFORMATION STORAGE AND PROCESSING"]  [PATHWAY=""] ribonuclease III [Echinicola vietnamensis]</t>
  </si>
  <si>
    <t>11.09.P4-6.498-3.1_4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</si>
  <si>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type III restriction protein res subunit [Sulfobacillus acidophilus TPY]</t>
  </si>
  <si>
    <t>11.09.P4-6.985-3.7_3</t>
  </si>
  <si>
    <t>COG2940 [FUNC="SET domain-containing protein (function unknown)"] [shortName=SET] [TAG=R TAGDEF="General function prediction only" PROCESS="POORLY CHARACTERIZED"]  [PATHWAY=""] SET domain-containing protein [Corallococcus coralloides]</t>
  </si>
  <si>
    <t>VOG00903 [FUNC="REFSEQ hypothetical protein"] [TAG=Xu TAGDEF="Function unknown"]</t>
  </si>
  <si>
    <t>SET domain-containing protein n=1 Tax=Aquicella siphonis TaxID=254247 RepID=A0A5E4PGX1_9COXI</t>
  </si>
  <si>
    <t>11.09.P4-6.985-3.7_4</t>
  </si>
  <si>
    <t>sp|Q6GZW0|015R_FRG3G Uncharacterized protein 015R OS=Frog virus 3 (isolate Goorha) OX=654924 GN=FV3-015R PE=4 SV=1</t>
  </si>
  <si>
    <t>VV A32 virion packaging ATPase n=1 Tax=Yellowstone lake phycodnavirus 3 TaxID=1586715 RepID=A0A0P0YNS0_9PHYC</t>
  </si>
  <si>
    <t>11.09.P4-6.985-3.7_5</t>
  </si>
  <si>
    <t>VOG27427 [FUNC="REFSEQ glycosyltransferase"] [TAG=Xu TAGDEF="Function unknown"]</t>
  </si>
  <si>
    <t>Farnesoic acid O-methyl transferase domain-containing protein n=2 Tax=Nocardia sp. CS682 TaxID=1047172 RepID=A0A4P7GWU7_9NOCA</t>
  </si>
  <si>
    <t>11.09.P4-6.985-3.7_6</t>
  </si>
  <si>
    <t>11.09.P4-7.066-4.5_12</t>
  </si>
  <si>
    <t>11.09.P4-7.122-7.6_1</t>
  </si>
  <si>
    <t>11.09.P4-7.122-7.6_10</t>
  </si>
  <si>
    <t>11.09.P4-7.122-7.6_12</t>
  </si>
  <si>
    <t>11.09.P4-7.122-7.6_13</t>
  </si>
  <si>
    <t>sp|Q57394|LIC2B_HAEIF Lipooligosaccharide biosynthesis protein lic2B OS=Haemophilus influenzae OX=727 GN=lic2B PE=3 SV=1</t>
  </si>
  <si>
    <t>11.09.P4-7.122-7.6_2</t>
  </si>
  <si>
    <t>11.09.P4-7.122-7.6_8</t>
  </si>
  <si>
    <t>11.09.P4-7.122-7.6_9</t>
  </si>
  <si>
    <t>Major capsid protein n=1 Tax=Chlorella virus TaxID=10507 RepID=Q9WAU3_9PHYC</t>
  </si>
  <si>
    <t>11.09.P4-7.125-2.3_13</t>
  </si>
  <si>
    <t>11.09.P4-7.125-2.3_18</t>
  </si>
  <si>
    <t>11.09.P4-7.125-2.3_29</t>
  </si>
  <si>
    <t>11.09.P4-7.248-9.7_1</t>
  </si>
  <si>
    <t>sp|C6A317|SYG_THESM Glycine--tRNA ligase OS=Thermococcus sibiricus (strain DSM 12597 / MM 739) OX=604354 GN=glyS PE=3 SV=1</t>
  </si>
  <si>
    <t>COG0423 [FUNC="Glycyl-tRNA synthetase, class II"] [shortName=GRS1] [TAG=J TAGDEF="Translation, ribosomal structure and biogenesis" PROCESS="INFORMATION STORAGE AND PROCESSING"]  [PATHWAY="Aminoacyl-tRNA synthetases"] NEQ417 [Nanoarchaeum equitans Kin4-M]</t>
  </si>
  <si>
    <t>VOG03695 [FUNC="sp|P26639|SYTC_HUMAN Threonine--tRNA ligase 1, cytoplasmic"] [TAG=Xh TAGDEF="Virus protein with function beneficial for the host"]</t>
  </si>
  <si>
    <t>Glycyl-tRNA synthetase n=1 Tax=Orpheovirus IHUMI-LCC2 TaxID=2023057 RepID=A0A2I2L3K8_9PHYC</t>
  </si>
  <si>
    <t>11.09.P4-7.248-9.7_3</t>
  </si>
  <si>
    <t>sp|Q91WW7|PLPL3_MOUSE 1-acylglycerol-3-phosphate O-acyltransferase Pnpla3 OS=Mus musculus OX=10090 GN=Pnpla3 PE=1 SV=1</t>
  </si>
  <si>
    <t>KOG3773 [FUNC="Adiponutrin and related vesicular transport proteins; predicted alpha/beta hydrolase"] [shortName=] [TAG=U TAGDEF="Intracellular trafficking, secretion, and vesicular transport" PROCESS="CELLULAR PROCESSES AND SIGNALING"]  [PATHWAY=""]</t>
  </si>
  <si>
    <t>Patatin-like phospholipase n=2 Tax=root TaxID=1 RepID=A0A481YY56_9VIRU</t>
  </si>
  <si>
    <t>11.09.P4-7.248-9.7_4</t>
  </si>
  <si>
    <t>C2H2-type domain-containing protein n=1 Tax=Yasminevirus sp. GU-2018 TaxID=2420051 RepID=A0A5K0UBC9_9VIRU</t>
  </si>
  <si>
    <t>11.09.P4-7.300-4.2_1</t>
  </si>
  <si>
    <t>RING-type domain-containing protein n=1 Tax=Endozoicomonas sp. (ex Bugula neritina AB1) TaxID=1868284 RepID=A0A1D2X5D4_9GAMM</t>
  </si>
  <si>
    <t>11.09.P4-7.300-4.2_8</t>
  </si>
  <si>
    <t>Helicase n=1 Tax=Acanthocystis turfacea Chlorella virus MN0810.1 TaxID=1278272 RepID=M1IAV4_9PHYC</t>
  </si>
  <si>
    <t>11.09.P4-7.554-31_1</t>
  </si>
  <si>
    <t>COG3506 [FUNC="Regulation of enolase protein 1 (function unknown), concanavalin A-like superfamily"] [shortName=Ree1] [TAG=S TAGDEF="Function unknown" PROCESS="POORLY CHARACTERIZED"]  [PATHWAY=""] DUF1349 domain-containing protein [Massilia putida]</t>
  </si>
  <si>
    <t>F5/8 type C domain-containing protein n=1 Tax=Bathycoccus sp. RCC716 virus 2 TaxID=2530039 RepID=A0A7S6NYA3_9PHYC</t>
  </si>
  <si>
    <t>11.09.P4-7.554-31_3</t>
  </si>
  <si>
    <t>COG3828 [FUNC="Type 1 glutamine amidotransferase (GATase1)-like domain"] [shortName=] [TAG=R TAGDEF="General function prediction only" PROCESS="POORLY CHARACTERIZED"]  [PATHWAY=""] DUF1080 domain-containing protein [Isoptericola variabilis]</t>
  </si>
  <si>
    <t>Uncharacterized protein (Fragment) n=1 Tax=Pyrodinium bahamense TaxID=73915 RepID=A0A7S0A796_9DINO</t>
  </si>
  <si>
    <t>11.09.P4-7.554-31_4</t>
  </si>
  <si>
    <t>Major capsid protein VP54 n=2 Tax=Chlorovirus TaxID=181083 RepID=M1HVZ9_PBCVI</t>
  </si>
  <si>
    <t>11.09.P4-7.554-31_5</t>
  </si>
  <si>
    <t>11.09.P4-7.631-2.8_11</t>
  </si>
  <si>
    <t>COG4675 [FUNC="Phage tail collar domain"] [shortName=MdpB] [TAG=X TAGDEF="Mobilome: prophages, transposons" PROCESS=""]  [PATHWAY=""] hypothetical protein [Haliangium ochraceum]</t>
  </si>
  <si>
    <t>Phage tail collar domain-containing protein n=1 Tax=Tribonema minus TaxID=303371 RepID=A0A835ZKI7_9STRA</t>
  </si>
  <si>
    <t>11.09.P4-7.631-2.8_12</t>
  </si>
  <si>
    <t>COG1403 [FUNC="5-methylcytosine-specific restriction endonuclease McrA"] [shortName=McrA] [TAG=V TAGDEF="Defense mechanisms" PROCESS="CELLULAR PROCESSES AND SIGNALING"]  [PATHWAY=""] HNH endonuclease [Rufibacter tibetensis]</t>
  </si>
  <si>
    <t>VOG00688 [FUNC="REFSEQ HNH endonuclease"] [TAG=Xu TAGDEF="Function unknown"]</t>
  </si>
  <si>
    <t>HNHc domain-containing protein n=1 Tax=Bodo saltans virus TaxID=2024608 RepID=A0A2H4UW33_9VIRU</t>
  </si>
  <si>
    <t>11.09.P4-7.631-2.8_14</t>
  </si>
  <si>
    <t>DEAD/SNF2-like helicase n=1 Tax=Marseillevirus LCMAC201 TaxID=2506605 RepID=A0A481YYN0_9VIRU</t>
  </si>
  <si>
    <t>11.09.P4-7.631-2.8_8</t>
  </si>
  <si>
    <t>11.09.P4-7.643-3.2_1</t>
  </si>
  <si>
    <t>sp|P87114|FFT1_SCHPO ATP-dependent helicase fft1 OS=Schizosaccharomyces pombe (strain 972 / ATCC 24843) OX=284812 GN=fft1 PE=3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</si>
  <si>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helicase SNF2 [Kribbella flavida]</t>
  </si>
  <si>
    <t>11.09.P4-7.643-3.2_3</t>
  </si>
  <si>
    <t>11.09.P4-7.643-3.2_5</t>
  </si>
  <si>
    <t>11.09.P4-7.643-3.2_7</t>
  </si>
  <si>
    <t>Membrane-associated protein n=1 Tax=Bodo saltans virus TaxID=2024608 RepID=A0A2H4UU44_9VIRU</t>
  </si>
  <si>
    <t>11.09.P4-7.963-3.7_12</t>
  </si>
  <si>
    <t>COG0666 [FUNC="Ankyrin repeat"] [shortName=ANKYR] [TAG=T TAGDEF="Signal transduction mechanisms" PROCESS="CELLULAR PROCESSES AND SIGNALING"]  [PATHWAY=""] ankyrin [Candidatus Solibacter usitatus]</t>
  </si>
  <si>
    <t>Uncharacterized protein n=1 Tax=Aphanomyces astaci TaxID=112090 RepID=W4FV07_APHAT</t>
  </si>
  <si>
    <t>11.09.P4-7.963-3.7_13</t>
  </si>
  <si>
    <t>11.09.P4-7.963-3.7_18</t>
  </si>
  <si>
    <t>sp|Q9AJU2|ELMM1_STROV 8-demethyl-8-alpha-L-rhamnosyl tetracenomycin-C 2'-O-methyltransferase OS=Streptomyces olivaceus OX=47716 GN=elmMI PE=1 SV=1</t>
  </si>
  <si>
    <t>COG3510 [FUNC="Cephalosporin hydroxylase"] [shortName=CmcI] [TAG=V TAGDEF="Defense mechanisms" PROCESS="CELLULAR PROCESSES AND SIGNALING"]  [PATHWAY=""] class I SAM-dependent methyltransferase [Amycolatopsis mediterranei]</t>
  </si>
  <si>
    <t>11.09.P4-7.963-3.7_2</t>
  </si>
  <si>
    <t>11.09.P4-7.963-3.7_5</t>
  </si>
  <si>
    <t>sp|P00774|CEL2A_RAT Chymotrypsin-like elastase family member 2A OS=Rattus norvegicus OX=10116 GN=Cela2a PE=2 SV=1</t>
  </si>
  <si>
    <t>COG5640 [FUNC="Secreted trypsin-like serine protease"] [shortName=] [TAG=O TAGDEF="Posttranslational modification, protein turnover, chaperones" PROCESS="CELLULAR PROCESSES AND SIGNALING"]  [PATHWAY=""] hypothetical protein [Kutzneria albida]</t>
  </si>
  <si>
    <t>VOG00938 [FUNC="sp|Q07943|VDP_BOMMO Vitellin-degrading protease"] [TAG=Xh TAGDEF="Virus protein with function beneficial for the host"]</t>
  </si>
  <si>
    <t>CTRL protease (Fragment) n=1 Tax=Centropus unirufus TaxID=1118519 RepID=A0A7K4ZZJ4_9AVES</t>
  </si>
  <si>
    <t>11.09.P4-8.204-2.8_24</t>
  </si>
  <si>
    <t>11.09.P4-8.638-6.0_16</t>
  </si>
  <si>
    <t>mRNA guanylyltransferase n=1 Tax=Paramecium bursaria Chlorella virus FR483 TaxID=399781 RepID=A7J6I2_PBCVF</t>
  </si>
  <si>
    <t>11.09.P4-8.638-6.0_4</t>
  </si>
  <si>
    <t>11.09.P4-8.638-6.0_6</t>
  </si>
  <si>
    <t>11.09.P4-8.695-21_16</t>
  </si>
  <si>
    <t>COG0571 [FUNC="dsRNA-specific ribonuclease"] [shortName=Rnc] [TAG=K TAGDEF="Transcription" PROCESS="INFORMATION STORAGE AND PROCESSING"]  [PATHWAY=""] ribonuclease III [Legionella pneumophila subsp. pneumophila str. Philadelphia 1]</t>
  </si>
  <si>
    <t>11.09.P4-8.695-21_17</t>
  </si>
  <si>
    <t>11.09.P4-8.695-21_2</t>
  </si>
  <si>
    <t>11.09.P4-8.695-21_21</t>
  </si>
  <si>
    <t>11.09.P4-8.695-21_23</t>
  </si>
  <si>
    <t>Proliferating cell nuclear antigen PCNA C-terminal domain-containing protein n=2 Tax=Brassica TaxID=3705 RepID=A0A0D3C899_BRAOL</t>
  </si>
  <si>
    <t>11.09.P4-8.695-21_9</t>
  </si>
  <si>
    <t>11.09.P4-9.552-4.5_13</t>
  </si>
  <si>
    <t>S1-like domain-containing protein n=1 Tax=Meloidogyne javanica TaxID=6303 RepID=A0A915LSZ1_MELJA</t>
  </si>
  <si>
    <t>11.09.P4-9.552-4.5_14</t>
  </si>
  <si>
    <t>COG2452 [FUNC="Predicted site-specific integrase-resolvase"] [shortName=] [TAG=X TAGDEF="Mobilome: prophages, transposons" PROCESS=""]  [PATHWAY=""] IS607 family transposase [Halothece sp. PCC 7418]</t>
  </si>
  <si>
    <t>11.09.P4-9.552-4.5_15</t>
  </si>
  <si>
    <t>11.09.P4-9.552-4.5_2</t>
  </si>
  <si>
    <t>11.09.P4-9.552-4.5_4</t>
  </si>
  <si>
    <t>11.09.P4-9.552-4.5_7</t>
  </si>
  <si>
    <t>Uncharacterized protein n=1 Tax=Acanthocystis turfacea Chlorella virus GM0701.1 TaxID=1278271 RepID=M1H4C1_9PHYC</t>
  </si>
  <si>
    <t>11.09.P4-9.676-5.7_13</t>
  </si>
  <si>
    <t>Integrase n=2 Tax=unclassified Lavidaviridae TaxID=2268405 RepID=A0A6G6XMS2_9VIRU</t>
  </si>
  <si>
    <t>11.09.P4-9.676-5.7_15</t>
  </si>
  <si>
    <t>VOG02514 [FUNC="REFSEQ virion structural protein"] [TAG=Xu TAGDEF="Function unknown"]</t>
  </si>
  <si>
    <t>Membrane associated protein n=1 Tax=Bodo saltans virus TaxID=2024608 RepID=A0A2H4UVI4_9VIRU</t>
  </si>
  <si>
    <t>17.05.P3-10.226-33_1</t>
  </si>
  <si>
    <t>sp|Q9LM25|HRD3A_ARATH ERAD-associated E3 ubiquitin-protein ligase component HRD3A OS=Arabidopsis thaliana OX=3702 GN=HRD3A PE=1 SV=1</t>
  </si>
  <si>
    <t>COG0790 [FUNC="TPR repeat"] [shortName=TPR] [TAG=R TAGDEF="General function prediction only" PROCESS="POORLY CHARACTERIZED"]  [PATHWAY=""] ATP-binding protein [Chloroherpeton thalassium]</t>
  </si>
  <si>
    <t>VOG00092 [FUNC="sp|Q5UP97|YL021_MIMIV Putative sel1-like repeat-containing protein L21"] [TAG=Xu TAGDEF="Function unknown"]</t>
  </si>
  <si>
    <t>Sel1 repeat protein n=1 Tax=Mimivirus LCMiAC02 TaxID=2506609 RepID=A0A481Z2D0_9VIRU</t>
  </si>
  <si>
    <t>17.05.P3-10.226-33_6</t>
  </si>
  <si>
    <t>Dual specificity phosphatase n=1 Tax=Catovirus CTV1 TaxID=1977631 RepID=A0A1V0SAP0_9VIRU</t>
  </si>
  <si>
    <t>17.05.P3-10.226-33_7</t>
  </si>
  <si>
    <t>sp|Q9FJ98|RPD6A_ARATH DNA-directed RNA polymerases II, IV and V subunit 6A OS=Arabidopsis thaliana OX=3702 GN=NRPB6A PE=1 SV=1</t>
  </si>
  <si>
    <t>Rpabc6 n=1 Tax=Hemiselmis andersenii TaxID=464988 RepID=A9BK87_HEMAN</t>
  </si>
  <si>
    <t>17.05.P3-10.226-33_9</t>
  </si>
  <si>
    <t>17.05.P3-10.227-22_1</t>
  </si>
  <si>
    <t>17.05.P3-10.227-22_11</t>
  </si>
  <si>
    <t>COG2963 [FUNC="Transposase InsE and inactivated derivatives"] [shortName=InsE] [TAG=X TAGDEF="Mobilome: prophages, transposons" PROCESS=""]  [PATHWAY=""] transposase [Leptotrichia buccalis]</t>
  </si>
  <si>
    <t>17.05.P3-10.227-22_12</t>
  </si>
  <si>
    <t>COG3335 [FUNC="Transposase"] [shortName=] [TAG=X TAGDEF="Mobilome: prophages, transposons" PROCESS=""]  [PATHWAY=""] transposase (plasmid) [Cylindrospermum stagnale PCC 7417]</t>
  </si>
  <si>
    <t>17.05.P3-10.227-22_14</t>
  </si>
  <si>
    <t>Glycosyltransferase n=1 Tax=Synechococcus phage S-SKS1 TaxID=754042 RepID=M4QT68_9CAUD</t>
  </si>
  <si>
    <t>17.05.P3-10.227-22_6</t>
  </si>
  <si>
    <t>sp|Q8HZJ5|RB27B_BOVIN Ras-related protein Rab-27B OS=Bos taurus OX=9913 GN=RAB27B PE=2 SV=3</t>
  </si>
  <si>
    <t>KOG0081 [FUNC="GTPase Rab27, small G protein superfamily"] [shortName=] [TAG=U TAGDEF="Intracellular trafficking, secretion, and vesicular transport" PROCESS="CELLULAR PROCESSES AND SIGNALING"]  [PATHWAY=""]</t>
  </si>
  <si>
    <t>Small rab-related gtpase n=1 Tax=Anaeramoeba ignava TaxID=1746090 RepID=A0A9Q0LE71_9EUKA</t>
  </si>
  <si>
    <t>17.05.P3-10.227-22_7</t>
  </si>
  <si>
    <t>sp|Q9J4Z6|V244_FOWPN Putative ankyrin repeat protein FPV244 OS=Fowlpox virus (strain NVSL) OX=928301 GN=FPV244 PE=4 SV=1</t>
  </si>
  <si>
    <t>COG0666 [FUNC="Ankyrin repeat"] [shortName=ANKYR] [TAG=T TAGDEF="Signal transduction mechanisms" PROCESS="CELLULAR PROCESSES AND SIGNALING"]  [PATHWAY=""] hypothetical protein [Desulfomonile tiedjei]</t>
  </si>
  <si>
    <t>DZIP3-like HEPN domain-containing protein n=2 Tax=Mytilus galloprovincialis TaxID=29158 RepID=A0A8B6E111_MYTGA</t>
  </si>
  <si>
    <t>17.05.P3-10.227-22_9</t>
  </si>
  <si>
    <t>sp|P0DX66|CAP18_ECOKT 3'-5' DNA exonuclease Cap18 OS=Escherichia coli (strain KTE188) OX=1181734 GN=cap18 PE=1 SV=1</t>
  </si>
  <si>
    <t>COG0847 [FUNC="DNA polymerase III, epsilon subunit or related 3'-5' exonuclease"] [shortName=DnaQ] [TAG=L TAGDEF="Replication, recombination and repair" PROCESS="INFORMATION STORAGE AND PROCESSING"]  [PATHWAY=""] 3'-5' exonuclease [Pseudomonas stutzeri]</t>
  </si>
  <si>
    <t>DNA polymerase III subunit epsilon n=1 Tax=Tupanvirus deep ocean TaxID=2126984 RepID=A0A6N1NR05_9VIRU</t>
  </si>
  <si>
    <t>17.05.P3-10.881-22_1</t>
  </si>
  <si>
    <t>sp|P72655|Y1128_SYNY3 Uncharacterized protein slr1128 OS=Synechocystis sp. (strain PCC 6803 / Kazusa) OX=1111708 GN=slr1128 PE=3 SV=1</t>
  </si>
  <si>
    <t>COG0330 [FUNC="Regulator of protease activity HflC, stomatin/prohibitin superfamily"] [shortName=HflC] [TAG=O TAGDEF="Posttranslational modification, protein turnover, chaperones" PROCESS="CELLULAR PROCESSES AND SIGNALING"]  [PATHWAY=""] band 7 protein [Herpetosiphon aurantiacus DSM 785]</t>
  </si>
  <si>
    <t>Band 7 domain-containing protein n=1 Tax=Didymodactylos carnosus TaxID=1234261 RepID=A0A813PUE8_9BILA</t>
  </si>
  <si>
    <t>17.05.P3-10.881-22_6</t>
  </si>
  <si>
    <t>sp|A7RFT2|CD123_NEMVE Cell division cycle protein 123 homolog OS=Nematostella vectensis OX=45351 GN=cdc123 PE=3 SV=1</t>
  </si>
  <si>
    <t>KOG2983 [FUNC="Uncharacterized conserved protein"] [shortName=] [TAG=S TAGDEF="Function unknown" PROCESS="POORLY CHARACTERIZED"]  [PATHWAY=""]</t>
  </si>
  <si>
    <t>VOG14201 [FUNC="sp|Q5UQX4|YL884_MIMIV Putative CDC123-like protein L884"] [TAG=Xu TAGDEF="Function unknown"]</t>
  </si>
  <si>
    <t>Cell division cycle protein 123 n=1 Tax=Aureobasidium pullulans TaxID=5580 RepID=A0A4S9QUH6_AURPU</t>
  </si>
  <si>
    <t>17.05.P3-10.881-22_7</t>
  </si>
  <si>
    <t>sp|Q93RG0|ADPRH_TREMD Protein-ADP-ribose hydrolase OS=Treponema medium OX=58231 PE=3 SV=1</t>
  </si>
  <si>
    <t>COG2110 [FUNC="O-acetyl-ADP-ribose deacetylase (regulator of RNase III), contains Macro domain"] [shortName=YmdB] [TAG=J TAGDEF="Translation, ribosomal structure and biogenesis" PROCESS="INFORMATION STORAGE AND PROCESSING"]  [PATHWAY=""] macro domain protein [methanogenic archaeon ISO4-H5]</t>
  </si>
  <si>
    <t>VOG03609 [FUNC="sp|Q8ZXT3|Y1111_PYRAE Uncharacterized protein PAE1111"] [TAG=Xu TAGDEF="Function unknown"]</t>
  </si>
  <si>
    <t>Macro domain-containing protein n=1 Tax=Fadolivirus 1 TaxID=2740746 RepID=A0A7D3V610_9VIRU</t>
  </si>
  <si>
    <t>17.05.P3-10.881-22_8</t>
  </si>
  <si>
    <t>VOG03757 [FUNC="REFSEQ bifunctional AAA family ATPase chaperone/translocase BCS1"] [TAG=Xu TAGDEF="Function unknown"]</t>
  </si>
  <si>
    <t>Bifunctional AAA family ATPase chaperone/translocase BCS1 n=1 Tax=Tupanvirus deep ocean TaxID=2126984 RepID=A0A6N1NQN9_9VIRU</t>
  </si>
  <si>
    <t>17.05.P3-10.881-22_9</t>
  </si>
  <si>
    <t>Ankyrin repeat/mismatch repair protein MutS domain-containing protein n=1 Tax=Bodo saltans virus TaxID=2024608 RepID=A0A2H4UT61_9VIRU</t>
  </si>
  <si>
    <t>17.05.P3-11.245-18_1</t>
  </si>
  <si>
    <t>Putative resolvase R771 n=11 Tax=Mimiviridae TaxID=549779 RepID=YR771_MIMIV</t>
  </si>
  <si>
    <t>17.05.P3-11.245-18_10</t>
  </si>
  <si>
    <t>sp|Q5UNX8|YR722_MIMIV Uncharacterized protein R722 OS=Acanthamoeba polyphaga mimivirus OX=212035 GN=MIMI_R722 PE=1 SV=1</t>
  </si>
  <si>
    <t>VOG37599 [FUNC="REFSEQ bifunctional metalloprotease ubiquitin-protein ligase"] [TAG=Xu TAGDEF="Function unknown"]</t>
  </si>
  <si>
    <t>Bifunctional metalloprotease ubiquitin-protein ligase n=1 Tax=Tupanvirus deep ocean TaxID=2126984 RepID=A0A6N1NZL4_9VIRU</t>
  </si>
  <si>
    <t>17.05.P3-11.245-18_13</t>
  </si>
  <si>
    <t>COG0675 [FUNC="Transposase"] [shortName=InsQ] [TAG=X TAGDEF="Mobilome: prophages, transposons" PROCESS=""]  [PATHWAY=""] transposase [Moorea producens]</t>
  </si>
  <si>
    <t>Transposase n=2 Tax=Mimivirus TaxID=315393 RepID=A0A2L2DM75_MIMIV</t>
  </si>
  <si>
    <t>17.05.P3-11.245-18_5</t>
  </si>
  <si>
    <t>sp|Q5UPI1|YL103_MIMIV Putative resolvase L103 OS=Acanthamoeba polyphaga mimivirus OX=212035 GN=MIMI_L103 PE=3 SV=1</t>
  </si>
  <si>
    <t>COG2452 [FUNC="Predicted site-specific integrase-resolvase"] [shortName=] [TAG=X TAGDEF="Mobilome: prophages, transposons" PROCESS=""]  [PATHWAY=""] hypothetical protein [Moorea producens]</t>
  </si>
  <si>
    <t>Putative site-specific integrase-resolvase n=1 Tax=Acanthamoeba polyphaga mimivirus TaxID=212035 RepID=A0A0G2Y229_MIMIV</t>
  </si>
  <si>
    <t>17.05.P3-11.245-18_6</t>
  </si>
  <si>
    <t>sp|Q5UR85|YR636_MIMIV Putative FNIP repeat-containing protein R636 OS=Acanthamoeba polyphaga mimivirus OX=212035 GN=MIMI_R636 PE=4 SV=1</t>
  </si>
  <si>
    <t>Uncharacterized protein n=1 Tax=Symbiodinium sp. CCMP2592 TaxID=631055 RepID=A0A812M8M0_9DINO</t>
  </si>
  <si>
    <t>17.05.P3-11.245-18_7</t>
  </si>
  <si>
    <t>17.05.P3-11.245-18_8</t>
  </si>
  <si>
    <t>17.05.P3-11.245-18_9</t>
  </si>
  <si>
    <t>FNIP repeat-containing protein n=1 Tax=Dictyostelium purpureum TaxID=5786 RepID=F0ZIN2_DICPU</t>
  </si>
  <si>
    <t>17.05.P3-11.570-30_12</t>
  </si>
  <si>
    <t>7-cyano-7-deazaguanine synthase n=1 Tax=Alkaliphilus sp. B6464 TaxID=2731219 RepID=A0A975J3W4_9CLOT</t>
  </si>
  <si>
    <t>17.05.P3-11.570-30_2</t>
  </si>
  <si>
    <t>Uncharacterized protein n=2 Tax=Chlorovirus TaxID=181083 RepID=M1HLU5_9PHYC</t>
  </si>
  <si>
    <t>17.05.P3-11.570-30_3</t>
  </si>
  <si>
    <t>sp|Q077R2|WFAP_ECOLX UDP-Glc:alpha-D-GlcNAc-diphosphoundecaprenol beta-1,3-glucosyltransferase WfaP OS=Escherichia coli OX=562 GN=wfaP PE=1 SV=1</t>
  </si>
  <si>
    <t>COG0463 [FUNC="Glycosyltransferase involved in cell wall bisynthesis"] [shortName=WcaA] [TAG=M TAGDEF="Cell wall/membrane/envelope biogenesis" PROCESS="CELLULAR PROCESSES AND SIGNALING"]  [PATHWAY=""] glycosyltransferase family 2 protein [Pasteurella multocida]</t>
  </si>
  <si>
    <t>Glycosyltransferase family 2 protein n=1 Tax=Actinobacillus equuli subsp. equuli TaxID=202947 RepID=A0A9X4G8G8_ACTEU</t>
  </si>
  <si>
    <t>17.05.P3-11.570-30_8</t>
  </si>
  <si>
    <t>sp|P02453|CO1A1_BOVIN Collagen alpha-1(I) chain OS=Bos taurus OX=9913 GN=COL1A1 PE=1 SV=3</t>
  </si>
  <si>
    <t>Collagen triple helix repeat containing protein n=1 Tax=Catovirus CTV1 TaxID=1977631 RepID=A0A1V0SAG0_9VIRU</t>
  </si>
  <si>
    <t>17.05.P3-13.822-20_10</t>
  </si>
  <si>
    <t>sp|Q5UPG0|YL086_MIMIV Putative ankyrin repeat protein L86 OS=Acanthamoeba polyphaga mimivirus OX=212035 GN=MIMI_L86 PE=4 SV=1</t>
  </si>
  <si>
    <t>17.05.P3-13.822-20_11</t>
  </si>
  <si>
    <t>sp|Q5ZKU5|RAB14_CHICK Ras-related protein Rab-14 OS=Gallus gallus OX=9031 GN=RAB14 PE=2 SV=3</t>
  </si>
  <si>
    <t>KOG0097 [FUNC="GTPase Rab14, small G protein superfamily"] [shortName=] [TAG=U TAGDEF="Intracellular trafficking, secretion, and vesicular transport" PROCESS="CELLULAR PROCESSES AND SIGNALING"]  [PATHWAY=""]</t>
  </si>
  <si>
    <t>Ras-related protein Rab-2 n=1 Tax=Ichthyophthirius multifiliis TaxID=5932 RepID=G0QKQ0_ICHMU</t>
  </si>
  <si>
    <t>17.05.P3-13.822-20_14</t>
  </si>
  <si>
    <t>17.05.P3-13.822-20_15</t>
  </si>
  <si>
    <t>Uncharacterized protein n=1 Tax=Klosneuvirus KNV1 TaxID=1977640 RepID=A0A1V0SL70_9VIRU</t>
  </si>
  <si>
    <t>17.05.P3-13.822-20_16</t>
  </si>
  <si>
    <t>sp|Q06683|IRC3_YEAST Putative ATP-dependent helicase IRC3 OS=Saccharomyces cerevisiae (strain ATCC 204508 / S288c) OX=559292 GN=IRC3 PE=1 SV=1</t>
  </si>
  <si>
    <t>COG4889 [FUNC="Predicted helicase"] [shortName=] [TAG=R TAGDEF="General function prediction only" PROCESS="POORLY CHARACTERIZED"]  [PATHWAY=""] type III restriction protein res subunit [Turneriella parva]</t>
  </si>
  <si>
    <t>Superfamily II helicase n=1 Tax=Klosneuvirus KNV1 TaxID=1977640 RepID=A0A1V0SJ58_9VIRU</t>
  </si>
  <si>
    <t>17.05.P3-13.822-20_4</t>
  </si>
  <si>
    <t>COG2404 [FUNC="Oligoribonuclease NrnA/c-di-AMP phosphodiesterase DhhP, DHH superfamily"] [shortName=DhhP] [TAG=J TAGDEF="Translation, ribosomal structure and biogenesis" PROCESS="INFORMATION STORAGE AND PROCESSING"] [TAG=T TAGDEF="Signal transduction mechanisms" PROCESS="CELLULAR PROCESSES AND SIGNALING"]  [PATHWAY=""] hypothetical protein [Rhodoferax ferrireducens]</t>
  </si>
  <si>
    <t>21095_t:CDS:1 n=1 Tax=Cetraspora pellucida TaxID=1433469 RepID=A0A9N9JIH9_9GLOM</t>
  </si>
  <si>
    <t>17.05.P3-13.822-20_5</t>
  </si>
  <si>
    <t>Sulfhydryl oxidase n=1 Tax=Mimiviridae sp. ChoanoV1 TaxID=2596887 RepID=A0A5B8IR31_9VIRU</t>
  </si>
  <si>
    <t>17.05.P3-13.822-20_6</t>
  </si>
  <si>
    <t>17.05.P3-13.822-20_7</t>
  </si>
  <si>
    <t>sp|Q7T6X6|GFAT_MIMIV Probable glutamine--fructose-6-phosphate aminotransferase [isomerizing] OS=Acanthamoeba polyphaga mimivirus OX=212035 GN=MIMI_L619 PE=3 SV=4</t>
  </si>
  <si>
    <t>COG0449 [FUNC="Glucosamine 6-phosphate synthetase, contains amidotransferase and phosphosugar isomerase domains"] [shortName=GlmS] [TAG=M TAGDEF="Cell wall/membrane/envelope biogenesis" PROCESS="CELLULAR PROCESSES AND SIGNALING"]  [PATHWAY=""] glutamine--fructose-6-phosphate transaminase (isomerizing) [Owenweeksia hongkongensis]</t>
  </si>
  <si>
    <t>VOG03720 [FUNC="sp|Q7T6X6|GFAT_MIMIV Probable glutamine--fructose-6-phosphate aminotransferase [isomerizing]"] [TAG=Xh TAGDEF="Virus protein with function beneficial for the host"]</t>
  </si>
  <si>
    <t>glutamine--fructose-6-phosphate transaminase (isomerizing) n=1 Tax=Fadolivirus 1 TaxID=2740746 RepID=A0A7D3UQW2_9VIRU</t>
  </si>
  <si>
    <t>17.05.P3-13.822-20_9</t>
  </si>
  <si>
    <t>Ubiquitin carboxyl-terminal hydrolase n=1 Tax=Mimiviridae sp. ChoanoV1 TaxID=2596887 RepID=A0A5B8IEK0_9VIRU</t>
  </si>
  <si>
    <t>17.05.P3-14.187-26_1</t>
  </si>
  <si>
    <t>sp|B0B969|TILS_CHLT2 tRNA(Ile)-lysidine synthase OS=Chlamydia trachomatis serovar L2 (strain 434/Bu / ATCC VR-902B) OX=471472 GN=tilS PE=3 SV=1</t>
  </si>
  <si>
    <t>COG0037 [FUNC="tRNA(Ile)-lysidine synthase TilS/MesJ"] [shortName=TilS] [TAG=J TAGDEF="Translation, ribosomal structure and biogenesis" PROCESS="INFORMATION STORAGE AND PROCESSING"]  [PATHWAY="tRNA modification"] tRNA lysidine(34) synthetase TilS [Gemella haemolysans]</t>
  </si>
  <si>
    <t>17.05.P3-14.187-26_11</t>
  </si>
  <si>
    <t>sp|P0DTD9|RLIG_BPRHR RNA ligase OS=Rhodothermus phage RM378 OX=148943 PE=1 SV=1</t>
  </si>
  <si>
    <t>VOG00411 [FUNC="sp|P00971|RLIG_BPT4 RNA ligase 1"] [TAG=Xh TAGDEF="Virus protein with function beneficial for the host"]</t>
  </si>
  <si>
    <t>MYND-type domain-containing protein n=1 Tax=Heterosigma akashiwo TaxID=2829 RepID=A0A7S3XPR5_HETAK</t>
  </si>
  <si>
    <t>17.05.P3-14.187-26_14</t>
  </si>
  <si>
    <t>17.05.P3-14.187-26_17</t>
  </si>
  <si>
    <t>sp|Q94JV4|SUI12_ARATH Protein translation factor SUI1 homolog 2 OS=Arabidopsis thaliana OX=3702 GN=At1g54290 PE=3 SV=1</t>
  </si>
  <si>
    <t>KOG1770 [FUNC="Translation initiation factor 1 (eIF-1/SUI1)"] [shortName=] [TAG=J TAGDEF="Translation, ribosomal structure and biogenesis" PROCESS="INFORMATION STORAGE AND PROCESSING"]  [PATHWAY=""]</t>
  </si>
  <si>
    <t>VOG21988 [FUNC="sp|Q5UQD7|SUI1_MIMIV Protein translation factor SUI1 homolog"] [TAG=Xh TAGDEF="Virus protein with function beneficial for the host"]</t>
  </si>
  <si>
    <t>Eukaryotic translation initiation factor SUI1 n=1 Tax=Fragilariopsis cylindrus CCMP1102 TaxID=635003 RepID=A0A1E7FDY4_9STRA</t>
  </si>
  <si>
    <t>17.05.P3-14.187-26_18</t>
  </si>
  <si>
    <t>Rho termination factor n=1 Tax=Pithovirus LCPAC101 TaxID=2506586 RepID=A0A481Z3I9_9VIRU</t>
  </si>
  <si>
    <t>17.05.P3-14.187-26_7</t>
  </si>
  <si>
    <t>COG2227 [FUNC="2-polyprenyl-3-methyl-5-hydroxy-6-metoxy-1,4-benzoquinol methylase"] [shortName=UbiG] [TAG=H TAGDEF="Coenzyme transport and metabolism" PROCESS="METABOLISM"]  [PATHWAY="Ubiquinone biosynthesis"] class I SAM-dependent methyltransferase [Oleiphilus messinensis]</t>
  </si>
  <si>
    <t>VOG00928 [FUNC="REFSEQ methyltransferase"] [TAG=Xu TAGDEF="Function unknown"]</t>
  </si>
  <si>
    <t>Methyltransferase domain protein n=1 Tax=Pithovirus LCPAC302 TaxID=2506593 RepID=A0A481ZAC3_9VIRU</t>
  </si>
  <si>
    <t>17.05.P3-14.187-26_8</t>
  </si>
  <si>
    <t>SWPV1-175 n=1 Tax=Shearwaterpox virus TaxID=1974596 RepID=A0A1V0QGW0_CNPV</t>
  </si>
  <si>
    <t>17.05.P3-14.373-25_10</t>
  </si>
  <si>
    <t>Uncharacterized protein n=1 Tax=Fadolivirus 1 TaxID=2740746 RepID=A0A7D3R1E8_9VIRU</t>
  </si>
  <si>
    <t>17.05.P3-14.373-25_11</t>
  </si>
  <si>
    <t>Uncharacterized protein n=1 Tax=Mimivirus AB-566-O17 TaxID=1988039 RepID=A0A1X9VNN4_9VIRU</t>
  </si>
  <si>
    <t>17.05.P3-14.373-25_12</t>
  </si>
  <si>
    <t>sp|B1GZN9|TRUB_ENDTX tRNA pseudouridine synthase B OS=Endomicrobium trichonymphae OX=1408204 GN=truB PE=3 SV=1</t>
  </si>
  <si>
    <t>COG0130 [FUNC="tRNA U55 pseudouridine synthase TruB, may also work on U342 of tmRNA"] [shortName=TruB] [TAG=J TAGDEF="Translation, ribosomal structure and biogenesis" PROCESS="INFORMATION STORAGE AND PROCESSING"]  [PATHWAY="tRNA modification"] tRNA pseudouridine synthase B, tRNA pseudouridine55 synthase [Candidatus Campbellbacteria bacterium GW2011_OD1_34_28]</t>
  </si>
  <si>
    <t>tRNA pseudouridine(55) synthase n=1 Tax=Indivirus ILV1 TaxID=1977633 RepID=A0A1V0SE53_9VIRU</t>
  </si>
  <si>
    <t>17.05.P3-14.373-25_13</t>
  </si>
  <si>
    <t>sp|Q23SI8|TTLL1_TETTS Probable alpha-tubulin polyglutamylase Ttll1 OS=Tetrahymena thermophila (strain SB210) OX=312017 GN=Ttll1 PE=3 SV=2</t>
  </si>
  <si>
    <t>17.05.P3-14.373-25_2</t>
  </si>
  <si>
    <t>ATP-dependent DNA helicase PIF1 n=1 Tax=Chytriomyces confervae TaxID=246404 RepID=A0A507FMG7_9FUNG</t>
  </si>
  <si>
    <t>17.05.P3-14.373-25_8</t>
  </si>
  <si>
    <t>F-box domain-containing protein n=1 Tax=Brachionus calyciflorus TaxID=104777 RepID=A0A814BYZ9_9BILA</t>
  </si>
  <si>
    <t>17.05.P3-14.373-25_9</t>
  </si>
  <si>
    <t>Uncharacterized protein n=1 Tax=Mimivirus AB-566-O17 TaxID=1988039 RepID=A0A1X9VNK7_9VIRU</t>
  </si>
  <si>
    <t>17.05.P3-14.635-24_11</t>
  </si>
  <si>
    <t>DNA-directed RNA polymerase subunit n=1 Tax=Pyramimonas orientalis virus TaxID=455367 RepID=A0A7M3UNW0_POV01</t>
  </si>
  <si>
    <t>17.05.P3-14.635-24_13</t>
  </si>
  <si>
    <t>DNA-directed RNA polymerase subunit n=1 Tax=Polysphondylium violaceum TaxID=133409 RepID=A0A8J4PQN8_9MYCE</t>
  </si>
  <si>
    <t>17.05.P3-14.635-24_17</t>
  </si>
  <si>
    <t>sp|O70311|NMT2_MOUSE Glycylpeptide N-tetradecanoyltransferase 2 OS=Mus musculus OX=10090 GN=Nmt2 PE=1 SV=1</t>
  </si>
  <si>
    <t>KOG2779 [FUNC="N-myristoyl transferase"] [shortName=] [TAG=I TAGDEF="Lipid transport and metabolism" PROCESS="METABOLISM"]  [PATHWAY=""]</t>
  </si>
  <si>
    <t>VOG03702 [FUNC="sp|A7YT82|NMT2_DANRE Glycylpeptide N-tetradecanoyltransferase 2"] [TAG=Xh TAGDEF="Virus protein with function beneficial for the host"]</t>
  </si>
  <si>
    <t>glycylpeptide N-tetradecanoyltransferase n=1 Tax=Ostreococcus lucimarinus virus 1 TaxID=880162 RepID=E5ERM8_9PHYC</t>
  </si>
  <si>
    <t>17.05.P3-14.635-24_5</t>
  </si>
  <si>
    <t>17.05.P3-15.090-26_13</t>
  </si>
  <si>
    <t>Sulfhydryl oxidase n=1 Tax=Megavirus baoshan TaxID=2496520 RepID=A0A3S8UX85_9VIRU</t>
  </si>
  <si>
    <t>17.05.P3-15.090-26_14</t>
  </si>
  <si>
    <t>17.05.P3-15.090-26_17</t>
  </si>
  <si>
    <t>sp|A5D9W7|MCA1_PICGU Metacaspase-1 OS=Meyerozyma guilliermondii (strain ATCC 6260 / CBS 566 / DSM 6381 / JCM 1539 / NBRC 10279 / NRRL Y-324) OX=294746 GN=MCA1 PE=3 SV=2</t>
  </si>
  <si>
    <t>WW domain-containing protein n=1 Tax=Hanusia phi TaxID=3032 RepID=A0A7S0HR41_9CRYP</t>
  </si>
  <si>
    <t>17.05.P3-15.090-26_2</t>
  </si>
  <si>
    <t>sp|A7SVT1|FICD_NEMVE Protein adenylyltransferase Fic OS=Nematostella vectensis OX=45351 GN=v1g194069 PE=3 SV=1</t>
  </si>
  <si>
    <t>COG3177 [FUNC="Fic family protein"] [shortName=] [TAG=K TAGDEF="Transcription" PROCESS="INFORMATION STORAGE AND PROCESSING"]  [PATHWAY=""] Fic family protein [Tannerella forsythia]</t>
  </si>
  <si>
    <t>VOG01813 [FUNC="sp|Q9K0V1|Y459_NEIMB Uncharacterized protein NMB0459"] [TAG=Xu TAGDEF="Function unknown"]</t>
  </si>
  <si>
    <t>Cell filamentation protein Fic n=1 Tax=Streptococcus oralis subsp. tigurinus TaxID=1077464 RepID=A0A1X1G464_STROR</t>
  </si>
  <si>
    <t>17.05.P3-15.090-26_20</t>
  </si>
  <si>
    <t>sp|Q65217|DIPP_ASFM2 mRNA-decapping protein g5R OS=African swine fever virus (isolate Tick/Malawi/Lil 20-1/1983) OX=10500 GN=Mal-110 PE=3 SV=1</t>
  </si>
  <si>
    <t>COG0494 [FUNC="8-oxo-dGTP pyrophosphatase MutT and related house-cleaning NTP pyrophosphohydrolases, NUDIX family"] [shortName=MutT] [TAG=V TAGDEF="Defense mechanisms" PROCESS="CELLULAR PROCESSES AND SIGNALING"]  [PATHWAY=""] ADP-ribose pyrophosphatase [Paeniclostridium sordellii]</t>
  </si>
  <si>
    <t>NUDIX-like hydrolase n=1 Tax=Chrysochromulina parva virus TaxID=2565304 RepID=A0A4Y6GRA5_9PHYC</t>
  </si>
  <si>
    <t>17.05.P3-15.090-26_3</t>
  </si>
  <si>
    <t>LamG-like jellyroll fold domain-containing protein n=1 Tax=Haptolina brevifila TaxID=156173 RepID=A0A7S2CF98_9EUKA</t>
  </si>
  <si>
    <t>17.05.P3-15.090-26_4</t>
  </si>
  <si>
    <t>17.05.P3-15.090-26_5</t>
  </si>
  <si>
    <t>LamG domain-containing protein n=1 Tax=Pyramimonas orientalis virus TaxID=455367 RepID=A0A7M3UNF4_POV01</t>
  </si>
  <si>
    <t>17.05.P3-15.090-26_7</t>
  </si>
  <si>
    <t>17.05.P3-15.136-31_10</t>
  </si>
  <si>
    <t>Nudix hydrolase domain-containing protein n=3 Tax=unclassified Prymnesiovirus TaxID=358403 RepID=G8DDV8_9PHYC</t>
  </si>
  <si>
    <t>17.05.P3-15.136-31_11</t>
  </si>
  <si>
    <t>sp|Q5L554|MUTS_CHLAB DNA mismatch repair protein MutS OS=Chlamydia abortus (strain DSM 27085 / S26/3) OX=218497 GN=mutS PE=3 SV=1</t>
  </si>
  <si>
    <t>17.05.P3-15.136-31_13</t>
  </si>
  <si>
    <t>sp|P0CW07|DNAJ_METMA Chaperone protein DnaJ OS=Methanosarcina mazei (strain ATCC BAA-159 / DSM 3647 / Goe1 / Go1 / JCM 11833 / OCM 88) OX=192952 GN=dnaJ PE=3 SV=1</t>
  </si>
  <si>
    <t>COG0484 [FUNC="DnaJ-class molecular chaperone with C-terminal Zn finger domain"] [shortName=DnaJ] [TAG=O TAGDEF="Posttranslational modification, protein turnover, chaperones" PROCESS="CELLULAR PROCESSES AND SIGNALING"]  [PATHWAY=""] molecular chaperone DnaJ [Candidatus Saccharibacteria bacterium YM_S32_TM7_50_20]</t>
  </si>
  <si>
    <t>DnaJ domain-containing protein n=1 Tax=Dishui Lake large algae virus 1 TaxID=2704073 RepID=A0A6G6XPZ5_9VIRU</t>
  </si>
  <si>
    <t>17.05.P3-15.136-31_2</t>
  </si>
  <si>
    <t>VOG04349 [FUNC="sp|Q08FE1|PAP1_DPV84 Poly(A) polymerase catalytic subunit"] [TAG=Xh TAGDEF="Virus protein with function beneficial for the host"]</t>
  </si>
  <si>
    <t>Putative poly(A) polymerase catalytic subunit n=1 Tax=Tupanvirus soda lake TaxID=2126985 RepID=A0A6N1NUL8_9VIRU</t>
  </si>
  <si>
    <t>17.05.P3-15.136-31_20</t>
  </si>
  <si>
    <t>Peptidase S74 domain-containing protein n=1 Tax=Syntrophus sp. (in: bacteria) TaxID=48412 RepID=A0A3C0KPK0_9BACT</t>
  </si>
  <si>
    <t>17.05.P3-15.136-31_4</t>
  </si>
  <si>
    <t>sp|Q8CDU4|FXL13_MOUSE F-box and leucine-rich repeat protein 13 OS=Mus musculus OX=10090 GN=Fbxl13 PE=1 SV=2</t>
  </si>
  <si>
    <t>VOG02061 [FUNC="sp|Q58DG6|FXL20_BOVIN F-box/LRR-repeat protein 20"] [TAG=Xh TAGDEF="Virus protein with function beneficial for the host"]</t>
  </si>
  <si>
    <t>F-box domain-containing protein n=1 Tax=[Pythium] brassicae (nom. inval.) TaxID=1485010 RepID=A0A5D6Y5X0_9STRA</t>
  </si>
  <si>
    <t>17.05.P3-15.136-31_5</t>
  </si>
  <si>
    <t>COG4886 [FUNC="Leucine-rich repeat (LRR) protein"] [shortName=LRR] [TAG=K TAGDEF="Transcription" PROCESS="INFORMATION STORAGE AND PROCESSING"]  [PATHWAY=""] hypothetical protein CBO1782 [Clostridium botulinum A str. ATCC 3502]</t>
  </si>
  <si>
    <t>F-box-like protein n=1 Tax=Marseillevirus LCMAC101 TaxID=2506602 RepID=A0A481YSR1_9VIRU</t>
  </si>
  <si>
    <t>17.05.P3-15.136-31_7</t>
  </si>
  <si>
    <t>sp|P23799|ESAG8_TRYBB Putative adenylate cyclase regulatory protein OS=Trypanosoma brucei brucei OX=5702 GN=ESAG8 PE=2 SV=1</t>
  </si>
  <si>
    <t>17.05.P3-15.136-31_8</t>
  </si>
  <si>
    <t>17.05.P3-2.408-4.7_1</t>
  </si>
  <si>
    <t>sp|Q5UQD1|YR458_MIMIV Putative ATP-dependent RNA helicase R458 OS=Acanthamoeba polyphaga mimivirus OX=212035 GN=MIMI_R458 PE=3 SV=1</t>
  </si>
  <si>
    <t>Translation initiation factor 4a n=3 Tax=unclassified Mimivirus TaxID=2501774 RepID=A0A2K9V847_9VIRU</t>
  </si>
  <si>
    <t>17.05.P3-2.408-4.7_2</t>
  </si>
  <si>
    <t>sp|Q5UQP5|YR457_MIMIV Uncharacterized protein R457 OS=Acanthamoeba polyphaga mimivirus OX=212035 GN=MIMI_R457 PE=1 SV=1</t>
  </si>
  <si>
    <t>Uncharacterized protein n=1 Tax=Tupanvirus deep ocean TaxID=2126984 RepID=A0A6N1NQK5_9VIRU</t>
  </si>
  <si>
    <t>17.05.P3-2.408-4.7_3</t>
  </si>
  <si>
    <t>Putative translation initiation factor 4a n=1 Tax=Tupanvirus soda lake TaxID=2126985 RepID=A0A6N1NVB3_9VIRU</t>
  </si>
  <si>
    <t>17.05.P3-2.417-2.2_1</t>
  </si>
  <si>
    <t>sp|Q5UQ88|UBC3_MIMIV Probable ubiquitin-conjugating enzyme E2 R521 OS=Acanthamoeba polyphaga mimivirus OX=212035 GN=MIMI_R521 PE=3 SV=1</t>
  </si>
  <si>
    <t>KOG0897 [FUNC="Predicted ubiquitin-conjugating enzyme"] [shortName=] [TAG=O TAGDEF="Posttranslational modification, protein turnover, chaperones" PROCESS="CELLULAR PROCESSES AND SIGNALING"]  [PATHWAY=""]</t>
  </si>
  <si>
    <t>E2 ubiquitin-conjugating enzyme n=1 Tax=Tupanvirus soda lake TaxID=2126985 RepID=A0A6N1NJP6_9VIRU</t>
  </si>
  <si>
    <t>17.05.P3-2.420-4.4_1</t>
  </si>
  <si>
    <t>COG0249 [FUNC="DNA mismatch repair ATPase MutS"] [shortName=MutS] [TAG=L TAGDEF="Replication, recombination and repair" PROCESS="INFORMATION STORAGE AND PROCESSING"]  [PATHWAY=""] DNA mismatch repair protein [Nitratiruptor sp. SB155-2]</t>
  </si>
  <si>
    <t>Putative DNA mismatch repair protein muts-like protein n=1 Tax=Tupanvirus deep ocean TaxID=2126984 RepID=A0A6N1NPG0_9VIRU</t>
  </si>
  <si>
    <t>17.05.P3-2.420-4.4_2</t>
  </si>
  <si>
    <t>Putative DNA mismatch repair protein MutS-like protein n=1 Tax=Tupanvirus soda lake TaxID=2126985 RepID=A0A6N1NK65_9VIRU</t>
  </si>
  <si>
    <t>17.05.P3-2.454-1.8_2</t>
  </si>
  <si>
    <t>sp|Q54RP6|DHKL_DICDI Hybrid signal transduction histidine kinase L OS=Dictyostelium discoideum OX=44689 GN=dhkL PE=3 SV=1</t>
  </si>
  <si>
    <t>COG2770 [FUNC="HAMP domain"] [shortName=HAMP] [TAG=T TAGDEF="Signal transduction mechanisms" PROCESS="CELLULAR PROCESSES AND SIGNALING"]  [PATHWAY=""] hybrid sensor histidine kinase/response regulator [Beggiatoa leptomitoformis]</t>
  </si>
  <si>
    <t>histidine kinase n=1 Tax=Alteromonas sp. RKMC-009 TaxID=2267264 RepID=A0A385MR98_9ALTE</t>
  </si>
  <si>
    <t>17.05.P3-2.454-1.8_4</t>
  </si>
  <si>
    <t>sp|Q5UR69|YL615_MIMIV Putative phosphatidylinositol kinase L615 OS=Acanthamoeba polyphaga mimivirus OX=212035 GN=MIMI_L615 PE=3 SV=1</t>
  </si>
  <si>
    <t>KOG1786 [FUNC="Lysosomal trafficking regulator LYST and related BEACH and WD40 repeat proteins"] [shortName=] [TAG=T TAGDEF="Signal transduction mechanisms" PROCESS="CELLULAR PROCESSES AND SIGNALING"] [TAG=U TAGDEF="Intracellular trafficking, secretion, and vesicular transport" PROCESS="CELLULAR PROCESSES AND SIGNALING"]  [PATHWAY=""]</t>
  </si>
  <si>
    <t>VOG37606 [FUNC="sp|Q5UR69|YL615_MIMIV Putative phosphatidylinositol kinase L615"] [TAG=Xu TAGDEF="Function unknown"]</t>
  </si>
  <si>
    <t>Phosphoinositide 3-kinase n=2 Tax=Mimivirus TaxID=315393 RepID=A0A0G2YB93_MIMIV</t>
  </si>
  <si>
    <t>17.05.P3-2.468-8.2_1</t>
  </si>
  <si>
    <t>17.05.P3-2.479-15_1</t>
  </si>
  <si>
    <t>sp|Q5UQA7|YR542_MIMIV Putative F-box/LRR-repeat protein R542 OS=Acanthamoeba polyphaga mimivirus OX=212035 GN=MIMI_R542 PE=4 SV=1</t>
  </si>
  <si>
    <t>KOG1947 [FUNC="Leucine rich repeat proteins, some proteins contain F-box"] [shortName=] [TAG=R TAGDEF="General function prediction only" PROCESS="POORLY CHARACTERIZED"]  [PATHWAY=""]</t>
  </si>
  <si>
    <t>F-box domain-containing protein n=1 Tax=Tupanvirus soda lake TaxID=2126985 RepID=A0A6N1NP44_9VIRU</t>
  </si>
  <si>
    <t>17.05.P3-2.479-15_2</t>
  </si>
  <si>
    <t>sp|Q58DG6|FXL20_BOVIN F-box/LRR-repeat protein 20 OS=Bos taurus OX=9913 GN=FBXL20 PE=2 SV=2</t>
  </si>
  <si>
    <t>KOG4341 [FUNC="F-box protein containing LRR"] [shortName=] [TAG=R TAGDEF="General function prediction only" PROCESS="POORLY CHARACTERIZED"]  [PATHWAY=""]</t>
  </si>
  <si>
    <t>F-box domain-containing protein n=1 Tax=Tupanvirus soda lake TaxID=2126985 RepID=A0A6N1NWW2_9VIRU</t>
  </si>
  <si>
    <t>17.05.P3-2.480-49_1</t>
  </si>
  <si>
    <t>Uncharacterized protein n=1 Tax=Klosneuvirus KNV1 TaxID=1977640 RepID=A0A1V0SHZ7_9VIRU</t>
  </si>
  <si>
    <t>17.05.P3-2.490-13_1</t>
  </si>
  <si>
    <t>17.05.P3-2.490-13_2</t>
  </si>
  <si>
    <t>Cell division cycle protein 123 n=1 Tax=Chytriomyces confervae TaxID=246404 RepID=A0A507EPI1_9FUNG</t>
  </si>
  <si>
    <t>17.05.P3-2.498-4.0_2</t>
  </si>
  <si>
    <t>mRNA capping enzyme n=1 Tax=Mimiviridae sp. ChoanoV1 TaxID=2596887 RepID=A0A5B8IH11_9VIRU</t>
  </si>
  <si>
    <t>17.05.P3-2.503-7.8_1</t>
  </si>
  <si>
    <t>sp|Q796P5|YITY_BACSU Uncharacterized FAD-linked oxidoreductase YitY OS=Bacillus subtilis (strain 168) OX=224308 GN=yitY PE=3 SV=2</t>
  </si>
  <si>
    <t>COG0277 [FUNC="FAD/FMN-containing lactate dehydrogenase/glycolate oxidase"] [shortName=GlcD] [TAG=C TAGDEF="Energy production and conversion" PROCESS="METABOLISM"]  [PATHWAY=""] FAD-binding oxidoreductase [Chryseobacterium indologenes]</t>
  </si>
  <si>
    <t>VOG18160 [FUNC="REFSEQ FAD/FMN-containing dehydrogenase with methyltransferase domain"] [TAG=Xu TAGDEF="Function unknown"]</t>
  </si>
  <si>
    <t>Oxidoreductase FAD-binding n=1 Tax=Tupanvirus deep ocean TaxID=2126984 RepID=A0A6N1NKA6_9VIRU</t>
  </si>
  <si>
    <t>17.05.P3-2.518-8.8_1</t>
  </si>
  <si>
    <t>VOG08081 [FUNC="REFSEQ hypothetical protein"] [TAG=Xu TAGDEF="Function unknown"]</t>
  </si>
  <si>
    <t>Uncharacterized protein n=3 Tax=unclassified Prymnesiovirus TaxID=358403 RepID=R4TUI7_9PHYC</t>
  </si>
  <si>
    <t>17.05.P3-2.518-8.8_2</t>
  </si>
  <si>
    <t>17.05.P3-2.518-8.8_3</t>
  </si>
  <si>
    <t>SAM-dependent methyltransferase n=1 Tax=Pithovirus LCPAC304 TaxID=2506594 RepID=A0A481Z8F1_9VIRU</t>
  </si>
  <si>
    <t>17.05.P3-2.518-8.8_4</t>
  </si>
  <si>
    <t>17.05.P3-2.543-5.0_4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</si>
  <si>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helicase [Desulfobacula toluolica]</t>
  </si>
  <si>
    <t>Mg497 protein n=1 Tax=Tupanvirus deep ocean TaxID=2126984 RepID=A0A6N1NWV1_9VIRU</t>
  </si>
  <si>
    <t>17.05.P3-2.543-5.0_5</t>
  </si>
  <si>
    <t>COG4951 [FUNC="Uncharacterized conserved protein"] [shortName=] [TAG=S TAGDEF="Function unknown" PROCESS="POORLY CHARACTERIZED"]  [PATHWAY=""] helicase [Desulfobacterium autotrophicum]</t>
  </si>
  <si>
    <t>VV A18 helicase n=1 Tax=Megavirus pcd TaxID=2751880 RepID=A0A7D5Q1Z5_9VIRU</t>
  </si>
  <si>
    <t>17.05.P3-2.551-4.6_3</t>
  </si>
  <si>
    <t>sp|A6Q421|DNAK_NITSB Chaperone protein DnaK OS=Nitratiruptor sp. (strain SB155-2) OX=387092 GN=dnaK PE=3 SV=1</t>
  </si>
  <si>
    <t>COG0443 [FUNC="Molecular chaperone DnaK (HSP70)"] [shortName=DnaK] [TAG=O TAGDEF="Posttranslational modification, protein turnover, chaperones" PROCESS="CELLULAR PROCESSES AND SIGNALING"]  [PATHWAY=""] molecular chaperone DnaK [Desulfurispirillum indicum]</t>
  </si>
  <si>
    <t>Heat shock protein 70, putative n=1 Tax=Perkinsus marinus (strain ATCC 50983 / TXsc) TaxID=423536 RepID=C5LY59_PERM5</t>
  </si>
  <si>
    <t>17.05.P3-2.557-24_1</t>
  </si>
  <si>
    <t>COG4886 [FUNC="Leucine-rich repeat (LRR) protein"] [shortName=LRR] [TAG=K TAGDEF="Transcription" PROCESS="INFORMATION STORAGE AND PROCESSING"]  [PATHWAY=""] leucine-rich repeat domain-containing protein [Haliscomenobacter hydrossis]</t>
  </si>
  <si>
    <t>F-box domain protein n=1 Tax=Marseillevirus LCMAC101 TaxID=2506602 RepID=A0A481YSL5_9VIRU</t>
  </si>
  <si>
    <t>17.05.P3-2.557-24_2</t>
  </si>
  <si>
    <t>sp|Q17R01|FXL14_BOVIN F-box/LRR-repeat protein 14 OS=Bos taurus OX=9913 GN=FBXL14 PE=2 SV=1</t>
  </si>
  <si>
    <t>17.05.P3-2.621-4.9_1</t>
  </si>
  <si>
    <t>sp|Q7T6Y8|RIR1_MIMIV Ribonucleoside-diphosphate reductase large subunit OS=Acanthamoeba polyphaga mimivirus OX=212035 GN=RNR1 PE=3 SV=2</t>
  </si>
  <si>
    <t>Ribonucleoside-diphosphate reductase n=1 Tax=Tupanvirus soda lake TaxID=2126985 RepID=A0A6N1NJU4_9VIRU</t>
  </si>
  <si>
    <t>17.05.P3-2.621-4.9_2</t>
  </si>
  <si>
    <t>F-box associated domain-containing protein n=1 Tax=Caenorhabditis remanei TaxID=31234 RepID=A0A6A5H089_CAERE</t>
  </si>
  <si>
    <t>17.05.P3-2.655-7.2_4</t>
  </si>
  <si>
    <t>17.05.P3-2.750-48_1</t>
  </si>
  <si>
    <t>sp|Q54JC0|CMBB_DICDI Calmodulin-binding protein CmbB OS=Dictyostelium discoideum OX=44689 GN=cmbB PE=1 SV=1</t>
  </si>
  <si>
    <t>FNIP repeat protein n=1 Tax=Klosneuvirus KNV1 TaxID=1977640 RepID=A0A1V0SLM4_9VIRU</t>
  </si>
  <si>
    <t>17.05.P3-2.750-48_2</t>
  </si>
  <si>
    <t>Uncharacterized protein n=1 Tax=Cladocopium goreaui TaxID=2562237 RepID=A0A9P1BXS0_9DINO</t>
  </si>
  <si>
    <t>17.05.P3-2.781-3.9_2</t>
  </si>
  <si>
    <t>Uncharacterized protein n=1 Tax=Yasminevirus sp. GU-2018 TaxID=2420051 RepID=A0A5K0U7N1_9VIRU</t>
  </si>
  <si>
    <t>17.05.P3-2.781-3.9_4</t>
  </si>
  <si>
    <t>Uncharacterized protein n=1 Tax=Indivirus ILV1 TaxID=1977633 RepID=A0A1V0SDP9_9VIRU</t>
  </si>
  <si>
    <t>17.05.P3-2.801-4.8_1</t>
  </si>
  <si>
    <t>VOG17069 [FUNC="REFSEQ hypothetical protein"] [TAG=Xu TAGDEF="Function unknown"]</t>
  </si>
  <si>
    <t>GATA zinc finger domain-containing protein 14-like n=1 Tax=Tupanvirus deep ocean TaxID=2126984 RepID=A0A6N1NPP0_9VIRU</t>
  </si>
  <si>
    <t>17.05.P3-2.801-4.8_2</t>
  </si>
  <si>
    <t>sp|Q5UQJ8|YR398_MIMIV Uncharacterized protein R398 OS=Acanthamoeba polyphaga mimivirus OX=212035 GN=MIMI_R398 PE=1 SV=1</t>
  </si>
  <si>
    <t>Calcineurin-like phosphoesterase domain-containing protein n=1 Tax=Tupanvirus deep ocean TaxID=2126984 RepID=A0A6N1NF06_9VIRU</t>
  </si>
  <si>
    <t>17.05.P3-2.801-4.8_4</t>
  </si>
  <si>
    <t>KOG0595 [FUNC="Serine/threonine-protein kinase involved in autophagy"] [shortName=] [TAG=O TAGDEF="Posttranslational modification, protein turnover, chaperones" PROCESS="CELLULAR PROCESSES AND SIGNALING"] [TAG=U TAGDEF="Intracellular trafficking, secretion, and vesicular transport" PROCESS="CELLULAR PROCESSES AND SIGNALING"] [TAG=T TAGDEF="Signal transduction mechanisms" PROCESS="CELLULAR PROCESSES AND SIGNALING"]  [PATHWAY=""]</t>
  </si>
  <si>
    <t>Putative serine/threonine-protein kinase n=1 Tax=Tupanvirus soda lake TaxID=2126985 RepID=A0A6N1NV48_9VIRU</t>
  </si>
  <si>
    <t>17.05.P3-2.817-12_1</t>
  </si>
  <si>
    <t>sp|Q5UQ15|YL202_MIMIV Uncharacterized protein L202 OS=Acanthamoeba polyphaga mimivirus OX=212035 GN=MIMI_L202 PE=4 SV=1</t>
  </si>
  <si>
    <t>VOG25852 [FUNC="sp|Q5UQ15|YL202_MIMIV Uncharacterized protein L202"] [TAG=Xu TAGDEF="Function unknown"]</t>
  </si>
  <si>
    <t>Uncharacterized protein L202 n=10 Tax=Mimiviridae TaxID=549779 RepID=YL202_MIMIV</t>
  </si>
  <si>
    <t>17.05.P3-2.817-12_2</t>
  </si>
  <si>
    <t>sp|Q5UR72|YR624_MIMIV Putative GTP-binding protein R624 OS=Acanthamoeba polyphaga mimivirus OX=212035 GN=MIMI_R624 PE=3 SV=1</t>
  </si>
  <si>
    <t>KOG0463 [FUNC="GTP-binding protein GP-1"] [shortName=] [TAG=R TAGDEF="General function prediction only" PROCESS="POORLY CHARACTERIZED"]  [PATHWAY=""]</t>
  </si>
  <si>
    <t>VOG03708 [FUNC="sp|P15170|ERF3A_HUMAN Eukaryotic peptide chain release factor GTP-binding subunit ERF3A"] [TAG=Xh TAGDEF="Virus protein with function beneficial for the host"]</t>
  </si>
  <si>
    <t>GTP binding translation elongation factor n=1 Tax=Indivirus ILV1 TaxID=1977633 RepID=A0A1V0SDL5_9VIRU</t>
  </si>
  <si>
    <t>17.05.P3-2.829-3.6_1</t>
  </si>
  <si>
    <t>sp|Q5RDU4|PARP6_PONAB Protein mono-ADP-ribosyltransferase PARP6 OS=Pongo abelii OX=9601 GN=PARP6 PE=2 SV=1</t>
  </si>
  <si>
    <t>Poly [ADP-ribose] polymerase n=1 Tax=Crassostrea gigas TaxID=29159 RepID=A0A8W8HME4_CRAGI</t>
  </si>
  <si>
    <t>17.05.P3-2.829-3.6_2</t>
  </si>
  <si>
    <t>sp|Q68VX0|UDG_RICTY UDP-glucose 6-dehydrogenase OS=Rickettsia typhi (strain ATCC VR-144 / Wilmington) OX=257363 GN=udg PE=3 SV=1</t>
  </si>
  <si>
    <t>Putative UDP-glucose 6-dehydrogenase n=1 Tax=Tupanvirus soda lake TaxID=2126985 RepID=A0A6N1NYT5_9VIRU</t>
  </si>
  <si>
    <t>17.05.P3-2.832-19_1</t>
  </si>
  <si>
    <t>COG0209 [FUNC="Ribonucleotide reductase alpha subunit"] [shortName=NrdA] [TAG=F TAGDEF="Nucleotide transport and metabolism" PROCESS="METABOLISM"]  [PATHWAY="Pyrimidine salvage"] ribonucleoside-diphosphate reductase subunit alpha [Olleya sp. Bg11-27]</t>
  </si>
  <si>
    <t>Ribonucleoside-diphosphate reductase n=1 Tax=Strigops habroptila TaxID=2489341 RepID=A0A672V2X3_STRHB</t>
  </si>
  <si>
    <t>17.05.P3-2.866-12_6</t>
  </si>
  <si>
    <t>COG4696 [FUNC="NTP pyrophosphatase, MazG superfamily"] [shortName=MazG2] [TAG=F TAGDEF="Nucleotide transport and metabolism" PROCESS="METABOLISM"]  [PATHWAY=""] hypothetical protein [Exiguobacterium sp. MH3]</t>
  </si>
  <si>
    <t>Phosphoribosyl-ATP pyrophosphohydrolase n=1 Tax=Orpheovirus IHUMI-LCC2 TaxID=2023057 RepID=A0A2I2L4I7_9PHYC</t>
  </si>
  <si>
    <t>17.05.P3-2.977-20_2</t>
  </si>
  <si>
    <t>sp|Q0AX10|NADE_SYNWW NH(3)-dependent NAD(+) synthetase OS=Syntrophomonas wolfei subsp. wolfei (strain DSM 2245B / Goettingen) OX=335541 GN=nadE PE=3 SV=1</t>
  </si>
  <si>
    <t>COG0171 [FUNC="NH3-dependent NAD+ synthetase"] [shortName=NadE] [TAG=H TAGDEF="Coenzyme transport and metabolism" PROCESS="METABOLISM"]  [PATHWAY="NAD biosynthesis"] NAD+ synthase [Halobacteroides halobius]</t>
  </si>
  <si>
    <t>VOG14544 [FUNC="sp|B0S1S2|NADE_FINM2 NH(3)-dependent NAD(+) synthetase"] [TAG=Xh TAGDEF="Virus protein with function beneficial for the host"]</t>
  </si>
  <si>
    <t>NAD+ synthase n=1 Tax=Bodo saltans virus TaxID=2024608 RepID=A0A2H4UVY1_9VIRU</t>
  </si>
  <si>
    <t>17.05.P3-2.978-7.6_2</t>
  </si>
  <si>
    <t>PPM-type phosphatase domain-containing protein n=1 Tax=Tupanvirus deep ocean TaxID=2126984 RepID=A0A6N1NE03_9VIRU</t>
  </si>
  <si>
    <t>17.05.P3-2.978-7.6_3</t>
  </si>
  <si>
    <t>FNIP repeat protein (Fragment) n=1 Tax=Pithovirus LCPAC101 TaxID=2506586 RepID=A0A481Z2U0_9VIRU</t>
  </si>
  <si>
    <t>17.05.P3-20.741-28_26</t>
  </si>
  <si>
    <t>sp|Q86W34|AMZ2_HUMAN Archaemetzincin-2 OS=Homo sapiens OX=9606 GN=AMZ2 PE=2 SV=2</t>
  </si>
  <si>
    <t>COG1913 [FUNC="Predicted Zn-dependent protease"] [shortName=] [TAG=R TAGDEF="General function prediction only" PROCESS="POORLY CHARACTERIZED"]  [PATHWAY=""] hypothetical protein [Bradymonas sediminis]</t>
  </si>
  <si>
    <t>Archaemetzincin n=1 Tax=Persicirhabdus sediminis TaxID=454144 RepID=A0A8J7SIL2_9BACT</t>
  </si>
  <si>
    <t>17.05.P3-20.741-28_27</t>
  </si>
  <si>
    <t>Chitinase n=1 Tax=Haptolina brevifila TaxID=156173 RepID=A0A7S2I574_9EUKA</t>
  </si>
  <si>
    <t>17.05.P3-20.741-28_3</t>
  </si>
  <si>
    <t>Growth hormone-inducible transmembrane protein n=1 Tax=Yasminevirus sp. GU-2018 TaxID=2420051 RepID=A0A5K0UAM9_9VIRU</t>
  </si>
  <si>
    <t>17.05.P3-20.741-28_4</t>
  </si>
  <si>
    <t>Ankyrin repeat domain-containing protein n=1 Tax=Bodo saltans virus TaxID=2024608 RepID=A0A2H4UTH9_9VIRU</t>
  </si>
  <si>
    <t>17.05.P3-20.741-28_6</t>
  </si>
  <si>
    <t>Uncharacterized protein n=1 Tax=Hokovirus HKV1 TaxID=1977638 RepID=A0A1V0SF17_9VIRU</t>
  </si>
  <si>
    <t>17.05.P3-3.124-27_1</t>
  </si>
  <si>
    <t>sp|Q8SRP3|TF2B_ENCCU Transcription initiation factor IIB OS=Encephalitozoon cuniculi (strain GB-M1) OX=284813 GN=ECU06_1100i PE=3 SV=1</t>
  </si>
  <si>
    <t>Transcription initiation factor IIB n=1 Tax=Chrysochromulina parva virus TaxID=2565304 RepID=A0A4Y6GR77_9PHYC</t>
  </si>
  <si>
    <t>17.05.P3-3.158-7.8_1</t>
  </si>
  <si>
    <t>Putative RecB family nuclease n=1 Tax=Fadolivirus 1 TaxID=2740746 RepID=A0A7D3UV56_9VIRU</t>
  </si>
  <si>
    <t>17.05.P3-3.158-7.8_3</t>
  </si>
  <si>
    <t>VOG16451 [FUNC="REFSEQ EsV-1-207"] [TAG=Xu TAGDEF="Function unknown"]</t>
  </si>
  <si>
    <t>Uncharacterized protein n=1 Tax=Yasminevirus sp. GU-2018 TaxID=2420051 RepID=A0A5K0U946_9VIRU</t>
  </si>
  <si>
    <t>17.05.P3-3.164-3.4_2</t>
  </si>
  <si>
    <t>17.05.P3-3.164-3.4_4</t>
  </si>
  <si>
    <t>sp|Q0P5X1|LRIQ1_MOUSE Leucine-rich repeat and IQ domain-containing protein 1 OS=Mus musculus OX=10090 GN=Lrriq1 PE=2 SV=2</t>
  </si>
  <si>
    <t>COG4886 [FUNC="Leucine-rich repeat (LRR) protein"] [shortName=LRR] [TAG=K TAGDEF="Transcription" PROCESS="INFORMATION STORAGE AND PROCESSING"]  [PATHWAY=""] internalin-A [Methanothrix soehngenii]</t>
  </si>
  <si>
    <t>VOG34246 [FUNC="REFSEQ cell wall surface anchor family protein"] [TAG=Xu TAGDEF="Function unknown"]</t>
  </si>
  <si>
    <t>Copper amine oxidase-like N-terminal domain-containing protein n=1 Tax=Paenibacillus sp. J45TS6 TaxID=2807196 RepID=A0A919ZIH9_9BACL</t>
  </si>
  <si>
    <t>17.05.P3-3.188-22_2</t>
  </si>
  <si>
    <t>sp|A6NC57|ANR62_HUMAN Ankyrin repeat domain-containing protein 62 OS=Homo sapiens OX=9606 GN=ANKRD62 PE=2 SV=4</t>
  </si>
  <si>
    <t>Uncharacterized protein n=2 Tax=Amphimedon queenslandica TaxID=400682 RepID=A0A1X7U6N8_AMPQE</t>
  </si>
  <si>
    <t>17.05.P3-3.188-22_3</t>
  </si>
  <si>
    <t>Uncharacterized protein (Fragment) n=1 Tax=Piromyces sp. (strain E2) TaxID=73868 RepID=A0A1Y3N886_PIRSE</t>
  </si>
  <si>
    <t>17.05.P3-3.191-6.6_3</t>
  </si>
  <si>
    <t>sp|Q5UP24|YR259_MIMIV Uncharacterized protein R259 OS=Acanthamoeba polyphaga mimivirus OX=212035 GN=MIMI_R259 PE=4 SV=1</t>
  </si>
  <si>
    <t>COG4021 [FUNC="tRNA(His) 5'-end guanylyltransferase"] [shortName=Thg1] [TAG=J TAGDEF="Translation, ribosomal structure and biogenesis" PROCESS="INFORMATION STORAGE AND PROCESSING"]  [PATHWAY="tRNA modification"] MULTISPECIES: hypothetical protein [Methanosphaera]</t>
  </si>
  <si>
    <t>VOG29776 [FUNC="sp|Q5UP24|YR259_MIMIV Uncharacterized protein R259"] [TAG=Xu TAGDEF="Function unknown"]</t>
  </si>
  <si>
    <t>tRNAHis guanylyltransferase n=1 Tax=Klosneuvirus KNV1 TaxID=1977640 RepID=A0A1V0SJR4_9VIRU</t>
  </si>
  <si>
    <t>17.05.P3-3.226-6.8_1</t>
  </si>
  <si>
    <t>SET domain-containing protein n=2 Tax=Bacteria TaxID=2 RepID=A0A076HA10_9SYNE</t>
  </si>
  <si>
    <t>17.05.P3-3.226-6.8_2</t>
  </si>
  <si>
    <t>17.05.P3-3.227-41_1</t>
  </si>
  <si>
    <t>F-box domain-containing protein n=1 Tax=Tupanvirus soda lake TaxID=2126985 RepID=A0A6N1P404_9VIRU</t>
  </si>
  <si>
    <t>17.05.P3-3.227-41_2</t>
  </si>
  <si>
    <t>F-box domain protein n=1 Tax=Indivirus ILV1 TaxID=1977633 RepID=A0A1V0SDY8_9VIRU</t>
  </si>
  <si>
    <t>17.05.P3-3.227-41_3</t>
  </si>
  <si>
    <t>sp|Q5UPQ0|YR757_MIMIV Putative F-box protein R757 OS=Acanthamoeba polyphaga mimivirus OX=212035 GN=MIMI_R757 PE=4 SV=1</t>
  </si>
  <si>
    <t>17.05.P3-3.227-41_4</t>
  </si>
  <si>
    <t>17.05.P3-3.260-8.8_1</t>
  </si>
  <si>
    <t>VOG22361 [FUNC="REFSEQ hypothetical protein"] [TAG=Xu TAGDEF="Function unknown"]</t>
  </si>
  <si>
    <t>Hedgehog/Intein (Hint) domain-containing protein n=1 Tax=Tupanvirus soda lake TaxID=2126985 RepID=A0A6N1P1T3_9VIRU</t>
  </si>
  <si>
    <t>17.05.P3-3.260-8.8_2</t>
  </si>
  <si>
    <t>Putative ORFan n=1 Tax=Tupanvirus deep ocean TaxID=2126984 RepID=A0A6N1NRD0_9VIRU</t>
  </si>
  <si>
    <t>17.05.P3-3.260-8.8_3</t>
  </si>
  <si>
    <t>sp|Q54YD4|SYIC_DICDI Probable isoleucine--tRNA ligase, cytoplasmic OS=Dictyostelium discoideum OX=44689 GN=ileS PE=3 SV=1</t>
  </si>
  <si>
    <t>COG0060 [FUNC="Isoleucyl-tRNA synthetase"] [shortName=IleS] [TAG=J TAGDEF="Translation, ribosomal structure and biogenesis" PROCESS="INFORMATION STORAGE AND PROCESSING"]  [PATHWAY="Aminoacyl-tRNA synthetases"] isoleucine--tRNA ligase [Halobacteriovorax marinus]</t>
  </si>
  <si>
    <t>VOG01367 [FUNC="sp|F4JLM5|SYIC_ARATH Isoleucine--tRNA ligase, cytoplasmic"] [TAG=Xh TAGDEF="Virus protein with function beneficial for the host"]</t>
  </si>
  <si>
    <t>isoleucine--tRNA ligase n=1 Tax=Fadolivirus 1 TaxID=2740746 RepID=A0A7D3QTZ0_9VIRU</t>
  </si>
  <si>
    <t>17.05.P3-3.310-23_1</t>
  </si>
  <si>
    <t>sp|P13484|TAGE_BACSU Poly(glycerol-phosphate) alpha-glucosyltransferase OS=Bacillus subtilis (strain 168) OX=224308 GN=tagE PE=1 SV=1</t>
  </si>
  <si>
    <t>COG0438 [FUNC="Glycosyltransferase involved in cell wall bisynthesis"] [shortName=RfaB] [TAG=M TAGDEF="Cell wall/membrane/envelope biogenesis" PROCESS="CELLULAR PROCESSES AND SIGNALING"]  [PATHWAY=""] FkbM family methyltransferase [Undibacterium parvum]</t>
  </si>
  <si>
    <t>VOG24896 [FUNC="REFSEQ glycosyl transferase"] [TAG=Xu TAGDEF="Function unknown"]</t>
  </si>
  <si>
    <t>Glycosyltransferase n=1 Tax=Hokovirus HKV1 TaxID=1977638 RepID=A0A1V0SG51_9VIRU</t>
  </si>
  <si>
    <t>17.05.P3-3.310-23_2</t>
  </si>
  <si>
    <t>Glycosyltransferase n=1 Tax=Fadolivirus 1 TaxID=2740746 RepID=A0A7D3R1S9_9VIRU</t>
  </si>
  <si>
    <t>17.05.P3-3.372-6.7_2</t>
  </si>
  <si>
    <t>17.05.P3-3.372-6.7_4</t>
  </si>
  <si>
    <t>VOG23236 [FUNC="REFSEQ hypothetical protein"] [TAG=Xu TAGDEF="Function unknown"]</t>
  </si>
  <si>
    <t>Uncharacterized protein n=1 Tax=Hokovirus HKV1 TaxID=1977638 RepID=A0A1V0SFY4_9VIRU</t>
  </si>
  <si>
    <t>17.05.P3-3.372-6.7_5</t>
  </si>
  <si>
    <t>Uncharacterized protein n=1 Tax=Bodo saltans virus TaxID=2024608 RepID=A0A2H4UU99_9VIRU</t>
  </si>
  <si>
    <t>17.05.P3-3.494-7.8_1</t>
  </si>
  <si>
    <t>sp|Q5UPT6|YL245_MIMIV Uncharacterized HNH endonuclease L245 OS=Acanthamoeba polyphaga mimivirus OX=212035 GN=MIMI_L245 PE=4 SV=1</t>
  </si>
  <si>
    <t>COG4710 [FUNC="Predicted DNA-binding protein with an HTH domain"] [shortName=] [TAG=R TAGDEF="General function prediction only" PROCESS="POORLY CHARACTERIZED"]  [PATHWAY=""] ribbon-helix-helix protein, CopG family [Persephonella marina]</t>
  </si>
  <si>
    <t>VOG00009 [FUNC="sp|Q5UPT4|YL247_MIMIV Uncharacterized HNH endonuclease L247"] [TAG=Xu TAGDEF="Function unknown"]</t>
  </si>
  <si>
    <t>HNH endonuclease with NUMOD4 motif and intron encoded nuclease repeat n=1 Tax=Fadolivirus 1 TaxID=2740746 RepID=A0A7D3UQR0_9VIRU</t>
  </si>
  <si>
    <t>17.05.P3-3.494-7.8_3</t>
  </si>
  <si>
    <t>COG0449 [FUNC="Glucosamine 6-phosphate synthetase, contains amidotransferase and phosphosugar isomerase domains"] [shortName=GlmS] [TAG=M TAGDEF="Cell wall/membrane/envelope biogenesis" PROCESS="CELLULAR PROCESSES AND SIGNALING"]  [PATHWAY=""] glutamine--fructose-6-phosphate transaminase (isomerizing) [Ichthyobacterium seriolicida]</t>
  </si>
  <si>
    <t>glutamine--fructose-6-phosphate transaminase (isomerizing) n=1 Tax=Hokovirus HKV1 TaxID=1977638 RepID=A0A1V0SGL3_9VIRU</t>
  </si>
  <si>
    <t>17.05.P3-3.496-8.2_1</t>
  </si>
  <si>
    <t>17.05.P3-3.532-11_2</t>
  </si>
  <si>
    <t>17.05.P3-3.532-11_3</t>
  </si>
  <si>
    <t>Transposase n=1 Tax=Klosneuvirus KNV1 TaxID=1977640 RepID=A0A1V0SLE8_9VIRU</t>
  </si>
  <si>
    <t>17.05.P3-3.532-11_4</t>
  </si>
  <si>
    <t>17.05.P3-3.532-11_5</t>
  </si>
  <si>
    <t>F-box domain protein (Fragment) n=1 Tax=Marseillevirus LCMAC101 TaxID=2506602 RepID=A0A481YTG2_9VIRU</t>
  </si>
  <si>
    <t>17.05.P3-3.585-9.0_1</t>
  </si>
  <si>
    <t>COG3774 [FUNC="Mannosyltransferase OCH1 or related enzyme"] [shortName=OCH1] [TAG=M TAGDEF="Cell wall/membrane/envelope biogenesis" PROCESS="CELLULAR PROCESSES AND SIGNALING"]  [PATHWAY=""] hypothetical protein [Candidatus Phycorickettsia trachydisci]</t>
  </si>
  <si>
    <t>Glycosyl transferase n=1 Tax=Tupanvirus deep ocean TaxID=2126984 RepID=A0A6N1NLQ2_9VIRU</t>
  </si>
  <si>
    <t>17.05.P3-3.585-9.0_2</t>
  </si>
  <si>
    <t>Ankyrin repeat-containing protein n=1 Tax=Tupanvirus soda lake TaxID=2126985 RepID=A0A6N1NUX2_9VIRU</t>
  </si>
  <si>
    <t>17.05.P3-3.585-9.0_3</t>
  </si>
  <si>
    <t>sp|Q5UQV2|YR372_MIMIV Uncharacterized protein R372 OS=Acanthamoeba polyphaga mimivirus OX=212035 GN=MIMI_R372 PE=4 SV=1</t>
  </si>
  <si>
    <t>Permuted papain-like amidase YaeF/Yiix C92 family enzyme n=1 Tax=Acanthamoeba polyphaga moumouvirus TaxID=1269028 RepID=L7RCL7_9VIRU</t>
  </si>
  <si>
    <t>17.05.P3-3.731-6.5_1</t>
  </si>
  <si>
    <t>17.05.P3-3.731-6.5_4</t>
  </si>
  <si>
    <t>17.05.P3-3.757-11_1</t>
  </si>
  <si>
    <t>sp|Q6BH13|MCA1_DEBHA Metacaspase-1 OS=Debaryomyces hansenii (strain ATCC 36239 / CBS 767 / BCRC 21394 / JCM 1990 / NBRC 0083 / IGC 2968) OX=284592 GN=MCA1 PE=3 SV=2</t>
  </si>
  <si>
    <t>17.05.P3-3.757-11_2</t>
  </si>
  <si>
    <t>COG2849 [FUNC="Antitoxin component YwqK of the YwqJK toxin-antitoxin module"] [shortName=YwqK] [TAG=V TAGDEF="Defense mechanisms" PROCESS="CELLULAR PROCESSES AND SIGNALING"]  [PATHWAY=""] toxin-antitoxin system YwqK family antitoxin [Algoriphagus sp. M8-2]</t>
  </si>
  <si>
    <t>VOG00174 [FUNC="REFSEQ hypothetical protein"] [TAG=Xu TAGDEF="Function unknown"]</t>
  </si>
  <si>
    <t>Uncharacterized protein n=2 Tax=Neochlamydia sp. EPS4 TaxID=1478175 RepID=A0A0C1JZC7_9BACT</t>
  </si>
  <si>
    <t>17.05.P3-3.771-8.8_2</t>
  </si>
  <si>
    <t>sp|Q8L0V4|CHS_ECOLX Chondroitin synthase OS=Escherichia coli OX=562 GN=kfoC PE=1 SV=1</t>
  </si>
  <si>
    <t>COG0463 [FUNC="Glycosyltransferase involved in cell wall bisynthesis"] [shortName=WcaA] [TAG=M TAGDEF="Cell wall/membrane/envelope biogenesis" PROCESS="CELLULAR PROCESSES AND SIGNALING"]  [PATHWAY=""] glycosyltransferase family 2 protein [Cedecea neteri]</t>
  </si>
  <si>
    <t>VOG02272 [FUNC="sp|Q5UQ09|YL193_MIMIV Uncharacterized glycosyltransferase L193"] [TAG=Xh TAGDEF="Virus protein with function beneficial for the host"]</t>
  </si>
  <si>
    <t>Putative glycosyltransferase n=1 Tax=Heterosigma akashiwo virus 01 TaxID=97195 RepID=A0A1C9C4Z3_HAV01</t>
  </si>
  <si>
    <t>17.05.P3-3.824-14_5</t>
  </si>
  <si>
    <t>sp|Q5UPW5|YL282_MIMIV Uncharacterized protein L282 OS=Acanthamoeba polyphaga mimivirus OX=212035 GN=MIMI_L282 PE=4 SV=1</t>
  </si>
  <si>
    <t>VOG01309 [FUNC="sp|Q5UPW5|YL282_MIMIV Uncharacterized protein L282"] [TAG=Xu TAGDEF="Function unknown"]</t>
  </si>
  <si>
    <t>Post-GPI attachment to proteins factor 3 n=1 Tax=Borely moumouvirus TaxID=2712067 RepID=A0A6G6ACF5_9VIRU</t>
  </si>
  <si>
    <t>17.05.P3-3.863-20_2</t>
  </si>
  <si>
    <t>sp|Q07G10|ALKB8_XENTR Alkylated DNA repair protein alkB homolog 8 OS=Xenopus tropicalis OX=8364 GN=alkbh8 PE=2 SV=2</t>
  </si>
  <si>
    <t>Methyltransferase n=1 Tax=Indivirus ILV1 TaxID=1977633 RepID=A0A1V0SDW7_9VIRU</t>
  </si>
  <si>
    <t>17.05.P3-3.875-10_2</t>
  </si>
  <si>
    <t>17.05.P3-3.984-2.6_4</t>
  </si>
  <si>
    <t>VOG00991 [FUNC="sp|Q5UP88|YR010_MIMIV Uncharacterized protein R10"] [TAG=Xu TAGDEF="Function unknown"]</t>
  </si>
  <si>
    <t>Bacteriophage T5 Orf172 DNA-binding domain-containing protein n=1 Tax=Klosneuvirus KNV1 TaxID=1977640 RepID=A0A1V0SLL6_9VIRU</t>
  </si>
  <si>
    <t>17.05.P3-3.984-2.6_5</t>
  </si>
  <si>
    <t>17.05.P3-4.005-16_1</t>
  </si>
  <si>
    <t>sp|Q8N1E6|FXL14_HUMAN F-box/LRR-repeat protein 14 OS=Homo sapiens OX=9606 GN=FBXL14 PE=1 SV=1</t>
  </si>
  <si>
    <t>17.05.P3-4.005-16_2</t>
  </si>
  <si>
    <t>sp|Q8RWU5|FBL3_ARATH F-box/LRR-repeat protein 3 OS=Arabidopsis thaliana OX=3702 GN=FBL3 PE=2 SV=1</t>
  </si>
  <si>
    <t>17.05.P3-4.005-16_3</t>
  </si>
  <si>
    <t>17.05.P3-4.144-15_2</t>
  </si>
  <si>
    <t>Capsid protein 2 n=6 Tax=Mimivirus TaxID=315393 RepID=W6GF97_MIMIV</t>
  </si>
  <si>
    <t>17.05.P3-4.144-15_3</t>
  </si>
  <si>
    <t>Uncharacterized protein L434 n=10 Tax=Mimiviridae TaxID=549779 RepID=YL434_MIMIV</t>
  </si>
  <si>
    <t>17.05.P3-4.144-15_4</t>
  </si>
  <si>
    <t>sp|Q9LH84|AATP5_ARATH AAA-ATPase At3g28510 OS=Arabidopsis thaliana OX=3702 GN=At3g28510 PE=2 SV=1</t>
  </si>
  <si>
    <t>17.05.P3-4.153-6.5_1</t>
  </si>
  <si>
    <t>Uncharacterized protein n=1 Tax=Guillardia theta (strain CCMP2712) TaxID=905079 RepID=L1IQE5_GUITC</t>
  </si>
  <si>
    <t>17.05.P3-4.153-6.5_2</t>
  </si>
  <si>
    <t>sp|Q5UR33|YR555_MIMIV Uncharacterized protein R555 OS=Acanthamoeba polyphaga mimivirus OX=212035 GN=MIMI_R555 PE=4 SV=1</t>
  </si>
  <si>
    <t>COG0419 [FUNC="DNA repair exonuclease SbcCD ATPase subunit"] [shortName=SbcC] [TAG=L TAGDEF="Replication, recombination and repair" PROCESS="INFORMATION STORAGE AND PROCESSING"]  [PATHWAY=""] DNA double-strand break repair Rad50 ATPase [Sulfurihydrogenibium azorense]</t>
  </si>
  <si>
    <t>Putative DNA repair protein n=1 Tax=Tupanvirus soda lake TaxID=2126985 RepID=A0A6N1NIX1_9VIRU</t>
  </si>
  <si>
    <t>17.05.P3-4.173-4.6_1</t>
  </si>
  <si>
    <t>C2H2 type zinc finger protein n=1 Tax=Mimivirus LCMiAC02 TaxID=2506609 RepID=A0A4P6VLY2_9VIRU</t>
  </si>
  <si>
    <t>17.05.P3-4.173-4.6_3</t>
  </si>
  <si>
    <t>sp|J9VI03|DMT5_CRYNH DNA (cytosine-5-)-methyltransferase DMT5 OS=Cryptococcus neoformans var. grubii serotype A (strain H99 / ATCC 208821 / CBS 10515 / FGSC 9487) OX=235443 GN=DMT5 PE=1 SV=2</t>
  </si>
  <si>
    <t>KOG1002 [FUNC="Nucleotide excision repair protein RAD16"] [shortName=] [TAG=L TAGDEF="Replication, recombination and repair" PROCESS="INFORMATION STORAGE AND PROCESSING"]  [PATHWAY=""]</t>
  </si>
  <si>
    <t>Putative superfamily II helicase n=1 Tax=Cafeteria roenbergensis virus (strain BV-PW1) TaxID=693272 RepID=E3T4J2_CROVB</t>
  </si>
  <si>
    <t>17.05.P3-4.222-16_2</t>
  </si>
  <si>
    <t>sp|Q5UQK4|YL404_MIMIV Putative alpha/beta hydrolase L404 OS=Acanthamoeba polyphaga mimivirus OX=212035 GN=MIMI_L404 PE=3 SV=1</t>
  </si>
  <si>
    <t>KOG1552 [FUNC="Predicted alpha/beta hydrolase"] [shortName=] [TAG=R TAGDEF="General function prediction only" PROCESS="POORLY CHARACTERIZED"]  [PATHWAY=""]</t>
  </si>
  <si>
    <t>VOG00198 [FUNC="sp|O64252|PRXH_BPMD2 Putative non-heme haloperoxidase"] [TAG=Xh TAGDEF="Virus protein with function beneficial for the host"]</t>
  </si>
  <si>
    <t>Alpha/beta hydrolase n=1 Tax=Synechococcus sp. 60AY4M2 TaxID=1353262 RepID=A0A2G8PE90_9SYNE</t>
  </si>
  <si>
    <t>17.05.P3-4.235-13_1</t>
  </si>
  <si>
    <t>BspA family leucine-rich repeat surface protein n=1 Tax=Fulvivirga sp. M361 TaxID=2594266 RepID=A0A553FKA8_9BACT</t>
  </si>
  <si>
    <t>17.05.P3-4.235-13_2</t>
  </si>
  <si>
    <t>sp|Q0JAA0|P2C44_ORYSJ Probable protein phosphatase 2C 44 OS=Oryza sativa subsp. japonica OX=39947 GN=Os04g0609600 PE=2 SV=1</t>
  </si>
  <si>
    <t>17.05.P3-4.265-31_1</t>
  </si>
  <si>
    <t>sp|Q197C1|ICP46_IIV3 Immediate-early protein ICP-46 homolog OS=Invertebrate iridescent virus 3 OX=345201 GN=IIV3-039R PE=3 SV=1</t>
  </si>
  <si>
    <t>RNA ligase n=1 Tax=Indivirus ILV1 TaxID=1977633 RepID=A0A1V0SCH9_9VIRU</t>
  </si>
  <si>
    <t>17.05.P3-4.265-31_3</t>
  </si>
  <si>
    <t>COG1525 [FUNC="Endonuclease YncB, thermonuclease family"] [shortName=YncB] [TAG=L TAGDEF="Replication, recombination and repair" PROCESS="INFORMATION STORAGE AND PROCESSING"]  [PATHWAY=""] nuclease [Ignavibacterium album]</t>
  </si>
  <si>
    <t>Thermonuclease n=2 Tax=Roseibium sp. TrichSKD4 TaxID=744980 RepID=E2CGI0_9HYPH</t>
  </si>
  <si>
    <t>17.05.P3-4.267-8.3_1</t>
  </si>
  <si>
    <t>sp|Q5UPW1|YR286_MIMIV Putative F-box and FNIP repeat-containing protein R286 OS=Acanthamoeba polyphaga mimivirus OX=212035 GN=MIMI_R286 PE=4 SV=1</t>
  </si>
  <si>
    <t>17.05.P3-4.267-8.3_2</t>
  </si>
  <si>
    <t>Putative F-box and FNIP repeat-containing protein n=1 Tax=Megavirus lba TaxID=1235314 RepID=L7Y5H1_9VIRU</t>
  </si>
  <si>
    <t>17.05.P3-4.306-15_2</t>
  </si>
  <si>
    <t>17.05.P3-4.345-21_4</t>
  </si>
  <si>
    <t>17.05.P3-4.379-21_3</t>
  </si>
  <si>
    <t>Major capsid protein n=1 Tax=Sturgeon mimivirus YRud-2019 TaxID=2715179 RepID=A0A7S6G7T2_9VIRU</t>
  </si>
  <si>
    <t>17.05.P3-4.379-21_4</t>
  </si>
  <si>
    <t>sp|Q5UQL7|CAPS1_MIMIV Capsid protein 1 OS=Acanthamoeba polyphaga mimivirus OX=212035 GN=MIMI_L425 PE=1 SV=2</t>
  </si>
  <si>
    <t>Major capsid protein n=1 Tax=Cafeteria roenbergensis virus (strain BV-PW1) TaxID=693272 RepID=E3T5B3_CROVB</t>
  </si>
  <si>
    <t>17.05.P3-4.379-21_5</t>
  </si>
  <si>
    <t>Capsid protein 1 n=1 Tax=Tupanvirus soda lake TaxID=2126985 RepID=A0A6N1NN02_9VIRU</t>
  </si>
  <si>
    <t>17.05.P3-4.410-10_1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</si>
  <si>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restriction endonuclease [Ureibacillus thermosphaericus]</t>
  </si>
  <si>
    <t>17.05.P3-4.410-10_2</t>
  </si>
  <si>
    <t>sp|Q5UP07|YL755_MIMIV Uncharacterized protein L755 OS=Acanthamoeba polyphaga mimivirus OX=212035 GN=MIMI_L755 PE=3 SV=1</t>
  </si>
  <si>
    <t>17.05.P3-4.410-10_3</t>
  </si>
  <si>
    <t>17.05.P3-4.754-12_2</t>
  </si>
  <si>
    <t>sp|Q7T6X5|RPO1_MIMIV DNA-directed RNA polymerase subunit 1 OS=Acanthamoeba polyphaga mimivirus OX=212035 GN=RPO1 PE=1 SV=2</t>
  </si>
  <si>
    <t>DNA-directed RNA polymerase subunit n=1 Tax=Indivirus ILV1 TaxID=1977633 RepID=A0A1V0SCL8_9VIRU</t>
  </si>
  <si>
    <t>17.05.P3-4.822-10_2</t>
  </si>
  <si>
    <t>Pyridoxamine 5'-phosphate oxidase putative domain-containing protein n=1 Tax=Nothophytophthora sp. Chile5 TaxID=2483409 RepID=A0A662WQG4_9STRA</t>
  </si>
  <si>
    <t>17.05.P3-4.822-10_3</t>
  </si>
  <si>
    <t>17.05.P3-4.822-10_4</t>
  </si>
  <si>
    <t>17.05.P3-4.822-10_5</t>
  </si>
  <si>
    <t>17.05.P3-4.856-5.8_3</t>
  </si>
  <si>
    <t>Uncharacterized protein n=1 Tax=Dishui Lake large algae virus 1 TaxID=2704073 RepID=A0A6G6XQF5_9VIRU</t>
  </si>
  <si>
    <t>17.05.P3-4.874-14_1</t>
  </si>
  <si>
    <t>COG4886 [FUNC="Leucine-rich repeat (LRR) protein"] [shortName=LRR] [TAG=K TAGDEF="Transcription" PROCESS="INFORMATION STORAGE AND PROCESSING"]  [PATHWAY=""] hypothetical protein [Dokdonella koreensis]</t>
  </si>
  <si>
    <t>Hemagglutinin protein n=1 Tax=Labilithrix luteola TaxID=1391654 RepID=A0A0K1PZ16_9BACT</t>
  </si>
  <si>
    <t>17.05.P3-4.964-11_2</t>
  </si>
  <si>
    <t>COG3046 [FUNC="Uncharacterized conserved protein related to deoxyribodipyrimidine photolyase"] [shortName=] [TAG=R TAGDEF="General function prediction only" PROCESS="POORLY CHARACTERIZED"]  [PATHWAY=""] cryptochrome/photolyase family protein [Ignavibacterium album]</t>
  </si>
  <si>
    <t>Putative photolyase n=1 Tax=Cafeteria roenbergensis virus (strain BV-PW1) TaxID=693272 RepID=E3T4R9_CROVB</t>
  </si>
  <si>
    <t>17.05.P3-4.964-11_4</t>
  </si>
  <si>
    <t>COG0266 [FUNC="Formamidopyrimidine-DNA glycosylase"] [shortName=Nei] [TAG=L TAGDEF="Replication, recombination and repair" PROCESS="INFORMATION STORAGE AND PROCESSING"]  [PATHWAY=""] formamidopyrimidine-DNA glycosylase, formamidopyrimidine-DNA glycosylase [candidate division Kazan bacterium GW2011_GWA1_50_15]</t>
  </si>
  <si>
    <t>DNA-(apurinic or apyrimidinic site) lyase n=1 Tax=Thalassiosira oceanica TaxID=159749 RepID=K0S3W7_THAOC</t>
  </si>
  <si>
    <t>17.05.P3-5.008-9.6_3</t>
  </si>
  <si>
    <t>sp|O45551|IF4E1_CAEEL Eukaryotic translation initiation factor 4E-1 OS=Caenorhabditis elegans OX=6239 GN=ife-1 PE=1 SV=2</t>
  </si>
  <si>
    <t>Translation initiation factor 4E n=1 Tax=Mimivirus LCMiAC01 TaxID=2506608 RepID=A0A481Z1D8_9VIRU</t>
  </si>
  <si>
    <t>17.05.P3-5.008-9.6_7</t>
  </si>
  <si>
    <t>sp|Q2HJ58|PRPS1_BOVIN Ribose-phosphate pyrophosphokinase 1 OS=Bos taurus OX=9913 GN=PRPS1 PE=2 SV=3</t>
  </si>
  <si>
    <t>KOG1448 [FUNC="Ribose-phosphate pyrophosphokinase"] [shortName=] [TAG=F TAGDEF="Nucleotide transport and metabolism" PROCESS="METABOLISM"] [TAG=E TAGDEF="Amino acid transport and metabolism" PROCESS="METABOLISM"]  [PATHWAY=""]</t>
  </si>
  <si>
    <t>VOG19702 [FUNC="sp|Q973F3|KPRS_SULTO Ribose-phosphate pyrophosphokinase"] [TAG=Xh TAGDEF="Virus protein with function beneficial for the host"]</t>
  </si>
  <si>
    <t>Phosphoribosylpyrophosphate synthetase n=1 Tax=Yasminevirus sp. GU-2018 TaxID=2420051 RepID=A0A5K0UBE3_9VIRU</t>
  </si>
  <si>
    <t>17.05.P3-5.110-11_1</t>
  </si>
  <si>
    <t>COG1643 [FUNC="HrpA-like RNA helicase"] [shortName=HrpA] [TAG=J TAGDEF="Translation, ribosomal structure and biogenesis" PROCESS="INFORMATION STORAGE AND PROCESSING"]  [PATHWAY=""] ATP-dependent RNA helicase HrpA [Gordonia sp. KTR9]</t>
  </si>
  <si>
    <t>DEAD/DEAH box helicase n=1 Tax=Mimivirus LCMiAC02 TaxID=2506609 RepID=A0A481Z1I3_9VIRU</t>
  </si>
  <si>
    <t>17.05.P3-5.110-11_2</t>
  </si>
  <si>
    <t>Asparagine synthetase B n=1 Tax=Psychroflexus aurantiacus TaxID=2709310 RepID=A0A6B3QZW9_9FLAO</t>
  </si>
  <si>
    <t>17.05.P3-5.129-31_1</t>
  </si>
  <si>
    <t>sp|O63852|MSHM_SARGL Mitochondrial DNA mismatch repair protein mutS homolog OS=Sarcophyton glaucum OX=70919 PE=3 SV=1</t>
  </si>
  <si>
    <t>17.05.P3-5.129-31_3</t>
  </si>
  <si>
    <t>sp|Q9FPS2|UBP25_ARATH Ubiquitin carboxyl-terminal hydrolase 25 OS=Arabidopsis thaliana OX=3702 GN=UBP25 PE=2 SV=1</t>
  </si>
  <si>
    <t>COG5533 [FUNC="Ubiquitin C-terminal hydrolase"] [shortName=] [TAG=O TAGDEF="Posttranslational modification, protein turnover, chaperones" PROCESS="CELLULAR PROCESSES AND SIGNALING"]  [PATHWAY=""] ubiquitin carboxyl-terminal hydrolase [Candidatus Babela massiliensis]</t>
  </si>
  <si>
    <t>USP domain-containing protein n=1 Tax=Trypanosoma cruzi TaxID=5693 RepID=A0A7J6YFT2_TRYCR</t>
  </si>
  <si>
    <t>17.05.P3-5.132-11_1</t>
  </si>
  <si>
    <t>sp|Q5UQI8|YR837_MIMIV Putative ankyrin repeat protein R837 OS=Acanthamoeba polyphaga mimivirus OX=212035 GN=MIMI_R837 PE=4 SV=1</t>
  </si>
  <si>
    <t>Ankyrin repeat domain-containing protein n=1 Tax=Bodo saltans virus TaxID=2024608 RepID=A0A2H4UTC7_9VIRU</t>
  </si>
  <si>
    <t>17.05.P3-5.132-11_6</t>
  </si>
  <si>
    <t>sp|O58403|RACD_PYRHO Aspartate racemase OS=Pyrococcus horikoshii (strain ATCC 700860 / DSM 12428 / JCM 9974 / NBRC 100139 / OT-3) OX=70601 GN=PH0670 PE=1 SV=1</t>
  </si>
  <si>
    <t>COG1794 [FUNC="Amino acid racemase YgeA"] [shortName=RacX] [TAG=M TAGDEF="Cell wall/membrane/envelope biogenesis" PROCESS="CELLULAR PROCESSES AND SIGNALING"]  [PATHWAY=""] aspartate/glutamate racemase family protein [Sediminispirochaeta smaragdinae]</t>
  </si>
  <si>
    <t>Aspartate/glutamate racemase family protein n=1 Tax=Gelidibacter maritimus TaxID=2761487 RepID=A0A7W2M519_9FLAO</t>
  </si>
  <si>
    <t>17.05.P3-5.158-12_11</t>
  </si>
  <si>
    <t>17.05.P3-5.158-12_12</t>
  </si>
  <si>
    <t>Uncharacterized protein n=1 Tax=Pithovirus LCPAC304 TaxID=2506594 RepID=A0A481Z942_9VIRU</t>
  </si>
  <si>
    <t>17.05.P3-5.158-12_5</t>
  </si>
  <si>
    <t>sp|P0CV52|RL124_PLAVT Secreted RxLR effector protein 124 OS=Plasmopara viticola OX=143451 GN=RXLR124 PE=2 SV=1</t>
  </si>
  <si>
    <t>Uncharacterized protein n=1 Tax=Pythium oligandrum TaxID=41045 RepID=A0A8K1CA95_PYTOL</t>
  </si>
  <si>
    <t>17.05.P3-5.158-12_6</t>
  </si>
  <si>
    <t>Uncharacterized protein n=1 Tax=Globisporangium ultimum (strain ATCC 200006 / CBS 805.95 / DAOM BR144) TaxID=431595 RepID=K3WP28_GLOUD</t>
  </si>
  <si>
    <t>17.05.P3-5.245-15_4</t>
  </si>
  <si>
    <t>17.05.P3-5.245-15_5</t>
  </si>
  <si>
    <t>sp|Q5UQL8|YR424_MIMIV Uncharacterized protein R424 OS=Acanthamoeba polyphaga mimivirus OX=212035 GN=MIMI_R424 PE=4 SV=1</t>
  </si>
  <si>
    <t>17.05.P3-5.245-15_6</t>
  </si>
  <si>
    <t>17.05.P3-5.337-6.6_1</t>
  </si>
  <si>
    <t>sp|Q4R3S3|ANKR7_MACFA Ankyrin repeat domain-containing protein 7 OS=Macaca fascicularis OX=9541 GN=ANKRD7 PE=2 SV=1</t>
  </si>
  <si>
    <t>COG0666 [FUNC="Ankyrin repeat"] [shortName=ANKYR] [TAG=T TAGDEF="Signal transduction mechanisms" PROCESS="CELLULAR PROCESSES AND SIGNALING"]  [PATHWAY=""] hypothetical protein [Dokdonia sp. 4H-3-7-5]</t>
  </si>
  <si>
    <t>Uncharacterized protein n=1 Tax=Dokdonia sp. (strain 4H-3-7-5) TaxID=983548 RepID=F4B2Y0_DOKS4</t>
  </si>
  <si>
    <t>17.05.P3-5.337-6.6_2</t>
  </si>
  <si>
    <t>Ankyrin repeat-containing protein n=1 Tax=Moumouvirus maliensis TaxID=2682469 RepID=A0A650DB99_9VIRU</t>
  </si>
  <si>
    <t>17.05.P3-5.337-6.6_4</t>
  </si>
  <si>
    <t>Putative RNA methylase n=1 Tax=Klosneuvirus KNV1 TaxID=1977640 RepID=A0A1V0SJL0_9VIRU</t>
  </si>
  <si>
    <t>17.05.P3-5.337-6.6_5</t>
  </si>
  <si>
    <t>17.05.P3-5.425-15_4</t>
  </si>
  <si>
    <t>sp|Q5UPF5|YL079_MIMIV TnpB-like protein L79 OS=Acanthamoeba polyphaga mimivirus OX=212035 GN=MIMI_L79 PE=3 SV=1</t>
  </si>
  <si>
    <t>Transposase n=1 Tax=Catovirus CTV1 TaxID=1977631 RepID=A0A1V0S8G3_9VIRU</t>
  </si>
  <si>
    <t>17.05.P3-5.425-15_5</t>
  </si>
  <si>
    <t>C2H2-type domain-containing protein n=1 Tax=Yasminevirus sp. GU-2018 TaxID=2420051 RepID=A0A5K0U8B1_9VIRU</t>
  </si>
  <si>
    <t>17.05.P3-5.436-18_3</t>
  </si>
  <si>
    <t>sp|P32937|PR1A_HORVU Pathogenesis-related protein 1A/1B OS=Hordeum vulgare OX=4513 PE=2 SV=1</t>
  </si>
  <si>
    <t>VOG02120 [FUNC="REFSEQ hypothetical protein"] [TAG=Xu TAGDEF="Function unknown"]</t>
  </si>
  <si>
    <t>Thaumatin domain-containing protein n=1 Tax=Tupanvirus soda lake TaxID=2126985 RepID=A0A6N1NQK4_9VIRU</t>
  </si>
  <si>
    <t>17.05.P3-5.533-19_2</t>
  </si>
  <si>
    <t>F-box domain-containing protein n=2 Tax=Mimivirus TaxID=315393 RepID=A0A0G2Y6R4_MIMIV</t>
  </si>
  <si>
    <t>17.05.P3-5.533-19_3</t>
  </si>
  <si>
    <t>sp|P26337|ESA8C_TRYEQ Putative adenylate cyclase regulatory protein OS=Trypanosoma equiperdum OX=5694 GN=ESAG8C PE=2 SV=1</t>
  </si>
  <si>
    <t>17.05.P3-5.533-19_4</t>
  </si>
  <si>
    <t>17.05.P3-5.533-19_5</t>
  </si>
  <si>
    <t>17.05.P3-5.533-19_6</t>
  </si>
  <si>
    <t>17.05.P3-5.536-8.5_1</t>
  </si>
  <si>
    <t>17.05.P3-5.536-8.5_2</t>
  </si>
  <si>
    <t>sp|B8JKV0|AMN1_MOUSE Protein AMN1 homolog OS=Mus musculus OX=10090 GN=Amn1 PE=1 SV=1</t>
  </si>
  <si>
    <t>Uncharacterized protein n=1 Tax=Tieghemostelium lacteum TaxID=361077 RepID=A0A152A912_TIELA</t>
  </si>
  <si>
    <t>17.05.P3-5.536-8.5_3</t>
  </si>
  <si>
    <t>17.05.P3-5.536-8.5_4</t>
  </si>
  <si>
    <t>17.05.P3-5.536-8.5_5</t>
  </si>
  <si>
    <t>Leucine-rich repeat protein n=1 Tax=Pithovirus LCPAC101 TaxID=2506586 RepID=A0A481Z301_9VIRU</t>
  </si>
  <si>
    <t>17.05.P3-5.566-31_2</t>
  </si>
  <si>
    <t>ERCC4 domain-containing protein EP364R n=1 Tax=Mimiviridae sp. ChoanoV1 TaxID=2596887 RepID=A0A5B8INY6_9VIRU</t>
  </si>
  <si>
    <t>17.05.P3-5.566-31_5</t>
  </si>
  <si>
    <t>sp|P53420|CO4A4_HUMAN Collagen alpha-4(IV) chain OS=Homo sapiens OX=9606 GN=COL4A4 PE=1 SV=3</t>
  </si>
  <si>
    <t>Complement C1q and tumor necrosis factor-related protein 9A n=1 Tax=Mizuhopecten yessoensis TaxID=6573 RepID=A0A210R2B6_MIZYE</t>
  </si>
  <si>
    <t>17.05.P3-5.637-40_1</t>
  </si>
  <si>
    <t>DUF5899 domain-containing protein n=1 Tax=Tupanvirus soda lake TaxID=2126985 RepID=A0A6N1P314_9VIRU</t>
  </si>
  <si>
    <t>17.05.P3-5.637-40_2</t>
  </si>
  <si>
    <t>Holliday junction resolvase n=1 Tax=Tupanvirus soda lake TaxID=2126985 RepID=A0A6N1NV98_9VIRU</t>
  </si>
  <si>
    <t>17.05.P3-5.637-40_3</t>
  </si>
  <si>
    <t>TATA-box-binding protein-like protein n=1 Tax=Tupanvirus deep ocean TaxID=2126984 RepID=A0A6N1NQ96_9VIRU</t>
  </si>
  <si>
    <t>17.05.P3-5.767-14_4</t>
  </si>
  <si>
    <t>Ankyrin n=1 Tax=Anaeromyces robustus TaxID=1754192 RepID=A0A1Y1X848_9FUNG</t>
  </si>
  <si>
    <t>17.05.P3-5.767-14_5</t>
  </si>
  <si>
    <t>sp|P86982|IMSP1_RUDPH Insoluble matrix shell protein 1 (Fragment) OS=Ruditapes philippinarum OX=129788 PE=1 SV=1</t>
  </si>
  <si>
    <t>Uncharacterized protein n=1 Tax=Mimiviridae sp. ChoanoV1 TaxID=2596887 RepID=A0A5B8II83_9VIRU</t>
  </si>
  <si>
    <t>17.05.P3-5.767-14_6</t>
  </si>
  <si>
    <t>Deoxynucleoside kinase n=1 Tax=Catovirus CTV1 TaxID=1977631 RepID=A0A1V0S992_9VIRU</t>
  </si>
  <si>
    <t>17.05.P3-5.902-9.5_3</t>
  </si>
  <si>
    <t>sp|P0DSV1|RIR1_VAR67 Ribonucleoside-diphosphate reductase large subunit OS=Variola virus (isolate Human/India/Ind3/1967) OX=587200 GN=OPG080 PE=2 SV=1</t>
  </si>
  <si>
    <t>Ribonucleoside-diphosphate reductase n=1 Tax=Dishui lake phycodnavirus 1 TaxID=2079134 RepID=A0A2K9R7I4_9PHYC</t>
  </si>
  <si>
    <t>17.05.P3-5.902-9.5_4</t>
  </si>
  <si>
    <t>COG0209 [FUNC="Ribonucleotide reductase alpha subunit"] [shortName=NrdA] [TAG=F TAGDEF="Nucleotide transport and metabolism" PROCESS="METABOLISM"]  [PATHWAY="Pyrimidine salvage"] ribonucleoside-diphosphate reductase subunit alpha [Wenyingzhuangia fucanilytica]</t>
  </si>
  <si>
    <t>Ribonucleoside-diphosphate reductase n=1 Tax=Yellowstone lake phycodnavirus 2 TaxID=1586714 RepID=A0A0N7KVV0_9PHYC</t>
  </si>
  <si>
    <t>17.05.P3-6.048-23_1</t>
  </si>
  <si>
    <t>sp|Q8GW96|AATP3_ARATH AAA-ATPase At2g18193 OS=Arabidopsis thaliana OX=3702 GN=At2g18193 PE=2 SV=1</t>
  </si>
  <si>
    <t>AAA family ATPase n=1 Tax=Marseillevirus LCMAC201 TaxID=2506605 RepID=A0A481YW37_9VIRU</t>
  </si>
  <si>
    <t>17.05.P3-6.048-23_3</t>
  </si>
  <si>
    <t>DNA-directed DNA polymerase n=2 Tax=Bodo saltans virus TaxID=2024608 RepID=A0A2H4UV00_9VIRU</t>
  </si>
  <si>
    <t>17.05.P3-6.125-5.4_11</t>
  </si>
  <si>
    <t>Uncharacterized protein n=1 Tax=Dishui Lake phycodnavirus 4 TaxID=2704072 RepID=A0A6G6XP11_9PHYC</t>
  </si>
  <si>
    <t>17.05.P3-6.125-5.4_12</t>
  </si>
  <si>
    <t>sp|P0C8G9|FLSO_ASFWA FAD-linked sulfhydryl oxidase OS=African swine fever virus (isolate Warthog/Namibia/Wart80/1980) OX=561444 GN=War-083 PE=3 SV=1</t>
  </si>
  <si>
    <t>Sulfhydryl oxidase n=1 Tax=Indivirus ILV1 TaxID=1977633 RepID=A0A1V0SE17_9VIRU</t>
  </si>
  <si>
    <t>17.05.P3-6.125-5.4_13</t>
  </si>
  <si>
    <t>Permuted papain-like amidase enzyme, YaeF/YiiX, C92 family n=1 Tax=Paenibacillus sophorae TaxID=1333845 RepID=A0A1H8PAY5_9BACL</t>
  </si>
  <si>
    <t>17.05.P3-6.125-5.4_14</t>
  </si>
  <si>
    <t>17.05.P3-6.125-5.4_4</t>
  </si>
  <si>
    <t>TFIIB-type domain-containing protein n=1 Tax=Bathycoccus sp. RCC1105 virus BpV2 TaxID=880160 RepID=E5ER28_9PHYC</t>
  </si>
  <si>
    <t>17.05.P3-6.125-5.4_6</t>
  </si>
  <si>
    <t>COG3306 [FUNC="Glycosyltransferase involved in LPS biosynthesis, GR25 family"] [shortName=] [TAG=M TAGDEF="Cell wall/membrane/envelope biogenesis" PROCESS="CELLULAR PROCESSES AND SIGNALING"]  [PATHWAY=""] hypothetical protein RCA23_c10410 [Planktomarina temperata RCA23]</t>
  </si>
  <si>
    <t>VOG00912 [FUNC="sp|Q58YV9|WBNK_ECOLX O-antigen biosynthesis glycosyltransferase WbnK"] [TAG=Xh TAGDEF="Virus protein with function beneficial for the host"]</t>
  </si>
  <si>
    <t>Glycosyl transferase family 25 n=1 Tax=Paraburkholderia ginsengisoli TaxID=311231 RepID=A0A7T4N0K0_9BURK</t>
  </si>
  <si>
    <t>17.05.P3-6.131-11_2</t>
  </si>
  <si>
    <t>Large ribosomal subunit protein uL30-like ferredoxin-like fold domain-containing protein n=1 Tax=Blastocystis hominis TaxID=12968 RepID=D8M9Y7_BLAHO</t>
  </si>
  <si>
    <t>17.05.P3-6.131-11_6</t>
  </si>
  <si>
    <t>Uncharacterized protein n=1 Tax=Catovirus CTV1 TaxID=1977631 RepID=A0A1V0SB18_9VIRU</t>
  </si>
  <si>
    <t>17.05.P3-6.131-11_7</t>
  </si>
  <si>
    <t>sp|Q08DI5|RAP2C_BOVIN Ras-related protein Rap-2c OS=Bos taurus OX=9913 GN=RAP2C PE=2 SV=1</t>
  </si>
  <si>
    <t>KOG0395 [FUNC="Ras-related GTPase"] [shortName=] [TAG=R TAGDEF="General function prediction only" PROCESS="POORLY CHARACTERIZED"]  [PATHWAY=""]</t>
  </si>
  <si>
    <t>Ras-related protein Rap-2c-like n=1 Tax=Biomphalaria glabrata TaxID=6526 RepID=A0A2C9JNC7_BIOGL</t>
  </si>
  <si>
    <t>17.05.P3-6.131-11_9</t>
  </si>
  <si>
    <t>Uncharacterized protein n=1 Tax=Pyramimonas orientalis virus TaxID=455367 RepID=A0A7M4CER9_POV01</t>
  </si>
  <si>
    <t>17.05.P3-6.241-14_2</t>
  </si>
  <si>
    <t>Polynucleotide kinase-3'-phosphatase n=3 Tax=unclassified Prymnesiovirus TaxID=358403 RepID=R4TW93_9PHYC</t>
  </si>
  <si>
    <t>17.05.P3-6.241-14_3</t>
  </si>
  <si>
    <t>COG0464 [FUNC="AAA+-type ATPase, SpoVK/Ycf46/Vps4 family"] [shortName=SpoVK] [TAG=M TAGDEF="Cell wall/membrane/envelope biogenesis" PROCESS="CELLULAR PROCESSES AND SIGNALING"] [TAG=D TAGDEF="Cell cycle control, cell division, chromosome partitioning" PROCESS="CELLULAR PROCESSES AND SIGNALING"] [TAG=T TAGDEF="Signal transduction mechanisms" PROCESS="CELLULAR PROCESSES AND SIGNALING"]  [PATHWAY=""] MULTISPECIES: stage V sporulation protein K [Bacillaceae]</t>
  </si>
  <si>
    <t>AAA family ATPase n=1 Tax=Indivirus ILV1 TaxID=1977633 RepID=A0A1V0SCZ8_9VIRU</t>
  </si>
  <si>
    <t>17.05.P3-6.291-5.1_2</t>
  </si>
  <si>
    <t>mRNA capping enzyme n=1 Tax=Catovirus CTV1 TaxID=1977631 RepID=A0A1V0S8Q4_9VIRU</t>
  </si>
  <si>
    <t>17.05.P3-6.291-5.1_5</t>
  </si>
  <si>
    <t>sp|Q5UNY3|YL729_MIMIV Uncharacterized protein L729 OS=Acanthamoeba polyphaga mimivirus OX=212035 GN=MIMI_L729 PE=4 SV=1</t>
  </si>
  <si>
    <t>Uncharacterized protein n=1 Tax=Mimiviridae sp. ChoanoV1 TaxID=2596887 RepID=A0A5B8HXD3_9VIRU</t>
  </si>
  <si>
    <t>17.05.P3-6.631-27_1</t>
  </si>
  <si>
    <t>17.05.P3-6.631-27_2</t>
  </si>
  <si>
    <t>Phosphatidylinositol-specific phospholipase C, X domain protein n=1 Tax=Mimiviridae sp. ChoanoV1 TaxID=2596887 RepID=A0A5B8IFX7_9VIRU</t>
  </si>
  <si>
    <t>17.05.P3-6.631-27_5</t>
  </si>
  <si>
    <t>17.05.P3-6.631-27_7</t>
  </si>
  <si>
    <t>COG1752 [FUNC="Predicted acylesterase/phospholipase RssA, containd patatin domain"] [shortName=RssA] [TAG=R TAGDEF="General function prediction only" PROCESS="POORLY CHARACTERIZED"]  [PATHWAY=""] patatin [Pelosinus fermentans]</t>
  </si>
  <si>
    <t>VOG15277 [FUNC="REFSEQ patatin-like phospholipase"] [TAG=Xu TAGDEF="Function unknown"]</t>
  </si>
  <si>
    <t>Patatin-like phospholipase n=1 Tax=Clostridium beijerinckii TaxID=1520 RepID=A0A1S8PX90_CLOBE</t>
  </si>
  <si>
    <t>17.05.P3-6.665-19_1</t>
  </si>
  <si>
    <t>Sulfotransferase domain-containing protein n=1 Tax=Mimiviridae sp. ChoanoV1 TaxID=2596887 RepID=A0A5B8HYE0_9VIRU</t>
  </si>
  <si>
    <t>17.05.P3-6.665-19_2</t>
  </si>
  <si>
    <t>sp|Q58914|Y1519_METJA Uncharacterized protein MJ1519 OS=Methanocaldococcus jannaschii (strain ATCC 43067 / DSM 2661 / JAL-1 / JCM 10045 / NBRC 100440) OX=243232 GN=MJ1519 PE=4 SV=1</t>
  </si>
  <si>
    <t>COG1051 [FUNC="ADP-ribose pyrophosphatase YjhB, NUDIX family"] [shortName=YjhB] [TAG=F TAGDEF="Nucleotide transport and metabolism" PROCESS="METABOLISM"]  [PATHWAY=""] ATP-dependent RecD-like DNA helicase [Limnochorda pilosa]</t>
  </si>
  <si>
    <t>Uncharacterized protein n=2 Tax=unclassified Mimivirus TaxID=2501774 RepID=A0A167R0P7_9VIRU</t>
  </si>
  <si>
    <t>17.05.P3-6.665-19_3</t>
  </si>
  <si>
    <t>sp|Q5UP82|YL005_MIMIV Uncharacterized protein L5 OS=Acanthamoeba polyphaga mimivirus OX=212035 GN=MIMI_L5 PE=3 SV=1</t>
  </si>
  <si>
    <t>17.05.P3-6.665-19_5</t>
  </si>
  <si>
    <t>17.05.P3-6.665-19_6</t>
  </si>
  <si>
    <t>Protein kinase domain-containing protein n=1 Tax=Cavenderia fasciculata TaxID=261658 RepID=F4PWX0_CACFS</t>
  </si>
  <si>
    <t>17.05.P3-7.016-21_2</t>
  </si>
  <si>
    <t>Helicase ATP-binding domain-containing protein n=1 Tax=Bathycoccus sp. RCC1105 virus BpV2 TaxID=880160 RepID=E5ER35_9PHYC</t>
  </si>
  <si>
    <t>17.05.P3-7.016-21_5</t>
  </si>
  <si>
    <t>sp|Q3V188|ENDOU_MOUSE Uridylate-specific endoribonuclease OS=Mus musculus OX=10090 GN=Endou PE=2 SV=1</t>
  </si>
  <si>
    <t>COG2356 [FUNC="Endonuclease I"] [shortName=EndA] [TAG=L TAGDEF="Replication, recombination and repair" PROCESS="INFORMATION STORAGE AND PROCESSING"]  [PATHWAY=""] hypothetical protein [Haliangium ochraceum]</t>
  </si>
  <si>
    <t>Putative trypsinogen n=1 Tax=Plesiocystis pacifica SIR-1 TaxID=391625 RepID=A6GFG9_9BACT</t>
  </si>
  <si>
    <t>17.05.P3-7.016-21_8</t>
  </si>
  <si>
    <t>17.05.P3-7.160-4.9_1</t>
  </si>
  <si>
    <t>COG3306 [FUNC="Glycosyltransferase involved in LPS biosynthesis, GR25 family"] [shortName=] [TAG=M TAGDEF="Cell wall/membrane/envelope biogenesis" PROCESS="CELLULAR PROCESSES AND SIGNALING"]  [PATHWAY=""] glycosyl transferase family protein [Xanthobacter autotrophicus]</t>
  </si>
  <si>
    <t>Putative glycosyltransferase family protein n=1 Tax=Megavirus baoshan TaxID=2496520 RepID=A0A3Q8U7R9_9VIRU</t>
  </si>
  <si>
    <t>17.05.P3-7.160-4.9_10</t>
  </si>
  <si>
    <t>sp|Q5LZD9|EX7L_STRT1 Exodeoxyribonuclease 7 large subunit OS=Streptococcus thermophilus (strain CNRZ 1066) OX=299768 GN=xseA PE=3 SV=1</t>
  </si>
  <si>
    <t>COG1570 [FUNC="Exonuclease VII, large subunit"] [shortName=XseA] [TAG=L TAGDEF="Replication, recombination and repair" PROCESS="INFORMATION STORAGE AND PROCESSING"]  [PATHWAY=""] exodeoxyribonuclease VII large subunit [Streptococcus thermophilus]</t>
  </si>
  <si>
    <t>VOG09337 [FUNC="sp|Q8FQP1|EX7L_COREF Exodeoxyribonuclease 7 large subunit"] [TAG=Xu TAGDEF="Function unknown"]</t>
  </si>
  <si>
    <t>VII large subunit n=1 Tax=Moumouvirus goulette TaxID=1247379 RepID=M1NLU2_9VIRU</t>
  </si>
  <si>
    <t>17.05.P3-7.160-4.9_2</t>
  </si>
  <si>
    <t>VOG10950 [FUNC="REFSEQ hypothetical protein"] [TAG=Xu TAGDEF="Function unknown"]</t>
  </si>
  <si>
    <t>Uncharacterized protein n=1 Tax=Megavirus vitis TaxID=2109586 RepID=A0A2P1EJX6_9VIRU</t>
  </si>
  <si>
    <t>17.05.P3-7.160-4.9_6</t>
  </si>
  <si>
    <t>sp|Q5UR64|NMT_MIMIV Putative glycylpeptide N-tetradecanoyltransferase OS=Acanthamoeba polyphaga mimivirus OX=212035 GN=MIMI_L621 PE=3 SV=1</t>
  </si>
  <si>
    <t>glycylpeptide N-tetradecanoyltransferase n=3 Tax=Mimivirus TaxID=315393 RepID=A0A2L2DN55_MIMIV</t>
  </si>
  <si>
    <t>17.05.P3-7.160-4.9_7</t>
  </si>
  <si>
    <t>COG0449 [FUNC="Glucosamine 6-phosphate synthetase, contains amidotransferase and phosphosugar isomerase domains"] [shortName=GlmS] [TAG=M TAGDEF="Cell wall/membrane/envelope biogenesis" PROCESS="CELLULAR PROCESSES AND SIGNALING"]  [PATHWAY=""] glutamine--fructose-6-phosphate transaminase (isomerizing) [Melioribacter roseus]</t>
  </si>
  <si>
    <t>glutamine--fructose-6-phosphate transaminase (isomerizing) n=1 Tax=Tupanvirus soda lake TaxID=2126985 RepID=A0A6N1NPG1_9VIRU</t>
  </si>
  <si>
    <t>17.05.P3-7.160-4.9_9</t>
  </si>
  <si>
    <t>sp|Q5UP75|YL612_MIMIV Uncharacterized protein L612 OS=Acanthamoeba polyphaga mimivirus OX=212035 GN=MIMI_L612 PE=1 SV=1</t>
  </si>
  <si>
    <t>COG0662 [FUNC="Mannose-6-phosphate isomerase, cupin superfamily"] [shortName=ManC] [TAG=G TAGDEF="Carbohydrate transport and metabolism" PROCESS="METABOLISM"]  [PATHWAY=""] mannose-6-phosphate isomerase [candidate division TM6 bacterium GW2011_GWF2_28_16]</t>
  </si>
  <si>
    <t>VOG07510 [FUNC="REFSEQ Cupin"] [TAG=Xu TAGDEF="Function unknown"]</t>
  </si>
  <si>
    <t>Maninose-6P isomerase n=1 Tax=Tupanvirus soda lake TaxID=2126985 RepID=A0A6N1NT04_9VIRU</t>
  </si>
  <si>
    <t>17.05.P3-7.214-12_2</t>
  </si>
  <si>
    <t>sp|Q197A1|EX0N_IIV3 Putative exonuclease 059L OS=Invertebrate iridescent virus 3 OX=345201 GN=IIV3-059L PE=3 SV=1</t>
  </si>
  <si>
    <t>Xrn1 N-terminal domain-containing protein (Fragment) n=1 Tax=Eutreptiella gymnastica TaxID=73025 RepID=A0A7S4G6C8_9EUGL</t>
  </si>
  <si>
    <t>17.05.P3-7.214-12_3</t>
  </si>
  <si>
    <t>Protein kinase domain-containing protein n=1 Tax=Bodo saltans virus TaxID=2024608 RepID=A0A2H4UW16_9VIRU</t>
  </si>
  <si>
    <t>17.05.P3-7.214-12_9</t>
  </si>
  <si>
    <t>C2H2 type zinc finger protein n=1 Tax=Mimivirus LCMiAC02 TaxID=2506609 RepID=A0A481Z2A6_9VIRU</t>
  </si>
  <si>
    <t>17.05.P3-7.864-17_2</t>
  </si>
  <si>
    <t>sp|P73354|HTRA_SYNY3 Putative serine protease HtrA OS=Synechocystis sp. (strain PCC 6803 / Kazusa) OX=1111708 GN=htrA PE=1 SV=1</t>
  </si>
  <si>
    <t>COG0265 [FUNC="Periplasmic serine protease, S1-C subfamily, contain C-terminal PDZ domain"] [shortName=DegQ] [TAG=O TAGDEF="Posttranslational modification, protein turnover, chaperones" PROCESS="CELLULAR PROCESSES AND SIGNALING"]  [PATHWAY=""] PDZ domain-containing protein [Methylomusa anaerophila]</t>
  </si>
  <si>
    <t>Collagen triple helix repeat motif-containing protein n=1 Tax=Mimivirus LCMiAC02 TaxID=2506609 RepID=A0A4D5XEW7_9VIRU</t>
  </si>
  <si>
    <t>17.05.P3-7.864-17_3</t>
  </si>
  <si>
    <t>Transcription termination factor n=1 Tax=Bodo saltans virus TaxID=2024608 RepID=A0A2H4UUX2_9VIRU</t>
  </si>
  <si>
    <t>17.05.P3-8.067-29_10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</si>
  <si>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hypothetical protein [Vagococcus penaei]</t>
  </si>
  <si>
    <t>DEAD/SNF2-like helicase n=2 Tax=root TaxID=1 RepID=A0A481YZZ7_9VIRU</t>
  </si>
  <si>
    <t>17.05.P3-8.067-29_2</t>
  </si>
  <si>
    <t>Uncharacterized protein n=1 Tax=Yasminevirus sp. GU-2018 TaxID=2420051 RepID=A0A5K0U9E9_9VIRU</t>
  </si>
  <si>
    <t>17.05.P3-8.067-29_9</t>
  </si>
  <si>
    <t>E3 ubiquitin-protein ligase n=1 Tax=Marseillevirus LCMAC201 TaxID=2506605 RepID=A0A481YWQ6_9VIRU</t>
  </si>
  <si>
    <t>17.05.P3-8.078-6.7_3</t>
  </si>
  <si>
    <t>sp|P51820|DRTS_SOYBN Bifunctional dihydrofolate reductase-thymidylate synthase OS=Glycine max OX=3847 PE=1 SV=1</t>
  </si>
  <si>
    <t>thymidylate synthase n=1 Tax=Fadolivirus 1 TaxID=2740746 RepID=A0A7D3UV75_9VIRU</t>
  </si>
  <si>
    <t>17.05.P3-8.078-6.7_4</t>
  </si>
  <si>
    <t>mRNA capping enzyme n=1 Tax=Fadolivirus 1 TaxID=2740746 RepID=A0A7D3V5A0_9VIRU</t>
  </si>
  <si>
    <t>17.05.P3-8.078-6.7_5</t>
  </si>
  <si>
    <t>sp|Q5PPV3|MORN3_XENLA MORN repeat-containing protein 3 OS=Xenopus laevis OX=8355 GN=morn3 PE=2 SV=1</t>
  </si>
  <si>
    <t>COG4642 [FUNC="Uncharacterized conserved protein"] [shortName=] [TAG=S TAGDEF="Function unknown" PROCESS="POORLY CHARACTERIZED"]  [PATHWAY=""] MORN repeat-containing protein [Thermodesulfobium narugense]</t>
  </si>
  <si>
    <t>VOG33873 [FUNC="REFSEQ Morn repeat domain containing protein"] [TAG=Xu TAGDEF="Function unknown"]</t>
  </si>
  <si>
    <t>Copper amine oxidase-like N-terminal domain-containing protein n=1 Tax=Paenibacillus validus TaxID=44253 RepID=A0A7X3CRX3_9BACL</t>
  </si>
  <si>
    <t>17.05.P3-8.078-6.7_6</t>
  </si>
  <si>
    <t>17.05.P3-8.132-13_10</t>
  </si>
  <si>
    <t>17.05.P3-8.132-13_11</t>
  </si>
  <si>
    <t>sp|O21044|AI2B_DICDI Intron-encoded DNA endonuclease ai2b OS=Dictyostelium discoideum OX=44689 GN=ai2b PE=3 SV=1</t>
  </si>
  <si>
    <t>Homing endonuclease LAGLIDADG domain-containing protein n=1 Tax=Chlorella vulgaris TaxID=3077 RepID=A0A9D4TR59_CHLVU</t>
  </si>
  <si>
    <t>17.05.P3-8.132-13_8</t>
  </si>
  <si>
    <t>sp|Q5UQM9|YL426_MIMIV Uncharacterized protein L426 OS=Acanthamoeba polyphaga mimivirus OX=212035 GN=MIMI_L426 PE=3 SV=1</t>
  </si>
  <si>
    <t>HNH endonuclease n=1 Tax=Pacmanvirus A23 TaxID=1932881 RepID=A0A1X6WFA5_9VIRU</t>
  </si>
  <si>
    <t>17.05.P3-8.271-45_2</t>
  </si>
  <si>
    <t>sp|A0A0R4IKJ1|CAPAM_DANRE mRNA (2'-O-methyladenosine-N(6)-)-methyltransferase OS=Danio rerio OX=7955 GN=pcif1 PE=1 SV=1</t>
  </si>
  <si>
    <t>VOG16986 [FUNC="REFSEQ hypothetical protein"] [TAG=Xu TAGDEF="Function unknown"]</t>
  </si>
  <si>
    <t>Phosphorylated ctd interacting factor 1 ww domain protein n=1 Tax=Mimivirus LCMiAC01 TaxID=2506608 RepID=A0A481YZY3_9VIRU</t>
  </si>
  <si>
    <t>17.05.P3-8.271-45_4</t>
  </si>
  <si>
    <t>17.05.P3-8.271-45_5</t>
  </si>
  <si>
    <t>Transposase n=1 Tax=Indivirus ILV1 TaxID=1977633 RepID=A0A1V0SEH3_9VIRU</t>
  </si>
  <si>
    <t>17.05.P3-8.271-45_6</t>
  </si>
  <si>
    <t>sp|Q04JL4|Y1364_STRP2 UPF0213 protein SPD_1364 OS=Streptococcus pneumoniae serotype 2 (strain D39 / NCTC 7466) OX=373153 GN=SPD_1364 PE=3 SV=1</t>
  </si>
  <si>
    <t>COG2827 [FUNC="Predicted endonuclease, GIY-YIG superfamily"] [shortName=YhbQ] [TAG=L TAGDEF="Replication, recombination and repair" PROCESS="INFORMATION STORAGE AND PROCESSING"]  [PATHWAY=""] GIY-YIG nuclease family protein [Desulfotomaculum acetoxidans]</t>
  </si>
  <si>
    <t>GIY-YIG catalytic domain protein n=1 Tax=Marseillevirus LCMAC202 TaxID=2506606 RepID=A0A481YWZ4_9VIRU</t>
  </si>
  <si>
    <t>17.05.P3-8.495-26_1</t>
  </si>
  <si>
    <t>sp|Q9XVE5|FACE1_CAEEL CAAX prenyl protease 1 homolog OS=Caenorhabditis elegans OX=6239 GN=fce-1 PE=1 SV=1</t>
  </si>
  <si>
    <t>COG0501 [FUNC="Zn-dependent protease with chaperone function"] [shortName=HtpX] [TAG=O TAGDEF="Posttranslational modification, protein turnover, chaperones" PROCESS="CELLULAR PROCESSES AND SIGNALING"]  [PATHWAY=""] peptidase M48 [Candidatus Thioglobus singularis]</t>
  </si>
  <si>
    <t>Peptidase M48 n=1 Tax=Aquella oligotrophica TaxID=2067065 RepID=A0A2I7N805_9NEIS</t>
  </si>
  <si>
    <t>17.05.P3-8.495-26_3</t>
  </si>
  <si>
    <t>COG2849 [FUNC="Antitoxin component YwqK of the YwqJK toxin-antitoxin module"] [shortName=YwqK] [TAG=V TAGDEF="Defense mechanisms" PROCESS="CELLULAR PROCESSES AND SIGNALING"]  [PATHWAY=""] hypothetical protein [Brevibacillus brevis]</t>
  </si>
  <si>
    <t>Uncharacterized protein n=3 Tax=Aphanomyces astaci TaxID=112090 RepID=W4FZW0_APHAT</t>
  </si>
  <si>
    <t>17.05.P3-8.495-26_5</t>
  </si>
  <si>
    <t>sp|Q9U8U5|ERF1_TETTH Eukaryotic peptide chain release factor subunit 1 OS=Tetrahymena thermophila OX=5911 GN=ERF1 PE=2 SV=1</t>
  </si>
  <si>
    <t>COG1503 [FUNC="Peptide chain release factor 1 (eRF1)"] [shortName=eRF1] [TAG=J TAGDEF="Translation, ribosomal structure and biogenesis" PROCESS="INFORMATION STORAGE AND PROCESSING"]  [PATHWAY="Translation factors"] peptide chain release factor eRF subunit 1 [Candidatus Caldiarchaeum subterraneum]</t>
  </si>
  <si>
    <t>VOG15142 [FUNC="sp|P62497|ERF1_RABIT Eukaryotic peptide chain release factor subunit 1"] [TAG=Xh TAGDEF="Virus protein with function beneficial for the host"]</t>
  </si>
  <si>
    <t>Eukaryotic peptide chain release factor subunit 1 n=1 Tax=Klosneuvirus KNV1 TaxID=1977640 RepID=A0A1V0SI83_9VIRU</t>
  </si>
  <si>
    <t>17.05.P3-8.495-26_6</t>
  </si>
  <si>
    <t>sp|Q96UV5|GLNA_HEBCY Glutamine synthetase OS=Hebeloma cylindrosporum OX=76867 GN=GLN1 PE=2 SV=1</t>
  </si>
  <si>
    <t>Glutamine synthetase n=1 Tax=Tulosesus angulatus TaxID=980116 RepID=A0A8H5FE87_9AGAR</t>
  </si>
  <si>
    <t>17.05.P3-8.495-26_7</t>
  </si>
  <si>
    <t>COG0648 [FUNC="Endonuclease IV"] [shortName=Nfo] [TAG=L TAGDEF="Replication, recombination and repair" PROCESS="INFORMATION STORAGE AND PROCESSING"]  [PATHWAY=""] MULTISPECIES: endonuclease [Bacillus]</t>
  </si>
  <si>
    <t>AP (Apurinic) endonuclease family 2 n=3 Tax=root TaxID=1 RepID=A0A481YXW9_9VIRU</t>
  </si>
  <si>
    <t>17.05.P3-8.495-26_8</t>
  </si>
  <si>
    <t>SMODS and SLOG-associating 2TM effector domain-containing protein n=1 Tax=Dishui Lake phycodnavirus 2 TaxID=2704071 RepID=A0A6G6XMU0_9PHYC</t>
  </si>
  <si>
    <t>17.05.P3-8.534-32_2</t>
  </si>
  <si>
    <t>sp|P07259|PYR1_YEAST Multifunctional protein URA2 OS=Saccharomyces cerevisiae (strain ATCC 204508 / S288c) OX=559292 GN=URA2 PE=1 SV=5</t>
  </si>
  <si>
    <t>COG0505 [FUNC="Carbamoylphosphate synthase small subunit"] [shortName=CarA] [TAG=E TAGDEF="Amino acid transport and metabolism" PROCESS="METABOLISM"] [TAG=F TAGDEF="Nucleotide transport and metabolism" PROCESS="METABOLISM"]  [PATHWAY="Arginine biosynthesis"] carbamoyl-phosphate synthase (glutamine-hydrolyzing) large subunit [Petrimonas mucosa]</t>
  </si>
  <si>
    <t>Carbamoyl-phosphate synth n=1 Tax=Neocallimastix californiae TaxID=1754190 RepID=A0A1Y2EUY1_9FUNG</t>
  </si>
  <si>
    <t>17.05.P3-8.534-32_3</t>
  </si>
  <si>
    <t>VOG20173 [FUNC="REFSEQ hypothetical protein"] [TAG=Xu TAGDEF="Function unknown"]</t>
  </si>
  <si>
    <t>Uncharacterized protein n=1 Tax=Catovirus CTV1 TaxID=1977631 RepID=A0A1V0SCE1_9VIRU</t>
  </si>
  <si>
    <t>17.05.P3-8.534-32_4</t>
  </si>
  <si>
    <t>Packaging ATPase n=1 Tax=Indivirus ILV1 TaxID=1977633 RepID=A0A1V0SDX0_9VIRU</t>
  </si>
  <si>
    <t>17.05.P3-8.537-9.8_11</t>
  </si>
  <si>
    <t>Sulfhydryl oxidase n=1 Tax=Fadolivirus 1 TaxID=2740746 RepID=A0A7D3QV58_9VIRU</t>
  </si>
  <si>
    <t>17.05.P3-8.537-9.8_17</t>
  </si>
  <si>
    <t>sp|O06996|COTR_BACSU Putative sporulation hydrolase CotR OS=Bacillus subtilis (strain 168) OX=224308 GN=cotR PE=2 SV=1</t>
  </si>
  <si>
    <t>COG3621 [FUNC="Patatin-like phospholipase/acyl hydrolase, includes sporulation protein CotR"] [shortName=PATA] [TAG=R TAGDEF="General function prediction only" PROCESS="POORLY CHARACTERIZED"]  [PATHWAY=""] patatin [Paeniclostridium sordellii]</t>
  </si>
  <si>
    <t>PNPLA domain-containing protein n=1 Tax=Polysphondylium violaceum TaxID=133409 RepID=A0A8J4PM27_9MYCE</t>
  </si>
  <si>
    <t>17.05.P3-8.537-9.8_3</t>
  </si>
  <si>
    <t>sp|Q4VFY5|OLSC_RHITR Ornithine lipid ester-linked acyl 2-hydroxylase OS=Rhizobium tropici OX=398 GN=olsC PE=1 SV=1</t>
  </si>
  <si>
    <t>COG3555 [FUNC="Aspartyl/asparaginyl beta-hydroxylase, cupin superfamily"] [shortName=LpxO2] [TAG=O TAGDEF="Posttranslational modification, protein turnover, chaperones" PROCESS="CELLULAR PROCESSES AND SIGNALING"]  [PATHWAY=""] aspartyl/asparaginyl beta-hydroxylase [Pseudomonas syringae pv. syringae B728a]</t>
  </si>
  <si>
    <t>VOG00904 [FUNC="sp|Q5UQY2|YL888_MIMIV Uncharacterized protein L888"] [TAG=Xu TAGDEF="Function unknown"]</t>
  </si>
  <si>
    <t>Aspartyl beta-hydroxylase n=1 Tax=Polynucleobacter aenigmaticus TaxID=1743164 RepID=A0A254Q4H7_9BURK</t>
  </si>
  <si>
    <t>17.05.P3-8.537-9.8_30</t>
  </si>
  <si>
    <t>17.05.P3-8.537-9.8_5</t>
  </si>
  <si>
    <t>sp|Q9SAL0|RGLG4_ARATH E3 ubiquitin-protein ligase RGLG4 OS=Arabidopsis thaliana OX=3702 GN=RGLG4 PE=1 SV=1</t>
  </si>
  <si>
    <t>RING-type domain-containing protein n=1 Tax=Kalanchoe fedtschenkoi TaxID=63787 RepID=A0A7N0RB60_KALFE</t>
  </si>
  <si>
    <t>17.05.P3-8.710-11_1</t>
  </si>
  <si>
    <t>sp|A6QD00|SYT_SULNB Threonine--tRNA ligase OS=Sulfurovum sp. (strain NBC37-1) OX=387093 GN=thrS PE=3 SV=1</t>
  </si>
  <si>
    <t>COG0441 [FUNC="Threonyl-tRNA synthetase"] [shortName=ThrS] [TAG=J TAGDEF="Translation, ribosomal structure and biogenesis" PROCESS="INFORMATION STORAGE AND PROCESSING"]  [PATHWAY="Aminoacyl-tRNA synthetases"] threonine--tRNA ligase [Sulfuricurvum kujiense]</t>
  </si>
  <si>
    <t>threonine--tRNA ligase n=1 Tax=Hokovirus HKV1 TaxID=1977638 RepID=A0A1V0SFU2_9VIRU</t>
  </si>
  <si>
    <t>17.05.P3-8.710-11_3</t>
  </si>
  <si>
    <t>sp|Q09297|NDX6_CAEEL Putative nudix hydrolase 6 OS=Caenorhabditis elegans OX=6239 GN=ndx-6 PE=3 SV=2</t>
  </si>
  <si>
    <t>KOG4195 [FUNC="Transient receptor potential-related channel 7"] [shortName=] [TAG=P TAGDEF="Inorganic ion transport and metabolism" PROCESS="METABOLISM"]  [PATHWAY=""]</t>
  </si>
  <si>
    <t>Nudix hydrolase domain-containing protein n=1 Tax=Loa loa TaxID=7209 RepID=A0A1S0UJF4_LOALO</t>
  </si>
  <si>
    <t>17.05.P3-8.710-11_4</t>
  </si>
  <si>
    <t>FNIP repeat-containing protein n=1 Tax=Cafeteria roenbergensis virus (strain BV-PW1) TaxID=693272 RepID=E3T5U8_CROVB</t>
  </si>
  <si>
    <t>17.05.P3-8.710-11_5</t>
  </si>
  <si>
    <t>sp|Q5UPN0|YL170_MIMIV Putative FNIP repeat-containing protein L170 OS=Acanthamoeba polyphaga mimivirus OX=212035 GN=MIMI_L170 PE=4 SV=1</t>
  </si>
  <si>
    <t>FNIP repeat-containing protein n=1 Tax=Tieghemostelium lacteum TaxID=361077 RepID=A0A151Z6Q5_TIELA</t>
  </si>
  <si>
    <t>17.05.P3-8.710-11_6</t>
  </si>
  <si>
    <t>Uncharacterized protein n=1 Tax=Symbiodinium natans TaxID=878477 RepID=A0A812UJ91_9DINO</t>
  </si>
  <si>
    <t>17.05.P3-8.710-11_7</t>
  </si>
  <si>
    <t>Putative calmodulin-binding protein n=1 Tax=Tieghemostelium lacteum TaxID=361077 RepID=A0A152A536_TIELA</t>
  </si>
  <si>
    <t>17.05.P3-8.710-11_9</t>
  </si>
  <si>
    <t>FNIP repeat-containing protein n=2 Tax=Cafeteria roenbergensis virus TaxID=1513235 RepID=E3T5W0_CROVB</t>
  </si>
  <si>
    <t>17.05.P3-8.877-9.5_5</t>
  </si>
  <si>
    <t>VOG03715 [FUNC="REFSEQ hypothetical protein"] [TAG=Xu TAGDEF="Function unknown"]</t>
  </si>
  <si>
    <t>Uncharacterized protein n=1 Tax=Klosneuvirus KNV1 TaxID=1977640 RepID=A0A1V0SJT0_9VIRU</t>
  </si>
  <si>
    <t>17.05.P3-8.877-9.5_6</t>
  </si>
  <si>
    <t>Putative minor capsid protein n=1 Tax=Indivirus ILV1 TaxID=1977633 RepID=A0A1V0SCS6_9VIRU</t>
  </si>
  <si>
    <t>17.05.P3-8.877-9.5_7</t>
  </si>
  <si>
    <t>F-box domain-containing protein n=1 Tax=Klosneuvirus KNV1 TaxID=1977640 RepID=A0A1V0SIK6_9VIRU</t>
  </si>
  <si>
    <t>17.05.P3-8.877-9.5_9</t>
  </si>
  <si>
    <t>Alpha-ketoglutarate-dependent dioxygenase AlkB-like domain-containing protein n=1 Tax=Klosneuvirus KNV1 TaxID=1977640 RepID=A0A1V0SJU2_9VIRU</t>
  </si>
  <si>
    <t>17.05.P3-9.813-19_3</t>
  </si>
  <si>
    <t>COG5295 [FUNC="Autotransporter adhesin"] [shortName=Hia] [TAG=U TAGDEF="Intracellular trafficking, secretion, and vesicular transport" PROCESS="CELLULAR PROCESSES AND SIGNALING"] [TAG=W TAGDEF="Extracellular structures" PROCESS="CELLULAR PROCESSES AND SIGNALING"]  [PATHWAY=""] hypothetical protein [Pusillimonas sp. T7-7]</t>
  </si>
  <si>
    <t>Uncharacterized protein n=1 Tax=Fadolivirus 1 TaxID=2740746 RepID=A0A7D3V920_9VIRU</t>
  </si>
  <si>
    <t>17.05.P3-9.813-19_4</t>
  </si>
  <si>
    <t>17.05.P3-9.813-19_6</t>
  </si>
  <si>
    <t>Peptidase S74 domain-containing protein n=1 Tax=Maribellus luteus TaxID=2305463 RepID=A0A399SVY4_9BACT</t>
  </si>
  <si>
    <t>17.05.P3-9.813-19_7</t>
  </si>
  <si>
    <t>Collagen-like protein n=1 Tax=Chitinophaga pinensis TaxID=79329 RepID=A0A5C6LWY3_9BACT</t>
  </si>
  <si>
    <t>17.05.P3-9.855-20_1</t>
  </si>
  <si>
    <t>sp|Q9CAI7|IF4A3_ARATH Eukaryotic initiation factor 4A-3 OS=Arabidopsis thaliana OX=3702 GN=TIF4A-3 PE=1 SV=1</t>
  </si>
  <si>
    <t>RNA helicase n=1 Tax=Arcella intermedia TaxID=1963864 RepID=A0A6B2L6P3_9EUKA</t>
  </si>
  <si>
    <t>17.05.P3-9.855-20_11</t>
  </si>
  <si>
    <t>Putative methyltransferase n=1 Tax=Aureococcus anophagefferens virus TaxID=1474867 RepID=A0A076FFM6_9PHYC</t>
  </si>
  <si>
    <t>17.05.P3-9.855-20_2</t>
  </si>
  <si>
    <t>sp|Q74Z34|UBC6_EREGS Ubiquitin-conjugating enzyme E2 6 OS=Eremothecium gossypii (strain ATCC 10895 / CBS 109.51 / FGSC 9923 / NRRL Y-1056) OX=284811 GN=UBC6 PE=3 SV=1</t>
  </si>
  <si>
    <t>KOG0894 [FUNC="Ubiquitin-protein ligase"] [shortName=] [TAG=O TAGDEF="Posttranslational modification, protein turnover, chaperones" PROCESS="CELLULAR PROCESSES AND SIGNALING"]  [PATHWAY=""]</t>
  </si>
  <si>
    <t>E2 ubiquitin-conjugating enzyme n=1 Tax=Indivirus ILV1 TaxID=1977633 RepID=A0A1V0SDC6_9VIRU</t>
  </si>
  <si>
    <t>17.05.P3-9.855-20_3</t>
  </si>
  <si>
    <t>sp|P55877|IF1A_SCHPO Eukaryotic translation initiation factor 1A OS=Schizosaccharomyces pombe (strain 972 / ATCC 24843) OX=284812 GN=tif11 PE=2 SV=2</t>
  </si>
  <si>
    <t>Eukaryotic translation initiation factor 4C n=1 Tax=Piliocolobus tephrosceles TaxID=591936 RepID=A0A8C9GNZ3_9PRIM</t>
  </si>
  <si>
    <t>17.05.P3-9.855-20_5</t>
  </si>
  <si>
    <t>Uncharacterized protein n=1 Tax=Marseillevirus LCMAC101 TaxID=2506602 RepID=A0A481YRK4_9VIRU</t>
  </si>
  <si>
    <t>17.05.P3-9.855-20_9</t>
  </si>
  <si>
    <t>CMP/dCMP-type deaminase domain-containing protein n=1 Tax=Mimivirus LCMiAC02 TaxID=2506609 RepID=A0A4D5XEY8_9VIRU</t>
  </si>
  <si>
    <t>17.05.P4-2.585-24_6</t>
  </si>
  <si>
    <t>EsV-1-45 n=1 Tax=Ectocarpus siliculosus virus 1 (isolate New Zealand/Kaikoura/1988) TaxID=654926 RepID=Q8QNM0_ESV1K</t>
  </si>
  <si>
    <t>17.05.P4-4.897-2.2_8</t>
  </si>
  <si>
    <t>Peptidase S74 domain-containing protein n=1 Tax=Fulvivirga marina TaxID=2494733 RepID=A0A937FU52_9BACT</t>
  </si>
  <si>
    <t>17.05.P4-9.842-13_11</t>
  </si>
  <si>
    <t>sp|Q9ZUP4|CKL5_ARATH Casein kinase 1-like protein 5 OS=Arabidopsis thaliana OX=3702 GN=CKL5 PE=1 SV=1</t>
  </si>
  <si>
    <t>Protein kinase domain-containing protein n=1 Tax=Paramecium sonneborni TaxID=65129 RepID=A0A8S1MIF3_9CILI</t>
  </si>
  <si>
    <t>17.05.P4-9.842-13_15</t>
  </si>
  <si>
    <t>Early transcription factor 70 kDa subunit n=1 Tax=Fadolivirus 1 TaxID=2740746 RepID=A0A7D3UP71_9VIRU</t>
  </si>
  <si>
    <t>17.05.P4-9.842-13_16</t>
  </si>
  <si>
    <t>VOG02093 [FUNC="sp|Q5UQV9|YR378_MIMIV Uncharacterized protein R378"] [TAG=Xu TAGDEF="Function unknown"]</t>
  </si>
  <si>
    <t>NET domain-containing protein n=3 Tax=Moumouvirus TaxID=985782 RepID=A0A1S5V118_9VIRU</t>
  </si>
  <si>
    <t>17.05.P4-9.842-13_17</t>
  </si>
  <si>
    <t>sp|Q16878|CDO1_HUMAN Cysteine dioxygenase type 1 OS=Homo sapiens OX=9606 GN=CDO1 PE=1 SV=2</t>
  </si>
  <si>
    <t>KOG4064 [FUNC="Cysteine dioxygenase CDO1"] [shortName=] [TAG=E TAGDEF="Amino acid transport and metabolism" PROCESS="METABOLISM"]  [PATHWAY=""]</t>
  </si>
  <si>
    <t>VOG31101 [FUNC="sp|D1MF76|CDO_ARTBE Cysteine dioxygenase"] [TAG=Xh TAGDEF="Virus protein with function beneficial for the host"]</t>
  </si>
  <si>
    <t>Cysteine dioxygenase type I n=1 Tax=Mimiviridae sp. ChoanoV1 TaxID=2596887 RepID=A0A5B8IQF8_9VIRU</t>
  </si>
  <si>
    <t>17.05.P4-9.842-13_18</t>
  </si>
  <si>
    <t>Uncharacterized protein n=1 Tax=Ignelater luminosus TaxID=2038154 RepID=A0A8K0DDE3_9COLE</t>
  </si>
  <si>
    <t>17.05.P4-9.842-13_2</t>
  </si>
  <si>
    <t>17.05.P4-9.842-13_6</t>
  </si>
  <si>
    <t>17.05.P4-9.842-13_7</t>
  </si>
  <si>
    <t>17.05.P4-9.842-13_8</t>
  </si>
  <si>
    <t>17.05.P4-9.842-13_9</t>
  </si>
  <si>
    <t>23.10.P2-11.082-47_1</t>
  </si>
  <si>
    <t>23.10.P2-11.082-47_2</t>
  </si>
  <si>
    <t>COG0612 [FUNC="Predicted Zn-dependent peptidase, M16 family"] [shortName=PqqL] [TAG=R TAGDEF="General function prediction only" PROCESS="POORLY CHARACTERIZED"]  [PATHWAY=""] insulinase family protein [Marivirga tractuosa]</t>
  </si>
  <si>
    <t>Protease 3 n=1 Tax=Pseudoalteromonas amylolytica TaxID=1859457 RepID=A0A1S1MYT3_9GAMM</t>
  </si>
  <si>
    <t>23.10.P2-11.082-47_5</t>
  </si>
  <si>
    <t>23.10.P2-2.574-18_1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</si>
  <si>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DNA-dependent ATPase, SNF2 family protein [Planktothrix agardhii NIES-204]</t>
  </si>
  <si>
    <t>NTPase/helicase n=1 Tax=Adoxophyes honmai entomopoxvirus 'L' TaxID=1293540 RepID=A0A916KPE8_9POXV</t>
  </si>
  <si>
    <t>23.10.P2-2.854-5.4_3</t>
  </si>
  <si>
    <t>Transcription initiation factor IIB n=1 Tax=Iridovirus LCIVAC01 TaxID=2506607 RepID=A0A481YQ99_9VIRU</t>
  </si>
  <si>
    <t>23.10.P2-2.854-5.4_4</t>
  </si>
  <si>
    <t>sp|Q196X0|RPB1_IIV3 Probable DNA-directed RNA polymerase II subunit RPB1 homolog OS=Invertebrate iridescent virus 3 OX=345201 GN=IIV3-090L PE=3 SV=1</t>
  </si>
  <si>
    <t>COG0086 [FUNC="DNA-directed RNA polymerase, beta' subunit/160 kD subunit"] [shortName=RpoC] [TAG=K TAGDEF="Transcription" PROCESS="INFORMATION STORAGE AND PROCESSING"]  [PATHWAY="RNA polymerase"] DNA-directed RNA polymerase, subunit A' [Ignisphaera aggregans DSM 17230]</t>
  </si>
  <si>
    <t>DNA-directed RNA polymerase n=1 Tax=Iridovirus LCIVAC01 TaxID=2506607 RepID=A0A481YQ70_9VIRU</t>
  </si>
  <si>
    <t>23.10.P2-2.972-40_3</t>
  </si>
  <si>
    <t>sp|Q5UQM2|ROBIN_MIMIV Robin OS=Acanthamoeba polyphaga mimivirus OX=212035 GN=MIMI_R420 PE=4 SV=1</t>
  </si>
  <si>
    <t>VOG25582 [FUNC="sp|Q5UQM2|ROBIN_MIMIV Robin"] [TAG=Xu TAGDEF="Function unknown"]</t>
  </si>
  <si>
    <t>FNIP repeat protein n=1 Tax=Moumouvirus australiensis TaxID=2109587 RepID=A0A2P1ELK2_9VIRU</t>
  </si>
  <si>
    <t>23.10.P2-3.002-2.7_1</t>
  </si>
  <si>
    <t>sp|Q196U0|DPOL_IIV3 DNA polymerase 120R OS=Invertebrate iridescent virus 3 OX=345201 GN=IIV3-120R PE=3 SV=1</t>
  </si>
  <si>
    <t>DNA-directed DNA polymerase n=1 Tax=Marseillevirus LCMAC102 TaxID=2506603 RepID=A0A481YU84_9VIRU</t>
  </si>
  <si>
    <t>23.10.P2-4.158-10_2</t>
  </si>
  <si>
    <t>F-box domain-containing protein n=3 Tax=Moumouvirus TaxID=985782 RepID=A0A1S5V1D9_9VIRU</t>
  </si>
  <si>
    <t>23.10.P2-4.158-10_8</t>
  </si>
  <si>
    <t>GIY-YIG domain-containing protein n=1 Tax=Dishui Lake large algae virus 1 TaxID=2704073 RepID=A0A6G6XPX3_9VIRU</t>
  </si>
  <si>
    <t>23.10.P2-4.731-39_10</t>
  </si>
  <si>
    <t>COG0417 [FUNC="DNA polymerase B elongation subunit"] [shortName=PolB] [TAG=L TAGDEF="Replication, recombination and repair" PROCESS="INFORMATION STORAGE AND PROCESSING"]  [PATHWAY=""] hypothetical protein [Halorussus sp. RC-68]</t>
  </si>
  <si>
    <t>23.10.P2-4.731-39_3</t>
  </si>
  <si>
    <t>23.10.P2-4.731-39_5</t>
  </si>
  <si>
    <t>23.10.P2-4.731-39_8</t>
  </si>
  <si>
    <t>23.10.P2-5.032-48_1</t>
  </si>
  <si>
    <t>23.10.P2-5.032-48_3</t>
  </si>
  <si>
    <t>23.10.P2-7.012-19_1</t>
  </si>
  <si>
    <t>COG4257 [FUNC="Streptogramin lyase"] [shortName=Vgb] [TAG=V TAGDEF="Defense mechanisms" PROCESS="CELLULAR PROCESSES AND SIGNALING"]  [PATHWAY=""] NHL repeat containing protein [Pseudopedobacter saltans]</t>
  </si>
  <si>
    <t>Uncharacterized protein n=1 Tax=Leptospira hartskeerlii TaxID=2023177 RepID=A0A2M9X9Q3_9LEPT</t>
  </si>
  <si>
    <t>23.10.P2-7.012-19_2</t>
  </si>
  <si>
    <t>sp|Q196Y4|VF369_IIV3 Probable RAD2-like endonuclease 076L OS=Invertebrate iridescent virus 3 OX=345201 GN=IIV3-076L PE=3 SV=1</t>
  </si>
  <si>
    <t>Flap endonuclease 1-A n=1 Tax=Invertebrate iridovirus 22 TaxID=1301279 RepID=S6DA51_9VIRU</t>
  </si>
  <si>
    <t>23.10.P2-9.434-3.8_1</t>
  </si>
  <si>
    <t>sp|Q8LB33|FB330_ARATH F-box protein At3g58530 OS=Arabidopsis thaliana OX=3702 GN=At3g58530 PE=2 SV=1</t>
  </si>
  <si>
    <t>NLR, CARD domain-containing protein 3 n=1 Tax=Pycnococcus provasolii TaxID=41880 RepID=A0A830HJJ8_9CHLO</t>
  </si>
  <si>
    <t>23.10.P2-9.434-3.8_10</t>
  </si>
  <si>
    <t>F-box domain-containing protein n=1 Tax=Cuscuta australis TaxID=267555 RepID=A0A328DEN9_9ASTE</t>
  </si>
  <si>
    <t>23.10.P2-9.434-3.8_3</t>
  </si>
  <si>
    <t>mRNA capping enzyme with OTU-like cysteine protease n=1 Tax=Marseillevirus LCMAC102 TaxID=2506603 RepID=A0A481YUA0_9VIRU</t>
  </si>
  <si>
    <t>23.10.P4-2.478-38_1</t>
  </si>
  <si>
    <t>DUF4116 domain-containing protein n=1 Tax=Phocaeicola sartorii TaxID=671267 RepID=R9HYY7_9BACT</t>
  </si>
  <si>
    <t>23.10.P4-2.478-38_3</t>
  </si>
  <si>
    <t>COG0420 [FUNC="DNA repair exonuclease SbcCD nuclease subunit"] [shortName=SbcD] [TAG=L TAGDEF="Replication, recombination and repair" PROCESS="INFORMATION STORAGE AND PROCESSING"]  [PATHWAY=""] serine/threonine protein phosphatase [Cardiobacterium hominis]</t>
  </si>
  <si>
    <t>23.10.P4-2.534-2.5_1</t>
  </si>
  <si>
    <t>DNA topoisomerase n=1 Tax=Mimivirus LCMiAC01 TaxID=2506608 RepID=A0A481Z0P0_9VIRU</t>
  </si>
  <si>
    <t>23.10.P4-2.607-3.4_1</t>
  </si>
  <si>
    <t>sp|P68614|PG160_VACCC DNA packaging protein OPG160 OS=Vaccinia virus (strain Copenhagen) OX=10249 GN=OPG160 PE=3 SV=2</t>
  </si>
  <si>
    <t>COG1674 [FUNC="DNA segregation ATPase FtsK/SpoIIIE or related protein"] [shortName=FtsK] [TAG=D TAGDEF="Cell cycle control, cell division, chromosome partitioning" PROCESS="CELLULAR PROCESSES AND SIGNALING"]  [PATHWAY=""] DNA translocase FtsK [Acetobacterium woodii]</t>
  </si>
  <si>
    <t>Putative DNA (Cytosine-5)-methyltransferase n=1 Tax=Symbiodinium microadriaticum TaxID=2951 RepID=A0A1Q9EQ30_SYMMI</t>
  </si>
  <si>
    <t>23.10.P4-2.607-3.4_2</t>
  </si>
  <si>
    <t>23.10.P4-2.607-3.4_3</t>
  </si>
  <si>
    <t>23.10.P4-2.607-3.4_4</t>
  </si>
  <si>
    <t>23.10.P4-3.306-5.0_2</t>
  </si>
  <si>
    <t>Ankyrin repeat domain-containing protein n=1 Tax=Faecalicoccus pleomorphus TaxID=1323 RepID=A0A380LQ54_9FIRM</t>
  </si>
  <si>
    <t>23.10.P4-3.306-5.0_3</t>
  </si>
  <si>
    <t>sp|P40974|PUO_KOCRO Putrescine oxidase OS=Kocuria rosea OX=1275 GN=puo PE=1 SV=1</t>
  </si>
  <si>
    <t>COG3380 [FUNC="Predicted NAD/FAD-dependent oxidoreductase"] [shortName=] [TAG=R TAGDEF="General function prediction only" PROCESS="POORLY CHARACTERIZED"]  [PATHWAY=""] FAD-dependent oxidoreductase [Trichodesmium erythraeum]</t>
  </si>
  <si>
    <t>23.10.P4-3.306-5.0_4</t>
  </si>
  <si>
    <t>sp|P25333|HAL4_YEAST Serine/threonine-protein kinase HAL4/SAT4 OS=Saccharomyces cerevisiae (strain ATCC 204508 / S288c) OX=559292 GN=SAT4 PE=1 SV=1</t>
  </si>
  <si>
    <t>KOG0590 [FUNC="Checkpoint kinase and related serine/threonine protein kinases"] [shortName=] [TAG=D TAGDEF="Cell cycle control, cell division, chromosome partitioning" PROCESS="CELLULAR PROCESSES AND SIGNALING"]  [PATHWAY=""]</t>
  </si>
  <si>
    <t>Protein kinase domain-containing protein n=1 Tax=Apophysomyces sp. BC1034 TaxID=2184029 RepID=A0A9P6PFL6_9FUNG</t>
  </si>
  <si>
    <t>23.10.P4-3.428-8.5_4</t>
  </si>
  <si>
    <t>sp|P19838|NFKB1_HUMAN Nuclear factor NF-kappa-B p105 subunit OS=Homo sapiens OX=9606 GN=NFKB1 PE=1 SV=2</t>
  </si>
  <si>
    <t>COG0666 [FUNC="Ankyrin repeat"] [shortName=ANKYR] [TAG=T TAGDEF="Signal transduction mechanisms" PROCESS="CELLULAR PROCESSES AND SIGNALING"]  [PATHWAY=""] hypothetical protein [bacterium endosymbiont of Mortierella elongata FMR23-6]</t>
  </si>
  <si>
    <t>SKP1 component POZ domain-containing protein n=1 Tax=Trichogramma brassicae TaxID=86971 RepID=A0A6H5HXN4_9HYME</t>
  </si>
  <si>
    <t>23.10.P4-3.428-8.5_5</t>
  </si>
  <si>
    <t>23.10.P4-3.534-5.7_1</t>
  </si>
  <si>
    <t>sp|Q69025|DPOL_GPCMV DNA polymerase OS=Guinea pig cytomegalovirus (strain 22122) OX=103920 GN=UL54 PE=3 SV=3</t>
  </si>
  <si>
    <t>DNA-directed DNA polymerase n=1 Tax=Blyttiomyces helicus TaxID=388810 RepID=A0A4V1ISB8_9FUNG</t>
  </si>
  <si>
    <t>23.10.P4-3.534-5.7_3</t>
  </si>
  <si>
    <t>Uncharacterized protein n=1 Tax=Mimivirus AB-566-O17 TaxID=1988039 RepID=A0A1X9VNT2_9VIRU</t>
  </si>
  <si>
    <t>23.10.P4-3.534-5.7_4</t>
  </si>
  <si>
    <t>DNA-directed DNA polymerase n=1 Tax=Moumouvirus maliensis TaxID=2682469 RepID=A0A650DB50_9VIRU</t>
  </si>
  <si>
    <t>23.10.P4-3.534-5.7_5</t>
  </si>
  <si>
    <t>23.10.P4-4.478-8.2_1</t>
  </si>
  <si>
    <t>Uncharacterized protein n=1 Tax=Mucochytrium quahogii TaxID=96639 RepID=A0A7S2RRN6_9STRA</t>
  </si>
  <si>
    <t>23.10.P4-4.478-8.2_2</t>
  </si>
  <si>
    <t>COG2827 [FUNC="Predicted endonuclease, GIY-YIG superfamily"] [shortName=YhbQ] [TAG=L TAGDEF="Replication, recombination and repair" PROCESS="INFORMATION STORAGE AND PROCESSING"]  [PATHWAY=""] GIY-YIG nuclease family protein [Magnetospira sp. QH-2]</t>
  </si>
  <si>
    <t>23.10.P4-4.478-8.2_5</t>
  </si>
  <si>
    <t>MSV199 domain-containing protein n=1 Tax=Tetrabaena socialis TaxID=47790 RepID=A0A2J8AJ36_9CHLO</t>
  </si>
  <si>
    <t>23.10.P4-4.478-8.2_6</t>
  </si>
  <si>
    <t>COG3617 [FUNC="Prophage antirepressor"] [shortName=] [TAG=X TAGDEF="Mobilome: prophages, transposons" PROCESS=""]  [PATHWAY=""] prophage antirepressor [Cyanothece sp. PCC 7822]</t>
  </si>
  <si>
    <t>DUF559 domain-containing protein n=1 Tax=Tribonema minus TaxID=303371 RepID=A0A835Z871_9STRA</t>
  </si>
  <si>
    <t>23.10.P4-4.478-8.2_9</t>
  </si>
  <si>
    <t>sp|P34877|MTSA_LACLC Type II methyltransferase M1.ScrFI OS=Lactococcus lactis subsp. cremoris OX=1359 GN=scrFIAM PE=3 SV=1</t>
  </si>
  <si>
    <t>COG0270 [FUNC="DNA-cytosine methylase"] [shortName=Dcm] [TAG=L TAGDEF="Replication, recombination and repair" PROCESS="INFORMATION STORAGE AND PROCESSING"]  [PATHWAY=""] DNA (cytosine-5-)-methyltransferase [Bernardetia litoralis]</t>
  </si>
  <si>
    <t>Putative DNA cytosine-5--methyltransferase n=1 Tax=Mimivirus AB-566-O17 TaxID=1988039 RepID=A0A1X9VNN7_9VIRU</t>
  </si>
  <si>
    <t>23.10.P4-5.278-3.2_3</t>
  </si>
  <si>
    <t>VOG00136 [FUNC="REFSEQ hypothetical protein"] [TAG=Xu TAGDEF="Function unknown"]</t>
  </si>
  <si>
    <t>Uncharacterized protein n=1 Tax=Pelagibacter phage HTVC025P TaxID=2259657 RepID=A0A4Y1NU64_9CAUD</t>
  </si>
  <si>
    <t>23.10.P4-5.278-3.2_4</t>
  </si>
  <si>
    <t>VOG06346 [FUNC="REFSEQ hypothetical protein"] [TAG=Xu TAGDEF="Function unknown"]</t>
  </si>
  <si>
    <t>Uncharacterized protein n=2 Tax=Viruses TaxID=10239 RepID=A0A7S9XE23_9VIRU</t>
  </si>
  <si>
    <t>23.10.P4-5.278-3.2_5</t>
  </si>
  <si>
    <t>VOG24535 [FUNC="REFSEQ co-chaperonin GroES"] [TAG=Xu TAGDEF="Function unknown"]</t>
  </si>
  <si>
    <t>10kDa chaperonin n=1 Tax=Podoviridae sp. ctrTa16 TaxID=2656715 RepID=A0A5Q2WAA0_9CAUD</t>
  </si>
  <si>
    <t>23.10.P4-5.278-3.2_6</t>
  </si>
  <si>
    <t>Uncharacterized protein n=2 Tax=Viruses TaxID=10239 RepID=A0A7S9SUC1_9VIRU</t>
  </si>
  <si>
    <t>23.10.P4-5.278-3.2_7</t>
  </si>
  <si>
    <t>VOG03196 [FUNC="REFSEQ terminase large subunit"] [TAG=Xu TAGDEF="Function unknown"]</t>
  </si>
  <si>
    <t>Terminase n=1 Tax=Podoviridae sp. ctrTa16 TaxID=2656715 RepID=A0A5Q2W3V0_9CAUD</t>
  </si>
  <si>
    <t>23.10.P4-5.278-3.2_8</t>
  </si>
  <si>
    <t>VOG12009 [FUNC="REFSEQ portal protein"] [TAG=Xu TAGDEF="Function unknown"]</t>
  </si>
  <si>
    <t>Portal protein n=1 Tax=Pusillimonas sp. (ex Stolz et al. 2005) TaxID=1979962 RepID=A0A2D7XEP4_9BURK</t>
  </si>
  <si>
    <t>23.10.P4-5.324-21_5</t>
  </si>
  <si>
    <t>sp|Q757J8|IPYR_EREGS Inorganic pyrophosphatase OS=Eremothecium gossypii (strain ATCC 10895 / CBS 109.51 / FGSC 9923 / NRRL Y-1056) OX=284811 GN=IPP1 PE=3 SV=1</t>
  </si>
  <si>
    <t>KOG1626 [FUNC="Inorganic pyrophosphatase/Nucleosome remodeling factor, subunit NURF38"] [shortName=] [TAG=C TAGDEF="Energy production and conversion" PROCESS="METABOLISM"]  [PATHWAY=""]</t>
  </si>
  <si>
    <t>inorganic diphosphatase n=1 Tax=Symbiodinium natans TaxID=878477 RepID=A0A812SBR3_9DINO</t>
  </si>
  <si>
    <t>23.10.P4-5.324-21_6</t>
  </si>
  <si>
    <t>sp|Q8T8E6|MCA3_TRYBB Metacaspase-3 OS=Trypanosoma brucei brucei OX=5702 GN=MCA3 PE=1 SV=1</t>
  </si>
  <si>
    <t>Caspase n=1 Tax=Fadolivirus 1 TaxID=2740746 RepID=A0A7D3UU47_9VIRU</t>
  </si>
  <si>
    <t>23.10.P4-6.121-4.9_1</t>
  </si>
  <si>
    <t>sp|P00970|DNLI_BPT4 DNA ligase OS=Enterobacteria phage T4 OX=10665 GN=30 PE=1 SV=1</t>
  </si>
  <si>
    <t>DNA ligase n=1 Tax=Ostreococcus lucimarinus virus 1 TaxID=880162 RepID=E5ERX1_9PHYC</t>
  </si>
  <si>
    <t>23.10.P4-6.121-4.9_5</t>
  </si>
  <si>
    <t>Tail fiber protein n=1 Tax=Synechococcus phage BUCT-ZZ01 TaxID=2951202 RepID=A0A9E7NPQ2_9CAUD</t>
  </si>
  <si>
    <t>23.10.P4-6.121-4.9_7</t>
  </si>
  <si>
    <t>23.10.P4-7.929-17_12</t>
  </si>
  <si>
    <t>sp|Q47282|T1ME_ECOLX Type I restriction enzyme EcoEI methylase subunit OS=Escherichia coli OX=562 GN=hsdM PE=3 SV=1</t>
  </si>
  <si>
    <t>COG0286 [FUNC="Type I restriction-modification system, DNA methylase subunit"] [shortName=HsdM] [TAG=V TAGDEF="Defense mechanisms" PROCESS="CELLULAR PROCESSES AND SIGNALING"]  [PATHWAY=""] type I restriction-modification system methylation subunit [Haloferax volcanii]</t>
  </si>
  <si>
    <t>23.10.P4-7.929-17_5</t>
  </si>
  <si>
    <t>COG2849 [FUNC="Antitoxin component YwqK of the YwqJK toxin-antitoxin module"] [shortName=YwqK] [TAG=V TAGDEF="Defense mechanisms" PROCESS="CELLULAR PROCESSES AND SIGNALING"]  [PATHWAY=""] hypothetical protein [Leminorella richardii]</t>
  </si>
  <si>
    <t>Uncharacterized protein n=1 Tax=Acanthamoeba polyphaga mimivirus TaxID=212035 RepID=A0A0G2Y5I6_MIMIV</t>
  </si>
  <si>
    <t>23.10.P4-7.929-17_6</t>
  </si>
  <si>
    <t>Uncharacterized protein n=1 Tax=Megavirus baoshan TaxID=2496520 RepID=A0A3S8UXY0_9VIRU</t>
  </si>
  <si>
    <t>23.10.P4-8.419-30_1</t>
  </si>
  <si>
    <t>Uncharacterized protein n=1 Tax=Klosneuvirus KNV1 TaxID=1977640 RepID=A0A1V0SHZ2_9VIRU</t>
  </si>
  <si>
    <t>23.10.P4-8.419-30_12</t>
  </si>
  <si>
    <t>Uncharacterized protein n=1 Tax=Catovirus CTV1 TaxID=1977631 RepID=A0A1V0SBI8_9VIRU</t>
  </si>
  <si>
    <t>23.10.P4-8.419-30_3</t>
  </si>
  <si>
    <t>sp|O15084|ANR28_HUMAN Serine/threonine-protein phosphatase 6 regulatory ankyrin repeat subunit A OS=Homo sapiens OX=9606 GN=ANKRD28 PE=1 SV=5</t>
  </si>
  <si>
    <t>COG0666 [FUNC="Ankyrin repeat"] [shortName=ANKYR] [TAG=T TAGDEF="Signal transduction mechanisms" PROCESS="CELLULAR PROCESSES AND SIGNALING"]  [PATHWAY=""] serine/threonine protein kinase [Oscillatoria nigro-viridis]</t>
  </si>
  <si>
    <t>Uncharacterized protein n=1 Tax=Monosporascus sp. 5C6A TaxID=2211642 RepID=A0A4Q4XI18_9PEZI</t>
  </si>
  <si>
    <t>23.10.P4-8.419-30_4</t>
  </si>
  <si>
    <t>VOG04302 [FUNC="REFSEQ putative ORFan"] [TAG=Xu TAGDEF="Function unknown"]</t>
  </si>
  <si>
    <t>7tm chemosensory receptor/ankyrin repeat domain-containing protein n=1 Tax=Bodo saltans virus TaxID=2024608 RepID=A0A2H4UUI3_9VIRU</t>
  </si>
  <si>
    <t>23.10.P4-8.419-30_8</t>
  </si>
  <si>
    <t>Uncharacterized protein n=1 Tax=Yasminevirus sp. GU-2018 TaxID=2420051 RepID=A0A5K0UA33_9VIRU</t>
  </si>
  <si>
    <t>Avril.NODE_1008_length_2716_cov_54.325442_1</t>
  </si>
  <si>
    <t>Virulence-associated protein E-like domain-containing protein n=1 Tax=Pseudo-nitzschia multiseries DNA virus TaxID=2364897 RepID=A0A678W351_9VIRU</t>
  </si>
  <si>
    <t>Avril.NODE_1008_length_2716_cov_54.325442_3</t>
  </si>
  <si>
    <t>Uncharacterized protein n=1 Tax=Pseudo-nitzschia multiseries DNA virus TaxID=2364897 RepID=A0A678W2Z9_9VIRU</t>
  </si>
  <si>
    <t>Avril.NODE_1008_length_2716_cov_54.325442_4</t>
  </si>
  <si>
    <t>Helix-turn-helix domain-containing protein n=1 Tax=Spiribacter salinus TaxID=1335746 RepID=A0A540VH37_9GAMM</t>
  </si>
  <si>
    <t>Avril.NODE_1008_length_2716_cov_54.325442_5</t>
  </si>
  <si>
    <t>sp|P44184|Y1410_HAEIN Uncharacterized protein HI_1410 OS=Haemophilus influenzae (strain ATCC 51907 / DSM 11121 / KW20 / Rd) OX=71421 GN=HI_1410 PE=1 SV=1</t>
  </si>
  <si>
    <t>COG1783 [FUNC="Phage terminase large subunit"] [shortName=XtmB] [TAG=X TAGDEF="Mobilome: prophages, transposons" PROCESS=""]  [PATHWAY=""] PBSX family phage terminase large subunit [Providencia stuartii]</t>
  </si>
  <si>
    <t>VOG00108 [FUNC="sp|P17312|TERL_BPT4 Terminase, large subunit"] [TAG=Xh TAGDEF="Virus protein with function beneficial for the host"]</t>
  </si>
  <si>
    <t>Putative phage protein n=1 Tax=Xenorhabdus poinarii G6 TaxID=1354304 RepID=A0A068R1W5_9GAMM</t>
  </si>
  <si>
    <t>Avril.NODE_1246_length_2370_cov_3.538229_1</t>
  </si>
  <si>
    <t>sp|B0FIN6|EXO74_BPE32 3'-5' exonuclease gp74 OS=Escherichia phage Phieco32 OX=2679905 GN=74 PE=4 SV=1</t>
  </si>
  <si>
    <t>COG0749 [FUNC="DNA polymerase I, 3'-5' exonuclease and polymerase domains"] [shortName=PolA] [TAG=L TAGDEF="Replication, recombination and repair" PROCESS="INFORMATION STORAGE AND PROCESSING"]  [PATHWAY=""] DNA polymerase [Azorhizobium caulinodans]</t>
  </si>
  <si>
    <t>VOG00272 [FUNC="sp|O64235|DPOL_BPMD2 DNA polymerase"] [TAG=Xh TAGDEF="Virus protein with function beneficial for the host"]</t>
  </si>
  <si>
    <t>DNA polymerase I n=2 Tax=unclassified Paundecimvirus TaxID=2852667 RepID=A0A8F2IH72_9CAUD</t>
  </si>
  <si>
    <t>Avril.NODE_1246_length_2370_cov_3.538229_2</t>
  </si>
  <si>
    <t>VOG05277 [FUNC="REFSEQ hypothetical protein"] [TAG=Xu TAGDEF="Function unknown"]</t>
  </si>
  <si>
    <t>Uncharacterized protein n=1 Tax=Cereibacter sphaeroides TaxID=1063 RepID=A0A2W5S883_CERSP</t>
  </si>
  <si>
    <t>Avril.NODE_1246_length_2370_cov_3.538229_3</t>
  </si>
  <si>
    <t>DNA-directed DNA polymerase n=1 Tax=Skeletonema virus LDF-2015a TaxID=1769778 RepID=A0A1B1IHY9_9VIRU</t>
  </si>
  <si>
    <t>Avril.NODE_1303_length_2293_cov_3.393208_2</t>
  </si>
  <si>
    <t>sp|P03692|HELIC_BPT7 DNA helicase/primase OS=Escherichia phage T7 OX=10760 GN=4 PE=1 SV=1</t>
  </si>
  <si>
    <t>COG0305 [FUNC="Replicative DNA helicase"] [shortName=DnaB] [TAG=L TAGDEF="Replication, recombination and repair" PROCESS="INFORMATION STORAGE AND PROCESSING"]  [PATHWAY=""] DNA primase [Neorhizobium galegae]</t>
  </si>
  <si>
    <t>VOG03960 [FUNC="sp|P04530|HELIC_BPT4 DnaB-like replicative helicase"] [TAG=Xh TAGDEF="Virus protein with function beneficial for the host"]</t>
  </si>
  <si>
    <t>DNA primase/helicase n=1 Tax=Skeletonema virus LDF-2015a TaxID=1769778 RepID=A0A1B1II04_9VIRU</t>
  </si>
  <si>
    <t>Avril.NODE_1324_length_2263_cov_21.358243_1</t>
  </si>
  <si>
    <t>Uncharacterized protein n=1 Tax=Symbiodinium necroappetens TaxID=1628268 RepID=A0A812YW42_9DINO</t>
  </si>
  <si>
    <t>Avril.NODE_1422_length_2168_cov_3.617132_1</t>
  </si>
  <si>
    <t>Unnamed protein product n=1 Tax=Phytophthora lilii TaxID=2077276 RepID=A0A9W6YHV2_9STRA</t>
  </si>
  <si>
    <t>Avril.NODE_1523_length_2057_cov_44.481518_1</t>
  </si>
  <si>
    <t>VOG00273 [FUNC="sp|P20313|SSB_BPT3 Single-stranded DNA-binding protein"] [TAG=Xr TAGDEF="Virus replication"]</t>
  </si>
  <si>
    <t>Uncharacterized protein n=1 Tax=Pseudo-nitzschia multiseries DNA virus TaxID=2364897 RepID=A0A678W383_9VIRU</t>
  </si>
  <si>
    <t>Avril.NODE_1523_length_2057_cov_44.481518_2</t>
  </si>
  <si>
    <t>COG0417 [FUNC="DNA polymerase B elongation subunit"] [shortName=PolB] [TAG=L TAGDEF="Replication, recombination and repair" PROCESS="INFORMATION STORAGE AND PROCESSING"]  [PATHWAY=""] hypothetical protein [Desulfotomaculum gibsoniae]</t>
  </si>
  <si>
    <t>VOG04714 [FUNC="REFSEQ DNA polymerase"] [TAG=Xu TAGDEF="Function unknown"]</t>
  </si>
  <si>
    <t>Putative DNA polymerase B n=1 Tax=Pseudo-nitzschia multiseries DNA virus TaxID=2364897 RepID=A0A678W354_9VIRU</t>
  </si>
  <si>
    <t>Avril.NODE_456_length_5147_cov_6.139631_1</t>
  </si>
  <si>
    <t>COG4397 [FUNC="Mu-like prophage major head subunit gpT"] [shortName=gpT] [TAG=X TAGDEF="Mobilome: prophages, transposons" PROCESS=""]  [PATHWAY=""] peptidase U35 [Leptothrix cholodnii]</t>
  </si>
  <si>
    <t>Mu-like prophage major head subunit gpT n=1 Tax=Pelotomaculum sp. PtaB.Bin104 TaxID=1811693 RepID=A0A1V4VVD3_9FIRM</t>
  </si>
  <si>
    <t>Avril.NODE_456_length_5147_cov_6.139631_2</t>
  </si>
  <si>
    <t>Uncharacterized protein n=1 Tax=Marseillevirus LCMAC102 TaxID=2506603 RepID=A0A481YTM8_9VIRU</t>
  </si>
  <si>
    <t>Avril.NODE_544_length_4410_cov_4.284960_3</t>
  </si>
  <si>
    <t>COG3772 [FUNC="Phage-related lysozyme (muramidase), GH24 family"] [shortName=RrrD] [TAG=M TAGDEF="Cell wall/membrane/envelope biogenesis" PROCESS="CELLULAR PROCESSES AND SIGNALING"]  [PATHWAY=""] lysozyme [Pannonibacter phragmitetus]</t>
  </si>
  <si>
    <t>Phage-related lysozyme (Muramidase), GH24 family n=1 Tax=Paramuricea clavata TaxID=317549 RepID=A0A7D9K358_PARCT</t>
  </si>
  <si>
    <t>Avril.NODE_828_length_3201_cov_4.794024_5</t>
  </si>
  <si>
    <t>VOG04832 [FUNC="REFSEQ hypothetical protein"] [TAG=Xu TAGDEF="Function unknown"]</t>
  </si>
  <si>
    <t>FCP1 homology domain-containing protein n=1 Tax=Compsopogon caeruleus TaxID=31354 RepID=A0A7S1TH69_9RHOD</t>
  </si>
  <si>
    <t>Avril.NODE_828_length_3201_cov_4.794024_6</t>
  </si>
  <si>
    <t>DNA (Cytosine-5)-methyltransferase 1 n=1 Tax=Nitrosospira sp. Nsp11 TaxID=1855338 RepID=A0A1M7ARQ2_9PROT</t>
  </si>
  <si>
    <t>Avril.NODE_831_length_3191_cov_4.944196_1</t>
  </si>
  <si>
    <t>sp|P49861|CAPSD_BPHK7 Major capsid protein OS=Enterobacteria phage HK97 OX=2681617 GN=5 PE=1 SV=1</t>
  </si>
  <si>
    <t>COG4653 [FUNC="Predicted phage phi-C31 gp36 major capsid-like protein"] [shortName=gp36] [TAG=X TAGDEF="Mobilome: prophages, transposons" PROCESS=""]  [PATHWAY=""] phage major capsid protein [Brenneria goodwinii]</t>
  </si>
  <si>
    <t>VOG34204 [FUNC="sp|P19727|CAPSB_BPT7 Minor capsid protein"] [TAG=Xr TAGDEF="Virus replication"]</t>
  </si>
  <si>
    <t>Phage major capsid protein n=2 Tax=Tianweitania sediminis TaxID=1502156 RepID=A0A8J7R1G4_9HYPH</t>
  </si>
  <si>
    <t>Avril.NODE_831_length_3191_cov_4.944196_2</t>
  </si>
  <si>
    <t>Uncharacterized protein n=1 Tax=Gracilimonas sediminicola TaxID=2952158 RepID=A0A9X2L0G6_9BACT</t>
  </si>
  <si>
    <t>Avril.NODE_938_length_2901_cov_3.727337_1</t>
  </si>
  <si>
    <t>Uncharacterized protein (Fragment) n=1 Tax=Anophryoides haemophila TaxID=46462 RepID=A0A7S3ICQ2_9CILI</t>
  </si>
  <si>
    <t>DNAUV-15.731-96_16</t>
  </si>
  <si>
    <t>Uncharacterized protein n=1 Tax=Triparma laevis f. longispina TaxID=1714387 RepID=A0A9W7F5N7_9STRA</t>
  </si>
  <si>
    <t>DNAUV-15.731-96_2</t>
  </si>
  <si>
    <t>Uncharacterized protein n=1 Tax=Triparma laevis f. longispina TaxID=1714387 RepID=A0A9W7F4R8_9STRA</t>
  </si>
  <si>
    <t>DNAUV-15.731-96_8</t>
  </si>
  <si>
    <t>sp|Q5UP78|YR001_MIMIV Putative replication origin-binding protein OS=Acanthamoeba polyphaga mimivirus OX=212035 GN=MIMI_R1 PE=3 SV=1</t>
  </si>
  <si>
    <t>VOG00017 [FUNC="sp|Q8YTC2|Y2800_NOSS1 Uncharacterized WD repeat-containing protein alr2800"] [TAG=Xu TAGDEF="Function unknown"]</t>
  </si>
  <si>
    <t>Replication origin-binding protein n=1 Tax=Yellowstone Lake virophage 7 TaxID=1557035 RepID=A0A0A0RKB1_9VIRU</t>
  </si>
  <si>
    <t>DNAUV-19.420-41_13</t>
  </si>
  <si>
    <t>sp|Q56598|GM4D_VIBCL GDP-mannose 4,6-dehydratase OS=Vibrio cholerae OX=666 GN=gmd PE=3 SV=2</t>
  </si>
  <si>
    <t>COG1089 [FUNC="GDP-D-mannose dehydratase"] [shortName=Gmd] [TAG=M TAGDEF="Cell wall/membrane/envelope biogenesis" PROCESS="CELLULAR PROCESSES AND SIGNALING"]  [PATHWAY=""] GDP-mannose 4,6-dehydratase [[Clostridium] stercorarium]</t>
  </si>
  <si>
    <t>GDP-mannose 4,6-dehydratase n=1 Tax=Thermoanaerobaculum aquaticum TaxID=1312852 RepID=A0A062XRY9_9BACT</t>
  </si>
  <si>
    <t>DNAUV-19.420-41_15</t>
  </si>
  <si>
    <t>COG3378 [FUNC="DNA primase, phage- or plasmid-associated"] [shortName=] [TAG=X TAGDEF="Mobilome: prophages, transposons" PROCESS=""]  [PATHWAY=""] hypothetical protein [Nitrosococcus halophilus]</t>
  </si>
  <si>
    <t>VOG01092 [FUNC="REFSEQ DNA primase"] [TAG=Xu TAGDEF="Function unknown"]</t>
  </si>
  <si>
    <t>Uncharacterized protein n=1 Tax=Kangsaoukella pontilimi TaxID=2691042 RepID=A0A7C9MCY4_9RHOB</t>
  </si>
  <si>
    <t>DNAUV-19.420-41_22</t>
  </si>
  <si>
    <t>GIY-YIG domain-containing protein n=1 Tax=Klosneuvirus KNV1 TaxID=1977640 RepID=A0A1V0SKY7_9VIRU</t>
  </si>
  <si>
    <t>DNAUV-19.420-41_28</t>
  </si>
  <si>
    <t>AAA+ ATPase domain-containing protein n=1 Tax=Pusillimonas sp. (ex Stolz et al. 2005) TaxID=1979962 RepID=A0A2D7XED7_9BURK</t>
  </si>
  <si>
    <t>DNAUV-2.001-196_1</t>
  </si>
  <si>
    <t>sp|M5AAG8|POL_BPNNR DNA Primase-polymerase OS=Nitratiruptor phage NrS-1 OX=1230469 GN=28 PE=1 SV=1</t>
  </si>
  <si>
    <t>COG4643 [FUNC="Uncharacterized domain associated with phage/plasmid primase"] [shortName=] [TAG=X TAGDEF="Mobilome: prophages, transposons" PROCESS=""]  [PATHWAY=""] hypothetical protein [Hydrogenovibrio crunogenus]</t>
  </si>
  <si>
    <t>Putative DNA primase/polymerase n=1 Tax=Organic Lake virophage TaxID=938080 RepID=F2Y0M9_9VIRU</t>
  </si>
  <si>
    <t>DNAUV-2.077-14_10</t>
  </si>
  <si>
    <t>COG5511 [FUNC="Phage capsid protein"] [shortName=] [TAG=X TAGDEF="Mobilome: prophages, transposons" PROCESS=""]  [PATHWAY=""] phage portal protein [Pseudogulbenkiania sp. NH8B]</t>
  </si>
  <si>
    <t>VOG01384 [FUNC="sp|P03710|PORTL_LAMBD Portal protein B"] [TAG=Xp TAGDEF="Virus protein with function beneficial for the virus"]</t>
  </si>
  <si>
    <t>Phage portal protein, lambda family n=1 Tax=Thalassobius litoralis TaxID=1010611 RepID=A0A521FS39_9RHOB</t>
  </si>
  <si>
    <t>DNAUV-2.077-14_7</t>
  </si>
  <si>
    <t>COG5525 [FUNC="Phage terminase, large subunit GpA"] [shortName=gpA1] [TAG=X TAGDEF="Mobilome: prophages, transposons" PROCESS=""]  [PATHWAY=""] bacteriophage tail assembly protein [Magnetospirillum magneticum]</t>
  </si>
  <si>
    <t>Tail assembly protein n=1 Tax=Emiliania huxleyi virus PS401 TaxID=754068 RepID=G8DH41_9PHYC</t>
  </si>
  <si>
    <t>DNAUV-2.077-14_9</t>
  </si>
  <si>
    <t>COG5511 [FUNC="Phage capsid protein"] [shortName=] [TAG=X TAGDEF="Mobilome: prophages, transposons" PROCESS=""]  [PATHWAY=""] phage portal protein [Blastochloris viridis]</t>
  </si>
  <si>
    <t>Phage portal protein, lambda family n=1 Tax=Mameliella alba TaxID=561184 RepID=A0A0B3RR55_9RHOB</t>
  </si>
  <si>
    <t>DNAUV-2.129-786_1</t>
  </si>
  <si>
    <t>Peptidase S74 domain-containing protein n=2 Tax=Cafeteriavirus-dependent mavirus TaxID=1932923 RepID=A0A1L4BK97_9VIRU</t>
  </si>
  <si>
    <t>DNAUV-2.142-189_2</t>
  </si>
  <si>
    <t>VOG27475 [FUNC="REFSEQ hypothetical protein"] [TAG=Xu TAGDEF="Function unknown"]</t>
  </si>
  <si>
    <t>Uncharacterized protein n=1 Tax=Circovirus-like genome DHCV-2 TaxID=1788451 RepID=A0A190WHD5_9CIRC</t>
  </si>
  <si>
    <t>DNAUV-2.142-189_3</t>
  </si>
  <si>
    <t>sp|Q805H4|REP_PCV1 Replication-associated protein OS=Porcine circovirus 1 OX=133704 GN=Rep PE=3 SV=1</t>
  </si>
  <si>
    <t>VOG00653 [FUNC="sp|Q9IG45|REP_PICV Replication-associated protein"] [TAG=Xh TAGDEF="Virus protein with function beneficial for the host"]</t>
  </si>
  <si>
    <t>Replication associated protein n=1 Tax=Lake Sarah-associated circular virus-1 TaxID=1685735 RepID=A0A140AQJ3_9VIRU</t>
  </si>
  <si>
    <t>DNAUV-2.232-12_4</t>
  </si>
  <si>
    <t>Packaging ATPase n=1 Tax=Bodo saltans virus TaxID=2024608 RepID=A0A2H4UUI1_9VIRU</t>
  </si>
  <si>
    <t>DNAUV-2.239-28_3</t>
  </si>
  <si>
    <t>DUF4326 domain-containing protein n=1 Tax=Lentibacter algarum TaxID=576131 RepID=A0A1H3N270_9RHOB</t>
  </si>
  <si>
    <t>DNAUV-2.239-28_5</t>
  </si>
  <si>
    <t>COG0305 [FUNC="Replicative DNA helicase"] [shortName=DnaB] [TAG=L TAGDEF="Replication, recombination and repair" PROCESS="INFORMATION STORAGE AND PROCESSING"]  [PATHWAY=""] DNA primase [Azorhizobium caulinodans]</t>
  </si>
  <si>
    <t>DNA primase n=1 Tax=Roseobacter phage CRP-6 TaxID=2559285 RepID=A0A646QWG2_9CAUD</t>
  </si>
  <si>
    <t>DNAUV-2.280-1131_2</t>
  </si>
  <si>
    <t>sp|Q9YUD3|REP_BFDV Replication-associated protein OS=Beak and feather disease virus OX=77856 GN=Rep PE=1 SV=1</t>
  </si>
  <si>
    <t>Replication-associated protein n=1 Tax=Avon-Heathcote Estuary associated circular virus 5 TaxID=1618256 RepID=A0A0C5IM93_9CIRC</t>
  </si>
  <si>
    <t>DNAUV-2.280-1131_5</t>
  </si>
  <si>
    <t>VOG00243 [FUNC="sp|P36278|CAPSD_TLCVA Capsid protein"] [TAG=Xp TAGDEF="Virus protein with function beneficial for the virus"]</t>
  </si>
  <si>
    <t>Putative capsid protein n=1 Tax=Avon-Heathcote Estuary associated circular virus 5 TaxID=1618256 RepID=A0A0C5I299_9CIRC</t>
  </si>
  <si>
    <t>DNAUV-2.319-79_6</t>
  </si>
  <si>
    <t>VOG02738 [FUNC="REFSEQ hypothetical protein"] [TAG=Xu TAGDEF="Function unknown"]</t>
  </si>
  <si>
    <t>Ubiquitin-activating enzyme E1 FCCH domain-containing protein n=1 Tax=Skeletonema virus LDF-2015a TaxID=1769778 RepID=A0A1B1IHV3_9VIRU</t>
  </si>
  <si>
    <t>DNAUV-2.319-79_7</t>
  </si>
  <si>
    <t>Uncharacterized protein n=1 Tax=Skeletonema virus LDF-2015a TaxID=1769778 RepID=A0A1B1IHY2_9VIRU</t>
  </si>
  <si>
    <t>DNAUV-2.330-12_1</t>
  </si>
  <si>
    <t>sp|Q67472|DNMT_FRG3G Probable DNA (cytosine-5)-methyltransferase OS=Frog virus 3 (isolate Goorha) OX=654924 GN=FV3-083R PE=1 SV=1</t>
  </si>
  <si>
    <t>COG0270 [FUNC="DNA-cytosine methylase"] [shortName=Dcm] [TAG=L TAGDEF="Replication, recombination and repair" PROCESS="INFORMATION STORAGE AND PROCESSING"]  [PATHWAY=""] DNA cytosine methyltransferase [Halomicrobium mukohataei]</t>
  </si>
  <si>
    <t>Putative cytosine DNA methyltransferase n=1 Tax=Chrysochromulina parva virophage Moe TaxID=2420055 RepID=A0A499S3U9_9VIRU</t>
  </si>
  <si>
    <t>DNAUV-2.330-12_2</t>
  </si>
  <si>
    <t>S3H helicase with TVpol domain n=1 Tax=Chrysochromulina parva virophage Larry TaxID=2420056 RepID=A0A499SAH4_9VIRU</t>
  </si>
  <si>
    <t>DNAUV-2.338-574_7</t>
  </si>
  <si>
    <t>DNAUV-2.369-39_1</t>
  </si>
  <si>
    <t>DNAUV-2.369-39_2</t>
  </si>
  <si>
    <t>sp|Q8BB16|REP_PCV2 Replication-associated protein OS=Porcine circovirus 2 OX=85708 GN=Rep PE=1 SV=1</t>
  </si>
  <si>
    <t>DNAUV-2.425-101_1</t>
  </si>
  <si>
    <t>Regulator of chromosome condensation protein n=1 Tax=Pithovirus LCPAC202 TaxID=2506592 RepID=A0A481Z5Z6_9VIRU</t>
  </si>
  <si>
    <t>DNAUV-2.460-21_1</t>
  </si>
  <si>
    <t>VOG00363 [FUNC="sp|B6UL32|SAV_BPLP2 SaV protein"] [TAG=Xh TAGDEF="Virus protein with function beneficial for the host"]</t>
  </si>
  <si>
    <t>Exonuclease n=1 Tax=Asaia sp. W19 TaxID=2067395 RepID=A0A433WUM2_9PROT</t>
  </si>
  <si>
    <t>DNAUV-2.460-21_3</t>
  </si>
  <si>
    <t>Ribonucleotide reductase of class II n=1 Tax=Xanthomonas phage vB_Xar_IVIA-DoCa3 TaxID=2968248 RepID=A0A976SGC4_9CAUD</t>
  </si>
  <si>
    <t>DNAUV-2.460-21_5</t>
  </si>
  <si>
    <t>Uncharacterized protein n=1 Tax=Virus NIOZ-UU157 TaxID=2763269 RepID=A0A7S9SU83_9VIRU</t>
  </si>
  <si>
    <t>DNAUV-2.500-400_1</t>
  </si>
  <si>
    <t>Peptidase S74 domain-containing protein (Fragment) n=1 Tax=Phaeocystis globosa virus 12T TaxID=755273 RepID=G8DHD1_9PHYC</t>
  </si>
  <si>
    <t>DNAUV-2.505-7.4_3</t>
  </si>
  <si>
    <t>Core-binding (CB) domain-containing protein n=1 Tax=Preplasmiviricota sp. Gezel-14T TaxID=1335638 RepID=R4TR37_9VIRU</t>
  </si>
  <si>
    <t>DNAUV-2.660-142_2</t>
  </si>
  <si>
    <t>COG3378 [FUNC="DNA primase, phage- or plasmid-associated"] [shortName=] [TAG=X TAGDEF="Mobilome: prophages, transposons" PROCESS=""]  [PATHWAY=""] primase [Methanosphaerula palustris]</t>
  </si>
  <si>
    <t>DNAUV-2.823-10_3</t>
  </si>
  <si>
    <t>Clp protease n=1 Tax=Mimivirus LCMiAC01 TaxID=2506608 RepID=A0A481Z0Z2_9VIRU</t>
  </si>
  <si>
    <t>DNAUV-2.851-16_10</t>
  </si>
  <si>
    <t>VOG04726 [FUNC="REFSEQ hypothetical protein"] [TAG=Xu TAGDEF="Function unknown"]</t>
  </si>
  <si>
    <t>Uncharacterized protein n=1 Tax=Skeletonema virus LDF-2015a TaxID=1769778 RepID=A0A1B1IHW7_9VIRU</t>
  </si>
  <si>
    <t>DNAUV-2.851-16_5</t>
  </si>
  <si>
    <t>sp|P24125|V51K_BPL79 51.5 kDa protein OS=Lactococcus phage (isolate 7-9) OX=12375 PE=4 SV=1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</si>
  <si>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[Pelosinus fermentans]</t>
  </si>
  <si>
    <t>Putative helicase n=1 Tax=Shewanella phage SppYZU01 TaxID=1965372 RepID=A0A1V0DYI8_9CAUD</t>
  </si>
  <si>
    <t>DNAUV-20.061-454_1</t>
  </si>
  <si>
    <t>DNA-directed DNA polymerase n=1 Tax=Trichomonas vaginalis (strain ATCC PRA-98 / G3) TaxID=412133 RepID=A2FC26_TRIV3</t>
  </si>
  <si>
    <t>DNAUV-20.061-454_2</t>
  </si>
  <si>
    <t>sp|P33484|CAPSD_PAVP9 Capsid protein VP1 OS=Porcine parvovirus (strain 90HS) OX=33725 PE=3 SV=1</t>
  </si>
  <si>
    <t>VOG34549 [FUNC="sp|P07297|CAPSD_PAVBP Minor capsid protein VP1"] [TAG=Xh TAGDEF="Virus protein with function beneficial for the host"]</t>
  </si>
  <si>
    <t>Capsid protein VP1 n=1 Tax=Porcine parvovirus TaxID=10796 RepID=Q32Z69_9VIRU</t>
  </si>
  <si>
    <t>DNAUV-22.998-8490_17</t>
  </si>
  <si>
    <t>VOG02740 [FUNC="sp|P54326|XKDF_BACSU Phage-like element PBSX protein XkdF"] [TAG=Xu TAGDEF="Function unknown"]</t>
  </si>
  <si>
    <t>Uncharacterized protein n=1 Tax=Roseobacter phage CRP-5 TaxID=2559284 RepID=A0A646QWB5_9CAUD</t>
  </si>
  <si>
    <t>DNAUV-22.998-8490_18</t>
  </si>
  <si>
    <t>sp|P52379|OBP_HHV7J Replication origin-binding protein OS=Human herpesvirus 7 (strain JI) OX=57278 GN=U73 PE=3 SV=1</t>
  </si>
  <si>
    <t>Replication origin-binding protein n=1 Tax=Hirudovirus strain Sangsue TaxID=1420594 RepID=V5L4V4_9VIRU</t>
  </si>
  <si>
    <t>DNAUV-22.998-8490_2</t>
  </si>
  <si>
    <t>COG2520 [FUNC="tRNA G37 N-methylase Trm5"] [shortName=Trm5] [TAG=J TAGDEF="Translation, ribosomal structure and biogenesis" PROCESS="INFORMATION STORAGE AND PROCESSING"]  [PATHWAY="tRNA modification"] FkbM family methyltransferase [Staphylothermus hellenicus]</t>
  </si>
  <si>
    <t>Methyltransferase n=1 Tax=Mimivirus LCMiAC01 TaxID=2506608 RepID=A0A481YZM7_9VIRU</t>
  </si>
  <si>
    <t>DNAUV-22.998-8490_20</t>
  </si>
  <si>
    <t>Pif1 protein n=1 Tax=Symbiodinium natans TaxID=878477 RepID=A0A812RGK6_9DINO</t>
  </si>
  <si>
    <t>DNAUV-22.998-8490_22</t>
  </si>
  <si>
    <t>COG4641 [FUNC="Spore maturation protein CgeB"] [shortName=] [TAG=D TAGDEF="Cell cycle control, cell division, chromosome partitioning" PROCESS="CELLULAR PROCESSES AND SIGNALING"]  [PATHWAY=""] hypothetical protein [Fictibacillus phosphorivorans]</t>
  </si>
  <si>
    <t>Capsular polysaccharide synthesis protein n=1 Tax=Catovirus CTV1 TaxID=1977631 RepID=A0A1V0SBK4_9VIRU</t>
  </si>
  <si>
    <t>DNAUV-22.998-8490_23</t>
  </si>
  <si>
    <t>COG3306 [FUNC="Glycosyltransferase involved in LPS biosynthesis, GR25 family"] [shortName=] [TAG=M TAGDEF="Cell wall/membrane/envelope biogenesis" PROCESS="CELLULAR PROCESSES AND SIGNALING"]  [PATHWAY=""] glycosyltransferase family 25 protein [Apibacter sp. HY041]</t>
  </si>
  <si>
    <t>Glycosyltransferase family 25 protein n=1 Tax=Synechococcus phage S-SRM01 TaxID=2781608 RepID=A0A879R3D4_9CAUD</t>
  </si>
  <si>
    <t>DNAUV-22.998-8490_24</t>
  </si>
  <si>
    <t>Sulfotransferase domain-containing protein n=1 Tax=Tupanvirus deep ocean TaxID=2126984 RepID=A0A6N1NTP8_9VIRU</t>
  </si>
  <si>
    <t>DNAUV-22.998-8490_6</t>
  </si>
  <si>
    <t>Uncharacterized protein n=1 Tax=Scytonema sp. UIC 10036 TaxID=2304196 RepID=A0A844MUZ4_9CYAN</t>
  </si>
  <si>
    <t>DNAUV-24.048-114_13</t>
  </si>
  <si>
    <t>Ubiquitin-like protease family profile domain-containing protein n=1 Tax=Nephila pilipes TaxID=299642 RepID=A0A8X6TTX3_NEPPI</t>
  </si>
  <si>
    <t>DNAUV-24.048-114_22</t>
  </si>
  <si>
    <t>Phospholipase A2-like domain-containing protein n=1 Tax=Tribolium castaneum TaxID=7070 RepID=D7GYM5_TRICA</t>
  </si>
  <si>
    <t>DNAUV-24.048-114_6</t>
  </si>
  <si>
    <t>sp|P41434|Y030_NPVAC Uncharacterized 54.7 kDa protein in IAP1-SOD intergenic region OS=Autographa californica nuclear polyhedrosis virus OX=46015 PE=4 SV=1</t>
  </si>
  <si>
    <t>Tryptophan repeat gene family protein n=1 Tax=Iridovirus LCIVAC01 TaxID=2506607 RepID=A0A481YPF8_9VIRU</t>
  </si>
  <si>
    <t>DNAUV-24.048-114_8</t>
  </si>
  <si>
    <t>sp|B4YNF3|V13_SPTNK Putative helicase V13 OS=Sputnik virophage OX=543939 PE=4 SV=1</t>
  </si>
  <si>
    <t>COG4643 [FUNC="Uncharacterized domain associated with phage/plasmid primase"] [shortName=] [TAG=X TAGDEF="Mobilome: prophages, transposons" PROCESS=""]  [PATHWAY=""] helicase [Obesumbacterium proteus]</t>
  </si>
  <si>
    <t>VOG02145 [FUNC="sp|Q5UQ99|YL537_MIMIV Uncharacterized protein L537"] [TAG=Xu TAGDEF="Function unknown"]</t>
  </si>
  <si>
    <t>D5-like helicase-primase n=1 Tax=Insectomime virus TaxID=1370065 RepID=V5L5T7_9VIRU</t>
  </si>
  <si>
    <t>DNAUV-3.030-2465_7</t>
  </si>
  <si>
    <t>Fungal lipase-like domain-containing protein n=2 Tax=Cafeteriavirus-dependent mavirus TaxID=1932923 RepID=A0A1L4BKA0_9VIRU</t>
  </si>
  <si>
    <t>DNAUV-3.250-323_3</t>
  </si>
  <si>
    <t>sp|P07537|FIB12_BPPZA Preneck appendage protein OS=Bacillus phage PZA OX=10757 GN=12 PE=3 SV=1</t>
  </si>
  <si>
    <t>Collagen triple helix repeat containing protein n=1 Tax=Klosneuvirus KNV1 TaxID=1977640 RepID=A0A1V0SLH9_9VIRU</t>
  </si>
  <si>
    <t>DNAUV-3.405-13067_17</t>
  </si>
  <si>
    <t>COG0270 [FUNC="DNA-cytosine methylase"] [shortName=Dcm] [TAG=L TAGDEF="Replication, recombination and repair" PROCESS="INFORMATION STORAGE AND PROCESSING"]  [PATHWAY=""] MULTISPECIES: DNA cytosine methyltransferase [Eggerthellaceae]</t>
  </si>
  <si>
    <t>Uncharacterized protein (Fragment) n=1 Tax=Strombidinopsis acuminata TaxID=141414 RepID=A0A7S3XAI9_9SPIT</t>
  </si>
  <si>
    <t>DNAUV-3.428-47_1</t>
  </si>
  <si>
    <t>VOG36055 [FUNC="REFSEQ hypothetical protein"] [TAG=Xu TAGDEF="Function unknown"]</t>
  </si>
  <si>
    <t>Uncharacterized protein n=1 Tax=Pusillimonas sp. (ex Stolz et al. 2005) TaxID=1979962 RepID=A0A2D7XCJ4_9BURK</t>
  </si>
  <si>
    <t>DNAUV-3.428-47_2</t>
  </si>
  <si>
    <t>Uncharacterized protein n=1 Tax=Pusillimonas sp. (ex Stolz et al. 2005) TaxID=1979962 RepID=A0A2D7XCN3_9BURK</t>
  </si>
  <si>
    <t>DNAUV-3.428-47_3</t>
  </si>
  <si>
    <t>Uncharacterized protein n=1 Tax=Pusillimonas sp. (ex Stolz et al. 2005) TaxID=1979962 RepID=A0A2D7XCJ8_9BURK</t>
  </si>
  <si>
    <t>DNAUV-3.428-47_4</t>
  </si>
  <si>
    <t>Uncharacterized protein n=1 Tax=Pusillimonas sp. (ex Stolz et al. 2005) TaxID=1979962 RepID=A0A2D7XCK6_9BURK</t>
  </si>
  <si>
    <t>DNAUV-3.428-47_5</t>
  </si>
  <si>
    <t>Uncharacterized protein n=1 Tax=Pusillimonas sp. (ex Stolz et al. 2005) TaxID=1979962 RepID=A0A2D7XCI1_9BURK</t>
  </si>
  <si>
    <t>DNAUV-3.428-47_6</t>
  </si>
  <si>
    <t>COG1525 [FUNC="Endonuclease YncB, thermonuclease family"] [shortName=YncB] [TAG=L TAGDEF="Replication, recombination and repair" PROCESS="INFORMATION STORAGE AND PROCESSING"]  [PATHWAY=""] nuclease [Leptolyngbya sp. PCC 7376]</t>
  </si>
  <si>
    <t>TNase-like domain-containing protein n=1 Tax=Bathycoccus sp. RCC1105 virus BpV2 TaxID=880160 RepID=E5ER36_9PHYC</t>
  </si>
  <si>
    <t>DNAUV-3.479-21_3</t>
  </si>
  <si>
    <t>sp|Q67622|REP_WDVS Replication-associated protein OS=Wheat dwarf virus (isolate Sweden) OX=268789 GN=C1/C2 PE=1 SV=2</t>
  </si>
  <si>
    <t>VOG00051 [FUNC="sp|P36279|REP_TLCVA Replication-associated protein"] [TAG=Xh TAGDEF="Virus protein with function beneficial for the host"]</t>
  </si>
  <si>
    <t>Replication-associated protein n=1 Tax=Capybara virus 35_cap1_1079 TaxID=2585064 RepID=A0A514TS13_9VIRU</t>
  </si>
  <si>
    <t>DNAUV-3.479-21_4</t>
  </si>
  <si>
    <t>Capsid protein n=1 Tax=CRESS virus sp. ct1Gc25 TaxID=2656674 RepID=A0A5Q2W7G3_9VIRU</t>
  </si>
  <si>
    <t>DNAUV-3.549-93_2</t>
  </si>
  <si>
    <t>COG1196 [FUNC="Chromosome segregation ATPase Smc"] [shortName=Smc] [TAG=D TAGDEF="Cell cycle control, cell division, chromosome partitioning" PROCESS="CELLULAR PROCESSES AND SIGNALING"]  [PATHWAY=""] surface protein A2H UspA2H [Moraxella catarrhalis]</t>
  </si>
  <si>
    <t>Collagen triple helix repeat motif-containing protein n=1 Tax=Klosneuvirus KNV1 TaxID=1977640 RepID=A0A1V0SIQ1_9VIRU</t>
  </si>
  <si>
    <t>DNAUV-3.549-93_3</t>
  </si>
  <si>
    <t>Uncharacterized protein n=1 Tax=Trichoplax adhaerens TaxID=10228 RepID=B3SDT6_TRIAD</t>
  </si>
  <si>
    <t>DNAUV-3.757-60_6</t>
  </si>
  <si>
    <t>VOG04794 [FUNC="REFSEQ hypothetical protein"] [TAG=Xu TAGDEF="Function unknown"]</t>
  </si>
  <si>
    <t>Uncharacterized protein n=1 Tax=Achromobacter phage Motura TaxID=2591403 RepID=A0A514CSI3_9CAUD</t>
  </si>
  <si>
    <t>DNAUV-3.757-60_7</t>
  </si>
  <si>
    <t>DNA primase n=1 Tax=Roseobacter phage CRP-13 TaxID=2813173 RepID=A0A8E5BET6_9CAUD</t>
  </si>
  <si>
    <t>DNAUV-3.847-17_1</t>
  </si>
  <si>
    <t>Uncharacterized protein n=1 Tax=Eilatimonas milleporae TaxID=911205 RepID=A0A3M0CWV2_9PROT</t>
  </si>
  <si>
    <t>DNAUV-3.847-17_4</t>
  </si>
  <si>
    <t>Uncharacterized protein n=1 Tax=Siphoviridae sp. ctzyE57 TaxID=2827982 RepID=A0A8S5SHP3_9CAUD</t>
  </si>
  <si>
    <t>DNAUV-3.847-17_5</t>
  </si>
  <si>
    <t>sp|Q5UPA2|YL023_MIMIV Putative ankyrin repeat protein L23 OS=Acanthamoeba polyphaga mimivirus OX=212035 GN=MIMI_L23 PE=4 SV=1</t>
  </si>
  <si>
    <t>Putative ankyrin repeat protein n=1 Tax=Tupanvirus soda lake TaxID=2126985 RepID=A0A6N1P1K2_9VIRU</t>
  </si>
  <si>
    <t>DNAUV-3.853-104_1</t>
  </si>
  <si>
    <t>sp|W6JGV7|REP_CPBDV Replication-associated protein OS=Chaetoceros protobacilladnavirus 2 OX=3052702 PE=4 SV=1</t>
  </si>
  <si>
    <t>Replication-associated protein n=1 Tax=Bacillariodnavirus LDMD-2013 TaxID=1379694 RepID=S5TNB3_9VIRU</t>
  </si>
  <si>
    <t>DNAUV-3.853-104_3</t>
  </si>
  <si>
    <t>sp|A0A1P8YT88|CAPSD_AHEBV Capsid protein OS=Avon-Heathcote Estuary associated kieseladnavirus OX=3052270 PE=4 SV=1</t>
  </si>
  <si>
    <t>VOG14250 [FUNC="sp|A0A1P8YT88|CAPSD_AHEBV Capsid protein"] [TAG=Xs TAGDEF="Virus structure"]</t>
  </si>
  <si>
    <t>Capsid protein n=1 Tax=Avon-Heathcote Estuary associated kieseladnavirus TaxID=3052270 RepID=CAPSD_AHEBV</t>
  </si>
  <si>
    <t>DNAUV-3.853-104_4</t>
  </si>
  <si>
    <t>sp|P0DOK3|VP1_CDDV1 Viral protein 1 OS=Chaetoceros diatodnavirus 1 OX=1290581 PE=4 SV=1</t>
  </si>
  <si>
    <t>VOG11132 [FUNC="sp|W6JHZ8|VP1_CPBDV Viral protein 1"] [TAG=Xu TAGDEF="Function unknown"]</t>
  </si>
  <si>
    <t>Viral protein 1 n=1 Tax=Chaetoceros diatodnavirus 1 TaxID=1290581 RepID=VP1_CDDV1</t>
  </si>
  <si>
    <t>DNAUV-4.011-11_2</t>
  </si>
  <si>
    <t>DNAUV-4.011-11_5</t>
  </si>
  <si>
    <t>COG5410 [FUNC="Uncharacterized conserved protein"] [shortName=] [TAG=S TAGDEF="Function unknown" PROCESS="POORLY CHARACTERIZED"]  [PATHWAY=""] phage protein [Denitrovibrio acetiphilus]</t>
  </si>
  <si>
    <t>Uncharacterized phage protein n=1 Tax=Denitrovibrio acetiphilus (strain DSM 12809 / NBRC 114555 / N2460) TaxID=522772 RepID=D4H2V9_DENA2</t>
  </si>
  <si>
    <t>DNAUV-4.152-27_3</t>
  </si>
  <si>
    <t>sp|Q9Z0D3|REP3_MDV1 Para-Rep C3 OS=Milk vetch dwarf virus (isolate N) OX=291605 GN=C3 PE=3 SV=1</t>
  </si>
  <si>
    <t>Replication-associated protein n=1 Tax=Avon-Heathcote Estuary associated circular virus 8 TaxID=1618259 RepID=A0A0C5I2B5_9CIRC</t>
  </si>
  <si>
    <t>DNAUV-4.518-566_6</t>
  </si>
  <si>
    <t>sp|Q912W1|REP_CACV Replication-associated protein OS=Canary circovirus OX=142661 GN=Rep PE=3 SV=2</t>
  </si>
  <si>
    <t>ATP-dependent helicase Rep n=1 Tax=Sewage-associated circular DNA virus-11 TaxID=1519387 RepID=A0A075IZM2_9VIRU</t>
  </si>
  <si>
    <t>DNAUV-4.536-611_9</t>
  </si>
  <si>
    <t>COG3378 [FUNC="DNA primase, phage- or plasmid-associated"] [shortName=] [TAG=X TAGDEF="Mobilome: prophages, transposons" PROCESS=""]  [PATHWAY=""] ATPase [Singulisphaera acidiphila]</t>
  </si>
  <si>
    <t>D5-like helicase-primase n=1 Tax=Hokovirus HKV1 TaxID=1977638 RepID=A0A1V0SH04_9VIRU</t>
  </si>
  <si>
    <t>DNAUV-4.644-13_3</t>
  </si>
  <si>
    <t>Putative phage tail fiber-like protein (Fragment) n=1 Tax=Namao virus TaxID=1302812 RepID=A0A346G3L1_9VIRU</t>
  </si>
  <si>
    <t>DNAUV-4.926-11_4</t>
  </si>
  <si>
    <t>Hint domain-containing protein n=1 Tax=Spiribacter aquaticus TaxID=1935996 RepID=A0A557RK48_9GAMM</t>
  </si>
  <si>
    <t>DNAUV-5.213-64_1</t>
  </si>
  <si>
    <t>sp|D4N3P2|REP_HCYV5 Replication-associated protein OS=Human associated cyclovirus 1 (isolate Homo sapiens/Pakistan/PK5510/2007) OX=742918 GN=Rep PE=3 SV=1</t>
  </si>
  <si>
    <t>Replication-associated protein n=2 Tax=unclassified Circovirus TaxID=345249 RepID=A0A894JKQ5_9CIRC</t>
  </si>
  <si>
    <t>DNAUV-5.665-44_1</t>
  </si>
  <si>
    <t>sp|P20315|HELIC_BPT3 DNA helicase/primase OS=Enterobacteria phage T3 OX=10759 GN=4 PE=3 SV=1</t>
  </si>
  <si>
    <t>COG0305 [FUNC="Replicative DNA helicase"] [shortName=DnaB] [TAG=L TAGDEF="Replication, recombination and repair" PROCESS="INFORMATION STORAGE AND PROCESSING"]  [PATHWAY=""] DNA primase/helicase [Pseudomonas putida KT2440]</t>
  </si>
  <si>
    <t>DNAUV-5.665-44_10</t>
  </si>
  <si>
    <t>sp|P14871|MTF1_PLAOK Type II methyltransferase M.FokI OS=Planomicrobium okeanokoites OX=244 GN=fokIM PE=1 SV=1</t>
  </si>
  <si>
    <t>COG0338 [FUNC="DNA-adenine methylase"] [shortName=Dam] [TAG=L TAGDEF="Replication, recombination and repair" PROCESS="INFORMATION STORAGE AND PROCESSING"]  [PATHWAY=""] hypothetical protein [Winogradskyella sp. PG-2]</t>
  </si>
  <si>
    <t>site-specific DNA-methyltransferase (adenine-specific) n=2 Tax=unclassified Caudoviricetes TaxID=2788787 RepID=A0A9P0YEL0_9CAUD</t>
  </si>
  <si>
    <t>DNAUV-5.665-44_2</t>
  </si>
  <si>
    <t>DNAUV-5.665-44_3</t>
  </si>
  <si>
    <t>HNH endonuclease n=3 Tax=Enterobacteriaceae TaxID=543 RepID=A0A5U1N0Y7_SALER</t>
  </si>
  <si>
    <t>DNAUV-5.665-44_4</t>
  </si>
  <si>
    <t>Uncharacterized protein n=1 Tax=Thalassoglobus polymorphus TaxID=2527994 RepID=A0A517QH35_9PLAN</t>
  </si>
  <si>
    <t>DNAUV-5.665-44_5</t>
  </si>
  <si>
    <t>COG0270 [FUNC="DNA-cytosine methylase"] [shortName=Dcm] [TAG=L TAGDEF="Replication, recombination and repair" PROCESS="INFORMATION STORAGE AND PROCESSING"]  [PATHWAY=""] DNA cytosine methyltransferase [Ochrobactrum anthropi]</t>
  </si>
  <si>
    <t>Cytosine-specific methyltransferase n=1 Tax=Oricola thermophila TaxID=2742145 RepID=A0A6N1VFU0_9HYPH</t>
  </si>
  <si>
    <t>DNAUV-5.665-44_6</t>
  </si>
  <si>
    <t>DNA polymerase I n=1 Tax=Pseudomonas phage TC6 TaxID=2060947 RepID=A0A2H5BQE0_9CAUD</t>
  </si>
  <si>
    <t>DNAUV-5.665-44_9</t>
  </si>
  <si>
    <t>DNAUV-6.000-166_1</t>
  </si>
  <si>
    <t>Uncharacterized protein n=1 Tax=Rhodobacter kunshanensis TaxID=2583234 RepID=A0A6M1U5D3_9RHOB</t>
  </si>
  <si>
    <t>DNAUV-6.000-166_4</t>
  </si>
  <si>
    <t>COG0305 [FUNC="Replicative DNA helicase"] [shortName=DnaB] [TAG=L TAGDEF="Replication, recombination and repair" PROCESS="INFORMATION STORAGE AND PROCESSING"]  [PATHWAY=""] DNA primase [Candidatus Puniceispirillum marinum]</t>
  </si>
  <si>
    <t>DNAUV-6.000-166_5</t>
  </si>
  <si>
    <t>DNAUV-6.000-166_7</t>
  </si>
  <si>
    <t>sp|P43741|DPO1_HAEIN DNA polymerase I OS=Haemophilus influenzae (strain ATCC 51907 / DSM 11121 / KW20 / Rd) OX=71421 GN=polA PE=3 SV=1</t>
  </si>
  <si>
    <t>COG0749 [FUNC="DNA polymerase I, 3'-5' exonuclease and polymerase domains"] [shortName=PolA] [TAG=L TAGDEF="Replication, recombination and repair" PROCESS="INFORMATION STORAGE AND PROCESSING"]  [PATHWAY=""] DNA polymerase I [Ectothiorhodospira sp. BSL-9]</t>
  </si>
  <si>
    <t>DNAUV-6.239-135_10</t>
  </si>
  <si>
    <t>Uncharacterized protein n=1 Tax=Leptotrombidium deliense TaxID=299467 RepID=A0A443RWG9_9ACAR</t>
  </si>
  <si>
    <t>DNAUV-6.239-135_11</t>
  </si>
  <si>
    <t>VOG23064 [FUNC="sp|B4YNE9|V9_SPTNK Uncharacterized protein V9"] [TAG=Xu TAGDEF="Function unknown"]</t>
  </si>
  <si>
    <t>Putative cysteine protease n=1 Tax=Yellowstone Lake virophage 5 TaxID=1557033 RepID=A0A0A0RPB3_9VIRU</t>
  </si>
  <si>
    <t>DNAUV-6.456-24_3</t>
  </si>
  <si>
    <t>sp|D0ZVG2|SSPH1_SALT1 E3 ubiquitin-protein ligase SspH1 OS=Salmonella typhimurium (strain 14028s / SGSC 2262) OX=588858 GN=sspH1 PE=1 SV=1</t>
  </si>
  <si>
    <t>COG4886 [FUNC="Leucine-rich repeat (LRR) protein"] [shortName=LRR] [TAG=K TAGDEF="Transcription" PROCESS="INFORMATION STORAGE AND PROCESSING"]  [PATHWAY=""] leucine-rich repeat-containing protein [Cytophaga hutchinsonii]</t>
  </si>
  <si>
    <t>VOG02058 [FUNC="sp|Q5UQX3|YR380_MIMIV Putative leucine-rich repeat protein R380"] [TAG=Xh TAGDEF="Virus protein with function beneficial for the host"]</t>
  </si>
  <si>
    <t>RING-type E3 ubiquitin transferase n=2 Tax=Salmonella enterica TaxID=28901 RepID=A0A659QTD0_SALET</t>
  </si>
  <si>
    <t>DNAUV-6.456-24_4</t>
  </si>
  <si>
    <t>Uncharacterized protein n=1 Tax=Dishui Lake virophage 5 TaxID=2704068 RepID=A0A6G6XMI6_9VIRU</t>
  </si>
  <si>
    <t>DNAUV-6.456-24_5</t>
  </si>
  <si>
    <t>DUF5824 domain-containing protein n=1 Tax=Pusillimonas sp. (ex Stolz et al. 2005) TaxID=1979962 RepID=A0A2D7XCS0_9BURK</t>
  </si>
  <si>
    <t>DNAUV-6.456-24_6</t>
  </si>
  <si>
    <t>sp|P05468|DPO2_KLULA DNA polymerase OS=Kluyveromyces lactis (strain ATCC 8585 / CBS 2359 / DSM 70799 / NBRC 1267 / NRRL Y-1140 / WM37) OX=284590 PE=3 SV=1</t>
  </si>
  <si>
    <t>DNA-directed DNA polymerase n=1 Tax=Giardia intestinalis (strain P15) TaxID=658858 RepID=E1F6Y3_GIAIA</t>
  </si>
  <si>
    <t>DNAUV-6.489-418_16</t>
  </si>
  <si>
    <t>sp|Q9IG45|REP_PICV Replication-associated protein OS=Pigeon circovirus OX=126070 GN=rep PE=3 SV=1</t>
  </si>
  <si>
    <t>Replication-associated protein n=1 Tax=Dipodfec virus UA04Rod_4537 TaxID=2929250 RepID=A0A976N2S4_9VIRU</t>
  </si>
  <si>
    <t>DNAUV-8.109-87_2</t>
  </si>
  <si>
    <t>sp|B4YNG0|CAPSD_SPTNK Putative capsid protein V20 OS=Sputnik virophage OX=543939 GN=ORF20 PE=1 SV=1</t>
  </si>
  <si>
    <t>VOG06102 [FUNC="sp|B4YNG0|CAPSD_SPTNK Putative capsid protein V20"] [TAG=Xs TAGDEF="Virus structure"]</t>
  </si>
  <si>
    <t>Putative major capsid protein n=1 Tax=Zamilon virus TaxID=1411887 RepID=A0A2P1EHJ2_9VIRU</t>
  </si>
  <si>
    <t>DNAUV-8.109-87_3</t>
  </si>
  <si>
    <t>sp|B4YNF8|V18_SPTNK Uncharacterized protein V18 OS=Sputnik virophage OX=543939 GN=ORF18 PE=4 SV=1</t>
  </si>
  <si>
    <t>VOG03290 [FUNC="sp|B4YNF9|V19_SPTNK Structural protein V19"] [TAG=Xs TAGDEF="Virus structure"]</t>
  </si>
  <si>
    <t>Minor virion protein n=1 Tax=Guarani virophage TaxID=2268406 RepID=A0A652ZQZ5_9VIRU</t>
  </si>
  <si>
    <t>DNAUV-8.109-87_6</t>
  </si>
  <si>
    <t>sp|Q37989|DPOL_BPCP1 DNA polymerase OS=Streptococcus phage Cp-1 OX=10747 GN=5 PE=3 SV=1</t>
  </si>
  <si>
    <t>VOG00576 [FUNC="sp|P48311|DPOL_ADE40 DNA polymerase"] [TAG=Xh TAGDEF="Virus protein with function beneficial for the host"]</t>
  </si>
  <si>
    <t>DNA-directed DNA polymerase n=2 Tax=Trichomonas vaginalis (strain ATCC PRA-98 / G3) TaxID=412133 RepID=A2EA95_TRIV3</t>
  </si>
  <si>
    <t>DNAUV-8.334-15086_1</t>
  </si>
  <si>
    <t>DNAUV-8.334-15086_14</t>
  </si>
  <si>
    <t>Fibronectin type III domain-containing protein n=1 Tax=Tetraselmis virus 1 TaxID=2060617 RepID=A0A2P0VP35_9PHYC</t>
  </si>
  <si>
    <t>DNAUV-8.334-15086_18</t>
  </si>
  <si>
    <t>Zona occludens toxin N-terminal domain-containing protein n=1 Tax=Tetraselmis chuii TaxID=63592 RepID=A0A7S1X2Q4_9CHLO</t>
  </si>
  <si>
    <t>DNAUV-8.334-15086_35</t>
  </si>
  <si>
    <t>COG5153 [FUNC="Putative lipase ATG15 (essential for vacuolar disintegration of autophagic bodies)"] [shortName=CVT17] [TAG=U TAGDEF="Intracellular trafficking, secretion, and vesicular transport" PROCESS="CELLULAR PROCESSES AND SIGNALING"]  [PATHWAY=""] hypothetical protein [Paenibacillus polymyxa]</t>
  </si>
  <si>
    <t>DUF2974 domain-containing protein n=2 Tax=Aeromicrobium fastidiosum TaxID=52699 RepID=A0A641ARH2_9ACTN</t>
  </si>
  <si>
    <t>DNAUV-8.334-15086_7</t>
  </si>
  <si>
    <t>Uncharacterized protein n=2 Tax=Tetraselmis chuii TaxID=63592 RepID=A0A7S1T4R7_9CHLO</t>
  </si>
  <si>
    <t>DNAUV-8.489-57_12</t>
  </si>
  <si>
    <t>DOD-type homing endonuclease domain-containing protein n=1 Tax=Pseudohoeflea suaedae TaxID=877384 RepID=A0A4R5PJB4_9HYPH</t>
  </si>
  <si>
    <t>DNAUV-8.489-57_13</t>
  </si>
  <si>
    <t>sp|P00733|CBPM_STRAL Zinc D-Ala-D-Ala carboxypeptidase OS=Streptomyces albus G OX=1962 PE=1 SV=2</t>
  </si>
  <si>
    <t>COG3108 [FUNC="Uncharacterized conserved protein YcbK, DUF882 family"] [shortName=YcbK] [TAG=S TAGDEF="Function unknown" PROCESS="POORLY CHARACTERIZED"]  [PATHWAY=""] DUF882 domain-containing protein [Sulfitobacter pseudonitzschiae]</t>
  </si>
  <si>
    <t>VOG02091 [FUNC="REFSEQ endolysin"] [TAG=Xu TAGDEF="Function unknown"]</t>
  </si>
  <si>
    <t>DUF882 domain-containing protein n=1 Tax=Paracoccus solventivorans TaxID=53463 RepID=A0A832PKX2_9RHOB</t>
  </si>
  <si>
    <t>DNAUV-8.489-57_14</t>
  </si>
  <si>
    <t>sp|Q5SJB8|THYX_THET8 Flavin-dependent thymidylate synthase OS=Thermus thermophilus (strain ATCC 27634 / DSM 579 / HB8) OX=300852 GN=thyX PE=1 SV=1</t>
  </si>
  <si>
    <t>COG1351 [FUNC="Thymidylate synthase ThyX, FAD-dependent family"] [shortName=ThyX] [TAG=F TAGDEF="Nucleotide transport and metabolism" PROCESS="METABOLISM"]  [PATHWAY="Thymidylate biosynthesis"] thymidylate synthase (FAD) [Candidatus Puniceispirillum marinum]</t>
  </si>
  <si>
    <t>VOG04104 [FUNC="sp|Q05259|THYX_BPML5 Probable flavin-dependent thymidylate synthase"] [TAG=Xh TAGDEF="Virus protein with function beneficial for the host"]</t>
  </si>
  <si>
    <t>Thymidylate synthase n=1 Tax=Lentibacter virus vB_LenP_ICBM2 TaxID=2301529 RepID=A0A3G2YRA2_9CAUD</t>
  </si>
  <si>
    <t>DNAUV-8.489-57_6</t>
  </si>
  <si>
    <t>sp|Q9F5P4|DNAB_MYCIT Replicative DNA helicase (Fragment) OS=Mycobacterium intracellulare OX=1767 GN=dnaB PE=3 SV=1</t>
  </si>
  <si>
    <t>COG2824 [FUNC="Uncharacterized Zn-ribbon-containing protein"] [shortName=PhnA] [TAG=R TAGDEF="General function prediction only" PROCESS="POORLY CHARACTERIZED"]  [PATHWAY=""] hypothetical protein [Labrenzia aggregata]</t>
  </si>
  <si>
    <t>DNAUV-8.489-57_7</t>
  </si>
  <si>
    <t>COG0514 [FUNC="Superfamily II DNA helicase RecQ"] [shortName=RecQ] [TAG=L TAGDEF="Replication, recombination and repair" PROCESS="INFORMATION STORAGE AND PROCESSING"]  [PATHWAY=""] RecQ family ATP-dependent DNA helicase [Alkalitalea saponilacus]</t>
  </si>
  <si>
    <t>DNAUV-8.489-57_8</t>
  </si>
  <si>
    <t>DNAUV-8.489-57_9</t>
  </si>
  <si>
    <t>AP2/ERF domain-containing protein n=3 Tax=Caudoviricetes TaxID=2731619 RepID=A0A7G5B9R6_9CAUD</t>
  </si>
  <si>
    <t>DNAUV-8.969-17_11</t>
  </si>
  <si>
    <t>sp|P43641|MTMU_MYCSP Type II methyltransferase M.MunI OS=Mycoplasma sp. OX=2108 GN=munIM PE=3 SV=1</t>
  </si>
  <si>
    <t>COG4725 [FUNC="N6-adenosine-specific RNA methylase IME4"] [shortName=IME4] [TAG=J TAGDEF="Translation, ribosomal structure and biogenesis" PROCESS="INFORMATION STORAGE AND PROCESSING"]  [PATHWAY=""] Site-specific DNA-methyltransferase (adenine-specific) [Desulfotomaculum kuznetsovii DSM 6115]</t>
  </si>
  <si>
    <t>VOG03793 [FUNC="sp|P43641|MTMU_MYCSP Type II methyltransferase M.MunI"] [TAG=Xh TAGDEF="Virus protein with function beneficial for the host"]</t>
  </si>
  <si>
    <t>DNA methyltransferase n=2 Tax=Eubacteriales TaxID=186802 RepID=A0A494ZGL7_9FIRM</t>
  </si>
  <si>
    <t>DNAUV-8.969-17_19</t>
  </si>
  <si>
    <t>Uncharacterized protein n=1 Tax=Penaeus vannamei TaxID=6689 RepID=A0A423U5D0_PENVA</t>
  </si>
  <si>
    <t>DNAUV-8.969-17_26</t>
  </si>
  <si>
    <t>COG2849 [FUNC="Antitoxin component YwqK of the YwqJK toxin-antitoxin module"] [shortName=YwqK] [TAG=V TAGDEF="Defense mechanisms" PROCESS="CELLULAR PROCESSES AND SIGNALING"]  [PATHWAY=""] hypothetical protein [Dokdonia sp. 4H-3-7-5]</t>
  </si>
  <si>
    <t>Antitoxin component YwqK of the YwqJK toxin-antitoxin module n=1 Tax=Ohtaekwangia koreensis TaxID=688867 RepID=A0A1T5MBP6_9BACT</t>
  </si>
  <si>
    <t>DNAUV-8.969-17_28</t>
  </si>
  <si>
    <t>COG2849 [FUNC="Antitoxin component YwqK of the YwqJK toxin-antitoxin module"] [shortName=YwqK] [TAG=V TAGDEF="Defense mechanisms" PROCESS="CELLULAR PROCESSES AND SIGNALING"]  [PATHWAY=""] hypothetical protein [Simkania negevensis]</t>
  </si>
  <si>
    <t>MORN repeat-containing protein n=2 Tax=Lausannevirus TaxID=999883 RepID=A0A0N9P8J4_9VIRU</t>
  </si>
  <si>
    <t>DNAUV-8.969-17_42</t>
  </si>
  <si>
    <t>Putative A32 virion packaging ATPase n=1 Tax=Aureococcus anophagefferens virus TaxID=1474867 RepID=A0A076FHC7_9PHYC</t>
  </si>
  <si>
    <t>Juil.NODE_2_length_17528_cov_16.211297_16</t>
  </si>
  <si>
    <t>Juil.NODE_2_length_17528_cov_16.211297_22</t>
  </si>
  <si>
    <t>Juil.NODE_2_length_17528_cov_16.211297_30</t>
  </si>
  <si>
    <t>Juil.NODE_8_length_5880_cov_18.009099_3</t>
  </si>
  <si>
    <t>Juil.NODE_8_length_5880_cov_18.009099_4</t>
  </si>
  <si>
    <t>Juil.NODE_8_length_5880_cov_18.009099_5</t>
  </si>
  <si>
    <t>COG0270 [FUNC="DNA-cytosine methylase"] [shortName=Dcm] [TAG=L TAGDEF="Replication, recombination and repair" PROCESS="INFORMATION STORAGE AND PROCESSING"]  [PATHWAY=""] DNA methyltransferase [Halorhabdus tiamatea]</t>
  </si>
  <si>
    <t>Juil.NODE_8_length_5880_cov_18.009099_8</t>
  </si>
  <si>
    <t>Uncharacterized protein n=1 Tax=Tetraselmis virus 1 TaxID=2060617 RepID=A0A2P0VNA9_9PHYC</t>
  </si>
  <si>
    <t>Mai.NODE_1002_length_2313_cov_7.875554_2</t>
  </si>
  <si>
    <t>Uncharacterized protein n=1 Tax=Pandoravirus celtis TaxID=2568002 RepID=A0A4D6EIL1_9VIRU</t>
  </si>
  <si>
    <t>Mai.NODE_1097_length_2162_cov_55.867584_2</t>
  </si>
  <si>
    <t>COG0467 [FUNC="RecA-superfamily ATPase, KaiC/GvpD/RAD55 family"] [shortName=RAD55] [TAG=T TAGDEF="Signal transduction mechanisms" PROCESS="CELLULAR PROCESSES AND SIGNALING"]  [PATHWAY=""] hypothetical protein [Geoglobus acetivorans]</t>
  </si>
  <si>
    <t>SF4 helicase domain-containing protein n=1 Tax=Mucochytrium quahogii TaxID=96639 RepID=A0A7S2WSF3_9STRA</t>
  </si>
  <si>
    <t>Mai.NODE_216_length_7591_cov_6.117569_1</t>
  </si>
  <si>
    <t>Chlorovirus glycoprotein repeat domain-containing protein n=1 Tax=Paramecium bursaria Chlorella virus CVB-1 TaxID=1278247 RepID=M1HL45_9PHYC</t>
  </si>
  <si>
    <t>Mai.NODE_216_length_7591_cov_6.117569_3</t>
  </si>
  <si>
    <t>sp|O54067|LPSL_RHIME Probable UDP-glucuronate 4-epimerase OS=Rhizobium meliloti (strain 1021) OX=266834 GN=lspL PE=3 SV=2</t>
  </si>
  <si>
    <t>COG0451 [FUNC="Nucleoside-diphosphate-sugar epimerase"] [shortName=WcaG] [TAG=M TAGDEF="Cell wall/membrane/envelope biogenesis" PROCESS="CELLULAR PROCESSES AND SIGNALING"]  [PATHWAY=""] nucleoside-diphosphate sugar epimerase [Desulfomonile tiedjei]</t>
  </si>
  <si>
    <t>Nucleoside-diphosphate-sugar epimerase n=2 Tax=Caldanaerobius TaxID=862261 RepID=A0A1M5DZR5_9THEO</t>
  </si>
  <si>
    <t>Mai.NODE_216_length_7591_cov_6.117569_4</t>
  </si>
  <si>
    <t>sp|A6KXB4|APTA_PHOV8 Apulose-4-phosphate transketolase subunit A OS=Phocaeicola vulgatus (strain ATCC 8482 / DSM 1447 / JCM 5826 / CCUG 4940 / NBRC 14291 / NCTC 11154) OX=435590 GN=aptA PE=1 SV=1</t>
  </si>
  <si>
    <t>COG3959 [FUNC="Transketolase, N-terminal subunit"] [shortName=TktA1] [TAG=G TAGDEF="Carbohydrate transport and metabolism" PROCESS="METABOLISM"]  [PATHWAY=""] transketolase [Vampirococcus sp. LiM]</t>
  </si>
  <si>
    <t>VOG21322 [FUNC="REFSEQ putative transketolase domain-containing protein"] [TAG=Xu TAGDEF="Function unknown"]</t>
  </si>
  <si>
    <t>Transketolase domain-containing protein n=1 Tax=Micromonas pusilla virus SP1 TaxID=373996 RepID=G9E5U1_MPSP1</t>
  </si>
  <si>
    <t>Mai.NODE_216_length_7591_cov_6.117569_5</t>
  </si>
  <si>
    <t>sp|A6VKQ3|APTB_ACTSZ Apulose-4-phosphate transketolase subunit B OS=Actinobacillus succinogenes (strain ATCC 55618 / DSM 22257 / CCUG 43843 / 130Z) OX=339671 GN=aptB PE=1 SV=1</t>
  </si>
  <si>
    <t>COG3958 [FUNC="Transketolase, C-terminal subunit"] [shortName=TktA2] [TAG=G TAGDEF="Carbohydrate transport and metabolism" PROCESS="METABOLISM"]  [PATHWAY=""] 1-deoxy-xylulose 5-phosphate synthase [Prochlorococcus marinus subsp. marinus str. CCMP1375]</t>
  </si>
  <si>
    <t>VOG18151 [FUNC="sp|P46375|FAS3_RHOFA Uncharacterized 33.6 kDa protein in fasciation locus"] [TAG=Xh TAGDEF="Virus protein with function beneficial for the host"]</t>
  </si>
  <si>
    <t>Transketolase-like pyrimidine-binding domain-containing protein n=1 Tax=Yellowstone lake phycodnavirus 2 TaxID=1586714 RepID=A0A0P0YNE1_9PHYC</t>
  </si>
  <si>
    <t>Mai.NODE_216_length_7591_cov_6.117569_8</t>
  </si>
  <si>
    <t>sp|A7XXB7|TERL_BP234 Terminase, large subunit OS=Thermus virus P23-45 OX=2914006 GN=P23p85 PE=3 SV=1</t>
  </si>
  <si>
    <t>COG4626 [FUNC="Phage terminase-like protein, large subunit, contains N-terminal HTH domain"] [shortName=YmfN] [TAG=X TAGDEF="Mobilome: prophages, transposons" PROCESS=""]  [PATHWAY=""] hypothetical protein [Geoglobus acetivorans]</t>
  </si>
  <si>
    <t>Terminase large subunit n=1 Tax=Paenactinomyces guangxiensis TaxID=1490290 RepID=A0A7W2A9F0_9BACL</t>
  </si>
  <si>
    <t>Mai.NODE_508_length_3789_cov_4.276111_5</t>
  </si>
  <si>
    <t>ABC transporter n=1 Tax=Pithovirus LCDPAC02 TaxID=2506601 RepID=A0A481YPN4_9VIRU</t>
  </si>
  <si>
    <t>Mai.NODE_642_length_3251_cov_43.790050_2</t>
  </si>
  <si>
    <t>sp|P57028|DNAG_NEIMA DNA primase OS=Neisseria meningitidis serogroup A / serotype 4A (strain DSM 15465 / Z2491) OX=122587 GN=dnaG PE=3 SV=1</t>
  </si>
  <si>
    <t>COG0358 [FUNC="DNA primase (bacterial type)"] [shortName=DnaG] [TAG=L TAGDEF="Replication, recombination and repair" PROCESS="INFORMATION STORAGE AND PROCESSING"]  [PATHWAY=""] primase protein [candidate division TM6 bacterium GW2011_GWF2_28_16]</t>
  </si>
  <si>
    <t>Mai.NODE_942_length_2411_cov_3.185059_1</t>
  </si>
  <si>
    <t>sp|Q54XD0|COQ3_DICDI Ubiquinone biosynthesis O-methyltransferase, mitochondrial OS=Dictyostelium discoideum OX=44689 GN=coq3 PE=3 SV=1</t>
  </si>
  <si>
    <t>COG2227 [FUNC="2-polyprenyl-3-methyl-5-hydroxy-6-metoxy-1,4-benzoquinol methylase"] [shortName=UbiG] [TAG=H TAGDEF="Coenzyme transport and metabolism" PROCESS="METABOLISM"]  [PATHWAY="Ubiquinone biosynthesis"] TIGR04290 family methyltransferase [Anaeromyxobacter dehalogenans]</t>
  </si>
  <si>
    <t>VOG04051 [FUNC="REFSEQ hypothetical protein"] [TAG=Xu TAGDEF="Function unknown"]</t>
  </si>
  <si>
    <t>Methyltransferase domain-containing protein n=1 Tax=Yasminevirus sp. GU-2018 TaxID=2420051 RepID=A0A5K0UBK2_9VIRU</t>
  </si>
  <si>
    <t>Mai.NODE_942_length_2411_cov_3.185059_2</t>
  </si>
  <si>
    <t>sp|I7A3T6|SUS_MELRP Sucrose synthase OS=Melioribacter roseus (strain JCM 17771 / P3M-2) OX=1191523 GN=MROS_1314 PE=1 SV=1</t>
  </si>
  <si>
    <t>COG0438 [FUNC="Glycosyltransferase involved in cell wall bisynthesis"] [shortName=RfaB] [TAG=M TAGDEF="Cell wall/membrane/envelope biogenesis" PROCESS="CELLULAR PROCESSES AND SIGNALING"]  [PATHWAY=""] hypothetical protein aq_1080 [Aquifex aeolicus VF5]</t>
  </si>
  <si>
    <t>Glycosyl transferase family 1 domain-containing protein n=1 Tax=Prochlorococcus marinus XMU1408 TaxID=2213228 RepID=A0A318QY72_PROMR</t>
  </si>
  <si>
    <t>Oct.NODE_1031_length_3042_cov_2.936056_1</t>
  </si>
  <si>
    <t>Oct.NODE_1031_length_3042_cov_2.936056_2</t>
  </si>
  <si>
    <t>Oct.NODE_1038_length_3026_cov_5.036351_3</t>
  </si>
  <si>
    <t>Oct.NODE_1129_length_2901_cov_20.942727_1</t>
  </si>
  <si>
    <t>COG5545 [FUNC="Predicted P-loop ATPase and inactivated derivatives"] [shortName=] [TAG=X TAGDEF="Mobilome: prophages, transposons" PROCESS=""]  [PATHWAY=""] hypothetical protein [Paraliobacillus sp. X-1125]</t>
  </si>
  <si>
    <t>VOG01653 [FUNC="REFSEQ DNA primase"] [TAG=Xu TAGDEF="Function unknown"]</t>
  </si>
  <si>
    <t>Oct.NODE_116_length_15973_cov_63.011496_1</t>
  </si>
  <si>
    <t>sp|P33538|DPOM_NEUIN Probable DNA polymerase OS=Neurospora intermedia OX=5142 PE=3 SV=1</t>
  </si>
  <si>
    <t>DNA-directed DNA polymerase n=1 Tax=Cacopsylla melanoneura TaxID=428564 RepID=A0A8D9E8V4_9HEMI</t>
  </si>
  <si>
    <t>Oct.NODE_116_length_15973_cov_63.011496_3</t>
  </si>
  <si>
    <t>Capsid protein n=1 Tax=Spizellomyces punctatus (strain DAOM BR117) TaxID=645134 RepID=A0A0L0HPU0_SPIPD</t>
  </si>
  <si>
    <t>Oct.NODE_116_length_15973_cov_63.011496_6</t>
  </si>
  <si>
    <t>sp|P06873|PRTK_PARAQ Proteinase K OS=Parengyodontium album OX=37998 GN=PROK PE=1 SV=2</t>
  </si>
  <si>
    <t>COG1404 [FUNC="Serine protease, subtilisin family"] [shortName=AprE] [TAG=O TAGDEF="Posttranslational modification, protein turnover, chaperones" PROCESS="CELLULAR PROCESSES AND SIGNALING"]  [PATHWAY=""] alkaline serine protease [Kangiella koreensis]</t>
  </si>
  <si>
    <t>S8 family serine peptidase n=1 Tax=Georgenia thermotolerans TaxID=527326 RepID=A0A7J5UV42_9MICO</t>
  </si>
  <si>
    <t>Oct.NODE_1283_length_2688_cov_10.757311_1</t>
  </si>
  <si>
    <t>Oct.NODE_1386_length_2569_cov_7.290374_3</t>
  </si>
  <si>
    <t>Pectin lyase (Fragment) n=1 Tax=Perkinsus sp. BL_2016 TaxID=2494336 RepID=A0A4D8XRY1_9ALVE</t>
  </si>
  <si>
    <t>Oct.NODE_1583_length_2338_cov_15.682435_1</t>
  </si>
  <si>
    <t>COG3108 [FUNC="Uncharacterized conserved protein YcbK, DUF882 family"] [shortName=YcbK] [TAG=S TAGDEF="Function unknown" PROCESS="POORLY CHARACTERIZED"]  [PATHWAY=""] peptidase M15 [Maricaulis maris]</t>
  </si>
  <si>
    <t>Peptidase M15A C-terminal domain-containing protein n=1 Tax=Pseudo-nitzschia multiseries DNA virus TaxID=2364897 RepID=A0A678W479_9VIRU</t>
  </si>
  <si>
    <t>Oct.NODE_1583_length_2338_cov_15.682435_2</t>
  </si>
  <si>
    <t>Uncharacterized protein n=1 Tax=Pseudo-nitzschia multiseries DNA virus TaxID=2364897 RepID=A0A678W491_9VIRU</t>
  </si>
  <si>
    <t>Oct.NODE_1697_length_2218_cov_8.979658_1</t>
  </si>
  <si>
    <t>Oct.NODE_1919_length_2033_cov_39.118807_1</t>
  </si>
  <si>
    <t>VOG00078 [FUNC="sp|Q7Y5D9|COLLR_BPT5 Collar protein p132"] [TAG=Xh TAGDEF="Virus protein with function beneficial for the host"]</t>
  </si>
  <si>
    <t>Uncharacterized protein n=1 Tax=Vandammella animalimorsus TaxID=2029117 RepID=A0A2A2T729_9BURK</t>
  </si>
  <si>
    <t>Oct.NODE_1919_length_2033_cov_39.118807_2</t>
  </si>
  <si>
    <t>Oct.NODE_1944_length_2012_cov_4.516607_2</t>
  </si>
  <si>
    <t>Fibronectin type III domain-containing protein n=1 Tax=Tetraselmis virus 1 TaxID=2060617 RepID=A0A2P0VNV2_9PHYC</t>
  </si>
  <si>
    <t>Oct.NODE_1944_length_2012_cov_4.516607_3</t>
  </si>
  <si>
    <t>LamG-like jellyroll fold domain-containing protein n=1 Tax=Azospira sp. I13 TaxID=1765050 RepID=A0A2R5EI77_9RHOO</t>
  </si>
  <si>
    <t>Oct.NODE_201_length_9885_cov_37.822991_10</t>
  </si>
  <si>
    <t>Oct.NODE_201_length_9885_cov_37.822991_16</t>
  </si>
  <si>
    <t>Oct.NODE_201_length_9885_cov_37.822991_2</t>
  </si>
  <si>
    <t>Oct.NODE_201_length_9885_cov_37.822991_3</t>
  </si>
  <si>
    <t>Oct.NODE_201_length_9885_cov_37.822991_6</t>
  </si>
  <si>
    <t>Oct.NODE_201_length_9885_cov_37.822991_7</t>
  </si>
  <si>
    <t>Oct.NODE_388_length_5846_cov_10.189259_1</t>
  </si>
  <si>
    <t>Oct.NODE_388_length_5846_cov_10.189259_3</t>
  </si>
  <si>
    <t>Oct.NODE_388_length_5846_cov_10.189259_4</t>
  </si>
  <si>
    <t>Oct.NODE_388_length_5846_cov_10.189259_5</t>
  </si>
  <si>
    <t>Oct.NODE_418_length_5603_cov_12.294160_2</t>
  </si>
  <si>
    <t>COG5281 [FUNC="Phage-related minor tail protein"] [shortName=] [TAG=X TAGDEF="Mobilome: prophages, transposons" PROCESS=""]  [PATHWAY=""] hypothetical protein [Snodgrassella alvi]</t>
  </si>
  <si>
    <t>VOG13531 [FUNC="sp|Q6XQC4|TMP_BPT1 Tape measure protein"] [TAG=Xp TAGDEF="Virus protein with function beneficial for the virus"]</t>
  </si>
  <si>
    <t>Tape measure protein N-terminal domain-containing protein n=1 Tax=Brevundimonas sp. S30B TaxID=2561925 RepID=A0A4Y9R8T5_9CAUL</t>
  </si>
  <si>
    <t>Oct.NODE_418_length_5603_cov_12.294160_3</t>
  </si>
  <si>
    <t>Uncharacterized protein n=1 Tax=Pseudo-nitzschia multiseries DNA virus TaxID=2364897 RepID=A0A678W3I2_9VIRU</t>
  </si>
  <si>
    <t>Oct.NODE_418_length_5603_cov_12.294160_4</t>
  </si>
  <si>
    <t>Uncharacterized protein n=1 Tax=Pseudo-nitzschia multiseries DNA virus TaxID=2364897 RepID=A0A678W359_9VIRU</t>
  </si>
  <si>
    <t>Oct.NODE_418_length_5603_cov_12.294160_6</t>
  </si>
  <si>
    <t>VOG14604 [FUNC="REFSEQ hypothetical protein"] [TAG=Xu TAGDEF="Function unknown"]</t>
  </si>
  <si>
    <t>DUF4376 domain-containing protein n=1 Tax=Pseudo-nitzschia multiseries DNA virus TaxID=2364897 RepID=A0A678W305_9VIRU</t>
  </si>
  <si>
    <t>Oct.NODE_467_length_5164_cov_19.416520_1</t>
  </si>
  <si>
    <t>VOG14357 [FUNC="REFSEQ terminase small subunit"] [TAG=Xu TAGDEF="Function unknown"]</t>
  </si>
  <si>
    <t>Terminase small subunit n=1 Tax=Mesorhizobium sp. LSHC414A00 TaxID=1287287 RepID=A0A0E2NWF3_9HYPH</t>
  </si>
  <si>
    <t>Oct.NODE_467_length_5164_cov_19.416520_3</t>
  </si>
  <si>
    <t>sp|P59217|TERL_BPSF5 Putative terminase large subunit OS=Shigella phage SfV OX=55884 GN=2 PE=3 SV=1</t>
  </si>
  <si>
    <t>COG4626 [FUNC="Phage terminase-like protein, large subunit, contains N-terminal HTH domain"] [shortName=YmfN] [TAG=X TAGDEF="Mobilome: prophages, transposons" PROCESS=""]  [PATHWAY=""] terminase [Pusillimonas sp. T7-7]</t>
  </si>
  <si>
    <t>Terminase large subunit n=1 Tax=Roseibium sp. RKSG952 TaxID=2529384 RepID=A0A6N7ZUP4_9HYPH</t>
  </si>
  <si>
    <t>Oct.NODE_467_length_5164_cov_19.416520_4</t>
  </si>
  <si>
    <t>sp|P49859|PORTL_BPHK7 Portal protein OS=Enterobacteria phage HK97 OX=2681617 GN=3 PE=1 SV=1</t>
  </si>
  <si>
    <t>COG4695 [FUNC="Phage portal protein BeeE"] [shortName=BeeE] [TAG=X TAGDEF="Mobilome: prophages, transposons" PROCESS=""]  [PATHWAY=""] phage portal protein [Jeongeupia sp. USM3]</t>
  </si>
  <si>
    <t>VOG00113 [FUNC="sp|Q6QGD5|PORTL_BPT5 Portal protein"] [TAG=Xh TAGDEF="Virus protein with function beneficial for the host"]</t>
  </si>
  <si>
    <t>HK97 family phage portal protein n=1 Tax=Azoarcus indigens TaxID=29545 RepID=A0A4R6DYL0_9RHOO</t>
  </si>
  <si>
    <t>Oct.NODE_467_length_5164_cov_19.416520_5</t>
  </si>
  <si>
    <t>sp|P49860|PRO_BPHK7 Prohead protease OS=Enterobacteria phage HK97 OX=2681617 GN=4 PE=1 SV=1</t>
  </si>
  <si>
    <t>COG3740 [FUNC="Phage head maturation protease"] [shortName=] [TAG=X TAGDEF="Mobilome: prophages, transposons" PROCESS=""]  [PATHWAY=""] HK97 family phage prohead protease [Brenneria goodwinii]</t>
  </si>
  <si>
    <t>VOG03917 [FUNC="sp|D3WAC4|PRO_BPLP2 Probable capsid maturation protease"] [TAG=Xh TAGDEF="Virus protein with function beneficial for the host"]</t>
  </si>
  <si>
    <t>Putative HK97 prohead protease n=2 Tax=Pseudo-nitzschia multiseries DNA virus TaxID=2364897 RepID=A0A678WCD1_9VIRU</t>
  </si>
  <si>
    <t>Oct.NODE_467_length_5164_cov_19.416520_6</t>
  </si>
  <si>
    <t>COG4653 [FUNC="Predicted phage phi-C31 gp36 major capsid-like protein"] [shortName=gp36] [TAG=X TAGDEF="Mobilome: prophages, transposons" PROCESS=""]  [PATHWAY=""] phage major capsid protein [Novosphingobium resinovorum]</t>
  </si>
  <si>
    <t>Putative major capsid protein n=1 Tax=Pseudo-nitzschia multiseries DNA virus TaxID=2364897 RepID=A0A678WAM1_9VIRU</t>
  </si>
  <si>
    <t>Oct.NODE_482_length_5070_cov_23.890329_3</t>
  </si>
  <si>
    <t>VOG00581 [FUNC="sp|Q9T1P7|VP51_BPAPS Putative protein p51"] [TAG=Xu TAGDEF="Function unknown"]</t>
  </si>
  <si>
    <t>DUF2800 domain-containing protein n=1 Tax=Pseudo-nitzschia multiseries DNA virus TaxID=2364897 RepID=A0A678W303_9VIRU</t>
  </si>
  <si>
    <t>Oct.NODE_482_length_5070_cov_23.890329_4</t>
  </si>
  <si>
    <t>Oct.NODE_482_length_5070_cov_23.890329_5</t>
  </si>
  <si>
    <t>COG0417 [FUNC="DNA polymerase B elongation subunit"] [shortName=PolB] [TAG=L TAGDEF="Replication, recombination and repair" PROCESS="INFORMATION STORAGE AND PROCESSING"]  [PATHWAY=""] hypothetical protein [Hartmannibacter diazotrophicus]</t>
  </si>
  <si>
    <t>Oct.NODE_649_length_4178_cov_11.549357_1</t>
  </si>
  <si>
    <t>Phage tail tape measure protein n=2 Tax=Pseudo-nitzschia multiseries DNA virus TaxID=2364897 RepID=A0A678W485_9VIRU</t>
  </si>
  <si>
    <t>Oct.NODE_649_length_4178_cov_11.549357_2</t>
  </si>
  <si>
    <t>Oct.NODE_649_length_4178_cov_11.549357_4</t>
  </si>
  <si>
    <t>sp|A0A0A8J9B0|DPO26_BPK64 Depolymerase, capsule K30/K69-specific OS=Klebsiella phage K64-1 OX=1439894 GN=S2-6 PE=3 SV=1</t>
  </si>
  <si>
    <t>Uncharacterized protein n=1 Tax=Planctomicrobium piriforme TaxID=1576369 RepID=A0A1I3P2E3_9PLAN</t>
  </si>
  <si>
    <t>Oct.NODE_667_length_4128_cov_3.148048_3</t>
  </si>
  <si>
    <t>VOG03423 [FUNC="REFSEQ hypothetical protein"] [TAG=Xu TAGDEF="Function unknown"]</t>
  </si>
  <si>
    <t>Polymerase nucleotidyl transferase domain-containing protein n=1 Tax=Pseudo-nitzschia multiseries DNA virus TaxID=2364897 RepID=A0A678W378_9VIRU</t>
  </si>
  <si>
    <t>Oct.NODE_667_length_4128_cov_3.148048_4</t>
  </si>
  <si>
    <t>Oct.NODE_667_length_4128_cov_3.148048_5</t>
  </si>
  <si>
    <t>sp|P04418|END5_BPT4 Endonuclease V OS=Enterobacteria phage T4 OX=10665 PE=1 SV=1</t>
  </si>
  <si>
    <t>VOG05707 [FUNC="sp|P04418|END5_BPT4 Endonuclease V"] [TAG=Xh TAGDEF="Virus protein with function beneficial for the host"]</t>
  </si>
  <si>
    <t>Endonuclease V n=1 Tax=Pseudochrobactrum saccharolyticum TaxID=354352 RepID=A0A7W8EPX4_9HYPH</t>
  </si>
  <si>
    <t>Oct.NODE_75_length_22787_cov_40.000000_10</t>
  </si>
  <si>
    <t>Uncharacterized protein n=1 Tax=Wickerhamomyces mucosus TaxID=1378264 RepID=A0A9P8PWI0_9ASCO</t>
  </si>
  <si>
    <t>Oct.NODE_75_length_22787_cov_40.000000_12</t>
  </si>
  <si>
    <t>DNA-directed DNA polymerase n=1 Tax=Cacopsylla melanoneura TaxID=428564 RepID=A0A8D8ZAP4_9HEMI</t>
  </si>
  <si>
    <t>Oct.NODE_75_length_22787_cov_40.000000_15</t>
  </si>
  <si>
    <t>Oct.NODE_75_length_22787_cov_40.000000_27</t>
  </si>
  <si>
    <t>sp|Q9UTS0|PSP3_SCHPO Subtilase-type proteinase psp3 OS=Schizosaccharomyces pombe (strain 972 / ATCC 24843) OX=284812 GN=psp3 PE=2 SV=1</t>
  </si>
  <si>
    <t>COG1404 [FUNC="Serine protease, subtilisin family"] [shortName=AprE] [TAG=O TAGDEF="Posttranslational modification, protein turnover, chaperones" PROCESS="CELLULAR PROCESSES AND SIGNALING"]  [PATHWAY=""] alkaline serine protease [Vibrio cholerae O1 biovar El Tor str. N16961]</t>
  </si>
  <si>
    <t>S8 family peptidase n=1 Tax=Vibrio cholerae TaxID=666 RepID=A0A5B1BZ23_VIBCL</t>
  </si>
  <si>
    <t>Oct.NODE_75_length_22787_cov_40.000000_7</t>
  </si>
  <si>
    <t>Uncharacterized protein n=1 Tax=Spizellomyces sp. 'palustris' TaxID=117820 RepID=A0A507DZ57_9FUNG</t>
  </si>
  <si>
    <t>Oct.NODE_784_length_3710_cov_17.618605_1</t>
  </si>
  <si>
    <t>VOG17818 [FUNC="REFSEQ glycosyltransferase"] [TAG=Xu TAGDEF="Function unknown"]</t>
  </si>
  <si>
    <t>Glycosyltransferase n=1 Tax=Pseudo-nitzschia multiseries DNA virus TaxID=2364897 RepID=A0A678WD20_9VIRU</t>
  </si>
  <si>
    <t>Oct.NODE_784_length_3710_cov_17.618605_2</t>
  </si>
  <si>
    <t>VOG00064 [FUNC="sp|Q6QGD9|HCP_BPT5 Head completion protein"] [TAG=Xh TAGDEF="Virus protein with function beneficial for the host"]</t>
  </si>
  <si>
    <t>Phage gp6-like head-tail connector protein n=1 Tax=Pseudo-nitzschia multiseries DNA virus TaxID=2364897 RepID=A0A678WBT5_9VIRU</t>
  </si>
  <si>
    <t>Oct.NODE_784_length_3710_cov_17.618605_4</t>
  </si>
  <si>
    <t>COG5614 [FUNC="Phage head-tail adaptor"] [shortName=] [TAG=X TAGDEF="Mobilome: prophages, transposons" PROCESS=""]  [PATHWAY=""] head-tail adaptor protein [Diaphorobacter polyhydroxybutyrativorans]</t>
  </si>
  <si>
    <t>Head-tail adaptor protein n=1 Tax=Pseudo-nitzschia multiseries DNA virus TaxID=2364897 RepID=A0A678WCD7_9VIRU</t>
  </si>
  <si>
    <t>Oct.NODE_784_length_3710_cov_17.618605_5</t>
  </si>
  <si>
    <t>VOG00060 [FUNC="REFSEQ hypothetical protein"] [TAG=Xu TAGDEF="Function unknown"]</t>
  </si>
  <si>
    <t>Putative HK97 family phage protein n=1 Tax=Pseudo-nitzschia multiseries DNA virus TaxID=2364897 RepID=A0A678WC51_9VIRU</t>
  </si>
  <si>
    <t>Oct.NODE_784_length_3710_cov_17.618605_6</t>
  </si>
  <si>
    <t>Uncharacterized protein n=1 Tax=Pseudo-nitzschia multiseries DNA virus TaxID=2364897 RepID=A0A678WD52_9VIRU</t>
  </si>
  <si>
    <t>Oct.NODE_784_length_3710_cov_17.618605_7</t>
  </si>
  <si>
    <t>VOG18790 [FUNC="REFSEQ tail tube protein"] [TAG=Xu TAGDEF="Function unknown"]</t>
  </si>
  <si>
    <t>Putative gene transfer agent protein n=1 Tax=Pseudo-nitzschia multiseries DNA virus TaxID=2364897 RepID=A0A678WAE2_9VIRU</t>
  </si>
  <si>
    <t>Oct.NODE_922_length_3276_cov_18.370692_1</t>
  </si>
  <si>
    <t>VOG03878 [FUNC="REFSEQ hypothetical protein"] [TAG=Xu TAGDEF="Function unknown"]</t>
  </si>
  <si>
    <t>Uncharacterized protein n=1 Tax=Pseudo-nitzschia multiseries DNA virus TaxID=2364897 RepID=A0A678W304_9VIRU</t>
  </si>
  <si>
    <t>Oct.NODE_922_length_3276_cov_18.370692_2</t>
  </si>
  <si>
    <t>sp|Q6QGE9|BPPB3_BPT5 Baseplate hub protein pb3 OS=Escherichia phage T5 OX=2695836 GN=D16 PE=1 SV=1</t>
  </si>
  <si>
    <t>COG4733 [FUNC="Phage-related protein, tail protein J"] [shortName=] [TAG=X TAGDEF="Mobilome: prophages, transposons" PROCESS=""]  [PATHWAY=""] hypothetical protein [Thalassococcus sp. SH-1]</t>
  </si>
  <si>
    <t>VOG09742 [FUNC="REFSEQ tail fiber protein"] [TAG=Xu TAGDEF="Function unknown"]</t>
  </si>
  <si>
    <t>Tip attachment protein J domain-containing protein n=1 Tax=Pseudo-nitzschia multiseries DNA virus TaxID=2364897 RepID=A0A678W682_9VIRU</t>
  </si>
  <si>
    <t>Sept.NODE_1047_length_2254_cov_4.938154_3</t>
  </si>
  <si>
    <t>COG0417 [FUNC="DNA polymerase B elongation subunit"] [shortName=PolB] [TAG=L TAGDEF="Replication, recombination and repair" PROCESS="INFORMATION STORAGE AND PROCESSING"]  [PATHWAY=""] hypothetical protein [Novosphingobium resinovorum]</t>
  </si>
  <si>
    <t>Uncharacterized protein n=1 Tax=Brugia timori TaxID=42155 RepID=A0A0R3Q2Y2_9BILA</t>
  </si>
  <si>
    <t>Sept.NODE_1134_length_2133_cov_2.885467_2</t>
  </si>
  <si>
    <t>COG5545 [FUNC="Predicted P-loop ATPase and inactivated derivatives"] [shortName=] [TAG=X TAGDEF="Mobilome: prophages, transposons" PROCESS=""]  [PATHWAY=""] hypothetical protein [Martelella mediterranea]</t>
  </si>
  <si>
    <t>VOG00843 [FUNC="REFSEQ DNA helicase"] [TAG=Xu TAGDEF="Function unknown"]</t>
  </si>
  <si>
    <t>Sept.NODE_1228_length_2026_cov_63.853881_1</t>
  </si>
  <si>
    <t>Cobalamin dependent ribonucleotide reductase n=1 Tax=Lentibacter virus vB_LenP_ICBM2 TaxID=2301529 RepID=A0A3G2YRB1_9CAUD</t>
  </si>
  <si>
    <t>Sept.NODE_1228_length_2026_cov_63.853881_2</t>
  </si>
  <si>
    <t>Sept.NODE_1228_length_2026_cov_63.853881_3</t>
  </si>
  <si>
    <t>Uncharacterized protein z843R n=1 Tax=Acanthocystis turfacea chlorella virus 1 TaxID=322019 RepID=A7KAA3_9PHYC</t>
  </si>
  <si>
    <t>Sept.NODE_169_length_8571_cov_26.273016_1</t>
  </si>
  <si>
    <t>Phage terminase small subunit P27 family n=1 Tax=Kineobactrum sediminis TaxID=1905677 RepID=A0A2N5Y2P4_9GAMM</t>
  </si>
  <si>
    <t>Sept.NODE_169_length_8571_cov_26.273016_10</t>
  </si>
  <si>
    <t>Sept.NODE_169_length_8571_cov_26.273016_11</t>
  </si>
  <si>
    <t>Sept.NODE_169_length_8571_cov_26.273016_2</t>
  </si>
  <si>
    <t>COG4626 [FUNC="Phage terminase-like protein, large subunit, contains N-terminal HTH domain"] [shortName=YmfN] [TAG=X TAGDEF="Mobilome: prophages, transposons" PROCESS=""]  [PATHWAY=""] terminase [Methyloceanibacter caenitepidi]</t>
  </si>
  <si>
    <t>Phage terminase-like protein, large subunit, contains N-terminal HTH domain n=1 Tax=Nitrosospira sp. Nl5 TaxID=200120 RepID=A0A1G5BUG4_9PROT</t>
  </si>
  <si>
    <t>Sept.NODE_169_length_8571_cov_26.273016_3</t>
  </si>
  <si>
    <t>sp|Q9ZXB2|PORTL_BPPHC Probable portal protein OS=Streptomyces phage phiC31 OX=10719 GN=34 PE=3 SV=1</t>
  </si>
  <si>
    <t>COG4695 [FUNC="Phage portal protein BeeE"] [shortName=BeeE] [TAG=X TAGDEF="Mobilome: prophages, transposons" PROCESS=""]  [PATHWAY=""] phage portal protein [Desulfarculus baarsii]</t>
  </si>
  <si>
    <t>Portal protein n=2 Tax=root TaxID=1 RepID=B0VK31_9CAUD</t>
  </si>
  <si>
    <t>Sept.NODE_169_length_8571_cov_26.273016_4</t>
  </si>
  <si>
    <t>COG3740 [FUNC="Phage head maturation protease"] [shortName=] [TAG=X TAGDEF="Mobilome: prophages, transposons" PROCESS=""]  [PATHWAY=""] HK97 family phage prohead protease [Parvibaculum lavamentivorans]</t>
  </si>
  <si>
    <t>HK97 family phage prohead protease n=1 Tax=Parvibaculum sedimenti TaxID=2608632 RepID=A0A6N6VJK7_9HYPH</t>
  </si>
  <si>
    <t>Sept.NODE_169_length_8571_cov_26.273016_5</t>
  </si>
  <si>
    <t>sp|Q6QGD8|CAPSD_BPT5 Major capsid protein OS=Escherichia phage T5 OX=2695836 GN=D20 PE=1 SV=1</t>
  </si>
  <si>
    <t>COG4653 [FUNC="Predicted phage phi-C31 gp36 major capsid-like protein"] [shortName=gp36] [TAG=X TAGDEF="Mobilome: prophages, transposons" PROCESS=""]  [PATHWAY=""] phage major capsid protein [Jeongeupia sp. USM3]</t>
  </si>
  <si>
    <t>Sept.NODE_169_length_8571_cov_26.273016_7</t>
  </si>
  <si>
    <t>VOG05197 [FUNC="REFSEQ alpha-2;3-sialyltransferase"] [TAG=Xu TAGDEF="Function unknown"]</t>
  </si>
  <si>
    <t>Uncharacterized protein n=1 Tax=Pseudo-nitzschia multiseries DNA virus TaxID=2364897 RepID=A0A678WAF7_9VIRU</t>
  </si>
  <si>
    <t>Sept.NODE_169_length_8571_cov_26.273016_8</t>
  </si>
  <si>
    <t>sp|Q6T1W7|FDTC_ANETH dTDP-3-amino-3,6-dideoxy-alpha-D-galactopyranose 3-N-acetyltransferase OS=Aneurinibacillus thermoaerophilus OX=143495 GN=fdtC PE=1 SV=1</t>
  </si>
  <si>
    <t>COG1045 [FUNC="Serine acetyltransferase"] [shortName=CysE] [TAG=E TAGDEF="Amino acid transport and metabolism" PROCESS="METABOLISM"]  [PATHWAY="Cysteine biosynthesis"] N-acetyltransferase [Chondromyces crocatus]</t>
  </si>
  <si>
    <t>N-acetyltransferase n=1 Tax=Pseudo-nitzschia multiseries DNA virus TaxID=2364897 RepID=A0A678W9T3_9VIRU</t>
  </si>
  <si>
    <t>Sept.NODE_169_length_8571_cov_26.273016_9</t>
  </si>
  <si>
    <t>Uncharacterized protein n=1 Tax=Aminobacter sp. SR38 TaxID=2774562 RepID=A0A7L8RW90_9HYPH</t>
  </si>
  <si>
    <t>Sept.NODE_218_length_6743_cov_6.524372_3</t>
  </si>
  <si>
    <t>Uncharacterized protein LOC111129672 n=1 Tax=Crassostrea virginica TaxID=6565 RepID=A0A8B8DUD3_CRAVI</t>
  </si>
  <si>
    <t>Sept.NODE_218_length_6743_cov_6.524372_4</t>
  </si>
  <si>
    <t>sp|P34457|YMD3_CAEEL Putative uncharacterized transposon-derived protein F54H12.3 OS=Caenorhabditis elegans OX=6239 GN=F54H12.3 PE=5 SV=1</t>
  </si>
  <si>
    <t>KOG0017 [FUNC="FOG: Transposon-encoded proteins with TYA, reverse transcriptase, integrase domains in various combinations"] [shortName=] [TAG=R TAGDEF="General function prediction only" PROCESS="POORLY CHARACTERIZED"]  [PATHWAY=""]</t>
  </si>
  <si>
    <t>VOG26880 [FUNC="REFSEQ integrase"] [TAG=Xu TAGDEF="Function unknown"]</t>
  </si>
  <si>
    <t>Uncharacterized transposon-derived protein F54H12.3 (Fragment) n=1 Tax=Araneus ventricosus TaxID=182803 RepID=A0A4Y2BLF9_ARAVE</t>
  </si>
  <si>
    <t>Sept.NODE_236_length_6410_cov_20.923839_1</t>
  </si>
  <si>
    <t>Uncharacterized protein n=1 Tax=Pseudo-nitzschia multiseries DNA virus TaxID=2364897 RepID=A0A678W3H4_9VIRU</t>
  </si>
  <si>
    <t>Sept.NODE_236_length_6410_cov_20.923839_2</t>
  </si>
  <si>
    <t>Sept.NODE_236_length_6410_cov_20.923839_3</t>
  </si>
  <si>
    <t>Sept.NODE_236_length_6410_cov_20.923839_4</t>
  </si>
  <si>
    <t>Sept.NODE_236_length_6410_cov_20.923839_5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</si>
  <si>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MULTISPECIES: helicase [Synechococcus]</t>
  </si>
  <si>
    <t>Putative helicase n=1 Tax=Pseudo-nitzschia multiseries DNA virus TaxID=2364897 RepID=A0A678W476_9VIRU</t>
  </si>
  <si>
    <t>Sept.NODE_291_length_5384_cov_20.980296_2</t>
  </si>
  <si>
    <t>Sept.NODE_291_length_5384_cov_20.980296_5</t>
  </si>
  <si>
    <t>Uncharacterized protein n=1 Tax=Virus NIOZ-UU157 TaxID=2763269 RepID=A0A7S9XH65_9VIRU</t>
  </si>
  <si>
    <t>Sept.NODE_291_length_5384_cov_20.980296_6</t>
  </si>
  <si>
    <t>COG1403 [FUNC="5-methylcytosine-specific restriction endonuclease McrA"] [shortName=McrA] [TAG=V TAGDEF="Defense mechanisms" PROCESS="CELLULAR PROCESSES AND SIGNALING"]  [PATHWAY=""] HNH endonuclease [Rhodovulum sulfidophilum]</t>
  </si>
  <si>
    <t>HNH endonuclease n=1 Tax=Cohaesibacter gelatinilyticus TaxID=372072 RepID=A0A285PJW8_9HYPH</t>
  </si>
  <si>
    <t>Sept.NODE_523_length_3580_cov_38.582128_1</t>
  </si>
  <si>
    <t>Sept.NODE_523_length_3580_cov_38.582128_2</t>
  </si>
  <si>
    <t>Sept.NODE_56_length_21849_cov_18.353538_10</t>
  </si>
  <si>
    <t>DNA-directed DNA polymerase n=1 Tax=Diabrotica virgifera virgifera TaxID=50390 RepID=A0A6P7FFQ8_DIAVI</t>
  </si>
  <si>
    <t>Sept.NODE_56_length_21849_cov_18.353538_12</t>
  </si>
  <si>
    <t>Sept.NODE_56_length_21849_cov_18.353538_24</t>
  </si>
  <si>
    <t>sp|P16588|PROA_VIBAL Alkaline serine exoprotease A OS=Vibrio alginolyticus OX=663 GN=proA PE=3 SV=1</t>
  </si>
  <si>
    <t>COG4935 [FUNC="Regulatory P domain of the subtilisin-like proprotein convertases and other proteases"] [shortName=] [TAG=O TAGDEF="Posttranslational modification, protein turnover, chaperones" PROCESS="CELLULAR PROCESSES AND SIGNALING"]  [PATHWAY=""] Secreted serine protease [Saccharothrix espanaensis]</t>
  </si>
  <si>
    <t>Secreted serine protease n=1 Tax=Saccharothrix espanaensis (strain ATCC 51144 / DSM 44229 / JCM 9112 / NBRC 15066 / NRRL 15764) TaxID=1179773 RepID=K0K511_SACES</t>
  </si>
  <si>
    <t>Sept.NODE_56_length_21849_cov_18.353538_4</t>
  </si>
  <si>
    <t>Sept.NODE_593_length_3278_cov_2.610611_1</t>
  </si>
  <si>
    <t>Phage head-tail connector protein n=1 Tax=Rhizobium setariae TaxID=2801340 RepID=A0A937CM91_9HYPH</t>
  </si>
  <si>
    <t>Sept.NODE_593_length_3278_cov_2.610611_2</t>
  </si>
  <si>
    <t>COG5614 [FUNC="Phage head-tail adaptor"] [shortName=] [TAG=X TAGDEF="Mobilome: prophages, transposons" PROCESS=""]  [PATHWAY=""] head-tail adaptor protein [Hahella chejuensis]</t>
  </si>
  <si>
    <t>Sept.NODE_593_length_3278_cov_2.610611_3</t>
  </si>
  <si>
    <t>HK97 gp10 family phage protein n=1 Tax=Devosia sp. MC521 TaxID=2759954 RepID=A0A7G5LPJ3_9HYPH</t>
  </si>
  <si>
    <t>Sept.NODE_593_length_3278_cov_2.610611_4</t>
  </si>
  <si>
    <t>VOG00314 [FUNC="sp|O48448|COMPL_BPSPP Tail completion protein gp17"] [TAG=Xs TAGDEF="Virus structure"]</t>
  </si>
  <si>
    <t>DUF3168 domain-containing protein n=1 Tax=Pseudo-nitzschia multiseries DNA virus TaxID=2364897 RepID=A0A678WAM6_9VIRU</t>
  </si>
  <si>
    <t>Sept.NODE_593_length_3278_cov_2.610611_5</t>
  </si>
  <si>
    <t>Sept.NODE_593_length_3278_cov_2.610611_6</t>
  </si>
  <si>
    <t>Gene transfer agent family protein n=1 Tax=Aquabacter sp. L1I39 TaxID=2820278 RepID=A0A975DLZ1_9HYPH</t>
  </si>
  <si>
    <t>Sept.NODE_616_length_3186_cov_10.122006_2</t>
  </si>
  <si>
    <t>HNH endonuclease n=1 Tax=Ralstonia pickettii (strain 12J) TaxID=402626 RepID=B2U8G6_RALPJ</t>
  </si>
  <si>
    <t>Sept.NODE_616_length_3186_cov_10.122006_5</t>
  </si>
  <si>
    <t>VOG00237 [FUNC="sp|O31948|YONJ_BACSU SPbeta prophage-derived uncharacterized protein YonJ"] [TAG=Xu TAGDEF="Function unknown"]</t>
  </si>
  <si>
    <t>Putative LysR family transcriptional regulator n=1 Tax=Pseudo-nitzschia multiseries DNA virus TaxID=2364897 RepID=A0A678W5D6_9VIRU</t>
  </si>
  <si>
    <t>Sept.NODE_713_length_2923_cov_3.667713_5</t>
  </si>
  <si>
    <t>Sept.NODE_713_length_2923_cov_3.667713_6</t>
  </si>
  <si>
    <t>VOG00186 [FUNC="sp|Q9T1Q4|VP44_BPAPS Putative nuclease p44"] [TAG=Xu TAGDEF="Function unknown"]</t>
  </si>
  <si>
    <t>VRR-NUC domain-containing protein n=1 Tax=Pseudo-nitzschia multiseries DNA virus TaxID=2364897 RepID=A0A678W4T1_9VIRU</t>
  </si>
  <si>
    <t>Sept.NODE_727_length_2866_cov_2.479189_1</t>
  </si>
  <si>
    <t>Sept.NODE_727_length_2866_cov_2.479189_2</t>
  </si>
  <si>
    <t>Sept.NODE_729_length_2852_cov_3.543797_2</t>
  </si>
  <si>
    <t>Sept.NODE_729_length_2852_cov_3.543797_3</t>
  </si>
  <si>
    <t>Sept.NODE_729_length_2852_cov_3.543797_4</t>
  </si>
  <si>
    <t>COG0110 [FUNC="Acetyltransferase, isoleucine patch superfamily"] [shortName=WbbJ] [TAG=R TAGDEF="General function prediction only" PROCESS="POORLY CHARACTERIZED"]  [PATHWAY=""] N-acetyltransferase [Paucibacter sp. KCTC 42545]</t>
  </si>
  <si>
    <t>Sept.NODE_796_length_2711_cov_9.065512_1</t>
  </si>
  <si>
    <t>COG5276 [FUNC="Uncharacterized secreted protein, contains LVIVD repeats, choice-of-anchor domain"] [shortName=] [TAG=S TAGDEF="Function unknown" PROCESS="POORLY CHARACTERIZED"]  [PATHWAY=""] cadherin [Halothece sp. PCC 7418]</t>
  </si>
  <si>
    <t>Pesticin C-terminal domain-containing protein n=1 Tax=Tigriopus californicus TaxID=6832 RepID=A0A553P8K8_TIGCA</t>
  </si>
  <si>
    <t>Sept.NODE_803_length_2698_cov_5.090428_2</t>
  </si>
  <si>
    <t>Sept.NODE_849_length_2591_cov_3.635252_1</t>
  </si>
  <si>
    <t>Uncharacterized protein n=1 Tax=Hydrogenophaga intermedia TaxID=65786 RepID=A0A1L1PBD3_HYDIT</t>
  </si>
  <si>
    <t>Sept.NODE_849_length_2591_cov_3.635252_2</t>
  </si>
  <si>
    <t>hj</t>
  </si>
  <si>
    <t>DNAUV-24.776-121_54</t>
  </si>
  <si>
    <t>sp|O69241|HSPD_BRADU Small heat shock protein HspD OS=Bradyrhizobium diazoefficiens (strain JCM 10833 / BCRC 13528 / IAM 13628 / NBRC 14792 / USDA 110) OX=224911 GN=hspD PE=3 SV=1</t>
  </si>
  <si>
    <t>COG0071 [FUNC="Small heat shock protein IbpA, HSP20 family"] [shortName=IbpA] [TAG=O TAGDEF="Posttranslational modification, protein turnover, chaperones" PROCESS="CELLULAR PROCESSES AND SIGNALING"]  [PATHWAY=""] heat-shock protein Hsp20 [Parvularcula bermudensis]</t>
  </si>
  <si>
    <t>VOG12538 [FUNC="sp|O86110|HSPH_BRADU Small heat shock protein HspH"] [TAG=Xh TAGDEF="Virus protein with function beneficial for the host"]</t>
  </si>
  <si>
    <t>SHSP domain-containing protein n=1 Tax=Muricauda sp. TMED12 TaxID=1986608 RepID=A0A3R7RYW9_9FLAO</t>
  </si>
  <si>
    <t>DNAUV-13.646-18_17</t>
  </si>
  <si>
    <t>sp|B4TMX7|IBPA_SALSV Small heat shock protein IbpA OS=Salmonella schwarzengrund (strain CVM19633) OX=439843 GN=ibpA PE=3 SV=1</t>
  </si>
  <si>
    <t>COG0071 [FUNC="Small heat shock protein IbpA, HSP20 family"] [shortName=IbpA] [TAG=O TAGDEF="Posttranslational modification, protein turnover, chaperones" PROCESS="CELLULAR PROCESSES AND SIGNALING"]  [PATHWAY=""] heat-shock protein IbpA [Paraphotobacterium marinum]</t>
  </si>
  <si>
    <t>Molecular chaperone IbpA n=2 Tax=Marinospirillum celere TaxID=1122252 RepID=A0A1I1DTY5_9GAMM</t>
  </si>
  <si>
    <t>DNAUV-2.849-19_1</t>
  </si>
  <si>
    <t>Sept.NODE_740_length_2832_cov_4.686712_2</t>
  </si>
  <si>
    <t>sp|P70917|HSPA_BRADU Small heat shock protein HspA OS=Bradyrhizobium diazoefficiens (strain JCM 10833 / BCRC 13528 / IAM 13628 / NBRC 14792 / USDA 110) OX=224911 GN=hspA PE=3 SV=1</t>
  </si>
  <si>
    <t>COG0071 [FUNC="Small heat shock protein IbpA, HSP20 family"] [shortName=IbpA] [TAG=O TAGDEF="Posttranslational modification, protein turnover, chaperones" PROCESS="CELLULAR PROCESSES AND SIGNALING"]  [PATHWAY=""] Hsp20 family protein [Zymomonas mobilis]</t>
  </si>
  <si>
    <t>DNAUV-34.354-18_33</t>
  </si>
  <si>
    <t>sp|A8G7R9|IBPB_SERP5 Small heat shock protein IbpB OS=Serratia proteamaculans (strain 568) OX=399741 GN=ibpB PE=3 SV=1</t>
  </si>
  <si>
    <t>COG0071 [FUNC="Small heat shock protein IbpA, HSP20 family"] [shortName=IbpA] [TAG=O TAGDEF="Posttranslational modification, protein turnover, chaperones" PROCESS="CELLULAR PROCESSES AND SIGNALING"]  [PATHWAY=""] hypothetical protein [Roseomonas gilardii]</t>
  </si>
  <si>
    <t>Hsp20 family protein n=1 Tax=Aestuariibacter sp. GS-14 TaxID=2590670 RepID=A0A506RRX1_9ALTE</t>
  </si>
  <si>
    <t>23.10.P4-15.618-22_17</t>
  </si>
  <si>
    <t>sp|B8FNT6|CH10_DESHD Co-chaperonin GroES OS=Desulfitobacterium hafniense (strain DSM 10664 / DCB-2) OX=272564 GN=groES PE=3 SV=1</t>
  </si>
  <si>
    <t>COG0234 [FUNC="Co-chaperonin GroES (HSP10)"] [shortName=GroES] [TAG=O TAGDEF="Posttranslational modification, protein turnover, chaperones" PROCESS="CELLULAR PROCESSES AND SIGNALING"]  [PATHWAY=""] co-chaperone GroES [Megasphaera elsdenii]</t>
  </si>
  <si>
    <t>Co-chaperonin GroES n=3 Tax=Megasphaera TaxID=906 RepID=A0A1M6TX77_MEGEL</t>
  </si>
  <si>
    <t>23.10.P4-5.088-2.2_2</t>
  </si>
  <si>
    <t>sp|Q31IS8|ERPA_HYDCU Iron-sulfur cluster insertion protein ErpA OS=Hydrogenovibrio crunogenus (strain DSM 25203 / XCL-2) OX=317025 GN=erpA PE=3 SV=1</t>
  </si>
  <si>
    <t>COG0316 [FUNC="Fe-S cluster assembly iron-binding protein IscA"] [shortName=IscA] [TAG=O TAGDEF="Posttranslational modification, protein turnover, chaperones" PROCESS="CELLULAR PROCESSES AND SIGNALING"]  [PATHWAY=""] iron-sulfur cluster insertion protein ErpA [Hydrogenovibrio crunogenus]</t>
  </si>
  <si>
    <t>Iron-sulfur cluster insertion protein ErpA n=1 Tax=Thiosulfativibrio zosterae TaxID=2675053 RepID=A0A6F8PQ40_9GAMM</t>
  </si>
  <si>
    <t>DNAUV-34.354-18_20</t>
  </si>
  <si>
    <t>sp|P29941|YCB8_SINSX Uncharacterized 19.2 kDa protein in cobO 3'region OS=Sinorhizobium sp. OX=42445 PE=4 SV=1</t>
  </si>
  <si>
    <t>COG0317 [FUNC="(p)ppGpp synthase/hydrolase, HD superfamily"] [shortName=SpoT] [TAG=T TAGDEF="Signal transduction mechanisms" PROCESS="CELLULAR PROCESSES AND SIGNALING"] [TAG=K TAGDEF="Transcription" PROCESS="INFORMATION STORAGE AND PROCESSING"]  [PATHWAY=""] bifunctional (p)ppGpp synthetase/guanosine-3',5'-bis(diphosphate) 3'-pyrophosphohydrolase [Hahella chejuensis]</t>
  </si>
  <si>
    <t>VOG00998 [FUNC="sp|P66015|RELA_MYCBO Probable GTP pyrophosphokinase"] [TAG=Xh TAGDEF="Virus protein with function beneficial for the host"]</t>
  </si>
  <si>
    <t>HD/PDEase domain-containing protein n=1 Tax=Pseudomonas moraviensis TaxID=321662 RepID=A0A2A2PRU7_9PSED</t>
  </si>
  <si>
    <t>Sept.NODE_398_length_4300_cov_5.742285_2</t>
  </si>
  <si>
    <t>DNAUV-28.787-28_7</t>
  </si>
  <si>
    <t>COG0317 [FUNC="(p)ppGpp synthase/hydrolase, HD superfamily"] [shortName=SpoT] [TAG=T TAGDEF="Signal transduction mechanisms" PROCESS="CELLULAR PROCESSES AND SIGNALING"] [TAG=K TAGDEF="Transcription" PROCESS="INFORMATION STORAGE AND PROCESSING"]  [PATHWAY=""] bifunctional (p)ppGpp synthetase/guanosine-3',5'-bis(diphosphate) 3'-pyrophosphohydrolase [Oleiphilus messinensis]</t>
  </si>
  <si>
    <t>Metal dependent phosphohydrolase HD region n=1 Tax=Vibrio phage 193E37-1 TaxID=2963175 RepID=A0A9P0VRJ6_9CAUD</t>
  </si>
  <si>
    <t>DNAUV-159.889-409_120</t>
  </si>
  <si>
    <t>COG0317 [FUNC="(p)ppGpp synthase/hydrolase, HD superfamily"] [shortName=SpoT] [TAG=T TAGDEF="Signal transduction mechanisms" PROCESS="CELLULAR PROCESSES AND SIGNALING"] [TAG=K TAGDEF="Transcription" PROCESS="INFORMATION STORAGE AND PROCESSING"]  [PATHWAY=""] bifunctional (p)ppGpp synthetase/guanosine-3',5'-bis(diphosphate) 3'-pyrophosphohydrolase [Sorangium cellulosum]</t>
  </si>
  <si>
    <t>Putative metal-dependent phosphohydrolase protein n=1 Tax=Rhizobium phage RHph_I1_18 TaxID=2509726 RepID=A0A7S5UTZ5_9CAUD</t>
  </si>
  <si>
    <t>DNAUV-64.562-41_34</t>
  </si>
  <si>
    <t>COG0317 [FUNC="(p)ppGpp synthase/hydrolase, HD superfamily"] [shortName=SpoT] [TAG=T TAGDEF="Signal transduction mechanisms" PROCESS="CELLULAR PROCESSES AND SIGNALING"] [TAG=K TAGDEF="Transcription" PROCESS="INFORMATION STORAGE AND PROCESSING"]  [PATHWAY=""] HD domain-containing protein [Frateuria aurantia]</t>
  </si>
  <si>
    <t>HD/PDEase domain-containing protein n=1 Tax=Cysteiniphilum litorale TaxID=2056700 RepID=A0A8J2Z7G6_9GAMM</t>
  </si>
  <si>
    <t>DNAUV-80.863-259_72</t>
  </si>
  <si>
    <t>sp|Q9D114|MESH1_MOUSE Guanosine-3',5'-bis(diphosphate) 3'-pyrophosphohydrolase MESH1 OS=Mus musculus OX=10090 GN=Hddc3 PE=1 SV=1</t>
  </si>
  <si>
    <t>COG0317 [FUNC="(p)ppGpp synthase/hydrolase, HD superfamily"] [shortName=SpoT] [TAG=T TAGDEF="Signal transduction mechanisms" PROCESS="CELLULAR PROCESSES AND SIGNALING"] [TAG=K TAGDEF="Transcription" PROCESS="INFORMATION STORAGE AND PROCESSING"]  [PATHWAY=""] HD domain-containing protein [Kordia sp. SMS9]</t>
  </si>
  <si>
    <t>GTP pyrophosphokinase n=1 Tax=Kordia sp. SMS9 TaxID=2282170 RepID=A0A345H6D3_9FLAO</t>
  </si>
  <si>
    <t>DNAUV-17.838-18_30</t>
  </si>
  <si>
    <t>sp|Q9VAM9|MESH1_DROME Guanosine-3',5'-bis(diphosphate) 3'-pyrophosphohydrolase MESH1 OS=Drosophila melanogaster OX=7227 GN=Mesh1 PE=1 SV=1</t>
  </si>
  <si>
    <t>COG0317 [FUNC="(p)ppGpp synthase/hydrolase, HD superfamily"] [shortName=SpoT] [TAG=T TAGDEF="Signal transduction mechanisms" PROCESS="CELLULAR PROCESSES AND SIGNALING"] [TAG=K TAGDEF="Transcription" PROCESS="INFORMATION STORAGE AND PROCESSING"]  [PATHWAY=""] HD protein [candidate division SR1 bacterium RAAC1_SR1_1]</t>
  </si>
  <si>
    <t>Guanosine-3',5'-bis(Diphosphate) 3'-pyrophosphohydrolase n=1 Tax=Novimethylophilus kurashikiensis TaxID=1825523 RepID=A0A2R5F8T3_9PROT</t>
  </si>
  <si>
    <t>DNAUV-100.032-102_43</t>
  </si>
  <si>
    <t>sp|P03690|VR2A_BPT4 Protein rIIA OS=Enterobacteria phage T4 OX=10665 GN=rIIA PE=2 SV=2</t>
  </si>
  <si>
    <t>COG0326 [FUNC="Molecular chaperone, HSP90 family"] [shortName=HtpG] [TAG=O TAGDEF="Posttranslational modification, protein turnover, chaperones" PROCESS="CELLULAR PROCESSES AND SIGNALING"]  [PATHWAY=""] ATP-binding protein [Nakamurella multipartita]</t>
  </si>
  <si>
    <t>VOG00520 [FUNC="sp|P03690|VR2A_BPT4 Protein rIIA"] [TAG=Xh TAGDEF="Virus protein with function beneficial for the host"]</t>
  </si>
  <si>
    <t>Uncharacterized protein n=1 Tax=Richelia sp. RM2_1_2 TaxID=2720436 RepID=A0A969MQ91_9NOST</t>
  </si>
  <si>
    <t>DNAUV-2.022-13_2</t>
  </si>
  <si>
    <t>RIIA lysis inhibitor n=1 Tax=Bacteriophage DSS3_MAL1 TaxID=2664194 RepID=A0A7S5FQQ2_9CAUD</t>
  </si>
  <si>
    <t>DNAUV-3.272-14_3</t>
  </si>
  <si>
    <t>RIIA lysis inhibitor n=1 Tax=Salmonella phage ST11 TaxID=2023990 RepID=A0A222Z016_9CAUD</t>
  </si>
  <si>
    <t>Oct.NODE_773_length_3746_cov_3.753725_5</t>
  </si>
  <si>
    <t>RIIA-like protein n=1 Tax=Ralstonia phage RsoM2USA TaxID=2070027 RepID=A0A8D4GLX8_9CAUD</t>
  </si>
  <si>
    <t>DNAUV-13.692-18_17</t>
  </si>
  <si>
    <t>COG0330 [FUNC="Regulator of protease activity HflC, stomatin/prohibitin superfamily"] [shortName=HflC] [TAG=O TAGDEF="Posttranslational modification, protein turnover, chaperones" PROCESS="CELLULAR PROCESSES AND SIGNALING"]  [PATHWAY=""] Band 7 protein [Anderseniella sp. Alg231-50]</t>
  </si>
  <si>
    <t>VOG01346 [FUNC="sp|Q9FHM7|HIR4_ARATH Hypersensitive-induced response protein 4"] [TAG=Xh TAGDEF="Virus protein with function beneficial for the host"]</t>
  </si>
  <si>
    <t>Band 7 protein n=1 Tax=Neiella litorisoli TaxID=2771431 RepID=A0A8J6QGV6_9GAMM</t>
  </si>
  <si>
    <t>DNAUV-16.929-17_13</t>
  </si>
  <si>
    <t>SPFH domain / Band 7 family protein n=1 Tax=Microbulbifer sp. THAF38 TaxID=2587856 RepID=A0A5P9F0Y4_9GAMM</t>
  </si>
  <si>
    <t>DNAUV-24.776-121_48</t>
  </si>
  <si>
    <t>Band 7 domain-containing protein n=1 Tax=Neiella marina TaxID=508461 RepID=A0A8J2XN31_9GAMM</t>
  </si>
  <si>
    <t>DNAUV-7.580-18_1</t>
  </si>
  <si>
    <t>COG0438 [FUNC="Glycosyltransferase involved in cell wall bisynthesis"] [shortName=RfaB] [TAG=M TAGDEF="Cell wall/membrane/envelope biogenesis" PROCESS="CELLULAR PROCESSES AND SIGNALING"]  [PATHWAY=""] FkbM family methyltransferase [Oscillatoria nigro-viridis]</t>
  </si>
  <si>
    <t>Methyltransferase FkbM family n=1 Tax=Cyanothece sp. (strain PCC 7425 / ATCC 29141) TaxID=395961 RepID=B8HU12_CYAP4</t>
  </si>
  <si>
    <t>11.09.P4-19.981-12_42</t>
  </si>
  <si>
    <t>sp|Q4JSW2|MSHA_CORJK D-inositol 3-phosphate glycosyltransferase OS=Corynebacterium jeikeium (strain K411) OX=306537 GN=mshA PE=3 SV=1</t>
  </si>
  <si>
    <t>COG0438 [FUNC="Glycosyltransferase involved in cell wall bisynthesis"] [shortName=RfaB] [TAG=M TAGDEF="Cell wall/membrane/envelope biogenesis" PROCESS="CELLULAR PROCESSES AND SIGNALING"]  [PATHWAY=""] glycosyl transferase [Cycloclasticus zancles]</t>
  </si>
  <si>
    <t>Group I glycosyltransferase n=1 Tax=Pontimonas phage phiPsal1 TaxID=2079347 RepID=A0A2K9VGK0_9CAUD</t>
  </si>
  <si>
    <t>DNAUV-35.223-36_61</t>
  </si>
  <si>
    <t>DNAUV-10.817-54_1</t>
  </si>
  <si>
    <t>sp|A4FQ08|MSHA_SACEN D-inositol 3-phosphate glycosyltransferase OS=Saccharopolyspora erythraea (strain ATCC 11635 / DSM 40517 / JCM 4748 / NBRC 13426 / NCIMB 8594 / NRRL 2338) OX=405948 GN=mshA PE=3 SV=1</t>
  </si>
  <si>
    <t>COG0438 [FUNC="Glycosyltransferase involved in cell wall bisynthesis"] [shortName=RfaB] [TAG=M TAGDEF="Cell wall/membrane/envelope biogenesis" PROCESS="CELLULAR PROCESSES AND SIGNALING"]  [PATHWAY=""] glycosyl transferase family 1 [Roseiflexus sp. RS-1]</t>
  </si>
  <si>
    <t>DNAUV-2.661-20_2</t>
  </si>
  <si>
    <t>sp|Q47594|WBDB_ECOLX O-antigen chain mannosyltransferase B OS=Escherichia coli OX=562 GN=wbdB PE=1 SV=1</t>
  </si>
  <si>
    <t>COG0438 [FUNC="Glycosyltransferase involved in cell wall bisynthesis"] [shortName=RfaB] [TAG=M TAGDEF="Cell wall/membrane/envelope biogenesis" PROCESS="CELLULAR PROCESSES AND SIGNALING"]  [PATHWAY=""] glycosyl transferase group 1 [Herpetosiphon aurantiacus DSM 785]</t>
  </si>
  <si>
    <t>DNAUV-8.623-317_19</t>
  </si>
  <si>
    <t>sp|C8XA09|MSHA_NAKMY D-inositol 3-phosphate glycosyltransferase OS=Nakamurella multipartita (strain ATCC 700099 / DSM 44233 / CIP 104796 / JCM 9543 / NBRC 105858 / Y-104) OX=479431 GN=mshA PE=3 SV=1</t>
  </si>
  <si>
    <t>COG0438 [FUNC="Glycosyltransferase involved in cell wall bisynthesis"] [shortName=RfaB] [TAG=M TAGDEF="Cell wall/membrane/envelope biogenesis" PROCESS="CELLULAR PROCESSES AND SIGNALING"]  [PATHWAY=""] glycosyltransferase family 1 protein [Butyricimonas sp. Marseille-P4593]</t>
  </si>
  <si>
    <t>11.09.P1-11.099-9.1_6</t>
  </si>
  <si>
    <t>COG0438 [FUNC="Glycosyltransferase involved in cell wall bisynthesis"] [shortName=RfaB] [TAG=M TAGDEF="Cell wall/membrane/envelope biogenesis" PROCESS="CELLULAR PROCESSES AND SIGNALING"]  [PATHWAY=""] glycosyltransferase family 1 protein [Chroococcidiopsis thermalis]</t>
  </si>
  <si>
    <t>Sept.NODE_113_length_11702_cov_94.511891_16</t>
  </si>
  <si>
    <t>Sept.NODE_76_length_16573_cov_22.332425_19</t>
  </si>
  <si>
    <t>DNAUV-6.350-323_8</t>
  </si>
  <si>
    <t>COG0438 [FUNC="Glycosyltransferase involved in cell wall bisynthesis"] [shortName=RfaB] [TAG=M TAGDEF="Cell wall/membrane/envelope biogenesis" PROCESS="CELLULAR PROCESSES AND SIGNALING"]  [PATHWAY=""] glycosyltransferase family 1 protein [Methanosarcina mazei]</t>
  </si>
  <si>
    <t>Oct.NODE_165_length_11404_cov_3.438805_7</t>
  </si>
  <si>
    <t>Sept.NODE_220_length_6664_cov_346.980481_13</t>
  </si>
  <si>
    <t>COG0438 [FUNC="Glycosyltransferase involved in cell wall bisynthesis"] [shortName=RfaB] [TAG=M TAGDEF="Cell wall/membrane/envelope biogenesis" PROCESS="CELLULAR PROCESSES AND SIGNALING"]  [PATHWAY=""] glycosyltransferase family 1 protein [Nitratifractor salsuginis]</t>
  </si>
  <si>
    <t>Oct.NODE_133_length_14145_cov_13.486231_7</t>
  </si>
  <si>
    <t>sp|Q82G92|MSHA_STRAW D-inositol 3-phosphate glycosyltransferase OS=Streptomyces avermitilis (strain ATCC 31267 / DSM 46492 / JCM 5070 / NBRC 14893 / NCIMB 12804 / NRRL 8165 / MA-4680) OX=227882 GN=mshA PE=3 SV=1</t>
  </si>
  <si>
    <t>COG0438 [FUNC="Glycosyltransferase involved in cell wall bisynthesis"] [shortName=RfaB] [TAG=M TAGDEF="Cell wall/membrane/envelope biogenesis" PROCESS="CELLULAR PROCESSES AND SIGNALING"]  [PATHWAY=""] glycosyltransferase family 1 protein [Prauserella marina]</t>
  </si>
  <si>
    <t>Sept.NODE_68_length_19049_cov_12.264083_15</t>
  </si>
  <si>
    <t>DNAUV-51.550-178_18</t>
  </si>
  <si>
    <t>COG0438 [FUNC="Glycosyltransferase involved in cell wall bisynthesis"] [shortName=RfaB] [TAG=M TAGDEF="Cell wall/membrane/envelope biogenesis" PROCESS="CELLULAR PROCESSES AND SIGNALING"]  [PATHWAY=""] glycosyltransferase family 4 protein [Thermobaculum terrenum]</t>
  </si>
  <si>
    <t>VOG23745 [FUNC="REFSEQ hypothetical protein"] [TAG=Xu TAGDEF="Function unknown"]</t>
  </si>
  <si>
    <t>Glycosyl transferase family 1 domain-containing protein n=1 Tax=Xanthomonas phage BUDD TaxID=2961708 RepID=A0A9E7SRR0_9CAUD</t>
  </si>
  <si>
    <t>DNAUV-12.051-269_16</t>
  </si>
  <si>
    <t>sp|D1BD84|MSHA_SANKS D-inositol 3-phosphate glycosyltransferase OS=Sanguibacter keddieii (strain ATCC 51767 / DSM 10542 / NCFB 3025 / ST-74) OX=446469 GN=mshA PE=3 SV=1</t>
  </si>
  <si>
    <t>COG0438 [FUNC="Glycosyltransferase involved in cell wall bisynthesis"] [shortName=RfaB] [TAG=M TAGDEF="Cell wall/membrane/envelope biogenesis" PROCESS="CELLULAR PROCESSES AND SIGNALING"]  [PATHWAY=""] hypothetical protein [Sulfuritalea hydrogenivorans]</t>
  </si>
  <si>
    <t>DNAUV-12.383-30_12</t>
  </si>
  <si>
    <t>sp|C4LLD6|MSHA_CORK4 D-inositol 3-phosphate glycosyltransferase OS=Corynebacterium kroppenstedtii (strain DSM 44385 / JCM 11950 / CIP 105744 / CCUG 35717) OX=645127 GN=mshA PE=3 SV=1</t>
  </si>
  <si>
    <t>DNAUV-13.200-228_49</t>
  </si>
  <si>
    <t>Oct.NODE_54_length_30916_cov_12.817180_10</t>
  </si>
  <si>
    <t>DNAUV-3.005-191_1</t>
  </si>
  <si>
    <t>COG0438 [FUNC="Glycosyltransferase involved in cell wall bisynthesis"] [shortName=RfaB] [TAG=M TAGDEF="Cell wall/membrane/envelope biogenesis" PROCESS="CELLULAR PROCESSES AND SIGNALING"]  [PATHWAY=""] mannosyltransferase [Leptospira interrogans serovar Lai str. 56601]</t>
  </si>
  <si>
    <t>Glycosyl transferase family 1 domain-containing protein n=1 Tax=Pusillimonas sp. (ex Stolz et al. 2005) TaxID=1979962 RepID=A0A2D7XB21_9BURK</t>
  </si>
  <si>
    <t>DNAUV-2.575-27_3</t>
  </si>
  <si>
    <t>sp|P0AG17|PUR1_SHIFL Amidophosphoribosyltransferase OS=Shigella flexneri OX=623 GN=purF PE=3 SV=2</t>
  </si>
  <si>
    <t>COG0449 [FUNC="Glucosamine 6-phosphate synthetase, contains amidotransferase and phosphosugar isomerase domains"] [shortName=GlmS] [TAG=M TAGDEF="Cell wall/membrane/envelope biogenesis" PROCESS="CELLULAR PROCESSES AND SIGNALING"]  [PATHWAY=""] glucosamine--fructose-6-phosphate aminotransferase GlmS [Planktomarina temperata RCA23]</t>
  </si>
  <si>
    <t>VOG00493 [FUNC="REFSEQ L-glutamine-D-fructose-6-phosphate aminotransferase"] [TAG=Xu TAGDEF="Function unknown"]</t>
  </si>
  <si>
    <t>Glutamine amidotransferase type-2 domain-containing protein n=1 Tax=Variovorax paradoxus TaxID=34073 RepID=A0A2W5S5K5_VARPD</t>
  </si>
  <si>
    <t>DNAUV-41.172-78_49</t>
  </si>
  <si>
    <t>sp|Q9JWN9|GLMS_NEIMA Glutamine--fructose-6-phosphate aminotransferase [isomerizing] OS=Neisseria meningitidis serogroup A / serotype 4A (strain DSM 15465 / Z2491) OX=122587 GN=glmS PE=3 SV=3</t>
  </si>
  <si>
    <t>COG0449 [FUNC="Glucosamine 6-phosphate synthetase, contains amidotransferase and phosphosugar isomerase domains"] [shortName=GlmS] [TAG=M TAGDEF="Cell wall/membrane/envelope biogenesis" PROCESS="CELLULAR PROCESSES AND SIGNALING"]  [PATHWAY=""] glutamine--fructose-6-phosphate transaminase (isomerizing) [Anderseniella sp. Alg231-50]</t>
  </si>
  <si>
    <t>DNAUV-7.618-9.9_1</t>
  </si>
  <si>
    <t>sp|Q6LWM9|GLMS_METMP Glutamine--fructose-6-phosphate aminotransferase [isomerizing] OS=Methanococcus maripaludis (strain S2 / LL) OX=267377 GN=glmS PE=1 SV=2</t>
  </si>
  <si>
    <t>COG0449 [FUNC="Glucosamine 6-phosphate synthetase, contains amidotransferase and phosphosugar isomerase domains"] [shortName=GlmS] [TAG=M TAGDEF="Cell wall/membrane/envelope biogenesis" PROCESS="CELLULAR PROCESSES AND SIGNALING"]  [PATHWAY=""] glutamine--fructose-6-phosphate transaminase (isomerizing) [Deferribacter desulfuricans]</t>
  </si>
  <si>
    <t>Oct.NODE_146_length_12909_cov_13.241403_2</t>
  </si>
  <si>
    <t>sp|Q98LX5|GLMS_RHILO Glutamine--fructose-6-phosphate aminotransferase [isomerizing] OS=Mesorhizobium japonicum (strain LMG 29417 / CECT 9101 / MAFF 303099) OX=266835 GN=glmS PE=3 SV=3</t>
  </si>
  <si>
    <t>COG0449 [FUNC="Glucosamine 6-phosphate synthetase, contains amidotransferase and phosphosugar isomerase domains"] [shortName=GlmS] [TAG=M TAGDEF="Cell wall/membrane/envelope biogenesis" PROCESS="CELLULAR PROCESSES AND SIGNALING"]  [PATHWAY=""] glutamine--fructose-6-phosphate transaminase (isomerizing) [Roseburia hominis]</t>
  </si>
  <si>
    <t>11.09.P4-7.032-3.4_1</t>
  </si>
  <si>
    <t>sp|Q8VDR7|TGDS_MOUSE dTDP-D-glucose 4,6-dehydratase OS=Mus musculus OX=10090 GN=Tgds PE=2 SV=2</t>
  </si>
  <si>
    <t>COG0451 [FUNC="Nucleoside-diphosphate-sugar epimerase"] [shortName=WcaG] [TAG=M TAGDEF="Cell wall/membrane/envelope biogenesis" PROCESS="CELLULAR PROCESSES AND SIGNALING"]  [PATHWAY=""] hypothetical protein [Bacteriovorax stolpii]</t>
  </si>
  <si>
    <t>NADH(P)-binding protein, PF13460 family n=1 Tax=Bacteriovorax sp. BSW11_IV TaxID=1353529 RepID=T0RHF5_9BACT</t>
  </si>
  <si>
    <t>11.09.P4-24.849-9.8_8</t>
  </si>
  <si>
    <t>sp|Q9T0A7|UGE2_ARATH UDP-glucose 4-epimerase 2 OS=Arabidopsis thaliana OX=3702 GN=UGE2 PE=1 SV=1</t>
  </si>
  <si>
    <t>COG0451 [FUNC="Nucleoside-diphosphate-sugar epimerase"] [shortName=WcaG] [TAG=M TAGDEF="Cell wall/membrane/envelope biogenesis" PROCESS="CELLULAR PROCESSES AND SIGNALING"]  [PATHWAY=""] UDP-glucose 4-epimerase [Dokdonia sp. 4H-3-7-5]</t>
  </si>
  <si>
    <t>UDP-glucose 4-epimerase n=1 Tax=Roseococcus suduntuyensis TaxID=455361 RepID=A0A840ACE6_9PROT</t>
  </si>
  <si>
    <t>Oct.NODE_328_length_6539_cov_18.505706_1</t>
  </si>
  <si>
    <t>sp|Q11DQ8|CH602_CHESB Chaperonin GroEL 2 OS=Chelativorans sp. (strain BNC1) OX=266779 GN=groEL2 PE=3 SV=1</t>
  </si>
  <si>
    <t>COG0459 [FUNC="Chaperonin GroEL (HSP60 family)"] [shortName=GroEL] [TAG=O TAGDEF="Posttranslational modification, protein turnover, chaperones" PROCESS="CELLULAR PROCESSES AND SIGNALING"]  [PATHWAY=""] chaperonin GroEL [Persephonella marina]</t>
  </si>
  <si>
    <t>VOG22257 [FUNC="sp|A8Z640|CH60_KARMG Chaperonin GroEL"] [TAG=Xh TAGDEF="Virus protein with function beneficial for the host"]</t>
  </si>
  <si>
    <t>GroEL n=1 Tax=Podoviridae sp. ctrTa16 TaxID=2656715 RepID=A0A5Q2W3U1_9CAUD</t>
  </si>
  <si>
    <t>Avril.NODE_208_length_8822_cov_7.156838_1</t>
  </si>
  <si>
    <t>sp|A8Z640|CH60_KARMG Chaperonin GroEL OS=Karelsulcia muelleri (strain GWSS) OX=444179 GN=groEL PE=3 SV=1</t>
  </si>
  <si>
    <t>COG0459 [FUNC="Chaperonin GroEL (HSP60 family)"] [shortName=GroEL] [TAG=O TAGDEF="Posttranslational modification, protein turnover, chaperones" PROCESS="CELLULAR PROCESSES AND SIGNALING"]  [PATHWAY=""] chaperonin GroEL [Solitalea canadensis]</t>
  </si>
  <si>
    <t>Chaperonin GroEL n=1 Tax=Cryomorpha ignava TaxID=101383 RepID=A0A7K3WMX6_9FLAO</t>
  </si>
  <si>
    <t>Oct.NODE_254_length_8067_cov_5.732651_6</t>
  </si>
  <si>
    <t>sp|A6Q2B4|CH60_NITSB Chaperonin GroEL OS=Nitratiruptor sp. (strain SB155-2) OX=387092 GN=groEL PE=3 SV=1</t>
  </si>
  <si>
    <t>COG0459 [FUNC="Chaperonin GroEL (HSP60 family)"] [shortName=GroEL] [TAG=O TAGDEF="Posttranslational modification, protein turnover, chaperones" PROCESS="CELLULAR PROCESSES AND SIGNALING"]  [PATHWAY=""] molecular chaperone GroEL [Nitratiruptor sp. SB155-2]</t>
  </si>
  <si>
    <t>DNAUV-11.419-18_25</t>
  </si>
  <si>
    <t>COG0463 [FUNC="Glycosyltransferase involved in cell wall bisynthesis"] [shortName=WcaA] [TAG=M TAGDEF="Cell wall/membrane/envelope biogenesis" PROCESS="CELLULAR PROCESSES AND SIGNALING"]  [PATHWAY=""] FkbM family methyltransferase [Methylobacterium nodulans]</t>
  </si>
  <si>
    <t>VOG35358 [FUNC="REFSEQ glycosyltransferase"] [TAG=Xu TAGDEF="Function unknown"]</t>
  </si>
  <si>
    <t>Glycosyl transferase protein n=1 Tax=Stenotrophomonas phage vB_SmaS-DLP_6 TaxID=1651816 RepID=A0A142EZQ0_9CAUD</t>
  </si>
  <si>
    <t>DNAUV-152.980-60_35</t>
  </si>
  <si>
    <t>DNAUV-159.889-409_14</t>
  </si>
  <si>
    <t>DNAUV-19.264-18_23</t>
  </si>
  <si>
    <t>DNAUV-21.362-14_9</t>
  </si>
  <si>
    <t>DNAUV-24.776-121_30</t>
  </si>
  <si>
    <t>sp|Q48453|YC07_KLEPN Uncharacterized 41.2 kDa protein in cps region OS=Klebsiella pneumoniae OX=573 PE=4 SV=1</t>
  </si>
  <si>
    <t>Glycosyl transferase, family 2 n=1 Tax=Caulobacter phage Cr30 TaxID=1357714 RepID=A0A067XQ33_9CAUD</t>
  </si>
  <si>
    <t>DNAUV-4.472-24_1</t>
  </si>
  <si>
    <t>Glycosyl transferase family 1 n=1 Tax=Paraburkholderia sp. BL6665CI2N2 TaxID=1938806 RepID=A0A4R8K8Q3_9BURK</t>
  </si>
  <si>
    <t>DNAUV-5.613-17_3</t>
  </si>
  <si>
    <t>DNAUV-2.036-97_3</t>
  </si>
  <si>
    <t>COG0463 [FUNC="Glycosyltransferase involved in cell wall bisynthesis"] [shortName=WcaA] [TAG=M TAGDEF="Cell wall/membrane/envelope biogenesis" PROCESS="CELLULAR PROCESSES AND SIGNALING"]  [PATHWAY=""] glycosyltransferase family 2 protein [Jeongeupia sp. USM3]</t>
  </si>
  <si>
    <t>Glycosyltransferase family 2 protein n=1 Tax=Gordonia sp. (in: high G+C Gram-positive bacteria) TaxID=84139 RepID=A0A961E978_9ACTN</t>
  </si>
  <si>
    <t>DNAUV-8.623-317_22</t>
  </si>
  <si>
    <t>COG0463 [FUNC="Glycosyltransferase involved in cell wall bisynthesis"] [shortName=WcaA] [TAG=M TAGDEF="Cell wall/membrane/envelope biogenesis" PROCESS="CELLULAR PROCESSES AND SIGNALING"]  [PATHWAY=""] glycosyltransferase family 2 protein [Pseudodesulfovibrio aespoeensis]</t>
  </si>
  <si>
    <t>Glycosyl transferase family 2 n=1 Tax=Pseudodesulfovibrio profundus TaxID=57320 RepID=A0A2C8FAI6_9BACT</t>
  </si>
  <si>
    <t>DNAUV-2.615-7.0_3</t>
  </si>
  <si>
    <t>COG0463 [FUNC="Glycosyltransferase involved in cell wall bisynthesis"] [shortName=WcaA] [TAG=M TAGDEF="Cell wall/membrane/envelope biogenesis" PROCESS="CELLULAR PROCESSES AND SIGNALING"]  [PATHWAY=""] hypothetical protein YE1726 [Yersinia enterocolitica subsp. enterocolitica 8081]</t>
  </si>
  <si>
    <t>Glycosyltransferase 2-like domain-containing protein n=2 Tax=unclassified Caudoviricetes TaxID=2788787 RepID=M4QNS9_9CAUD</t>
  </si>
  <si>
    <t>DNAUV-147.430-52_151</t>
  </si>
  <si>
    <t>sp|F4IJ77|AATP4_ARATH AAA-ATPase At2g46620 OS=Arabidopsis thaliana OX=3702 GN=At2g46620 PE=2 SV=1</t>
  </si>
  <si>
    <t>COG0464 [FUNC="AAA+-type ATPase, SpoVK/Ycf46/Vps4 family"] [shortName=SpoVK] [TAG=M TAGDEF="Cell wall/membrane/envelope biogenesis" PROCESS="CELLULAR PROCESSES AND SIGNALING"] [TAG=D TAGDEF="Cell cycle control, cell division, chromosome partitioning" PROCESS="CELLULAR PROCESSES AND SIGNALING"] [TAG=T TAGDEF="Signal transduction mechanisms" PROCESS="CELLULAR PROCESSES AND SIGNALING"]  [PATHWAY=""] ATP-binding protein [Sulfurifustis variabilis]</t>
  </si>
  <si>
    <t>ATPase family protein associated with various cellular activities (AAA) n=1 Tax=Tibeticola sediminis TaxID=1917811 RepID=A0A3N4TWX5_9BURK</t>
  </si>
  <si>
    <t>DNAUV-4.792-15_8</t>
  </si>
  <si>
    <t>sp|P49541|YCF46_TRICV Uncharacterized AAA domain-containing protein ycf46 OS=Trieres chinensis OX=1514140 GN=ycf46 PE=3 SV=1</t>
  </si>
  <si>
    <t>COG0464 [FUNC="AAA+-type ATPase, SpoVK/Ycf46/Vps4 family"] [shortName=SpoVK] [TAG=M TAGDEF="Cell wall/membrane/envelope biogenesis" PROCESS="CELLULAR PROCESSES AND SIGNALING"] [TAG=D TAGDEF="Cell cycle control, cell division, chromosome partitioning" PROCESS="CELLULAR PROCESSES AND SIGNALING"] [TAG=T TAGDEF="Signal transduction mechanisms" PROCESS="CELLULAR PROCESSES AND SIGNALING"]  [PATHWAY=""] ATPase [Candidatus Thiodictyon syntrophicum]</t>
  </si>
  <si>
    <t>VOG05667 [FUNC="sp|P49541|YCF46_TRICV Uncharacterized AAA domain-containing protein ycf46"] [TAG=Xh TAGDEF="Virus protein with function beneficial for the host"]</t>
  </si>
  <si>
    <t>ATPase domain-containing protein n=1 Tax=Rhizobium phage RHph_I4 TaxID=2509735 RepID=A0A7S5RJ24_9CAUD</t>
  </si>
  <si>
    <t>23.10.P4-15.618-22_9</t>
  </si>
  <si>
    <t>sp|B8J198|LON_DESDA Lon protease OS=Desulfovibrio desulfuricans (strain ATCC 27774 / DSM 6949 / MB) OX=525146 GN=lon PE=3 SV=1</t>
  </si>
  <si>
    <t>COG0466 [FUNC="ATP-dependent Lon protease, bacterial type"] [shortName=Lon] [TAG=O TAGDEF="Posttranslational modification, protein turnover, chaperones" PROCESS="CELLULAR PROCESSES AND SIGNALING"]  [PATHWAY=""] endopeptidase La [Kribbella flavida]</t>
  </si>
  <si>
    <t>Lon protease n=1 Tax=Clostridium sp. 7_2_43FAA TaxID=457396 RepID=V9HHN5_9CLOT</t>
  </si>
  <si>
    <t>23.10.P4-12.198-32_15</t>
  </si>
  <si>
    <t>COG0515 [FUNC="Serine/threonine protein kinase"] [shortName=SPS1] [TAG=T TAGDEF="Signal transduction mechanisms" PROCESS="CELLULAR PROCESSES AND SIGNALING"]  [PATHWAY=""] hypothetical protein [Gemmatirosa kalamazoonesis]</t>
  </si>
  <si>
    <t>Aminoglycoside phosphotransferase domain-containing protein n=1 Tax=Coniochaeta pulveracea TaxID=177199 RepID=A0A420Y390_9PEZI</t>
  </si>
  <si>
    <t>DNAUV-2.748-11_1</t>
  </si>
  <si>
    <t>sp|Q46BK8|AHBC_METBF Fe-coproporphyrin III synthase OS=Methanosarcina barkeri (strain Fusaro / DSM 804) OX=269797 GN=ahbC PE=1 SV=1</t>
  </si>
  <si>
    <t>COG0535 [FUNC="Radical SAM superfamily maturase, SkfB/NifB/PqqE family"] [shortName=SkfB] [TAG=D TAGDEF="Cell cycle control, cell division, chromosome partitioning" PROCESS="CELLULAR PROCESSES AND SIGNALING"] [TAG=H TAGDEF="Coenzyme transport and metabolism" PROCESS="METABOLISM"]  [PATHWAY=""] radical SAM protein [Halobacteriovorax marinus]</t>
  </si>
  <si>
    <t>Radical SAM core domain-containing protein n=1 Tax=Prosthecochloris sp. GSB1 TaxID=281093 RepID=A0A222SFS8_9CHLB</t>
  </si>
  <si>
    <t>DNAUV-51.550-178_17</t>
  </si>
  <si>
    <t>sp|A6VJM2|MOAA_METM7 Probable GTP 3',8-cyclase OS=Methanococcus maripaludis (strain C7 / ATCC BAA-1331) OX=426368 GN=moaA PE=3 SV=1</t>
  </si>
  <si>
    <t>COG0535 [FUNC="Radical SAM superfamily maturase, SkfB/NifB/PqqE family"] [shortName=SkfB] [TAG=D TAGDEF="Cell cycle control, cell division, chromosome partitioning" PROCESS="CELLULAR PROCESSES AND SIGNALING"] [TAG=H TAGDEF="Coenzyme transport and metabolism" PROCESS="METABOLISM"]  [PATHWAY=""] radical SAM protein [Methylophilus sp. TWE2]</t>
  </si>
  <si>
    <t>Radical SAM protein n=1 Tax=Lachnospira eligens TaxID=39485 RepID=A0A415MBG6_9FIRM</t>
  </si>
  <si>
    <t>DNAUV-29.591-37_21</t>
  </si>
  <si>
    <t>sp|P0ABI1|CLPA_ECO57 ATP-dependent Clp protease ATP-binding subunit ClpA OS=Escherichia coli O157:H7 OX=83334 GN=clpA PE=3 SV=1</t>
  </si>
  <si>
    <t>COG0542 [FUNC="ATP-dependent Clp protease, ATP-binding subunit ClpA"] [shortName=ClpA] [TAG=O TAGDEF="Posttranslational modification, protein turnover, chaperones" PROCESS="CELLULAR PROCESSES AND SIGNALING"]  [PATHWAY=""] ATP-dependent Clp protease ATP-binding subunit ClpA [Nautilia profundicola]</t>
  </si>
  <si>
    <t>VOG04087 [FUNC="sp|P0ABH9|CLPA_ECOLI ATP-dependent Clp protease ATP-binding subunit ClpA"] [TAG=Xh TAGDEF="Virus protein with function beneficial for the host"]</t>
  </si>
  <si>
    <t>Sigma-54 interaction domain, ATP-binding site 1 n=1 Tax=Vibrio phage 1.170.O._10N.261.52.C3 TaxID=1881390 RepID=A0A2I7REQ1_9CAUD</t>
  </si>
  <si>
    <t>DNAUV-2.847-8.9_1</t>
  </si>
  <si>
    <t>sp|Q2YSD6|CLPC_STAAB ATP-dependent Clp protease ATP-binding subunit ClpC OS=Staphylococcus aureus (strain bovine RF122 / ET3-1) OX=273036 GN=clpC PE=1 SV=1</t>
  </si>
  <si>
    <t>COG0542 [FUNC="ATP-dependent Clp protease, ATP-binding subunit ClpA"] [shortName=ClpA] [TAG=O TAGDEF="Posttranslational modification, protein turnover, chaperones" PROCESS="CELLULAR PROCESSES AND SIGNALING"]  [PATHWAY=""] Clp protease ClpC [Olleya sp. Bg11-27]</t>
  </si>
  <si>
    <t>ATP-dependent Clp protease ATP-binding subunit ClpC n=1 Tax=Winogradskyella thalassocola TaxID=262004 RepID=A0A1G8JKQ0_9FLAO</t>
  </si>
  <si>
    <t>DNAUV-159.889-409_100</t>
  </si>
  <si>
    <t>sp|Q48485|GLF1_KLEPN UDP-galactopyranose mutase OS=Klebsiella pneumoniae OX=573 GN=rfbD PE=1 SV=1</t>
  </si>
  <si>
    <t>COG0562 [FUNC="UDP-galactopyranose mutase"] [shortName=Glf] [TAG=M TAGDEF="Cell wall/membrane/envelope biogenesis" PROCESS="CELLULAR PROCESSES AND SIGNALING"]  [PATHWAY=""] UDP-galactopyranose mutase [Clostridium acetobutylicum ATCC 824]</t>
  </si>
  <si>
    <t>VOG28619 [FUNC="sp|P9WIQ1|GLF_MYCTU UDP-galactopyranose mutase"] [TAG=Xh TAGDEF="Virus protein with function beneficial for the host"]</t>
  </si>
  <si>
    <t>UDP-galactopyranose mutase n=1 Tax=Methylorubrum rhodesianum TaxID=29427 RepID=A0A841AAL1_9HYPH</t>
  </si>
  <si>
    <t>DNAUV-152.980-60_136</t>
  </si>
  <si>
    <t>COG0562 [FUNC="UDP-galactopyranose mutase"] [shortName=Glf] [TAG=M TAGDEF="Cell wall/membrane/envelope biogenesis" PROCESS="CELLULAR PROCESSES AND SIGNALING"]  [PATHWAY=""] UDP-galactopyranose mutase [Nostoc punctiforme]</t>
  </si>
  <si>
    <t>UDP-galactopyranose mutase n=1 Tax=Pluralibacter gergoviae TaxID=61647 RepID=A0A0J5P6H9_PLUGE</t>
  </si>
  <si>
    <t>DNAUV-7.373-19_8</t>
  </si>
  <si>
    <t>sp|Q30T22|HLDE_SULDN Bifunctional protein HldE OS=Sulfurimonas denitrificans (strain ATCC 33889 / DSM 1251) OX=326298 GN=hldE PE=3 SV=1</t>
  </si>
  <si>
    <t>COG0615 [FUNC="Glycerol-3-phosphate cytidylyltransferase, cytidylyltransferase family"] [shortName=TagD] [TAG=M TAGDEF="Cell wall/membrane/envelope biogenesis" PROCESS="CELLULAR PROCESSES AND SIGNALING"]  [PATHWAY="Riboflavin/FAD biosynthesis"] glycerol-3-phosphate cytidylyltransferase [Candidatus Saccharibacteria oral taxon TM7x]</t>
  </si>
  <si>
    <t>VOG16562 [FUNC="REFSEQ bifunctional heptose 7-phosphate kinase/heptose 1-phosphate adenyltransferase"] [TAG=Xu TAGDEF="Function unknown"]</t>
  </si>
  <si>
    <t>Cupin domain-containing protein n=1 Tax=Coraliomargarita sp. TMED73 TaxID=1986604 RepID=A0A3R7Z8Z0_9BACT</t>
  </si>
  <si>
    <t>DNAUV-51.550-178_48</t>
  </si>
  <si>
    <t>COG0616 [FUNC="Periplasmic serine protease, ClpP class"] [shortName=SppA] [TAG=O TAGDEF="Posttranslational modification, protein turnover, chaperones" PROCESS="CELLULAR PROCESSES AND SIGNALING"]  [PATHWAY=""] ClpP class periplasmic serine protease [Owenweeksia hongkongensis]</t>
  </si>
  <si>
    <t>Peptidase S49 domain-containing protein n=1 Tax=Muricauda nanhaiensis TaxID=2292706 RepID=A0A371JL71_9FLAO</t>
  </si>
  <si>
    <t>DNAUV-48.475-181_38</t>
  </si>
  <si>
    <t>sp|O34525|SPPA_BACSU Putative signal peptide peptidase SppA OS=Bacillus subtilis (strain 168) OX=224308 GN=sppA PE=1 SV=1</t>
  </si>
  <si>
    <t>COG0616 [FUNC="Periplasmic serine protease, ClpP class"] [shortName=SppA] [TAG=O TAGDEF="Posttranslational modification, protein turnover, chaperones" PROCESS="CELLULAR PROCESSES AND SIGNALING"]  [PATHWAY=""] peptidase S49 [Niveispirillum cyanobacteriorum]</t>
  </si>
  <si>
    <t>Putative protease n=1 Tax=Shewanella phage SppYZU01 TaxID=1965372 RepID=A0A1V0DYI5_9CAUD</t>
  </si>
  <si>
    <t>DNAUV-4.350-11_7</t>
  </si>
  <si>
    <t>sp|P36273|VG05_BPP21 Head-tail preconnector protein GP5 OS=Enterobacteria phage P21 OX=10711 GN=5 PE=3 SV=1</t>
  </si>
  <si>
    <t>COG0616 [FUNC="Periplasmic serine protease, ClpP class"] [shortName=SppA] [TAG=O TAGDEF="Posttranslational modification, protein turnover, chaperones" PROCESS="CELLULAR PROCESSES AND SIGNALING"]  [PATHWAY=""] phage major capsid protein [Candidatus Koribacter versatilis]</t>
  </si>
  <si>
    <t>Signal peptide peptidase SppA n=1 Tax=Rhizobium sp. SG570 TaxID=2587113 RepID=A0A7X6FAX4_9HYPH</t>
  </si>
  <si>
    <t>DNAUV-2.353-6.9_2</t>
  </si>
  <si>
    <t>sp|P03711|SCAF_LAMBD Capsid assembly protease C OS=Escherichia phage lambda OX=2681611 GN=C PE=1 SV=1</t>
  </si>
  <si>
    <t>COG0616 [FUNC="Periplasmic serine protease, ClpP class"] [shortName=SppA] [TAG=O TAGDEF="Posttranslational modification, protein turnover, chaperones" PROCESS="CELLULAR PROCESSES AND SIGNALING"]  [PATHWAY=""] phage tail protein [Pseudorhodoplanes sinuspersici]</t>
  </si>
  <si>
    <t>Peptidase S49 domain-containing protein n=2 Tax=Limnohabitans curvus TaxID=323423 RepID=A0A315FZ08_9BURK</t>
  </si>
  <si>
    <t>DNAUV-3.499-15_3</t>
  </si>
  <si>
    <t>sp|P0AG14|SOHB_ECOLI Probable protease SohB OS=Escherichia coli (strain K12) OX=83333 GN=sohB PE=1 SV=1</t>
  </si>
  <si>
    <t>COG0616 [FUNC="Periplasmic serine protease, ClpP class"] [shortName=SppA] [TAG=O TAGDEF="Posttranslational modification, protein turnover, chaperones" PROCESS="CELLULAR PROCESSES AND SIGNALING"]  [PATHWAY=""] protease SohB [Oleiphilus messinensis]</t>
  </si>
  <si>
    <t>ClpP class periplasmic serine protease n=1 Tax=Oleiphilus messinensis TaxID=141451 RepID=A0A1Y0IAE2_9GAMM</t>
  </si>
  <si>
    <t>Avril.NODE_314_length_6525_cov_6.168624_7</t>
  </si>
  <si>
    <t>COG0616 [FUNC="Periplasmic serine protease, ClpP class"] [shortName=SppA] [TAG=O TAGDEF="Posttranslational modification, protein turnover, chaperones" PROCESS="CELLULAR PROCESSES AND SIGNALING"]  [PATHWAY=""] S49 family peptidase [Agarilytica rhodophyticola]</t>
  </si>
  <si>
    <t>DNAUV-59.689-63_53</t>
  </si>
  <si>
    <t>COG0616 [FUNC="Periplasmic serine protease, ClpP class"] [shortName=SppA] [TAG=O TAGDEF="Posttranslational modification, protein turnover, chaperones" PROCESS="CELLULAR PROCESSES AND SIGNALING"]  [PATHWAY=""] S49 family peptidase [Methylobacterium nodulans]</t>
  </si>
  <si>
    <t>Signal peptide peptidase A n=1 Tax=Ruegeria phage vB_RpoS-V16 TaxID=2218618 RepID=A0A2Z4QH84_9CAUD</t>
  </si>
  <si>
    <t>DNAUV-43.274-68_100</t>
  </si>
  <si>
    <t>sp|Q8Z6F3|SPPA_SALTI Protease 4 OS=Salmonella typhi OX=90370 GN=sppA PE=3 SV=1</t>
  </si>
  <si>
    <t>COG0616 [FUNC="Periplasmic serine protease, ClpP class"] [shortName=SppA] [TAG=O TAGDEF="Posttranslational modification, protein turnover, chaperones" PROCESS="CELLULAR PROCESSES AND SIGNALING"]  [PATHWAY=""] S49 family peptidase [Nitrosospira multiformis]</t>
  </si>
  <si>
    <t>DNAUV-6.824-277_4</t>
  </si>
  <si>
    <t>DNAUV-7.726-37_34</t>
  </si>
  <si>
    <t>DNAUV-85.908-43_37</t>
  </si>
  <si>
    <t>COG0639 [FUNC="Diadenosine tetraphosphatase ApaH/serine/threonine protein phosphatase, PP2A family"] [shortName=ApaH] [TAG=T TAGDEF="Signal transduction mechanisms" PROCESS="CELLULAR PROCESSES AND SIGNALING"]  [PATHWAY=""] bis(5'nucleosyl)-tetraphosphatase ApaH [Methanohalophilus mahii]</t>
  </si>
  <si>
    <t>Serine/threonine protein phosphatase n=1 Tax=Allochromatium humboldtianum TaxID=504901 RepID=A0A850RD03_9GAMM</t>
  </si>
  <si>
    <t>05.07.P4-23.233-14_2</t>
  </si>
  <si>
    <t>sp|Q51741|CMO_PYRFU Tungsten-containing aldehyde ferredoxin oxidoreductase cofactor-modifying protein OS=Pyrococcus furiosus (strain ATCC 43587 / DSM 3638 / JCM 8422 / Vc1) OX=186497 GN=cmo PE=3 SV=2</t>
  </si>
  <si>
    <t>COG0641 [FUNC="Sulfatase maturation enzyme AslB, radical SAM superfamily"] [shortName=AslB] [TAG=O TAGDEF="Posttranslational modification, protein turnover, chaperones" PROCESS="CELLULAR PROCESSES AND SIGNALING"]  [PATHWAY=""] radical SAM protein [Halobacteriovorax marinus]</t>
  </si>
  <si>
    <t>Radical SAM domain protein n=2 Tax=Halobacteriovorax marinus TaxID=97084 RepID=E1X1N4_HALMS</t>
  </si>
  <si>
    <t>DNAUV-85.908-43_40</t>
  </si>
  <si>
    <t>sp|Q6GZQ8|RIR2_FRG3G Putative ribonucleoside-diphosphate reductase small subunit 067L OS=Frog virus 3 (isolate Goorha) OX=654924 GN=FV3-067L PE=3 SV=1</t>
  </si>
  <si>
    <t>COG0695 [FUNC="Glutaredoxin"] [shortName=GrxC] [TAG=O TAGDEF="Posttranslational modification, protein turnover, chaperones" PROCESS="CELLULAR PROCESSES AND SIGNALING"]  [PATHWAY=""] bifunctional gluaredoxin/ribonucleoside-diphosphate reductase subunit beta [Francisella tularensis subsp. tularensis SCHU S4]</t>
  </si>
  <si>
    <t>ribonucleoside-diphosphate reductase n=1 Tax=Vibrio phage 1.084.O._10N.261.49.F5 TaxID=2070724 RepID=A0A2I7QXY0_9CAUD</t>
  </si>
  <si>
    <t>05.07.P4-6.111-11_3</t>
  </si>
  <si>
    <t>COG0695 [FUNC="Glutaredoxin"] [shortName=GrxC] [TAG=O TAGDEF="Posttranslational modification, protein turnover, chaperones" PROCESS="CELLULAR PROCESSES AND SIGNALING"]  [PATHWAY=""] glutaredoxin [Candidatus Thioglobus singularis]</t>
  </si>
  <si>
    <t>Glutaredoxin domain-containing protein n=1 Tax=Enterococcus phage vB_OCPT_CCS4 TaxID=2922329 RepID=A0A9E7J360_9CAUD</t>
  </si>
  <si>
    <t>DNAUV-152.980-60_33</t>
  </si>
  <si>
    <t>sp|P68688|GLRX1_ECOLI Glutaredoxin 1 OS=Escherichia coli (strain K12) OX=83333 GN=grxA PE=1 SV=1</t>
  </si>
  <si>
    <t>COG0695 [FUNC="Glutaredoxin"] [shortName=GrxC] [TAG=O TAGDEF="Posttranslational modification, protein turnover, chaperones" PROCESS="CELLULAR PROCESSES AND SIGNALING"]  [PATHWAY=""] glutaredoxin 3 [Glomeribacter sp. 1016415]</t>
  </si>
  <si>
    <t>Glutaredoxin domain-containing protein n=1 Tax=Comamonas denitrificans TaxID=117506 RepID=A0A939GWZ7_9BURK</t>
  </si>
  <si>
    <t>DNAUV-6.502-63_5</t>
  </si>
  <si>
    <t>sp|Q92J02|GLRX1_RICCN Glutaredoxin 1 OS=Rickettsia conorii (strain ATCC VR-613 / Malish 7) OX=272944 GN=grxC1 PE=3 SV=1</t>
  </si>
  <si>
    <t>COG0695 [FUNC="Glutaredoxin"] [shortName=GrxC] [TAG=O TAGDEF="Posttranslational modification, protein turnover, chaperones" PROCESS="CELLULAR PROCESSES AND SIGNALING"]  [PATHWAY=""] glutaredoxin-like protein [Pimelobacter simplex]</t>
  </si>
  <si>
    <t>VOG00245 [FUNC="REFSEQ hypothetical protein"] [TAG=Xu TAGDEF="Function unknown"]</t>
  </si>
  <si>
    <t>Mycoredoxin n=1 Tax=Nocardia yunnanensis TaxID=2382165 RepID=A0A386Z4I0_9NOCA</t>
  </si>
  <si>
    <t>DNAUV-3.309-8.3_6</t>
  </si>
  <si>
    <t>sp|P44758|PRX5_HAEIN Hybrid peroxiredoxin hyPrx5 OS=Haemophilus influenzae (strain ATCC 51907 / DSM 11121 / KW20 / Rd) OX=71421 GN=PGdx PE=1 SV=1</t>
  </si>
  <si>
    <t>COG0695 [FUNC="Glutaredoxin"] [shortName=GrxC] [TAG=O TAGDEF="Posttranslational modification, protein turnover, chaperones" PROCESS="CELLULAR PROCESSES AND SIGNALING"]  [PATHWAY=""] glutathione amide-dependent peroxidase [Pseudoalteromonas atlantica]</t>
  </si>
  <si>
    <t>Glutathione peroxidase n=1 Tax=Kushneria phosphatilytica TaxID=657387 RepID=A0A1S1NYN2_9GAMM</t>
  </si>
  <si>
    <t>DNAUV-5.622-87_8</t>
  </si>
  <si>
    <t>sp|Q9HU55|GLRX_PSEAE Glutaredoxin OS=Pseudomonas aeruginosa (strain ATCC 15692 / DSM 22644 / CIP 104116 / JCM 14847 / LMG 12228 / 1C / PRS 101 / PAO1) OX=208964 GN=grx PE=3 SV=1</t>
  </si>
  <si>
    <t>COG0695 [FUNC="Glutaredoxin"] [shortName=GrxC] [TAG=O TAGDEF="Posttranslational modification, protein turnover, chaperones" PROCESS="CELLULAR PROCESSES AND SIGNALING"]  [PATHWAY=""] glutathione peroxidase [Gibbsiella quercinecans]</t>
  </si>
  <si>
    <t>Glutaredoxin 3 n=3 Tax=Rhizobium rosettiformans TaxID=1368430 RepID=A0A4S8PYY3_9HYPH</t>
  </si>
  <si>
    <t>DNAUV-5.997-503_11</t>
  </si>
  <si>
    <t>COG0695 [FUNC="Glutaredoxin"] [shortName=GrxC] [TAG=O TAGDEF="Posttranslational modification, protein turnover, chaperones" PROCESS="CELLULAR PROCESSES AND SIGNALING"]  [PATHWAY=""] glutathione peroxidase [Oleispira antarctica]</t>
  </si>
  <si>
    <t>Glutaredoxin n=1 Tax=Roseobacter phage CRP-6 TaxID=2559285 RepID=A0A646QWG8_9CAUD</t>
  </si>
  <si>
    <t>DNAUV-3.229-25_9</t>
  </si>
  <si>
    <t>sp|P0AFT0|MEPM_ECOL6 Murein DD-endopeptidase MepM OS=Escherichia coli O6:H1 (strain CFT073 / ATCC 700928 / UPEC) OX=199310 GN=mepM PE=3 SV=1</t>
  </si>
  <si>
    <t>COG0739 [FUNC="Murein DD-endopeptidase MepM and murein hydrolase activator NlpD, contains LysM domain"] [shortName=NlpD] [TAG=M TAGDEF="Cell wall/membrane/envelope biogenesis" PROCESS="CELLULAR PROCESSES AND SIGNALING"]  [PATHWAY=""] hypothetical protein [Carboxydocella sp. JDF658]</t>
  </si>
  <si>
    <t>Peptidase n=1 Tax=Pontimonas phage phiPsal1 TaxID=2079347 RepID=A0A2K9VGT1_9CAUD</t>
  </si>
  <si>
    <t>11.09.P2-8.389-15_6</t>
  </si>
  <si>
    <t>sp|P16009|NEEDL_BPT4 Pre-baseplate central spike protein Gp5 OS=Enterobacteria phage T4 OX=10665 GN=5 PE=1 SV=2</t>
  </si>
  <si>
    <t>COG0739 [FUNC="Murein DD-endopeptidase MepM and murein hydrolase activator NlpD, contains LysM domain"] [shortName=NlpD] [TAG=M TAGDEF="Cell wall/membrane/envelope biogenesis" PROCESS="CELLULAR PROCESSES AND SIGNALING"]  [PATHWAY=""] hypothetical protein [Peptoclostridium acidaminophilum]</t>
  </si>
  <si>
    <t>Baseplate hub subunit n=1 Tax=Synechococcus phage S-E7 TaxID=2484639 RepID=A0A3G3M7U7_9CAUD</t>
  </si>
  <si>
    <t>DNAUV-2.862-95_3</t>
  </si>
  <si>
    <t>Uncharacterized protein n=1 Tax=Sinorhizobium phage phiM6 TaxID=2301527 RepID=A0A346HW37_9CAUD</t>
  </si>
  <si>
    <t>11.09.P1-6.485-22_4</t>
  </si>
  <si>
    <t>sp|P44693|Y409_HAEIN Uncharacterized metalloprotease HI_0409 OS=Haemophilus influenzae (strain ATCC 51907 / DSM 11121 / KW20 / Rd) OX=71421 GN=HI_0409 PE=3 SV=1</t>
  </si>
  <si>
    <t>COG0739 [FUNC="Murein DD-endopeptidase MepM and murein hydrolase activator NlpD, contains LysM domain"] [shortName=NlpD] [TAG=M TAGDEF="Cell wall/membrane/envelope biogenesis" PROCESS="CELLULAR PROCESSES AND SIGNALING"]  [PATHWAY=""] M23 family peptidase [Amphibacillus xylanus]</t>
  </si>
  <si>
    <t>DNAUV-3.954-103_5</t>
  </si>
  <si>
    <t>VOG00275 [FUNC="sp|P03706|ENLYS_LAMBD Endolysin"] [TAG=Xh TAGDEF="Virus protein with function beneficial for the host"]</t>
  </si>
  <si>
    <t>11.09.P2-11.877-4.3_2</t>
  </si>
  <si>
    <t>COG0739 [FUNC="Murein DD-endopeptidase MepM and murein hydrolase activator NlpD, contains LysM domain"] [shortName=NlpD] [TAG=M TAGDEF="Cell wall/membrane/envelope biogenesis" PROCESS="CELLULAR PROCESSES AND SIGNALING"]  [PATHWAY=""] M23 family peptidase [Sediminispirochaeta smaragdinae]</t>
  </si>
  <si>
    <t>DNAUV-3.804-223_7</t>
  </si>
  <si>
    <t>VOG00595 [FUNC="sp|O80288|ENLYS_BPPS3 SAR-endolysin"] [TAG=Xh TAGDEF="Virus protein with function beneficial for the host"]</t>
  </si>
  <si>
    <t>DNAUV-6.502-141_7</t>
  </si>
  <si>
    <t>DNAUV-6.604-1139_13</t>
  </si>
  <si>
    <t>DNAUV-9.330-291_8</t>
  </si>
  <si>
    <t>Sept.NODE_250_length_6152_cov_30.397737_6</t>
  </si>
  <si>
    <t>Sept.NODE_68_length_19049_cov_12.264083_28</t>
  </si>
  <si>
    <t>Oct.NODE_731_length_3892_cov_3.792025_1</t>
  </si>
  <si>
    <t>COG0739 [FUNC="Murein DD-endopeptidase MepM and murein hydrolase activator NlpD, contains LysM domain"] [shortName=NlpD] [TAG=M TAGDEF="Cell wall/membrane/envelope biogenesis" PROCESS="CELLULAR PROCESSES AND SIGNALING"]  [PATHWAY=""] MULTISPECIES: M23 family peptidase [Streptomyces]</t>
  </si>
  <si>
    <t>DNAUV-2.775-62_8</t>
  </si>
  <si>
    <t>COG0739 [FUNC="Murein DD-endopeptidase MepM and murein hydrolase activator NlpD, contains LysM domain"] [shortName=NlpD] [TAG=M TAGDEF="Cell wall/membrane/envelope biogenesis" PROCESS="CELLULAR PROCESSES AND SIGNALING"]  [PATHWAY=""] murein DD-endopeptidase MepM [Aggregatibacter actinomycetemcomitans]</t>
  </si>
  <si>
    <t>DNAUV-9.007-689_13</t>
  </si>
  <si>
    <t>11.09.P4-3.245-3.4_14</t>
  </si>
  <si>
    <t>COG0739 [FUNC="Murein DD-endopeptidase MepM and murein hydrolase activator NlpD, contains LysM domain"] [shortName=NlpD] [TAG=M TAGDEF="Cell wall/membrane/envelope biogenesis" PROCESS="CELLULAR PROCESSES AND SIGNALING"]  [PATHWAY=""] Peptidase M23 [Desulfotomaculum kuznetsovii DSM 6115]</t>
  </si>
  <si>
    <t>DNAUV-3.914-119_6</t>
  </si>
  <si>
    <t>COG0739 [FUNC="Murein DD-endopeptidase MepM and murein hydrolase activator NlpD, contains LysM domain"] [shortName=NlpD] [TAG=M TAGDEF="Cell wall/membrane/envelope biogenesis" PROCESS="CELLULAR PROCESSES AND SIGNALING"]  [PATHWAY=""] peptidase M23 [Myxococcus xanthus]</t>
  </si>
  <si>
    <t>Oct.NODE_1828_length_2115_cov_2.841262_1</t>
  </si>
  <si>
    <t>COG0739 [FUNC="Murein DD-endopeptidase MepM and murein hydrolase activator NlpD, contains LysM domain"] [shortName=NlpD] [TAG=M TAGDEF="Cell wall/membrane/envelope biogenesis" PROCESS="CELLULAR PROCESSES AND SIGNALING"]  [PATHWAY=""] peptidase M23 [Sagittula sp. P11]</t>
  </si>
  <si>
    <t>VOG18428 [FUNC="REFSEQ hypothetical protein"] [TAG=Xu TAGDEF="Function unknown"]</t>
  </si>
  <si>
    <t>Transglycosylase SLT domain-containing protein n=2 Tax=Sanyabayvirus DS1410Ws06 TaxID=2844087 RepID=A0A191VYT0_9CAUD</t>
  </si>
  <si>
    <t>Oct.NODE_54_length_30916_cov_12.817180_21</t>
  </si>
  <si>
    <t>Sept.NODE_757_length_2795_cov_5.954745_6</t>
  </si>
  <si>
    <t>sp|Q0TQK2|CLPP_CLOP1 ATP-dependent Clp protease proteolytic subunit OS=Clostridium perfringens (strain ATCC 13124 / DSM 756 / JCM 1290 / NCIMB 6125 / NCTC 8237 / Type A) OX=195103 GN=clpP PE=3 SV=1</t>
  </si>
  <si>
    <t>COG0740 [FUNC="ATP-dependent protease ClpP, protease subunit"] [shortName=ClpP] [TAG=O TAGDEF="Posttranslational modification, protein turnover, chaperones" PROCESS="CELLULAR PROCESSES AND SIGNALING"]  [PATHWAY=""] ATP-dependent Clp endopeptidase, proteolytic subunit ClpP [Butyrivibrio proteoclasticus]</t>
  </si>
  <si>
    <t>ATP-dependent Clp serine protease proteolytic subunit-like protein n=1 Tax=Salicola phage SCTP-2 TaxID=2015814 RepID=A0A248SJ97_9CAUD</t>
  </si>
  <si>
    <t>DNAUV-62.938-22_33</t>
  </si>
  <si>
    <t>sp|Q2RU45|CLPP_RHORT ATP-dependent Clp protease proteolytic subunit OS=Rhodospirillum rubrum (strain ATCC 11170 / ATH 1.1.1 / DSM 467 / LMG 4362 / NCIMB 8255 / S1) OX=269796 GN=clpP PE=3 SV=1</t>
  </si>
  <si>
    <t>COG0740 [FUNC="ATP-dependent protease ClpP, protease subunit"] [shortName=ClpP] [TAG=O TAGDEF="Posttranslational modification, protein turnover, chaperones" PROCESS="CELLULAR PROCESSES AND SIGNALING"]  [PATHWAY=""] ATP-dependent Clp endopeptidase, proteolytic subunit ClpP [Pararhodospirillum photometricum]</t>
  </si>
  <si>
    <t>ATP-dependent Clp protease proteolytic subunit n=1 Tax=Treponema sp. Marseille-Q3903 TaxID=2766703 RepID=A0A923SUV8_9SPIR</t>
  </si>
  <si>
    <t>17.05.P4-8.753-4.4_12</t>
  </si>
  <si>
    <t>sp|Q72L15|CLPP_THET2 ATP-dependent Clp protease proteolytic subunit OS=Thermus thermophilus (strain ATCC BAA-163 / DSM 7039 / HB27) OX=262724 GN=clpP PE=3 SV=2</t>
  </si>
  <si>
    <t>COG0740 [FUNC="ATP-dependent protease ClpP, protease subunit"] [shortName=ClpP] [TAG=O TAGDEF="Posttranslational modification, protein turnover, chaperones" PROCESS="CELLULAR PROCESSES AND SIGNALING"]  [PATHWAY=""] Clp protease ClpP [Methyloversatilis sp. RAC08]</t>
  </si>
  <si>
    <t>Protease proteolytic subunit n=1 Tax=Pseudomonas phage vB_PsaM_M1 TaxID=2995601 RepID=A0A9E8G123_9CAUD</t>
  </si>
  <si>
    <t>DNAUV-2.209-12-V2_4</t>
  </si>
  <si>
    <t>ATP-dependent Clp protease proteolytic subunit n=1 Tax=Lake Baikal phage Baikal-20-5m-C28 TaxID=2047876 RepID=A0A2H4N7X3_9CAUD</t>
  </si>
  <si>
    <t>DNAUV-85.908-43_44</t>
  </si>
  <si>
    <t>COG0740 [FUNC="ATP-dependent protease ClpP, protease subunit"] [shortName=ClpP] [TAG=O TAGDEF="Posttranslational modification, protein turnover, chaperones" PROCESS="CELLULAR PROCESSES AND SIGNALING"]  [PATHWAY=""] Clp protease ClpP [Photobacterium profundum]</t>
  </si>
  <si>
    <t>ATP-dependent Clp protease n=1 Tax=Pantoea phage vB_PagS_AAS21 TaxID=2575261 RepID=A0A4Y5P1P5_9CAUD</t>
  </si>
  <si>
    <t>DNAUV-62.938-22_36</t>
  </si>
  <si>
    <t>sp|P0DA34|CLPP_STRP3 ATP-dependent Clp protease proteolytic subunit OS=Streptococcus pyogenes serotype M3 (strain ATCC BAA-595 / MGAS315) OX=198466 GN=clpP PE=3 SV=1</t>
  </si>
  <si>
    <t>COG0740 [FUNC="ATP-dependent protease ClpP, protease subunit"] [shortName=ClpP] [TAG=O TAGDEF="Posttranslational modification, protein turnover, chaperones" PROCESS="CELLULAR PROCESSES AND SIGNALING"]  [PATHWAY=""] putative ATP-dependent protease proteolytic subunit [Streptococcus pyogenes M1 GAS]</t>
  </si>
  <si>
    <t>DNAUV-7.147-1172_24</t>
  </si>
  <si>
    <t>sp|O64046|TMP_BPSPB Probable tape measure protein OS=Bacillus phage SPbeta OX=2932878 GN=yomI PE=3 SV=1</t>
  </si>
  <si>
    <t>COG0741 [FUNC="Soluble lytic murein transglycosylase or regulatory protein s ( may contain LysM/invasin domain)"] [shortName=MltE] [TAG=M TAGDEF="Cell wall/membrane/envelope biogenesis" PROCESS="CELLULAR PROCESSES AND SIGNALING"]  [PATHWAY=""] lytic transglycosylase domain-containing protein [Marinovum algicola]</t>
  </si>
  <si>
    <t>VOG00061 [FUNC="sp|P03726|EXLYS_BPT7 Peptidoglycan transglycosylase gp16"] [TAG=Xh TAGDEF="Virus protein with function beneficial for the host"]</t>
  </si>
  <si>
    <t>Soluble lytic murein transglycosylase n=1 Tax=Marinovum algicola TaxID=42444 RepID=A0A975WD41_9RHOB</t>
  </si>
  <si>
    <t>DNAUV-10.553-337_8</t>
  </si>
  <si>
    <t>sp|C5BCE9|MLTC_EDWI9 Membrane-bound lytic murein transglycosylase C OS=Edwardsiella ictaluri (strain 93-146) OX=634503 GN=mltC PE=3 SV=1</t>
  </si>
  <si>
    <t>COG0741 [FUNC="Soluble lytic murein transglycosylase or regulatory protein s ( may contain LysM/invasin domain)"] [shortName=MltE] [TAG=M TAGDEF="Cell wall/membrane/envelope biogenesis" PROCESS="CELLULAR PROCESSES AND SIGNALING"]  [PATHWAY=""] lytic transglycosylase domain-containing protein [Thermacetogenium phaeum]</t>
  </si>
  <si>
    <t>VOG37515 [FUNC="REFSEQ transglycosylase"] [TAG=Xu TAGDEF="Function unknown"]</t>
  </si>
  <si>
    <t>Lytic transglycosylase YjbJ (Fragment) n=1 Tax=Thermacetogenium phaeum TaxID=85874 RepID=A0A101FG71_9THEO</t>
  </si>
  <si>
    <t>DNAUV-11.867-26_40</t>
  </si>
  <si>
    <t>sp|O31608|CWLQ_BACSU Bifunctional muramidase/lytic transglycosylase CwlQ OS=Bacillus subtilis (strain 168) OX=224308 GN=cwlQ PE=1 SV=1</t>
  </si>
  <si>
    <t>COG0741 [FUNC="Soluble lytic murein transglycosylase or regulatory protein s ( may contain LysM/invasin domain)"] [shortName=MltE] [TAG=M TAGDEF="Cell wall/membrane/envelope biogenesis" PROCESS="CELLULAR PROCESSES AND SIGNALING"]  [PATHWAY=""] MULTISPECIES: lytic transglycosylase [Rhodobacteraceae]</t>
  </si>
  <si>
    <t>Lytic transglycosylase domain-containing protein n=2 Tax=unclassified Mesorhizobium TaxID=325217 RepID=A0A4S0G482_9HYPH</t>
  </si>
  <si>
    <t>DNAUV-41.618-136_41</t>
  </si>
  <si>
    <t>COG0741 [FUNC="Soluble lytic murein transglycosylase or regulatory protein s ( may contain LysM/invasin domain)"] [shortName=MltE] [TAG=M TAGDEF="Cell wall/membrane/envelope biogenesis" PROCESS="CELLULAR PROCESSES AND SIGNALING"]  [PATHWAY=""] MULTISPECIES: lytic transglycosylase domain-containing protein [Bacillaceae]</t>
  </si>
  <si>
    <t>Lytic transglycosylase n=1 Tax=Halalkalibacter wakoensis JCM 9140 TaxID=1236970 RepID=W4Q0R0_9BACI</t>
  </si>
  <si>
    <t>DNAUV-2.783-11_6</t>
  </si>
  <si>
    <t>sp|P0CAW8|CTRA_CAUVC Cell cycle transcriptional regulator CtrA OS=Caulobacter vibrioides (strain ATCC 19089 / CB15) OX=190650 GN=ctrA PE=3 SV=1</t>
  </si>
  <si>
    <t>COG0745 [FUNC="DNA-binding response regulator, OmpR family, contains REC and winged-helix (wHTH) domain"] [shortName=OmpR] [TAG=T TAGDEF="Signal transduction mechanisms" PROCESS="CELLULAR PROCESSES AND SIGNALING"] [TAG=K TAGDEF="Transcription" PROCESS="INFORMATION STORAGE AND PROCESSING"]  [PATHWAY=""] DNA-binding response regulator [Gluconobacter oxydans]</t>
  </si>
  <si>
    <t>VOG26458 [FUNC="REFSEQ transcriptional regulator"] [TAG=Xu TAGDEF="Function unknown"]</t>
  </si>
  <si>
    <t>Response regulator transcription factor n=1 Tax=Oecophyllibacter saccharovorans TaxID=2558360 RepID=A0A506ULZ6_9PROT</t>
  </si>
  <si>
    <t>DNAUV-22.071-221_52</t>
  </si>
  <si>
    <t>sp|A6WZ81|CTRA_BRUA4 Cell cycle response regulator CtrA OS=Brucella anthropi (strain ATCC 49188 / DSM 6882 / CCUG 24695 / JCM 21032 / LMG 3331 / NBRC 15819 / NCTC 12168 / Alc 37) OX=439375 GN=ctrA PE=3 SV=1</t>
  </si>
  <si>
    <t>COG0745 [FUNC="DNA-binding response regulator, OmpR family, contains REC and winged-helix (wHTH) domain"] [shortName=OmpR] [TAG=T TAGDEF="Signal transduction mechanisms" PROCESS="CELLULAR PROCESSES AND SIGNALING"] [TAG=K TAGDEF="Transcription" PROCESS="INFORMATION STORAGE AND PROCESSING"]  [PATHWAY=""] DNA-binding response regulator [Hirschia baltica]</t>
  </si>
  <si>
    <t>CzcR-like response regulator n=1 Tax=Paracoccus phage vB_PmaS-R3 TaxID=2494563 RepID=A0A0B5A598_9CAUD</t>
  </si>
  <si>
    <t>DNAUV-3.289-32_6</t>
  </si>
  <si>
    <t>COG0745 [FUNC="DNA-binding response regulator, OmpR family, contains REC and winged-helix (wHTH) domain"] [shortName=OmpR] [TAG=T TAGDEF="Signal transduction mechanisms" PROCESS="CELLULAR PROCESSES AND SIGNALING"] [TAG=K TAGDEF="Transcription" PROCESS="INFORMATION STORAGE AND PROCESSING"]  [PATHWAY=""] DNA-binding response regulator [Thiobacimonas profunda]</t>
  </si>
  <si>
    <t>11.09.P4-14.055-4.5_5</t>
  </si>
  <si>
    <t>sp|B4U6R8|DUT_HYDS0 Deoxyuridine 5'-triphosphate nucleotidohydrolase OS=Hydrogenobaculum sp. (strain Y04AAS1) OX=380749 GN=dut PE=3 SV=1</t>
  </si>
  <si>
    <t>COG0756 [FUNC="dUTP pyrophosphatase (dUTPase)"] [shortName=Dut] [TAG=F TAGDEF="Nucleotide transport and metabolism" PROCESS="METABOLISM"] [TAG=V TAGDEF="Defense mechanisms" PROCESS="CELLULAR PROCESSES AND SIGNALING"]  [PATHWAY="Thymidylate biosynthesis"] Deoxyuridine 5'-triphosphate nucleotidohydrolase [Candidatus Tokpelaia hoelldoblerii]</t>
  </si>
  <si>
    <t>Translational repressor RegA n=2 Tax=root TaxID=1 RepID=A0A7K4MX47_9ARCH</t>
  </si>
  <si>
    <t>DNAUV-2.039-16_1</t>
  </si>
  <si>
    <t>sp|Q181Y7|DUT_CLOD6 Deoxyuridine 5'-triphosphate nucleotidohydrolase OS=Clostridioides difficile (strain 630) OX=272563 GN=dut PE=3 SV=1</t>
  </si>
  <si>
    <t>COG0756 [FUNC="dUTP pyrophosphatase (dUTPase)"] [shortName=Dut] [TAG=F TAGDEF="Nucleotide transport and metabolism" PROCESS="METABOLISM"] [TAG=V TAGDEF="Defense mechanisms" PROCESS="CELLULAR PROCESSES AND SIGNALING"]  [PATHWAY="Thymidylate biosynthesis"] deoxyuridine 5'-triphosphate nucleotidohydrolase [Clostridioides difficile 630]</t>
  </si>
  <si>
    <t>dUTP diphosphatase n=1 Tax=Alteromonas phage XX1924 TaxID=2664192 RepID=A0A6B9IZT8_9CAUD</t>
  </si>
  <si>
    <t>DNAUV-23.723-492_36</t>
  </si>
  <si>
    <t>COG0756 [FUNC="dUTP pyrophosphatase (dUTPase)"] [shortName=Dut] [TAG=F TAGDEF="Nucleotide transport and metabolism" PROCESS="METABOLISM"] [TAG=V TAGDEF="Defense mechanisms" PROCESS="CELLULAR PROCESSES AND SIGNALING"]  [PATHWAY="Thymidylate biosynthesis"] dUTP diphosphatase [Amphibacillus xylanus]</t>
  </si>
  <si>
    <t>Deoxyuridine 5'-triphosphate nucleotidohydrolase n=1 Tax=Dimargaris cristalligena TaxID=215637 RepID=A0A4V1J4D8_9FUNG</t>
  </si>
  <si>
    <t>DNAUV-4.132-9.0_9</t>
  </si>
  <si>
    <t>COG0756 [FUNC="dUTP pyrophosphatase (dUTPase)"] [shortName=Dut] [TAG=F TAGDEF="Nucleotide transport and metabolism" PROCESS="METABOLISM"] [TAG=V TAGDEF="Defense mechanisms" PROCESS="CELLULAR PROCESSES AND SIGNALING"]  [PATHWAY="Thymidylate biosynthesis"] dUTP diphosphatase [Cryptobacterium curtum]</t>
  </si>
  <si>
    <t>DNAUV-6.343-14_11</t>
  </si>
  <si>
    <t>sp|B3EIP1|DUT_CHLL2 Deoxyuridine 5'-triphosphate nucleotidohydrolase OS=Chlorobium limicola (strain DSM 245 / NBRC 103803 / 6330) OX=290315 GN=dut PE=3 SV=1</t>
  </si>
  <si>
    <t>COG0756 [FUNC="dUTP pyrophosphatase (dUTPase)"] [shortName=Dut] [TAG=F TAGDEF="Nucleotide transport and metabolism" PROCESS="METABOLISM"] [TAG=V TAGDEF="Defense mechanisms" PROCESS="CELLULAR PROCESSES AND SIGNALING"]  [PATHWAY="Thymidylate biosynthesis"] dUTP diphosphatase [Methylibium petroleiphilum]</t>
  </si>
  <si>
    <t>DNAUV-100.032-102_33</t>
  </si>
  <si>
    <t>COG0756 [FUNC="dUTP pyrophosphatase (dUTPase)"] [shortName=Dut] [TAG=F TAGDEF="Nucleotide transport and metabolism" PROCESS="METABOLISM"] [TAG=V TAGDEF="Defense mechanisms" PROCESS="CELLULAR PROCESSES AND SIGNALING"]  [PATHWAY="Thymidylate biosynthesis"] dUTP diphosphatase [Sneathia amnii]</t>
  </si>
  <si>
    <t>dUTP diphosphatase n=1 Tax=Richelia sp. RM2_1_2 TaxID=2720436 RepID=A0A969MPZ2_9NOST</t>
  </si>
  <si>
    <t>DNAUV-24.214-21_32</t>
  </si>
  <si>
    <t>sp|P73321|Y1894_SYNY3 Protein slr1894 OS=Synechocystis sp. (strain PCC 6803 / Kazusa) OX=1111708 GN=slr1894 PE=1 SV=1</t>
  </si>
  <si>
    <t>COG0783 [FUNC="DNA-binding ferritin-like protein (oxidative damage protectant)"] [shortName=Dps] [TAG=P TAGDEF="Inorganic ion transport and metabolism" PROCESS="METABOLISM"] [TAG=V TAGDEF="Defense mechanisms" PROCESS="CELLULAR PROCESSES AND SIGNALING"]  [PATHWAY=""] DNA starvation/stationary phase protection protein [Massilia putida]</t>
  </si>
  <si>
    <t>DNA starvation/stationary phase protection protein n=1 Tax=Massilia sp. KIM TaxID=1955422 RepID=A0A1S9ACH8_9BURK</t>
  </si>
  <si>
    <t>DNAUV-43.228-64_21</t>
  </si>
  <si>
    <t>sp|P96740|PGDS_BACSU Gamma-DL-glutamyl hydrolase OS=Bacillus subtilis (strain 168) OX=224308 GN=pgdS PE=1 SV=2</t>
  </si>
  <si>
    <t>COG0791 [FUNC="Cell wall-associated hydrolase, NlpC_P60 family"] [shortName=NlpC] [TAG=M TAGDEF="Cell wall/membrane/envelope biogenesis" PROCESS="CELLULAR PROCESSES AND SIGNALING"]  [PATHWAY=""] hypothetical protein CC_2775 [Caulobacter crescentus CB15]</t>
  </si>
  <si>
    <t>VOG00072 [FUNC="sp|O64333|TIPK_BPN15 Tail tip assembly protein K"] [TAG=Xh TAGDEF="Virus protein with function beneficial for the host"]</t>
  </si>
  <si>
    <t>Putative phage cell wall peptidase, NlpC/P60 family (Fragment) n=1 Tax=Caulobacter vibrioides OR37 TaxID=1292034 RepID=R0CNR9_CAUVI</t>
  </si>
  <si>
    <t>DNAUV-4.545-14_6</t>
  </si>
  <si>
    <t>COG0791 [FUNC="Cell wall-associated hydrolase, NlpC_P60 family"] [shortName=NlpC] [TAG=M TAGDEF="Cell wall/membrane/envelope biogenesis" PROCESS="CELLULAR PROCESSES AND SIGNALING"]  [PATHWAY=""] hypothetical protein ECL_03183 [Enterobacter cloacae subsp. cloacae ATCC 13047]</t>
  </si>
  <si>
    <t>NlpC/P60 domain-containing protein n=1 Tax=Pseudoalteromonas phage vB_PspS-H40/1 TaxID=1856120 RepID=A0A173H0M4_9CAUD</t>
  </si>
  <si>
    <t>DNAUV-43.492-339_93</t>
  </si>
  <si>
    <t>sp|P67474|Y2213_MYCBO Probable endopeptidase Mb2213c OS=Mycobacterium bovis (strain ATCC BAA-935 / AF2122/97) OX=233413 GN=BQ2027_MB2213C PE=3 SV=1</t>
  </si>
  <si>
    <t>COG0791 [FUNC="Cell wall-associated hydrolase, NlpC_P60 family"] [shortName=NlpC] [TAG=M TAGDEF="Cell wall/membrane/envelope biogenesis" PROCESS="CELLULAR PROCESSES AND SIGNALING"]  [PATHWAY=""] NlpC/P60 family protein [Gryllotalpicola sp. 2DFW10M-5]</t>
  </si>
  <si>
    <t>VOG00601 [FUNC="sp|B8QIR1|ENLYS_BPSH5 Endolysin LysH5"] [TAG=Xh TAGDEF="Virus protein with function beneficial for the host"]</t>
  </si>
  <si>
    <t>Peptidoglycan endopeptidase n=1 Tax=Cellulosimicrobium phage DS1 TaxID=2812903 RepID=A0A898KB80_9CAUD</t>
  </si>
  <si>
    <t>DNAUV-15.738-237_63</t>
  </si>
  <si>
    <t>COG0791 [FUNC="Cell wall-associated hydrolase, NlpC_P60 family"] [shortName=NlpC] [TAG=M TAGDEF="Cell wall/membrane/envelope biogenesis" PROCESS="CELLULAR PROCESSES AND SIGNALING"]  [PATHWAY=""] peptidase [Methylobacterium nodulans]</t>
  </si>
  <si>
    <t>NlpC/P60 family putative phage cell wall peptidase n=1 Tax=Enterovirga rhinocerotis TaxID=1339210 RepID=A0A4R7BT86_9HYPH</t>
  </si>
  <si>
    <t>DNAUV-44.091-1296_81</t>
  </si>
  <si>
    <t>sp|P23898|NLPC_ECOLI Probable endopeptidase NlpC OS=Escherichia coli (strain K12) OX=83333 GN=nlpC PE=3 SV=1</t>
  </si>
  <si>
    <t>COG0791 [FUNC="Cell wall-associated hydrolase, NlpC_P60 family"] [shortName=NlpC] [TAG=M TAGDEF="Cell wall/membrane/envelope biogenesis" PROCESS="CELLULAR PROCESSES AND SIGNALING"]  [PATHWAY=""] peptidase P60 [Pleomorphomonas sp. SM30]</t>
  </si>
  <si>
    <t>Peptidase P60 n=1 Tax=Hellea balneolensis TaxID=287478 RepID=A0A7V5U1D6_9PROT</t>
  </si>
  <si>
    <t>Oct.NODE_12_length_43814_cov_20.924267_45</t>
  </si>
  <si>
    <t>DNAUV-42.055-32_33</t>
  </si>
  <si>
    <t>sp|P0DX27|CWL_CLODR Peptidoglycan hydrolase Cwl0971 OS=Clostridioides difficile (strain R20291) OX=645463 GN=CDR20291_0971 PE=1 SV=1</t>
  </si>
  <si>
    <t>COG0791 [FUNC="Cell wall-associated hydrolase, NlpC_P60 family"] [shortName=NlpC] [TAG=M TAGDEF="Cell wall/membrane/envelope biogenesis" PROCESS="CELLULAR PROCESSES AND SIGNALING"]  [PATHWAY=""] peptidoglycan endopeptidase [Kluyvera intermedia]</t>
  </si>
  <si>
    <t>NlpC/P60 family protein n=2 Tax=unclassified Caudoviricetes TaxID=2788787 RepID=A0A2I7QK42_9CAUD</t>
  </si>
  <si>
    <t>11.09.P4-15.544-4.9_4</t>
  </si>
  <si>
    <t>COG0823 [FUNC="Periplasmic component TolB of the Tol biopolymer transport system"] [shortName=TolB] [TAG=U TAGDEF="Intracellular trafficking, secretion, and vesicular transport" PROCESS="CELLULAR PROCESSES AND SIGNALING"]  [PATHWAY=""] hypothetical protein [Opitutaceae bacterium TAV5]</t>
  </si>
  <si>
    <t>VOG13034 [FUNC="REFSEQ virion structural protein"] [TAG=Xu TAGDEF="Function unknown"]</t>
  </si>
  <si>
    <t>Uncharacterized protein n=1 Tax=Pseudomonas phage sp. 30-2 TaxID=2972142 RepID=A0A915VLP2_9CAUD</t>
  </si>
  <si>
    <t>11.09.P4-8.947-4.1_1</t>
  </si>
  <si>
    <t>DNAUV-3.215-68_8</t>
  </si>
  <si>
    <t>COG0823 [FUNC="Periplasmic component TolB of the Tol biopolymer transport system"] [shortName=TolB] [TAG=U TAGDEF="Intracellular trafficking, secretion, and vesicular transport" PROCESS="CELLULAR PROCESSES AND SIGNALING"]  [PATHWAY=""] protein of unknown function [Candidatus Methylomirabilis oxyfera]</t>
  </si>
  <si>
    <t>Uncharacterized protein n=1 Tax=Sphingomonas sp. CFBP 8764 TaxID=2775275 RepID=A0A8I0IST4_9SPHN</t>
  </si>
  <si>
    <t>Oct.NODE_1449_length_2481_cov_4.838005_2</t>
  </si>
  <si>
    <t>DNAUV-7.373-19_7</t>
  </si>
  <si>
    <t>sp|P07874|ALGA_PSEAE Alginate biosynthesis protein AlgA OS=Pseudomonas aeruginosa (strain ATCC 15692 / DSM 22644 / CIP 104116 / JCM 14847 / LMG 12228 / 1C / PRS 101 / PAO1) OX=208964 GN=algA PE=1 SV=3</t>
  </si>
  <si>
    <t>COG0836 [FUNC="Mannose-1-phosphate guanylyltransferase"] [shortName=CpsB] [TAG=M TAGDEF="Cell wall/membrane/envelope biogenesis" PROCESS="CELLULAR PROCESSES AND SIGNALING"]  [PATHWAY=""] mannose-1-phosphate guanylyltransferase/mannose-6-phosphate isomerase [Pseudorhodoplanes sinuspersici]</t>
  </si>
  <si>
    <t>VOG01338 [FUNC="sp|B0RVK6|XANB_XANCB Xanthan biosynthesis protein XanB"] [TAG=Xh TAGDEF="Virus protein with function beneficial for the host"]</t>
  </si>
  <si>
    <t>Mannose-1-phosphate guanylyltransferase/mannose-6-phosphate isomerase n=1 Tax=Hokovirus HKV1 TaxID=1977638 RepID=A0A1V0SH58_9VIRU</t>
  </si>
  <si>
    <t>DNAUV-10.612-16_7</t>
  </si>
  <si>
    <t>sp|P24174|MANC_ECOLI Mannose-1-phosphate guanylyltransferase OS=Escherichia coli (strain K12) OX=83333 GN=manC PE=3 SV=3</t>
  </si>
  <si>
    <t>COG0836 [FUNC="Mannose-1-phosphate guanylyltransferase"] [shortName=CpsB] [TAG=M TAGDEF="Cell wall/membrane/envelope biogenesis" PROCESS="CELLULAR PROCESSES AND SIGNALING"]  [PATHWAY=""] mannose-1-phosphate guanylyltransferase/mannose-6-phosphate isomerase [Rhodomicrobium vannielii]</t>
  </si>
  <si>
    <t>mannose-1-phosphate guanylyltransferase n=1 Tax=Helicobacter sp. MIT 14-3879 TaxID=2040649 RepID=A0A3D8IC85_9HELI</t>
  </si>
  <si>
    <t>DNAUV-68.024-31_71</t>
  </si>
  <si>
    <t>COG0860 [FUNC="N-acetylmuramoyl-L-alanine amidase"] [shortName=AmiC] [TAG=M TAGDEF="Cell wall/membrane/envelope biogenesis" PROCESS="CELLULAR PROCESSES AND SIGNALING"]  [PATHWAY=""] cell wall hydrolase/autolysin [Nitratifractor salsuginis]</t>
  </si>
  <si>
    <t>N-acetylmuramoyl-L-alanine amidase n=1 Tax=Loktanella sp. 3ANDIMAR09 TaxID=1225657 RepID=A0A0Q2U993_9RHOB</t>
  </si>
  <si>
    <t>Oct.NODE_17_length_42127_cov_14.061823_16</t>
  </si>
  <si>
    <t>sp|P37134|CWLM_BACLI N-acetylmuramoyl-L-alanine amidase CwlM OS=Bacillus licheniformis OX=1402 GN=cwlM PE=3 SV=1</t>
  </si>
  <si>
    <t>COG0860 [FUNC="N-acetylmuramoyl-L-alanine amidase"] [shortName=AmiC] [TAG=M TAGDEF="Cell wall/membrane/envelope biogenesis" PROCESS="CELLULAR PROCESSES AND SIGNALING"]  [PATHWAY=""] hypothetical protein [Photobacterium profundum]</t>
  </si>
  <si>
    <t>N-acetylmuramoyl-L-alanine amidase n=1 Tax=Thiothrix lacustris TaxID=525917 RepID=A0A1Y1QXB4_9GAMM</t>
  </si>
  <si>
    <t>DNAUV-48.475-181_66</t>
  </si>
  <si>
    <t>sp|O48471|ENLYS_BPSPP Endolysin OS=Bacillus phage SPP1 OX=10724 GN=25 PE=4 SV=1</t>
  </si>
  <si>
    <t>COG0860 [FUNC="N-acetylmuramoyl-L-alanine amidase"] [shortName=AmiC] [TAG=M TAGDEF="Cell wall/membrane/envelope biogenesis" PROCESS="CELLULAR PROCESSES AND SIGNALING"]  [PATHWAY=""] hypothetical protein [Thioploca ingrica]</t>
  </si>
  <si>
    <t>MurNAc-LAA domain-containing protein n=1 Tax=Desulfosarcina ovata subsp. sediminis TaxID=885957 RepID=A0A5K7ZQ55_9BACT</t>
  </si>
  <si>
    <t>DNAUV-46.098-673_31</t>
  </si>
  <si>
    <t>COG0860 [FUNC="N-acetylmuramoyl-L-alanine amidase"] [shortName=AmiC] [TAG=M TAGDEF="Cell wall/membrane/envelope biogenesis" PROCESS="CELLULAR PROCESSES AND SIGNALING"]  [PATHWAY=""] N-acetylmuramoyl-L-alanine amidase [Alistipes finegoldii]</t>
  </si>
  <si>
    <t>N-acetylmuramoyl-L-alanine amidase n=1 Tax=Alistipes putredinis TaxID=28117 RepID=A0A1Q6FAT9_9BACT</t>
  </si>
  <si>
    <t>DNAUV-6.475-429_1</t>
  </si>
  <si>
    <t>sp|Q02114|LYTC_BACSU N-acetylmuramoyl-L-alanine amidase LytC OS=Bacillus subtilis (strain 168) OX=224308 GN=lytC PE=1 SV=1</t>
  </si>
  <si>
    <t>COG0860 [FUNC="N-acetylmuramoyl-L-alanine amidase"] [shortName=AmiC] [TAG=M TAGDEF="Cell wall/membrane/envelope biogenesis" PROCESS="CELLULAR PROCESSES AND SIGNALING"]  [PATHWAY=""] N-acetylmuramoyl-L-alanine amidase [Kordia sp. SMS9]</t>
  </si>
  <si>
    <t>N-acetylmuramoyl-L-alanine amidase n=1 Tax=Apibacter mensalis TaxID=1586267 RepID=A0A0X8XYA6_9FLAO</t>
  </si>
  <si>
    <t>DNAUV-16.760-19_15</t>
  </si>
  <si>
    <t>COG0860 [FUNC="N-acetylmuramoyl-L-alanine amidase"] [shortName=AmiC] [TAG=M TAGDEF="Cell wall/membrane/envelope biogenesis" PROCESS="CELLULAR PROCESSES AND SIGNALING"]  [PATHWAY=""] N-acetylmuramoyl-L-alanine amidase [Sebaldella termitidis]</t>
  </si>
  <si>
    <t>DNAUV-13.721-139_10</t>
  </si>
  <si>
    <t>COG0860 [FUNC="N-acetylmuramoyl-L-alanine amidase"] [shortName=AmiC] [TAG=M TAGDEF="Cell wall/membrane/envelope biogenesis" PROCESS="CELLULAR PROCESSES AND SIGNALING"]  [PATHWAY=""] N-acetylmuramoyl-L-alanine amidase [Weeksella virosa]</t>
  </si>
  <si>
    <t>11.09.P3-2.737-2.0_2</t>
  </si>
  <si>
    <t>sp|P96718|YWQF_BACSU UDP-glucose 6-dehydrogenase YwqF OS=Bacillus subtilis (strain 168) OX=224308 GN=ywqF PE=1 SV=1</t>
  </si>
  <si>
    <t>COG1004 [FUNC="UDP-glucose 6-dehydrogenase"] [shortName=Ugd] [TAG=M TAGDEF="Cell wall/membrane/envelope biogenesis" PROCESS="CELLULAR PROCESSES AND SIGNALING"]  [PATHWAY=""] hypothetical protein [Niveispirillum cyanobacteriorum]</t>
  </si>
  <si>
    <t>UDP glucose 6 dehydrogenase n=1 Tax=Synechococcus phage Bellamy TaxID=2023996 RepID=A0A222YXH3_9CAUD</t>
  </si>
  <si>
    <t>DNAUV-6.702-23_1</t>
  </si>
  <si>
    <t>UDP-glucose/GDP-mannose dehydrogenase family protein n=1 Tax=Pseudomonas sp. SSM44 TaxID=2487347 RepID=A0A3N4ANA5_9PSED</t>
  </si>
  <si>
    <t>DNAUV-19.264-18_5</t>
  </si>
  <si>
    <t>sp|P76100|YDCK_ECOLI Uncharacterized acetyltransferase YdcK OS=Escherichia coli (strain K12) OX=83333 GN=ydcK PE=3 SV=1</t>
  </si>
  <si>
    <t>COG1044 [FUNC="UDP-3-O-[3-hydroxymyristoyl] glucosamine N-acyltransferase"] [shortName=LpxD] [TAG=M TAGDEF="Cell wall/membrane/envelope biogenesis" PROCESS="CELLULAR PROCESSES AND SIGNALING"]  [PATHWAY="Lipid A biosynthesis"] conserved hypothetical protein [Sulfobacillus acidophilus TPY]</t>
  </si>
  <si>
    <t>VOG05550 [FUNC="REFSEQ hypothetical protein"] [TAG=Xu TAGDEF="Function unknown"]</t>
  </si>
  <si>
    <t>Polymer-forming cytoskeletal protein n=1 Tax=Ferrovum myxofaciens TaxID=416213 RepID=A0A9E6MX03_9PROT</t>
  </si>
  <si>
    <t>DNAUV-2.939-16_3</t>
  </si>
  <si>
    <t>Polymer-forming cytoskeletal protein n=1 Tax=Ferrovum myxofaciens TaxID=416213 RepID=A0A9E6MY07_9PROT</t>
  </si>
  <si>
    <t>Sept.NODE_798_length_2710_cov_3.985687_1</t>
  </si>
  <si>
    <t>DNAUV-2.939-16_2</t>
  </si>
  <si>
    <t>COG1044 [FUNC="UDP-3-O-[3-hydroxymyristoyl] glucosamine N-acyltransferase"] [shortName=LpxD] [TAG=M TAGDEF="Cell wall/membrane/envelope biogenesis" PROCESS="CELLULAR PROCESSES AND SIGNALING"]  [PATHWAY="Lipid A biosynthesis"] hypothetical protein [Bacteriovorax stolpii]</t>
  </si>
  <si>
    <t>Polymer-forming protein n=1 Tax=Nicoletella semolina TaxID=271160 RepID=A0A4R2NAI2_9PAST</t>
  </si>
  <si>
    <t>DNAUV-68.024-31_73</t>
  </si>
  <si>
    <t>Polymer-forming cytoskeletal protein n=1 Tax=Ferrovum myxofaciens TaxID=416213 RepID=A0A9E6MWS3_9PROT</t>
  </si>
  <si>
    <t>DNAUV-11.383-1014_7</t>
  </si>
  <si>
    <t>Peptidase S74 domain-containing protein n=1 Tax=Blyttiomyces helicus TaxID=388810 RepID=A0A4V1ISB0_9FUNG</t>
  </si>
  <si>
    <t>DNAUV-11.383-1014_8</t>
  </si>
  <si>
    <t>YadA domain-containing structural protein n=1 Tax=Synechococcus phage S-WAM1 TaxID=1815521 RepID=A0A1D8KSC4_9CAUD</t>
  </si>
  <si>
    <t>DNAUV-3.713-11_2</t>
  </si>
  <si>
    <t>sp|P71052|EPSC_BACSU Probable polysaccharide biosynthesis protein EpsC OS=Bacillus subtilis (strain 168) OX=224308 GN=epsC PE=3 SV=1</t>
  </si>
  <si>
    <t>COG1086 [FUNC="NDP-sugar epimerase, includes UDP-GlcNAc-inverting 4,6-dehydratase FlaA1 and capsular polysaccharide biosynthesis protein EpsC"] [shortName=FlaA1] [TAG=M TAGDEF="Cell wall/membrane/envelope biogenesis" PROCESS="CELLULAR PROCESSES AND SIGNALING"] [TAG=O TAGDEF="Posttranslational modification, protein turnover, chaperones" PROCESS="CELLULAR PROCESSES AND SIGNALING"]  [PATHWAY=""] polysaccharide biosynthesis protein [Gluconacetobacter diazotrophicus]</t>
  </si>
  <si>
    <t>FlaA1/EpsC-like NDP-sugar epimerase n=1 Tax=Armatimonas rosea TaxID=685828 RepID=A0A7W9SMZ6_ARMRO</t>
  </si>
  <si>
    <t>DNAUV-159.889-409_102</t>
  </si>
  <si>
    <t>sp|Q9KDV3|GALE_HALH5 UDP-glucose 4-epimerase OS=Halalkalibacterium halodurans (strain ATCC BAA-125 / DSM 18197 / FERM 7344 / JCM 9153 / C-125) OX=272558 GN=galE PE=3 SV=1</t>
  </si>
  <si>
    <t>COG1087 [FUNC="UDP-glucose 4-epimerase"] [shortName=GalE] [TAG=M TAGDEF="Cell wall/membrane/envelope biogenesis" PROCESS="CELLULAR PROCESSES AND SIGNALING"]  [PATHWAY=""] MULTISPECIES: UDP-glucose 4-epimerase GalE [Caldicellulosiruptor]</t>
  </si>
  <si>
    <t>VOG03199 [FUNC="REFSEQ endolysin; inhibits RNA polymerase"] [TAG=Xu TAGDEF="Function unknown"]</t>
  </si>
  <si>
    <t>UDP-glucose 4-epimerase n=1 Tax=Thalassospira lohafexi TaxID=744227 RepID=A0A2N3L8A7_9PROT</t>
  </si>
  <si>
    <t>DNAUV-152.980-60_137</t>
  </si>
  <si>
    <t>sp|Q45291|GALE_CORGL UDP-glucose 4-epimerase OS=Corynebacterium glutamicum (strain ATCC 13032 / DSM 20300 / BCRC 11384 / JCM 1318 / LMG 3730 / NCIMB 10025) OX=196627 GN=galE PE=3 SV=2</t>
  </si>
  <si>
    <t>COG1087 [FUNC="UDP-glucose 4-epimerase"] [shortName=GalE] [TAG=M TAGDEF="Cell wall/membrane/envelope biogenesis" PROCESS="CELLULAR PROCESSES AND SIGNALING"]  [PATHWAY=""] UDP-glucose 4-epimerase GalE [Dictyoglomus thermophilum]</t>
  </si>
  <si>
    <t>UDP-glucose 4-epimerase n=1 Tax=Clostridium leptum CAG:27 TaxID=1263068 RepID=R6P4C3_9CLOT</t>
  </si>
  <si>
    <t>DNAUV-2.748-11_4</t>
  </si>
  <si>
    <t>sp|Q6E7F4|RMLB2_ECOLX dTDP-glucose 4,6-dehydratase OS=Escherichia coli OX=562 GN=rmlB PE=1 SV=1</t>
  </si>
  <si>
    <t>COG1088 [FUNC="dTDP-D-glucose 4,6-dehydratase"] [shortName=RfbB] [TAG=M TAGDEF="Cell wall/membrane/envelope biogenesis" PROCESS="CELLULAR PROCESSES AND SIGNALING"]  [PATHWAY=""] NAD dependent epimerase/dehydratase family [Candidatus Peribacter riflensis]</t>
  </si>
  <si>
    <t>Nucleotide-sugar epimerase n=1 Tax=Synechococcus phage S-SM2 TaxID=444860 RepID=E3SJ76_9CAUD</t>
  </si>
  <si>
    <t>11.09.P3-3.319-63_7</t>
  </si>
  <si>
    <t>sp|Q8K3X3|GMDS_CRIGR GDP-mannose 4,6 dehydratase OS=Cricetulus griseus OX=10029 GN=GMDS PE=2 SV=1</t>
  </si>
  <si>
    <t>COG1089 [FUNC="GDP-D-mannose dehydratase"] [shortName=Gmd] [TAG=M TAGDEF="Cell wall/membrane/envelope biogenesis" PROCESS="CELLULAR PROCESSES AND SIGNALING"]  [PATHWAY=""] GDP-D-mannose dehydratase [Clostridium acetobutylicum ATCC 824]</t>
  </si>
  <si>
    <t>GDP-mannose 4,6-dehydratase n=1 Tax=Schistosoma haematobium TaxID=6185 RepID=A0A922S389_SCHHA</t>
  </si>
  <si>
    <t>11.09.P4-19.981-12_2</t>
  </si>
  <si>
    <t>sp|P32010|DRRA_STRPE Daunorubicin/doxorubicin resistance ATP-binding protein DrrA OS=Streptomyces peucetius OX=1950 GN=drrA PE=1 SV=1</t>
  </si>
  <si>
    <t>COG1131 [FUNC="ABC-type multidrug transport system, ATPase component"] [shortName=CcmA] [TAG=V TAGDEF="Defense mechanisms" PROCESS="CELLULAR PROCESSES AND SIGNALING"]  [PATHWAY=""] daunorubicin/doxorubicin resistance ABC transporter ATP-binding protein DrrA [Pontimonas salivibrio]</t>
  </si>
  <si>
    <t>ABC-2 ATP-binding protein n=1 Tax=Pontimonas salivibrio TaxID=1159327 RepID=A0A2L2BNM6_9MICO</t>
  </si>
  <si>
    <t>DNAUV-72.439-197_165</t>
  </si>
  <si>
    <t>sp|P07175|PARA_RHIRD Protein ParA OS=Rhizobium radiobacter OX=358 GN=parA PE=4 SV=1</t>
  </si>
  <si>
    <t>COG1192 [FUNC="ParA-like ATPase involved in chromosome/plasmid partitioning or cellulose biosynthesis protein BcsQ"] [shortName=ParA] [TAG=D TAGDEF="Cell cycle control, cell division, chromosome partitioning" PROCESS="CELLULAR PROCESSES AND SIGNALING"] [TAG=N TAGDEF="Cell motility" PROCESS="CELLULAR PROCESSES AND SIGNALING"]  [PATHWAY=""] chromosome partitioning protein ParA [Sagittula sp. P11]</t>
  </si>
  <si>
    <t>VOG31586 [FUNC="sp|B8GW31|PARA_CAUVN Chromosome partitioning protein ParA"] [TAG=Xh TAGDEF="Virus protein with function beneficial for the host"]</t>
  </si>
  <si>
    <t>Chromosome partitioning protein n=1 Tax=Tranquillimonas alkanivorans TaxID=441119 RepID=A0A1I5WW51_9RHOB</t>
  </si>
  <si>
    <t>DNAUV-3.449-62_4</t>
  </si>
  <si>
    <t>COG1196 [FUNC="Chromosome segregation ATPase Smc"] [shortName=Smc] [TAG=D TAGDEF="Cell cycle control, cell division, chromosome partitioning" PROCESS="CELLULAR PROCESSES AND SIGNALING"]  [PATHWAY=""] hypothetical protein [Alistipes finegoldii]</t>
  </si>
  <si>
    <t>Tail tape measure protein n=1 Tax=Olleya phage Harreka_1 TaxID=2745673 RepID=A0A8E5E8R2_9CAUD</t>
  </si>
  <si>
    <t>05.07.P4-4.496-42_1</t>
  </si>
  <si>
    <t>COG1196 [FUNC="Chromosome segregation ATPase Smc"] [shortName=Smc] [TAG=D TAGDEF="Cell cycle control, cell division, chromosome partitioning" PROCESS="CELLULAR PROCESSES AND SIGNALING"]  [PATHWAY=""] hypothetical protein [Chitinophaga pinensis]</t>
  </si>
  <si>
    <t>Tape measure domain-containing protein n=1 Tax=Pedobacter sp. ok626 TaxID=1761882 RepID=A0A1G8Y0X8_9SPHI</t>
  </si>
  <si>
    <t>05.07.P4-4.496-42_8</t>
  </si>
  <si>
    <t>Avril.NODE_138_length_13113_cov_12.225302_13</t>
  </si>
  <si>
    <t>VOG05503 [FUNC="REFSEQ hypothetical protein"] [TAG=Xu TAGDEF="Function unknown"]</t>
  </si>
  <si>
    <t>Structural protein n=1 Tax=Cellulophaga phage phi10:1 TaxID=1327981 RepID=S0A1R5_9CAUD</t>
  </si>
  <si>
    <t>Avril.NODE_183_length_10179_cov_6.969380_7</t>
  </si>
  <si>
    <t>Avril.NODE_34_length_37560_cov_23.634315_22</t>
  </si>
  <si>
    <t>DNAUV-10.324-175_8</t>
  </si>
  <si>
    <t>Prophage tail length tape measure protein n=1 Tax=Pedobacter africanus TaxID=151894 RepID=A0A1W1ZBR8_9SPHI</t>
  </si>
  <si>
    <t>DNAUV-24.553-87_16</t>
  </si>
  <si>
    <t>11.09.P2-4.702-48_6</t>
  </si>
  <si>
    <t>Tail fiber-like protein n=2 Tax=Sednavirus SRIP2 TaxID=2733955 RepID=M4SSB6_9CAUD</t>
  </si>
  <si>
    <t>11.09.P2-5.354-28_1</t>
  </si>
  <si>
    <t>DNAUV-37.297-108_44</t>
  </si>
  <si>
    <t>COG1196 [FUNC="Chromosome segregation ATPase Smc"] [shortName=Smc] [TAG=D TAGDEF="Cell cycle control, cell division, chromosome partitioning" PROCESS="CELLULAR PROCESSES AND SIGNALING"]  [PATHWAY=""] hypothetical protein [Methylovulum psychrotolerans]</t>
  </si>
  <si>
    <t>VOG01047 [FUNC="REFSEQ endolysin"] [TAG=Xu TAGDEF="Function unknown"]</t>
  </si>
  <si>
    <t>Phage tail lysozyme domain-containing protein n=1 Tax=Cyanophage P-RSM6 TaxID=929832 RepID=M4SKY3_9CAUD</t>
  </si>
  <si>
    <t>DNAUV-19.985-108_15</t>
  </si>
  <si>
    <t>COG1196 [FUNC="Chromosome segregation ATPase Smc"] [shortName=Smc] [TAG=D TAGDEF="Cell cycle control, cell division, chromosome partitioning" PROCESS="CELLULAR PROCESSES AND SIGNALING"]  [PATHWAY=""] hypothetical protein [Moorea producens]</t>
  </si>
  <si>
    <t>VOG05408 [FUNC="REFSEQ virion structural protein"] [TAG=Xu TAGDEF="Function unknown"]</t>
  </si>
  <si>
    <t>Hypothetical-Protein / belonging to T4-LIKE GC: 864 n=1 Tax=Synechococcus phage S-PM2 TaxID=238854 RepID=Q5GQG3_BPSYP</t>
  </si>
  <si>
    <t>DNAUV-11.176-406_14</t>
  </si>
  <si>
    <t>sp|E7DNB6|TMP_BPDP1 Tape measure protein OS=Pneumococcus phage Dp-1 OX=59241 GN=TMP PE=4 SV=1</t>
  </si>
  <si>
    <t>COG1196 [FUNC="Chromosome segregation ATPase Smc"] [shortName=Smc] [TAG=D TAGDEF="Cell cycle control, cell division, chromosome partitioning" PROCESS="CELLULAR PROCESSES AND SIGNALING"]  [PATHWAY=""] hypothetical protein [Robiginitalea biformata]</t>
  </si>
  <si>
    <t>Phage tail tape measure protein n=1 Tax=Cellulophaga phage phi19:1 TaxID=1327970 RepID=R9ZWA8_9CAUD</t>
  </si>
  <si>
    <t>DNAUV-3.002-19_2</t>
  </si>
  <si>
    <t>sp|Q6KGH8|TMP_BPFO1 Probable tape measure protein OS=Salmonella phage Felix O1 (isolate Felix O1-VT1) OX=1283336 PE=3 SV=1</t>
  </si>
  <si>
    <t>Tape measure protein n=1 Tax=Gramella crocea TaxID=2904124 RepID=A0A9X1UVT4_9FLAO</t>
  </si>
  <si>
    <t>DNAUV-6.006-11_1</t>
  </si>
  <si>
    <t>DNAUV-9.697-307_19</t>
  </si>
  <si>
    <t>COG1196 [FUNC="Chromosome segregation ATPase Smc"] [shortName=Smc] [TAG=D TAGDEF="Cell cycle control, cell division, chromosome partitioning" PROCESS="CELLULAR PROCESSES AND SIGNALING"]  [PATHWAY=""] phage tail tape measure protein [Halocella sp. SP3-1]</t>
  </si>
  <si>
    <t>Phage tail tape measure protein n=1 Tax=Haloechinothrix aidingensis TaxID=2752311 RepID=A0A838AB49_9PSEU</t>
  </si>
  <si>
    <t>DNAUV-42.055-32_30</t>
  </si>
  <si>
    <t>COG1196 [FUNC="Chromosome segregation ATPase Smc"] [shortName=Smc] [TAG=D TAGDEF="Cell cycle control, cell division, chromosome partitioning" PROCESS="CELLULAR PROCESSES AND SIGNALING"]  [PATHWAY=""] tail length tape measure protein [Mannheimia haemolytica]</t>
  </si>
  <si>
    <t>Coil containing protein n=3 Tax=unclassified Caudoviricetes TaxID=2788787 RepID=A0A2I7QK55_9CAUD</t>
  </si>
  <si>
    <t>DNAUV-2.472-28_4</t>
  </si>
  <si>
    <t>COG1196 [FUNC="Chromosome segregation ATPase Smc"] [shortName=Smc] [TAG=D TAGDEF="Cell cycle control, cell division, chromosome partitioning" PROCESS="CELLULAR PROCESSES AND SIGNALING"]  [PATHWAY=""] tail protein (tape measure) [Metakosakonia sp. MRY16-398]</t>
  </si>
  <si>
    <t>Tail tape measure protein n=1 Tax=Vibrio phage pYD21-A TaxID=754049 RepID=M4QC33_9CAUD</t>
  </si>
  <si>
    <t>DNAUV-42.184-72_37</t>
  </si>
  <si>
    <t>COG1196 [FUNC="Chromosome segregation ATPase Smc"] [shortName=Smc] [TAG=D TAGDEF="Cell cycle control, cell division, chromosome partitioning" PROCESS="CELLULAR PROCESSES AND SIGNALING"]  [PATHWAY=""] tail protein (tape measure) [Pluralibacter gergoviae]</t>
  </si>
  <si>
    <t>Tail length tape-measure protein 1 n=1 Tax=Alteromonas phage PB15 TaxID=1913113 RepID=A0A1J0GWA6_9CAUD</t>
  </si>
  <si>
    <t>DNAUV-43.803-72_28</t>
  </si>
  <si>
    <t>Tail length tape measure protein n=1 Tax=Alteromonas phage XX1924 TaxID=2664192 RepID=A0A6B9J3F9_9CAUD</t>
  </si>
  <si>
    <t>DNAUV-10.612-16_14</t>
  </si>
  <si>
    <t>sp|A9VQ75|PPAX_BACMK Pyrophosphatase PpaX OS=Bacillus mycoides (strain KBAB4) OX=315730 GN=ppaX PE=3 SV=1</t>
  </si>
  <si>
    <t>COG1209 [FUNC="dTDP-glucose pyrophosphorylase"] [shortName=RmlA1] [TAG=M TAGDEF="Cell wall/membrane/envelope biogenesis" PROCESS="CELLULAR PROCESSES AND SIGNALING"]  [PATHWAY=""] glycosyl transferase family 2 [Butyrivibrio proteoclasticus]</t>
  </si>
  <si>
    <t>VOG00893 [FUNC="REFSEQ hydrolase"] [TAG=Xu TAGDEF="Function unknown"]</t>
  </si>
  <si>
    <t>Predicted phosphatase/phosphohexomutase n=1 Tax=Prochlorococcus marinus (strain MIT 9215) TaxID=93060 RepID=A8G603_PROM2</t>
  </si>
  <si>
    <t>DNAUV-6.702-23_5</t>
  </si>
  <si>
    <t>Nucleotidyl transferase domain-containing protein n=1 Tax=Synechococcus virus S-PRM1 TaxID=2100130 RepID=A0A346FKF3_9CAUD</t>
  </si>
  <si>
    <t>DNAUV-68.024-31_28</t>
  </si>
  <si>
    <t>sp|O66914|KDSB_AQUAE 3-deoxy-manno-octulosonate cytidylyltransferase OS=Aquifex aeolicus (strain VF5) OX=224324 GN=kdsB PE=1 SV=1</t>
  </si>
  <si>
    <t>COG1212 [FUNC="CMP-2-keto-3-deoxyoctulosonic acid synthetase"] [shortName=KdsB] [TAG=M TAGDEF="Cell wall/membrane/envelope biogenesis" PROCESS="CELLULAR PROCESSES AND SIGNALING"]  [PATHWAY="Lipid A biosynthesis"] 3-deoxy-manno-octulosonate cytidylyltransferase [Sulfurihydrogenibium azorense]</t>
  </si>
  <si>
    <t>Methyltransferase type 11 domain-containing protein n=1 Tax=Ostreococcus sp. 'lucimarinus' TaxID=242159 RepID=A0A7R9XSL2_9CHLO</t>
  </si>
  <si>
    <t>DNAUV-20.225-38_30</t>
  </si>
  <si>
    <t>COG1262 [FUNC="Formylglycine-generating enzyme, required for sulfatase activity, contains SUMF1/FGE domain"] [shortName=YfmG] [TAG=O TAGDEF="Posttranslational modification, protein turnover, chaperones" PROCESS="CELLULAR PROCESSES AND SIGNALING"]  [PATHWAY=""] hypothetical protein [Alkaliphilus metalliredigens]</t>
  </si>
  <si>
    <t>VOG00141 [FUNC="REFSEQ tail protein"] [TAG=Xu TAGDEF="Function unknown"]</t>
  </si>
  <si>
    <t>Formylglycine-generating sulfatase enzyme n=1 Tax=Pseudoruegeria aquimaris TaxID=393663 RepID=A0A1Y5SSY3_9RHOB</t>
  </si>
  <si>
    <t>DNAUV-22.127-23_6</t>
  </si>
  <si>
    <t>sp|Q58CP2|SUMF2_BOVIN Inactive C-alpha-formylglycine-generating enzyme 2 OS=Bos taurus OX=9913 GN=SUMF2 PE=2 SV=1</t>
  </si>
  <si>
    <t>COG1262 [FUNC="Formylglycine-generating enzyme, required for sulfatase activity, contains SUMF1/FGE domain"] [shortName=YfmG] [TAG=O TAGDEF="Posttranslational modification, protein turnover, chaperones" PROCESS="CELLULAR PROCESSES AND SIGNALING"]  [PATHWAY=""] hypothetical protein [Megasphaera elsdenii]</t>
  </si>
  <si>
    <t>ORF35 n=1 Tax=Vibrio phage VHML TaxID=207597 RepID=Q8H9N0_9CAUD</t>
  </si>
  <si>
    <t>Mai.NODE_564_length_3528_cov_6.189749_2</t>
  </si>
  <si>
    <t>COG1305 [FUNC="Transglutaminase-like enzyme, putative cysteine protease"] [shortName=YebA] [TAG=O TAGDEF="Posttranslational modification, protein turnover, chaperones" PROCESS="CELLULAR PROCESSES AND SIGNALING"]  [PATHWAY=""] transglutaminase domain-containing protein [Kangiella koreensis]</t>
  </si>
  <si>
    <t>Transglutaminase-like domain-containing protein n=1 Tax=Afipia sp. Root123D2 TaxID=1736436 RepID=A0A0Q6Z2T1_9BRAD</t>
  </si>
  <si>
    <t>DNAUV-40.559-174_60</t>
  </si>
  <si>
    <t>COG1310 [FUNC="Proteasome lid subunit RPN8/RPN11, contains Jab1/MPN domain metalloenzyme (JAMM) motif"] [shortName=Rri1] [TAG=O TAGDEF="Posttranslational modification, protein turnover, chaperones" PROCESS="CELLULAR PROCESSES AND SIGNALING"]  [PATHWAY=""] hydrolase Nlp/P60 [Oxalobacter formigenes]</t>
  </si>
  <si>
    <t>NlpC/P60 family protein n=1 Tax=Oxalobacter formigenes OXCC13 TaxID=556269 RepID=C3X904_OXAFO</t>
  </si>
  <si>
    <t>11.09.P1-2.691-22_10</t>
  </si>
  <si>
    <t>DNAUV-12.946-36_13</t>
  </si>
  <si>
    <t>sp|Q9XJR2|P5_BPPM2 Protein P5 OS=Pseudoalteromonas phage PM2 OX=2905728 GN=V PE=1 SV=1</t>
  </si>
  <si>
    <t>COG1388 [FUNC="LysM repeat"] [shortName=LysM] [TAG=M TAGDEF="Cell wall/membrane/envelope biogenesis" PROCESS="CELLULAR PROCESSES AND SIGNALING"]  [PATHWAY=""] TIGR02594 family protein [Iodobacter sp. H11R3]</t>
  </si>
  <si>
    <t>Structural protein P5 n=1 Tax=Xenorhabdus bovienii (strain SS-2004) TaxID=406818 RepID=D3V346_XENBS</t>
  </si>
  <si>
    <t>DNAUV-57.114-48_61</t>
  </si>
  <si>
    <t>COG1403 [FUNC="5-methylcytosine-specific restriction endonuclease McrA"] [shortName=McrA] [TAG=V TAGDEF="Defense mechanisms" PROCESS="CELLULAR PROCESSES AND SIGNALING"]  [PATHWAY=""] DUF1998 domain-containing protein [Candidatus Cloacimonas acidaminovorans]</t>
  </si>
  <si>
    <t>HNH endonuclease n=1 Tax=Planktothrix sp. FACHB-1375 TaxID=2692856 RepID=A0A926VGR1_9CYAN</t>
  </si>
  <si>
    <t>Avril.NODE_1377_length_2210_cov_2.688167_3</t>
  </si>
  <si>
    <t>COG1403 [FUNC="5-methylcytosine-specific restriction endonuclease McrA"] [shortName=McrA] [TAG=V TAGDEF="Defense mechanisms" PROCESS="CELLULAR PROCESSES AND SIGNALING"]  [PATHWAY=""] HNH endonuclease (plasmid) [Runella slithyformis DSM 19594]</t>
  </si>
  <si>
    <t>VOG02764 [FUNC="REFSEQ HNH endonuclease"] [TAG=Xu TAGDEF="Function unknown"]</t>
  </si>
  <si>
    <t>HNH nuclease domain-containing protein n=1 Tax=Olavius algarvensis Delta 1 endosymbiont TaxID=334747 RepID=A0A6J4YPL2_9DELT</t>
  </si>
  <si>
    <t>DNAUV-48.475-181_35</t>
  </si>
  <si>
    <t>sp|O34581|YOQL_BACSU SPbeta prophage-derived putative HNH endonuclease YoqL OS=Bacillus subtilis (strain 168) OX=224308 GN=yoqL PE=3 SV=1</t>
  </si>
  <si>
    <t>HNH endonuclease n=1 Tax=Runella slithyformis (strain ATCC 29530 / DSM 19594 / LMG 11500 / NCIMB 11436 / LSU 4) TaxID=761193 RepID=A0A7U3ZRS4_RUNSL</t>
  </si>
  <si>
    <t>Oct.NODE_54_length_30916_cov_12.817180_28</t>
  </si>
  <si>
    <t>COG1403 [FUNC="5-methylcytosine-specific restriction endonuclease McrA"] [shortName=McrA] [TAG=V TAGDEF="Defense mechanisms" PROCESS="CELLULAR PROCESSES AND SIGNALING"]  [PATHWAY=""] HNH endonuclease [Ammonifex degensii]</t>
  </si>
  <si>
    <t>HNH endonuclease n=1 Tax=Arthrobacter terricola TaxID=2547396 RepID=A0A4V2ZTF3_9MICC</t>
  </si>
  <si>
    <t>11.09.P2-3.527-3.0_10</t>
  </si>
  <si>
    <t>COG1403 [FUNC="5-methylcytosine-specific restriction endonuclease McrA"] [shortName=McrA] [TAG=V TAGDEF="Defense mechanisms" PROCESS="CELLULAR PROCESSES AND SIGNALING"]  [PATHWAY=""] HNH endonuclease [Blastococcus saxobsidens]</t>
  </si>
  <si>
    <t>HNH nuclease n=1 Tax=Pontimonas phage phiPsal1 TaxID=2079347 RepID=A0A2K9VGW5_9CAUD</t>
  </si>
  <si>
    <t>DNAUV-4.595-108_7</t>
  </si>
  <si>
    <t>Sept.NODE_450_length_3976_cov_14.713083_2</t>
  </si>
  <si>
    <t>DNAUV-6.598-32_8</t>
  </si>
  <si>
    <t>sp|O64200|VG04_BPMD2 Gene 4 protein OS=Mycobacterium phage D29 OX=28369 GN=4 PE=4 SV=1</t>
  </si>
  <si>
    <t>COG1403 [FUNC="5-methylcytosine-specific restriction endonuclease McrA"] [shortName=McrA] [TAG=V TAGDEF="Defense mechanisms" PROCESS="CELLULAR PROCESSES AND SIGNALING"]  [PATHWAY=""] HNH endonuclease [Jeongeupia sp. USM3]</t>
  </si>
  <si>
    <t>HNH endonuclease n=1 Tax=Pseudomonas tolaasii TaxID=29442 RepID=A0A7Y8APN4_PSETO</t>
  </si>
  <si>
    <t>DNAUV-38.940-21_18</t>
  </si>
  <si>
    <t>sp|Q6QGL2|TFLIV_BPT5 H-N-H endonuclease F-TflIV OS=Escherichia phage T5 OX=2695836 GN=hegA PE=2 SV=1</t>
  </si>
  <si>
    <t>COG1403 [FUNC="5-methylcytosine-specific restriction endonuclease McrA"] [shortName=McrA] [TAG=V TAGDEF="Defense mechanisms" PROCESS="CELLULAR PROCESSES AND SIGNALING"]  [PATHWAY=""] HNH endonuclease [Methanotorris igneus]</t>
  </si>
  <si>
    <t>HNH nuclease domain-containing protein n=1 Tax=Sphingobium yanoikuyae TaxID=13690 RepID=A0A6M4G3C0_SPHYA</t>
  </si>
  <si>
    <t>DNAUV-35.226-432_66</t>
  </si>
  <si>
    <t>COG1403 [FUNC="5-methylcytosine-specific restriction endonuclease McrA"] [shortName=McrA] [TAG=V TAGDEF="Defense mechanisms" PROCESS="CELLULAR PROCESSES AND SIGNALING"]  [PATHWAY=""] HNH endonuclease [Mucinivorans hirudinis]</t>
  </si>
  <si>
    <t>HNH endonuclease domain protein n=1 Tax=Cellulophaga phage phi39:1 TaxID=1327993 RepID=S0A4J2_9CAUD</t>
  </si>
  <si>
    <t>Sept.NODE_76_length_16573_cov_22.332425_11</t>
  </si>
  <si>
    <t>COG1403 [FUNC="5-methylcytosine-specific restriction endonuclease McrA"] [shortName=McrA] [TAG=V TAGDEF="Defense mechanisms" PROCESS="CELLULAR PROCESSES AND SIGNALING"]  [PATHWAY=""] HNH endonuclease [Nakamurella multipartita]</t>
  </si>
  <si>
    <t>Bacteriophage protein n=1 Tax=Mycobacteroides abscessus subsp. bolletii 50594 TaxID=1303024 RepID=R4UQ51_9MYCO</t>
  </si>
  <si>
    <t>05.07.P4-5.193-3.5_6</t>
  </si>
  <si>
    <t>COG1403 [FUNC="5-methylcytosine-specific restriction endonuclease McrA"] [shortName=McrA] [TAG=V TAGDEF="Defense mechanisms" PROCESS="CELLULAR PROCESSES AND SIGNALING"]  [PATHWAY=""] HNH endonuclease [Neoasaia chiangmaiensis]</t>
  </si>
  <si>
    <t>HNH endonuclease n=1 Tax=Swingsia samuiensis TaxID=1293412 RepID=A0A4Y6ULT6_9PROT</t>
  </si>
  <si>
    <t>11.09.P2-2.989-10_2</t>
  </si>
  <si>
    <t>COG1403 [FUNC="5-methylcytosine-specific restriction endonuclease McrA"] [shortName=McrA] [TAG=V TAGDEF="Defense mechanisms" PROCESS="CELLULAR PROCESSES AND SIGNALING"]  [PATHWAY=""] HNH endonuclease [Novosphingobium resinovorum]</t>
  </si>
  <si>
    <t>HNH endonuclease n=1 Tax=Shewanella phage SppYZU01 TaxID=1965372 RepID=A0A1V0DYL6_9CAUD</t>
  </si>
  <si>
    <t>DNAUV-7.616-50_7</t>
  </si>
  <si>
    <t>Sept.NODE_528_length_3560_cov_2.986305_3</t>
  </si>
  <si>
    <t>COG1403 [FUNC="5-methylcytosine-specific restriction endonuclease McrA"] [shortName=McrA] [TAG=V TAGDEF="Defense mechanisms" PROCESS="CELLULAR PROCESSES AND SIGNALING"]  [PATHWAY=""] HNH endonuclease [Pelagibaca abyssi]</t>
  </si>
  <si>
    <t>Uncharacterized protein n=1 Tax=Sulfitobacter sp. HI0027 TaxID=1822226 RepID=A0A341EQY0_9RHOB</t>
  </si>
  <si>
    <t>DNAUV-35.226-432_35</t>
  </si>
  <si>
    <t>HNH nuclease domain-containing protein n=1 Tax=Dysgonomonas mossii DSM 22836 TaxID=742767 RepID=F8X533_9BACT</t>
  </si>
  <si>
    <t>05.07.P4-4.496-42_10</t>
  </si>
  <si>
    <t>COG1403 [FUNC="5-methylcytosine-specific restriction endonuclease McrA"] [shortName=McrA] [TAG=V TAGDEF="Defense mechanisms" PROCESS="CELLULAR PROCESSES AND SIGNALING"]  [PATHWAY=""] HNH endonuclease [Ruminiclostridium thermocellum]</t>
  </si>
  <si>
    <t>HNH endonuclease n=1 Tax=Myroides odoratus TaxID=256 RepID=A0A378RQZ9_MYROD</t>
  </si>
  <si>
    <t>05.07.P4-4.496-42_3</t>
  </si>
  <si>
    <t>DNAUV-9.187-98_36</t>
  </si>
  <si>
    <t>sp|D3WAC2|ENDON_BPLP2 Probable HNH endonuclease OS=Lactococcus phage p2 OX=254252 PE=3 SV=1</t>
  </si>
  <si>
    <t>COG1403 [FUNC="5-methylcytosine-specific restriction endonuclease McrA"] [shortName=McrA] [TAG=V TAGDEF="Defense mechanisms" PROCESS="CELLULAR PROCESSES AND SIGNALING"]  [PATHWAY=""] HNH endonuclease [Starkeya novella]</t>
  </si>
  <si>
    <t>HNH endonuclease n=2 Tax=[Ochrobactrum] quorumnocens TaxID=271865 RepID=A0A5N1K3B0_9HYPH</t>
  </si>
  <si>
    <t>Mai.NODE_638_length_3261_cov_5.156893_1</t>
  </si>
  <si>
    <t>COG1403 [FUNC="5-methylcytosine-specific restriction endonuclease McrA"] [shortName=McrA] [TAG=V TAGDEF="Defense mechanisms" PROCESS="CELLULAR PROCESSES AND SIGNALING"]  [PATHWAY=""] HNH endonuclease [Thermodesulfobium narugense]</t>
  </si>
  <si>
    <t>VOG23720 [FUNC="REFSEQ HNH endonuclease"] [TAG=Xu TAGDEF="Function unknown"]</t>
  </si>
  <si>
    <t>HNH endonuclease n=1 Tax=Vibrio phage vB_VpS_CC6 TaxID=2961680 RepID=A0A9E7NL49_9CAUD</t>
  </si>
  <si>
    <t>DNAUV-2.360-89_4</t>
  </si>
  <si>
    <t>COG1403 [FUNC="5-methylcytosine-specific restriction endonuclease McrA"] [shortName=McrA] [TAG=V TAGDEF="Defense mechanisms" PROCESS="CELLULAR PROCESSES AND SIGNALING"]  [PATHWAY=""] hypothetical protein [Thermogutta terrifontis]</t>
  </si>
  <si>
    <t>HNH endonuclease n=2 Tax=unclassified Caudoviricetes TaxID=2788787 RepID=A0A2I7RX05_9CAUD</t>
  </si>
  <si>
    <t>DNAUV-38.512-299_53</t>
  </si>
  <si>
    <t>COG1403 [FUNC="5-methylcytosine-specific restriction endonuclease McrA"] [shortName=McrA] [TAG=V TAGDEF="Defense mechanisms" PROCESS="CELLULAR PROCESSES AND SIGNALING"]  [PATHWAY=""] MULTISPECIES: HNH endonuclease [Serratia]</t>
  </si>
  <si>
    <t>HNH endonuclease n=1 Tax=Jinshanibacter zhutongyuii TaxID=2498113 RepID=A0A411WQF4_9GAMM</t>
  </si>
  <si>
    <t>DNAUV-2.775-59_7</t>
  </si>
  <si>
    <t>COG1403 [FUNC="5-methylcytosine-specific restriction endonuclease McrA"] [shortName=McrA] [TAG=V TAGDEF="Defense mechanisms" PROCESS="CELLULAR PROCESSES AND SIGNALING"]  [PATHWAY=""] MULTISPECIES: RNA-directed DNA polymerase [Arthrospira]</t>
  </si>
  <si>
    <t>VOG02209 [FUNC="sp|P03753|EA31_LAMBD Protein ea31"] [TAG=Xu TAGDEF="Function unknown"]</t>
  </si>
  <si>
    <t>HNH endonuclease n=1 Tax=Kitasatospora sp. CB02891 TaxID=2020329 RepID=A0A2M9KTF7_9ACTN</t>
  </si>
  <si>
    <t>DNAUV-4.427-233_10</t>
  </si>
  <si>
    <t>DNAUV-3.401-363_3</t>
  </si>
  <si>
    <t>sp|P80146|SEPR_THESR Extracellular serine proteinase OS=Thermus sp. (strain Rt41A) OX=32063 PE=1 SV=3</t>
  </si>
  <si>
    <t>COG1404 [FUNC="Serine protease, subtilisin family"] [shortName=AprE] [TAG=O TAGDEF="Posttranslational modification, protein turnover, chaperones" PROCESS="CELLULAR PROCESSES AND SIGNALING"]  [PATHWAY=""] S8 family peptidase [Euzebya sp. DY32-46]</t>
  </si>
  <si>
    <t>Peptidase n=1 Tax=Synechococcus phage S-CREM1 TaxID=2982919 RepID=A0A9X9JNH9_9CAUD</t>
  </si>
  <si>
    <t>DNAUV-6.006-11_3</t>
  </si>
  <si>
    <t>COG1404 [FUNC="Serine protease, subtilisin family"] [shortName=AprE] [TAG=O TAGDEF="Posttranslational modification, protein turnover, chaperones" PROCESS="CELLULAR PROCESSES AND SIGNALING"]  [PATHWAY=""] T9SS C-terminal target domain-containing protein [Salinivirga cyanobacteriivorans]</t>
  </si>
  <si>
    <t>VOG08179 [FUNC="REFSEQ virion structural protein"] [TAG=Xu TAGDEF="Function unknown"]</t>
  </si>
  <si>
    <t>Structural protein n=2 Tax=Nekkelsvirus TaxID=2948836 RepID=A0A8E4XXR0_9CAUD</t>
  </si>
  <si>
    <t>DNAUV-152.980-60_152</t>
  </si>
  <si>
    <t>sp|P55798|PRP1_ECOLI Serine/threonine-protein phosphatase 1 OS=Escherichia coli (strain K12) OX=83333 GN=pphA PE=1 SV=1</t>
  </si>
  <si>
    <t>COG1409 [FUNC="3',5'-cyclic AMP phosphodiesterase CpdA"] [shortName=CpdA] [TAG=T TAGDEF="Signal transduction mechanisms" PROCESS="CELLULAR PROCESSES AND SIGNALING"]  [PATHWAY=""] MULTISPECIES: serine/threonine protein phosphatase [Kosmotoga]</t>
  </si>
  <si>
    <t>VOG00964 [FUNC="sp|Q8ZNY9|PRP1_SALTY Serine/threonine-protein phosphatase 1"] [TAG=Xh TAGDEF="Virus protein with function beneficial for the host"]</t>
  </si>
  <si>
    <t>Calcineurin-like phosphoesterase n=2 Tax=Emdodecavirus TaxID=1980937 RepID=S5MD19_9CAUD</t>
  </si>
  <si>
    <t>DNAUV-29.591-37_33</t>
  </si>
  <si>
    <t>sp|P03772|PP_LAMBD Serine/threonine-protein phosphatase OS=Escherichia phage lambda OX=2681611 PE=1 SV=1</t>
  </si>
  <si>
    <t>COG1409 [FUNC="3',5'-cyclic AMP phosphodiesterase CpdA"] [shortName=CpdA] [TAG=T TAGDEF="Signal transduction mechanisms" PROCESS="CELLULAR PROCESSES AND SIGNALING"]  [PATHWAY=""] serine/threonine protein phosphatase [Petrotoga mobilis]</t>
  </si>
  <si>
    <t>Serine/threonine specific protein phosphatases domain-containing protein n=1 Tax=Vibrio phage KIT04 TaxID=2508207 RepID=A0A679DMQ7_9CAUD</t>
  </si>
  <si>
    <t>11.09.P4-15.476-7.9_19</t>
  </si>
  <si>
    <t>COG1442 [FUNC="Lipopolysaccharide biosynthesis protein, LPS:glycosyltransferase"] [shortName=RfaJ] [TAG=M TAGDEF="Cell wall/membrane/envelope biogenesis" PROCESS="CELLULAR PROCESSES AND SIGNALING"]  [PATHWAY=""] glycosyl transferase [Moorea producens]</t>
  </si>
  <si>
    <t>Glycosyl transferase n=1 Tax=Acinetobacter silvestris TaxID=1977882 RepID=A0A1Y3CJK2_9GAMM</t>
  </si>
  <si>
    <t>Mai.NODE_844_length_2619_cov_4.427847_4</t>
  </si>
  <si>
    <t>sp|Q746H2|PARB_THET2 Probable plasmid-partitioning protein ParB OS=Thermus thermophilus (strain ATCC BAA-163 / DSM 7039 / HB27) OX=262724 GN=parB PE=3 SV=1</t>
  </si>
  <si>
    <t>COG1475 [FUNC="Chromosome segregation protein Spo0J, contains ParB-like nuclease domain"] [shortName=Spo0J] [TAG=D TAGDEF="Cell cycle control, cell division, chromosome partitioning" PROCESS="CELLULAR PROCESSES AND SIGNALING"]  [PATHWAY=""] chromosome partitioning protein ParB [Allofrancisella guangzhouensis]</t>
  </si>
  <si>
    <t>VOG00521 [FUNC="REFSEQ hypothetical protein"] [TAG=Xu TAGDEF="Function unknown"]</t>
  </si>
  <si>
    <t>Plasmid-partitioning protein n=1 Tax=Paenibacillus sp. FSL P4-0081 TaxID=1536769 RepID=A0A7U4HGU0_9BACL</t>
  </si>
  <si>
    <t>DNAUV-2.708-49_1</t>
  </si>
  <si>
    <t>sp|P76068|YNAK_ECOLI ParB-like nuclease domain-containing protein YnaK OS=Escherichia coli (strain K12) OX=83333 GN=ynaK PE=4 SV=1</t>
  </si>
  <si>
    <t>COG1475 [FUNC="Chromosome segregation protein Spo0J, contains ParB-like nuclease domain"] [shortName=Spo0J] [TAG=D TAGDEF="Cell cycle control, cell division, chromosome partitioning" PROCESS="CELLULAR PROCESSES AND SIGNALING"]  [PATHWAY=""] DNA methylase [Aminobacter aminovorans]</t>
  </si>
  <si>
    <t>DNA methylase n=1 Tax=Psychrobacter phage pOW20-A TaxID=754048 RepID=M4SQC2_9CAUD</t>
  </si>
  <si>
    <t>DNAUV-12.383-30_1</t>
  </si>
  <si>
    <t>COG1475 [FUNC="Chromosome segregation protein Spo0J, contains ParB-like nuclease domain"] [shortName=Spo0J] [TAG=D TAGDEF="Cell cycle control, cell division, chromosome partitioning" PROCESS="CELLULAR PROCESSES AND SIGNALING"]  [PATHWAY=""] DNA methylase [Breoghania sp. L-A4]</t>
  </si>
  <si>
    <t>Methyltransferase n=2 Tax=Paracoccus thiocyanatus TaxID=34006 RepID=A0A1N6Y3V5_9RHOB</t>
  </si>
  <si>
    <t>DNAUV-46.666-73_75</t>
  </si>
  <si>
    <t>COG1475 [FUNC="Chromosome segregation protein Spo0J, contains ParB-like nuclease domain"] [shortName=Spo0J] [TAG=D TAGDEF="Cell cycle control, cell division, chromosome partitioning" PROCESS="CELLULAR PROCESSES AND SIGNALING"]  [PATHWAY=""] DNA methylase [Natrialba magadii]</t>
  </si>
  <si>
    <t>Site-specific DNA-methyltransferase n=1 Tax=Vibrio phage vB_VspS_VS-ABTNL-3 TaxID=2026084 RepID=A0A2D1A3U0_9CAUD</t>
  </si>
  <si>
    <t>Sept.NODE_903_length_2479_cov_24.719059_3</t>
  </si>
  <si>
    <t>COG1475 [FUNC="Chromosome segregation protein Spo0J, contains ParB-like nuclease domain"] [shortName=Spo0J] [TAG=D TAGDEF="Cell cycle control, cell division, chromosome partitioning" PROCESS="CELLULAR PROCESSES AND SIGNALING"]  [PATHWAY=""] DNA methylase N-4 [Castellaniella defragrans]</t>
  </si>
  <si>
    <t>DNAUV-12.430-23_16</t>
  </si>
  <si>
    <t>COG1475 [FUNC="Chromosome segregation protein Spo0J, contains ParB-like nuclease domain"] [shortName=Spo0J] [TAG=D TAGDEF="Cell cycle control, cell division, chromosome partitioning" PROCESS="CELLULAR PROCESSES AND SIGNALING"]  [PATHWAY=""] DNA modification methylase [Dialister sp. Marseille-P5638]</t>
  </si>
  <si>
    <t>VOG00416 [FUNC="sp|O64197|VG01_BPMD2 Gene 1 protein"] [TAG=Xu TAGDEF="Function unknown"]</t>
  </si>
  <si>
    <t>Putative nuclease n=1 Tax=Bdellovibrio phage phi1422 TaxID=1127515 RepID=H9C0L6_9CAUD</t>
  </si>
  <si>
    <t>DNAUV-3.169-11_14</t>
  </si>
  <si>
    <t>COG1475 [FUNC="Chromosome segregation protein Spo0J, contains ParB-like nuclease domain"] [shortName=Spo0J] [TAG=D TAGDEF="Cell cycle control, cell division, chromosome partitioning" PROCESS="CELLULAR PROCESSES AND SIGNALING"]  [PATHWAY=""] DNA modification methylase [Victivallales bacterium CCUG 44730]</t>
  </si>
  <si>
    <t>Adenine specific DNA methyltransferase n=1 Tax=Myoviridae sp. ctxpQ22 TaxID=2826715 RepID=A0A8S5N5K2_9CAUD</t>
  </si>
  <si>
    <t>Oct.NODE_54_length_30916_cov_12.817180_1</t>
  </si>
  <si>
    <t>DNA methylase n=2 Tax=unclassified Clostridium TaxID=2614128 RepID=A0A417WD62_9CLOT</t>
  </si>
  <si>
    <t>Avril.NODE_102_length_17063_cov_9.849659_13</t>
  </si>
  <si>
    <t>sp|P77174|YBDM_ECOLI Uncharacterized protein YbdM OS=Escherichia coli (strain K12) OX=83333 GN=ybdM PE=1 SV=1</t>
  </si>
  <si>
    <t>COG1475 [FUNC="Chromosome segregation protein Spo0J, contains ParB-like nuclease domain"] [shortName=Spo0J] [TAG=D TAGDEF="Cell cycle control, cell division, chromosome partitioning" PROCESS="CELLULAR PROCESSES AND SIGNALING"]  [PATHWAY=""] MULTISPECIES: transcriptional regulator [Proteobacteria]</t>
  </si>
  <si>
    <t>Uncharacterized protein n=1 Tax=Pseudomonas phage Amjad_SA TaxID=3003706 RepID=A0A9Y1MTZ1_9CAUD</t>
  </si>
  <si>
    <t>Avril.NODE_1162_length_2481_cov_4.413026_1</t>
  </si>
  <si>
    <t>sp|Q3V4Q0|Y326B_ATV Uncharacterized protein ORF326b OS=Acidianus two-tailed virus OX=315953 PE=3 SV=1</t>
  </si>
  <si>
    <t>COG1475 [FUNC="Chromosome segregation protein Spo0J, contains ParB-like nuclease domain"] [shortName=Spo0J] [TAG=D TAGDEF="Cell cycle control, cell division, chromosome partitioning" PROCESS="CELLULAR PROCESSES AND SIGNALING"]  [PATHWAY=""] plasmid partitioning protein ParB [Caldanaerobacter subterraneus]</t>
  </si>
  <si>
    <t>ParB-like nuclease domain protein n=1 Tax=Bacillus phage 035JT001 TaxID=2601659 RepID=A0A5J6TC34_9CAUD</t>
  </si>
  <si>
    <t>11.09.P4-15.966-7.3_20</t>
  </si>
  <si>
    <t>COG1475 [FUNC="Chromosome segregation protein Spo0J, contains ParB-like nuclease domain"] [shortName=Spo0J] [TAG=D TAGDEF="Cell cycle control, cell division, chromosome partitioning" PROCESS="CELLULAR PROCESSES AND SIGNALING"]  [PATHWAY=""] restriction endonuclease subunit M [Elusimicrobium minutum]</t>
  </si>
  <si>
    <t>Methyltransferase n=1 Tax=Pirellula sp. SH-Sr6A TaxID=1632865 RepID=A0A142Y3E5_9BACT</t>
  </si>
  <si>
    <t>DNAUV-3.237-613_5</t>
  </si>
  <si>
    <t>Sept.NODE_844_length_2597_cov_3.423682_1</t>
  </si>
  <si>
    <t>Adenine specific DNA methyltransferase n=1 Tax=Siphoviridae sp. ctB9N2 TaxID=2826188 RepID=A0A8S5NFT8_9CAUD</t>
  </si>
  <si>
    <t>DNAUV-48.475-181_112</t>
  </si>
  <si>
    <t>sp|P08076|STRR_STRGR Streptomycin biosynthesis operon possible regulatory protein OS=Streptomyces griseus OX=1911 GN=strR PE=4 SV=1</t>
  </si>
  <si>
    <t>COG1475 [FUNC="Chromosome segregation protein Spo0J, contains ParB-like nuclease domain"] [shortName=Spo0J] [TAG=D TAGDEF="Cell cycle control, cell division, chromosome partitioning" PROCESS="CELLULAR PROCESSES AND SIGNALING"]  [PATHWAY=""] streptomycin biosynthesis regulator [Acaryochloris marina]</t>
  </si>
  <si>
    <t>ParB/Sulfiredoxin domain-containing protein n=1 Tax=Acaryochloris marina (strain MBIC 11017) TaxID=329726 RepID=A8ZPS2_ACAM1</t>
  </si>
  <si>
    <t>DNAUV-5.975-24_1</t>
  </si>
  <si>
    <t>sp|Q02ML7|CAS1_PSEAB CRISPR-associated endonuclease Cas1 OS=Pseudomonas aeruginosa (strain UCBPP-PA14) OX=208963 GN=cas1 PE=1 SV=1</t>
  </si>
  <si>
    <t>COG1518 [FUNC="CRISPR-Cas system-associated integrase Cas1"] [shortName=Cas1] [TAG=V TAGDEF="Defense mechanisms" PROCESS="CELLULAR PROCESSES AND SIGNALING"]  [PATHWAY="CRISPR-Cas system"] type I-F CRISPR-associated endonuclease Cas1 [Desulfurispirillum indicum]</t>
  </si>
  <si>
    <t>CRISPR-associated protein n=1 Tax=Vibrio phage JSF6 TaxID=1983615 RepID=A0A2D0YFC9_9CAUD</t>
  </si>
  <si>
    <t>Oct.NODE_1832_length_2112_cov_7.246475_3</t>
  </si>
  <si>
    <t>COG1659 [FUNC="Bacteriocin, linocin/CFP29 family"] [shortName=CFP29] [TAG=V TAGDEF="Defense mechanisms" PROCESS="CELLULAR PROCESSES AND SIGNALING"]  [PATHWAY=""] hypothetical protein [Mannheimia haemolytica]</t>
  </si>
  <si>
    <t>VOG03569 [FUNC="REFSEQ virion structural protein"] [TAG=Xu TAGDEF="Function unknown"]</t>
  </si>
  <si>
    <t>Putative major capsid protein n=1 Tax=Alteromonas phage XX1924 TaxID=2664192 RepID=A0A6B9J0N6_9CAUD</t>
  </si>
  <si>
    <t>Avril.NODE_96_length_18205_cov_10.611129_11</t>
  </si>
  <si>
    <t>COG1670 [FUNC="Protein N-acetyltransferase, RimJ/RimL family"] [shortName=RimL] [TAG=J TAGDEF="Translation, ribosomal structure and biogenesis" PROCESS="INFORMATION STORAGE AND PROCESSING"] [TAG=O TAGDEF="Posttranslational modification, protein turnover, chaperones" PROCESS="CELLULAR PROCESSES AND SIGNALING"]  [PATHWAY=""] acetyltransferase [Yersinia enterocolitica subsp. enterocolitica 8081]</t>
  </si>
  <si>
    <t>Putative head assembly protein n=1 Tax=Pseudoalteromonas virus vB_PspP-H6/1 TaxID=1852626 RepID=A0A191ZDE2_9CAUD</t>
  </si>
  <si>
    <t>DNAUV-4.733-16_14</t>
  </si>
  <si>
    <t>COG1670 [FUNC="Protein N-acetyltransferase, RimJ/RimL family"] [shortName=RimL] [TAG=J TAGDEF="Translation, ribosomal structure and biogenesis" PROCESS="INFORMATION STORAGE AND PROCESSING"] [TAG=O TAGDEF="Posttranslational modification, protein turnover, chaperones" PROCESS="CELLULAR PROCESSES AND SIGNALING"]  [PATHWAY=""] N-acetyltransferase [Janthinobacterium sp. Marseille]</t>
  </si>
  <si>
    <t>VOG05209 [FUNC="sp|Q01075|VG14_BPP22 Protein gp14"] [TAG=Xh TAGDEF="Virus protein with function beneficial for the host"]</t>
  </si>
  <si>
    <t>N-acetyltransferase domain-containing protein n=1 Tax=Ruegeria phage 45A6 TaxID=1851646 RepID=A0A1X9HVM5_9CAUD</t>
  </si>
  <si>
    <t>DNAUV-20.225-38_20</t>
  </si>
  <si>
    <t>COG1670 [FUNC="Protein N-acetyltransferase, RimJ/RimL family"] [shortName=RimL] [TAG=J TAGDEF="Translation, ribosomal structure and biogenesis" PROCESS="INFORMATION STORAGE AND PROCESSING"] [TAG=O TAGDEF="Posttranslational modification, protein turnover, chaperones" PROCESS="CELLULAR PROCESSES AND SIGNALING"]  [PATHWAY=""] N-acetyltransferase [Mesorhizobium loti]</t>
  </si>
  <si>
    <t>Uncharacterized protein gp26 n=1 Tax=EBPR podovirus 2 TaxID=1048516 RepID=F8TUS5_9CAUD</t>
  </si>
  <si>
    <t>DNAUV-23.323-23_59</t>
  </si>
  <si>
    <t>N-acetyltransferase n=1 Tax=Mesorhizobium sp. B2-2-2 TaxID=2589964 RepID=A0A503WVP9_9HYPH</t>
  </si>
  <si>
    <t>DNAUV-2.434-170_3</t>
  </si>
  <si>
    <t>sp|Q8D8M2|FTSK_VIBVU DNA translocase FtsK OS=Vibrio vulnificus (strain CMCP6) OX=216895 GN=ftsK PE=3 SV=2</t>
  </si>
  <si>
    <t>COG1674 [FUNC="DNA segregation ATPase FtsK/SpoIIIE or related protein"] [shortName=FtsK] [TAG=D TAGDEF="Cell cycle control, cell division, chromosome partitioning" PROCESS="CELLULAR PROCESSES AND SIGNALING"]  [PATHWAY=""] DNA translocase FtsK [Morganella morganii]</t>
  </si>
  <si>
    <t>FtsK gamma domain-containing protein n=1 Tax=Shewanella phage SppYZU01 TaxID=1965372 RepID=A0A1V0DYF0_9CAUD</t>
  </si>
  <si>
    <t>11.09.P2-8.129-44_1</t>
  </si>
  <si>
    <t>COG1680 [FUNC="CubicO group peptidase, beta-lactamase class C family"] [shortName=AmpC] [TAG=V TAGDEF="Defense mechanisms" PROCESS="CELLULAR PROCESSES AND SIGNALING"]  [PATHWAY=""] hypothetical protein [Methylocella silvestris]</t>
  </si>
  <si>
    <t>Gp7 n=5 Tax=Neptunevirus TaxID=2733117 RepID=H6BI42_9CAUD</t>
  </si>
  <si>
    <t>11.09.P2-8.129-44_2</t>
  </si>
  <si>
    <t>Structural protein n=1 Tax=Cyanophage S-RIM4 TaxID=2530169 RepID=A0A482MP24_9CAUD</t>
  </si>
  <si>
    <t>DNAUV-42.404-84_67</t>
  </si>
  <si>
    <t>sp|Q05247|VG37_BPML5 Gene 37 protein OS=Mycobacterium phage L5 OX=31757 GN=37 PE=4 SV=1</t>
  </si>
  <si>
    <t>COG1694 [FUNC="NTP pyrophosphatase, house-cleaning of non-canonical NTPs"] [shortName=MazG] [TAG=V TAGDEF="Defense mechanisms" PROCESS="CELLULAR PROCESSES AND SIGNALING"]  [PATHWAY=""] hypothetical protein [Bradymonas sediminis]</t>
  </si>
  <si>
    <t>VOG00219 [FUNC="sp|Q05247|VG37_BPML5 Gene 37 protein"] [TAG=Xu TAGDEF="Function unknown"]</t>
  </si>
  <si>
    <t>MazG family pyrophosphatase n=1 Tax=Paracoccus phage vB_PmaS-R3 TaxID=2494563 RepID=A0A0B5A0C6_9CAUD</t>
  </si>
  <si>
    <t>Sept.NODE_1209_length_2054_cov_5.337169_2</t>
  </si>
  <si>
    <t>NTP pyrophosphohydrolase MazG-like domain-containing protein n=1 Tax=Thermus caliditerrae TaxID=1330700 RepID=A0A7C5RF84_9DEIN</t>
  </si>
  <si>
    <t>Oct.NODE_1527_length_2394_cov_2.855494_3</t>
  </si>
  <si>
    <t>COG1694 [FUNC="NTP pyrophosphatase, house-cleaning of non-canonical NTPs"] [shortName=MazG] [TAG=V TAGDEF="Defense mechanisms" PROCESS="CELLULAR PROCESSES AND SIGNALING"]  [PATHWAY=""] hypothetical protein [Chloracidobacterium thermophilum]</t>
  </si>
  <si>
    <t>Nucleotide pyrophosphohydrolase domain protein n=1 Tax=Roseobacter phage CRP-3 TaxID=2559282 RepID=A0A646QVW3_9CAUD</t>
  </si>
  <si>
    <t>DNAUV-4.776-12_1</t>
  </si>
  <si>
    <t>COG1694 [FUNC="NTP pyrophosphatase, house-cleaning of non-canonical NTPs"] [shortName=MazG] [TAG=V TAGDEF="Defense mechanisms" PROCESS="CELLULAR PROCESSES AND SIGNALING"]  [PATHWAY=""] hypothetical protein [Luteipulveratus mongoliensis]</t>
  </si>
  <si>
    <t>Toxin-antitoxin protein n=1 Tax=Xanthomonas phage vB_XooS_NR08 TaxID=2953619 RepID=A0A9Y1JHT4_9CAUD</t>
  </si>
  <si>
    <t>Avril.NODE_490_length_4799_cov_82.955734_2</t>
  </si>
  <si>
    <t>COG1694 [FUNC="NTP pyrophosphatase, house-cleaning of non-canonical NTPs"] [shortName=MazG] [TAG=V TAGDEF="Defense mechanisms" PROCESS="CELLULAR PROCESSES AND SIGNALING"]  [PATHWAY=""] hypothetical protein [Vampirococcus sp. LiM]</t>
  </si>
  <si>
    <t>VOG01557 [FUNC="REFSEQ pyrophosphatase"] [TAG=Xu TAGDEF="Function unknown"]</t>
  </si>
  <si>
    <t>MazG-like nucleotide pyrophosphohydrolase n=1 Tax=Pseudomonas phage Persinger TaxID=2749430 RepID=A0A7D7ILV5_9CAUD</t>
  </si>
  <si>
    <t>Avril.NODE_9_length_46600_cov_10.230895_19</t>
  </si>
  <si>
    <t>Uncharacterized protein n=1 Tax=Paracoccus sp. SMMA_5_TC TaxID=2654280 RepID=A0A9X9JC57_9RHOB</t>
  </si>
  <si>
    <t>DNAUV-33.721-35_36</t>
  </si>
  <si>
    <t>Tail tubular protein A n=1 Tax=Vibrio phage P23 TaxID=2488664 RepID=A0A3G8F5F6_9CAUD</t>
  </si>
  <si>
    <t>DNAUV-48.475-181_121</t>
  </si>
  <si>
    <t>MazG nucleotide pyrophosphohydrolase domain protein n=1 Tax=Blautia obeum ATCC 29174 TaxID=411459 RepID=A5ZPX2_9FIRM</t>
  </si>
  <si>
    <t>DNAUV-85.908-43_18</t>
  </si>
  <si>
    <t>NTP pyrophosphohydrolase MazG putative catalytic core domain-containing protein n=1 Tax=Acinetobacter sp. ANC 4558 TaxID=1977876 RepID=A0A241VSG6_9GAMM</t>
  </si>
  <si>
    <t>05.07.P3-6.670-18_14</t>
  </si>
  <si>
    <t>COG1694 [FUNC="NTP pyrophosphatase, house-cleaning of non-canonical NTPs"] [shortName=MazG] [TAG=V TAGDEF="Defense mechanisms" PROCESS="CELLULAR PROCESSES AND SIGNALING"]  [PATHWAY=""] MULTISPECIES: hypothetical protein [Synechococcus]</t>
  </si>
  <si>
    <t>05.07.P3-6.670-18_5</t>
  </si>
  <si>
    <t>DNAUV-23.114-30_51</t>
  </si>
  <si>
    <t>DNAUV-3.899-84_3</t>
  </si>
  <si>
    <t>Nucleotide pyrophosphohydrolase n=1 Tax=Roseobacter phage CRP-9 TaxID=2813174 RepID=A0A8E5FA85_9CAUD</t>
  </si>
  <si>
    <t>DNAUV-5.190-86_1</t>
  </si>
  <si>
    <t>NTP pyrophosphohydrolase MazG-like domain-containing protein n=2 Tax=Siovirus germanense TaxID=2845497 RepID=A0A3G2YR96_9CAUD</t>
  </si>
  <si>
    <t>DNAUV-5.218-135_2</t>
  </si>
  <si>
    <t>Mai.NODE_594_length_3431_cov_3.930095_3</t>
  </si>
  <si>
    <t>NTP pyrophosphohydrolase MazG-like domain-containing protein n=4 Tax=Muribaculum TaxID=1918540 RepID=A0A4P7VQC1_9BACT</t>
  </si>
  <si>
    <t>11.09.P1-4.695-17_5</t>
  </si>
  <si>
    <t>COG1694 [FUNC="NTP pyrophosphatase, house-cleaning of non-canonical NTPs"] [shortName=MazG] [TAG=V TAGDEF="Defense mechanisms" PROCESS="CELLULAR PROCESSES AND SIGNALING"]  [PATHWAY=""] nucleotide pyrophosphohydrolase [Chloroflexus aggregans]</t>
  </si>
  <si>
    <t>Pyrophosphohydrolase n=1 Tax=Pseudomonas phage vB_PaeP_FBPa48 TaxID=2969615 RepID=A0A9E7QRA9_9CAUD</t>
  </si>
  <si>
    <t>DNAUV-11.532-345_36</t>
  </si>
  <si>
    <t>DNAUV-14.799-179_14</t>
  </si>
  <si>
    <t>DNAUV-147.430-52_146</t>
  </si>
  <si>
    <t>MazG n=1 Tax=Pseudomonas phage Iggy TaxID=2592193 RepID=A0A7S5AYW7_9CAUD</t>
  </si>
  <si>
    <t>DNAUV-16.929-17_19</t>
  </si>
  <si>
    <t>MazG n=1 Tax=Synechococcus phage S-CAM9 TaxID=1883369 RepID=A0A1D8KPB4_9CAUD</t>
  </si>
  <si>
    <t>DNAUV-2.184-29_1</t>
  </si>
  <si>
    <t>DNAUV-2.764-31_9</t>
  </si>
  <si>
    <t>Pyrophosphatase n=1 Tax=Burkholderia phage vB_BceS_KL1 TaxID=1132026 RepID=I6NKZ0_9CAUD</t>
  </si>
  <si>
    <t>DNAUV-3.141-14_2</t>
  </si>
  <si>
    <t>MazG-like nucleotide pyrophosphohydrolase family protein n=1 Tax=Paucimonas lemoignei TaxID=29443 RepID=A0A4V2UIT9_PAULE</t>
  </si>
  <si>
    <t>DNAUV-6.355-99_16</t>
  </si>
  <si>
    <t>DNAUV-7.289-190_21</t>
  </si>
  <si>
    <t>Sept.NODE_512_length_3644_cov_54.654500_3</t>
  </si>
  <si>
    <t>Sept.NODE_611_length_3206_cov_5.492859_4</t>
  </si>
  <si>
    <t>Sept.NODE_97_length_14357_cov_113.549504_7</t>
  </si>
  <si>
    <t>DNAUV-48.934-1423_16</t>
  </si>
  <si>
    <t>COG1694 [FUNC="NTP pyrophosphatase, house-cleaning of non-canonical NTPs"] [shortName=MazG] [TAG=V TAGDEF="Defense mechanisms" PROCESS="CELLULAR PROCESSES AND SIGNALING"]  [PATHWAY=""] nucleotide pyrophosphohydrolase [Gemmatimonadetes bacterium KBS708]</t>
  </si>
  <si>
    <t>Nucleoside triphosphate pyrophosphohydrolase family protein n=4 Tax=Acinetobacter baumannii TaxID=470 RepID=A0A1S2FY95_ACIBA</t>
  </si>
  <si>
    <t>DNAUV-37.297-108_13</t>
  </si>
  <si>
    <t>COG1694 [FUNC="NTP pyrophosphatase, house-cleaning of non-canonical NTPs"] [shortName=MazG] [TAG=V TAGDEF="Defense mechanisms" PROCESS="CELLULAR PROCESSES AND SIGNALING"]  [PATHWAY=""] Predicted MazG family pyrophosphatase [Prochlorococcus marinus subsp. marinus str. CCMP1375]</t>
  </si>
  <si>
    <t>Nucleotide pyrophosphohydrolase domain protein n=1 Tax=Celeribacter phage P12053L TaxID=1197951 RepID=I6R9K0_9CAUD</t>
  </si>
  <si>
    <t>DNAUV-5.980-260_10</t>
  </si>
  <si>
    <t>Sept.NODE_417_length_4163_cov_36.522882_4</t>
  </si>
  <si>
    <t>DNAUV-2.188-12_3</t>
  </si>
  <si>
    <t>COG1694 [FUNC="NTP pyrophosphatase, house-cleaning of non-canonical NTPs"] [shortName=MazG] [TAG=V TAGDEF="Defense mechanisms" PROCESS="CELLULAR PROCESSES AND SIGNALING"]  [PATHWAY=""] pyrophosphatase [Solibacillus silvestris]</t>
  </si>
  <si>
    <t>VOG23388 [FUNC="sp|Q38441|YOR5_BPSPP Uncharacterized 10.3 kDa protein in GP2-GP6 intergenic region"] [TAG=Xu TAGDEF="Function unknown"]</t>
  </si>
  <si>
    <t>Putative transcriptional repressor n=1 Tax=Salinivibrio phage CW02 TaxID=1161935 RepID=H9D1F5_9CAUD</t>
  </si>
  <si>
    <t>DNAUV-43.803-72_50</t>
  </si>
  <si>
    <t>sp|P51714|YO12_BPHC1 Uncharacterized 18.2 kDa protein in rep-hol intergenic region OS=Haemophilus phage HP1 (strain HP1c1) OX=1289570 PE=4 SV=1</t>
  </si>
  <si>
    <t>DNAUV-147.430-52_154</t>
  </si>
  <si>
    <t>COG1702 [FUNC="Phosphate starvation-inducible protein PhoH, predicted ATPase"] [shortName=PhoH] [TAG=T TAGDEF="Signal transduction mechanisms" PROCESS="CELLULAR PROCESSES AND SIGNALING"]  [PATHWAY=""] ATPase AAA [Piscirickettsia salmonis]</t>
  </si>
  <si>
    <t>Putative phosphate-starvation inducible protein n=1 Tax=Prochlorococcus phage P-TIM68 TaxID=1542477 RepID=A0A0K0KWR5_9CAUD</t>
  </si>
  <si>
    <t>DNAUV-152.980-60_39</t>
  </si>
  <si>
    <t>Phosphate-starvation inducible protein n=1 Tax=Sinorhizobium phage phiM6 TaxID=2301527 RepID=A0A346HW28_9CAUD</t>
  </si>
  <si>
    <t>DNAUV-159.889-409_19</t>
  </si>
  <si>
    <t>DNAUV-2.520-57_4</t>
  </si>
  <si>
    <t>sp|Q49751|PHOL_MYCLE PhoH-like protein OS=Mycobacterium leprae (strain TN) OX=272631 GN=ML0627 PE=3 SV=1</t>
  </si>
  <si>
    <t>PhoH-like protein domain-containing protein n=1 Tax=Muricauda sp. TMED12 TaxID=1986608 RepID=A0A3R7S3C5_9FLAO</t>
  </si>
  <si>
    <t>DNAUV-2.676-184_4</t>
  </si>
  <si>
    <t>DNAUV-24.309-205_40</t>
  </si>
  <si>
    <t>sp|P0A9K5|PHOL_ECO57 PhoH-like protein OS=Escherichia coli O157:H7 OX=83334 GN=ybeZ PE=3 SV=2</t>
  </si>
  <si>
    <t>PhoH n=1 Tax=Stenotrophomonas phage vB_SmaS-DLP_6 TaxID=1651816 RepID=A0A142EZS3_9CAUD</t>
  </si>
  <si>
    <t>DNAUV-24.776-121_34</t>
  </si>
  <si>
    <t>DNAUV-3.036-11_1</t>
  </si>
  <si>
    <t>sp|P0A9K2|PHOH_ECO57 Protein PhoH OS=Escherichia coli O157:H7 OX=83334 GN=phoH PE=3 SV=1</t>
  </si>
  <si>
    <t>PhoH-like protein domain-containing protein n=1 Tax=Lake Baikal phage Baikal-20-5m-C28 TaxID=2047876 RepID=A0A2H4N7W7_9CAUD</t>
  </si>
  <si>
    <t>DNAUV-3.404-10_3</t>
  </si>
  <si>
    <t>VOG00749 [FUNC="sp|O64299|EXO2_BPR69 Exonuclease subunit 2"] [TAG=Xh TAGDEF="Virus protein with function beneficial for the host"]</t>
  </si>
  <si>
    <t>p-starvation inducible protein n=1 Tax=Synechococcus phage ACG-2014d TaxID=1493509 RepID=A0A0E3FH51_9CAUD</t>
  </si>
  <si>
    <t>DNAUV-34.354-18_28</t>
  </si>
  <si>
    <t>DNAUV-4.472-24_4</t>
  </si>
  <si>
    <t>DNAUV-43.621-123_63</t>
  </si>
  <si>
    <t>p-starvation inducible protein n=5 Tax=Brizovirus TaxID=2733098 RepID=E3SRB6_9CAUD</t>
  </si>
  <si>
    <t>DNAUV-5.613-17_6</t>
  </si>
  <si>
    <t>DNAUV-68.024-31_70</t>
  </si>
  <si>
    <t>05.07.P4-45.835-37_61</t>
  </si>
  <si>
    <t>sp|P0A5S1|PHOL_MYCBO PhoH-like protein OS=Mycobacterium bovis (strain ATCC BAA-935 / AF2122/97) OX=233413 GN=BQ2027_MB2389C PE=3 SV=1</t>
  </si>
  <si>
    <t>COG1702 [FUNC="Phosphate starvation-inducible protein PhoH, predicted ATPase"] [shortName=PhoH] [TAG=T TAGDEF="Signal transduction mechanisms" PROCESS="CELLULAR PROCESSES AND SIGNALING"]  [PATHWAY=""] MULTISPECIES: PhoH family protein [Cycloclasticus]</t>
  </si>
  <si>
    <t>Phosphate starvation-inducible protein n=1 Tax=Celeribacter phage P12053L TaxID=1197951 RepID=I6R9K2_9CAUD</t>
  </si>
  <si>
    <t>11.09.P1-11.148-50_9</t>
  </si>
  <si>
    <t>11.09.P1-4.649-15_3</t>
  </si>
  <si>
    <t>11.09.P2-3.526-51_2</t>
  </si>
  <si>
    <t>Phosphate starvation-inducible protein n=1 Tax=Roseobacter phage CRP-6 TaxID=2559285 RepID=A0A646QWI1_9CAUD</t>
  </si>
  <si>
    <t>11.09.P2-5.186-4.6_8</t>
  </si>
  <si>
    <t>11.09.P4-14.613-5.8_13</t>
  </si>
  <si>
    <t>11.09.P4-19.072-23_15</t>
  </si>
  <si>
    <t>11.09.P4-4.612-7.8_9</t>
  </si>
  <si>
    <t>11.09.P4-8.195-3.6_4</t>
  </si>
  <si>
    <t>DNAUV-2.258-474_4</t>
  </si>
  <si>
    <t>P-loop containing nucleoside triphosphate hydrolase n=1 Tax=Lentibacter virus vB_LenP_ICBM2 TaxID=2301529 RepID=A0A3G2YRV7_9CAUD</t>
  </si>
  <si>
    <t>DNAUV-2.382-42_3</t>
  </si>
  <si>
    <t>DNAUV-5.997-503_14</t>
  </si>
  <si>
    <t>DNAUV-57.114-48_13</t>
  </si>
  <si>
    <t>Oct.NODE_1221_length_2766_cov_30.631501_4</t>
  </si>
  <si>
    <t>11.09.P1-4.695-17_4</t>
  </si>
  <si>
    <t>COG1702 [FUNC="Phosphate starvation-inducible protein PhoH, predicted ATPase"] [shortName=PhoH] [TAG=T TAGDEF="Signal transduction mechanisms" PROCESS="CELLULAR PROCESSES AND SIGNALING"]  [PATHWAY=""] MULTISPECIES: PhoH family protein [Methylobacterium]</t>
  </si>
  <si>
    <t>PhoH-like protein domain-containing protein n=2 Tax=Siovirus germanense TaxID=2845497 RepID=A0A3G2YRX9_9CAUD</t>
  </si>
  <si>
    <t>11.09.P1-6.317-5.1_2</t>
  </si>
  <si>
    <t>11.09.P4-4.358-3.0_2</t>
  </si>
  <si>
    <t>Phosphate starvation-inducible protein n=1 Tax=Roseobacter phage CRP-4 TaxID=2559283 RepID=A0A646QW55_9CAUD</t>
  </si>
  <si>
    <t>DNAUV-11.532-345_35</t>
  </si>
  <si>
    <t>DNAUV-14.799-179_13</t>
  </si>
  <si>
    <t>DNAUV-2.332-267_5</t>
  </si>
  <si>
    <t>Phosphate starvation-inducible protein n=1 Tax=Roseobacter phage CRP-13 TaxID=2813173 RepID=A0A8E5B9H0_9CAUD</t>
  </si>
  <si>
    <t>DNAUV-2.398-1268_1</t>
  </si>
  <si>
    <t>DNAUV-2.721-72_1</t>
  </si>
  <si>
    <t>Phosphate starvation-inducible protein n=1 Tax=Roseobacter phage CRP-2 TaxID=2559281 RepID=A0A646QVS0_9CAUD</t>
  </si>
  <si>
    <t>DNAUV-22.957-353_31</t>
  </si>
  <si>
    <t>DNAUV-29.464-218_2</t>
  </si>
  <si>
    <t>DNAUV-3.093-52_4</t>
  </si>
  <si>
    <t>DNAUV-34.761-382_4</t>
  </si>
  <si>
    <t>PhoH-like protein n=2 Tax=unclassified Caudoviricetes TaxID=2788787 RepID=A0A9P0VMK1_9CAUD</t>
  </si>
  <si>
    <t>DNAUV-50.039-64_24</t>
  </si>
  <si>
    <t>DNAUV-6.355-99_15</t>
  </si>
  <si>
    <t>DNAUV-7.289-190_20</t>
  </si>
  <si>
    <t>Sept.NODE_512_length_3644_cov_54.654500_2</t>
  </si>
  <si>
    <t>Sept.NODE_97_length_14357_cov_113.549504_6</t>
  </si>
  <si>
    <t>Oct.NODE_1520_length_2401_cov_3.054987_4</t>
  </si>
  <si>
    <t>COG1702 [FUNC="Phosphate starvation-inducible protein PhoH, predicted ATPase"] [shortName=PhoH] [TAG=T TAGDEF="Signal transduction mechanisms" PROCESS="CELLULAR PROCESSES AND SIGNALING"]  [PATHWAY=""] PhoH family protein [Candidatus Paracaedibacter acanthamoebae]</t>
  </si>
  <si>
    <t>Phosphate starvation-inducible protein PhoH n=1 Tax=Paremcibacter congregatus TaxID=2043170 RepID=A0A2G4YLY1_9PROT</t>
  </si>
  <si>
    <t>DNAUV-10.760-29_9</t>
  </si>
  <si>
    <t>COG1702 [FUNC="Phosphate starvation-inducible protein PhoH, predicted ATPase"] [shortName=PhoH] [TAG=T TAGDEF="Signal transduction mechanisms" PROCESS="CELLULAR PROCESSES AND SIGNALING"]  [PATHWAY=""] PhoH family protein [Methylobacterium nodulans]</t>
  </si>
  <si>
    <t>PhoH-like protein domain-containing protein n=1 Tax=Vibrio phage S4-7 TaxID=1873905 RepID=A0A1C9LW23_9CAUD</t>
  </si>
  <si>
    <t>DNAUV-7.253-326_15</t>
  </si>
  <si>
    <t>Phosphate starvation-inducible protein n=1 Tax=Roseobacter phage CRP-5 TaxID=2559284 RepID=A0A646QWB7_9CAUD</t>
  </si>
  <si>
    <t>Oct.NODE_1422_length_2507_cov_16.176183_4</t>
  </si>
  <si>
    <t>Oct.NODE_181_length_10780_cov_6.015478_14</t>
  </si>
  <si>
    <t>Oct.NODE_797_length_3656_cov_16.732852_3</t>
  </si>
  <si>
    <t>PhoH family protein n=1 Tax=Methylorubrum sp. Q1 TaxID=2562453 RepID=A0A4Z0EBX3_9HYPH</t>
  </si>
  <si>
    <t>Sept.NODE_104_length_13001_cov_9.114862_12</t>
  </si>
  <si>
    <t>05.07.P3-6.554-4.7_4</t>
  </si>
  <si>
    <t>COG1702 [FUNC="Phosphate starvation-inducible protein PhoH, predicted ATPase"] [shortName=PhoH] [TAG=T TAGDEF="Signal transduction mechanisms" PROCESS="CELLULAR PROCESSES AND SIGNALING"]  [PATHWAY=""] PhoH family protein [Microvirga ossetica]</t>
  </si>
  <si>
    <t>05.07.P4-15.059-52_13</t>
  </si>
  <si>
    <t>05.07.P4-15.059-52_5</t>
  </si>
  <si>
    <t>05.07.P4-7.222-16_8</t>
  </si>
  <si>
    <t>DNAUV-2.222-115_1</t>
  </si>
  <si>
    <t>DNAUV-2.336-10_3</t>
  </si>
  <si>
    <t>DNAUV-37.297-108_17</t>
  </si>
  <si>
    <t>Oct.NODE_169_length_11288_cov_54.707825_20</t>
  </si>
  <si>
    <t>DNAUV-34.277-41_22</t>
  </si>
  <si>
    <t>COG1702 [FUNC="Phosphate starvation-inducible protein PhoH, predicted ATPase"] [shortName=PhoH] [TAG=T TAGDEF="Signal transduction mechanisms" PROCESS="CELLULAR PROCESSES AND SIGNALING"]  [PATHWAY=""] phosphate starvation-inducible protein PhoH [Vagococcus penaei]</t>
  </si>
  <si>
    <t>Phosphate starvation-inducible protein n=1 Tax=Pseudoalteromonas phage PH357 TaxID=1913046 RepID=A0A1W5PTK4_9CAUD</t>
  </si>
  <si>
    <t>Sept.NODE_1111_length_2166_cov_19.791094_2</t>
  </si>
  <si>
    <t>COG1705 [FUNC="Flagellum-specific peptidoglycan hydrolase FlgJ"] [shortName=FlgJ] [TAG=M TAGDEF="Cell wall/membrane/envelope biogenesis" PROCESS="CELLULAR PROCESSES AND SIGNALING"] [TAG=N TAGDEF="Cell motility" PROCESS="CELLULAR PROCESSES AND SIGNALING"]  [PATHWAY=""] MULTISPECIES: flagellar protein FlgJ [Brucella]</t>
  </si>
  <si>
    <t>VOG17900 [FUNC="REFSEQ putative peptidoglycan hydrolase"] [TAG=Xu TAGDEF="Function unknown"]</t>
  </si>
  <si>
    <t>Uncharacterized protein n=1 Tax=Aquamicrobium defluvii TaxID=69279 RepID=A0A011UUY6_9HYPH</t>
  </si>
  <si>
    <t>DNAUV-78.511-202_31</t>
  </si>
  <si>
    <t>COG1705 [FUNC="Flagellum-specific peptidoglycan hydrolase FlgJ"] [shortName=FlgJ] [TAG=M TAGDEF="Cell wall/membrane/envelope biogenesis" PROCESS="CELLULAR PROCESSES AND SIGNALING"] [TAG=N TAGDEF="Cell motility" PROCESS="CELLULAR PROCESSES AND SIGNALING"]  [PATHWAY=""] MULTISPECIES: N-acetylmuramoyl-L-alanine amidase [Bacteroidales]</t>
  </si>
  <si>
    <t>VOG33630 [FUNC="sp|Q9I4P4|FLGJ_PSEAE Peptidoglycan hydrolase FlgJ"] [TAG=Xh TAGDEF="Virus protein with function beneficial for the host"]</t>
  </si>
  <si>
    <t>Mannosyl-glycoprotein endo-beta-N-acetylglucosamidase-like domain-containing protein n=1 Tax=Parvicella tangerina TaxID=2829795 RepID=A0A916JM35_9FLAO</t>
  </si>
  <si>
    <t>DNAUV-19.443-61_29</t>
  </si>
  <si>
    <t>sp|Q2YKI6|PBP_BRUA2 Purine-binding protein BAB2_0673 OS=Brucella abortus (strain 2308) OX=359391 GN=BAB2_0673 PE=1 SV=1</t>
  </si>
  <si>
    <t>COG1744 [FUNC="Lipoprotein Med, regulator of KinD/Spo0A, PBP1-ABC superfamily, includes NupN"] [shortName=Med] [TAG=T TAGDEF="Signal transduction mechanisms" PROCESS="CELLULAR PROCESSES AND SIGNALING"]  [PATHWAY=""] putative basic membrane protein [Planktomarina temperata RCA23]</t>
  </si>
  <si>
    <t>ABC transporter substrate-binding protein n=1 Tax=Thalassobacter sp. 16PALIMAR09 TaxID=1225651 RepID=A0A099TB20_9RHOB</t>
  </si>
  <si>
    <t>DNAUV-80.863-259_19</t>
  </si>
  <si>
    <t>sp|Q37979|AEPE_BPA50 L-alanyl-D-glutamate peptidase OS=Listeria phage A500 OX=40522 GN=ply PE=1 SV=1</t>
  </si>
  <si>
    <t>COG1876 [FUNC="LD-carboxypeptidase LdcB, LAS superfamily"] [shortName=LdcB] [TAG=M TAGDEF="Cell wall/membrane/envelope biogenesis" PROCESS="CELLULAR PROCESSES AND SIGNALING"]  [PATHWAY=""] L-alanoyl-D-glutamate peptidase-like protein [Anoxybacillus flavithermus]</t>
  </si>
  <si>
    <t>D-alanyl-D-alanine carboxypeptidase n=3 Tax=Cellulophaga phage phiST TaxID=756282 RepID=M4SKA4_9CAUD</t>
  </si>
  <si>
    <t>DNAUV-41.618-136_8</t>
  </si>
  <si>
    <t>COG1925 [FUNC="HPr or related phosphotransfer protein"] [shortName=PtsH] [TAG=T TAGDEF="Signal transduction mechanisms" PROCESS="CELLULAR PROCESSES AND SIGNALING"] [TAG=G TAGDEF="Carbohydrate transport and metabolism" PROCESS="METABOLISM"]  [PATHWAY=""] HPr family phosphocarrier protein [Selenomonas ruminantium]</t>
  </si>
  <si>
    <t>Polynucleotide kinase n=1 Tax=Aureimonas pseudogalii TaxID=1744844 RepID=A0A7W6H2P8_9HYPH</t>
  </si>
  <si>
    <t>DNAUV-3.146-31_7</t>
  </si>
  <si>
    <t>sp|P06966|DICA_ECOLI HTH-type transcriptional regulator DicA OS=Escherichia coli (strain K12) OX=83333 GN=dicA PE=4 SV=1</t>
  </si>
  <si>
    <t>COG1974 [FUNC="SOS-response transcriptional repressor LexA (RecA-mediated autopeptidase)"] [shortName=LexA] [TAG=K TAGDEF="Transcription" PROCESS="INFORMATION STORAGE AND PROCESSING"] [TAG=T TAGDEF="Signal transduction mechanisms" PROCESS="CELLULAR PROCESSES AND SIGNALING"]  [PATHWAY=""] LexA family transcriptional repressor [Morganella morganii]</t>
  </si>
  <si>
    <t>Helix-turn-helix transcriptional regulator n=2 Tax=Rhizobium rosettiformans TaxID=1368430 RepID=A0A4V4HR92_9HYPH</t>
  </si>
  <si>
    <t>DNAUV-59.689-63_32</t>
  </si>
  <si>
    <t>COG1974 [FUNC="SOS-response transcriptional repressor LexA (RecA-mediated autopeptidase)"] [shortName=LexA] [TAG=K TAGDEF="Transcription" PROCESS="INFORMATION STORAGE AND PROCESSING"] [TAG=T TAGDEF="Signal transduction mechanisms" PROCESS="CELLULAR PROCESSES AND SIGNALING"]  [PATHWAY=""] LexA family transcriptional repressor [Pantoea gaviniae]</t>
  </si>
  <si>
    <t>VOG00002 [FUNC="sp|Q5UR40|YR559_MIMIV Uncharacterized HTH-type transcriptional regulator R559"] [TAG=Xu TAGDEF="Function unknown"]</t>
  </si>
  <si>
    <t>HTH cro/C1-type domain-containing protein n=5 Tax=unclassified Casjensviridae TaxID=2960002 RepID=G8DCP9_9CAUD</t>
  </si>
  <si>
    <t>DNAUV-20.430-24_33</t>
  </si>
  <si>
    <t>sp|Q9USU3|FBH1_SCHPO F-box DNA helicase protein 1 OS=Schizosaccharomyces pombe (strain 972 / ATCC 24843) OX=284812 GN=fbh1 PE=1 SV=2</t>
  </si>
  <si>
    <t>COG2137 [FUNC="SOS response regulatory protein OraA/RecX, interacts with RecA"] [shortName=RecX] [TAG=O TAGDEF="Posttranslational modification, protein turnover, chaperones" PROCESS="CELLULAR PROCESSES AND SIGNALING"]  [PATHWAY=""] hypothetical protein [Piscirickettsia salmonis]</t>
  </si>
  <si>
    <t>VOG02399 [FUNC="sp|Q8K2I9|FBH1_MOUSE F-box DNA helicase 1"] [TAG=Xh TAGDEF="Virus protein with function beneficial for the host"]</t>
  </si>
  <si>
    <t>DNA 3'-5' helicase n=1 Tax=Vibrio phage 1.187.O._10N.286.49.F1 TaxID=1881434 RepID=A0A2I7RIK5_9CAUD</t>
  </si>
  <si>
    <t>DNAUV-5.777-19_7</t>
  </si>
  <si>
    <t>sp|P08232|FIB37_BPOX2 Long tail fiber protein Gp37 (Fragment) OS=Enterobacteria phage Ox2 OX=10691 GN=37 PE=3 SV=1</t>
  </si>
  <si>
    <t>COG2165 [FUNC="Type II secretory pathway, pseudopilin PulG"] [shortName=PulG] [TAG=N TAGDEF="Cell motility" PROCESS="CELLULAR PROCESSES AND SIGNALING"] [TAG=U TAGDEF="Intracellular trafficking, secretion, and vesicular transport" PROCESS="CELLULAR PROCESSES AND SIGNALING"] [TAG=W TAGDEF="Extracellular structures" PROCESS="CELLULAR PROCESSES AND SIGNALING"]  [PATHWAY=""] hypothetical protein BHV42_08425 [Candidatus Melainabacteria bacterium MEL.A1]</t>
  </si>
  <si>
    <t>Putative tail fiber protein n=1 Tax=Synechococcus phage S-SRM01 TaxID=2781608 RepID=A0A879R2Z2_9CAUD</t>
  </si>
  <si>
    <t>DNAUV-11.864-30_14</t>
  </si>
  <si>
    <t>COG2165 [FUNC="Type II secretory pathway, pseudopilin PulG"] [shortName=PulG] [TAG=N TAGDEF="Cell motility" PROCESS="CELLULAR PROCESSES AND SIGNALING"] [TAG=U TAGDEF="Intracellular trafficking, secretion, and vesicular transport" PROCESS="CELLULAR PROCESSES AND SIGNALING"] [TAG=W TAGDEF="Extracellular structures" PROCESS="CELLULAR PROCESSES AND SIGNALING"]  [PATHWAY=""] putative outer membrane adhesin like protein [Candidatus Wolfebacteria bacterium GW2011_GWB1_47_1]</t>
  </si>
  <si>
    <t>LamG-like jellyroll fold domain-containing protein n=1 Tax=Gimesia alba TaxID=2527973 RepID=A0A517RAZ8_9PLAN</t>
  </si>
  <si>
    <t>23.10.P2-5.821-5.2_1</t>
  </si>
  <si>
    <t>sp|Q9HYT3|Y3311_PSEAE Uncharacterized signaling protein PA3311 OS=Pseudomonas aeruginosa (strain ATCC 15692 / DSM 22644 / CIP 104116 / JCM 14847 / LMG 12228 / 1C / PRS 101 / PAO1) OX=208964 GN=PA3311 PE=3 SV=1</t>
  </si>
  <si>
    <t>COG2199 [FUNC="GGDEF domain, diguanylate cyclase (c-di-GMP synthetase) or its enzymatically inactive variants"] [shortName=GGDEF] [TAG=T TAGDEF="Signal transduction mechanisms" PROCESS="CELLULAR PROCESSES AND SIGNALING"]  [PATHWAY=""] diguanylate cyclase [Pseudomonas putida KT2440]</t>
  </si>
  <si>
    <t>VOG05066 [FUNC="REFSEQ hypothetical protein"] [TAG=Xu TAGDEF="Function unknown"]</t>
  </si>
  <si>
    <t>Coil containing protein n=3 Tax=unclassified Caudoviricetes TaxID=2788787 RepID=A0A2I7QL11_9CAUD</t>
  </si>
  <si>
    <t>DNAUV-44.645-4509_54</t>
  </si>
  <si>
    <t>DNAUV-12.430-23_8</t>
  </si>
  <si>
    <t>COG2204 [FUNC="DNA-binding transcriptional response regulator, NtrC family, contains REC, AAA-type ATPase, and a Fis-type DNA-binding domains"] [shortName=AtoC] [TAG=T TAGDEF="Signal transduction mechanisms" PROCESS="CELLULAR PROCESSES AND SIGNALING"]  [PATHWAY=""] sigma-54-dependent Fis family transcriptional regulator [Acidovorax avenae]</t>
  </si>
  <si>
    <t>Putative sigma-54-dependent transcriptional regulator n=1 Tax=Bdellovibrio phage phi1422 TaxID=1127515 RepID=H9C0M0_9CAUD</t>
  </si>
  <si>
    <t>DNAUV-147.430-52_28</t>
  </si>
  <si>
    <t>sp|P38097|DGCE_ECOLI Probable diguanylate cyclase DgcE OS=Escherichia coli (strain K12) OX=83333 GN=dgcE PE=2 SV=2</t>
  </si>
  <si>
    <t>COG2703 [FUNC="Hemerythrin"] [shortName=] [TAG=T TAGDEF="Signal transduction mechanisms" PROCESS="CELLULAR PROCESSES AND SIGNALING"]  [PATHWAY=""] PAS domain S-box protein [Pseudodesulfovibrio aespoeensis]</t>
  </si>
  <si>
    <t>PAS domain S-box-containing protein n=1 Tax=Prosthecobacter fusiformis TaxID=48464 RepID=A0A4R7SQH7_9BACT</t>
  </si>
  <si>
    <t>11.09.P4-2.675-1.7_2</t>
  </si>
  <si>
    <t>COG2755 [FUNC="Lysophospholipase L1 or related esterase. Includes spore coat protein LipC/YcsK"] [shortName=TesA] [TAG=D TAGDEF="Cell cycle control, cell division, chromosome partitioning" PROCESS="CELLULAR PROCESSES AND SIGNALING"] [TAG=I TAGDEF="Lipid transport and metabolism" PROCESS="METABOLISM"]  [PATHWAY=""] hypothetical protein [Candidatus Kuenenia stuttgartiensis]</t>
  </si>
  <si>
    <t>LamG-like jellyroll fold domain-containing protein n=1 Tax=Synechococcus phage S-SKS1 TaxID=754042 RepID=M4QRQ0_9CAUD</t>
  </si>
  <si>
    <t>Avril.NODE_245_length_7822_cov_4.736964_6</t>
  </si>
  <si>
    <t>PKD domain-containing protein n=1 Tax=Haloarchaeobius iranensis TaxID=996166 RepID=A0A1G9YZX3_9EURY</t>
  </si>
  <si>
    <t>DNAUV-4.012-22_2</t>
  </si>
  <si>
    <t>11.09.P2-2.674-2.9_2</t>
  </si>
  <si>
    <t>COG2755 [FUNC="Lysophospholipase L1 or related esterase. Includes spore coat protein LipC/YcsK"] [shortName=TesA] [TAG=D TAGDEF="Cell cycle control, cell division, chromosome partitioning" PROCESS="CELLULAR PROCESSES AND SIGNALING"] [TAG=I TAGDEF="Lipid transport and metabolism" PROCESS="METABOLISM"]  [PATHWAY=""] hypothetical protein [Fibrella sp. ES10-3-2-2]</t>
  </si>
  <si>
    <t>LamG-like jellyroll fold domain-containing protein n=1 Tax=Fischerella major NIES-592 TaxID=210994 RepID=A0A1U7H1K7_9CYAN</t>
  </si>
  <si>
    <t>DNAUV-41.618-136_47</t>
  </si>
  <si>
    <t>sp|A0MZE7|NCTSP_BPN4 Non-contractile tail sheath OS=Enterobacteria phage N4 OX=2886925 GN=65 PE=1 SV=1</t>
  </si>
  <si>
    <t>COG2755 [FUNC="Lysophospholipase L1 or related esterase. Includes spore coat protein LipC/YcsK"] [shortName=TesA] [TAG=D TAGDEF="Cell cycle control, cell division, chromosome partitioning" PROCESS="CELLULAR PROCESSES AND SIGNALING"] [TAG=I TAGDEF="Lipid transport and metabolism" PROCESS="METABOLISM"]  [PATHWAY=""] hypothetical protein [Indioceanicola profundi]</t>
  </si>
  <si>
    <t>VOG17197 [FUNC="sp|A0MZE7|NCTSP_BPN4 Non-contractile tail sheath"] [TAG=Xp TAGDEF="Virus protein with function beneficial for the virus"]</t>
  </si>
  <si>
    <t>Sialate O-acetylesterase domain-containing protein n=1 Tax=Micavibrio sp. TMED27 TaxID=1986607 RepID=A0A1Z8PXZ5_9BACT</t>
  </si>
  <si>
    <t>Mai.NODE_550_length_3579_cov_3.989501_2</t>
  </si>
  <si>
    <t>sp|Q8L9J9|CAES_ARATH Probable carbohydrate esterase At4g34215 OS=Arabidopsis thaliana OX=3702 GN=At4g34215 PE=1 SV=2</t>
  </si>
  <si>
    <t>COG2755 [FUNC="Lysophospholipase L1 or related esterase. Includes spore coat protein LipC/YcsK"] [shortName=TesA] [TAG=D TAGDEF="Cell cycle control, cell division, chromosome partitioning" PROCESS="CELLULAR PROCESSES AND SIGNALING"] [TAG=I TAGDEF="Lipid transport and metabolism" PROCESS="METABOLISM"]  [PATHWAY=""] hypothetical protein [Sphingobacterium sp. 21]</t>
  </si>
  <si>
    <t>Sialate O-acetylesterase domain-containing protein n=1 Tax=Tropicimonas isoalkanivorans TaxID=441112 RepID=A0A1I1JC46_9RHOB</t>
  </si>
  <si>
    <t>DNAUV-2.683-16_3</t>
  </si>
  <si>
    <t>VOG00117 [FUNC="REFSEQ tail protein"] [TAG=Xu TAGDEF="Function unknown"]</t>
  </si>
  <si>
    <t>Uncharacterized protein n=1 Tax=Nonlabens phage P12024L TaxID=1168479 RepID=I6S6R9_9CAUD</t>
  </si>
  <si>
    <t>Oct.NODE_1690_length_2223_cov_9.258764_1</t>
  </si>
  <si>
    <t>Peptidase S74 domain-containing protein n=1 Tax=Aquimarina sp. MMG016 TaxID=2822690 RepID=A0A941CA01_9FLAO</t>
  </si>
  <si>
    <t>DNAUV-24.553-87_19</t>
  </si>
  <si>
    <t>COG2755 [FUNC="Lysophospholipase L1 or related esterase. Includes spore coat protein LipC/YcsK"] [shortName=TesA] [TAG=D TAGDEF="Cell cycle control, cell division, chromosome partitioning" PROCESS="CELLULAR PROCESSES AND SIGNALING"] [TAG=I TAGDEF="Lipid transport and metabolism" PROCESS="METABOLISM"]  [PATHWAY=""] SGNH/GDSL hydrolase family protein [[Eubacterium] rectale]</t>
  </si>
  <si>
    <t>SGNH/GDSL hydrolase family protein n=1 Tax=Bacillus sp. AFS029533 TaxID=2033494 RepID=A0A9X7DNB4_9BACI</t>
  </si>
  <si>
    <t>DNAUV-42.404-84_104</t>
  </si>
  <si>
    <t>COG2755 [FUNC="Lysophospholipase L1 or related esterase. Includes spore coat protein LipC/YcsK"] [shortName=TesA] [TAG=D TAGDEF="Cell cycle control, cell division, chromosome partitioning" PROCESS="CELLULAR PROCESSES AND SIGNALING"] [TAG=I TAGDEF="Lipid transport and metabolism" PROCESS="METABOLISM"]  [PATHWAY=""] SGNH/GDSL hydrolase family protein [Fuerstia marisgermanicae]</t>
  </si>
  <si>
    <t>SGNH hydrolase-type esterase domain-containing protein n=1 Tax=Sphingomonas sp. SRS2 TaxID=133190 RepID=A0A0F5P8A1_9SPHN</t>
  </si>
  <si>
    <t>DNAUV-44.091-1296_69</t>
  </si>
  <si>
    <t>COG2755 [FUNC="Lysophospholipase L1 or related esterase. Includes spore coat protein LipC/YcsK"] [shortName=TesA] [TAG=D TAGDEF="Cell cycle control, cell division, chromosome partitioning" PROCESS="CELLULAR PROCESSES AND SIGNALING"] [TAG=I TAGDEF="Lipid transport and metabolism" PROCESS="METABOLISM"]  [PATHWAY=""] SGNH/GDSL hydrolase family protein [Neorhizobium galegae]</t>
  </si>
  <si>
    <t>VOG01658 [FUNC="REFSEQ lipase"] [TAG=Xu TAGDEF="Function unknown"]</t>
  </si>
  <si>
    <t>Lysophospholipase L1 n=1 Tax=Pseudomonas alcaligenes TaxID=43263 RepID=A0A1N6NCF4_PSEAC</t>
  </si>
  <si>
    <t>Oct.NODE_12_length_43814_cov_20.924267_35</t>
  </si>
  <si>
    <t>DNAUV-6.369-49_11</t>
  </si>
  <si>
    <t>COG2849 [FUNC="Antitoxin component YwqK of the YwqJK toxin-antitoxin module"] [shortName=YwqK] [TAG=V TAGDEF="Defense mechanisms" PROCESS="CELLULAR PROCESSES AND SIGNALING"]  [PATHWAY=""] hypothetical protein [Caldicellulosiruptor saccharolyticus]</t>
  </si>
  <si>
    <t>Uncharacterized protein n=1 Tax=Celeribacter phage P12053L TaxID=1197951 RepID=I6R9J2_9CAUD</t>
  </si>
  <si>
    <t>DNAUV-37.297-108_1</t>
  </si>
  <si>
    <t>MORN repeat protein n=2 Tax=Psychroflexus TaxID=83612 RepID=K4IUM1_PSYTT</t>
  </si>
  <si>
    <t>DNAUV-37.297-108_8</t>
  </si>
  <si>
    <t>DNAUV-64.562-41_89</t>
  </si>
  <si>
    <t>Uncharacterized protein n=1 Tax=Curvibacter symbiont subsp. Hydra magnipapillata TaxID=667019 RepID=C9Y6R2_CURXX</t>
  </si>
  <si>
    <t>Mai.NODE_961_length_2372_cov_3.748813_4</t>
  </si>
  <si>
    <t>COG2849 [FUNC="Antitoxin component YwqK of the YwqJK toxin-antitoxin module"] [shortName=YwqK] [TAG=V TAGDEF="Defense mechanisms" PROCESS="CELLULAR PROCESSES AND SIGNALING"]  [PATHWAY=""] toxin-antitoxin system YwqK family antitoxin [Salinivirga cyanobacteriivorans]</t>
  </si>
  <si>
    <t>Toxin-antitoxin system YwqK family antitoxin n=1 Tax=Putridiphycobacter roseus TaxID=2219161 RepID=A0A2W1NG71_9FLAO</t>
  </si>
  <si>
    <t>11.09.P4-24.849-9.8_20</t>
  </si>
  <si>
    <t>sp|O05074|HLDE_HAEIN Bifunctional protein HldE OS=Haemophilus influenzae (strain ATCC 51907 / DSM 11121 / KW20 / Rd) OX=71421 GN=hldE PE=3 SV=1</t>
  </si>
  <si>
    <t>COG2870 [FUNC="ADP-heptose synthase, bifunctional sugar kinase/adenylyltransferase"] [shortName=RfaE] [TAG=M TAGDEF="Cell wall/membrane/envelope biogenesis" PROCESS="CELLULAR PROCESSES AND SIGNALING"]  [PATHWAY=""] bifunctional D-glycero-beta-D-manno-heptose-7-phosphate kinase/D-glycero-beta-D-manno-heptose 1-phosphate adenylyltransferase HldE [Agarilytica rhodophyticola]</t>
  </si>
  <si>
    <t>VOG32902 [FUNC="sp|A6Q4Z6|HLDE_NITSB Bifunctional protein HldE"] [TAG=Xh TAGDEF="Virus protein with function beneficial for the host"]</t>
  </si>
  <si>
    <t>Bifunctional protein HldE n=2 Tax=Ignatzschineria sp. F8392 TaxID=1980117 RepID=A0A256CRQ4_9GAMM</t>
  </si>
  <si>
    <t>DNAUV-10.612-16_8</t>
  </si>
  <si>
    <t>COG2870 [FUNC="ADP-heptose synthase, bifunctional sugar kinase/adenylyltransferase"] [shortName=RfaE] [TAG=M TAGDEF="Cell wall/membrane/envelope biogenesis" PROCESS="CELLULAR PROCESSES AND SIGNALING"]  [PATHWAY=""] cytidyltransferase [Belliella baltica]</t>
  </si>
  <si>
    <t>05.07.P4-8.202-8.6_18</t>
  </si>
  <si>
    <t>sp|Q0BUU1|HLDE_GRABC Bifunctional protein HldE OS=Granulibacter bethesdensis (strain ATCC BAA-1260 / CGDNIH1) OX=391165 GN=hldE PE=3 SV=1</t>
  </si>
  <si>
    <t>COG2870 [FUNC="ADP-heptose synthase, bifunctional sugar kinase/adenylyltransferase"] [shortName=RfaE] [TAG=M TAGDEF="Cell wall/membrane/envelope biogenesis" PROCESS="CELLULAR PROCESSES AND SIGNALING"]  [PATHWAY=""] cytidylyltransferase [Polaribacter sp. MED152]</t>
  </si>
  <si>
    <t>Glycerol-3-phosphate cytidylyltransferase n=1 Tax=Vibrio phage Va1 TaxID=2508852 RepID=A0A410T661_9CAUD</t>
  </si>
  <si>
    <t>DNAUV-10.612-16_11</t>
  </si>
  <si>
    <t>COG2870 [FUNC="ADP-heptose synthase, bifunctional sugar kinase/adenylyltransferase"] [shortName=RfaE] [TAG=M TAGDEF="Cell wall/membrane/envelope biogenesis" PROCESS="CELLULAR PROCESSES AND SIGNALING"]  [PATHWAY=""] glycerol-3-phosphate cytidylyltransferase [Cloacibacterium normanense]</t>
  </si>
  <si>
    <t>Glycerol-3-phosphate cytidylyltransferase n=1 Tax=Phycisphaera sp. TMED151 TaxID=1986610 RepID=A0A1Z9H7Z8_9BACT</t>
  </si>
  <si>
    <t>DNAUV-24.214-21_31</t>
  </si>
  <si>
    <t>Cytidyltransferase-related domain protein n=1 Tax=Weeksella virosa (strain ATCC 43766 / DSM 16922 / JCM 21250 / CCUG 30538 / CDC 9751 / IAM 14551 / NBRC 16016 / NCTC 11634 / CL345/78) TaxID=865938 RepID=F0P1W4_WEEVC</t>
  </si>
  <si>
    <t>DNAUV-6.502-63_6</t>
  </si>
  <si>
    <t>sp|Q219E2|HLDE_RHOPB Bifunctional protein HldE OS=Rhodopseudomonas palustris (strain BisB18) OX=316056 GN=hldE PE=3 SV=1</t>
  </si>
  <si>
    <t>DNAUV-24.776-121_29</t>
  </si>
  <si>
    <t>sp|Q2W993|HLDE_MAGSA Bifunctional protein HldE OS=Magnetospirillum magneticum (strain AMB-1 / ATCC 700264) OX=342108 GN=hldE PE=3 SV=1</t>
  </si>
  <si>
    <t>COG2870 [FUNC="ADP-heptose synthase, bifunctional sugar kinase/adenylyltransferase"] [shortName=RfaE] [TAG=M TAGDEF="Cell wall/membrane/envelope biogenesis" PROCESS="CELLULAR PROCESSES AND SIGNALING"]  [PATHWAY=""] MULTISPECIES: glycerol-3-phosphate cytidylyltransferase [Myroides]</t>
  </si>
  <si>
    <t>Glycerol-3-phosphate cytidylyltransferase n=2 Tax=Tenacibaculum caenipelagi TaxID=1325435 RepID=A0A4V3D2X1_9FLAO</t>
  </si>
  <si>
    <t>DNAUV-3.229-25_7</t>
  </si>
  <si>
    <t>COG2885 [FUNC="Outer membrane protein OmpA and related peptidoglycan-associated (lipo)proteins"] [shortName=OmpA] [TAG=M TAGDEF="Cell wall/membrane/envelope biogenesis" PROCESS="CELLULAR PROCESSES AND SIGNALING"]  [PATHWAY=""] hypothetical protein [Rhodoluna lacicola]</t>
  </si>
  <si>
    <t>PE-PGRS family protein n=1 Tax=Aphanizomenon flos-aquae WA102 TaxID=1710896 RepID=A0A1B7WYY0_APHFL</t>
  </si>
  <si>
    <t>05.07.P3-8.137-13_11</t>
  </si>
  <si>
    <t>sp|B7VGZ3|LPXH_VIBA3 UDP-2,3-diacylglucosamine hydrolase OS=Vibrio atlanticus (strain LGP32) OX=575788 GN=lpxH PE=3 SV=1</t>
  </si>
  <si>
    <t>COG2908 [FUNC="UDP-2,3-diacylglucosamine pyrophosphatase LpxH"] [shortName=LpxH] [TAG=M TAGDEF="Cell wall/membrane/envelope biogenesis" PROCESS="CELLULAR PROCESSES AND SIGNALING"]  [PATHWAY=""] UDP-2,3-diacylglucosamine diphosphatase [Hirschia baltica]</t>
  </si>
  <si>
    <t>Calcineurin-like phosphoesterase domain-containing protein n=1 Tax=Hyphomonas beringensis TaxID=1280946 RepID=A0A062TZA2_9PROT</t>
  </si>
  <si>
    <t>DNAUV-2.433-9.6_3</t>
  </si>
  <si>
    <t>sp|Q196Y2|VF244_IIV3 Putative phosphoesterase 078R OS=Invertebrate iridescent virus 3 OX=345201 GN=IIV3-078R PE=3 SV=1</t>
  </si>
  <si>
    <t>COG2908 [FUNC="UDP-2,3-diacylglucosamine pyrophosphatase LpxH"] [shortName=LpxH] [TAG=M TAGDEF="Cell wall/membrane/envelope biogenesis" PROCESS="CELLULAR PROCESSES AND SIGNALING"]  [PATHWAY=""] UDP-2,3-diacylglucosamine diphosphatase [Niastella koreensis]</t>
  </si>
  <si>
    <t>Putative DNA double strand break repair n=1 Tax=Myoviridae sp. ctgsk7 TaxID=2825151 RepID=A0A8S5PY53_9CAUD</t>
  </si>
  <si>
    <t>DNAUV-20.101-21_17</t>
  </si>
  <si>
    <t>sp|P04521|EXO1_BPT4 Exonuclease subunit 1 OS=Enterobacteria phage T4 OX=10665 GN=47 PE=1 SV=1</t>
  </si>
  <si>
    <t>COG2908 [FUNC="UDP-2,3-diacylglucosamine pyrophosphatase LpxH"] [shortName=LpxH] [TAG=M TAGDEF="Cell wall/membrane/envelope biogenesis" PROCESS="CELLULAR PROCESSES AND SIGNALING"]  [PATHWAY=""] UDP-2,3-diacylglucosamine diphosphatase [Pseudoflavitalea sp. 5GH32-13]</t>
  </si>
  <si>
    <t>DNAUV-43.492-339_70</t>
  </si>
  <si>
    <t>COG2951 [FUNC="Membrane-bound lytic murein transglycosylase B"] [shortName=MltB] [TAG=M TAGDEF="Cell wall/membrane/envelope biogenesis" PROCESS="CELLULAR PROCESSES AND SIGNALING"]  [PATHWAY=""] hypothetical protein [Novibacillus thermophilus]</t>
  </si>
  <si>
    <t>Oct.NODE_648_length_4186_cov_3.942871_2</t>
  </si>
  <si>
    <t>COG2976 [FUNC="Putative negative regulator of RcsB-dependent stress response, UPF0070 family"] [shortName=YfgM] [TAG=T TAGDEF="Signal transduction mechanisms" PROCESS="CELLULAR PROCESSES AND SIGNALING"]  [PATHWAY=""] hypothetical protein [Pelagibaca abyssi]</t>
  </si>
  <si>
    <t>Protein Gp5 N-terminal OB-fold domain-containing protein n=1 Tax=Lake Baikal phage Baikal-20-5m-C28 TaxID=2047876 RepID=A0A2H4N7G8_9CAUD</t>
  </si>
  <si>
    <t>17.05.P3-9.502-32_6</t>
  </si>
  <si>
    <t>sp|P82973|AMPD_ENTCL 1,6-anhydro-N-acetylmuramyl-L-alanine amidase AmpD OS=Enterobacter cloacae OX=550 GN=ampD PE=3 SV=1</t>
  </si>
  <si>
    <t>COG3023 [FUNC="N-acetyl-anhydromuramyl-L-alanine amidase AmpD"] [shortName=AmpD] [TAG=M TAGDEF="Cell wall/membrane/envelope biogenesis" PROCESS="CELLULAR PROCESSES AND SIGNALING"]  [PATHWAY=""] 1,6-anhydro-N-acetylmuramyl-L-alanine amidase AmpD [Paenalcaligenes hominis]</t>
  </si>
  <si>
    <t>N-acetylmuramoyl-L-alanine amidase domain-containing protein n=1 Tax=Reichenbachiella sp. 5M10 TaxID=1889772 RepID=A0A2G5L0I6_9BACT</t>
  </si>
  <si>
    <t>DNAUV-100.032-102_89</t>
  </si>
  <si>
    <t>Avril.NODE_9_length_46600_cov_10.230895_29</t>
  </si>
  <si>
    <t>sp|P75820|AMID_ECOLI N-acetylmuramoyl-L-alanine amidase AmiD OS=Escherichia coli (strain K12) OX=83333 GN=amiD PE=1 SV=1</t>
  </si>
  <si>
    <t>COG3023 [FUNC="N-acetyl-anhydromuramyl-L-alanine amidase AmpD"] [shortName=AmpD] [TAG=M TAGDEF="Cell wall/membrane/envelope biogenesis" PROCESS="CELLULAR PROCESSES AND SIGNALING"]  [PATHWAY=""] amidase [Martelella mediterranea]</t>
  </si>
  <si>
    <t>VOG22551 [FUNC="REFSEQ amidase"] [TAG=Xu TAGDEF="Function unknown"]</t>
  </si>
  <si>
    <t>N-acetylmuramoyl-L-alanine amidase n=1 Tax=Phaeobacter phage MD18 TaxID=2723761 RepID=A0A6H1Z6J9_9CAUD</t>
  </si>
  <si>
    <t>DNAUV-5.551-98_8</t>
  </si>
  <si>
    <t>sp|P13016|AMPD_ECOLI 1,6-anhydro-N-acetylmuramyl-L-alanine amidase AmpD OS=Escherichia coli (strain K12) OX=83333 GN=ampD PE=1 SV=1</t>
  </si>
  <si>
    <t>1,6-anhydro-N-acetylmuramyl-L-alanine amidase n=1 Tax=Bacteriophage DSS3_MAL1 TaxID=2664194 RepID=A0A7S5FXN6_9CAUD</t>
  </si>
  <si>
    <t>23.10.P4-4.559-1.9_2</t>
  </si>
  <si>
    <t>COG3023 [FUNC="N-acetyl-anhydromuramyl-L-alanine amidase AmpD"] [shortName=AmpD] [TAG=M TAGDEF="Cell wall/membrane/envelope biogenesis" PROCESS="CELLULAR PROCESSES AND SIGNALING"]  [PATHWAY=""] hypothetical protein [Sandaracinus amylolyticus]</t>
  </si>
  <si>
    <t>GON domain-containing protein n=2 Tax=Sorangium cellulosum TaxID=56 RepID=A9GA18_SORC5</t>
  </si>
  <si>
    <t>DNAUV-23.323-23_76</t>
  </si>
  <si>
    <t>sp|P20331|ENLYS_BPT3 Endolysin OS=Enterobacteria phage T3 OX=10759 GN=3.5 PE=3 SV=3</t>
  </si>
  <si>
    <t>COG3023 [FUNC="N-acetyl-anhydromuramyl-L-alanine amidase AmpD"] [shortName=AmpD] [TAG=M TAGDEF="Cell wall/membrane/envelope biogenesis" PROCESS="CELLULAR PROCESSES AND SIGNALING"]  [PATHWAY=""] hypothetical protein [Thiobacimonas profunda]</t>
  </si>
  <si>
    <t>Uncharacterized protein gp7 n=1 Tax=EBPR siphovirus 4 TaxID=1048523 RepID=F8TVB6_9CAUD</t>
  </si>
  <si>
    <t>DNAUV-35.210-45_127</t>
  </si>
  <si>
    <t>sp|Q3ZFI3|ENLYS_BPK11 Endolysin OS=Enterobacteria phage K11 OX=10766 PE=1 SV=1</t>
  </si>
  <si>
    <t>N-acetylmuramoyl-L-alanine amidase n=1 Tax=Pseudosulfitobacter pseudonitzschiae TaxID=1402135 RepID=A0A9Q2N2B6_9RHOB</t>
  </si>
  <si>
    <t>DNAUV-43.228-64_5</t>
  </si>
  <si>
    <t>N-acetylmuramoyl-L-alanine amidase n=1 Tax=Fuscibacter oryzae TaxID=2803939 RepID=A0A8J7SU77_9RHOB</t>
  </si>
  <si>
    <t>DNAUV-6.177-18_9</t>
  </si>
  <si>
    <t>sp|P00806|ENLYS_BPT7 Endolysin OS=Escherichia phage T7 OX=10760 GN=3.5 PE=1 SV=4</t>
  </si>
  <si>
    <t>N-acetylmuramoyl-L-alanine amidase n=1 Tax=Salipiger profundus TaxID=1229727 RepID=A0A1U7D0T0_9RHOB</t>
  </si>
  <si>
    <t>Sept.NODE_497_length_3709_cov_9.777504_5</t>
  </si>
  <si>
    <t>N-acetylmuramoyl-L-alanine amidase n=1 Tax=Salipiger thiooxidans TaxID=282683 RepID=A0A1G7HDM8_9RHOB</t>
  </si>
  <si>
    <t>DNAUV-2.070-7.2_1</t>
  </si>
  <si>
    <t>sp|D1L2U8|ENLYS_BPK32 Endolysin OS=Klebsiella phage KP32 OX=674082 GN=15 PE=1 SV=1</t>
  </si>
  <si>
    <t>COG3023 [FUNC="N-acetyl-anhydromuramyl-L-alanine amidase AmpD"] [shortName=AmpD] [TAG=M TAGDEF="Cell wall/membrane/envelope biogenesis" PROCESS="CELLULAR PROCESSES AND SIGNALING"]  [PATHWAY=""] lysozyme [Hahella chejuensis]</t>
  </si>
  <si>
    <t>Endolysin n=1 Tax=Aeromonas phage JELG-KS1 TaxID=2951233 RepID=A0A9E7NM18_9CAUD</t>
  </si>
  <si>
    <t>DNAUV-3.931-273_1</t>
  </si>
  <si>
    <t>Putative lysozyme protein n=1 Tax=Rhizobium phage RHEph01 TaxID=1220601 RepID=L7TML5_9CAUD</t>
  </si>
  <si>
    <t>DNAUV-43.274-68_132</t>
  </si>
  <si>
    <t>Lysozyme n=1 Tax=Minwuia thermotolerans TaxID=2056226 RepID=A0A2M9G0S0_9PROT</t>
  </si>
  <si>
    <t>Oct.NODE_1158_length_2858_cov_3.826258_3</t>
  </si>
  <si>
    <t>DNAUV-14.753-15_10</t>
  </si>
  <si>
    <t>COG3023 [FUNC="N-acetyl-anhydromuramyl-L-alanine amidase AmpD"] [shortName=AmpD] [TAG=M TAGDEF="Cell wall/membrane/envelope biogenesis" PROCESS="CELLULAR PROCESSES AND SIGNALING"]  [PATHWAY=""] lysozyme [Odoribacter splanchnicus]</t>
  </si>
  <si>
    <t>Endolysin n=1 Tax=Escherichia phage P1723 TaxID=2736274 RepID=A0A6M9QBN7_9CAUD</t>
  </si>
  <si>
    <t>DNAUV-33.599-56_17</t>
  </si>
  <si>
    <t>COG3023 [FUNC="N-acetyl-anhydromuramyl-L-alanine amidase AmpD"] [shortName=AmpD] [TAG=M TAGDEF="Cell wall/membrane/envelope biogenesis" PROCESS="CELLULAR PROCESSES AND SIGNALING"]  [PATHWAY=""] N-acetylmuramoyl-L-alanine amidase [[Haemophilus] ducreyi]</t>
  </si>
  <si>
    <t>N-acetylmuramoyl-L-alanine amidase n=1 Tax=Haemophilus parainfluenzae TaxID=729 RepID=A0A369YID9_HAEPA</t>
  </si>
  <si>
    <t>Oct.NODE_1068_length_2991_cov_14.101499_1</t>
  </si>
  <si>
    <t>COG3023 [FUNC="N-acetyl-anhydromuramyl-L-alanine amidase AmpD"] [shortName=AmpD] [TAG=M TAGDEF="Cell wall/membrane/envelope biogenesis" PROCESS="CELLULAR PROCESSES AND SIGNALING"]  [PATHWAY=""] N-acetylmuramoyl-L-alanine amidase [Bacteroides thetaiotaomicron VPI-5482]</t>
  </si>
  <si>
    <t>N-acetylmuramoyl-L-alanine amidase n=1 Tax=Bacteroides sp. An279 TaxID=1965620 RepID=A0A1Y4D178_9BACE</t>
  </si>
  <si>
    <t>DNAUV-152.980-60_28</t>
  </si>
  <si>
    <t>COG3023 [FUNC="N-acetyl-anhydromuramyl-L-alanine amidase AmpD"] [shortName=AmpD] [TAG=M TAGDEF="Cell wall/membrane/envelope biogenesis" PROCESS="CELLULAR PROCESSES AND SIGNALING"]  [PATHWAY=""] N-acetylmuramoyl-L-alanine amidase [Beggiatoa leptomitoformis]</t>
  </si>
  <si>
    <t>N-acetylmuramoyl-L-alanine amidase n=1 Tax=Pelagibius litoralis TaxID=374515 RepID=A0A967C982_9HYPH</t>
  </si>
  <si>
    <t>DNAUV-147.430-52_155</t>
  </si>
  <si>
    <t>sp|P44624|AMPD_HAEIN 1,6-anhydro-N-acetylmuramyl-L-alanine amidase AmpD OS=Haemophilus influenzae (strain ATCC 51907 / DSM 11121 / KW20 / Rd) OX=71421 GN=ampD PE=3 SV=1</t>
  </si>
  <si>
    <t>COG3023 [FUNC="N-acetyl-anhydromuramyl-L-alanine amidase AmpD"] [shortName=AmpD] [TAG=M TAGDEF="Cell wall/membrane/envelope biogenesis" PROCESS="CELLULAR PROCESSES AND SIGNALING"]  [PATHWAY=""] N-acetylmuramoyl-L-alanine amidase [Candidatus Cyclonatronum proteinivorum]</t>
  </si>
  <si>
    <t>N-acetylmuramyl-L-alanine amidase n=1 Tax=Vibrio sp. PID23_8 TaxID=1583767 RepID=A0A3A2I778_9VIBR</t>
  </si>
  <si>
    <t>11.09.P2-8.389-15_7</t>
  </si>
  <si>
    <t>COG3023 [FUNC="N-acetyl-anhydromuramyl-L-alanine amidase AmpD"] [shortName=AmpD] [TAG=M TAGDEF="Cell wall/membrane/envelope biogenesis" PROCESS="CELLULAR PROCESSES AND SIGNALING"]  [PATHWAY=""] N-acetylmuramoyl-L-alanine amidase [Prevotella ruminicola]</t>
  </si>
  <si>
    <t>N-acetylmuramoyl-L-alanine amidase n=1 Tax=Prevotella stercorea TaxID=363265 RepID=A0A3R6FER0_9BACT</t>
  </si>
  <si>
    <t>DNAUV-36.652-126_6</t>
  </si>
  <si>
    <t>COG3023 [FUNC="N-acetyl-anhydromuramyl-L-alanine amidase AmpD"] [shortName=AmpD] [TAG=M TAGDEF="Cell wall/membrane/envelope biogenesis" PROCESS="CELLULAR PROCESSES AND SIGNALING"]  [PATHWAY=""] N-acetylmuramoyl-L-alanine amidase [Selenomonas ruminantium]</t>
  </si>
  <si>
    <t>N-acetylmuramoyl-L-alanine amidase n=1 Tax=Pseudosulfitobacter pseudonitzschiae TaxID=1402135 RepID=A0A9Q2NYZ1_9RHOB</t>
  </si>
  <si>
    <t>Sept.NODE_77_length_16458_cov_100.393830_15</t>
  </si>
  <si>
    <t>COG3023 [FUNC="N-acetyl-anhydromuramyl-L-alanine amidase AmpD"] [shortName=AmpD] [TAG=M TAGDEF="Cell wall/membrane/envelope biogenesis" PROCESS="CELLULAR PROCESSES AND SIGNALING"]  [PATHWAY=""] N-acetylmuramoyl-L-alanine amidase [Thiobacimonas profunda]</t>
  </si>
  <si>
    <t>N-acetyl-anhydromuramyl-L-alanine amidase AmpD n=1 Tax=Nocardioides soli TaxID=1036020 RepID=A0A7W4VY45_9ACTN</t>
  </si>
  <si>
    <t>DNAUV-159.889-409_8</t>
  </si>
  <si>
    <t>COG3023 [FUNC="N-acetyl-anhydromuramyl-L-alanine amidase AmpD"] [shortName=AmpD] [TAG=M TAGDEF="Cell wall/membrane/envelope biogenesis" PROCESS="CELLULAR PROCESSES AND SIGNALING"]  [PATHWAY=""] N-acetylmuramyl-L-alanine amidase negative regulator of AmpC AmpD [Chloroherpeton thalassium]</t>
  </si>
  <si>
    <t>Putative N-acetylmuramoyl-L-alanine amidase n=1 Tax=Sinorhizobium phage phiM9 TaxID=1636182 RepID=A0A0F6R5Z1_9CAUD</t>
  </si>
  <si>
    <t>DNAUV-34.723-630_6</t>
  </si>
  <si>
    <t>COG3023 [FUNC="N-acetyl-anhydromuramyl-L-alanine amidase AmpD"] [shortName=AmpD] [TAG=M TAGDEF="Cell wall/membrane/envelope biogenesis" PROCESS="CELLULAR PROCESSES AND SIGNALING"]  [PATHWAY=""] Negative regulator of beta-lactamase expression [Phaeobacter gallaeciensis]</t>
  </si>
  <si>
    <t>Uncharacterized protein n=1 Tax=Phaeobacter gallaeciensis DSM 26640 TaxID=1423144 RepID=V9WLK9_9RHOB</t>
  </si>
  <si>
    <t>Oct.NODE_666_length_4131_cov_12.314524_5</t>
  </si>
  <si>
    <t>COG3061 [FUNC="Cell division protein YtfB/OapA (opacity-associated protein A)"] [shortName=OapA] [TAG=D TAGDEF="Cell cycle control, cell division, chromosome partitioning" PROCESS="CELLULAR PROCESSES AND SIGNALING"]  [PATHWAY=""] MULTISPECIES: murein DD-endopeptidase MepM [Pantoea]</t>
  </si>
  <si>
    <t>11.09.P4-24.849-9.8_12</t>
  </si>
  <si>
    <t>COG3063 [FUNC="Type IV pilus assembly protein PilF/PilW"] [shortName=PilF] [TAG=N TAGDEF="Cell motility" PROCESS="CELLULAR PROCESSES AND SIGNALING"] [TAG=W TAGDEF="Extracellular structures" PROCESS="CELLULAR PROCESSES AND SIGNALING"]  [PATHWAY=""] glycosyl transferase [Desulfosporosinus orientis]</t>
  </si>
  <si>
    <t>Glycosyltransferase n=2 Tax=Lacinutrix sp. Bg11-31 TaxID=2057808 RepID=A0A2K8XCI8_9FLAO</t>
  </si>
  <si>
    <t>11.09.P4-24.849-9.8_26</t>
  </si>
  <si>
    <t>sp|P21296|FLBA_CAUVC Protein FlbA OS=Caulobacter vibrioides (strain ATCC 19089 / CB15) OX=190650 GN=flbA PE=4 SV=2</t>
  </si>
  <si>
    <t>Probable UDP-N-acetylglucosamine--peptide N-acetylglucosaminyltransferase SPINDLY n=1 Tax=Xenococcus sp. PCC 7305 TaxID=102125 RepID=L8LUL8_9CYAN</t>
  </si>
  <si>
    <t>DNAUV-23.723-492_29</t>
  </si>
  <si>
    <t>COG3064 [FUNC="Membrane protein TolA involved in colicin uptake"] [shortName=TolA] [TAG=M TAGDEF="Cell wall/membrane/envelope biogenesis" PROCESS="CELLULAR PROCESSES AND SIGNALING"]  [PATHWAY=""] hypothetical protein [Hyphomicrobium sp. MC1]</t>
  </si>
  <si>
    <t>VOG25506 [FUNC="REFSEQ D-alanyl-D-alanine carboxypeptidase"] [TAG=Xu TAGDEF="Function unknown"]</t>
  </si>
  <si>
    <t>Peptidase M15C domain-containing protein n=1 Tax=Xanthomarina gelatinilytica TaxID=1137281 RepID=A0A3D6BU19_9FLAO</t>
  </si>
  <si>
    <t>Avril.NODE_590_length_4063_cov_7.149202_2</t>
  </si>
  <si>
    <t>sp|Q9ZEE0|THIO_RICPR Thioredoxin OS=Rickettsia prowazekii (strain Madrid E) OX=272947 GN=trxA PE=1 SV=2</t>
  </si>
  <si>
    <t>COG3118 [FUNC="Chaperedoxin CnoX, contains thioredoxin-like and TPR-like domains, YbbN/TrxSC family"] [shortName=CnoX] [TAG=O TAGDEF="Posttranslational modification, protein turnover, chaperones" PROCESS="CELLULAR PROCESSES AND SIGNALING"]  [PATHWAY=""] MULTISPECIES: thioredoxin [Yangia]</t>
  </si>
  <si>
    <t>Putative host-like protein n=1 Tax=Dinoroseobacter phage DFL12phi1 TaxID=1477404 RepID=A0A023NHA9_9CAUD</t>
  </si>
  <si>
    <t>DNAUV-73.172-54_69</t>
  </si>
  <si>
    <t>COG3118 [FUNC="Chaperedoxin CnoX, contains thioredoxin-like and TPR-like domains, YbbN/TrxSC family"] [shortName=CnoX] [TAG=O TAGDEF="Posttranslational modification, protein turnover, chaperones" PROCESS="CELLULAR PROCESSES AND SIGNALING"]  [PATHWAY=""] thioredoxin [Sedimentitalea sp. W43]</t>
  </si>
  <si>
    <t>Sept.NODE_842_length_2605_cov_5.732941_3</t>
  </si>
  <si>
    <t>sp|Q64739|COBA2_MOUSE Collagen alpha-2(XI) chain OS=Mus musculus OX=10090 GN=Col11a2 PE=2 SV=3</t>
  </si>
  <si>
    <t>COG3157 [FUNC="Type VI protein secretion system component Hcp (secreted cytotoxin)"] [shortName=Hcp] [TAG=U TAGDEF="Intracellular trafficking, secretion, and vesicular transport" PROCESS="CELLULAR PROCESSES AND SIGNALING"]  [PATHWAY=""] hypothetical protein [Arcticibacterium luteifluviistationis]</t>
  </si>
  <si>
    <t>VOG00059 [FUNC="sp|Q5UQ13|COLL2_MIMIV Collagen-like protein 2"] [TAG=Xh TAGDEF="Virus protein with function beneficial for the host"]</t>
  </si>
  <si>
    <t>Collagen domain containing protein n=1 Tax=Trichuris trichiura TaxID=36087 RepID=A0A077Z7P5_TRITR</t>
  </si>
  <si>
    <t>Avril.NODE_315_length_6512_cov_5.134583_6</t>
  </si>
  <si>
    <t>COG3170 [FUNC="Type IV pilus assembly protein FimV"] [shortName=FimV] [TAG=N TAGDEF="Cell motility" PROCESS="CELLULAR PROCESSES AND SIGNALING"] [TAG=W TAGDEF="Extracellular structures" PROCESS="CELLULAR PROCESSES AND SIGNALING"]  [PATHWAY=""] hypothetical protein [Herminiimonas arsenicoxydans]</t>
  </si>
  <si>
    <t>Large polyvalent protein associated domain-containing protein n=1 Tax=Bordetella parapertussis (strain Bpp5) TaxID=1208660 RepID=K0M8S1_BORPB</t>
  </si>
  <si>
    <t>DNAUV-2.054-13_1</t>
  </si>
  <si>
    <t>VOG03449 [FUNC="REFSEQ LPD5 domain-containing protein"] [TAG=Xu TAGDEF="Function unknown"]</t>
  </si>
  <si>
    <t>Large polyvalent protein-associated domain-containing protein n=1 Tax=Sphingobium phenoxybenzoativorans TaxID=1592790 RepID=A0A975K4P4_9SPHN</t>
  </si>
  <si>
    <t>Mai.NODE_1189_length_2052_cov_2.582374_1</t>
  </si>
  <si>
    <t>DNAUV-21.362-14_24</t>
  </si>
  <si>
    <t>COG3183 [FUNC="Predicted restriction endonuclease, HNH family"] [shortName=] [TAG=V TAGDEF="Defense mechanisms" PROCESS="CELLULAR PROCESSES AND SIGNALING"]  [PATHWAY=""] HNH endonuclease [Denitrovibrio acetiphilus]</t>
  </si>
  <si>
    <t>VOG02175 [FUNC="REFSEQ HNH endonuclease"] [TAG=Xu TAGDEF="Function unknown"]</t>
  </si>
  <si>
    <t>Putative HNH endonuclease n=1 Tax=Vibrio phage nt-1 TaxID=115992 RepID=R9TGY8_9CAUD</t>
  </si>
  <si>
    <t>11.09.P2-4.002-8.5_10</t>
  </si>
  <si>
    <t>Tail fiber protein n=1 Tax=Lentibacter phage vB_LenP_ICBM3 TaxID=2301530 RepID=A0A3G2YRX7_9CAUD</t>
  </si>
  <si>
    <t>DNAUV-2.000-1197_3</t>
  </si>
  <si>
    <t>DNAUV-5.846-426_4</t>
  </si>
  <si>
    <t>PE-PGRS family protein n=2 Tax=Bradyrhizobium yuanmingense TaxID=108015 RepID=A0A1C3XI42_9BRAD</t>
  </si>
  <si>
    <t>DNAUV-2.538-13_8</t>
  </si>
  <si>
    <t>COG3210 [FUNC="Large exoprotein involved in heme utilization or adhesion"] [shortName=FhaB] [TAG=U TAGDEF="Intracellular trafficking, secretion, and vesicular transport" PROCESS="CELLULAR PROCESSES AND SIGNALING"]  [PATHWAY=""] hypothetical protein [Candidatus Saccharibacteria bacterium YM_S32_TM7_50_20]</t>
  </si>
  <si>
    <t>Tailspike protein n=1 Tax=Streptomyces phage Kela TaxID=2725649 RepID=A0A6M3T8T0_9CAUD</t>
  </si>
  <si>
    <t>Sept.NODE_1043_length_2259_cov_2.843466_1</t>
  </si>
  <si>
    <t>COG3210 [FUNC="Large exoprotein involved in heme utilization or adhesion"] [shortName=FhaB] [TAG=U TAGDEF="Intracellular trafficking, secretion, and vesicular transport" PROCESS="CELLULAR PROCESSES AND SIGNALING"]  [PATHWAY=""] hypothetical protein [Fuerstia marisgermanicae]</t>
  </si>
  <si>
    <t>Uncharacterized protein n=1 Tax=Virus Rctr41k TaxID=1924549 RepID=A0A1P8DJQ0_9CAUD</t>
  </si>
  <si>
    <t>DNAUV-40.486-52_12</t>
  </si>
  <si>
    <t>COG3210 [FUNC="Large exoprotein involved in heme utilization or adhesion"] [shortName=FhaB] [TAG=U TAGDEF="Intracellular trafficking, secretion, and vesicular transport" PROCESS="CELLULAR PROCESSES AND SIGNALING"]  [PATHWAY=""] hypothetical protein [Seonamhaeicola sp. S2-3]</t>
  </si>
  <si>
    <t>Putative tailspike protein n=1 Tax=Pseudoalteromonas virus vB_PspP-H6/1 TaxID=1852626 RepID=A0A191ZDE7_9CAUD</t>
  </si>
  <si>
    <t>DNAUV-63.154-214_89</t>
  </si>
  <si>
    <t>sp|Q7MGG3|RIBXA_VIBVY Riboflavin biosynthesis protein VVA0006 OS=Vibrio vulnificus (strain YJ016) OX=196600 GN=VVA0006 PE=1 SV=1</t>
  </si>
  <si>
    <t>COG3236 [FUNC="N-glycosidase YbiA/RibX (riboflavin biosynthesis, damage control), NADAR superfamily"] [shortName=RibX] [TAG=H TAGDEF="Coenzyme transport and metabolism" PROCESS="METABOLISM"] [TAG=V TAGDEF="Defense mechanisms" PROCESS="CELLULAR PROCESSES AND SIGNALING"]  [PATHWAY=""] DUF1768 domain-containing protein [Parachlamydia acanthamoebae]</t>
  </si>
  <si>
    <t>VOG00132 [FUNC="sp|P32276|Y12G_BPT4 Uncharacterized 17.1 kDa protein in Gp30-rIII intergenic region"] [TAG=Xu TAGDEF="Function unknown"]</t>
  </si>
  <si>
    <t>Swarming motility protein YbiA n=1 Tax=Thalassoglobus neptunius TaxID=1938619 RepID=A0A5C5X511_9PLAN</t>
  </si>
  <si>
    <t>DNAUV-8.457-19_3</t>
  </si>
  <si>
    <t>COG3306 [FUNC="Glycosyltransferase involved in LPS biosynthesis, GR25 family"] [shortName=] [TAG=M TAGDEF="Cell wall/membrane/envelope biogenesis" PROCESS="CELLULAR PROCESSES AND SIGNALING"]  [PATHWAY=""] epitope biosynthesis protein [Photobacterium profundum]</t>
  </si>
  <si>
    <t>Uncharacterized protein n=1 Tax=Richelia sp. RM2_1_2 TaxID=2720436 RepID=A0A969SUM8_9NOST</t>
  </si>
  <si>
    <t>DNAUV-6.702-23_3</t>
  </si>
  <si>
    <t>COG3306 [FUNC="Glycosyltransferase involved in LPS biosynthesis, GR25 family"] [shortName=] [TAG=M TAGDEF="Cell wall/membrane/envelope biogenesis" PROCESS="CELLULAR PROCESSES AND SIGNALING"]  [PATHWAY=""] glycosyl transferase [Gallibacterium anatis]</t>
  </si>
  <si>
    <t>UDP-glucose-lipooligosaccharide glucosyltransferase n=8 Tax=Helicobacter japonicus TaxID=425400 RepID=A0A4U8TSD3_9HELI</t>
  </si>
  <si>
    <t>DNAUV-5.707-13_9</t>
  </si>
  <si>
    <t>COG3409 [FUNC="Peptidoglycan-binding (PGRP) domain of peptidoglycan hydrolases"] [shortName=PGRP] [TAG=M TAGDEF="Cell wall/membrane/envelope biogenesis" PROCESS="CELLULAR PROCESSES AND SIGNALING"]  [PATHWAY=""] hypothetical protein [Kitasatospora setae]</t>
  </si>
  <si>
    <t>Uncharacterized protein n=1 Tax=Achromobacter phage vB_AxyP_19-32_Axy13 TaxID=2591044 RepID=A0A514CUM8_9CAUD</t>
  </si>
  <si>
    <t>DNAUV-4.326-307_3</t>
  </si>
  <si>
    <t>COG3409 [FUNC="Peptidoglycan-binding (PGRP) domain of peptidoglycan hydrolases"] [shortName=PGRP] [TAG=M TAGDEF="Cell wall/membrane/envelope biogenesis" PROCESS="CELLULAR PROCESSES AND SIGNALING"]  [PATHWAY=""] hypothetical protein [Pseudoxanthomonas spadix]</t>
  </si>
  <si>
    <t>Avril.NODE_34_length_37560_cov_23.634315_28</t>
  </si>
  <si>
    <t>COG3409 [FUNC="Peptidoglycan-binding (PGRP) domain of peptidoglycan hydrolases"] [shortName=PGRP] [TAG=M TAGDEF="Cell wall/membrane/envelope biogenesis" PROCESS="CELLULAR PROCESSES AND SIGNALING"]  [PATHWAY=""] N-acetylmuramoyl-L-alanine amidase [Minicystis rosea]</t>
  </si>
  <si>
    <t>M15 family metallopeptidase n=1 Tax=Winogradskyella luteola TaxID=2828330 RepID=A0A9X1JMJ6_9FLAO</t>
  </si>
  <si>
    <t>DNAUV-42.404-84_78</t>
  </si>
  <si>
    <t>COG3409 [FUNC="Peptidoglycan-binding (PGRP) domain of peptidoglycan hydrolases"] [shortName=PGRP] [TAG=M TAGDEF="Cell wall/membrane/envelope biogenesis" PROCESS="CELLULAR PROCESSES AND SIGNALING"]  [PATHWAY=""] peptidase [Cystobacter fuscus]</t>
  </si>
  <si>
    <t>Endolysin n=1 Tax=Paracoccus phage vB_PmaS-R3 TaxID=2494563 RepID=A0A0B5A5A2_9CAUD</t>
  </si>
  <si>
    <t>DNAUV-2.293-13_3</t>
  </si>
  <si>
    <t>COG3409 [FUNC="Peptidoglycan-binding (PGRP) domain of peptidoglycan hydrolases"] [shortName=PGRP] [TAG=M TAGDEF="Cell wall/membrane/envelope biogenesis" PROCESS="CELLULAR PROCESSES AND SIGNALING"]  [PATHWAY=""] peptidoglycan-binding protein [Phaeobacter gallaeciensis]</t>
  </si>
  <si>
    <t>TIGR02594 family protein n=1 Tax=Cohaesibacter marisflavi TaxID=655353 RepID=A0A1I5AFB7_9HYPH</t>
  </si>
  <si>
    <t>DNAUV-22.071-221_49</t>
  </si>
  <si>
    <t>Peptidoglycan-binding domain 1 protein n=1 Tax=Aurantimonas sp. 22II-16-19i TaxID=1317114 RepID=A0A1X0SYE0_9HYPH</t>
  </si>
  <si>
    <t>DNAUV-44.091-1296_59</t>
  </si>
  <si>
    <t>DNAUV-59.689-63_106</t>
  </si>
  <si>
    <t>Peptidoglycan-binding protein n=1 Tax=Mangrovicoccus algicola TaxID=2771008 RepID=A0A8J7CY61_9RHOB</t>
  </si>
  <si>
    <t>Oct.NODE_12_length_43814_cov_20.924267_25</t>
  </si>
  <si>
    <t>DNAUV-3.811-9.4_4</t>
  </si>
  <si>
    <t>COG3409 [FUNC="Peptidoglycan-binding (PGRP) domain of peptidoglycan hydrolases"] [shortName=PGRP] [TAG=M TAGDEF="Cell wall/membrane/envelope biogenesis" PROCESS="CELLULAR PROCESSES AND SIGNALING"]  [PATHWAY=""] TIGR02594 family protein [Loktanella vestfoldensis]</t>
  </si>
  <si>
    <t>Peptidase C51 domain-containing protein n=1 Tax=Hyphomicrobium sp. ghe19 TaxID=2682968 RepID=A0A679JZL9_9HYPH</t>
  </si>
  <si>
    <t>DNAUV-4.962-164_6</t>
  </si>
  <si>
    <t>TIGR02594 family protein n=1 Tax=Salinihabitans flavidus TaxID=569882 RepID=A0A1H8TIH8_9RHOB</t>
  </si>
  <si>
    <t>Sept.NODE_83_length_15924_cov_11.425043_11</t>
  </si>
  <si>
    <t>Spore cortex-lytic enzyme n=1 Tax=Thalassobacter stenotrophicus TaxID=266809 RepID=A0A0P1FCW2_9RHOB</t>
  </si>
  <si>
    <t>DNAUV-38.940-21_66</t>
  </si>
  <si>
    <t>COG3409 [FUNC="Peptidoglycan-binding (PGRP) domain of peptidoglycan hydrolases"] [shortName=PGRP] [TAG=M TAGDEF="Cell wall/membrane/envelope biogenesis" PROCESS="CELLULAR PROCESSES AND SIGNALING"]  [PATHWAY=""] TIGR02594 family protein [Nonlabens dokdonensis]</t>
  </si>
  <si>
    <t>Tail component of prophage protein n=1 Tax=Aureimonas frigidaquae TaxID=424757 RepID=A0A0P0Z3T1_9HYPH</t>
  </si>
  <si>
    <t>05.07.P4-5.877-4.3_6</t>
  </si>
  <si>
    <t>COG3409 [FUNC="Peptidoglycan-binding (PGRP) domain of peptidoglycan hydrolases"] [shortName=PGRP] [TAG=M TAGDEF="Cell wall/membrane/envelope biogenesis" PROCESS="CELLULAR PROCESSES AND SIGNALING"]  [PATHWAY=""] TIGR02594 family protein [Octadecabacter arcticus]</t>
  </si>
  <si>
    <t>Peptidase C51 domain-containing protein n=1 Tax=Roseisalinus antarcticus TaxID=254357 RepID=A0A1Y5TZ31_9RHOB</t>
  </si>
  <si>
    <t>Oct.NODE_574_length_4543_cov_48.328877_3</t>
  </si>
  <si>
    <t>TIGR02594 family protein n=1 Tax=Pseudosulfitobacter pseudonitzschiae TaxID=1402135 RepID=A0A9Q2S1R3_9RHOB</t>
  </si>
  <si>
    <t>DNAUV-3.730-211_16</t>
  </si>
  <si>
    <t>COG3409 [FUNC="Peptidoglycan-binding (PGRP) domain of peptidoglycan hydrolases"] [shortName=PGRP] [TAG=M TAGDEF="Cell wall/membrane/envelope biogenesis" PROCESS="CELLULAR PROCESSES AND SIGNALING"]  [PATHWAY=""] TIGR02594 family protein [Robiginitalea biformata]</t>
  </si>
  <si>
    <t>Peptidase C51 domain-containing protein n=2 Tax=Roseobacter sp. MED193 TaxID=314262 RepID=A3XEP0_9RHOB</t>
  </si>
  <si>
    <t>Mai.NODE_308_length_5653_cov_4.853876_3</t>
  </si>
  <si>
    <t>Sept.NODE_374_length_4493_cov_110.821992_9</t>
  </si>
  <si>
    <t>05.07.P4-9.777-28_3</t>
  </si>
  <si>
    <t>COG3415 [FUNC="CRISPR-associated protein Csa3, CARF domain"] [shortName=Csa3] [TAG=V TAGDEF="Defense mechanisms" PROCESS="CELLULAR PROCESSES AND SIGNALING"]  [PATHWAY="CRISPR-Cas system"] Integrase catalytic subunit [Candidatus Peribacter riflensis]</t>
  </si>
  <si>
    <t>Uncharacterized protein n=1 Tax=Bacteriovorax sp. BSW11_IV TaxID=1353529 RepID=T0T4Y6_9BACT</t>
  </si>
  <si>
    <t>Avril.NODE_198_length_9539_cov_5.856811_4</t>
  </si>
  <si>
    <t>sp|A0A219YHC0|DPOL1_BPK52 Depolymerase 1, capsule K30/K69-specific OS=Klebsiella phage K5-2 OX=1932361 GN=k52_037 PE=3 SV=1</t>
  </si>
  <si>
    <t>Uncharacterized protein n=1 Tax=Muricauda antarctica TaxID=1055723 RepID=A0A1M7CUT2_9FLAO</t>
  </si>
  <si>
    <t>Mai.NODE_66_length_21551_cov_17.455759_18</t>
  </si>
  <si>
    <t>Outer membrane autotransporter n=1 Tax=Synechococcus phage S-CBM2 TaxID=351708 RepID=I3ULA1_9CAUD</t>
  </si>
  <si>
    <t>05.07.P4-9.777-28_5</t>
  </si>
  <si>
    <t>COG3419 [FUNC="Type IV pilus assembly protein, tip-associated adhesin PilY1"] [shortName=PilY1] [TAG=N TAGDEF="Cell motility" PROCESS="CELLULAR PROCESSES AND SIGNALING"] [TAG=W TAGDEF="Extracellular structures" PROCESS="CELLULAR PROCESSES AND SIGNALING"]  [PATHWAY=""] hypothetical protein [Sulfuritalea hydrogenivorans]</t>
  </si>
  <si>
    <t>VOG05129 [FUNC="REFSEQ virion structural protein"] [TAG=Xu TAGDEF="Function unknown"]</t>
  </si>
  <si>
    <t>Virion structural protein n=1 Tax=Cyanophage S-RIM44 TaxID=1278485 RepID=A0A1D7SGZ8_9CAUD</t>
  </si>
  <si>
    <t>DNAUV-4.975-17_19</t>
  </si>
  <si>
    <t>VOG02375 [FUNC="sp|P03747|TUBE2_BPT7 Tail tubular protein gp12"] [TAG=Xp TAGDEF="Virus protein with function beneficial for the virus"]</t>
  </si>
  <si>
    <t>Putative tail tubular B n=1 Tax=Pelagibacter phage HTVC035P TaxID=2796521 RepID=A0A7T3PHF8_9CAUD</t>
  </si>
  <si>
    <t>DNAUV-41.618-136_45</t>
  </si>
  <si>
    <t>COG3447 [FUNC="Integral membrane sensor domain MASE1"] [shortName=MASE1] [TAG=T TAGDEF="Signal transduction mechanisms" PROCESS="CELLULAR PROCESSES AND SIGNALING"]  [PATHWAY=""] diguanylate cyclase [Buttiauxella sp. 3AFRM03]</t>
  </si>
  <si>
    <t>histidine kinase n=1 Tax=Leptospira ryugenii TaxID=1917863 RepID=A0A2P2E228_9LEPT</t>
  </si>
  <si>
    <t>DNAUV-6.909-137_9</t>
  </si>
  <si>
    <t>COG3501 [FUNC="Uncharacterized conserved protein VgrG, implicated in type VI secretion and phage assembly"] [shortName=VgrG] [TAG=U TAGDEF="Intracellular trafficking, secretion, and vesicular transport" PROCESS="CELLULAR PROCESSES AND SIGNALING"] [TAG=X TAGDEF="Mobilome: prophages, transposons" PROCESS=""] [TAG=R TAGDEF="General function prediction only" PROCESS="POORLY CHARACTERIZED"]  [PATHWAY=""] type VI secretion system tip protein VgrG [Kluyvera intermedia]</t>
  </si>
  <si>
    <t>Type VI secretion system tip protein VgrG n=1 Tax=Sphingomonas sp. CFBP 8760 TaxID=2775282 RepID=A0A927JJU5_9SPHN</t>
  </si>
  <si>
    <t>11.09.P2-6.233-4.5_9</t>
  </si>
  <si>
    <t>COG3501 [FUNC="Uncharacterized conserved protein VgrG, implicated in type VI secretion and phage assembly"] [shortName=VgrG] [TAG=U TAGDEF="Intracellular trafficking, secretion, and vesicular transport" PROCESS="CELLULAR PROCESSES AND SIGNALING"] [TAG=X TAGDEF="Mobilome: prophages, transposons" PROCESS=""] [TAG=R TAGDEF="General function prediction only" PROCESS="POORLY CHARACTERIZED"]  [PATHWAY=""] type VI secretion system tip protein VgrG [Lonsdalea britannica]</t>
  </si>
  <si>
    <t>Type VI secretion system tip protein VgrG n=1 Tax=Escherichia coli TaxID=562 RepID=A0A7M3TRF1_ECOLX</t>
  </si>
  <si>
    <t>11.09.P4-15.476-7.9_21</t>
  </si>
  <si>
    <t>COG3562 [FUNC="Capsule polysaccharide modification protein KpsS"] [shortName=KpsS] [TAG=M TAGDEF="Cell wall/membrane/envelope biogenesis" PROCESS="CELLULAR PROCESSES AND SIGNALING"]  [PATHWAY=""] hypothetical protein [Bacterioplanes sanyensis]</t>
  </si>
  <si>
    <t>Capsule polysaccharide biosynthesis protein n=2 Tax=Roseibium polysiphoniae TaxID=2571221 RepID=A0A944GUU9_9HYPH</t>
  </si>
  <si>
    <t>Oct.NODE_463_length_5216_cov_47.007169_1</t>
  </si>
  <si>
    <t>COG3591 [FUNC="V8-like Glu-specific endopeptidase"] [shortName=eMpr] [TAG=O TAGDEF="Posttranslational modification, protein turnover, chaperones" PROCESS="CELLULAR PROCESSES AND SIGNALING"]  [PATHWAY=""] T9SS C-terminal target domain-containing protein [Haliscomenobacter hydrossis]</t>
  </si>
  <si>
    <t>VOG10779 [FUNC="REFSEQ hypothetical protein"] [TAG=Xu TAGDEF="Function unknown"]</t>
  </si>
  <si>
    <t>Uncharacterized protein n=1 Tax=Nonlabens phage P12024L TaxID=1168479 RepID=I6R185_9CAUD</t>
  </si>
  <si>
    <t>DNAUV-152.980-60_78</t>
  </si>
  <si>
    <t>COG3672 [FUNC="Predicted transglutaminase-like protein"] [shortName=] [TAG=O TAGDEF="Posttranslational modification, protein turnover, chaperones" PROCESS="CELLULAR PROCESSES AND SIGNALING"]  [PATHWAY=""] hypothetical protein [Pannonibacter phragmitetus]</t>
  </si>
  <si>
    <t>Transglutaminase n=1 Tax=Rhizobium sp. Root1212 TaxID=1736429 RepID=A0A0Q6T652_9HYPH</t>
  </si>
  <si>
    <t>Avril.NODE_245_length_7822_cov_4.736964_9</t>
  </si>
  <si>
    <t>COG3672 [FUNC="Predicted transglutaminase-like protein"] [shortName=] [TAG=O TAGDEF="Posttranslational modification, protein turnover, chaperones" PROCESS="CELLULAR PROCESSES AND SIGNALING"]  [PATHWAY=""] hypothetical protein [Thioploca ingrica]</t>
  </si>
  <si>
    <t>Transglutaminase-like domain-containing protein n=1 Tax=Thioploca ingrica TaxID=40754 RepID=A0A090AGE4_9GAMM</t>
  </si>
  <si>
    <t>DNAUV-43.621-123_6</t>
  </si>
  <si>
    <t>COG3672 [FUNC="Predicted transglutaminase-like protein"] [shortName=] [TAG=O TAGDEF="Posttranslational modification, protein turnover, chaperones" PROCESS="CELLULAR PROCESSES AND SIGNALING"]  [PATHWAY=""] MULTISPECIES: hypothetical protein [Brucella]</t>
  </si>
  <si>
    <t>VOG23634 [FUNC="REFSEQ peptidase"] [TAG=Xu TAGDEF="Function unknown"]</t>
  </si>
  <si>
    <t>Transglutaminase n=1 Tax=Brucella sp. NVSL 07-0026 TaxID=520448 RepID=D6LKU7_9HYPH</t>
  </si>
  <si>
    <t>DNAUV-43.621-123_73</t>
  </si>
  <si>
    <t>sp|Q3MI03|OGFD1_BOVIN Prolyl 3-hydroxylase OGFOD1 OS=Bos taurus OX=9913 GN=OGFOD1 PE=2 SV=2</t>
  </si>
  <si>
    <t>COG3751 [FUNC="Proline 4-hydroxylase (includes Rps23 Pro-64 3,4-dihydroxylase Tpa1), contains SM-20 domain"] [shortName=EGL9] [TAG=J TAGDEF="Translation, ribosomal structure and biogenesis" PROCESS="INFORMATION STORAGE AND PROCESSING"] [TAG=O TAGDEF="Posttranslational modification, protein turnover, chaperones" PROCESS="CELLULAR PROCESSES AND SIGNALING"]  [PATHWAY=""] hypothetical protein [Paucibacter sp. KCTC 42545]</t>
  </si>
  <si>
    <t>Prolyl 4-hydroxylase alpha subunit domain-containing protein n=1 Tax=Monosiga brevicollis TaxID=81824 RepID=A9V671_MONBE</t>
  </si>
  <si>
    <t>DNAUV-24.776-121_28</t>
  </si>
  <si>
    <t>COG3754 [FUNC="Lipopolysaccharide biosynthesis protein"] [shortName=RgpF] [TAG=M TAGDEF="Cell wall/membrane/envelope biogenesis" PROCESS="CELLULAR PROCESSES AND SIGNALING"]  [PATHWAY=""] FkbM family methyltransferase [Desulfocapsa sulfexigens]</t>
  </si>
  <si>
    <t>Methyltransferase n=1 Tax=Stenotrophomonas phage vB_SmaS-DLP_6 TaxID=1651816 RepID=A0A142EZS9_9CAUD</t>
  </si>
  <si>
    <t>05.07.P4-9.181-36_11</t>
  </si>
  <si>
    <t>COG3754 [FUNC="Lipopolysaccharide biosynthesis protein"] [shortName=RgpF] [TAG=M TAGDEF="Cell wall/membrane/envelope biogenesis" PROCESS="CELLULAR PROCESSES AND SIGNALING"]  [PATHWAY=""] FkbM family methyltransferase [Iodobacter sp. H11R3]</t>
  </si>
  <si>
    <t>VOG05713 [FUNC="REFSEQ glycosyltransferase"] [TAG=Xu TAGDEF="Function unknown"]</t>
  </si>
  <si>
    <t>Glycosyltransferase n=1 Tax=Escherichia phage Mt1B1_P17 TaxID=2743961 RepID=A0A7G8L1H9_9CAUD</t>
  </si>
  <si>
    <t>05.07.P4-9.181-36_4</t>
  </si>
  <si>
    <t>DNAUV-36.652-126_41</t>
  </si>
  <si>
    <t>COG3757 [FUNC="Lyzozyme M1 (1,4-beta-N-acetylmuramidase), GH25 family"] [shortName=Acm] [TAG=M TAGDEF="Cell wall/membrane/envelope biogenesis" PROCESS="CELLULAR PROCESSES AND SIGNALING"]  [PATHWAY=""] hypothetical protein [Sorangium cellulosum]</t>
  </si>
  <si>
    <t>Uncharacterized protein n=1 Tax=Gymnodinialimonas ceratoperidinii TaxID=2856823 RepID=A0A8F6U091_9RHOB</t>
  </si>
  <si>
    <t>DNAUV-4.379-32_5</t>
  </si>
  <si>
    <t>Uncharacterized protein n=1 Tax=Roseovarius sp. TE539 TaxID=2249812 RepID=A0A365U1N0_9RHOB</t>
  </si>
  <si>
    <t>11.09.P1-3.769-6.5_2</t>
  </si>
  <si>
    <t>COG3757 [FUNC="Lyzozyme M1 (1,4-beta-N-acetylmuramidase), GH25 family"] [shortName=Acm] [TAG=M TAGDEF="Cell wall/membrane/envelope biogenesis" PROCESS="CELLULAR PROCESSES AND SIGNALING"]  [PATHWAY=""] type I secretion C-terminal target domain-containing protein [Candidatus Ruthia magnifica]</t>
  </si>
  <si>
    <t>T9SS C-terminal target domain-containing protein n=1 Tax=Puia dinghuensis TaxID=1792502 RepID=A0A8J2XNP9_9BACT</t>
  </si>
  <si>
    <t>11.09.P4-8.947-4.1_3</t>
  </si>
  <si>
    <t>DNAUV-2.221-12_1</t>
  </si>
  <si>
    <t>Uncharacterized protein n=1 Tax=Synechococcus phage S-CBS4 TaxID=756275 RepID=H2BCV0_9CAUD</t>
  </si>
  <si>
    <t>Mai.NODE_1146_length_2108_cov_10.620555_1</t>
  </si>
  <si>
    <t>DNAUV-10.232-110_19</t>
  </si>
  <si>
    <t>sp|Q7Y2C9|EXLYS_BPKMV Peptidoglycan hydrolase gp36 OS=Pseudomonas phage phiKMV OX=204270 GN=gp36 PE=1 SV=1</t>
  </si>
  <si>
    <t>COG3772 [FUNC="Phage-related lysozyme (muramidase), GH24 family"] [shortName=RrrD] [TAG=M TAGDEF="Cell wall/membrane/envelope biogenesis" PROCESS="CELLULAR PROCESSES AND SIGNALING"]  [PATHWAY=""] autolysin [Aeromonas salmonicida]</t>
  </si>
  <si>
    <t>Lysozyme n=1 Tax=Ideonella aquatica TaxID=2824119 RepID=A0A940YH73_9BURK</t>
  </si>
  <si>
    <t>DNAUV-4.743-11_2</t>
  </si>
  <si>
    <t>COG3772 [FUNC="Phage-related lysozyme (muramidase), GH24 family"] [shortName=RrrD] [TAG=M TAGDEF="Cell wall/membrane/envelope biogenesis" PROCESS="CELLULAR PROCESSES AND SIGNALING"]  [PATHWAY=""] hypothetical protein [Arcticibacterium luteifluviistationis]</t>
  </si>
  <si>
    <t>Lysozyme n=1 Tax=Hydrogenophaga crassostreae TaxID=1763535 RepID=A0A167H9M7_9BURK</t>
  </si>
  <si>
    <t>DNAUV-50.039-64_42</t>
  </si>
  <si>
    <t>sp|Q37896|ENLYS_BPB03 Endolysin OS=Bacillus phage B103 OX=2994042 GN=15 PE=3 SV=1</t>
  </si>
  <si>
    <t>COG3772 [FUNC="Phage-related lysozyme (muramidase), GH24 family"] [shortName=RrrD] [TAG=M TAGDEF="Cell wall/membrane/envelope biogenesis" PROCESS="CELLULAR PROCESSES AND SIGNALING"]  [PATHWAY=""] hypothetical protein [Brochothrix thermosphacta]</t>
  </si>
  <si>
    <t>VOG24616 [FUNC="sp|Q859P9|RPOLV_BPN4 Virion DNA-directed RNA polymerase"] [TAG=Xh TAGDEF="Virus protein with function beneficial for the host"]</t>
  </si>
  <si>
    <t>Virion RNA polymerase n=1 Tax=Vibrio phage VBP32 TaxID=754072 RepID=M4SML5_9CAUD</t>
  </si>
  <si>
    <t>Mai.NODE_976_length_2345_cov_5.422707_1</t>
  </si>
  <si>
    <t>COG3772 [FUNC="Phage-related lysozyme (muramidase), GH24 family"] [shortName=RrrD] [TAG=M TAGDEF="Cell wall/membrane/envelope biogenesis" PROCESS="CELLULAR PROCESSES AND SIGNALING"]  [PATHWAY=""] hypothetical protein [Maritalea myrionectae]</t>
  </si>
  <si>
    <t>Uncharacterized protein n=1 Tax=Rhizobium meliloti TaxID=382 RepID=A0A2J0Z8M5_RHIML</t>
  </si>
  <si>
    <t>DNAUV-40.559-174_42</t>
  </si>
  <si>
    <t>sp|P09963|ENLYS_BPP22 Endolysin OS=Salmonella phage P22 OX=10754 GN=19 PE=1 SV=1</t>
  </si>
  <si>
    <t>COG3772 [FUNC="Phage-related lysozyme (muramidase), GH24 family"] [shortName=RrrD] [TAG=M TAGDEF="Cell wall/membrane/envelope biogenesis" PROCESS="CELLULAR PROCESSES AND SIGNALING"]  [PATHWAY=""] lysozyme [Agarilytica rhodophyticola]</t>
  </si>
  <si>
    <t>Lysozyme n=1 Tax=Phormidesmis priestleyi ULC007 TaxID=1920490 RepID=A0A2T1D8Q7_9CYAN</t>
  </si>
  <si>
    <t>DNAUV-8.320-11_10</t>
  </si>
  <si>
    <t>sp|Q86AA1|LYST2_DICDI Probable T4-type lysozyme 2 OS=Dictyostelium discoideum OX=44689 GN=DDB_G0274291 PE=2 SV=1</t>
  </si>
  <si>
    <t>COG3772 [FUNC="Phage-related lysozyme (muramidase), GH24 family"] [shortName=RrrD] [TAG=M TAGDEF="Cell wall/membrane/envelope biogenesis" PROCESS="CELLULAR PROCESSES AND SIGNALING"]  [PATHWAY=""] lysozyme [Arcobacter nitrofigilis]</t>
  </si>
  <si>
    <t>Lysozyme n=1 Tax=Vibrio diazotrophicus TaxID=685 RepID=A0A2J8I6L8_VIBDI</t>
  </si>
  <si>
    <t>DNAUV-5.187-100_20</t>
  </si>
  <si>
    <t>sp|Q556F2|LYST1_DICDI Probable T4-type lysozyme 1 OS=Dictyostelium discoideum OX=44689 GN=DDB_G0274831 PE=3 SV=1</t>
  </si>
  <si>
    <t>COG3772 [FUNC="Phage-related lysozyme (muramidase), GH24 family"] [shortName=RrrD] [TAG=M TAGDEF="Cell wall/membrane/envelope biogenesis" PROCESS="CELLULAR PROCESSES AND SIGNALING"]  [PATHWAY=""] lysozyme [bacterium endosymbiont of Mortierella elongata FMR23-6]</t>
  </si>
  <si>
    <t>Lysozyme n=1 Tax=Idiomarinaceae phage Phi1M2-2 TaxID=1527515 RepID=A0A088FB05_9CAUD</t>
  </si>
  <si>
    <t>DNAUV-37.297-108_45</t>
  </si>
  <si>
    <t>COG3772 [FUNC="Phage-related lysozyme (muramidase), GH24 family"] [shortName=RrrD] [TAG=M TAGDEF="Cell wall/membrane/envelope biogenesis" PROCESS="CELLULAR PROCESSES AND SIGNALING"]  [PATHWAY=""] lysozyme [Bartonella quintana]</t>
  </si>
  <si>
    <t>Lysozyme n=1 Tax=Angulomicrobium tetraedrale TaxID=217068 RepID=A0A839Z2H5_9HYPH</t>
  </si>
  <si>
    <t>DNAUV-34.761-382_3</t>
  </si>
  <si>
    <t>COG3772 [FUNC="Phage-related lysozyme (muramidase), GH24 family"] [shortName=RrrD] [TAG=M TAGDEF="Cell wall/membrane/envelope biogenesis" PROCESS="CELLULAR PROCESSES AND SIGNALING"]  [PATHWAY=""] lysozyme [Ilyobacter polytropus]</t>
  </si>
  <si>
    <t>Lysozyme n=2 Tax=Ilyobacter TaxID=167639 RepID=E3HBP0_ILYPC</t>
  </si>
  <si>
    <t>DNAUV-72.439-197_125</t>
  </si>
  <si>
    <t>sp|O80292|ENLYS_BPPS1 SAR-endolysin OS=Bacteriophage PS119 OX=83128 GN=19 PE=3 SV=1</t>
  </si>
  <si>
    <t>COG3772 [FUNC="Phage-related lysozyme (muramidase), GH24 family"] [shortName=RrrD] [TAG=M TAGDEF="Cell wall/membrane/envelope biogenesis" PROCESS="CELLULAR PROCESSES AND SIGNALING"]  [PATHWAY=""] lysozyme [Ruegeria mobilis]</t>
  </si>
  <si>
    <t>Lysozyme n=1 Tax=Tritonibacter mobilis F1926 TaxID=1265309 RepID=A0A1B1A8R0_9RHOB</t>
  </si>
  <si>
    <t>11.09.P3-2.656-2.8_1</t>
  </si>
  <si>
    <t>COG3772 [FUNC="Phage-related lysozyme (muramidase), GH24 family"] [shortName=RrrD] [TAG=M TAGDEF="Cell wall/membrane/envelope biogenesis" PROCESS="CELLULAR PROCESSES AND SIGNALING"]  [PATHWAY=""] MULTISPECIES: hypothetical protein [Citromicrobium]</t>
  </si>
  <si>
    <t>VOG00143 [FUNC="REFSEQ hypothetical protein"] [TAG=Xu TAGDEF="Function unknown"]</t>
  </si>
  <si>
    <t>11.09.P4-4.801-2.4_5</t>
  </si>
  <si>
    <t>DNAUV-10.744-185_12</t>
  </si>
  <si>
    <t>Oct.NODE_1706_length_2210_cov_3.193503_4</t>
  </si>
  <si>
    <t>sp|P07540|ENLYS_BPPZA Endolysin OS=Bacillus phage PZA OX=10757 GN=15 PE=3 SV=1</t>
  </si>
  <si>
    <t>COG3772 [FUNC="Phage-related lysozyme (muramidase), GH24 family"] [shortName=RrrD] [TAG=M TAGDEF="Cell wall/membrane/envelope biogenesis" PROCESS="CELLULAR PROCESSES AND SIGNALING"]  [PATHWAY=""] phage related lysozyme [Parvularcula bermudensis]</t>
  </si>
  <si>
    <t>Lysozyme n=1 Tax=Skeletonema virus LDF-2015a TaxID=1769778 RepID=A0A1B1IHU6_9VIRU</t>
  </si>
  <si>
    <t>11.09.P1-4.232-18_4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</si>
  <si>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[Acetohalobium arabaticum]</t>
  </si>
  <si>
    <t>Cell wall hydrolase n=1 Tax=Orenia metallireducens TaxID=1413210 RepID=A0A1C0A7G0_9FIRM</t>
  </si>
  <si>
    <t>DNAUV-13.692-18_5</t>
  </si>
  <si>
    <t>sp|P0A3V1|SLEB_BACCE Spore cortex-lytic enzyme OS=Bacillus cereus OX=1396 GN=sleB PE=1 SV=1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</si>
  <si>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[Allochromatium vinosum]</t>
  </si>
  <si>
    <t>VOG00134 [FUNC="sp|A7IY64|ISAA_STAXY Probable transglycosylase IsaA"] [TAG=Xh TAGDEF="Virus protein with function beneficial for the host"]</t>
  </si>
  <si>
    <t>Cell wall hydrolase SleB domain-containing protein n=1 Tax=Aquibium oceanicum TaxID=1670800 RepID=A0A1L3SRT0_9HYPH</t>
  </si>
  <si>
    <t>DNAUV-2.492-135_2</t>
  </si>
  <si>
    <t>sp|Q9KCE0|SLEB_HALH5 Spore cortex-lytic enzyme OS=Halalkalibacterium halodurans (strain ATCC BAA-125 / DSM 18197 / FERM 7344 / JCM 9153 / C-125) OX=272558 GN=sleB PE=3 SV=1</t>
  </si>
  <si>
    <t>Cell wall hydrolase n=2 Tax=Thiohalophilus thiocyanatoxydans TaxID=381308 RepID=A0A4R8IEZ5_9GAMM</t>
  </si>
  <si>
    <t>DNAUV-2.753-140_6</t>
  </si>
  <si>
    <t>Spore germination cell wall hydrolase CwlJ-like protein n=1 Tax=Limibacillus halophilus TaxID=1579333 RepID=A0A839SXX7_9HYPH</t>
  </si>
  <si>
    <t>DNAUV-36.652-126_32</t>
  </si>
  <si>
    <t>sp|P59105|SLEB_OCEIH Spore cortex-lytic enzyme OS=Oceanobacillus iheyensis (strain DSM 14371 / CIP 107618 / JCM 11309 / KCTC 3954 / HTE831) OX=221109 GN=sleB PE=3 SV=1</t>
  </si>
  <si>
    <t>Cell wall hydrolase n=2 Tax=Thiorhodococcus minor TaxID=57489 RepID=A0A6M0JYG7_9GAMM</t>
  </si>
  <si>
    <t>DNAUV-3.273-35_1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</si>
  <si>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[Anderseniella sp. Alg231-50]</t>
  </si>
  <si>
    <t>Cell wall hydrolase SleB domain-containing protein n=1 Tax=Vibrio phage qdvp001 TaxID=1003177 RepID=A0A0S1WEP8_9CAUD</t>
  </si>
  <si>
    <t>DNAUV-63.154-214_31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</si>
  <si>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[Butyrivibrio proteoclasticus]</t>
  </si>
  <si>
    <t>Cell wall hydrolase n=1 Tax=Octadecabacter Antarctic DB virus 2 TaxID=2945129 RepID=A0A9E7E6K2_9VIRU</t>
  </si>
  <si>
    <t>DNAUV-20.871-258_29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</si>
  <si>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[Devosia sp. A16]</t>
  </si>
  <si>
    <t>Cell wall hydrolase n=1 Tax=Roseobacter phage CRP-6 TaxID=2559285 RepID=A0A646QWG0_9CAUD</t>
  </si>
  <si>
    <t>DNAUV-7.616-50_10</t>
  </si>
  <si>
    <t>DNAUV-11.867-26_20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</si>
  <si>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[Indioceanicola profundi]</t>
  </si>
  <si>
    <t>Cell wall hydrolase n=2 Tax=root TaxID=1 RepID=A0A9C9TGJ3_9HYPH</t>
  </si>
  <si>
    <t>DNAUV-14.759-18_19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</si>
  <si>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[Magnetospira sp. QH-2]</t>
  </si>
  <si>
    <t>Cell wall hydrolase n=2 Tax=Phaeovibrio sulfidiphilus TaxID=1220600 RepID=A0A8J6YR98_9PROT</t>
  </si>
  <si>
    <t>DNAUV-34.277-41_10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</si>
  <si>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[Nitrosococcus halophilus]</t>
  </si>
  <si>
    <t>Spore_SleB, spore cortex-lytic enzyme n=1 Tax=Vibrio phage 424E50-1 TaxID=2963198 RepID=A0A9P0YAH5_9CAUD</t>
  </si>
  <si>
    <t>DNAUV-147.430-52_136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</si>
  <si>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[Parvularcula bermudensis]</t>
  </si>
  <si>
    <t>Spore cortex-lytic enzyme n=1 Tax=Salmonella phage LVR16A TaxID=2041204 RepID=A0A291LBX2_9CAUD</t>
  </si>
  <si>
    <t>Oct.NODE_278_length_7370_cov_5.554751_2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</si>
  <si>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[Ruegeria pomeroyi]</t>
  </si>
  <si>
    <t>Cell wall hydrolase n=1 Tax=Pseudorhodobacter sp. E13 TaxID=2487931 RepID=A0A3S0ZDJ5_9RHOB</t>
  </si>
  <si>
    <t>DNAUV-3.855-13_8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</si>
  <si>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[Sedimentitalea sp. W43]</t>
  </si>
  <si>
    <t>Spore cortex-lytic enzyme n=1 Tax=Bacteriophage DSS3_MAL1 TaxID=2664194 RepID=A0A7S5FT91_9CAUD</t>
  </si>
  <si>
    <t>DNAUV-16.256-16_24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</si>
  <si>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cell wall hydrolase [Sphingosinicella microcystinivorans]</t>
  </si>
  <si>
    <t>DNAUV-7.430-346_11</t>
  </si>
  <si>
    <t>sp|O31685|YKVT_BACSU Uncharacterized protein YkvT OS=Bacillus subtilis (strain 168) OX=224308 GN=ykvT PE=2 SV=1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</si>
  <si>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LysM peptidoglycan-binding domain-containing protein [Desulfitobacterium hafniense]</t>
  </si>
  <si>
    <t>Spore cortex-lytic enzyme n=1 Tax=Roseivivax jejudonensis TaxID=1529041 RepID=A0A1X7AB24_9RHOB</t>
  </si>
  <si>
    <t>DNAUV-72.439-197_128</t>
  </si>
  <si>
    <t>COG3773 [FUNC="Cell wall hydrolase CwlJ, involved in spore germination"] [shortName=CwlJ] [TAG=D TAGDEF="Cell cycle control, cell division, chromosome partitioning" PROCESS="CELLULAR PROCESSES AND SIGNALING"] [TAG=M TAGDEF="Cell wall/membrane/envelope biogenesis" PROCESS="CELLULAR PROCESSES AND SIGNALING"]  [PATHWAY=""] LysM peptidoglycan-binding domain-containing protein [Halobacteroides halobius]</t>
  </si>
  <si>
    <t>Cell Wall Hydrolase n=1 Tax=Salipiger marinus TaxID=555512 RepID=A0A1G8MR83_9RHOB</t>
  </si>
  <si>
    <t>DNAUV-6.909-137_10</t>
  </si>
  <si>
    <t>COG4104 [FUNC="Zn-binding Pro-Ala-Ala-Arg (PAAR) domain, involved in Type VI secretion"] [shortName=PAAR] [TAG=U TAGDEF="Intracellular trafficking, secretion, and vesicular transport" PROCESS="CELLULAR PROCESSES AND SIGNALING"]  [PATHWAY=""] hypothetical protein [Ruegeria mobilis]</t>
  </si>
  <si>
    <t>VOG00733 [FUNC="sp|P39234|NEED5_BPT4 Baseplate puncturing device gp5.4"] [TAG=Xs TAGDEF="Virus structure"]</t>
  </si>
  <si>
    <t>PaaR repeat-containing protein n=1 Tax=Pelagibacter phage Mosig EXVC030M TaxID=2759214 RepID=A0A7S6LFJ8_9CAUD</t>
  </si>
  <si>
    <t>11.09.P2-6.233-4.5_10</t>
  </si>
  <si>
    <t>COG4104 [FUNC="Zn-binding Pro-Ala-Ala-Arg (PAAR) domain, involved in Type VI secretion"] [shortName=PAAR] [TAG=U TAGDEF="Intracellular trafficking, secretion, and vesicular transport" PROCESS="CELLULAR PROCESSES AND SIGNALING"]  [PATHWAY=""] hypothetical protein VCA0105 [Vibrio cholerae O1 biovar El Tor str. N16961]</t>
  </si>
  <si>
    <t>PaaR repeat-containing protein n=1 Tax=Pacificitalea manganoxidans TaxID=1411902 RepID=A0A291LZ53_9RHOB</t>
  </si>
  <si>
    <t>DNAUV-147.430-52_139</t>
  </si>
  <si>
    <t>sp|Q9I739|TSE6_PSEAE NAD(P)(+) glycohydrolase toxin Tse6 OS=Pseudomonas aeruginosa (strain ATCC 15692 / DSM 22644 / CIP 104116 / JCM 14847 / LMG 12228 / 1C / PRS 101 / PAO1) OX=208964 GN=tse6 PE=1 SV=1</t>
  </si>
  <si>
    <t>COG4104 [FUNC="Zn-binding Pro-Ala-Ala-Arg (PAAR) domain, involved in Type VI secretion"] [shortName=PAAR] [TAG=U TAGDEF="Intracellular trafficking, secretion, and vesicular transport" PROCESS="CELLULAR PROCESSES AND SIGNALING"]  [PATHWAY=""] PaaR repeat-containing protein [Haematospirillum jordaniae]</t>
  </si>
  <si>
    <t>PaaR repeat-containing protein n=2 Tax=Alcaligenaceae TaxID=506 RepID=A0A411T435_ALCFA</t>
  </si>
  <si>
    <t>DNAUV-147.430-52_138</t>
  </si>
  <si>
    <t>sp|P77966|GYRB_SYNY3 DNA gyrase subunit B OS=Synechocystis sp. (strain PCC 6803 / Kazusa) OX=1111708 GN=gyrB PE=3 SV=1</t>
  </si>
  <si>
    <t>COG4104 [FUNC="Zn-binding Pro-Ala-Ala-Arg (PAAR) domain, involved in Type VI secretion"] [shortName=PAAR] [TAG=U TAGDEF="Intracellular trafficking, secretion, and vesicular transport" PROCESS="CELLULAR PROCESSES AND SIGNALING"]  [PATHWAY=""] PaaR repeat-containing protein [Hydrogenophilus thermoluteolus]</t>
  </si>
  <si>
    <t>05.07.P3-10.845-3.9_14</t>
  </si>
  <si>
    <t>COG4104 [FUNC="Zn-binding Pro-Ala-Ala-Arg (PAAR) domain, involved in Type VI secretion"] [shortName=PAAR] [TAG=U TAGDEF="Intracellular trafficking, secretion, and vesicular transport" PROCESS="CELLULAR PROCESSES AND SIGNALING"]  [PATHWAY=""] PAAR repeat-containing protein [Selenomonas ruminantium]</t>
  </si>
  <si>
    <t>Phospholipase n=3 Tax=Emdodecavirus TaxID=1980937 RepID=A0A0F6YPF6_9CAUD</t>
  </si>
  <si>
    <t>DNAUV-40.486-52_16</t>
  </si>
  <si>
    <t>sp|Q9HV27|CDPD2_PSEAE Cyclic di-GMP phosphodiesterase PA4781 OS=Pseudomonas aeruginosa (strain ATCC 15692 / DSM 22644 / CIP 104116 / JCM 14847 / LMG 12228 / 1C / PRS 101 / PAO1) OX=208964 GN=PA4781 PE=1 SV=1</t>
  </si>
  <si>
    <t>COG4191 [FUNC="Signal transduction histidine kinase regulating C4-dicarboxylate transport system"] [shortName=] [TAG=T TAGDEF="Signal transduction mechanisms" PROCESS="CELLULAR PROCESSES AND SIGNALING"]  [PATHWAY=""] hybrid sensor histidine kinase/response regulator [Rivularia sp. PCC 7116]</t>
  </si>
  <si>
    <t>VOG01336 [FUNC="sp|Q7MD16|LUXQ_VIBVY Autoinducer 2 sensor kinase/phosphatase LuxQ"] [TAG=Xh TAGDEF="Virus protein with function beneficial for the host"]</t>
  </si>
  <si>
    <t>DNA-binding response regulator n=1 Tax=Foturvirus H44 TaxID=2733905 RepID=A0A220YL79_9CAUD</t>
  </si>
  <si>
    <t>05.07.P4-2.674-4.3_1</t>
  </si>
  <si>
    <t>sp|P40137|CYAA_STIAU Adenylate cyclase 1 OS=Stigmatella aurantiaca OX=41 GN=cyaA PE=1 SV=3</t>
  </si>
  <si>
    <t>COG4252 [FUNC="Extracytoplasmic sensor domain CHASE2 (specificity unknown)"] [shortName=CHASE2] [TAG=T TAGDEF="Signal transduction mechanisms" PROCESS="CELLULAR PROCESSES AND SIGNALING"]  [PATHWAY=""] adenylate/guanylate cyclase domain-containing protein [Bradyrhizobium japonicum]</t>
  </si>
  <si>
    <t>Guanylate cyclase domain-containing protein n=1 Tax=Lake Baikal phage Baikal-20-5m-C28 TaxID=2047876 RepID=A0A2H4N7Z5_9CAUD</t>
  </si>
  <si>
    <t>11.09.P1-7.169-42_22</t>
  </si>
  <si>
    <t>Alpha-L-arabinofuranosidase B catalytic domain-containing protein n=1 Tax=Ancylobacter sp. TS-1 TaxID=1850374 RepID=A0A5P8MT81_9HYPH</t>
  </si>
  <si>
    <t>11.09.P2-10.778-51_13</t>
  </si>
  <si>
    <t>Alpha-L-arabinofuranosidase B catalytic domain-containing protein n=1 Tax=Serratia liquefaciens TaxID=614 RepID=A0A515CSW7_SERLI</t>
  </si>
  <si>
    <t>11.09.P2-11.589-35_14</t>
  </si>
  <si>
    <t>11.09.P2-11.589-35_27</t>
  </si>
  <si>
    <t>11.09.P2-3.132-59_3</t>
  </si>
  <si>
    <t>Alpha-L-arabinofuranosidase B catalytic domain-containing protein n=11 Tax=Klebsiella TaxID=570 RepID=A0A443VZT3_9ENTR</t>
  </si>
  <si>
    <t>11.09.P2-4.757-48_13</t>
  </si>
  <si>
    <t>11.09.P2-5.328-22_5</t>
  </si>
  <si>
    <t>11.09.P2-7.195-49_8</t>
  </si>
  <si>
    <t>11.09.P2-8.963-47_17</t>
  </si>
  <si>
    <t>11.09.P4-7.960-11_13</t>
  </si>
  <si>
    <t>DNAUV-2.300-33_3</t>
  </si>
  <si>
    <t>DNAUV-2.978-18_2</t>
  </si>
  <si>
    <t>DNAUV-9.068-23_3</t>
  </si>
  <si>
    <t>Juil.NODE_73_length_2066_cov_8.315763_1</t>
  </si>
  <si>
    <t>DNAUV-2.497-8.7_6</t>
  </si>
  <si>
    <t>COG4257 [FUNC="Streptogramin lyase"] [shortName=Vgb] [TAG=V TAGDEF="Defense mechanisms" PROCESS="CELLULAR PROCESSES AND SIGNALING"]  [PATHWAY=""] MULTISPECIES: hypothetical protein [Nocardioides]</t>
  </si>
  <si>
    <t>VOG13721 [FUNC="sp|P18056|HOC_BPT4 Highly immunogenic outer capsid protein"] [TAG=Xs TAGDEF="Virus structure"]</t>
  </si>
  <si>
    <t>Uncharacterized protein (Precursor) n=1 Tax=Nocardioides sp. PD653 TaxID=393303 RepID=A0A1V1VXB9_9ACTN</t>
  </si>
  <si>
    <t>DNAUV-38.183-831_53</t>
  </si>
  <si>
    <t>DUF2793 domain-containing protein n=1 Tax=Asticcacaulis taihuensis TaxID=260084 RepID=A0A1G4TI63_9CAUL</t>
  </si>
  <si>
    <t>Mai.NODE_550_length_3579_cov_3.989501_1</t>
  </si>
  <si>
    <t>COG4257 [FUNC="Streptogramin lyase"] [shortName=Vgb] [TAG=V TAGDEF="Defense mechanisms" PROCESS="CELLULAR PROCESSES AND SIGNALING"]  [PATHWAY=""] tandem-95 repeat protein [Fuerstia marisgermanicae]</t>
  </si>
  <si>
    <t>Capsid decoration protein n=1 Tax=Stenotrophomonas phage Moby TaxID=2601680 RepID=A0A5P8PMB4_9CAUD</t>
  </si>
  <si>
    <t>DNAUV-34.354-18_32</t>
  </si>
  <si>
    <t>COG4520 [FUNC="Surface antigen"] [shortName=LipA17] [TAG=M TAGDEF="Cell wall/membrane/envelope biogenesis" PROCESS="CELLULAR PROCESSES AND SIGNALING"]  [PATHWAY=""] MULTISPECIES: glycine zipper 2TM domain-containing protein [Rhodomicrobium]</t>
  </si>
  <si>
    <t>17 kDa surface antigen n=1 Tax=Pyruvatibacter mobilis TaxID=1712261 RepID=A0A845Q9T7_9HYPH</t>
  </si>
  <si>
    <t>DNAUV-57.114-48_100</t>
  </si>
  <si>
    <t>COG4641 [FUNC="Spore maturation protein CgeB"] [shortName=] [TAG=D TAGDEF="Cell cycle control, cell division, chromosome partitioning" PROCESS="CELLULAR PROCESSES AND SIGNALING"]  [PATHWAY=""] hypothetical protein [Pseudorhodoplanes sinuspersici]</t>
  </si>
  <si>
    <t>VOG25548 [FUNC="REFSEQ hypothetical protein"] [TAG=Xu TAGDEF="Function unknown"]</t>
  </si>
  <si>
    <t>Uncharacterized protein n=1 Tax=Roseobacter phage CRP-2 TaxID=2559281 RepID=A0A646QVR9_9CAUD</t>
  </si>
  <si>
    <t>DNAUV-11.287-15_11</t>
  </si>
  <si>
    <t>COG4678 [FUNC="Muramidase (phage lambda lysozyme)"] [shortName=] [TAG=M TAGDEF="Cell wall/membrane/envelope biogenesis" PROCESS="CELLULAR PROCESSES AND SIGNALING"] [TAG=X TAGDEF="Mobilome: prophages, transposons" PROCESS=""]  [PATHWAY=""] hypothetical protein [Paracoccus denitrificans]</t>
  </si>
  <si>
    <t>VOG00494 [FUNC="REFSEQ virion structural protein"] [TAG=Xu TAGDEF="Function unknown"]</t>
  </si>
  <si>
    <t>Structural protein n=1 Tax=Escherichia phage ST4 TaxID=2936457 RepID=A0A9E7NXL3_9VIRU</t>
  </si>
  <si>
    <t>DNAUV-3.399-228_6</t>
  </si>
  <si>
    <t>Bacteriophage tail tape measure N-terminal domain-containing protein n=2 Tax=Sulfitobacter sp. D7 TaxID=1968541 RepID=A0A386TAC5_9RHOB</t>
  </si>
  <si>
    <t>Juil.NODE_11_length_5327_cov_4.496017_7</t>
  </si>
  <si>
    <t>Putative tape measure protein n=1 Tax=Roseobacter phage CRP-6 TaxID=2559285 RepID=A0A646QX37_9CAUD</t>
  </si>
  <si>
    <t>Oct.NODE_120_length_15339_cov_5.617051_21</t>
  </si>
  <si>
    <t>Bacteriophage tail tape measure N-terminal domain-containing protein n=2 Tax=Sulfitobacter sp. HI0027 TaxID=1822226 RepID=A0A341ELI7_9RHOB</t>
  </si>
  <si>
    <t>Oct.NODE_303_length_6944_cov_17.025258_1</t>
  </si>
  <si>
    <t>Tape measure protein n=1 Tax=Rubellimicrobium sp. CFH 75288 TaxID=2697034 RepID=A0A964TJA7_9RHOB</t>
  </si>
  <si>
    <t>Sept.NODE_1071_length_2216_cov_4.825081_2</t>
  </si>
  <si>
    <t>Bacteriophage tail tape measure N-terminal domain-containing protein n=1 Tax=Roseivivax isoporae LMG 25204 TaxID=1449351 RepID=X7F1I9_9RHOB</t>
  </si>
  <si>
    <t>DNAUV-73.172-54_35</t>
  </si>
  <si>
    <t>COG4678 [FUNC="Muramidase (phage lambda lysozyme)"] [shortName=] [TAG=M TAGDEF="Cell wall/membrane/envelope biogenesis" PROCESS="CELLULAR PROCESSES AND SIGNALING"] [TAG=X TAGDEF="Mobilome: prophages, transposons" PROCESS=""]  [PATHWAY=""] phage tail tape measure protein [Pelagibaca abyssi]</t>
  </si>
  <si>
    <t>Uncharacterized protein n=1 Tax=Dinoroseobacter phage DFL12phi1 TaxID=1477404 RepID=A0A023NGA9_9CAUD</t>
  </si>
  <si>
    <t>DNAUV-2.442-13_4</t>
  </si>
  <si>
    <t>COG4734 [FUNC="Antirestriction protein ArdA"] [shortName=ArdA] [TAG=V TAGDEF="Defense mechanisms" PROCESS="CELLULAR PROCESSES AND SIGNALING"]  [PATHWAY=""] antirestriction protein ArdA [Cycloclasticus zancles]</t>
  </si>
  <si>
    <t>VOG01581 [FUNC="REFSEQ anti-restriction protein"] [TAG=Xu TAGDEF="Function unknown"]</t>
  </si>
  <si>
    <t>ArdA-like antirestriction protein n=1 Tax=Rhizobium phage Pasto TaxID=2767575 RepID=A0A7S6U1N8_9CAUD</t>
  </si>
  <si>
    <t>Oct.NODE_1480_length_2438_cov_3.281997_4</t>
  </si>
  <si>
    <t>COG4734 [FUNC="Antirestriction protein ArdA"] [shortName=ArdA] [TAG=V TAGDEF="Defense mechanisms" PROCESS="CELLULAR PROCESSES AND SIGNALING"]  [PATHWAY=""] hypothetical protein [Neorhizobium galegae]</t>
  </si>
  <si>
    <t>Antirestriction protein ArdA n=1 Tax=Neorhizobium galegae bv. orientalis str. HAMBI 540 TaxID=1028800 RepID=A0A068SP02_NEOGA</t>
  </si>
  <si>
    <t>11.09.P4-24.849-9.8_11</t>
  </si>
  <si>
    <t>COG4783 [FUNC="Outer membrane protein chaperone/metalloprotease BepA/YfgC, contains M48 and TPR domains"] [shortName=BepA] [TAG=M TAGDEF="Cell wall/membrane/envelope biogenesis" PROCESS="CELLULAR PROCESSES AND SIGNALING"] [TAG=O TAGDEF="Posttranslational modification, protein turnover, chaperones" PROCESS="CELLULAR PROCESSES AND SIGNALING"]  [PATHWAY=""] glycosyl transferase family 2 [Caldithrix abyssi]</t>
  </si>
  <si>
    <t>Glycosyltransferase n=2 Tax=Methylovirgula sp. 4M-Z18 TaxID=2293567 RepID=A0A371WT46_9HYPH</t>
  </si>
  <si>
    <t>DNAUV-6.129-734_6</t>
  </si>
  <si>
    <t>sp|P00782|SUBT_BACAM Subtilisin BPN' OS=Bacillus amyloliquefaciens OX=1390 GN=apr PE=1 SV=1</t>
  </si>
  <si>
    <t>COG4934 [FUNC="Serine protease, subtilase family"] [shortName=] [TAG=O TAGDEF="Posttranslational modification, protein turnover, chaperones" PROCESS="CELLULAR PROCESSES AND SIGNALING"]  [PATHWAY=""] peptidase S8 [Salinibacter ruber]</t>
  </si>
  <si>
    <t>Putative proximal tail fiber protein n=1 Tax=Synechococcus phage S-CAM1 TaxID=754037 RepID=A0A1D8KFC6_9CAUD</t>
  </si>
  <si>
    <t>DNAUV-4.488-64_14</t>
  </si>
  <si>
    <t>sp|P08594|AQL1_THEAQ Aqualysin-1 OS=Thermus aquaticus OX=271 GN=pstI PE=1 SV=2</t>
  </si>
  <si>
    <t>COG4935 [FUNC="Regulatory P domain of the subtilisin-like proprotein convertases and other proteases"] [shortName=] [TAG=O TAGDEF="Posttranslational modification, protein turnover, chaperones" PROCESS="CELLULAR PROCESSES AND SIGNALING"]  [PATHWAY=""] hypothetical protein [Alloactinosynnema sp. L-07]</t>
  </si>
  <si>
    <t>Peptidase S8/S53 domain-containing protein n=1 Tax=Synechococcus phage S-CAM4 TaxID=1883367 RepID=A0A1D8KL98_9CAUD</t>
  </si>
  <si>
    <t>DNAUV-38.512-299_43</t>
  </si>
  <si>
    <t>COG4942 [FUNC="Septal ring factor EnvC, activator of murein hydrolases AmiA and AmiB"] [shortName=EnvC] [TAG=D TAGDEF="Cell cycle control, cell division, chromosome partitioning" PROCESS="CELLULAR PROCESSES AND SIGNALING"]  [PATHWAY=""] hypothetical protein [Brenneria goodwinii]</t>
  </si>
  <si>
    <t>VOG00109 [FUNC="sp|Q6QGE9|BPPB3_BPT5 Baseplate hub protein pb3"] [TAG=Xh TAGDEF="Virus protein with function beneficial for the host"]</t>
  </si>
  <si>
    <t>DUF1983 domain-containing protein n=2 Tax=Hafnia alvei TaxID=569 RepID=A0A4Q9ERN9_HAFAL</t>
  </si>
  <si>
    <t>Avril.NODE_881_length_3051_cov_5.697597_4</t>
  </si>
  <si>
    <t>COG4942 [FUNC="Septal ring factor EnvC, activator of murein hydrolases AmiA and AmiB"] [shortName=EnvC] [TAG=D TAGDEF="Cell cycle control, cell division, chromosome partitioning" PROCESS="CELLULAR PROCESSES AND SIGNALING"]  [PATHWAY=""] hypothetical protein [Hartmannibacter diazotrophicus]</t>
  </si>
  <si>
    <t>Tape measure protein n=1 Tax=Mesorhizobium sp. B2-8-9 TaxID=2589899 RepID=A0A502TEE1_9HYPH</t>
  </si>
  <si>
    <t>DNAUV-59.689-63_80</t>
  </si>
  <si>
    <t>Tail protein n=1 Tax=Ruegeria phage vB_RpoS-V16 TaxID=2218618 RepID=A0A2Z4QH75_9CAUD</t>
  </si>
  <si>
    <t>DNAUV-85.908-43_109</t>
  </si>
  <si>
    <t>Tape measure protein n=1 Tax=Pseudomonas phage PspYZU01 TaxID=1983555 RepID=A0A2U7NEW8_9CAUD</t>
  </si>
  <si>
    <t>11.09.P4-15.966-7.3_10</t>
  </si>
  <si>
    <t>COG4942 [FUNC="Septal ring factor EnvC, activator of murein hydrolases AmiA and AmiB"] [shortName=EnvC] [TAG=D TAGDEF="Cell cycle control, cell division, chromosome partitioning" PROCESS="CELLULAR PROCESSES AND SIGNALING"]  [PATHWAY=""] methyltransferase domain-containing protein [Croceicoccus marinus]</t>
  </si>
  <si>
    <t>SAM dependent methyltransferase n=1 Tax=Pontimonas phage phiPsal1 TaxID=2079347 RepID=A0A2K9VGK3_9CAUD</t>
  </si>
  <si>
    <t>DNAUV-3.330-229_6</t>
  </si>
  <si>
    <t>DNAUV-3.816-231_1</t>
  </si>
  <si>
    <t>DNAUV-4.822-298_1</t>
  </si>
  <si>
    <t>Oct.NODE_133_length_14145_cov_13.486231_13</t>
  </si>
  <si>
    <t>Oct.NODE_191_length_10239_cov_19.502848_1</t>
  </si>
  <si>
    <t>Sept.NODE_613_length_3201_cov_59.065480_4</t>
  </si>
  <si>
    <t>DNAUV-9.697-307_23</t>
  </si>
  <si>
    <t>COG4942 [FUNC="Septal ring factor EnvC, activator of murein hydrolases AmiA and AmiB"] [shortName=EnvC] [TAG=D TAGDEF="Cell cycle control, cell division, chromosome partitioning" PROCESS="CELLULAR PROCESSES AND SIGNALING"]  [PATHWAY=""] peptidase M23 [Desulfotomaculum ruminis]</t>
  </si>
  <si>
    <t>DNAUV-15.533-18_11</t>
  </si>
  <si>
    <t>COG4942 [FUNC="Septal ring factor EnvC, activator of murein hydrolases AmiA and AmiB"] [shortName=EnvC] [TAG=D TAGDEF="Cell cycle control, cell division, chromosome partitioning" PROCESS="CELLULAR PROCESSES AND SIGNALING"]  [PATHWAY=""] peptidase M23 [Gottschalkia acidurici]</t>
  </si>
  <si>
    <t>DNAUV-35.223-36_78</t>
  </si>
  <si>
    <t>DNAUV-5.269-158_8</t>
  </si>
  <si>
    <t>Avril.NODE_302_length_6806_cov_5.620649_7</t>
  </si>
  <si>
    <t>COG4961 [FUNC="Flp pilus assembly protein TadG, includes N-terminal TadE domain"] [shortName=TadG] [TAG=U TAGDEF="Intracellular trafficking, secretion, and vesicular transport" PROCESS="CELLULAR PROCESSES AND SIGNALING"] [TAG=W TAGDEF="Extracellular structures" PROCESS="CELLULAR PROCESSES AND SIGNALING"]  [PATHWAY=""] hypothetical protein [Devosia sp. A16]</t>
  </si>
  <si>
    <t>Ubiquitin-activating enzyme E1 FCCH domain-containing protein n=1 Tax=Nitrosovibrio sp. Nv4 TaxID=1945880 RepID=A0A286C4F8_9PROT</t>
  </si>
  <si>
    <t>DNAUV-3.813-14_4</t>
  </si>
  <si>
    <t>DNAUV-44.645-4509_50</t>
  </si>
  <si>
    <t>COG4961 [FUNC="Flp pilus assembly protein TadG, includes N-terminal TadE domain"] [shortName=TadG] [TAG=U TAGDEF="Intracellular trafficking, secretion, and vesicular transport" PROCESS="CELLULAR PROCESSES AND SIGNALING"] [TAG=W TAGDEF="Extracellular structures" PROCESS="CELLULAR PROCESSES AND SIGNALING"]  [PATHWAY=""] hypothetical protein CC_0199 [Caulobacter crescentus CB15]</t>
  </si>
  <si>
    <t>FCCH domain ubiquitin-activating enzyme E1 n=1 Tax=Vibrio phage 1.185.O._10N.286.49.C2 TaxID=1881392 RepID=A0A2I7RHS5_9CAUD</t>
  </si>
  <si>
    <t>Sept.NODE_83_length_15924_cov_11.425043_3</t>
  </si>
  <si>
    <t>Putative tail tubular protein B n=1 Tax=Pelagibacter phage Lederberg EXVC029P TaxID=2759213 RepID=A0A7S6ILD5_9CAUD</t>
  </si>
  <si>
    <t>DNAUV-10.612-16_15</t>
  </si>
  <si>
    <t>sp|Q9AJU0|ELMM3_STROV 8-demethyl-8-(2,3-dimethoxy-alpha-L-rhamnosyl)-tetracenomycin-C 4'-O-methyltransferase OS=Streptomyces olivaceus OX=47716 GN=elmMIII PE=1 SV=1</t>
  </si>
  <si>
    <t>COG5010 [FUNC="Flp pilus assembly protein TadD, contains TPR repeats"] [shortName=TadD] [TAG=U TAGDEF="Intracellular trafficking, secretion, and vesicular transport" PROCESS="CELLULAR PROCESSES AND SIGNALING"] [TAG=W TAGDEF="Extracellular structures" PROCESS="CELLULAR PROCESSES AND SIGNALING"]  [PATHWAY=""] hypothetical protein [Candidatus Methylopumilus turicensis]</t>
  </si>
  <si>
    <t>VOG15987 [FUNC="REFSEQ 3-deoxy-8-phosphooctulonate synthase"] [TAG=Xu TAGDEF="Function unknown"]</t>
  </si>
  <si>
    <t>dTDP-6-deoxy-L-hexose 3-O-methyltransferase n=2 Tax=unclassified Kyanoviridae TaxID=2960609 RepID=A0A650EZN0_9CAUD</t>
  </si>
  <si>
    <t>11.09.P4-24.849-9.8_13</t>
  </si>
  <si>
    <t>sp|Q58577|Y1178_METJA Uncharacterized glycosyltransferase MJ1178 OS=Methanocaldococcus jannaschii (strain ATCC 43067 / DSM 2661 / JAL-1 / JCM 10045 / NBRC 100440) OX=243232 GN=MJ1178 PE=3 SV=1</t>
  </si>
  <si>
    <t>COG5010 [FUNC="Flp pilus assembly protein TadD, contains TPR repeats"] [shortName=TadD] [TAG=U TAGDEF="Intracellular trafficking, secretion, and vesicular transport" PROCESS="CELLULAR PROCESSES AND SIGNALING"] [TAG=W TAGDEF="Extracellular structures" PROCESS="CELLULAR PROCESSES AND SIGNALING"]  [PATHWAY=""] tetratricopeptide repeat protein [Candidatus Kuenenia stuttgartiensis]</t>
  </si>
  <si>
    <t>Glycosyltransferase involved in cell wall bisynthesis n=1 Tax=Trichlorobacter thiogenes TaxID=115783 RepID=A0A1T4JWL9_9BACT</t>
  </si>
  <si>
    <t>DNAUV-147.430-52_72</t>
  </si>
  <si>
    <t>COG5010 [FUNC="Flp pilus assembly protein TadD, contains TPR repeats"] [shortName=TadD] [TAG=U TAGDEF="Intracellular trafficking, secretion, and vesicular transport" PROCESS="CELLULAR PROCESSES AND SIGNALING"] [TAG=W TAGDEF="Extracellular structures" PROCESS="CELLULAR PROCESSES AND SIGNALING"]  [PATHWAY=""] tetratricopeptide repeat-containing protein [Devosia sp. A16]</t>
  </si>
  <si>
    <t>Capsule polysaccharide biosynthesis family protein n=1 Tax=Brucella grignonensis TaxID=94627 RepID=A0A256EZL7_9HYPH</t>
  </si>
  <si>
    <t>Avril.NODE_9_length_46600_cov_10.230895_47</t>
  </si>
  <si>
    <t>COG5126 [FUNC="Ca2+-binding protein, EF-hand superfamily"] [shortName=FRQ1] [TAG=T TAGDEF="Signal transduction mechanisms" PROCESS="CELLULAR PROCESSES AND SIGNALING"]  [PATHWAY=""] hypothetical protein [Halomonas elongata]</t>
  </si>
  <si>
    <t>Tape measure protein N-terminal domain-containing protein n=2 Tax=Loktanella sp. 3ANDIMAR09 TaxID=1225657 RepID=A0A0Q2U952_9RHOB</t>
  </si>
  <si>
    <t>11.09.P2-4.002-8.5_12</t>
  </si>
  <si>
    <t>sp|Q9FN03|UVR8_ARATH Ultraviolet-B receptor UVR8 OS=Arabidopsis thaliana OX=3702 GN=UVR8 PE=1 SV=1</t>
  </si>
  <si>
    <t>COG5184 [FUNC="Alpha-tubulin suppressor ATS1 and related RCC1 domain-containing proteins"] [shortName=ATS1] [TAG=D TAGDEF="Cell cycle control, cell division, chromosome partitioning" PROCESS="CELLULAR PROCESSES AND SIGNALING"] [TAG=Z TAGDEF="Cytoskeleton" PROCESS="CELLULAR PROCESSES AND SIGNALING"]  [PATHWAY=""] T9SS C-terminal target domain-containing protein [Chloroherpeton thalassium]</t>
  </si>
  <si>
    <t>Regulator of chromosome condensation RCC1 n=3 Tax=Chloroflexus TaxID=1107 RepID=A9WGL4_CHLAA</t>
  </si>
  <si>
    <t>05.07.P3-6.175-19_1</t>
  </si>
  <si>
    <t>COG5184 [FUNC="Alpha-tubulin suppressor ATS1 and related RCC1 domain-containing proteins"] [shortName=ATS1] [TAG=D TAGDEF="Cell cycle control, cell division, chromosome partitioning" PROCESS="CELLULAR PROCESSES AND SIGNALING"] [TAG=Z TAGDEF="Cytoskeleton" PROCESS="CELLULAR PROCESSES AND SIGNALING"]  [PATHWAY=""] tandem-95 repeat protein [Flavobacterium johnsoniae]</t>
  </si>
  <si>
    <t>VOG03215 [FUNC="REFSEQ virion structural protein"] [TAG=Xu TAGDEF="Function unknown"]</t>
  </si>
  <si>
    <t>Structural protein n=1 Tax=Cellulophaga phage phi13:2 TaxID=1328030 RepID=S0A4L9_9CAUD</t>
  </si>
  <si>
    <t>17.05.P3-2.558-2.4_1</t>
  </si>
  <si>
    <t>COG5295 [FUNC="Autotransporter adhesin"] [shortName=Hia] [TAG=U TAGDEF="Intracellular trafficking, secretion, and vesicular transport" PROCESS="CELLULAR PROCESSES AND SIGNALING"] [TAG=W TAGDEF="Extracellular structures" PROCESS="CELLULAR PROCESSES AND SIGNALING"]  [PATHWAY=""] collagen-binding protein [Desulfococcus oleovorans]</t>
  </si>
  <si>
    <t>Major tropism determinant N-terminal domain-containing protein n=1 Tax=Cyanophage P-RSM6 TaxID=929832 RepID=M4SLN3_9CAUD</t>
  </si>
  <si>
    <t>23.10.P4-9.059-32_10</t>
  </si>
  <si>
    <t>sp|P18305|443R_IIV6 Uncharacterized protein 443R OS=Invertebrate iridescent virus 6 OX=176652 GN=IIV6-443R PE=3 SV=2</t>
  </si>
  <si>
    <t>COG5295 [FUNC="Autotransporter adhesin"] [shortName=Hia] [TAG=U TAGDEF="Intracellular trafficking, secretion, and vesicular transport" PROCESS="CELLULAR PROCESSES AND SIGNALING"] [TAG=W TAGDEF="Extracellular structures" PROCESS="CELLULAR PROCESSES AND SIGNALING"]  [PATHWAY=""] hypothetical protein [Ruegeria mobilis]</t>
  </si>
  <si>
    <t>Peptidase S74 domain-containing protein n=1 Tax=Blyttiomyces helicus TaxID=388810 RepID=A0A4P9WN40_9FUNG</t>
  </si>
  <si>
    <t>DNAUV-10.760-29_10</t>
  </si>
  <si>
    <t>sp|Q16CY0|HSLV_ROSDO ATP-dependent protease subunit HslV OS=Roseobacter denitrificans (strain ATCC 33942 / OCh 114) OX=375451 GN=hslV PE=3 SV=1</t>
  </si>
  <si>
    <t>COG5405 [FUNC="ATP-dependent protease HslVU (ClpYQ), peptidase subunit"] [shortName=HslV] [TAG=O TAGDEF="Posttranslational modification, protein turnover, chaperones" PROCESS="CELLULAR PROCESSES AND SIGNALING"]  [PATHWAY=""] ATP-dependent protease subunit HslV [Antarctobacter heliothermus]</t>
  </si>
  <si>
    <t>VOG00369 [FUNC="REFSEQ peptidase HslV family"] [TAG=Xu TAGDEF="Function unknown"]</t>
  </si>
  <si>
    <t>Nucleophile aminohydrolase n=1 Tax=Vibrio phage 1.193.O._10N.286.52.C6 TaxID=1881436 RepID=A0A2I7RKI7_9CAUD</t>
  </si>
  <si>
    <t>DNAUV-34.761-382_14</t>
  </si>
  <si>
    <t>COG5405 [FUNC="ATP-dependent protease HslVU (ClpYQ), peptidase subunit"] [shortName=HslV] [TAG=O TAGDEF="Posttranslational modification, protein turnover, chaperones" PROCESS="CELLULAR PROCESSES AND SIGNALING"]  [PATHWAY=""] hypothetical protein [Indioceanicola profundi]</t>
  </si>
  <si>
    <t>VOG04562 [FUNC="REFSEQ peptidase HslV family"] [TAG=Xu TAGDEF="Function unknown"]</t>
  </si>
  <si>
    <t>Peptidase n=1 Tax=Paenibacillus graminis TaxID=189425 RepID=A0A089NKG2_9BACL</t>
  </si>
  <si>
    <t>DNAUV-80.863-259_52</t>
  </si>
  <si>
    <t>ATP-dependent protease HslVU (ClpYQ), peptidase subunit n=1 Tax=Azospirillum sp. (strain B510) TaxID=137722 RepID=D3NX03_AZOS1</t>
  </si>
  <si>
    <t>DNAUV-40.486-52_17</t>
  </si>
  <si>
    <t>sp|Q6QGP7|ENLYS_BPT5 L-alanyl-D-glutamate peptidase OS=Escherichia phage T5 OX=2695836 GN=lys PE=1 SV=1</t>
  </si>
  <si>
    <t>COG5632 [FUNC="N-acetylmuramoyl-L-alanine amidase CwlA"] [shortName=CwlA] [TAG=M TAGDEF="Cell wall/membrane/envelope biogenesis" PROCESS="CELLULAR PROCESSES AND SIGNALING"]  [PATHWAY=""] peptidoglycan-binding protein [Exiguobacterium sp. MH3]</t>
  </si>
  <si>
    <t>Putative peptidase n=1 Tax=Pseudoalteromonas phage vB_PspS-H40/1 TaxID=1856120 RepID=A0A173H0V8_9CAUD</t>
  </si>
  <si>
    <t>DNAUV-24.407-29_8</t>
  </si>
  <si>
    <t>COG5850 [FUNC="Prespore-specific transcriptional regulator RsfA"] [shortName=RsfA] [TAG=D TAGDEF="Cell cycle control, cell division, chromosome partitioning" PROCESS="CELLULAR PROCESSES AND SIGNALING"] [TAG=K TAGDEF="Transcription" PROCESS="INFORMATION STORAGE AND PROCESSING"]  [PATHWAY=""] RsfA family transcription factor [Kyrpidia tusciae]</t>
  </si>
  <si>
    <t>VOG07979 [FUNC="REFSEQ hypothetical protein"] [TAG=Xu TAGDEF="Function unknown"]</t>
  </si>
  <si>
    <t>Transcription factor, RsfA family n=2 Tax=Alicyclobacillus hesperidum TaxID=89784 RepID=J9HPE2_9BACL</t>
  </si>
  <si>
    <t>DNAUV-5.975-24_2</t>
  </si>
  <si>
    <t>sp|Q6D0W9|CAS3_PECAS CRISPR-associated nuclease/helicase Cas3 subtype I-F/YPEST OS=Pectobacterium atrosepticum (strain SCRI 1043 / ATCC BAA-672) OX=218491 GN=cas3 PE=1 SV=1</t>
  </si>
  <si>
    <t>COG5932 [FUNC="CRISPR-Cas type I-F system-associated endonuclease/helicase Cas3f, fused to Cas2 domain"] [shortName=Cas3f] [TAG=V TAGDEF="Defense mechanisms" PROCESS="CELLULAR PROCESSES AND SIGNALING"]  [PATHWAY="CRISPR-Cas system"] type I-F CRISPR-associated helicase Cas3 [Methylovulum psychrotolerans]</t>
  </si>
  <si>
    <t>Cas3 n=6 Tax=unclassified Caudoviricetes TaxID=2788787 RepID=M1RHD2_9CAUD</t>
  </si>
  <si>
    <t>DNAUV-29.591-37_20</t>
  </si>
  <si>
    <t>VOG00201 [FUNC="sp|O64301|LOADL_BPR69 Sliding-clamp-loader large subunit"] [TAG=Xh TAGDEF="Virus protein with function beneficial for the host"]</t>
  </si>
  <si>
    <t>Mitochondrial chaperone n=3 Tax=unclassified Caudoviricetes TaxID=2788787 RepID=A0A3T0IG59_9CAUD</t>
  </si>
  <si>
    <t>17.05.P3-11.511-17_10</t>
  </si>
  <si>
    <t>sp|Q9VHI7|IRU_DROME E3 ubiquitin-protein ligase Iruka OS=Drosophila melanogaster OX=7227 GN=Iru PE=1 SV=1</t>
  </si>
  <si>
    <t>E3 ubiquitin-protein ligase n=1 Tax=Sarcoptes scabiei TaxID=52283 RepID=A0A834RGP7_SARSC</t>
  </si>
  <si>
    <t>DNAUV-41.618-136_17</t>
  </si>
  <si>
    <t>sp|A2AGL3|RYR3_MOUSE Ryanodine receptor 3 OS=Mus musculus OX=10090 GN=Ryr3 PE=1 SV=1</t>
  </si>
  <si>
    <t>KOG2243 [FUNC="Ca2+ release channel (ryanodine receptor)"] [shortName=] [TAG=T TAGDEF="Signal transduction mechanisms" PROCESS="CELLULAR PROCESSES AND SIGNALING"]  [PATHWAY=""]</t>
  </si>
  <si>
    <t>VOG02402 [FUNC="REFSEQ hypothetical protein"] [TAG=Xu TAGDEF="Function unknown"]</t>
  </si>
  <si>
    <t>Ryanodine receptor Ryr domain-containing protein n=3 Tax=Kuttervirus TaxID=2169536 RepID=A0A7T3TKS6_9CAUD</t>
  </si>
  <si>
    <t>Oct.NODE_590_length_4460_cov_23.935982_2</t>
  </si>
  <si>
    <t>sp|Q92736|RYR2_HUMAN Ryanodine receptor 2 OS=Homo sapiens OX=9606 GN=RYR2 PE=1 SV=3</t>
  </si>
  <si>
    <t>VOG02731 [FUNC="REFSEQ hypothetical protein"] [TAG=Xu TAGDEF="Function unknown"]</t>
  </si>
  <si>
    <t>Uncharacterized protein n=1 Tax=Variovorax paradoxus TaxID=34073 RepID=A0A9X7VNA0_VARPD</t>
  </si>
  <si>
    <t>DNAUV-72.439-197_121</t>
  </si>
  <si>
    <t>sp|C0HLK0|CO1A2_PARHA Collagen alpha-2(I) chain (Fragments) OS=Paramylodon harlani OX=2546661 PE=1 SV=1</t>
  </si>
  <si>
    <t>KOG3544 [FUNC="Collagens (type IV and type XIII), and related proteins"] [shortName=] [TAG=W TAGDEF="Extracellular structures" PROCESS="CELLULAR PROCESSES AND SIGNALING"]  [PATHWAY=""]</t>
  </si>
  <si>
    <t>Hedgehog/Intein (Hint) domain-containing protein n=1 Tax=Marivita cryptomonadis TaxID=505252 RepID=A0A9Q2NYP9_9RHOB</t>
  </si>
  <si>
    <t>Oct.NODE_104_length_18061_cov_4.720593_11</t>
  </si>
  <si>
    <t>DNAUV-22.127-23_26</t>
  </si>
  <si>
    <t>COG0030 [FUNC="16S rRNA A1518 and A1519 N6-dimethyltransferase RsmA/KsgA/DIM1 (may also have DNA glycosylase/AP lyase activity)"] [shortName=RsmA] [TAG=J TAGDEF="Translation, ribosomal structure and biogenesis" PROCESS="INFORMATION STORAGE AND PROCESSING"]  [PATHWAY="16S rRNA modification"] MULTISPECIES: DUF4942 domain-containing protein [Sphingomonadaceae]</t>
  </si>
  <si>
    <t>DUF4942 domain-containing protein n=1 Tax=Pseudomonas abyssi TaxID=170540 RepID=A0A2A3MMA6_9PSED</t>
  </si>
  <si>
    <t>11.09.P1-3.080-2.1_3</t>
  </si>
  <si>
    <t>COG0030 [FUNC="16S rRNA A1518 and A1519 N6-dimethyltransferase RsmA/KsgA/DIM1 (may also have DNA glycosylase/AP lyase activity)"] [shortName=RsmA] [TAG=J TAGDEF="Translation, ribosomal structure and biogenesis" PROCESS="INFORMATION STORAGE AND PROCESSING"]  [PATHWAY="16S rRNA modification"] SAM-dependent methyltransferase [Methylibium petroleiphilum]</t>
  </si>
  <si>
    <t>Methyltransferase family protein n=2 Tax=Chelatococcus asaccharovorans TaxID=28210 RepID=A0A2V3UAU4_9HYPH</t>
  </si>
  <si>
    <t>11.09.P4-3.520-2.4_2</t>
  </si>
  <si>
    <t>sp|Q9WZ48|TILS_THEMA tRNA(Ile)-lysidine synthase OS=Thermotoga maritima (strain ATCC 43589 / DSM 3109 / JCM 10099 / NBRC 100826 / MSB8) OX=243274 GN=tilS PE=3 SV=1</t>
  </si>
  <si>
    <t>COG0037 [FUNC="tRNA(Ile)-lysidine synthase TilS/MesJ"] [shortName=TilS] [TAG=J TAGDEF="Translation, ribosomal structure and biogenesis" PROCESS="INFORMATION STORAGE AND PROCESSING"]  [PATHWAY="tRNA modification"] tRNA lysidine(34) synthetase TilS [Oscillibacter valericigenes]</t>
  </si>
  <si>
    <t>tRNA(Ile)-lysidine synthetase n=2 Tax=unclassified Caudoviricetes TaxID=2788787 RepID=A0A915Y9R7_9CAUD</t>
  </si>
  <si>
    <t>DNAUV-2.239-11_3</t>
  </si>
  <si>
    <t>COG0073 [FUNC="tRNA-binding EMAP/Myf domain"] [shortName=EMAP] [TAG=J TAGDEF="Translation, ribosomal structure and biogenesis" PROCESS="INFORMATION STORAGE AND PROCESSING"]  [PATHWAY=""] hypothetical protein [Acaryochloris marina]</t>
  </si>
  <si>
    <t>VOG00326 [FUNC="sp|P32277|RLIG2_BPT4 RNA ligase 2"] [TAG=Xh TAGDEF="Virus protein with function beneficial for the host"]</t>
  </si>
  <si>
    <t>RNA ligase 2 n=1 Tax=Klebsiella phage DP TaxID=2981549 RepID=A0A9X9NY32_9CAUD</t>
  </si>
  <si>
    <t>DNAUV-2.721-72_4</t>
  </si>
  <si>
    <t>RNA ligase n=1 Tax=Rhodobacter phage RcXuper TaxID=2973496 RepID=A0A976SQL7_9CAUD</t>
  </si>
  <si>
    <t>DNAUV-21.362-14_16</t>
  </si>
  <si>
    <t>sp|P32277|RLIG2_BPT4 RNA ligase 2 OS=Enterobacteria phage T4 OX=10665 GN=Y10A PE=1 SV=1</t>
  </si>
  <si>
    <t>Phenylalanyl-tRNA synthetase beta subunit, putative n=1 Tax=Acaryochloris marina (strain MBIC 11017) TaxID=329726 RepID=B0C9U0_ACAM1</t>
  </si>
  <si>
    <t>05.07.P3-3.942-8.7_6</t>
  </si>
  <si>
    <t>COG0073 [FUNC="tRNA-binding EMAP/Myf domain"] [shortName=EMAP] [TAG=J TAGDEF="Translation, ribosomal structure and biogenesis" PROCESS="INFORMATION STORAGE AND PROCESSING"]  [PATHWAY=""] hypothetical protein [Stanieria cyanosphaera]</t>
  </si>
  <si>
    <t>RNA ligase n=1 Tax=Vibrio phage 1.026.O._10N.222.49.C7 TaxID=1881421 RepID=A0A2I7QML2_9CAUD</t>
  </si>
  <si>
    <t>11.09.P1-2.871-13_3</t>
  </si>
  <si>
    <t>RNA ligase n=1 Tax=Caulobacter phage Cr30 TaxID=1357714 RepID=A0A067XQS6_9CAUD</t>
  </si>
  <si>
    <t>DNAUV-152.980-60_40</t>
  </si>
  <si>
    <t>RNA ligase domain-containing protein n=1 Tax=Ralstonia phage RsoM2USA TaxID=2070027 RepID=A0A8D4KJE8_9CAUD</t>
  </si>
  <si>
    <t>DNAUV-159.889-409_20</t>
  </si>
  <si>
    <t>RNA ligase 2 protein n=1 Tax=Rhizobium phage RHph_I1_18 TaxID=2509726 RepID=A0A7S5REN3_9CAUD</t>
  </si>
  <si>
    <t>DNAUV-3.093-52_7</t>
  </si>
  <si>
    <t>DNAUV-63.154-214_78</t>
  </si>
  <si>
    <t>RNA ligase domain-containing protein n=2 Tax=Pseudosulfitobacter pseudonitzschiae TaxID=1402135 RepID=A0A9Q6ZJ63_9RHOB</t>
  </si>
  <si>
    <t>DNAUV-80.863-259_53</t>
  </si>
  <si>
    <t>DNAUV-34.761-382_10</t>
  </si>
  <si>
    <t>sp|P75164|Y633_MYCPN Uncharacterized protein MPN_633 OS=Mycoplasma pneumoniae (strain ATCC 29342 / M129 / Subtype 1) OX=272634 GN=MPN_633 PE=4 SV=1</t>
  </si>
  <si>
    <t>COG0187 [FUNC="DNA gyrase/topoisomerase IV, subunit B"] [shortName=GyrB] [TAG=L TAGDEF="Replication, recombination and repair" PROCESS="INFORMATION STORAGE AND PROCESSING"]  [PATHWAY=""] ATP-binding protein [Methanoculleus bourgensis]</t>
  </si>
  <si>
    <t>VOG38009 [FUNC="REFSEQ hypothetical protein"] [TAG=Xu TAGDEF="Function unknown"]</t>
  </si>
  <si>
    <t>Uncharacterized protein n=1 Tax=Vibrio phage 11895-B1 TaxID=754075 RepID=M4R2V7_9CAUD</t>
  </si>
  <si>
    <t>DNAUV-3.508-18_5</t>
  </si>
  <si>
    <t>sp|P23992|TOPS_BPT4 DNA topoisomerase small subunit OS=Enterobacteria phage T4 OX=10665 GN=60 PE=1 SV=1</t>
  </si>
  <si>
    <t>COG0187 [FUNC="DNA gyrase/topoisomerase IV, subunit B"] [shortName=GyrB] [TAG=L TAGDEF="Replication, recombination and repair" PROCESS="INFORMATION STORAGE AND PROCESSING"]  [PATHWAY=""] DNA topoisomerase (ATP-hydrolyzing) subunit B [Thermosipho africanus]</t>
  </si>
  <si>
    <t>DNA topoisomerase (ATP-hydrolyzing) n=1 Tax=Vibrio phage nt-1 TaxID=115992 RepID=R9TF65_9CAUD</t>
  </si>
  <si>
    <t>DNAUV-3.508-18_7</t>
  </si>
  <si>
    <t>sp|P07065|TOP5_BPT4 DNA topoisomerase medium subunit OS=Enterobacteria phage T4 OX=10665 GN=52 PE=1 SV=2</t>
  </si>
  <si>
    <t>COG0188 [FUNC="DNA gyrase/topoisomerase IV, subunit A"] [shortName=GyrA] [TAG=L TAGDEF="Replication, recombination and repair" PROCESS="INFORMATION STORAGE AND PROCESSING"]  [PATHWAY=""] DNA gyrase subunit A [Candidatus Walczuchella monophlebidarum]</t>
  </si>
  <si>
    <t>Topoisomerase II medium subunit n=1 Tax=Serratia phage PS2 TaxID=1481112 RepID=A0A023W5F9_9CAUD</t>
  </si>
  <si>
    <t>DNAUV-5.648-962_11</t>
  </si>
  <si>
    <t>sp|O34580|PCRA_BACSU ATP-dependent DNA helicase PcrA OS=Bacillus subtilis (strain 168) OX=224308 GN=pcrA PE=1 SV=1</t>
  </si>
  <si>
    <t>COG0210 [FUNC="Superfamily I DNA or RNA helicase"] [shortName=UvrD] [TAG=L TAGDEF="Replication, recombination and repair" PROCESS="INFORMATION STORAGE AND PROCESSING"]  [PATHWAY=""] ATP-dependent DNA helicase Rep [Haloarculaceae archaeon HArcel1]</t>
  </si>
  <si>
    <t>DNA 3'-5' helicase n=1 Tax=phage 023Pt_psg01 TaxID=2945965 RepID=A0A9E7LED0_9CAUD</t>
  </si>
  <si>
    <t>DNAUV-46.666-73_64</t>
  </si>
  <si>
    <t>sp|P75437|UVRD_MYCPN Probable DNA helicase II homolog OS=Mycoplasma pneumoniae (strain ATCC 29342 / M129 / Subtype 1) OX=272634 GN=uvrD PE=3 SV=1</t>
  </si>
  <si>
    <t>COG0210 [FUNC="Superfamily I DNA or RNA helicase"] [shortName=UvrD] [TAG=L TAGDEF="Replication, recombination and repair" PROCESS="INFORMATION STORAGE AND PROCESSING"]  [PATHWAY=""] ATP-dependent helicase [Chondrocystis sp. NIES-4102]</t>
  </si>
  <si>
    <t>DNA 3'-5' helicase n=1 Tax=Vibrio phage vB_VspS_VS-ABTNL-3 TaxID=2026084 RepID=A0A2D1A3V0_9CAUD</t>
  </si>
  <si>
    <t>DNAUV-6.125-18_4</t>
  </si>
  <si>
    <t>COG0210 [FUNC="Superfamily I DNA or RNA helicase"] [shortName=UvrD] [TAG=L TAGDEF="Replication, recombination and repair" PROCESS="INFORMATION STORAGE AND PROCESSING"]  [PATHWAY=""] ATP-dependent helicase [Haloferax volcanii]</t>
  </si>
  <si>
    <t>Rep helicase/DNA complex n=1 Tax=Caudovirales sp. ctOwN3 TaxID=2656725 RepID=A0A5Q2W5K8_9CAUD</t>
  </si>
  <si>
    <t>Avril.NODE_543_length_4416_cov_8.206833_2</t>
  </si>
  <si>
    <t>sp|P64321|UVRD2_MYCBO ATP-dependent DNA helicase UvrD2 OS=Mycobacterium bovis (strain ATCC BAA-935 / AF2122/97) OX=233413 GN=uvrD2 PE=3 SV=1</t>
  </si>
  <si>
    <t>COG0210 [FUNC="Superfamily I DNA or RNA helicase"] [shortName=UvrD] [TAG=L TAGDEF="Replication, recombination and repair" PROCESS="INFORMATION STORAGE AND PROCESSING"]  [PATHWAY=""] ATP-dependent helicase [Halorientalis sp. IM1011]</t>
  </si>
  <si>
    <t>UvrD/REP helicase n=2 Tax=unclassified Caudoviricetes TaxID=2788787 RepID=A0A411CW56_9CAUD</t>
  </si>
  <si>
    <t>Avril.NODE_1092_length_2580_cov_6.548119_3</t>
  </si>
  <si>
    <t>sp|O31626|YJCD_BACSU Putative ATP-dependent DNA helicase YjcD OS=Bacillus subtilis (strain 168) OX=224308 GN=yjcD PE=1 SV=1</t>
  </si>
  <si>
    <t>COG0210 [FUNC="Superfamily I DNA or RNA helicase"] [shortName=UvrD] [TAG=L TAGDEF="Replication, recombination and repair" PROCESS="INFORMATION STORAGE AND PROCESSING"]  [PATHWAY=""] ATP-dependent helicase [Hydrogenobacter thermophilus]</t>
  </si>
  <si>
    <t>DNAUV-26.770-92_24</t>
  </si>
  <si>
    <t>ATP-dependent DNA helicase n=1 Tax=Dinoroseobacter phage vB_DshS-R5C TaxID=1965368 RepID=A0A1V0DYA4_9CAUD</t>
  </si>
  <si>
    <t>DNAUV-6.125-18_5</t>
  </si>
  <si>
    <t>sp|Q9Z7G7|RECB_CHLPN RecBCD enzyme subunit RecB OS=Chlamydia pneumoniae OX=83558 GN=recB PE=3 SV=2</t>
  </si>
  <si>
    <t>Mai.NODE_499_length_3863_cov_4.005252_7</t>
  </si>
  <si>
    <t>sp|F1ND48|FBH1_CHICK F-box DNA helicase 1 OS=Gallus gallus OX=9031 GN=FBH1 PE=2 SV=2</t>
  </si>
  <si>
    <t>COG0210 [FUNC="Superfamily I DNA or RNA helicase"] [shortName=UvrD] [TAG=L TAGDEF="Replication, recombination and repair" PROCESS="INFORMATION STORAGE AND PROCESSING"]  [PATHWAY=""] ATP-dependent helicase [Hydrogenophilus thermoluteolus]</t>
  </si>
  <si>
    <t>DNA 3'-5' helicase n=1 Tax=Xanthomonas phage vB_Xar_IVIA-DoCa3 TaxID=2968248 RepID=A0A976SG76_9CAUD</t>
  </si>
  <si>
    <t>DNAUV-147.430-52_44</t>
  </si>
  <si>
    <t>sp|A7HWJ0|SYC_PARL1 Cysteine--tRNA ligase OS=Parvibaculum lavamentivorans (strain DS-1 / DSM 13023 / NCIMB 13966) OX=402881 GN=cysS PE=3 SV=1</t>
  </si>
  <si>
    <t>COG0215 [FUNC="Cysteinyl-tRNA synthetase"] [shortName=CysS] [TAG=J TAGDEF="Translation, ribosomal structure and biogenesis" PROCESS="INFORMATION STORAGE AND PROCESSING"]  [PATHWAY="Aminoacyl-tRNA synthetases"] cysteine--tRNA ligase [Micavibrio aeruginosavorus]</t>
  </si>
  <si>
    <t>Cysteine--tRNA ligase n=1 Tax=Micavibrio aeruginosavorus TaxID=349221 RepID=A0A2W5BK17_9BACT</t>
  </si>
  <si>
    <t>DNAUV-18.244-111_17</t>
  </si>
  <si>
    <t>sp|Q3AC18|DEF_CARHZ Peptide deformylase OS=Carboxydothermus hydrogenoformans (strain ATCC BAA-161 / DSM 6008 / Z-2901) OX=246194 GN=def PE=3 SV=1</t>
  </si>
  <si>
    <t>COG0242 [FUNC="Peptide deformylase"] [shortName=Def] [TAG=J TAGDEF="Translation, ribosomal structure and biogenesis" PROCESS="INFORMATION STORAGE AND PROCESSING"]  [PATHWAY=""] MULTISPECIES: peptide deformylase [Firmicutes]</t>
  </si>
  <si>
    <t>VOG13551 [FUNC="sp|P73441|DEF_SYNY3 Peptide deformylase"] [TAG=Xh TAGDEF="Virus protein with function beneficial for the host"]</t>
  </si>
  <si>
    <t>Peptide deformylase n=1 Tax=Stenotrophomonas phage vB_SmaS-DLP_6 TaxID=1651816 RepID=A0A142EZU8_9CAUD</t>
  </si>
  <si>
    <t>DNAUV-41.618-136_7</t>
  </si>
  <si>
    <t>sp|A8F524|DEF_PSELT Peptide deformylase OS=Pseudothermotoga lettingae (strain ATCC BAA-301 / DSM 14385 / NBRC 107922 / TMO) OX=416591 GN=def PE=3 SV=1</t>
  </si>
  <si>
    <t>COG0242 [FUNC="Peptide deformylase"] [shortName=Def] [TAG=J TAGDEF="Translation, ribosomal structure and biogenesis" PROCESS="INFORMATION STORAGE AND PROCESSING"]  [PATHWAY=""] peptide deformylase [[Eubacterium] rectale]</t>
  </si>
  <si>
    <t>Polypeptide deformylase n=1 Tax=Vibrio phage 1.023.O._10N.222.51.B4 TaxID=1881419 RepID=A0A2I7QLT9_9CAUD</t>
  </si>
  <si>
    <t>DNAUV-159.889-409_93</t>
  </si>
  <si>
    <t>sp|Q6G1G6|DEF_BARQU Peptide deformylase OS=Bartonella quintana (strain Toulouse) OX=283165 GN=def PE=3 SV=1</t>
  </si>
  <si>
    <t>COG0242 [FUNC="Peptide deformylase"] [shortName=Def] [TAG=J TAGDEF="Translation, ribosomal structure and biogenesis" PROCESS="INFORMATION STORAGE AND PROCESSING"]  [PATHWAY=""] peptide deformylase [Bartonella quintana]</t>
  </si>
  <si>
    <t>DNAUV-2.254-14-V2_5</t>
  </si>
  <si>
    <t>sp|A5ILS1|DEF_THEP1 Peptide deformylase OS=Thermotoga petrophila (strain ATCC BAA-488 / DSM 13995 / JCM 10881 / RKU-1) OX=390874 GN=def PE=3 SV=1</t>
  </si>
  <si>
    <t>COG0242 [FUNC="Peptide deformylase"] [shortName=Def] [TAG=J TAGDEF="Translation, ribosomal structure and biogenesis" PROCESS="INFORMATION STORAGE AND PROCESSING"]  [PATHWAY=""] peptide deformylase [Gemmobacter sp. HYN0069]</t>
  </si>
  <si>
    <t>Peptide deformylase n=1 Tax=Zongyanglinia huanghaiensis TaxID=2682100 RepID=A0A6L6WM56_9RHOB</t>
  </si>
  <si>
    <t>DNAUV-7.606-32_4</t>
  </si>
  <si>
    <t>sp|B3CMB1|DEF_WOLPP Peptide deformylase OS=Wolbachia pipientis subsp. Culex pipiens (strain wPip) OX=570417 GN=def PE=3 SV=1</t>
  </si>
  <si>
    <t>COG0242 [FUNC="Peptide deformylase"] [shortName=Def] [TAG=J TAGDEF="Translation, ribosomal structure and biogenesis" PROCESS="INFORMATION STORAGE AND PROCESSING"]  [PATHWAY=""] peptide deformylase [Rivularia sp. PCC 7116]</t>
  </si>
  <si>
    <t>DNAUV-13.646-18_9</t>
  </si>
  <si>
    <t>COG0242 [FUNC="Peptide deformylase"] [shortName=Def] [TAG=J TAGDEF="Translation, ribosomal structure and biogenesis" PROCESS="INFORMATION STORAGE AND PROCESSING"]  [PATHWAY=""] peptide deformylase Def [Planktomarina temperata RCA23]</t>
  </si>
  <si>
    <t>DNAUV-152.980-60_131</t>
  </si>
  <si>
    <t>sp|Q11X86|DEF_CYTH3 Peptide deformylase OS=Cytophaga hutchinsonii (strain ATCC 33406 / DSM 1761 / CIP 103989 / NBRC 15051 / NCIMB 9469 / D465) OX=269798 GN=def PE=3 SV=1</t>
  </si>
  <si>
    <t>COG0242 [FUNC="Peptide deformylase"] [shortName=Def] [TAG=J TAGDEF="Translation, ribosomal structure and biogenesis" PROCESS="INFORMATION STORAGE AND PROCESSING"]  [PATHWAY=""] peptide deformylase, peptide deformylase [Candidatus Campbellbacteria bacterium GW2011_OD1_34_28]</t>
  </si>
  <si>
    <t>DNAUV-34.354-18_24</t>
  </si>
  <si>
    <t>sp|P13319|RNH_BPT4 Ribonuclease H OS=Enterobacteria phage T4 OX=10665 GN=rnh PE=1 SV=1</t>
  </si>
  <si>
    <t>COG0258 [FUNC="5'-3' exonuclease Xni/ExoIX (flap endonuclease)"] [shortName=ExoIX] [TAG=L TAGDEF="Replication, recombination and repair" PROCESS="INFORMATION STORAGE AND PROCESSING"]  [PATHWAY=""] 5'-3' exonuclease [Macrococcus caseolyticus]</t>
  </si>
  <si>
    <t>Ribonuclease H n=1 Tax=Synechococcus phage S-WAM1 TaxID=1815521 RepID=A0A1D8KSL4_9CAUD</t>
  </si>
  <si>
    <t>Sept.NODE_398_length_4300_cov_5.742285_5</t>
  </si>
  <si>
    <t>05.07.P4-45.835-37_55</t>
  </si>
  <si>
    <t>sp|O08307|DPO1_CHLAA DNA polymerase I OS=Chloroflexus aurantiacus (strain ATCC 29366 / DSM 635 / J-10-fl) OX=324602 GN=polA PE=3 SV=1</t>
  </si>
  <si>
    <t>COG0258 [FUNC="5'-3' exonuclease Xni/ExoIX (flap endonuclease)"] [shortName=ExoIX] [TAG=L TAGDEF="Replication, recombination and repair" PROCESS="INFORMATION STORAGE AND PROCESSING"]  [PATHWAY=""] exonuclease [Pseudomonas putida KT2440]</t>
  </si>
  <si>
    <t>Exonuclease n=1 Tax=Roseobacter phage CRP-6 TaxID=2559285 RepID=A0A646QWH0_9CAUD</t>
  </si>
  <si>
    <t>Avril.NODE_810_length_3233_cov_8.993392_5</t>
  </si>
  <si>
    <t>sp|Q9RLB6|DPO1_RICHE DNA polymerase I OS=Rickettsia helvetica OX=35789 GN=polA PE=3 SV=1</t>
  </si>
  <si>
    <t>T7 exonuclease n=1 Tax=Sphingomonas paeninsulae TaxID=2319844 RepID=A0A494TIA7_SPHPE</t>
  </si>
  <si>
    <t>DNAUV-41.618-136_19</t>
  </si>
  <si>
    <t>sp|Q9RLA0|DPO1_RICTY DNA polymerase I OS=Rickettsia typhi (strain ATCC VR-144 / Wilmington) OX=257363 GN=polA PE=3 SV=1</t>
  </si>
  <si>
    <t>DNAUV-6.832-14_4</t>
  </si>
  <si>
    <t>sp|P00638|EXRN_BPT7 Exonuclease OS=Escherichia phage T7 OX=10760 GN=6 PE=1 SV=2</t>
  </si>
  <si>
    <t>Exonuclease n=1 Tax=Bordetella phage vB_BbrP_BB8 TaxID=2587820 RepID=A0A4Y5TQZ5_9CAUD</t>
  </si>
  <si>
    <t>Mai.NODE_155_length_9651_cov_133.830971_12</t>
  </si>
  <si>
    <t>Mai.NODE_62_length_23274_cov_154.731599_29</t>
  </si>
  <si>
    <t>DNAUV-159.889-409_17</t>
  </si>
  <si>
    <t>sp|Q92GB7|DPO1_RICCN DNA polymerase I OS=Rickettsia conorii (strain ATCC VR-613 / Malish 7) OX=272944 GN=polA PE=3 SV=1</t>
  </si>
  <si>
    <t>COG0258 [FUNC="5'-3' exonuclease Xni/ExoIX (flap endonuclease)"] [shortName=ExoIX] [TAG=L TAGDEF="Replication, recombination and repair" PROCESS="INFORMATION STORAGE AND PROCESSING"]  [PATHWAY=""] flap endonuclease Xni [Ferrimonas balearica]</t>
  </si>
  <si>
    <t>Ribonuclease H protein n=1 Tax=Rhizobium phage RHph_I1_18 TaxID=2509726 RepID=A0A7S5UWY3_9CAUD</t>
  </si>
  <si>
    <t>11.09.P1-11.148-50_3</t>
  </si>
  <si>
    <t>COG0258 [FUNC="5'-3' exonuclease Xni/ExoIX (flap endonuclease)"] [shortName=ExoIX] [TAG=L TAGDEF="Replication, recombination and repair" PROCESS="INFORMATION STORAGE AND PROCESSING"]  [PATHWAY=""] hypothetical protein [Azorhizobium caulinodans]</t>
  </si>
  <si>
    <t>Exonuclease n=1 Tax=Roseobacter phage CRP-5 TaxID=2559284 RepID=A0A646QWA3_9CAUD</t>
  </si>
  <si>
    <t>DNAUV-22.957-353_20</t>
  </si>
  <si>
    <t>sp|O05949|DPO1_RICPR DNA polymerase I OS=Rickettsia prowazekii (strain Madrid E) OX=272947 GN=polA PE=3 SV=1</t>
  </si>
  <si>
    <t>Avril.NODE_152_length_12366_cov_13.326375_7</t>
  </si>
  <si>
    <t>COG0258 [FUNC="5'-3' exonuclease Xni/ExoIX (flap endonuclease)"] [shortName=ExoIX] [TAG=L TAGDEF="Replication, recombination and repair" PROCESS="INFORMATION STORAGE AND PROCESSING"]  [PATHWAY=""] hypothetical protein [Neorhizobium galegae]</t>
  </si>
  <si>
    <t>Exonuclease n=1 Tax=Pelagibacter phage HTVC031P TaxID=2283017 RepID=A0A4Y1NVK4_9CAUD</t>
  </si>
  <si>
    <t>DNAUV-16.256-16_33</t>
  </si>
  <si>
    <t>DNAUV-2.049-14_4</t>
  </si>
  <si>
    <t>Exonuclease n=1 Tax=Pseudoduganella lutea TaxID=321985 RepID=A0A4P6L5P4_9BURK</t>
  </si>
  <si>
    <t>DNAUV-2.661-11_4</t>
  </si>
  <si>
    <t>Exonuclease n=1 Tax=Caulobacter sp. D5 TaxID=357400 RepID=A0A318BAW3_9CAUL</t>
  </si>
  <si>
    <t>Juil.NODE_72_length_2134_cov_4.537759_4</t>
  </si>
  <si>
    <t>5'-3' exonuclease domain-containing protein n=1 Tax=Nitrincola sp. A-D6 TaxID=1545442 RepID=A0A099PA66_9GAMM</t>
  </si>
  <si>
    <t>DNAUV-147.430-52_142</t>
  </si>
  <si>
    <t>COG0258 [FUNC="5'-3' exonuclease Xni/ExoIX (flap endonuclease)"] [shortName=ExoIX] [TAG=L TAGDEF="Replication, recombination and repair" PROCESS="INFORMATION STORAGE AND PROCESSING"]  [PATHWAY=""] MULTISPECIES: 5'-3' exonuclease [Nocardioides]</t>
  </si>
  <si>
    <t>05.07.P4-2.789-56_3</t>
  </si>
  <si>
    <t>COG0258 [FUNC="5'-3' exonuclease Xni/ExoIX (flap endonuclease)"] [shortName=ExoIX] [TAG=L TAGDEF="Replication, recombination and repair" PROCESS="INFORMATION STORAGE AND PROCESSING"]  [PATHWAY=""] phage exonuclease [Candidatus Puniceispirillum marinum]</t>
  </si>
  <si>
    <t>11.09.P4-19.072-23_5</t>
  </si>
  <si>
    <t>Avril.NODE_4_length_52184_cov_14.862668_56</t>
  </si>
  <si>
    <t>DNAUV-2.325-109_4</t>
  </si>
  <si>
    <t>sp|P20321|EXRN_BPT3 Exodeoxyribonuclease OS=Enterobacteria phage T3 OX=10759 GN=6 PE=4 SV=1</t>
  </si>
  <si>
    <t>5'-3' exonuclease domain-containing protein n=1 Tax=Polynucleobacter sp. 39-45-136 TaxID=1970427 RepID=A0A259PNF3_9BURK</t>
  </si>
  <si>
    <t>DNAUV-2.875-14_6</t>
  </si>
  <si>
    <t>sp|Q1RH76|DPO1_RICBR DNA polymerase I OS=Rickettsia bellii (strain RML369-C) OX=336407 GN=polA PE=3 SV=1</t>
  </si>
  <si>
    <t>DNAUV-37.297-108_10</t>
  </si>
  <si>
    <t>Exonuclease n=1 Tax=Lentibacter virus vB_LenP_ICBM2 TaxID=2301529 RepID=A0A3G2YRR1_9CAUD</t>
  </si>
  <si>
    <t>DNAUV-41.172-78_61</t>
  </si>
  <si>
    <t>sp|Q9S1G2|DPO1_RHILE DNA polymerase I OS=Rhizobium leguminosarum OX=384 GN=polA PE=3 SV=1</t>
  </si>
  <si>
    <t>5'-3' exonuclease n=1 Tax=Vibrio phage 1.208.B._10N.222.52.A7 TaxID=1881437 RepID=A0A2I7RPG9_9CAUD</t>
  </si>
  <si>
    <t>DNAUV-5.077-286_6</t>
  </si>
  <si>
    <t>sp|Q9RAA9|DPO1_RICFE DNA polymerase I OS=Rickettsia felis (strain ATCC VR-1525 / URRWXCal2) OX=315456 GN=polA PE=3 SV=1</t>
  </si>
  <si>
    <t>5'-3' exonuclease domain-containing protein n=1 Tax=Variovorax paradoxus TaxID=34073 RepID=A0A2W5S5J3_VARPD</t>
  </si>
  <si>
    <t>DNAUV-5.865-1025_8</t>
  </si>
  <si>
    <t>DNAUV-6.588-589_15</t>
  </si>
  <si>
    <t>Oct.NODE_1134_length_2894_cov_32.028883_3</t>
  </si>
  <si>
    <t>Oct.NODE_1506_length_2411_cov_2.969864_1</t>
  </si>
  <si>
    <t>5'-3' exonuclease n=2 Tax=unclassified Zobellviridae TaxID=2853025 RepID=A0A2I7RTL1_9CAUD</t>
  </si>
  <si>
    <t>Oct.NODE_1810_length_2125_cov_3.665217_1</t>
  </si>
  <si>
    <t>DNA polymerase-1 n=1 Tax=Propionispora hippei DSM 15287 TaxID=1123003 RepID=A0A1M6MG40_9FIRM</t>
  </si>
  <si>
    <t>Oct.NODE_783_length_3714_cov_9.905985_4</t>
  </si>
  <si>
    <t>Oct.NODE_797_length_3656_cov_16.732852_5</t>
  </si>
  <si>
    <t>Putative 5'-3' exonuclease protein n=1 Tax=Rhizobium phage RHEph01 TaxID=1220601 RepID=L7TLU4_9CAUD</t>
  </si>
  <si>
    <t>Sept.NODE_104_length_13001_cov_9.114862_15</t>
  </si>
  <si>
    <t>23.10.P4-7.838-26_12</t>
  </si>
  <si>
    <t>COG0261 [FUNC="Ribosomal protein L21"] [shortName=RplU] [TAG=J TAGDEF="Translation, ribosomal structure and biogenesis" PROCESS="INFORMATION STORAGE AND PROCESSING"]  [PATHWAY="Ribosome 50S subunit"] 50S ribosomal protein L21 [Sediminicola sp. YIK13]</t>
  </si>
  <si>
    <t>Large ribosomal subunit protein bL21 n=1 Tax=Salegentibacter holothuriorum TaxID=241145 RepID=A0A1T5BK71_9FLAO</t>
  </si>
  <si>
    <t>11.09.P4-7.526-6.0_8</t>
  </si>
  <si>
    <t>COG0270 [FUNC="DNA-cytosine methylase"] [shortName=Dcm] [TAG=L TAGDEF="Replication, recombination and repair" PROCESS="INFORMATION STORAGE AND PROCESSING"]  [PATHWAY=""] C-5 cytosine-specific DNA methylase [Nostoc punctiforme]</t>
  </si>
  <si>
    <t>Adenine methyltransferase n=1 Tax=Roseibium sp. RKSG952 TaxID=2529384 RepID=A0A6N7ZSQ2_9HYPH</t>
  </si>
  <si>
    <t>DNAUV-10.912-14_1</t>
  </si>
  <si>
    <t>DNA methylase n=1 Tax=Burkholderia phage vB_BmuP_KL4 TaxID=2115967 RepID=A0A2S1GN43_9CAUD</t>
  </si>
  <si>
    <t>Sept.NODE_294_length_5368_cov_56.468850_7</t>
  </si>
  <si>
    <t>ParB/Sulfiredoxin domain-containing protein n=1 Tax=Acidithiobacillus ferrianus TaxID=2678518 RepID=A0A845U925_9PROT</t>
  </si>
  <si>
    <t>DNAUV-2.494-35_3</t>
  </si>
  <si>
    <t>COG0270 [FUNC="DNA-cytosine methylase"] [shortName=Dcm] [TAG=L TAGDEF="Replication, recombination and repair" PROCESS="INFORMATION STORAGE AND PROCESSING"]  [PATHWAY=""] DNA cytosine methyltransferase [Caldithrix abyssi]</t>
  </si>
  <si>
    <t>VOG23403 [FUNC="REFSEQ DNA methyltransferase"] [TAG=Xu TAGDEF="Function unknown"]</t>
  </si>
  <si>
    <t>DNA (cytosine-5-)-methyltransferase n=1 Tax=Dysgonomonas capnocytophagoides TaxID=45254 RepID=A0A4Y8L2C3_9BACT</t>
  </si>
  <si>
    <t>DNAUV-3.305-98_4</t>
  </si>
  <si>
    <t>DNA cytosine methyltransferase n=1 Tax=Gramella crocea TaxID=2904124 RepID=A0A9X1UVU7_9FLAO</t>
  </si>
  <si>
    <t>Avril.NODE_123_length_14650_cov_85.783830_12</t>
  </si>
  <si>
    <t>sp|P25264|MTC2_HERAU Type II methyltransferase M.HgiCII OS=Herpetosiphon aurantiacus OX=65 GN=hgiCIIM PE=3 SV=1</t>
  </si>
  <si>
    <t>COG0270 [FUNC="DNA-cytosine methylase"] [shortName=Dcm] [TAG=L TAGDEF="Replication, recombination and repair" PROCESS="INFORMATION STORAGE AND PROCESSING"]  [PATHWAY=""] DNA cytosine methyltransferase [Candidatus Puniceispirillum marinum]</t>
  </si>
  <si>
    <t>Cytosine-specific methyltransferase n=1 Tax=Bacillus sp. BD59S TaxID=2499213 RepID=A0A516QJQ3_9BACI</t>
  </si>
  <si>
    <t>05.07.P4-45.835-37_48</t>
  </si>
  <si>
    <t>Methylase n=1 Tax=Roseobacter phage CRP-2 TaxID=2559281 RepID=A0A646QVN1_9CAUD</t>
  </si>
  <si>
    <t>DNAUV-14.641-27_2</t>
  </si>
  <si>
    <t>DNA (cytosine-5-)-methyltransferase n=1 Tax=Bacillus sp. Y1 TaxID=352858 RepID=A0A385NUN3_9BACI</t>
  </si>
  <si>
    <t>DNAUV-2.111-11_2</t>
  </si>
  <si>
    <t>S-adenosyl-L-methionine-dependent methyltransferase n=1 Tax=Vibrio phage 1.240.O._10N.261.52.F8 TaxID=1881234 RepID=A0A2I7RV58_9CAUD</t>
  </si>
  <si>
    <t>DNAUV-2.481-303_2</t>
  </si>
  <si>
    <t>DNAUV-2.801-189_6</t>
  </si>
  <si>
    <t>DNAUV-4.322-25_6</t>
  </si>
  <si>
    <t>COG0270 [FUNC="DNA-cytosine methylase"] [shortName=Dcm] [TAG=L TAGDEF="Replication, recombination and repair" PROCESS="INFORMATION STORAGE AND PROCESSING"]  [PATHWAY=""] DNA cytosine methyltransferase [Kutzneria albida]</t>
  </si>
  <si>
    <t>Cytosine-specific methyltransferase n=1 Tax=Prauserella cavernicola TaxID=2800127 RepID=A0A934QS22_9PSEU</t>
  </si>
  <si>
    <t>DNAUV-4.322-25_7</t>
  </si>
  <si>
    <t>DNA methylase n=1 Tax=Arthrobacter phage Jinkies TaxID=2743903 RepID=A0A7S5WRZ1_9CAUD</t>
  </si>
  <si>
    <t>Sept.NODE_450_length_3976_cov_14.713083_5</t>
  </si>
  <si>
    <t>DNA methyltransferase n=1 Tax=Arthrobacter phage TaylorSipht TaxID=2927288 RepID=A0A9E7QH54_9CAUD</t>
  </si>
  <si>
    <t>Sept.NODE_450_length_3976_cov_14.713083_6</t>
  </si>
  <si>
    <t>Avril.NODE_123_length_14650_cov_85.783830_11</t>
  </si>
  <si>
    <t>COG0270 [FUNC="DNA-cytosine methylase"] [shortName=Dcm] [TAG=L TAGDEF="Replication, recombination and repair" PROCESS="INFORMATION STORAGE AND PROCESSING"]  [PATHWAY=""] DNA cytosine methyltransferase [Magnetospirillum magneticum]</t>
  </si>
  <si>
    <t>VOG08880 [FUNC="REFSEQ DNA methyltransferase"] [TAG=Xu TAGDEF="Function unknown"]</t>
  </si>
  <si>
    <t>Uncharacterized protein n=1 Tax=Anaerotruncus colihominis TaxID=169435 RepID=A0A174UK88_9FIRM</t>
  </si>
  <si>
    <t>Mai.NODE_1229_length_2007_cov_22.942623_2</t>
  </si>
  <si>
    <t>Cytosine-specific methyltransferase n=1 Tax=Nitrospira sp. WS110 TaxID=2039811 RepID=A0A967AP10_9BACT</t>
  </si>
  <si>
    <t>Oct.NODE_989_length_3128_cov_4.042629_5</t>
  </si>
  <si>
    <t>sp|P05102|MTH1_HAEPH Type II methyltransferase M.HhaI OS=Haemophilus parahaemolyticus OX=735 GN=hhaIM PE=1 SV=1</t>
  </si>
  <si>
    <t>COG0270 [FUNC="DNA-cytosine methylase"] [shortName=Dcm] [TAG=L TAGDEF="Replication, recombination and repair" PROCESS="INFORMATION STORAGE AND PROCESSING"]  [PATHWAY=""] DNA cytosine methyltransferase [Parabacteroides distasonis]</t>
  </si>
  <si>
    <t>Cytosine-specific methyltransferase n=1 Tax=Siphoviridae sp. ctpQM7 TaxID=2656722 RepID=A0A5Q2W8Q7_9CAUD</t>
  </si>
  <si>
    <t>DNAUV-3.115-90_1</t>
  </si>
  <si>
    <t>sp|P34882|MTAA_SYNP2 Type II methyltransferase M.AquIA OS=Synechococcus sp. (strain ATCC 27264 / PCC 7002 / PR-6) OX=32049 GN=aquIMA PE=1 SV=1</t>
  </si>
  <si>
    <t>COG0270 [FUNC="DNA-cytosine methylase"] [shortName=Dcm] [TAG=L TAGDEF="Replication, recombination and repair" PROCESS="INFORMATION STORAGE AND PROCESSING"]  [PATHWAY=""] DNA cytosine methyltransferase [Persicobacter sp. JZB09]</t>
  </si>
  <si>
    <t>DNA (cytosine-5-)-methyltransferase n=1 Tax=Aquimarina algiphila TaxID=2047982 RepID=A0A554VAQ1_9FLAO</t>
  </si>
  <si>
    <t>17.05.P3-3.557-54_1</t>
  </si>
  <si>
    <t>17.05.P3-3.557-54_3</t>
  </si>
  <si>
    <t>DNAUV-10.245-283_10</t>
  </si>
  <si>
    <t>sp|Q59605|MTB5_NEIGO Type II methyltransferase M.NgoBV OS=Neisseria gonorrhoeae OX=485 GN=ngoBVM PE=3 SV=1</t>
  </si>
  <si>
    <t>DNA (cytosine-5-)-methyltransferase n=1 Tax=Lutibacter sp. Hel_I_33_5 TaxID=1566289 RepID=A0A559RZS3_9FLAO</t>
  </si>
  <si>
    <t>DNAUV-42.055-32_44</t>
  </si>
  <si>
    <t>C-5 cytosine-specific DNA methylase n=2 Tax=unclassified Caudoviricetes TaxID=2788787 RepID=A0A2I7R6Z8_9CAUD</t>
  </si>
  <si>
    <t>DNAUV-42.184-72_12</t>
  </si>
  <si>
    <t>Putative DNA-methyltransferase n=1 Tax=Pseudoalteromonas phage vB_PspS-H40/1 TaxID=1856120 RepID=A0A173H0P2_9CAUD</t>
  </si>
  <si>
    <t>DNAUV-85.908-43_62</t>
  </si>
  <si>
    <t>sp|P24581|MTNX_NEILA Type II methyltransferase M.NlaX OS=Neisseria lactamica OX=486 GN=nlaXM PE=3 SV=1</t>
  </si>
  <si>
    <t>DNA (Cytosine-5)-methyltransferase n=1 Tax=Roseobacter phage CRP-9 TaxID=2813174 RepID=A0A8E5F9L8_9CAUD</t>
  </si>
  <si>
    <t>DNAUV-24.309-205_33</t>
  </si>
  <si>
    <t>sp|B5Y6V5|DNLJ_COPPD DNA ligase OS=Coprothermobacter proteolyticus (strain ATCC 35245 / DSM 5265 / OCM 4 / BT) OX=309798 GN=ligA PE=3 SV=1</t>
  </si>
  <si>
    <t>COG0272 [FUNC="NAD-dependent DNA ligase"] [shortName=Lig] [TAG=L TAGDEF="Replication, recombination and repair" PROCESS="INFORMATION STORAGE AND PROCESSING"]  [PATHWAY=""] DNA ligase (NAD(+)) LigA [Coprothermobacter proteolyticus]</t>
  </si>
  <si>
    <t>VOG26517 [FUNC="sp|Q97FQ5|DNLJ2_CLOAB DNA ligase 2"] [TAG=Xh TAGDEF="Virus protein with function beneficial for the host"]</t>
  </si>
  <si>
    <t>NAD-dependent DNA ligase subunit B n=2 Tax=Pogseptimavirus VspSw1 TaxID=2733997 RepID=A0A411BKD6_9CAUD</t>
  </si>
  <si>
    <t>DNAUV-147.430-52_95</t>
  </si>
  <si>
    <t>sp|A6LN55|DNLJ_THEM4 DNA ligase OS=Thermosipho melanesiensis (strain DSM 12029 / CIP 104789 / BI429) OX=391009 GN=ligA PE=3 SV=1</t>
  </si>
  <si>
    <t>COG0272 [FUNC="NAD-dependent DNA ligase"] [shortName=Lig] [TAG=L TAGDEF="Replication, recombination and repair" PROCESS="INFORMATION STORAGE AND PROCESSING"]  [PATHWAY=""] DNA ligase (NAD(+)) LigA [Natrialba magadii]</t>
  </si>
  <si>
    <t>DNA ligase n=1 Tax=Companilactobacillus versmoldensis DSM 14857 = KCTC 3814 TaxID=1423815 RepID=A0A0R1SAH1_9LACO</t>
  </si>
  <si>
    <t>DNAUV-43.621-123_56</t>
  </si>
  <si>
    <t>sp|Q8DPS9|DNLJ_STRR6 DNA ligase OS=Streptococcus pneumoniae (strain ATCC BAA-255 / R6) OX=171101 GN=ligA PE=3 SV=1</t>
  </si>
  <si>
    <t>COG0272 [FUNC="NAD-dependent DNA ligase"] [shortName=Lig] [TAG=L TAGDEF="Replication, recombination and repair" PROCESS="INFORMATION STORAGE AND PROCESSING"]  [PATHWAY=""] DNA ligase [Hydrogenimonas sp.]</t>
  </si>
  <si>
    <t>NAD-dependent DNA ligase subunit B n=1 Tax=Vibrio phage Ceto TaxID=2570300 RepID=A0A2H5BGE8_9CAUD</t>
  </si>
  <si>
    <t>DNAUV-24.309-205_31</t>
  </si>
  <si>
    <t>sp|A7ZED8|DNLJ_CAMC1 DNA ligase OS=Campylobacter concisus (strain 13826) OX=360104 GN=ligA PE=3 SV=1</t>
  </si>
  <si>
    <t>COG0272 [FUNC="NAD-dependent DNA ligase"] [shortName=Lig] [TAG=L TAGDEF="Replication, recombination and repair" PROCESS="INFORMATION STORAGE AND PROCESSING"]  [PATHWAY=""] NAD-dependent DNA ligase LigA [Siansivirga zeaxanthinifaciens]</t>
  </si>
  <si>
    <t>DNA ligase (NAD(+)) n=1 Tax=Klebsiella phage JIPh_Kp127 TaxID=2653645 RepID=A0A5P8PLG3_9CAUD</t>
  </si>
  <si>
    <t>DNAUV-43.621-123_52</t>
  </si>
  <si>
    <t>sp|A6H0N9|DNLJ_FLAPJ DNA ligase OS=Flavobacterium psychrophilum (strain ATCC 49511 / DSM 21280 / CIP 103535 / JIP02/86) OX=402612 GN=ligA PE=3 SV=1</t>
  </si>
  <si>
    <t>DNA ligase (NAD(+)) n=5 Tax=unclassified Epseptimavirus TaxID=2738138 RepID=A0A5P1M757_9CAUD</t>
  </si>
  <si>
    <t>05.07.P4-10.016-49_17</t>
  </si>
  <si>
    <t>05.07.P4-10.016-49_6</t>
  </si>
  <si>
    <t>11.09.P1-7.013-24_2</t>
  </si>
  <si>
    <t>DNA helicase/primase n=1 Tax=Pelagibacter phage HTVC025P TaxID=2259657 RepID=A0A4Y1NVV2_9CAUD</t>
  </si>
  <si>
    <t>11.09.P4-19.072-23_2</t>
  </si>
  <si>
    <t>11.09.P4-7.750-6.7_3</t>
  </si>
  <si>
    <t>Avril.NODE_534_length_4468_cov_5.084976_5</t>
  </si>
  <si>
    <t>DNA helicase/primase n=1 Tax=Siovirus americense TaxID=136084 RepID=Q9G0H1_9CAUD</t>
  </si>
  <si>
    <t>DNAUV-14.976-22_2</t>
  </si>
  <si>
    <t>DNA primase/helicase n=1 Tax=Vibrio phage VPMCC14 TaxID=2968382 RepID=A0A976SGE6_9CAUD</t>
  </si>
  <si>
    <t>DNAUV-2.166-13_1</t>
  </si>
  <si>
    <t>Topoisomerase n=1 Tax=Polynucleobacter sp. 39-45-136 TaxID=1970427 RepID=A0A259PLI2_9BURK</t>
  </si>
  <si>
    <t>DNAUV-2.535-22_4</t>
  </si>
  <si>
    <t>Twinkle protein n=1 Tax=Bradyrhizobium erythrophlei TaxID=1437360 RepID=A0A1M5TA94_9BRAD</t>
  </si>
  <si>
    <t>DNAUV-20.871-258_37</t>
  </si>
  <si>
    <t>DNAUV-23.114-30_38</t>
  </si>
  <si>
    <t>DNAUV-4.204-116_3</t>
  </si>
  <si>
    <t>DNAUV-4.690-19_6</t>
  </si>
  <si>
    <t>DNA helicase/primase n=1 Tax=Celeribacter phage P12053L TaxID=1197951 RepID=I6R0Y7_9CAUD</t>
  </si>
  <si>
    <t>DNAUV-63.154-214_79</t>
  </si>
  <si>
    <t>DNAUV-8.508-392_13</t>
  </si>
  <si>
    <t>Mai.NODE_867_length_2583_cov_5.052215_2</t>
  </si>
  <si>
    <t>Twinkle protein n=1 Tax=Devosia enhydra TaxID=665118 RepID=A0A1K2HVC5_9HYPH</t>
  </si>
  <si>
    <t>Oct.NODE_1068_length_2991_cov_14.101499_2</t>
  </si>
  <si>
    <t>DNA helicase/primase n=1 Tax=Ralstonia phage RsoP1EGY TaxID=2070026 RepID=A0A2R2ZGC1_9CAUD</t>
  </si>
  <si>
    <t>Oct.NODE_146_length_12909_cov_13.241403_8</t>
  </si>
  <si>
    <t>Oct.NODE_641_length_4223_cov_40.475288_3</t>
  </si>
  <si>
    <t>DNA helicase/primase n=1 Tax=Ralstonia phage DU_RP_I TaxID=2041493 RepID=A0A2D2W4Z3_9CAUD</t>
  </si>
  <si>
    <t>Sept.NODE_104_length_13001_cov_9.114862_5</t>
  </si>
  <si>
    <t>Sept.NODE_526_length_3571_cov_8.624573_1</t>
  </si>
  <si>
    <t>DNA helicase/primase n=1 Tax=Lentibacter phage vB_LenP_ICBM3 TaxID=2301530 RepID=A0A3G2YRN5_9CAUD</t>
  </si>
  <si>
    <t>11.09.P1-4.202-9.3_1</t>
  </si>
  <si>
    <t>DNA helicase n=1 Tax=Pseudomonas phage vB_PsaM_M1 TaxID=2995601 RepID=A0A9E8G2T6_9CAUD</t>
  </si>
  <si>
    <t>11.09.P1-4.202-9.3_6</t>
  </si>
  <si>
    <t>DNAUV-15.895-276_25</t>
  </si>
  <si>
    <t>DNAUV-33.721-35_29</t>
  </si>
  <si>
    <t>AAA family ATPase n=1 Tax=Vibrio phage 501E54-1 TaxID=2963209 RepID=A0A9P0VLB3_9CAUD</t>
  </si>
  <si>
    <t>DNAUV-4.718-19_8</t>
  </si>
  <si>
    <t>SF4 helicase domain-containing protein n=1 Tax=Variovorax paradoxus TaxID=34073 RepID=A0A2W5QL74_VARPD</t>
  </si>
  <si>
    <t>DNAUV-85.908-43_5</t>
  </si>
  <si>
    <t>Oct.NODE_1189_length_2813_cov_5.303481_3</t>
  </si>
  <si>
    <t>DNA primase n=1 Tax=Roseobacter phage CRP-4 TaxID=2559283 RepID=A0A646QW41_9CAUD</t>
  </si>
  <si>
    <t>Oct.NODE_1231_length_2757_cov_5.154700_2</t>
  </si>
  <si>
    <t>Sept.NODE_1088_length_2199_cov_50.671175_2</t>
  </si>
  <si>
    <t>05.07.P3-3.942-8.7_7</t>
  </si>
  <si>
    <t>05.07.P4-45.835-37_52</t>
  </si>
  <si>
    <t>Avril.NODE_4_length_52184_cov_14.862668_48</t>
  </si>
  <si>
    <t>Dual primase/helicase n=1 Tax=Lentibacter virus vB_LenP_ICBM2 TaxID=2301529 RepID=A0A3G2YRV4_9CAUD</t>
  </si>
  <si>
    <t>DNAUV-2.422-11_4</t>
  </si>
  <si>
    <t>SF4 helicase domain-containing protein n=1 Tax=Erwinia phage Pecta TaxID=2851070 RepID=A0A9E6N830_9CAUD</t>
  </si>
  <si>
    <t>DNAUV-2.453-287_2</t>
  </si>
  <si>
    <t>DNAUV-2.514-711_1</t>
  </si>
  <si>
    <t>DNAUV-4.626-123_5</t>
  </si>
  <si>
    <t>DNA primase/helicase n=1 Tax=Pseudomonas phage GP100 TaxID=2055238 RepID=A0A2R8FGC8_9CAUD</t>
  </si>
  <si>
    <t>DNAUV-4.745-245_5</t>
  </si>
  <si>
    <t>DNAUV-41.172-78_55</t>
  </si>
  <si>
    <t>GP4d helicase n=1 Tax=Podoviridae sp. ctbj_2 TaxID=2675442 RepID=A0A345MKY2_9CAUD</t>
  </si>
  <si>
    <t>DNAUV-57.114-48_2</t>
  </si>
  <si>
    <t>DNAUV-7.580-14_8</t>
  </si>
  <si>
    <t>Putative DNA primase/helicase n=1 Tax=Citrobacter phage CVT22 TaxID=1622234 RepID=A0A0R5ZWP5_9CAUD</t>
  </si>
  <si>
    <t>DNAUV-7.618-9.9_7</t>
  </si>
  <si>
    <t>DNA primase/helicase n=2 Tax=unclassified Paundecimvirus TaxID=2852667 RepID=A0A8F2DCU7_9CAUD</t>
  </si>
  <si>
    <t>DNAUV-7.883-22_1</t>
  </si>
  <si>
    <t>Toprim domain-containing protein n=2 Tax=Rhizobium anhuiense TaxID=1184720 RepID=A0A432NG61_9HYPH</t>
  </si>
  <si>
    <t>Oct.NODE_278_length_7370_cov_5.554751_3</t>
  </si>
  <si>
    <t>DNA primase-helicase n=1 Tax=Alteromonas phage vB_AmeM_PT11-V22 TaxID=2704031 RepID=A0A6C0R0W5_9CAUD</t>
  </si>
  <si>
    <t>Avril.NODE_34_length_37560_cov_23.634315_9</t>
  </si>
  <si>
    <t>sp|B5X582|TWIH_ARATH Twinkle homolog protein, chloroplastic/mitochondrial OS=Arabidopsis thaliana OX=3702 GN=At1g30680 PE=1 SV=1</t>
  </si>
  <si>
    <t>COG0305 [FUNC="Replicative DNA helicase"] [shortName=DnaB] [TAG=L TAGDEF="Replication, recombination and repair" PROCESS="INFORMATION STORAGE AND PROCESSING"]  [PATHWAY=""] DNA primase/helicase [Bacteroides thetaiotaomicron VPI-5482]</t>
  </si>
  <si>
    <t>DNA primase/helicase, TOPRIM n=1 Tax=Cellulophaga phage phi19:1 TaxID=1327970 RepID=R9ZZD6_9CAUD</t>
  </si>
  <si>
    <t>DNAUV-2.210-18_2</t>
  </si>
  <si>
    <t>DNA primase/helicase n=1 Tax=Virus NIOZ-UU157 TaxID=2763269 RepID=A0A7S9SRU1_9VIRU</t>
  </si>
  <si>
    <t>DNAUV-2.626-11_2</t>
  </si>
  <si>
    <t>DNA primase/helicase n=2 Tax=Nekkelsvirus TaxID=2948836 RepID=A0A8E4XV46_9CAUD</t>
  </si>
  <si>
    <t>DNAUV-80.863-259_60</t>
  </si>
  <si>
    <t>Twinkle-like protein n=1 Tax=Tenacibaculum phage Larrie TaxID=2968246 RepID=A0A9X9JAT4_9CAUD</t>
  </si>
  <si>
    <t>11.09.P2-13.656-12_16</t>
  </si>
  <si>
    <t>11.09.P2-13.656-12_6</t>
  </si>
  <si>
    <t>Avril.NODE_9_length_46600_cov_10.230895_5</t>
  </si>
  <si>
    <t>DNAUV-16.256-16_27</t>
  </si>
  <si>
    <t>DNAUV-3.864-14_5</t>
  </si>
  <si>
    <t>DNAUV-34.761-382_29</t>
  </si>
  <si>
    <t>DNA primase n=1 Tax=Pseudoalteromonas phage J2-1 TaxID=2023998 RepID=A0A2D1GN05_9CAUD</t>
  </si>
  <si>
    <t>Oct.NODE_124_length_14767_cov_18.698341_6</t>
  </si>
  <si>
    <t>05.07.P3-6.363-21_1</t>
  </si>
  <si>
    <t>COG0305 [FUNC="Replicative DNA helicase"] [shortName=DnaB] [TAG=L TAGDEF="Replication, recombination and repair" PROCESS="INFORMATION STORAGE AND PROCESSING"]  [PATHWAY=""] helicase DnaB [Pantoea gaviniae]</t>
  </si>
  <si>
    <t>Oct.NODE_989_length_3128_cov_4.042629_3</t>
  </si>
  <si>
    <t>sp|P37469|DNAC_BACSU Replicative DNA helicase OS=Bacillus subtilis (strain 168) OX=224308 GN=dnaC PE=1 SV=2</t>
  </si>
  <si>
    <t>COG0305 [FUNC="Replicative DNA helicase"] [shortName=DnaB] [TAG=L TAGDEF="Replication, recombination and repair" PROCESS="INFORMATION STORAGE AND PROCESSING"]  [PATHWAY=""] replicative DNA helicase [Candidatus Amoebophilus asiaticus]</t>
  </si>
  <si>
    <t>Replicative DNA helicase n=1 Tax=Fulvivirga sp. M361 TaxID=2594266 RepID=A0A553EWU5_9BACT</t>
  </si>
  <si>
    <t>11.09.P2-13.999-19_8</t>
  </si>
  <si>
    <t>COG0305 [FUNC="Replicative DNA helicase"] [shortName=DnaB] [TAG=L TAGDEF="Replication, recombination and repair" PROCESS="INFORMATION STORAGE AND PROCESSING"]  [PATHWAY=""] replicative DNA helicase [Christensenella minuta]</t>
  </si>
  <si>
    <t>DNA helicase n=1 Tax=Roseobacter phage CRP-2 TaxID=2559281 RepID=A0A646QVQ8_9CAUD</t>
  </si>
  <si>
    <t>DNAUV-50.039-64_13</t>
  </si>
  <si>
    <t>Mai.NODE_347_length_5056_cov_157.014797_7</t>
  </si>
  <si>
    <t>sp|Q68WJ2|DNAB_RICTY Replicative DNA helicase OS=Rickettsia typhi (strain ATCC VR-144 / Wilmington) OX=257363 GN=dnaB PE=3 SV=1</t>
  </si>
  <si>
    <t>COG0305 [FUNC="Replicative DNA helicase"] [shortName=DnaB] [TAG=L TAGDEF="Replication, recombination and repair" PROCESS="INFORMATION STORAGE AND PROCESSING"]  [PATHWAY=""] replicative DNA helicase [Coraliomargarita akajimensis]</t>
  </si>
  <si>
    <t>DNA helicase n=1 Tax=Delftia sp. DLF01 TaxID=2769279 RepID=A0A8I0MBY6_9BURK</t>
  </si>
  <si>
    <t>11.09.P4-24.849-9.8_19</t>
  </si>
  <si>
    <t>COG0305 [FUNC="Replicative DNA helicase"] [shortName=DnaB] [TAG=L TAGDEF="Replication, recombination and repair" PROCESS="INFORMATION STORAGE AND PROCESSING"]  [PATHWAY=""] replicative DNA helicase [Entomoplasma luminosum]</t>
  </si>
  <si>
    <t>Helicase C terminal domain n=1 Tax=Vibrio phage vB_ValS_X1 TaxID=2736341 RepID=A0A6M9Z606_9CAUD</t>
  </si>
  <si>
    <t>DNAUV-3.661-17_3</t>
  </si>
  <si>
    <t>DEAD/DEAH box helicase n=1 Tax=Rhodovarius crocodyli TaxID=1979269 RepID=A0A437MC52_9PROT</t>
  </si>
  <si>
    <t>DNAUV-35.226-432_65</t>
  </si>
  <si>
    <t>COG0305 [FUNC="Replicative DNA helicase"] [shortName=DnaB] [TAG=L TAGDEF="Replication, recombination and repair" PROCESS="INFORMATION STORAGE AND PROCESSING"]  [PATHWAY=""] replicative DNA helicase [Maribacter sp. B1]</t>
  </si>
  <si>
    <t>DNA helicase n=1 Tax=Cellulophaga phage phi39:1 TaxID=1327993 RepID=S0A403_9CAUD</t>
  </si>
  <si>
    <t>DNAUV-3.890-10_5</t>
  </si>
  <si>
    <t>COG0305 [FUNC="Replicative DNA helicase"] [shortName=DnaB] [TAG=L TAGDEF="Replication, recombination and repair" PROCESS="INFORMATION STORAGE AND PROCESSING"]  [PATHWAY=""] replicative DNA helicase [Methylocystis sp. SC2]</t>
  </si>
  <si>
    <t>DNAUV-24.309-205_35</t>
  </si>
  <si>
    <t>sp|P45256|DNAB_HAEIN Replicative DNA helicase OS=Haemophilus influenzae (strain ATCC 51907 / DSM 11121 / KW20 / Rd) OX=71421 GN=dnaB PE=3 SV=2</t>
  </si>
  <si>
    <t>COG0305 [FUNC="Replicative DNA helicase"] [shortName=DnaB] [TAG=L TAGDEF="Replication, recombination and repair" PROCESS="INFORMATION STORAGE AND PROCESSING"]  [PATHWAY=""] replicative DNA helicase [Microbulbifer agarilyticus]</t>
  </si>
  <si>
    <t>Putative replicative DNA helicase n=1 Tax=Bacteriophage Eos TaxID=2662137 RepID=A0A5Q2UAU0_9CAUD</t>
  </si>
  <si>
    <t>05.07.P3-15.581-31_7</t>
  </si>
  <si>
    <t>COG0305 [FUNC="Replicative DNA helicase"] [shortName=DnaB] [TAG=L TAGDEF="Replication, recombination and repair" PROCESS="INFORMATION STORAGE AND PROCESSING"]  [PATHWAY=""] replicative DNA helicase [Parolsenella catena]</t>
  </si>
  <si>
    <t>Avril.NODE_874_length_3072_cov_4.595956_2</t>
  </si>
  <si>
    <t>sp|P0ACB1|DNAB_SHIFL Replicative DNA helicase OS=Shigella flexneri OX=623 GN=dnaB PE=3 SV=1</t>
  </si>
  <si>
    <t>COG0305 [FUNC="Replicative DNA helicase"] [shortName=DnaB] [TAG=L TAGDEF="Replication, recombination and repair" PROCESS="INFORMATION STORAGE AND PROCESSING"]  [PATHWAY=""] replicative DNA helicase [Rhodanobacter denitrificans]</t>
  </si>
  <si>
    <t>Replicative DNA helicase n=1 Tax=Wenzhouxiangella sp. W260 TaxID=2613842 RepID=A0A5N0TAL2_9GAMM</t>
  </si>
  <si>
    <t>Mai.NODE_741_length_2906_cov_219.420554_2</t>
  </si>
  <si>
    <t>COG0305 [FUNC="Replicative DNA helicase"] [shortName=DnaB] [TAG=L TAGDEF="Replication, recombination and repair" PROCESS="INFORMATION STORAGE AND PROCESSING"]  [PATHWAY=""] replicative DNA helicase [Sebaldella termitidis]</t>
  </si>
  <si>
    <t>Replicative DNA helicase n=1 Tax=Peptoanaerobacter stomatis TaxID=796937 RepID=J4WI30_9FIRM</t>
  </si>
  <si>
    <t>Mai.NODE_140_length_10434_cov_4.998651_13</t>
  </si>
  <si>
    <t>sp|O30477|DNAB_RHOMR Replicative DNA helicase OS=Rhodothermus marinus OX=29549 GN=dnaB PE=3 SV=1</t>
  </si>
  <si>
    <t>COG0305 [FUNC="Replicative DNA helicase"] [shortName=DnaB] [TAG=L TAGDEF="Replication, recombination and repair" PROCESS="INFORMATION STORAGE AND PROCESSING"]  [PATHWAY=""] replicative DNA helicase [Solitalea canadensis]</t>
  </si>
  <si>
    <t>Replicative DNA helicase n=1 Tax=Luteibaculum oceani TaxID=1294296 RepID=A0A5C6V9R4_9FLAO</t>
  </si>
  <si>
    <t>DNAUV-37.297-108_2</t>
  </si>
  <si>
    <t>Oct.NODE_1913_length_2040_cov_2.246348_1</t>
  </si>
  <si>
    <t>Oct.NODE_309_length_6839_cov_4.241303_3</t>
  </si>
  <si>
    <t>DOD-type homing endonuclease domain-containing protein n=1 Tax=Muricauda sp. TMED12 TaxID=1986608 RepID=A0A3R7S5P3_9FLAO</t>
  </si>
  <si>
    <t>DNAUV-2.724-14_7</t>
  </si>
  <si>
    <t>COG0305 [FUNC="Replicative DNA helicase"] [shortName=DnaB] [TAG=L TAGDEF="Replication, recombination and repair" PROCESS="INFORMATION STORAGE AND PROCESSING"]  [PATHWAY=""] replicative DNA helicase [Thermaerobacter marianensis]</t>
  </si>
  <si>
    <t>DNA helicase n=1 Tax=Vibrio phage vB_VpS_CC6 TaxID=2961680 RepID=A0A9E7SYJ1_9CAUD</t>
  </si>
  <si>
    <t>23.10.P2-2.723-10_4</t>
  </si>
  <si>
    <t>COG0322 [FUNC="Excinuclease UvrABC, nuclease subunit"] [shortName=UvrC] [TAG=L TAGDEF="Replication, recombination and repair" PROCESS="INFORMATION STORAGE AND PROCESSING"]  [PATHWAY=""] excinuclease ABC C subunit domain protein [Ruminococcus albus]</t>
  </si>
  <si>
    <t>VOG02142 [FUNC="sp|P13299|TEV1_BPT4 Intron-associated endonuclease 1"] [TAG=Xh TAGDEF="Virus protein with function beneficial for the host"]</t>
  </si>
  <si>
    <t>GIY-YIG domain-containing protein n=1 Tax=Pseudoalteromonas phage Pq0 TaxID=1667322 RepID=A0A0H4ABG9_9CAUD</t>
  </si>
  <si>
    <t>DNAUV-43.803-72_3</t>
  </si>
  <si>
    <t>sp|Q9RUN0|UVRC_DEIRA UvrABC system protein C OS=Deinococcus radiodurans (strain ATCC 13939 / DSM 20539 / JCM 16871 / CCUG 27074 / LMG 4051 / NBRC 15346 / NCIMB 9279 / VKM B-1422 / R1) OX=243230 GN=uvrC PE=1 SV=1</t>
  </si>
  <si>
    <t>COG0322 [FUNC="Excinuclease UvrABC, nuclease subunit"] [shortName=UvrC] [TAG=L TAGDEF="Replication, recombination and repair" PROCESS="INFORMATION STORAGE AND PROCESSING"]  [PATHWAY=""] excinuclease ABC subunit C [Deinococcus radiodurans R1]</t>
  </si>
  <si>
    <t>VOG02874 [FUNC="REFSEQ hypothetical protein"] [TAG=Xu TAGDEF="Function unknown"]</t>
  </si>
  <si>
    <t>Transcriptional regulator n=1 Tax=Pseudoalteromonas virus vB_PspP-H6/1 TaxID=1852626 RepID=A0A191ZDH2_9CAUD</t>
  </si>
  <si>
    <t>Oct.NODE_254_length_8067_cov_5.732651_3</t>
  </si>
  <si>
    <t>sp|A7X172|UVRC_STAA1 UvrABC system protein C OS=Staphylococcus aureus (strain Mu3 / ATCC 700698) OX=418127 GN=uvrC PE=3 SV=1</t>
  </si>
  <si>
    <t>COG0322 [FUNC="Excinuclease UvrABC, nuclease subunit"] [shortName=UvrC] [TAG=L TAGDEF="Replication, recombination and repair" PROCESS="INFORMATION STORAGE AND PROCESSING"]  [PATHWAY=""] MULTISPECIES: excinuclease ABC subunit C [Staphylococcus]</t>
  </si>
  <si>
    <t>Nucleotide excision repair endonuclease n=1 Tax=Noviherbaspirillum autotrophicum TaxID=709839 RepID=A0A0C2BIM4_9BURK</t>
  </si>
  <si>
    <t>DNAUV-80.863-259_50</t>
  </si>
  <si>
    <t>sp|A9KLJ9|RNH_LACP7 Ribonuclease H OS=Lachnoclostridium phytofermentans (strain ATCC 700394 / DSM 18823 / ISDg) OX=357809 GN=rnhA PE=3 SV=1</t>
  </si>
  <si>
    <t>COG0328 [FUNC="Ribonuclease HI"] [shortName=RnhA] [TAG=L TAGDEF="Replication, recombination and repair" PROCESS="INFORMATION STORAGE AND PROCESSING"]  [PATHWAY=""] ribonuclease HI [Herbinix luporum]</t>
  </si>
  <si>
    <t>RNase n=1 Tax=Tenacibaculum phage Larrie TaxID=2968246 RepID=A0A9X9JBN4_9CAUD</t>
  </si>
  <si>
    <t>Mai.NODE_247_length_6791_cov_4.760689_8</t>
  </si>
  <si>
    <t>sp|Q1GDG1|RNH_RUEST Ribonuclease H OS=Ruegeria sp. (strain TM1040) OX=292414 GN=rnhA PE=3 SV=1</t>
  </si>
  <si>
    <t>COG0328 [FUNC="Ribonuclease HI"] [shortName=RnhA] [TAG=L TAGDEF="Replication, recombination and repair" PROCESS="INFORMATION STORAGE AND PROCESSING"]  [PATHWAY=""] ribonuclease HI [Syntrophobotulus glycolicus]</t>
  </si>
  <si>
    <t>Ribonuclease H n=1 Tax=Syntrophobotulus glycolicus (strain DSM 8271 / FlGlyR) TaxID=645991 RepID=F0STW1_SYNGF</t>
  </si>
  <si>
    <t>DNAUV-14.976-22_1</t>
  </si>
  <si>
    <t>sp|A7FR34|RNH_CLOB1 Ribonuclease H OS=Clostridium botulinum (strain ATCC 19397 / Type A) OX=441770 GN=rnhA PE=3 SV=1</t>
  </si>
  <si>
    <t>COG0328 [FUNC="Ribonuclease HI"] [shortName=RnhA] [TAG=L TAGDEF="Replication, recombination and repair" PROCESS="INFORMATION STORAGE AND PROCESSING"]  [PATHWAY=""] ribonuclease HI [Thalassotalea crassostreae]</t>
  </si>
  <si>
    <t>ribonuclease H n=1 Tax=Vibrio phage S4-7 TaxID=1873905 RepID=A0A1C9LWD4_9CAUD</t>
  </si>
  <si>
    <t>Avril.NODE_9_length_46600_cov_10.230895_33</t>
  </si>
  <si>
    <t>COG0338 [FUNC="DNA-adenine methylase"] [shortName=Dam] [TAG=L TAGDEF="Replication, recombination and repair" PROCESS="INFORMATION STORAGE AND PROCESSING"]  [PATHWAY=""] D12 class N6 adenine-specific DNA methyltransferase [Haliangium ochraceum]</t>
  </si>
  <si>
    <t>VOG02214 [FUNC="sp|P45920|YQBD_BACSU Uncharacterized protein YqbD"] [TAG=Xu TAGDEF="Function unknown"]</t>
  </si>
  <si>
    <t>Phage-like element PBSX protein XkdF domain-containing protein n=1 Tax=Roseobacter phage CRP-6 TaxID=2559285 RepID=A0A646QWK8_9CAUD</t>
  </si>
  <si>
    <t>Oct.NODE_120_length_15339_cov_5.617051_10</t>
  </si>
  <si>
    <t>sp|P45920|YQBD_BACSU Uncharacterized protein YqbD OS=Bacillus subtilis (strain 168) OX=224308 GN=yqbD PE=1 SV=2</t>
  </si>
  <si>
    <t>Oct.NODE_169_length_11288_cov_54.707825_22</t>
  </si>
  <si>
    <t>DNAUV-34.761-382_6</t>
  </si>
  <si>
    <t>sp|A5F520|DMA_VIBC3 DNA adenine methylase OS=Vibrio cholerae serotype O1 (strain ATCC 39541 / Classical Ogawa 395 / O395) OX=345073 GN=dam PE=3 SV=1</t>
  </si>
  <si>
    <t>COG0338 [FUNC="DNA-adenine methylase"] [shortName=Dam] [TAG=L TAGDEF="Replication, recombination and repair" PROCESS="INFORMATION STORAGE AND PROCESSING"]  [PATHWAY=""] DNA adenine methylase [Colwellia psychrerythraea]</t>
  </si>
  <si>
    <t>site-specific DNA-methyltransferase (adenine-specific) n=34 Tax=Barbavirus TaxID=2733095 RepID=A0A4P8N4I4_9CAUD</t>
  </si>
  <si>
    <t>Avril.NODE_592_length_4053_cov_6.845923_9</t>
  </si>
  <si>
    <t>sp|O33844|DMA_TREPA DNA adenine methylase OS=Treponema pallidum (strain Nichols) OX=243276 GN=dam PE=3 SV=1</t>
  </si>
  <si>
    <t>COG0338 [FUNC="DNA-adenine methylase"] [shortName=Dam] [TAG=L TAGDEF="Replication, recombination and repair" PROCESS="INFORMATION STORAGE AND PROCESSING"]  [PATHWAY=""] DNA adenine methylase [Sedimentitalea sp. W43]</t>
  </si>
  <si>
    <t>site-specific DNA-methyltransferase (adenine-specific) n=1 Tax=Sinorhizobium phage phi2LM21 TaxID=2029632 RepID=A0A291AUP9_9CAUD</t>
  </si>
  <si>
    <t>DNAUV-10.760-29_2</t>
  </si>
  <si>
    <t>sp|P04393|MTE5_ECOLX Type II methyltransferase M.EcoRV OS=Escherichia coli OX=562 GN=ecoRVM PE=1 SV=1</t>
  </si>
  <si>
    <t>COG0338 [FUNC="DNA-adenine methylase"] [shortName=Dam] [TAG=L TAGDEF="Replication, recombination and repair" PROCESS="INFORMATION STORAGE AND PROCESSING"]  [PATHWAY=""] DNA methyltransferase [Candidatus Melainabacteria bacterium MEL.A1]</t>
  </si>
  <si>
    <t>site-specific DNA-methyltransferase (adenine-specific) n=1 Tax=Vibrio phage eugene 12A10 TaxID=573172 RepID=R9U7L0_9CAUD</t>
  </si>
  <si>
    <t>DNAUV-2.037-19_2</t>
  </si>
  <si>
    <t>site-specific DNA-methyltransferase (adenine-specific) n=2 Tax=Cellulophaga phage phi12:1 TaxID=1327976 RepID=R9ZXX8_9CAUD</t>
  </si>
  <si>
    <t>DNAUV-2.681-25_1</t>
  </si>
  <si>
    <t>site-specific DNA-methyltransferase (adenine-specific) n=1 Tax=Vibrio phage SHOU24 TaxID=1414739 RepID=W6ASY6_9CAUD</t>
  </si>
  <si>
    <t>DNAUV-3.814-14_2</t>
  </si>
  <si>
    <t>site-specific DNA-methyltransferase (adenine-specific) n=1 Tax=Croceibacter phage P2559Y TaxID=1327037 RepID=W8CQF5_9CAUD</t>
  </si>
  <si>
    <t>DNAUV-4.132-9.0_10</t>
  </si>
  <si>
    <t>Mai.NODE_170_length_9238_cov_8.755091_3</t>
  </si>
  <si>
    <t>sp|P12427|DMA_BPT2 DNA adenine methylase OS=Enterobacteria phage T2 OX=2060721 GN=DAM PE=3 SV=1</t>
  </si>
  <si>
    <t>Mai.NODE_741_length_2906_cov_219.420554_1</t>
  </si>
  <si>
    <t>site-specific DNA-methyltransferase (adenine-specific) n=1 Tax=Cellulophaga phage phi19:1 TaxID=1327970 RepID=R9ZXR7_9CAUD</t>
  </si>
  <si>
    <t>Sept.NODE_910_length_2471_cov_8.205298_1</t>
  </si>
  <si>
    <t>site-specific DNA-methyltransferase (adenine-specific) n=3 Tax=unclassified Yangvirus TaxID=2762718 RepID=A0A6B9JL48_9CAUD</t>
  </si>
  <si>
    <t>DNAUV-6.355-99_20</t>
  </si>
  <si>
    <t>COG0338 [FUNC="DNA-adenine methylase"] [shortName=Dam] [TAG=L TAGDEF="Replication, recombination and repair" PROCESS="INFORMATION STORAGE AND PROCESSING"]  [PATHWAY=""] N-6 DNA methylase [Myxococcus xanthus]</t>
  </si>
  <si>
    <t>Sept.NODE_97_length_14357_cov_113.549504_9</t>
  </si>
  <si>
    <t>VOG24037 [FUNC="REFSEQ portal protein"] [TAG=Xu TAGDEF="Function unknown"]</t>
  </si>
  <si>
    <t>DNAUV-20.871-258_17</t>
  </si>
  <si>
    <t>COG0338 [FUNC="DNA-adenine methylase"] [shortName=Dam] [TAG=L TAGDEF="Replication, recombination and repair" PROCESS="INFORMATION STORAGE AND PROCESSING"]  [PATHWAY=""] N-6 DNA methylase [Stigmatella aurantiaca]</t>
  </si>
  <si>
    <t>DNAUV-3.683-885_5</t>
  </si>
  <si>
    <t>Oct.NODE_1589_length_2332_cov_3.375933_3</t>
  </si>
  <si>
    <t>Oct.NODE_382_length_5950_cov_4.942324_5</t>
  </si>
  <si>
    <t>Oct.NODE_728_length_3919_cov_55.502588_1</t>
  </si>
  <si>
    <t>Sept.NODE_167_length_8580_cov_50.966921_4</t>
  </si>
  <si>
    <t>VOG02617 [FUNC="REFSEQ head maturation protease"] [TAG=Xu TAGDEF="Function unknown"]</t>
  </si>
  <si>
    <t>Phage-like element PBSX protein XkdF domain-containing protein n=1 Tax=Nonlabens phage P12024L TaxID=1168479 RepID=I6R150_9CAUD</t>
  </si>
  <si>
    <t>DNAUV-13.721-139_19</t>
  </si>
  <si>
    <t>sp|P0AEE9|DMA_ECO57 DNA adenine methylase OS=Escherichia coli O157:H7 OX=83334 GN=dam PE=3 SV=1</t>
  </si>
  <si>
    <t>COG0338 [FUNC="DNA-adenine methylase"] [shortName=Dam] [TAG=L TAGDEF="Replication, recombination and repair" PROCESS="INFORMATION STORAGE AND PROCESSING"]  [PATHWAY=""] N6 adenine-specific DNA methyltransferase [Pseudopedobacter saltans]</t>
  </si>
  <si>
    <t>site-specific DNA-methyltransferase (adenine-specific) n=1 Tax=Cellulophaga phage phi10:1 TaxID=1327981 RepID=R9ZYF8_9CAUD</t>
  </si>
  <si>
    <t>DNAUV-2.017-18_1</t>
  </si>
  <si>
    <t>DNAUV-3.814-14_1</t>
  </si>
  <si>
    <t>Oct.NODE_1268_length_2712_cov_7.386526_1</t>
  </si>
  <si>
    <t>sp|P44431|DMA_HAEIN DNA adenine methylase OS=Haemophilus influenzae (strain ATCC 51907 / DSM 11121 / KW20 / Rd) OX=71421 GN=dam PE=3 SV=1</t>
  </si>
  <si>
    <t>DNAUV-6.629-57_10</t>
  </si>
  <si>
    <t>sp|P0ABS6|DNAG_ECO57 DNA primase OS=Escherichia coli O157:H7 OX=83334 GN=dnaG PE=3 SV=1</t>
  </si>
  <si>
    <t>COG0358 [FUNC="DNA primase (bacterial type)"] [shortName=DnaG] [TAG=L TAGDEF="Replication, recombination and repair" PROCESS="INFORMATION STORAGE AND PROCESSING"]  [PATHWAY=""] DNA primase [Alkaliphilus metalliredigens]</t>
  </si>
  <si>
    <t>DNA primase n=1 Tax=Alkaliphilus metalliredigens (strain QYMF) TaxID=293826 RepID=A6TSH0_ALKMQ</t>
  </si>
  <si>
    <t>DNAUV-48.475-181_23</t>
  </si>
  <si>
    <t>sp|P56064|DNAG_HELPY DNA primase OS=Helicobacter pylori (strain ATCC 700392 / 26695) OX=85962 GN=dnaG PE=1 SV=1</t>
  </si>
  <si>
    <t>COG0358 [FUNC="DNA primase (bacterial type)"] [shortName=DnaG] [TAG=L TAGDEF="Replication, recombination and repair" PROCESS="INFORMATION STORAGE AND PROCESSING"]  [PATHWAY=""] DNA primase [Bathymodiolus thermophilus thioautotrophic gill symbiont]</t>
  </si>
  <si>
    <t>VOG28081 [FUNC="REFSEQ CHC2 zinc finger protein"] [TAG=Xu TAGDEF="Function unknown"]</t>
  </si>
  <si>
    <t>DNA primase n=1 Tax=Mesomycoplasma neurolyticum TaxID=2120 RepID=A0A449A4R5_9MOLU</t>
  </si>
  <si>
    <t>DNAUV-2.027-21_1</t>
  </si>
  <si>
    <t>sp|P33655|DNAG_CLOAB DNA primase OS=Clostridium acetobutylicum (strain ATCC 824 / DSM 792 / JCM 1419 / LMG 5710 / VKM B-1787) OX=272562 GN=dnaG PE=3 SV=1</t>
  </si>
  <si>
    <t>COG0358 [FUNC="DNA primase (bacterial type)"] [shortName=DnaG] [TAG=L TAGDEF="Replication, recombination and repair" PROCESS="INFORMATION STORAGE AND PROCESSING"]  [PATHWAY=""] DNA primase [Clostridium acetobutylicum ATCC 824]</t>
  </si>
  <si>
    <t>VOG00065 [FUNC="sp|P04520|PRIM_BPT4 DNA primase"] [TAG=Xh TAGDEF="Virus protein with function beneficial for the host"]</t>
  </si>
  <si>
    <t>DNA primase n=1 Tax=Roseobacter phage CRP-2 TaxID=2559281 RepID=A0A646QWB2_9CAUD</t>
  </si>
  <si>
    <t>DNAUV-22.127-23_16</t>
  </si>
  <si>
    <t>sp|P71481|DNAG_LEGPN DNA primase OS=Legionella pneumophila OX=446 GN=dnaG PE=3 SV=1</t>
  </si>
  <si>
    <t>COG0358 [FUNC="DNA primase (bacterial type)"] [shortName=DnaG] [TAG=L TAGDEF="Replication, recombination and repair" PROCESS="INFORMATION STORAGE AND PROCESSING"]  [PATHWAY=""] DNA primase [Deferribacter desulfuricans]</t>
  </si>
  <si>
    <t>VOG01030 [FUNC="sp|P10277|PRIM_BPP4 Putative P4-specific DNA primase"] [TAG=Xh TAGDEF="Virus protein with function beneficial for the host"]</t>
  </si>
  <si>
    <t>DNA primase n=1 Tax=Deferribacter desulfuricans (strain DSM 14783 / JCM 11476 / NBRC 101012 / SSM1) TaxID=639282 RepID=D3PEC4_DEFDS</t>
  </si>
  <si>
    <t>DNAUV-43.803-72_43</t>
  </si>
  <si>
    <t>sp|P0A118|DNAG_PSEPK DNA primase OS=Pseudomonas putida (strain ATCC 47054 / DSM 6125 / CFBP 8728 / NCIMB 11950 / KT2440) OX=160488 GN=dnaG PE=3 SV=1</t>
  </si>
  <si>
    <t>COG0358 [FUNC="DNA primase (bacterial type)"] [shortName=DnaG] [TAG=L TAGDEF="Replication, recombination and repair" PROCESS="INFORMATION STORAGE AND PROCESSING"]  [PATHWAY=""] DNA primase [Ferrimonas balearica]</t>
  </si>
  <si>
    <t>DNA primase n=1 Tax=Ferrimonas aestuarii TaxID=2569539 RepID=A0A4U1BT48_9GAMM</t>
  </si>
  <si>
    <t>11.09.P4-24.849-9.8_22</t>
  </si>
  <si>
    <t>sp|Q8CP23|DNAG_STAES DNA primase OS=Staphylococcus epidermidis (strain ATCC 12228 / FDA PCI 1200) OX=176280 GN=dnaG PE=3 SV=1</t>
  </si>
  <si>
    <t>COG0358 [FUNC="DNA primase (bacterial type)"] [shortName=DnaG] [TAG=L TAGDEF="Replication, recombination and repair" PROCESS="INFORMATION STORAGE AND PROCESSING"]  [PATHWAY=""] DNA primase [Hydrogenobacter thermophilus]</t>
  </si>
  <si>
    <t>DNA primase n=1 Tax=Vibrio phage phi 3 TaxID=1589298 RepID=A0A0B5H8Z4_9CAUD</t>
  </si>
  <si>
    <t>DNAUV-24.309-205_37</t>
  </si>
  <si>
    <t>COG0358 [FUNC="DNA primase (bacterial type)"] [shortName=DnaG] [TAG=L TAGDEF="Replication, recombination and repair" PROCESS="INFORMATION STORAGE AND PROCESSING"]  [PATHWAY=""] DNA primase [Oceanobacillus iheyensis]</t>
  </si>
  <si>
    <t>DNA primase n=2 Tax=Jesfedecavirus TaxID=2560156 RepID=A0A2D0Z1I4_9CAUD</t>
  </si>
  <si>
    <t>Avril.NODE_955_length_2850_cov_3.510197_4</t>
  </si>
  <si>
    <t>COG0358 [FUNC="DNA primase (bacterial type)"] [shortName=DnaG] [TAG=L TAGDEF="Replication, recombination and repair" PROCESS="INFORMATION STORAGE AND PROCESSING"]  [PATHWAY=""] DNA primase [Riemerella anatipestifer]</t>
  </si>
  <si>
    <t>DNA primase n=1 Tax=Henriciella algicola TaxID=1608422 RepID=A0A399RK70_9PROT</t>
  </si>
  <si>
    <t>DNAUV-43.621-123_59</t>
  </si>
  <si>
    <t>COG0358 [FUNC="DNA primase (bacterial type)"] [shortName=DnaG] [TAG=L TAGDEF="Replication, recombination and repair" PROCESS="INFORMATION STORAGE AND PROCESSING"]  [PATHWAY=""] DNA primase [Sulfurihydrogenibium azorense]</t>
  </si>
  <si>
    <t>DNA primase n=8 Tax=Thalassavirus TaxID=2948922 RepID=A0A6M4ES32_9CAUD</t>
  </si>
  <si>
    <t>DNAUV-26.213-146_21</t>
  </si>
  <si>
    <t>sp|Q9PM37|DNAG_CAMJE DNA primase OS=Campylobacter jejuni subsp. jejuni serotype O:2 (strain ATCC 700819 / NCTC 11168) OX=192222 GN=dnaG PE=3 SV=1</t>
  </si>
  <si>
    <t>COG0358 [FUNC="DNA primase (bacterial type)"] [shortName=DnaG] [TAG=L TAGDEF="Replication, recombination and repair" PROCESS="INFORMATION STORAGE AND PROCESSING"]  [PATHWAY=""] DNA primase [Thermus thermophilus HB8]</t>
  </si>
  <si>
    <t>VOG04347 [FUNC="REFSEQ hypothetical protein"] [TAG=Xu TAGDEF="Function unknown"]</t>
  </si>
  <si>
    <t>DNA primase n=1 Tax=Richelia sp. RM2_1_2 TaxID=2720436 RepID=A0A969MFY1_9NOST</t>
  </si>
  <si>
    <t>DNAUV-2.870-12_5</t>
  </si>
  <si>
    <t>COG0358 [FUNC="DNA primase (bacterial type)"] [shortName=DnaG] [TAG=L TAGDEF="Replication, recombination and repair" PROCESS="INFORMATION STORAGE AND PROCESSING"]  [PATHWAY=""] DNA primase [Trueperella pyogenes]</t>
  </si>
  <si>
    <t>DNA primase n=2 Tax=unclassified Mardecavirus TaxID=2315167 RepID=A0A384WWU0_9CAUD</t>
  </si>
  <si>
    <t>DNAUV-6.629-57_11</t>
  </si>
  <si>
    <t>COG0358 [FUNC="DNA primase (bacterial type)"] [shortName=DnaG] [TAG=L TAGDEF="Replication, recombination and repair" PROCESS="INFORMATION STORAGE AND PROCESSING"]  [PATHWAY=""] hypothetical protein [Bradyrhizobium japonicum]</t>
  </si>
  <si>
    <t>ArsR family transcriptional regulator n=1 Tax=Actinomadura sp. KC06 TaxID=2530369 RepID=A0A4R4XV59_9ACTN</t>
  </si>
  <si>
    <t>DNAUV-100.032-102_37</t>
  </si>
  <si>
    <t>sp|O51653|DNAG_BORBU DNA primase OS=Borreliella burgdorferi (strain ATCC 35210 / DSM 4680 / CIP 102532 / B31) OX=224326 GN=dnaG PE=3 SV=1</t>
  </si>
  <si>
    <t>COG0358 [FUNC="DNA primase (bacterial type)"] [shortName=DnaG] [TAG=L TAGDEF="Replication, recombination and repair" PROCESS="INFORMATION STORAGE AND PROCESSING"]  [PATHWAY=""] hypothetical protein [Siansivirga zeaxanthinifaciens]</t>
  </si>
  <si>
    <t>Toprim domain-containing protein n=1 Tax=Veillonella sp. CAG:933 TaxID=1262980 RepID=R5BWD9_9FIRM</t>
  </si>
  <si>
    <t>DNAUV-78.511-202_20</t>
  </si>
  <si>
    <t>DNA primase/helicase, TOPRIM n=1 Tax=Cellulophaga phage phi14:2 TaxID=1327990 RepID=S0A295_9CAUD</t>
  </si>
  <si>
    <t>Avril.NODE_1056_length_2640_cov_3.968279_2</t>
  </si>
  <si>
    <t>COG0358 [FUNC="DNA primase (bacterial type)"] [shortName=DnaG] [TAG=L TAGDEF="Replication, recombination and repair" PROCESS="INFORMATION STORAGE AND PROCESSING"]  [PATHWAY=""] hypothetical protein [Victivallales bacterium CCUG 44730]</t>
  </si>
  <si>
    <t>DNAUV-3.271-2045_4</t>
  </si>
  <si>
    <t>Mai.NODE_429_length_4288_cov_7.569100_1</t>
  </si>
  <si>
    <t>Oct.NODE_604_length_4381_cov_42.417707_1</t>
  </si>
  <si>
    <t>23.10.P4-6.087-20_6</t>
  </si>
  <si>
    <t>COG0358 [FUNC="DNA primase (bacterial type)"] [shortName=DnaG] [TAG=L TAGDEF="Replication, recombination and repair" PROCESS="INFORMATION STORAGE AND PROCESSING"]  [PATHWAY=""] MULTISPECIES: DNA primase [Solibacillus]</t>
  </si>
  <si>
    <t>DNA primase n=1 Tax=Bacillus phage SP-15 TaxID=1792032 RepID=A0A127AW78_9CAUD</t>
  </si>
  <si>
    <t>DNAUV-29.591-37_27</t>
  </si>
  <si>
    <t>sp|A1RXH8|DNAG_THEPD DNA primase DnaG OS=Thermofilum pendens (strain DSM 2475 / Hrk 5) OX=368408 GN=dnaG PE=3 SV=1</t>
  </si>
  <si>
    <t>COG0358 [FUNC="DNA primase (bacterial type)"] [shortName=DnaG] [TAG=L TAGDEF="Replication, recombination and repair" PROCESS="INFORMATION STORAGE AND PROCESSING"]  [PATHWAY=""] MULTISPECIES: DNA primase [Thermofilum]</t>
  </si>
  <si>
    <t>Toprim domain-containing protein n=1 Tax=Vibrio phage helene 12B3 TaxID=573173 RepID=M4MBT7_9CAUD</t>
  </si>
  <si>
    <t>Mai.NODE_1055_length_2225_cov_6.814747_1</t>
  </si>
  <si>
    <t>COG0417 [FUNC="DNA polymerase B elongation subunit"] [shortName=PolB] [TAG=L TAGDEF="Replication, recombination and repair" PROCESS="INFORMATION STORAGE AND PROCESSING"]  [PATHWAY=""] 3'-5' exonuclease [Chryseolinea sp. KIS68-18]</t>
  </si>
  <si>
    <t>VOG01497 [FUNC="sp|B0FIN6|EXO74_BPE32 3'-5' exonuclease gp74"] [TAG=Xr TAGDEF="Virus replication"]</t>
  </si>
  <si>
    <t>DNA polymerase B n=1 Tax=Podoviridae sp. ctdDI2 TaxID=2826567 RepID=A0A8S5NQV8_9CAUD</t>
  </si>
  <si>
    <t>DNAUV-20.101-21_8</t>
  </si>
  <si>
    <t>sp|Q6WI70|DPOL_BPKVM DNA-directed DNA polymerase OS=Vibrio phage KVP40 (isolate Vibrio parahaemolyticus/Japan/Matsuzaki/1991) OX=75320 GN=43 PE=3 SV=1</t>
  </si>
  <si>
    <t>COG0417 [FUNC="DNA polymerase B elongation subunit"] [shortName=PolB] [TAG=L TAGDEF="Replication, recombination and repair" PROCESS="INFORMATION STORAGE AND PROCESSING"]  [PATHWAY=""] DNA polymerase [Geoglobus acetivorans]</t>
  </si>
  <si>
    <t>DNA-directed DNA polymerase n=1 Tax=Myoviridae sp. ctgsk7 TaxID=2825151 RepID=A0A8S5PWP4_9CAUD</t>
  </si>
  <si>
    <t>DNAUV-24.214-21_17</t>
  </si>
  <si>
    <t>COG0417 [FUNC="DNA polymerase B elongation subunit"] [shortName=PolB] [TAG=L TAGDEF="Replication, recombination and repair" PROCESS="INFORMATION STORAGE AND PROCESSING"]  [PATHWAY=""] DNA polymerase [Methanothermobacter thermautotrophicus]</t>
  </si>
  <si>
    <t>DNA-directed DNA polymerase n=1 Tax=Synechococcus sp. TMED187 TaxID=1986595 RepID=A0A1Z9KYQ6_9SYNE</t>
  </si>
  <si>
    <t>Avril.NODE_558_length_4300_cov_14.209894_4</t>
  </si>
  <si>
    <t>sp|O29753|DPOL_ARCFU DNA polymerase OS=Archaeoglobus fulgidus (strain ATCC 49558 / DSM 4304 / JCM 9628 / NBRC 100126 / VC-16) OX=224325 GN=pol PE=3 SV=1</t>
  </si>
  <si>
    <t>COG0417 [FUNC="DNA polymerase B elongation subunit"] [shortName=PolB] [TAG=L TAGDEF="Replication, recombination and repair" PROCESS="INFORMATION STORAGE AND PROCESSING"]  [PATHWAY=""] DNA polymerase [Ruminiclostridium thermocellum]</t>
  </si>
  <si>
    <t>DNA polymerase n=1 Tax=Podoviridae sp. ctZkC8 TaxID=2825259 RepID=A0A8S5UBK3_9CAUD</t>
  </si>
  <si>
    <t>05.07.P3-10.289-13_10</t>
  </si>
  <si>
    <t>COG0417 [FUNC="DNA polymerase B elongation subunit"] [shortName=PolB] [TAG=L TAGDEF="Replication, recombination and repair" PROCESS="INFORMATION STORAGE AND PROCESSING"]  [PATHWAY=""] DNA polymerase elongation subunit (family B) [Methanoregula formicica]</t>
  </si>
  <si>
    <t>DNA-directed DNA polymerase n=1 Tax=Cronobacter phage vB_CsaM_GAP32 TaxID=1141136 RepID=K4F7H5_9CAUD</t>
  </si>
  <si>
    <t>DNAUV-20.101-21_12</t>
  </si>
  <si>
    <t>COG0417 [FUNC="DNA polymerase B elongation subunit"] [shortName=PolB] [TAG=L TAGDEF="Replication, recombination and repair" PROCESS="INFORMATION STORAGE AND PROCESSING"]  [PATHWAY=""] DNA polymerase elongation subunit [Salinigranum rubrum]</t>
  </si>
  <si>
    <t>DNA-directed DNA polymerase n=1 Tax=Myoviridae sp. ctgsk7 TaxID=2825151 RepID=A0A8S5PX41_9CAUD</t>
  </si>
  <si>
    <t>11.09.P2-2.614-1.8_1</t>
  </si>
  <si>
    <t>sp|P56689|DPOL_THEGO DNA polymerase OS=Thermococcus gorgonarius OX=71997 GN=pol PE=1 SV=1</t>
  </si>
  <si>
    <t>COG0417 [FUNC="DNA polymerase B elongation subunit"] [shortName=PolB] [TAG=L TAGDEF="Replication, recombination and repair" PROCESS="INFORMATION STORAGE AND PROCESSING"]  [PATHWAY=""] DNA polymerase II [Victivallales bacterium CCUG 44730]</t>
  </si>
  <si>
    <t>DNA-directed DNA polymerase n=1 Tax=Myoviridae sp. ctPuP5 TaxID=2823543 RepID=A0A8S5L998_9CAUD</t>
  </si>
  <si>
    <t>DNAUV-10.431-28_4</t>
  </si>
  <si>
    <t>Uncharacterized protein n=1 Tax=Methylotenera mobilis TaxID=359408 RepID=A0A351RD04_9PROT</t>
  </si>
  <si>
    <t>DNAUV-11.146-229_22</t>
  </si>
  <si>
    <t>DNAUV-12.287-216_46</t>
  </si>
  <si>
    <t>DNA-directed DNA polymerase n=1 Tax=Pseudoalteromonas phage AL TaxID=2712933 RepID=A0A6G6XUF3_9CAUD</t>
  </si>
  <si>
    <t>DNAUV-3.953-10_3</t>
  </si>
  <si>
    <t>DNA polymerase II n=1 Tax=Proteus phage vB_PmiP_RS10pmA TaxID=2250311 RepID=A0A517YZL9_9CAUD</t>
  </si>
  <si>
    <t>DNAUV-43.228-64_64</t>
  </si>
  <si>
    <t>DNA polymerase protein n=3 Tax=unclassified Caudoviricetes TaxID=2788787 RepID=A0A7S5RGD0_9CAUD</t>
  </si>
  <si>
    <t>DNAUV-44.645-4509_13</t>
  </si>
  <si>
    <t>Ribonuclease H-like domain protein n=1 Tax=Vibrio phage MZH0603 TaxID=2664193 RepID=A0A650ET95_9CAUD</t>
  </si>
  <si>
    <t>Avril.NODE_531_length_4481_cov_3.347492_4</t>
  </si>
  <si>
    <t>DNAUV-10.431-28_2</t>
  </si>
  <si>
    <t>DNAUV-12.287-216_44</t>
  </si>
  <si>
    <t>DNAUV-12.291-189_23</t>
  </si>
  <si>
    <t>DNA-directed DNA polymerase n=1 Tax=Pseudoalteromonas phage PHS21 TaxID=1955235 RepID=A0A1Q1PW67_9CAUD</t>
  </si>
  <si>
    <t>DNAUV-12.402-457_38</t>
  </si>
  <si>
    <t>sp|Q9VCN1|DPOE1_DROME DNA polymerase epsilon catalytic subunit 1 OS=Drosophila melanogaster OX=7227 GN=PolE1 PE=1 SV=3</t>
  </si>
  <si>
    <t>DNAUV-13.625-317_19</t>
  </si>
  <si>
    <t>DNAUV-2.139-350_1</t>
  </si>
  <si>
    <t>DNAUV-2.573-1075_7</t>
  </si>
  <si>
    <t>DNAUV-2.944-318_4</t>
  </si>
  <si>
    <t>DNAUV-3.651-525_3</t>
  </si>
  <si>
    <t>sp|O50607|DPOL1_SULOH DNA polymerase 1 OS=Sulfurisphaera ohwakuensis OX=69656 GN=pol-alpha PE=3 SV=1</t>
  </si>
  <si>
    <t>DNAUV-4.220-119_6</t>
  </si>
  <si>
    <t>DNAUV-4.379-418_2</t>
  </si>
  <si>
    <t>DNAUV-4.908-4412_10</t>
  </si>
  <si>
    <t>DNAUV-6.067-32_13</t>
  </si>
  <si>
    <t>DNAUV-9.429-95_7</t>
  </si>
  <si>
    <t>Juil.NODE_3_length_12354_cov_19.229368_21</t>
  </si>
  <si>
    <t>sp|P21189|DPO2_ECOLI DNA polymerase II OS=Escherichia coli (strain K12) OX=83333 GN=polB PE=1 SV=2</t>
  </si>
  <si>
    <t>Oct.NODE_1293_length_2678_cov_12.062905_1</t>
  </si>
  <si>
    <t>Oct.NODE_157_length_12199_cov_36.904974_14</t>
  </si>
  <si>
    <t>Sept.NODE_871_length_2547_cov_39.919743_2</t>
  </si>
  <si>
    <t>23.10.P4-15.618-22_13</t>
  </si>
  <si>
    <t>sp|O29230|RAD50_ARCFU DNA double-strand break repair Rad50 ATPase OS=Archaeoglobus fulgidus (strain ATCC 49558 / DSM 4304 / JCM 9628 / NBRC 100126 / VC-16) OX=224325 GN=rad50 PE=3 SV=1</t>
  </si>
  <si>
    <t>Uncharacterized protein n=1 Tax=Triparma strigata TaxID=1606541 RepID=A0A9W7B4P4_9STRA</t>
  </si>
  <si>
    <t>DNAUV-43.621-123_68</t>
  </si>
  <si>
    <t>sp|P11109|EXO2_BPT5 Probable exonuclease subunit 2 OS=Escherichia phage T5 OX=2695836 GN=D13 PE=2 SV=1</t>
  </si>
  <si>
    <t>COG0419 [FUNC="DNA repair exonuclease SbcCD ATPase subunit"] [shortName=SbcC] [TAG=L TAGDEF="Replication, recombination and repair" PROCESS="INFORMATION STORAGE AND PROCESSING"]  [PATHWAY=""] double-stranded DNA repair protein Rad50 [Methanocaldococcus jannaschii]</t>
  </si>
  <si>
    <t>Endonuclease subunit n=1 Tax=Vibrio phage vB_ValS_X1 TaxID=2736341 RepID=A0A6M9Z7S8_9CAUD</t>
  </si>
  <si>
    <t>11.09.P4-6.664-4.2_7</t>
  </si>
  <si>
    <t>COG0419 [FUNC="DNA repair exonuclease SbcCD ATPase subunit"] [shortName=SbcC] [TAG=L TAGDEF="Replication, recombination and repair" PROCESS="INFORMATION STORAGE AND PROCESSING"]  [PATHWAY=""] DUF4214 domain-containing protein [Bacterioplanes sanyensis]</t>
  </si>
  <si>
    <t>Uncharacterized protein n=1 Tax=Roseobacter phage CRP-1 TaxID=2559280 RepID=A0A646QVJ5_9CAUD</t>
  </si>
  <si>
    <t>Oct.NODE_1086_length_2965_cov_6.305842_1</t>
  </si>
  <si>
    <t>Uncharacterized protein n=1 Tax=Salicola phage CGphi29 TaxID=754067 RepID=M4QTU1_9CAUD</t>
  </si>
  <si>
    <t>DNAUV-62.938-22_17</t>
  </si>
  <si>
    <t>sp|O58687|RAD50_PYRHO DNA double-strand break repair Rad50 ATPase OS=Pyrococcus horikoshii (strain ATCC 700860 / DSM 12428 / JCM 9974 / NBRC 100139 / OT-3) OX=70601 GN=rad50 PE=3 SV=1</t>
  </si>
  <si>
    <t>COG0419 [FUNC="DNA repair exonuclease SbcCD ATPase subunit"] [shortName=SbcC] [TAG=L TAGDEF="Replication, recombination and repair" PROCESS="INFORMATION STORAGE AND PROCESSING"]  [PATHWAY=""] exonuclease SbcC [Cylindrospermum stagnale PCC 7417]</t>
  </si>
  <si>
    <t>Exonuclease subunit 2 n=1 Tax=Escherichia albertii B156 TaxID=550693 RepID=A0A1X3JZF8_9ESCH</t>
  </si>
  <si>
    <t>DNAUV-20.101-21_18</t>
  </si>
  <si>
    <t>sp|O64299|EXO2_BPR69 Exonuclease subunit 2 OS=Escherichia phage RB69 OX=12353 GN=46 PE=4 SV=2</t>
  </si>
  <si>
    <t>COG0419 [FUNC="DNA repair exonuclease SbcCD ATPase subunit"] [shortName=SbcC] [TAG=L TAGDEF="Replication, recombination and repair" PROCESS="INFORMATION STORAGE AND PROCESSING"]  [PATHWAY=""] exonuclease SbcC [Petrotoga mobilis]</t>
  </si>
  <si>
    <t>STRUCTURAL MAINTENANCE OF CHROMOSOMES PROTEIN n=1 Tax=Myoviridae sp. ctgsk7 TaxID=2825151 RepID=A0A8S5PYQ9_9CAUD</t>
  </si>
  <si>
    <t>DNAUV-2.433-9.6_5</t>
  </si>
  <si>
    <t>COG0419 [FUNC="DNA repair exonuclease SbcCD ATPase subunit"] [shortName=SbcC] [TAG=L TAGDEF="Replication, recombination and repair" PROCESS="INFORMATION STORAGE AND PROCESSING"]  [PATHWAY=""] exonuclease SbcC [Thermus thermophilus HB8]</t>
  </si>
  <si>
    <t>Avril.NODE_102_length_17063_cov_9.849659_1</t>
  </si>
  <si>
    <t>COG0419 [FUNC="DNA repair exonuclease SbcCD ATPase subunit"] [shortName=SbcC] [TAG=L TAGDEF="Replication, recombination and repair" PROCESS="INFORMATION STORAGE AND PROCESSING"]  [PATHWAY=""] hypothetical protein [Fibrella sp. ES10-3-2-2]</t>
  </si>
  <si>
    <t>Uncharacterized protein n=1 Tax=Coprobacter secundus subsp. similis TaxID=2751153 RepID=A0A7G1I0W9_9BACT</t>
  </si>
  <si>
    <t>DNAUV-43.492-339_83</t>
  </si>
  <si>
    <t>sp|P39059|COFA1_HUMAN Collagen alpha-1(XV) chain OS=Homo sapiens OX=9606 GN=COL15A1 PE=1 SV=2</t>
  </si>
  <si>
    <t>COG0419 [FUNC="DNA repair exonuclease SbcCD ATPase subunit"] [shortName=SbcC] [TAG=L TAGDEF="Replication, recombination and repair" PROCESS="INFORMATION STORAGE AND PROCESSING"]  [PATHWAY=""] hypothetical protein [Ichthyobacterium seriolicida]</t>
  </si>
  <si>
    <t>VOG00790 [FUNC="sp|Q38581|DECO_BPSPP Decoration protein gp12"] [TAG=Xs TAGDEF="Virus structure"]</t>
  </si>
  <si>
    <t>Collagen-like protein n=1 Tax=Herbidospora galbida TaxID=2575442 RepID=A0A4U3M832_9ACTN</t>
  </si>
  <si>
    <t>11.09.P2-5.979-8.2_4</t>
  </si>
  <si>
    <t>COG0419 [FUNC="DNA repair exonuclease SbcCD ATPase subunit"] [shortName=SbcC] [TAG=L TAGDEF="Replication, recombination and repair" PROCESS="INFORMATION STORAGE AND PROCESSING"]  [PATHWAY=""] hypothetical protein [Moorea producens]</t>
  </si>
  <si>
    <t>VOG35148 [FUNC="REFSEQ hypothetical protein"] [TAG=Xu TAGDEF="Function unknown"]</t>
  </si>
  <si>
    <t>PA14 domain-containing protein n=1 Tax=Vulcanococcus sp. Clear-D1 TaxID=2766970 RepID=A0A8J6QMB3_9CYAN</t>
  </si>
  <si>
    <t>11.09.P2-5.979-8.2_7</t>
  </si>
  <si>
    <t>11.09.P4-9.128-2.8_8</t>
  </si>
  <si>
    <t>DNAUV-9.153-49_2</t>
  </si>
  <si>
    <t>DNAUV-80.863-259_43</t>
  </si>
  <si>
    <t>COG0419 [FUNC="DNA repair exonuclease SbcCD ATPase subunit"] [shortName=SbcC] [TAG=L TAGDEF="Replication, recombination and repair" PROCESS="INFORMATION STORAGE AND PROCESSING"]  [PATHWAY=""] hypothetical protein [Mucinivorans hirudinis]</t>
  </si>
  <si>
    <t>Putative nucleoside triphosphate hydrolase n=3 Tax=Cellulophaga phage phiST TaxID=756282 RepID=M4SN97_9CAUD</t>
  </si>
  <si>
    <t>DNAUV-24.309-205_45</t>
  </si>
  <si>
    <t>COG0419 [FUNC="DNA repair exonuclease SbcCD ATPase subunit"] [shortName=SbcC] [TAG=L TAGDEF="Replication, recombination and repair" PROCESS="INFORMATION STORAGE AND PROCESSING"]  [PATHWAY=""] hypothetical protein glr2862 [Gloeobacter violaceus PCC 7421]</t>
  </si>
  <si>
    <t>Putative exonuclease 2 n=1 Tax=Vibrio phage vB_VpS_PG07 TaxID=2301664 RepID=A0A385E4L7_9CAUD</t>
  </si>
  <si>
    <t>DNAUV-6.016-15_11</t>
  </si>
  <si>
    <t>sp|C4ZJU1|SMC_THASP Chromosome partition protein Smc OS=Thauera sp. (strain MZ1T) OX=85643 GN=smc PE=3 SV=2</t>
  </si>
  <si>
    <t>Putative exonuclease n=1 Tax=Vibrio phage SSP002 TaxID=1161928 RepID=H9EB78_9CAUD</t>
  </si>
  <si>
    <t>DNAUV-2.074-10_10</t>
  </si>
  <si>
    <t>COG0419 [FUNC="DNA repair exonuclease SbcCD ATPase subunit"] [shortName=SbcC] [TAG=L TAGDEF="Replication, recombination and repair" PROCESS="INFORMATION STORAGE AND PROCESSING"]  [PATHWAY=""] putative exonuclease subunit 2 (plasmid) [Yersinia pestis CO92]</t>
  </si>
  <si>
    <t>ORF009 n=2 Tax=Twortvirus twort TaxID=55510 RepID=Q4Z9B6_BPTWO</t>
  </si>
  <si>
    <t>DNAUV-6.358-16_5</t>
  </si>
  <si>
    <t>sp|P58301|RAD50_PYRFU DNA double-strand break repair Rad50 ATPase OS=Pyrococcus furiosus (strain ATCC 43587 / DSM 3638 / JCM 8422 / Vc1) OX=186497 GN=rad50 PE=1 SV=1</t>
  </si>
  <si>
    <t>Exonuclease n=6 Tax=Caudoviricetes TaxID=2731619 RepID=A0A0D3MVG9_9CAUD</t>
  </si>
  <si>
    <t>23.10.P4-15.618-22_11</t>
  </si>
  <si>
    <t>COG0419 [FUNC="DNA repair exonuclease SbcCD ATPase subunit"] [shortName=SbcC] [TAG=L TAGDEF="Replication, recombination and repair" PROCESS="INFORMATION STORAGE AND PROCESSING"]  [PATHWAY=""] SMC domain protein [Desulfurivibrio alkaliphilus]</t>
  </si>
  <si>
    <t>SMC family ATPase n=1 Tax=Streptomyces sp. A0592 TaxID=2563099 RepID=A0A4S2V4N3_9ACTN</t>
  </si>
  <si>
    <t>11.09.P4-24.849-9.8_31</t>
  </si>
  <si>
    <t>COG0419 [FUNC="DNA repair exonuclease SbcCD ATPase subunit"] [shortName=SbcC] [TAG=L TAGDEF="Replication, recombination and repair" PROCESS="INFORMATION STORAGE AND PROCESSING"]  [PATHWAY=""] SMC domain-containing protein [Sphingobacterium sp. 21]</t>
  </si>
  <si>
    <t>11.09.P4-24.849-9.8_30</t>
  </si>
  <si>
    <t>sp|P11108|EXO1_BPT5 Probable exonuclease subunit 1 OS=Escherichia phage T5 OX=2695836 GN=D12 PE=2 SV=2</t>
  </si>
  <si>
    <t>COG0420 [FUNC="DNA repair exonuclease SbcCD nuclease subunit"] [shortName=SbcD] [TAG=L TAGDEF="Replication, recombination and repair" PROCESS="INFORMATION STORAGE AND PROCESSING"]  [PATHWAY=""] exonuclease SbcCD subunit D [Macrococcus caseolyticus]</t>
  </si>
  <si>
    <t>Putative recombination endonuclease subunit D12 n=1 Tax=Vibrio phage Thalassa TaxID=2570301 RepID=A0A2H5BGX5_9CAUD</t>
  </si>
  <si>
    <t>23.10.P4-15.618-22_10</t>
  </si>
  <si>
    <t>COG0420 [FUNC="DNA repair exonuclease SbcCD nuclease subunit"] [shortName=SbcD] [TAG=L TAGDEF="Replication, recombination and repair" PROCESS="INFORMATION STORAGE AND PROCESSING"]  [PATHWAY=""] hypothetical protein [Deferribacter desulfuricans]</t>
  </si>
  <si>
    <t>Endonuclease subunit n=1 Tax=Aeromonas phage AS-sw TaxID=2026113 RepID=A0A291LG24_9CAUD</t>
  </si>
  <si>
    <t>23.10.P4-15.618-22_12</t>
  </si>
  <si>
    <t>DNAUV-80.863-259_39</t>
  </si>
  <si>
    <t>sp|Q9YFY8|MRE11_AERPE DNA double-strand break repair protein Mre11 OS=Aeropyrum pernix (strain ATCC 700893 / DSM 11879 / JCM 9820 / NBRC 100138 / K1) OX=272557 GN=mre11 PE=3 SV=1</t>
  </si>
  <si>
    <t>COG0420 [FUNC="DNA repair exonuclease SbcCD nuclease subunit"] [shortName=SbcD] [TAG=L TAGDEF="Replication, recombination and repair" PROCESS="INFORMATION STORAGE AND PROCESSING"]  [PATHWAY=""] phosphoesterase [Butyricimonas sp. H184]</t>
  </si>
  <si>
    <t>Metallophosphatase n=3 Tax=Cellulophaga phage phiST TaxID=756282 RepID=M4SN99_9CAUD</t>
  </si>
  <si>
    <t>11.09.P4-2.540-2.1-V2_3</t>
  </si>
  <si>
    <t>COG0433 [FUNC="Archaeal DNA helicase HerA or a related bacterial ATPase, contains HAS-barrel and ATPase domains"] [shortName=HerA] [TAG=L TAGDEF="Replication, recombination and repair" PROCESS="INFORMATION STORAGE AND PROCESSING"]  [PATHWAY=""] hypothetical protein YM304_27660 [Ilumatobacter coccineus YM16-304]</t>
  </si>
  <si>
    <t>P-loop containing nucleoside triphosphate hydrolase n=2 Tax=Autolykiviridae TaxID=2184034 RepID=A0A2I7RXG0_9VIRU</t>
  </si>
  <si>
    <t>DNAUV-11.392-193_3</t>
  </si>
  <si>
    <t>DNAUV-5.132-105_12</t>
  </si>
  <si>
    <t>COG0456 [FUNC="Ribosomal protein S18 acetylase RimI and related acetyltransferases"] [shortName=RimI] [TAG=J TAGDEF="Translation, ribosomal structure and biogenesis" PROCESS="INFORMATION STORAGE AND PROCESSING"]  [PATHWAY=""] GNAT family N-acetyltransferase [Anoxybacter fermentans]</t>
  </si>
  <si>
    <t>N-acetyltransferase domain-containing protein n=1 Tax=Pusillimonas sp. (ex Stolz et al. 2005) TaxID=1979962 RepID=A0A2D7XAU7_9BURK</t>
  </si>
  <si>
    <t>Sept.NODE_1193_length_2068_cov_5.778937_2</t>
  </si>
  <si>
    <t>COG0456 [FUNC="Ribosomal protein S18 acetylase RimI and related acetyltransferases"] [shortName=RimI] [TAG=J TAGDEF="Translation, ribosomal structure and biogenesis" PROCESS="INFORMATION STORAGE AND PROCESSING"]  [PATHWAY=""] GNAT family N-acetyltransferase [Lawsonella clevelandensis]</t>
  </si>
  <si>
    <t>VOG01736 [FUNC="sp|P03723|GP13_BPT7 Probable scaffold protein gp13"] [TAG=Xu TAGDEF="Function unknown"]</t>
  </si>
  <si>
    <t>Acetyltransferase n=1 Tax=Pelagibacter phage Greip EXVC021P TaxID=2736229 RepID=A0A7S5YA30_9CAUD</t>
  </si>
  <si>
    <t>Oct.NODE_457_length_5243_cov_4.956438_4</t>
  </si>
  <si>
    <t>COG0456 [FUNC="Ribosomal protein S18 acetylase RimI and related acetyltransferases"] [shortName=RimI] [TAG=J TAGDEF="Translation, ribosomal structure and biogenesis" PROCESS="INFORMATION STORAGE AND PROCESSING"]  [PATHWAY=""] GNAT family N-acetyltransferase [Natrinema sp. J7-2]</t>
  </si>
  <si>
    <t>N-acetyltransferase domain-containing protein n=1 Tax=Limnohabitans sp. 15K TaxID=1100706 RepID=A0A2M6VTX5_9BURK</t>
  </si>
  <si>
    <t>DNAUV-38.183-831_8</t>
  </si>
  <si>
    <t>COG0468 [FUNC="RecA/RadA recombinase"] [shortName=RecA] [TAG=L TAGDEF="Replication, recombination and repair" PROCESS="INFORMATION STORAGE AND PROCESSING"]  [PATHWAY=""] ATPase AAA [Allochromatium vinosum]</t>
  </si>
  <si>
    <t>VOG02226 [FUNC="REFSEQ AAA family ATPase"] [TAG=Xu TAGDEF="Function unknown"]</t>
  </si>
  <si>
    <t>AAA+ ATPase domain-containing protein n=1 Tax=Carboxydothermus pertinax TaxID=870242 RepID=A0A1L8CRN1_9THEO</t>
  </si>
  <si>
    <t>DNAUV-3.713-11_9</t>
  </si>
  <si>
    <t>sp|P65982|RECA_TROW8 Protein RecA OS=Tropheryma whipplei (strain TW08/27) OX=218496 GN=recA PE=3 SV=1</t>
  </si>
  <si>
    <t>COG0468 [FUNC="RecA/RadA recombinase"] [shortName=RecA] [TAG=L TAGDEF="Replication, recombination and repair" PROCESS="INFORMATION STORAGE AND PROCESSING"]  [PATHWAY=""] DNA recombination/repair protein RecA [Tropheryma whipplei]</t>
  </si>
  <si>
    <t>DNA recombination and repair protein n=1 Tax=Bacillus phage Bobb TaxID=1527469 RepID=A0A076G6U5_9CAUD</t>
  </si>
  <si>
    <t>DNAUV-43.492-339_14</t>
  </si>
  <si>
    <t>COG0468 [FUNC="RecA/RadA recombinase"] [shortName=RecA] [TAG=L TAGDEF="Replication, recombination and repair" PROCESS="INFORMATION STORAGE AND PROCESSING"]  [PATHWAY=""] DNA repair and recombination protein RadB [Methanotorris igneus]</t>
  </si>
  <si>
    <t>VOG00470 [FUNC="sp|O31907|YORG_BACSU SPbeta prophage-derived uncharacterized protein YorG"] [TAG=Xu TAGDEF="Function unknown"]</t>
  </si>
  <si>
    <t>AAA-ATPase n=1 Tax=Arthrobacter phage Casserole TaxID=2946721 RepID=A0A9E7MNH8_9CAUD</t>
  </si>
  <si>
    <t>DNAUV-57.114-48_93</t>
  </si>
  <si>
    <t>sp|Q9F415|RECA_MYCFV Protein RecA (Fragment) OS=Mycolicibacterium flavescens OX=1776 GN=recA PE=3 SV=1</t>
  </si>
  <si>
    <t>COG0468 [FUNC="RecA/RadA recombinase"] [shortName=RecA] [TAG=L TAGDEF="Replication, recombination and repair" PROCESS="INFORMATION STORAGE AND PROCESSING"]  [PATHWAY=""] intein-containing recombinase RecA [Thermomonospora curvata]</t>
  </si>
  <si>
    <t>VOG00442 [FUNC="sp|Q9F417|RECA_MYCCI Protein RecA (Fragment)"] [TAG=Xh TAGDEF="Virus protein with function beneficial for the host"]</t>
  </si>
  <si>
    <t>LAGLIDADG homing endonuclease n=1 Tax=Marinobacter sp. T13-3 TaxID=1794906 RepID=A0A139DNZ8_9GAMM</t>
  </si>
  <si>
    <t>DNAUV-2.153-15_1</t>
  </si>
  <si>
    <t>sp|A5CSL7|RECA_CLAM3 Protein RecA OS=Clavibacter michiganensis subsp. michiganensis (strain NCPPB 382) OX=443906 GN=recA PE=3 SV=1</t>
  </si>
  <si>
    <t>COG0468 [FUNC="RecA/RadA recombinase"] [shortName=RecA] [TAG=L TAGDEF="Replication, recombination and repair" PROCESS="INFORMATION STORAGE AND PROCESSING"]  [PATHWAY=""] RecA/RadA recombinase [Pelotomaculum thermopropionicum SI]</t>
  </si>
  <si>
    <t>UvsX n=1 Tax=Cyanophage P-TIM40 TaxID=1589733 RepID=A0A0C5AB85_9CAUD</t>
  </si>
  <si>
    <t>DNAUV-6.013-13_3</t>
  </si>
  <si>
    <t>sp|B0TW17|RECA_FRAP2 Protein RecA OS=Francisella philomiragia subsp. philomiragia (strain ATCC 25017 / FSC 153 / O#319-036) OX=484022 GN=recA PE=3 SV=1</t>
  </si>
  <si>
    <t>DNAUV-2.963-6.8_2</t>
  </si>
  <si>
    <t>sp|B7JZS9|RECA_RIPO1 Protein RecA OS=Rippkaea orientalis (strain PCC 8801 / RF-1) OX=41431 GN=recA PE=3 SV=1</t>
  </si>
  <si>
    <t>COG0468 [FUNC="RecA/RadA recombinase"] [shortName=RecA] [TAG=L TAGDEF="Replication, recombination and repair" PROCESS="INFORMATION STORAGE AND PROCESSING"]  [PATHWAY=""] recombinase RecA [Acaryochloris marina]</t>
  </si>
  <si>
    <t>Protein RecA n=1 Tax=Alkalinema sp. CACIAM 70d TaxID=1934309 RepID=A0A251WFV4_9CYAN</t>
  </si>
  <si>
    <t>DNAUV-6.016-15_3</t>
  </si>
  <si>
    <t>sp|Q8RFY0|RECA_FUSNN Protein RecA OS=Fusobacterium nucleatum subsp. nucleatum (strain ATCC 25586 / DSM 15643 / BCRC 10681 / CIP 101130 / JCM 8532 / KCTC 2640 / LMG 13131 / VPI 4355) OX=190304 GN=recA PE=3 SV=2</t>
  </si>
  <si>
    <t>COG0468 [FUNC="RecA/RadA recombinase"] [shortName=RecA] [TAG=L TAGDEF="Replication, recombination and repair" PROCESS="INFORMATION STORAGE AND PROCESSING"]  [PATHWAY=""] recombinase RecA [Candidatus Gracilibacteria bacterium HOT-871]</t>
  </si>
  <si>
    <t>RecA n=1 Tax=Vibrio phage R01 TaxID=2283098 RepID=A0A345MCW8_9CAUD</t>
  </si>
  <si>
    <t>DNAUV-80.863-259_40</t>
  </si>
  <si>
    <t>sp|P48293|RECA_ARTPT Protein RecA OS=Arthrospira platensis OX=118562 GN=recA PE=3 SV=1</t>
  </si>
  <si>
    <t>Recombinase A n=3 Tax=Cellulophaga phage phiST TaxID=756282 RepID=M4T1S7_9CAUD</t>
  </si>
  <si>
    <t>Mai.NODE_540_length_3620_cov_4.203086_2</t>
  </si>
  <si>
    <t>sp|Q7VIH2|RECA_HELHP Protein RecA OS=Helicobacter hepaticus (strain ATCC 51449 / 3B1) OX=235279 GN=recA PE=3 SV=1</t>
  </si>
  <si>
    <t>COG0468 [FUNC="RecA/RadA recombinase"] [shortName=RecA] [TAG=L TAGDEF="Replication, recombination and repair" PROCESS="INFORMATION STORAGE AND PROCESSING"]  [PATHWAY=""] recombinase RecA [Ectothiorhodospira sp. BSL-9]</t>
  </si>
  <si>
    <t>Protein RecA n=1 Tax=Sulfurospirillum diekertiae TaxID=1854492 RepID=A0A290HT68_9BACT</t>
  </si>
  <si>
    <t>23.10.P4-15.618-22_24</t>
  </si>
  <si>
    <t>sp|P22841|RECA_BACFR Protein RecA OS=Bacteroides fragilis (strain YCH46) OX=295405 GN=recA PE=3 SV=1</t>
  </si>
  <si>
    <t>COG0468 [FUNC="RecA/RadA recombinase"] [shortName=RecA] [TAG=L TAGDEF="Replication, recombination and repair" PROCESS="INFORMATION STORAGE AND PROCESSING"]  [PATHWAY=""] recombinase RecA [Kingella kingae]</t>
  </si>
  <si>
    <t>Protein RecA n=1 Tax=Richelia sp. RM2_1_2 TaxID=2720436 RepID=A0A969STZ2_9NOST</t>
  </si>
  <si>
    <t>DNAUV-62.938-22_15</t>
  </si>
  <si>
    <t>sp|P78014|RECA_MYCPN Protein RecA OS=Mycoplasma pneumoniae (strain ATCC 29342 / M129 / Subtype 1) OX=272634 GN=recA PE=1 SV=1</t>
  </si>
  <si>
    <t>COG0468 [FUNC="RecA/RadA recombinase"] [shortName=RecA] [TAG=L TAGDEF="Replication, recombination and repair" PROCESS="INFORMATION STORAGE AND PROCESSING"]  [PATHWAY=""] recombinase RecA [Loktanella vestfoldensis]</t>
  </si>
  <si>
    <t>Putative recombinase A n=2 Tax=Tsarbombavirus BCP78 TaxID=1985182 RepID=J9PRD2_9CAUD</t>
  </si>
  <si>
    <t>Mai.NODE_1173_length_2073_cov_3.922696_3</t>
  </si>
  <si>
    <t>sp|P48294|RECA_STRLI Protein RecA OS=Streptomyces lividans OX=1916 GN=recA PE=3 SV=1</t>
  </si>
  <si>
    <t>COG0468 [FUNC="RecA/RadA recombinase"] [shortName=RecA] [TAG=L TAGDEF="Replication, recombination and repair" PROCESS="INFORMATION STORAGE AND PROCESSING"]  [PATHWAY=""] recombinase RecA [Truepera radiovictrix]</t>
  </si>
  <si>
    <t>Recombinase protein n=1 Tax=Rhizobium phage RHph_I4 TaxID=2509735 RepID=A0A7S5REM3_9CAUD</t>
  </si>
  <si>
    <t>DNAUV-68.024-31_62</t>
  </si>
  <si>
    <t>sp|O64301|LOADL_BPR69 Sliding-clamp-loader large subunit OS=Escherichia phage RB69 OX=12353 GN=44 PE=3 SV=1</t>
  </si>
  <si>
    <t>COG0470 [FUNC="DNA polymerase III, delta prime subunit"] [shortName=HolB] [TAG=L TAGDEF="Replication, recombination and repair" PROCESS="INFORMATION STORAGE AND PROCESSING"]  [PATHWAY=""] ATPase AAA [Archaeoglobus fulgidus]</t>
  </si>
  <si>
    <t>DNA polymerase n=1 Tax=Synechococcus sp. TMED187 TaxID=1986595 RepID=A0A1Z9KYY2_9SYNE</t>
  </si>
  <si>
    <t>DNAUV-147.430-52_206</t>
  </si>
  <si>
    <t>COG0470 [FUNC="DNA polymerase III, delta prime subunit"] [shortName=HolB] [TAG=L TAGDEF="Replication, recombination and repair" PROCESS="INFORMATION STORAGE AND PROCESSING"]  [PATHWAY=""] replication factor C small subunit [Metallosphaera sedula]</t>
  </si>
  <si>
    <t>AAA family ATPase n=1 Tax=Marine Group I thaumarchaeote TaxID=2511932 RepID=A0A7K4MXM1_9ARCH</t>
  </si>
  <si>
    <t>DNAUV-10.749-19_7</t>
  </si>
  <si>
    <t>sp|Q9UXF5|RFCS_SACS2 Replication factor C small subunit OS=Saccharolobus solfataricus (strain ATCC 35092 / DSM 1617 / JCM 11322 / P2) OX=273057 GN=rfcS PE=1 SV=1</t>
  </si>
  <si>
    <t>COG0470 [FUNC="DNA polymerase III, delta prime subunit"] [shortName=HolB] [TAG=L TAGDEF="Replication, recombination and repair" PROCESS="INFORMATION STORAGE AND PROCESSING"]  [PATHWAY=""] replication factor C small subunit [methanogenic archaeon ISO4-H5]</t>
  </si>
  <si>
    <t>Activator clamp loader n=1 Tax=Myoviridae sp. ctn8H20 TaxID=2825169 RepID=A0A8S5QF56_9CAUD</t>
  </si>
  <si>
    <t>DNAUV-3.740-206_10</t>
  </si>
  <si>
    <t>COG0470 [FUNC="DNA polymerase III, delta prime subunit"] [shortName=HolB] [TAG=L TAGDEF="Replication, recombination and repair" PROCESS="INFORMATION STORAGE AND PROCESSING"]  [PATHWAY=""] replication factor C small subunit [Methanolinea tarda]</t>
  </si>
  <si>
    <t>Sliding-clamp-loader large subunit n=1 Tax=Lake Baikal phage Baikal-20-5m-C28 TaxID=2047876 RepID=A0A2H4N7P3_9CAUD</t>
  </si>
  <si>
    <t>Oct.NODE_517_length_4869_cov_5.027005_3</t>
  </si>
  <si>
    <t>Sept.NODE_328_length_5063_cov_5.397764_3</t>
  </si>
  <si>
    <t>11.09.P3-2.737-2.0_1</t>
  </si>
  <si>
    <t>sp|Q5UZE5|RFCS_HALMA Replication factor C small subunit OS=Haloarcula marismortui (strain ATCC 43049 / DSM 3752 / JCM 8966 / VKM B-1809) OX=272569 GN=rfcS PE=3 SV=2</t>
  </si>
  <si>
    <t>COG0470 [FUNC="DNA polymerase III, delta prime subunit"] [shortName=HolB] [TAG=L TAGDEF="Replication, recombination and repair" PROCESS="INFORMATION STORAGE AND PROCESSING"]  [PATHWAY=""] replication factor C small subunit [Methanomethylovorans hollandica]</t>
  </si>
  <si>
    <t>Sliding-clamp-loader large subunit n=4 Tax=unclassified Caudoviricetes TaxID=2788787 RepID=A0A915Y9U4_9CAUD</t>
  </si>
  <si>
    <t>DNAUV-2.375-10_1</t>
  </si>
  <si>
    <t>COG0470 [FUNC="DNA polymerase III, delta prime subunit"] [shortName=HolB] [TAG=L TAGDEF="Replication, recombination and repair" PROCESS="INFORMATION STORAGE AND PROCESSING"]  [PATHWAY=""] replication factor C small subunit [Sulfodiicoccus acidiphilus]</t>
  </si>
  <si>
    <t>23.10.P4-5.088-2.2_10</t>
  </si>
  <si>
    <t>sp|A7I8Y0|RFCS_METB6 Replication factor C small subunit OS=Methanoregula boonei (strain DSM 21154 / JCM 14090 / 6A8) OX=456442 GN=rfcS PE=3 SV=1</t>
  </si>
  <si>
    <t>COG0470 [FUNC="DNA polymerase III, delta prime subunit"] [shortName=HolB] [TAG=L TAGDEF="Replication, recombination and repair" PROCESS="INFORMATION STORAGE AND PROCESSING"]  [PATHWAY=""] replication factor C small subunit [Vulcanisaeta distributa]</t>
  </si>
  <si>
    <t>DNAUV-16.760-19_22</t>
  </si>
  <si>
    <t>sp|A5WFR0|PIF1_PSYWF ATP-dependent DNA helicase pif1 OS=Psychrobacter sp. (strain PRwf-1) OX=349106 GN=pif1 PE=3 SV=1</t>
  </si>
  <si>
    <t>COG0514 [FUNC="Superfamily II DNA helicase RecQ"] [shortName=RecQ] [TAG=L TAGDEF="Replication, recombination and repair" PROCESS="INFORMATION STORAGE AND PROCESSING"]  [PATHWAY=""] ATP-dependent endonuclease [Candidatus Saccharibacteria bacterium YM_S32_TM7_50_20]</t>
  </si>
  <si>
    <t>AAA family ATPase n=1 Tax=Aureibaculum algae TaxID=2584122 RepID=A0A5B7TVF8_9FLAO</t>
  </si>
  <si>
    <t>DNAUV-2.514-711_4</t>
  </si>
  <si>
    <t>DNA polymerase n=1 Tax=Roseobacter phage CRP-6 TaxID=2559285 RepID=A0A646QWF6_9CAUD</t>
  </si>
  <si>
    <t>DNAUV-9.846-39_14</t>
  </si>
  <si>
    <t>sp|Q9T1Q7|VP41_BPAPS Putative protein p41 OS=Acyrthosiphon pisum secondary endosymbiont phage 1 OX=2682836 GN=41 PE=4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</si>
  <si>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[[Clostridium] cellulolyticum]</t>
  </si>
  <si>
    <t>Chromatin remodeling complex ATPase n=1 Tax=Siphoviridae sp. ctXZQ9 TaxID=2825545 RepID=A0A8S5P102_9CAUD</t>
  </si>
  <si>
    <t>DNAUV-44.645-4509_18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</si>
  <si>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[Acidaminococcus intestini]</t>
  </si>
  <si>
    <t>Helicase superfamily 1/2 ATP-binding domain protein n=1 Tax=Vibrio phage 1.185.O._10N.286.49.C2 TaxID=1881392 RepID=A0A2I7RHT7_9CAUD</t>
  </si>
  <si>
    <t>Avril.NODE_531_length_4481_cov_3.347492_6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</si>
  <si>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[Candidatus Hamiltonella defensa]</t>
  </si>
  <si>
    <t>SNF2 family protein n=4 Tax=unclassified Caudoviricetes TaxID=2788787 RepID=A0A2I7R0D8_9CAUD</t>
  </si>
  <si>
    <t>DNAUV-10.431-28_5</t>
  </si>
  <si>
    <t>DEAD/DEAH box helicase n=1 Tax=Pseudoalteromonas phage AL TaxID=2712933 RepID=A0A6G6XVH6_9CAUD</t>
  </si>
  <si>
    <t>DNAUV-12.287-216_48</t>
  </si>
  <si>
    <t>DNAUV-12.291-189_25</t>
  </si>
  <si>
    <t>DNAUV-12.402-457_42</t>
  </si>
  <si>
    <t>DNAUV-13.625-317_21</t>
  </si>
  <si>
    <t>DNAUV-2.139-350_4</t>
  </si>
  <si>
    <t>DNAUV-2.573-1075_10</t>
  </si>
  <si>
    <t>DNAUV-2.621-257_6</t>
  </si>
  <si>
    <t>DNAUV-4.220-119_8</t>
  </si>
  <si>
    <t>DNAUV-4.379-418_5</t>
  </si>
  <si>
    <t>DNAUV-44.645-4509_19</t>
  </si>
  <si>
    <t>DNAUV-5.980-260_1</t>
  </si>
  <si>
    <t>Helicase ATP-binding domain-containing protein n=1 Tax=Pseudoalteromonas phage PHS21 TaxID=1955235 RepID=A0A2S1M570_9CAUD</t>
  </si>
  <si>
    <t>DNAUV-6.067-32_16</t>
  </si>
  <si>
    <t>DNAUV-9.429-95_8</t>
  </si>
  <si>
    <t>Juil.NODE_3_length_12354_cov_19.229368_22</t>
  </si>
  <si>
    <t>Oct.NODE_1293_length_2678_cov_12.062905_3</t>
  </si>
  <si>
    <t>DNAUV-80.863-259_46</t>
  </si>
  <si>
    <t>sp|B4F769|SMAL1_RAT SWI/SNF-related matrix-associated actin-dependent regulator of chromatin subfamily A-like protein 1 OS=Rattus norvegicus OX=10116 GN=Smarcal1 PE=2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</si>
  <si>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[Conexibacter woesei]</t>
  </si>
  <si>
    <t>Helicase n=3 Tax=Cellulophaga phage phiST TaxID=756282 RepID=M4SK83_9CAUD</t>
  </si>
  <si>
    <t>DNAUV-59.689-63_29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</si>
  <si>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[Hartmannibacter diazotrophicus]</t>
  </si>
  <si>
    <t>Superfamily II DNA/RNA helicase n=4 Tax=unclassified Casjensviridae TaxID=2960002 RepID=A0A097EW18_9CAUD</t>
  </si>
  <si>
    <t>DNAUV-64.565-409_15</t>
  </si>
  <si>
    <t>sp|Q5FWF4|ZRAB3_HUMAN DNA annealing helicase and endonuclease ZRANB3 OS=Homo sapiens OX=9606 GN=ZRANB3 PE=1 SV=2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</si>
  <si>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[Heliobacterium modesticaldum]</t>
  </si>
  <si>
    <t>Helicase C-terminal domain-containing protein n=1 Tax=Pseudomonas phage YuA TaxID=462590 RepID=A9J4Z1_BPPYU</t>
  </si>
  <si>
    <t>Oct.NODE_33_length_37390_cov_21.424508_31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</si>
  <si>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[Jeotgalibaca dankookensis]</t>
  </si>
  <si>
    <t>DNA helicase n=1 Tax=Stenotrophomonas phage vB_SmaS-AXL_3 TaxID=2740427 RepID=A0A7D4XWC9_9CAUD</t>
  </si>
  <si>
    <t>DNAUV-22.071-221_11</t>
  </si>
  <si>
    <t>sp|P40352|RAD26_YEAST DNA repair and recombination protein RAD26 OS=Saccharomyces cerevisiae (strain ATCC 204508 / S288c) OX=559292 GN=RAD26 PE=1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</si>
  <si>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[Leptospirillum ferriphilum]</t>
  </si>
  <si>
    <t>Putative helicase n=1 Tax=Pseudomonas phage PaMx28 TaxID=1175659 RepID=A0A0S0N8F2_9CAUD</t>
  </si>
  <si>
    <t>DNAUV-2.182-410_3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</si>
  <si>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[Ndongobacter massiliensis]</t>
  </si>
  <si>
    <t>ATP-dependent DNA helicase n=1 Tax=Ochrobactrum phage vB_OspP_OH TaxID=2712957 RepID=A0A6G6XXP8_9CAUD</t>
  </si>
  <si>
    <t>DNAUV-40.486-52_28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</si>
  <si>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[Peptoclostridium acidaminophilum]</t>
  </si>
  <si>
    <t>SNF2 domain protein n=4 Tax=Clostridium botulinum TaxID=1491 RepID=C1FS15_CLOBJ</t>
  </si>
  <si>
    <t>DNAUV-2.745-16_7</t>
  </si>
  <si>
    <t>sp|Q6NZP1|ZRAB3_MOUSE DNA annealing helicase and endonuclease ZRANB3 OS=Mus musculus OX=10090 GN=Zranb3 PE=1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</si>
  <si>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[Pseudarthrobacter chlorophenolicus]</t>
  </si>
  <si>
    <t>ATP-dependent helicase n=1 Tax=Bacteriophage DSS3_MAL1 TaxID=2664194 RepID=A0A7S5FT86_9CAUD</t>
  </si>
  <si>
    <t>DNAUV-64.562-41_8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</si>
  <si>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ATP-dependent helicase [Sphaerochaeta pleomorpha]</t>
  </si>
  <si>
    <t>Helicase n=1 Tax=Alphaproteobacteria phage PhiJL001 TaxID=2681607 RepID=Q5DN98_9CAUD</t>
  </si>
  <si>
    <t>DNAUV-2.242-6.6_5</t>
  </si>
  <si>
    <t>sp|P32333|BTAF1_YEAST TATA-binding protein-associated factor MOT1 OS=Saccharomyces cerevisiae (strain ATCC 204508 / S288c) OX=559292 GN=MOT1 PE=1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</si>
  <si>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DEAD/DEAH box helicase [Eubacterium callanderi]</t>
  </si>
  <si>
    <t>DEAD/DEAH box helix n=1 Tax=phage 023Pt_psg01 TaxID=2945965 RepID=A0A9E7IMR3_9CAUD</t>
  </si>
  <si>
    <t>DNAUV-26.770-92_67</t>
  </si>
  <si>
    <t>Sept.NODE_267_length_5878_cov_62.707367_10</t>
  </si>
  <si>
    <t>sp|P22082|SNF2_YEAST Transcription regulatory protein SNF2 OS=Saccharomyces cerevisiae (strain ATCC 204508 / S288c) OX=559292 GN=SNF2 PE=1 SV=1</t>
  </si>
  <si>
    <t>DNAUV-3.784-13_6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</si>
  <si>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DEAD/DEAH box helicase [Pseudoclostridium thermosuccinogenes]</t>
  </si>
  <si>
    <t>DNAUV-5.414-14_6</t>
  </si>
  <si>
    <t>sp|P94593|YWQA_BACSU Uncharacterized ATP-dependent helicase YwqA OS=Bacillus subtilis (strain 168) OX=224308 GN=ywqA PE=1 SV=2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</si>
  <si>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DEAD/DEAH box helicase [Solimonas sp. K1W22B-7]</t>
  </si>
  <si>
    <t>DNA helicase n=2 Tax=unclassified Caudoviricetes TaxID=2788787 RepID=A0A5J6TQX9_9CAUD</t>
  </si>
  <si>
    <t>Oct.NODE_1223_length_2766_cov_2.722243_6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</si>
  <si>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hypothetical protein [Fimbriimonas ginsengisoli]</t>
  </si>
  <si>
    <t>Helicase ATP-binding domain-containing protein n=1 Tax=Pirellula sp. SH-Sr6A TaxID=1632865 RepID=A0A142XVA0_9BACT</t>
  </si>
  <si>
    <t>DNAUV-2.062-14_7</t>
  </si>
  <si>
    <t>sp|O42861|FFT3_SCHPO ATP-dependent helicase fft3 OS=Schizosaccharomyces pombe (strain 972 / ATCC 24843) OX=284812 GN=fft3 PE=1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</si>
  <si>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hypothetical protein [Methyloceanibacter caenitepidi]</t>
  </si>
  <si>
    <t>Helicase domain-containing protein n=1 Tax=Burkholderia lata (strain ATCC 17760 / DSM 23089 / LMG 22485 / NCIMB 9086 / R18194 / 383) TaxID=482957 RepID=A0A6P2WIQ8_BURL3</t>
  </si>
  <si>
    <t>DNAUV-2.062-14_8</t>
  </si>
  <si>
    <t>sp|Q9XFH4|DDM1_ARATH ATP-dependent DNA helicase DDM1 OS=Arabidopsis thaliana OX=3702 GN=DDM1 PE=1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</si>
  <si>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MULTISPECIES: ATP-dependent helicase [Chelatococcus]</t>
  </si>
  <si>
    <t>DNAUV-3.679-35_15</t>
  </si>
  <si>
    <t>sp|Q0P4U8|SMAL1_XENTR SWI/SNF-related matrix-associated actin-dependent regulator of chromatin subfamily A-like protein 1 OS=Xenopus tropicalis OX=8364 GN=smarcal1 PE=2 SV=1</t>
  </si>
  <si>
    <t>Helicase n=2 Tax=Aureimonas ureilytica TaxID=401562 RepID=A0A175RCN8_9HYPH</t>
  </si>
  <si>
    <t>DNAUV-2.822-236_4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</si>
  <si>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MULTISPECIES: ATP-dependent helicase [Thermoanaerobacterium]</t>
  </si>
  <si>
    <t>DNAUV-4.030-12_6</t>
  </si>
  <si>
    <t>sp|Q498E7|SMAL1_XENLA SWI/SNF-related matrix-associated actin-dependent regulator of chromatin subfamily A-like protein 1 OS=Xenopus laevis OX=8355 GN=smarcal1 PE=2 SV=1</t>
  </si>
  <si>
    <t>DNA helicase n=1 Tax=Vibrio phage JSF15 TaxID=1983598 RepID=A0A2D0YYQ7_9CAUD</t>
  </si>
  <si>
    <t>DNAUV-8.053-230_1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</si>
  <si>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SNF2 domain-containing protein [Enterococcus faecalis V583]</t>
  </si>
  <si>
    <t>SWI/SNF chromatin-remodeling complex subunit snf22 n=1 Tax=Croceibacter phage P2559Y TaxID=1327037 RepID=W8CQ26_9CAUD</t>
  </si>
  <si>
    <t>DNAUV-43.492-339_9</t>
  </si>
  <si>
    <t>sp|F4IV99|CHR5_ARATH Protein CHROMATIN REMODELING 5 OS=Arabidopsis thaliana OX=3702 GN=CHR5 PE=1 SV=1</t>
  </si>
  <si>
    <t>COG0553 [FUNC="Superfamily II DNA or RNA helicase, SNF2 family"] [shortName=HepA] [TAG=K TAGDEF="Transcription" PROCESS="INFORMATION STORAGE AND PROCESSING"] [TAG=L TAGDEF="Replication, recombination and repair" PROCESS="INFORMATION STORAGE AND PROCESSING"]  [PATHWAY=""] Snf2 family protein [Streptococcus agalactiae 2603V/R]</t>
  </si>
  <si>
    <t>RNA polymerase-associated protein n=1 Tax=Cellulosimicrobium phage DS1 TaxID=2812903 RepID=A0A898KBD8_9CAUD</t>
  </si>
  <si>
    <t>DNAUV-62.938-22_67</t>
  </si>
  <si>
    <t>sp|P61540|RPOD_LEPIC RNA polymerase sigma factor RpoD OS=Leptospira interrogans serogroup Icterohaemorrhagiae serovar copenhageni (strain Fiocruz L1-130) OX=267671 GN=rpoD PE=3 SV=1</t>
  </si>
  <si>
    <t>COG0568 [FUNC="DNA-directed RNA polymerase, sigma subunit (sigma70/sigma32)"] [shortName=RpoD] [TAG=K TAGDEF="Transcription" PROCESS="INFORMATION STORAGE AND PROCESSING"]  [PATHWAY="RNA polymerase"] RNA polymerase sigma factor RpoD [Halobacteriovorax marinus]</t>
  </si>
  <si>
    <t>RNA polymerase sigma factor SigA n=1 Tax=Halobacteriovorax sp. DA5 TaxID=2067553 RepID=A0A2S3QQ01_9BACT</t>
  </si>
  <si>
    <t>11.09.P1-2.871-13_4</t>
  </si>
  <si>
    <t>sp|P77994|SIGA_THEMA RNA polymerase sigma factor SigA OS=Thermotoga maritima (strain ATCC 43589 / DSM 3109 / JCM 10099 / NBRC 100826 / MSB8) OX=243274 GN=sigA PE=1 SV=3</t>
  </si>
  <si>
    <t>COG0568 [FUNC="DNA-directed RNA polymerase, sigma subunit (sigma70/sigma32)"] [shortName=RpoD] [TAG=K TAGDEF="Transcription" PROCESS="INFORMATION STORAGE AND PROCESSING"]  [PATHWAY="RNA polymerase"] RNA polymerase sigma factor RpoD [Melioribacter roseus]</t>
  </si>
  <si>
    <t>RNA polymerase sigma factor, sigma-70 family n=2 Tax=Saprospira grandis TaxID=1008 RepID=J0XYK2_9BACT</t>
  </si>
  <si>
    <t>11.09.P2-9.720-31_10</t>
  </si>
  <si>
    <t>sp|P52328|SIGA_BACSP RNA polymerase sigma factor SigA OS=Bacillus sp. OX=1409 GN=sigA PE=3 SV=1</t>
  </si>
  <si>
    <t>COG0568 [FUNC="DNA-directed RNA polymerase, sigma subunit (sigma70/sigma32)"] [shortName=RpoD] [TAG=K TAGDEF="Transcription" PROCESS="INFORMATION STORAGE AND PROCESSING"]  [PATHWAY="RNA polymerase"] RNA polymerase sigma factor RpoD [Odoribacter splanchnicus]</t>
  </si>
  <si>
    <t>RNA polymerase sigma-70 factor n=2 Tax=environmental samples TaxID=84374 RepID=R5MAJ7_9BACT</t>
  </si>
  <si>
    <t>11.09.P2-9.720-31_3</t>
  </si>
  <si>
    <t>DNAUV-48.934-1423_21</t>
  </si>
  <si>
    <t>sp|O67125|DPO3A_AQUAE DNA polymerase III subunit alpha OS=Aquifex aeolicus (strain VF5) OX=224324 GN=dnaE PE=3 SV=1</t>
  </si>
  <si>
    <t>DNA-directed DNA polymerase n=1 Tax=Cronobacter phage vB_CsaP_Ss1 TaxID=1498011 RepID=A0A096XUX6_9CAUD</t>
  </si>
  <si>
    <t>DNAUV-3.105-9.0_2</t>
  </si>
  <si>
    <t>COG0587 [FUNC="DNA polymerase III, alpha subunit"] [shortName=DnaE] [TAG=L TAGDEF="Replication, recombination and repair" PROCESS="INFORMATION STORAGE AND PROCESSING"]  [PATHWAY=""] DNA polymerase III subunit alpha [Hydrogenobacter thermophilus]</t>
  </si>
  <si>
    <t>23.10.P4-5.088-2.2_7</t>
  </si>
  <si>
    <t>sp|Q9ZHG4|DPO3A_THEMA DNA polymerase III subunit alpha OS=Thermotoga maritima (strain ATCC 43589 / DSM 3109 / JCM 10099 / NBRC 100826 / MSB8) OX=243274 GN=dnaE PE=3 SV=2</t>
  </si>
  <si>
    <t>COG0587 [FUNC="DNA polymerase III, alpha subunit"] [shortName=DnaE] [TAG=L TAGDEF="Replication, recombination and repair" PROCESS="INFORMATION STORAGE AND PROCESSING"]  [PATHWAY=""] DNA polymerase III subunit alpha [Oceanobacillus iheyensis]</t>
  </si>
  <si>
    <t>VOG15922 [FUNC="REFSEQ DNA polymerase"] [TAG=Xu TAGDEF="Function unknown"]</t>
  </si>
  <si>
    <t>Bacterial DNA polymerase III alpha subunit NTPase domain-containing protein n=1 Tax=Pseudomonas phage vB_PaeM_PA5oct TaxID=2163605 RepID=A0A4Y5JUT4_9CAUD</t>
  </si>
  <si>
    <t>DNAUV-3.105-9.0_1</t>
  </si>
  <si>
    <t>sp|Q5HNK2|DPO3A_STAEQ DNA polymerase III subunit alpha OS=Staphylococcus epidermidis (strain ATCC 35984 / RP62A) OX=176279 GN=dnaE PE=3 SV=1</t>
  </si>
  <si>
    <t>COG0587 [FUNC="DNA polymerase III, alpha subunit"] [shortName=DnaE] [TAG=L TAGDEF="Replication, recombination and repair" PROCESS="INFORMATION STORAGE AND PROCESSING"]  [PATHWAY=""] DNA polymerase III subunit alpha [Thermodesulfatator indicus]</t>
  </si>
  <si>
    <t>23.10.P4-4.944-6.0_2</t>
  </si>
  <si>
    <t>sp|P63979|DPO3A_STAAM DNA polymerase III subunit alpha OS=Staphylococcus aureus (strain Mu50 / ATCC 700699) OX=158878 GN=dnaE PE=3 SV=1</t>
  </si>
  <si>
    <t>COG0587 [FUNC="DNA polymerase III, alpha subunit"] [shortName=DnaE] [TAG=L TAGDEF="Replication, recombination and repair" PROCESS="INFORMATION STORAGE AND PROCESSING"]  [PATHWAY=""] DnaD [Mucinivorans hirudinis]</t>
  </si>
  <si>
    <t>DNA polymerase III alpha subunit n=3 Tax=Cellulophaga phage phiST TaxID=756282 RepID=R9ZZ12_9CAUD</t>
  </si>
  <si>
    <t>DNAUV-80.863-259_31</t>
  </si>
  <si>
    <t>sp|O34623|DPO3A_BACSU DNA polymerase III subunit alpha OS=Bacillus subtilis (strain 168) OX=224308 GN=dnaE PE=3 SV=1</t>
  </si>
  <si>
    <t>23.10.P4-4.944-6.0_3</t>
  </si>
  <si>
    <t>COG0587 [FUNC="DNA polymerase III, alpha subunit"] [shortName=DnaE] [TAG=L TAGDEF="Replication, recombination and repair" PROCESS="INFORMATION STORAGE AND PROCESSING"]  [PATHWAY=""] MULTISPECIES: DNA polymerase III subunit alpha [Bacteroidales]</t>
  </si>
  <si>
    <t>DNA-directed DNA polymerase n=3 Tax=Cellulophaga phage phiST TaxID=756282 RepID=R9ZVI5_9CAUD</t>
  </si>
  <si>
    <t>DNAUV-80.863-259_32</t>
  </si>
  <si>
    <t>DNAUV-38.512-299_5</t>
  </si>
  <si>
    <t>sp|P26464|DPO3B_SALTY Beta sliding clamp OS=Salmonella typhimurium (strain LT2 / SGSC1412 / ATCC 700720) OX=99287 GN=dnaN PE=3 SV=3</t>
  </si>
  <si>
    <t>COG0592 [FUNC="DNA polymerase III sliding clamp (beta) subunit, PCNA homolog"] [shortName=DnaN] [TAG=L TAGDEF="Replication, recombination and repair" PROCESS="INFORMATION STORAGE AND PROCESSING"]  [PATHWAY=""] DNA polymerase III subunit beta [Immundisolibacter cernigliae]</t>
  </si>
  <si>
    <t>VOG02276 [FUNC="REFSEQ RusA-like Holliday junction resolvase"] [TAG=Xu TAGDEF="Function unknown"]</t>
  </si>
  <si>
    <t>DNA polymerase III beta chain n=2 Tax=unclassified Caudoviricetes TaxID=2788787 RepID=A0A2I7R4G0_9CAUD</t>
  </si>
  <si>
    <t>DNAUV-2.212-16_1</t>
  </si>
  <si>
    <t>COG0592 [FUNC="DNA polymerase III sliding clamp (beta) subunit, PCNA homolog"] [shortName=DnaN] [TAG=L TAGDEF="Replication, recombination and repair" PROCESS="INFORMATION STORAGE AND PROCESSING"]  [PATHWAY=""] DNA polymerase III subunit beta [Lysobacter enzymogenes]</t>
  </si>
  <si>
    <t>VOG01010 [FUNC="sp|Q9L7L6|DPO3B_MYCPA Beta sliding clamp"] [TAG=Xh TAGDEF="Virus protein with function beneficial for the host"]</t>
  </si>
  <si>
    <t>Beta sliding clamp n=1 Tax=Thauera aromatica K172 TaxID=44139 RepID=A0A2R4BIC6_THAAR</t>
  </si>
  <si>
    <t>DNAUV-51.550-178_22</t>
  </si>
  <si>
    <t>COG0592 [FUNC="DNA polymerase III sliding clamp (beta) subunit, PCNA homolog"] [shortName=DnaN] [TAG=L TAGDEF="Replication, recombination and repair" PROCESS="INFORMATION STORAGE AND PROCESSING"]  [PATHWAY=""] DNA polymerase III subunit beta [Odoribacter splanchnicus]</t>
  </si>
  <si>
    <t>DNA polymerase III subunit beta n=5 Tax=unclassified Caudoviricetes TaxID=2788787 RepID=M1PRP5_9CAUD</t>
  </si>
  <si>
    <t>Oct.NODE_157_length_12199_cov_36.904974_7</t>
  </si>
  <si>
    <t>sp|Q1RIS7|DPO3B_RICBR Beta sliding clamp OS=Rickettsia bellii (strain RML369-C) OX=336407 GN=dnaN PE=1 SV=1</t>
  </si>
  <si>
    <t>COG0592 [FUNC="DNA polymerase III sliding clamp (beta) subunit, PCNA homolog"] [shortName=DnaN] [TAG=L TAGDEF="Replication, recombination and repair" PROCESS="INFORMATION STORAGE AND PROCESSING"]  [PATHWAY=""] DNA polymerase III subunit beta [Sagittula sp. P11]</t>
  </si>
  <si>
    <t>DNA polymerase III beta sliding clamp central domain-containing protein n=1 Tax=Acetobacter sp. DsW_063 TaxID=1514894 RepID=A0A252C5L9_9PROT</t>
  </si>
  <si>
    <t>DNAUV-3.451-212_4</t>
  </si>
  <si>
    <t>COG0593 [FUNC="Chromosomal replication initiation ATPase DnaA"] [shortName=DnaA] [TAG=L TAGDEF="Replication, recombination and repair" PROCESS="INFORMATION STORAGE AND PROCESSING"]  [PATHWAY=""] chromosomal replication initiator protein DnaA [Cytophaga hutchinsonii]</t>
  </si>
  <si>
    <t>VOG00395 [FUNC="REFSEQ DnaA protein"] [TAG=Xu TAGDEF="Function unknown"]</t>
  </si>
  <si>
    <t>Chromosomal replication initiator protein DnaA n=9 Tax=Duncaniella TaxID=2518495 RepID=A0A4Z0V7W0_9BACT</t>
  </si>
  <si>
    <t>Oct.NODE_604_length_4381_cov_42.417707_2</t>
  </si>
  <si>
    <t>sp|C1CXJ1|DNAA_DEIDV Chromosomal replication initiator protein DnaA OS=Deinococcus deserti (strain DSM 17065 / CIP 109153 / LMG 22923 / VCD115) OX=546414 GN=dnaA PE=3 SV=2</t>
  </si>
  <si>
    <t>COG0593 [FUNC="Chromosomal replication initiation ATPase DnaA"] [shortName=DnaA] [TAG=L TAGDEF="Replication, recombination and repair" PROCESS="INFORMATION STORAGE AND PROCESSING"]  [PATHWAY=""] chromosomal replication initiator protein DnaA [Gemmata obscuriglobus]</t>
  </si>
  <si>
    <t>Chromosomal replication initiator protein DnaA n=1 Tax=Bacteroides sp. CAG:462 TaxID=1262740 RepID=R7D1Z7_9BACE</t>
  </si>
  <si>
    <t>Oct.NODE_1810_length_2125_cov_3.665217_2</t>
  </si>
  <si>
    <t>sp|B2KAM4|DNAA_ELUMP Chromosomal replication initiator protein DnaA OS=Elusimicrobium minutum (strain Pei191) OX=445932 GN=dnaA PE=3 SV=1</t>
  </si>
  <si>
    <t>COG0593 [FUNC="Chromosomal replication initiation ATPase DnaA"] [shortName=DnaA] [TAG=L TAGDEF="Replication, recombination and repair" PROCESS="INFORMATION STORAGE AND PROCESSING"]  [PATHWAY=""] chromosomal replication initiator protein DnaA [Intestinimonas butyriciproducens]</t>
  </si>
  <si>
    <t>DnaA protein n=1 Tax=Olleya phage Harreka_1 TaxID=2745673 RepID=A0A8E5EAV5_9CAUD</t>
  </si>
  <si>
    <t>DNAUV-7.368-81_3</t>
  </si>
  <si>
    <t>sp|A5EJ03|QUEC_BRASB 7-cyano-7-deazaguanine synthase OS=Bradyrhizobium sp. (strain BTAi1 / ATCC BAA-1182) OX=288000 GN=queC PE=3 SV=2</t>
  </si>
  <si>
    <t>COG0603 [FUNC="7-cyano-7-deazaguanine synthase (queuosine biosynthesis)"] [shortName=QueC] [TAG=J TAGDEF="Translation, ribosomal structure and biogenesis" PROCESS="INFORMATION STORAGE AND PROCESSING"]  [PATHWAY="tRNA modification"] 7-cyano-7-deazaguanine synthase [Paraburkholderia xenovorans]</t>
  </si>
  <si>
    <t>7-cyano-7-deazaguanine synthase n=1 Tax=Paenibacillus dendrobii TaxID=2691084 RepID=A0A7X3IEI4_9BACL</t>
  </si>
  <si>
    <t>DNAUV-80.863-259_30</t>
  </si>
  <si>
    <t>sp|A6VX48|QUEC_MARMS 7-cyano-7-deazaguanine synthase OS=Marinomonas sp. (strain MWYL1) OX=400668 GN=queC PE=3 SV=1</t>
  </si>
  <si>
    <t>COG0603 [FUNC="7-cyano-7-deazaguanine synthase (queuosine biosynthesis)"] [shortName=QueC] [TAG=J TAGDEF="Translation, ribosomal structure and biogenesis" PROCESS="INFORMATION STORAGE AND PROCESSING"]  [PATHWAY="tRNA modification"] multidomain protein with putative Methionine sulfoxide reductase B and Queuosine synthesis domains [uncultured marine group II euryarchaeote]</t>
  </si>
  <si>
    <t>7-cyano-7-deazaguanine synthase n=1 Tax=Mariniblastus fucicola TaxID=980251 RepID=A0A5B9PA69_9BACT</t>
  </si>
  <si>
    <t>DNAUV-3.798-15_2</t>
  </si>
  <si>
    <t>sp|A8YV39|CCA_LACH4 CCA-adding enzyme OS=Lactobacillus helveticus (strain DPC 4571) OX=405566 GN=cca PE=3 SV=1</t>
  </si>
  <si>
    <t>COG0617 [FUNC="tRNA nucleotidyltransferase/poly(A) polymerase"] [shortName=PcnB] [TAG=J TAGDEF="Translation, ribosomal structure and biogenesis" PROCESS="INFORMATION STORAGE AND PROCESSING"]  [PATHWAY="tRNA modification"] CCA tRNA nucleotidyltransferase [[Clostridium] stercorarium]</t>
  </si>
  <si>
    <t>VOG02038 [FUNC="sp|A8H161|CCA_SHEPA Multifunctional CCA protein"] [TAG=Xh TAGDEF="Virus protein with function beneficial for the host"]</t>
  </si>
  <si>
    <t>tRNA nucleotidyltransferase n=1 Tax=Arthrobacter phage Racecar TaxID=2599831 RepID=A0A5J6TN87_9CAUD</t>
  </si>
  <si>
    <t>DNAUV-2.783-11_9</t>
  </si>
  <si>
    <t>sp|Q043S5|CCA_LACGA CCA-adding enzyme OS=Lactobacillus gasseri (strain ATCC 33323 / DSM 20243 / BCRC 14619 / CIP 102991 / JCM 1131 / KCTC 3163 / NCIMB 11718 / NCTC 13722 / AM63) OX=324831 GN=cca PE=3 SV=1</t>
  </si>
  <si>
    <t>COG0617 [FUNC="tRNA nucleotidyltransferase/poly(A) polymerase"] [shortName=PcnB] [TAG=J TAGDEF="Translation, ribosomal structure and biogenesis" PROCESS="INFORMATION STORAGE AND PROCESSING"]  [PATHWAY="tRNA modification"] CCA tRNA nucleotidyltransferase [Antarctobacter heliothermus]</t>
  </si>
  <si>
    <t>Poly(A) polymerase n=1 Tax=Loktanella atrilutea TaxID=366533 RepID=A0A1M4YJU6_9RHOB</t>
  </si>
  <si>
    <t>DNAUV-2.783-11_10</t>
  </si>
  <si>
    <t>sp|Q8K1J6|TRNT1_MOUSE CCA tRNA nucleotidyltransferase 1, mitochondrial OS=Mus musculus OX=10090 GN=Trnt1 PE=1 SV=1</t>
  </si>
  <si>
    <t>COG0617 [FUNC="tRNA nucleotidyltransferase/poly(A) polymerase"] [shortName=PcnB] [TAG=J TAGDEF="Translation, ribosomal structure and biogenesis" PROCESS="INFORMATION STORAGE AND PROCESSING"]  [PATHWAY="tRNA modification"] CCA tRNA nucleotidyltransferase [Brevundimonas subvibrioides]</t>
  </si>
  <si>
    <t>Poly(A) polymerase n=1 Tax=Roseobacter phage DSS3P8 TaxID=1735562 RepID=A0A1B0V011_9CAUD</t>
  </si>
  <si>
    <t>DNAUV-2.360-8.7_2</t>
  </si>
  <si>
    <t>sp|A0KPN1|CCA_AERHH Multifunctional CCA protein OS=Aeromonas hydrophila subsp. hydrophila (strain ATCC 7966 / DSM 30187 / BCRC 13018 / CCUG 14551 / JCM 1027 / KCTC 2358 / NCIMB 9240 / NCTC 8049) OX=380703 GN=cca PE=3 SV=1</t>
  </si>
  <si>
    <t>COG0617 [FUNC="tRNA nucleotidyltransferase/poly(A) polymerase"] [shortName=PcnB] [TAG=J TAGDEF="Translation, ribosomal structure and biogenesis" PROCESS="INFORMATION STORAGE AND PROCESSING"]  [PATHWAY="tRNA modification"] multifunctional CCA addition/repair protein [Lacimicrobium alkaliphilum]</t>
  </si>
  <si>
    <t>Multifunctional tRNA nucleotidyl transferase n=1 Tax=Shewanella sp. phage 1/40 TaxID=1458860 RepID=A0A088C4K7_9CAUD</t>
  </si>
  <si>
    <t>DNAUV-2.360-8.7_1</t>
  </si>
  <si>
    <t>sp|Q31J37|CCA_HYDCU Multifunctional CCA protein OS=Hydrogenovibrio crunogenus (strain DSM 25203 / XCL-2) OX=317025 GN=cca PE=3 SV=1</t>
  </si>
  <si>
    <t>COG0617 [FUNC="tRNA nucleotidyltransferase/poly(A) polymerase"] [shortName=PcnB] [TAG=J TAGDEF="Translation, ribosomal structure and biogenesis" PROCESS="INFORMATION STORAGE AND PROCESSING"]  [PATHWAY="tRNA modification"] multifunctional CCA addition/repair protein [Providencia stuartii]</t>
  </si>
  <si>
    <t>CCA tRNA nucleotidyltransferase n=1 Tax=Escherichia phage 18-1-2 TaxID=2883041 RepID=A0A8K1V1J5_9CAUD</t>
  </si>
  <si>
    <t>DNAUV-159.889-409_128</t>
  </si>
  <si>
    <t>sp|Q3YXI6|CCA_SHISS Multifunctional CCA protein OS=Shigella sonnei (strain Ss046) OX=300269 GN=cca PE=3 SV=1</t>
  </si>
  <si>
    <t>COG0617 [FUNC="tRNA nucleotidyltransferase/poly(A) polymerase"] [shortName=PcnB] [TAG=J TAGDEF="Translation, ribosomal structure and biogenesis" PROCESS="INFORMATION STORAGE AND PROCESSING"]  [PATHWAY="tRNA modification"] multifunctional CCA addition/repair protein [Thioflavicoccus mobilis]</t>
  </si>
  <si>
    <t>Multifunctional CCA protein n=1 Tax=Actinobacillus minor NM305 TaxID=637911 RepID=C5S3C9_9PAST</t>
  </si>
  <si>
    <t>DNAUV-152.980-60_163</t>
  </si>
  <si>
    <t>sp|B4EW50|CCA_PROMH Multifunctional CCA protein OS=Proteus mirabilis (strain HI4320) OX=529507 GN=cca PE=3 SV=1</t>
  </si>
  <si>
    <t>COG0617 [FUNC="tRNA nucleotidyltransferase/poly(A) polymerase"] [shortName=PcnB] [TAG=J TAGDEF="Translation, ribosomal structure and biogenesis" PROCESS="INFORMATION STORAGE AND PROCESSING"]  [PATHWAY="tRNA modification"] multifunctional tRNA nucleotidyltransferase/2',3'-cyclic phosphodiesterase/2' nucleotidase/2'phosphatase [Proteus mirabilis]</t>
  </si>
  <si>
    <t>tRNA nucleotidyltransferase n=1 Tax=Sinorhizobium phage phiN3 TaxID=1647405 RepID=A0A0F6YPT7_9CAUD</t>
  </si>
  <si>
    <t>Oct.NODE_1573_length_2346_cov_15.811436_1</t>
  </si>
  <si>
    <t>sp|Q8CX55|SSB_OCEIH Single-stranded DNA-binding protein OS=Oceanobacillus iheyensis (strain DSM 14371 / CIP 107618 / JCM 11309 / KCTC 3954 / HTE831) OX=221109 GN=ssb PE=3 SV=1</t>
  </si>
  <si>
    <t>COG0629 [FUNC="Single-stranded DNA-binding protein"] [shortName=Ssb] [TAG=L TAGDEF="Replication, recombination and repair" PROCESS="INFORMATION STORAGE AND PROCESSING"]  [PATHWAY=""] MULTISPECIES: single-stranded DNA-binding protein [Pseudogulbenkiania]</t>
  </si>
  <si>
    <t>VOG00886 [FUNC="sp|P9WGD5|SSB_MYCTU Single-stranded DNA-binding protein"] [TAG=Xu TAGDEF="Function unknown"]</t>
  </si>
  <si>
    <t>Single-stranded DNA binding protein n=2 Tax=root TaxID=1 RepID=A0A088FAZ2_9CAUD</t>
  </si>
  <si>
    <t>DNAUV-38.183-831_10</t>
  </si>
  <si>
    <t>sp|Q8KB47|SSB1_CHLTE Single-stranded DNA-binding protein 1 OS=Chlorobaculum tepidum (strain ATCC 49652 / DSM 12025 / NBRC 103806 / TLS) OX=194439 GN=ssb1 PE=3 SV=1</t>
  </si>
  <si>
    <t>COG0629 [FUNC="Single-stranded DNA-binding protein"] [shortName=Ssb] [TAG=L TAGDEF="Replication, recombination and repair" PROCESS="INFORMATION STORAGE AND PROCESSING"]  [PATHWAY=""] single-strand binding protein [Chlorobium tepidum TLS]</t>
  </si>
  <si>
    <t>Single-stranded DNA-binding protein n=1 Tax=Natronogracilivirga saccharolytica TaxID=2812953 RepID=A0A8J7SAR1_9BACT</t>
  </si>
  <si>
    <t>DNAUV-2.792-291_1</t>
  </si>
  <si>
    <t>sp|Q82S98|SSB_NITEU Single-stranded DNA-binding protein OS=Nitrosomonas europaea (strain ATCC 19718 / CIP 103999 / KCTC 2705 / NBRC 14298) OX=228410 GN=ssb PE=3 SV=1</t>
  </si>
  <si>
    <t>COG0629 [FUNC="Single-stranded DNA-binding protein"] [shortName=Ssb] [TAG=L TAGDEF="Replication, recombination and repair" PROCESS="INFORMATION STORAGE AND PROCESSING"]  [PATHWAY=""] single-strand binding protein, single-strand DNA-binding protein [Candidatus Campbellbacteria bacterium GW2011_OD1_34_28]</t>
  </si>
  <si>
    <t>Single-stranded DNA-binding protein n=1 Tax=Okeania sp. SIO3H1 TaxID=2607810 RepID=A0A6P0I7B1_9CYAN</t>
  </si>
  <si>
    <t>DNAUV-2.432-33_2</t>
  </si>
  <si>
    <t>sp|Q823K0|SSB_CHLCV Single-stranded DNA-binding protein OS=Chlamydia caviae (strain ATCC VR-813 / DSM 19441 / 03DC25 / GPIC) OX=227941 GN=ssb PE=3 SV=1</t>
  </si>
  <si>
    <t>COG0629 [FUNC="Single-stranded DNA-binding protein"] [shortName=Ssb] [TAG=L TAGDEF="Replication, recombination and repair" PROCESS="INFORMATION STORAGE AND PROCESSING"]  [PATHWAY=""] single-stranded DNA-binding protein [Azospirillum brasilense]</t>
  </si>
  <si>
    <t>Single-stranded DNA-binding protein n=1 Tax=Pseudoalteromonas phage PHS3 TaxID=1913111 RepID=A0A1J0GVQ0_9CAUD</t>
  </si>
  <si>
    <t>Mai.NODE_516_length_3735_cov_357.217120_5</t>
  </si>
  <si>
    <t>sp|O51141|SSB_BORBU Single-stranded DNA-binding protein OS=Borreliella burgdorferi (strain ATCC 35210 / DSM 4680 / CIP 102532 / B31) OX=224326 GN=ssb PE=3 SV=1</t>
  </si>
  <si>
    <t>COG0629 [FUNC="Single-stranded DNA-binding protein"] [shortName=Ssb] [TAG=L TAGDEF="Replication, recombination and repair" PROCESS="INFORMATION STORAGE AND PROCESSING"]  [PATHWAY=""] single-stranded DNA-binding protein [Basilea psittacipulmonis]</t>
  </si>
  <si>
    <t>Single-stranded DNA-binding protein n=1 Tax=Constantimarinum furrinae TaxID=2562285 RepID=A0A7G8PTH8_9FLAO</t>
  </si>
  <si>
    <t>DNAUV-48.475-181_120</t>
  </si>
  <si>
    <t>sp|Q83EP4|SSB_COXBU Single-stranded DNA-binding protein OS=Coxiella burnetii (strain RSA 493 / Nine Mile phase I) OX=227377 GN=ssb PE=1 SV=1</t>
  </si>
  <si>
    <t>COG0629 [FUNC="Single-stranded DNA-binding protein"] [shortName=Ssb] [TAG=L TAGDEF="Replication, recombination and repair" PROCESS="INFORMATION STORAGE AND PROCESSING"]  [PATHWAY=""] single-stranded DNA-binding protein [Chondromyces crocatus]</t>
  </si>
  <si>
    <t>Single-stranded DNA-binding protein n=1 Tax=Chondromyces crocatus TaxID=52 RepID=A0A0K1E550_CHOCO</t>
  </si>
  <si>
    <t>11.09.P3-12.072-49_4</t>
  </si>
  <si>
    <t>COG0629 [FUNC="Single-stranded DNA-binding protein"] [shortName=Ssb] [TAG=L TAGDEF="Replication, recombination and repair" PROCESS="INFORMATION STORAGE AND PROCESSING"]  [PATHWAY=""] single-stranded DNA-binding protein [Janthinobacterium sp. Marseille]</t>
  </si>
  <si>
    <t>Single-stranded DNA-binding protein n=1 Tax=Vogesella sp. LIG4 TaxID=1192162 RepID=A0A1C6MMA4_9NEIS</t>
  </si>
  <si>
    <t>17.05.P3-5.039-5.4_1</t>
  </si>
  <si>
    <t>COG0629 [FUNC="Single-stranded DNA-binding protein"] [shortName=Ssb] [TAG=L TAGDEF="Replication, recombination and repair" PROCESS="INFORMATION STORAGE AND PROCESSING"]  [PATHWAY=""] single-stranded DNA-binding protein [Nitrosomonas europaea]</t>
  </si>
  <si>
    <t>Single-stranded DNA-binding protein n=1 Tax=Bradyrhizobium phage BDU-MI-1 TaxID=1983459 RepID=A0A1X9SGJ7_9CAUD</t>
  </si>
  <si>
    <t>Sept.NODE_812_length_2682_cov_5.116102_2</t>
  </si>
  <si>
    <t>sp|Q8KSB6|SSB_PAEAU Single-stranded DNA-binding protein OS=Paenarthrobacter aurescens OX=43663 GN=ssb PE=3 SV=1</t>
  </si>
  <si>
    <t>COG0629 [FUNC="Single-stranded DNA-binding protein"] [shortName=Ssb] [TAG=L TAGDEF="Replication, recombination and repair" PROCESS="INFORMATION STORAGE AND PROCESSING"]  [PATHWAY=""] single-stranded DNA-binding protein [Paenarthrobacter aurescens]</t>
  </si>
  <si>
    <t>Single-stranded DNA-binding protein n=1 Tax=Rhodococcus ruber TaxID=1830 RepID=A0A8D4FYI3_9NOCA</t>
  </si>
  <si>
    <t>DNAUV-5.301-11_1</t>
  </si>
  <si>
    <t>COG0629 [FUNC="Single-stranded DNA-binding protein"] [shortName=Ssb] [TAG=L TAGDEF="Replication, recombination and repair" PROCESS="INFORMATION STORAGE AND PROCESSING"]  [PATHWAY=""] single-stranded DNA-binding protein [Salinibacter ruber]</t>
  </si>
  <si>
    <t>Single-stranded DNA-binding protein n=1 Tax=Rubrivirga marina TaxID=1196024 RepID=A0A271J498_9BACT</t>
  </si>
  <si>
    <t>DNAUV-4.744-8.1_1</t>
  </si>
  <si>
    <t>sp|Q88QK5|SSB_PSEPK Single-stranded DNA-binding protein OS=Pseudomonas putida (strain ATCC 47054 / DSM 6125 / CFBP 8728 / NCIMB 11950 / KT2440) OX=160488 GN=ssb PE=3 SV=1</t>
  </si>
  <si>
    <t>COG0629 [FUNC="Single-stranded DNA-binding protein"] [shortName=Ssb] [TAG=L TAGDEF="Replication, recombination and repair" PROCESS="INFORMATION STORAGE AND PROCESSING"]  [PATHWAY=""] single-stranded DNA-binding protein [Zymobacter palmae]</t>
  </si>
  <si>
    <t>DNAUV-100.032-102_38</t>
  </si>
  <si>
    <t>sp|A8EWN8|UNG_ALIB4 Uracil-DNA glycosylase OS=Aliarcobacter butzleri (strain RM4018) OX=367737 GN=ung PE=3 SV=1</t>
  </si>
  <si>
    <t>COG0692 [FUNC="Uracil-DNA glycosylase"] [shortName=Ung] [TAG=L TAGDEF="Replication, recombination and repair" PROCESS="INFORMATION STORAGE AND PROCESSING"]  [PATHWAY=""] uracil-DNA glycosylase [Arcobacter nitrofigilis]</t>
  </si>
  <si>
    <t>VOG10098 [FUNC="sp|Q91UM2|UNG_VACCA Uracil-DNA glycosylase"] [TAG=Xu TAGDEF="Function unknown"]</t>
  </si>
  <si>
    <t>Uracil-DNA glycosylase n=1 Tax=Paraclostridium benzoelyticum TaxID=1629550 RepID=A0A0M3DML9_9CLOT</t>
  </si>
  <si>
    <t>DNAUV-78.511-202_29</t>
  </si>
  <si>
    <t>sp|B3ERG6|UNG_AMOA5 Uracil-DNA glycosylase OS=Amoebophilus asiaticus (strain 5a2) OX=452471 GN=ung PE=3 SV=1</t>
  </si>
  <si>
    <t>COG0692 [FUNC="Uracil-DNA glycosylase"] [shortName=Ung] [TAG=L TAGDEF="Replication, recombination and repair" PROCESS="INFORMATION STORAGE AND PROCESSING"]  [PATHWAY=""] uracil-DNA glycosylase [Polaribacter sp. MED152]</t>
  </si>
  <si>
    <t>Uracil-DNA glycosylase n=1 Tax=Atopobacter sp. AH10 TaxID=2315861 RepID=A0A421BIV0_9LACT</t>
  </si>
  <si>
    <t>DNAUV-100.032-102_21</t>
  </si>
  <si>
    <t>sp|O51498|DPO1_BORBU DNA polymerase I OS=Borreliella burgdorferi (strain ATCC 35210 / DSM 4680 / CIP 102532 / B31) OX=224326 GN=polA PE=3 SV=1</t>
  </si>
  <si>
    <t>COG0749 [FUNC="DNA polymerase I, 3'-5' exonuclease and polymerase domains"] [shortName=PolA] [TAG=L TAGDEF="Replication, recombination and repair" PROCESS="INFORMATION STORAGE AND PROCESSING"]  [PATHWAY=""] bifunctional 3'-5' exonuclease/DNA polymerase [Rubrobacter xylanophilus]</t>
  </si>
  <si>
    <t>Prex DNA polymerase n=1 Tax=CrAss-like virus sp. ctcfK29 TaxID=2826827 RepID=A0A8S5MJ78_9CAUD</t>
  </si>
  <si>
    <t>05.07.P3-5.693-5.0_3</t>
  </si>
  <si>
    <t>sp|P20311|DPOL_BPT3 DNA-directed DNA polymerase OS=Enterobacteria phage T3 OX=10759 GN=5 PE=3 SV=1</t>
  </si>
  <si>
    <t>DNA polymerase n=1 Tax=Roseobacter phage CRP-4 TaxID=2559283 RepID=A0A646QW31_9CAUD</t>
  </si>
  <si>
    <t>05.07.P3-6.363-21_6</t>
  </si>
  <si>
    <t>sp|P00581|DPOL_BPT7 DNA-directed DNA polymerase OS=Escherichia phage T7 OX=10760 GN=5 PE=1 SV=1</t>
  </si>
  <si>
    <t>DNA polymerase n=1 Tax=Roseobacter phage CRP-13 TaxID=2813173 RepID=A0A8E5BCD1_9CAUD</t>
  </si>
  <si>
    <t>05.07.P4-45.835-37_53</t>
  </si>
  <si>
    <t>DNA polymerase n=1 Tax=Roseobacter phage CRP-9 TaxID=2813174 RepID=A0A8E5BE77_9CAUD</t>
  </si>
  <si>
    <t>11.09.P1-11.148-50_1</t>
  </si>
  <si>
    <t>11.09.P1-4.202-9.3_2</t>
  </si>
  <si>
    <t>DNA-directed DNA polymerase family A palm domain-containing protein n=3 Tax=Justusliebigvirus TaxID=2948775 RepID=A0A976YBP6_9CAUD</t>
  </si>
  <si>
    <t>Avril.NODE_152_length_12366_cov_13.326375_5</t>
  </si>
  <si>
    <t>DNA-directed DNA polymerase n=1 Tax=Bordetella phage vB_BbrP_BB8 TaxID=2587820 RepID=A0A4Y5TNS0_9CAUD</t>
  </si>
  <si>
    <t>DNAUV-12.147-754_13</t>
  </si>
  <si>
    <t>DNA-directed DNA polymerase n=1 Tax=Luteibacter sp. 22Crub2.1 TaxID=1283288 RepID=A0A1T5BTJ8_9GAMM</t>
  </si>
  <si>
    <t>DNAUV-16.256-16_28</t>
  </si>
  <si>
    <t>DNAUV-2.745-16_9</t>
  </si>
  <si>
    <t>DNA polymerase I n=1 Tax=Bacteriophage DSS3_MAL1 TaxID=2664194 RepID=A0A7S5FQW6_9CAUD</t>
  </si>
  <si>
    <t>DNAUV-2.874-202_4</t>
  </si>
  <si>
    <t>DNAUV-22.957-353_12</t>
  </si>
  <si>
    <t>DNAUV-4.690-19_9</t>
  </si>
  <si>
    <t>DNA polymerase I, thermostable n=1 Tax=Hyphomicrobium sp. ghe19 TaxID=2682968 RepID=A0A679KC16_9HYPH</t>
  </si>
  <si>
    <t>DNAUV-41.172-78_58</t>
  </si>
  <si>
    <t>DNA-directed DNA polymerase, family A, palm domain n=1 Tax=Vibrio phage 1.208.B._10N.222.52.A7 TaxID=1881437 RepID=A0A2I7RPH6_9CAUD</t>
  </si>
  <si>
    <t>DNAUV-5.675-86_2</t>
  </si>
  <si>
    <t>DNA polymerase n=1 Tax=Roseobacter phage CRP-5 TaxID=2559284 RepID=A0A646QW98_9CAUD</t>
  </si>
  <si>
    <t>DNAUV-6.832-14_1</t>
  </si>
  <si>
    <t>DNA polymerase I-like protein with 3'-5' exonuclease and polymerase domains n=1 Tax=Rhodanobacter sp. ANJX3 TaxID=2723083 RepID=A0A7W8JKW3_9GAMM</t>
  </si>
  <si>
    <t>DNAUV-63.154-214_82</t>
  </si>
  <si>
    <t>DNAUV-7.368-81_2</t>
  </si>
  <si>
    <t>DNAUV-7.883-22_2</t>
  </si>
  <si>
    <t>DNAUV-8.508-392_17</t>
  </si>
  <si>
    <t>DNAUV-85.908-43_6</t>
  </si>
  <si>
    <t>Putative DNA polymerase/3'-5' exonuclease domain n=1 Tax=Escherichia phage nepoznato TaxID=2696431 RepID=A0A6B9WQM7_9CAUD</t>
  </si>
  <si>
    <t>Mai.NODE_604_length_3385_cov_4.188889_3</t>
  </si>
  <si>
    <t>sp|B0FIL5|DPOL_BPE32 DNA-directed DNA polymerase OS=Escherichia phage Phieco32 OX=2679905 GN=53 PE=3 SV=1</t>
  </si>
  <si>
    <t>Mai.NODE_680_length_3105_cov_4.120984_2</t>
  </si>
  <si>
    <t>Oct.NODE_1231_length_2757_cov_5.154700_3</t>
  </si>
  <si>
    <t>Oct.NODE_1422_length_2507_cov_16.176183_3</t>
  </si>
  <si>
    <t>DNA-directed DNA polymerase family A palm domain-containing protein n=1 Tax=Polynucleobacter sp. 39-45-136 TaxID=1970427 RepID=A0A259PN83_9BURK</t>
  </si>
  <si>
    <t>Oct.NODE_146_length_12909_cov_13.241403_10</t>
  </si>
  <si>
    <t>Oct.NODE_641_length_4223_cov_40.475288_6</t>
  </si>
  <si>
    <t>Sept.NODE_104_length_13001_cov_9.114862_9</t>
  </si>
  <si>
    <t>Sept.NODE_1162_length_2097_cov_5.296278_3</t>
  </si>
  <si>
    <t>Sept.NODE_526_length_3571_cov_8.624573_3</t>
  </si>
  <si>
    <t>11.09.P4-19.072-23_3</t>
  </si>
  <si>
    <t>COG0749 [FUNC="DNA polymerase I, 3'-5' exonuclease and polymerase domains"] [shortName=PolA] [TAG=L TAGDEF="Replication, recombination and repair" PROCESS="INFORMATION STORAGE AND PROCESSING"]  [PATHWAY=""] DNA polymerase [Candidatus Puniceispirillum marinum]</t>
  </si>
  <si>
    <t>17.05.P3-2.985-12_4</t>
  </si>
  <si>
    <t>DNA polymerase n=5 Tax=Lightbulbvirus TaxID=1918522 RepID=R9ZWT0_9CAUD</t>
  </si>
  <si>
    <t>DNAUV-15.895-276_27</t>
  </si>
  <si>
    <t>Putative DNA polymerase n=1 Tax=Sinorhizobium phage phiM6 TaxID=2301527 RepID=A0A346HW86_9CAUD</t>
  </si>
  <si>
    <t>DNAUV-2.166-13_3</t>
  </si>
  <si>
    <t>DNA polymerase n=4 Tax=Caudoviricetes TaxID=2731619 RepID=A0A096VKZ4_9CAUD</t>
  </si>
  <si>
    <t>DNAUV-37.297-108_4</t>
  </si>
  <si>
    <t>DNAUV-57.114-48_4</t>
  </si>
  <si>
    <t>Juil.NODE_22_length_3540_cov_4.782496_2</t>
  </si>
  <si>
    <t>Oct.NODE_1081_length_2974_cov_3.416581_3</t>
  </si>
  <si>
    <t>DNA polymerase n=1 Tax=Roseobacter phage CRP-5 TaxID=2559284 RepID=A0A646QW95_9CAUD</t>
  </si>
  <si>
    <t>Sept.NODE_907_length_2473_cov_50.272539_2</t>
  </si>
  <si>
    <t>DNAUV-3.342-162_11</t>
  </si>
  <si>
    <t>COG0749 [FUNC="DNA polymerase I, 3'-5' exonuclease and polymerase domains"] [shortName=PolA] [TAG=L TAGDEF="Replication, recombination and repair" PROCESS="INFORMATION STORAGE AND PROCESSING"]  [PATHWAY=""] DNA polymerase [Mobiluncus curtisii]</t>
  </si>
  <si>
    <t>DNA polymerase n=1 Tax=Escherichia phage ZCEC5 TaxID=2530021 RepID=A0A481W570_9CAUD</t>
  </si>
  <si>
    <t>DNAUV-41.618-136_11</t>
  </si>
  <si>
    <t>sp|O67779|DPO1_AQUAE DNA polymerase I OS=Aquifex aeolicus (strain VF5) OX=224324 GN=polA PE=3 SV=1</t>
  </si>
  <si>
    <t>COG0749 [FUNC="DNA polymerase I, 3'-5' exonuclease and polymerase domains"] [shortName=PolA] [TAG=L TAGDEF="Replication, recombination and repair" PROCESS="INFORMATION STORAGE AND PROCESSING"]  [PATHWAY=""] DNA polymerase I (PolI) [Aquifex aeolicus VF5]</t>
  </si>
  <si>
    <t>DNA polymerase I n=1 Tax=Pseudoalteromonas phage PH1 TaxID=1874540 RepID=A0A1B2ANM1_9CAUD</t>
  </si>
  <si>
    <t>DNAUV-59.689-63_24</t>
  </si>
  <si>
    <t>sp|P06225|DPOL_BPSP2 DNA polymerase OS=Bacillus phage SP02 OX=10723 GN=L PE=3 SV=1</t>
  </si>
  <si>
    <t>COG0749 [FUNC="DNA polymerase I, 3'-5' exonuclease and polymerase domains"] [shortName=PolA] [TAG=L TAGDEF="Replication, recombination and repair" PROCESS="INFORMATION STORAGE AND PROCESSING"]  [PATHWAY=""] DNA polymerase I [[Clostridium] cellulolyticum]</t>
  </si>
  <si>
    <t>DNA polymerase n=1 Tax=Ruegeria phage vB_RpoS-V16 TaxID=2218618 RepID=A0A2Z4QI42_9CAUD</t>
  </si>
  <si>
    <t>DNAUV-24.309-205_48</t>
  </si>
  <si>
    <t>sp|P06229|FEN_BPT5 Flap endonuclease OS=Escherichia phage T5 OX=2695836 GN=D15 PE=1 SV=3</t>
  </si>
  <si>
    <t>COG0749 [FUNC="DNA polymerase I, 3'-5' exonuclease and polymerase domains"] [shortName=PolA] [TAG=L TAGDEF="Replication, recombination and repair" PROCESS="INFORMATION STORAGE AND PROCESSING"]  [PATHWAY=""] DNA polymerase I [Acidiphilium multivorum]</t>
  </si>
  <si>
    <t>Flap endonuclease n=1 Tax=Vibrio phage phi 3 TaxID=1589298 RepID=A0A0B5H902_9CAUD</t>
  </si>
  <si>
    <t>DNAUV-38.940-21_6</t>
  </si>
  <si>
    <t>COG0749 [FUNC="DNA polymerase I, 3'-5' exonuclease and polymerase domains"] [shortName=PolA] [TAG=L TAGDEF="Replication, recombination and repair" PROCESS="INFORMATION STORAGE AND PROCESSING"]  [PATHWAY=""] DNA polymerase I [Alcaligenes faecalis]</t>
  </si>
  <si>
    <t>DNAUV-44.091-1296_6</t>
  </si>
  <si>
    <t>sp|P0DTK4|DPOLA_BPPM6 DNA-directed DNA polymerase OS=Pseudomonas phage M6 OX=2911432 GN=gp62 PE=1 SV=1</t>
  </si>
  <si>
    <t>COG0749 [FUNC="DNA polymerase I, 3'-5' exonuclease and polymerase domains"] [shortName=PolA] [TAG=L TAGDEF="Replication, recombination and repair" PROCESS="INFORMATION STORAGE AND PROCESSING"]  [PATHWAY=""] DNA polymerase I [Algoriphagus sp. M8-2]</t>
  </si>
  <si>
    <t>DNA polymerase A n=1 Tax=Microcystis phage Me-ZS1 TaxID=2483660 RepID=A0A3G8F1Z8_9CAUD</t>
  </si>
  <si>
    <t>Oct.NODE_12_length_43814_cov_20.924267_9</t>
  </si>
  <si>
    <t>DNAUV-2.369-369_2</t>
  </si>
  <si>
    <t>sp|A0A2H5BHJ5|DPOZ_BPSHA DNA polymerase DpoZ OS=Acinetobacter phage SH-Ab 15497 OX=2060946 GN=dpoZ PE=1 SV=1</t>
  </si>
  <si>
    <t>COG0749 [FUNC="DNA polymerase I, 3'-5' exonuclease and polymerase domains"] [shortName=PolA] [TAG=L TAGDEF="Replication, recombination and repair" PROCESS="INFORMATION STORAGE AND PROCESSING"]  [PATHWAY=""] DNA polymerase I [Alkalitalea saponilacus]</t>
  </si>
  <si>
    <t>DNA polymerase I n=1 Tax=Ochrobactrum phage vB_OspP_OH TaxID=2712957 RepID=A0A6G6XXM8_9CAUD</t>
  </si>
  <si>
    <t>Mai.NODE_366_length_4831_cov_6.127722_3</t>
  </si>
  <si>
    <t>DNA polymerase n=1 Tax=Siphoviridae sp. ctdEk19 TaxID=2656720 RepID=A0A5Q2W6W7_9CAUD</t>
  </si>
  <si>
    <t>DNAUV-33.721-35_30</t>
  </si>
  <si>
    <t>COG0749 [FUNC="DNA polymerase I, 3'-5' exonuclease and polymerase domains"] [shortName=PolA] [TAG=L TAGDEF="Replication, recombination and repair" PROCESS="INFORMATION STORAGE AND PROCESSING"]  [PATHWAY=""] DNA polymerase I [Anaerolinea thermophila]</t>
  </si>
  <si>
    <t>DNA polymerase n=2 Tax=unclassified Caudoviricetes TaxID=2788787 RepID=A0A9P0VL32_9CAUD</t>
  </si>
  <si>
    <t>DNAUV-3.016-13_9</t>
  </si>
  <si>
    <t>sp|P30314|DPOL_BPSP1 DNA polymerase OS=Bacillus phage SP01 OX=2884427 GN=31 PE=3 SV=2</t>
  </si>
  <si>
    <t>COG0749 [FUNC="DNA polymerase I, 3'-5' exonuclease and polymerase domains"] [shortName=PolA] [TAG=L TAGDEF="Replication, recombination and repair" PROCESS="INFORMATION STORAGE AND PROCESSING"]  [PATHWAY=""] DNA polymerase I [Aquimarina sp. AD10]</t>
  </si>
  <si>
    <t>DNA-directed DNA polymerase n=1 Tax=Bacillus phage vB_BsuM-Goe10 TaxID=2586958 RepID=A0A7G5CHC0_9CAUD</t>
  </si>
  <si>
    <t>DNAUV-62.938-22_9</t>
  </si>
  <si>
    <t>sp|P19822|DPOL_BPT5 DNA polymerase OS=Escherichia phage T5 OX=2695836 GN=T5.122 PE=1 SV=3</t>
  </si>
  <si>
    <t>COG0749 [FUNC="DNA polymerase I, 3'-5' exonuclease and polymerase domains"] [shortName=PolA] [TAG=L TAGDEF="Replication, recombination and repair" PROCESS="INFORMATION STORAGE AND PROCESSING"]  [PATHWAY=""] DNA polymerase I [Arcobacter nitrofigilis]</t>
  </si>
  <si>
    <t>DNA-directed DNA polymerase n=2 Tax=unclassified Caudoviricetes TaxID=2788787 RepID=A0A8S5MVJ1_9CAUD</t>
  </si>
  <si>
    <t>05.07.P3-5.090-10_8</t>
  </si>
  <si>
    <t>COG0749 [FUNC="DNA polymerase I, 3'-5' exonuclease and polymerase domains"] [shortName=PolA] [TAG=L TAGDEF="Replication, recombination and repair" PROCESS="INFORMATION STORAGE AND PROCESSING"]  [PATHWAY=""] DNA polymerase I [Bdellovibrio bacteriovorus]</t>
  </si>
  <si>
    <t>5'-3' exonuclease domain-containing protein n=3 Tax=unclassified Caudoviricetes TaxID=2788787 RepID=A0A915VGK7_9CAUD</t>
  </si>
  <si>
    <t>DNAUV-72.439-197_41</t>
  </si>
  <si>
    <t>sp|P30313|DPO1F_THETH DNA polymerase I, thermostable OS=Thermus thermophilus OX=274 GN=polA PE=1 SV=1</t>
  </si>
  <si>
    <t>COG0749 [FUNC="DNA polymerase I, 3'-5' exonuclease and polymerase domains"] [shortName=PolA] [TAG=L TAGDEF="Replication, recombination and repair" PROCESS="INFORMATION STORAGE AND PROCESSING"]  [PATHWAY=""] DNA polymerase I [Beggiatoa leptomitoformis]</t>
  </si>
  <si>
    <t>DNA-directed DNA polymerase family A palm domain-containing protein n=1 Tax=Pseudomonas phage Zuri TaxID=2604899 RepID=A0A5C1K5Q8_9CAUD</t>
  </si>
  <si>
    <t>DNAUV-5.565-203_3</t>
  </si>
  <si>
    <t>COG0749 [FUNC="DNA polymerase I, 3'-5' exonuclease and polymerase domains"] [shortName=PolA] [TAG=L TAGDEF="Replication, recombination and repair" PROCESS="INFORMATION STORAGE AND PROCESSING"]  [PATHWAY=""] DNA polymerase I [Breoghania sp. L-A4]</t>
  </si>
  <si>
    <t>Avril.NODE_78_length_21756_cov_6.683839_22</t>
  </si>
  <si>
    <t>sp|Q9HT80|DPO1_PSEAE DNA polymerase I OS=Pseudomonas aeruginosa (strain ATCC 15692 / DSM 22644 / CIP 104116 / JCM 14847 / LMG 12228 / 1C / PRS 101 / PAO1) OX=208964 GN=polA PE=3 SV=1</t>
  </si>
  <si>
    <t>COG0749 [FUNC="DNA polymerase I, 3'-5' exonuclease and polymerase domains"] [shortName=PolA] [TAG=L TAGDEF="Replication, recombination and repair" PROCESS="INFORMATION STORAGE AND PROCESSING"]  [PATHWAY=""] DNA polymerase I [Caldilinea aerophila]</t>
  </si>
  <si>
    <t>N4 DNAP-like protein n=1 Tax=Roseovarius Plymouth podovirus 1 TaxID=926474 RepID=K4Q526_9CAUD</t>
  </si>
  <si>
    <t>DNAUV-73.172-54_85</t>
  </si>
  <si>
    <t>sp|P19821|DPO1_THEAQ DNA polymerase I, thermostable OS=Thermus aquaticus OX=271 GN=polA PE=1 SV=1</t>
  </si>
  <si>
    <t>05.07.P3-15.581-31_9</t>
  </si>
  <si>
    <t>sp|P52026|DPO1_GEOSE DNA polymerase I OS=Geobacillus stearothermophilus OX=1422 GN=polA PE=1 SV=2</t>
  </si>
  <si>
    <t>COG0749 [FUNC="DNA polymerase I, 3'-5' exonuclease and polymerase domains"] [shortName=PolA] [TAG=L TAGDEF="Replication, recombination and repair" PROCESS="INFORMATION STORAGE AND PROCESSING"]  [PATHWAY=""] DNA polymerase I [Candidatus Cyclonatronum proteinivorum]</t>
  </si>
  <si>
    <t>DNA polymerase n=1 Tax=Roseobacter phage CRP-2 TaxID=2559281 RepID=A0A646QVP7_9CAUD</t>
  </si>
  <si>
    <t>Avril.NODE_4_length_52184_cov_14.862668_51</t>
  </si>
  <si>
    <t>sp|Q9CDS1|DPO1_LACLA DNA polymerase I OS=Lactococcus lactis subsp. lactis (strain IL1403) OX=272623 GN=polA PE=3 SV=1</t>
  </si>
  <si>
    <t>COG0749 [FUNC="DNA polymerase I, 3'-5' exonuclease and polymerase domains"] [shortName=PolA] [TAG=L TAGDEF="Replication, recombination and repair" PROCESS="INFORMATION STORAGE AND PROCESSING"]  [PATHWAY=""] DNA polymerase I [Candidatus Pelagibacter sp. IMCC9063]</t>
  </si>
  <si>
    <t>DNAUV-24.309-205_38</t>
  </si>
  <si>
    <t>COG0749 [FUNC="DNA polymerase I, 3'-5' exonuclease and polymerase domains"] [shortName=PolA] [TAG=L TAGDEF="Replication, recombination and repair" PROCESS="INFORMATION STORAGE AND PROCESSING"]  [PATHWAY=""] DNA polymerase I [Cloacibacterium normanense]</t>
  </si>
  <si>
    <t>DNA-directed DNA polymerase n=1 Tax=Salmonella phage STWB21 TaxID=2815768 RepID=A0A8A6RGS8_9CAUD</t>
  </si>
  <si>
    <t>11.09.P4-14.613-5.8_2</t>
  </si>
  <si>
    <t>COG0749 [FUNC="DNA polymerase I, 3'-5' exonuclease and polymerase domains"] [shortName=PolA] [TAG=L TAGDEF="Replication, recombination and repair" PROCESS="INFORMATION STORAGE AND PROCESSING"]  [PATHWAY=""] DNA polymerase I [Clostridium botulinum A str. ATCC 3502]</t>
  </si>
  <si>
    <t>Oct.NODE_124_length_14767_cov_18.698341_7</t>
  </si>
  <si>
    <t>Oct.NODE_17_length_42127_cov_14.061823_11</t>
  </si>
  <si>
    <t>sp|F4I6M1|POLIA_ARATH DNA polymerase I A, chloroplastic/mitochondrial OS=Arabidopsis thaliana OX=3702 GN=POLIA PE=2 SV=1</t>
  </si>
  <si>
    <t>COG0749 [FUNC="DNA polymerase I, 3'-5' exonuclease and polymerase domains"] [shortName=PolA] [TAG=L TAGDEF="Replication, recombination and repair" PROCESS="INFORMATION STORAGE AND PROCESSING"]  [PATHWAY=""] DNA polymerase I [Corallococcus coralloides]</t>
  </si>
  <si>
    <t>DNA polymerase I n=1 Tax=Polynucleobacter cosmopolitanus TaxID=351345 RepID=A0A229FWB2_9BURK</t>
  </si>
  <si>
    <t>Avril.NODE_1470_length_2107_cov_2.945906_1</t>
  </si>
  <si>
    <t>COG0749 [FUNC="DNA polymerase I, 3'-5' exonuclease and polymerase domains"] [shortName=PolA] [TAG=L TAGDEF="Replication, recombination and repair" PROCESS="INFORMATION STORAGE AND PROCESSING"]  [PATHWAY=""] DNA polymerase I [Desulfotomaculum ruminis]</t>
  </si>
  <si>
    <t>DNA polymerase n=1 Tax=Croceibacter phage P2559Y TaxID=1327037 RepID=W8CQR4_9CAUD</t>
  </si>
  <si>
    <t>DNAUV-9.846-39_11</t>
  </si>
  <si>
    <t>11.09.P2-13.999-19_10</t>
  </si>
  <si>
    <t>sp|P00582|DPO1_ECOLI DNA polymerase I OS=Escherichia coli (strain K12) OX=83333 GN=polA PE=1 SV=1</t>
  </si>
  <si>
    <t>COG0749 [FUNC="DNA polymerase I, 3'-5' exonuclease and polymerase domains"] [shortName=PolA] [TAG=L TAGDEF="Replication, recombination and repair" PROCESS="INFORMATION STORAGE AND PROCESSING"]  [PATHWAY=""] DNA polymerase I [Desulfuromonas soudanensis]</t>
  </si>
  <si>
    <t>DNAUV-152.980-60_37</t>
  </si>
  <si>
    <t>5'-3' exonuclease domain-containing protein n=1 Tax=Marine Group I thaumarchaeote TaxID=2511932 RepID=A0A7K4MW84_9ARCH</t>
  </si>
  <si>
    <t>DNAUV-16.566-137_32</t>
  </si>
  <si>
    <t>DNAUV-43.621-123_61</t>
  </si>
  <si>
    <t>COG0749 [FUNC="DNA polymerase I, 3'-5' exonuclease and polymerase domains"] [shortName=PolA] [TAG=L TAGDEF="Replication, recombination and repair" PROCESS="INFORMATION STORAGE AND PROCESSING"]  [PATHWAY=""] DNA polymerase I [Elizabethkingia anophelis]</t>
  </si>
  <si>
    <t>DNA-directed DNA polymerase n=1 Tax=Proteus phage RP7 TaxID=2951182 RepID=A0A9E7V0A6_9CAUD</t>
  </si>
  <si>
    <t>DNAUV-3.866-17_3</t>
  </si>
  <si>
    <t>sp|P74933|DPO1_TREPA DNA polymerase I OS=Treponema pallidum (strain Nichols) OX=243276 GN=polA PE=3 SV=2</t>
  </si>
  <si>
    <t>COG0749 [FUNC="DNA polymerase I, 3'-5' exonuclease and polymerase domains"] [shortName=PolA] [TAG=L TAGDEF="Replication, recombination and repair" PROCESS="INFORMATION STORAGE AND PROCESSING"]  [PATHWAY=""] DNA polymerase I [Fluviicola taffensis]</t>
  </si>
  <si>
    <t>17.05.P4-8.753-4.4_3</t>
  </si>
  <si>
    <t>sp|P52028|DPO1T_THET8 DNA polymerase I, thermostable OS=Thermus thermophilus (strain ATCC 27634 / DSM 579 / HB8) OX=300852 GN=polA PE=3 SV=2</t>
  </si>
  <si>
    <t>COG0749 [FUNC="DNA polymerase I, 3'-5' exonuclease and polymerase domains"] [shortName=PolA] [TAG=L TAGDEF="Replication, recombination and repair" PROCESS="INFORMATION STORAGE AND PROCESSING"]  [PATHWAY=""] DNA polymerase I [Frischella perrara]</t>
  </si>
  <si>
    <t>Putative mitochondrial DNA polymerase n=1 Tax=Hemistasia phaeocysticola TaxID=1503927 RepID=A0A6F8QH52_9EUGL</t>
  </si>
  <si>
    <t>DNAUV-10.749-19_8</t>
  </si>
  <si>
    <t>sp|Q98PK2|EX53_MYCPU 5'-3' exonuclease OS=Mycoplasmopsis pulmonis (strain UAB CTIP) OX=272635 GN=polA PE=3 SV=1</t>
  </si>
  <si>
    <t>COG0749 [FUNC="DNA polymerase I, 3'-5' exonuclease and polymerase domains"] [shortName=PolA] [TAG=L TAGDEF="Replication, recombination and repair" PROCESS="INFORMATION STORAGE AND PROCESSING"]  [PATHWAY=""] DNA polymerase I [Gallionella capsiferriformans]</t>
  </si>
  <si>
    <t>DNA polymerase I n=1 Tax=Herbaspirillum sp. SJZ107 TaxID=2572881 RepID=A0A542LNR5_9BURK</t>
  </si>
  <si>
    <t>DNAUV-26.770-92_27</t>
  </si>
  <si>
    <t>COG0749 [FUNC="DNA polymerase I, 3'-5' exonuclease and polymerase domains"] [shortName=PolA] [TAG=L TAGDEF="Replication, recombination and repair" PROCESS="INFORMATION STORAGE AND PROCESSING"]  [PATHWAY=""] DNA polymerase I [Geoalkalibacter subterraneus]</t>
  </si>
  <si>
    <t>DNA-directed DNA polymerase n=1 Tax=phage 023Pt_psg01 TaxID=2945965 RepID=A0A9E7ILA7_9CAUD</t>
  </si>
  <si>
    <t>DNAUV-6.125-18_8</t>
  </si>
  <si>
    <t>DNAUV-46.666-73_80</t>
  </si>
  <si>
    <t>COG0749 [FUNC="DNA polymerase I, 3'-5' exonuclease and polymerase domains"] [shortName=PolA] [TAG=L TAGDEF="Replication, recombination and repair" PROCESS="INFORMATION STORAGE AND PROCESSING"]  [PATHWAY=""] DNA polymerase I [Hahella chejuensis]</t>
  </si>
  <si>
    <t>3'-5'exonuclease and polymerase domain protein n=1 Tax=Vibrio phage vB_VspS_VS-ABTNL-3 TaxID=2026084 RepID=A0A2D1A951_9CAUD</t>
  </si>
  <si>
    <t>DNAUV-19.264-18_25</t>
  </si>
  <si>
    <t>COG0749 [FUNC="DNA polymerase I, 3'-5' exonuclease and polymerase domains"] [shortName=PolA] [TAG=L TAGDEF="Replication, recombination and repair" PROCESS="INFORMATION STORAGE AND PROCESSING"]  [PATHWAY=""] DNA polymerase I [Halobacillus halophilus]</t>
  </si>
  <si>
    <t>RNaseH ribonuclease n=4 Tax=Emdodecavirus TaxID=1980937 RepID=S5MB93_9CAUD</t>
  </si>
  <si>
    <t>DNAUV-42.404-84_1</t>
  </si>
  <si>
    <t>sp|O52225|DPO1_THEFI DNA polymerase I, thermostable OS=Thermus filiformis OX=276 GN=polA PE=1 SV=1</t>
  </si>
  <si>
    <t>COG0749 [FUNC="DNA polymerase I, 3'-5' exonuclease and polymerase domains"] [shortName=PolA] [TAG=L TAGDEF="Replication, recombination and repair" PROCESS="INFORMATION STORAGE AND PROCESSING"]  [PATHWAY=""] DNA polymerase I [Halomicronema hongdechloris]</t>
  </si>
  <si>
    <t>DNA polymerase I n=1 Tax=Paracoccus phage vB_PmaS-R3 TaxID=2494563 RepID=A0A0B5A7I1_9CAUD</t>
  </si>
  <si>
    <t>DNAUV-7.368-81_6</t>
  </si>
  <si>
    <t>COG0749 [FUNC="DNA polymerase I, 3'-5' exonuclease and polymerase domains"] [shortName=PolA] [TAG=L TAGDEF="Replication, recombination and repair" PROCESS="INFORMATION STORAGE AND PROCESSING"]  [PATHWAY=""] DNA polymerase I [Labilithrix luteola]</t>
  </si>
  <si>
    <t>DNAUV-3.404-10_1</t>
  </si>
  <si>
    <t>COG0749 [FUNC="DNA polymerase I, 3'-5' exonuclease and polymerase domains"] [shortName=PolA] [TAG=L TAGDEF="Replication, recombination and repair" PROCESS="INFORMATION STORAGE AND PROCESSING"]  [PATHWAY=""] DNA polymerase I [Lachnoanaerobaculum umeaense]</t>
  </si>
  <si>
    <t>DNA-directed DNA polymerase n=1 Tax=Aeromonas phage Akh-2 TaxID=2500821 RepID=A0A4Y1PWA6_9CAUD</t>
  </si>
  <si>
    <t>DNAUV-64.562-41_25</t>
  </si>
  <si>
    <t>COG0749 [FUNC="DNA polymerase I, 3'-5' exonuclease and polymerase domains"] [shortName=PolA] [TAG=L TAGDEF="Replication, recombination and repair" PROCESS="INFORMATION STORAGE AND PROCESSING"]  [PATHWAY=""] DNA polymerase I [Leminorella richardii]</t>
  </si>
  <si>
    <t>DNA-directed DNA polymerase n=1 Tax=Alphaproteobacteria phage PhiJL001 TaxID=2681607 RepID=Q5DN77_9CAUD</t>
  </si>
  <si>
    <t>Avril.NODE_1496_length_2085_cov_3.404433_3</t>
  </si>
  <si>
    <t>sp|P46835|DPO1_MYCLE DNA polymerase I OS=Mycobacterium leprae (strain TN) OX=272631 GN=polA PE=3 SV=1</t>
  </si>
  <si>
    <t>COG0749 [FUNC="DNA polymerase I, 3'-5' exonuclease and polymerase domains"] [shortName=PolA] [TAG=L TAGDEF="Replication, recombination and repair" PROCESS="INFORMATION STORAGE AND PROCESSING"]  [PATHWAY=""] DNA polymerase I [Marinithermus hydrothermalis]</t>
  </si>
  <si>
    <t>DNAUV-50.039-64_16</t>
  </si>
  <si>
    <t>COG0749 [FUNC="DNA polymerase I, 3'-5' exonuclease and polymerase domains"] [shortName=PolA] [TAG=L TAGDEF="Replication, recombination and repair" PROCESS="INFORMATION STORAGE AND PROCESSING"]  [PATHWAY=""] DNA polymerase I [Marivirga tractuosa]</t>
  </si>
  <si>
    <t>DNAUV-6.358-16_1</t>
  </si>
  <si>
    <t>COG0749 [FUNC="DNA polymerase I, 3'-5' exonuclease and polymerase domains"] [shortName=PolA] [TAG=L TAGDEF="Replication, recombination and repair" PROCESS="INFORMATION STORAGE AND PROCESSING"]  [PATHWAY=""] DNA polymerase I [Meiothermus silvanus]</t>
  </si>
  <si>
    <t>DNA polymerase I n=2 Tax=Allomeiothermus silvanus TaxID=52022 RepID=D7BIB7_ALLS1</t>
  </si>
  <si>
    <t>DNAUV-43.492-339_18</t>
  </si>
  <si>
    <t>COG0749 [FUNC="DNA polymerase I, 3'-5' exonuclease and polymerase domains"] [shortName=PolA] [TAG=L TAGDEF="Replication, recombination and repair" PROCESS="INFORMATION STORAGE AND PROCESSING"]  [PATHWAY=""] DNA polymerase I [Methylomicrobium alcaliphilum]</t>
  </si>
  <si>
    <t>DNA polymerase I n=1 Tax=Arthrobacter phage Jasmine TaxID=1772302 RepID=A0A0U4K041_9CAUD</t>
  </si>
  <si>
    <t>DNAUV-5.088-11_6</t>
  </si>
  <si>
    <t>COG0749 [FUNC="DNA polymerase I, 3'-5' exonuclease and polymerase domains"] [shortName=PolA] [TAG=L TAGDEF="Replication, recombination and repair" PROCESS="INFORMATION STORAGE AND PROCESSING"]  [PATHWAY=""] DNA polymerase I [Methylomonas methanica]</t>
  </si>
  <si>
    <t>DNA polymerase n=1 Tax=Escherichia phage vB_EcoP_3HA13 TaxID=2580395 RepID=A0A6M2YCK4_9CAUD</t>
  </si>
  <si>
    <t>23.10.P4-6.087-20_10</t>
  </si>
  <si>
    <t>COG0749 [FUNC="DNA polymerase I, 3'-5' exonuclease and polymerase domains"] [shortName=PolA] [TAG=L TAGDEF="Replication, recombination and repair" PROCESS="INFORMATION STORAGE AND PROCESSING"]  [PATHWAY=""] DNA polymerase I [Morganella morganii]</t>
  </si>
  <si>
    <t>DNA POLYMERASE n=1 Tax=Myoviridae sp. ctx322 TaxID=2826711 RepID=A0A8S5NB67_9CAUD</t>
  </si>
  <si>
    <t>11.09.P1-7.013-24_4</t>
  </si>
  <si>
    <t>COG0749 [FUNC="DNA polymerase I, 3'-5' exonuclease and polymerase domains"] [shortName=PolA] [TAG=L TAGDEF="Replication, recombination and repair" PROCESS="INFORMATION STORAGE AND PROCESSING"]  [PATHWAY=""] DNA polymerase I [Nitratifractor salsuginis]</t>
  </si>
  <si>
    <t>DNA-directed DNA polymerase n=1 Tax=Pseudomonas phage PaMx11 TaxID=1175657 RepID=A0A0S0N6Y7_BPPAM</t>
  </si>
  <si>
    <t>11.09.P2-13.656-12_18</t>
  </si>
  <si>
    <t>11.09.P2-13.656-12_8</t>
  </si>
  <si>
    <t>11.09.P3-2.410-1.3_2</t>
  </si>
  <si>
    <t>DNA-directed DNA polymerase n=2 Tax=unclassified Yuavirus TaxID=1308898 RepID=A0A411BB35_9CAUD</t>
  </si>
  <si>
    <t>DNAUV-24.776-121_32</t>
  </si>
  <si>
    <t>COG0749 [FUNC="DNA polymerase I, 3'-5' exonuclease and polymerase domains"] [shortName=PolA] [TAG=L TAGDEF="Replication, recombination and repair" PROCESS="INFORMATION STORAGE AND PROCESSING"]  [PATHWAY=""] DNA polymerase I [Orientia tsutsugamushi]</t>
  </si>
  <si>
    <t>RnaseH n=1 Tax=Synechococcus phage S-CREM1 TaxID=2982919 RepID=A0A9X9JLV2_9CAUD</t>
  </si>
  <si>
    <t>11.09.P1-7.013-24_5</t>
  </si>
  <si>
    <t>COG0749 [FUNC="DNA polymerase I, 3'-5' exonuclease and polymerase domains"] [shortName=PolA] [TAG=L TAGDEF="Replication, recombination and repair" PROCESS="INFORMATION STORAGE AND PROCESSING"]  [PATHWAY=""] DNA polymerase I [Parabacteroides distasonis]</t>
  </si>
  <si>
    <t>DNA-directed DNA polymerase n=1 Tax=Pseudomonas phage YuA TaxID=462590 RepID=A9J524_BPPYU</t>
  </si>
  <si>
    <t>Avril.NODE_1227_length_2396_cov_3.659120_5</t>
  </si>
  <si>
    <t>COG0749 [FUNC="DNA polymerase I, 3'-5' exonuclease and polymerase domains"] [shortName=PolA] [TAG=L TAGDEF="Replication, recombination and repair" PROCESS="INFORMATION STORAGE AND PROCESSING"]  [PATHWAY=""] DNA polymerase I [Paucibacter sp. KCTC 42545]</t>
  </si>
  <si>
    <t>DNA-directed DNA polymerase n=1 Tax=Bordetella phage CN2 TaxID=1916124 RepID=A0A2D0W999_9CAUD</t>
  </si>
  <si>
    <t>DNAUV-42.404-84_50</t>
  </si>
  <si>
    <t>COG0749 [FUNC="DNA polymerase I, 3'-5' exonuclease and polymerase domains"] [shortName=PolA] [TAG=L TAGDEF="Replication, recombination and repair" PROCESS="INFORMATION STORAGE AND PROCESSING"]  [PATHWAY=""] DNA polymerase I [Pelolinea submarina]</t>
  </si>
  <si>
    <t>DNAUV-22.957-353_16</t>
  </si>
  <si>
    <t>COG0749 [FUNC="DNA polymerase I, 3'-5' exonuclease and polymerase domains"] [shortName=PolA] [TAG=L TAGDEF="Replication, recombination and repair" PROCESS="INFORMATION STORAGE AND PROCESSING"]  [PATHWAY=""] DNA polymerase I [Pseudanabaena sp. PCC 7367]</t>
  </si>
  <si>
    <t>DNAUV-38.940-21_3</t>
  </si>
  <si>
    <t>DNA polymerase I n=1 Tax=Pseudomonas phage vB_PaeP_FBPa8 TaxID=2969617 RepID=A0A9E7QLZ8_9CAUD</t>
  </si>
  <si>
    <t>DNAUV-5.997-503_5</t>
  </si>
  <si>
    <t>COG0749 [FUNC="DNA polymerase I, 3'-5' exonuclease and polymerase domains"] [shortName=PolA] [TAG=L TAGDEF="Replication, recombination and repair" PROCESS="INFORMATION STORAGE AND PROCESSING"]  [PATHWAY=""] DNA polymerase I [Pseudodesulfovibrio aespoeensis]</t>
  </si>
  <si>
    <t>DNAUV-2.661-11_2</t>
  </si>
  <si>
    <t>COG0749 [FUNC="DNA polymerase I, 3'-5' exonuclease and polymerase domains"] [shortName=PolA] [TAG=L TAGDEF="Replication, recombination and repair" PROCESS="INFORMATION STORAGE AND PROCESSING"]  [PATHWAY=""] DNA polymerase I [Pseudomonas putida KT2440]</t>
  </si>
  <si>
    <t>DNAUV-63.154-214_85</t>
  </si>
  <si>
    <t>Mai.NODE_681_length_3097_cov_5.750822_4</t>
  </si>
  <si>
    <t>DNA-directed DNA polymerase (Fragment) n=1 Tax=Podovirus GOM TaxID=236244 RepID=Q69HU7_9CAUD</t>
  </si>
  <si>
    <t>DNAUV-5.648-962_14</t>
  </si>
  <si>
    <t>COG0749 [FUNC="DNA polymerase I, 3'-5' exonuclease and polymerase domains"] [shortName=PolA] [TAG=L TAGDEF="Replication, recombination and repair" PROCESS="INFORMATION STORAGE AND PROCESSING"]  [PATHWAY=""] DNA polymerase I [Pseudothermotoga lettingae]</t>
  </si>
  <si>
    <t>DNAUV-43.621-123_70</t>
  </si>
  <si>
    <t>COG0749 [FUNC="DNA polymerase I, 3'-5' exonuclease and polymerase domains"] [shortName=PolA] [TAG=L TAGDEF="Replication, recombination and repair" PROCESS="INFORMATION STORAGE AND PROCESSING"]  [PATHWAY=""] DNA polymerase I [Saccharophagus degradans]</t>
  </si>
  <si>
    <t>DNAUV-6.049-15_31</t>
  </si>
  <si>
    <t>COG0749 [FUNC="DNA polymerase I, 3'-5' exonuclease and polymerase domains"] [shortName=PolA] [TAG=L TAGDEF="Replication, recombination and repair" PROCESS="INFORMATION STORAGE AND PROCESSING"]  [PATHWAY=""] DNA polymerase I [Sedimenticola thiotaurini]</t>
  </si>
  <si>
    <t>Putative DNA polymerase I n=1 Tax=Vibrio phage vB_VpaS_KF4 TaxID=2041475 RepID=A0A384WJP3_9CAUD</t>
  </si>
  <si>
    <t>DNAUV-64.565-409_43</t>
  </si>
  <si>
    <t>COG0749 [FUNC="DNA polymerase I, 3'-5' exonuclease and polymerase domains"] [shortName=PolA] [TAG=L TAGDEF="Replication, recombination and repair" PROCESS="INFORMATION STORAGE AND PROCESSING"]  [PATHWAY=""] DNA polymerase I [Sulfuritortus calidifontis]</t>
  </si>
  <si>
    <t>DNA-directed DNA polymerase n=1 Tax=Pseudomonas phage vB_PaeS_PAO1_Ab18 TaxID=1548905 RepID=A0A0A1IWZ4_9CAUD</t>
  </si>
  <si>
    <t>Avril.NODE_9_length_46600_cov_10.230895_8</t>
  </si>
  <si>
    <t>sp|Q9F173|DPO1_SALTY DNA polymerase I OS=Salmonella typhimurium (strain LT2 / SGSC1412 / ATCC 700720) OX=99287 GN=polA PE=3 SV=2</t>
  </si>
  <si>
    <t>COG0749 [FUNC="DNA polymerase I, 3'-5' exonuclease and polymerase domains"] [shortName=PolA] [TAG=L TAGDEF="Replication, recombination and repair" PROCESS="INFORMATION STORAGE AND PROCESSING"]  [PATHWAY=""] DNA polymerase I [Symbiobacterium thermophilum]</t>
  </si>
  <si>
    <t>DNAUV-2.724-14_5</t>
  </si>
  <si>
    <t>COG0749 [FUNC="DNA polymerase I, 3'-5' exonuclease and polymerase domains"] [shortName=PolA] [TAG=L TAGDEF="Replication, recombination and repair" PROCESS="INFORMATION STORAGE AND PROCESSING"]  [PATHWAY=""] DNA polymerase I [Syntrophobacter fumaroxidans]</t>
  </si>
  <si>
    <t>Putative DNA polymerase n=1 Tax=Vibrio phage vB_VpaS_MAR10 TaxID=1229755 RepID=K7RFL3_9CAUD</t>
  </si>
  <si>
    <t>DNAUV-3.586-13_1</t>
  </si>
  <si>
    <t>COG0749 [FUNC="DNA polymerase I, 3'-5' exonuclease and polymerase domains"] [shortName=PolA] [TAG=L TAGDEF="Replication, recombination and repair" PROCESS="INFORMATION STORAGE AND PROCESSING"]  [PATHWAY=""] DNA polymerase I [Syntrophothermus lipocalidus]</t>
  </si>
  <si>
    <t>DNA polymerase I n=1 Tax=Alkaliphilus oremlandii (strain OhILAs) TaxID=350688 RepID=A8MF83_ALKOO</t>
  </si>
  <si>
    <t>11.09.P4-7.750-6.7_5</t>
  </si>
  <si>
    <t>COG0749 [FUNC="DNA polymerase I, 3'-5' exonuclease and polymerase domains"] [shortName=PolA] [TAG=L TAGDEF="Replication, recombination and repair" PROCESS="INFORMATION STORAGE AND PROCESSING"]  [PATHWAY=""] DNA polymerase I [Tenacibaculum dicentrarchi]</t>
  </si>
  <si>
    <t>Mai.NODE_575_length_3505_cov_3.183478_1</t>
  </si>
  <si>
    <t>COG0749 [FUNC="DNA polymerase I, 3'-5' exonuclease and polymerase domains"] [shortName=PolA] [TAG=L TAGDEF="Replication, recombination and repair" PROCESS="INFORMATION STORAGE AND PROCESSING"]  [PATHWAY=""] DNA polymerase I [Thermaerobacter marianensis]</t>
  </si>
  <si>
    <t>11.09.P4-24.849-9.8_23</t>
  </si>
  <si>
    <t>COG0749 [FUNC="DNA polymerase I, 3'-5' exonuclease and polymerase domains"] [shortName=PolA] [TAG=L TAGDEF="Replication, recombination and repair" PROCESS="INFORMATION STORAGE AND PROCESSING"]  [PATHWAY=""] DNA polymerase I [Thermosulfidibacter takaii]</t>
  </si>
  <si>
    <t>DNA-directed DNA polymerase n=1 Tax=Providencia phage PSTCR5 TaxID=2783547 RepID=A0A873WHK9_9CAUD</t>
  </si>
  <si>
    <t>Oct.NODE_583_length_4490_cov_4.150846_2</t>
  </si>
  <si>
    <t>COG0749 [FUNC="DNA polymerase I, 3'-5' exonuclease and polymerase domains"] [shortName=PolA] [TAG=L TAGDEF="Replication, recombination and repair" PROCESS="INFORMATION STORAGE AND PROCESSING"]  [PATHWAY=""] DNA polymerase I [Weeksella virosa]</t>
  </si>
  <si>
    <t>17.05.P3-4.773-8.9_1</t>
  </si>
  <si>
    <t>COG0749 [FUNC="DNA polymerase I, 3'-5' exonuclease and polymerase domains"] [shortName=PolA] [TAG=L TAGDEF="Replication, recombination and repair" PROCESS="INFORMATION STORAGE AND PROCESSING"]  [PATHWAY=""] hypothetical protein [Neorhizobium galegae]</t>
  </si>
  <si>
    <t>DNA polymerase n=1 Tax=Salinivibrio phage CW02 TaxID=1161935 RepID=H9D1E7_9CAUD</t>
  </si>
  <si>
    <t>DNAUV-14.976-22_3</t>
  </si>
  <si>
    <t>DNA-directed DNA polymerase family A palm domain-containing protein n=1 Tax=Vibrio phage 1.193.O._10N.286.52.C6 TaxID=1881436 RepID=A0A2I7RL03_9CAUD</t>
  </si>
  <si>
    <t>DNAUV-17.618-285_12</t>
  </si>
  <si>
    <t>DNA polymerase n=1 Tax=Aeromonas phage vB_AceP_PAc TaxID=2996154 RepID=A0A9E9M271_9CAUD</t>
  </si>
  <si>
    <t>DNAUV-23.114-30_41</t>
  </si>
  <si>
    <t>DNA polymerase I-3'-5' exonuclease and polymerase domains n=1 Tax=Bradyrhizobium erythrophlei TaxID=1437360 RepID=A0A1M5TAT9_9BRAD</t>
  </si>
  <si>
    <t>DNAUV-38.940-21_2</t>
  </si>
  <si>
    <t>DNA Polymerase n=1 Tax=Pseudomonas phage GP100 TaxID=2055238 RepID=A0A2P9FI87_9CAUD</t>
  </si>
  <si>
    <t>DNAUV-5.077-286_3</t>
  </si>
  <si>
    <t>DNAUV-56.054-300_1</t>
  </si>
  <si>
    <t>DNA polymerase I n=1 Tax=Alteromonas phage vB_AmeM_PT11-V22 TaxID=2704031 RepID=A0A6C0R1Y4_9CAUD</t>
  </si>
  <si>
    <t>DNAUV-8.010-665_1</t>
  </si>
  <si>
    <t>DNAUV-8.149-12_6</t>
  </si>
  <si>
    <t>DNA-directed DNA polymerase n=1 Tax=Vibrio phage PWH3a-P1 TaxID=754058 RepID=M4QSI5_9CAUD</t>
  </si>
  <si>
    <t>Juil.NODE_72_length_2134_cov_4.537759_1</t>
  </si>
  <si>
    <t>DNA-directed DNA polymerase (Fragment) n=2 Tax=Pseudomonas putida group TaxID=136845 RepID=A0A136Q9C7_9PSED</t>
  </si>
  <si>
    <t>Oct.NODE_278_length_7370_cov_5.554751_5</t>
  </si>
  <si>
    <t>DNAUV-78.511-202_12</t>
  </si>
  <si>
    <t>COG0749 [FUNC="DNA polymerase I, 3'-5' exonuclease and polymerase domains"] [shortName=PolA] [TAG=L TAGDEF="Replication, recombination and repair" PROCESS="INFORMATION STORAGE AND PROCESSING"]  [PATHWAY=""] hypothetical protein P147_WWE3C00001G0212 [candidate division WWE3 bacterium RAAC2_WWE3_1]</t>
  </si>
  <si>
    <t>DNA polymerase I n=1 Tax=Hydrotalea sp. AMD TaxID=2501297 RepID=A0A4V1J8V4_9BACT</t>
  </si>
  <si>
    <t>DNAUV-2.375-10_2</t>
  </si>
  <si>
    <t>COG0749 [FUNC="DNA polymerase I, 3'-5' exonuclease and polymerase domains"] [shortName=PolA] [TAG=L TAGDEF="Replication, recombination and repair" PROCESS="INFORMATION STORAGE AND PROCESSING"]  [PATHWAY=""] MULTISPECIES: DNA polymerase I [Halioglobus]</t>
  </si>
  <si>
    <t>DNA polymerase I n=1 Tax=Methyloversatilis universalis (strain ATCC BAA-1314 / JCM 13912 / FAM5) TaxID=1000565 RepID=F5RFB7_METUF</t>
  </si>
  <si>
    <t>DNAUV-22.071-221_8</t>
  </si>
  <si>
    <t>COG0749 [FUNC="DNA polymerase I, 3'-5' exonuclease and polymerase domains"] [shortName=PolA] [TAG=L TAGDEF="Replication, recombination and repair" PROCESS="INFORMATION STORAGE AND PROCESSING"]  [PATHWAY=""] XRE family transcriptional regulator [Candidatus Hamiltonella defensa]</t>
  </si>
  <si>
    <t>Putative DNA polymerase n=1 Tax=Pseudomonas phage PaMx74 TaxID=1175663 RepID=A0A0S0N7U2_9CAUD</t>
  </si>
  <si>
    <t>DNAUV-4.141-12_5</t>
  </si>
  <si>
    <t>Putative DNA polymerase n=1 Tax=Shewanella phage SppYZU01 TaxID=1965372 RepID=A0A1V0DYI6_9CAUD</t>
  </si>
  <si>
    <t>DNAUV-43.274-68_32</t>
  </si>
  <si>
    <t>Oct.NODE_33_length_37390_cov_21.424508_30</t>
  </si>
  <si>
    <t>DNA polymerase I n=1 Tax=Xanthomonas phage Bosa TaxID=2674976 RepID=A0A679KDA3_9CAUD</t>
  </si>
  <si>
    <t>DNAUV-4.315-290_8</t>
  </si>
  <si>
    <t>COG0749 [FUNC="DNA polymerase I, 3'-5' exonuclease and polymerase domains"] [shortName=PolA] [TAG=L TAGDEF="Replication, recombination and repair" PROCESS="INFORMATION STORAGE AND PROCESSING"]  [PATHWAY=""] XRE family transcriptional regulator [Desulfotomaculum ruminis]</t>
  </si>
  <si>
    <t>DNAUV-40.486-52_40</t>
  </si>
  <si>
    <t>COG0749 [FUNC="DNA polymerase I, 3'-5' exonuclease and polymerase domains"] [shortName=PolA] [TAG=L TAGDEF="Replication, recombination and repair" PROCESS="INFORMATION STORAGE AND PROCESSING"]  [PATHWAY=""] XRE family transcriptional regulator [Peptoclostridium acidaminophilum]</t>
  </si>
  <si>
    <t>Putative DNA-directed DNA polymerase n=1 Tax=Magnetofaba australis IT-1 TaxID=1434232 RepID=A0A1Y2K5R8_9PROT</t>
  </si>
  <si>
    <t>05.07.P3-6.363-21_4</t>
  </si>
  <si>
    <t>sp|O64253|VG61_BPMD2 Gene 61 protein OS=Mycobacterium phage D29 OX=28369 GN=61 PE=4 SV=1</t>
  </si>
  <si>
    <t>DUF2493 domain-containing protein n=1 Tax=Kaistia nematophila TaxID=2994654 RepID=A0A9X3E1F8_9HYPH</t>
  </si>
  <si>
    <t>11.09.P1-4.006-6.6_6</t>
  </si>
  <si>
    <t>DUF2493 domain-containing protein n=1 Tax=Ewingella americana TaxID=41202 RepID=A0A502GEE1_9GAMM</t>
  </si>
  <si>
    <t>11.09.P4-14.055-4.5_15</t>
  </si>
  <si>
    <t>DUF2493 domain-containing protein n=2 Tax=Alcanivoracaceae TaxID=224372 RepID=Q0VRI7_ALCBS</t>
  </si>
  <si>
    <t>DNAUV-19.264-18_7</t>
  </si>
  <si>
    <t>DUF2493 domain-containing protein n=1 Tax=Methyloceanibacter caenitepidi TaxID=1384459 RepID=A0A0A8K6J3_9HYPH</t>
  </si>
  <si>
    <t>DNAUV-34.761-382_8</t>
  </si>
  <si>
    <t>DUF2493 domain-containing protein n=1 Tax=Sporosarcina globispora TaxID=1459 RepID=A0A0M0GD00_SPOGL</t>
  </si>
  <si>
    <t>DNAUV-4.606-12_16</t>
  </si>
  <si>
    <t>Uncharacterized protein DUF2493 n=1 Tax=Rhizobium azibense TaxID=1136135 RepID=A0A4R3RI69_9HYPH</t>
  </si>
  <si>
    <t>DNAUV-43.274-68_152</t>
  </si>
  <si>
    <t>DUF2493 domain-containing protein n=1 Tax=Vibrio phage 1.022.O._10N.286.45.A10 TaxID=1881418 RepID=A0A2I7QLM9_9CAUD</t>
  </si>
  <si>
    <t>DNAUV-43.621-123_28</t>
  </si>
  <si>
    <t>DUF2493 domain-containing protein n=1 Tax=Lutibacter agarilyticus TaxID=1109740 RepID=A0A238WAG7_9FLAO</t>
  </si>
  <si>
    <t>DNAUV-63.154-214_95</t>
  </si>
  <si>
    <t>DUF2493 domain-containing protein n=1 Tax=Sphingopyxis witflariensis TaxID=173675 RepID=A0A246JY60_9SPHN</t>
  </si>
  <si>
    <t>DNAUV-8.320-11_2</t>
  </si>
  <si>
    <t>DUF2493 domain-containing protein n=1 Tax=Bordetella phage vB_BbrM_PHB04 TaxID=2029657 RepID=A0A291L9X7_9CAUD</t>
  </si>
  <si>
    <t>DNAUV-85.908-43_79</t>
  </si>
  <si>
    <t>DUF2493 domain-containing protein n=1 Tax=Dysosmobacter segnis TaxID=2763042 RepID=A0A923MG50_9FIRM</t>
  </si>
  <si>
    <t>DNAUV-6.049-15_18</t>
  </si>
  <si>
    <t>sp|Q65KI3|QUEF_BACLD NADPH-dependent 7-cyano-7-deazaguanine reductase OS=Bacillus licheniformis (strain ATCC 14580 / DSM 13 / JCM 2505 / CCUG 7422 / NBRC 12200 / NCIMB 9375 / NCTC 10341 / NRRL NRS-1264 / Gibson 46) OX=279010 GN=queF PE=3 SV=2</t>
  </si>
  <si>
    <t>COG0780 [FUNC="NADPH-dependent 7-cyano-7-deazaguanine reductase QueF, C-terminal domain, T-fold superfamily"] [shortName=QueFC] [TAG=J TAGDEF="Translation, ribosomal structure and biogenesis" PROCESS="INFORMATION STORAGE AND PROCESSING"]  [PATHWAY="tRNA modification"] preQ(1) synthase [Aquaspirillum sp. LM1]</t>
  </si>
  <si>
    <t>VOG17217 [FUNC="sp|B9MPS5|QUEF_CALBD NADPH-dependent 7-cyano-7-deazaguanine reductase"] [TAG=Xh TAGDEF="Virus protein with function beneficial for the host"]</t>
  </si>
  <si>
    <t>NADPH-dependent 7-cyano-7-deazaguanine reductase n=1 Tax=Caenispirillum salinarum AK4 TaxID=1238182 RepID=K9H344_9PROT</t>
  </si>
  <si>
    <t>11.09.P3-2.792-15_3</t>
  </si>
  <si>
    <t>Structural protein n=1 Tax=Cyanophage S-RIM44 TaxID=1278485 RepID=A0A127KMP5_9CAUD</t>
  </si>
  <si>
    <t>17.05.P3-2.552-4.1_2</t>
  </si>
  <si>
    <t>VOG05135 [FUNC="REFSEQ tail fiber protein"] [TAG=Xu TAGDEF="Function unknown"]</t>
  </si>
  <si>
    <t>Tail fiber protein n=1 Tax=Desulfovibrio desulfuricans TaxID=876 RepID=A0A4P7UKB8_DESDE</t>
  </si>
  <si>
    <t>23.10.P4-9.059-32_11</t>
  </si>
  <si>
    <t>Peptidase S74 domain-containing protein n=1 Tax=Emticicia sp. BO119 TaxID=2757768 RepID=A0A838YYX2_9BACT</t>
  </si>
  <si>
    <t>DNAUV-2.069-72_3</t>
  </si>
  <si>
    <t>Endosialidase-like protein n=1 Tax=Ulvibacter sp. MAR_2010_11 TaxID=1250229 RepID=A0A2N0EVX4_9FLAO</t>
  </si>
  <si>
    <t>DNAUV-2.252-24_4</t>
  </si>
  <si>
    <t>Satellite virus coat (Fragment) n=2 Tax=Ostreococcus tauri TaxID=70448 RepID=A0A096P914_OSTTA</t>
  </si>
  <si>
    <t>DNAUV-2.533-44_1</t>
  </si>
  <si>
    <t>Uncharacterized protein n=1 Tax=Bosea sp. LC85 TaxID=1502851 RepID=A0A085FSQ6_9HYPH</t>
  </si>
  <si>
    <t>DNAUV-2.744-424_2</t>
  </si>
  <si>
    <t>Peptidase S74 domain-containing protein n=1 Tax=Bdellovibrio bacteriovorus TaxID=959 RepID=A0A150WJN5_BDEBC</t>
  </si>
  <si>
    <t>DNAUV-3.064-451_11</t>
  </si>
  <si>
    <t>Tail fiber protein n=1 Tax=Octadecabacter Antarctic DB virus 2 TaxID=2945129 RepID=A0A9E7E4Q3_9VIRU</t>
  </si>
  <si>
    <t>DNAUV-3.173-17_2</t>
  </si>
  <si>
    <t>Uncharacterized protein (Fragment) n=1 Tax=Pusillimonas sp. (ex Stolz et al. 2005) TaxID=1979962 RepID=A0A2D7XEH4_9BURK</t>
  </si>
  <si>
    <t>DNAUV-3.730-211_12</t>
  </si>
  <si>
    <t>DNAUV-57.114-48_98</t>
  </si>
  <si>
    <t>Putative fiber protein n=1 Tax=Roseobacter phage CRP-4 TaxID=2559283 RepID=A0A646QXG5_9CAUD</t>
  </si>
  <si>
    <t>Sept.NODE_374_length_4493_cov_110.821992_6</t>
  </si>
  <si>
    <t>11.09.P2-2.722-2.2_3</t>
  </si>
  <si>
    <t>COG0817 [FUNC="Holliday junction resolvasome RuvABC endonuclease subunit RuvC"] [shortName=RuvC] [TAG=L TAGDEF="Replication, recombination and repair" PROCESS="INFORMATION STORAGE AND PROCESSING"]  [PATHWAY=""] hypothetical protein [Magnetococcus marinus]</t>
  </si>
  <si>
    <t>VOG00054 [FUNC="sp|P13004|YLYS_BPPHV Uncharacterized protein near lysin gene (Fragment)"] [TAG=Xu TAGDEF="Function unknown"]</t>
  </si>
  <si>
    <t>Crossover junction endodeoxyribonuclease RuvC n=1 Tax=Achromobacter spanius TaxID=217203 RepID=A0A2S5GHW1_9BURK</t>
  </si>
  <si>
    <t>DNAUV-4.216-20_4</t>
  </si>
  <si>
    <t>sp|Q5UP06|YR756_MIMIV Uncharacterized protein R756 OS=Acanthamoeba polyphaga mimivirus OX=212035 GN=MIMI_R756 PE=4 SV=1</t>
  </si>
  <si>
    <t>COG0820 [FUNC="Adenine C2-methylase RlmN of 23S rRNA A2503 and tRNA A37"] [shortName=RlmN] [TAG=J TAGDEF="Translation, ribosomal structure and biogenesis" PROCESS="INFORMATION STORAGE AND PROCESSING"]  [PATHWAY="23S rRNA modification"] 23S rRNA (adenine(2503)-C(2))-methyltransferase RlmN [Paludibacter propionicigenes]</t>
  </si>
  <si>
    <t>VOG14981 [FUNC="sp|Q5UP06|YR756_MIMIV Uncharacterized protein R756"] [TAG=Xh TAGDEF="Virus protein with function beneficial for the host"]</t>
  </si>
  <si>
    <t>Putative dual-specificity RNA methyltransferase n=1 Tax=Pacmanvirus S19 TaxID=2862371 RepID=A0A8F8SLX1_9VIRU</t>
  </si>
  <si>
    <t>DNAUV-34.277-41_33</t>
  </si>
  <si>
    <t>COG0820 [FUNC="Adenine C2-methylase RlmN of 23S rRNA A2503 and tRNA A37"] [shortName=RlmN] [TAG=J TAGDEF="Translation, ribosomal structure and biogenesis" PROCESS="INFORMATION STORAGE AND PROCESSING"]  [PATHWAY="23S rRNA modification"] MULTISPECIES: 23S rRNA (adenine(2503)-C(2))-methyltransferase RlmN [Bacteria]</t>
  </si>
  <si>
    <t>Radical SAM n=1 Tax=Pacmanvirus A23 TaxID=1932881 RepID=A0A1X6WF63_9VIRU</t>
  </si>
  <si>
    <t>DNAUV-6.556-14_10</t>
  </si>
  <si>
    <t>sp|Q895K2|DPO3_CLOTE DNA polymerase III PolC-type OS=Clostridium tetani (strain Massachusetts / E88) OX=212717 GN=polC PE=3 SV=1</t>
  </si>
  <si>
    <t>COG0847 [FUNC="DNA polymerase III, epsilon subunit or related 3'-5' exonuclease"] [shortName=DnaQ] [TAG=L TAGDEF="Replication, recombination and repair" PROCESS="INFORMATION STORAGE AND PROCESSING"]  [PATHWAY=""] 3'-5' exonuclease [Haliangium ochraceum]</t>
  </si>
  <si>
    <t>3'-5' exonuclease n=1 Tax=Clostridium lentum TaxID=2763037 RepID=A0A8I0DNJ4_9CLOT</t>
  </si>
  <si>
    <t>DNAUV-5.308-10_5</t>
  </si>
  <si>
    <t>DNA polymerase III subunit epsilon n=1 Tax=Crateriforma conspicua TaxID=2527996 RepID=A0A5C6FZQ6_9PLAN</t>
  </si>
  <si>
    <t>DNAUV-28.498-30_17</t>
  </si>
  <si>
    <t>sp|Q8RA32|DPO3_CALS4 DNA polymerase III PolC-type OS=Caldanaerobacter subterraneus subsp. tengcongensis (strain DSM 15242 / JCM 11007 / NBRC 100824 / MB4) OX=273068 GN=polC PE=3 SV=1</t>
  </si>
  <si>
    <t>COG0847 [FUNC="DNA polymerase III, epsilon subunit or related 3'-5' exonuclease"] [shortName=DnaQ] [TAG=L TAGDEF="Replication, recombination and repair" PROCESS="INFORMATION STORAGE AND PROCESSING"]  [PATHWAY=""] 3'-5' exonuclease [Petrimonas mucosa]</t>
  </si>
  <si>
    <t>Exonuclease n=1 Tax=Microscilla marina ATCC 23134 TaxID=313606 RepID=A1ZKT0_MICM2</t>
  </si>
  <si>
    <t>DNAUV-36.663-167_164</t>
  </si>
  <si>
    <t>COG0847 [FUNC="DNA polymerase III, epsilon subunit or related 3'-5' exonuclease"] [shortName=DnaQ] [TAG=L TAGDEF="Replication, recombination and repair" PROCESS="INFORMATION STORAGE AND PROCESSING"]  [PATHWAY=""] 3'-5' exonuclease [Xanthobacter autotrophicus]</t>
  </si>
  <si>
    <t>DNA polymerase-3 subunit epsilon n=1 Tax=Rhizobium sp. BK313 TaxID=2587081 RepID=A0A7W5LJF4_9HYPH</t>
  </si>
  <si>
    <t>17.05.P3-4.761-6.3_6</t>
  </si>
  <si>
    <t>COG0847 [FUNC="DNA polymerase III, epsilon subunit or related 3'-5' exonuclease"] [shortName=DnaQ] [TAG=L TAGDEF="Replication, recombination and repair" PROCESS="INFORMATION STORAGE AND PROCESSING"]  [PATHWAY=""] 3'-5' exoribonuclease [Cyclobacterium marinum]</t>
  </si>
  <si>
    <t>3'-5' exoribonuclease n=1 Tax=Citrobacter freundii TaxID=546 RepID=A0A9Q6U5N8_CITFR</t>
  </si>
  <si>
    <t>17.05.P4-8.753-4.4_8</t>
  </si>
  <si>
    <t>DNAUV-6.343-14_5</t>
  </si>
  <si>
    <t>DexA exonuclease A n=1 Tax=Acinetobacter phage Ac42 TaxID=762660 RepID=E5EYE3_BPAC4</t>
  </si>
  <si>
    <t>Mai.NODE_1061_length_2218_cov_7.141008_5</t>
  </si>
  <si>
    <t>Possible endodeoxyribonuclease n=1 Tax=Xanthomonas phage Xp15 TaxID=322855 RepID=Q52PP6_9CAUD</t>
  </si>
  <si>
    <t>DNAUV-38.940-21_10</t>
  </si>
  <si>
    <t>COG0847 [FUNC="DNA polymerase III, epsilon subunit or related 3'-5' exonuclease"] [shortName=DnaQ] [TAG=L TAGDEF="Replication, recombination and repair" PROCESS="INFORMATION STORAGE AND PROCESSING"]  [PATHWAY=""] DNA polymerase III subunit epsilon [Haematospirillum jordaniae]</t>
  </si>
  <si>
    <t>Exonuclease n=3 Tax=unclassified Paundecimvirus TaxID=2852667 RepID=A0A291I994_9CAUD</t>
  </si>
  <si>
    <t>Avril.NODE_537_length_4464_cov_3.849399_7</t>
  </si>
  <si>
    <t>COG0847 [FUNC="DNA polymerase III, epsilon subunit or related 3'-5' exonuclease"] [shortName=DnaQ] [TAG=L TAGDEF="Replication, recombination and repair" PROCESS="INFORMATION STORAGE AND PROCESSING"]  [PATHWAY=""] exonuclease [Escherichia coli O157:H7 str. Sakai]</t>
  </si>
  <si>
    <t>3'-5' exoribonuclease n=1 Tax=Halorubrum sp. 48-1-W TaxID=2249761 RepID=A0A329T428_9EURY</t>
  </si>
  <si>
    <t>DNAUV-16.459-106_22</t>
  </si>
  <si>
    <t>sp|P04536|EXOD_BPT4 Exodeoxyribonuclease OS=Enterobacteria phage T4 OX=10665 GN=dexA PE=1 SV=1</t>
  </si>
  <si>
    <t>Exonuclease A n=1 Tax=Acidovorax phage ACP17 TaxID=2010329 RepID=A0A218M305_9CAUD</t>
  </si>
  <si>
    <t>DNAUV-16.786-275_31</t>
  </si>
  <si>
    <t>Uncharacterized protein DUF5051 n=1 Tax=Gemmobacter caeni TaxID=589035 RepID=A0A2T6AZ48_9RHOB</t>
  </si>
  <si>
    <t>DNAUV-41.618-136_12</t>
  </si>
  <si>
    <t>Exonuclease n=3 Tax=Sashavirus TaxID=2733210 RepID=A0A1P8DTS7_9CAUD</t>
  </si>
  <si>
    <t>DNAUV-5.045-610_11</t>
  </si>
  <si>
    <t>3'-5' exonuclease n=1 Tax=Klebsiella phage SBP TaxID=2973661 RepID=A0A9X9JWQ1_9CAUD</t>
  </si>
  <si>
    <t>DNAUV-64.565-409_77</t>
  </si>
  <si>
    <t>3'-5' exoribonuclease Rv2179c-like domain-containing protein (Fragment) n=1 Tax=Parazoarcus communis SWub3 = DSM 12120 TaxID=1121029 RepID=A0A323UPF9_9RHOO</t>
  </si>
  <si>
    <t>DNAUV-85.908-43_13</t>
  </si>
  <si>
    <t>3'-5' exoribonuclease n=1 Tax=Pseudoalteromonas sp. MEBiC 03485 TaxID=2571103 RepID=A0A4Q6JDR7_9GAMM</t>
  </si>
  <si>
    <t>Oct.NODE_181_length_10780_cov_6.015478_9</t>
  </si>
  <si>
    <t>Avril.NODE_558_length_4300_cov_14.209894_2</t>
  </si>
  <si>
    <t>sp|P9WJ72|EXRBN_MYCTO 3'-5' exoribonuclease MT2234.1 OS=Mycobacterium tuberculosis (strain CDC 1551 / Oshkosh) OX=83331 GN=MT2234.1 PE=1 SV=1</t>
  </si>
  <si>
    <t>COG0847 [FUNC="DNA polymerase III, epsilon subunit or related 3'-5' exonuclease"] [shortName=DnaQ] [TAG=L TAGDEF="Replication, recombination and repair" PROCESS="INFORMATION STORAGE AND PROCESSING"]  [PATHWAY=""] hypothetical protein [Janthinobacterium sp. Marseille]</t>
  </si>
  <si>
    <t>VOG01357 [FUNC="sp|P9WJ72|EXRBN_MYCTO 3'-5' exoribonuclease MT2234.1"] [TAG=Xu TAGDEF="Function unknown"]</t>
  </si>
  <si>
    <t>3'-5' exoribonuclease Rv2179c-like domain-containing protein n=1 Tax=Paenibacillus rigui TaxID=554312 RepID=A0A229UKP5_9BACL</t>
  </si>
  <si>
    <t>DNAUV-8.053-230_4</t>
  </si>
  <si>
    <t>sp|P75080|DPO3_MYCPN DNA polymerase III PolC-type OS=Mycoplasma pneumoniae (strain ATCC 29342 / M129 / Subtype 1) OX=272634 GN=polC PE=1 SV=1</t>
  </si>
  <si>
    <t>COG0847 [FUNC="DNA polymerase III, epsilon subunit or related 3'-5' exonuclease"] [shortName=DnaQ] [TAG=L TAGDEF="Replication, recombination and repair" PROCESS="INFORMATION STORAGE AND PROCESSING"]  [PATHWAY=""] MULTISPECIES: 3'-5' exonuclease [Bacteroidales]</t>
  </si>
  <si>
    <t>Exonuclease n=1 Tax=Croceibacter phage P2559Y TaxID=1327037 RepID=W8CQQ1_9CAUD</t>
  </si>
  <si>
    <t>DNAUV-2.009-20_5</t>
  </si>
  <si>
    <t>sp|P28638|YHDJ_ECOLI DNA adenine methyltransferase YhdJ OS=Escherichia coli (strain K12) OX=83333 GN=yhdJ PE=1 SV=3</t>
  </si>
  <si>
    <t>COG0863 [FUNC="DNA modification methylase"] [shortName=YhdJ] [TAG=L TAGDEF="Replication, recombination and repair" PROCESS="INFORMATION STORAGE AND PROCESSING"]  [PATHWAY=""] DNA adenine methylase [Plesiomonas shigelloides]</t>
  </si>
  <si>
    <t>Methyltransferase n=1 Tax=Spiribacter salinus TaxID=1335746 RepID=A0A540VJG6_9GAMM</t>
  </si>
  <si>
    <t>Avril.NODE_1381_length_2207_cov_3.699814_3</t>
  </si>
  <si>
    <t>sp|Q9S4X2|YUBD_ECOLI Putative methylase YubD OS=Escherichia coli (strain K12) OX=83333 GN=yubD PE=3 SV=1</t>
  </si>
  <si>
    <t>COG0863 [FUNC="DNA modification methylase"] [shortName=YhdJ] [TAG=L TAGDEF="Replication, recombination and repair" PROCESS="INFORMATION STORAGE AND PROCESSING"]  [PATHWAY=""] DNA methylase [Escherichia coli O157:H7 str. Sakai]</t>
  </si>
  <si>
    <t>Methyltransferase n=1 Tax=Oceanithermus profundus TaxID=187137 RepID=A0A7C5ST29_9DEIN</t>
  </si>
  <si>
    <t>DNAUV-5.787-380_6</t>
  </si>
  <si>
    <t>COG0863 [FUNC="DNA modification methylase"] [shortName=YhdJ] [TAG=L TAGDEF="Replication, recombination and repair" PROCESS="INFORMATION STORAGE AND PROCESSING"]  [PATHWAY=""] DNA methylase [Rhodoplanes sp. Z2-YC6860]</t>
  </si>
  <si>
    <t>DNAUV-2.047-79_4</t>
  </si>
  <si>
    <t>sp|Q2YMK2|CCRM_BRUA2 DNA methyltransferase CcrM OS=Brucella abortus (strain 2308) OX=359391 GN=ccrM PE=2 SV=1</t>
  </si>
  <si>
    <t>COG0863 [FUNC="DNA modification methylase"] [shortName=YhdJ] [TAG=L TAGDEF="Replication, recombination and repair" PROCESS="INFORMATION STORAGE AND PROCESSING"]  [PATHWAY=""] DNA methylase N-4/N-6 domain protein [Desulfotomaculum kuznetsovii DSM 6115]</t>
  </si>
  <si>
    <t>DNA methylase n=1 Tax=Pontimonas phage phiPsal1 TaxID=2079347 RepID=A0A2K9VGT2_9CAUD</t>
  </si>
  <si>
    <t>DNAUV-2.817-10_1</t>
  </si>
  <si>
    <t>COG0863 [FUNC="DNA modification methylase"] [shortName=YhdJ] [TAG=L TAGDEF="Replication, recombination and repair" PROCESS="INFORMATION STORAGE AND PROCESSING"]  [PATHWAY=""] DNA methylase N-4/N-6 domain protein [Herpetosiphon aurantiacus DSM 785]</t>
  </si>
  <si>
    <t>VOG03911 [FUNC="REFSEQ DNA methyltransferase"] [TAG=Xu TAGDEF="Function unknown"]</t>
  </si>
  <si>
    <t>Adenine-specific DNA methylase n=1 Tax=Croceibacter phage P2559S TaxID=1176422 RepID=I6S747_9CAUD</t>
  </si>
  <si>
    <t>DNAUV-2.792-291_4</t>
  </si>
  <si>
    <t>sp|P18051|MTB2_BACAM Orphan methyltransferase M.BamHII OS=Bacillus amyloliquefaciens OX=1390 GN=bamHIIM PE=3 SV=1</t>
  </si>
  <si>
    <t>COG0863 [FUNC="DNA modification methylase"] [shortName=YhdJ] [TAG=L TAGDEF="Replication, recombination and repair" PROCESS="INFORMATION STORAGE AND PROCESSING"]  [PATHWAY=""] DNA methylase N-4/N-6 domain protein [Planktothrix agardhii NIES-204]</t>
  </si>
  <si>
    <t>site-specific DNA-methyltransferase (cytosine-N(4)-specific) n=1 Tax=Idiomarinaceae phage 1N2-2 TaxID=1536592 RepID=A0A088FB29_9CAUD</t>
  </si>
  <si>
    <t>DNAUV-46.098-673_54</t>
  </si>
  <si>
    <t>COG0863 [FUNC="DNA modification methylase"] [shortName=YhdJ] [TAG=L TAGDEF="Replication, recombination and repair" PROCESS="INFORMATION STORAGE AND PROCESSING"]  [PATHWAY=""] MULTISPECIES: DNA methylase N-4 [Burkholderiales]</t>
  </si>
  <si>
    <t>ParB/Sulfiredoxin domain-containing protein n=1 Tax=Vibrio coralliirubri TaxID=1516159 RepID=A0A0T7ENC9_9VIBR</t>
  </si>
  <si>
    <t>Avril.NODE_879_length_3055_cov_5.167000_1</t>
  </si>
  <si>
    <t>COG0863 [FUNC="DNA modification methylase"] [shortName=YhdJ] [TAG=L TAGDEF="Replication, recombination and repair" PROCESS="INFORMATION STORAGE AND PROCESSING"]  [PATHWAY=""] N-6 adenine-specific DNA methylase [Neisseria meningitidis MC58]</t>
  </si>
  <si>
    <t>DNA methylase n=1 Tax=Cellulophaga phage phi46:3 TaxID=1327985 RepID=S0A3G3_9CAUD</t>
  </si>
  <si>
    <t>DNAUV-2.817-10_4</t>
  </si>
  <si>
    <t>Adenine-specific methyltransferase n=1 Tax=Tenacibaculum phage JQ TaxID=2712935 RepID=A0A6G6XUN7_9CAUD</t>
  </si>
  <si>
    <t>DNAUV-6.721-81_3</t>
  </si>
  <si>
    <t>sp|P29538|MTH1_HAEPA Type II methyltransferase M.HpaI OS=Haemophilus parainfluenzae OX=729 GN=hpaIM PE=3 SV=1</t>
  </si>
  <si>
    <t>DNA methyltransferase n=1 Tax=Nonlabens phage P12024S TaxID=1168478 RepID=I6S2F3_9CAUD</t>
  </si>
  <si>
    <t>DNAUV-7.076-482_4</t>
  </si>
  <si>
    <t>sp|P20590|MTH1_HAEIF Type II methyltransferase M.HinfI OS=Haemophilus influenzae OX=727 GN=hinfIM PE=3 SV=1</t>
  </si>
  <si>
    <t>COG0863 [FUNC="DNA modification methylase"] [shortName=YhdJ] [TAG=L TAGDEF="Replication, recombination and repair" PROCESS="INFORMATION STORAGE AND PROCESSING"]  [PATHWAY=""] putative DNA methylase N-4/N-6 [Planktothrix agardhii NIES-204]</t>
  </si>
  <si>
    <t>Methyltransferase n=1 Tax=Bacillus velezensis UCMB5033 TaxID=1338518 RepID=S6FLI8_9BACI</t>
  </si>
  <si>
    <t>DNAUV-3.278-13_1</t>
  </si>
  <si>
    <t>COG0863 [FUNC="DNA modification methylase"] [shortName=YhdJ] [TAG=L TAGDEF="Replication, recombination and repair" PROCESS="INFORMATION STORAGE AND PROCESSING"]  [PATHWAY=""] site-specific DNA-methyltransferase [Blautia hansenii]</t>
  </si>
  <si>
    <t>Site-specific-DNA-methyltransferase n=1 Tax=Tenacibaculum phage Larrie TaxID=2968246 RepID=A0A9X9JBJ0_9CAUD</t>
  </si>
  <si>
    <t>Avril.NODE_820_length_3218_cov_139.556118_2</t>
  </si>
  <si>
    <t>sp|Q45489|MTB2_BACIU Type II methyltransferase M.BglII OS=Bacillus subtilis OX=1423 GN=bglIIM PE=3 SV=1</t>
  </si>
  <si>
    <t>COG0863 [FUNC="DNA modification methylase"] [shortName=YhdJ] [TAG=L TAGDEF="Replication, recombination and repair" PROCESS="INFORMATION STORAGE AND PROCESSING"]  [PATHWAY=""] site-specific DNA-methyltransferase [Chelativorans sp. BNC1]</t>
  </si>
  <si>
    <t>Methyltransferase n=1 Tax=Fuscibacter oryzae TaxID=2803939 RepID=A0A8J7MRU7_9RHOB</t>
  </si>
  <si>
    <t>DNAUV-2.469-231_4</t>
  </si>
  <si>
    <t>Avril.NODE_34_length_37560_cov_23.634315_41</t>
  </si>
  <si>
    <t>sp|P50178|MTL22_LACLC Type II methyltransferase M2.LlaDCHI OS=Lactococcus lactis subsp. cremoris OX=1359 GN=llaDCHIB PE=3 SV=1</t>
  </si>
  <si>
    <t>COG0863 [FUNC="DNA modification methylase"] [shortName=YhdJ] [TAG=L TAGDEF="Replication, recombination and repair" PROCESS="INFORMATION STORAGE AND PROCESSING"]  [PATHWAY=""] site-specific DNA-methyltransferase [Elusimicrobium minutum]</t>
  </si>
  <si>
    <t>Methyltransferase n=1 Tax=Elusimicrobium minutum (strain Pei191) TaxID=445932 RepID=B2KDC6_ELUMP</t>
  </si>
  <si>
    <t>DNAUV-10.245-283_16</t>
  </si>
  <si>
    <t>COG0863 [FUNC="DNA modification methylase"] [shortName=YhdJ] [TAG=L TAGDEF="Replication, recombination and repair" PROCESS="INFORMATION STORAGE AND PROCESSING"]  [PATHWAY=""] site-specific DNA-methyltransferase [Gramella forsetii]</t>
  </si>
  <si>
    <t>Methyltransferase n=1 Tax=Cruoricaptor ignavus TaxID=1118202 RepID=A0A1M6G9E9_9FLAO</t>
  </si>
  <si>
    <t>DNAUV-3.407-104_6</t>
  </si>
  <si>
    <t>Methyltransferase n=2 Tax=Anaerotruncus sp. AF02-27 TaxID=2292191 RepID=A0A413FXN3_9FIRM</t>
  </si>
  <si>
    <t>DNAUV-7.076-482_1</t>
  </si>
  <si>
    <t>Adenine-specific methyltransferase n=1 Tax=Polaribacter phage P12002S TaxID=1647387 RepID=A0A0F7ILL1_9CAUD</t>
  </si>
  <si>
    <t>Mai.NODE_423_length_4328_cov_13.072783_3</t>
  </si>
  <si>
    <t>COG0863 [FUNC="DNA modification methylase"] [shortName=YhdJ] [TAG=L TAGDEF="Replication, recombination and repair" PROCESS="INFORMATION STORAGE AND PROCESSING"]  [PATHWAY=""] site-specific DNA-methyltransferase [Mucinivorans hirudinis]</t>
  </si>
  <si>
    <t>DNA methylase n=1 Tax=Vibrio phage 1.216.O._10N.222.55.C12 TaxID=1881411 RepID=A0A2I7RR66_9CAUD</t>
  </si>
  <si>
    <t>DNAUV-2.253-19-V2_5</t>
  </si>
  <si>
    <t>COG0863 [FUNC="DNA modification methylase"] [shortName=YhdJ] [TAG=L TAGDEF="Replication, recombination and repair" PROCESS="INFORMATION STORAGE AND PROCESSING"]  [PATHWAY=""] site-specific DNA-methyltransferase [Paraliobacillus sp. X-1125]</t>
  </si>
  <si>
    <t>DNA methylase (Fragment) n=1 Tax=Vibrio phage 1.007.O._10N.261.55.F9 TaxID=1881241 RepID=A0A2I7QJ98_9CAUD</t>
  </si>
  <si>
    <t>DNAUV-4.220-119_5</t>
  </si>
  <si>
    <t>DNA methylase n=1 Tax=Vibrio phage 1.076.O._10N.286.51.B7 TaxID=2070720 RepID=A0A2I7QVZ2_9CAUD</t>
  </si>
  <si>
    <t>Oct.NODE_1627_length_2293_cov_5.662198_1</t>
  </si>
  <si>
    <t>DNA methylase n=1 Tax=Cellulophaga phage phi10:1 TaxID=1327981 RepID=R9ZYG2_9CAUD</t>
  </si>
  <si>
    <t>DNAUV-11.532-345_28</t>
  </si>
  <si>
    <t>COG0863 [FUNC="DNA modification methylase"] [shortName=YhdJ] [TAG=L TAGDEF="Replication, recombination and repair" PROCESS="INFORMATION STORAGE AND PROCESSING"]  [PATHWAY=""] site-specific DNA-methyltransferase [Pragia fontium]</t>
  </si>
  <si>
    <t>DNA methylase n=2 Tax=unclassified Caudoviricetes TaxID=2788787 RepID=A0A2I7R8J8_9CAUD</t>
  </si>
  <si>
    <t>DNAUV-11.532-345_31</t>
  </si>
  <si>
    <t>DNA methylase n=1 Tax=Pseudoalteromonas phage C7 TaxID=2510494 RepID=A0A411CVX9_9CAUD</t>
  </si>
  <si>
    <t>DNAUV-2.131-8.9_2</t>
  </si>
  <si>
    <t>Putative DNA methyltransferase N-4/N-6 n=1 Tax=Enterobacteria phage mEp021 TaxID=1150757 RepID=A0A346FE32_9CAUD</t>
  </si>
  <si>
    <t>DNAUV-2.190-38_8</t>
  </si>
  <si>
    <t>DNA adenine methylase n=1 Tax=Aeromonas phage 4_L372X TaxID=2588519 RepID=A0A5J6TWT4_9CAUD</t>
  </si>
  <si>
    <t>DNAUV-2.382-42_2</t>
  </si>
  <si>
    <t>DNAUV-3.274-85_2</t>
  </si>
  <si>
    <t>DNA methylase n=1 Tax=Vibrio phage vB_VnaS-L3 TaxID=2961683 RepID=A0A9E7NQE2_9CAUD</t>
  </si>
  <si>
    <t>Oct.NODE_654_length_4169_cov_5.478610_2</t>
  </si>
  <si>
    <t>Avril.NODE_677_length_3682_cov_8.232975_1</t>
  </si>
  <si>
    <t>sp|P0CAW2|CCRM_CAUVC DNA methyltransferase CcrM OS=Caulobacter vibrioides (strain ATCC 19089 / CB15) OX=190650 GN=ccrMIM PE=1 SV=1</t>
  </si>
  <si>
    <t>COG0863 [FUNC="DNA modification methylase"] [shortName=YhdJ] [TAG=L TAGDEF="Replication, recombination and repair" PROCESS="INFORMATION STORAGE AND PROCESSING"]  [PATHWAY=""] site-specific DNA-methyltransferase [Psychromicrobium lacuslunae]</t>
  </si>
  <si>
    <t>Methyltransferase n=1 Tax=Gordonia phage PhorbesPhlower TaxID=2596973 RepID=A0A516KPS4_9CAUD</t>
  </si>
  <si>
    <t>DNAUV-4.062-23_16</t>
  </si>
  <si>
    <t>COG0863 [FUNC="DNA modification methylase"] [shortName=YhdJ] [TAG=L TAGDEF="Replication, recombination and repair" PROCESS="INFORMATION STORAGE AND PROCESSING"]  [PATHWAY=""] site-specific DNA-methyltransferase [Rhodoplanes sp. Z2-YC6860]</t>
  </si>
  <si>
    <t>p097 n=1 Tax=Rhizobium phage 16-3 TaxID=10704 RepID=B4UTY5_BP163</t>
  </si>
  <si>
    <t>DNAUV-43.228-64_33</t>
  </si>
  <si>
    <t>COG0863 [FUNC="DNA modification methylase"] [shortName=YhdJ] [TAG=L TAGDEF="Replication, recombination and repair" PROCESS="INFORMATION STORAGE AND PROCESSING"]  [PATHWAY=""] site-specific DNA-methyltransferase [Ruminococcus albus]</t>
  </si>
  <si>
    <t>N6-adenine specific DNA methyltransferase n=1 Tax=Ochrobactrum phage vB_OspM_OC TaxID=2712956 RepID=A0A6G6XY04_9CAUD</t>
  </si>
  <si>
    <t>DNAUV-5.434-17_3</t>
  </si>
  <si>
    <t>DNAUV-5.434-17_4</t>
  </si>
  <si>
    <t>Adenine-specific methyltransferase n=1 Tax=Siphoviridae sp. ct1IF5 TaxID=2827765 RepID=A0A8S5TEI4_9CAUD</t>
  </si>
  <si>
    <t>DNAUV-2.023-41_1</t>
  </si>
  <si>
    <t>COG0863 [FUNC="DNA modification methylase"] [shortName=YhdJ] [TAG=L TAGDEF="Replication, recombination and repair" PROCESS="INFORMATION STORAGE AND PROCESSING"]  [PATHWAY=""] site-specific DNA-methyltransferase [Sandaracinus amylolyticus]</t>
  </si>
  <si>
    <t>DNAUV-2.810-49_8</t>
  </si>
  <si>
    <t>Methyltransferase n=1 Tax=Sinirhodobacter populi TaxID=2306993 RepID=A0A443J732_9RHOB</t>
  </si>
  <si>
    <t>DNAUV-4.356-49_13</t>
  </si>
  <si>
    <t>DNAUV-7.645-232_13</t>
  </si>
  <si>
    <t>DNAUV-9.183-44_13</t>
  </si>
  <si>
    <t>DNAUV-9.187-98_32</t>
  </si>
  <si>
    <t>11.09.P4-7.526-6.0_14</t>
  </si>
  <si>
    <t>COG0863 [FUNC="DNA modification methylase"] [shortName=YhdJ] [TAG=L TAGDEF="Replication, recombination and repair" PROCESS="INFORMATION STORAGE AND PROCESSING"]  [PATHWAY=""] site-specific DNA-methyltransferase [Selenomonas ruminantium]</t>
  </si>
  <si>
    <t>DNA methylase n=1 Tax=Vibrio phage 1.168.O._10N.261.52.A10 TaxID=1881212 RepID=A0A2I7RE86_9CAUD</t>
  </si>
  <si>
    <t>DNAUV-4.686-1106_11</t>
  </si>
  <si>
    <t>COG0863 [FUNC="DNA modification methylase"] [shortName=YhdJ] [TAG=L TAGDEF="Replication, recombination and repair" PROCESS="INFORMATION STORAGE AND PROCESSING"]  [PATHWAY=""] site-specific DNA-methyltransferase [Stigmatella aurantiaca]</t>
  </si>
  <si>
    <t>DNAUV-4.062-23_20</t>
  </si>
  <si>
    <t>COG0863 [FUNC="DNA modification methylase"] [shortName=YhdJ] [TAG=L TAGDEF="Replication, recombination and repair" PROCESS="INFORMATION STORAGE AND PROCESSING"]  [PATHWAY=""] site-specific DNA-methyltransferase [Streptococcus mutans]</t>
  </si>
  <si>
    <t>Adenine-specific methyltransferase n=1 Tax=Phage vB_KsaM-C1 TaxID=2961711 RepID=A0A9E7N2F6_9CAUD</t>
  </si>
  <si>
    <t>DNAUV-4.836-99_5</t>
  </si>
  <si>
    <t>COG0863 [FUNC="DNA modification methylase"] [shortName=YhdJ] [TAG=L TAGDEF="Replication, recombination and repair" PROCESS="INFORMATION STORAGE AND PROCESSING"]  [PATHWAY=""] site-specific DNA-methyltransferase [Tenacibaculum dicentrarchi]</t>
  </si>
  <si>
    <t>DNAUV-4.886-90_3</t>
  </si>
  <si>
    <t>sp|Q58893|MTM5_METJA Type II methyltransferase M.MjaV OS=Methanocaldococcus jannaschii (strain ATCC 43067 / DSM 2661 / JAL-1 / JCM 10045 / NBRC 100440) OX=243232 GN=mjaVM PE=1 SV=1</t>
  </si>
  <si>
    <t>COG0863 [FUNC="DNA modification methylase"] [shortName=YhdJ] [TAG=L TAGDEF="Replication, recombination and repair" PROCESS="INFORMATION STORAGE AND PROCESSING"]  [PATHWAY=""] site-specific DNA-methyltransferase [Xylanimicrobium sp. FW10M-9]</t>
  </si>
  <si>
    <t>Methyltransferase n=1 Tax=Spirosoma sp. 48-14 TaxID=1895854 RepID=A0A1Q3WRS0_9BACT</t>
  </si>
  <si>
    <t>DNAUV-22.127-23_28</t>
  </si>
  <si>
    <t>sp|P33919|RADD_ECOLI Putative DNA repair helicase RadD OS=Escherichia coli (strain K12) OX=83333 GN=radD PE=1 SV=2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</si>
  <si>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[Chania multitudinisentens]</t>
  </si>
  <si>
    <t>Uncharacterized protein n=1 Tax=Vibrio phage pYD38-B TaxID=929835 RepID=R9TS43_9CAUD</t>
  </si>
  <si>
    <t>DNAUV-2.999-11_3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</si>
  <si>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[Chromohalobacter salexigens]</t>
  </si>
  <si>
    <t>ATP-dependent RNA helicase n=1 Tax=Pseudoalteromonas phage H103 TaxID=1636200 RepID=A0A0K0MD54_9CAUD</t>
  </si>
  <si>
    <t>DNAUV-38.512-299_6</t>
  </si>
  <si>
    <t>Helicase superfamily 1/2 ATP-binding domain protein n=1 Tax=Vibrio phage 1.181.O._10N.286.46.C9 TaxID=1881433 RepID=A0A2I7RHA6_9CAUD</t>
  </si>
  <si>
    <t>Avril.NODE_268_length_7382_cov_6.597516_11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</si>
  <si>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[Cobetia marina]</t>
  </si>
  <si>
    <t>DNAUV-2.999-11_4</t>
  </si>
  <si>
    <t>DNAUV-24.309-205_41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</si>
  <si>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[Desulfocapsa sulfexigens]</t>
  </si>
  <si>
    <t>Putative ATP-dependent protein n=1 Tax=Vibrio phage vB_VorS-PVo5 TaxID=1689660 RepID=A0A0N9BAJ6_9CAUD</t>
  </si>
  <si>
    <t>DNAUV-2.462-13_1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</si>
  <si>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[Ferrimonas balearica]</t>
  </si>
  <si>
    <t>P-loop containing nucleoside triphosphate hydrolase n=1 Tax=Vibrio phage 1.076.O._10N.286.51.B7 TaxID=2070720 RepID=A0A2I7QVZ3_9CAUD</t>
  </si>
  <si>
    <t>DNAUV-3.404-10_4</t>
  </si>
  <si>
    <t>DNA helicase n=1 Tax=Vibrio phage VPG01 TaxID=2798882 RepID=A0A9E6MC09_9CAUD</t>
  </si>
  <si>
    <t>DNAUV-43.621-123_64</t>
  </si>
  <si>
    <t>Putative ATP-dependent helicase n=1 Tax=Vibrio phage Ceto TaxID=2570300 RepID=A0A2H5BGG3_9CAUD</t>
  </si>
  <si>
    <t>DNAUV-78.511-202_13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</si>
  <si>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[Halorientalis sp. IM1011]</t>
  </si>
  <si>
    <t>Helicase ATP-binding domain-containing protein n=1 Tax=Richelia sp. SM2_1_7 TaxID=2720465 RepID=A0A968RP62_9NOST</t>
  </si>
  <si>
    <t>DNAUV-4.606-12_12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</si>
  <si>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[Kushneria marisflavi]</t>
  </si>
  <si>
    <t>DNAUV-3.010-10_2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</si>
  <si>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[Magnetococcus marinus]</t>
  </si>
  <si>
    <t>ATP dependent RNA helicase n=1 Tax=Vibrio phage vB_ValP_VA-RY-3 TaxID=2831177 RepID=A0A8E5XNX3_9CAUD</t>
  </si>
  <si>
    <t>DNAUV-48.934-1423_12</t>
  </si>
  <si>
    <t>DNAUV-3.503-677_5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</si>
  <si>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[Pantoea gaviniae]</t>
  </si>
  <si>
    <t>Oct.NODE_518_length_4867_cov_9.753325_6</t>
  </si>
  <si>
    <t>Oct.NODE_405_length_5713_cov_27.266349_11</t>
  </si>
  <si>
    <t>Putative helicase n=1 Tax=Sinorhizobium phage HMSP1-Susan TaxID=2049306 RepID=A0A2D2W245_9CAUD</t>
  </si>
  <si>
    <t>DNAUV-43.803-72_45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</si>
  <si>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[Photorhabdus luminescens]</t>
  </si>
  <si>
    <t>VOG01232 [FUNC="REFSEQ double zinc ribbon protein"] [TAG=Xu TAGDEF="Function unknown"]</t>
  </si>
  <si>
    <t>Putative ATP-dependent helicase n=1 Tax=Pseudoalteromonas phage TW1 TaxID=1366055 RepID=S5MS11_9CAUD</t>
  </si>
  <si>
    <t>Avril.NODE_700_length_3587_cov_4.046433_5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</si>
  <si>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[Pyrococcus abyssi]</t>
  </si>
  <si>
    <t>ATP-dependent DNA helicase n=1 Tax=Synechococcus phage S-CAM7 TaxID=1883368 RepID=A0A1D8KTT5_9CAUD</t>
  </si>
  <si>
    <t>23.10.P4-15.618-22_25</t>
  </si>
  <si>
    <t>sp|Q99J87|DHX58_MOUSE ATP-dependent RNA helicase DHX58 OS=Mus musculus OX=10090 GN=Dhx58 PE=1 SV=2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</si>
  <si>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[Pyrococcus furiosus]</t>
  </si>
  <si>
    <t>DEAD/DEAH box helicase n=1 Tax=Myxococcus sp. AM011 TaxID=2745200 RepID=A0A7Y7CF02_9BACT</t>
  </si>
  <si>
    <t>DNAUV-5.308-10_4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</si>
  <si>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[Rhodomicrobium vannielii]</t>
  </si>
  <si>
    <t>DNA helicase n=1 Tax=Pseudomonas phage Persinger TaxID=2749430 RepID=A0A7D7ENH4_9CAUD</t>
  </si>
  <si>
    <t>DNAUV-3.661-17_4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</si>
  <si>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[Roseomonas gilardii]</t>
  </si>
  <si>
    <t>DNAUV-48.475-181_21</t>
  </si>
  <si>
    <t>Helicase n=2 Tax=Roseomonas gilardii TaxID=257708 RepID=A0A1L7AKL1_9PROT</t>
  </si>
  <si>
    <t>11.09.P4-24.849-9.8_25</t>
  </si>
  <si>
    <t>DNAUV-2.315-7.7_2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</si>
  <si>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 [Thermococcus kodakarensis]</t>
  </si>
  <si>
    <t>DNA helicase n=1 Tax=Bacillus phage vB_BsuM-Goe2 TaxID=1933062 RepID=A0A217EQM6_9CAUD</t>
  </si>
  <si>
    <t>DNAUV-16.760-19_5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</si>
  <si>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ATP-dependent helicase, partial [Dechloromonas aromatica]</t>
  </si>
  <si>
    <t>Putative helicase n=1 Tax=Bdellovibrio phage phi1422 TaxID=1127515 RepID=H9C0H6_9CAUD</t>
  </si>
  <si>
    <t>DNAUV-2.857-222_1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</si>
  <si>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ATP-dependet helicase [Vibrio fischeri ES114]</t>
  </si>
  <si>
    <t>DNAUV-3.853-13_3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</si>
  <si>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DEAD/DEAH box helicase [Lelliottia nimipressuralis]</t>
  </si>
  <si>
    <t>Helicase n=1 Tax=Vibrio phage vB_VnaS-L3 TaxID=2961683 RepID=A0A9E7NLZ8_9CAUD</t>
  </si>
  <si>
    <t>DNAUV-2.283-88_7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</si>
  <si>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DEAD/DEAH box helicase [Lonsdalea britannica]</t>
  </si>
  <si>
    <t>DNAUV-10.460-73_19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</si>
  <si>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DEAD/DEAH box helicase [Yersinia enterocolitica subsp. enterocolitica 8081]</t>
  </si>
  <si>
    <t>DNAUV-4.606-12_13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</si>
  <si>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DEAD/DEAH box helicase [Zymobacter palmae]</t>
  </si>
  <si>
    <t>DNAUV-42.404-84_48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</si>
  <si>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DNA helicase [Celeribacter indicus]</t>
  </si>
  <si>
    <t>Superfamily II helicase n=2 Tax=root TaxID=1 RepID=A0A0B5A580_9CAUD</t>
  </si>
  <si>
    <t>DNAUV-44.091-1296_4</t>
  </si>
  <si>
    <t>Superfamily II helicase restriction enzyme n=1 Tax=Xanthomonas phage Pfeifenkraut TaxID=2939132 RepID=A0A9E7E1D1_9CAUD</t>
  </si>
  <si>
    <t>Oct.NODE_12_length_43814_cov_20.924267_7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</si>
  <si>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DNA helicase [Magnetospirillum magneticum]</t>
  </si>
  <si>
    <t>Avril.NODE_1164_length_2477_cov_6.868291_4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</si>
  <si>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helicase [[Clostridium] cellulolyticum]</t>
  </si>
  <si>
    <t>Helicase ATP-binding domain-containing protein n=1 Tax=Propionispora sp. 2/2-37 TaxID=1677858 RepID=A0A0K8JEF9_9FIRM</t>
  </si>
  <si>
    <t>DNAUV-4.886-90_2</t>
  </si>
  <si>
    <t>Helicase ATP-binding domain-containing protein n=1 Tax=Spirosoma sp. 48-14 TaxID=1895854 RepID=A0A1Q3WRT4_9BACT</t>
  </si>
  <si>
    <t>Avril.NODE_1164_length_2477_cov_6.868291_5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</si>
  <si>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helicase [Gemmata obscuriglobus]</t>
  </si>
  <si>
    <t>DNA methylase n=1 Tax=Synechococcus phage S-CBS3 TaxID=753085 RepID=F4YCV3_9CAUD</t>
  </si>
  <si>
    <t>Avril.NODE_808_length_3244_cov_5.748511_1</t>
  </si>
  <si>
    <t>sp|Q04845|MTC1_CITFR Type II methyltransferase M.CfrBI OS=Citrobacter freundii OX=546 GN=cfrBIM PE=1 SV=1</t>
  </si>
  <si>
    <t>DNA methylase n=2 Tax=Bacteroides TaxID=816 RepID=A0A6I0K217_BACUN</t>
  </si>
  <si>
    <t>DNAUV-2.690-26_9</t>
  </si>
  <si>
    <t>DNAUV-2.845-34_12</t>
  </si>
  <si>
    <t>DNAUV-3.145-73_2</t>
  </si>
  <si>
    <t>DNAUV-3.289-32_4</t>
  </si>
  <si>
    <t>DNAUV-4.014-276_10</t>
  </si>
  <si>
    <t>Sept.NODE_776_length_2742_cov_151.868255_4</t>
  </si>
  <si>
    <t>Sept.NODE_857_length_2569_cov_23.723150_4</t>
  </si>
  <si>
    <t>Sept.NODE_924_length_2451_cov_69.665693_3</t>
  </si>
  <si>
    <t>DNAUV-2.188-12_1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</si>
  <si>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helicase [Shewanella oneidensis MR-1]</t>
  </si>
  <si>
    <t>Putative ATP-dependent DNA helicase n=1 Tax=Idiomarinaceae phage Phi1M2-2 TaxID=1527515 RepID=A0A088F7C5_9CAUD</t>
  </si>
  <si>
    <t>DNAUV-4.606-12_15</t>
  </si>
  <si>
    <t>Avril.NODE_820_length_3218_cov_139.556118_1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</si>
  <si>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helicase-like protein [Chelativorans sp. BNC1]</t>
  </si>
  <si>
    <t>Helicase n=1 Tax=Fuscibacter oryzae TaxID=2803939 RepID=A0A8J7MSM2_9RHOB</t>
  </si>
  <si>
    <t>DNAUV-2.212-16_4</t>
  </si>
  <si>
    <t>Helicase n=1 Tax=EBPR podovirus 2 TaxID=1048516 RepID=F8TUW6_9CAUD</t>
  </si>
  <si>
    <t>DNAUV-2.469-231_3</t>
  </si>
  <si>
    <t>sp|Q9VMX6|SMAL1_DROME SWI/SNF-related matrix-associated actin-dependent regulator of chromatin subfamily A-like protein 1 OS=Drosophila melanogaster OX=7227 GN=Marcal1 PE=1 SV=2</t>
  </si>
  <si>
    <t>DNAUV-2.690-26_8</t>
  </si>
  <si>
    <t>DNAUV-2.810-49_7</t>
  </si>
  <si>
    <t>DNAUV-2.845-34_10</t>
  </si>
  <si>
    <t>DNAUV-3.145-73_1</t>
  </si>
  <si>
    <t>DNAUV-3.289-32_2</t>
  </si>
  <si>
    <t>Helicase n=2 Tax=Sinirhodobacter populi TaxID=2306993 RepID=A0A443J7C4_9RHOB</t>
  </si>
  <si>
    <t>DNAUV-4.014-276_9</t>
  </si>
  <si>
    <t>DNAUV-4.356-49_12</t>
  </si>
  <si>
    <t>sp|F4J9M5|CHR12_ARATH Probable ATP-dependent DNA helicase CHR12 OS=Arabidopsis thaliana OX=3702 GN=CHR12 PE=2 SV=1</t>
  </si>
  <si>
    <t>DNAUV-4.839-80_8</t>
  </si>
  <si>
    <t>DNAUV-7.645-232_10</t>
  </si>
  <si>
    <t>DNAUV-9.183-44_11</t>
  </si>
  <si>
    <t>DNAUV-9.187-98_31</t>
  </si>
  <si>
    <t>Sept.NODE_776_length_2742_cov_151.868255_3</t>
  </si>
  <si>
    <t>Superfamily II DNA or RNA helicase n=1 Tax=Synechococcus phage S-LBS1 TaxID=2008320 RepID=A0A2I5ARE3_9CAUD</t>
  </si>
  <si>
    <t>Sept.NODE_857_length_2569_cov_23.723150_3</t>
  </si>
  <si>
    <t>Sept.NODE_924_length_2451_cov_69.665693_2</t>
  </si>
  <si>
    <t>DNAUV-2.314-182_8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</si>
  <si>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helicase-like protein [Vibrio parahaemolyticus RIMD 2210633]</t>
  </si>
  <si>
    <t>DNAUV-3.454-12_2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</si>
  <si>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hypothetical protein [Cloacibacillus porcorum]</t>
  </si>
  <si>
    <t>Helicase n=1 Tax=Alteromonas phage XX1924 TaxID=2664192 RepID=A0A6B9J1N1_9CAUD</t>
  </si>
  <si>
    <t>DNAUV-3.950-1302_8</t>
  </si>
  <si>
    <t>DNA helicase n=1 Tax=Cloacibacillus sp. An23 TaxID=1965591 RepID=A0A1Y4G9P0_9BACT</t>
  </si>
  <si>
    <t>DNAUV-4.132-9.0_5</t>
  </si>
  <si>
    <t>Helicase n=1 Tax=Alteromonas phage PB15 TaxID=1913113 RepID=A0A1J0GWD7_9CAUD</t>
  </si>
  <si>
    <t>DNAUV-4.132-9.0_6</t>
  </si>
  <si>
    <t>DNAUV-2.658-12_3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</si>
  <si>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hypothetical protein [Fastidiosipila sanguinis]</t>
  </si>
  <si>
    <t>Putative helicase n=1 Tax=Vibrio phage vB_VchM-138 TaxID=1127518 RepID=H9C0Z2_9CAUD</t>
  </si>
  <si>
    <t>DNAUV-4.132-9.0_4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</si>
  <si>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hypothetical protein [Leptospirillum ferriphilum]</t>
  </si>
  <si>
    <t>DNAUV-11.383-1014_18</t>
  </si>
  <si>
    <t>sp|Q5UP79|YR008_MIMIV Uncharacterized putative helicase R8 OS=Acanthamoeba polyphaga mimivirus OX=212035 GN=MIMI_R8 PE=3 SV=1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</si>
  <si>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hypothetical protein [Nitratireductor sp. OM-1]</t>
  </si>
  <si>
    <t>Putative DEAD/DEAH box helicase n=2 Tax=Fletchervirus NCTC12673 TaxID=934027 RepID=F4YAB2_9CAUD</t>
  </si>
  <si>
    <t>23.10.P4-3.470-19_1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</si>
  <si>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hypothetical protein [Nitratiruptor sp. SB155-2]</t>
  </si>
  <si>
    <t>Type I site specific restriction modification system n=1 Tax=Podoviridae sp. ctrTa16 TaxID=2656715 RepID=A0A5Q2W9C0_9CAUD</t>
  </si>
  <si>
    <t>DNAUV-41.618-136_20</t>
  </si>
  <si>
    <t>Helicase/UvrB N-terminal domain-containing protein n=1 Tax=Pseudoalteromonas phage PH1 TaxID=1874540 RepID=A0A1B2AP42_9CAUD</t>
  </si>
  <si>
    <t>Avril.NODE_123_length_14650_cov_85.783830_3</t>
  </si>
  <si>
    <t>Putative helicase n=1 Tax=Edwardsiella phage MSW-3 TaxID=1264700 RepID=L0MYI2_9CAUD</t>
  </si>
  <si>
    <t>DNAUV-11.146-229_16</t>
  </si>
  <si>
    <t>DNAUV-2.374-16_1</t>
  </si>
  <si>
    <t>DEAD/DEAH box helicase n=1 Tax=Brucella tritici TaxID=94626 RepID=A0A833FQ36_9HYPH</t>
  </si>
  <si>
    <t>DNAUV-2.907-13_6</t>
  </si>
  <si>
    <t>DNAUV-3.328-335_7</t>
  </si>
  <si>
    <t>DNAUV-4.307-189_4</t>
  </si>
  <si>
    <t>DNAUV-43.228-64_30</t>
  </si>
  <si>
    <t>DNAUV-43.274-68_150</t>
  </si>
  <si>
    <t>DNAUV-42.184-72_10</t>
  </si>
  <si>
    <t>COG1061 [FUNC="Superfamily II DNA or RNA helicase"] [shortName=SSL2] [TAG=K TAGDEF="Transcription" PROCESS="INFORMATION STORAGE AND PROCESSING"] [TAG=L TAGDEF="Replication, recombination and repair" PROCESS="INFORMATION STORAGE AND PROCESSING"]  [PATHWAY=""] type III restriction protein res subunit [Klebsiella aerogenes KCTC 2190]</t>
  </si>
  <si>
    <t>Helicase n=1 Tax=Vibrio phage pYD21-A TaxID=754049 RepID=M4Q3N1_9CAUD</t>
  </si>
  <si>
    <t>DNAUV-5.102-23_15</t>
  </si>
  <si>
    <t>DNAUV-43.492-339_17</t>
  </si>
  <si>
    <t>COG1066 [FUNC="DNA repair protein RadA/Sms, contains AAA+ ATPase domain"] [shortName=Sms] [TAG=L TAGDEF="Replication, recombination and repair" PROCESS="INFORMATION STORAGE AND PROCESSING"]  [PATHWAY=""] MULTISPECIES: DNA repair protein RadA [Acetoanaerobium]</t>
  </si>
  <si>
    <t>VOG02453 [FUNC="REFSEQ DNA recombinase"] [TAG=Xu TAGDEF="Function unknown"]</t>
  </si>
  <si>
    <t>RecA-like DNA recombinase n=1 Tax=Cellulosimicrobium phage DS1 TaxID=2812903 RepID=A0A898KAM9_9CAUD</t>
  </si>
  <si>
    <t>11.09.P4-19.072-23_1</t>
  </si>
  <si>
    <t>COG1191 [FUNC="DNA-directed RNA polymerase specialized sigma subunit"] [shortName=FliA] [TAG=K TAGDEF="Transcription" PROCESS="INFORMATION STORAGE AND PROCESSING"]  [PATHWAY="RNA polymerase"] SigB/SigF/SigG family RNA polymerase sigma factor [Halothermothrix orenii]</t>
  </si>
  <si>
    <t>RNA polymerase sigma factor n=1 Tax=Clostridium oryzae TaxID=1450648 RepID=A0A1V4IJB0_9CLOT</t>
  </si>
  <si>
    <t>DNAUV-8.786-16_1</t>
  </si>
  <si>
    <t>sp|P27296|DING_ECOLI ATP-dependent DNA helicase DinG OS=Escherichia coli (strain K12) OX=83333 GN=dinG PE=1 SV=3</t>
  </si>
  <si>
    <t>COG1199 [FUNC="Rad3-related DNA helicase DinG"] [shortName=DinG] [TAG=L TAGDEF="Replication, recombination and repair" PROCESS="INFORMATION STORAGE AND PROCESSING"]  [PATHWAY=""] ATP-dependent DNA helicase [Methanobrevibacter ruminantium]</t>
  </si>
  <si>
    <t>VOG02586 [FUNC="sp|P44680|Y387_HAEIN Probable ATP-dependent DNA helicase HI_0387"] [TAG=Xh TAGDEF="Virus protein with function beneficial for the host"]</t>
  </si>
  <si>
    <t>Rad3-related DNA helicase n=2 Tax=Shirahamavirus PTm1 TaxID=2846435 RepID=A0A5S9HXE3_9CAUD</t>
  </si>
  <si>
    <t>DNAUV-23.723-492_43</t>
  </si>
  <si>
    <t>COG1199 [FUNC="Rad3-related DNA helicase DinG"] [shortName=DinG] [TAG=L TAGDEF="Replication, recombination and repair" PROCESS="INFORMATION STORAGE AND PROCESSING"]  [PATHWAY=""] type III restriction protein res subunit [Truepera radiovictrix]</t>
  </si>
  <si>
    <t>Rad3-related DNA helicase n=1 Tax=Methanobrevibacter gottschalkii TaxID=190974 RepID=A0A1H7NDN8_9EURY</t>
  </si>
  <si>
    <t>DNAUV-5.170-14_12</t>
  </si>
  <si>
    <t>sp|Q83LU7|DING_SHIFL ATP-dependent DNA helicase DinG OS=Shigella flexneri OX=623 GN=dinG PE=3 SV=4</t>
  </si>
  <si>
    <t>Gp239 n=1 Tax=Sphingomonas phage PAU TaxID=1150991 RepID=H9NCB6_9CAUD</t>
  </si>
  <si>
    <t>Oct.NODE_98_length_18794_cov_7.263194_5</t>
  </si>
  <si>
    <t>DNAUV-13.079-18_22</t>
  </si>
  <si>
    <t>COG1241 [FUNC="DNA replicative helicase MCM subunit Mcm2, Cdc46/Mcm family"] [shortName=Mcm2] [TAG=L TAGDEF="Replication, recombination and repair" PROCESS="INFORMATION STORAGE AND PROCESSING"]  [PATHWAY=""] ATPase involved in DNA replication control MCM family [Methanobrevibacter ruminantium]</t>
  </si>
  <si>
    <t>VOG00021 [FUNC="sp|Q6QGD3|ENDO1_BPT5 Putative endonuclease"] [TAG=Xh TAGDEF="Virus protein with function beneficial for the host"]</t>
  </si>
  <si>
    <t>HNH nuclease domain-containing protein n=1 Tax=Staphylococcus phage phiSA_BS1 TaxID=2126734 RepID=A0A2P1MXY0_9CAUD</t>
  </si>
  <si>
    <t>Avril.NODE_123_length_14650_cov_85.783830_5</t>
  </si>
  <si>
    <t>COG1309 [FUNC="DNA-binding protein, AcrR family, includes nucleoid occlusion protein SlmA"] [shortName=AcrR] [TAG=K TAGDEF="Transcription" PROCESS="INFORMATION STORAGE AND PROCESSING"]  [PATHWAY=""] TetR/AcrR family transcriptional regulator [Amycolatopsis mediterranei]</t>
  </si>
  <si>
    <t>VOG05361 [FUNC="REFSEQ TetR family transcriptional regulator"] [TAG=Xu TAGDEF="Function unknown"]</t>
  </si>
  <si>
    <t>Putative TetR transcriptional regulator n=1 Tax=Klebsiella phage MEW1 TaxID=2776813 RepID=A0A7M1IDQ9_9CAUD</t>
  </si>
  <si>
    <t>DNAUV-43.274-68_153</t>
  </si>
  <si>
    <t>COG1309 [FUNC="DNA-binding protein, AcrR family, includes nucleoid occlusion protein SlmA"] [shortName=AcrR] [TAG=K TAGDEF="Transcription" PROCESS="INFORMATION STORAGE AND PROCESSING"]  [PATHWAY=""] transcriptional regulator [Brachybacterium faecium DSM 4810]</t>
  </si>
  <si>
    <t>Putative TetR transcriptional regulator n=1 Tax=Shewanella phage SppYZU01 TaxID=1965372 RepID=A0A1V0DYK8_9CAUD</t>
  </si>
  <si>
    <t>DNAUV-2.658-12_5</t>
  </si>
  <si>
    <t>COG1309 [FUNC="DNA-binding protein, AcrR family, includes nucleoid occlusion protein SlmA"] [shortName=AcrR] [TAG=K TAGDEF="Transcription" PROCESS="INFORMATION STORAGE AND PROCESSING"]  [PATHWAY=""] transcriptional regulator [Leptospira interrogans serovar Lai str. 56601]</t>
  </si>
  <si>
    <t>HTH tetR-type domain-containing protein n=1 Tax=Imperialibacter sp. EC-SDR9 TaxID=2038371 RepID=A0A5E7Y5Z8_9BACT</t>
  </si>
  <si>
    <t>Oct.NODE_1414_length_2516_cov_4.604632_3</t>
  </si>
  <si>
    <t>COG1396 [FUNC="Transcriptional regulator, contains XRE-family HTH domain"] [shortName=HipB] [TAG=K TAGDEF="Transcription" PROCESS="INFORMATION STORAGE AND PROCESSING"]  [PATHWAY=""] DUF4065 domain-containing protein [Paludibacter propionicigenes]</t>
  </si>
  <si>
    <t>Antitoxin SocA-like Panacea domain-containing protein n=1 Tax=Mesorhizobium sp. SARCC-RB16n TaxID=2116687 RepID=A0A5B6TX91_9HYPH</t>
  </si>
  <si>
    <t>DNAUV-64.565-409_47</t>
  </si>
  <si>
    <t>COG1396 [FUNC="Transcriptional regulator, contains XRE-family HTH domain"] [shortName=HipB] [TAG=K TAGDEF="Transcription" PROCESS="INFORMATION STORAGE AND PROCESSING"]  [PATHWAY=""] transcriptional regulator [Sutterella megalosphaeroides]</t>
  </si>
  <si>
    <t>Repressor n=2 Tax=root TaxID=1 RepID=A9J531_BPPYU</t>
  </si>
  <si>
    <t>DNAUV-5.312-14_11</t>
  </si>
  <si>
    <t>COG1423 [FUNC="ATP-dependent RNA circularization protein, DNA/RNA ligase (PAB1020)  family"] [shortName=] [TAG=L TAGDEF="Replication, recombination and repair" PROCESS="INFORMATION STORAGE AND PROCESSING"]  [PATHWAY=""] DNA ligase [Xanthobacter autotrophicus]</t>
  </si>
  <si>
    <t>RNA ligase n=1 Tax=Halogranum tailed virus 1 TaxID=1273749 RepID=R4T716_9CAUD</t>
  </si>
  <si>
    <t>DNAUV-147.430-52_145</t>
  </si>
  <si>
    <t>COG1423 [FUNC="ATP-dependent RNA circularization protein, DNA/RNA ligase (PAB1020)  family"] [shortName=] [TAG=L TAGDEF="Replication, recombination and repair" PROCESS="INFORMATION STORAGE AND PROCESSING"]  [PATHWAY=""] RNA ligase (ATP) [Ktedonobacterales bacterium SCAWS-G2]</t>
  </si>
  <si>
    <t>RNA ligase n=1 Tax=Myoviridae sp. ctWb16 TaxID=2827690 RepID=A0A8S5SZR7_9CAUD</t>
  </si>
  <si>
    <t>DNAUV-2.745-16_8</t>
  </si>
  <si>
    <t>sp|P23657|T2P2_PROHU Type II restriction enzyme PvuII OS=Proteus hauseri OX=183417 GN=pvuIIR PE=1 SV=1</t>
  </si>
  <si>
    <t>COG1476 [FUNC="DNA-binding transcriptional regulator, XRE-family HTH domain"] [shortName=XRE] [TAG=K TAGDEF="Transcription" PROCESS="INFORMATION STORAGE AND PROCESSING"]  [PATHWAY=""] helix-turn-helix domain-containing protein [Kordia sp. SMS9]</t>
  </si>
  <si>
    <t>Type II restriction endonuclease n=2 Tax=unclassified Caudoviricetes TaxID=2788787 RepID=A0A2Z4QHF6_9CAUD</t>
  </si>
  <si>
    <t>DNAUV-26.770-92_7</t>
  </si>
  <si>
    <t>sp|Q942N7|CAN1_ORYSJ Probable staphylococcal-like nuclease CAN1 OS=Oryza sativa subsp. japonica OX=39947 GN=Os01g0166100 PE=2 SV=1</t>
  </si>
  <si>
    <t>COG1525 [FUNC="Endonuclease YncB, thermonuclease family"] [shortName=YncB] [TAG=L TAGDEF="Replication, recombination and repair" PROCESS="INFORMATION STORAGE AND PROCESSING"]  [PATHWAY=""] hypothetical protein [Micavibrio aeruginosavorus]</t>
  </si>
  <si>
    <t>Thermonuclease family protein n=1 Tax=Paracoccus suum TaxID=2259340 RepID=A0A344PKX0_9RHOB</t>
  </si>
  <si>
    <t>11.09.P1-3.217-7.2_6</t>
  </si>
  <si>
    <t>sp|P22997|PARB4_ECOLX Protein ParB OS=Escherichia coli OX=562 GN=parB PE=1 SV=2</t>
  </si>
  <si>
    <t>DNAUV-11.419-18_9</t>
  </si>
  <si>
    <t>sp|P43269|NUC_STAIN Thermonuclease OS=Staphylococcus intermedius OX=1285 GN=nucI PE=3 SV=1</t>
  </si>
  <si>
    <t>TNase-like domain-containing protein n=1 Tax=Synechococcus sp. TMED187 TaxID=1986595 RepID=A0A1Z9KYS7_9SYNE</t>
  </si>
  <si>
    <t>DNAUV-2.776-16_4</t>
  </si>
  <si>
    <t>DNAUV-5.468-24_20</t>
  </si>
  <si>
    <t>COG1552 [FUNC="Ribosomal protein L40E"] [shortName=RPL40A] [TAG=J TAGDEF="Translation, ribosomal structure and biogenesis" PROCESS="INFORMATION STORAGE AND PROCESSING"]  [PATHWAY="Archaeal ribosomal proteins"] ATP-dependent helicase [Photobacterium profundum]</t>
  </si>
  <si>
    <t>Oct.NODE_431_length_5507_cov_6.212216_5</t>
  </si>
  <si>
    <t>Sept.NODE_591_length_3283_cov_4.514250_5</t>
  </si>
  <si>
    <t>COG1555 [FUNC="DNA uptake protein ComE or related DNA-binding protein"] [shortName=ComEA] [TAG=L TAGDEF="Replication, recombination and repair" PROCESS="INFORMATION STORAGE AND PROCESSING"]  [PATHWAY=""] ComEA family DNA-binding protein [Methylocaldum marinum]</t>
  </si>
  <si>
    <t>PLD phosphodiesterase domain-containing protein n=1 Tax=Leptolyngbya sp. NIES-2104 TaxID=1552121 RepID=A0A0P4ULN0_9CYAN</t>
  </si>
  <si>
    <t>Mai.NODE_242_length_6849_cov_4.604210_10</t>
  </si>
  <si>
    <t>COG1573 [FUNC="Uracil-DNA glycosylase"] [shortName=Udg4] [TAG=L TAGDEF="Replication, recombination and repair" PROCESS="INFORMATION STORAGE AND PROCESSING"]  [PATHWAY=""] uracil-DNA glycosylase [Hippea maritima]</t>
  </si>
  <si>
    <t>Mai.NODE_465_length_4052_cov_2.981486_7</t>
  </si>
  <si>
    <t>COG1573 [FUNC="Uracil-DNA glycosylase"] [shortName=Udg4] [TAG=L TAGDEF="Replication, recombination and repair" PROCESS="INFORMATION STORAGE AND PROCESSING"]  [PATHWAY=""] uracil-DNA glycosylase [Tabrizicola sp. K13M18]</t>
  </si>
  <si>
    <t>DNA polymerase n=1 Tax=Vibrio phage R01 TaxID=2283098 RepID=A0A345MCX5_9CAUD</t>
  </si>
  <si>
    <t>DNAUV-41.618-136_22</t>
  </si>
  <si>
    <t>COG1591 [FUNC="Holliday junction resolvase Hjc, archaeal type"] [shortName=] [TAG=L TAGDEF="Replication, recombination and repair" PROCESS="INFORMATION STORAGE AND PROCESSING"]  [PATHWAY=""] hypothetical protein [Nitratiruptor sp. SB155-2]</t>
  </si>
  <si>
    <t>Endonuclease n=2 Tax=root TaxID=1 RepID=M5A970_9CAUD</t>
  </si>
  <si>
    <t>DNAUV-38.940-21_1</t>
  </si>
  <si>
    <t>sp|Q45585|SIGW_BACSU ECF RNA polymerase sigma factor SigW OS=Bacillus subtilis (strain 168) OX=224308 GN=sigW PE=1 SV=1</t>
  </si>
  <si>
    <t>COG1595 [FUNC="DNA-directed RNA polymerase specialized sigma subunit, sigma24 family"] [shortName=RpoE] [TAG=K TAGDEF="Transcription" PROCESS="INFORMATION STORAGE AND PROCESSING"]  [PATHWAY="RNA polymerase"] DNA-directed RNA polymerase sigma-70 factor [Haliscomenobacter hydrossis]</t>
  </si>
  <si>
    <t>VOG00124 [FUNC="sp|P33658|RPSG_CLOAB RNA polymerase sigma-G factor"] [TAG=Xh TAGDEF="Virus protein with function beneficial for the host"]</t>
  </si>
  <si>
    <t>RNA polymerase sigma factor n=1 Tax=Pseudomonas phage O4 TaxID=1784982 RepID=A0A127KNE2_9CAUD</t>
  </si>
  <si>
    <t>DNAUV-5.414-14_1</t>
  </si>
  <si>
    <t>sp|A0QTP2|SIGH_MYCS2 ECF RNA polymerase sigma factor SigH OS=Mycolicibacterium smegmatis (strain ATCC 700084 / mc(2)155) OX=246196 GN=sigH PE=1 SV=2</t>
  </si>
  <si>
    <t>COG1595 [FUNC="DNA-directed RNA polymerase specialized sigma subunit, sigma24 family"] [shortName=RpoE] [TAG=K TAGDEF="Transcription" PROCESS="INFORMATION STORAGE AND PROCESSING"]  [PATHWAY="RNA polymerase"] ECF subfamily RNA polymerase sigma factor [Streptomyces coelicolor A3(2)]</t>
  </si>
  <si>
    <t>RNA polymerase sigma factor n=1 Tax=Streptomyces echinoruber TaxID=68898 RepID=A0A918RI80_9ACTN</t>
  </si>
  <si>
    <t>DNAUV-2.441-30_6</t>
  </si>
  <si>
    <t>sp|O53353|WHB2A_MYCTU Transcriptional regulator WhiB2 OS=Mycobacterium tuberculosis (strain ATCC 25618 / H37Rv) OX=83332 GN=whiB2 PE=1 SV=3</t>
  </si>
  <si>
    <t>COG1595 [FUNC="DNA-directed RNA polymerase specialized sigma subunit, sigma24 family"] [shortName=RpoE] [TAG=K TAGDEF="Transcription" PROCESS="INFORMATION STORAGE AND PROCESSING"]  [PATHWAY="RNA polymerase"] regulatory protein (plasmid) [Streptomyces coelicolor A3(2)]</t>
  </si>
  <si>
    <t>VOG00280 [FUNC="sp|A0QTG3|WHIB2_MYCS2 Transcriptional regulator WhiB2"] [TAG=Xh TAGDEF="Virus protein with function beneficial for the host"]</t>
  </si>
  <si>
    <t>Transcriptional regulator WhiB n=4 Tax=unclassified Pseudoclavibacter TaxID=2615177 RepID=A0A7J5BL74_9MICO</t>
  </si>
  <si>
    <t>DNAUV-5.077-286_1</t>
  </si>
  <si>
    <t>COG1595 [FUNC="DNA-directed RNA polymerase specialized sigma subunit, sigma24 family"] [shortName=RpoE] [TAG=K TAGDEF="Transcription" PROCESS="INFORMATION STORAGE AND PROCESSING"]  [PATHWAY="RNA polymerase"] RNA polymerase sigma factor [Chryseolinea sp. KIS68-18]</t>
  </si>
  <si>
    <t>RNA polymerase sigma-70 region 2 domain-containing protein n=1 Tax=Pseudomonas phage vB_PaeP_FBPa8 TaxID=2969617 RepID=A0A9E7QMF6_9CAUD</t>
  </si>
  <si>
    <t>DNAUV-7.618-9.9_8</t>
  </si>
  <si>
    <t>COG1595 [FUNC="DNA-directed RNA polymerase specialized sigma subunit, sigma24 family"] [shortName=RpoE] [TAG=K TAGDEF="Transcription" PROCESS="INFORMATION STORAGE AND PROCESSING"]  [PATHWAY="RNA polymerase"] RNA polymerase sigma factor [Draconibacterium orientale]</t>
  </si>
  <si>
    <t>DNAUV-7.580-14_9</t>
  </si>
  <si>
    <t>COG1595 [FUNC="DNA-directed RNA polymerase specialized sigma subunit, sigma24 family"] [shortName=RpoE] [TAG=K TAGDEF="Transcription" PROCESS="INFORMATION STORAGE AND PROCESSING"]  [PATHWAY="RNA polymerase"] RNA polymerase sigma factor [Kordia sp. SMS9]</t>
  </si>
  <si>
    <t>DNAUV-2.164-138_2</t>
  </si>
  <si>
    <t>COG1595 [FUNC="DNA-directed RNA polymerase specialized sigma subunit, sigma24 family"] [shortName=RpoE] [TAG=K TAGDEF="Transcription" PROCESS="INFORMATION STORAGE AND PROCESSING"]  [PATHWAY="RNA polymerase"] RNA polymerase sigma factor [Natranaerobius thermophilus]</t>
  </si>
  <si>
    <t>Uncharacterized protein n=1 Tax=Nonlabens phage P12024L TaxID=1168479 RepID=I6S6U4_9CAUD</t>
  </si>
  <si>
    <t>DNAUV-3.238-117_3</t>
  </si>
  <si>
    <t>DNAUV-7.544-40_6</t>
  </si>
  <si>
    <t>DNAUV-9.059-543_4</t>
  </si>
  <si>
    <t>DNAUV-6.358-16_11</t>
  </si>
  <si>
    <t>sp|Q3IYV6|RPOE_CERS4 ECF RNA polymerase sigma factor RpoE OS=Cereibacter sphaeroides (strain ATCC 17023 / DSM 158 / JCM 6121 / CCUG 31486 / LMG 2827 / NBRC 12203 / NCIMB 8253 / ATH 2.4.1.) OX=272943 GN=rpoE PE=1 SV=1</t>
  </si>
  <si>
    <t>COG1595 [FUNC="DNA-directed RNA polymerase specialized sigma subunit, sigma24 family"] [shortName=RpoE] [TAG=K TAGDEF="Transcription" PROCESS="INFORMATION STORAGE AND PROCESSING"]  [PATHWAY="RNA polymerase"] RNA polymerase sigma factor RpoE [Ruegeria mobilis]</t>
  </si>
  <si>
    <t>RNA polymerase sigma factor n=1 Tax=Shimia thalassica TaxID=1715693 RepID=A0A0N7M8S1_9RHOB</t>
  </si>
  <si>
    <t>DNAUV-41.172-78_56</t>
  </si>
  <si>
    <t>COG1595 [FUNC="DNA-directed RNA polymerase specialized sigma subunit, sigma24 family"] [shortName=RpoE] [TAG=K TAGDEF="Transcription" PROCESS="INFORMATION STORAGE AND PROCESSING"]  [PATHWAY="RNA polymerase"] sigma-70 family RNA polymerase sigma factor [Paenisporosarcina sp. K2R23-3]</t>
  </si>
  <si>
    <t>DNAUV-147.430-52_92</t>
  </si>
  <si>
    <t>sp|Q58095|RTCB_METJA tRNA-splicing ligase RtcB OS=Methanocaldococcus jannaschii (strain ATCC 43067 / DSM 2661 / JAL-1 / JCM 10045 / NBRC 100440) OX=243232 GN=rtcB PE=3 SV=1</t>
  </si>
  <si>
    <t>COG1690 [FUNC="RNA-splicing ligase RtcB, repairs tRNA damage"] [shortName=RtcB] [TAG=J TAGDEF="Translation, ribosomal structure and biogenesis" PROCESS="INFORMATION STORAGE AND PROCESSING"]  [PATHWAY=""] protein of unknown function UPF0027 [Herpetosiphon aurantiacus DSM 785]</t>
  </si>
  <si>
    <t>VOG00258 [FUNC="sp|P46850|RTCB_ECOLI RNA-splicing ligase RtcB"] [TAG=Xh TAGDEF="Virus protein with function beneficial for the host"]</t>
  </si>
  <si>
    <t>3'-phosphate/5'-hydroxy nucleic acid ligase n=1 Tax=Roseicella sp. DB1501 TaxID=2730925 RepID=A0A849N040_9PROT</t>
  </si>
  <si>
    <t>DNAUV-147.430-52_224</t>
  </si>
  <si>
    <t>sp|Q5JCZ1|RTCB_THEKO tRNA-splicing ligase RtcB OS=Thermococcus kodakarensis (strain ATCC BAA-918 / JCM 12380 / KOD1) OX=69014 GN=rtcB PE=3 SV=1</t>
  </si>
  <si>
    <t>COG1690 [FUNC="RNA-splicing ligase RtcB, repairs tRNA damage"] [shortName=RtcB] [TAG=J TAGDEF="Translation, ribosomal structure and biogenesis" PROCESS="INFORMATION STORAGE AND PROCESSING"]  [PATHWAY=""] RtcB family protein [Methylobacterium nodulans]</t>
  </si>
  <si>
    <t>Oct.NODE_169_length_11288_cov_54.707825_9</t>
  </si>
  <si>
    <t>sp|P46850|RTCB_ECOLI RNA-splicing ligase RtcB OS=Escherichia coli (strain K12) OX=83333 GN=rtcB PE=1 SV=3</t>
  </si>
  <si>
    <t>COG1690 [FUNC="RNA-splicing ligase RtcB, repairs tRNA damage"] [shortName=RtcB] [TAG=J TAGDEF="Translation, ribosomal structure and biogenesis" PROCESS="INFORMATION STORAGE AND PROCESSING"]  [PATHWAY=""] RtcB family protein [Pannonibacter phragmitetus]</t>
  </si>
  <si>
    <t>3'-phosphate/5'-hydroxy nucleic acid ligase n=1 Tax=Paracoccus caeni TaxID=657651 RepID=A0A934VTU1_9RHOB</t>
  </si>
  <si>
    <t>DNAUV-24.309-205_26</t>
  </si>
  <si>
    <t>COG1690 [FUNC="RNA-splicing ligase RtcB, repairs tRNA damage"] [shortName=RtcB] [TAG=J TAGDEF="Translation, ribosomal structure and biogenesis" PROCESS="INFORMATION STORAGE AND PROCESSING"]  [PATHWAY=""] RtcB family protein [Roseateles depolymerans]</t>
  </si>
  <si>
    <t>3'-phosphate/5'-hydroxy nucleic acid ligase n=1 Tax=Methylomonas koyamae TaxID=702114 RepID=A0A177NEZ7_9GAMM</t>
  </si>
  <si>
    <t>Sept.NODE_253_length_6083_cov_195.376410_7</t>
  </si>
  <si>
    <t>COG1690 [FUNC="RNA-splicing ligase RtcB, repairs tRNA damage"] [shortName=RtcB] [TAG=J TAGDEF="Translation, ribosomal structure and biogenesis" PROCESS="INFORMATION STORAGE AND PROCESSING"]  [PATHWAY=""] RtcB family protein [Simkania negevensis]</t>
  </si>
  <si>
    <t>3'-phosphate/5'-hydroxy nucleic acid ligase n=1 Tax=Acaryochloris thomasi RCC1774 TaxID=1764569 RepID=A0A2W1JLR2_9CYAN</t>
  </si>
  <si>
    <t>DNAUV-2.690-26_12</t>
  </si>
  <si>
    <t>sp|P75978|YMFN_ECOLI Protein YmfN OS=Escherichia coli (strain K12) OX=83333 GN=ymfN PE=3 SV=1</t>
  </si>
  <si>
    <t>COG1725 [FUNC="DNA-binding transcriptional regulator YhcF, GntR family"] [shortName=YhcF] [TAG=K TAGDEF="Transcription" PROCESS="INFORMATION STORAGE AND PROCESSING"]  [PATHWAY=""] hypothetical protein [Cobetia marina]</t>
  </si>
  <si>
    <t>VOG16808 [FUNC="sp|P03688|VRPO_LAMBD Replication protein O"] [TAG=Xr TAGDEF="Virus replication"]</t>
  </si>
  <si>
    <t>Helix-turn-helix domain-containing protein n=1 Tax=Paracoccus pantotrophus TaxID=82367 RepID=A0A7H9BR59_PARPN</t>
  </si>
  <si>
    <t>DNAUV-35.210-45_87</t>
  </si>
  <si>
    <t>Uncharacterized protein gp8 n=1 Tax=EBPR podovirus 2 TaxID=1048516 RepID=F8TUQ7_9CAUD</t>
  </si>
  <si>
    <t>Sept.NODE_520_length_3599_cov_25.326749_2</t>
  </si>
  <si>
    <t>Helix-turn-helix domain-containing protein n=1 Tax=Desulfovibrio intestinalis TaxID=58621 RepID=A0A7W8BZF5_9BACT</t>
  </si>
  <si>
    <t>DNAUV-7.368-81_4</t>
  </si>
  <si>
    <t>COG1738 [FUNC="Queuosine precursor transporter YhhQ, DUF165 family"] [shortName=YhhQ] [TAG=J TAGDEF="Translation, ribosomal structure and biogenesis" PROCESS="INFORMATION STORAGE AND PROCESSING"]  [PATHWAY=""] hypothetical protein [Paenibacillus polymyxa]</t>
  </si>
  <si>
    <t>VOG01223 [FUNC="sp|P37619|QPTR_ECOLI Queuosine precursor transporter"] [TAG=Xh TAGDEF="Virus protein with function beneficial for the host"]</t>
  </si>
  <si>
    <t>VUT family protein n=1 Tax=Pseudanabaena phage Pam5 TaxID=2936521 RepID=A0A9E7DTZ2_9CAUD</t>
  </si>
  <si>
    <t>DNAUV-48.934-1423_22</t>
  </si>
  <si>
    <t>COG1793 [FUNC="ATP-dependent DNA ligase"] [shortName=CDC9] [TAG=L TAGDEF="Replication, recombination and repair" PROCESS="INFORMATION STORAGE AND PROCESSING"]  [PATHWAY=""] ATP-dependent DNA ligase [Sandaracinus amylolyticus]</t>
  </si>
  <si>
    <t>DNA ligase n=1 Tax=Cronobacter phage vB_CsaP_Ss1 TaxID=1498011 RepID=A0A096XUU5_9CAUD</t>
  </si>
  <si>
    <t>DNAUV-147.430-52_167</t>
  </si>
  <si>
    <t>sp|P19088|DNLI_BPT6 DNA ligase OS=Enterobacteria phage T6 OX=10666 GN=30 PE=3 SV=1</t>
  </si>
  <si>
    <t>DNA ligase n=1 Tax=Ochrobactrum phage vB_OspM_OC TaxID=2712956 RepID=A0A6G6XX43_9CAUD</t>
  </si>
  <si>
    <t>DNAUV-152.980-60_179</t>
  </si>
  <si>
    <t>DNA ligase n=1 Tax=Sinorhizobium phage phiN3 TaxID=1647405 RepID=A0A0F6YPI5_9CAUD</t>
  </si>
  <si>
    <t>DNAUV-159.889-409_145</t>
  </si>
  <si>
    <t>DNAUV-19.264-18_16</t>
  </si>
  <si>
    <t>DNA ligase n=1 Tax=Phaeobacter phage MD18 TaxID=2723761 RepID=A0A6H1Z6L6_9CAUD</t>
  </si>
  <si>
    <t>DNAUV-62.938-22_80</t>
  </si>
  <si>
    <t>DNA ligase n=1 Tax=Kurlavirus BKC-1 TaxID=1958810 RepID=A0A1S5XYX6_9VIRU</t>
  </si>
  <si>
    <t>DNAUV-72.439-197_14</t>
  </si>
  <si>
    <t>DNA ligase n=1 Tax=Rhodobacter phage RcXuper TaxID=2973496 RepID=A0A976XMU6_9CAUD</t>
  </si>
  <si>
    <t>DNAUV-10.760-29_13</t>
  </si>
  <si>
    <t>COG1793 [FUNC="ATP-dependent DNA ligase"] [shortName=CDC9] [TAG=L TAGDEF="Replication, recombination and repair" PROCESS="INFORMATION STORAGE AND PROCESSING"]  [PATHWAY=""] hypothetical protein [Methylibium petroleiphilum]</t>
  </si>
  <si>
    <t>DNA ligase n=1 Tax=Vibrio phage S4-7 TaxID=1873905 RepID=A0A1C9LW41_9CAUD</t>
  </si>
  <si>
    <t>DNAUV-34.277-41_26</t>
  </si>
  <si>
    <t>DNAUV-41.618-136_21</t>
  </si>
  <si>
    <t>DNA ligase n=1 Tax=Brevibacillus phage Sundance TaxID=1691958 RepID=A0A0K2FLM0_9CAUD</t>
  </si>
  <si>
    <t>DNAUV-16.786-275_32</t>
  </si>
  <si>
    <t>sp|Q3IPX0|DNLI_NATPD DNA ligase OS=Natronomonas pharaonis (strain ATCC 35678 / DSM 2160 / CIP 103997 / JCM 8858 / NBRC 14720 / NCIMB 2260 / Gabara) OX=348780 GN=lig PE=3 SV=1</t>
  </si>
  <si>
    <t>COG1793 [FUNC="ATP-dependent DNA ligase"] [shortName=CDC9] [TAG=L TAGDEF="Replication, recombination and repair" PROCESS="INFORMATION STORAGE AND PROCESSING"]  [PATHWAY=""] PBCV-1 DNA ligase [Pararhodospirillum photometricum]</t>
  </si>
  <si>
    <t>DNA ligase n=2 Tax=Nipunavirus TaxID=1982239 RepID=A0A2H4GY55_9CAUD</t>
  </si>
  <si>
    <t>DNAUV-64.565-409_52</t>
  </si>
  <si>
    <t>DNA ligase n=1 Tax=Xanthomonas phage vB_Xar_IVIA-DoCa5 TaxID=2975532 RepID=A0A9X9NYR4_9CAUD</t>
  </si>
  <si>
    <t>Oct.NODE_582_length_4492_cov_3.960108_15</t>
  </si>
  <si>
    <t>COG1846 [FUNC="DNA-binding transcriptional regulator, MarR family"] [shortName=MarR] [TAG=K TAGDEF="Transcription" PROCESS="INFORMATION STORAGE AND PROCESSING"]  [PATHWAY=""] MarR family transcriptional regulator [Neorhizobium galegae]</t>
  </si>
  <si>
    <t>VOG01253 [FUNC="sp|P20222|F93_SSV1 Protein F-93"] [TAG=Xu TAGDEF="Function unknown"]</t>
  </si>
  <si>
    <t>MarR family transcriptional regulator n=1 Tax=Elstera litoralis TaxID=552518 RepID=A0A0F3IT94_9PROT</t>
  </si>
  <si>
    <t>DNAUV-43.492-339_12</t>
  </si>
  <si>
    <t>sp|Q9VCI0|ORN_DROME Probable oligoribonuclease OS=Drosophila melanogaster OX=7227 GN=CG10214 PE=2 SV=1</t>
  </si>
  <si>
    <t>COG1949 [FUNC="Oligoribonuclease (3'-5' exoribonuclease)"] [shortName=Orn] [TAG=A TAGDEF="RNA processing and modification" PROCESS="INFORMATION STORAGE AND PROCESSING"]  [PATHWAY=""] oligoribonuclease [Haliangium ochraceum]</t>
  </si>
  <si>
    <t>Exonuclease domain containing protein n=1 Tax=Haemonchus contortus TaxID=6289 RepID=U6PES0_HAECO</t>
  </si>
  <si>
    <t>DNAUV-5.178-43_3</t>
  </si>
  <si>
    <t>sp|P0ADI1|PINR_ECOL6 Putative DNA-invertase from lambdoid prophage Rac OS=Escherichia coli O6:H1 (strain CFT073 / ATCC 700928 / UPEC) OX=199310 GN=pinR PE=3 SV=1</t>
  </si>
  <si>
    <t>COG1961 [FUNC="Site-specific DNA recombinase SpoIVCA/DNA invertase PinE"] [shortName=SpoIVCA] [TAG=L TAGDEF="Replication, recombination and repair" PROCESS="INFORMATION STORAGE AND PROCESSING"]  [PATHWAY=""] recombinase family protein [Dechloromonas aromatica]</t>
  </si>
  <si>
    <t>VOG00547 [FUNC="sp|Q38199|GIN_BPD10 Serine recombinase gin"] [TAG=Xh TAGDEF="Virus protein with function beneficial for the host"]</t>
  </si>
  <si>
    <t>Resolvase/invertase-type recombinase catalytic domain-containing protein n=1 Tax=Vibrio phage 11895-B1 TaxID=754075 RepID=M4QQS0_9CAUD</t>
  </si>
  <si>
    <t>DNAUV-7.594-31_4</t>
  </si>
  <si>
    <t>sp|P06691|TNR5_PSEAI Transposon Tn501 resolvase OS=Pseudomonas aeruginosa OX=287 GN=tnpR PE=3 SV=1</t>
  </si>
  <si>
    <t>COG1961 [FUNC="Site-specific DNA recombinase SpoIVCA/DNA invertase PinE"] [shortName=SpoIVCA] [TAG=L TAGDEF="Replication, recombination and repair" PROCESS="INFORMATION STORAGE AND PROCESSING"]  [PATHWAY=""] recombinase family protein [Paraglaciecola psychrophila]</t>
  </si>
  <si>
    <t>Resolvase domain-containing protein n=1 Tax=Vibrio phage PWH3a-P1 TaxID=754058 RepID=M4QQC6_9CAUD</t>
  </si>
  <si>
    <t>DNAUV-5.961-15_4</t>
  </si>
  <si>
    <t>sp|Q06237|TNR6_ENTFC Transposon Tn1546 resolvase OS=Enterococcus faecium OX=1352 PE=3 SV=1</t>
  </si>
  <si>
    <t>COG1961 [FUNC="Site-specific DNA recombinase SpoIVCA/DNA invertase PinE"] [shortName=SpoIVCA] [TAG=L TAGDEF="Replication, recombination and repair" PROCESS="INFORMATION STORAGE AND PROCESSING"]  [PATHWAY=""] recombinase family protein [Thalassolituus oleivorans]</t>
  </si>
  <si>
    <t>Resolvase/invertase-type recombinase catalytic domain-containing protein n=2 Tax=unclassified Caudoviricetes TaxID=2788787 RepID=M4M954_9CAUD</t>
  </si>
  <si>
    <t>DNAUV-13.625-317_22</t>
  </si>
  <si>
    <t>COG1961 [FUNC="Site-specific DNA recombinase SpoIVCA/DNA invertase PinE"] [shortName=SpoIVCA] [TAG=L TAGDEF="Replication, recombination and repair" PROCESS="INFORMATION STORAGE AND PROCESSING"]  [PATHWAY=""] resolvase [Marinovum algicola]</t>
  </si>
  <si>
    <t>DNA-invertase hin n=1 Tax=Geobacter sulfurreducens TaxID=35554 RepID=A0A2Z5SD44_GEOSN</t>
  </si>
  <si>
    <t>DNAUV-13.692-18_10</t>
  </si>
  <si>
    <t>COG1990 [FUNC="Peptidyl-tRNA hydrolase"] [shortName=Pth2] [TAG=J TAGDEF="Translation, ribosomal structure and biogenesis" PROCESS="INFORMATION STORAGE AND PROCESSING"]  [PATHWAY=""] hypothetical protein [[Polyangium] brachysporum]</t>
  </si>
  <si>
    <t>VOG00410 [FUNC="sp|Q9J5H2|V029_FOWPN Putative peptidyl-tRNA hydrolase"] [TAG=Xu TAGDEF="Function unknown"]</t>
  </si>
  <si>
    <t>Uncharacterized protein n=1 Tax=Acinetobacter phage vB_AbaM_ME3 TaxID=1837876 RepID=A0A172Q0F1_9CAUD</t>
  </si>
  <si>
    <t>DNAUV-85.908-43_38</t>
  </si>
  <si>
    <t>COG1990 [FUNC="Peptidyl-tRNA hydrolase"] [shortName=Pth2] [TAG=J TAGDEF="Translation, ribosomal structure and biogenesis" PROCESS="INFORMATION STORAGE AND PROCESSING"]  [PATHWAY=""] hypothetical protein [Roseateles depolymerans]</t>
  </si>
  <si>
    <t>aminoacyl-tRNA hydrolase n=1 Tax=Dokdonia pacifica TaxID=1627892 RepID=A0A239AYJ9_9FLAO</t>
  </si>
  <si>
    <t>DNAUV-64.562-41_30</t>
  </si>
  <si>
    <t>COG2004 [FUNC="Ribosomal protein S24E"] [shortName=RPS24A] [TAG=J TAGDEF="Translation, ribosomal structure and biogenesis" PROCESS="INFORMATION STORAGE AND PROCESSING"]  [PATHWAY="Archaeal ribosomal proteins"] DUF2493 domain-containing protein [Thiobacimonas profunda]</t>
  </si>
  <si>
    <t>DUF2493 domain-containing protein n=1 Tax=Rhodovarius crocodyli TaxID=1979269 RepID=A0A437LV71_9PROT</t>
  </si>
  <si>
    <t>DNAUV-4.886-90_5</t>
  </si>
  <si>
    <t>COG2093 [FUNC="RNA polymerase subunit RPABC4/transcription elongation factor Spt4"] [shortName=Spt4] [TAG=K TAGDEF="Transcription" PROCESS="INFORMATION STORAGE AND PROCESSING"]  [PATHWAY="RNA polymerase"] helicase [Robiginitalea biformata]</t>
  </si>
  <si>
    <t>Putative helicase n=1 Tax=Nonlabens phage P12024L TaxID=1168479 RepID=I6S6T9_9CAUD</t>
  </si>
  <si>
    <t>DNAUV-51.550-178_29</t>
  </si>
  <si>
    <t>Helicase n=5 Tax=unclassified Caudoviricetes TaxID=2788787 RepID=M1NXL0_9CAUD</t>
  </si>
  <si>
    <t>Mai.NODE_1125_length_2133_cov_4.980269_2</t>
  </si>
  <si>
    <t>Helicase n=2 Tax=Cellulophaga phage phi12:1 TaxID=1327976 RepID=S0A182_9CAUD</t>
  </si>
  <si>
    <t>Oct.NODE_1268_length_2712_cov_7.386526_2</t>
  </si>
  <si>
    <t>DNAUV-34.761-382_2</t>
  </si>
  <si>
    <t>sp|A0A0H3M776|DARG_MYCBP DNA ADP-ribosyl glycohydrolase OS=Mycobacterium bovis (strain BCG / Pasteur 1173P2) OX=410289 GN=darG PE=1 SV=1</t>
  </si>
  <si>
    <t>COG2110 [FUNC="O-acetyl-ADP-ribose deacetylase (regulator of RNase III), contains Macro domain"] [shortName=YmdB] [TAG=J TAGDEF="Translation, ribosomal structure and biogenesis" PROCESS="INFORMATION STORAGE AND PROCESSING"]  [PATHWAY=""] Appr-1-p processing protein [Desulfotomaculum acetoxidans]</t>
  </si>
  <si>
    <t>Macro domain protein n=1 Tax=Vibrio phage 1.063.O._10N.261.45.C7 TaxID=1881308 RepID=A0A2I7QTT1_9CAUD</t>
  </si>
  <si>
    <t>DNAUV-21.362-14_11</t>
  </si>
  <si>
    <t>sp|P13309|Y06D_BPT4 Uncharacterized 17.5 kDa protein in tk-vs intergenic region OS=Enterobacteria phage T4 OX=10665 GN=y06D PE=4 SV=1</t>
  </si>
  <si>
    <t>COG2110 [FUNC="O-acetyl-ADP-ribose deacetylase (regulator of RNase III), contains Macro domain"] [shortName=YmdB] [TAG=J TAGDEF="Translation, ribosomal structure and biogenesis" PROCESS="INFORMATION STORAGE AND PROCESSING"]  [PATHWAY=""] MULTISPECIES: Appr-1-p processing domain protein [Methylobacterium]</t>
  </si>
  <si>
    <t>Macro domain-containing protein n=1 Tax=Richelia sp. RM2_1_2 TaxID=2720436 RepID=A0A969MHB1_9NOST</t>
  </si>
  <si>
    <t>DNAUV-3.328-13_5</t>
  </si>
  <si>
    <t>COG2110 [FUNC="O-acetyl-ADP-ribose deacetylase (regulator of RNase III), contains Macro domain"] [shortName=YmdB] [TAG=J TAGDEF="Translation, ribosomal structure and biogenesis" PROCESS="INFORMATION STORAGE AND PROCESSING"]  [PATHWAY=""] phosphatase [Desulfobacula toluolica]</t>
  </si>
  <si>
    <t>Macro domain-containing protein n=2 Tax=unclassified Kyanoviridae TaxID=2960609 RepID=A0A650EX69_9CAUD</t>
  </si>
  <si>
    <t>DNAUV-100.032-102_52</t>
  </si>
  <si>
    <t>COG2110 [FUNC="O-acetyl-ADP-ribose deacetylase (regulator of RNase III), contains Macro domain"] [shortName=YmdB] [TAG=J TAGDEF="Translation, ribosomal structure and biogenesis" PROCESS="INFORMATION STORAGE AND PROCESSING"]  [PATHWAY=""] phosphatase [Nonlabens dokdonensis]</t>
  </si>
  <si>
    <t>Phosphatase n=6 Tax=root TaxID=1 RepID=A0A7S9SPI7_9CAUD</t>
  </si>
  <si>
    <t>DNAUV-152.980-60_141</t>
  </si>
  <si>
    <t>sp|A3LZD1|POA1_PICST ADP-ribose 1''-phosphate phosphatase OS=Scheffersomyces stipitis (strain ATCC 58785 / CBS 6054 / NBRC 10063 / NRRL Y-11545) OX=322104 GN=POA1 PE=3 SV=2</t>
  </si>
  <si>
    <t>DNAUV-159.889-409_156</t>
  </si>
  <si>
    <t>O-acetyl-ADP-ribose deacetylase (Regulator of RNase III), contains Macro domain n=1 Tax=Paenibacillus sp. UNC499MF TaxID=1502751 RepID=A0A1H6ACB5_9BACL</t>
  </si>
  <si>
    <t>DNAUV-8.008-20_11</t>
  </si>
  <si>
    <t>Macro domain containing protein n=5 Tax=Lightbulbvirus TaxID=1918522 RepID=R9ZYH8_9CAUD</t>
  </si>
  <si>
    <t>DNAUV-85.908-43_65</t>
  </si>
  <si>
    <t>Putative hydrolase n=1 Tax=Klebsiella phage vB_KaeM_KaOmega TaxID=2591365 RepID=A0A5B9NGY7_9CAUD</t>
  </si>
  <si>
    <t>DNAUV-48.934-1423_20</t>
  </si>
  <si>
    <t>sp|P9WLJ0|Y2191_MYCTO Putative bifunctional exonuclease/endonuclease protein MT2247 OS=Mycobacterium tuberculosis (strain CDC 1551 / Oshkosh) OX=83331 GN=MT2247 PE=4 SV=1</t>
  </si>
  <si>
    <t>COG2176 [FUNC="DNA polymerase III, alpha subunit (gram-positive type)"] [shortName=PolC] [TAG=L TAGDEF="Replication, recombination and repair" PROCESS="INFORMATION STORAGE AND PROCESSING"]  [PATHWAY=""] DNA polymerase III subunit epsilon [Fluviicola taffensis]</t>
  </si>
  <si>
    <t>Exonuclease domain-containing protein n=1 Tax=Vibrio phage vB_ValP_VA-RY-3 TaxID=2831177 RepID=A0A8E5UUJ3_9CAUD</t>
  </si>
  <si>
    <t>DNAUV-80.863-259_22</t>
  </si>
  <si>
    <t>sp|Q819Y5|DPO3_BACCR DNA polymerase III PolC-type OS=Bacillus cereus (strain ATCC 14579 / DSM 31 / CCUG 7414 / JCM 2152 / NBRC 15305 / NCIMB 9373 / NCTC 2599 / NRRL B-3711) OX=226900 GN=polC PE=3 SV=1</t>
  </si>
  <si>
    <t>COG2176 [FUNC="DNA polymerase III, alpha subunit (gram-positive type)"] [shortName=PolC] [TAG=L TAGDEF="Replication, recombination and repair" PROCESS="INFORMATION STORAGE AND PROCESSING"]  [PATHWAY=""] MULTISPECIES: PolC-type DNA polymerase III [Bacillus]</t>
  </si>
  <si>
    <t>DEDDh exonuclease n=3 Tax=Cellulophaga phage phiST TaxID=756282 RepID=M4SNB2_9CAUD</t>
  </si>
  <si>
    <t>DNAUV-3.896-76_7</t>
  </si>
  <si>
    <t>COG2188 [FUNC="DNA-binding transcriptional regulator, GntR family"] [shortName=MngR] [TAG=K TAGDEF="Transcription" PROCESS="INFORMATION STORAGE AND PROCESSING"]  [PATHWAY=""] helix-turn-helix domain-containing protein [Ruminococcus albus]</t>
  </si>
  <si>
    <t>Helix-turn-helix protein n=1 Tax=Nocardia puris TaxID=208602 RepID=A0A366DBX0_9NOCA</t>
  </si>
  <si>
    <t>DNAUV-2.596-682_1</t>
  </si>
  <si>
    <t>COG2189 [FUNC="Adenine specific DNA methylase Mod"] [shortName=Mod] [TAG=L TAGDEF="Replication, recombination and repair" PROCESS="INFORMATION STORAGE AND PROCESSING"]  [PATHWAY=""] site-specific DNA-methyltransferase [Seonamhaeicola sp. S2-3]</t>
  </si>
  <si>
    <t>DNA methylase n=2 Tax=Cellulophaga phage phi12:1 TaxID=1327976 RepID=S0A0D5_9CAUD</t>
  </si>
  <si>
    <t>23.10.P4-4.135-16_5</t>
  </si>
  <si>
    <t>sp|P61529|RUVB_BDEBA Holliday junction branch migration complex subunit RuvB OS=Bdellovibrio bacteriovorus (strain ATCC 15356 / DSM 50701 / NCIMB 9529 / HD100) OX=264462 GN=ruvB PE=3 SV=1</t>
  </si>
  <si>
    <t>COG2255 [FUNC="Holliday junction resolvasome RuvABC, ATP-dependent DNA helicase subunit RuvB"] [shortName=RuvB] [TAG=L TAGDEF="Replication, recombination and repair" PROCESS="INFORMATION STORAGE AND PROCESSING"]  [PATHWAY=""] Holliday junction branch migration DNA helicase RuvB [Methylacidiphilum infernorum]</t>
  </si>
  <si>
    <t>Holliday junction branch migration complex subunit RuvB n=1 Tax=Methylacidiphilum kamchatkense Kam1 TaxID=1202785 RepID=A0A516TKF4_9BACT</t>
  </si>
  <si>
    <t>DNAUV-2.632-12_1</t>
  </si>
  <si>
    <t>5' to 3' DNA helicase-like protein n=1 Tax=Pseudoalteromonas phage H101 TaxID=1654919 RepID=A0A0H4IP38_9CAUD</t>
  </si>
  <si>
    <t>DNAUV-28.787-28_18</t>
  </si>
  <si>
    <t>sp|Q0P9V4|PIF1_CAMJE ATP-dependent DNA helicase pif1 OS=Campylobacter jejuni subsp. jejuni serotype O:2 (strain ATCC 700819 / NCTC 11168) OX=192222 GN=pif1 PE=3 SV=1</t>
  </si>
  <si>
    <t>DNAUV-34.761-382_16</t>
  </si>
  <si>
    <t>sp|Q7ZV90|PIF1_DANRE ATP-dependent DNA helicase PIF1 OS=Danio rerio OX=7955 GN=pif1 PE=2 SV=1</t>
  </si>
  <si>
    <t>Helicase n=1 Tax=Alteromonas phage vB_AmeM_PT11-V22 TaxID=2704031 RepID=A0A6C0R335_9CAUD</t>
  </si>
  <si>
    <t>DNAUV-41.618-136_6</t>
  </si>
  <si>
    <t>UvrD-like helicase C-terminal domain-containing protein n=1 Tax=Dickeya phage Amaethon TaxID=2163629 RepID=A0A2S1GLK1_9CAUD</t>
  </si>
  <si>
    <t>DNAUV-72.439-197_37</t>
  </si>
  <si>
    <t>COG2378 [FUNC="Predicted DNA-binding transcriptional regulator YobV, contains HTH and WYL domains"] [shortName=YobV] [TAG=K TAGDEF="Transcription" PROCESS="INFORMATION STORAGE AND PROCESSING"]  [PATHWAY=""] WYL domain-containing protein [Acetomicrobium mobile]</t>
  </si>
  <si>
    <t>UvrD-like helicase C-terminal domain-containing protein n=3 Tax=unclassified Mesorhizobium TaxID=325217 RepID=A0A3S9ELM0_9HYPH</t>
  </si>
  <si>
    <t>DNAUV-29.591-37_3</t>
  </si>
  <si>
    <t>sp|A6ZM04|PIF1_YEAS7 ATP-dependent DNA helicase PIF1 OS=Saccharomyces cerevisiae (strain YJM789) OX=307796 GN=PIF1 PE=3 SV=1</t>
  </si>
  <si>
    <t>COG2378 [FUNC="Predicted DNA-binding transcriptional regulator YobV, contains HTH and WYL domains"] [shortName=YobV] [TAG=K TAGDEF="Transcription" PROCESS="INFORMATION STORAGE AND PROCESSING"]  [PATHWAY=""] WYL domain-containing protein [Pseudothermotoga lettingae]</t>
  </si>
  <si>
    <t>DNA helicase n=1 Tax=Vibrio phage 501E54-1 TaxID=2963209 RepID=A0A9P0VTE3_9CAUD</t>
  </si>
  <si>
    <t>DNAUV-159.889-409_159</t>
  </si>
  <si>
    <t>COG2520 [FUNC="tRNA G37 N-methylase Trm5"] [shortName=Trm5] [TAG=J TAGDEF="Translation, ribosomal structure and biogenesis" PROCESS="INFORMATION STORAGE AND PROCESSING"]  [PATHWAY="tRNA modification"] FkbM family methyltransferase [Halobacillus halophilus]</t>
  </si>
  <si>
    <t>Putative methyltransferase protein n=1 Tax=Rhizobium phage RHph_I1_18 TaxID=2509726 RepID=A0A7S5R3N7_9CAUD</t>
  </si>
  <si>
    <t>DNAUV-3.141-14_3</t>
  </si>
  <si>
    <t>sp|P63976|DPO3X_MYCBO DNA polymerase III subunit gamma/tau OS=Mycobacterium bovis (strain ATCC BAA-935 / AF2122/97) OX=233413 GN=dnaX PE=3 SV=1</t>
  </si>
  <si>
    <t>COG2812 [FUNC="DNA polymerase III, gamma/tau subunits"] [shortName=DnaX] [TAG=L TAGDEF="Replication, recombination and repair" PROCESS="INFORMATION STORAGE AND PROCESSING"]  [PATHWAY=""] DNA polymerase III subunit gamma and tau [Acidipropionibacterium acidipropionici]</t>
  </si>
  <si>
    <t>Putative DNA polymerase III, subunit gamma and tau n=1 Tax=Dinoroseobacter phage vB_DshS-R5C TaxID=1965368 RepID=A0A1V0DYC6_9CAUD</t>
  </si>
  <si>
    <t>DNAUV-3.141-14_5</t>
  </si>
  <si>
    <t>sp|Q8K983|DPO3X_BUCAP DNA polymerase III subunit gamma OS=Buchnera aphidicola subsp. Schizaphis graminum (strain Sg) OX=198804 GN=dnaX PE=3 SV=1</t>
  </si>
  <si>
    <t>COG2812 [FUNC="DNA polymerase III, gamma/tau subunits"] [shortName=DnaX] [TAG=L TAGDEF="Replication, recombination and repair" PROCESS="INFORMATION STORAGE AND PROCESSING"]  [PATHWAY=""] DNA polymerase III subunit gamma/tau [Candidatus Endolissoclinum faulkneri]</t>
  </si>
  <si>
    <t>Putative DNA polymerase III subunit gamma and tau n=4 Tax=root TaxID=1 RepID=A0A384WK67_9CAUD</t>
  </si>
  <si>
    <t>Mai.NODE_575_length_3505_cov_3.183478_2</t>
  </si>
  <si>
    <t>sp|P09122|DPO3X_BACSU DNA polymerase III subunit gamma/tau OS=Bacillus subtilis (strain 168) OX=224308 GN=dnaX PE=3 SV=3</t>
  </si>
  <si>
    <t>COG2812 [FUNC="DNA polymerase III, gamma/tau subunits"] [shortName=DnaX] [TAG=L TAGDEF="Replication, recombination and repair" PROCESS="INFORMATION STORAGE AND PROCESSING"]  [PATHWAY=""] DNA polymerase III subunit gamma/tau [Dictyoglomus thermophilum]</t>
  </si>
  <si>
    <t>11.09.P2-7.063-16_9</t>
  </si>
  <si>
    <t>sp|Q6M044|RFCS_METMP Replication factor C small subunit OS=Methanococcus maripaludis (strain S2 / LL) OX=267377 GN=rfcS PE=3 SV=1</t>
  </si>
  <si>
    <t>COG2812 [FUNC="DNA polymerase III, gamma/tau subunits"] [shortName=DnaX] [TAG=L TAGDEF="Replication, recombination and repair" PROCESS="INFORMATION STORAGE AND PROCESSING"]  [PATHWAY=""] replication factor C small subunit [Methanotorris igneus]</t>
  </si>
  <si>
    <t>AAA family ATPase n=1 Tax=Richelia sp. RM2_1_2 TaxID=2720436 RepID=A0A969SPE0_9NOST</t>
  </si>
  <si>
    <t>DNAUV-147.430-52_10</t>
  </si>
  <si>
    <t>COG2813 [FUNC="16S rRNA G1207 methylase RsmC"] [shortName=RsmC] [TAG=J TAGDEF="Translation, ribosomal structure and biogenesis" PROCESS="INFORMATION STORAGE AND PROCESSING"]  [PATHWAY="16S rRNA modification"] PLxRFG domain-containing protein [Comamonas thiooxydans]</t>
  </si>
  <si>
    <t>VOG00423 [FUNC="REFSEQ hypothetical protein"] [TAG=Xu TAGDEF="Function unknown"]</t>
  </si>
  <si>
    <t>ParB/Sulfiredoxin domain-containing protein n=1 Tax=Stenotrophomonas phage Moby TaxID=2601680 RepID=A0A5P8PM31_9CAUD</t>
  </si>
  <si>
    <t>DNAUV-34.354-18_52</t>
  </si>
  <si>
    <t>Nuclease n=1 Tax=Paraglaciecola Antarctic GD virus 1 TaxID=2945130 RepID=A0A9E7E478_9VIRU</t>
  </si>
  <si>
    <t>DNAUV-8.457-19_5</t>
  </si>
  <si>
    <t>ParB/Sulfiredoxin domain-containing protein n=1 Tax=Ralstonia phage RSP15 TaxID=1785960 RepID=A0A0X8WQH3_9CAUD</t>
  </si>
  <si>
    <t>DNAUV-159.889-409_110</t>
  </si>
  <si>
    <t>sp|P45736|YCJD_ECOLI Uncharacterized protein YcjD OS=Escherichia coli (strain K12) OX=83333 GN=ycjD PE=4 SV=1</t>
  </si>
  <si>
    <t>COG2852 [FUNC="Very-short-patch-repair endonuclease"] [shortName=YcjD] [TAG=L TAGDEF="Replication, recombination and repair" PROCESS="INFORMATION STORAGE AND PROCESSING"]  [PATHWAY=""] DUF559 domain-containing protein [Fischerella sp. NIES-3754]</t>
  </si>
  <si>
    <t>VOG00863 [FUNC="REFSEQ endonuclease"] [TAG=Xu TAGDEF="Function unknown"]</t>
  </si>
  <si>
    <t>Homing endonuclease protein n=4 Tax=unclassified Caudoviricetes TaxID=2788787 RepID=A0A7S5UWT3_9CAUD</t>
  </si>
  <si>
    <t>DNAUV-24.214-21_18</t>
  </si>
  <si>
    <t>COG2852 [FUNC="Very-short-patch-repair endonuclease"] [shortName=YcjD] [TAG=L TAGDEF="Replication, recombination and repair" PROCESS="INFORMATION STORAGE AND PROCESSING"]  [PATHWAY=""] DUF559 domain-containing protein [Jeotgalibacillus malaysiensis]</t>
  </si>
  <si>
    <t>VOG22480 [FUNC="REFSEQ hypothetical protein"] [TAG=Xu TAGDEF="Function unknown"]</t>
  </si>
  <si>
    <t>DNA mismatch endonuclease n=1 Tax=Myoviridae sp. ct0f722 TaxID=2827599 RepID=A0A8S5LPZ1_9CAUD</t>
  </si>
  <si>
    <t>Oct.NODE_309_length_6839_cov_4.241303_2</t>
  </si>
  <si>
    <t>sp|P44116|Y1162_HAEIN Uncharacterized protein HI_1162 OS=Haemophilus influenzae (strain ATCC 51907 / DSM 11121 / KW20 / Rd) OX=71421 GN=HI_1162 PE=1 SV=1</t>
  </si>
  <si>
    <t>COG2852 [FUNC="Very-short-patch-repair endonuclease"] [shortName=YcjD] [TAG=L TAGDEF="Replication, recombination and repair" PROCESS="INFORMATION STORAGE AND PROCESSING"]  [PATHWAY=""] endonuclease domain-containing protein [Nostoc punctiforme]</t>
  </si>
  <si>
    <t>Endogenous inhibitor of DNA gyrase (YacG/DUF329 family) n=1 Tax=Rufibacter quisquiliarum TaxID=1549639 RepID=A0A839G9E4_9BACT</t>
  </si>
  <si>
    <t>Avril.NODE_1270_length_2341_cov_4.421697_3</t>
  </si>
  <si>
    <t>sp|Q9T1P7|VP51_BPAPS Putative protein p51 OS=Acyrthosiphon pisum secondary endosymbiont phage 1 OX=2682836 GN=51 PE=4 SV=1</t>
  </si>
  <si>
    <t>COG2887 [FUNC="RecB family exonuclease"] [shortName=Slr0479] [TAG=L TAGDEF="Replication, recombination and repair" PROCESS="INFORMATION STORAGE AND PROCESSING"]  [PATHWAY=""] DUF2800 domain-containing protein [Peptoclostridium acidaminophilum]</t>
  </si>
  <si>
    <t>DUF2800 domain-containing protein n=1 Tax=Haematospirillum jordaniae TaxID=1549855 RepID=A0A143DFJ4_9PROT</t>
  </si>
  <si>
    <t>DNAUV-12.287-216_38</t>
  </si>
  <si>
    <t>DUF2800 domain-containing protein n=1 Tax=Pseudoalteromonas phage AL TaxID=2712933 RepID=A0A6G6XUF4_9CAUD</t>
  </si>
  <si>
    <t>DNAUV-12.291-189_18</t>
  </si>
  <si>
    <t>DNAUV-12.402-457_35</t>
  </si>
  <si>
    <t>DNAUV-13.625-317_17</t>
  </si>
  <si>
    <t>DNAUV-2.253-19-V2_3</t>
  </si>
  <si>
    <t>DUF2800 domain-containing protein n=1 Tax=Pseudoalteromonas phage PHS21 TaxID=1955235 RepID=A0A1Q1PW76_9CAUD</t>
  </si>
  <si>
    <t>DNAUV-2.907-13_8</t>
  </si>
  <si>
    <t>DUF2800 domain-containing protein n=1 Tax=Shewanella phage SppYZU01 TaxID=1965372 RepID=A0A1V0DYI0_9CAUD</t>
  </si>
  <si>
    <t>DNAUV-2.910-9.3_2</t>
  </si>
  <si>
    <t>DNAUV-2.944-318_2</t>
  </si>
  <si>
    <t>DNAUV-3.651-525_1</t>
  </si>
  <si>
    <t>DNAUV-4.187-200_16</t>
  </si>
  <si>
    <t>DNAUV-4.307-189_8</t>
  </si>
  <si>
    <t>DNAUV-4.315-290_6</t>
  </si>
  <si>
    <t>DUF2800 domain-containing protein n=1 Tax=Croceibacter phage P2559Y TaxID=1327037 RepID=W8CQ24_9CAUD</t>
  </si>
  <si>
    <t>DNAUV-4.908-4412_8</t>
  </si>
  <si>
    <t>DNAUV-59.689-63_16</t>
  </si>
  <si>
    <t>DUF2800 domain-containing protein n=4 Tax=unclassified Casjensviridae TaxID=2960002 RepID=A0A097EW45_9CAUD</t>
  </si>
  <si>
    <t>DNAUV-6.067-32_10</t>
  </si>
  <si>
    <t>DNAUV-8.322-33_10</t>
  </si>
  <si>
    <t>DNAUV-8.449-135_25</t>
  </si>
  <si>
    <t>DNAUV-9.429-95_5</t>
  </si>
  <si>
    <t>DNAUV-9.846-39_9</t>
  </si>
  <si>
    <t>Juil.NODE_3_length_12354_cov_19.229368_18</t>
  </si>
  <si>
    <t>Oct.NODE_157_length_12199_cov_36.904974_12</t>
  </si>
  <si>
    <t>Oct.NODE_33_length_37390_cov_21.424508_28</t>
  </si>
  <si>
    <t>DUF2800 domain-containing protein n=1 Tax=Chelatococcus caeni TaxID=1348468 RepID=A0A840C1T2_9HYPH</t>
  </si>
  <si>
    <t>Oct.NODE_590_length_4460_cov_23.935982_3</t>
  </si>
  <si>
    <t>Oct.NODE_596_length_4436_cov_4.127368_6</t>
  </si>
  <si>
    <t>DNAUV-43.228-64_60</t>
  </si>
  <si>
    <t>COG2887 [FUNC="RecB family exonuclease"] [shortName=Slr0479] [TAG=L TAGDEF="Replication, recombination and repair" PROCESS="INFORMATION STORAGE AND PROCESSING"]  [PATHWAY=""] hypothetical protein [Tenericutes bacterium MO-XQ]</t>
  </si>
  <si>
    <t>PD-(D/E)XK endonuclease-like domain-containing protein n=1 Tax=Sinorhizobium phage HMSP1-Susan TaxID=2049306 RepID=A0A2D2W2C5_9CAUD</t>
  </si>
  <si>
    <t>DNAUV-5.414-14_10</t>
  </si>
  <si>
    <t>COG2887 [FUNC="RecB family exonuclease"] [shortName=Slr0479] [TAG=L TAGDEF="Replication, recombination and repair" PROCESS="INFORMATION STORAGE AND PROCESSING"]  [PATHWAY=""] PD-(D/E)XK nuclease family protein [Candidatus Planktophila lacus]</t>
  </si>
  <si>
    <t>RecB-like exonuclease/helicase n=2 Tax=unclassified Caudoviricetes TaxID=2788787 RepID=A0A5J6TN31_9CAUD</t>
  </si>
  <si>
    <t>DNAUV-7.969-16_8</t>
  </si>
  <si>
    <t>NAD(P)-dependent oxidoreductase n=1 Tax=Megamonas funiformis TaxID=437897 RepID=A0A9E1HTG3_9FIRM</t>
  </si>
  <si>
    <t>DNAUV-2.130-16_1</t>
  </si>
  <si>
    <t>sp|A1JNV0|RDGC_YERE8 Recombination-associated protein RdgC OS=Yersinia enterocolitica serotype O:8 / biotype 1B (strain NCTC 13174 / 8081) OX=393305 GN=rdgC PE=3 SV=1</t>
  </si>
  <si>
    <t>COG2974 [FUNC="DNA recombination-dependent growth factor RdgC"] [shortName=RdgC] [TAG=L TAGDEF="Replication, recombination and repair" PROCESS="INFORMATION STORAGE AND PROCESSING"]  [PATHWAY=""] recombination-associated protein RdgC [Grimontia hollisae]</t>
  </si>
  <si>
    <t>VOG01701 [FUNC="sp|A6V2F6|RDGC_PSEA7 Recombination-associated protein RdgC"] [TAG=Xr TAGDEF="Virus replication"]</t>
  </si>
  <si>
    <t>Putative exonuclease n=1 Tax=Vibrio phage 1.187.O._10N.286.49.F1 TaxID=1881434 RepID=A0A2I7RIC5_9CAUD</t>
  </si>
  <si>
    <t>DNAUV-34.277-41_6</t>
  </si>
  <si>
    <t>sp|Q87S56|RDGC_VIBPA Recombination-associated protein RdgC OS=Vibrio parahaemolyticus serotype O3:K6 (strain RIMD 2210633) OX=223926 GN=rdgC PE=3 SV=1</t>
  </si>
  <si>
    <t>COG2974 [FUNC="DNA recombination-dependent growth factor RdgC"] [shortName=RdgC] [TAG=L TAGDEF="Replication, recombination and repair" PROCESS="INFORMATION STORAGE AND PROCESSING"]  [PATHWAY=""] recombination-associated protein RdgC [Luteimonas sp. 100111]</t>
  </si>
  <si>
    <t>DNAUV-3.278-11_3</t>
  </si>
  <si>
    <t>COG3285 [FUNC="Eukaryotic-type DNA primase"] [shortName=LigD] [TAG=L TAGDEF="Replication, recombination and repair" PROCESS="INFORMATION STORAGE AND PROCESSING"]  [PATHWAY=""] ATP-dependent DNA ligase [Georgenia sp. ZLJ0423]</t>
  </si>
  <si>
    <t>DNA ligase n=1 Tax=Phage MedPE-SWcel-C56 TaxID=1871314 RepID=A0A1B1IY15_9CAUD</t>
  </si>
  <si>
    <t>DNAUV-34.277-41_16</t>
  </si>
  <si>
    <t>sp|P35516|MTL1_LACLL Modification methylase LlaI OS=Lactococcus lactis subsp. lactis OX=1360 GN=llaIM PE=3 SV=1</t>
  </si>
  <si>
    <t>COG3392 [FUNC="Adenine-specific DNA methylase"] [shortName=] [TAG=L TAGDEF="Replication, recombination and repair" PROCESS="INFORMATION STORAGE AND PROCESSING"]  [PATHWAY=""] adenine-specific methyltransferase [Fusobacterium nucleatum subsp. nucleatum ATCC 25586]</t>
  </si>
  <si>
    <t>site-specific DNA-methyltransferase (adenine-specific) n=1 Tax=Vibrio phage 277E43-1 TaxID=2963185 RepID=A0A9P0VIW8_9CAUD</t>
  </si>
  <si>
    <t>Avril.NODE_543_length_4416_cov_8.206833_1</t>
  </si>
  <si>
    <t>COG3598 [FUNC="RecA-family ATPase"] [shortName=RepA] [TAG=L TAGDEF="Replication, recombination and repair" PROCESS="INFORMATION STORAGE AND PROCESSING"]  [PATHWAY=""] hypothetical protein [Blastochloris viridis]</t>
  </si>
  <si>
    <t>AAA family ATPase n=1 Tax=Bradyrhizobium barranii subsp. barranii TaxID=2823807 RepID=A0A7Z0TSA4_9BRAD</t>
  </si>
  <si>
    <t>Avril.NODE_268_length_7382_cov_6.597516_5</t>
  </si>
  <si>
    <t>COG3598 [FUNC="RecA-family ATPase"] [shortName=RepA] [TAG=L TAGDEF="Replication, recombination and repair" PROCESS="INFORMATION STORAGE AND PROCESSING"]  [PATHWAY=""] hypothetical protein [Desulfomonile tiedjei]</t>
  </si>
  <si>
    <t>VOG00169 [FUNC="REFSEQ DNA primase"] [TAG=Xu TAGDEF="Function unknown"]</t>
  </si>
  <si>
    <t>Putative bifunctional DNA primase/polymerase n=1 Tax=Idiomarinaceae phage Phi1M2-2 TaxID=1527515 RepID=A0A088FB31_9CAUD</t>
  </si>
  <si>
    <t>DNAUV-42.184-72_55</t>
  </si>
  <si>
    <t>Avril.NODE_1011_length_2713_cov_4.411964_3</t>
  </si>
  <si>
    <t>sp|P33228|RECT_ECOLI Protein RecT OS=Escherichia coli (strain K12) OX=83333 GN=recT PE=1 SV=1</t>
  </si>
  <si>
    <t>COG3723 [FUNC="Recombinational DNA repair protein RecT"] [shortName=RecT] [TAG=L TAGDEF="Replication, recombination and repair" PROCESS="INFORMATION STORAGE AND PROCESSING"]  [PATHWAY=""] DNA recombinase [Delftia acidovorans]</t>
  </si>
  <si>
    <t>VOG32733 [FUNC="sp|P03698|VBET_LAMBD Recombination protein bet"] [TAG=Xr TAGDEF="Virus replication"]</t>
  </si>
  <si>
    <t>Recombinase RecT n=1 Tax=Pontibacter burrus TaxID=2704466 RepID=A0A6B3LRS2_9BACT</t>
  </si>
  <si>
    <t>DNAUV-48.671-99_54</t>
  </si>
  <si>
    <t>sp|P45908|YQAK_BACSU Uncharacterized protein YqaK OS=Bacillus subtilis (strain 168) OX=224308 GN=yqaK PE=4 SV=1</t>
  </si>
  <si>
    <t>COG3723 [FUNC="Recombinational DNA repair protein RecT"] [shortName=RecT] [TAG=L TAGDEF="Replication, recombination and repair" PROCESS="INFORMATION STORAGE AND PROCESSING"]  [PATHWAY=""] recombinase [Simonsiella muelleri]</t>
  </si>
  <si>
    <t>Recombination protein RecT n=1 Tax=Arachidicoccus rhizosphaerae TaxID=551991 RepID=A0A1H3W3G4_9BACT</t>
  </si>
  <si>
    <t>DNAUV-22.127-23_30</t>
  </si>
  <si>
    <t>COG3723 [FUNC="Recombinational DNA repair protein RecT"] [shortName=RecT] [TAG=L TAGDEF="Replication, recombination and repair" PROCESS="INFORMATION STORAGE AND PROCESSING"]  [PATHWAY=""] recombinase RecT [Pantoea gaviniae]</t>
  </si>
  <si>
    <t>RecT protein n=1 Tax=Marinomonas phage P12026 TaxID=1176423 RepID=I6S789_9CAUD</t>
  </si>
  <si>
    <t>Mai.NODE_170_length_9238_cov_8.755091_7</t>
  </si>
  <si>
    <t>COG3723 [FUNC="Recombinational DNA repair protein RecT"] [shortName=RecT] [TAG=L TAGDEF="Replication, recombination and repair" PROCESS="INFORMATION STORAGE AND PROCESSING"]  [PATHWAY=""] recT protein [Enterococcus faecalis V583]</t>
  </si>
  <si>
    <t>Recombinase n=5 Tax=Freyavirus TaxID=2948713 RepID=A0A8E4ZJX0_9CAUD</t>
  </si>
  <si>
    <t>Avril.NODE_123_length_14650_cov_85.783830_19</t>
  </si>
  <si>
    <t>COG3723 [FUNC="Recombinational DNA repair protein RecT"] [shortName=RecT] [TAG=L TAGDEF="Replication, recombination and repair" PROCESS="INFORMATION STORAGE AND PROCESSING"]  [PATHWAY=""] RecT protein [Marichromatium purpuratum]</t>
  </si>
  <si>
    <t>RecT-like ssDNA annealing protein n=1 Tax=Stenotrophomonas phage B2 TaxID=2936871 RepID=A0A9E7IL77_9CAUD</t>
  </si>
  <si>
    <t>DNAUV-11.146-229_18</t>
  </si>
  <si>
    <t>DNAUV-2.907-13_7</t>
  </si>
  <si>
    <t>Uncharacterized protein n=1 Tax=Shewanella phage SppYZU01 TaxID=1965372 RepID=A0A1V0DYH3_9CAUD</t>
  </si>
  <si>
    <t>DNAUV-2.910-9.3_1</t>
  </si>
  <si>
    <t>Virion structural protein n=1 Tax=Pseudomonas phage Psp6 TaxID=2053693 RepID=A0A2H4PHY3_9CAUD</t>
  </si>
  <si>
    <t>DNAUV-4.307-189_6</t>
  </si>
  <si>
    <t>RecT protein n=1 Tax=Siphoviridae sp. ctdc_1 TaxID=2675441 RepID=A0A345MLD4_9CAUD</t>
  </si>
  <si>
    <t>Oct.NODE_309_length_6839_cov_4.241303_6</t>
  </si>
  <si>
    <t>DNAUV-147.430-52_98</t>
  </si>
  <si>
    <t>COG3727 [FUNC="G:T-mismatch repair DNA endonuclease Vsr, very short patch repair protein"] [shortName=Vsr] [TAG=L TAGDEF="Replication, recombination and repair" PROCESS="INFORMATION STORAGE AND PROCESSING"]  [PATHWAY=""] hypothetical protein [Candidatus Nitrosomarinus catalina]</t>
  </si>
  <si>
    <t>VSR endonuclease n=1 Tax=Campylobacter phage CP21 TaxID=2881391 RepID=I7KLW9_9CAUD</t>
  </si>
  <si>
    <t>DNAUV-5.301-11_4</t>
  </si>
  <si>
    <t>COG3886 [FUNC="HKD family nuclease"] [shortName=] [TAG=L TAGDEF="Replication, recombination and repair" PROCESS="INFORMATION STORAGE AND PROCESSING"]  [PATHWAY=""] DNA helicase [Geobacillus kaustophilus]</t>
  </si>
  <si>
    <t>Superfamily II helicase n=1 Tax=Salinibacter phage M8CRM-1 TaxID=2681612 RepID=A0A2I6UGS1_9CAUD</t>
  </si>
  <si>
    <t>05.07.P4-3.210-3.4_1</t>
  </si>
  <si>
    <t>sp|A6WE36|XPB_KINRD DNA helicase XPB OS=Kineococcus radiotolerans (strain ATCC BAA-149 / DSM 14245 / SRS30216) OX=266940 GN=XPB PE=1 SV=1</t>
  </si>
  <si>
    <t>COG3886 [FUNC="HKD family nuclease"] [shortName=] [TAG=L TAGDEF="Replication, recombination and repair" PROCESS="INFORMATION STORAGE AND PROCESSING"]  [PATHWAY=""] DNA/RNA helicase [Francisella tularensis subsp. tularensis SCHU S4]</t>
  </si>
  <si>
    <t>DNA repair helicase RadD n=1 Tax=Pseudomonas phage vB_PaeM_MIJ3 TaxID=2567864 RepID=A0A5E3ZZR0_9CAUD</t>
  </si>
  <si>
    <t>Avril.NODE_1162_length_2481_cov_4.413026_3</t>
  </si>
  <si>
    <t>COG3935 [FUNC="DNA replication protein DnaD"] [shortName=DnaD] [TAG=L TAGDEF="Replication, recombination and repair" PROCESS="INFORMATION STORAGE AND PROCESSING"]  [PATHWAY=""] DNA replication protein [Enterococcus faecalis V583]</t>
  </si>
  <si>
    <t>Phage replication initiation protein n=1 Tax=Caproiciproducens galactitolivorans TaxID=642589 RepID=A0A4Z0XVK2_9FIRM</t>
  </si>
  <si>
    <t>DNAUV-2.073-24_2</t>
  </si>
  <si>
    <t>DNA replication protein, putative n=1 Tax=Streptococcus suis TaxID=1307 RepID=A0A0Z8JCE8_STRSU</t>
  </si>
  <si>
    <t>DNAUV-42.055-32_22</t>
  </si>
  <si>
    <t>COG3935 [FUNC="DNA replication protein DnaD"] [shortName=DnaD] [TAG=L TAGDEF="Replication, recombination and repair" PROCESS="INFORMATION STORAGE AND PROCESSING"]  [PATHWAY=""] DnaD domain protein [Exiguobacterium sp. MH3]</t>
  </si>
  <si>
    <t>Helix-turn-helix domain-containing protein n=1 Tax=Vibrio phage 2E1 TaxID=1873904 RepID=A0A1C9LVZ5_9CAUD</t>
  </si>
  <si>
    <t>DNAUV-46.098-673_40</t>
  </si>
  <si>
    <t>COG3935 [FUNC="DNA replication protein DnaD"] [shortName=DnaD] [TAG=L TAGDEF="Replication, recombination and repair" PROCESS="INFORMATION STORAGE AND PROCESSING"]  [PATHWAY=""] DnaD domain protein [Geobacillus kaustophilus]</t>
  </si>
  <si>
    <t>Uncharacterized protein n=1 Tax=Parapedobacter composti TaxID=623281 RepID=A0A1I1G711_9SPHI</t>
  </si>
  <si>
    <t>DNAUV-35.226-432_64</t>
  </si>
  <si>
    <t>COG3935 [FUNC="DNA replication protein DnaD"] [shortName=DnaD] [TAG=L TAGDEF="Replication, recombination and repair" PROCESS="INFORMATION STORAGE AND PROCESSING"]  [PATHWAY=""] DnaD domain protein [Macrococcus caseolyticus]</t>
  </si>
  <si>
    <t>Helix-turn-helix domain containing protein n=1 Tax=Cellulophaga phage phi39:1 TaxID=1327993 RepID=S0A194_9CAUD</t>
  </si>
  <si>
    <t>Oct.NODE_54_length_30916_cov_12.817180_29</t>
  </si>
  <si>
    <t>COG3935 [FUNC="DNA replication protein DnaD"] [shortName=DnaD] [TAG=L TAGDEF="Replication, recombination and repair" PROCESS="INFORMATION STORAGE AND PROCESSING"]  [PATHWAY=""] DnaD domain protein [Tetragenococcus halophilus]</t>
  </si>
  <si>
    <t>Helix-turn-helix domain-containing protein n=1 Tax=Rathayibacter sp. VKM Ac-2630 TaxID=1938617 RepID=A0A1V2ZD29_9MICO</t>
  </si>
  <si>
    <t>DNAUV-2.876-6.9_7</t>
  </si>
  <si>
    <t>COG3935 [FUNC="DNA replication protein DnaD"] [shortName=DnaD] [TAG=L TAGDEF="Replication, recombination and repair" PROCESS="INFORMATION STORAGE AND PROCESSING"]  [PATHWAY=""] hypothetical protein [Alkaliphilus metalliredigens]</t>
  </si>
  <si>
    <t>Coil containing protein n=1 Tax=Vibrio phage 1.276.O._10N.286.54.E4 TaxID=1881277 RepID=A0A2I7S3S2_9CAUD</t>
  </si>
  <si>
    <t>DNAUV-4.799-18_1</t>
  </si>
  <si>
    <t>COG4122 [FUNC="tRNA 5-hydroxyU34 O-methylase TrmR/YrrM"] [shortName=TrmR] [TAG=J TAGDEF="Translation, ribosomal structure and biogenesis" PROCESS="INFORMATION STORAGE AND PROCESSING"]  [PATHWAY="tRNA modification"] class I SAM-dependent methyltransferase [Simkania negevensis]</t>
  </si>
  <si>
    <t>Class I SAM-dependent methyltransferase n=2 Tax=root TaxID=1 RepID=A0A9C9NIT3_9HYPH</t>
  </si>
  <si>
    <t>Oct.NODE_567_length_4596_cov_7.471042_9</t>
  </si>
  <si>
    <t>COG4122 [FUNC="tRNA 5-hydroxyU34 O-methylase TrmR/YrrM"] [shortName=TrmR] [TAG=J TAGDEF="Translation, ribosomal structure and biogenesis" PROCESS="INFORMATION STORAGE AND PROCESSING"]  [PATHWAY="tRNA modification"] FkbM family methyltransferase [Methylocaldum marinum]</t>
  </si>
  <si>
    <t>Uncharacterized protein n=1 Tax=Virus NIOZ-UU157 TaxID=2763269 RepID=A0A7S9XGX6_9VIRU</t>
  </si>
  <si>
    <t>DNAUV-9.697-307_12</t>
  </si>
  <si>
    <t>sp|Q83WF2|MYCE_MICGR Mycinamicin VI 2''-O-methyltransferase OS=Micromonospora griseorubida OX=28040 GN=mycE PE=1 SV=1</t>
  </si>
  <si>
    <t>COG4122 [FUNC="tRNA 5-hydroxyU34 O-methylase TrmR/YrrM"] [shortName=TrmR] [TAG=J TAGDEF="Translation, ribosomal structure and biogenesis" PROCESS="INFORMATION STORAGE AND PROCESSING"]  [PATHWAY="tRNA modification"] Putative methyltransferase [Mycobacteroides abscessus]</t>
  </si>
  <si>
    <t>Methyltransferase domain-containing protein n=1 Tax=Chelatococcus reniformis TaxID=1494448 RepID=A0A916TXI0_9HYPH</t>
  </si>
  <si>
    <t>Oct.NODE_165_length_11404_cov_3.438805_8</t>
  </si>
  <si>
    <t>Oct.NODE_54_length_30916_cov_12.817180_11</t>
  </si>
  <si>
    <t>Methyltransferase domain-containing protein n=1 Tax=Microlunatus parietis TaxID=682979 RepID=A0A7Y9I2E9_9ACTN</t>
  </si>
  <si>
    <t>DNAUV-12.383-30_13</t>
  </si>
  <si>
    <t>COG4122 [FUNC="tRNA 5-hydroxyU34 O-methylase TrmR/YrrM"] [shortName=TrmR] [TAG=J TAGDEF="Translation, ribosomal structure and biogenesis" PROCESS="INFORMATION STORAGE AND PROCESSING"]  [PATHWAY="tRNA modification"] Rmt2 protein [Mycobacterium smegmatis str. MC2 155]</t>
  </si>
  <si>
    <t>DNAUV-8.457-19_2</t>
  </si>
  <si>
    <t>sp|Q9AJU1|ELMM2_STROV 8-demethyl-8-(2-methoxy-alpha-L-rhamnosyl)-tetracenomycin-C 3'-O-methyltransferase OS=Streptomyces olivaceus OX=47716 GN=elmMII PE=1 SV=1</t>
  </si>
  <si>
    <t>Class I SAM-dependent methyltransferase n=1 Tax=Richelia sp. RM2_1_2 TaxID=2720436 RepID=A0A969MSS1_9NOST</t>
  </si>
  <si>
    <t>Avril.NODE_34_length_37560_cov_23.634315_31</t>
  </si>
  <si>
    <t>COG4123 [FUNC="tRNA1(Val) A37 N6-methylase TrmN6"] [shortName=TrmN6] [TAG=J TAGDEF="Translation, ribosomal structure and biogenesis" PROCESS="INFORMATION STORAGE AND PROCESSING"]  [PATHWAY="tRNA modification"] Phage protein [Minicystis rosea]</t>
  </si>
  <si>
    <t>Adenine methyltransferase n=1 Tax=Rhizobium sp. MHM7A TaxID=2583233 RepID=A0A5R9NZF9_9HYPH</t>
  </si>
  <si>
    <t>05.07.P3-4.574-4.5_1</t>
  </si>
  <si>
    <t>COG4197 [FUNC="DNA-binding transcriptional regulator YdaS, prophage-encoded, Cro superfamily"] [shortName=YdaS] [TAG=K TAGDEF="Transcription" PROCESS="INFORMATION STORAGE AND PROCESSING"]  [PATHWAY=""] hypothetical protein [Nitrosococcus halophilus]</t>
  </si>
  <si>
    <t>17R n=1 Tax=Xanthomonas phage Xp10 TaxID=2907956 RepID=Q7Y5K0_9CAUD</t>
  </si>
  <si>
    <t>Avril.NODE_1318_length_2272_cov_6.227785_4</t>
  </si>
  <si>
    <t>sp|P03797|Y38_BPT7 Protein 3.8 OS=Escherichia phage T7 OX=10760 GN=3.8 PE=4 SV=1</t>
  </si>
  <si>
    <t>Putative HNH endonuclease n=1 Tax=Escherichia phage Eco_BIFF TaxID=2175169 RepID=A0A2Z4QEJ8_9CAUD</t>
  </si>
  <si>
    <t>Avril.NODE_4_length_52184_cov_14.862668_50</t>
  </si>
  <si>
    <t>HNH endonuclease n=2 Tax=Klebsiella pneumoniae TaxID=573 RepID=A0A9Q6IZG4_KLEPN</t>
  </si>
  <si>
    <t>DNAUV-4.958-200_2</t>
  </si>
  <si>
    <t>sp|P34081|HMUI_BPSP1 DNA endonuclease I-HmuI OS=Bacillus phage SP01 OX=2884427 PE=1 SV=1</t>
  </si>
  <si>
    <t>AP2/ERF domain-containing protein n=1 Tax=Nonlabens sp. YIK11 TaxID=1453349 RepID=A0A0Q0XVS8_9FLAO</t>
  </si>
  <si>
    <t>DNAUV-43.803-72_15</t>
  </si>
  <si>
    <t>HNH endonuclease domain-containing protein n=1 Tax=Alteromonas phage XX1924 TaxID=2664192 RepID=A0A6B9J3H0_9CAUD</t>
  </si>
  <si>
    <t>DNAUV-44.645-4509_17</t>
  </si>
  <si>
    <t>sp|B8AVJ9|APL25_ORYSI APETALA2-like protein 5 OS=Oryza sativa subsp. indica OX=39946 GN=AP2-5 PE=2 SV=1</t>
  </si>
  <si>
    <t>AP2/ERF domain-containing protein n=1 Tax=Azospirillum sp. TSA6c TaxID=709813 RepID=A0A2U1WRV1_9PROT</t>
  </si>
  <si>
    <t>Juil.NODE_9_length_5493_cov_6.911548_8</t>
  </si>
  <si>
    <t>HNH endonuclease n=5 Tax=Enterobacteriaceae TaxID=543 RepID=A0A5V3VU08_SALER</t>
  </si>
  <si>
    <t>Mai.NODE_551_length_3573_cov_19.595509_1</t>
  </si>
  <si>
    <t>HNH endonuclease protein n=1 Tax=Rhizobium phage RHph_N3_2 TaxID=2509747 RepID=A0A7S5R8A3_9CAUD</t>
  </si>
  <si>
    <t>Oct.NODE_1223_length_2766_cov_2.722243_3</t>
  </si>
  <si>
    <t>sp|Q9AWS0|Y1410_ORYSJ AP2/ERF and B3 domain-containing protein Os01g0141000 OS=Oryza sativa subsp. japonica OX=39947 GN=Os01g0141000 PE=2 SV=1</t>
  </si>
  <si>
    <t>Homing endonuclease n=1 Tax=Podoviridae sp. ctg2L5 TaxID=2656712 RepID=A0A5Q2W7R2_9CAUD</t>
  </si>
  <si>
    <t>Oct.NODE_157_length_12199_cov_36.904974_3</t>
  </si>
  <si>
    <t>AP2 domain-containing protein n=1 Tax=Paracoccus versutus TaxID=34007 RepID=A0A3D9XRM5_PARVE</t>
  </si>
  <si>
    <t>Oct.NODE_641_length_4223_cov_40.475288_7</t>
  </si>
  <si>
    <t>HNH endonuclease n=1 Tax=Enterobacter cloacae TaxID=550 RepID=A0A7Z1F040_ENTCL</t>
  </si>
  <si>
    <t>DNAUV-5.801-14_2</t>
  </si>
  <si>
    <t>COG4197 [FUNC="DNA-binding transcriptional regulator YdaS, prophage-encoded, Cro superfamily"] [shortName=YdaS] [TAG=K TAGDEF="Transcription" PROCESS="INFORMATION STORAGE AND PROCESSING"]  [PATHWAY=""] transcriptional regulator [Oligella urethralis]</t>
  </si>
  <si>
    <t>VOG00115 [FUNC="sp|P18679|RCRO_BPHK0 8.4 kDa cro protein"] [TAG=Xu TAGDEF="Function unknown"]</t>
  </si>
  <si>
    <t>Transcriptional regulator n=1 Tax=Alteromonas phage XX1924 TaxID=2664192 RepID=A0A6B9JAU1_9CAUD</t>
  </si>
  <si>
    <t>Mai.NODE_465_length_4052_cov_2.981486_2</t>
  </si>
  <si>
    <t>sp|P55426|Y4EC_SINFN Uncharacterized protein y4eC OS=Sinorhizobium fredii (strain NBRC 101917 / NGR234) OX=394 GN=NGR_a03900 PE=4 SV=1</t>
  </si>
  <si>
    <t>COG4227 [FUNC="Antirestriction protein ArdC"] [shortName=ArdC] [TAG=L TAGDEF="Replication, recombination and repair" PROCESS="INFORMATION STORAGE AND PROCESSING"]  [PATHWAY=""] antirestriction protein [Carboxydocella thermautotrophica]</t>
  </si>
  <si>
    <t>VOG09037 [FUNC="sp|P27189|TRAC4_ECOLX DNA primase TraC"] [TAG=Xh TAGDEF="Virus protein with function beneficial for the host"]</t>
  </si>
  <si>
    <t>DUF1738 domain-containing protein n=1 Tax=Hymenobacter jeollabukensis TaxID=2025313 RepID=A0A5R8WJM0_9BACT</t>
  </si>
  <si>
    <t>DNAUV-147.430-52_180</t>
  </si>
  <si>
    <t>COG4227 [FUNC="Antirestriction protein ArdC"] [shortName=ArdC] [TAG=L TAGDEF="Replication, recombination and repair" PROCESS="INFORMATION STORAGE AND PROCESSING"]  [PATHWAY=""] antirestriction protein [Clostridioides difficile 630]</t>
  </si>
  <si>
    <t>Uncharacterized protein n=1 Tax=Acetatifactor muris TaxID=879566 RepID=A0A2K4ZGP6_9FIRM</t>
  </si>
  <si>
    <t>DNAUV-4.621-36_3</t>
  </si>
  <si>
    <t>COG4227 [FUNC="Antirestriction protein ArdC"] [shortName=ArdC] [TAG=L TAGDEF="Replication, recombination and repair" PROCESS="INFORMATION STORAGE AND PROCESSING"]  [PATHWAY=""] DUF1738 domain-containing protein [Roseobacter litoralis]</t>
  </si>
  <si>
    <t>DUF1738 domain-containing protein n=1 Tax=Brevundimonas sp. SPF441 TaxID=2663795 RepID=A0A6L5PH98_9CAUL</t>
  </si>
  <si>
    <t>DNAUV-7.594-31_6</t>
  </si>
  <si>
    <t>COG4294 [FUNC="UV DNA damage repair endonuclease"] [shortName=Uve] [TAG=L TAGDEF="Replication, recombination and repair" PROCESS="INFORMATION STORAGE AND PROCESSING"]  [PATHWAY=""] UV DNA damage repair endonuclease UvsE [Cronobacter sakazakii]</t>
  </si>
  <si>
    <t>UV damage repair endonuclease n=1 Tax=Vibrio phage S4-7 TaxID=1873905 RepID=A0A1C9LW13_9CAUD</t>
  </si>
  <si>
    <t>DNAUV-14.641-27_8</t>
  </si>
  <si>
    <t>sp|P45864|UVSE_BACSU UV DNA damage endonuclease OS=Bacillus subtilis (strain 168) OX=224308 GN=uvsE PE=3 SV=1</t>
  </si>
  <si>
    <t>COG4294 [FUNC="UV DNA damage repair endonuclease"] [shortName=Uve] [TAG=L TAGDEF="Replication, recombination and repair" PROCESS="INFORMATION STORAGE AND PROCESSING"]  [PATHWAY=""] UV DNA damage repair endonuclease UvsE [Fictibacillus phosphorivorans]</t>
  </si>
  <si>
    <t>DNAUV-5.961-15_7</t>
  </si>
  <si>
    <t>sp|A7Z9T8|UVSE_BACVZ UV DNA damage endonuclease OS=Bacillus velezensis (strain DSM 23117 / BGSC 10A6 / LMG 26770 / FZB42) OX=326423 GN=uvsE PE=3 SV=1</t>
  </si>
  <si>
    <t>11.09.P2-4.002-8.5_8</t>
  </si>
  <si>
    <t>DNAUV-38.183-831_22</t>
  </si>
  <si>
    <t>COG4570 [FUNC="Holliday junction resolvase RusA (prophage-encoded endonuclease)"] [shortName=RusA] [TAG=L TAGDEF="Replication, recombination and repair" PROCESS="INFORMATION STORAGE AND PROCESSING"]  [PATHWAY=""] endodeoxyribonuclease RusA [Enterobacter cloacae subsp. cloacae ATCC 13047]</t>
  </si>
  <si>
    <t>VOG00298 [FUNC="sp|P45911|YQAN_BACSU Uncharacterized protein YqaN"] [TAG=Xu TAGDEF="Function unknown"]</t>
  </si>
  <si>
    <t>RusA family crossover junction endodeoxyribonuclease n=1 Tax=Rodentibacter pneumotropicus TaxID=758 RepID=A0A4V3SRI1_9PAST</t>
  </si>
  <si>
    <t>11.09.P3-15.399-15_1</t>
  </si>
  <si>
    <t>COG4570 [FUNC="Holliday junction resolvase RusA (prophage-encoded endonuclease)"] [shortName=RusA] [TAG=L TAGDEF="Replication, recombination and repair" PROCESS="INFORMATION STORAGE AND PROCESSING"]  [PATHWAY=""] RusA family crossover junction endodeoxyribonuclease [Kutzneria albida]</t>
  </si>
  <si>
    <t>RusA family crossover junction endodeoxyribonuclease n=1 Tax=Stenotrophomonas sp. 169 TaxID=2770322 RepID=A0A7H1AHY8_9GAMM</t>
  </si>
  <si>
    <t>DNAUV-35.223-36_93</t>
  </si>
  <si>
    <t>Crossover junction endodeoxyribonuclease RusA n=1 Tax=Naumannella halotolerans TaxID=993414 RepID=A0A4R7J295_9ACTN</t>
  </si>
  <si>
    <t>DNAUV-3.253-13_7</t>
  </si>
  <si>
    <t>COG4646 [FUNC="Adenine-specific DNA methylase, N12 class"] [shortName=] [TAG=L TAGDEF="Replication, recombination and repair" PROCESS="INFORMATION STORAGE AND PROCESSING"]  [PATHWAY=""] helicase [Methylovorus glucosotrophus]</t>
  </si>
  <si>
    <t>site-specific DNA-methyltransferase (adenine-specific) n=1 Tax=Vibrio phage VvAW1 TaxID=1168281 RepID=I3PUW5_9CAUD</t>
  </si>
  <si>
    <t>Mai.NODE_645_length_3242_cov_3.201443_4</t>
  </si>
  <si>
    <t>sp|C1D1R8|DDRA_DEIDV Single-stranded DNA-binding protein DdrA OS=Deinococcus deserti (strain DSM 17065 / CIP 109153 / LMG 22923 / VCD115) OX=546414 GN=ddrA PE=1 SV=1</t>
  </si>
  <si>
    <t>COG4712 [FUNC="Predicted ssDNA annealing protein, contains HHH motif, Rad42/Rad22/RecT/erf family"] [shortName=DdrA] [TAG=L TAGDEF="Replication, recombination and repair" PROCESS="INFORMATION STORAGE AND PROCESSING"]  [PATHWAY=""] hypothetical protein [Agarilytica rhodophyticola]</t>
  </si>
  <si>
    <t>VOG12510 [FUNC="REFSEQ Erf-like ssDNA annealing protein"] [TAG=Xu TAGDEF="Function unknown"]</t>
  </si>
  <si>
    <t>Recombination-related protein n=1 Tax=Rhizobium phage RHph_I3_18 TaxID=2509732 RepID=A0A7S5UZ31_9CAUD</t>
  </si>
  <si>
    <t>DNAUV-5.301-11_2</t>
  </si>
  <si>
    <t>COG4712 [FUNC="Predicted ssDNA annealing protein, contains HHH motif, Rad42/Rad22/RecT/erf family"] [shortName=DdrA] [TAG=L TAGDEF="Replication, recombination and repair" PROCESS="INFORMATION STORAGE AND PROCESSING"]  [PATHWAY=""] recombinase [Halocella sp. SP3-1]</t>
  </si>
  <si>
    <t>Recombinase n=1 Tax=Mesorhizobium sp. Root172 TaxID=1736481 RepID=A0A0Q8KE67_9HYPH</t>
  </si>
  <si>
    <t>DNAUV-5.980-260_8</t>
  </si>
  <si>
    <t>COG4725 [FUNC="N6-adenosine-specific RNA methylase IME4"] [shortName=IME4] [TAG=J TAGDEF="Translation, ribosomal structure and biogenesis" PROCESS="INFORMATION STORAGE AND PROCESSING"]  [PATHWAY=""] DNA methyltransferase [Ketogulonicigenium vulgare]</t>
  </si>
  <si>
    <t>DNA methyltransferase n=1 Tax=Paracoccus yeei TaxID=147645 RepID=A0A5P2QTL6_9RHOB</t>
  </si>
  <si>
    <t>Oct.NODE_1627_length_2293_cov_5.662198_2</t>
  </si>
  <si>
    <t>COG4725 [FUNC="N6-adenosine-specific RNA methylase IME4"] [shortName=IME4] [TAG=J TAGDEF="Translation, ribosomal structure and biogenesis" PROCESS="INFORMATION STORAGE AND PROCESSING"]  [PATHWAY=""] MT-A70 family protein [Magnetococcus marinus]</t>
  </si>
  <si>
    <t>MT-A70 family protein n=1 Tax=Magnetococcus marinus (strain ATCC BAA-1437 / JCM 17883 / MC-1) TaxID=156889 RepID=A0LAV7_MAGMM</t>
  </si>
  <si>
    <t>DNAUV-59.689-63_207</t>
  </si>
  <si>
    <t>COG4725 [FUNC="N6-adenosine-specific RNA methylase IME4"] [shortName=IME4] [TAG=J TAGDEF="Translation, ribosomal structure and biogenesis" PROCESS="INFORMATION STORAGE AND PROCESSING"]  [PATHWAY=""] MT-A70 family protein [Methyloceanibacter caenitepidi]</t>
  </si>
  <si>
    <t>DNA methyltransferase n=1 Tax=Paracoccus alkanivorans TaxID=2116655 RepID=A0A3M0M7H7_9RHOB</t>
  </si>
  <si>
    <t>DNAUV-34.354-18_35</t>
  </si>
  <si>
    <t>COG4725 [FUNC="N6-adenosine-specific RNA methylase IME4"] [shortName=IME4] [TAG=J TAGDEF="Translation, ribosomal structure and biogenesis" PROCESS="INFORMATION STORAGE AND PROCESSING"]  [PATHWAY=""] MT-A70 family protein [Nitrosococcus halophilus]</t>
  </si>
  <si>
    <t>DNA methyltransferase n=1 Tax=Marine Group I thaumarchaeote TaxID=2511932 RepID=A0A7K4MYP6_9ARCH</t>
  </si>
  <si>
    <t>DNAUV-2.702-35_1</t>
  </si>
  <si>
    <t>sp|Q4WNS8|ECM33_ASPFU Protein ecm33 OS=Aspergillus fumigatus (strain ATCC MYA-4609 / CBS 101355 / FGSC A1100 / Af293) OX=330879 GN=ecm33 PE=1 SV=1</t>
  </si>
  <si>
    <t>COG4886 [FUNC="Leucine-rich repeat (LRR) protein"] [shortName=LRR] [TAG=K TAGDEF="Transcription" PROCESS="INFORMATION STORAGE AND PROCESSING"]  [PATHWAY=""] BspA family leucine-rich repeat surface protein [Ruminococcus albus]</t>
  </si>
  <si>
    <t>VOG36936 [FUNC="REFSEQ internalin-like protein"] [TAG=Xu TAGDEF="Function unknown"]</t>
  </si>
  <si>
    <t>Surface antigen BspA-like n=1 Tax=Trichomonas vaginalis (strain ATCC PRA-98 / G3) TaxID=412133 RepID=A2EXK5_TRIV3</t>
  </si>
  <si>
    <t>DNAUV-34.277-41_35</t>
  </si>
  <si>
    <t>BspA family leucine-rich repeat surface protein n=1 Tax=Myoviridae sp. ctYA416 TaxID=2825125 RepID=A0A8S5UT58_9CAUD</t>
  </si>
  <si>
    <t>DNAUV-29.591-37_31</t>
  </si>
  <si>
    <t>COG4886 [FUNC="Leucine-rich repeat (LRR) protein"] [shortName=LRR] [TAG=K TAGDEF="Transcription" PROCESS="INFORMATION STORAGE AND PROCESSING"]  [PATHWAY=""] cell surface protein [Methanosarcina acetivorans C2A]</t>
  </si>
  <si>
    <t>Coil containing protein n=1 Tax=Vibrio phage 1.081.O._10N.286.52.C2 TaxID=2070722 RepID=A0A2I7QX51_9CAUD</t>
  </si>
  <si>
    <t>DNAUV-14.759-18_29</t>
  </si>
  <si>
    <t>COG4886 [FUNC="Leucine-rich repeat (LRR) protein"] [shortName=LRR] [TAG=K TAGDEF="Transcription" PROCESS="INFORMATION STORAGE AND PROCESSING"]  [PATHWAY=""] leucine-rich repeat domain-containing protein [Oscillatoria nigro-viridis]</t>
  </si>
  <si>
    <t>VOG18973 [FUNC="REFSEQ hypothetical protein"] [TAG=Xu TAGDEF="Function unknown"]</t>
  </si>
  <si>
    <t>DUF6745 domain-containing protein n=1 Tax=Hwanghaeella grinnelliae TaxID=2500179 RepID=A0A437QV91_9PROT</t>
  </si>
  <si>
    <t>DNAUV-5.308-10_11</t>
  </si>
  <si>
    <t>DUF6745 domain-containing protein n=2 Tax=Rhizorhabdus histidinilytica TaxID=439228 RepID=A0A1T5A8F7_9SPHN</t>
  </si>
  <si>
    <t>Oct.NODE_1383_length_2573_cov_4.255759_2</t>
  </si>
  <si>
    <t>DUF6745 domain-containing protein n=2 Tax=Mesorhizobium TaxID=68287 RepID=A0A1C2DS65_9HYPH</t>
  </si>
  <si>
    <t>Avril.NODE_592_length_4053_cov_6.845923_1</t>
  </si>
  <si>
    <t>COG4973 [FUNC="Site-specific recombinase XerC"] [shortName=XerC] [TAG=L TAGDEF="Replication, recombination and repair" PROCESS="INFORMATION STORAGE AND PROCESSING"]  [PATHWAY=""] MULTISPECIES: site-specific integrase [Phyllobacterium]</t>
  </si>
  <si>
    <t>Tyr recombinase domain-containing protein n=1 Tax=Devosia insulae DS-56 TaxID=1116389 RepID=A0A1E5XK67_9HYPH</t>
  </si>
  <si>
    <t>DNAUV-3.902-48_3</t>
  </si>
  <si>
    <t>sp|Q980D9|XERA_SACS2 Tyrosine recombinase XerA OS=Saccharolobus solfataricus (strain ATCC 35092 / DSM 1617 / JCM 11322 / P2) OX=273057 GN=xerA PE=1 SV=1</t>
  </si>
  <si>
    <t>COG4974 [FUNC="Site-specific recombinase XerD"] [shortName=XerD] [TAG=L TAGDEF="Replication, recombination and repair" PROCESS="INFORMATION STORAGE AND PROCESSING"]  [PATHWAY=""] DUF4102 domain-containing protein [Hirschia baltica]</t>
  </si>
  <si>
    <t>VOG00084 [FUNC="sp|P22877|INTR_SACER Integrase"] [TAG=Xh TAGDEF="Virus protein with function beneficial for the host"]</t>
  </si>
  <si>
    <t>Integrase protein n=1 Tax=Burkholderia lata (strain ATCC 17760 / DSM 23089 / LMG 22485 / NCIMB 9086 / R18194 / 383) TaxID=482957 RepID=A0A6P2WKN8_BURL3</t>
  </si>
  <si>
    <t>DNAUV-5.536-17_3</t>
  </si>
  <si>
    <t>COG4974 [FUNC="Site-specific recombinase XerD"] [shortName=XerD] [TAG=L TAGDEF="Replication, recombination and repair" PROCESS="INFORMATION STORAGE AND PROCESSING"]  [PATHWAY=""] hypothetical protein [Coraliomargarita akajimensis]</t>
  </si>
  <si>
    <t>Integrase n=1 Tax=Roseobacter phage CRP-2 TaxID=2559281 RepID=A0A646QVP3_9CAUD</t>
  </si>
  <si>
    <t>05.07.P3-15.581-31_3</t>
  </si>
  <si>
    <t>sp|A1AKP9|XERC_PELPD Tyrosine recombinase XerC OS=Pelobacter propionicus (strain DSM 2379 / NBRC 103807 / OttBd1) OX=338966 GN=xerC PE=3 SV=1</t>
  </si>
  <si>
    <t>COG4974 [FUNC="Site-specific recombinase XerD"] [shortName=XerD] [TAG=L TAGDEF="Replication, recombination and repair" PROCESS="INFORMATION STORAGE AND PROCESSING"]  [PATHWAY=""] hypothetical protein [Defluviimonas alba]</t>
  </si>
  <si>
    <t>Mai.NODE_583_length_3484_cov_13.392534_2</t>
  </si>
  <si>
    <t>sp|Q7ZAM5|XERC_OCEIH Tyrosine recombinase XerC OS=Oceanobacillus iheyensis (strain DSM 14371 / CIP 107618 / JCM 11309 / KCTC 3954 / HTE831) OX=221109 GN=xerC PE=3 SV=1</t>
  </si>
  <si>
    <t>COG4974 [FUNC="Site-specific recombinase XerD"] [shortName=XerD] [TAG=L TAGDEF="Replication, recombination and repair" PROCESS="INFORMATION STORAGE AND PROCESSING"]  [PATHWAY=""] hypothetical protein [Pseudorhodoplanes sinuspersici]</t>
  </si>
  <si>
    <t>Integrase protein n=1 Tax=Rhizobium phage RHph_I3_18 TaxID=2509732 RepID=A0A7S5UZI3_9CAUD</t>
  </si>
  <si>
    <t>Sept.NODE_77_length_16458_cov_100.393830_19</t>
  </si>
  <si>
    <t>sp|Q9A437|XERD_CAUVC Tyrosine recombinase XerD OS=Caulobacter vibrioides (strain ATCC 19089 / CB15) OX=190650 GN=xerD PE=3 SV=1</t>
  </si>
  <si>
    <t>COG4974 [FUNC="Site-specific recombinase XerD"] [shortName=XerD] [TAG=L TAGDEF="Replication, recombination and repair" PROCESS="INFORMATION STORAGE AND PROCESSING"]  [PATHWAY=""] hypothetical protein [Trueperella pyogenes]</t>
  </si>
  <si>
    <t>Integrase n=1 Tax=Rhodococcus ruber TaxID=1830 RepID=A0A385HLC6_9NOCA</t>
  </si>
  <si>
    <t>05.07.P3-6.460-14_1</t>
  </si>
  <si>
    <t>COG4974 [FUNC="Site-specific recombinase XerD"] [shortName=XerD] [TAG=L TAGDEF="Replication, recombination and repair" PROCESS="INFORMATION STORAGE AND PROCESSING"]  [PATHWAY=""] integrase [Breoghania sp. L-A4]</t>
  </si>
  <si>
    <t>Integrase n=1 Tax=Roseobacter phage CRP-3 TaxID=2559282 RepID=A0A646QVW9_9CAUD</t>
  </si>
  <si>
    <t>05.07.P3-7.417-49_10</t>
  </si>
  <si>
    <t>DNAUV-2.571-13_1</t>
  </si>
  <si>
    <t>Site-specific integrase n=1 Tax=Brevundimonas vesicularis TaxID=41276 RepID=A0A1Z3U562_BREVE</t>
  </si>
  <si>
    <t>Oct.NODE_582_length_4492_cov_3.960108_16</t>
  </si>
  <si>
    <t>COG4974 [FUNC="Site-specific recombinase XerD"] [shortName=XerD] [TAG=L TAGDEF="Replication, recombination and repair" PROCESS="INFORMATION STORAGE AND PROCESSING"]  [PATHWAY=""] integrase [Geodermatophilus obscurus]</t>
  </si>
  <si>
    <t>Site-specific recombinase XerD n=1 Tax=Chelatococcus sambhunathii TaxID=363953 RepID=A0A0K6HJ42_9HYPH</t>
  </si>
  <si>
    <t>Avril.NODE_275_length_7268_cov_8.969361_6</t>
  </si>
  <si>
    <t>sp|O59490|XERA_PYRHO Tyrosine recombinase XerA OS=Pyrococcus horikoshii (strain ATCC 700860 / DSM 12428 / JCM 9974 / NBRC 100139 / OT-3) OX=70601 GN=xerA PE=3 SV=1</t>
  </si>
  <si>
    <t>COG4974 [FUNC="Site-specific recombinase XerD"] [shortName=XerD] [TAG=L TAGDEF="Replication, recombination and repair" PROCESS="INFORMATION STORAGE AND PROCESSING"]  [PATHWAY=""] integrase [Ignavibacterium album]</t>
  </si>
  <si>
    <t>Integrase n=8 Tax=Ingelinevirus TaxID=2948766 RepID=A0A8E4ZE90_9CAUD</t>
  </si>
  <si>
    <t>DNAUV-23.323-23_3</t>
  </si>
  <si>
    <t>sp|P27078|VINT_BP434 Integrase OS=Enterobacteria phage 434 OX=10712 GN=int PE=3 SV=1</t>
  </si>
  <si>
    <t>COG4974 [FUNC="Site-specific recombinase XerD"] [shortName=XerD] [TAG=L TAGDEF="Replication, recombination and repair" PROCESS="INFORMATION STORAGE AND PROCESSING"]  [PATHWAY=""] integrase [Paracoccus denitrificans]</t>
  </si>
  <si>
    <t>Site-specific tyrosine recombinase XerC n=1 Tax=Pacificibacter marinus TaxID=658057 RepID=A0A1Y5RNX3_9RHOB</t>
  </si>
  <si>
    <t>DNAUV-35.226-432_62</t>
  </si>
  <si>
    <t>COG4974 [FUNC="Site-specific recombinase XerD"] [shortName=XerD] [TAG=L TAGDEF="Replication, recombination and repair" PROCESS="INFORMATION STORAGE AND PROCESSING"]  [PATHWAY=""] MULTISPECIES: integrase [Bacteroidales]</t>
  </si>
  <si>
    <t>Site-specific recombinase XerD n=1 Tax=Muricauda flava TaxID=570519 RepID=A0A1M5P7D1_9FLAO</t>
  </si>
  <si>
    <t>DNAUV-35.226-432_37</t>
  </si>
  <si>
    <t>sp|Q9V1P5|XERA_PYRAB Tyrosine recombinase XerA OS=Pyrococcus abyssi (strain GE5 / Orsay) OX=272844 GN=xerA PE=1 SV=1</t>
  </si>
  <si>
    <t>COG4974 [FUNC="Site-specific recombinase XerD"] [shortName=XerD] [TAG=L TAGDEF="Replication, recombination and repair" PROCESS="INFORMATION STORAGE AND PROCESSING"]  [PATHWAY=""] MULTISPECIES: tyrosine recombinase [Zobellia]</t>
  </si>
  <si>
    <t>Tyrosine-type recombinase/integrase n=1 Tax=Polaribacter haliotis TaxID=1888915 RepID=A0A7L8AFC4_9FLAO</t>
  </si>
  <si>
    <t>DNAUV-2.495-287_6</t>
  </si>
  <si>
    <t>sp|P24218|INTD_ECOLI Prophage integrase IntD OS=Escherichia coli (strain K12) OX=83333 GN=intD PE=3 SV=1</t>
  </si>
  <si>
    <t>COG4974 [FUNC="Site-specific recombinase XerD"] [shortName=XerD] [TAG=L TAGDEF="Replication, recombination and repair" PROCESS="INFORMATION STORAGE AND PROCESSING"]  [PATHWAY=""] phage integrase [Ruegeria mobilis]</t>
  </si>
  <si>
    <t>Integrase n=1 Tax=Caulobacter sp. FWC2 TaxID=69664 RepID=A0A2G5QL47_9CAUL</t>
  </si>
  <si>
    <t>05.07.P3-6.175-19_5</t>
  </si>
  <si>
    <t>sp|P55632|Y4QK_SINFN Putative integrase/recombinase y4qK OS=Sinorhizobium fredii (strain NBRC 101917 / NGR234) OX=394 GN=NGR_a01870 PE=3 SV=1</t>
  </si>
  <si>
    <t>COG4974 [FUNC="Site-specific recombinase XerD"] [shortName=XerD] [TAG=L TAGDEF="Replication, recombination and repair" PROCESS="INFORMATION STORAGE AND PROCESSING"]  [PATHWAY=""] recombinase [Seonamhaeicola sp. S2-3]</t>
  </si>
  <si>
    <t>DNAUV-3.115-90_2</t>
  </si>
  <si>
    <t>COG4974 [FUNC="Site-specific recombinase XerD"] [shortName=XerD] [TAG=L TAGDEF="Replication, recombination and repair" PROCESS="INFORMATION STORAGE AND PROCESSING"]  [PATHWAY=""] recombinase [Winogradskyella sp. PG-2]</t>
  </si>
  <si>
    <t>Site-specific recombinase XerD n=1 Tax=Formosa sp. Hel1_31_208 TaxID=1798225 RepID=A0A1H1QIU3_9FLAO</t>
  </si>
  <si>
    <t>11.09.P4-7.032-3.4_7</t>
  </si>
  <si>
    <t>COG4974 [FUNC="Site-specific recombinase XerD"] [shortName=XerD] [TAG=L TAGDEF="Replication, recombination and repair" PROCESS="INFORMATION STORAGE AND PROCESSING"]  [PATHWAY=""] site-specific integrase [Anaerotignum propionicum]</t>
  </si>
  <si>
    <t>Tyr recombinase domain-containing protein n=1 Tax=Bdellovibrio sp. CG10_big_fil_rev_8_21_14_0_10_47_8 TaxID=1975526 RepID=A0A2H0WER2_9BACT</t>
  </si>
  <si>
    <t>DNAUV-2.963-1699_4</t>
  </si>
  <si>
    <t>sp|Q93C64|XERD_LACCA Tyrosine recombinase XerD OS=Lacticaseibacillus casei OX=1582 GN=xerD PE=3 SV=1</t>
  </si>
  <si>
    <t>COG4974 [FUNC="Site-specific recombinase XerD"] [shortName=XerD] [TAG=L TAGDEF="Replication, recombination and repair" PROCESS="INFORMATION STORAGE AND PROCESSING"]  [PATHWAY=""] site-specific integrase [Chondromyces crocatus]</t>
  </si>
  <si>
    <t>Site-specific recombinase XerD n=1 Tax=Magnetospirillum fulvum TaxID=1082 RepID=A0A1H6ITY1_MAGFU</t>
  </si>
  <si>
    <t>11.09.P2-13.999-19_4</t>
  </si>
  <si>
    <t>COG4974 [FUNC="Site-specific recombinase XerD"] [shortName=XerD] [TAG=L TAGDEF="Replication, recombination and repair" PROCESS="INFORMATION STORAGE AND PROCESSING"]  [PATHWAY=""] site-specific integrase [Geovibrio thiophilus]</t>
  </si>
  <si>
    <t>DNAUV-50.039-64_9</t>
  </si>
  <si>
    <t>Sept.NODE_779_length_2736_cov_11.111526_5</t>
  </si>
  <si>
    <t>COG4974 [FUNC="Site-specific recombinase XerD"] [shortName=XerD] [TAG=L TAGDEF="Replication, recombination and repair" PROCESS="INFORMATION STORAGE AND PROCESSING"]  [PATHWAY=""] site-specific integrase [Leptospirillum ferriphilum]</t>
  </si>
  <si>
    <t>VOG03669 [FUNC="sp|P06723|VINT_BP186 Integrase"] [TAG=Xr TAGDEF="Virus replication"]</t>
  </si>
  <si>
    <t>Integrase n=2 Tax=unclassified Nitrospira TaxID=2652172 RepID=A0A1W1HTV6_9BACT</t>
  </si>
  <si>
    <t>DNAUV-2.390-10_1</t>
  </si>
  <si>
    <t>sp|Q8TZV9|XERA_PYRFU Tyrosine recombinase XerA OS=Pyrococcus furiosus (strain ATCC 43587 / DSM 3638 / JCM 8422 / Vc1) OX=186497 GN=xerA PE=3 SV=1</t>
  </si>
  <si>
    <t>COG4974 [FUNC="Site-specific recombinase XerD"] [shortName=XerD] [TAG=L TAGDEF="Replication, recombination and repair" PROCESS="INFORMATION STORAGE AND PROCESSING"]  [PATHWAY=""] site-specific integrase [Sphingorhabdus flavimaris]</t>
  </si>
  <si>
    <t>Tyrosine-type recombinase/integrase n=1 Tax=Qipengyuania pelagi TaxID=994320 RepID=A0A844YAY9_9SPHN</t>
  </si>
  <si>
    <t>DNAUV-9.069-15_9</t>
  </si>
  <si>
    <t>sp|P46495|Y1572_HAEIN Putative integrase/recombinase HI_1572 OS=Haemophilus influenzae (strain ATCC 51907 / DSM 11121 / KW20 / Rd) OX=71421 GN=HI_1572 PE=3 SV=2</t>
  </si>
  <si>
    <t>COG4974 [FUNC="Site-specific recombinase XerD"] [shortName=XerD] [TAG=L TAGDEF="Replication, recombination and repair" PROCESS="INFORMATION STORAGE AND PROCESSING"]  [PATHWAY=""] site-specific integrase [Syntrophus aciditrophicus]</t>
  </si>
  <si>
    <t>DNAUV-5.390-384_17</t>
  </si>
  <si>
    <t>sp|P22877|INTR_SACER Integrase OS=Saccharopolyspora erythraea OX=1836 GN=int PE=3 SV=1</t>
  </si>
  <si>
    <t>COG4974 [FUNC="Site-specific recombinase XerD"] [shortName=XerD] [TAG=L TAGDEF="Replication, recombination and repair" PROCESS="INFORMATION STORAGE AND PROCESSING"]  [PATHWAY=""] site-specific integrase [Thermoanaerobacter italicus]</t>
  </si>
  <si>
    <t>Site-specific integrase n=1 Tax=Sulfobacillus acidophilus TaxID=53633 RepID=A0A2T2WNP9_9FIRM</t>
  </si>
  <si>
    <t>Sept.NODE_947_length_2402_cov_20.125266_1</t>
  </si>
  <si>
    <t>sp|P41768|RAD52_KLULA DNA repair and recombination protein RAD52 OS=Kluyveromyces lactis (strain ATCC 8585 / CBS 2359 / DSM 70799 / NBRC 1267 / NRRL Y-1140 / WM37) OX=284590 GN=RAD52 PE=3 SV=2</t>
  </si>
  <si>
    <t>COG5055 [FUNC="Recombinational DNA repair protein (RAD52 pathway)"] [shortName=RAD52] [TAG=L TAGDEF="Replication, recombination and repair" PROCESS="INFORMATION STORAGE AND PROCESSING"]  [PATHWAY=""] recombination DNA repair protein (RAD52 pathway) [Sulfurospirillum barnesii]</t>
  </si>
  <si>
    <t>VOG35998 [FUNC="sp|P04892|ERF_BPP22 Essential recombination function protein"] [TAG=Xh TAGDEF="Virus protein with function beneficial for the host"]</t>
  </si>
  <si>
    <t>DNA repair protein Rad52 n=1 Tax=Pararhizobium mangrovi TaxID=2590452 RepID=A0A506TZW4_9HYPH</t>
  </si>
  <si>
    <t>DNAUV-80.863-259_66</t>
  </si>
  <si>
    <t>sp|Q8BKF1|RPOM_MOUSE DNA-directed RNA polymerase, mitochondrial OS=Mus musculus OX=10090 GN=Polrmt PE=1 SV=1</t>
  </si>
  <si>
    <t>COG5108 [FUNC="Mitochondrial DNA-directed RNA polymerase"] [shortName=RPO41] [TAG=K TAGDEF="Transcription" PROCESS="INFORMATION STORAGE AND PROCESSING"]  [PATHWAY=""] DNA-directed RNA polymerase [Agrobacterium fabrum str. C58]</t>
  </si>
  <si>
    <t>VOG00739 [FUNC="sp|P00573|RPOL_BPT7 T7 RNA polymerase"] [TAG=Xh TAGDEF="Virus protein with function beneficial for the host"]</t>
  </si>
  <si>
    <t>RNA polymerase n=1 Tax=Tenacibaculum phage Larrie TaxID=2968246 RepID=A0A9X9NSP3_9CAUD</t>
  </si>
  <si>
    <t>Avril.NODE_1174_length_2467_cov_2.876036_4</t>
  </si>
  <si>
    <t>sp|P07659|RPOL_BPT3 DNA-directed RNA polymerase OS=Enterobacteria phage T3 OX=10759 GN=1 PE=3 SV=1</t>
  </si>
  <si>
    <t>COG5108 [FUNC="Mitochondrial DNA-directed RNA polymerase"] [shortName=RPO41] [TAG=K TAGDEF="Transcription" PROCESS="INFORMATION STORAGE AND PROCESSING"]  [PATHWAY=""] DNA-directed RNA polymerase [Azorhizobium caulinodans]</t>
  </si>
  <si>
    <t>DNA-directed RNA polymerase n=1 Tax=Rhizobium phage Pasto TaxID=2767575 RepID=A0A7S6R735_9CAUD</t>
  </si>
  <si>
    <t>DNAUV-2.491-15_3</t>
  </si>
  <si>
    <t>COG5108 [FUNC="Mitochondrial DNA-directed RNA polymerase"] [shortName=RPO41] [TAG=K TAGDEF="Transcription" PROCESS="INFORMATION STORAGE AND PROCESSING"]  [PATHWAY=""] DNA-directed RNA polymerase [Pseudomonas putida KT2440]</t>
  </si>
  <si>
    <t>DNA-directed RNA polymerase n=1 Tax=Ralstonia phage RsoP1EGY TaxID=2070026 RepID=A0A2R2ZGE5_9CAUD</t>
  </si>
  <si>
    <t>DNAUV-3.864-14_1</t>
  </si>
  <si>
    <t>sp|P00573|RPOL_BPT7 T7 RNA polymerase OS=Escherichia phage T7 OX=10760 GN=1 PE=1 SV=2</t>
  </si>
  <si>
    <t>DNA-directed RNA polymerase n=1 Tax=Brevundimonas phage vB_BpoS-Babayka TaxID=2948596 RepID=A0A9E7MVC7_9CAUD</t>
  </si>
  <si>
    <t>DNAUV-2.312-11_1</t>
  </si>
  <si>
    <t>sp|P06221|RPOL_BPSP6 DNA-directed RNA polymerase OS=Enterobacteria phage SP6 OX=2907955 PE=2 SV=1</t>
  </si>
  <si>
    <t>COG5108 [FUNC="Mitochondrial DNA-directed RNA polymerase"] [shortName=RPO41] [TAG=K TAGDEF="Transcription" PROCESS="INFORMATION STORAGE AND PROCESSING"]  [PATHWAY=""] hypothetical protein [Neorhizobium galegae]</t>
  </si>
  <si>
    <t>DNA-directed RNA polymerase n=1 Tax=Xanthomonas phage phiL7 TaxID=538979 RepID=C4ML35_9CAUD</t>
  </si>
  <si>
    <t>Sept.NODE_879_length_2526_cov_11.376366_3</t>
  </si>
  <si>
    <t>DNA-directed RNA polymerase n=2 Tax=unclassified Gyeongsanvirus TaxID=2759399 RepID=A0A5P8D3T3_9CAUD</t>
  </si>
  <si>
    <t>DNAUV-4.245-9.3_5</t>
  </si>
  <si>
    <t>sp|P41476|RNL1_NPVAC Putative bifunctional polynucleotide kinase/RNA ligase OS=Autographa californica nuclear polyhedrosis virus OX=46015 GN=PNK/PNL PE=4 SV=1</t>
  </si>
  <si>
    <t>COG5324 [FUNC="tRNA splicing ligase"] [shortName=Trl1] [TAG=J TAGDEF="Translation, ribosomal structure and biogenesis" PROCESS="INFORMATION STORAGE AND PROCESSING"]  [PATHWAY="tRNA modification"] metallophosphoesterase [Halothece sp. PCC 7418]</t>
  </si>
  <si>
    <t>T4 RNA ligase 1-like N-terminal domain-containing protein n=1 Tax=Emticicia aquatilis TaxID=1537369 RepID=A0A916Z9T3_9BACT</t>
  </si>
  <si>
    <t>05.07.P3-3.942-8.7_4</t>
  </si>
  <si>
    <t>sp|E8T3K9|RLIG_THEA1 Putative RNA ligase OS=Thermovibrio ammonificans (strain DSM 15698 / JCM 12110 / HB-1) OX=648996 GN=Theam_0167 PE=1 SV=1</t>
  </si>
  <si>
    <t>COG5324 [FUNC="tRNA splicing ligase"] [shortName=Trl1] [TAG=J TAGDEF="Translation, ribosomal structure and biogenesis" PROCESS="INFORMATION STORAGE AND PROCESSING"]  [PATHWAY="tRNA modification"] RNA ligase T4 RnlA-like protein [Thermovibrio ammonificans]</t>
  </si>
  <si>
    <t>RNA ligase n=1 Tax=Roseobacter phage DSS3P8 TaxID=1735562 RepID=A0A1B0UYX6_9CAUD</t>
  </si>
  <si>
    <t>DNAUV-152.980-60_26</t>
  </si>
  <si>
    <t>sp|P00971|RLIG_BPT4 RNA ligase 1 OS=Enterobacteria phage T4 OX=10665 GN=63 PE=1 SV=1</t>
  </si>
  <si>
    <t>RNA ligase n=1 Tax=Caulobacter phage Cr30 TaxID=1357714 RepID=A0A067XR92_9CAUD</t>
  </si>
  <si>
    <t>DNAUV-159.889-409_5</t>
  </si>
  <si>
    <t>RNA ligase A protein n=1 Tax=Rhizobium phage RHph_I1_18 TaxID=2509726 RepID=A0A7S5UU80_9CAUD</t>
  </si>
  <si>
    <t>DNAUV-19.264-18_2</t>
  </si>
  <si>
    <t>T4 RNA ligase 1-like N-terminal domain-containing protein n=2 Tax=unclassified Kyanoviridae TaxID=2960609 RepID=A0A650EWG5_9CAUD</t>
  </si>
  <si>
    <t>Oct.NODE_1348_length_2608_cov_3.119859_1</t>
  </si>
  <si>
    <t>T4 RNA ligase 1-like N-terminal domain-containing protein n=1 Tax=Mesorhizobium sp. DCY119 TaxID=2108445 RepID=A0A3A3HID3_9HYPH</t>
  </si>
  <si>
    <t>11.09.P2-7.063-16_11</t>
  </si>
  <si>
    <t>COG5324 [FUNC="tRNA splicing ligase"] [shortName=Trl1] [TAG=J TAGDEF="Translation, ribosomal structure and biogenesis" PROCESS="INFORMATION STORAGE AND PROCESSING"]  [PATHWAY="tRNA modification"] serine/threonine protein phosphatase [Veillonella parvula]</t>
  </si>
  <si>
    <t>2'-5' RNA ligase n=1 Tax=Rhodocytophaga rosea TaxID=2704465 RepID=A0A6C0GBW6_9BACT</t>
  </si>
  <si>
    <t>DNAUV-24.214-21_39</t>
  </si>
  <si>
    <t>sp|P09176|TOPL_BPT4 DNA topoisomerase large subunit OS=Enterobacteria phage T4 OX=10665 GN=39 PE=1 SV=2</t>
  </si>
  <si>
    <t>DNA topoisomerase (ATP-hydrolyzing) n=8 Tax=Schizotequatrovirus TaxID=1198137 RepID=V9LZQ6_9CAUD</t>
  </si>
  <si>
    <t>Oct.NODE_17_length_42127_cov_14.061823_15</t>
  </si>
  <si>
    <t>KOG1000 [FUNC="Chromatin remodeling protein HARP/SMARCAL1, DEAD-box superfamily"] [shortName=] [TAG=B TAGDEF="Chromatin structure and dynamics" PROCESS="INFORMATION STORAGE AND PROCESSING"]  [PATHWAY=""]</t>
  </si>
  <si>
    <t>Uncharacterized protein n=1 Tax=Perkinsus olseni TaxID=32597 RepID=A0A7J6SEF2_PEROL</t>
  </si>
  <si>
    <t>DNAUV-16.459-106_12</t>
  </si>
  <si>
    <t>sp|Q9V253|PUR1_PYRAB Amidophosphoribosyltransferase OS=Pyrococcus abyssi (strain GE5 / Orsay) OX=272844 GN=purF PE=3 SV=1</t>
  </si>
  <si>
    <t>COG0034 [FUNC="Glutamine phosphoribosylpyrophosphate amidotransferase"] [shortName=PurF] [TAG=F TAGDEF="Nucleotide transport and metabolism" PROCESS="METABOLISM"]  [PATHWAY="Purine biosynthesis"] amidophosphoribosyltransferase [Metallosphaera sedula]</t>
  </si>
  <si>
    <t>Glutamine amidotransferase type-2 domain-containing protein n=1 Tax=Campylobacter jejuni TaxID=197 RepID=A0A430VC29_CAMJU</t>
  </si>
  <si>
    <t>DNAUV-3.953-20_7</t>
  </si>
  <si>
    <t>sp|Q8DRA8|GLMS_STRR6 Glutamine--fructose-6-phosphate aminotransferase [isomerizing] OS=Streptococcus pneumoniae (strain ATCC BAA-255 / R6) OX=171101 GN=glmS PE=3 SV=3</t>
  </si>
  <si>
    <t>COG0034 [FUNC="Glutamine phosphoribosylpyrophosphate amidotransferase"] [shortName=PurF] [TAG=F TAGDEF="Nucleotide transport and metabolism" PROCESS="METABOLISM"]  [PATHWAY="Purine biosynthesis"] amidophosphoribosyltransferase [Thermobispora bispora]</t>
  </si>
  <si>
    <t>Glutamine amidotransferase n=1 Tax=Pseudomonas phage Bjorn TaxID=2079288 RepID=A0A2K9VHG4_9CAUD</t>
  </si>
  <si>
    <t>Avril.NODE_587_length_4079_cov_4.190109_3</t>
  </si>
  <si>
    <t>sp|Q65P46|GLMS_BACLD Glutamine--fructose-6-phosphate aminotransferase [isomerizing] OS=Bacillus licheniformis (strain ATCC 14580 / DSM 13 / JCM 2505 / CCUG 7422 / NBRC 12200 / NCIMB 9375 / NCTC 10341 / NRRL NRS-1264 / Gibson 46) OX=279010 GN=glmS PE=3 SV=3</t>
  </si>
  <si>
    <t>COG0034 [FUNC="Glutamine phosphoribosylpyrophosphate amidotransferase"] [shortName=PurF] [TAG=F TAGDEF="Nucleotide transport and metabolism" PROCESS="METABOLISM"]  [PATHWAY="Purine biosynthesis"] glutamine amidotransferase [Syntrophus aciditrophicus]</t>
  </si>
  <si>
    <t>Phage protein n=1 Tax=Pseudomonas phage GP100 TaxID=2055238 RepID=A0A2P9FI74_9CAUD</t>
  </si>
  <si>
    <t>DNAUV-2.798-17_8</t>
  </si>
  <si>
    <t>Glutamine-fructose-6-phosphate aminotransferase n=1 Tax=Vibrio phage Phriendly TaxID=2596675 RepID=A0A5B9N978_9CAUD</t>
  </si>
  <si>
    <t>DNAUV-4.599-11_10</t>
  </si>
  <si>
    <t>sp|Q5JH71|GLMS_THEKO Glutamine--fructose-6-phosphate aminotransferase [isomerizing] OS=Thermococcus kodakarensis (strain ATCC BAA-918 / JCM 12380 / KOD1) OX=69014 GN=glmS PE=3 SV=3</t>
  </si>
  <si>
    <t>DNAUV-6.369-49_17</t>
  </si>
  <si>
    <t>DNAUV-2.182-410_1</t>
  </si>
  <si>
    <t>sp|G3FFN6|PURZ_BPVC8 N6-succino-2-amino-2'-deoxyadenylate synthase OS=Vibrio phage phiVC8 OX=1076759 GN=purZ PE=1 SV=1</t>
  </si>
  <si>
    <t>COG0104 [FUNC="Adenylosuccinate synthase"] [shortName=PurA] [TAG=F TAGDEF="Nucleotide transport and metabolism" PROCESS="METABOLISM"]  [PATHWAY="Purine biosynthesis"] hypothetical protein [Chondromyces crocatus]</t>
  </si>
  <si>
    <t>N6-succino-2-amino-2'-deoxyadenylate synthase n=1 Tax=Alteromonas phage ZP6 TaxID=2492447 RepID=A0A3S9U891_9CAUD</t>
  </si>
  <si>
    <t>DNAUV-2.559-13-V2_6</t>
  </si>
  <si>
    <t>N6-succino-2-amino-2'-deoxyadenylate synthase n=1 Tax=Ochrobactrum phage vB_OspP_OH TaxID=2712957 RepID=A0A6G6XYM0_9CAUD</t>
  </si>
  <si>
    <t>DNAUV-2.822-236_2</t>
  </si>
  <si>
    <t>N6-succino-2-amino-2'-deoxyadenylate synthase n=1 Tax=Stenotrophomonas phage BUCT555 TaxID=2796513 RepID=A0A7T7GSZ6_9CAUD</t>
  </si>
  <si>
    <t>DNAUV-59.689-63_28</t>
  </si>
  <si>
    <t>COG0160 [FUNC="Acetylornithine aminotransferase/4-aminobutyrate aminotransferase"] [shortName=ArgD] [TAG=E TAGDEF="Amino acid transport and metabolism" PROCESS="METABOLISM"]  [PATHWAY="Arginine biosynthesis"] 4-aminobutyrate--2-oxoglutarate transaminase [Cedecea neteri]</t>
  </si>
  <si>
    <t>VRR-NUC domain-containing protein n=6 Tax=unclassified Casjensviridae TaxID=2960002 RepID=G8DCQ1_9CAUD</t>
  </si>
  <si>
    <t>DNAUV-38.512-299_20</t>
  </si>
  <si>
    <t>sp|P03766|Y290_LAMBD Uncharacterized nin region protein ORF290 OS=Escherichia phage lambda OX=2681611 PE=4 SV=1</t>
  </si>
  <si>
    <t>COG0175 [FUNC="3'-phosphoadenosine 5'-phosphosulfate sulfotransferase (PAPS reductase)/FAD synthetase or related enzyme"] [shortName=CysD] [TAG=E TAGDEF="Amino acid transport and metabolism" PROCESS="METABOLISM"] [TAG=H TAGDEF="Coenzyme transport and metabolism" PROCESS="METABOLISM"]  [PATHWAY="Cysteine biosynthesis"] 3'-phosphoadenosine 5'-phosphosulfate sulfotransferase/FAD synthetase [Magnetospirillum magneticum]</t>
  </si>
  <si>
    <t>VOG00473 [FUNC="sp|P03766|Y290_LAMBD Uncharacterized nin region protein ORF290"] [TAG=Xu TAGDEF="Function unknown"]</t>
  </si>
  <si>
    <t>Phosphoadenosine phosphosulfate reductase family protein n=1 Tax=Vibrio phage 1.178.O._10N.286.45.E12 TaxID=1881253 RepID=A0A2I7RGZ7_9CAUD</t>
  </si>
  <si>
    <t>Avril.NODE_4_length_52184_cov_14.862668_55</t>
  </si>
  <si>
    <t>COG0175 [FUNC="3'-phosphoadenosine 5'-phosphosulfate sulfotransferase (PAPS reductase)/FAD synthetase or related enzyme"] [shortName=CysD] [TAG=E TAGDEF="Amino acid transport and metabolism" PROCESS="METABOLISM"] [TAG=H TAGDEF="Coenzyme transport and metabolism" PROCESS="METABOLISM"]  [PATHWAY="Cysteine biosynthesis"] hypothetical protein [Leptolyngbya sp. PCC 7376]</t>
  </si>
  <si>
    <t>Phosphoadenosine phosphosulphate reductase domain-containing protein n=1 Tax=Stenotrophomonas sp. DDT-1 TaxID=1609637 RepID=A0A149QJZ6_9GAMM</t>
  </si>
  <si>
    <t>Avril.NODE_9_length_46600_cov_10.230895_18</t>
  </si>
  <si>
    <t>Phosphoadenosine phosphosulphate reductase domain-containing protein n=1 Tax=Gluconacetobacter entanii TaxID=108528 RepID=A0A318PTP2_9PROT</t>
  </si>
  <si>
    <t>DNAUV-24.553-87_27</t>
  </si>
  <si>
    <t>COG0175 [FUNC="3'-phosphoadenosine 5'-phosphosulfate sulfotransferase (PAPS reductase)/FAD synthetase or related enzyme"] [shortName=CysD] [TAG=E TAGDEF="Amino acid transport and metabolism" PROCESS="METABOLISM"] [TAG=H TAGDEF="Coenzyme transport and metabolism" PROCESS="METABOLISM"]  [PATHWAY="Cysteine biosynthesis"] hypothetical protein [Paenibacillus polymyxa]</t>
  </si>
  <si>
    <t>Phosphoadenosine phosphosulphate reductase domain-containing protein n=1 Tax=Nitrincola phage 1M3-16 TaxID=1472912 RepID=A0A023NHL9_9CAUD</t>
  </si>
  <si>
    <t>DNAUV-2.053-375_2</t>
  </si>
  <si>
    <t>COG0175 [FUNC="3'-phosphoadenosine 5'-phosphosulfate sulfotransferase (PAPS reductase)/FAD synthetase or related enzyme"] [shortName=CysD] [TAG=E TAGDEF="Amino acid transport and metabolism" PROCESS="METABOLISM"] [TAG=H TAGDEF="Coenzyme transport and metabolism" PROCESS="METABOLISM"]  [PATHWAY="Cysteine biosynthesis"] hypothetical protein [Pararhodospirillum photometricum]</t>
  </si>
  <si>
    <t>Phosphoadenosine phosphosulfate reductase family protein n=1 Tax=Oricola thermophila TaxID=2742145 RepID=A0A6N1VAA5_9HYPH</t>
  </si>
  <si>
    <t>Mai.NODE_1053_length_2226_cov_5.347766_1</t>
  </si>
  <si>
    <t>DNAUV-38.512-299_21</t>
  </si>
  <si>
    <t>sp|Q9Z6R2|TILS_CHLPN tRNA(Ile)-lysidine synthase OS=Chlamydia pneumoniae OX=83558 GN=tilS PE=3 SV=1</t>
  </si>
  <si>
    <t>COG0175 [FUNC="3'-phosphoadenosine 5'-phosphosulfate sulfotransferase (PAPS reductase)/FAD synthetase or related enzyme"] [shortName=CysD] [TAG=E TAGDEF="Amino acid transport and metabolism" PROCESS="METABOLISM"] [TAG=H TAGDEF="Coenzyme transport and metabolism" PROCESS="METABOLISM"]  [PATHWAY="Cysteine biosynthesis"] hypothetical protein [Tatlockia micdadei]</t>
  </si>
  <si>
    <t>Phosphoadenosine phosphosulphate reductase domain-containing protein n=1 Tax=Alteromonas mediterranea TaxID=314275 RepID=A0A1J0SY51_9ALTE</t>
  </si>
  <si>
    <t>DNAUV-2.258-474_2</t>
  </si>
  <si>
    <t>COG0175 [FUNC="3'-phosphoadenosine 5'-phosphosulfate sulfotransferase (PAPS reductase)/FAD synthetase or related enzyme"] [shortName=CysD] [TAG=E TAGDEF="Amino acid transport and metabolism" PROCESS="METABOLISM"] [TAG=H TAGDEF="Coenzyme transport and metabolism" PROCESS="METABOLISM"]  [PATHWAY="Cysteine biosynthesis"] hypothetical protein Psyr_2827 [Pseudomonas syringae pv. syringae B728a]</t>
  </si>
  <si>
    <t>Phosphoadenosine phosphosulphate reductase domain-containing protein n=1 Tax=Microvirga lupini TaxID=420324 RepID=A0A7W4VP12_9HYPH</t>
  </si>
  <si>
    <t>Oct.NODE_1193_length_2810_cov_29.516515_4</t>
  </si>
  <si>
    <t>Phosphoadenosine phosphosulfate reductase family protein n=1 Tax=Methylobacter tundripaludum (strain ATCC BAA-1195 / DSM 17260 / SV96) TaxID=697282 RepID=G3IRD5_METTV</t>
  </si>
  <si>
    <t>Oct.NODE_309_length_6839_cov_4.241303_1</t>
  </si>
  <si>
    <t>Phosphoadenosine phosphosulphate reductase domain-containing protein n=1 Tax=Mesorhizobium sp. M4B.F.Ca.ET.089.01.1.1 TaxID=2496662 RepID=A0A3S3TLQ6_9HYPH</t>
  </si>
  <si>
    <t>DNAUV-5.961-15_6</t>
  </si>
  <si>
    <t>COG0175 [FUNC="3'-phosphoadenosine 5'-phosphosulfate sulfotransferase (PAPS reductase)/FAD synthetase or related enzyme"] [shortName=CysD] [TAG=E TAGDEF="Amino acid transport and metabolism" PROCESS="METABOLISM"] [TAG=H TAGDEF="Coenzyme transport and metabolism" PROCESS="METABOLISM"]  [PATHWAY="Cysteine biosynthesis"] phosphoadenosine phosphosulfate reductase [Desulfotomaculum kuznetsovii DSM 6115]</t>
  </si>
  <si>
    <t>NinC n=1 Tax=Pseudoalteromonas phage BS5 TaxID=1874539 RepID=A0A1B2ANX3_9CAUD</t>
  </si>
  <si>
    <t>DNAUV-42.184-72_58</t>
  </si>
  <si>
    <t>COG0175 [FUNC="3'-phosphoadenosine 5'-phosphosulfate sulfotransferase (PAPS reductase)/FAD synthetase or related enzyme"] [shortName=CysD] [TAG=E TAGDEF="Amino acid transport and metabolism" PROCESS="METABOLISM"] [TAG=H TAGDEF="Coenzyme transport and metabolism" PROCESS="METABOLISM"]  [PATHWAY="Cysteine biosynthesis"] phosphoadenosine phosphosulfate reductase [Flavonifractor plautii]</t>
  </si>
  <si>
    <t>Rossmann-like alpha/beta/alpha sandwich fold protein n=1 Tax=Vibrio phage 1.023.O._10N.222.51.B4 TaxID=1881419 RepID=A0A2I7QLW3_9CAUD</t>
  </si>
  <si>
    <t>DNAUV-3.469-11_5</t>
  </si>
  <si>
    <t>COG0175 [FUNC="3'-phosphoadenosine 5'-phosphosulfate sulfotransferase (PAPS reductase)/FAD synthetase or related enzyme"] [shortName=CysD] [TAG=E TAGDEF="Amino acid transport and metabolism" PROCESS="METABOLISM"] [TAG=H TAGDEF="Coenzyme transport and metabolism" PROCESS="METABOLISM"]  [PATHWAY="Cysteine biosynthesis"] phosphoadenosine phosphosulfate reductase [Nitrospirillum amazonense]</t>
  </si>
  <si>
    <t>Phosphoadenosine phosphosulphate reductase domain-containing protein n=1 Tax=Vibrio phage 1.131.O._10N.222.49.A8 TaxID=1881200 RepID=A0A2I7R7W3_9CAUD</t>
  </si>
  <si>
    <t>DNAUV-63.154-214_68</t>
  </si>
  <si>
    <t>sp|P45241|RIMK_HAEIN Probable alpha-L-glutamate ligase OS=Haemophilus influenzae (strain ATCC 51907 / DSM 11121 / KW20 / Rd) OX=71421 GN=rimK PE=3 SV=1</t>
  </si>
  <si>
    <t>COG0189 [FUNC="Glutathione synthase, LysX or RimK-type ligase, ATP-grasp superfamily"] [shortName=LysX] [TAG=E TAGDEF="Amino acid transport and metabolism" PROCESS="METABOLISM"] [TAG=H TAGDEF="Coenzyme transport and metabolism" PROCESS="METABOLISM"] [TAG=J TAGDEF="Translation, ribosomal structure and biogenesis" PROCESS="INFORMATION STORAGE AND PROCESSING"] [TAG=Q TAGDEF="Secondary metabolites biosynthesis, transport and catabolism" PROCESS="METABOLISM"]  [PATHWAY="Lysine biosynthesis"] alpha-L-glutamate ligase [Methylococcus capsulatus]</t>
  </si>
  <si>
    <t>RimK family alpha-L-glutamate ligase n=1 Tax=Mesorhizobium soli TaxID=1295366 RepID=A0A2P7S6V7_9HYPH</t>
  </si>
  <si>
    <t>DNAUV-2.422-11_3</t>
  </si>
  <si>
    <t>sp|Q5X7X4|RIMK_LEGPA Probable alpha-L-glutamate ligase OS=Legionella pneumophila (strain Paris) OX=297246 GN=rimK PE=3 SV=1</t>
  </si>
  <si>
    <t>COG0189 [FUNC="Glutathione synthase, LysX or RimK-type ligase, ATP-grasp superfamily"] [shortName=LysX] [TAG=E TAGDEF="Amino acid transport and metabolism" PROCESS="METABOLISM"] [TAG=H TAGDEF="Coenzyme transport and metabolism" PROCESS="METABOLISM"] [TAG=J TAGDEF="Translation, ribosomal structure and biogenesis" PROCESS="INFORMATION STORAGE AND PROCESSING"] [TAG=Q TAGDEF="Secondary metabolites biosynthesis, transport and catabolism" PROCESS="METABOLISM"]  [PATHWAY="Lysine biosynthesis"] hypothetical protein [Desulfurococcus amylolyticus]</t>
  </si>
  <si>
    <t>VOG01790 [FUNC="sp|A0KFE0|RIMK_AERHH Probable alpha-L-glutamate ligase"] [TAG=Xh TAGDEF="Virus protein with function beneficial for the host"]</t>
  </si>
  <si>
    <t>Putative ATP-grasp protein n=1 Tax=Salinivibrio phage CW02 TaxID=1161935 RepID=H9D1D6_9CAUD</t>
  </si>
  <si>
    <t>DNAUV-4.718-19_6</t>
  </si>
  <si>
    <t>ATP-grasp fold RimK-type domain-containing protein n=2 Tax=root TaxID=1 RepID=A0A2W5SEQ3_VARPD</t>
  </si>
  <si>
    <t>Mai.NODE_524_length_3696_cov_3.079648_4</t>
  </si>
  <si>
    <t>sp|A8AIR5|RIMK_CITK8 Probable alpha-L-glutamate ligase OS=Citrobacter koseri (strain ATCC BAA-895 / CDC 4225-83 / SGSC4696) OX=290338 GN=rimK PE=3 SV=2</t>
  </si>
  <si>
    <t>DNAUV-2.787-19_3</t>
  </si>
  <si>
    <t>sp|Q3IG57|RIMK_PSET1 Probable alpha-L-glutamate ligase OS=Pseudoalteromonas translucida (strain TAC 125) OX=326442 GN=rimK PE=3 SV=1</t>
  </si>
  <si>
    <t>COG0189 [FUNC="Glutathione synthase, LysX or RimK-type ligase, ATP-grasp superfamily"] [shortName=LysX] [TAG=E TAGDEF="Amino acid transport and metabolism" PROCESS="METABOLISM"] [TAG=H TAGDEF="Coenzyme transport and metabolism" PROCESS="METABOLISM"] [TAG=J TAGDEF="Translation, ribosomal structure and biogenesis" PROCESS="INFORMATION STORAGE AND PROCESSING"] [TAG=Q TAGDEF="Secondary metabolites biosynthesis, transport and catabolism" PROCESS="METABOLISM"]  [PATHWAY="Lysine biosynthesis"] RimK family alpha-L-glutamate ligase [Acidianus hospitalis]</t>
  </si>
  <si>
    <t>DNAUV-41.172-78_54</t>
  </si>
  <si>
    <t>COG0189 [FUNC="Glutathione synthase, LysX or RimK-type ligase, ATP-grasp superfamily"] [shortName=LysX] [TAG=E TAGDEF="Amino acid transport and metabolism" PROCESS="METABOLISM"] [TAG=H TAGDEF="Coenzyme transport and metabolism" PROCESS="METABOLISM"] [TAG=J TAGDEF="Translation, ribosomal structure and biogenesis" PROCESS="INFORMATION STORAGE AND PROCESSING"] [TAG=Q TAGDEF="Secondary metabolites biosynthesis, transport and catabolism" PROCESS="METABOLISM"]  [PATHWAY="Lysine biosynthesis"] RimK family alpha-L-glutamate ligase [Halanaerobium hydrogeniformans]</t>
  </si>
  <si>
    <t>Putative ATP-grasp protein n=2 Tax=unclassified Paundecimvirus TaxID=2852667 RepID=A0A8F2IGW9_9CAUD</t>
  </si>
  <si>
    <t>DNAUV-7.580-14_4</t>
  </si>
  <si>
    <t>sp|Q0A6C9|RIMK_ALKEH Probable alpha-L-glutamate ligase OS=Alkalilimnicola ehrlichii (strain ATCC BAA-1101 / DSM 17681 / MLHE-1) OX=187272 GN=rimK PE=3 SV=2</t>
  </si>
  <si>
    <t>ATP-grasp fold RimK-type domain-containing protein n=1 Tax=Pseudomonas phage IME180 TaxID=2041348 RepID=A0A291I9C5_9CAUD</t>
  </si>
  <si>
    <t>Oct.NODE_146_length_12909_cov_13.241403_6</t>
  </si>
  <si>
    <t>sp|Q8D5R2|RIMK_VIBVU Probable alpha-L-glutamate ligase OS=Vibrio vulnificus (strain CMCP6) OX=216895 GN=rimK PE=3 SV=1</t>
  </si>
  <si>
    <t>COG0189 [FUNC="Glutathione synthase, LysX or RimK-type ligase, ATP-grasp superfamily"] [shortName=LysX] [TAG=E TAGDEF="Amino acid transport and metabolism" PROCESS="METABOLISM"] [TAG=H TAGDEF="Coenzyme transport and metabolism" PROCESS="METABOLISM"] [TAG=J TAGDEF="Translation, ribosomal structure and biogenesis" PROCESS="INFORMATION STORAGE AND PROCESSING"] [TAG=Q TAGDEF="Secondary metabolites biosynthesis, transport and catabolism" PROCESS="METABOLISM"]  [PATHWAY="Lysine biosynthesis"] RimK family alpha-L-glutamate ligase [Hartmannibacter diazotrophicus]</t>
  </si>
  <si>
    <t>DNAUV-7.618-9.9_6</t>
  </si>
  <si>
    <t>sp|B1L9P4|DDL_THESQ D-alanine--D-alanine ligase OS=Thermotoga sp. (strain RQ2) OX=126740 GN=ddl PE=3 SV=1</t>
  </si>
  <si>
    <t>COG0189 [FUNC="Glutathione synthase, LysX or RimK-type ligase, ATP-grasp superfamily"] [shortName=LysX] [TAG=E TAGDEF="Amino acid transport and metabolism" PROCESS="METABOLISM"] [TAG=H TAGDEF="Coenzyme transport and metabolism" PROCESS="METABOLISM"] [TAG=J TAGDEF="Translation, ribosomal structure and biogenesis" PROCESS="INFORMATION STORAGE AND PROCESSING"] [TAG=Q TAGDEF="Secondary metabolites biosynthesis, transport and catabolism" PROCESS="METABOLISM"]  [PATHWAY="Lysine biosynthesis"] RimK family alpha-L-glutamate ligase [Marivirga tractuosa]</t>
  </si>
  <si>
    <t>DNAUV-64.565-409_35</t>
  </si>
  <si>
    <t>sp|P0DTK3|DUHM_BPPM6 Deoxyuridylate hydroxymethyltransferase OS=Pseudomonas phage M6 OX=2911432 PE=1 SV=1</t>
  </si>
  <si>
    <t>COG0207 [FUNC="Thymidylate synthase"] [shortName=ThyA] [TAG=F TAGDEF="Nucleotide transport and metabolism" PROCESS="METABOLISM"]  [PATHWAY="Thymidylate biosynthesis"] hypothetical protein [Micropruina glycogenica]</t>
  </si>
  <si>
    <t>Thymidylate synthase/deoxyuridylate hydroxymethyltransferase n=1 Tax=Pseudomonas phage MP1412 TaxID=1204517 RepID=I6X817_9CAUD</t>
  </si>
  <si>
    <t>DNAUV-3.370-39_2</t>
  </si>
  <si>
    <t>sp|A4INY1|TYSY_GEOTN Thymidylate synthase OS=Geobacillus thermodenitrificans (strain NG80-2) OX=420246 GN=thyA PE=3 SV=1</t>
  </si>
  <si>
    <t>COG0207 [FUNC="Thymidylate synthase"] [shortName=ThyA] [TAG=F TAGDEF="Nucleotide transport and metabolism" PROCESS="METABOLISM"]  [PATHWAY="Thymidylate biosynthesis"] MULTISPECIES: thymidylate synthase [Geobacillus]</t>
  </si>
  <si>
    <t>thymidylate synthase n=1 Tax=Virus NIOZ-UU157 TaxID=2763269 RepID=A0A7S9XH42_9VIRU</t>
  </si>
  <si>
    <t>Oct.NODE_33_length_37390_cov_21.424508_36</t>
  </si>
  <si>
    <t>sp|P31654|DUHM_BPSP1 Deoxyuridylate hydroxymethyltransferase OS=Bacillus phage SP01 OX=2884427 PE=1 SV=1</t>
  </si>
  <si>
    <t>COG0207 [FUNC="Thymidylate synthase"] [shortName=ThyA] [TAG=F TAGDEF="Nucleotide transport and metabolism" PROCESS="METABOLISM"]  [PATHWAY="Thymidylate biosynthesis"] thymidylate synthase [Actinopolyspora erythraea]</t>
  </si>
  <si>
    <t>thymidylate synthase n=1 Tax=Pelagibacter phage HTVC200P TaxID=2283023 RepID=A0A4Y1NTS6_9CAUD</t>
  </si>
  <si>
    <t>DNAUV-2.313-43_1</t>
  </si>
  <si>
    <t>sp|Q6KIQ6|TYSY_MESM1 Thymidylate synthase OS=Mesomycoplasma mobile (strain ATCC 43663 / 163K / NCTC 11711) OX=267748 GN=thyA PE=3 SV=1</t>
  </si>
  <si>
    <t>COG0207 [FUNC="Thymidylate synthase"] [shortName=ThyA] [TAG=F TAGDEF="Nucleotide transport and metabolism" PROCESS="METABOLISM"]  [PATHWAY="Thymidylate biosynthesis"] thymidylate synthase [Amphibacillus xylanus]</t>
  </si>
  <si>
    <t>DNAUV-7.969-16_6</t>
  </si>
  <si>
    <t>sp|P18029|DCHM_BPT2 Deoxycytidylate 5-hydroxymethyltransferase OS=Enterobacteria phage T2 OX=2060721 GN=42 PE=3 SV=1</t>
  </si>
  <si>
    <t>COG0207 [FUNC="Thymidylate synthase"] [shortName=ThyA] [TAG=F TAGDEF="Nucleotide transport and metabolism" PROCESS="METABOLISM"]  [PATHWAY="Thymidylate biosynthesis"] thymidylate synthase [Aneurinibacillus soli]</t>
  </si>
  <si>
    <t>Thymidylate synthase/dCMP hydroxymethylase domain-containing protein n=1 Tax=Klebsiella phage vB_KpnM_17-11 TaxID=2800822 RepID=A0A7T7GSF4_9CAUD</t>
  </si>
  <si>
    <t>DNAUV-8.340-15_16</t>
  </si>
  <si>
    <t>sp|Q3BX87|TYSY_XANC5 Thymidylate synthase OS=Xanthomonas campestris pv. vesicatoria (strain 85-10) OX=316273 GN=thyA PE=3 SV=1</t>
  </si>
  <si>
    <t>COG0207 [FUNC="Thymidylate synthase"] [shortName=ThyA] [TAG=F TAGDEF="Nucleotide transport and metabolism" PROCESS="METABOLISM"]  [PATHWAY="Thymidylate biosynthesis"] thymidylate synthase [Arcobacter nitrofigilis]</t>
  </si>
  <si>
    <t>Thymidylate synthase n=1 Tax=Sinorhizobium phage phiM9 TaxID=1636182 RepID=A0A0F6R625_9CAUD</t>
  </si>
  <si>
    <t>DNAUV-159.889-409_27</t>
  </si>
  <si>
    <t>sp|P08773|DCHM_BPT4 Deoxycytidylate 5-hydroxymethyltransferase OS=Enterobacteria phage T4 OX=10665 GN=42 PE=1 SV=1</t>
  </si>
  <si>
    <t>COG0207 [FUNC="Thymidylate synthase"] [shortName=ThyA] [TAG=F TAGDEF="Nucleotide transport and metabolism" PROCESS="METABOLISM"]  [PATHWAY="Thymidylate biosynthesis"] thymidylate synthase [Beijerinckia indica]</t>
  </si>
  <si>
    <t>Deoxycytidylate 5-hydroxymethyltransferase n=1 Tax=Aeromonas phage L9-6 TaxID=1932905 RepID=A0A219YCW6_9CAUD</t>
  </si>
  <si>
    <t>DNAUV-34.277-41_14</t>
  </si>
  <si>
    <t>sp|Q47Y31|TYSY_COLP3 Thymidylate synthase OS=Colwellia psychrerythraea (strain 34H / ATCC BAA-681) OX=167879 GN=thyA PE=3 SV=1</t>
  </si>
  <si>
    <t>COG0207 [FUNC="Thymidylate synthase"] [shortName=ThyA] [TAG=F TAGDEF="Nucleotide transport and metabolism" PROCESS="METABOLISM"]  [PATHWAY="Thymidylate biosynthesis"] thymidylate synthase [Colwellia psychrerythraea]</t>
  </si>
  <si>
    <t>thymidylate synthase n=1 Tax=Vibrio phage 1.193.O._10N.286.52.C6 TaxID=1881436 RepID=A0A2I7RKI2_9CAUD</t>
  </si>
  <si>
    <t>DNAUV-147.430-52_150</t>
  </si>
  <si>
    <t>sp|Q044A1|TYSY_LACGA Thymidylate synthase OS=Lactobacillus gasseri (strain ATCC 33323 / DSM 20243 / BCRC 14619 / CIP 102991 / JCM 1131 / KCTC 3163 / NCIMB 11718 / NCTC 13722 / AM63) OX=324831 GN=thyA PE=3 SV=1</t>
  </si>
  <si>
    <t>COG0207 [FUNC="Thymidylate synthase"] [shortName=ThyA] [TAG=F TAGDEF="Nucleotide transport and metabolism" PROCESS="METABOLISM"]  [PATHWAY="Thymidylate biosynthesis"] thymidylate synthase [Devosia sp. A16]</t>
  </si>
  <si>
    <t>Thymidylate synthase n=1 Tax=Halomonas piezotolerans TaxID=2609667 RepID=A0A6H1YD00_9GAMM</t>
  </si>
  <si>
    <t>DNAUV-2.334-34_1</t>
  </si>
  <si>
    <t>sp|Q1WU17|TYSY_LIGS1 Thymidylate synthase OS=Ligilactobacillus salivarius (strain UCC118) OX=362948 GN=thyA PE=3 SV=1</t>
  </si>
  <si>
    <t>COG0207 [FUNC="Thymidylate synthase"] [shortName=ThyA] [TAG=F TAGDEF="Nucleotide transport and metabolism" PROCESS="METABOLISM"]  [PATHWAY="Thymidylate biosynthesis"] thymidylate synthase [Gemella haemolysans]</t>
  </si>
  <si>
    <t>thymidylate synthase n=1 Tax=Vibrio phage S4-7 TaxID=1873905 RepID=A0A1C9LW69_9CAUD</t>
  </si>
  <si>
    <t>DNAUV-13.079-18_8</t>
  </si>
  <si>
    <t>COG0207 [FUNC="Thymidylate synthase"] [shortName=ThyA] [TAG=F TAGDEF="Nucleotide transport and metabolism" PROCESS="METABOLISM"]  [PATHWAY="Thymidylate biosynthesis"] thymidylate synthase [Leuconostoc kimchii]</t>
  </si>
  <si>
    <t>Thymidylate synthase/dCMp hydroxymethylase n=1 Tax=Fadolivirus 2 TaxID=2740747 RepID=A0A7D3QX04_9VIRU</t>
  </si>
  <si>
    <t>DNAUV-2.210-18_3</t>
  </si>
  <si>
    <t>sp|C0ZI91|TYSY_BREBN Thymidylate synthase OS=Brevibacillus brevis (strain 47 / JCM 6285 / NBRC 100599) OX=358681 GN=thyA PE=3 SV=1</t>
  </si>
  <si>
    <t>Deoxycytidylate 5-hydroxymethyltransferase n=1 Tax=Virus NIOZ-UU157 TaxID=2763269 RepID=A0A7S9XFG0_9VIRU</t>
  </si>
  <si>
    <t>DNAUV-2.847-8.9_2</t>
  </si>
  <si>
    <t>Thymidylate synthase/dCMP hydroxymethylase domain-containing protein n=1 Tax=Myoviridae sp. ctCo31 TaxID=2825053 RepID=A0A8S5ULX5_9CAUD</t>
  </si>
  <si>
    <t>Avril.NODE_1227_length_2396_cov_3.659120_1</t>
  </si>
  <si>
    <t>COG0207 [FUNC="Thymidylate synthase"] [shortName=ThyA] [TAG=F TAGDEF="Nucleotide transport and metabolism" PROCESS="METABOLISM"]  [PATHWAY="Thymidylate biosynthesis"] thymidylate synthase [Lysinimonas sp. 2DFWR-13]</t>
  </si>
  <si>
    <t>DNAUV-41.618-136_14</t>
  </si>
  <si>
    <t>sp|Q3SQ36|TYSY_NITWN Thymidylate synthase OS=Nitrobacter winogradskyi (strain ATCC 25391 / DSM 10237 / CIP 104748 / NCIMB 11846 / Nb-255) OX=323098 GN=thyA PE=3 SV=1</t>
  </si>
  <si>
    <t>COG0207 [FUNC="Thymidylate synthase"] [shortName=ThyA] [TAG=F TAGDEF="Nucleotide transport and metabolism" PROCESS="METABOLISM"]  [PATHWAY="Thymidylate biosynthesis"] thymidylate synthase [Maricaulis maris]</t>
  </si>
  <si>
    <t>thymidylate synthase n=1 Tax=Pseudoalteromonas phage PH1 TaxID=1874540 RepID=A0A1B2ANM6_9CAUD</t>
  </si>
  <si>
    <t>DNAUV-22.071-221_20</t>
  </si>
  <si>
    <t>sp|B0CHI7|TYSY_BRUSI Thymidylate synthase OS=Brucella suis (strain ATCC 23445 / NCTC 10510) OX=470137 GN=thyA PE=3 SV=1</t>
  </si>
  <si>
    <t>COG0207 [FUNC="Thymidylate synthase"] [shortName=ThyA] [TAG=F TAGDEF="Nucleotide transport and metabolism" PROCESS="METABOLISM"]  [PATHWAY="Thymidylate biosynthesis"] thymidylate synthase [Micavibrio aeruginosavorus]</t>
  </si>
  <si>
    <t>thymidylate synthase n=1 Tax=Roseobacter phage RDJL Phi 2 TaxID=1682380 RepID=A0A0K0PVP0_9CAUD</t>
  </si>
  <si>
    <t>DNAUV-2.334-34_3</t>
  </si>
  <si>
    <t>COG0207 [FUNC="Thymidylate synthase"] [shortName=ThyA] [TAG=F TAGDEF="Nucleotide transport and metabolism" PROCESS="METABOLISM"]  [PATHWAY="Thymidylate biosynthesis"] thymidylate synthase [Pantoea gaviniae]</t>
  </si>
  <si>
    <t>DNAUV-64.562-41_22</t>
  </si>
  <si>
    <t>COG0207 [FUNC="Thymidylate synthase"] [shortName=ThyA] [TAG=F TAGDEF="Nucleotide transport and metabolism" PROCESS="METABOLISM"]  [PATHWAY="Thymidylate biosynthesis"] thymidylate synthase [Rhodoferax ferrireducens]</t>
  </si>
  <si>
    <t>Thymidylate synthase n=1 Tax=Alphaproteobacteria phage PhiJL001 TaxID=2681607 RepID=Q5DN81_9CAUD</t>
  </si>
  <si>
    <t>DNAUV-152.980-60_45</t>
  </si>
  <si>
    <t>COG0207 [FUNC="Thymidylate synthase"] [shortName=ThyA] [TAG=F TAGDEF="Nucleotide transport and metabolism" PROCESS="METABOLISM"]  [PATHWAY="Thymidylate biosynthesis"] thymidylate synthase [Rubrivivax gelatinosus]</t>
  </si>
  <si>
    <t>dCMP hydroxymethylase n=1 Tax=Salmonella phage STP4-a TaxID=1445860 RepID=A0A0B4L986_9CAUD</t>
  </si>
  <si>
    <t>DNAUV-78.511-202_3</t>
  </si>
  <si>
    <t>sp|Q4L6D7|TYSY_STAHJ Thymidylate synthase OS=Staphylococcus haemolyticus (strain JCSC1435) OX=279808 GN=thyA PE=3 SV=1</t>
  </si>
  <si>
    <t>COG0207 [FUNC="Thymidylate synthase"] [shortName=ThyA] [TAG=F TAGDEF="Nucleotide transport and metabolism" PROCESS="METABOLISM"]  [PATHWAY="Thymidylate biosynthesis"] thymidylate synthase [Rummeliibacillus stabekisii]</t>
  </si>
  <si>
    <t>Thymidylate synthase n=1 Tax=Staphylococcus xylosus TaxID=1288 RepID=A0A5R9B7E7_STAXY</t>
  </si>
  <si>
    <t>DNAUV-10.760-29_4</t>
  </si>
  <si>
    <t>COG0208 [FUNC="Ribonucleotide reductase beta subunit, ferritin-like domain"] [shortName=NrdB] [TAG=F TAGDEF="Nucleotide transport and metabolism" PROCESS="METABOLISM"]  [PATHWAY="Pyrimidine salvage"] hypothetical protein [Paenalcaligenes hominis]</t>
  </si>
  <si>
    <t>ribonucleoside-diphosphate reductase n=1 Tax=Vibrio phage 1.193.O._10N.286.52.C6 TaxID=1881436 RepID=A0A2I7RKJ9_9CAUD</t>
  </si>
  <si>
    <t>DNAUV-34.277-41_18</t>
  </si>
  <si>
    <t>sp|P37146|RIR4_ECOLI Ribonucleoside-diphosphate reductase 2 subunit beta OS=Escherichia coli (strain K12) OX=83333 GN=nrdF PE=1 SV=2</t>
  </si>
  <si>
    <t>DNAUV-56.054-300_22</t>
  </si>
  <si>
    <t>sp|P37427|RIR2_SALTY Ribonucleoside-diphosphate reductase 1 subunit beta OS=Salmonella typhimurium (strain LT2 / SGSC1412 / ATCC 700720) OX=99287 GN=nrdB PE=3 SV=3</t>
  </si>
  <si>
    <t>ribonucleoside-diphosphate reductase n=1 Tax=Shewanella sp. phage 1/40 TaxID=1458860 RepID=A0A088C3E8_9CAUD</t>
  </si>
  <si>
    <t>DNAUV-2.436-9.1_1</t>
  </si>
  <si>
    <t>sp|P69925|RIR2_ECO57 Ribonucleoside-diphosphate reductase 1 subunit beta OS=Escherichia coli O157:H7 OX=83334 GN=nrdB PE=3 SV=2</t>
  </si>
  <si>
    <t>COG0208 [FUNC="Ribonucleotide reductase beta subunit, ferritin-like domain"] [shortName=NrdB] [TAG=F TAGDEF="Nucleotide transport and metabolism" PROCESS="METABOLISM"]  [PATHWAY="Pyrimidine salvage"] MULTISPECIES: ribonucleotide-diphosphate reductase subunit beta [Morganella]</t>
  </si>
  <si>
    <t>ribonucleoside-diphosphate reductase n=1 Tax=Paraglaciecola Antarctic GD virus 1 TaxID=2945130 RepID=A0A9E7E421_9VIRU</t>
  </si>
  <si>
    <t>DNAUV-9.637-16_8</t>
  </si>
  <si>
    <t>sp|Q9PL92|RIR2_CHLMU Ribonucleoside-diphosphate reductase subunit beta OS=Chlamydia muridarum (strain MoPn / Nigg) OX=243161 GN=nrdB PE=3 SV=1</t>
  </si>
  <si>
    <t>COG0208 [FUNC="Ribonucleotide reductase beta subunit, ferritin-like domain"] [shortName=NrdB] [TAG=F TAGDEF="Nucleotide transport and metabolism" PROCESS="METABOLISM"]  [PATHWAY="Pyrimidine salvage"] ribonucleotide reductase [Ornithobacterium rhinotracheale]</t>
  </si>
  <si>
    <t>ribonucleoside-diphosphate reductase (Fragment) n=1 Tax=Xanthomarina gelatinilytica TaxID=1137281 RepID=A0A3D6BVD6_9FLAO</t>
  </si>
  <si>
    <t>DNAUV-159.889-409_138</t>
  </si>
  <si>
    <t>sp|O67475|RIR2_AQUAE Ribonucleoside-diphosphate reductase subunit beta OS=Aquifex aeolicus (strain VF5) OX=224324 GN=nrdB PE=1 SV=1</t>
  </si>
  <si>
    <t>COG0208 [FUNC="Ribonucleotide reductase beta subunit, ferritin-like domain"] [shortName=NrdB] [TAG=F TAGDEF="Nucleotide transport and metabolism" PROCESS="METABOLISM"]  [PATHWAY="Pyrimidine salvage"] ribonucleotide reductase [Zunongwangia profunda]</t>
  </si>
  <si>
    <t>ribonucleoside-diphosphate reductase n=1 Tax=Faunimonas pinastri TaxID=1855383 RepID=A0A1H9MXL6_9HYPH</t>
  </si>
  <si>
    <t>DNAUV-5.200-20_6</t>
  </si>
  <si>
    <t>sp|Q197B2|RIR2_IIV3 Probable ribonucleoside-diphosphate reductase small subunit 048L OS=Invertebrate iridescent virus 3 OX=345201 GN=IIV3-048L PE=3 SV=1</t>
  </si>
  <si>
    <t>COG0208 [FUNC="Ribonucleotide reductase beta subunit, ferritin-like domain"] [shortName=NrdB] [TAG=F TAGDEF="Nucleotide transport and metabolism" PROCESS="METABOLISM"]  [PATHWAY="Pyrimidine salvage"] ribonucleotide-diphosphate reductase subunit beta [Blattabacterium sp. (Blattella germanica)]</t>
  </si>
  <si>
    <t>ribonucleoside-diphosphate reductase n=1 Tax=Virus NIOZ-UU157 TaxID=2763269 RepID=A0A7S9STK5_9VIRU</t>
  </si>
  <si>
    <t>DNAUV-24.776-121_24</t>
  </si>
  <si>
    <t>sp|P43755|RIR2_HAEIN Ribonucleoside-diphosphate reductase subunit beta OS=Haemophilus influenzae (strain ATCC 51907 / DSM 11121 / KW20 / Rd) OX=71421 GN=nrdB PE=3 SV=2</t>
  </si>
  <si>
    <t>COG0208 [FUNC="Ribonucleotide reductase beta subunit, ferritin-like domain"] [shortName=NrdB] [TAG=F TAGDEF="Nucleotide transport and metabolism" PROCESS="METABOLISM"]  [PATHWAY="Pyrimidine salvage"] ribonucleotide-diphosphate reductase subunit beta [Candidatus Fukatsuia symbiotica]</t>
  </si>
  <si>
    <t>ribonucleoside-diphosphate reductase n=1 Tax=Lake Baikal phage Baikal-20-5m-C28 TaxID=2047876 RepID=A0A2H4N7U8_9CAUD</t>
  </si>
  <si>
    <t>11.09.P2-2.456-2.8_2</t>
  </si>
  <si>
    <t>COG0208 [FUNC="Ribonucleotide reductase beta subunit, ferritin-like domain"] [shortName=NrdB] [TAG=F TAGDEF="Nucleotide transport and metabolism" PROCESS="METABOLISM"]  [PATHWAY="Pyrimidine salvage"] ribonucleotide-diphosphate reductase subunit beta [Catenovulum sp. CCB-QB4]</t>
  </si>
  <si>
    <t>ribonucleoside-diphosphate reductase n=1 Tax=Vibrio vulnificus TaxID=672 RepID=A0A8H9N187_VIBVL</t>
  </si>
  <si>
    <t>Oct.NODE_1520_length_2401_cov_3.054987_3</t>
  </si>
  <si>
    <t>COG0208 [FUNC="Ribonucleotide reductase beta subunit, ferritin-like domain"] [shortName=NrdB] [TAG=F TAGDEF="Nucleotide transport and metabolism" PROCESS="METABOLISM"]  [PATHWAY="Pyrimidine salvage"] ribonucleotide-diphosphate reductase subunit beta [Hirschia baltica]</t>
  </si>
  <si>
    <t>ribonucleoside-diphosphate reductase n=1 Tax=Pelagibacter phage HTVC120P TaxID=2283021 RepID=A0A4Y1NSX5_9CAUD</t>
  </si>
  <si>
    <t>DNAUV-43.621-123_72</t>
  </si>
  <si>
    <t>sp|Q91FE8|RIR2_IIV6 Probable ribonucleoside-diphosphate reductase small subunit 376L OS=Invertebrate iridescent virus 6 OX=176652 GN=IIV6-376L PE=3 SV=1</t>
  </si>
  <si>
    <t>COG0208 [FUNC="Ribonucleotide reductase beta subunit, ferritin-like domain"] [shortName=NrdB] [TAG=F TAGDEF="Nucleotide transport and metabolism" PROCESS="METABOLISM"]  [PATHWAY="Pyrimidine salvage"] ribonucleotide-diphosphate reductase subunit beta [Indioceanicola profundi]</t>
  </si>
  <si>
    <t>Ribonucleoside-diphosphate reductase subunit beta n=1 Tax=Tichowtungia aerotolerans TaxID=2697043 RepID=A0A6P1M819_9BACT</t>
  </si>
  <si>
    <t>DNAUV-16.459-106_30</t>
  </si>
  <si>
    <t>sp|Q89AS5|RIR2_BUCBP Ribonucleoside-diphosphate reductase subunit beta OS=Buchnera aphidicola subsp. Baizongia pistaciae (strain Bp) OX=224915 GN=nrdB PE=3 SV=1</t>
  </si>
  <si>
    <t>COG0208 [FUNC="Ribonucleotide reductase beta subunit, ferritin-like domain"] [shortName=NrdB] [TAG=F TAGDEF="Nucleotide transport and metabolism" PROCESS="METABOLISM"]  [PATHWAY="Pyrimidine salvage"] ribonucleotide-diphosphate reductase subunit beta [Marinomonas sp. MWYL1]</t>
  </si>
  <si>
    <t>ribonucleoside-diphosphate reductase n=1 Tax=Synechococcus sp. TMED187 TaxID=1986595 RepID=A0A1Z9KYX3_9SYNE</t>
  </si>
  <si>
    <t>DNAUV-24.309-205_51</t>
  </si>
  <si>
    <t>COG0208 [FUNC="Ribonucleotide reductase beta subunit, ferritin-like domain"] [shortName=NrdB] [TAG=F TAGDEF="Nucleotide transport and metabolism" PROCESS="METABOLISM"]  [PATHWAY="Pyrimidine salvage"] ribonucleotide-diphosphate reductase subunit beta [Niveispirillum cyanobacteriorum]</t>
  </si>
  <si>
    <t>DNAUV-2.290-9.6_1</t>
  </si>
  <si>
    <t>COG0208 [FUNC="Ribonucleotide reductase beta subunit, ferritin-like domain"] [shortName=NrdB] [TAG=F TAGDEF="Nucleotide transport and metabolism" PROCESS="METABOLISM"]  [PATHWAY="Pyrimidine salvage"] ribonucleotide-diphosphate reductase subunit beta, partial [Candidatus Walczuchella monophlebidarum]</t>
  </si>
  <si>
    <t>Oct.NODE_124_length_14767_cov_18.698341_15</t>
  </si>
  <si>
    <t>sp|P9WH76|NRDZ_MYCTO Vitamin B12-dependent ribonucleoside-diphosphate reductase OS=Mycobacterium tuberculosis (strain CDC 1551 / Oshkosh) OX=83331 GN=nrdZ PE=2 SV=1</t>
  </si>
  <si>
    <t>COG0209 [FUNC="Ribonucleotide reductase alpha subunit"] [shortName=NrdA] [TAG=F TAGDEF="Nucleotide transport and metabolism" PROCESS="METABOLISM"]  [PATHWAY="Pyrimidine salvage"] adenosylcobalamin-dependent ribonucleoside-diphosphate reductase [Haloplanus aerogenes]</t>
  </si>
  <si>
    <t>Adenosylcobalamin-dependent ribonucleoside-triphosphate reductase n=1 Tax=Roseobacter phage CRP-3 TaxID=2559282 RepID=A0A646QVX4_9CAUD</t>
  </si>
  <si>
    <t>11.09.P4-24.849-9.8_32</t>
  </si>
  <si>
    <t>sp|Q54CW7|RTPR_DICDI Probable adenosylcobalamin-dependent ribonucleoside-triphosphate reductase OS=Dictyostelium discoideum OX=44689 GN=rtpR PE=3 SV=1</t>
  </si>
  <si>
    <t>COG0209 [FUNC="Ribonucleotide reductase alpha subunit"] [shortName=NrdA] [TAG=F TAGDEF="Nucleotide transport and metabolism" PROCESS="METABOLISM"]  [PATHWAY="Pyrimidine salvage"] fused protease/ribonucleoside-triphosphate reductase [Nitratifractor salsuginis]</t>
  </si>
  <si>
    <t>ribonucleoside-triphosphate reductase (thioredoxin) n=1 Tax=Sediminitomix flava TaxID=379075 RepID=A0A316A5L7_SEDFL</t>
  </si>
  <si>
    <t>DNAUV-10.760-29_6</t>
  </si>
  <si>
    <t>sp|Q6GZT8|RIR1_FRG3G Putative ribonucleoside-diphosphate reductase large subunit OS=Frog virus 3 (isolate Goorha) OX=654924 GN=FV3-038R PE=3 SV=1</t>
  </si>
  <si>
    <t>COG0209 [FUNC="Ribonucleotide reductase alpha subunit"] [shortName=NrdA] [TAG=F TAGDEF="Nucleotide transport and metabolism" PROCESS="METABOLISM"]  [PATHWAY="Pyrimidine salvage"] hypothetical protein [Paenalcaligenes hominis]</t>
  </si>
  <si>
    <t>Ribonucleoside-diphosphate reductase n=1 Tax=Vibrio phage 1.193.O._10N.286.52.C6 TaxID=1881436 RepID=A0A2I7RKL6_9CAUD</t>
  </si>
  <si>
    <t>DNAUV-34.277-41_19</t>
  </si>
  <si>
    <t>DNAUV-56.054-300_23</t>
  </si>
  <si>
    <t>RnR alpha subunit n=1 Tax=Shewanella sp. phage 1/40 TaxID=1458860 RepID=A0A088C4V2_9CAUD</t>
  </si>
  <si>
    <t>DNAUV-22.071-221_37</t>
  </si>
  <si>
    <t>sp|P9WH77|NRDZ_MYCTU Vitamin B12-dependent ribonucleoside-diphosphate reductase OS=Mycobacterium tuberculosis (strain ATCC 25618 / H37Rv) OX=83332 GN=nrdZ PE=1 SV=2</t>
  </si>
  <si>
    <t>COG0209 [FUNC="Ribonucleotide reductase alpha subunit"] [shortName=NrdA] [TAG=F TAGDEF="Nucleotide transport and metabolism" PROCESS="METABOLISM"]  [PATHWAY="Pyrimidine salvage"] MULTISPECIES: ribonucleoside-diphosphate reductase, adenosylcobalamin-dependent [Rhodobacteraceae]</t>
  </si>
  <si>
    <t>Vitamin B12-dependent ribonucleotide reductase n=1 Tax=Marivita hallyeonensis TaxID=996342 RepID=A0A1M5NBT9_9RHOB</t>
  </si>
  <si>
    <t>DNAUV-72.439-197_19</t>
  </si>
  <si>
    <t>COG0209 [FUNC="Ribonucleotide reductase alpha subunit"] [shortName=NrdA] [TAG=F TAGDEF="Nucleotide transport and metabolism" PROCESS="METABOLISM"]  [PATHWAY="Pyrimidine salvage"] MULTISPECIES: ribonucleoside-diphosphate reductase, adenosylcobalamin-dependent [Thioclava]</t>
  </si>
  <si>
    <t>Vitamin B12-dependent ribonucleotide reductase n=1 Tax=Thalassococcus halodurans TaxID=373675 RepID=A0A1H5TAC2_9RHOB</t>
  </si>
  <si>
    <t>DNAUV-20.101-21_10</t>
  </si>
  <si>
    <t>sp|Q196Z5|RIR1_IIV3 Ribonucleoside-diphosphate reductase large subunit OS=Invertebrate iridescent virus 3 OX=345201 GN=IIV3-065R PE=3 SV=1</t>
  </si>
  <si>
    <t>COG0209 [FUNC="Ribonucleotide reductase alpha subunit"] [shortName=NrdA] [TAG=F TAGDEF="Nucleotide transport and metabolism" PROCESS="METABOLISM"]  [PATHWAY="Pyrimidine salvage"] ribonucleoside-diphosphate reductase subunit alpha [Actinobacillus suis]</t>
  </si>
  <si>
    <t>Ribonucleoside-diphosphate reductase large subunit n=1 Tax=Virus NIOZ-UU157 TaxID=2763269 RepID=A0A7S9XDZ5_9VIRU</t>
  </si>
  <si>
    <t>DNAUV-100.032-102_48</t>
  </si>
  <si>
    <t>COG0209 [FUNC="Ribonucleotide reductase alpha subunit"] [shortName=NrdA] [TAG=F TAGDEF="Nucleotide transport and metabolism" PROCESS="METABOLISM"]  [PATHWAY="Pyrimidine salvage"] ribonucleoside-diphosphate reductase subunit alpha [Bibersteinia trehalosi]</t>
  </si>
  <si>
    <t>DNAUV-2.290-9.6_2</t>
  </si>
  <si>
    <t>sp|P23921|RIR1_HUMAN Ribonucleoside-diphosphate reductase large subunit OS=Homo sapiens OX=9606 GN=RRM1 PE=1 SV=1</t>
  </si>
  <si>
    <t>COG0209 [FUNC="Ribonucleotide reductase alpha subunit"] [shortName=NrdA] [TAG=F TAGDEF="Nucleotide transport and metabolism" PROCESS="METABOLISM"]  [PATHWAY="Pyrimidine salvage"] ribonucleoside-diphosphate reductase subunit alpha [Blattabacterium sp. (Blattella germanica)]</t>
  </si>
  <si>
    <t>Ribonucleoside-diphosphate reductase n=1 Tax=Cellulophaga phage phi14:2 TaxID=1327990 RepID=S0A3Y5_9CAUD</t>
  </si>
  <si>
    <t>DNAUV-2.290-9.6_3</t>
  </si>
  <si>
    <t>Ribonucleoside-diphosphate reductase n=2 Tax=Flammeovirga aprica TaxID=29528 RepID=A0A7X9XCQ2_9BACT</t>
  </si>
  <si>
    <t>DNAUV-2.290-9.6_4</t>
  </si>
  <si>
    <t>DNAUV-5.200-20_10</t>
  </si>
  <si>
    <t>Ribonucleoside-diphosphate reductase n=1 Tax=Flammeovirga agarivorans TaxID=2726742 RepID=A0A7X8SPB2_9BACT</t>
  </si>
  <si>
    <t>DNAUV-147.430-52_132</t>
  </si>
  <si>
    <t>COG0209 [FUNC="Ribonucleotide reductase alpha subunit"] [shortName=NrdA] [TAG=F TAGDEF="Nucleotide transport and metabolism" PROCESS="METABOLISM"]  [PATHWAY="Pyrimidine salvage"] ribonucleoside-diphosphate reductase subunit alpha [Candidatus Gracilibacteria bacterium HOT-871]</t>
  </si>
  <si>
    <t>Ribonucleoside-diphosphate reductase alpha subunit n=1 Tax=Sporosarcina phage Lietuvens TaxID=2713145 RepID=A0A6G6XUY3_9CAUD</t>
  </si>
  <si>
    <t>DNAUV-152.980-60_174</t>
  </si>
  <si>
    <t>Ribonucleoside-diphosphate reductase alpha chain n=1 Tax=Faunimonas pinastri TaxID=1855383 RepID=A0A1H9MXI6_9HYPH</t>
  </si>
  <si>
    <t>DNAUV-159.889-409_140</t>
  </si>
  <si>
    <t>DNAUV-2.694-44_5</t>
  </si>
  <si>
    <t>sp|O55716|RIR1_IIV6 Ribonucleoside-diphosphate reductase large subunit OS=Invertebrate iridescent virus 6 OX=176652 GN=IIV6-085L PE=3 SV=1</t>
  </si>
  <si>
    <t>Ribonucleoside-diphosphate reductase, alpha chain n=4 Tax=Salinibacter ruber TaxID=146919 RepID=Q2S696_SALRD</t>
  </si>
  <si>
    <t>05.07.P4-13.300-12_20</t>
  </si>
  <si>
    <t>sp|P37426|RIR1_SALTY Ribonucleoside-diphosphate reductase 1 subunit alpha OS=Salmonella typhimurium (strain LT2 / SGSC1412 / ATCC 700720) OX=99287 GN=nrdA PE=3 SV=1</t>
  </si>
  <si>
    <t>COG0209 [FUNC="Ribonucleotide reductase alpha subunit"] [shortName=NrdA] [TAG=F TAGDEF="Nucleotide transport and metabolism" PROCESS="METABOLISM"]  [PATHWAY="Pyrimidine salvage"] ribonucleoside-diphosphate reductase subunit alpha [Gallaecimonas sp. HK-28]</t>
  </si>
  <si>
    <t>Ribonucleoside-diphosphate reductase n=1 Tax=Kingella oralis ATCC 51147 TaxID=629741 RepID=C4GGV1_9NEIS</t>
  </si>
  <si>
    <t>DNAUV-2.764-31_11</t>
  </si>
  <si>
    <t>COG0209 [FUNC="Ribonucleotide reductase alpha subunit"] [shortName=NrdA] [TAG=F TAGDEF="Nucleotide transport and metabolism" PROCESS="METABOLISM"]  [PATHWAY="Pyrimidine salvage"] ribonucleoside-diphosphate reductase subunit alpha [Glycocaulis alkaliphilus]</t>
  </si>
  <si>
    <t>Ribonucleoside-diphosphate reductase n=1 Tax=Brevundimonas phage vB_BgoS-Bajun TaxID=2948594 RepID=A0A9E7SU89_9CAUD</t>
  </si>
  <si>
    <t>DNAUV-13.692-18_3</t>
  </si>
  <si>
    <t>COG0209 [FUNC="Ribonucleotide reductase alpha subunit"] [shortName=NrdA] [TAG=F TAGDEF="Nucleotide transport and metabolism" PROCESS="METABOLISM"]  [PATHWAY="Pyrimidine salvage"] ribonucleoside-diphosphate reductase subunit alpha [Halorubrum lacusprofundi]</t>
  </si>
  <si>
    <t>Ribonucleoside-diphosphate reductase subunit alpha n=1 Tax=Halorutilus salinus TaxID=2487751 RepID=A0A9Q4C350_9EURY</t>
  </si>
  <si>
    <t>DNAUV-16.459-106_29</t>
  </si>
  <si>
    <t>sp|P43754|RIR1_HAEIN Ribonucleoside-diphosphate reductase subunit alpha OS=Haemophilus influenzae (strain ATCC 51907 / DSM 11121 / KW20 / Rd) OX=71421 GN=nrdA PE=3 SV=1</t>
  </si>
  <si>
    <t>COG0209 [FUNC="Ribonucleotide reductase alpha subunit"] [shortName=NrdA] [TAG=F TAGDEF="Nucleotide transport and metabolism" PROCESS="METABOLISM"]  [PATHWAY="Pyrimidine salvage"] ribonucleoside-diphosphate reductase subunit alpha [Lacimicrobium alkaliphilum]</t>
  </si>
  <si>
    <t>Ribonucleoside-diphosphate reductase n=1 Tax=Pseudoalteromonas xiamenensis TaxID=882626 RepID=A0A975DGW1_9GAMM</t>
  </si>
  <si>
    <t>05.07.P4-2.594-8.1_3</t>
  </si>
  <si>
    <t>COG0209 [FUNC="Ribonucleotide reductase alpha subunit"] [shortName=NrdA] [TAG=F TAGDEF="Nucleotide transport and metabolism" PROCESS="METABOLISM"]  [PATHWAY="Pyrimidine salvage"] ribonucleoside-diphosphate reductase subunit alpha [Paraglaciecola psychrophila]</t>
  </si>
  <si>
    <t>Ribonucleoside-diphosphate reductase n=1 Tax=Synechococcus phage ACG-2014b TaxID=1493508 RepID=A0A0E3ETT1_9CAUD</t>
  </si>
  <si>
    <t>DNAUV-80.863-259_54</t>
  </si>
  <si>
    <t>COG0209 [FUNC="Ribonucleotide reductase alpha subunit"] [shortName=NrdA] [TAG=F TAGDEF="Nucleotide transport and metabolism" PROCESS="METABOLISM"]  [PATHWAY="Pyrimidine salvage"] ribonucleoside-diphosphate reductase subunit alpha [Polaribacter sp. MED152]</t>
  </si>
  <si>
    <t>Ribonucleoside-diphosphate reductase n=1 Tax=Tenacibaculum sp. MAR_2009_124 TaxID=1250059 RepID=A0A1H4S4F5_9FLAO</t>
  </si>
  <si>
    <t>DNAUV-9.637-16_9</t>
  </si>
  <si>
    <t>COG0209 [FUNC="Ribonucleotide reductase alpha subunit"] [shortName=NrdA] [TAG=F TAGDEF="Nucleotide transport and metabolism" PROCESS="METABOLISM"]  [PATHWAY="Pyrimidine salvage"] ribonucleoside-diphosphate reductase subunit alpha [Seonamhaeicola sp. S2-3]</t>
  </si>
  <si>
    <t>Ribonucleoside-diphosphate reductase, alpha chain n=1 Tax=Polaribacter porphyrae TaxID=1137780 RepID=A0A2S7WPF2_9FLAO</t>
  </si>
  <si>
    <t>DNAUV-2.694-44_3</t>
  </si>
  <si>
    <t>COG0209 [FUNC="Ribonucleotide reductase alpha subunit"] [shortName=NrdA] [TAG=F TAGDEF="Nucleotide transport and metabolism" PROCESS="METABOLISM"]  [PATHWAY="Pyrimidine salvage"] ribonucleoside-diphosphate reductase subunit alpha [Winogradskyella sp. PG-2]</t>
  </si>
  <si>
    <t>Ribonucleoside-diphosphate reductase alpha chain n=1 Tax=Mesonia algae TaxID=213248 RepID=A0A2W7IXN2_9FLAO</t>
  </si>
  <si>
    <t>Sept.NODE_215_length_6821_cov_4.521726_11</t>
  </si>
  <si>
    <t>Ribonucleoside-diphosphate reductase subunit alpha n=1 Tax=Mesonia sp. K7 TaxID=2218606 RepID=A0A2W1JWX8_9FLAO</t>
  </si>
  <si>
    <t>Mai.NODE_675_length_3126_cov_5.570824_1</t>
  </si>
  <si>
    <t>COG0209 [FUNC="Ribonucleotide reductase alpha subunit"] [shortName=NrdA] [TAG=F TAGDEF="Nucleotide transport and metabolism" PROCESS="METABOLISM"]  [PATHWAY="Pyrimidine salvage"] ribonucleoside-diphosphate reductase, adenosylcobalamin-dependent [Acetohalobium arabaticum]</t>
  </si>
  <si>
    <t>Ribonucleotide reductase large subunit C-terminal domain-containing protein n=1 Tax=Novosphingobium aureum TaxID=2792964 RepID=A0A931MKS7_9SPHN</t>
  </si>
  <si>
    <t>DNAUV-62.938-22_1</t>
  </si>
  <si>
    <t>COG0209 [FUNC="Ribonucleotide reductase alpha subunit"] [shortName=NrdA] [TAG=F TAGDEF="Nucleotide transport and metabolism" PROCESS="METABOLISM"]  [PATHWAY="Pyrimidine salvage"] ribonucleoside-diphosphate reductase, adenosylcobalamin-dependent [Caldanaerobacter subterraneus]</t>
  </si>
  <si>
    <t>Vitamin B12-dependent ribonucleotide reductase n=1 Tax=Reticulibacter mediterranei TaxID=2778369 RepID=A0A8J3N1G7_9CHLR</t>
  </si>
  <si>
    <t>05.07.P3-6.670-18_15</t>
  </si>
  <si>
    <t>COG0209 [FUNC="Ribonucleotide reductase alpha subunit"] [shortName=NrdA] [TAG=F TAGDEF="Nucleotide transport and metabolism" PROCESS="METABOLISM"]  [PATHWAY="Pyrimidine salvage"] ribonucleoside-diphosphate reductase, adenosylcobalamin-dependent [Candidatus Puniceispirillum marinum]</t>
  </si>
  <si>
    <t>ribonucleoside-diphosphate reductase n=1 Tax=Roseobacter phage CRP-9 TaxID=2813174 RepID=A0A8E5B9C3_9CAUD</t>
  </si>
  <si>
    <t>05.07.P3-6.670-18_6</t>
  </si>
  <si>
    <t>DNAUV-2.002-21_1</t>
  </si>
  <si>
    <t>Vitamin B12-dependent ribonucleotide reductase n=1 Tax=Marivibrio halodurans TaxID=2039722 RepID=A0A8J7V0V3_9PROT</t>
  </si>
  <si>
    <t>DNAUV-38.940-21_14</t>
  </si>
  <si>
    <t>DNAUV-38.940-21_17</t>
  </si>
  <si>
    <t>Vitamin B12-dependent ribonucleotide reductase n=1 Tax=Hyphomicrobium sp. ghe19 TaxID=2682968 RepID=A0A679K207_9HYPH</t>
  </si>
  <si>
    <t>DNAUV-64.562-41_15</t>
  </si>
  <si>
    <t>ribonucleoside-diphosphate reductase n=1 Tax=Alphaproteobacteria phage PhiJL001 TaxID=2681607 RepID=Q5DN91_9CAUD</t>
  </si>
  <si>
    <t>DNAUV-64.565-409_25</t>
  </si>
  <si>
    <t>Vitamin B12-dependent ribonucleotide reductase n=1 Tax=Pontibaca methylaminivorans TaxID=515897 RepID=A0A1R3WHQ6_9RHOB</t>
  </si>
  <si>
    <t>DNAUV-9.069-15_6</t>
  </si>
  <si>
    <t>DNAUV-41.172-78_69</t>
  </si>
  <si>
    <t>COG0209 [FUNC="Ribonucleotide reductase alpha subunit"] [shortName=NrdA] [TAG=F TAGDEF="Nucleotide transport and metabolism" PROCESS="METABOLISM"]  [PATHWAY="Pyrimidine salvage"] ribonucleoside-diphosphate reductase, adenosylcobalamin-dependent [Dehalogenimonas lykanthroporepellens]</t>
  </si>
  <si>
    <t>Ribonucleotide reductase large subunit C-terminal domain-containing protein n=1 Tax=Tardibacter chloracetimidivorans TaxID=1921510 RepID=A0A1L3ZS96_9SPHN</t>
  </si>
  <si>
    <t>Mai.NODE_594_length_3431_cov_3.930095_4</t>
  </si>
  <si>
    <t>sp|Q05262|VG50_BPML5 Putative adenosylcobalamin-dependent ribonucleoside-triphosphate reductase OS=Mycobacterium phage L5 OX=31757 GN=50 PE=3 SV=1</t>
  </si>
  <si>
    <t>COG0209 [FUNC="Ribonucleotide reductase alpha subunit"] [shortName=NrdA] [TAG=F TAGDEF="Nucleotide transport and metabolism" PROCESS="METABOLISM"]  [PATHWAY="Pyrimidine salvage"] ribonucleoside-diphosphate reductase, adenosylcobalamin-dependent [Ezakiella massiliensis]</t>
  </si>
  <si>
    <t>DNAUV-11.532-345_38</t>
  </si>
  <si>
    <t>COG0209 [FUNC="Ribonucleotide reductase alpha subunit"] [shortName=NrdA] [TAG=F TAGDEF="Nucleotide transport and metabolism" PROCESS="METABOLISM"]  [PATHWAY="Pyrimidine salvage"] ribonucleoside-diphosphate reductase, adenosylcobalamin-dependent [Rhodobaca barguzinensis]</t>
  </si>
  <si>
    <t>Vitamin B12-dependent ribonucleotide reductase n=1 Tax=Ruegeria marisrubri TaxID=1685379 RepID=A0A0X3TKB1_9RHOB</t>
  </si>
  <si>
    <t>DNAUV-2.129-12_3</t>
  </si>
  <si>
    <t>sp|Q9HI70|NDRZ_THEAC Vitamin B12-dependent ribonucleoside-diphosphate reductase OS=Thermoplasma acidophilum (strain ATCC 25905 / DSM 1728 / JCM 9062 / NBRC 15155 / AMRC-C165) OX=273075 GN=Ta1475 PE=1 SV=2</t>
  </si>
  <si>
    <t>COG0209 [FUNC="Ribonucleotide reductase alpha subunit"] [shortName=NrdA] [TAG=F TAGDEF="Nucleotide transport and metabolism" PROCESS="METABOLISM"]  [PATHWAY="Pyrimidine salvage"] ribonucleoside-diphosphate reductase, adenosylcobalamin-dependent [Ruegeria pomeroyi]</t>
  </si>
  <si>
    <t>Vitamin B12-dependent ribonucleotide reductase n=1 Tax=Ruegeria sp. PrR005 TaxID=2706882 RepID=A0A6B2NX79_9RHOB</t>
  </si>
  <si>
    <t>05.07.P3-7.327-12_10</t>
  </si>
  <si>
    <t>COG0209 [FUNC="Ribonucleotide reductase alpha subunit"] [shortName=NrdA] [TAG=F TAGDEF="Nucleotide transport and metabolism" PROCESS="METABOLISM"]  [PATHWAY="Pyrimidine salvage"] ribonucleoside-diphosphate reductase, adenosylcobalamin-dependent [Thermaerobacter marianensis]</t>
  </si>
  <si>
    <t>DNAUV-3.329-202_2</t>
  </si>
  <si>
    <t>DNAUV-57.114-48_12</t>
  </si>
  <si>
    <t>Avril.NODE_534_length_4468_cov_5.084976_4</t>
  </si>
  <si>
    <t>COG0209 [FUNC="Ribonucleotide reductase alpha subunit"] [shortName=NrdA] [TAG=F TAGDEF="Nucleotide transport and metabolism" PROCESS="METABOLISM"]  [PATHWAY="Pyrimidine salvage"] ribonucleoside-diphosphate reductase, adenosylcobalamin-dependent [Thermovibrio ammonificans]</t>
  </si>
  <si>
    <t>Avril.NODE_78_length_21756_cov_6.683839_19</t>
  </si>
  <si>
    <t>COG0209 [FUNC="Ribonucleotide reductase alpha subunit"] [shortName=NrdA] [TAG=F TAGDEF="Nucleotide transport and metabolism" PROCESS="METABOLISM"]  [PATHWAY="Pyrimidine salvage"] ribonucleoside-diphosphate reductase, adenosylcobalamin-dependent [Thiobacimonas profunda]</t>
  </si>
  <si>
    <t>ribonucleoside-diphosphate reductase n=5 Tax=Aorunvirus V12 TaxID=2846074 RepID=C4NT50_9CAUD</t>
  </si>
  <si>
    <t>DNAUV-73.172-54_81</t>
  </si>
  <si>
    <t>ribonucleoside-diphosphate reductase n=1 Tax=Roseovarius sp. 217 phage 1 TaxID=874471 RepID=E3PZ93_9CAUD</t>
  </si>
  <si>
    <t>DNAUV-5.865-1025_13</t>
  </si>
  <si>
    <t>sp|Q041L3|RTPR_LACGA Adenosylcobalamin-dependent ribonucleoside-triphosphate reductase OS=Lactobacillus gasseri (strain ATCC 33323 / DSM 20243 / BCRC 14619 / CIP 102991 / JCM 1131 / KCTC 3163 / NCIMB 11718 / NCTC 13722 / AM63) OX=324831 GN=rtpR PE=3 SV=2</t>
  </si>
  <si>
    <t>COG0209 [FUNC="Ribonucleotide reductase alpha subunit"] [shortName=NrdA] [TAG=F TAGDEF="Nucleotide transport and metabolism" PROCESS="METABOLISM"]  [PATHWAY="Pyrimidine salvage"] ribonucleoside-triphosphate reductase, adenosylcobalamin-dependent [Herbinix luporum]</t>
  </si>
  <si>
    <t>Adenosylcobalamin-dependent ribonucleoside-triphosphate reductase n=1 Tax=Aminobacter sp. J15 TaxID=935260 RepID=A0A562FNK6_9HYPH</t>
  </si>
  <si>
    <t>DNAUV-6.588-589_19</t>
  </si>
  <si>
    <t>sp|Q5FMX8|RTPR_LACAC Adenosylcobalamin-dependent ribonucleoside-triphosphate reductase OS=Lactobacillus acidophilus (strain ATCC 700396 / NCK56 / N2 / NCFM) OX=272621 GN=rtpR PE=3 SV=1</t>
  </si>
  <si>
    <t>Sept.NODE_104_length_13001_cov_9.114862_17</t>
  </si>
  <si>
    <t>DNAUV-24.309-205_50</t>
  </si>
  <si>
    <t>COG0209 [FUNC="Ribonucleotide reductase alpha subunit"] [shortName=NrdA] [TAG=F TAGDEF="Nucleotide transport and metabolism" PROCESS="METABOLISM"]  [PATHWAY="Pyrimidine salvage"] ribonucleotide-diphosphate reductase subunit alpha [Candidatus Nucleicultrix amoebiphila]</t>
  </si>
  <si>
    <t>Ribonucleoside-diphosphate reductase n=1 Tax=Tichowtungia aerotolerans TaxID=2697043 RepID=A0A6P1MD83_9BACT</t>
  </si>
  <si>
    <t>DNAUV-43.621-123_71</t>
  </si>
  <si>
    <t>COG0209 [FUNC="Ribonucleotide reductase alpha subunit"] [shortName=NrdA] [TAG=F TAGDEF="Nucleotide transport and metabolism" PROCESS="METABOLISM"]  [PATHWAY="Pyrimidine salvage"] ribonucleotide-diphosphate reductase subunit alpha [Caulobacter crescentus CB15]</t>
  </si>
  <si>
    <t>DNAUV-85.908-43_39</t>
  </si>
  <si>
    <t>COG0209 [FUNC="Ribonucleotide reductase alpha subunit"] [shortName=NrdA] [TAG=F TAGDEF="Nucleotide transport and metabolism" PROCESS="METABOLISM"]  [PATHWAY="Pyrimidine salvage"] ribonucleotide-diphosphate reductase subunit alpha [Francisella tularensis subsp. tularensis SCHU S4]</t>
  </si>
  <si>
    <t>Ribonucleotide reductase barrel domain n=1 Tax=Vibrio phage 1.084.O._10N.261.49.F5 TaxID=2070724 RepID=A0A2I7QXV9_9CAUD</t>
  </si>
  <si>
    <t>DNAUV-22.957-353_28</t>
  </si>
  <si>
    <t>COG0209 [FUNC="Ribonucleotide reductase alpha subunit"] [shortName=NrdA] [TAG=F TAGDEF="Nucleotide transport and metabolism" PROCESS="METABOLISM"]  [PATHWAY="Pyrimidine salvage"] ribonucleotide-diphosphate reductase subunit alpha [Geoglobus acetivorans]</t>
  </si>
  <si>
    <t>DNAUV-7.289-190_22</t>
  </si>
  <si>
    <t>Sept.NODE_512_length_3644_cov_54.654500_4</t>
  </si>
  <si>
    <t>DNAUV-19.443-61_28</t>
  </si>
  <si>
    <t>sp|Q55200|SPHX_SYNY3 Protein SphX OS=Synechocystis sp. (strain PCC 6803 / Kazusa) OX=1111708 GN=sphX PE=3 SV=1</t>
  </si>
  <si>
    <t>COG0226 [FUNC="ABC-type phosphate transport system, periplasmic component"] [shortName=PstS] [TAG=P TAGDEF="Inorganic ion transport and metabolism" PROCESS="METABOLISM"]  [PATHWAY=""] phosphate ABC transporter substrate-binding protein [Marinovum algicola]</t>
  </si>
  <si>
    <t>Phosphate ABC transporter substrate-binding protein n=1 Tax=Rhodosalinus sediminis TaxID=1940533 RepID=A0A3D9BPW1_9RHOB</t>
  </si>
  <si>
    <t>DNAUV-62.938-22_49</t>
  </si>
  <si>
    <t>sp|B5X277|MTNB_SALSA Methylthioribulose-1-phosphate dehydratase OS=Salmo salar OX=8030 GN=apip PE=2 SV=1</t>
  </si>
  <si>
    <t>COG0235 [FUNC="5-methylthioribulose/5-deoxyribulose/Fuculose 1-phosphate aldolase (methionine salvage, sugar degradation)"] [shortName=AraD] [TAG=E TAGDEF="Amino acid transport and metabolism" PROCESS="METABOLISM"] [TAG=G TAGDEF="Carbohydrate transport and metabolism" PROCESS="METABOLISM"]  [PATHWAY="Urea cycle"] class II aldolase family protein [Methylovorus glucosotrophus]</t>
  </si>
  <si>
    <t>L-fuculose-phosphate aldolase n=1 Tax=Novimethylophilus kurashikiensis TaxID=1825523 RepID=A0A2R5FFJ7_9PROT</t>
  </si>
  <si>
    <t>Avril.NODE_490_length_4799_cov_82.955734_4</t>
  </si>
  <si>
    <t>Deoxynucleotide monophosphate kinase n=2 Tax=Rhizobium rosettiformans TaxID=1368430 RepID=A0A4S8Q1E1_9HYPH</t>
  </si>
  <si>
    <t>DNAUV-2.764-31_8</t>
  </si>
  <si>
    <t>Deoxynucleotide monophosphate kinase n=1 Tax=Pseudaminobacter soli TaxID=2831468 RepID=A0A942DWL8_9HYPH</t>
  </si>
  <si>
    <t>DNAUV-43.274-68_162</t>
  </si>
  <si>
    <t>Deoxynucleotide monophosphate kinase n=1 Tax=Shewanella phage SppYZU01 TaxID=1965372 RepID=A0A1V0DYI4_9CAUD</t>
  </si>
  <si>
    <t>DNAUV-5.260-14_12</t>
  </si>
  <si>
    <t>Deoxynucleotide monophosphate kinase n=2 Tax=unclassified Caudoviricetes TaxID=2788787 RepID=A0A2Z4QHE5_9CAUD</t>
  </si>
  <si>
    <t>DNAUV-59.689-63_13</t>
  </si>
  <si>
    <t>Deoxynucleotide monophosphate kinase n=1 Tax=Rhizobium sullae TaxID=50338 RepID=A0A2N0D2Y7_RHISU</t>
  </si>
  <si>
    <t>DNAUV-6.358-16_6</t>
  </si>
  <si>
    <t>Phosphomevalonate kinase n=1 Tax=Thermoanaerobacter thermohydrosulfuricus TaxID=1516 RepID=A0A1G7MSX6_THETY</t>
  </si>
  <si>
    <t>Mai.NODE_318_length_5574_cov_4.833303_3</t>
  </si>
  <si>
    <t>Putative deoxynucleotide monophosphate kinase n=1 Tax=Verrucomicrobia phage P8625 TaxID=1636271 RepID=A0A0E3JI89_9CAUD</t>
  </si>
  <si>
    <t>DNAUV-34.277-41_15</t>
  </si>
  <si>
    <t>sp|P11045|DYR_BACSU Dihydrofolate reductase OS=Bacillus subtilis (strain 168) OX=224308 GN=dfrA PE=1 SV=2</t>
  </si>
  <si>
    <t>COG0262 [FUNC="Dihydrofolate reductase"] [shortName=FolA] [TAG=H TAGDEF="Coenzyme transport and metabolism" PROCESS="METABOLISM"]  [PATHWAY="Folate biosynthesis"] dihydrofolate reductase [Aeribacillus pallidus]</t>
  </si>
  <si>
    <t>dihydrofolate reductase n=2 Tax=unclassified Caudoviricetes TaxID=2788787 RepID=M4M9C1_9CAUD</t>
  </si>
  <si>
    <t>DNAUV-10.760-29_1</t>
  </si>
  <si>
    <t>sp|Q59397|DYR9_ECOLX Dihydrofolate reductase type 9 OS=Escherichia coli OX=562 GN=dhfrIX PE=3 SV=1</t>
  </si>
  <si>
    <t>DNAUV-8.340-15_14</t>
  </si>
  <si>
    <t>sp|Q2HRC6|DYR_HHV8P Putative Dihydrofolate reductase OS=Human herpesvirus 8 type P (isolate GK18) OX=868565 GN=ORF2 PE=3 SV=1</t>
  </si>
  <si>
    <t>COG0262 [FUNC="Dihydrofolate reductase"] [shortName=FolA] [TAG=H TAGDEF="Coenzyme transport and metabolism" PROCESS="METABOLISM"]  [PATHWAY="Folate biosynthesis"] dihydrofolate reductase [Brachyspira intermedia]</t>
  </si>
  <si>
    <t>dihydrofolate reductase n=1 Tax=Brachyspira pilosicoli TaxID=52584 RepID=A0A5C8FB72_BRAPL</t>
  </si>
  <si>
    <t>DNAUV-22.071-221_25</t>
  </si>
  <si>
    <t>COG0262 [FUNC="Dihydrofolate reductase"] [shortName=FolA] [TAG=H TAGDEF="Coenzyme transport and metabolism" PROCESS="METABOLISM"]  [PATHWAY="Folate biosynthesis"] dihydrofolate reductase [Fervidobacterium pennivorans]</t>
  </si>
  <si>
    <t>Dihydrofolate reductase n=1 Tax=Roseobacter phage RDJL Phi 1 TaxID=562742 RepID=F4YXM6_9CAUD</t>
  </si>
  <si>
    <t>DNAUV-147.430-52_157</t>
  </si>
  <si>
    <t>sp|Q89AV2|DYR_BUCBP Dihydrofolate reductase OS=Buchnera aphidicola subsp. Baizongia pistaciae (strain Bp) OX=224915 GN=folA PE=3 SV=1</t>
  </si>
  <si>
    <t>COG0262 [FUNC="Dihydrofolate reductase"] [shortName=FolA] [TAG=H TAGDEF="Coenzyme transport and metabolism" PROCESS="METABOLISM"]  [PATHWAY="Folate biosynthesis"] dihydrofolate reductase [Fictibacillus phosphorivorans]</t>
  </si>
  <si>
    <t>Dihydrofolate reductase n=1 Tax=Fictibacillus phosphorivorans TaxID=1221500 RepID=A0A5P0YGX2_9BACI</t>
  </si>
  <si>
    <t>DNAUV-9.780-28_3</t>
  </si>
  <si>
    <t>sp|A5FHM7|GCH1_FLAJ1 GTP cyclohydrolase 1 OS=Flavobacterium johnsoniae (strain ATCC 17061 / DSM 2064 / JCM 8514 / NBRC 14942 / NCIMB 11054 / UW101) OX=376686 GN=folE PE=3 SV=1</t>
  </si>
  <si>
    <t>COG0302 [FUNC="GTP cyclohydrolase I"] [shortName=FolE] [TAG=H TAGDEF="Coenzyme transport and metabolism" PROCESS="METABOLISM"]  [PATHWAY="Folate biosynthesis"] GTP cyclohydrolase I [Variovorax paradoxus]</t>
  </si>
  <si>
    <t>VOG02030 [FUNC="sp|A4J5D0|GCH1_DESRM GTP cyclohydrolase 1"] [TAG=Xh TAGDEF="Virus protein with function beneficial for the host"]</t>
  </si>
  <si>
    <t>GTP cyclohydrolase I n=1 Tax=Rhizobium phage RHph_I1_18 TaxID=2509726 RepID=A0A7S5RDS0_9CAUD</t>
  </si>
  <si>
    <t>DNAUV-51.550-178_12</t>
  </si>
  <si>
    <t>sp|Q7N6K7|GCH1_PHOLL GTP cyclohydrolase 1 OS=Photorhabdus laumondii subsp. laumondii (strain DSM 15139 / CIP 105565 / TT01) OX=243265 GN=folE PE=3 SV=1</t>
  </si>
  <si>
    <t>COG0302 [FUNC="GTP cyclohydrolase I"] [shortName=FolE] [TAG=H TAGDEF="Coenzyme transport and metabolism" PROCESS="METABOLISM"]  [PATHWAY="Folate biosynthesis"] GTP cyclohydrolase I FolE [Gilliamella apicola]</t>
  </si>
  <si>
    <t>GTP cyclohydrolase I n=5 Tax=unclassified Caudoviricetes TaxID=2788787 RepID=M1Q6X8_9CAUD</t>
  </si>
  <si>
    <t>DNAUV-6.049-15_16</t>
  </si>
  <si>
    <t>sp|A6SZ52|GCH1_JANMA GTP cyclohydrolase 1 OS=Janthinobacterium sp. (strain Marseille) OX=375286 GN=folE PE=3 SV=1</t>
  </si>
  <si>
    <t>COG0302 [FUNC="GTP cyclohydrolase I"] [shortName=FolE] [TAG=H TAGDEF="Coenzyme transport and metabolism" PROCESS="METABOLISM"]  [PATHWAY="Folate biosynthesis"] GTP cyclohydrolase I FolE [Herminiimonas arsenicoxydans]</t>
  </si>
  <si>
    <t>GTP cyclohydrolase I n=1 Tax=Pseudomonas phage JG054 TaxID=1970800 RepID=A0A2H4GYC9_9CAUD</t>
  </si>
  <si>
    <t>DNAUV-80.863-259_26</t>
  </si>
  <si>
    <t>sp|A0L1S4|GCH1_SHESA GTP cyclohydrolase 1 OS=Shewanella sp. (strain ANA-3) OX=94122 GN=folE PE=3 SV=1</t>
  </si>
  <si>
    <t>COG0302 [FUNC="GTP cyclohydrolase I"] [shortName=FolE] [TAG=H TAGDEF="Coenzyme transport and metabolism" PROCESS="METABOLISM"]  [PATHWAY="Folate biosynthesis"] MULTISPECIES: hypothetical protein [Photorhabdus]</t>
  </si>
  <si>
    <t>GTP cyclohydrolase I n=3 Tax=Cellulophaga phage phiST TaxID=756282 RepID=R9ZXV4_9CAUD</t>
  </si>
  <si>
    <t>DNAUV-19.443-61_27</t>
  </si>
  <si>
    <t>COG0306 [FUNC="Phosphate/sulfate permease"] [shortName=PitA] [TAG=P TAGDEF="Inorganic ion transport and metabolism" PROCESS="METABOLISM"]  [PATHWAY=""] hypothetical protein [Algoriphagus sp. M8-2]</t>
  </si>
  <si>
    <t>Phosphate/sulfate permease n=1 Tax=Jiulongibacter sediminis TaxID=1605367 RepID=A0A0P7BJU4_9BACT</t>
  </si>
  <si>
    <t>11.09.P3-3.319-63_2</t>
  </si>
  <si>
    <t>COG0458 [FUNC="Carbamoylphosphate synthase large subunit"] [shortName=CarB] [TAG=E TAGDEF="Amino acid transport and metabolism" PROCESS="METABOLISM"] [TAG=F TAGDEF="Nucleotide transport and metabolism" PROCESS="METABOLISM"]  [PATHWAY="Arginine biosynthesis"] hypothetical protein [Oleiphilus messinensis]</t>
  </si>
  <si>
    <t>Phosphoheptose isomerase n=1 Tax=Pusillimonas sp. (ex Stolz et al. 2005) TaxID=1979962 RepID=A0A2D7XB26_9BURK</t>
  </si>
  <si>
    <t>DNAUV-24.214-21_33</t>
  </si>
  <si>
    <t>sp|A2C0A9|PYRE_PROM1 Orotate phosphoribosyltransferase OS=Prochlorococcus marinus (strain NATL1A) OX=167555 GN=pyrE PE=3 SV=1</t>
  </si>
  <si>
    <t>COG0461 [FUNC="Orotate phosphoribosyltransferase"] [shortName=PyrE] [TAG=F TAGDEF="Nucleotide transport and metabolism" PROCESS="METABOLISM"]  [PATHWAY="Pyrimidine biosynthesis"] orotate phosphoribosyltransferase [Candidatus Koribacter versatilis]</t>
  </si>
  <si>
    <t>VOG36905 [FUNC="sp|A2C0A9|PYRE_PROM1 Orotate phosphoribosyltransferase"] [TAG=Xh TAGDEF="Virus protein with function beneficial for the host"]</t>
  </si>
  <si>
    <t>Phosphoribosyltransferase n=1 Tax=Rhodovarius crocodyli TaxID=1979269 RepID=A0A437LV49_9PROT</t>
  </si>
  <si>
    <t>DNAUV-100.032-102_25</t>
  </si>
  <si>
    <t>sp|Q9HLV6|KPRS_THEAC Ribose-phosphate pyrophosphokinase OS=Thermoplasma acidophilum (strain ATCC 25905 / DSM 1728 / JCM 9062 / NBRC 15155 / AMRC-C165) OX=273075 GN=prs PE=3 SV=2</t>
  </si>
  <si>
    <t>COG0462 [FUNC="Phosphoribosylpyrophosphate synthetase"] [shortName=PrsA] [TAG=F TAGDEF="Nucleotide transport and metabolism" PROCESS="METABOLISM"]  [PATHWAY="Histidine biosynthesis, Purine biosynthesis"] phosphoribosylpyrophosphate synthetase [Persicobacter sp. JZB09]</t>
  </si>
  <si>
    <t>Phosphoribosylpyrophosphate synthetase n=1 Tax=Pedobacter yonginense TaxID=651869 RepID=A0A317ERG4_9SPHI</t>
  </si>
  <si>
    <t>DNAUV-100.032-102_23</t>
  </si>
  <si>
    <t>COG0462 [FUNC="Phosphoribosylpyrophosphate synthetase"] [shortName=PrsA] [TAG=F TAGDEF="Nucleotide transport and metabolism" PROCESS="METABOLISM"]  [PATHWAY="Histidine biosynthesis, Purine biosynthesis"] phosphoribosyltransferase [Cellulophaga algicola]</t>
  </si>
  <si>
    <t>Ribose-phosphate pyrophosphokinase n=1 Tax=Olleya aquimaris TaxID=639310 RepID=A0A6H3PX46_9FLAO</t>
  </si>
  <si>
    <t>DNAUV-8.008-20_10</t>
  </si>
  <si>
    <t>sp|Q8EAQ9|KPRS_SHEON Ribose-phosphate pyrophosphokinase OS=Shewanella oneidensis (strain MR-1) OX=211586 GN=prs PE=3 SV=1</t>
  </si>
  <si>
    <t>COG0462 [FUNC="Phosphoribosylpyrophosphate synthetase"] [shortName=PrsA] [TAG=F TAGDEF="Nucleotide transport and metabolism" PROCESS="METABOLISM"]  [PATHWAY="Histidine biosynthesis, Purine biosynthesis"] ribose-phosphate pyrophosphokinase [Aquimarina sp. AD10]</t>
  </si>
  <si>
    <t>Ribose-phosphate diphosphokinase n=1 Tax=Spongiivirga citrea TaxID=1481457 RepID=A0A6M0CFP2_9FLAO</t>
  </si>
  <si>
    <t>DNAUV-85.908-43_68</t>
  </si>
  <si>
    <t>sp|Q98R83|KPRS_MYCPU Ribose-phosphate pyrophosphokinase OS=Mycoplasmopsis pulmonis (strain UAB CTIP) OX=272635 GN=prs PE=3 SV=1</t>
  </si>
  <si>
    <t>COG0462 [FUNC="Phosphoribosylpyrophosphate synthetase"] [shortName=PrsA] [TAG=F TAGDEF="Nucleotide transport and metabolism" PROCESS="METABOLISM"]  [PATHWAY="Histidine biosynthesis, Purine biosynthesis"] ribose-phosphate pyrophosphokinase [Oleispira antarctica]</t>
  </si>
  <si>
    <t>Phosphoribosyltransferase domain-containing protein n=1 Tax=Vibrio phage eugene 12A10 TaxID=573172 RepID=R9U9X1_9CAUD</t>
  </si>
  <si>
    <t>DNAUV-78.511-202_24</t>
  </si>
  <si>
    <t>COG0476 [FUNC="Molybdopterin or thiamine biosynthesis adenylyltransferase"] [shortName=ThiF] [TAG=H TAGDEF="Coenzyme transport and metabolism" PROCESS="METABOLISM"]  [PATHWAY="Molybdopterin biosynthesis"] hypothetical protein [Candidatus Saccharimonas aalborgensis]</t>
  </si>
  <si>
    <t>VOG04105 [FUNC="REFSEQ thiamine biosynthesis protein"] [TAG=Xu TAGDEF="Function unknown"]</t>
  </si>
  <si>
    <t>E1 enzyme family protein n=1 Tax=Podoviridae sp. ctQyH19 TaxID=2825249 RepID=A0A8S5UQM5_9CAUD</t>
  </si>
  <si>
    <t>11.09.P4-7.032-3.4_6</t>
  </si>
  <si>
    <t>sp|Q49XD2|GUAC_STAS1 GMP reductase OS=Staphylococcus saprophyticus subsp. saprophyticus (strain ATCC 15305 / DSM 20229 / NCIMB 8711 / NCTC 7292 / S-41) OX=342451 GN=guaC PE=3 SV=1</t>
  </si>
  <si>
    <t>COG0516 [FUNC="IMP dehydrogenase/GMP reductase"] [shortName=GuaB] [TAG=F TAGDEF="Nucleotide transport and metabolism" PROCESS="METABOLISM"]  [PATHWAY="Purine biosynthesis"] guanosine monophosphate reductase [Halodesulfurarchaeum formicicum]</t>
  </si>
  <si>
    <t>Guanosine monophosphate reductase n=1 Tax=Halorubrum sp. CBA1229 TaxID=1853699 RepID=A0A7D4Y8G1_9EURY</t>
  </si>
  <si>
    <t>17.05.P3-4.824-8.9_2</t>
  </si>
  <si>
    <t>sp|O29458|DCDA_ARCFU Diaminopimelate decarboxylase OS=Archaeoglobus fulgidus (strain ATCC 49558 / DSM 4304 / JCM 9628 / NBRC 100126 / VC-16) OX=224325 GN=lysA PE=3 SV=1</t>
  </si>
  <si>
    <t>COG0527 [FUNC="Aspartate kinase"] [shortName=MetL1] [TAG=E TAGDEF="Amino acid transport and metabolism" PROCESS="METABOLISM"]  [PATHWAY="Lysine biosynthesis"] diaminopimelate decarboxylase [Kangiella koreensis]</t>
  </si>
  <si>
    <t>aspartate kinase n=1 Tax=Legionella sp. km535 TaxID=2498107 RepID=A0A3S0W6T6_9GAMM</t>
  </si>
  <si>
    <t>DNAUV-48.934-1423_18</t>
  </si>
  <si>
    <t>COG0561 [FUNC="Hydroxymethylpyrimidine pyrophosphatase and other HAD family phosphatases"] [shortName=Cof] [TAG=H TAGDEF="Coenzyme transport and metabolism" PROCESS="METABOLISM"] [TAG=R TAGDEF="General function prediction only" PROCESS="POORLY CHARACTERIZED"]  [PATHWAY=""] haloacid dehalogenase [Ferroglobus placidus]</t>
  </si>
  <si>
    <t>VOG21107 [FUNC="REFSEQ hypothetical protein"] [TAG=Xu TAGDEF="Function unknown"]</t>
  </si>
  <si>
    <t>Uncharacterized protein n=1 Tax=Vibrio phage vB_ValP_VA-RY-3 TaxID=2831177 RepID=A0A8E5US02_9CAUD</t>
  </si>
  <si>
    <t>DNAUV-80.863-259_33</t>
  </si>
  <si>
    <t>COG0561 [FUNC="Hydroxymethylpyrimidine pyrophosphatase and other HAD family phosphatases"] [shortName=Cof] [TAG=H TAGDEF="Coenzyme transport and metabolism" PROCESS="METABOLISM"] [TAG=R TAGDEF="General function prediction only" PROCESS="POORLY CHARACTERIZED"]  [PATHWAY=""] hydrolase [Draconibacterium orientale]</t>
  </si>
  <si>
    <t>Gp95 n=1 Tax=Sphingomonas phage PAU TaxID=1150991 RepID=H9NBX2_9CAUD</t>
  </si>
  <si>
    <t>DNAUV-2.724-14_2</t>
  </si>
  <si>
    <t>sp|B0R9W6|QUEE_HALS3 7-carboxy-7-deazaguanine synthase OS=Halobacterium salinarum (strain ATCC 29341 / DSM 671 / R1) OX=478009 GN=queE PE=3 SV=1</t>
  </si>
  <si>
    <t>COG0602 [FUNC="Organic radical activating enzyme NrdG/QueE"] [shortName=QueE] [TAG=H TAGDEF="Coenzyme transport and metabolism" PROCESS="METABOLISM"]  [PATHWAY="tRNA modification"] 7-carboxy-7-deazaguanine synthase QueE [Lacunisphaera limnophila]</t>
  </si>
  <si>
    <t>VOG20380 [FUNC="sp|Q9ZCV2|QUEE_RICPR 7-carboxy-7-deazaguanine synthase"] [TAG=Xh TAGDEF="Virus protein with function beneficial for the host"]</t>
  </si>
  <si>
    <t>Queuosine biosynthesis protein n=1 Tax=Synechococcus phage BUCT-ZZ01 TaxID=2951202 RepID=A0A9E7NN97_9CAUD</t>
  </si>
  <si>
    <t>DNAUV-80.863-259_25</t>
  </si>
  <si>
    <t>COG0602 [FUNC="Organic radical activating enzyme NrdG/QueE"] [shortName=QueE] [TAG=H TAGDEF="Coenzyme transport and metabolism" PROCESS="METABOLISM"]  [PATHWAY="tRNA modification"] 7-carboxy-7-deazaguanine synthase QueE [Natronolimnobius aegyptiacus]</t>
  </si>
  <si>
    <t>Queuosine biosynthesis QueE radical SAM n=4 Tax=Cellulophaga phage phiST TaxID=756282 RepID=R9ZVS8_9CAUD</t>
  </si>
  <si>
    <t>DNAUV-51.550-178_21</t>
  </si>
  <si>
    <t>COG0602 [FUNC="Organic radical activating enzyme NrdG/QueE"] [shortName=QueE] [TAG=H TAGDEF="Coenzyme transport and metabolism" PROCESS="METABOLISM"]  [PATHWAY="tRNA modification"] 7-carboxy-7-deazaguanine synthase QueE [Saprospira grandis]</t>
  </si>
  <si>
    <t>Queuosine biosynthesis QueE radical SAM n=4 Tax=unclassified Caudoviricetes TaxID=2788787 RepID=M1PXL8_9CAUD</t>
  </si>
  <si>
    <t>05.07.P3-5.090-10_4</t>
  </si>
  <si>
    <t>COG0602 [FUNC="Organic radical activating enzyme NrdG/QueE"] [shortName=QueE] [TAG=H TAGDEF="Coenzyme transport and metabolism" PROCESS="METABOLISM"]  [PATHWAY="tRNA modification"] hypothetical protein [Gynuella sunshinyii]</t>
  </si>
  <si>
    <t>05.07.P4-2.934-34_5</t>
  </si>
  <si>
    <t>DNAUV-9.780-28_2</t>
  </si>
  <si>
    <t>sp|Q0PBX7|QUEE_CAMJE 7-carboxy-7-deazaguanine synthase OS=Campylobacter jejuni subsp. jejuni serotype O:2 (strain ATCC 700819 / NCTC 11168) OX=192222 GN=queE PE=3 SV=1</t>
  </si>
  <si>
    <t>7-carboxy-7-deazaguanine synthase n=1 Tax=Muricauda sp. TMED12 TaxID=1986608 RepID=A0A424LGL8_9FLAO</t>
  </si>
  <si>
    <t>23.10.P4-9.639-4.1_12</t>
  </si>
  <si>
    <t>COG0662 [FUNC="Mannose-6-phosphate isomerase, cupin superfamily"] [shortName=ManC] [TAG=G TAGDEF="Carbohydrate transport and metabolism" PROCESS="METABOLISM"]  [PATHWAY=""] cupin domain-containing protein [Chloracidobacterium thermophilum]</t>
  </si>
  <si>
    <t>Cupin 2 conserved barrel domain-containing protein n=1 Tax=Phycisphaera sp. TMED151 TaxID=1986610 RepID=A0A1Z9H800_9BACT</t>
  </si>
  <si>
    <t>11.09.P4-24.849-9.8_21</t>
  </si>
  <si>
    <t>COG0662 [FUNC="Mannose-6-phosphate isomerase, cupin superfamily"] [shortName=ManC] [TAG=G TAGDEF="Carbohydrate transport and metabolism" PROCESS="METABOLISM"]  [PATHWAY=""] cupin domain-containing protein [Vulgatibacter incomptus]</t>
  </si>
  <si>
    <t>Cupin n=1 Tax=Lake Baikal phage Baikal-20-5m-C28 TaxID=2047876 RepID=A0A2H4N7Y2_9CAUD</t>
  </si>
  <si>
    <t>Avril.NODE_118_length_15026_cov_7.254091_9</t>
  </si>
  <si>
    <t>sp|Q6MCL7|DCD_PARUW dCTP deaminase OS=Protochlamydia amoebophila (strain UWE25) OX=264201 GN=dcd PE=3 SV=1</t>
  </si>
  <si>
    <t>COG0717 [FUNC="dCTP deaminase"] [shortName=Dcd] [TAG=F TAGDEF="Nucleotide transport and metabolism" PROCESS="METABOLISM"]  [PATHWAY="Thymidylate biosynthesis"] dCTP deaminase [Nitratireductor sp. OM-1]</t>
  </si>
  <si>
    <t>dCTP deaminase n=1 Tax=Erwinia phage phiEaP8 TaxID=2178928 RepID=A0A3G1QTQ3_9CAUD</t>
  </si>
  <si>
    <t>DNAUV-2.968-10_6</t>
  </si>
  <si>
    <t>DNAUV-64.565-409_45</t>
  </si>
  <si>
    <t>sp|C1F6A5|DCD_ACIC5 dCTP deaminase OS=Acidobacterium capsulatum (strain ATCC 51196 / DSM 11244 / BCRC 80197 / JCM 7670 / NBRC 15755 / NCIMB 13165 / 161) OX=240015 GN=dcd PE=3 SV=1</t>
  </si>
  <si>
    <t>Deoxycytidine triphosphate deaminase (DUMP-forming) n=1 Tax=Hyphomicrobium sulfonivorans TaxID=121290 RepID=A0A109BL99_HYPSL</t>
  </si>
  <si>
    <t>DNAUV-72.439-197_29</t>
  </si>
  <si>
    <t>Putative dCTP deaminase n=1 Tax=Sinorhizobium phage ort11 TaxID=2599764 RepID=A0A5C2H1E2_9CAUD</t>
  </si>
  <si>
    <t>DNAUV-73.172-54_131</t>
  </si>
  <si>
    <t>sp|A7NGH6|DCD_ROSCS dCTP deaminase OS=Roseiflexus castenholzii (strain DSM 13941 / HLO8) OX=383372 GN=dcd PE=3 SV=1</t>
  </si>
  <si>
    <t>dCTP deaminase n=1 Tax=Erwinia phage Fifi067 TaxID=2996065 RepID=A0A9E8YUC8_9CAUD</t>
  </si>
  <si>
    <t>DNAUV-13.646-18_10</t>
  </si>
  <si>
    <t>COG0717 [FUNC="dCTP deaminase"] [shortName=Dcd] [TAG=F TAGDEF="Nucleotide transport and metabolism" PROCESS="METABOLISM"]  [PATHWAY="Thymidylate biosynthesis"] deoxyuridine 5'-triphosphate nucleotidohydrolase [Haloarculaceae archaeon HArcel1]</t>
  </si>
  <si>
    <t>dUTPase-like domain-containing protein n=1 Tax=Muricauda sp. TMED12 TaxID=1986608 RepID=A0A3R7VP04_9FLAO</t>
  </si>
  <si>
    <t>DNAUV-7.606-32_6</t>
  </si>
  <si>
    <t>sp|A8LWH4|DCDB_SALAI dCTP deaminase, dUMP-forming OS=Salinispora arenicola (strain CNS-205) OX=391037 GN=dcd PE=3 SV=1</t>
  </si>
  <si>
    <t>DNAUV-9.780-28_9</t>
  </si>
  <si>
    <t>sp|Q12XH1|DUT_METBU Probable deoxyuridine 5'-triphosphate nucleotidohydrolase OS=Methanococcoides burtonii (strain DSM 6242 / NBRC 107633 / OCM 468 / ACE-M) OX=259564 GN=dut PE=3 SV=1</t>
  </si>
  <si>
    <t>COG0717 [FUNC="dCTP deaminase"] [shortName=Dcd] [TAG=F TAGDEF="Nucleotide transport and metabolism" PROCESS="METABOLISM"]  [PATHWAY="Thymidylate biosynthesis"] deoxyuridine 5'-triphosphate nucleotidohydrolase [halophilic archaeon DL31]</t>
  </si>
  <si>
    <t>11.09.P2-4.695-4.7_8</t>
  </si>
  <si>
    <t>sp|Q92J44|QUED_RICCN 6-carboxy-5,6,7,8-tetrahydropterin synthase OS=Rickettsia conorii (strain ATCC VR-613 / Malish 7) OX=272944 GN=queD PE=3 SV=2</t>
  </si>
  <si>
    <t>COG0720 [FUNC="6-pyruvoyl-tetrahydropterin synthase"] [shortName=QueD] [TAG=H TAGDEF="Coenzyme transport and metabolism" PROCESS="METABOLISM"]  [PATHWAY="tRNA modification"] 6-carboxytetrahydropterin synthase [Halobacteriovorax marinus]</t>
  </si>
  <si>
    <t>VOG02589 [FUNC="sp|Q1RHI6|QUED_RICBR 6-carboxy-5,6,7,8-tetrahydropterin synthase"] [TAG=Xh TAGDEF="Virus protein with function beneficial for the host"]</t>
  </si>
  <si>
    <t>6-carboxy-5,6,7,8-tetrahydropterin synthase n=1 Tax=Richelia sp. RM2_1_2 TaxID=2720436 RepID=A0A969MQ36_9NOST</t>
  </si>
  <si>
    <t>DNAUV-51.550-178_14</t>
  </si>
  <si>
    <t>6-pyruvoyl-tetrahydropterin synthase n=5 Tax=unclassified Caudoviricetes TaxID=2788787 RepID=M1NXK1_9CAUD</t>
  </si>
  <si>
    <t>DNAUV-9.780-28_1</t>
  </si>
  <si>
    <t>05.07.P3-5.090-10_3</t>
  </si>
  <si>
    <t>sp|O66626|QUED_AQUAE 6-carboxy-5,6,7,8-tetrahydropterin synthase OS=Aquifex aeolicus (strain VF5) OX=224324 GN=queD PE=3 SV=1</t>
  </si>
  <si>
    <t>COG0720 [FUNC="6-pyruvoyl-tetrahydropterin synthase"] [shortName=QueD] [TAG=H TAGDEF="Coenzyme transport and metabolism" PROCESS="METABOLISM"]  [PATHWAY="tRNA modification"] 6-pyruvoyl tetrahydrobiopterin synthase [Maricaulis maris]</t>
  </si>
  <si>
    <t>6-carboxy-5,6,7,8-tetrahydropterin synthase n=1 Tax=Bosea sp. LC85 TaxID=1502851 RepID=A0A085FMM0_9HYPH</t>
  </si>
  <si>
    <t>05.07.P4-2.934-34_2</t>
  </si>
  <si>
    <t>COG0720 [FUNC="6-pyruvoyl-tetrahydropterin synthase"] [shortName=QueD] [TAG=H TAGDEF="Coenzyme transport and metabolism" PROCESS="METABOLISM"]  [PATHWAY="tRNA modification"] 6-pyruvoyl tetrahydropterin synthase [Bacteriovorax stolpii]</t>
  </si>
  <si>
    <t>DNAUV-80.863-259_23</t>
  </si>
  <si>
    <t>6-carboxy-5,6,7,8-tetrahydropterin synthase n=1 Tax=Roseofilum reptotaenium AO1-A TaxID=1925591 RepID=A0A1L9QUH6_9CYAN</t>
  </si>
  <si>
    <t>DNAUV-4.262-15_10</t>
  </si>
  <si>
    <t>sp|Q9RT63|RECDL_DEIRA ATP-dependent RecD-like DNA helicase OS=Deinococcus radiodurans (strain ATCC 13939 / DSM 20539 / JCM 16871 / CCUG 27074 / LMG 4051 / NBRC 15346 / NCIMB 9279 / VKM B-1422 / R1) OX=243230 GN=recD2 PE=1 SV=1</t>
  </si>
  <si>
    <t>Putative DNA helicase n=1 Tax=Pseudomonas phage PaMx46 TaxID=1815978 RepID=A0A1C8HTN5_9CAUD</t>
  </si>
  <si>
    <t>Mai.NODE_366_length_4831_cov_6.127722_2</t>
  </si>
  <si>
    <t>Putative helicase, RecD/TraA family n=1 Tax=Parvimonas sp. oral taxon 110 str. F0139 TaxID=767100 RepID=F5TBL9_9FIRM</t>
  </si>
  <si>
    <t>DNAUV-62.938-22_62</t>
  </si>
  <si>
    <t>COG1051 [FUNC="ADP-ribose pyrophosphatase YjhB, NUDIX family"] [shortName=YjhB] [TAG=F TAGDEF="Nucleotide transport and metabolism" PROCESS="METABOLISM"]  [PATHWAY=""] NUDIX domain-containing protein [Actinoplanes friuliensis]</t>
  </si>
  <si>
    <t>NUDIX domain-containing protein n=1 Tax=Brevibacillus panacihumi TaxID=497735 RepID=A0A3M8C6F8_9BACL</t>
  </si>
  <si>
    <t>DNAUV-2.293-12_1</t>
  </si>
  <si>
    <t>sp|O45830|NDX1_CAEEL Putative nudix hydrolase 1 OS=Caenorhabditis elegans OX=6239 GN=ndx-1 PE=3 SV=1</t>
  </si>
  <si>
    <t>COG1051 [FUNC="ADP-ribose pyrophosphatase YjhB, NUDIX family"] [shortName=YjhB] [TAG=F TAGDEF="Nucleotide transport and metabolism" PROCESS="METABOLISM"]  [PATHWAY=""] NUDIX hydrolase [Avibacterium paragallinarum]</t>
  </si>
  <si>
    <t>NUDIX domain-containing protein n=1 Tax=Aquibacillus halophilus TaxID=930132 RepID=A0A6A8DLD0_9BACI</t>
  </si>
  <si>
    <t>DNAUV-152.980-60_186</t>
  </si>
  <si>
    <t>sp|Q55928|NADM_SYNY3 Bifunctional NMN adenylyltransferase/Nudix hydrolase OS=Synechocystis sp. (strain PCC 6803 / Kazusa) OX=1111708 GN=slr0787 PE=1 SV=1</t>
  </si>
  <si>
    <t>COG1056 [FUNC="Nicotinamide mononucleotide adenylyltransferase"] [shortName=NadR] [TAG=H TAGDEF="Coenzyme transport and metabolism" PROCESS="METABOLISM"]  [PATHWAY="NAD biosynthesis"] ADP-ribose pyrophosphatase [Gynuella sunshinyii]</t>
  </si>
  <si>
    <t>VOG02012 [FUNC="sp|Q55928|NADM_SYNY3 Bifunctional NMN adenylyltransferase/Nudix hydrolase"] [TAG=Xh TAGDEF="Virus protein with function beneficial for the host"]</t>
  </si>
  <si>
    <t>Bifunctional Nicotinamide/nicotinate mononucleotide adenylyltransferase n=3 Tax=Emdodecavirus TaxID=1980937 RepID=S5M770_9CAUD</t>
  </si>
  <si>
    <t>DNAUV-159.889-409_152</t>
  </si>
  <si>
    <t>COG1056 [FUNC="Nicotinamide mononucleotide adenylyltransferase"] [shortName=NadR] [TAG=H TAGDEF="Coenzyme transport and metabolism" PROCESS="METABOLISM"]  [PATHWAY="NAD biosynthesis"] MULTISPECIES: bifunctional nicotinamide-nucleotide adenylyltransferase/Nudix hydroxylase [Synechocystis]</t>
  </si>
  <si>
    <t>DNAUV-11.419-18_19</t>
  </si>
  <si>
    <t>COG1102 [FUNC="Cytidylate kinase"] [shortName=CmkB] [TAG=F TAGDEF="Nucleotide transport and metabolism" PROCESS="METABOLISM"]  [PATHWAY=""] hypothetical protein [Fastidiosipila sanguinis]</t>
  </si>
  <si>
    <t>Nuclease associated modular domain-containing protein n=1 Tax=Acinetobacter phage AB-Navy1 TaxID=2920927 RepID=A0A9E7DQZ1_9CAUD</t>
  </si>
  <si>
    <t>11.09.P2-2.920-47_5</t>
  </si>
  <si>
    <t>COG1122 [FUNC="Energy-coupling factor transporter ATP-binding protein EcfA2"] [shortName=EcfA2] [TAG=P TAGDEF="Inorganic ion transport and metabolism" PROCESS="METABOLISM"] [TAG=R TAGDEF="General function prediction only" PROCESS="POORLY CHARACTERIZED"]  [PATHWAY=""] cobalt ABC transporter ATP-binding protein [Aggregatibacter actinomycetemcomitans]</t>
  </si>
  <si>
    <t>Putative tail fiber n=1 Tax=Pontimonas phage phiPsal1 TaxID=2079347 RepID=A0A2K9VGT3_9CAUD</t>
  </si>
  <si>
    <t>DNAUV-3.914-119_1</t>
  </si>
  <si>
    <t>DNAUV-3.954-103_1</t>
  </si>
  <si>
    <t>DNAUV-5.450-206_4</t>
  </si>
  <si>
    <t>Oct.NODE_1684_length_2230_cov_2.792644_1</t>
  </si>
  <si>
    <t>Sept.NODE_1245_length_2006_cov_45.664787_1</t>
  </si>
  <si>
    <t>DNAUV-2.849-14_1</t>
  </si>
  <si>
    <t>sp|Q2GE91|LOLD_NEOSM Lipoprotein-releasing system ATP-binding protein LolD OS=Neorickettsia sennetsu (strain ATCC VR-367 / Miyayama) OX=222891 GN=lolD PE=3 SV=1</t>
  </si>
  <si>
    <t>COG1126 [FUNC="ABC-type polar amino acid transport system, ATPase component"] [shortName=GlnQ] [TAG=E TAGDEF="Amino acid transport and metabolism" PROCESS="METABOLISM"]  [PATHWAY=""] amino acid ABC transporter ATP-binding protein [Azorhizobium caulinodans]</t>
  </si>
  <si>
    <t>STRUCTURAL MAINTENANCE OF CHROMOSOMES PROTEIN n=1 Tax=Myoviridae sp. ctfJc17 TaxID=2827612 RepID=A0A8S5LR97_9CAUD</t>
  </si>
  <si>
    <t>DNAUV-8.623-317_23</t>
  </si>
  <si>
    <t>COG1213 [FUNC="Choline kinase"] [shortName=] [TAG=I TAGDEF="Lipid transport and metabolism" PROCESS="METABOLISM"]  [PATHWAY=""] hypothetical protein [Chloroherpeton thalassium]</t>
  </si>
  <si>
    <t>Putative sugar nucleotidyltransferases n=1 Tax=Luteimonas sp. J16 TaxID=935283 RepID=A0A562C7Z0_9GAMM</t>
  </si>
  <si>
    <t>Avril.NODE_208_length_8822_cov_7.156838_6</t>
  </si>
  <si>
    <t>COG1216 [FUNC="Glycosyltransferase, GT2 family"] [shortName=WcaE] [TAG=G TAGDEF="Carbohydrate transport and metabolism" PROCESS="METABOLISM"]  [PATHWAY=""] glycosyltransferase [Clostridium acetobutylicum ATCC 824]</t>
  </si>
  <si>
    <t>Glycosyltransferase 2-like domain-containing protein (Fragment) n=1 Tax=Ditylum brightwellii TaxID=49249 RepID=A0A7S4S065_9STRA</t>
  </si>
  <si>
    <t>11.09.P4-24.849-9.8_29</t>
  </si>
  <si>
    <t>11.09.P1-2.769-4.9_10</t>
  </si>
  <si>
    <t>sp|Q05889|LPG1_LEIDO Galactofuranosyl glycosyltransferase OS=Leishmania donovani OX=5661 GN=LPG1 PE=2 SV=1</t>
  </si>
  <si>
    <t>COG1216 [FUNC="Glycosyltransferase, GT2 family"] [shortName=WcaE] [TAG=G TAGDEF="Carbohydrate transport and metabolism" PROCESS="METABOLISM"]  [PATHWAY=""] hypothetical protein [Cyanobium gracile]</t>
  </si>
  <si>
    <t>GT2 family glycosyltransferase n=1 Tax=Pontimonas phage phiPsal1 TaxID=2079347 RepID=A0A2K9VGT4_9CAUD</t>
  </si>
  <si>
    <t>11.09.P4-15.966-7.3_29</t>
  </si>
  <si>
    <t>11.09.P4-19.981-12_44</t>
  </si>
  <si>
    <t>23.10.P4-2.583-7.9_4</t>
  </si>
  <si>
    <t>DNAUV-10.817-54_3</t>
  </si>
  <si>
    <t>DNAUV-12.383-30_14</t>
  </si>
  <si>
    <t>DNAUV-2.661-20_3</t>
  </si>
  <si>
    <t>DNAUV-3.330-229_3</t>
  </si>
  <si>
    <t>DNAUV-3.816-231_7</t>
  </si>
  <si>
    <t>DNAUV-35.223-36_63</t>
  </si>
  <si>
    <t>DNAUV-9.697-307_13</t>
  </si>
  <si>
    <t>Oct.NODE_133_length_14145_cov_13.486231_8</t>
  </si>
  <si>
    <t>Oct.NODE_165_length_11404_cov_3.438805_9</t>
  </si>
  <si>
    <t>Oct.NODE_191_length_10239_cov_19.502848_13</t>
  </si>
  <si>
    <t>Oct.NODE_54_length_30916_cov_12.817180_12</t>
  </si>
  <si>
    <t>Sept.NODE_68_length_19049_cov_12.264083_18</t>
  </si>
  <si>
    <t>DNAUV-13.646-18_12</t>
  </si>
  <si>
    <t>COG1216 [FUNC="Glycosyltransferase, GT2 family"] [shortName=WcaE] [TAG=G TAGDEF="Carbohydrate transport and metabolism" PROCESS="METABOLISM"]  [PATHWAY=""] hypothetical protein [Sphingopyxis alaskensis]</t>
  </si>
  <si>
    <t>Glycosyltransferase n=1 Tax=Stenotrophomonas phage vB_SmaS-DLP_6 TaxID=1651816 RepID=A0A142EZR2_9CAUD</t>
  </si>
  <si>
    <t>DNAUV-152.980-60_143</t>
  </si>
  <si>
    <t>DNAUV-159.889-409_103</t>
  </si>
  <si>
    <t>DNAUV-16.459-106_19</t>
  </si>
  <si>
    <t>DNAUV-6.343-14_6</t>
  </si>
  <si>
    <t>DNAUV-7.606-32_7</t>
  </si>
  <si>
    <t>Mai.NODE_170_length_9238_cov_8.755091_8</t>
  </si>
  <si>
    <t>sp|A0A0H2ZQT7|WALJ_STRP2 Exodeoxyribonuclease WalJ OS=Streptococcus pneumoniae serotype 2 (strain D39 / NCTC 7466) OX=373153 GN=walJ PE=1 SV=1</t>
  </si>
  <si>
    <t>COG1235 [FUNC="Phosphoribosyl 1,2-cyclic phosphate phosphodiesterase"] [shortName=PhnP] [TAG=P TAGDEF="Inorganic ion transport and metabolism" PROCESS="METABOLISM"]  [PATHWAY=""] MBL fold metallo-hydrolase [Gramella forsetii]</t>
  </si>
  <si>
    <t>VOG30734 [FUNC="sp|C0SP91|YYCJ_BACSU Exodeoxyribonuclease YycJ"] [TAG=Xu TAGDEF="Function unknown"]</t>
  </si>
  <si>
    <t>MBL fold metallo-hydrolase n=1 Tax=Carboxylicivirga sediminis TaxID=2006564 RepID=A0A941IXI6_9BACT</t>
  </si>
  <si>
    <t>05.07.P3-15.581-31_16</t>
  </si>
  <si>
    <t>05.07.P4-10.196-26_18</t>
  </si>
  <si>
    <t>05.07.P4-10.196-26_6</t>
  </si>
  <si>
    <t>05.07.P4-15.059-52_10</t>
  </si>
  <si>
    <t>05.07.P4-15.059-52_2</t>
  </si>
  <si>
    <t>05.07.P4-3.452-52_2</t>
  </si>
  <si>
    <t>Adenosylcobalamin-dependent ribonucleoside-triphosphate reductase n=1 Tax=Roseobacter phage CRP-4 TaxID=2559283 RepID=A0A646QW45_9CAUD</t>
  </si>
  <si>
    <t>05.07.P4-45.835-37_58</t>
  </si>
  <si>
    <t>05.07.P4-7.222-16_5</t>
  </si>
  <si>
    <t>11.09.P1-11.148-50_8</t>
  </si>
  <si>
    <t>Adenosylcobalamin-dependent ribonucleoside-triphosphate reductase n=1 Tax=Roseobacter phage CRP-6 TaxID=2559285 RepID=A0A646QXP0_9CAUD</t>
  </si>
  <si>
    <t>11.09.P1-4.695-17_6</t>
  </si>
  <si>
    <t>sp|Q035U1|RTPR_LACP3 Adenosylcobalamin-dependent ribonucleoside-triphosphate reductase OS=Lacticaseibacillus paracasei (strain ATCC 334 / BCRC 17002 / CCUG 31169 / CIP 107868 / KCTC 3260 / NRRL B-441) OX=321967 GN=rtpR PE=3 SV=1</t>
  </si>
  <si>
    <t>11.09.P2-5.186-4.6_6</t>
  </si>
  <si>
    <t>Adenosylcobalamin-dependent ribonucleoside-triphosphate reductase n=1 Tax=Roseobacter phage CRP-5 TaxID=2559284 RepID=A0A646QWB3_9CAUD</t>
  </si>
  <si>
    <t>11.09.P4-15.476-7.9_12</t>
  </si>
  <si>
    <t>Ribonucleoside-triphosphate reductase n=1 Tax=Marine Group I thaumarchaeote TaxID=2511932 RepID=A0A7K4N3P1_9ARCH</t>
  </si>
  <si>
    <t>11.09.P4-19.072-23_13</t>
  </si>
  <si>
    <t>Avril.NODE_1353_length_2232_cov_29.663757_2</t>
  </si>
  <si>
    <t>sp|Q1G7W2|RTPR_LACDA Adenosylcobalamin-dependent ribonucleoside-triphosphate reductase OS=Lactobacillus delbrueckii subsp. bulgaricus (strain ATCC 11842 / DSM 20081 / BCRC 10696 / JCM 1002 / NBRC 13953 / NCIMB 11778 / NCTC 12712 / WDCM 00102 / Lb 14) OX=390333 GN=rtpR PE=3 SV=1</t>
  </si>
  <si>
    <t>Ribonucleotide reductase n=1 Tax=Streptomyces phage EGole TaxID=2517973 RepID=A0A482JAE6_9CAUD</t>
  </si>
  <si>
    <t>Avril.NODE_4_length_52184_cov_14.862668_62</t>
  </si>
  <si>
    <t>Avril.NODE_9_length_46600_cov_10.230895_20</t>
  </si>
  <si>
    <t>DNAUV-14.799-179_15</t>
  </si>
  <si>
    <t>DNAUV-16.119-15_12</t>
  </si>
  <si>
    <t>sp|Q2PDF6|RTPR_EUGGR Adenosylcobalamin-dependent ribonucleoside-triphosphate reductase OS=Euglena gracilis OX=3039 GN=rnr PE=1 SV=1</t>
  </si>
  <si>
    <t>Adenosylcobalamin-dependent ribonucleoside-triphosphate reductase n=1 Tax=Puniceispirillum phage HMO-2011 TaxID=948071 RepID=S4S2D9_9CAUD</t>
  </si>
  <si>
    <t>DNAUV-16.256-16_37</t>
  </si>
  <si>
    <t>sp|A8YW74|RTPR_LACH4 Adenosylcobalamin-dependent ribonucleoside-triphosphate reductase OS=Lactobacillus helveticus (strain DPC 4571) OX=405566 GN=rtpR PE=3 SV=1</t>
  </si>
  <si>
    <t>DNAUV-2.184-29_2</t>
  </si>
  <si>
    <t>DNAUV-2.206-500_2</t>
  </si>
  <si>
    <t>DNAUV-2.213-34_4</t>
  </si>
  <si>
    <t>DNAUV-2.213-34_5</t>
  </si>
  <si>
    <t>Ribonucleotide reductase n=1 Tax=Streptomyces phage Mildred21 TaxID=2023959 RepID=A0A222YWR0_9CAUD</t>
  </si>
  <si>
    <t>DNAUV-2.227-18_2</t>
  </si>
  <si>
    <t>DNAUV-2.227-18_3</t>
  </si>
  <si>
    <t>Adenosylcobalamin-dependent ribonucleoside-triphosphate reductase n=1 Tax=Roseobacter phage CRP-13 TaxID=2813173 RepID=A0A8E5F7I2_9CAUD</t>
  </si>
  <si>
    <t>DNAUV-2.336-10_2</t>
  </si>
  <si>
    <t>DNAUV-2.540-782_2</t>
  </si>
  <si>
    <t>DNAUV-2.669-1158_1</t>
  </si>
  <si>
    <t>DNAUV-29.464-218_1</t>
  </si>
  <si>
    <t>DNAUV-3.368-21_7</t>
  </si>
  <si>
    <t>DNAUV-3.899-84_4</t>
  </si>
  <si>
    <t>DNAUV-37.297-108_14</t>
  </si>
  <si>
    <t>DNAUV-37.297-108_16</t>
  </si>
  <si>
    <t>DNAUV-5.190-86_3</t>
  </si>
  <si>
    <t>DNAUV-5.218-135_4</t>
  </si>
  <si>
    <t>sp|Q03PB4|RTPR_LEVBA Adenosylcobalamin-dependent ribonucleoside-triphosphate reductase OS=Levilactobacillus brevis (strain ATCC 367 / BCRC 12310 / CIP 105137 / JCM 1170 / LMG 11437 / NCIMB 947 / NCTC 947) OX=387344 GN=rtpR PE=3 SV=1</t>
  </si>
  <si>
    <t>DNAUV-5.218-135_7</t>
  </si>
  <si>
    <t>DNAUV-5.427-16_6</t>
  </si>
  <si>
    <t>DNAUV-5.980-260_11</t>
  </si>
  <si>
    <t>DNAUV-5.997-503_9</t>
  </si>
  <si>
    <t>DNAUV-50.039-64_22</t>
  </si>
  <si>
    <t>DNAUV-6.355-99_17</t>
  </si>
  <si>
    <t>DNAUV-6.832-14_2</t>
  </si>
  <si>
    <t>Putative ribonucleotide reductase n=1 Tax=Pseudomonas phage PaMx25 TaxID=1175654 RepID=A0A0S0N897_9CAUD</t>
  </si>
  <si>
    <t>DNAUV-6.832-14_3</t>
  </si>
  <si>
    <t>DNAUV-7.883-22_3</t>
  </si>
  <si>
    <t>Adenosylcobalamin-dependent ribonucleoside-triphosphate reductase n=1 Tax=Pseudomonas phage JG054 TaxID=1970800 RepID=A0A2H4GYF4_9CAUD</t>
  </si>
  <si>
    <t>DNAUV-7.883-22_5</t>
  </si>
  <si>
    <t>DNAUV-8.944-24_1</t>
  </si>
  <si>
    <t>Mai.NODE_1227_length_2010_cov_9.385678_2</t>
  </si>
  <si>
    <t>Oct.NODE_1221_length_2766_cov_30.631501_1</t>
  </si>
  <si>
    <t>Oct.NODE_1527_length_2394_cov_2.855494_4</t>
  </si>
  <si>
    <t>Sept.NODE_417_length_4163_cov_36.522882_5</t>
  </si>
  <si>
    <t>Sept.NODE_531_length_3550_cov_43.767096_3</t>
  </si>
  <si>
    <t>Sept.NODE_652_length_3074_cov_4.121895_3</t>
  </si>
  <si>
    <t>Sept.NODE_967_length_2367_cov_54.884083_1</t>
  </si>
  <si>
    <t>Sept.NODE_97_length_14357_cov_113.549504_8</t>
  </si>
  <si>
    <t>DNAUV-5.176-80_8</t>
  </si>
  <si>
    <t>COG1328 [FUNC="Anaerobic ribonucleoside-triphosphate reductase"] [shortName=NrdD] [TAG=F TAGDEF="Nucleotide transport and metabolism" PROCESS="METABOLISM"]  [PATHWAY="Thymidylate biosynthesis"] recombinase [Roseiflexus sp. RS-1]</t>
  </si>
  <si>
    <t>DNAUV-3.615-146_3</t>
  </si>
  <si>
    <t>COG1328 [FUNC="Anaerobic ribonucleoside-triphosphate reductase"] [shortName=NrdD] [TAG=F TAGDEF="Nucleotide transport and metabolism" PROCESS="METABOLISM"]  [PATHWAY="Thymidylate biosynthesis"] recombinase [Verrucomicrobia bacterium IMCC26134]</t>
  </si>
  <si>
    <t>Recombinase n=1 Tax=Kushneria phosphatilytica TaxID=657387 RepID=A0A1S1NSC4_9GAMM</t>
  </si>
  <si>
    <t>DNAUV-3.871-236_5</t>
  </si>
  <si>
    <t>DNAUV-8.290-65_17</t>
  </si>
  <si>
    <t>Ribonucleoside-triphosphate reductase (thioredoxin) n=1 Tax=Muricauda sp. TMED12 TaxID=1986608 RepID=A0A3R7T7Y8_9FLAO</t>
  </si>
  <si>
    <t>DNAUV-12.287-20_9</t>
  </si>
  <si>
    <t>COG1328 [FUNC="Anaerobic ribonucleoside-triphosphate reductase"] [shortName=NrdD] [TAG=F TAGDEF="Nucleotide transport and metabolism" PROCESS="METABOLISM"]  [PATHWAY="Thymidylate biosynthesis"] ribonucleoside triphosphate reductase [Candidatus Thiodictyon syntrophicum]</t>
  </si>
  <si>
    <t>N-acetylmuramoyl-L-alanine amidase domain-containing protein n=1 Tax=Nocardiopsis sinuspersici TaxID=501010 RepID=A0A1V3C800_9ACTN</t>
  </si>
  <si>
    <t>DNAUV-2.037-19_3</t>
  </si>
  <si>
    <t>Homing endonuclease n=1 Tax=Vibrio phage 249E41-1 TaxID=2963183 RepID=A0A9P0VGM2_9CAUD</t>
  </si>
  <si>
    <t>DNAUV-147.430-52_131</t>
  </si>
  <si>
    <t>sp|O84835|RIR2_CHLTR Ribonucleoside-diphosphate reductase subunit beta OS=Chlamydia trachomatis (strain D/UW-3/Cx) OX=272561 GN=nrdB PE=1 SV=1</t>
  </si>
  <si>
    <t>COG1328 [FUNC="Anaerobic ribonucleoside-triphosphate reductase"] [shortName=NrdD] [TAG=F TAGDEF="Nucleotide transport and metabolism" PROCESS="METABOLISM"]  [PATHWAY="Thymidylate biosynthesis"] ribonucleoside-diphosphate reductase [Cellulophaga algicola]</t>
  </si>
  <si>
    <t>ribonucleoside-diphosphate reductase n=1 Tax=Pseudozobellia thermophila TaxID=192903 RepID=A0A1M6GBM2_9FLAO</t>
  </si>
  <si>
    <t>DNAUV-13.692-18_1</t>
  </si>
  <si>
    <t>COG1328 [FUNC="Anaerobic ribonucleoside-triphosphate reductase"] [shortName=NrdD] [TAG=F TAGDEF="Nucleotide transport and metabolism" PROCESS="METABOLISM"]  [PATHWAY="Thymidylate biosynthesis"] ribonucleoside-diphosphate reductase [Zobellia galactanivorans]</t>
  </si>
  <si>
    <t>ribonucleoside-diphosphate reductase n=1 Tax=Psychromonas sp. CNPT3 TaxID=314282 RepID=M4U7Q8_9GAMM</t>
  </si>
  <si>
    <t>11.09.P4-14.613-5.8_12</t>
  </si>
  <si>
    <t>COG1328 [FUNC="Anaerobic ribonucleoside-triphosphate reductase"] [shortName=NrdD] [TAG=F TAGDEF="Nucleotide transport and metabolism" PROCESS="METABOLISM"]  [PATHWAY="Thymidylate biosynthesis"] Ribonucleoside-triphosphate reductase [Candidatus Saccharibacteria bacterium RAAC3_TM7_1]</t>
  </si>
  <si>
    <t>11.09.P4-4.358-3.0_1</t>
  </si>
  <si>
    <t>11.09.P4-8.195-3.6_2</t>
  </si>
  <si>
    <t>DNAUV-12.147-754_25</t>
  </si>
  <si>
    <t>DNAUV-2.103-152_1</t>
  </si>
  <si>
    <t>DNAUV-3.097-133_5</t>
  </si>
  <si>
    <t>DNAUV-63.154-214_99</t>
  </si>
  <si>
    <t>Oct.NODE_303_length_6944_cov_17.025258_13</t>
  </si>
  <si>
    <t>Sept.NODE_255_length_6045_cov_48.327880_7</t>
  </si>
  <si>
    <t>Sept.NODE_368_length_4519_cov_52.705421_5</t>
  </si>
  <si>
    <t>11.09.P3-3.306-1.5_6</t>
  </si>
  <si>
    <t>COG1328 [FUNC="Anaerobic ribonucleoside-triphosphate reductase"] [shortName=NrdD] [TAG=F TAGDEF="Nucleotide transport and metabolism" PROCESS="METABOLISM"]  [PATHWAY="Thymidylate biosynthesis"] Ribonucleoside-triphosphate reductase [Herpetosiphon aurantiacus DSM 785]</t>
  </si>
  <si>
    <t>DNAUV-16.256-16_39</t>
  </si>
  <si>
    <t>DNAUV-5.622-87_7</t>
  </si>
  <si>
    <t>COG1328 [FUNC="Anaerobic ribonucleoside-triphosphate reductase"] [shortName=NrdD] [TAG=F TAGDEF="Nucleotide transport and metabolism" PROCESS="METABOLISM"]  [PATHWAY="Thymidylate biosynthesis"] ribonucleoside-triphosphate reductase, adenosylcobalamin-dependent [Alkaliphilus metalliredigens]</t>
  </si>
  <si>
    <t>Ribonucleoside-triphosphate reductase, adenosylcobalamin-dependent n=2 Tax=Rhizobium rosettiformans TaxID=1368430 RepID=A0A4S8Q7R0_9HYPH</t>
  </si>
  <si>
    <t>DNAUV-3.146-31_5</t>
  </si>
  <si>
    <t>COG1328 [FUNC="Anaerobic ribonucleoside-triphosphate reductase"] [shortName=NrdD] [TAG=F TAGDEF="Nucleotide transport and metabolism" PROCESS="METABOLISM"]  [PATHWAY="Thymidylate biosynthesis"] ribonucleoside-triphosphate reductase, adenosylcobalamin-dependent [Halanaerobium hydrogeniformans]</t>
  </si>
  <si>
    <t>DNAUV-100.032-102_47</t>
  </si>
  <si>
    <t>COG1328 [FUNC="Anaerobic ribonucleoside-triphosphate reductase"] [shortName=NrdD] [TAG=F TAGDEF="Nucleotide transport and metabolism" PROCESS="METABOLISM"]  [PATHWAY="Thymidylate biosynthesis"] ribonucleotide reductase [Candidatus Gracilibacteria bacterium HOT-871]</t>
  </si>
  <si>
    <t>ribonucleoside-diphosphate reductase n=1 Tax=Virus NIOZ-UU157 TaxID=2763269 RepID=A0A7S9XGA4_9VIRU</t>
  </si>
  <si>
    <t>DNAUV-20.101-21_9</t>
  </si>
  <si>
    <t>DNAUV-152.980-60_173</t>
  </si>
  <si>
    <t>COG1328 [FUNC="Anaerobic ribonucleoside-triphosphate reductase"] [shortName=NrdD] [TAG=F TAGDEF="Nucleotide transport and metabolism" PROCESS="METABOLISM"]  [PATHWAY="Thymidylate biosynthesis"] ribonucleotide reductase [Euzebyella marina]</t>
  </si>
  <si>
    <t>ribonucleoside-diphosphate reductase n=1 Tax=Bradyrhizobium diazoefficiens TaxID=1355477 RepID=A0A0E4BV93_9BRAD</t>
  </si>
  <si>
    <t>Sept.NODE_215_length_6821_cov_4.521726_10</t>
  </si>
  <si>
    <t>COG1328 [FUNC="Anaerobic ribonucleoside-triphosphate reductase"] [shortName=NrdD] [TAG=F TAGDEF="Nucleotide transport and metabolism" PROCESS="METABOLISM"]  [PATHWAY="Thymidylate biosynthesis"] ribonucleotide reductase [Seonamhaeicola sp. S2-3]</t>
  </si>
  <si>
    <t>ribonucleoside-diphosphate reductase n=1 Tax=Galbibacter marinus TaxID=555500 RepID=K2PRY3_9FLAO</t>
  </si>
  <si>
    <t>11.09.P4-14.613-5.8_11</t>
  </si>
  <si>
    <t>COG1328 [FUNC="Anaerobic ribonucleoside-triphosphate reductase"] [shortName=NrdD] [TAG=F TAGDEF="Nucleotide transport and metabolism" PROCESS="METABOLISM"]  [PATHWAY="Thymidylate biosynthesis"] Ribonucleotide reductase of class II (coenzyme B12-dependent) [Salinispira pacifica]</t>
  </si>
  <si>
    <t>Sept.NODE_1209_length_2054_cov_5.337169_3</t>
  </si>
  <si>
    <t>ribonucleoside-triphosphate reductase (thioredoxin) n=1 Tax=Rhizobium phage RHph_N3_19 TaxID=2509746 RepID=A0A7S5RE38_9CAUD</t>
  </si>
  <si>
    <t>11.09.P4-7.750-6.7_7</t>
  </si>
  <si>
    <t>COG1351 [FUNC="Thymidylate synthase ThyX, FAD-dependent family"] [shortName=ThyX] [TAG=F TAGDEF="Nucleotide transport and metabolism" PROCESS="METABOLISM"]  [PATHWAY="Thymidylate biosynthesis"] FAD-dependent thymidylate synthase [Azorhizobium caulinodans]</t>
  </si>
  <si>
    <t>Flavin-dependent thymidylate synthase n=1 Tax=Ochrobactrum phage vB_OspM_OC TaxID=2712956 RepID=A0A6G6XYC2_9CAUD</t>
  </si>
  <si>
    <t>DNAUV-152.980-60_27</t>
  </si>
  <si>
    <t>sp|B7IF44|THYX_THEAB Flavin-dependent thymidylate synthase OS=Thermosipho africanus (strain TCF52B) OX=484019 GN=thyX PE=3 SV=1</t>
  </si>
  <si>
    <t>FAD-dependent thymidylate synthase n=1 Tax=Kineobactrum salinum TaxID=2708301 RepID=A0A6C0U4V6_9GAMM</t>
  </si>
  <si>
    <t>DNAUV-159.889-409_6</t>
  </si>
  <si>
    <t>Thymidylate synthase n=1 Tax=Klebsiella phage VB_KpP_HS106 TaxID=2996116 RepID=A0A9E9C446_9CAUD</t>
  </si>
  <si>
    <t>DNAUV-16.566-137_36</t>
  </si>
  <si>
    <t>DNAUV-63.154-214_76</t>
  </si>
  <si>
    <t>Oct.NODE_124_length_14767_cov_18.698341_2</t>
  </si>
  <si>
    <t>Oct.NODE_583_length_4490_cov_4.150846_4</t>
  </si>
  <si>
    <t>RP thymidylate synthase n=1 Tax=Siovirus americense TaxID=136084 RepID=Q9G0H4_9CAUD</t>
  </si>
  <si>
    <t>DNAUV-48.934-1423_17</t>
  </si>
  <si>
    <t>sp|Q890M6|THYX_CLOTE Flavin-dependent thymidylate synthase OS=Clostridium tetani (strain Massachusetts / E88) OX=212717 GN=thyX PE=3 SV=1</t>
  </si>
  <si>
    <t>COG1351 [FUNC="Thymidylate synthase ThyX, FAD-dependent family"] [shortName=ThyX] [TAG=F TAGDEF="Nucleotide transport and metabolism" PROCESS="METABOLISM"]  [PATHWAY="Thymidylate biosynthesis"] FAD-dependent thymidylate synthase [Clostridium botulinum A str. ATCC 3502]</t>
  </si>
  <si>
    <t>Putative thymidylate synthase n=1 Tax=Vibrio phage vB_ValP_VA-RY-3 TaxID=2831177 RepID=A0A8E5UW35_9CAUD</t>
  </si>
  <si>
    <t>DNAUV-2.390-10_3</t>
  </si>
  <si>
    <t>COG1351 [FUNC="Thymidylate synthase ThyX, FAD-dependent family"] [shortName=ThyX] [TAG=F TAGDEF="Nucleotide transport and metabolism" PROCESS="METABOLISM"]  [PATHWAY="Thymidylate biosynthesis"] hypothetical protein [Euzebya sp. DY32-46]</t>
  </si>
  <si>
    <t>Putative thymidylate synthase n=1 Tax=Erwinia phage vB_EamP_Rexella TaxID=1852642 RepID=A0A191ZD06_9CAUD</t>
  </si>
  <si>
    <t>DNAUV-5.622-87_1</t>
  </si>
  <si>
    <t>Thymidylate synthase n=2 Tax=Rhizobium rosettiformans TaxID=1368430 RepID=A0A7W8MCP2_9HYPH</t>
  </si>
  <si>
    <t>DNAUV-85.908-43_20</t>
  </si>
  <si>
    <t>Thymidylate synthase n=2 Tax=Barbavirus TaxID=2733095 RepID=A0A4P8N9J6_9CAUD</t>
  </si>
  <si>
    <t>DNAUV-2.032-101_2</t>
  </si>
  <si>
    <t>COG1351 [FUNC="Thymidylate synthase ThyX, FAD-dependent family"] [shortName=ThyX] [TAG=F TAGDEF="Nucleotide transport and metabolism" PROCESS="METABOLISM"]  [PATHWAY="Thymidylate biosynthesis"] hypothetical protein [Luteitalea pratensis]</t>
  </si>
  <si>
    <t>Thymidylate synthase n=1 Tax=Richelia sp. RM2_1_2 TaxID=2720436 RepID=A0A969MM91_9NOST</t>
  </si>
  <si>
    <t>DNAUV-2.032-101_4</t>
  </si>
  <si>
    <t>Putative thymidylate synthase complementing protein n=1 Tax=Cellulophaga phage phi13:1 TaxID=1327992 RepID=S0A4E0_9CAUD</t>
  </si>
  <si>
    <t>DNAUV-3.395-114_4</t>
  </si>
  <si>
    <t>DNAUV-3.395-114_6</t>
  </si>
  <si>
    <t>Avril.NODE_118_length_15026_cov_7.254091_12</t>
  </si>
  <si>
    <t>COG1351 [FUNC="Thymidylate synthase ThyX, FAD-dependent family"] [shortName=ThyX] [TAG=F TAGDEF="Nucleotide transport and metabolism" PROCESS="METABOLISM"]  [PATHWAY="Thymidylate biosynthesis"] hypothetical protein tll1156 [Thermosynechococcus elongatus BP-1]</t>
  </si>
  <si>
    <t>Putative thymidylate synthase n=1 Tax=Dinoroseobacter phage DFL12phi1 TaxID=1477404 RepID=A0A023NGL2_9CAUD</t>
  </si>
  <si>
    <t>DNAUV-4.175-10_2</t>
  </si>
  <si>
    <t>N4 gp30-like protein n=1 Tax=Sulfitobacter phage EE36phi1 TaxID=490913 RepID=C4NTB0_9CAUD</t>
  </si>
  <si>
    <t>DNAUV-5.260-14_15</t>
  </si>
  <si>
    <t>Thymidylate synthase n=2 Tax=unclassified Caudoviricetes TaxID=2788787 RepID=A0A2Z4QH81_9CAUD</t>
  </si>
  <si>
    <t>DNAUV-72.439-197_17</t>
  </si>
  <si>
    <t>Putative thymidylate synthase n=1 Tax=Dinoroseobacter phage vBDshPR2C TaxID=1498169 RepID=A0A0A7CHV8_9CAUD</t>
  </si>
  <si>
    <t>DNAUV-73.172-54_135</t>
  </si>
  <si>
    <t>DNAUV-5.512-54_8</t>
  </si>
  <si>
    <t>sp|P73053|THYX_SYNY3 Flavin-dependent thymidylate synthase OS=Synechocystis sp. (strain PCC 6803 / Kazusa) OX=1111708 GN=thyX PE=3 SV=1</t>
  </si>
  <si>
    <t>COG1351 [FUNC="Thymidylate synthase ThyX, FAD-dependent family"] [shortName=ThyX] [TAG=F TAGDEF="Nucleotide transport and metabolism" PROCESS="METABOLISM"]  [PATHWAY="Thymidylate biosynthesis"] MULTISPECIES: FAD-dependent thymidylate synthase [Synechocystis]</t>
  </si>
  <si>
    <t>Putative thymidylate synthase n=1 Tax=Lake Baikal phage Baikal-20-5m-C28 TaxID=2047876 RepID=A0A2H4N7R8_9CAUD</t>
  </si>
  <si>
    <t>05.07.P3-7.417-49_11</t>
  </si>
  <si>
    <t>sp|O41156|THYX_PBCV1 Probable flavin-dependent thymidylate synthase OS=Paramecium bursaria Chlorella virus 1 OX=10506 GN=A674R PE=1 SV=1</t>
  </si>
  <si>
    <t>COG1351 [FUNC="Thymidylate synthase ThyX, FAD-dependent family"] [shortName=ThyX] [TAG=F TAGDEF="Nucleotide transport and metabolism" PROCESS="METABOLISM"]  [PATHWAY="Thymidylate biosynthesis"] Predicted alternative thymidylate synthase [Prochlorococcus marinus subsp. marinus str. CCMP1375]</t>
  </si>
  <si>
    <t>Thymidylate synthase n=1 Tax=Acinetobacter phage TaPaz TaxID=2834266 RepID=A0A8E7L2N5_9CAUD</t>
  </si>
  <si>
    <t>05.07.P3-8.137-13_5</t>
  </si>
  <si>
    <t>COG1351 [FUNC="Thymidylate synthase ThyX, FAD-dependent family"] [shortName=ThyX] [TAG=F TAGDEF="Nucleotide transport and metabolism" PROCESS="METABOLISM"]  [PATHWAY="Thymidylate biosynthesis"] thymidylate synthase (FAD) [Aureimonas sp. AU20]</t>
  </si>
  <si>
    <t>FAD-dependent thymidylate synthase n=1 Tax=Muricauda sp. TMED12 TaxID=1986608 RepID=A0A424LQ01_9FLAO</t>
  </si>
  <si>
    <t>11.09.P4-15.476-7.9_10</t>
  </si>
  <si>
    <t>DNAUV-16.459-106_28</t>
  </si>
  <si>
    <t>DNAUV-2.753-140_4</t>
  </si>
  <si>
    <t>DNAUV-2.992-15-V3_4</t>
  </si>
  <si>
    <t>Thymidylate synthase n=1 Tax=Alteromonas phage vB_AmeM_PT11-V22 TaxID=2704031 RepID=A0A6C0R1N9_9CAUD</t>
  </si>
  <si>
    <t>DNAUV-3.292-52_1</t>
  </si>
  <si>
    <t>Thymidylate synthase n=1 Tax=Acinetobacter phage Aristophanes TaxID=2759203 RepID=A0A7G9VYN1_BPACA</t>
  </si>
  <si>
    <t>DNAUV-4.788-191_7</t>
  </si>
  <si>
    <t>DNAUV-43.621-123_55</t>
  </si>
  <si>
    <t>DNAUV-6.013-13_6</t>
  </si>
  <si>
    <t>05.07.P3-15.581-31_6</t>
  </si>
  <si>
    <t>Thymidylate synthase n=1 Tax=Roseobacter phage CRP-9 TaxID=2813174 RepID=A0A8E5BG08_9CAUD</t>
  </si>
  <si>
    <t>05.07.P3-6.363-21_2</t>
  </si>
  <si>
    <t>sp|Q72JN9|THYX_THET2 Flavin-dependent thymidylate synthase OS=Thermus thermophilus (strain ATCC BAA-163 / DSM 7039 / HB27) OX=262724 GN=thyX PE=3 SV=1</t>
  </si>
  <si>
    <t>05.07.P3-6.460-14_2</t>
  </si>
  <si>
    <t>Thymidylate synthase n=1 Tax=Roseobacter phage CRP-5 TaxID=2559284 RepID=A0A646QXI5_9CAUD</t>
  </si>
  <si>
    <t>05.07.P4-10.016-49_15</t>
  </si>
  <si>
    <t>05.07.P4-10.016-49_4</t>
  </si>
  <si>
    <t>05.07.P4-3.061-6.3_3</t>
  </si>
  <si>
    <t>Thymidylate synthase n=2 Tax=Siovirus germanense TaxID=2845497 RepID=A0A3G2YRD9_9CAUD</t>
  </si>
  <si>
    <t>05.07.P4-3.061-6.3_6</t>
  </si>
  <si>
    <t>05.07.P4-45.835-37_51</t>
  </si>
  <si>
    <t>11.09.P2-13.999-19_7</t>
  </si>
  <si>
    <t>11.09.P4-2.545-2.8_7</t>
  </si>
  <si>
    <t>Avril.NODE_4_length_52184_cov_14.862668_53</t>
  </si>
  <si>
    <t>sp|C5CHB8|THYX_KOSOT Flavin-dependent thymidylate synthase OS=Kosmotoga olearia (strain ATCC BAA-1733 / DSM 21960 / TBF 19.5.1) OX=521045 GN=thyX PE=3 SV=1</t>
  </si>
  <si>
    <t>Avril.NODE_69_length_24806_cov_10.877177_24</t>
  </si>
  <si>
    <t>Avril.NODE_9_length_46600_cov_10.230895_11</t>
  </si>
  <si>
    <t>sp|Q5FR18|THYX_GLUOX Flavin-dependent thymidylate synthase OS=Gluconobacter oxydans (strain 621H) OX=290633 GN=thyX PE=3 SV=1</t>
  </si>
  <si>
    <t>Avril.NODE_936_length_2903_cov_6.450492_2</t>
  </si>
  <si>
    <t>Thymidylate synthase n=1 Tax=Vibrio phage vB_VhaM_VH-8 TaxID=2660693 RepID=A0A5Q2WC02_9CAUD</t>
  </si>
  <si>
    <t>DNAUV-11.532-345_27</t>
  </si>
  <si>
    <t>sp|Q5LTY7|THYX_RUEPO Flavin-dependent thymidylate synthase OS=Ruegeria pomeroyi (strain ATCC 700808 / DSM 15171 / DSS-3) OX=246200 GN=thyX PE=3 SV=2</t>
  </si>
  <si>
    <t>DNAUV-14.799-179_6</t>
  </si>
  <si>
    <t>DNAUV-15.895-276_23</t>
  </si>
  <si>
    <t>DNAUV-2.053-375_3</t>
  </si>
  <si>
    <t>Thymidylate synthase n=1 Tax=Roseobacter phage CRP-6 TaxID=2559285 RepID=A0A646QXN3_9CAUD</t>
  </si>
  <si>
    <t>DNAUV-2.125-24_2</t>
  </si>
  <si>
    <t>sp|A6LP90|THYX_THEM4 Flavin-dependent thymidylate synthase OS=Thermosipho melanesiensis (strain DSM 12029 / CIP 104789 / BI429) OX=391009 GN=thyX PE=3 SV=1</t>
  </si>
  <si>
    <t>DNAUV-2.125-24_3</t>
  </si>
  <si>
    <t>Thymidylate synthase n=1 Tax=Celeribacter phage P12053L TaxID=1197951 RepID=I6S269_9CAUD</t>
  </si>
  <si>
    <t>DNAUV-2.255-148_3</t>
  </si>
  <si>
    <t>DNAUV-2.618-126_5</t>
  </si>
  <si>
    <t>DNAUV-2.764-31_6</t>
  </si>
  <si>
    <t>Thymidylate synthase n=1 Tax=Vibrio phage Ceto TaxID=2570300 RepID=A0A2H5BGS1_9CAUD</t>
  </si>
  <si>
    <t>DNAUV-22.957-353_9</t>
  </si>
  <si>
    <t>DNAUV-3.020-503_5</t>
  </si>
  <si>
    <t>DNAUV-3.425-59_7</t>
  </si>
  <si>
    <t>sp|B9KBK3|THYX_THENN Flavin-dependent thymidylate synthase OS=Thermotoga neapolitana (strain ATCC 49049 / DSM 4359 / NBRC 107923 / NS-E) OX=309803 GN=thyX PE=3 SV=1</t>
  </si>
  <si>
    <t>Thymidylate synthase n=1 Tax=Roseobacter phage CRP-1 TaxID=2559280 RepID=A0A646QVG3_9CAUD</t>
  </si>
  <si>
    <t>DNAUV-37.297-108_7</t>
  </si>
  <si>
    <t>DNAUV-4.800-614_1</t>
  </si>
  <si>
    <t>DNAUV-5.045-610_10</t>
  </si>
  <si>
    <t>DNAUV-5.384-113_14</t>
  </si>
  <si>
    <t>DNAUV-5.675-86_8</t>
  </si>
  <si>
    <t>DNAUV-5.865-1025_5</t>
  </si>
  <si>
    <t>Putative flavin-dependent thymidylate synthase n=1 Tax=Pelagibacter phage Mosig EXVC030M TaxID=2759214 RepID=A0A7S6LEH3_9CAUD</t>
  </si>
  <si>
    <t>DNAUV-5.997-503_10</t>
  </si>
  <si>
    <t>DNAUV-50.039-64_12</t>
  </si>
  <si>
    <t>DNAUV-56.054-300_20</t>
  </si>
  <si>
    <t>Thymidylate synthase complementing protein n=5 Tax=Pontosvirinae TaxID=2842421 RepID=A0A2I7RBE9_9CAUD</t>
  </si>
  <si>
    <t>DNAUV-6.046-175_13</t>
  </si>
  <si>
    <t>DNAUV-6.588-589_13</t>
  </si>
  <si>
    <t>DNAUV-7.368-81_8</t>
  </si>
  <si>
    <t>sp|A8F7Q7|THYX_PSELT Flavin-dependent thymidylate synthase OS=Pseudothermotoga lettingae (strain ATCC BAA-301 / DSM 14385 / NBRC 107922 / TMO) OX=416591 GN=thyX PE=3 SV=1</t>
  </si>
  <si>
    <t>Juil.NODE_72_length_2134_cov_4.537759_3</t>
  </si>
  <si>
    <t>Mai.NODE_681_length_3097_cov_5.750822_1</t>
  </si>
  <si>
    <t>Putative FAD-dependent thymidylate synthase n=1 Tax=Sinorhizobium phage phiM6 TaxID=2301527 RepID=A0A346HW68_9CAUD</t>
  </si>
  <si>
    <t>Oct.NODE_1189_length_2813_cov_5.303481_1</t>
  </si>
  <si>
    <t>Oct.NODE_1221_length_2766_cov_30.631501_2</t>
  </si>
  <si>
    <t>Oct.NODE_124_length_14767_cov_18.698341_4</t>
  </si>
  <si>
    <t>Oct.NODE_181_length_10780_cov_6.015478_8</t>
  </si>
  <si>
    <t>Oct.NODE_1859_length_2084_cov_6.907344_3</t>
  </si>
  <si>
    <t>Oct.NODE_1937_length_2015_cov_3.795918_1</t>
  </si>
  <si>
    <t>Oct.NODE_654_length_4169_cov_5.478610_1</t>
  </si>
  <si>
    <t>Oct.NODE_783_length_3714_cov_9.905985_3</t>
  </si>
  <si>
    <t>Oct.NODE_797_length_3656_cov_16.732852_4</t>
  </si>
  <si>
    <t>Oct.NODE_936_length_3247_cov_2.636278_3</t>
  </si>
  <si>
    <t>Sept.NODE_104_length_13001_cov_9.114862_13</t>
  </si>
  <si>
    <t>Sept.NODE_787_length_2723_cov_49.754123_2</t>
  </si>
  <si>
    <t>DNAUV-57.114-48_53</t>
  </si>
  <si>
    <t>COG1351 [FUNC="Thymidylate synthase ThyX, FAD-dependent family"] [shortName=ThyX] [TAG=F TAGDEF="Nucleotide transport and metabolism" PROCESS="METABOLISM"]  [PATHWAY="Thymidylate biosynthesis"] thymidylate synthase (FAD) [Chloroherpeton thalassium]</t>
  </si>
  <si>
    <t>FAD-dependent thymidylate synthase n=1 Tax=Phormidium sp. SL48-SHIP TaxID=2518363 RepID=A0A522X897_9CYAN</t>
  </si>
  <si>
    <t>Sept.NODE_417_length_4163_cov_36.522882_6</t>
  </si>
  <si>
    <t>DNAUV-16.256-16_32</t>
  </si>
  <si>
    <t>COG1351 [FUNC="Thymidylate synthase ThyX, FAD-dependent family"] [shortName=ThyX] [TAG=F TAGDEF="Nucleotide transport and metabolism" PROCESS="METABOLISM"]  [PATHWAY="Thymidylate biosynthesis"] thymidylate synthase (FAD) [Prosthecochloris aestuarii]</t>
  </si>
  <si>
    <t>DNAUV-2.992-15-V3_3</t>
  </si>
  <si>
    <t>COG1351 [FUNC="Thymidylate synthase ThyX, FAD-dependent family"] [shortName=ThyX] [TAG=F TAGDEF="Nucleotide transport and metabolism" PROCESS="METABOLISM"]  [PATHWAY="Thymidylate biosynthesis"] thymidylate synthase (FAD) [Pseudanabaena sp. PCC 7367]</t>
  </si>
  <si>
    <t>Flavin-dependent thymidylate synthase n=2 Tax=Pandoraea anhela TaxID=2508295 RepID=A0A5E4YNE6_9BURK</t>
  </si>
  <si>
    <t>DNAUV-2.258-474_1</t>
  </si>
  <si>
    <t>COG1351 [FUNC="Thymidylate synthase ThyX, FAD-dependent family"] [shortName=ThyX] [TAG=F TAGDEF="Nucleotide transport and metabolism" PROCESS="METABOLISM"]  [PATHWAY="Thymidylate biosynthesis"] thymidylate synthase (FAD) [Roseomonas gilardii]</t>
  </si>
  <si>
    <t>Thymidylate synthase n=1 Tax=Roseobacter phage CRP-13 TaxID=2813173 RepID=A0A8E5F7H5_9CAUD</t>
  </si>
  <si>
    <t>Avril.NODE_123_length_14650_cov_85.783830_9</t>
  </si>
  <si>
    <t>sp|Q4UM78|THYX_RICFE Flavin-dependent thymidylate synthase OS=Rickettsia felis (strain ATCC VR-1525 / URRWXCal2) OX=315456 GN=thyX PE=3 SV=1</t>
  </si>
  <si>
    <t>COG1351 [FUNC="Thymidylate synthase ThyX, FAD-dependent family"] [shortName=ThyX] [TAG=F TAGDEF="Nucleotide transport and metabolism" PROCESS="METABOLISM"]  [PATHWAY="Thymidylate biosynthesis"] thymidylate synthase [Planktomarina temperata RCA23]</t>
  </si>
  <si>
    <t>Thymidylate synthase n=1 Tax=Pseudomonas phage Quinobequin-P09 TaxID=2660687 RepID=A0A5P8PQW0_9CAUD</t>
  </si>
  <si>
    <t>DNAUV-24.214-21_37</t>
  </si>
  <si>
    <t>sp|Q8ECK0|KITH_SHEON Thymidine kinase OS=Shewanella oneidensis (strain MR-1) OX=211586 GN=tdk PE=3 SV=1</t>
  </si>
  <si>
    <t>COG1435 [FUNC="Thymidine kinase"] [shortName=Tdk] [TAG=F TAGDEF="Nucleotide transport and metabolism" PROCESS="METABOLISM"]  [PATHWAY="Pyrimidine salvage"] MULTISPECIES: thymidine kinase [Thalassospira]</t>
  </si>
  <si>
    <t>Thymidine kinase n=1 Tax=Erythrobacter sp. YT30 TaxID=1735012 RepID=A0A109LNB3_9SPHN</t>
  </si>
  <si>
    <t>DNAUV-85.908-43_70</t>
  </si>
  <si>
    <t>sp|Q6FDK2|NAMPT_ACIAD Nicotinamide phosphoribosyltransferase OS=Acinetobacter baylyi (strain ATCC 33305 / BD413 / ADP1) OX=62977 GN=nadV PE=1 SV=1</t>
  </si>
  <si>
    <t>COG1488 [FUNC="Nicotinic acid phosphoribosyltransferase"] [shortName=PncB] [TAG=H TAGDEF="Coenzyme transport and metabolism" PROCESS="METABOLISM"]  [PATHWAY="NAD biosynthesis"] nicotinate phosphoribosyltransferase [Acinetobacter baumannii]</t>
  </si>
  <si>
    <t>VOG00760 [FUNC="sp|Q6FDK2|NAMPT_ACIAD Nicotinamide phosphoribosyltransferase"] [TAG=Xh TAGDEF="Virus protein with function beneficial for the host"]</t>
  </si>
  <si>
    <t>Nicotinamide phosphoribosyltransferase n=2 Tax=Acinetobacter TaxID=469 RepID=L9M5E2_9GAMM</t>
  </si>
  <si>
    <t>DNAUV-100.032-102_26</t>
  </si>
  <si>
    <t>COG1488 [FUNC="Nicotinic acid phosphoribosyltransferase"] [shortName=PncB] [TAG=H TAGDEF="Coenzyme transport and metabolism" PROCESS="METABOLISM"]  [PATHWAY="NAD biosynthesis"] nicotinate phosphoribosyltransferase [Cellulophaga algicola]</t>
  </si>
  <si>
    <t>Nicotinamide phosphoribosyltransferase n=2 Tax=Shirahamavirus PTm1 TaxID=2846435 RepID=A0A5S9EQK2_9CAUD</t>
  </si>
  <si>
    <t>DNAUV-14.759-18_15</t>
  </si>
  <si>
    <t>sp|Q52I78|NAMPT_PIG Nicotinamide phosphoribosyltransferase OS=Sus scrofa OX=9823 GN=NAMPT PE=2 SV=2</t>
  </si>
  <si>
    <t>COG1488 [FUNC="Nicotinic acid phosphoribosyltransferase"] [shortName=PncB] [TAG=H TAGDEF="Coenzyme transport and metabolism" PROCESS="METABOLISM"]  [PATHWAY="NAD biosynthesis"] nicotinate phosphoribosyltransferase [Hahella chejuensis]</t>
  </si>
  <si>
    <t>Nicotinamide phosphoribosyltransferase n=1 Tax=Aestuariispira insulae TaxID=1461337 RepID=A0A3D9HKA5_9PROT</t>
  </si>
  <si>
    <t>DNAUV-152.980-60_185</t>
  </si>
  <si>
    <t>Nicotinamide phosphoribosyltransferase n=1 Tax=Phocoenobacter uteri TaxID=146806 RepID=A0A379CC05_9PAST</t>
  </si>
  <si>
    <t>DNAUV-159.889-409_151</t>
  </si>
  <si>
    <t>sp|P43490|NAMPT_HUMAN Nicotinamide phosphoribosyltransferase OS=Homo sapiens OX=9606 GN=NAMPT PE=1 SV=1</t>
  </si>
  <si>
    <t>Nicotinamide phosphoribosyltransferase n=1 Tax=Pasteurella skyensis TaxID=97481 RepID=A0A1H7ZGR8_9PAST</t>
  </si>
  <si>
    <t>23.10.P4-4.135-16_1</t>
  </si>
  <si>
    <t>COG1488 [FUNC="Nicotinic acid phosphoribosyltransferase"] [shortName=PncB] [TAG=H TAGDEF="Coenzyme transport and metabolism" PROCESS="METABOLISM"]  [PATHWAY="NAD biosynthesis"] nicotinate phosphoribosyltransferase [Xanthomonas campestris pv. campestris str. ATCC 33913]</t>
  </si>
  <si>
    <t>Nicotinamide phosphoribosyltransferase n=1 Tax=Mizuhopecten yessoensis TaxID=6573 RepID=A0A210Q2J7_MIZYE</t>
  </si>
  <si>
    <t>11.09.P4-19.981-12_3</t>
  </si>
  <si>
    <t>sp|P32011|DRRB_STRPE Daunorubicin/doxorubicin resistance ABC transporter permease protein DrrB OS=Streptomyces peucetius OX=1950 GN=drrB PE=1 SV=1</t>
  </si>
  <si>
    <t>COG1682 [FUNC="ABC-type polysaccharide/teichoic acid/polyol phosphate export permease"] [shortName=TagG] [TAG=G TAGDEF="Carbohydrate transport and metabolism" PROCESS="METABOLISM"]  [PATHWAY=""] ABC transporter [Pontimonas salivibrio]</t>
  </si>
  <si>
    <t>Transport permease protein n=1 Tax=Pontimonas salivibrio TaxID=1159327 RepID=A0A2L2BNN1_9MICO</t>
  </si>
  <si>
    <t>05.07.P4-3.210-3.4_3</t>
  </si>
  <si>
    <t>sp|Q9I9K9|GATM_CHICK Glycine amidinotransferase, mitochondrial OS=Gallus gallus OX=9031 GN=GATM PE=2 SV=2</t>
  </si>
  <si>
    <t>COG1834 [FUNC="N-Dimethylarginine dimethylaminohydrolase"] [shortName=DdaH] [TAG=E TAGDEF="Amino acid transport and metabolism" PROCESS="METABOLISM"]  [PATHWAY=""] amidinotransferase [Xenorhabdus nematophila]</t>
  </si>
  <si>
    <t>Inosamine-phosphate amidinotransferase 1 n=1 Tax=Roseovarius albus TaxID=1247867 RepID=A0A1X6YZW6_9RHOB</t>
  </si>
  <si>
    <t>DNAUV-2.822-236_3</t>
  </si>
  <si>
    <t>sp|Q8EEA3|5DNU_SHEON 5'-deoxynucleotidase SO_2484 OS=Shewanella oneidensis (strain MR-1) OX=211586 GN=SO_2484 PE=3 SV=1</t>
  </si>
  <si>
    <t>COG1896 [FUNC="5'-deoxynucleotidase YfbR and related HD superfamily hydrolases"] [shortName=YfbR] [TAG=F TAGDEF="Nucleotide transport and metabolism" PROCESS="METABOLISM"] [TAG=R TAGDEF="General function prediction only" PROCESS="POORLY CHARACTERIZED"]  [PATHWAY=""] 5' nucleotidase YfbR [Shewanella oneidensis MR-1]</t>
  </si>
  <si>
    <t>5'-deoxynucleotidase n=1 Tax=Paenibacillus piri TaxID=2547395 RepID=A0A4R5KXF3_9BACL</t>
  </si>
  <si>
    <t>DNAUV-2.182-410_2</t>
  </si>
  <si>
    <t>sp|B2VIV0|5DNU_ERWT9 5'-deoxynucleotidase ETA_12010 OS=Erwinia tasmaniensis (strain DSM 17950 / CFBP 7177 / CIP 109463 / NCPPB 4357 / Et1/99) OX=465817 GN=ETA_12010 PE=3 SV=1</t>
  </si>
  <si>
    <t>COG1896 [FUNC="5'-deoxynucleotidase YfbR and related HD superfamily hydrolases"] [shortName=YfbR] [TAG=F TAGDEF="Nucleotide transport and metabolism" PROCESS="METABOLISM"] [TAG=R TAGDEF="General function prediction only" PROCESS="POORLY CHARACTERIZED"]  [PATHWAY=""] 5'-deoxynucleotidase [Pelobacter propionicus]</t>
  </si>
  <si>
    <t>VOG02496 [FUNC="sp|G3FFN4|DATPH_BPVC8 dATP triphosphohydrolase"] [TAG=Xu TAGDEF="Function unknown"]</t>
  </si>
  <si>
    <t>HD domain-containing protein n=2 Tax=Pseudomonas putida TaxID=303 RepID=A0A8I1JIE0_PSEPU</t>
  </si>
  <si>
    <t>DNAUV-3.105-9.0_3</t>
  </si>
  <si>
    <t>COG1896 [FUNC="5'-deoxynucleotidase YfbR and related HD superfamily hydrolases"] [shortName=YfbR] [TAG=F TAGDEF="Nucleotide transport and metabolism" PROCESS="METABOLISM"] [TAG=R TAGDEF="General function prediction only" PROCESS="POORLY CHARACTERIZED"]  [PATHWAY=""] HD domain-containing protein [Anaerotignum propionicum]</t>
  </si>
  <si>
    <t>HD domain protein n=1 Tax=Vibrio phage 1.031.O._10N.261.46.F8 TaxID=1881294 RepID=A0A2I7QNN1_9CAUD</t>
  </si>
  <si>
    <t>Oct.NODE_512_length_4893_cov_5.145308_2</t>
  </si>
  <si>
    <t>sp|A0A2L0V156|DATPH_BPPMB dATP triphosphohydrolase OS=Salmonella phage PMBT28 OX=2081904 GN=datZ PE=1 SV=1</t>
  </si>
  <si>
    <t>COG1896 [FUNC="5'-deoxynucleotidase YfbR and related HD superfamily hydrolases"] [shortName=YfbR] [TAG=F TAGDEF="Nucleotide transport and metabolism" PROCESS="METABOLISM"] [TAG=R TAGDEF="General function prediction only" PROCESS="POORLY CHARACTERIZED"]  [PATHWAY=""] HD domain-containing protein [Marichromatium purpuratum]</t>
  </si>
  <si>
    <t>HD domain-containing protein n=1 Tax=Oceaniovalibus sp. ACAM 378 TaxID=2599923 RepID=A0A5D0S7A5_9RHOB</t>
  </si>
  <si>
    <t>DNAUV-38.940-21_12</t>
  </si>
  <si>
    <t>sp|P76514|YFDR_ECOLI Uncharacterized protein YfdR OS=Escherichia coli (strain K12) OX=83333 GN=yfdR PE=4 SV=2</t>
  </si>
  <si>
    <t>COG1896 [FUNC="5'-deoxynucleotidase YfbR and related HD superfamily hydrolases"] [shortName=YfbR] [TAG=F TAGDEF="Nucleotide transport and metabolism" PROCESS="METABOLISM"] [TAG=R TAGDEF="General function prediction only" PROCESS="POORLY CHARACTERIZED"]  [PATHWAY=""] HD family hydrolase [Pararhodospirillum photometricum]</t>
  </si>
  <si>
    <t>VOG01077 [FUNC="sp|P76514|YFDR_ECOLI Uncharacterized protein YfdR"] [TAG=Xu TAGDEF="Function unknown"]</t>
  </si>
  <si>
    <t>HD/PDEase domain-containing protein n=1 Tax=Rhodospira trueperi TaxID=69960 RepID=A0A1G6Z3V1_9PROT</t>
  </si>
  <si>
    <t>DNAUV-2.764-31_7</t>
  </si>
  <si>
    <t>sp|P42506|Y048_RHOCB Uncharacterized protein RCAP_rcc00048 OS=Rhodobacter capsulatus (strain ATCC BAA-309 / NBRC 16581 / SB1003) OX=272942 GN=RCAP_rcc00048 PE=4 SV=1</t>
  </si>
  <si>
    <t>COG1896 [FUNC="5'-deoxynucleotidase YfbR and related HD superfamily hydrolases"] [shortName=YfbR] [TAG=F TAGDEF="Nucleotide transport and metabolism" PROCESS="METABOLISM"] [TAG=R TAGDEF="General function prediction only" PROCESS="POORLY CHARACTERIZED"]  [PATHWAY=""] HD family hydrolase [Rhodoplanes sp. Z2-YC6860]</t>
  </si>
  <si>
    <t>HD family hydrolase n=1 Tax=Qipengyuania citrea TaxID=225971 RepID=A0A6I4UFS0_9SPHN</t>
  </si>
  <si>
    <t>17.05.P3-4.761-6.3_2</t>
  </si>
  <si>
    <t>COG1896 [FUNC="5'-deoxynucleotidase YfbR and related HD superfamily hydrolases"] [shortName=YfbR] [TAG=F TAGDEF="Nucleotide transport and metabolism" PROCESS="METABOLISM"] [TAG=R TAGDEF="General function prediction only" PROCESS="POORLY CHARACTERIZED"]  [PATHWAY=""] hypothetical protein [Ferriphaselus amnicola]</t>
  </si>
  <si>
    <t>Phosphohydrolase n=2 Tax=Rhizobium album TaxID=2182425 RepID=A0A2U2DUB1_9HYPH</t>
  </si>
  <si>
    <t>17.05.P4-8.753-4.4_11</t>
  </si>
  <si>
    <t>Metal-dependent phosphohydrolase n=1 Tax=Burkholderia ubonensis TaxID=101571 RepID=A0A118HZJ5_9BURK</t>
  </si>
  <si>
    <t>DNAUV-10.460-73_40</t>
  </si>
  <si>
    <t>COG1896 [FUNC="5'-deoxynucleotidase YfbR and related HD superfamily hydrolases"] [shortName=YfbR] [TAG=F TAGDEF="Nucleotide transport and metabolism" PROCESS="METABOLISM"] [TAG=R TAGDEF="General function prediction only" PROCESS="POORLY CHARACTERIZED"]  [PATHWAY=""] hypothetical protein [Ketogulonicigenium vulgare]</t>
  </si>
  <si>
    <t>DNAUV-7.828-820_20</t>
  </si>
  <si>
    <t>DNAUV-9.183-44_16</t>
  </si>
  <si>
    <t>HD domain-containing protein n=1 Tax=Maritimibacter alkaliphilus HTCC2654 TaxID=314271 RepID=A3VBG4_9RHOB</t>
  </si>
  <si>
    <t>DNAUV-2.492-16_9</t>
  </si>
  <si>
    <t>COG1896 [FUNC="5'-deoxynucleotidase YfbR and related HD superfamily hydrolases"] [shortName=YfbR] [TAG=F TAGDEF="Nucleotide transport and metabolism" PROCESS="METABOLISM"] [TAG=R TAGDEF="General function prediction only" PROCESS="POORLY CHARACTERIZED"]  [PATHWAY=""] hypothetical protein [Magnetococcus marinus]</t>
  </si>
  <si>
    <t>Phosphohydrolase n=1 Tax=Blastochloris viridis TaxID=1079 RepID=A0A6N4RAR7_BLAVI</t>
  </si>
  <si>
    <t>DNAUV-59.689-63_209</t>
  </si>
  <si>
    <t>COG1896 [FUNC="5'-deoxynucleotidase YfbR and related HD superfamily hydrolases"] [shortName=YfbR] [TAG=F TAGDEF="Nucleotide transport and metabolism" PROCESS="METABOLISM"] [TAG=R TAGDEF="General function prediction only" PROCESS="POORLY CHARACTERIZED"]  [PATHWAY=""] hypothetical protein [Sulfuritalea hydrogenivorans]</t>
  </si>
  <si>
    <t>Metal dependent phosphohydrolase n=5 Tax=unclassified Casjensviridae TaxID=2960002 RepID=G8DCW4_9CAUD</t>
  </si>
  <si>
    <t>DNAUV-23.114-30_29</t>
  </si>
  <si>
    <t>sp|P22347|YVDE_LACLC Putative glutamine amidotransferase-like protein YvdE homolog (Fragment) OS=Lactococcus lactis subsp. cremoris OX=1359 PE=4 SV=3</t>
  </si>
  <si>
    <t>COG2071 [FUNC="Gamma-glutamyl-gamma-aminobutyrate hydrolase PuuD (putrescine degradation), contains GATase1-like domain"] [shortName=PuuD] [TAG=E TAGDEF="Amino acid transport and metabolism" PROCESS="METABOLISM"]  [PATHWAY=""] gamma-glutamyl-gamma-aminobutyrate hydrolase [Parachlamydia acanthamoebae]</t>
  </si>
  <si>
    <t>VOG37568 [FUNC="REFSEQ glutamine amidotransferase"] [TAG=Xu TAGDEF="Function unknown"]</t>
  </si>
  <si>
    <t>Putative glutamine amidotransferase n=1 Tax=Podoviridae sp. ctbj_2 TaxID=2675442 RepID=A0A345MKX7_9CAUD</t>
  </si>
  <si>
    <t>DNAUV-4.599-11_9</t>
  </si>
  <si>
    <t>sp|O33341|Y2859_MYCTU Putative glutamine amidotransferase Rv2859c OS=Mycobacterium tuberculosis (strain ATCC 25618 / H37Rv) OX=83332 GN=Rv2859c PE=1 SV=1</t>
  </si>
  <si>
    <t>COG2071 [FUNC="Gamma-glutamyl-gamma-aminobutyrate hydrolase PuuD (putrescine degradation), contains GATase1-like domain"] [shortName=PuuD] [TAG=E TAGDEF="Amino acid transport and metabolism" PROCESS="METABOLISM"]  [PATHWAY=""] gamma-glutamyl-gamma-aminobutyrate hydrolase family protein [Lentzea guizhouensis]</t>
  </si>
  <si>
    <t>Amidotransferase n=1 Tax=Pseudomonas phage vB_PaeP_FBPa8 TaxID=2969617 RepID=A0A9E7TXF1_9CAUD</t>
  </si>
  <si>
    <t>DNAUV-41.172-78_48</t>
  </si>
  <si>
    <t>sp|Q9CE00|YVDE_LACLA Putative glutamine amidotransferase-like protein YvdE OS=Lactococcus lactis subsp. lactis (strain IL1403) OX=272623 GN=yvdE PE=4 SV=1</t>
  </si>
  <si>
    <t>COG2071 [FUNC="Gamma-glutamyl-gamma-aminobutyrate hydrolase PuuD (putrescine degradation), contains GATase1-like domain"] [shortName=PuuD] [TAG=E TAGDEF="Amino acid transport and metabolism" PROCESS="METABOLISM"]  [PATHWAY=""] gamma-glutamyl-gamma-aminobutyrate hydrolase family protein [Pedobacter heparinus]</t>
  </si>
  <si>
    <t>Putative amidotransferase n=1 Tax=Citrobacter phage CVT22 TaxID=1622234 RepID=A0A0R6CN44_9CAUD</t>
  </si>
  <si>
    <t>Avril.NODE_587_length_4079_cov_4.190109_2</t>
  </si>
  <si>
    <t>COG2071 [FUNC="Gamma-glutamyl-gamma-aminobutyrate hydrolase PuuD (putrescine degradation), contains GATase1-like domain"] [shortName=PuuD] [TAG=E TAGDEF="Amino acid transport and metabolism" PROCESS="METABOLISM"]  [PATHWAY=""] glutamine amidotransferase [endosymbiont of Acanthamoeba sp. UWC8]</t>
  </si>
  <si>
    <t>Putative peptidase n=1 Tax=Sinorhizobium phage phiM6 TaxID=2301527 RepID=A0A346HWA3_9CAUD</t>
  </si>
  <si>
    <t>DNAUV-3.953-20_6</t>
  </si>
  <si>
    <t>COG2071 [FUNC="Gamma-glutamyl-gamma-aminobutyrate hydrolase PuuD (putrescine degradation), contains GATase1-like domain"] [shortName=PuuD] [TAG=E TAGDEF="Amino acid transport and metabolism" PROCESS="METABOLISM"]  [PATHWAY=""] glutamine amidotransferase [Rhodovulum sulfidophilum]</t>
  </si>
  <si>
    <t>Uncharacterized protein n=1 Tax=Variovorax paradoxus TaxID=34073 RepID=A0A2W5QL78_VARPD</t>
  </si>
  <si>
    <t>DNAUV-4.245-9.3_6</t>
  </si>
  <si>
    <t>COG2095 [FUNC="Small neutral amino acid transporter SnatA, MarC family"] [shortName=MarC] [TAG=E TAGDEF="Amino acid transport and metabolism" PROCESS="METABOLISM"]  [PATHWAY=""] MarC family protein [Lutibacter profundi]</t>
  </si>
  <si>
    <t>UPF0056 membrane protein n=1 Tax=Tenacibaculum caenipelagi TaxID=1325435 RepID=A0A4V3D387_9FLAO</t>
  </si>
  <si>
    <t>DNAUV-2.374-56_4</t>
  </si>
  <si>
    <t>COG2105 [FUNC="Predicted gamma-glutamylamine cyclotransferase YtfP, GGCT/AIG2-like family"] [shortName=YtfP] [TAG=E TAGDEF="Amino acid transport and metabolism" PROCESS="METABOLISM"]  [PATHWAY=""] gamma-glutamylcyclotransferase [Halomonas elongata]</t>
  </si>
  <si>
    <t>Gamma-glutamylcyclotransferase AIG2-like domain-containing protein n=1 Tax=Halomonas sp. BC04 TaxID=1403540 RepID=W7QFQ0_9GAMM</t>
  </si>
  <si>
    <t>DNAUV-6.369-49_15</t>
  </si>
  <si>
    <t>sp|Q9KP33|Y2546_VIBCH Putative gamma-glutamylcyclotransferase VC_2546 OS=Vibrio cholerae serotype O1 (strain ATCC 39315 / El Tor Inaba N16961) OX=243277 GN=VC_2546 PE=3 SV=1</t>
  </si>
  <si>
    <t>COG2105 [FUNC="Predicted gamma-glutamylamine cyclotransferase YtfP, GGCT/AIG2-like family"] [shortName=YtfP] [TAG=E TAGDEF="Amino acid transport and metabolism" PROCESS="METABOLISM"]  [PATHWAY=""] gamma-glutamylcyclotransferase [Opitutus terrae]</t>
  </si>
  <si>
    <t>VOG01804 [FUNC="sp|Q58909|Y1514_METJA Putative gamma-glutamylcyclotransferase MJ1514"] [TAG=Xh TAGDEF="Virus protein with function beneficial for the host"]</t>
  </si>
  <si>
    <t>Gamma-glutamylcyclotransferase n=1 Tax=Mucilaginibacter conchicola TaxID=2303333 RepID=A0A372NVD2_9SPHI</t>
  </si>
  <si>
    <t>Avril.NODE_984_length_2770_cov_6.102394_3</t>
  </si>
  <si>
    <t>COG2105 [FUNC="Predicted gamma-glutamylamine cyclotransferase YtfP, GGCT/AIG2-like family"] [shortName=YtfP] [TAG=E TAGDEF="Amino acid transport and metabolism" PROCESS="METABOLISM"]  [PATHWAY=""] gamma-glutamylcyclotransferase [Sulfolobus tokodaii]</t>
  </si>
  <si>
    <t>Gamma-glutamylcyclotransferase family protein n=1 Tax=Ectothiorhodospira magna TaxID=867345 RepID=A0A1H9GCZ1_9GAMM</t>
  </si>
  <si>
    <t>DNAUV-2.798-17_6</t>
  </si>
  <si>
    <t>sp|Q58909|Y1514_METJA Putative gamma-glutamylcyclotransferase MJ1514 OS=Methanocaldococcus jannaschii (strain ATCC 43067 / DSM 2661 / JAL-1 / JCM 10045 / NBRC 100440) OX=243232 GN=MJ1514 PE=3 SV=1</t>
  </si>
  <si>
    <t>Gamma-glutamylcyclotransferase AIG2-like domain-containing protein n=1 Tax=Bradyrhizobium jicamae TaxID=280332 RepID=A0A0R3LTH6_9BRAD</t>
  </si>
  <si>
    <t>DNAUV-23.114-30_22</t>
  </si>
  <si>
    <t>COG2105 [FUNC="Predicted gamma-glutamylamine cyclotransferase YtfP, GGCT/AIG2-like family"] [shortName=YtfP] [TAG=E TAGDEF="Amino acid transport and metabolism" PROCESS="METABOLISM"]  [PATHWAY=""] gamma-glutamylcyclotransferase [Thermovibrio ammonificans]</t>
  </si>
  <si>
    <t>Gamma-glutamylcyclotransferase family protein n=1 Tax=Exaiptasia diaphana TaxID=2652724 RepID=A0A913WUA9_EXADI</t>
  </si>
  <si>
    <t>DNAUV-63.154-214_69</t>
  </si>
  <si>
    <t>sp|Q9W0Y2|YS11_DROME Putative gamma-glutamylcyclotransferase CG2811 OS=Drosophila melanogaster OX=7227 GN=CG2811 PE=2 SV=2</t>
  </si>
  <si>
    <t>Gamma-glutamylcyclotransferase n=1 Tax=Roseomonas genomospecies 6 TaxID=214106 RepID=A0A9W7NE93_9PROT</t>
  </si>
  <si>
    <t>DNAUV-152.980-60_46</t>
  </si>
  <si>
    <t>sp|P33968|YLXG_ALIFS Uncharacterized deaminase in luxG 3'region OS=Aliivibrio fischeri OX=668 PE=3 SV=1</t>
  </si>
  <si>
    <t>COG2131 [FUNC="Deoxycytidylate deaminase"] [shortName=ComEB] [TAG=F TAGDEF="Nucleotide transport and metabolism" PROCESS="METABOLISM"]  [PATHWAY=""] CMP deaminase [Bathymodiolus thermophilus thioautotrophic gill symbiont]</t>
  </si>
  <si>
    <t>dCMP deaminase n=1 Tax=Bathymodiolus heckerae thiotrophic gill symbiont TaxID=1052212 RepID=A0A482Z3U9_UNCXX</t>
  </si>
  <si>
    <t>DNAUV-159.889-409_29</t>
  </si>
  <si>
    <t>CMP deaminase n=1 Tax=Synechococcus sp. TMED187 TaxID=1986595 RepID=A0A1Z9KYS5_9SYNE</t>
  </si>
  <si>
    <t>DNAUV-7.969-16_7</t>
  </si>
  <si>
    <t>dCMP deaminase n=1 Tax=Abyssogena phaseoliformis symbiont OG214 TaxID=1235283 RepID=A0A7U3VT94_9GAMM</t>
  </si>
  <si>
    <t>DNAUV-22.071-221_24</t>
  </si>
  <si>
    <t>COG2131 [FUNC="Deoxycytidylate deaminase"] [shortName=ComEB] [TAG=F TAGDEF="Nucleotide transport and metabolism" PROCESS="METABOLISM"]  [PATHWAY=""] CMP deaminase [Calyptogena okutanii thioautotrophic gill symbiont]</t>
  </si>
  <si>
    <t>Deoxycytidylate deaminase n=1 Tax=Roseobacter phage RDJL Phi 2 TaxID=1682380 RepID=A0A0K0PWL2_9CAUD</t>
  </si>
  <si>
    <t>Sept.NODE_184_length_7841_cov_4.225148_8</t>
  </si>
  <si>
    <t>dCMP deaminase n=1 Tax=endosymbiont of Bathymodiolus septemdierum str. Myojin knoll TaxID=1303921 RepID=A0A0P0UST9_9GAMM</t>
  </si>
  <si>
    <t>DNAUV-5.170-14_11</t>
  </si>
  <si>
    <t>COG2131 [FUNC="Deoxycytidylate deaminase"] [shortName=ComEB] [TAG=F TAGDEF="Nucleotide transport and metabolism" PROCESS="METABOLISM"]  [PATHWAY=""] CMP deaminase [Ichthyobacterium seriolicida]</t>
  </si>
  <si>
    <t>CMP deaminase n=1 Tax=Nonlabens spongiae TaxID=331648 RepID=A0A1W6MJZ8_9FLAO</t>
  </si>
  <si>
    <t>DNAUV-41.618-136_16</t>
  </si>
  <si>
    <t>sp|A0A2H5BHG5|DGTPH_BPSHA dATP/dGTP diphosphohydrolase OS=Acinetobacter phage SH-Ab 15497 OX=2060946 GN=SHab15497_00040 PE=1 SV=1</t>
  </si>
  <si>
    <t>COG2131 [FUNC="Deoxycytidylate deaminase"] [shortName=ComEB] [TAG=F TAGDEF="Nucleotide transport and metabolism" PROCESS="METABOLISM"]  [PATHWAY=""] CMP deaminase [Salinivirga cyanobacteriivorans]</t>
  </si>
  <si>
    <t>VOG24828 [FUNC="REFSEQ hypothetical protein"] [TAG=Xu TAGDEF="Function unknown"]</t>
  </si>
  <si>
    <t>CMP/dCMP-type deaminase domain-containing protein n=3 Tax=Kafunavirus KF1 TaxID=1982588 RepID=K4Q369_9CAUD</t>
  </si>
  <si>
    <t>Oct.NODE_33_length_37390_cov_21.424508_37</t>
  </si>
  <si>
    <t>sp|O43012|DCTD_SCHPO Deoxycytidylate deaminase OS=Schizosaccharomyces pombe (strain 972 / ATCC 24843) OX=284812 GN=SPBC2G2.13c PE=3 SV=2</t>
  </si>
  <si>
    <t>COG2131 [FUNC="Deoxycytidylate deaminase"] [shortName=ComEB] [TAG=F TAGDEF="Nucleotide transport and metabolism" PROCESS="METABOLISM"]  [PATHWAY=""] cytidine deaminase [Desulfotomaculum ruminis]</t>
  </si>
  <si>
    <t>dCMP deaminase n=1 Tax=Stenotrophomonas phage vB_SmaS-AXL_3 TaxID=2740427 RepID=A0A7D4XME4_9CAUD</t>
  </si>
  <si>
    <t>DNAUV-159.889-409_4</t>
  </si>
  <si>
    <t>COG2131 [FUNC="Deoxycytidylate deaminase"] [shortName=ComEB] [TAG=F TAGDEF="Nucleotide transport and metabolism" PROCESS="METABOLISM"]  [PATHWAY=""] dCMP deaminase [Labilithrix luteola]</t>
  </si>
  <si>
    <t>CMP/dCMP-type deaminase domain-containing protein n=1 Tax=Caulobacter phage Cr30 TaxID=1357714 RepID=A0A067XRB5_9CAUD</t>
  </si>
  <si>
    <t>DNAUV-62.938-22_2</t>
  </si>
  <si>
    <t>sp|Q8K2D6|DCTD_MOUSE Deoxycytidylate deaminase OS=Mus musculus OX=10090 GN=Dctd PE=2 SV=1</t>
  </si>
  <si>
    <t>COG2131 [FUNC="Deoxycytidylate deaminase"] [shortName=ComEB] [TAG=F TAGDEF="Nucleotide transport and metabolism" PROCESS="METABOLISM"]  [PATHWAY=""] deoxycytidylate deaminase [Magnetospirillum magneticum]</t>
  </si>
  <si>
    <t>CMP/dCMP-type deaminase domain-containing protein n=1 Tax=Bdellovibrio sp. qaytius TaxID=1916293 RepID=A0A3T0RT10_9BACT</t>
  </si>
  <si>
    <t>DNAUV-5.384-113_13</t>
  </si>
  <si>
    <t>COG2131 [FUNC="Deoxycytidylate deaminase"] [shortName=ComEB] [TAG=F TAGDEF="Nucleotide transport and metabolism" PROCESS="METABOLISM"]  [PATHWAY=""] Deoxycytidylate deaminase [uncultured marine group II euryarchaeote]</t>
  </si>
  <si>
    <t>Deoxycytidylate deaminase n=1 Tax=Dinoroseobacter phage vB_DshS-R5C TaxID=1965368 RepID=A0A1V0DYA6_9CAUD</t>
  </si>
  <si>
    <t>DNAUV-7.193-31-V2_13</t>
  </si>
  <si>
    <t>Deoxycytidylate deaminase n=1 Tax=Sagittula stellata E-37 TaxID=388399 RepID=A3JZX4_9RHOB</t>
  </si>
  <si>
    <t>Oct.NODE_169_length_11288_cov_54.707825_11</t>
  </si>
  <si>
    <t>Sept.NODE_684_length_3001_cov_4.527834_2</t>
  </si>
  <si>
    <t>DNAUV-147.430-52_133</t>
  </si>
  <si>
    <t>COG2131 [FUNC="Deoxycytidylate deaminase"] [shortName=ComEB] [TAG=F TAGDEF="Nucleotide transport and metabolism" PROCESS="METABOLISM"]  [PATHWAY=""] hypothetical protein [Flammeovirga sp. MY04]</t>
  </si>
  <si>
    <t>dCMP deaminase n=1 Tax=Sediminitomix flava TaxID=379075 RepID=A0A315ZE21_SEDFL</t>
  </si>
  <si>
    <t>DNAUV-64.562-41_26</t>
  </si>
  <si>
    <t>COG2131 [FUNC="Deoxycytidylate deaminase"] [shortName=ComEB] [TAG=F TAGDEF="Nucleotide transport and metabolism" PROCESS="METABOLISM"]  [PATHWAY=""] hypothetical protein [Frateuria aurantia]</t>
  </si>
  <si>
    <t>Putative deoxycytidylate deaminase n=1 Tax=Ruegeria phage vB_RpoP-V13 TaxID=2218612 RepID=A0A2Z4QGZ0_9CAUD</t>
  </si>
  <si>
    <t>DNAUV-8.786-16_4</t>
  </si>
  <si>
    <t>sp|P06773|DCTD_YEAST Deoxycytidylate deaminase OS=Saccharomyces cerevisiae (strain ATCC 204508 / S288c) OX=559292 GN=DCD1 PE=1 SV=2</t>
  </si>
  <si>
    <t>COG2131 [FUNC="Deoxycytidylate deaminase"] [shortName=ComEB] [TAG=F TAGDEF="Nucleotide transport and metabolism" PROCESS="METABOLISM"]  [PATHWAY=""] hypothetical protein [Owenweeksia hongkongensis]</t>
  </si>
  <si>
    <t>dCMP deaminase family protein n=1 Tax=Taishania pollutisoli TaxID=2766479 RepID=A0A8J6U162_9FLAO</t>
  </si>
  <si>
    <t>05.07.P4-5.877-4.3_19</t>
  </si>
  <si>
    <t>COG2131 [FUNC="Deoxycytidylate deaminase"] [shortName=ComEB] [TAG=F TAGDEF="Nucleotide transport and metabolism" PROCESS="METABOLISM"]  [PATHWAY=""] hypothetical protein [Sedimenticola thiotaurini]</t>
  </si>
  <si>
    <t>dCMP deaminase family protein n=1 Tax=Microvirga alba TaxID=2791025 RepID=A0A931BQF0_9HYPH</t>
  </si>
  <si>
    <t>17.05.P3-3.905-7.7_4</t>
  </si>
  <si>
    <t>sp|P54542|YQJE_BACSU Uncharacterized protein YqjE OS=Bacillus subtilis (strain 168) OX=224308 GN=yqjE PE=3 SV=2</t>
  </si>
  <si>
    <t>COG2195 [FUNC="Di- or tripeptidase"] [shortName=PepD2] [TAG=E TAGDEF="Amino acid transport and metabolism" PROCESS="METABOLISM"]  [PATHWAY=""] hypothetical protein [Rufibacter tibetensis]</t>
  </si>
  <si>
    <t>VOG27891 [FUNC="REFSEQ peptidase"] [TAG=Xu TAGDEF="Function unknown"]</t>
  </si>
  <si>
    <t>Uncharacterized protein n=1 Tax=Pontibacter sp. BAB1700 TaxID=1144253 RepID=J0LFT8_9BACT</t>
  </si>
  <si>
    <t>Avril.NODE_9_length_46600_cov_10.230895_52</t>
  </si>
  <si>
    <t>M28 family peptidase n=1 Tax=Parabacteroides distasonis TaxID=823 RepID=A0A7K0GNY6_9BACT</t>
  </si>
  <si>
    <t>DNAUV-15.895-276_17</t>
  </si>
  <si>
    <t>DNAUV-16.566-137_22</t>
  </si>
  <si>
    <t>Zinc peptidase n=1 Tax=Rhizobium phage Pasto TaxID=2767575 RepID=A0A7S6R6V7_9CAUD</t>
  </si>
  <si>
    <t>DNAUV-57.114-48_48</t>
  </si>
  <si>
    <t>Sept.NODE_229_length_6523_cov_52.405690_4</t>
  </si>
  <si>
    <t>Oct.NODE_172_length_11061_cov_47.852535_22</t>
  </si>
  <si>
    <t>COG2226 [FUNC="Ubiquinone/menaquinone biosynthesis C-methylase UbiE/MenG"] [shortName=UbiE] [TAG=H TAGDEF="Coenzyme transport and metabolism" PROCESS="METABOLISM"]  [PATHWAY="Biotin biosynthesis"] class I SAM-dependent methyltransferase [Dehalobacterium formicoaceticum]</t>
  </si>
  <si>
    <t>Methyltransferase type 11 domain-containing protein n=1 Tax=Denitratisoma sp. DHT3 TaxID=1981880 RepID=A0A518U5X3_9PROT</t>
  </si>
  <si>
    <t>DNAUV-38.512-299_13</t>
  </si>
  <si>
    <t>COG2226 [FUNC="Ubiquinone/menaquinone biosynthesis C-methylase UbiE/MenG"] [shortName=UbiE] [TAG=H TAGDEF="Coenzyme transport and metabolism" PROCESS="METABOLISM"]  [PATHWAY="Biotin biosynthesis"] class I SAM-dependent methyltransferase [Pragia fontium]</t>
  </si>
  <si>
    <t>VOG05006 [FUNC="REFSEQ DNA methyltransferase"] [TAG=Xu TAGDEF="Function unknown"]</t>
  </si>
  <si>
    <t>Methyltransferase domain protein n=1 Tax=Vibrio phage 1.191.O._10N.286.52.B4 TaxID=1881435 RepID=A0A2I7RKA3_9CAUD</t>
  </si>
  <si>
    <t>DNAUV-46.098-673_57</t>
  </si>
  <si>
    <t>sp|Q6AIL1|CMOA_DESPS Carboxy-S-adenosyl-L-methionine synthase OS=Desulfotalea psychrophila (strain LSv54 / DSM 12343) OX=177439 GN=cmoA PE=3 SV=1</t>
  </si>
  <si>
    <t>COG2226 [FUNC="Ubiquinone/menaquinone biosynthesis C-methylase UbiE/MenG"] [shortName=UbiE] [TAG=H TAGDEF="Coenzyme transport and metabolism" PROCESS="METABOLISM"]  [PATHWAY="Biotin biosynthesis"] hypothetical protein [Jeotgalibacillus malaysiensis]</t>
  </si>
  <si>
    <t>Methyltransferase domain-containing protein n=1 Tax=Spirosoma arboris TaxID=2682092 RepID=A0A7K1SQI6_9BACT</t>
  </si>
  <si>
    <t>Oct.NODE_1885_length_2066_cov_8.262556_4</t>
  </si>
  <si>
    <t>COG2226 [FUNC="Ubiquinone/menaquinone biosynthesis C-methylase UbiE/MenG"] [shortName=UbiE] [TAG=H TAGDEF="Coenzyme transport and metabolism" PROCESS="METABOLISM"]  [PATHWAY="Biotin biosynthesis"] methyltransferase domain-containing protein [Xylanimicrobium sp. FW10M-9]</t>
  </si>
  <si>
    <t>Methylase involved in ubiquinone/menaquinone biosynthesis n=2 Tax=Rhodanobacteraceae TaxID=1775411 RepID=A0A1T5FCD0_9GAMM</t>
  </si>
  <si>
    <t>Oct.NODE_567_length_4596_cov_7.471042_8</t>
  </si>
  <si>
    <t>EGF-like domain-containing protein n=1 Tax=Pycnococcus provasolii TaxID=41880 RepID=A0A830HWB3_9CHLO</t>
  </si>
  <si>
    <t>05.07.P4-5.951-13_8</t>
  </si>
  <si>
    <t>sp|Q3J8U2|UBIG_NITOC Ubiquinone biosynthesis O-methyltransferase OS=Nitrosococcus oceani (strain ATCC 19707 / BCRC 17464 / JCM 30415 / NCIMB 11848 / C-107) OX=323261 GN=ubiG PE=3 SV=1</t>
  </si>
  <si>
    <t>COG2227 [FUNC="2-polyprenyl-3-methyl-5-hydroxy-6-metoxy-1,4-benzoquinol methylase"] [shortName=UbiG] [TAG=H TAGDEF="Coenzyme transport and metabolism" PROCESS="METABOLISM"]  [PATHWAY="Ubiquinone biosynthesis"] class I SAM-dependent methyltransferase [Geitlerinema sp. PCC 7407]</t>
  </si>
  <si>
    <t>Class I SAM-dependent methyltransferase n=1 Tax=Leptolyngbya sp. DLM2.Bin15 TaxID=2480212 RepID=A0A651ES09_9CYAN</t>
  </si>
  <si>
    <t>DNAUV-6.702-23_6</t>
  </si>
  <si>
    <t>COG2227 [FUNC="2-polyprenyl-3-methyl-5-hydroxy-6-metoxy-1,4-benzoquinol methylase"] [shortName=UbiG] [TAG=H TAGDEF="Coenzyme transport and metabolism" PROCESS="METABOLISM"]  [PATHWAY="Ubiquinone biosynthesis"] class I SAM-dependent methyltransferase [Iodobacter sp. H11R3]</t>
  </si>
  <si>
    <t>Class I SAM-dependent methyltransferase n=1 Tax=Ilyomonas limi TaxID=2575867 RepID=A0A4V5UUN9_9BACT</t>
  </si>
  <si>
    <t>DNAUV-147.430-52_74</t>
  </si>
  <si>
    <t>COG2227 [FUNC="2-polyprenyl-3-methyl-5-hydroxy-6-metoxy-1,4-benzoquinol methylase"] [shortName=UbiG] [TAG=H TAGDEF="Coenzyme transport and metabolism" PROCESS="METABOLISM"]  [PATHWAY="Ubiquinone biosynthesis"] class I SAM-dependent methyltransferase [Mariniflexile sp. TRM1-10]</t>
  </si>
  <si>
    <t>3-deoxy-8-phosphooctulonate synthase n=1 Tax=Fadolivirus 1 TaxID=2740746 RepID=A0A7D3QWD4_9VIRU</t>
  </si>
  <si>
    <t>DNAUV-43.621-123_75</t>
  </si>
  <si>
    <t>Methyltransferase domain protein n=1 Tax=Pseudomonas sp. 8AS TaxID=2653163 RepID=A0A653UES1_9PSED</t>
  </si>
  <si>
    <t>Avril.NODE_208_length_8822_cov_7.156838_4</t>
  </si>
  <si>
    <t>COG2227 [FUNC="2-polyprenyl-3-methyl-5-hydroxy-6-metoxy-1,4-benzoquinol methylase"] [shortName=UbiG] [TAG=H TAGDEF="Coenzyme transport and metabolism" PROCESS="METABOLISM"]  [PATHWAY="Ubiquinone biosynthesis"] class I SAM-dependent methyltransferase [Pseudoflavitalea sp. 5GH32-13]</t>
  </si>
  <si>
    <t>Methyltransferase type 11 n=1 Tax=Synechococcus phage S-T4 TaxID=2268578 RepID=A0A385EFD7_9CAUD</t>
  </si>
  <si>
    <t>05.07.P4-23.194-34_15</t>
  </si>
  <si>
    <t>COG2227 [FUNC="2-polyprenyl-3-methyl-5-hydroxy-6-metoxy-1,4-benzoquinol methylase"] [shortName=UbiG] [TAG=H TAGDEF="Coenzyme transport and metabolism" PROCESS="METABOLISM"]  [PATHWAY="Ubiquinone biosynthesis"] FkbM family methyltransferase [Leptothrix cholodnii]</t>
  </si>
  <si>
    <t>VOG02530 [FUNC="REFSEQ methyltransferase"] [TAG=Xu TAGDEF="Function unknown"]</t>
  </si>
  <si>
    <t>Methyltransferase domain-containing protein n=1 Tax=Roseobacter phage CRP-9 TaxID=2813174 RepID=A0A8E5BCA1_9CAUD</t>
  </si>
  <si>
    <t>05.07.P4-45.835-37_2</t>
  </si>
  <si>
    <t>Avril.NODE_9_length_46600_cov_10.230895_41</t>
  </si>
  <si>
    <t>6-hydroxymethylpterin diphosphokinase MptE-like domain-containing protein n=1 Tax=Siphoviridae sp. ctdEk19 TaxID=2656720 RepID=A0A5Q2W429_9CAUD</t>
  </si>
  <si>
    <t>Avril.NODE_497_length_4757_cov_5.379838_7</t>
  </si>
  <si>
    <t>COG2227 [FUNC="2-polyprenyl-3-methyl-5-hydroxy-6-metoxy-1,4-benzoquinol methylase"] [shortName=UbiG] [TAG=H TAGDEF="Coenzyme transport and metabolism" PROCESS="METABOLISM"]  [PATHWAY="Ubiquinone biosynthesis"] hypothetical protein [Chelativorans sp. BNC1]</t>
  </si>
  <si>
    <t>Methyltransferase type 11 n=1 Tax=Chelativorans sp. (strain BNC1) TaxID=266779 RepID=Q11M87_CHESB</t>
  </si>
  <si>
    <t>Oct.NODE_1096_length_2954_cov_2.932390_5</t>
  </si>
  <si>
    <t>sp|A1S6C9|UBIG_SHEAM Ubiquinone biosynthesis O-methyltransferase OS=Shewanella amazonensis (strain ATCC BAA-1098 / SB2B) OX=326297 GN=ubiG PE=3 SV=1</t>
  </si>
  <si>
    <t>COG2227 [FUNC="2-polyprenyl-3-methyl-5-hydroxy-6-metoxy-1,4-benzoquinol methylase"] [shortName=UbiG] [TAG=H TAGDEF="Coenzyme transport and metabolism" PROCESS="METABOLISM"]  [PATHWAY="Ubiquinone biosynthesis"] methyltransferase domain-containing protein [Opitutus terrae]</t>
  </si>
  <si>
    <t>Uncharacterized protein n=1 Tax=Xaviernesmea oryzae TaxID=464029 RepID=A0A1X7FJN2_9HYPH</t>
  </si>
  <si>
    <t>Oct.NODE_350_length_6217_cov_7.766472_7</t>
  </si>
  <si>
    <t>sp|O49354|COQ3_ARATH Ubiquinone biosynthesis O-methyltransferase, mitochondrial OS=Arabidopsis thaliana OX=3702 GN=COQ3 PE=1 SV=2</t>
  </si>
  <si>
    <t>Sept.NODE_564_length_3412_cov_32.277927_3</t>
  </si>
  <si>
    <t>11.09.P1-11.099-9.1_9</t>
  </si>
  <si>
    <t>COG2227 [FUNC="2-polyprenyl-3-methyl-5-hydroxy-6-metoxy-1,4-benzoquinol methylase"] [shortName=UbiG] [TAG=H TAGDEF="Coenzyme transport and metabolism" PROCESS="METABOLISM"]  [PATHWAY="Ubiquinone biosynthesis"] methyltransferase domain-containing protein [Oscillatoria nigro-viridis]</t>
  </si>
  <si>
    <t>Group 2 family glycosyl transferase n=1 Tax=Myxococcus stipitatus (strain DSM 14675 / JCM 12634 / Mx s8) TaxID=1278073 RepID=L7UE79_MYXSD</t>
  </si>
  <si>
    <t>DNAUV-24.309-205_46</t>
  </si>
  <si>
    <t>Methyltransferase type 11 domain-containing protein n=1 Tax=Caulobacter phage Cr30 TaxID=1357714 RepID=A0A067XQP8_9CAUD</t>
  </si>
  <si>
    <t>Sept.NODE_113_length_11702_cov_94.511891_19</t>
  </si>
  <si>
    <t>DNAUV-147.430-52_222</t>
  </si>
  <si>
    <t>COG2236 [FUNC="Hypoxanthine phosphoribosyltransferase"] [shortName=Hpt1] [TAG=H TAGDEF="Coenzyme transport and metabolism" PROCESS="METABOLISM"]  [PATHWAY="Purine salvage"] phosphoribosyltransferase [Novosphingobium resinovorum]</t>
  </si>
  <si>
    <t>Uncharacterized protein n=1 Tax=Pseudoxanthomonas winnipegensis TaxID=2480810 RepID=A0A4Q8L4Z6_9GAMM</t>
  </si>
  <si>
    <t>DNAUV-80.863-259_51</t>
  </si>
  <si>
    <t>sp|Q6AQG4|XGPT_DESPS Xanthine-guanine phosphoribosyltransferase OS=Desulfotalea psychrophila (strain LSv54 / DSM 12343) OX=177439 GN=gpt PE=3 SV=1</t>
  </si>
  <si>
    <t>VOG05251 [FUNC="REFSEQ phosphoribosyl transferase"] [TAG=Xu TAGDEF="Function unknown"]</t>
  </si>
  <si>
    <t>Phosphoribosyl transferase n=3 Tax=Cellulophaga phage phiST TaxID=756282 RepID=M4T1R9_9CAUD</t>
  </si>
  <si>
    <t>DNAUV-2.860-411_4</t>
  </si>
  <si>
    <t>COG2931 [FUNC="Ca2+-binding protein, RTX toxin-related"] [shortName=] [TAG=Q TAGDEF="Secondary metabolites biosynthesis, transport and catabolism" PROCESS="METABOLISM"]  [PATHWAY=""] calcium-binding protein [Pelagibaca abyssi]</t>
  </si>
  <si>
    <t>DNAUV-5.952-108_11</t>
  </si>
  <si>
    <t>Ig-like domain-containing protein n=1 Tax=Rhizobium sp. rho-13.1 TaxID=2506431 RepID=A0A9Q8JDC9_9HYPH</t>
  </si>
  <si>
    <t>Juil.NODE_17_length_4186_cov_6.955217_6</t>
  </si>
  <si>
    <t>DNAUV-3.829-9.8_5</t>
  </si>
  <si>
    <t>COG2931 [FUNC="Ca2+-binding protein, RTX toxin-related"] [shortName=] [TAG=Q TAGDEF="Secondary metabolites biosynthesis, transport and catabolism" PROCESS="METABOLISM"]  [PATHWAY=""] DUF4347 domain-containing protein [Allochromatium vinosum]</t>
  </si>
  <si>
    <t>VOG24732 [FUNC="REFSEQ tail fiber protein"] [TAG=Xu TAGDEF="Function unknown"]</t>
  </si>
  <si>
    <t>Fibronectin type III domain-containing protein n=2 Tax=Tamlana laminarinivorans TaxID=2883124 RepID=A0A9X1HZI0_9FLAO</t>
  </si>
  <si>
    <t>DNAUV-68.024-31_95</t>
  </si>
  <si>
    <t>COG2931 [FUNC="Ca2+-binding protein, RTX toxin-related"] [shortName=] [TAG=Q TAGDEF="Secondary metabolites biosynthesis, transport and catabolism" PROCESS="METABOLISM"]  [PATHWAY=""] hypothetical protein [Oleiphilus messinensis]</t>
  </si>
  <si>
    <t>VOG04060 [FUNC="REFSEQ hypothetical protein"] [TAG=Xu TAGDEF="Function unknown"]</t>
  </si>
  <si>
    <t>DUF4815 domain-containing protein n=1 Tax=Muricauda sp. TMED12 TaxID=1986608 RepID=A0A3R7TYQ7_9FLAO</t>
  </si>
  <si>
    <t>DNAUV-68.024-31_97</t>
  </si>
  <si>
    <t>Uncharacterized protein n=1 Tax=Stappia albiluteola TaxID=2758565 RepID=A0A839A7W1_9HYPH</t>
  </si>
  <si>
    <t>Avril.NODE_120_length_14812_cov_7.045267_13</t>
  </si>
  <si>
    <t>COG2931 [FUNC="Ca2+-binding protein, RTX toxin-related"] [shortName=] [TAG=Q TAGDEF="Secondary metabolites biosynthesis, transport and catabolism" PROCESS="METABOLISM"]  [PATHWAY=""] hypothetical protein [Phenylobacterium zucineum]</t>
  </si>
  <si>
    <t>Uncharacterized protein n=1 Tax=Dinoroseobacter phage vBDshPR2C TaxID=1498169 RepID=A0A0A7CI73_9CAUD</t>
  </si>
  <si>
    <t>DNAUV-20.225-38_24</t>
  </si>
  <si>
    <t>VOG34257 [FUNC="REFSEQ endolysin"] [TAG=Xu TAGDEF="Function unknown"]</t>
  </si>
  <si>
    <t>Uncharacterized protein n=1 Tax=Paracoccus alcaliphilus TaxID=34002 RepID=A0A1H8H6G4_9RHOB</t>
  </si>
  <si>
    <t>DNAUV-63.154-214_12</t>
  </si>
  <si>
    <t>COG2931 [FUNC="Ca2+-binding protein, RTX toxin-related"] [shortName=] [TAG=Q TAGDEF="Secondary metabolites biosynthesis, transport and catabolism" PROCESS="METABOLISM"]  [PATHWAY=""] hypothetical protein [Roseobacter litoralis]</t>
  </si>
  <si>
    <t>Right handed beta helix domain-containing protein n=1 Tax=Roseobacter denitrificans (strain ATCC 33942 / OCh 114) TaxID=375451 RepID=Q167B5_ROSDO</t>
  </si>
  <si>
    <t>DNAUV-73.172-54_63</t>
  </si>
  <si>
    <t>Right handed beta helix domain-containing protein n=1 Tax=Roseobacter litoralis (strain ATCC 49566 / DSM 6996 / JCM 21268 / NBRC 15278 / OCh 149) TaxID=391595 RepID=F7ZF43_ROSLO</t>
  </si>
  <si>
    <t>11.09.P4-15.938-18_6</t>
  </si>
  <si>
    <t>sp|P26700|FIBH_BPP2 Probable tail fiber protein OS=Escherichia phage P2 OX=2905681 GN=H PE=3 SV=2</t>
  </si>
  <si>
    <t>COG2931 [FUNC="Ca2+-binding protein, RTX toxin-related"] [shortName=] [TAG=Q TAGDEF="Secondary metabolites biosynthesis, transport and catabolism" PROCESS="METABOLISM"]  [PATHWAY=""] hypothetical protein [Roseomonas gilardii]</t>
  </si>
  <si>
    <t>VOG23191 [FUNC="REFSEQ hypothetical protein"] [TAG=Xu TAGDEF="Function unknown"]</t>
  </si>
  <si>
    <t>Putative tail fiber protein n=1 Tax=Roseobacter phage CRP-9 TaxID=2813174 RepID=A0A8E5BDC7_9CAUD</t>
  </si>
  <si>
    <t>DNAUV-2.472-6130_4</t>
  </si>
  <si>
    <t>COG2931 [FUNC="Ca2+-binding protein, RTX toxin-related"] [shortName=] [TAG=Q TAGDEF="Secondary metabolites biosynthesis, transport and catabolism" PROCESS="METABOLISM"]  [PATHWAY=""] hypothetical protein [Yangia sp. CCB-MM3]</t>
  </si>
  <si>
    <t>DNAUV-5.055-156_15</t>
  </si>
  <si>
    <t>Uncharacterized protein n=1 Tax=Stenotrophomonas phage IME-SM1 TaxID=1654717 RepID=A0A0H4INV0_9CAUD</t>
  </si>
  <si>
    <t>DNAUV-38.940-21_50</t>
  </si>
  <si>
    <t>COG2931 [FUNC="Ca2+-binding protein, RTX toxin-related"] [shortName=] [TAG=Q TAGDEF="Secondary metabolites biosynthesis, transport and catabolism" PROCESS="METABOLISM"]  [PATHWAY=""] PKD domain-containing protein [Acaryochloris marina]</t>
  </si>
  <si>
    <t>G8 domain-containing protein n=1 Tax=Cognatiyoonia koreensis TaxID=364200 RepID=A0A1I0RTB7_9RHOB</t>
  </si>
  <si>
    <t>DNAUV-10.764-50_14</t>
  </si>
  <si>
    <t>COG2931 [FUNC="Ca2+-binding protein, RTX toxin-related"] [shortName=] [TAG=Q TAGDEF="Secondary metabolites biosynthesis, transport and catabolism" PROCESS="METABOLISM"]  [PATHWAY=""] PKD domain-containing protein [Fuerstia marisgermanicae]</t>
  </si>
  <si>
    <t>DNAUV-13.932-136_26</t>
  </si>
  <si>
    <t>DNAUV-10.932-1045_21</t>
  </si>
  <si>
    <t>sp|A0A0U3DL17|DPOL1_BPKIM Depolymerase 1, capsule K47-specific OS=Klebsiella phage vB_KpnP_IME205 OX=1770232 PE=1 SV=1</t>
  </si>
  <si>
    <t>COG2931 [FUNC="Ca2+-binding protein, RTX toxin-related"] [shortName=] [TAG=Q TAGDEF="Secondary metabolites biosynthesis, transport and catabolism" PROCESS="METABOLISM"]  [PATHWAY=""] poly(beta-D-mannuronate) C5 epimerase 1 [Azotobacter vinelandii]</t>
  </si>
  <si>
    <t>Uncharacterized protein n=1 Tax=Neorhizobium sp. S3-V5DH TaxID=2485166 RepID=A0A4R3X5N5_9HYPH</t>
  </si>
  <si>
    <t>DNAUV-4.462-1084_10</t>
  </si>
  <si>
    <t>sp|Q44494|ALGE1_AZOVI Mannuronan C5-epimerase AlgE1 OS=Azotobacter vinelandii OX=354 GN=algE1 PE=1 SV=1</t>
  </si>
  <si>
    <t>VOG00152 [FUNC="sp|P0DTN7|DEPOL_BPKB1 Depolymerase, capsule K2-specific"] [TAG=Xp TAGDEF="Virus protein with function beneficial for the virus"]</t>
  </si>
  <si>
    <t>Right handed beta helix region n=1 Tax=Paraburkholderia susongensis TaxID=1515439 RepID=A0A1X7KQR0_9BURK</t>
  </si>
  <si>
    <t>Oct.NODE_78_length_22629_cov_4.860991_10</t>
  </si>
  <si>
    <t>COG2931 [FUNC="Ca2+-binding protein, RTX toxin-related"] [shortName=] [TAG=Q TAGDEF="Secondary metabolites biosynthesis, transport and catabolism" PROCESS="METABOLISM"]  [PATHWAY=""] type I secretion C-terminal target domain-containing protein [Fischerella sp. NIES-3754]</t>
  </si>
  <si>
    <t>Calcium-binding protein n=1 Tax=Thalassobius autumnalis TaxID=2072972 RepID=A0A0N7LX95_9RHOB</t>
  </si>
  <si>
    <t>DNAUV-16.585-31_90</t>
  </si>
  <si>
    <t>COG3119 [FUNC="Arylsulfatase A or related enzyme, AlkP superfamily"] [shortName=AslA] [TAG=P TAGDEF="Inorganic ion transport and metabolism" PROCESS="METABOLISM"]  [PATHWAY=""] iduronate-2-sulfatase [Rhodopirellula baltica SH 1]</t>
  </si>
  <si>
    <t>Sialate O-acetylesterase domain-containing protein n=1 Tax=Pirellulimonas nuda TaxID=2528009 RepID=A0A518DCV8_9BACT</t>
  </si>
  <si>
    <t>11.09.P2-2.722-2.2_5</t>
  </si>
  <si>
    <t>COG3172 [FUNC="Nicotinamide riboside kinase"] [shortName=NadR3] [TAG=H TAGDEF="Coenzyme transport and metabolism" PROCESS="METABOLISM"]  [PATHWAY="NAD biosynthesis"] hypothetical protein [Desulfotomaculum gibsoniae]</t>
  </si>
  <si>
    <t>Thymidylate kinase n=1 Tax=Streptomyces phage Coruscant TaxID=2739834 RepID=A0A7G4AW34_9CAUD</t>
  </si>
  <si>
    <t>DNAUV-62.938-22_51</t>
  </si>
  <si>
    <t>COG3172 [FUNC="Nicotinamide riboside kinase"] [shortName=NadR3] [TAG=H TAGDEF="Coenzyme transport and metabolism" PROCESS="METABOLISM"]  [PATHWAY="NAD biosynthesis"] hypothetical protein [Hydrogenophaga sp. PBC]</t>
  </si>
  <si>
    <t>NadR/Ttd14 AAA domain-containing protein n=1 Tax=Synechococcus phage S-CBWM1 TaxID=2053653 RepID=A0A3G1L3W5_9CAUD</t>
  </si>
  <si>
    <t>DNAUV-159.889-409_144</t>
  </si>
  <si>
    <t>sp|P27278|NADR_ECOLI Trifunctional NAD biosynthesis/regulator protein NadR OS=Escherichia coli (strain K12) OX=83333 GN=nadR PE=1 SV=2</t>
  </si>
  <si>
    <t>COG3172 [FUNC="Nicotinamide riboside kinase"] [shortName=NadR3] [TAG=H TAGDEF="Coenzyme transport and metabolism" PROCESS="METABOLISM"]  [PATHWAY="NAD biosynthesis"] NadR family transcriptional regulator [Leptospira biflexa]</t>
  </si>
  <si>
    <t>Putative transcriptional regulator, NadR family n=1 Tax=Leptospira biflexa serovar Patoc (strain Patoc 1 / ATCC 23582 / Paris) TaxID=456481 RepID=B0SMQ6_LEPBP</t>
  </si>
  <si>
    <t>DNAUV-5.700-17_14</t>
  </si>
  <si>
    <t>COG3179 [FUNC="Chitinase, GH19 family"] [shortName=GH19] [TAG=G TAGDEF="Carbohydrate transport and metabolism" PROCESS="METABOLISM"]  [PATHWAY=""] chitinase [Neorhizobium galegae]</t>
  </si>
  <si>
    <t>Glycoside hydrolase family 19 catalytic domain-containing protein n=1 Tax=Dunaliella viridis virus SI2 TaxID=754069 RepID=M4Q3E2_9CAUD</t>
  </si>
  <si>
    <t>DNAUV-6.565-602_6</t>
  </si>
  <si>
    <t>sp|Q41596|CHI1_THECC Endochitinase 1 OS=Theobroma cacao OX=3641 GN=CHIA1 PE=2 SV=1</t>
  </si>
  <si>
    <t>Glycoside hydrolase family 19 catalytic domain-containing protein n=2 Tax=Paracoccus sp. SMMA_5_TC TaxID=2654280 RepID=A0A7X2NW76_9RHOB</t>
  </si>
  <si>
    <t>DNAUV-14.759-18_5</t>
  </si>
  <si>
    <t>sp|P44187|Y1415_HAEIN Glycosyl hydrolase family 19 domain-containing protein HI_1415 OS=Haemophilus influenzae (strain ATCC 51907 / DSM 11121 / KW20 / Rd) OX=71421 GN=HI_1415 PE=3 SV=1</t>
  </si>
  <si>
    <t>COG3179 [FUNC="Chitinase, GH19 family"] [shortName=GH19] [TAG=G TAGDEF="Carbohydrate transport and metabolism" PROCESS="METABOLISM"]  [PATHWAY=""] glycoside hydrolase [Brachyspira intermedia]</t>
  </si>
  <si>
    <t>VOG05842 [FUNC="sp|Q8SCY1|EXLYS_BPDPK Peptidoglycan hydrolase gp181"] [TAG=Xh TAGDEF="Virus protein with function beneficial for the host"]</t>
  </si>
  <si>
    <t>Glycoside hydrolase family 19 catalytic domain-containing protein n=1 Tax=Pseudomonas yamanorum TaxID=515393 RepID=A0A7D5LUY4_9PSED</t>
  </si>
  <si>
    <t>DNAUV-8.340-15_8</t>
  </si>
  <si>
    <t>COG3179 [FUNC="Chitinase, GH19 family"] [shortName=GH19] [TAG=G TAGDEF="Carbohydrate transport and metabolism" PROCESS="METABOLISM"]  [PATHWAY=""] glycoside hydrolase family 19 protein [Phytobacter ursingii]</t>
  </si>
  <si>
    <t>Putative chitinase n=1 Tax=Neptunomonas antarctica TaxID=619304 RepID=A0A1N7K3K2_9GAMM</t>
  </si>
  <si>
    <t>Oct.NODE_373_length_6013_cov_28.507217_7</t>
  </si>
  <si>
    <t>sp|P36907|CHIX_PEA Endochitinase OS=Pisum sativum OX=3888 PE=2 SV=1</t>
  </si>
  <si>
    <t>COG3179 [FUNC="Chitinase, GH19 family"] [shortName=GH19] [TAG=G TAGDEF="Carbohydrate transport and metabolism" PROCESS="METABOLISM"]  [PATHWAY=""] hypothetical protein [Chlorobium phaeobacteroides]</t>
  </si>
  <si>
    <t>Chitinase n=1 Tax=Sphingomonas aquatilis NBRC 16722 TaxID=1219039 RepID=A0A511Q3S9_9SPHN</t>
  </si>
  <si>
    <t>DNAUV-2.765-21_3</t>
  </si>
  <si>
    <t>sp|Q10S66|CHI11_ORYSJ Chitinase 11 OS=Oryza sativa subsp. japonica OX=39947 GN=Cht11 PE=2 SV=1</t>
  </si>
  <si>
    <t>COG3179 [FUNC="Chitinase, GH19 family"] [shortName=GH19] [TAG=G TAGDEF="Carbohydrate transport and metabolism" PROCESS="METABOLISM"]  [PATHWAY=""] hypothetical protein [Ochrobactrum anthropi]</t>
  </si>
  <si>
    <t>Glycoside hydrolase family 19 catalytic domain-containing protein n=1 Tax=Falsochrobactrum sp. TDYN1 TaxID=2706015 RepID=A0A949UTW4_9HYPH</t>
  </si>
  <si>
    <t>DNAUV-4.326-307_4</t>
  </si>
  <si>
    <t>sp|O22841|CHI62_ARATH Endochitinase At2g43620 OS=Arabidopsis thaliana OX=3702 GN=At2g43620 PE=3 SV=1</t>
  </si>
  <si>
    <t>Glycoside hydrolase family 19 catalytic domain-containing protein n=1 Tax=Martelella lutilitoris TaxID=2583532 RepID=A0A7T7HHM0_9HYPH</t>
  </si>
  <si>
    <t>DNAUV-22.957-353_30</t>
  </si>
  <si>
    <t>COG3179 [FUNC="Chitinase, GH19 family"] [shortName=GH19] [TAG=G TAGDEF="Carbohydrate transport and metabolism" PROCESS="METABOLISM"]  [PATHWAY=""] hypothetical protein [Rhizobium leguminosarum]</t>
  </si>
  <si>
    <t>Glycoside hydrolase family 19 catalytic domain-containing protein n=1 Tax=Starkeya novella TaxID=921 RepID=A0A2W5QZ43_STANO</t>
  </si>
  <si>
    <t>DNAUV-4.727-22_12</t>
  </si>
  <si>
    <t>COG3179 [FUNC="Chitinase, GH19 family"] [shortName=GH19] [TAG=G TAGDEF="Carbohydrate transport and metabolism" PROCESS="METABOLISM"]  [PATHWAY=""] hypothetical protein [Simonsiella muelleri]</t>
  </si>
  <si>
    <t>Glycoside hydrolase family 19 catalytic domain-containing protein n=1 Tax=Phage MedPE-SWcel-C56 TaxID=1871314 RepID=A0A1B1IY38_9CAUD</t>
  </si>
  <si>
    <t>11.09.P4-14.055-4.5_9</t>
  </si>
  <si>
    <t>COG3179 [FUNC="Chitinase, GH19 family"] [shortName=GH19] [TAG=G TAGDEF="Carbohydrate transport and metabolism" PROCESS="METABOLISM"]  [PATHWAY=""] Peptidoglycan-binding domain 1 protein [Thioalkalivibrio nitratireducens]</t>
  </si>
  <si>
    <t>VOG01093 [FUNC="REFSEQ endolysin"] [TAG=Xu TAGDEF="Function unknown"]</t>
  </si>
  <si>
    <t>N-acetylmuramoyl-L-alanine amidase n=1 Tax=Pseudovibrio sp. Ad26 TaxID=989410 RepID=A0A165TLP4_9HYPH</t>
  </si>
  <si>
    <t>DNAUV-73.172-54_23</t>
  </si>
  <si>
    <t>Hypothetical host-like protein n=2 Tax=Roseovarius Plymouth podovirus 1 TaxID=926474 RepID=E3PZB7_9CAUD</t>
  </si>
  <si>
    <t>DNAUV-159.889-409_143</t>
  </si>
  <si>
    <t>sp|D2ZZC1|PNUC_NEIMU Nicotinamide riboside transporter PnuC OS=Neisseria mucosa OX=488 GN=pnuC PE=1 SV=1</t>
  </si>
  <si>
    <t>COG3201 [FUNC="Nicotinamide riboside transporter PnuC"] [shortName=PnuC] [TAG=H TAGDEF="Coenzyme transport and metabolism" PROCESS="METABOLISM"]  [PATHWAY=""] nicotinamide mononucleotide transporter PnuC [Candidatus Saccharimonas aalborgensis]</t>
  </si>
  <si>
    <t>VOG02383 [FUNC="sp|D2ZZC1|PNUC_NEIMU Nicotinamide riboside transporter PnuC"] [TAG=Xh TAGDEF="Virus protein with function beneficial for the host"]</t>
  </si>
  <si>
    <t>Aminotransferase n=1 Tax=Blastopirellula marina TaxID=124 RepID=A0A2S8GF76_9BACT</t>
  </si>
  <si>
    <t>DNAUV-13.932-136_24</t>
  </si>
  <si>
    <t>COG3250 [FUNC="Beta-galactosidase/beta-glucuronidase"] [shortName=LacZ] [TAG=G TAGDEF="Carbohydrate transport and metabolism" PROCESS="METABOLISM"]  [PATHWAY=""] glycoside hydrolase family 2 [Kutzneria albida]</t>
  </si>
  <si>
    <t>LamG-like jellyroll fold domain-containing protein n=1 Tax=Pedobacter glucosidilyticus TaxID=1122941 RepID=A0A0B8XVJ2_9SPHI</t>
  </si>
  <si>
    <t>DNAUV-15.594-26_12</t>
  </si>
  <si>
    <t>COG3405 [FUNC="Endo-1,4-beta-D-glucanase Y"] [shortName=BcsZ] [TAG=G TAGDEF="Carbohydrate transport and metabolism" PROCESS="METABOLISM"]  [PATHWAY=""] b-glycanase [Ramlibacter tataouinensis]</t>
  </si>
  <si>
    <t>VOG04005 [FUNC="REFSEQ head protein"] [TAG=Xu TAGDEF="Function unknown"]</t>
  </si>
  <si>
    <t>Bacteriophage lambda head decoration protein D n=1 Tax=Octadecabacter Antarctic DB virus 2 TaxID=2945129 RepID=A0A9E7E4H8_9VIRU</t>
  </si>
  <si>
    <t>DNAUV-2.206-35_1</t>
  </si>
  <si>
    <t>Uncharacterized protein n=1 Tax=Roseobacter phage CRP-5 TaxID=2559284 RepID=A0A646QXM4_9CAUD</t>
  </si>
  <si>
    <t>DNAUV-2.646-17_8</t>
  </si>
  <si>
    <t>DNAUV-3.064-451_9</t>
  </si>
  <si>
    <t>DNAUV-6.021-220_12</t>
  </si>
  <si>
    <t>DNAUV-6.177-18_1</t>
  </si>
  <si>
    <t>DNAUV-9.013-1827_27</t>
  </si>
  <si>
    <t>Oct.NODE_1361_length_2596_cov_3.403384_2</t>
  </si>
  <si>
    <t>Uncharacterized protein n=1 Tax=Roseobacter phage CRP-4 TaxID=2559283 RepID=A0A646QW86_9CAUD</t>
  </si>
  <si>
    <t>Oct.NODE_172_length_11061_cov_47.852535_16</t>
  </si>
  <si>
    <t>Uncharacterized protein n=1 Tax=Brevundimonas vesicularis TaxID=41276 RepID=A0A1Z3U6A8_BREVE</t>
  </si>
  <si>
    <t>Sept.NODE_555_length_3459_cov_5.765276_2</t>
  </si>
  <si>
    <t>Sept.NODE_885_length_2520_cov_9.545639_1</t>
  </si>
  <si>
    <t>Sept.NODE_899_length_2493_cov_14.631255_2</t>
  </si>
  <si>
    <t>DNAUV-19.985-108_17</t>
  </si>
  <si>
    <t>COG3420 [FUNC="Nitrous oxide reductase accessory protein NosD, contains tandem CASH domains"] [shortName=NosD] [TAG=P TAGDEF="Inorganic ion transport and metabolism" PROCESS="METABOLISM"]  [PATHWAY=""] hypothetical protein P148_SR1C00001G0588 [candidate division SR1 bacterium RAAC1_SR1_1]</t>
  </si>
  <si>
    <t>RHS repeat-associated core domain-containing protein n=1 Tax=Aquimarina spongiae TaxID=570521 RepID=A0A1M6L615_9FLAO</t>
  </si>
  <si>
    <t>DNAUV-9.153-49_3</t>
  </si>
  <si>
    <t>COG3533 [FUNC="Beta-L-arabinofuranosidase, GH127 family"] [shortName=HybA1] [TAG=G TAGDEF="Carbohydrate transport and metabolism" PROCESS="METABOLISM"]  [PATHWAY=""] hypothetical protein [Catenulispora acidiphila]</t>
  </si>
  <si>
    <t>Uncharacterized protein n=1 Tax=Bacillus wudalianchiensis TaxID=1743143 RepID=A0A1B9ATR8_9BACI</t>
  </si>
  <si>
    <t>11.09.P2-13.656-12_12</t>
  </si>
  <si>
    <t>COG3613 [FUNC="Nucleoside 2-deoxyribosyltransferase"] [shortName=RCL] [TAG=F TAGDEF="Nucleotide transport and metabolism" PROCESS="METABOLISM"]  [PATHWAY=""] DUF1937 domain-containing protein [Isosphaera pallida]</t>
  </si>
  <si>
    <t>Nucleoside 2-deoxyribosyltransferase n=1 Tax=Symmachiella macrocystis TaxID=2527985 RepID=A0A5C6ATJ3_9PLAN</t>
  </si>
  <si>
    <t>11.09.P2-13.656-12_2</t>
  </si>
  <si>
    <t>Avril.NODE_1496_length_2085_cov_3.404433_1</t>
  </si>
  <si>
    <t>DUF1937 domain-containing protein n=3 Tax=Bacteria TaxID=2 RepID=E8QXH4_ISOPI</t>
  </si>
  <si>
    <t>DNAUV-23.114-30_48</t>
  </si>
  <si>
    <t>sp|Q3A6G9|DNPH1_SYNC1 Putative 2'-deoxynucleoside 5'-phosphate N-hydrolase 1 OS=Syntrophotalea carbinolica (strain DSM 2380 / NBRC 103641 / GraBd1) OX=338963 GN=Pcar_0779 PE=3 SV=1</t>
  </si>
  <si>
    <t>COG3613 [FUNC="Nucleoside 2-deoxyribosyltransferase"] [shortName=RCL] [TAG=F TAGDEF="Nucleotide transport and metabolism" PROCESS="METABOLISM"]  [PATHWAY=""] nucleoside 2-deoxyribosyltransferase [Ilyobacter polytropus]</t>
  </si>
  <si>
    <t>Putative 2'-deoxynucleoside 5'-phosphate N-hydrolase 1 n=1 Tax=Syntrophotalea carbinolica (strain DSM 2380 / NBRC 103641 / GraBd1) TaxID=338963 RepID=DNPH1_SYNC1</t>
  </si>
  <si>
    <t>DNAUV-3.728-8.8_4</t>
  </si>
  <si>
    <t>COG3613 [FUNC="Nucleoside 2-deoxyribosyltransferase"] [shortName=RCL] [TAG=F TAGDEF="Nucleotide transport and metabolism" PROCESS="METABOLISM"]  [PATHWAY=""] nucleoside 2-deoxyribosyltransferase [Weissella koreensis]</t>
  </si>
  <si>
    <t>VOG02944 [FUNC="sp|Q74LQ9|NTD_LACJO Nucleoside deoxyribosyltransferase"] [TAG=Xr TAGDEF="Virus replication"]</t>
  </si>
  <si>
    <t>Nucleoside 2-deoxyribosyltransferase n=1 Tax=Klebsiella oxytoca TaxID=571 RepID=A0A6B8MPD3_KLEOX</t>
  </si>
  <si>
    <t>05.07.P3-10.289-13_17</t>
  </si>
  <si>
    <t>sp|P9WEM6|LIP1_MALR7 Secreted mono- and diacylglycerol lipase LIP1 OS=Malassezia restricta (strain ATCC 96810 / NBRC 103918 / CBS 7877) OX=425264 GN=LIP1 PE=1 SV=1</t>
  </si>
  <si>
    <t>COG3675 [FUNC="Predicted lipase"] [shortName=Lip2] [TAG=I TAGDEF="Lipid transport and metabolism" PROCESS="METABOLISM"]  [PATHWAY=""] lipase [Rhodopirellula baltica SH 1]</t>
  </si>
  <si>
    <t>Fungal lipase-like domain-containing protein n=1 Tax=Synechococcus sp. TMED187 TaxID=1986595 RepID=A0A1Z9KYS1_9SYNE</t>
  </si>
  <si>
    <t>11.09.P1-3.217-7.2_4</t>
  </si>
  <si>
    <t>sp|Q9KS43|TSEL_VIBCH Toxin TseL OS=Vibrio cholerae serotype O1 (strain ATCC 39315 / El Tor Inaba N16961) OX=243277 GN=tseL PE=1 SV=1</t>
  </si>
  <si>
    <t>Mai.NODE_998_length_2317_cov_12.183024_2</t>
  </si>
  <si>
    <t>sp|B0Y6E0|XYNC_ASPFC Probable endo-1,4-beta-xylanase C OS=Aspergillus fumigatus (strain CBS 144.89 / FGSC A1163 / CEA10) OX=451804 GN=xlnC PE=2 SV=2</t>
  </si>
  <si>
    <t>COG3693 [FUNC="Endo-1,4-beta-xylanase, GH35 family"] [shortName=XynA] [TAG=G TAGDEF="Carbohydrate transport and metabolism" PROCESS="METABOLISM"]  [PATHWAY=""] beta-1,4-xylanase [Microcoleus sp. PCC 7113]</t>
  </si>
  <si>
    <t>Beta-1,4 xylanase n=1 Tax=Caulobacter phage Cr30 TaxID=1357714 RepID=A0A067XRB1_9CAUD</t>
  </si>
  <si>
    <t>Avril.NODE_404_length_5515_cov_20.092674_1</t>
  </si>
  <si>
    <t>COG3693 [FUNC="Endo-1,4-beta-xylanase, GH35 family"] [shortName=XynA] [TAG=G TAGDEF="Carbohydrate transport and metabolism" PROCESS="METABOLISM"]  [PATHWAY=""] hypothetical protein [Xylanimicrobium sp. FW10M-9]</t>
  </si>
  <si>
    <t>Repeat domain-containing protein n=1 Tax=Arthrobacter crystallopoietes TaxID=37928 RepID=A0A1H0ZKB8_9MICC</t>
  </si>
  <si>
    <t>DNAUV-36.663-167_169</t>
  </si>
  <si>
    <t>VOG01810 [FUNC="REFSEQ hypothetical protein"] [TAG=Xu TAGDEF="Function unknown"]</t>
  </si>
  <si>
    <t>Ig-like domain-containing protein n=1 Tax=Methyloligella halotolerans TaxID=1177755 RepID=A0A1E2RZJ9_9HYPH</t>
  </si>
  <si>
    <t>11.09.P2-7.063-16_12</t>
  </si>
  <si>
    <t>sp|Q8ZNY9|PRP1_SALTY Serine/threonine-protein phosphatase 1 OS=Salmonella typhimurium (strain LT2 / SGSC1412 / ATCC 700720) OX=99287 GN=pphA PE=1 SV=1</t>
  </si>
  <si>
    <t>COG3855 [FUNC="Fructose-1,6-bisphosphatase"] [shortName=Fbp2] [TAG=G TAGDEF="Carbohydrate transport and metabolism" PROCESS="METABOLISM"]  [PATHWAY="Gluconeogenesis"] serine/threonine protein phosphatase [Blastomonas sp. RAC04]</t>
  </si>
  <si>
    <t>Metallophosphoesterase n=1 Tax=Deinococcus maricopensis (strain DSM 21211 / LMG 22137 / NRRL B-23946 / LB-34) TaxID=709986 RepID=E8UBC0_DEIML</t>
  </si>
  <si>
    <t>Sept.NODE_390_length_4343_cov_5.738340_1</t>
  </si>
  <si>
    <t>COG3866 [FUNC="Pectate lyase"] [shortName=PelB] [TAG=G TAGDEF="Carbohydrate transport and metabolism" PROCESS="METABOLISM"]  [PATHWAY=""] pectate lyase [Cyclobacterium marinum]</t>
  </si>
  <si>
    <t>Head-tail connector protein n=2 Tax=Cellulophaga phage phi12:1 TaxID=1327976 RepID=R9ZXN1_9CAUD</t>
  </si>
  <si>
    <t>DNAUV-7.242-34_6</t>
  </si>
  <si>
    <t>sp|B8NQQ7|PLYC_ASPFN Probable pectate lyase C OS=Aspergillus flavus (strain ATCC 200026 / FGSC A1120 / IAM 13836 / NRRL 3357 / JCM 12722 / SRRC 167) OX=332952 GN=plyC PE=3 SV=1</t>
  </si>
  <si>
    <t>COG3866 [FUNC="Pectate lyase"] [shortName=PelB] [TAG=G TAGDEF="Carbohydrate transport and metabolism" PROCESS="METABOLISM"]  [PATHWAY=""] pectate lyase [Pseudopedobacter saltans]</t>
  </si>
  <si>
    <t>VOG05644 [FUNC="REFSEQ pectate lyase"] [TAG=Xu TAGDEF="Function unknown"]</t>
  </si>
  <si>
    <t>Pectate lyase n=1 Tax=Hyunsoonleella jejuensis TaxID=419940 RepID=A0A1H9G6I5_9FLAO</t>
  </si>
  <si>
    <t>DNAUV-2.630-35_1</t>
  </si>
  <si>
    <t>sp|P12625|PHB_RALPI Poly(3-hydroxybutyrate) depolymerase OS=Ralstonia pickettii OX=329 PE=3 SV=1</t>
  </si>
  <si>
    <t>COG3979 [FUNC="Chitodextrinase"] [shortName=] [TAG=G TAGDEF="Carbohydrate transport and metabolism" PROCESS="METABOLISM"]  [PATHWAY=""] glycoside hydrolase [Mahella australiensis]</t>
  </si>
  <si>
    <t>Putative tail fiber protein n=1 Tax=Roseobacter phage CRP-7 TaxID=2559286 RepID=A0A646QWT2_9CAUD</t>
  </si>
  <si>
    <t>Avril.NODE_34_length_37560_cov_23.634315_26</t>
  </si>
  <si>
    <t>sp|A0A8G1A3Q5|CHI52_PAEXY Chitinase Chi52 OS=Paenibacillus xylanexedens OX=528191 GN=Chi52 PE=1 SV=1</t>
  </si>
  <si>
    <t>COG3979 [FUNC="Chitodextrinase"] [shortName=] [TAG=G TAGDEF="Carbohydrate transport and metabolism" PROCESS="METABOLISM"]  [PATHWAY=""] hypothetical protein [Aureitalea sp. RR4-38]</t>
  </si>
  <si>
    <t>VOG00560 [FUNC="REFSEQ virion structural protein"] [TAG=Xu TAGDEF="Function unknown"]</t>
  </si>
  <si>
    <t>Fibronectin type III domain-containing protein n=1 Tax=Maribacter flavus TaxID=1658664 RepID=A0A5B2TVJ8_9FLAO</t>
  </si>
  <si>
    <t>11.09.P2-5.186-4.6_1</t>
  </si>
  <si>
    <t>COG3979 [FUNC="Chitodextrinase"] [shortName=] [TAG=G TAGDEF="Carbohydrate transport and metabolism" PROCESS="METABOLISM"]  [PATHWAY=""] hypothetical protein [Thermincola potens]</t>
  </si>
  <si>
    <t>DNAUV-48.475-181_28</t>
  </si>
  <si>
    <t>sp|Q9JM14|NT5C_MOUSE 5'(3')-deoxyribonucleotidase, cytosolic type OS=Mus musculus OX=10090 GN=Nt5c PE=1 SV=1</t>
  </si>
  <si>
    <t>COG4502 [FUNC="5'(3')-deoxyribonucleotidase"] [shortName=YorC] [TAG=F TAGDEF="Nucleotide transport and metabolism" PROCESS="METABOLISM"]  [PATHWAY=""] 5'-3'-deoxyribonucleotidase [Orrella dioscoreae]</t>
  </si>
  <si>
    <t>VOG07391 [FUNC="sp|P06855|KIPN_BPT4 Polynucleotide kinase"] [TAG=Xh TAGDEF="Virus protein with function beneficial for the host"]</t>
  </si>
  <si>
    <t>5'(3')-deoxyribonucleotidase, cytosolic type isoform X1 n=1 Tax=Physeter macrocephalus TaxID=9755 RepID=A0A2Y9EDZ6_PHYMC</t>
  </si>
  <si>
    <t>DNAUV-147.430-52_13</t>
  </si>
  <si>
    <t>COG4502 [FUNC="5'(3')-deoxyribonucleotidase"] [shortName=YorC] [TAG=F TAGDEF="Nucleotide transport and metabolism" PROCESS="METABOLISM"]  [PATHWAY=""] 5'-3'-deoxyribonucleotidase [Snodgrassella alvi]</t>
  </si>
  <si>
    <t>VOG00110 [FUNC="sp|P66841|53DR_STAAN Putative 5'(3')-deoxyribonucleotidase"] [TAG=Xu TAGDEF="Function unknown"]</t>
  </si>
  <si>
    <t>5' nucleotidase, deoxy (Pyrimidine), cytosolic type C protein (NT5C) n=1 Tax=Ralstonia phage RsoM2USA TaxID=2070027 RepID=A0A8D4GNI5_9CAUD</t>
  </si>
  <si>
    <t>DNAUV-4.564-14_1</t>
  </si>
  <si>
    <t>sp|P59935|53DR_BPKVM Putative 5'(3')-deoxyribonucleotidase OS=Vibrio phage KVP40 (isolate Vibrio parahaemolyticus/Japan/Matsuzaki/1991) OX=75320 GN=KVP40.0071 PE=3 SV=1</t>
  </si>
  <si>
    <t>COG4502 [FUNC="5'(3')-deoxyribonucleotidase"] [shortName=YorC] [TAG=F TAGDEF="Nucleotide transport and metabolism" PROCESS="METABOLISM"]  [PATHWAY=""] hypothetical protein [Woeseia oceani]</t>
  </si>
  <si>
    <t>Deoxyribonucleotidase n=1 Tax=Vibrio phage nt-1 TaxID=115992 RepID=R9TIC8_9CAUD</t>
  </si>
  <si>
    <t>DNAUV-7.358-33_2</t>
  </si>
  <si>
    <t>sp|P68522|53DR_BACSU 5'(3')-deoxyribonucleotidase OS=Bacillus subtilis (strain 168) OX=224308 GN=yorS PE=3 SV=1</t>
  </si>
  <si>
    <t>COG4502 [FUNC="5'(3')-deoxyribonucleotidase"] [shortName=YorC] [TAG=F TAGDEF="Nucleotide transport and metabolism" PROCESS="METABOLISM"]  [PATHWAY=""] putative 5'(3')-deoxyribonucleotidase; phage SPbeta [Bacillus subtilis subsp. subtilis str. 168]</t>
  </si>
  <si>
    <t>5' nucleotidase n=1 Tax=Vibrio phage 424E50-1 TaxID=2963198 RepID=A0A9P0VN56_9CAUD</t>
  </si>
  <si>
    <t>DNAUV-13.079-18_7</t>
  </si>
  <si>
    <t>sp|Q94MV8|VG56_BPLZ5 dCTP pyrophosphatase OS=Enterobacteria phage LZ5 OX=37363 GN=56 PE=4 SV=1</t>
  </si>
  <si>
    <t>COG4508 [FUNC="Dimeric dUTPase, all-alpha-NTP-PPase (MazG) superfamily"] [shortName=Dut2] [TAG=F TAGDEF="Nucleotide transport and metabolism" PROCESS="METABOLISM"]  [PATHWAY="Thymidylate biosynthesis"] dUTPase [Coraliomargarita akajimensis]</t>
  </si>
  <si>
    <t>dCTP pyrophosphatase n=1 Tax=Providencia phage PSTCR6 TaxID=2783548 RepID=A0A873WNW4_9CAUD</t>
  </si>
  <si>
    <t>DNAUV-20.101-21_7</t>
  </si>
  <si>
    <t>Gp56 dCTPase n=1 Tax=Escherichia phage JSE TaxID=576789 RepID=C4MYI4_9CAUD</t>
  </si>
  <si>
    <t>DNAUV-2.605-913_3</t>
  </si>
  <si>
    <t>COG4572 [FUNC="Cation transport regulator ChaB"] [shortName=ChaB] [TAG=P TAGDEF="Inorganic ion transport and metabolism" PROCESS="METABOLISM"]  [PATHWAY=""] MULTISPECIES: cation transporter [Hyphomicrobium]</t>
  </si>
  <si>
    <t>DNAUV-6.176-14_9</t>
  </si>
  <si>
    <t>sp|Q4WL88|PLYC_ASPFU Probable pectate lyase C OS=Aspergillus fumigatus (strain ATCC MYA-4609 / CBS 101355 / FGSC A1100 / Af293) OX=330879 GN=plyC PE=3 SV=1</t>
  </si>
  <si>
    <t>COG4677 [FUNC="Pectin methylesterase and related acyl-CoA thioesterases"] [shortName=PemB] [TAG=G TAGDEF="Carbohydrate transport and metabolism" PROCESS="METABOLISM"] [TAG=I TAGDEF="Lipid transport and metabolism" PROCESS="METABOLISM"]  [PATHWAY=""] hypothetical protein [Tamlana sp. UJ94]</t>
  </si>
  <si>
    <t>Pectate lyase n=1 Tax=Maribacter orientalis TaxID=228957 RepID=A0A1H7SH94_9FLAO</t>
  </si>
  <si>
    <t>Avril.NODE_34_length_37560_cov_23.634315_27</t>
  </si>
  <si>
    <t>sp|Q5B297|PLYC_EMENI Probable pectate lyase C OS=Emericella nidulans (strain FGSC A4 / ATCC 38163 / CBS 112.46 / NRRL 194 / M139) OX=227321 GN=plyC PE=3 SV=1</t>
  </si>
  <si>
    <t>COG4677 [FUNC="Pectin methylesterase and related acyl-CoA thioesterases"] [shortName=PemB] [TAG=G TAGDEF="Carbohydrate transport and metabolism" PROCESS="METABOLISM"] [TAG=I TAGDEF="Lipid transport and metabolism" PROCESS="METABOLISM"]  [PATHWAY=""] pectinesterase [Paenibacillus polymyxa]</t>
  </si>
  <si>
    <t>T9SS type A sorting domain-containing protein n=1 Tax=Niastella caeni TaxID=2569763 RepID=A0A4S8HVH0_9BACT</t>
  </si>
  <si>
    <t>Sept.NODE_104_length_13001_cov_9.114862_16</t>
  </si>
  <si>
    <t>COG4696 [FUNC="NTP pyrophosphatase, MazG superfamily"] [shortName=MazG2] [TAG=F TAGDEF="Nucleotide transport and metabolism" PROCESS="METABOLISM"]  [PATHWAY=""] GNAT family N-acetyltransferase [Flaviflexus salsibiostraticola]</t>
  </si>
  <si>
    <t>Putative phosphoribosyl-ATP pyrophosphohydrolase n=1 Tax=Sinorhizobium phage phiM6 TaxID=2301527 RepID=A0A346HW65_9CAUD</t>
  </si>
  <si>
    <t>DNAUV-3.368-21_5</t>
  </si>
  <si>
    <t>COG4696 [FUNC="NTP pyrophosphatase, MazG superfamily"] [shortName=MazG2] [TAG=F TAGDEF="Nucleotide transport and metabolism" PROCESS="METABOLISM"]  [PATHWAY=""] hypothetical protein [Kordia sp. SMS9]</t>
  </si>
  <si>
    <t>VOG26094 [FUNC="REFSEQ gp57"] [TAG=Xu TAGDEF="Function unknown"]</t>
  </si>
  <si>
    <t>Phosphoribosyl-ATP pyrophosphohydrolase n=1 Tax=Roseobacter phage CRP-2 TaxID=2559281 RepID=A0A646QVS6_9CAUD</t>
  </si>
  <si>
    <t>DNAUV-50.039-64_21</t>
  </si>
  <si>
    <t>Sept.NODE_652_length_3074_cov_4.121895_2</t>
  </si>
  <si>
    <t>DNAUV-63.154-214_96</t>
  </si>
  <si>
    <t>COG4696 [FUNC="NTP pyrophosphatase, MazG superfamily"] [shortName=MazG2] [TAG=F TAGDEF="Nucleotide transport and metabolism" PROCESS="METABOLISM"]  [PATHWAY=""] hypothetical protein [Nitrospira defluvii]</t>
  </si>
  <si>
    <t>MazG nucleotide pyrophosphohydrolase n=1 Tax=Tiilvirus P60 TaxID=151528 RepID=L0CQ01_9CAUD</t>
  </si>
  <si>
    <t>DNAUV-64.562-41_42</t>
  </si>
  <si>
    <t>COG4696 [FUNC="NTP pyrophosphatase, MazG superfamily"] [shortName=MazG2] [TAG=F TAGDEF="Nucleotide transport and metabolism" PROCESS="METABOLISM"]  [PATHWAY=""] hypothetical protein [Psychroflexus torquis]</t>
  </si>
  <si>
    <t>Putative NTP pyrophosphohydrolase protein n=1 Tax=Rhizobium phage RHph_I65 TaxID=2509738 RepID=A0A7S5RLQ4_9CAUD</t>
  </si>
  <si>
    <t>DNAUV-73.172-54_68</t>
  </si>
  <si>
    <t>COG4696 [FUNC="NTP pyrophosphatase, MazG superfamily"] [shortName=MazG2] [TAG=F TAGDEF="Nucleotide transport and metabolism" PROCESS="METABOLISM"]  [PATHWAY=""] hypothetical protein [Sebaldella termitidis]</t>
  </si>
  <si>
    <t>NTP pyrophosphohydrolase MazG-like domain-containing protein n=1 Tax=Dinoroseobacter phage DFL12phi1 TaxID=1477404 RepID=A0A023NGK2_9CAUD</t>
  </si>
  <si>
    <t>05.07.P3-15.581-31_14</t>
  </si>
  <si>
    <t>COG4696 [FUNC="NTP pyrophosphatase, MazG superfamily"] [shortName=MazG2] [TAG=F TAGDEF="Nucleotide transport and metabolism" PROCESS="METABOLISM"]  [PATHWAY=""] hypothetical protein [Sediminicola sp. YIK13]</t>
  </si>
  <si>
    <t>05.07.P4-10.196-26_16</t>
  </si>
  <si>
    <t>05.07.P4-10.196-26_4</t>
  </si>
  <si>
    <t>DNAUV-78.511-202_30</t>
  </si>
  <si>
    <t>COG4696 [FUNC="NTP pyrophosphatase, MazG superfamily"] [shortName=MazG2] [TAG=F TAGDEF="Nucleotide transport and metabolism" PROCESS="METABOLISM"]  [PATHWAY=""] hypothetical protein [Wenyingzhuangia fucanilytica]</t>
  </si>
  <si>
    <t>Phosphoribosyl-ATP pyrophosphohydrolase n=1 Tax=Pontimicrobium aquaticum TaxID=2565367 RepID=A0A4U0EZ26_9FLAO</t>
  </si>
  <si>
    <t>DNAUV-22.071-221_19</t>
  </si>
  <si>
    <t>COG4696 [FUNC="NTP pyrophosphatase, MazG superfamily"] [shortName=MazG2] [TAG=F TAGDEF="Nucleotide transport and metabolism" PROCESS="METABOLISM"]  [PATHWAY=""] hypothetical protein BC4735 [Bacillus cereus ATCC 14579]</t>
  </si>
  <si>
    <t>Cof hydrolase n=1 Tax=Roseobacter phage RDJL Phi 1 TaxID=562742 RepID=F4YXM9_9CAUD</t>
  </si>
  <si>
    <t>DNAUV-5.879-30_3</t>
  </si>
  <si>
    <t>Phosphoribosyl-ATP pyrophosphohydrolase n=1 Tax=Lake Baikal phage Baikal-20-5m-C28 TaxID=2047876 RepID=A0A2H4N7Q9_9CAUD</t>
  </si>
  <si>
    <t>Oct.NODE_33_length_37390_cov_21.424508_34</t>
  </si>
  <si>
    <t>Cof hydrolase n=1 Tax=Roseobacter phage RDJL Phi 2 TaxID=1682380 RepID=A0A0K0PVE7_9CAUD</t>
  </si>
  <si>
    <t>05.07.P3-7.327-12_9</t>
  </si>
  <si>
    <t>COG4696 [FUNC="NTP pyrophosphatase, MazG superfamily"] [shortName=MazG2] [TAG=F TAGDEF="Nucleotide transport and metabolism" PROCESS="METABOLISM"]  [PATHWAY=""] hypothetical protein SCO5781 [Streptomyces coelicolor A3(2)]</t>
  </si>
  <si>
    <t>Phosphoribosyl-ATP diphosphatase n=1 Tax=cyanobiont of Ornithocercus magnificus TaxID=2496102 RepID=A0A4Y3GB67_9CYAN</t>
  </si>
  <si>
    <t>11.09.P1-11.148-50_7</t>
  </si>
  <si>
    <t>Putative secreted protein n=1 Tax=Synechococcus phage S-B28 TaxID=2545435 RepID=A0A482IC93_9CAUD</t>
  </si>
  <si>
    <t>11.09.P3-3.306-1.5_5</t>
  </si>
  <si>
    <t>Gp32 n=2 Tax=Synechococcus phage S-CBP3 TaxID=756276 RepID=I3ULV6_9CAUD</t>
  </si>
  <si>
    <t>11.09.P4-8.195-3.6_1</t>
  </si>
  <si>
    <t>DNAUV-16.256-16_36</t>
  </si>
  <si>
    <t>Putative HAD superfamily Cof-like phosphohydrolase n=2 Tax=Leucobacter luti TaxID=340320 RepID=A0A4Q7U054_9MICO</t>
  </si>
  <si>
    <t>DNAUV-22.957-353_26</t>
  </si>
  <si>
    <t>Nucleotide pyrophosphohydrolase n=1 Tax=Synechococcus phage S-SBP1 TaxID=2735125 RepID=A0A6M4EKE0_9CAUD</t>
  </si>
  <si>
    <t>Sept.NODE_368_length_4519_cov_52.705421_4</t>
  </si>
  <si>
    <t>05.07.P4-45.835-37_57</t>
  </si>
  <si>
    <t>COG4696 [FUNC="NTP pyrophosphatase, MazG superfamily"] [shortName=MazG2] [TAG=F TAGDEF="Nucleotide transport and metabolism" PROCESS="METABOLISM"]  [PATHWAY=""] MULTISPECIES: hypothetical protein [Arenibacter]</t>
  </si>
  <si>
    <t>DNAUV-5.176-80_7</t>
  </si>
  <si>
    <t>COG4696 [FUNC="NTP pyrophosphatase, MazG superfamily"] [shortName=MazG2] [TAG=F TAGDEF="Nucleotide transport and metabolism" PROCESS="METABOLISM"]  [PATHWAY=""] MULTISPECIES: hypothetical protein [Persicobacter]</t>
  </si>
  <si>
    <t>05.07.P4-3.452-52_1</t>
  </si>
  <si>
    <t>COG4696 [FUNC="NTP pyrophosphatase, MazG superfamily"] [shortName=MazG2] [TAG=F TAGDEF="Nucleotide transport and metabolism" PROCESS="METABOLISM"]  [PATHWAY=""] MULTISPECIES: phosphoribosyl-ATP diphosphatase [Actinomyces]</t>
  </si>
  <si>
    <t>11.09.P4-14.613-5.8_10</t>
  </si>
  <si>
    <t>11.09.P4-19.072-23_12</t>
  </si>
  <si>
    <t>Avril.NODE_4_length_52184_cov_14.862668_61</t>
  </si>
  <si>
    <t>DNAUV-3.097-133_4</t>
  </si>
  <si>
    <t>DNAUV-3.329-202_1</t>
  </si>
  <si>
    <t>DNAUV-57.114-48_11</t>
  </si>
  <si>
    <t>Oct.NODE_124_length_14767_cov_18.698341_14</t>
  </si>
  <si>
    <t>Sept.NODE_255_length_6045_cov_48.327880_6</t>
  </si>
  <si>
    <t>Sept.NODE_531_length_3550_cov_43.767096_2</t>
  </si>
  <si>
    <t>DNAUV-4.745-245_4</t>
  </si>
  <si>
    <t>COG4696 [FUNC="NTP pyrophosphatase, MazG superfamily"] [shortName=MazG2] [TAG=F TAGDEF="Nucleotide transport and metabolism" PROCESS="METABOLISM"]  [PATHWAY=""] nucleotide pyrophosphohydrolase [Catenulispora acidiphila]</t>
  </si>
  <si>
    <t>Gp32 n=1 Tax=Cyanophage NATL1A-7 TaxID=445693 RepID=E3SN92_9CAUD</t>
  </si>
  <si>
    <t>DNAUV-5.865-1025_10</t>
  </si>
  <si>
    <t>COG4696 [FUNC="NTP pyrophosphatase, MazG superfamily"] [shortName=MazG2] [TAG=F TAGDEF="Nucleotide transport and metabolism" PROCESS="METABOLISM"]  [PATHWAY=""] nucleotide pyrophosphohydrolase [Nakamurella multipartita]</t>
  </si>
  <si>
    <t>Oct.NODE_1134_length_2894_cov_32.028883_4</t>
  </si>
  <si>
    <t>DNAUV-2.325-109_6</t>
  </si>
  <si>
    <t>COG4696 [FUNC="NTP pyrophosphatase, MazG superfamily"] [shortName=MazG2] [TAG=F TAGDEF="Nucleotide transport and metabolism" PROCESS="METABOLISM"]  [PATHWAY=""] phosphoribosyl-ATP diphosphatase [Candidatus Pelagibacter sp. IMCC9063]</t>
  </si>
  <si>
    <t>DNAUV-2.540-782_1</t>
  </si>
  <si>
    <t>Phosphoribosyl-ATP pyrophosphohydrolase n=1 Tax=Aminomonas paucivorans DSM 12260 TaxID=584708 RepID=E3D024_9BACT</t>
  </si>
  <si>
    <t>DNAUV-4.565-49_5</t>
  </si>
  <si>
    <t>Triphosphate pyrophosphohydrolase n=1 Tax=Stenotrophomonas phage vB_SmaS-DLP_6 TaxID=1651816 RepID=A0A142EZY1_9CAUD</t>
  </si>
  <si>
    <t>DNAUV-4.626-123_4</t>
  </si>
  <si>
    <t>DNAUV-43.621-123_29</t>
  </si>
  <si>
    <t>Phosphoribosyl-ATP pyrophosphohydrolase n=1 Tax=Leptotrichia hofstadii TaxID=157688 RepID=A0A510JED3_9FUSO</t>
  </si>
  <si>
    <t>DNAUV-5.997-503_7</t>
  </si>
  <si>
    <t>DNAUV-6.588-589_17</t>
  </si>
  <si>
    <t>Oct.NODE_783_length_3714_cov_9.905985_6</t>
  </si>
  <si>
    <t>11.09.P3-9.290-4.4_10</t>
  </si>
  <si>
    <t>COG4696 [FUNC="NTP pyrophosphatase, MazG superfamily"] [shortName=MazG2] [TAG=F TAGDEF="Nucleotide transport and metabolism" PROCESS="METABOLISM"]  [PATHWAY=""] putative Phosphoribosyl-ATP pyrophosphohydrolase-like protein [uncultured marine group II euryarchaeote]</t>
  </si>
  <si>
    <t>Predicted phosphohydrolase, Cof family, HAD superfamily n=1 Tax=Bradyrhizobium yuanmingense TaxID=108015 RepID=A0A1C3XHZ4_9BRAD</t>
  </si>
  <si>
    <t>11.09.P3-9.290-4.4_4</t>
  </si>
  <si>
    <t>DNAUV-18.244-111_19</t>
  </si>
  <si>
    <t>DNAUV-2.206-500_1</t>
  </si>
  <si>
    <t>COG4696 [FUNC="NTP pyrophosphatase, MazG superfamily"] [shortName=MazG2] [TAG=F TAGDEF="Nucleotide transport and metabolism" PROCESS="METABOLISM"]  [PATHWAY=""] putative secreted protein [Actinomyces naeslundii]</t>
  </si>
  <si>
    <t>DNAUV-6.565-602_1</t>
  </si>
  <si>
    <t>COG5297 [FUNC="Cellulase/cellobiase CelA1"] [shortName=CelA1] [TAG=G TAGDEF="Carbohydrate transport and metabolism" PROCESS="METABOLISM"]  [PATHWAY=""] alpha-L-arabinofuranosidase [Catenulispora acidiphila]</t>
  </si>
  <si>
    <t>Fibronectin type-III domain-containing protein n=1 Tax=Xanthobacter dioxanivorans TaxID=2528964 RepID=A0A974SHW1_9HYPH</t>
  </si>
  <si>
    <t>23.10.P4-5.507-28_6</t>
  </si>
  <si>
    <t>COG5297 [FUNC="Cellulase/cellobiase CelA1"] [shortName=CelA1] [TAG=G TAGDEF="Carbohydrate transport and metabolism" PROCESS="METABOLISM"]  [PATHWAY=""] hypothetical protein [Catenulispora acidiphila]</t>
  </si>
  <si>
    <t>VOG23510 [FUNC="REFSEQ hypothetical protein"] [TAG=Xu TAGDEF="Function unknown"]</t>
  </si>
  <si>
    <t>DNAUV-17.838-18_17</t>
  </si>
  <si>
    <t>sp|O70252|HMOX2_MOUSE Heme oxygenase 2 OS=Mus musculus OX=10090 GN=Hmox2 PE=1 SV=1</t>
  </si>
  <si>
    <t>COG5398 [FUNC="Heme oxygenase"] [shortName=] [TAG=H TAGDEF="Coenzyme transport and metabolism" PROCESS="METABOLISM"]  [PATHWAY=""] heme oxygenase (biliverdin-producing) [Microcystis aeruginosa]</t>
  </si>
  <si>
    <t>VOG31081 [FUNC="sp|O78497|HO_GUITH Heme oxygenase"] [TAG=Xh TAGDEF="Virus protein with function beneficial for the host"]</t>
  </si>
  <si>
    <t>Heme oxygenase n=2 Tax=Chromatiaceae TaxID=1046 RepID=V4IYL9_9GAMM</t>
  </si>
  <si>
    <t>23.10.P4-4.559-1.9_6</t>
  </si>
  <si>
    <t>COG5434 [FUNC="Polygalacturonase"] [shortName=Pgu1] [TAG=G TAGDEF="Carbohydrate transport and metabolism" PROCESS="METABOLISM"]  [PATHWAY=""] gluconolaconase [Draconibacterium orientale]</t>
  </si>
  <si>
    <t>VOG00828 [FUNC="REFSEQ tail fiber protein"] [TAG=Xu TAGDEF="Function unknown"]</t>
  </si>
  <si>
    <t>Pectin lyase fold protein n=1 Tax=Vibrio phage 2.275.O._10N.286.54.E11 TaxID=1881285 RepID=A0A2I7SA56_9CAUD</t>
  </si>
  <si>
    <t>DNAUV-44.645-4509_55</t>
  </si>
  <si>
    <t>sp|Q858F5|FIBER_BPE15 Tail spike protein OS=Salmonella phage epsilon15 OX=215158 PE=1 SV=1</t>
  </si>
  <si>
    <t>COG5434 [FUNC="Polygalacturonase"] [shortName=Pgu1] [TAG=G TAGDEF="Carbohydrate transport and metabolism" PROCESS="METABOLISM"]  [PATHWAY=""] hypothetical protein [Desulfuromonas soudanensis]</t>
  </si>
  <si>
    <t>Phage tail protein (Fragment) n=7 Tax=Escherichia coli TaxID=562 RepID=A0A793H1F1_ECOLX</t>
  </si>
  <si>
    <t>DNAUV-9.387-31_4</t>
  </si>
  <si>
    <t>VOG00476 [FUNC="REFSEQ tail fiber protein"] [TAG=Xu TAGDEF="Function unknown"]</t>
  </si>
  <si>
    <t>Pectate lyase superfamily protein domain-containing protein n=1 Tax=Pseudohoeflea suaedae TaxID=877384 RepID=A0A4V3A715_9HYPH</t>
  </si>
  <si>
    <t>DNAUV-6.950-43_7</t>
  </si>
  <si>
    <t>sp|P49714|FIBER_BPK1E Tail spike protein OS=Escherichia phage K1E OX=344022 GN=GP90 PE=1 SV=1</t>
  </si>
  <si>
    <t>COG5434 [FUNC="Polygalacturonase"] [shortName=Pgu1] [TAG=G TAGDEF="Carbohydrate transport and metabolism" PROCESS="METABOLISM"]  [PATHWAY=""] hypothetical protein [Indioceanicola profundi]</t>
  </si>
  <si>
    <t>Pectate lyase superfamily protein domain-containing protein (Fragment) n=1 Tax=Polynucleobacter sp. 35-46-11 TaxID=1970425 RepID=A0A258LLX5_9BURK</t>
  </si>
  <si>
    <t>DNAUV-48.671-99_20</t>
  </si>
  <si>
    <t>COG5434 [FUNC="Polygalacturonase"] [shortName=Pgu1] [TAG=G TAGDEF="Carbohydrate transport and metabolism" PROCESS="METABOLISM"]  [PATHWAY=""] hypothetical protein [Methylomusa anaerophila]</t>
  </si>
  <si>
    <t>PKD domain-containing protein n=1 Tax=Zobellia amurskyensis TaxID=248905 RepID=A0A7X3D266_9FLAO</t>
  </si>
  <si>
    <t>DNAUV-18.095-1024_3</t>
  </si>
  <si>
    <t>sp|Q44492|ALGE5_AZOVI Mannuronan C5-epimerase AlgE5 OS=Azotobacter vinelandii OX=354 GN=algE5 PE=2 SV=1</t>
  </si>
  <si>
    <t>COG5434 [FUNC="Polygalacturonase"] [shortName=Pgu1] [TAG=G TAGDEF="Carbohydrate transport and metabolism" PROCESS="METABOLISM"]  [PATHWAY=""] hypothetical protein SCO6418 [Streptomyces coelicolor A3(2)]</t>
  </si>
  <si>
    <t>Right-handed parallel beta-helix repeat-containing protein n=1 Tax=Serratia sp. (strain ATCC 39006) TaxID=104623 RepID=A0A2I5TIK3_SERS3</t>
  </si>
  <si>
    <t>Oct.NODE_84_length_21524_cov_20.230844_2</t>
  </si>
  <si>
    <t>05.07.P4-13.300-12_18</t>
  </si>
  <si>
    <t>sp|P49426|EXG1_COCCA Glucan 1,3-beta-glucosidase OS=Cochliobolus carbonum OX=5017 GN=EXG1 PE=1 SV=1</t>
  </si>
  <si>
    <t>COG5434 [FUNC="Polygalacturonase"] [shortName=Pgu1] [TAG=G TAGDEF="Carbohydrate transport and metabolism" PROCESS="METABOLISM"]  [PATHWAY=""] pectate lyase [Planococcus antarcticus]</t>
  </si>
  <si>
    <t>Tail protein n=1 Tax=Myoviridae sp. ctWb16 TaxID=2827690 RepID=A0A8S5SZU9_9CAUD</t>
  </si>
  <si>
    <t>DNAUV-17.838-18_18</t>
  </si>
  <si>
    <t>sp|Q7VCC2|PCYA_PROMA Phycocyanobilin:ferredoxin oxidoreductase OS=Prochlorococcus marinus (strain SARG / CCMP1375 / SS120) OX=167539 GN=pcyA PE=3 SV=1</t>
  </si>
  <si>
    <t>COG5692 [FUNC="Phycocyanobilin:ferredoxin oxidoreductase"] [shortName=PcyA] [TAG=C TAGDEF="Energy production and conversion" PROCESS="METABOLISM"]  [PATHWAY=""] phycocyanobilin:ferredoxin oxidoreductase [Acaryochloris marina]</t>
  </si>
  <si>
    <t>Putative phycocyanobilin:ferredoxin oxidoreductase n=1 Tax=Pelagibacter phage Mosig EXVC030M TaxID=2759214 RepID=A0A7S6ILH1_9CAUD</t>
  </si>
  <si>
    <t>DNAUV-4.792-15_11</t>
  </si>
  <si>
    <t>COG5765 [FUNC="Uncharacterized cyanobacterial/chloroplast stress-induced protein Ycf35, DUF1257 domain"] [shortName=Ycf35] [TAG=C TAGDEF="Energy production and conversion" PROCESS="METABOLISM"]  [PATHWAY=""] Protein of unknown function (DUF1257) [Chamaesiphon minutus PCC 6605]</t>
  </si>
  <si>
    <t>VOG05443 [FUNC="sp|O78438|YCF35_GUITH Uncharacterized protein ycf35"] [TAG=Xh TAGDEF="Virus protein with function beneficial for the host"]</t>
  </si>
  <si>
    <t>DUF1257 domain-containing protein n=1 Tax=Rhizobium phage RHph_I4 TaxID=2509735 RepID=A0A7S5REL3_9CAUD</t>
  </si>
  <si>
    <t>DNAUV-3.146-31_6</t>
  </si>
  <si>
    <t>Deoxyuridine 5'-triphosphate nucleotidohydrolase n=1 Tax=Malassezia globosa (strain ATCC MYA-4612 / CBS 7966) TaxID=425265 RepID=A8QCD6_MALGO</t>
  </si>
  <si>
    <t>DNAUV-5.622-87_9</t>
  </si>
  <si>
    <t>DNAUV-80.863-259_27</t>
  </si>
  <si>
    <t>sp|Q54BW5|DUT_DICDI Deoxyuridine 5'-triphosphate nucleotidohydrolase, mitochondrial OS=Dictyostelium discoideum OX=44689 GN=dut PE=1 SV=1</t>
  </si>
  <si>
    <t>dUTPase-like domain-containing protein n=1 Tax=Pusillimonas sp. (ex Stolz et al. 2005) TaxID=1979962 RepID=A0A2D7XCF9_9BURK</t>
  </si>
  <si>
    <t>DNAUV-59.689-63_36</t>
  </si>
  <si>
    <t>sp|P39347|INTB_ECOLI Putative protein IntB OS=Escherichia coli (strain K12) OX=83333 GN=intB PE=5 SV=1</t>
  </si>
  <si>
    <t>COG0582 [FUNC="Integrase/recombinase, includes phage integrase"] [shortName=FimB] [TAG=L TAGDEF="Replication, recombination and repair" PROCESS="INFORMATION STORAGE AND PROCESSING"] [TAG=X TAGDEF="Mobilome: prophages, transposons" PROCESS=""]  [PATHWAY=""] DUF4102 domain-containing protein [Sulfuriferula sp. AH1]</t>
  </si>
  <si>
    <t>MOBILOME</t>
  </si>
  <si>
    <t>Integrase n=1 Tax=Maritimibacter sp. 55A14 TaxID=2174844 RepID=A0A2U2CQD6_9RHOB</t>
  </si>
  <si>
    <t>11.09.P1-8.802-7.6_7</t>
  </si>
  <si>
    <t>COG0582 [FUNC="Integrase/recombinase, includes phage integrase"] [shortName=FimB] [TAG=L TAGDEF="Replication, recombination and repair" PROCESS="INFORMATION STORAGE AND PROCESSING"] [TAG=X TAGDEF="Mobilome: prophages, transposons" PROCESS=""]  [PATHWAY=""] hypothetical protein [Halocynthiibacter arcticus]</t>
  </si>
  <si>
    <t>DNAUV-28.787-28_22</t>
  </si>
  <si>
    <t>sp|Q7DF80|DRA2B_DEIRA RNA-guided DNA endonuclease TnpB OS=Deinococcus radiodurans (strain ATCC 13939 / DSM 20539 / JCM 16871 / CCUG 27074 / LMG 4051 / NBRC 15346 / NCIMB 9279 / VKM B-1422 / R1) OX=243230 GN=tnpB PE=1 SV=1</t>
  </si>
  <si>
    <t>COG0675 [FUNC="Transposase"] [shortName=InsQ] [TAG=X TAGDEF="Mobilome: prophages, transposons" PROCESS=""]  [PATHWAY=""] hypothetical protein [Thioploca ingrica]</t>
  </si>
  <si>
    <t>Putative transposase n=1 Tax=Vibrio phage 1.170.O._10N.261.52.C3 TaxID=1881390 RepID=A0A2I7RFB5_9CAUD</t>
  </si>
  <si>
    <t>Avril.NODE_756_length_3411_cov_3.678188_4</t>
  </si>
  <si>
    <t>sp|P54992|YSNA_STRPR Putative RNA-guided DNA endonuclease OS=Streptomyces pristinaespiralis OX=38300 PE=3 SV=1</t>
  </si>
  <si>
    <t>COG0675 [FUNC="Transposase"] [shortName=InsQ] [TAG=X TAGDEF="Mobilome: prophages, transposons" PROCESS=""]  [PATHWAY=""] transposase [Arthrospira sp. TJSD091]</t>
  </si>
  <si>
    <t>IS200/IS605 family element transposase accessory protein TnpB n=1 Tax=Okeania sp. SIO2C2 TaxID=2607787 RepID=A0A6P0P039_9CYAN</t>
  </si>
  <si>
    <t>DNAUV-29.591-37_26</t>
  </si>
  <si>
    <t>IS200/IS605 family element transposase accessory protein TnpB n=1 Tax=Boseongicola sp. SB0665_bin_10 TaxID=2604845 RepID=A0A6L7LPL7_9RHOB</t>
  </si>
  <si>
    <t>DNAUV-56.054-300_42</t>
  </si>
  <si>
    <t>COG1372 [FUNC="Intein/homing endonuclease"] [shortName=Hop] [TAG=L TAGDEF="Replication, recombination and repair" PROCESS="INFORMATION STORAGE AND PROCESSING"] [TAG=X TAGDEF="Mobilome: prophages, transposons" PROCESS=""]  [PATHWAY=""] ATP-dependent DNA helicase RecG [Lentzea guizhouensis]</t>
  </si>
  <si>
    <t>Putative ATP-dependent DNA helicase n=1 Tax=Salmonella phage JN03 TaxID=2759204 RepID=A0A7G8AL92_9CAUD</t>
  </si>
  <si>
    <t>23.10.P4-4.135-16_4</t>
  </si>
  <si>
    <t>sp|Q6QGM6|TFLII_BPT5 H-N-H endonuclease F-TflII OS=Escherichia phage T5 OX=2695836 GN=hegD PE=2 SV=1</t>
  </si>
  <si>
    <t>COG1372 [FUNC="Intein/homing endonuclease"] [shortName=Hop] [TAG=L TAGDEF="Replication, recombination and repair" PROCESS="INFORMATION STORAGE AND PROCESSING"] [TAG=X TAGDEF="Mobilome: prophages, transposons" PROCESS=""]  [PATHWAY=""] gyrase subunit B protein [Candidatus Woesebacteria bacterium GW2011_GWF1_31_35]</t>
  </si>
  <si>
    <t>HNH nuclease domain-containing protein n=1 Tax=Vibrio phage 11895-B1 TaxID=754075 RepID=M4QR14_9CAUD</t>
  </si>
  <si>
    <t>DNAUV-4.538-757_14</t>
  </si>
  <si>
    <t>sp|Q5JGV6|HELS_THEKO ATP-dependent DNA helicase Hel308 OS=Thermococcus kodakarensis (strain ATCC BAA-918 / JCM 12380 / KOD1) OX=69014 GN=hel308 PE=3 SV=1</t>
  </si>
  <si>
    <t>COG1372 [FUNC="Intein/homing endonuclease"] [shortName=Hop] [TAG=L TAGDEF="Replication, recombination and repair" PROCESS="INFORMATION STORAGE AND PROCESSING"] [TAG=X TAGDEF="Mobilome: prophages, transposons" PROCESS=""]  [PATHWAY=""] hypothetical protein [Euzebya sp. DY32-46]</t>
  </si>
  <si>
    <t>VOG03776 [FUNC="REFSEQ hypothetical protein"] [TAG=Xu TAGDEF="Function unknown"]</t>
  </si>
  <si>
    <t>Methylase n=1 Tax=EBPR siphovirus 2 TaxID=1048521 RepID=F8TV64_9CAUD</t>
  </si>
  <si>
    <t>DNAUV-100.032-102_24</t>
  </si>
  <si>
    <t>sp|Q180P5|WHIA_CLOD6 Probable cell division protein WhiA OS=Clostridioides difficile (strain 630) OX=272563 GN=whiA PE=3 SV=2</t>
  </si>
  <si>
    <t>COG1372 [FUNC="Intein/homing endonuclease"] [shortName=Hop] [TAG=L TAGDEF="Replication, recombination and repair" PROCESS="INFORMATION STORAGE AND PROCESSING"] [TAG=X TAGDEF="Mobilome: prophages, transposons" PROCESS=""]  [PATHWAY=""] intein-containing adenosylcobalamin-dependent ribonucleoside-diphosphate reductase [Pyrococcus abyssi]</t>
  </si>
  <si>
    <t>VOG04419 [FUNC="REFSEQ endonuclease"] [TAG=Xu TAGDEF="Function unknown"]</t>
  </si>
  <si>
    <t>LAGLIDADG-like domain-containing protein n=1 Tax=Tepidibacter formicigenes DSM 15518 TaxID=1123349 RepID=A0A1M6JPK5_9FIRM</t>
  </si>
  <si>
    <t>DNAUV-43.621-123_58</t>
  </si>
  <si>
    <t>sp|P75539|DNAB_MYCPN Replicative DNA helicase OS=Mycoplasma pneumoniae (strain ATCC 29342 / M129 / Subtype 1) OX=272634 GN=dnaB PE=3 SV=1</t>
  </si>
  <si>
    <t>COG1372 [FUNC="Intein/homing endonuclease"] [shortName=Hop] [TAG=L TAGDEF="Replication, recombination and repair" PROCESS="INFORMATION STORAGE AND PROCESSING"] [TAG=X TAGDEF="Mobilome: prophages, transposons" PROCESS=""]  [PATHWAY=""] intein-containing replicative DNA helicase [Microcystis aeruginosa]</t>
  </si>
  <si>
    <t>DNA helicase n=18 Tax=Sugarlandvirus TaxID=2560233 RepID=A0A2H4PH42_9CAUD</t>
  </si>
  <si>
    <t>DNAUV-78.511-202_51</t>
  </si>
  <si>
    <t>sp|Q8U0H4|RTCB_PYRFU tRNA-splicing ligase RtcB OS=Pyrococcus furiosus (strain ATCC 43587 / DSM 3638 / JCM 8422 / Vc1) OX=186497 GN=rtcB PE=3 SV=1</t>
  </si>
  <si>
    <t>COG1372 [FUNC="Intein/homing endonuclease"] [shortName=Hop] [TAG=L TAGDEF="Replication, recombination and repair" PROCESS="INFORMATION STORAGE AND PROCESSING"] [TAG=X TAGDEF="Mobilome: prophages, transposons" PROCESS=""]  [PATHWAY=""] replicative DNA helicase [Planktothrix agardhii NIES-204]</t>
  </si>
  <si>
    <t>Terminase large subunit n=1 Tax=CrAss-like virus sp. ctDAq1 TaxID=2826822 RepID=A0A8S5QU75_9CAUD</t>
  </si>
  <si>
    <t>DNAUV-100.032-102_80</t>
  </si>
  <si>
    <t>COG1372 [FUNC="Intein/homing endonuclease"] [shortName=Hop] [TAG=L TAGDEF="Replication, recombination and repair" PROCESS="INFORMATION STORAGE AND PROCESSING"] [TAG=X TAGDEF="Mobilome: prophages, transposons" PROCESS=""]  [PATHWAY=""] replicative DNA helicase [Polynucleobacter asymbioticus]</t>
  </si>
  <si>
    <t>VOG19894 [FUNC="REFSEQ terminase large subunit"] [TAG=Xu TAGDEF="Function unknown"]</t>
  </si>
  <si>
    <t>Terminase large subunit n=1 Tax=CrAss-like virus sp. ctelJ1 TaxID=2825838 RepID=A0A8S5V2B4_9CAUD</t>
  </si>
  <si>
    <t>DNAUV-3.548-13_2</t>
  </si>
  <si>
    <t>PhoH-like protein n=2 Tax=unclassified Caudoviricetes TaxID=2788787 RepID=A0A2Z4QGG9_9CAUD</t>
  </si>
  <si>
    <t>DNAUV-48.934-1423_44</t>
  </si>
  <si>
    <t>COG1783 [FUNC="Phage terminase large subunit"] [shortName=XtmB] [TAG=X TAGDEF="Mobilome: prophages, transposons" PROCESS=""]  [PATHWAY=""] hypothetical protein [Castellaniella defragrans]</t>
  </si>
  <si>
    <t>Phage terminase, large subunit, PBSX family n=2 Tax=Tatumella ptyseos TaxID=82987 RepID=A0A2X5SK41_9GAMM</t>
  </si>
  <si>
    <t>DNAUV-2.481-13-V2_13</t>
  </si>
  <si>
    <t>COG1783 [FUNC="Phage terminase large subunit"] [shortName=XtmB] [TAG=X TAGDEF="Mobilome: prophages, transposons" PROCESS=""]  [PATHWAY=""] hypothetical protein [Chlorobium phaeobacteroides]</t>
  </si>
  <si>
    <t>Terminase large subunit n=1 Tax=Vibrio phage vB_VpaS_MAR10 TaxID=1229755 RepID=K7RFH7_9CAUD</t>
  </si>
  <si>
    <t>Mai.NODE_430_length_4270_cov_3.824674_3</t>
  </si>
  <si>
    <t>DNAUV-42.404-84_84</t>
  </si>
  <si>
    <t>COG1783 [FUNC="Phage terminase large subunit"] [shortName=XtmB] [TAG=X TAGDEF="Mobilome: prophages, transposons" PROCESS=""]  [PATHWAY=""] hypothetical protein [Fimbriimonas ginsengisoli]</t>
  </si>
  <si>
    <t>Terminase large subunit n=1 Tax=Paracoccus phage vB_PmaS-R3 TaxID=2494563 RepID=A0A0B5A5A5_9CAUD</t>
  </si>
  <si>
    <t>DNAUV-64.562-41_56</t>
  </si>
  <si>
    <t>Terminase n=1 Tax=Alphaproteobacteria phage PhiJL001 TaxID=2681607 RepID=Q5DN46_9CAUD</t>
  </si>
  <si>
    <t>Sept.NODE_1193_length_2068_cov_5.778937_1</t>
  </si>
  <si>
    <t>COG1783 [FUNC="Phage terminase large subunit"] [shortName=XtmB] [TAG=X TAGDEF="Mobilome: prophages, transposons" PROCESS=""]  [PATHWAY=""] hypothetical protein [Hymenobacter swuensis]</t>
  </si>
  <si>
    <t>VOG00475 [FUNC="sp|O31952|YONF_BACSU SPbeta prophage-derived uncharacterized protein YonF"] [TAG=Xu TAGDEF="Function unknown"]</t>
  </si>
  <si>
    <t>Terminase large subunit n=1 Tax=Methylophilales phage MEP301 TaxID=2806696 RepID=A0A894JXQ7_9CAUD</t>
  </si>
  <si>
    <t>05.07.P3-6.538-4.9_7</t>
  </si>
  <si>
    <t>COG1783 [FUNC="Phage terminase large subunit"] [shortName=XtmB] [TAG=X TAGDEF="Mobilome: prophages, transposons" PROCESS=""]  [PATHWAY=""] hypothetical protein [Oscillibacter valericigenes]</t>
  </si>
  <si>
    <t>Terminase large subunit n=1 Tax=Roseobacter phage CRP-2 TaxID=2559281 RepID=A0A646QWF5_9CAUD</t>
  </si>
  <si>
    <t>05.07.P4-23.194-34_10</t>
  </si>
  <si>
    <t>DNAUV-16.786-275_68</t>
  </si>
  <si>
    <t>Terminase n=1 Tax=Gemmatimonas sp. SG8_17 TaxID=1703355 RepID=A0A0S7ZVQ4_9BACT</t>
  </si>
  <si>
    <t>DNAUV-2.152-11_3</t>
  </si>
  <si>
    <t>Putative terminase, large subunit n=1 Tax=Acinetobacter phage Loki TaxID=1970374 RepID=A0A0N7MKP6_9CAUD</t>
  </si>
  <si>
    <t>DNAUV-29.464-218_32</t>
  </si>
  <si>
    <t>sp|P26745|TERL_BPP22 Terminase, large subunit OS=Salmonella phage P22 OX=10754 GN=2 PE=1 SV=1</t>
  </si>
  <si>
    <t>Terminase large subunit n=1 Tax=Roseobacter phage CRP-13 TaxID=2813173 RepID=A0A8E5F651_9CAUD</t>
  </si>
  <si>
    <t>DNAUV-44.091-1296_63</t>
  </si>
  <si>
    <t>DNAUV-50.039-64_72</t>
  </si>
  <si>
    <t>DNAUV-57.114-48_88</t>
  </si>
  <si>
    <t>sp|Q06SF4|RPOB2_STIHE DNA-directed RNA polymerase subunit beta C-terminal section OS=Stigeoclonium helveticum OX=55999 GN=rpoB2 PE=3 SV=1</t>
  </si>
  <si>
    <t>DNAUV-63.154-214_16</t>
  </si>
  <si>
    <t>DNAUV-64.565-409_92</t>
  </si>
  <si>
    <t>Putative terminase large subunit n=1 Tax=Pseudomonas phage PaMx74 TaxID=1175663 RepID=A0A0S0N9H7_9CAUD</t>
  </si>
  <si>
    <t>DNAUV-7.476-13_11</t>
  </si>
  <si>
    <t>Terminase large subunit n=1 Tax=Roseobacter phage CRP-9 TaxID=2813174 RepID=A0A8E5F9N0_9CAUD</t>
  </si>
  <si>
    <t>Oct.NODE_108_length_17648_cov_6.645257_8</t>
  </si>
  <si>
    <t>Oct.NODE_12_length_43814_cov_20.924267_29</t>
  </si>
  <si>
    <t>Sept.NODE_95_length_14511_cov_66.561151_5</t>
  </si>
  <si>
    <t>Sept.NODE_326_length_5098_cov_4.291295_1</t>
  </si>
  <si>
    <t>COG1783 [FUNC="Phage terminase large subunit"] [shortName=XtmB] [TAG=X TAGDEF="Mobilome: prophages, transposons" PROCESS=""]  [PATHWAY=""] hypothetical protein [Sulfurivermis fontis]</t>
  </si>
  <si>
    <t>DNAUV-41.172-78_3</t>
  </si>
  <si>
    <t>sp|A0A1L4BKS3|TERL_BPG20 Terminase, large subunit OS=Thermus phage G20c OX=1406341 GN=G20c_80 PE=1 SV=1</t>
  </si>
  <si>
    <t>COG1783 [FUNC="Phage terminase large subunit"] [shortName=XtmB] [TAG=X TAGDEF="Mobilome: prophages, transposons" PROCESS=""]  [PATHWAY=""] hypothetical protein YPMT1.24c (plasmid) [Yersinia pestis CO92]</t>
  </si>
  <si>
    <t>Terminase n=3 Tax=Enterobacteriaceae TaxID=543 RepID=A0A483IR63_KLEPN</t>
  </si>
  <si>
    <t>Avril.NODE_1532_length_2050_cov_4.450125_2</t>
  </si>
  <si>
    <t>sp|P39786|XTMB_BACSU PBSX phage terminase large subunit OS=Bacillus subtilis (strain 168) OX=224308 GN=xtmB PE=4 SV=2</t>
  </si>
  <si>
    <t>COG1783 [FUNC="Phage terminase large subunit"] [shortName=XtmB] [TAG=X TAGDEF="Mobilome: prophages, transposons" PROCESS=""]  [PATHWAY=""] MULTISPECIES: PBSX family phage terminase large subunit [Macrococcus]</t>
  </si>
  <si>
    <t>Phage terminase large subunit N-terminal domain-containing protein n=1 Tax=Hymenobacter busanensis TaxID=2607656 RepID=A0A7L4ZWQ1_9BACT</t>
  </si>
  <si>
    <t>DNAUV-42.184-72_67</t>
  </si>
  <si>
    <t>COG1783 [FUNC="Phage terminase large subunit"] [shortName=XtmB] [TAG=X TAGDEF="Mobilome: prophages, transposons" PROCESS=""]  [PATHWAY=""] MULTISPECIES: PBSX family phage terminase large subunit [Phyllobacterium]</t>
  </si>
  <si>
    <t>PBSX family phage terminase large subunit n=2 Tax=Pseudomonas extremaustralis TaxID=359110 RepID=A0A5C5Q2Z6_9PSED</t>
  </si>
  <si>
    <t>DNAUV-43.803-72_12</t>
  </si>
  <si>
    <t>Avril.NODE_96_length_18205_cov_10.611129_3</t>
  </si>
  <si>
    <t>COG1783 [FUNC="Phage terminase large subunit"] [shortName=XtmB] [TAG=X TAGDEF="Mobilome: prophages, transposons" PROCESS=""]  [PATHWAY=""] PBSX family phage terminase large subunit [Agarilytica rhodophyticola]</t>
  </si>
  <si>
    <t>Phage terminase, large subunit, PBSX family n=1 Tax=Providencia rettgeri DSM 1131 TaxID=521000 RepID=D4BUK1_PRORE</t>
  </si>
  <si>
    <t>DNAUV-3.433-11_2</t>
  </si>
  <si>
    <t>Terminase n=1 Tax=Aeromonas phage 4_4512 TaxID=2588516 RepID=A0A5B9NBY1_9CAUD</t>
  </si>
  <si>
    <t>DNAUV-3.433-11_3</t>
  </si>
  <si>
    <t>Terminase n=1 Tax=Vibrio phage 199E37-1 TaxID=2963176 RepID=A0A9P0Y7W1_9CAUD</t>
  </si>
  <si>
    <t>DNAUV-40.486-52_32</t>
  </si>
  <si>
    <t>PBSX family phage terminase large subunit n=1 Tax=Pseudomonas sp. MSSRFD41 TaxID=1310370 RepID=A0A7X1FMJ3_9PSED</t>
  </si>
  <si>
    <t>Oct.NODE_1074_length_2984_cov_5.247183_1</t>
  </si>
  <si>
    <t>DNAUV-40.559-174_43</t>
  </si>
  <si>
    <t>sp|Q6QGD2|TERL_BPT5 Terminase, large subunit OS=Escherichia phage T5 OX=2695836 GN=ORF144 PE=1 SV=1</t>
  </si>
  <si>
    <t>COG1783 [FUNC="Phage terminase large subunit"] [shortName=XtmB] [TAG=X TAGDEF="Mobilome: prophages, transposons" PROCESS=""]  [PATHWAY=""] PBSX family phage terminase large subunit [Anaerostipes hadrus]</t>
  </si>
  <si>
    <t>May contain ATP/GTP binding motif n=1 Tax=Yersinia phage phiR2-01 TaxID=1206557 RepID=I7KQY6_9CAUD</t>
  </si>
  <si>
    <t>05.07.P4-9.181-36_2</t>
  </si>
  <si>
    <t>sp|P54308|TERL_BPSPP Terminase, large subunit OS=Bacillus phage SPP1 OX=10724 GN=2 PE=1 SV=1</t>
  </si>
  <si>
    <t>COG1783 [FUNC="Phage terminase large subunit"] [shortName=XtmB] [TAG=X TAGDEF="Mobilome: prophages, transposons" PROCESS=""]  [PATHWAY=""] PBSX family phage terminase large subunit [Anaerotignum propionicum]</t>
  </si>
  <si>
    <t>Phage terminase large subunit n=1 Tax=Chishuiella changwenlii TaxID=1434701 RepID=A0A1M6X9X0_9FLAO</t>
  </si>
  <si>
    <t>05.07.P4-9.181-36_9</t>
  </si>
  <si>
    <t>DNAUV-4.591-12_14</t>
  </si>
  <si>
    <t>Terminase large subunit n=1 Tax=Haloarcula vallismortis tailed virus 1 TaxID=1262528 RepID=L7TGY9_9CAUD</t>
  </si>
  <si>
    <t>DNAUV-2.084-8.0_4</t>
  </si>
  <si>
    <t>COG1783 [FUNC="Phage terminase large subunit"] [shortName=XtmB] [TAG=X TAGDEF="Mobilome: prophages, transposons" PROCESS=""]  [PATHWAY=""] PBSX family phage terminase large subunit [Cellulosilyticum lentocellum]</t>
  </si>
  <si>
    <t>PBSX family terminase large subunit n=1 Tax=Vibrio phage ValSw3-3 TaxID=2138297 RepID=A0A2R4ALC3_9CAUD</t>
  </si>
  <si>
    <t>Oct.NODE_750_length_3821_cov_26.646309_2</t>
  </si>
  <si>
    <t>COG1783 [FUNC="Phage terminase large subunit"] [shortName=XtmB] [TAG=X TAGDEF="Mobilome: prophages, transposons" PROCESS=""]  [PATHWAY=""] PBSX family phage terminase large subunit [Desulfotomaculum ruminis]</t>
  </si>
  <si>
    <t>DNAUV-5.235-14_7</t>
  </si>
  <si>
    <t>COG1783 [FUNC="Phage terminase large subunit"] [shortName=XtmB] [TAG=X TAGDEF="Mobilome: prophages, transposons" PROCESS=""]  [PATHWAY=""] PBSX family phage terminase large subunit [Mannheimia haemolytica]</t>
  </si>
  <si>
    <t>Terminase n=1 Tax=Alteromonas phage PB15 TaxID=1913113 RepID=A0A1J0GWB1_9CAUD</t>
  </si>
  <si>
    <t>Oct.NODE_17_length_42127_cov_14.061823_27</t>
  </si>
  <si>
    <t>COG1783 [FUNC="Phage terminase large subunit"] [shortName=XtmB] [TAG=X TAGDEF="Mobilome: prophages, transposons" PROCESS=""]  [PATHWAY=""] PBSX family phage terminase large subunit [Methylobacterium extorquens]</t>
  </si>
  <si>
    <t>Uncharacterized protein n=2 Tax=Hypericibacter terrae TaxID=2602015 RepID=A0A5J6MN15_9PROT</t>
  </si>
  <si>
    <t>DNAUV-12.430-23_6</t>
  </si>
  <si>
    <t>COG1783 [FUNC="Phage terminase large subunit"] [shortName=XtmB] [TAG=X TAGDEF="Mobilome: prophages, transposons" PROCESS=""]  [PATHWAY=""] PBSX family phage terminase large subunit [Nitratiruptor sp. SB155-2]</t>
  </si>
  <si>
    <t>Putative TerL large-subunit terminase n=1 Tax=Bdellovibrio phage phi1422 TaxID=1127515 RepID=H9C0L8_9CAUD</t>
  </si>
  <si>
    <t>DNAUV-3.545-223_3</t>
  </si>
  <si>
    <t>COG1783 [FUNC="Phage terminase large subunit"] [shortName=XtmB] [TAG=X TAGDEF="Mobilome: prophages, transposons" PROCESS=""]  [PATHWAY=""] PBSX family phage terminase large subunit [Nitrosospira multiformis]</t>
  </si>
  <si>
    <t>VOG33136 [FUNC="REFSEQ hypothetical protein"] [TAG=Xu TAGDEF="Function unknown"]</t>
  </si>
  <si>
    <t>Terminase n=1 Tax=Paraburkholderia fynbosensis TaxID=1200993 RepID=A0A6J5FPV6_9BURK</t>
  </si>
  <si>
    <t>Sept.NODE_296_length_5347_cov_8.580688_1</t>
  </si>
  <si>
    <t>Terminase large subunit protein n=1 Tax=Rhizobium phage RHph_I3_18 TaxID=2509732 RepID=A0A7S5RG89_9CAUD</t>
  </si>
  <si>
    <t>DNAUV-42.055-32_55</t>
  </si>
  <si>
    <t>COG1783 [FUNC="Phage terminase large subunit"] [shortName=XtmB] [TAG=X TAGDEF="Mobilome: prophages, transposons" PROCESS=""]  [PATHWAY=""] PBSX family phage terminase large subunit [Obesumbacterium proteus]</t>
  </si>
  <si>
    <t>Terminase large subunit n=2 Tax=unclassified Caudoviricetes TaxID=2788787 RepID=A0A2I7QK25_9CAUD</t>
  </si>
  <si>
    <t>DNAUV-4.902-111_4</t>
  </si>
  <si>
    <t>COG1783 [FUNC="Phage terminase large subunit"] [shortName=XtmB] [TAG=X TAGDEF="Mobilome: prophages, transposons" PROCESS=""]  [PATHWAY=""] PBSX family phage terminase large subunit [Parabacteroides distasonis]</t>
  </si>
  <si>
    <t>Phage terminase, large subunit, PBSX family n=1 Tax=Nonlabens phage P12024S TaxID=1168478 RepID=I6RT73_9CAUD</t>
  </si>
  <si>
    <t>DNAUV-7.544-40_11</t>
  </si>
  <si>
    <t>DNAUV-80.863-259_76</t>
  </si>
  <si>
    <t>Phage terminase large subunit n=1 Tax=Cellulophaga phage phi13:1 TaxID=1327992 RepID=S0A2S1_9CAUD</t>
  </si>
  <si>
    <t>DNAUV-2.142-25_1</t>
  </si>
  <si>
    <t>COG1783 [FUNC="Phage terminase large subunit"] [shortName=XtmB] [TAG=X TAGDEF="Mobilome: prophages, transposons" PROCESS=""]  [PATHWAY=""] PBSX family phage terminase large subunit [Paracoccus denitrificans]</t>
  </si>
  <si>
    <t>Terminase large subunit gp17-like C-terminal domain-containing protein n=1 Tax=Halomonas pacifica TaxID=77098 RepID=A0A510XGM6_9GAMM</t>
  </si>
  <si>
    <t>DNAUV-2.404-74_8</t>
  </si>
  <si>
    <t>Putative terminase large subunit n=1 Tax=Ralstonia phage RpY1 TaxID=2759121 RepID=A0A7D7EML2_9CAUD</t>
  </si>
  <si>
    <t>DNAUV-2.524-15_3</t>
  </si>
  <si>
    <t>Terminase n=2 Tax=Bosea vaviloviae TaxID=1526658 RepID=A0A1D7U2Q8_9HYPH</t>
  </si>
  <si>
    <t>DNAUV-2.578-441_6</t>
  </si>
  <si>
    <t>Terminase n=1 Tax=Seohaeicola zhoushanensis TaxID=1569283 RepID=A0A8J3H312_9RHOB</t>
  </si>
  <si>
    <t>DNAUV-3.773-156_8</t>
  </si>
  <si>
    <t>sp|P27753|TERL_BPP1 Probable terminase, large subunit OS=Escherichia phage P1 OX=2886926 GN=pacB PE=3 SV=1</t>
  </si>
  <si>
    <t>Terminase B n=1 Tax=Bordetella flabilis TaxID=463014 RepID=A0A193GAZ7_9BORD</t>
  </si>
  <si>
    <t>DNAUV-44.645-4509_41</t>
  </si>
  <si>
    <t>Terminase-like family protein n=3 Tax=unclassified Caudoviricetes TaxID=2788787 RepID=A0A2I7QKY5_9CAUD</t>
  </si>
  <si>
    <t>Oct.NODE_1752_length_2168_cov_4.424988_2</t>
  </si>
  <si>
    <t>Terminase n=1 Tax=Microvirga mediterraneensis TaxID=2754695 RepID=A0A838BV09_9HYPH</t>
  </si>
  <si>
    <t>DNAUV-4.958-200_3</t>
  </si>
  <si>
    <t>COG1783 [FUNC="Phage terminase large subunit"] [shortName=XtmB] [TAG=X TAGDEF="Mobilome: prophages, transposons" PROCESS=""]  [PATHWAY=""] PBSX family phage terminase large subunit [Sebaldella termitidis]</t>
  </si>
  <si>
    <t>Phage terminase large subunit n=1 Tax=Arachidicoccus rhizosphaerae TaxID=551991 RepID=A0A1H4CEW2_9BACT</t>
  </si>
  <si>
    <t>DNAUV-2.708-49_5</t>
  </si>
  <si>
    <t>COG1783 [FUNC="Phage terminase large subunit"] [shortName=XtmB] [TAG=X TAGDEF="Mobilome: prophages, transposons" PROCESS=""]  [PATHWAY=""] PBSX family phage terminase large subunit [Simonsiella muelleri]</t>
  </si>
  <si>
    <t>Phage terminase large subunit N-terminal domain-containing protein n=1 Tax=Alteripontixanthobacter maritimus TaxID=2161824 RepID=A0A369Q4W9_9SPHN</t>
  </si>
  <si>
    <t>DNAUV-4.227-15-V2_6</t>
  </si>
  <si>
    <t>DNAUV-5.235-14_6</t>
  </si>
  <si>
    <t>Avril.NODE_518_length_4558_cov_5.956918_5</t>
  </si>
  <si>
    <t>COG1783 [FUNC="Phage terminase large subunit"] [shortName=XtmB] [TAG=X TAGDEF="Mobilome: prophages, transposons" PROCESS=""]  [PATHWAY=""] phage associated protein [Neisseria gonorrhoeae FA 1090]</t>
  </si>
  <si>
    <t>Large terminase n=1 Tax=Siphoviridae sp. ctFgp7 TaxID=2827821 RepID=A0A8S5STW8_9CAUD</t>
  </si>
  <si>
    <t>Avril.NODE_329_length_6307_cov_6.475048_5</t>
  </si>
  <si>
    <t>COG1783 [FUNC="Phage terminase large subunit"] [shortName=XtmB] [TAG=X TAGDEF="Mobilome: prophages, transposons" PROCESS=""]  [PATHWAY=""] phage portal protein [Chitinophaga pinensis]</t>
  </si>
  <si>
    <t>VOG01048 [FUNC="REFSEQ terminase large subunit"] [TAG=Xu TAGDEF="Function unknown"]</t>
  </si>
  <si>
    <t>Terminase-like family protein n=2 Tax=Chitinophaga eiseniae TaxID=634771 RepID=A0A1T4SP08_9BACT</t>
  </si>
  <si>
    <t>DNAUV-11.176-406_4</t>
  </si>
  <si>
    <t>Phage terminase large subunit N-terminal domain-containing protein n=1 Tax=Muricauda hymeniacidonis TaxID=2517819 RepID=A0A4Q8QKE5_9FLAO</t>
  </si>
  <si>
    <t>DNAUV-24.553-87_3</t>
  </si>
  <si>
    <t>Terminase large subunit n=1 Tax=Cellulophaga phage phi10:1 TaxID=1327981 RepID=S0A1N4_9CAUD</t>
  </si>
  <si>
    <t>DNAUV-48.671-99_6</t>
  </si>
  <si>
    <t>Terminase large subunit n=2 Tax=Incheonvirus TaxID=2976977 RepID=A0A0F7IJY8_9CAUD</t>
  </si>
  <si>
    <t>DNAUV-23.323-23_46</t>
  </si>
  <si>
    <t>COG1783 [FUNC="Phage terminase large subunit"] [shortName=XtmB] [TAG=X TAGDEF="Mobilome: prophages, transposons" PROCESS=""]  [PATHWAY=""] phage terminase large subunit [Phaeobacter gallaeciensis]</t>
  </si>
  <si>
    <t>Phage terminase large subunit N-terminal domain-containing protein n=1 Tax=Phaeobacter gallaeciensis DSM 26640 TaxID=1423144 RepID=V9WLM9_9RHOB</t>
  </si>
  <si>
    <t>Mai.NODE_1084_length_2189_cov_4.776007_4</t>
  </si>
  <si>
    <t>COG1783 [FUNC="Phage terminase large subunit"] [shortName=XtmB] [TAG=X TAGDEF="Mobilome: prophages, transposons" PROCESS=""]  [PATHWAY=""] phage terminase large subunit [Singulisphaera acidiphila]</t>
  </si>
  <si>
    <t>Terminase large subunit n=1 Tax=Thermobifida phage P1312 TaxID=1661715 RepID=A0A0R8VCM7_9CAUD</t>
  </si>
  <si>
    <t>DNAUV-2.733-14_7</t>
  </si>
  <si>
    <t>COG1783 [FUNC="Phage terminase large subunit"] [shortName=XtmB] [TAG=X TAGDEF="Mobilome: prophages, transposons" PROCESS=""]  [PATHWAY=""] Phage terminase, PBSX family large subunit [Candidatus Tokpelaia hoelldoblerii]</t>
  </si>
  <si>
    <t>Terminase n=4 Tax=root TaxID=1 RepID=A0A088F6U9_9CAUD</t>
  </si>
  <si>
    <t>Oct.NODE_1180_length_2817_cov_3.602824_4</t>
  </si>
  <si>
    <t>PBSX family phage terminase large subunit n=1 Tax=Nitratireductor arenosus TaxID=2682096 RepID=A0A844QQ16_9HYPH</t>
  </si>
  <si>
    <t>Sept.NODE_399_length_4292_cov_8.695539_1</t>
  </si>
  <si>
    <t>Terminase n=1 Tax=Stenotrophomonas pavanii TaxID=487698 RepID=A0A246KUQ7_9GAMM</t>
  </si>
  <si>
    <t>DNAUV-5.349-13_6</t>
  </si>
  <si>
    <t>COG1783 [FUNC="Phage terminase large subunit"] [shortName=XtmB] [TAG=X TAGDEF="Mobilome: prophages, transposons" PROCESS=""]  [PATHWAY=""] terminase [Methylovorus glucosotrophus]</t>
  </si>
  <si>
    <t>Terminase large subunit gp17-like C-terminal domain-containing protein n=1 Tax=Acinetobacter nectaris CIP 110549 TaxID=1392540 RepID=V2TZ28_9GAMM</t>
  </si>
  <si>
    <t>DNAUV-2.348-31_2</t>
  </si>
  <si>
    <t>COG1783 [FUNC="Phage terminase large subunit"] [shortName=XtmB] [TAG=X TAGDEF="Mobilome: prophages, transposons" PROCESS=""]  [PATHWAY=""] terminase [Riemerella anatipestifer]</t>
  </si>
  <si>
    <t>PBSX family phage terminase large subunit n=1 Tax=Dyadobacter chenwenxiniae TaxID=2906456 RepID=A0A9X1PI87_9BACT</t>
  </si>
  <si>
    <t>DNAUV-2.505-3008_3</t>
  </si>
  <si>
    <t>PBSX family phage terminase large subunit n=1 Tax=Pusillimonas sp. (ex Stolz et al. 2005) TaxID=1979962 RepID=A0A2D7XCT9_9BURK</t>
  </si>
  <si>
    <t>DNAUV-2.641-7768_2</t>
  </si>
  <si>
    <t>DNAUV-2.819-65_2</t>
  </si>
  <si>
    <t>DNAUV-3.029-25_2</t>
  </si>
  <si>
    <t>Phage terminase, large subunit, PBSX family n=1 Tax=Nonlabens phage P12024L TaxID=1168479 RepID=I6R9R5_9CAUD</t>
  </si>
  <si>
    <t>DNAUV-4.056-3961_1</t>
  </si>
  <si>
    <t>sp|P45916|YQAT_BACSU Uncharacterized protein YqaT OS=Bacillus subtilis (strain 168) OX=224308 GN=yqaT PE=4 SV=1</t>
  </si>
  <si>
    <t>DNAUV-4.087-17_2</t>
  </si>
  <si>
    <t>PBSX family phage terminase large subunit n=1 Tax=Pusillimonas sp. (ex Stolz et al. 2005) TaxID=1979962 RepID=A0A2D7XI69_9BURK</t>
  </si>
  <si>
    <t>DNAUV-9.016-726_8</t>
  </si>
  <si>
    <t>Terminase large subunit n=1 Tax=Riemerella phage vB_RanS_CRP19 TaxID=3053250 RepID=A0A9Y1YYR0_9CAUD</t>
  </si>
  <si>
    <t>DNAUV-9.059-543_8</t>
  </si>
  <si>
    <t>Oct.NODE_1201_length_2799_cov_6.686589_1</t>
  </si>
  <si>
    <t>Oct.NODE_775_length_3735_cov_8.354348_4</t>
  </si>
  <si>
    <t>17.05.P4-9.635-21_2</t>
  </si>
  <si>
    <t>COG1783 [FUNC="Phage terminase large subunit"] [shortName=XtmB] [TAG=X TAGDEF="Mobilome: prophages, transposons" PROCESS=""]  [PATHWAY=""] terminase [Snodgrassella alvi]</t>
  </si>
  <si>
    <t>Terminase large subunit gp17-like C-terminal domain-containing protein n=2 Tax=Cornellvirus TaxID=1910993 RepID=S4TRF0_9CAUD</t>
  </si>
  <si>
    <t>DNAUV-12.430-23_10</t>
  </si>
  <si>
    <t>COG2369 [FUNC="Uncharacterized protein, contains phage Mu head morphogenesis gpF-like domain"] [shortName=] [TAG=X TAGDEF="Mobilome: prophages, transposons" PROCESS=""]  [PATHWAY=""] head morphogenesis protein [Alkaliphilus metalliredigens]</t>
  </si>
  <si>
    <t>VOG38124 [FUNC="sp|Q38442|GP7_BPSPP Minor head protein GP7"] [TAG=Xh TAGDEF="Virus protein with function beneficial for the host"]</t>
  </si>
  <si>
    <t>Putative head protein n=1 Tax=Bdellovibrio phage phi1422 TaxID=1127515 RepID=H9C0M1_9CAUD</t>
  </si>
  <si>
    <t>11.09.P3-2.471-21_1</t>
  </si>
  <si>
    <t>COG2369 [FUNC="Uncharacterized protein, contains phage Mu head morphogenesis gpF-like domain"] [shortName=] [TAG=X TAGDEF="Mobilome: prophages, transposons" PROCESS=""]  [PATHWAY=""] hypothetical protein [Candidatus Promineofilum breve]</t>
  </si>
  <si>
    <t>Phage head morphogenesis domain-containing protein n=1 Tax=Hot spring virus BHS1 TaxID=2024351 RepID=A0A2Y9CIC5_9VIRU</t>
  </si>
  <si>
    <t>DNAUV-2.130-7.5_5</t>
  </si>
  <si>
    <t>DNAUV-2.434-8.4_4</t>
  </si>
  <si>
    <t>Avril.NODE_138_length_13113_cov_12.225302_5</t>
  </si>
  <si>
    <t>COG2369 [FUNC="Uncharacterized protein, contains phage Mu head morphogenesis gpF-like domain"] [shortName=] [TAG=X TAGDEF="Mobilome: prophages, transposons" PROCESS=""]  [PATHWAY=""] hypothetical protein [Flavonifractor plautii]</t>
  </si>
  <si>
    <t>Phage minor capsid protein n=1 Tax=Cellulophaga phage phi10:1 TaxID=1327981 RepID=R9ZYI1_9CAUD</t>
  </si>
  <si>
    <t>Avril.NODE_34_length_37560_cov_23.634315_14</t>
  </si>
  <si>
    <t>DNAUV-10.604-22_4</t>
  </si>
  <si>
    <t>sp|P45918|YQBB_BACSU Uncharacterized protein YqbB OS=Bacillus subtilis (strain 168) OX=224308 GN=yqbB PE=4 SV=1</t>
  </si>
  <si>
    <t>COG2369 [FUNC="Uncharacterized protein, contains phage Mu head morphogenesis gpF-like domain"] [shortName=] [TAG=X TAGDEF="Mobilome: prophages, transposons" PROCESS=""]  [PATHWAY=""] hypothetical protein [Gemmata obscuriglobus]</t>
  </si>
  <si>
    <t>Phage head morphogenesis domain-containing protein n=1 Tax=Marinomonas phage P12026 TaxID=1176423 RepID=I6R1H0_9CAUD</t>
  </si>
  <si>
    <t>DNAUV-2.198-13_4</t>
  </si>
  <si>
    <t>Phage head morphogenesis domain-containing protein n=1 Tax=Salicola phage CGphi29 TaxID=754067 RepID=M4R217_9CAUD</t>
  </si>
  <si>
    <t>DNAUV-2.316-18_13</t>
  </si>
  <si>
    <t>sp|Q838U8|EFV_ENTFA NAD(+)--arginine ADP-ribosyltransferase EFV OS=Enterococcus faecalis (strain ATCC 700802 / V583) OX=226185 GN=EF_0335 PE=1 SV=1</t>
  </si>
  <si>
    <t>VOG04619 [FUNC="REFSEQ head morphogenesis protein"] [TAG=Xu TAGDEF="Function unknown"]</t>
  </si>
  <si>
    <t>Putative minor capsid morphogenesis protein n=1 Tax=Idiomarinaceae phage 1N2-2 TaxID=1536592 RepID=A0A088F743_9CAUD</t>
  </si>
  <si>
    <t>DNAUV-24.553-87_6</t>
  </si>
  <si>
    <t>DNAUV-5.235-14_10</t>
  </si>
  <si>
    <t>Minor capsid protein n=1 Tax=Alteromonas phage PB15 TaxID=1913113 RepID=A0A1J0GWC1_9CAUD</t>
  </si>
  <si>
    <t>Sept.NODE_212_length_6860_cov_56.172079_6</t>
  </si>
  <si>
    <t>Phage portal protein n=1 Tax=Domibacillus antri TaxID=1714264 RepID=A0A1Q8Q301_9BACI</t>
  </si>
  <si>
    <t>DNAUV-42.055-32_57</t>
  </si>
  <si>
    <t>COG2369 [FUNC="Uncharacterized protein, contains phage Mu head morphogenesis gpF-like domain"] [shortName=] [TAG=X TAGDEF="Mobilome: prophages, transposons" PROCESS=""]  [PATHWAY=""] hypothetical protein [Mannheimia haemolytica]</t>
  </si>
  <si>
    <t>Head morphogenesis domain protein n=1 Tax=Vibrio phage 1.214.O._10N.222.54.F11 TaxID=1881264 RepID=A0A2I7RQF0_9CAUD</t>
  </si>
  <si>
    <t>DNAUV-43.803-72_14</t>
  </si>
  <si>
    <t>VOG05033 [FUNC="sp|P45918|YQBB_BACSU Uncharacterized protein YqbB"] [TAG=Xu TAGDEF="Function unknown"]</t>
  </si>
  <si>
    <t>Phage head morphogenesis domain-containing protein n=1 Tax=Alteromonas phage XX1924 TaxID=2664192 RepID=A0A6B9JAS6_9CAUD</t>
  </si>
  <si>
    <t>Avril.NODE_1205_length_2430_cov_9.013474_2</t>
  </si>
  <si>
    <t>COG2369 [FUNC="Uncharacterized protein, contains phage Mu head morphogenesis gpF-like domain"] [shortName=] [TAG=X TAGDEF="Mobilome: prophages, transposons" PROCESS=""]  [PATHWAY=""] hypothetical protein [Methanobrevibacter ruminantium]</t>
  </si>
  <si>
    <t>DNAUV-42.184-72_26</t>
  </si>
  <si>
    <t>COG2369 [FUNC="Uncharacterized protein, contains phage Mu head morphogenesis gpF-like domain"] [shortName=] [TAG=X TAGDEF="Mobilome: prophages, transposons" PROCESS=""]  [PATHWAY=""] phage head morphogenesis protein [Klebsiella aerogenes KCTC 2190]</t>
  </si>
  <si>
    <t>DNAUV-5.343-12_4</t>
  </si>
  <si>
    <t>DNAUV-8.503-35_1</t>
  </si>
  <si>
    <t>Mai.NODE_1099_length_2160_cov_3.775297_1</t>
  </si>
  <si>
    <t>COG2369 [FUNC="Uncharacterized protein, contains phage Mu head morphogenesis gpF-like domain"] [shortName=] [TAG=X TAGDEF="Mobilome: prophages, transposons" PROCESS=""]  [PATHWAY=""] phage head morphogenesis protein [Methylococcus capsulatus]</t>
  </si>
  <si>
    <t>11.09.P1-10.075-33_13</t>
  </si>
  <si>
    <t>COG2369 [FUNC="Uncharacterized protein, contains phage Mu head morphogenesis gpF-like domain"] [shortName=] [TAG=X TAGDEF="Mobilome: prophages, transposons" PROCESS=""]  [PATHWAY=""] phage head morphogenesis protein [Methylovorus glucosotrophus]</t>
  </si>
  <si>
    <t>Minor capsid protein, partial n=1 Tax=Vibrio phage 242E40-1 TaxID=2963182 RepID=A0A9P0VJW6_9CAUD</t>
  </si>
  <si>
    <t>11.09.P1-10.075-33_5</t>
  </si>
  <si>
    <t>17.05.P4-9.635-21_4</t>
  </si>
  <si>
    <t>Head morphogenesis protein n=1 Tax=Paraglaciecola Antarctic JLT virus 2 TaxID=2945131 RepID=A0A9E7E4Q7_9VIRU</t>
  </si>
  <si>
    <t>DNAUV-15.738-237_38</t>
  </si>
  <si>
    <t>Minor head protein-like n=1 Tax=Alphaproteobacteria phage PhiJL001 TaxID=2681607 RepID=Q5DN43_9CAUD</t>
  </si>
  <si>
    <t>DNAUV-4.258-10_16</t>
  </si>
  <si>
    <t>Phage head morphogenesis domain-containing protein n=1 Tax=Pseudomonas phage Epa38 TaxID=2719195 RepID=A0A6G9LML8_9CAUD</t>
  </si>
  <si>
    <t>DNAUV-4.258-10_17</t>
  </si>
  <si>
    <t>Phage head morphogenesis domain-containing protein n=1 Tax=Pseudomonas phage ZC01 TaxID=1622114 RepID=A0A1L2C8W0_9CAUD</t>
  </si>
  <si>
    <t>DNAUV-4.564-12_16</t>
  </si>
  <si>
    <t>Phage head morphogenesis domain-containing protein n=1 Tax=Vibrio phage vB_VpaS_MAR10 TaxID=1229755 RepID=K7R2F4_9CAUD</t>
  </si>
  <si>
    <t>DNAUV-42.404-84_86</t>
  </si>
  <si>
    <t>sp|P71385|Y1407_HAEIN Uncharacterized protein HI_1407 OS=Haemophilus influenzae (strain ATCC 51907 / DSM 11121 / KW20 / Rd) OX=71421 GN=HI_1407 PE=4 SV=1</t>
  </si>
  <si>
    <t>Head morphogenesis protein n=1 Tax=Paracoccus phage vB_PmaS-R3 TaxID=2494563 RepID=A0A0B5A7K0_9CAUD</t>
  </si>
  <si>
    <t>DNAUV-44.091-1296_65</t>
  </si>
  <si>
    <t>Head morphogenesis protein n=1 Tax=Xanthomonas phage Samson TaxID=2596676 RepID=A0A5B9N948_9CAUD</t>
  </si>
  <si>
    <t>DNAUV-64.562-41_58</t>
  </si>
  <si>
    <t>Oct.NODE_12_length_43814_cov_20.924267_31</t>
  </si>
  <si>
    <t>DNAUV-38.183-831_32</t>
  </si>
  <si>
    <t>COG2369 [FUNC="Uncharacterized protein, contains phage Mu head morphogenesis gpF-like domain"] [shortName=] [TAG=X TAGDEF="Mobilome: prophages, transposons" PROCESS=""]  [PATHWAY=""] plasmid RP4 TraN-like protein [Haemophilus influenzae Rd KW20]</t>
  </si>
  <si>
    <t>Plasmid-related protein n=1 Tax=Yersinia phage fEV-1 TaxID=2077277 RepID=A0A2P9HXX5_9CAUD</t>
  </si>
  <si>
    <t>DNAUV-29.591-37_25</t>
  </si>
  <si>
    <t>sp|Q60329|Y014_METJA Uncharacterized protein MJ0014 OS=Methanocaldococcus jannaschii (strain ATCC 43067 / DSM 2661 / JAL-1 / JCM 10045 / NBRC 100440) OX=243232 GN=MJ0014 PE=1 SV=1</t>
  </si>
  <si>
    <t>COG2452 [FUNC="Predicted site-specific integrase-resolvase"] [shortName=] [TAG=X TAGDEF="Mobilome: prophages, transposons" PROCESS=""]  [PATHWAY=""] IS607 family transposase [Nitrosococcus halophilus]</t>
  </si>
  <si>
    <t>Resolvase/invertase-type recombinase catalytic domain-containing protein n=1 Tax=Endozoicomonas sp. (ex Bugula neritina AB1) TaxID=1868284 RepID=A0A1D2XBB0_9GAMM</t>
  </si>
  <si>
    <t>Mai.NODE_807_length_2719_cov_4.787913_1</t>
  </si>
  <si>
    <t>COG2932 [FUNC="Phage repressor protein C, contains Cro/C1-type HTH and peptisase s24 domains"] [shortName=] [TAG=X TAGDEF="Mobilome: prophages, transposons" PROCESS=""]  [PATHWAY=""] helix-turn-helix domain-containing protein [Labrenzia aggregata]</t>
  </si>
  <si>
    <t>XRE family transcriptional regulator n=1 Tax=Sinorhizobium phage phiLM21 TaxID=1524882 RepID=A0A076G6G1_9CAUD</t>
  </si>
  <si>
    <t>DNAUV-5.622-87_10</t>
  </si>
  <si>
    <t>COG2932 [FUNC="Phage repressor protein C, contains Cro/C1-type HTH and peptisase s24 domains"] [shortName=] [TAG=X TAGDEF="Mobilome: prophages, transposons" PROCESS=""]  [PATHWAY=""] helix-turn-helix transcriptional regulator [Cobetia marina]</t>
  </si>
  <si>
    <t>DNAUV-43.274-68_126</t>
  </si>
  <si>
    <t>sp|P75981|JAYE_ECOLI Putative protein JayE OS=Escherichia coli (strain K12) OX=83333 GN=jayE PE=5 SV=1</t>
  </si>
  <si>
    <t>COG3299 [FUNC="Uncharacterized phage protein gp47/JayE"] [shortName=JayE] [TAG=X TAGDEF="Mobilome: prophages, transposons" PROCESS=""]  [PATHWAY=""] baseplate J protein [Polaromonas sp. JS666]</t>
  </si>
  <si>
    <t>VOG00752 [FUNC="sp|P51767|BPJ_BPP2 Baseplate protein J"] [TAG=Xh TAGDEF="Virus protein with function beneficial for the host"]</t>
  </si>
  <si>
    <t>Tail protein n=1 Tax=Shewanella phage SppYZU01 TaxID=1965372 RepID=A0A1V0DYG8_9CAUD</t>
  </si>
  <si>
    <t>DNAUV-48.475-181_58</t>
  </si>
  <si>
    <t>DNAUV-38.183-831_51</t>
  </si>
  <si>
    <t>COG3299 [FUNC="Uncharacterized phage protein gp47/JayE"] [shortName=JayE] [TAG=X TAGDEF="Mobilome: prophages, transposons" PROCESS=""]  [PATHWAY=""] baseplate J/gp47 family protein [bacterium endosymbiont of Mortierella elongata FMR23-6]</t>
  </si>
  <si>
    <t>Putative bacteriophage protein n=1 Tax=Yersinia phage fEV-1 TaxID=2077277 RepID=A0A2P9HXR2_9CAUD</t>
  </si>
  <si>
    <t>DNAUV-7.232-25_10</t>
  </si>
  <si>
    <t>Baseplate protein J-like domain-containing protein n=1 Tax=Vibrio phage 11895-B1 TaxID=754075 RepID=M4QTB9_9CAUD</t>
  </si>
  <si>
    <t>DNAUV-48.934-1423_62</t>
  </si>
  <si>
    <t>COG3299 [FUNC="Uncharacterized phage protein gp47/JayE"] [shortName=JayE] [TAG=X TAGDEF="Mobilome: prophages, transposons" PROCESS=""]  [PATHWAY=""] baseplate J/gp47 family protein [Sulfuriflexus mobilis]</t>
  </si>
  <si>
    <t>Baseplate J/gp47 family protein n=1 Tax=Guyparkeria sp. SB14A TaxID=2571147 RepID=A0A4U0YQ79_9GAMM</t>
  </si>
  <si>
    <t>Oct.NODE_697_length_4009_cov_3.022762_10</t>
  </si>
  <si>
    <t>COG3299 [FUNC="Uncharacterized phage protein gp47/JayE"] [shortName=JayE] [TAG=X TAGDEF="Mobilome: prophages, transposons" PROCESS=""]  [PATHWAY=""] hypothetical protein [Bordetella petrii]</t>
  </si>
  <si>
    <t>Baseplate protein J-like domain-containing protein n=1 Tax=Criblamydia sequanensis CRIB-18 TaxID=1437425 RepID=A0A090E4E0_9BACT</t>
  </si>
  <si>
    <t>DNAUV-16.760-19_8</t>
  </si>
  <si>
    <t>COG3299 [FUNC="Uncharacterized phage protein gp47/JayE"] [shortName=JayE] [TAG=X TAGDEF="Mobilome: prophages, transposons" PROCESS=""]  [PATHWAY=""] hypothetical protein [Burkholderia cepacia]</t>
  </si>
  <si>
    <t>Putative baseplate protein n=1 Tax=Bdellovibrio phage phi1422 TaxID=1127515 RepID=H9C0N9_9CAUD</t>
  </si>
  <si>
    <t>DNAUV-16.760-19_9</t>
  </si>
  <si>
    <t>COG3299 [FUNC="Uncharacterized phage protein gp47/JayE"] [shortName=JayE] [TAG=X TAGDEF="Mobilome: prophages, transposons" PROCESS=""]  [PATHWAY=""] hypothetical protein [Chania multitudinisentens]</t>
  </si>
  <si>
    <t>Avril.NODE_1343_length_2240_cov_4.160641_3</t>
  </si>
  <si>
    <t>COG3299 [FUNC="Uncharacterized phage protein gp47/JayE"] [shortName=JayE] [TAG=X TAGDEF="Mobilome: prophages, transposons" PROCESS=""]  [PATHWAY=""] hypothetical protein [Geoglobus acetivorans]</t>
  </si>
  <si>
    <t>Baseplate J family protein n=1 Tax=Archaeoglobus profundus (strain DSM 5631 / JCM 9629 / NBRC 100127 / Av18) TaxID=572546 RepID=D2REI3_ARCPA</t>
  </si>
  <si>
    <t>DNAUV-16.585-31_77</t>
  </si>
  <si>
    <t>COG3299 [FUNC="Uncharacterized phage protein gp47/JayE"] [shortName=JayE] [TAG=X TAGDEF="Mobilome: prophages, transposons" PROCESS=""]  [PATHWAY=""] hypothetical protein [Jeongeupia sp. USM3]</t>
  </si>
  <si>
    <t>DNAUV-14.976-22_12</t>
  </si>
  <si>
    <t>COG3299 [FUNC="Uncharacterized phage protein gp47/JayE"] [shortName=JayE] [TAG=X TAGDEF="Mobilome: prophages, transposons" PROCESS=""]  [PATHWAY=""] hypothetical protein [Limnobaculum parvum]</t>
  </si>
  <si>
    <t>Baseplate protein J-like domain-containing protein n=1 Tax=Vibrio phage eugene 12A10 TaxID=573172 RepID=R9U9Q3_9CAUD</t>
  </si>
  <si>
    <t>DNAUV-33.721-35_19</t>
  </si>
  <si>
    <t>Baseplate protein J-like protein n=1 Tax=Vibrio phage 1.161.O._10N.261.48.C5 TaxID=1881340 RepID=A0A2I7RCW4_9CAUD</t>
  </si>
  <si>
    <t>DNAUV-56.054-300_67</t>
  </si>
  <si>
    <t>Baseplate protein n=1 Tax=Alteromonas phage vB_AmeM_PT11-V22 TaxID=2704031 RepID=A0A6C0R1K9_9CAUD</t>
  </si>
  <si>
    <t>DNAUV-85.908-43_115</t>
  </si>
  <si>
    <t>Baseplate assembly protein n=1 Tax=Shigella phage Sf15 TaxID=2024317 RepID=A0A291AYB2_9CAUD</t>
  </si>
  <si>
    <t>DNAUV-7.255-110_1</t>
  </si>
  <si>
    <t>COG3299 [FUNC="Uncharacterized phage protein gp47/JayE"] [shortName=JayE] [TAG=X TAGDEF="Mobilome: prophages, transposons" PROCESS=""]  [PATHWAY=""] hypothetical protein [Zobellella denitrificans]</t>
  </si>
  <si>
    <t>05.07.P4-6.111-11_12</t>
  </si>
  <si>
    <t>COG3299 [FUNC="Uncharacterized phage protein gp47/JayE"] [shortName=JayE] [TAG=X TAGDEF="Mobilome: prophages, transposons" PROCESS=""]  [PATHWAY=""] putative baseplate assembly protein [Granulicella tundricola]</t>
  </si>
  <si>
    <t>VOG01583 [FUNC="sp|P19060|BP06_BPT4 Baseplate wedge protein gp6"] [TAG=Xs TAGDEF="Virus structure"]</t>
  </si>
  <si>
    <t>Baseplate protein J-like domain-containing protein n=1 Tax=Richelia sp. RM2_1_2 TaxID=2720436 RepID=A0A969MDL1_9NOST</t>
  </si>
  <si>
    <t>DNAUV-26.213-146_11</t>
  </si>
  <si>
    <t>COG3299 [FUNC="Uncharacterized phage protein gp47/JayE"] [shortName=JayE] [TAG=X TAGDEF="Mobilome: prophages, transposons" PROCESS=""]  [PATHWAY=""] t4-like baseplate wedge [Myxococcus xanthus]</t>
  </si>
  <si>
    <t>Baseplate protein J-like domain-containing protein n=1 Tax=Pusillimonas sp. (ex Stolz et al. 2005) TaxID=1979962 RepID=A0A2D7XB35_9BURK</t>
  </si>
  <si>
    <t>Avril.NODE_216_length_8718_cov_5.759206_9</t>
  </si>
  <si>
    <t>COG3299 [FUNC="Uncharacterized phage protein gp47/JayE"] [shortName=JayE] [TAG=X TAGDEF="Mobilome: prophages, transposons" PROCESS=""]  [PATHWAY=""] tail protein [Desulfovibrio vulgaris str. Hildenborough]</t>
  </si>
  <si>
    <t>Avril.NODE_526_length_4502_cov_8.365865_5</t>
  </si>
  <si>
    <t>DNAUV-51.550-178_59</t>
  </si>
  <si>
    <t>sp|P44240|VG47_HAEIN Mu-like prophage FluMu protein gp47 OS=Haemophilus influenzae (strain ATCC 51907 / DSM 11121 / KW20 / Rd) OX=71421 GN=HI_1520 PE=3 SV=1</t>
  </si>
  <si>
    <t>Baseplate J-like protein n=5 Tax=unclassified Caudoviricetes TaxID=2788787 RepID=M1Q710_9CAUD</t>
  </si>
  <si>
    <t>DNAUV-26.770-92_23</t>
  </si>
  <si>
    <t>COG3311 [FUNC="DNA-binding transcriptional regulator AlpA"] [shortName=AlpA] [TAG=K TAGDEF="Transcription" PROCESS="INFORMATION STORAGE AND PROCESSING"] [TAG=X TAGDEF="Mobilome: prophages, transposons" PROCESS=""]  [PATHWAY=""] AlpA family transcriptional regulator [Nitratiruptor sp. SB155-2]</t>
  </si>
  <si>
    <t>VOG00008 [FUNC="sp|O22001|VXIS_BPMD2 Excisionase"] [TAG=Xr TAGDEF="Virus replication"]</t>
  </si>
  <si>
    <t>Transcriptional regulator n=1 Tax=Novosphingobium sp. 17-62-19 TaxID=1970406 RepID=A0A259DUM5_9SPHN</t>
  </si>
  <si>
    <t>DNAUV-6.125-18_3</t>
  </si>
  <si>
    <t>AlpA family phage regulatory protein n=2 Tax=Sphingomonadaceae TaxID=41297 RepID=A0A4Q1KET4_9SPHN</t>
  </si>
  <si>
    <t>DNAUV-7.193-31-V2_12</t>
  </si>
  <si>
    <t>Prophage regulatory protein n=3 Tax=root TaxID=1 RepID=A0A7R6VQG8_9CAUD</t>
  </si>
  <si>
    <t>05.07.P4-5.877-4.3_18</t>
  </si>
  <si>
    <t>COG3311 [FUNC="DNA-binding transcriptional regulator AlpA"] [shortName=AlpA] [TAG=K TAGDEF="Transcription" PROCESS="INFORMATION STORAGE AND PROCESSING"] [TAG=X TAGDEF="Mobilome: prophages, transposons" PROCESS=""]  [PATHWAY=""] AlpA family transcriptional regulator [Proteus mirabilis]</t>
  </si>
  <si>
    <t>AlpA family transcriptional regulator n=1 Tax=Providencia rettgeri TaxID=587 RepID=A0A9Q3R636_PRORE</t>
  </si>
  <si>
    <t>Sept.NODE_497_length_3709_cov_9.777504_3</t>
  </si>
  <si>
    <t>COG3344 [FUNC="Retron-type reverse transcriptase"] [shortName=YkfC] [TAG=X TAGDEF="Mobilome: prophages, transposons" PROCESS=""]  [PATHWAY=""] MULTISPECIES: reverse transcriptase [Alistipes]</t>
  </si>
  <si>
    <t>VOG03990 [FUNC="sp|P08548|LIN1_NYCCO LINE-1 reverse transcriptase homolog"] [TAG=Xh TAGDEF="Virus protein with function beneficial for the host"]</t>
  </si>
  <si>
    <t>Reverse transcriptase n=1 Tax=Yersinia phage fEV-1 TaxID=2077277 RepID=A0A2P9HXJ9_9CAUD</t>
  </si>
  <si>
    <t>DNAUV-3.438-35_3</t>
  </si>
  <si>
    <t>COG3344 [FUNC="Retron-type reverse transcriptase"] [shortName=YkfC] [TAG=X TAGDEF="Mobilome: prophages, transposons" PROCESS=""]  [PATHWAY=""] reverse transcriptase [Mariniflexile sp. TRM1-10]</t>
  </si>
  <si>
    <t>Reverse transcriptase domain-containing protein n=2 Tax=unclassified Caudoviricetes TaxID=2788787 RepID=A0A8S5M9S5_9CAUD</t>
  </si>
  <si>
    <t>Oct.NODE_17_length_42127_cov_14.061823_4</t>
  </si>
  <si>
    <t>COG3378 [FUNC="DNA primase, phage- or plasmid-associated"] [shortName=] [TAG=X TAGDEF="Mobilome: prophages, transposons" PROCESS=""]  [PATHWAY=""] hypothetical protein [Breoghania sp. L-A4]</t>
  </si>
  <si>
    <t>DUF5906 domain-containing protein n=1 Tax=Halobacteriovorax sp. DA5 TaxID=2067553 RepID=A0A2S3QQ63_9BACT</t>
  </si>
  <si>
    <t>DNAUV-43.228-64_35</t>
  </si>
  <si>
    <t>COG3378 [FUNC="DNA primase, phage- or plasmid-associated"] [shortName=] [TAG=X TAGDEF="Mobilome: prophages, transposons" PROCESS=""]  [PATHWAY=""] hypothetical protein [Magnetospirillum magneticum]</t>
  </si>
  <si>
    <t>Putative DNA primase n=1 Tax=Sinorhizobium phage HMSP1-Susan TaxID=2049306 RepID=A0A2D2W1V2_9CAUD</t>
  </si>
  <si>
    <t>DNAUV-12.287-216_20</t>
  </si>
  <si>
    <t>COG3378 [FUNC="DNA primase, phage- or plasmid-associated"] [shortName=] [TAG=X TAGDEF="Mobilome: prophages, transposons" PROCESS=""]  [PATHWAY=""] hypothetical protein [Nitrobacter hamburgensis]</t>
  </si>
  <si>
    <t>Uncharacterized protein n=1 Tax=Methylotenera mobilis TaxID=359408 RepID=A0A351RD11_9PROT</t>
  </si>
  <si>
    <t>DNAUV-12.291-189_49</t>
  </si>
  <si>
    <t>DNAUV-12.402-457_20</t>
  </si>
  <si>
    <t>DNAUV-13.625-317_31</t>
  </si>
  <si>
    <t>DNAUV-2.026-61_7</t>
  </si>
  <si>
    <t>DNAUV-2.263-108_2</t>
  </si>
  <si>
    <t>DNAUV-2.617-1781_6</t>
  </si>
  <si>
    <t>DNAUV-2.618-12_2</t>
  </si>
  <si>
    <t>DUF5906 domain-containing protein n=1 Tax=Muricauda sp. TMED12 TaxID=1986608 RepID=A0A424LXJ9_9FLAO</t>
  </si>
  <si>
    <t>DNAUV-2.962-203_1</t>
  </si>
  <si>
    <t>Primase-polymerase n=1 Tax=Burkholderia phage vB_BceS_AH2 TaxID=1133022 RepID=I6NPA6_9CAUD</t>
  </si>
  <si>
    <t>DNAUV-3.786-348_17</t>
  </si>
  <si>
    <t>DNA primase/polymerase bifunctional N-terminal domain-containing protein n=1 Tax=Okeania sp. SIO3B3 TaxID=2607804 RepID=A0A845Z357_9CYAN</t>
  </si>
  <si>
    <t>DNAUV-4.087-405_5</t>
  </si>
  <si>
    <t>DNAUV-4.187-200_9</t>
  </si>
  <si>
    <t>DNAUV-4.839-80_6</t>
  </si>
  <si>
    <t>DNA primase/polymerase bifunctional N-terminal domain-containing protein n=1 Tax=Pseudoalteromonas phage H103 TaxID=1636200 RepID=A0A0K0MD49_9CAUD</t>
  </si>
  <si>
    <t>DNAUV-5.787-380_2</t>
  </si>
  <si>
    <t>DNAUV-8.449-135_8</t>
  </si>
  <si>
    <t>DNAUV-9.183-44_8</t>
  </si>
  <si>
    <t>DNAUV-9.187-98_29</t>
  </si>
  <si>
    <t>DNAUV-9.429-95_19</t>
  </si>
  <si>
    <t>Oct.NODE_157_length_12199_cov_36.904974_1</t>
  </si>
  <si>
    <t>Oct.NODE_33_length_37390_cov_21.424508_5</t>
  </si>
  <si>
    <t>DNA primase/polymerase n=1 Tax=Achromobacter phage vB_AchrS_AchV4 TaxID=2796514 RepID=A0A7T3PGU4_9CAUD</t>
  </si>
  <si>
    <t>Oct.NODE_431_length_5507_cov_6.212216_11</t>
  </si>
  <si>
    <t>Oct.NODE_596_length_4436_cov_4.127368_2</t>
  </si>
  <si>
    <t>DNAUV-41.618-136_5</t>
  </si>
  <si>
    <t>VOG30822 [FUNC="REFSEQ DNA polymerase/primase"] [TAG=Xu TAGDEF="Function unknown"]</t>
  </si>
  <si>
    <t>DUF5906 domain-containing protein n=3 Tax=Kafunavirus KF1 TaxID=1982588 RepID=K4PXF6_9CAUD</t>
  </si>
  <si>
    <t>DNAUV-7.645-232_7</t>
  </si>
  <si>
    <t>COG3378 [FUNC="DNA primase, phage- or plasmid-associated"] [shortName=] [TAG=X TAGDEF="Mobilome: prophages, transposons" PROCESS=""]  [PATHWAY=""] hypothetical protein [Polaromonas sp. JS666]</t>
  </si>
  <si>
    <t>VOG00943 [FUNC="REFSEQ helicase"] [TAG=Xu TAGDEF="Function unknown"]</t>
  </si>
  <si>
    <t>DUF3987 domain-containing protein n=1 Tax=Spiribacter salinus TaxID=1335746 RepID=A0A540VK02_9GAMM</t>
  </si>
  <si>
    <t>DNAUV-28.498-30_18</t>
  </si>
  <si>
    <t>COG3378 [FUNC="DNA primase, phage- or plasmid-associated"] [shortName=] [TAG=X TAGDEF="Mobilome: prophages, transposons" PROCESS=""]  [PATHWAY=""] hypothetical protein [Zobellia galactanivorans]</t>
  </si>
  <si>
    <t>VOG05633 [FUNC="REFSEQ DNA primase/helicase"] [TAG=Xu TAGDEF="Function unknown"]</t>
  </si>
  <si>
    <t>VirE protein n=1 Tax=Podoviridae sp. ctrTa16 TaxID=2656715 RepID=A0A5Q2W9G4_9CAUD</t>
  </si>
  <si>
    <t>DNAUV-48.475-181_24</t>
  </si>
  <si>
    <t>COG3378 [FUNC="DNA primase, phage- or plasmid-associated"] [shortName=] [TAG=X TAGDEF="Mobilome: prophages, transposons" PROCESS=""]  [PATHWAY=""] phage/plasmid primase, P4 family [Desulfotomaculum kuznetsovii DSM 6115]</t>
  </si>
  <si>
    <t>SF3 helicase domain-containing protein n=1 Tax=Polystyrenella longa TaxID=2528007 RepID=A0A518CPN1_9PLAN</t>
  </si>
  <si>
    <t>DNAUV-16.786-275_47</t>
  </si>
  <si>
    <t>DNA primase/polymerase bifunctional N-terminal domain-containing protein n=1 Tax=Chelatococcus caeni TaxID=1348468 RepID=A0A840BX27_9HYPH</t>
  </si>
  <si>
    <t>11.09.P2-2.996-22_1</t>
  </si>
  <si>
    <t>COG3497 [FUNC="Phage tail sheath protein FI"] [shortName=] [TAG=X TAGDEF="Mobilome: prophages, transposons" PROCESS=""]  [PATHWAY=""] MULTISPECIES: hypothetical protein [Synechococcus]</t>
  </si>
  <si>
    <t>Baseplate wedge initiator n=8 Tax=Cyanophage S-RIM50 TaxID=687803 RepID=A0A127KLS5_9CAUD</t>
  </si>
  <si>
    <t>11.09.P2-14.862-46_24</t>
  </si>
  <si>
    <t>COG3497 [FUNC="Phage tail sheath protein FI"] [shortName=] [TAG=X TAGDEF="Mobilome: prophages, transposons" PROCESS=""]  [PATHWAY=""] phage tail protein [Breoghania sp. L-A4]</t>
  </si>
  <si>
    <t>Tail fiber-like protein n=1 Tax=Synechococcus phage S-WAM2 TaxID=1815522 RepID=A0A1D8KTA4_9CAUD</t>
  </si>
  <si>
    <t>DNAUV-147.430-52_48</t>
  </si>
  <si>
    <t>sp|Q6WHE8|TSP_BPKVM Tail sheath protein OS=Vibrio phage KVP40 (isolate Vibrio parahaemolyticus/Japan/Matsuzaki/1991) OX=75320 GN=18 PE=3 SV=1</t>
  </si>
  <si>
    <t>COG3497 [FUNC="Phage tail sheath protein FI"] [shortName=] [TAG=X TAGDEF="Mobilome: prophages, transposons" PROCESS=""]  [PATHWAY=""] phage tail protein [Kiritimatiella glycovorans]</t>
  </si>
  <si>
    <t>VOG00261 [FUNC="sp|P13332|TSP_BPT4 Tail sheath protein"] [TAG=Xp TAGDEF="Virus protein with function beneficial for the virus"]</t>
  </si>
  <si>
    <t>Tail sheath protein n=1 Tax=Muricauda sp. TMED12 TaxID=1986608 RepID=A0A3S5JAZ6_9FLAO</t>
  </si>
  <si>
    <t>Sept.NODE_416_length_4172_cov_5.474860_2</t>
  </si>
  <si>
    <t>Tail sheath protein n=1 Tax=Stenotrophomonas phage vB_SmaS-DLP_6 TaxID=1651816 RepID=A0A142EZL9_9CAUD</t>
  </si>
  <si>
    <t>DNAUV-6.461-17_6</t>
  </si>
  <si>
    <t>COG3497 [FUNC="Phage tail sheath protein FI"] [shortName=] [TAG=X TAGDEF="Mobilome: prophages, transposons" PROCESS=""]  [PATHWAY=""] phage tail sheath family protein [Agarilytica rhodophyticola]</t>
  </si>
  <si>
    <t>VOG02290 [FUNC="sp|E1XTG9|TSP_BPSAV Tail sheath protein"] [TAG=Xp TAGDEF="Virus protein with function beneficial for the virus"]</t>
  </si>
  <si>
    <t>Tail sheath protein n=1 Tax=Virus NIOZ-UU157 TaxID=2763269 RepID=A0A7S9STP3_9VIRU</t>
  </si>
  <si>
    <t>05.07.P4-4.988-3.2_6</t>
  </si>
  <si>
    <t>COG3497 [FUNC="Phage tail sheath protein FI"] [shortName=] [TAG=X TAGDEF="Mobilome: prophages, transposons" PROCESS=""]  [PATHWAY=""] tail protein [Dehalogenimonas lykanthroporepellens]</t>
  </si>
  <si>
    <t>Tail sheath monomer n=1 Tax=Pseudomonas phage vB_PaeM_MIJ3 TaxID=2567864 RepID=A0A5E3ZZN8_9CAUD</t>
  </si>
  <si>
    <t>23.10.P4-9.639-4.1_4</t>
  </si>
  <si>
    <t>VOG05556 [FUNC="REFSEQ hypothetical protein"] [TAG=Xu TAGDEF="Function unknown"]</t>
  </si>
  <si>
    <t>Tail sheath protein C-terminal domain-containing protein n=1 Tax=Pseudomonas phage sp. 30-3 TaxID=2972143 RepID=A0A915Y872_9CAUD</t>
  </si>
  <si>
    <t>DNAUV-18.244-111_3</t>
  </si>
  <si>
    <t>Putative tail sheath protein n=1 Tax=Rhizobium phage RHph_I1_18 TaxID=2509726 RepID=A0A7S5R495_9CAUD</t>
  </si>
  <si>
    <t>DNAUV-5.949-12_5</t>
  </si>
  <si>
    <t>sp|P13332|TSP_BPT4 Tail sheath protein OS=Enterobacteria phage T4 OX=10665 GN=18 PE=1 SV=5</t>
  </si>
  <si>
    <t>DNAUV-68.024-31_112</t>
  </si>
  <si>
    <t>DNAUV-7.111-19_3</t>
  </si>
  <si>
    <t>Tail sheath protein n=1 Tax=Caulobacter phage Cr30 TaxID=1357714 RepID=A0A067XRH8_9CAUD</t>
  </si>
  <si>
    <t>DNAUV-8.856-17_4</t>
  </si>
  <si>
    <t>Putative tail sheath protein n=1 Tax=Pelagibacter phage Mosig EXVC030M TaxID=2759214 RepID=A0A7S6ILK0_9CAUD</t>
  </si>
  <si>
    <t>DNAUV-59.689-63_69</t>
  </si>
  <si>
    <t>COG3497 [FUNC="Phage tail sheath protein FI"] [shortName=] [TAG=X TAGDEF="Mobilome: prophages, transposons" PROCESS=""]  [PATHWAY=""] tail protein [Methylococcus capsulatus]</t>
  </si>
  <si>
    <t>VOG02074 [FUNC="REFSEQ major tail protein with Ig-like domain"] [TAG=Xu TAGDEF="Function unknown"]</t>
  </si>
  <si>
    <t>Major tail protein n=1 Tax=Ruegeria phage vB_RpoS-V16 TaxID=2218618 RepID=A0A2Z4QGT6_9CAUD</t>
  </si>
  <si>
    <t>DNAUV-19.443-61_14</t>
  </si>
  <si>
    <t>COG3497 [FUNC="Phage tail sheath protein FI"] [shortName=] [TAG=X TAGDEF="Mobilome: prophages, transposons" PROCESS=""]  [PATHWAY=""] tail protein [Pseudodesulfovibrio aespoeensis]</t>
  </si>
  <si>
    <t>DNAUV-42.055-32_16</t>
  </si>
  <si>
    <t>sp|P44193|Y1422_HAEIN Uncharacterized protein HI_1422 OS=Haemophilus influenzae (strain ATCC 51907 / DSM 11121 / KW20 / Rd) OX=71421 GN=HI_1422 PE=4 SV=1</t>
  </si>
  <si>
    <t>COG3561 [FUNC="Phage anti-repressor protein Ant"] [shortName=] [TAG=X TAGDEF="Mobilome: prophages, transposons" PROCESS=""]  [PATHWAY=""] hypothetical protein [Providencia stuartii]</t>
  </si>
  <si>
    <t>Antirepressor n=2 Tax=Aeromonas hydrophila TaxID=644 RepID=A0A7U4U7G7_AERHY</t>
  </si>
  <si>
    <t>DNAUV-20.430-24_21</t>
  </si>
  <si>
    <t>sp|P44189|Y1418_HAEIN Uncharacterized protein HI_1418 OS=Haemophilus influenzae (strain ATCC 51907 / DSM 11121 / KW20 / Rd) OX=71421 GN=HI_1418 PE=4 SV=1</t>
  </si>
  <si>
    <t>COG3617 [FUNC="Prophage antirepressor"] [shortName=] [TAG=X TAGDEF="Mobilome: prophages, transposons" PROCESS=""]  [PATHWAY=""] MULTISPECIES: phage repressor protein/antirepressor Ant [Listeria]</t>
  </si>
  <si>
    <t>Antirepressor protein n=1 Tax=Vibrio phage JSF6 TaxID=1983615 RepID=A0A2D0YWJ8_9CAUD</t>
  </si>
  <si>
    <t>11.09.P2-6.233-4.5_11</t>
  </si>
  <si>
    <t>sp|P09425|BP25_BPT4 Baseplate wedge protein gp25 OS=Enterobacteria phage T4 OX=10665 GN=25 PE=1 SV=1</t>
  </si>
  <si>
    <t>COG3628 [FUNC="Phage baseplate assembly protein W"] [shortName=] [TAG=X TAGDEF="Mobilome: prophages, transposons" PROCESS=""]  [PATHWAY=""] baseplate assembly protein [Collimonas fungivorans]</t>
  </si>
  <si>
    <t>VOG04316 [FUNC="sp|P09425|BP25_BPT4 Baseplate wedge protein gp25"] [TAG=Xh TAGDEF="Virus protein with function beneficial for the host"]</t>
  </si>
  <si>
    <t>Baseplate wedge subunit n=1 Tax=Stenotrophomonas phage vB_SmaS-DLP_6 TaxID=1651816 RepID=A0A142EZY7_9CAUD</t>
  </si>
  <si>
    <t>05.07.P3-10.845-3.9_15</t>
  </si>
  <si>
    <t>COG3628 [FUNC="Phage baseplate assembly protein W"] [shortName=] [TAG=X TAGDEF="Mobilome: prophages, transposons" PROCESS=""]  [PATHWAY=""] baseplate protein [Candidatus Promineofilum breve]</t>
  </si>
  <si>
    <t>Putative baseplate wedge protein n=1 Tax=Pelagibacter phage Mosig EXVC030M TaxID=2759214 RepID=A0A7S6ILJ1_9CAUD</t>
  </si>
  <si>
    <t>DNAUV-3.453-18_6</t>
  </si>
  <si>
    <t>IraD/Gp25-like domain-containing protein n=1 Tax=Lake Baikal phage Baikal-20-5m-C28 TaxID=2047876 RepID=A0A2H4N7G7_9CAUD</t>
  </si>
  <si>
    <t>DNAUV-6.909-137_11</t>
  </si>
  <si>
    <t>COG3628 [FUNC="Phage baseplate assembly protein W"] [shortName=] [TAG=X TAGDEF="Mobilome: prophages, transposons" PROCESS=""]  [PATHWAY=""] baseplate protein [Tumebacillus sp. AR23208]</t>
  </si>
  <si>
    <t>DNAUV-26.213-146_10</t>
  </si>
  <si>
    <t>COG3628 [FUNC="Phage baseplate assembly protein W"] [shortName=] [TAG=X TAGDEF="Mobilome: prophages, transposons" PROCESS=""]  [PATHWAY=""] hypothetical protein [Aureitalea sp. RR4-38]</t>
  </si>
  <si>
    <t>Base plate wedge subunit n=4 Tax=Emdodecavirus TaxID=1980937 RepID=S5MCX9_9CAUD</t>
  </si>
  <si>
    <t>DNAUV-147.430-52_14</t>
  </si>
  <si>
    <t>COG3628 [FUNC="Phage baseplate assembly protein W"] [shortName=] [TAG=X TAGDEF="Mobilome: prophages, transposons" PROCESS=""]  [PATHWAY=""] hypothetical protein [Cellulomonas fimi]</t>
  </si>
  <si>
    <t>Base plate wedge subunit n=1 Tax=Synechococcus phage ACG-2014d TaxID=1493509 RepID=A0A0E3ETF4_9CAUD</t>
  </si>
  <si>
    <t>DNAUV-14.753-15_14</t>
  </si>
  <si>
    <t>COG3628 [FUNC="Phage baseplate assembly protein W"] [shortName=] [TAG=X TAGDEF="Mobilome: prophages, transposons" PROCESS=""]  [PATHWAY=""] hypothetical protein [Desulfobacterium autotrophicum]</t>
  </si>
  <si>
    <t>IraD/Gp25-like domain-containing protein n=1 Tax=Muricauda sp. TMED12 TaxID=1986608 RepID=A0A3R7S1T8_9FLAO</t>
  </si>
  <si>
    <t>DNAUV-33.599-56_20</t>
  </si>
  <si>
    <t>11.09.P2-8.389-15_9</t>
  </si>
  <si>
    <t>COG3628 [FUNC="Phage baseplate assembly protein W"] [shortName=] [TAG=X TAGDEF="Mobilome: prophages, transposons" PROCESS=""]  [PATHWAY=""] hypothetical protein [Nostoc punctiforme]</t>
  </si>
  <si>
    <t>IraD/Gp25-like domain-containing protein n=1 Tax=Synechococcus sp. CPC35 TaxID=2024880 RepID=A0A2D4YUH4_9SYNE</t>
  </si>
  <si>
    <t>DNAUV-159.889-409_182</t>
  </si>
  <si>
    <t>COG3628 [FUNC="Phage baseplate assembly protein W"] [shortName=] [TAG=X TAGDEF="Mobilome: prophages, transposons" PROCESS=""]  [PATHWAY=""] hypothetical protein [Pelobacter propionicus]</t>
  </si>
  <si>
    <t>Tail lysozyme n=8 Tax=Schizotequatrovirus TaxID=1198137 RepID=V9LZK4_9CAUD</t>
  </si>
  <si>
    <t>05.07.P4-6.111-11_11</t>
  </si>
  <si>
    <t>COG3628 [FUNC="Phage baseplate assembly protein W"] [shortName=] [TAG=X TAGDEF="Mobilome: prophages, transposons" PROCESS=""]  [PATHWAY=""] hypothetical protein [Sanguibacter keddieii]</t>
  </si>
  <si>
    <t>GPW/gp25 family protein n=1 Tax=Richelia sp. RM2_1_2 TaxID=2720436 RepID=A0A969MCS0_9NOST</t>
  </si>
  <si>
    <t>DNAUV-68.024-31_89</t>
  </si>
  <si>
    <t>COG3628 [FUNC="Phage baseplate assembly protein W"] [shortName=] [TAG=X TAGDEF="Mobilome: prophages, transposons" PROCESS=""]  [PATHWAY=""] hypothetical protein YM304_23120 [Ilumatobacter coccineus YM16-304]</t>
  </si>
  <si>
    <t>IraD/Gp25-like domain-containing protein n=1 Tax=Synechococcus phage BUCT-ZZ01 TaxID=2951202 RepID=A0A9E7NN75_9CAUD</t>
  </si>
  <si>
    <t>DNAUV-12.093-17_4</t>
  </si>
  <si>
    <t>COG3628 [FUNC="Phage baseplate assembly protein W"] [shortName=] [TAG=X TAGDEF="Mobilome: prophages, transposons" PROCESS=""]  [PATHWAY=""] MULTISPECIES: hypothetical protein [Nostocaceae]</t>
  </si>
  <si>
    <t>DNAUV-152.980-60_84</t>
  </si>
  <si>
    <t>COG3628 [FUNC="Phage baseplate assembly protein W"] [shortName=] [TAG=X TAGDEF="Mobilome: prophages, transposons" PROCESS=""]  [PATHWAY=""] MULTISPECIES: phage baseplate protein [Photorhabdus]</t>
  </si>
  <si>
    <t>DNAUV-78.511-202_2</t>
  </si>
  <si>
    <t>sp|P44191|Y1420_HAEIN Uncharacterized protein HI_1420 OS=Haemophilus influenzae (strain ATCC 51907 / DSM 11121 / KW20 / Rd) OX=71421 GN=HI_1420 PE=4 SV=1</t>
  </si>
  <si>
    <t>COG3636 [FUNC="Uncharacterized Zn-binding protein, DUF971 domain"] [shortName=PA5055] [TAG=X TAGDEF="Mobilome: prophages, transposons" PROCESS=""]  [PATHWAY=""] putative addiction module antidote protein [Glaesserella parasuis]</t>
  </si>
  <si>
    <t>Addiction module antitoxin n=1 Tax=Bradyrhizobium lablabi TaxID=722472 RepID=A0A0R3MMC8_9BRAD</t>
  </si>
  <si>
    <t>DNAUV-6.814-25_4</t>
  </si>
  <si>
    <t>sp|P19653|KILA_BPP1 Protein kilA OS=Escherichia phage P1 OX=2886926 GN=kilA PE=4 SV=1</t>
  </si>
  <si>
    <t>COG3645 [FUNC="Phage antirepressor protein YoqD, KilAC domain"] [shortName=KilAC] [TAG=X TAGDEF="Mobilome: prophages, transposons" PROCESS=""]  [PATHWAY=""] DNA-binding protein Roi of bacteriophage BP-933W [Shigella dysenteriae Sd197]</t>
  </si>
  <si>
    <t>VOG00222 [FUNC="sp|P44193|Y1422_HAEIN Uncharacterized protein HI_1422"] [TAG=Xu TAGDEF="Function unknown"]</t>
  </si>
  <si>
    <t>Coil containing protein n=2 Tax=unclassified Caudoviricetes TaxID=2788787 RepID=A0A2I7QV84_9CAUD</t>
  </si>
  <si>
    <t>DNAUV-35.226-432_49</t>
  </si>
  <si>
    <t>COG3645 [FUNC="Phage antirepressor protein YoqD, KilAC domain"] [shortName=KilAC] [TAG=X TAGDEF="Mobilome: prophages, transposons" PROCESS=""]  [PATHWAY=""] hypothetical protein [Fibrella sp. ES10-3-2-2]</t>
  </si>
  <si>
    <t>Antirepressor protein n=4 Tax=root TaxID=1 RepID=A0A9E7TWS8_9CAUD</t>
  </si>
  <si>
    <t>Avril.NODE_955_length_2850_cov_3.510197_1</t>
  </si>
  <si>
    <t>COG3645 [FUNC="Phage antirepressor protein YoqD, KilAC domain"] [shortName=KilAC] [TAG=X TAGDEF="Mobilome: prophages, transposons" PROCESS=""]  [PATHWAY=""] hypothetical protein [Mucinivorans hirudinis]</t>
  </si>
  <si>
    <t>KilA-N domain protein n=1 Tax=Polaribacter phage Leef_1 TaxID=2745684 RepID=A0A8E4ZM40_9CAUD</t>
  </si>
  <si>
    <t>DNAUV-42.055-32_41</t>
  </si>
  <si>
    <t>sp|P19655|ANT_BPP1 Antirepressor protein 1 OS=Escherichia phage P1 OX=2886926 GN=ant PE=4 SV=1</t>
  </si>
  <si>
    <t>COG3645 [FUNC="Phage antirepressor protein YoqD, KilAC domain"] [shortName=KilAC] [TAG=X TAGDEF="Mobilome: prophages, transposons" PROCESS=""]  [PATHWAY=""] hypothetical protein [Pantoea gaviniae]</t>
  </si>
  <si>
    <t>Antirepressor protein n=1 Tax=Vibrio phage 1.061.O._10N.286.55.C2 TaxID=1881307 RepID=A0A2I7QT96_9CAUD</t>
  </si>
  <si>
    <t>DNAUV-2.766-14-V2_6</t>
  </si>
  <si>
    <t>COG3646 [FUNC="Phage regulatory protein Rha"] [shortName=pRha] [TAG=X TAGDEF="Mobilome: prophages, transposons" PROCESS=""]  [PATHWAY=""] hypothetical protein [Sodalis glossinidius]</t>
  </si>
  <si>
    <t>Toxin-antitoxin system, toxin component, Bro family n=1 Tax=Mameliella alba TaxID=561184 RepID=A0A0B3RIJ5_9RHOB</t>
  </si>
  <si>
    <t>DNAUV-20.430-24_32</t>
  </si>
  <si>
    <t>COG3646 [FUNC="Phage regulatory protein Rha"] [shortName=pRha] [TAG=X TAGDEF="Mobilome: prophages, transposons" PROCESS=""]  [PATHWAY=""] Rha family transcriptional regulator [Klebsiella pneumoniae]</t>
  </si>
  <si>
    <t>Coil containing protein n=1 Tax=Vibrio phage 1.187.O._10N.286.49.F1 TaxID=1881434 RepID=A0A2I7RIJ1_9CAUD</t>
  </si>
  <si>
    <t>DNAUV-2.819-65_1</t>
  </si>
  <si>
    <t>sp|P39785|XTMA_BACSU PBSX phage terminase small subunit OS=Bacillus subtilis (strain 168) OX=224308 GN=xtmA PE=4 SV=2</t>
  </si>
  <si>
    <t>COG3728 [FUNC="Phage terminase, small subunit"] [shortName=XtmA] [TAG=X TAGDEF="Mobilome: prophages, transposons" PROCESS=""]  [PATHWAY=""] hypothetical protein CCB80_03205 [Armatimonadetes bacterium Uphvl-Ar1]</t>
  </si>
  <si>
    <t>VOG04519 [FUNC="sp|P68928|TERS_BPSF6 Terminase small subunit"] [TAG=Xr TAGDEF="Virus replication"]</t>
  </si>
  <si>
    <t>Terminase small subunit n=2 Tax=Nekkelsvirus TaxID=2948836 RepID=A0A8E4XXQ3_9CAUD</t>
  </si>
  <si>
    <t>DNAUV-9.016-726_7</t>
  </si>
  <si>
    <t>COG3728 [FUNC="Phage terminase, small subunit"] [shortName=XtmA] [TAG=X TAGDEF="Mobilome: prophages, transposons" PROCESS=""]  [PATHWAY=""] phage terminase, small subunit [Chamaesiphon minutus PCC 6605]</t>
  </si>
  <si>
    <t>Terminase small subunit n=1 Tax=Myoviridae sp. ctXVO17 TaxID=2825121 RepID=A0A8S5P1N4_9CAUD</t>
  </si>
  <si>
    <t>Oct.NODE_775_length_3735_cov_8.354348_3</t>
  </si>
  <si>
    <t>Phage terminase small subunit n=1 Tax=Anaerocolumna xylanovorans DSM 12503 TaxID=1121345 RepID=A0A1M7Y3K8_9FIRM</t>
  </si>
  <si>
    <t>DNAUV-23.323-23_44</t>
  </si>
  <si>
    <t>sp|P68929|TERS_BPRH5 Terminase small subunit OS=Bacillus phage rho15 OX=36451 GN=1 PE=3 SV=2</t>
  </si>
  <si>
    <t>COG3728 [FUNC="Phage terminase, small subunit"] [shortName=XtmA] [TAG=X TAGDEF="Mobilome: prophages, transposons" PROCESS=""]  [PATHWAY=""] terminase small subunit [Bordetella petrii]</t>
  </si>
  <si>
    <t>Terminase small subunit n=1 Tax=Aureimonas fodinaquatilis TaxID=2565783 RepID=A0A5B0DVD3_9HYPH</t>
  </si>
  <si>
    <t>DNAUV-2.084-8.0_3</t>
  </si>
  <si>
    <t>COG3728 [FUNC="Phage terminase, small subunit"] [shortName=XtmA] [TAG=X TAGDEF="Mobilome: prophages, transposons" PROCESS=""]  [PATHWAY=""] terminase small subunit [Halomonas elongata]</t>
  </si>
  <si>
    <t>Terminase n=1 Tax=Providencia rettgeri TaxID=587 RepID=A0A809S6R8_PRORE</t>
  </si>
  <si>
    <t>DNAUV-11.762-11_5</t>
  </si>
  <si>
    <t>COG3728 [FUNC="Phage terminase, small subunit"] [shortName=XtmA] [TAG=X TAGDEF="Mobilome: prophages, transposons" PROCESS=""]  [PATHWAY=""] terminase small subunit [Nitratiruptor sp. SB155-2]</t>
  </si>
  <si>
    <t>Terminase small subunit n=1 Tax=Podoviridae sp. ctefc32 TaxID=2827742 RepID=A0A8S5T3J4_9CAUD</t>
  </si>
  <si>
    <t>DNAUV-12.383-30_7</t>
  </si>
  <si>
    <t>COG3740 [FUNC="Phage head maturation protease"] [shortName=] [TAG=X TAGDEF="Mobilome: prophages, transposons" PROCESS=""]  [PATHWAY=""] HK97 family phage prohead protease [Advenella kashmirensis]</t>
  </si>
  <si>
    <t>Prohead protease n=1 Tax=Pontimonas phage phiPsal1 TaxID=2079347 RepID=A0A2K9VGN9_9CAUD</t>
  </si>
  <si>
    <t>Sept.NODE_76_length_16573_cov_22.332425_17</t>
  </si>
  <si>
    <t>COG3740 [FUNC="Phage head maturation protease"] [shortName=] [TAG=X TAGDEF="Mobilome: prophages, transposons" PROCESS=""]  [PATHWAY=""] HK97 family phage prohead protease [Arthrobacter sp. A3]</t>
  </si>
  <si>
    <t>11.09.P4-15.966-7.3_25</t>
  </si>
  <si>
    <t>COG3740 [FUNC="Phage head maturation protease"] [shortName=] [TAG=X TAGDEF="Mobilome: prophages, transposons" PROCESS=""]  [PATHWAY=""] HK97 family phage prohead protease [Blastomonas sp. RAC04]</t>
  </si>
  <si>
    <t>Avril.NODE_1467_length_2108_cov_3.121286_2</t>
  </si>
  <si>
    <t>DNAUV-12.051-269_9</t>
  </si>
  <si>
    <t>DNAUV-13.200-228_39</t>
  </si>
  <si>
    <t>DNAUV-2.775-113_3</t>
  </si>
  <si>
    <t>DNAUV-4.822-298_8</t>
  </si>
  <si>
    <t>DNAUV-5.795-300_12</t>
  </si>
  <si>
    <t>DNAUV-6.350-323_4</t>
  </si>
  <si>
    <t>Oct.NODE_165_length_11404_cov_3.438805_5</t>
  </si>
  <si>
    <t>Oct.NODE_191_length_10239_cov_19.502848_9</t>
  </si>
  <si>
    <t>Sept.NODE_380_length_4415_cov_54.653899_4</t>
  </si>
  <si>
    <t>11.09.P1-11.099-9.1_3</t>
  </si>
  <si>
    <t>COG3740 [FUNC="Phage head maturation protease"] [shortName=] [TAG=X TAGDEF="Mobilome: prophages, transposons" PROCESS=""]  [PATHWAY=""] HK97 family phage prohead protease [Clostridium perfringens]</t>
  </si>
  <si>
    <t>Sept.NODE_113_length_11702_cov_94.511891_14</t>
  </si>
  <si>
    <t>Oct.NODE_133_length_14145_cov_13.486231_5</t>
  </si>
  <si>
    <t>COG3740 [FUNC="Phage head maturation protease"] [shortName=] [TAG=X TAGDEF="Mobilome: prophages, transposons" PROCESS=""]  [PATHWAY=""] HK97 family phage prohead protease [Desulfarculus baarsii]</t>
  </si>
  <si>
    <t>Sept.NODE_68_length_19049_cov_12.264083_12</t>
  </si>
  <si>
    <t>DNAUV-10.604-22_5</t>
  </si>
  <si>
    <t>COG3740 [FUNC="Phage head maturation protease"] [shortName=] [TAG=X TAGDEF="Mobilome: prophages, transposons" PROCESS=""]  [PATHWAY=""] HK97 family phage prohead protease [Gemmata obscuriglobus]</t>
  </si>
  <si>
    <t>Phage prohead protease n=1 Tax=Marinomonas phage P12026 TaxID=1176423 RepID=I6S2W2_9CAUD</t>
  </si>
  <si>
    <t>DNAUV-31.997-76_21</t>
  </si>
  <si>
    <t>sp|Q6QGD7|PRO_BPT5 Prohead protease OS=Escherichia phage T5 OX=2695836 GN=T5.150 PE=1 SV=1</t>
  </si>
  <si>
    <t>Prohead protease n=1 Tax=Vibrio phage KIT04 TaxID=2508207 RepID=A0A679DLA4_9CAUD</t>
  </si>
  <si>
    <t>DNAUV-64.565-409_40</t>
  </si>
  <si>
    <t>Prohead peptidase n=1 Tax=Litorimonas taeanensis TaxID=568099 RepID=A0A420WIS4_9PROT</t>
  </si>
  <si>
    <t>Sept.NODE_212_length_6860_cov_56.172079_7</t>
  </si>
  <si>
    <t>Peptidase U35 n=1 Tax=Pseudaestuariivita atlantica TaxID=1317121 RepID=A0A0L1JLX6_9RHOB</t>
  </si>
  <si>
    <t>Oct.NODE_54_length_30916_cov_12.817180_7</t>
  </si>
  <si>
    <t>COG3740 [FUNC="Phage head maturation protease"] [shortName=] [TAG=X TAGDEF="Mobilome: prophages, transposons" PROCESS=""]  [PATHWAY=""] HK97 family phage prohead protease [Glycocaulis alkaliphilus]</t>
  </si>
  <si>
    <t>Avril.NODE_433_length_5276_cov_5.215859_3</t>
  </si>
  <si>
    <t>COG3740 [FUNC="Phage head maturation protease"] [shortName=] [TAG=X TAGDEF="Mobilome: prophages, transposons" PROCESS=""]  [PATHWAY=""] HK97 family phage prohead protease [Laceyella sacchari]</t>
  </si>
  <si>
    <t>Capsid and scaffold protein n=1 Tax=Bacteriophage Eos TaxID=2662137 RepID=A0A5Q2U7G5_9CAUD</t>
  </si>
  <si>
    <t>DNAUV-4.725-110_5</t>
  </si>
  <si>
    <t>COG3740 [FUNC="Phage head maturation protease"] [shortName=] [TAG=X TAGDEF="Mobilome: prophages, transposons" PROCESS=""]  [PATHWAY=""] HK97 family phage prohead protease [Luteitalea pratensis]</t>
  </si>
  <si>
    <t>DNAUV-3.916-565_11</t>
  </si>
  <si>
    <t>COG3740 [FUNC="Phage head maturation protease"] [shortName=] [TAG=X TAGDEF="Mobilome: prophages, transposons" PROCESS=""]  [PATHWAY=""] HK97 family phage prohead protease [Nitrospira defluvii]</t>
  </si>
  <si>
    <t>Sept.NODE_220_length_6664_cov_346.980481_10</t>
  </si>
  <si>
    <t>Avril.NODE_138_length_13113_cov_12.225302_6</t>
  </si>
  <si>
    <t>COG3740 [FUNC="Phage head maturation protease"] [shortName=] [TAG=X TAGDEF="Mobilome: prophages, transposons" PROCESS=""]  [PATHWAY=""] HK97 family phage prohead protease [Oligella urethralis]</t>
  </si>
  <si>
    <t>HK97 family phage prohead protease n=1 Tax=Pontibacter mucosus TaxID=1649266 RepID=A0A2T5YD58_9BACT</t>
  </si>
  <si>
    <t>DNAUV-11.690-13_9</t>
  </si>
  <si>
    <t>COG3740 [FUNC="Phage head maturation protease"] [shortName=] [TAG=X TAGDEF="Mobilome: prophages, transposons" PROCESS=""]  [PATHWAY=""] HK97 family phage prohead protease [Thermaerobacter marianensis]</t>
  </si>
  <si>
    <t>Coil containing protein n=1 Tax=Vibrio phage 1.013.O._10N.286.54.F9 TaxID=1881244 RepID=A0A2I7QK30_9CAUD</t>
  </si>
  <si>
    <t>DNAUV-2.222-115_2</t>
  </si>
  <si>
    <t>sp|P0DTK9|ACB1_CAUSR Anti-CBASS protein Acb1 OS=Caulobacter sp. (strain RHG1) OX=2545762 PE=1 SV=1</t>
  </si>
  <si>
    <t>COG3740 [FUNC="Phage head maturation protease"] [shortName=] [TAG=X TAGDEF="Mobilome: prophages, transposons" PROCESS=""]  [PATHWAY=""] HK97 family phage prohead protease [Xanthobacter autotrophicus]</t>
  </si>
  <si>
    <t>VOG00196 [FUNC="sp|P44225|VG29_HAEIN Mu-like prophage FluMu protein gp29"] [TAG=Xu TAGDEF="Function unknown"]</t>
  </si>
  <si>
    <t>Uncharacterized protein n=1 Tax=Salicola phage SCTP-2 TaxID=2015814 RepID=A0A248SKG8_9CAUD</t>
  </si>
  <si>
    <t>DNAUV-7.253-326_16</t>
  </si>
  <si>
    <t>Uncharacterized protein n=2 Tax=Stakelama pacifica TaxID=517720 RepID=A0A4R6FJW6_9SPHN</t>
  </si>
  <si>
    <t>DNAUV-38.512-299_28</t>
  </si>
  <si>
    <t>COG3740 [FUNC="Phage head maturation protease"] [shortName=] [TAG=X TAGDEF="Mobilome: prophages, transposons" PROCESS=""]  [PATHWAY=""] MULTISPECIES: HK97 family phage prohead protease [Serratia]</t>
  </si>
  <si>
    <t>Phage prohead protease, HK97 family n=1 Tax=Phocoenobacter uteri TaxID=146806 RepID=A0A379C9Y0_9PAST</t>
  </si>
  <si>
    <t>Avril.NODE_34_length_37560_cov_23.634315_15</t>
  </si>
  <si>
    <t>COG3740 [FUNC="Phage head maturation protease"] [shortName=] [TAG=X TAGDEF="Mobilome: prophages, transposons" PROCESS=""]  [PATHWAY=""] peptidase U35 [Chitinophaga pinensis]</t>
  </si>
  <si>
    <t>Avril.NODE_82_length_20518_cov_10.265748_7</t>
  </si>
  <si>
    <t>COG3740 [FUNC="Phage head maturation protease"] [shortName=] [TAG=X TAGDEF="Mobilome: prophages, transposons" PROCESS=""]  [PATHWAY=""] peptidase U35 [Desulfarculus baarsii]</t>
  </si>
  <si>
    <t>Prohead protease n=1 Tax=Siphoviridae sp. ctvD11 TaxID=2656724 RepID=A0A5Q2W5M8_9CAUD</t>
  </si>
  <si>
    <t>DNAUV-35.226-432_39</t>
  </si>
  <si>
    <t>Prohead protease n=1 Tax=Cellulophaga phage phi39:1 TaxID=1327993 RepID=S0A174_9CAUD</t>
  </si>
  <si>
    <t>DNAUV-4.356-213_17</t>
  </si>
  <si>
    <t>COG3740 [FUNC="Phage head maturation protease"] [shortName=] [TAG=X TAGDEF="Mobilome: prophages, transposons" PROCESS=""]  [PATHWAY=""] phage major capsid protein [Methylobacterium nodulans]</t>
  </si>
  <si>
    <t>Phage major capsid protein n=1 Tax=Pusillimonas sp. (ex Stolz et al. 2005) TaxID=1979962 RepID=A0A2D7XHA0_9BURK</t>
  </si>
  <si>
    <t>DNAUV-2.918-14_7</t>
  </si>
  <si>
    <t>sp|B0ZSF3|CAPSD_BPHA1 Major capsid protein OS=Halomonas phage phiHAP-1 (isolate -/Gulf of Mexico/-/2001) OX=1283337 GN=HAPgp05 PE=3 SV=1</t>
  </si>
  <si>
    <t>COG3740 [FUNC="Phage head maturation protease"] [shortName=] [TAG=X TAGDEF="Mobilome: prophages, transposons" PROCESS=""]  [PATHWAY=""] phage major capsid protein [Thalassococcus sp. SH-1]</t>
  </si>
  <si>
    <t>Hypervirulence associated protein TUDOR domain-containing protein n=1 Tax=Synechococcus phage S-CAM8 TaxID=754038 RepID=G8EXZ9_9CAUD</t>
  </si>
  <si>
    <t>DNAUV-43.228-64_10</t>
  </si>
  <si>
    <t>11.09.P3-15.399-15_14</t>
  </si>
  <si>
    <t>COG3740 [FUNC="Phage head maturation protease"] [shortName=] [TAG=X TAGDEF="Mobilome: prophages, transposons" PROCESS=""]  [PATHWAY=""] prohead protease [Enterococcus faecalis V583]</t>
  </si>
  <si>
    <t>11.09.P4-19.981-12_40</t>
  </si>
  <si>
    <t>DNAUV-35.223-36_59</t>
  </si>
  <si>
    <t>DNAUV-40.559-174_49</t>
  </si>
  <si>
    <t>COG3740 [FUNC="Phage head maturation protease"] [shortName=] [TAG=X TAGDEF="Mobilome: prophages, transposons" PROCESS=""]  [PATHWAY=""] prophage LambdaSa2, protease [Streptococcus agalactiae 2603V/R]</t>
  </si>
  <si>
    <t>DNAUV-3.237-613_6</t>
  </si>
  <si>
    <t>COG3747 [FUNC="Phage terminase, small subunit"] [shortName=] [TAG=X TAGDEF="Mobilome: prophages, transposons" PROCESS=""]  [PATHWAY=""] MULTISPECIES: phage terminase small subunit P27 family [Cobetia]</t>
  </si>
  <si>
    <t>VOG01433 [FUNC="REFSEQ terminase small subunit"] [TAG=Xu TAGDEF="Function unknown"]</t>
  </si>
  <si>
    <t>Putative terminase small subunit n=2 Tax=Streptomyces sp. SN-593 TaxID=659352 RepID=A0A7U3UXH7_9ACTN</t>
  </si>
  <si>
    <t>DNAUV-38.512-299_25</t>
  </si>
  <si>
    <t>COG3747 [FUNC="Phage terminase, small subunit"] [shortName=] [TAG=X TAGDEF="Mobilome: prophages, transposons" PROCESS=""]  [PATHWAY=""] phage terminase small subunit P27 family [Kluyvera sp. Nf5]</t>
  </si>
  <si>
    <t>Terminase n=2 Tax=Enterobacteriaceae TaxID=543 RepID=A0A348DGU7_9ENTR</t>
  </si>
  <si>
    <t>DNAUV-35.223-36_54</t>
  </si>
  <si>
    <t>COG3747 [FUNC="Phage terminase, small subunit"] [shortName=] [TAG=X TAGDEF="Mobilome: prophages, transposons" PROCESS=""]  [PATHWAY=""] phage terminase small subunit P27 family [Peptoclostridium acidaminophilum]</t>
  </si>
  <si>
    <t>Small terminase n=1 Tax=Pontimonas phage phiPsal1 TaxID=2079347 RepID=A0A2K9VGJ6_9CAUD</t>
  </si>
  <si>
    <t>DNAUV-43.274-68_127</t>
  </si>
  <si>
    <t>COG3778 [FUNC="Uncharacterized conserved protein YmfQ in lambdoid prophage, DUF2313 family"] [shortName=YmfQ] [TAG=X TAGDEF="Mobilome: prophages, transposons" PROCESS=""]  [PATHWAY=""] DUF2313 domain-containing protein [Pseudodesulfovibrio aespoeensis]</t>
  </si>
  <si>
    <t>VOG18570 [FUNC="REFSEQ hypothetical protein"] [TAG=Xu TAGDEF="Function unknown"]</t>
  </si>
  <si>
    <t>DUF2313 domain-containing protein n=1 Tax=Shewanella phage SppYZU01 TaxID=1965372 RepID=A0A1V0DYG0_9CAUD</t>
  </si>
  <si>
    <t>DNAUV-48.934-1423_63</t>
  </si>
  <si>
    <t>sp|Q9T1V1|BP48_BPMU Baseplate protein gp48 OS=Escherichia phage Mu OX=2681603 GN=Mup48 PE=1 SV=1</t>
  </si>
  <si>
    <t>COG3778 [FUNC="Uncharacterized conserved protein YmfQ in lambdoid prophage, DUF2313 family"] [shortName=YmfQ] [TAG=X TAGDEF="Mobilome: prophages, transposons" PROCESS=""]  [PATHWAY=""] DUF2313 domain-containing protein [Sulfuriflexus mobilis]</t>
  </si>
  <si>
    <t>VOG02816 [FUNC="sp|P75982|YMFQ_ECOLI Uncharacterized protein YmfQ"] [TAG=Xu TAGDEF="Function unknown"]</t>
  </si>
  <si>
    <t>Putative Tail protein n=1 Tax=Pseudomonas savastanoi pv. glycinea TaxID=318 RepID=A0A3M4R6Z0_PSESG</t>
  </si>
  <si>
    <t>DNAUV-33.721-35_13</t>
  </si>
  <si>
    <t>COG3941 [FUNC="Phage tail tape-measure protein, controls tail length"] [shortName=HI1514] [TAG=X TAGDEF="Mobilome: prophages, transposons" PROCESS=""]  [PATHWAY=""] hypothetical protein [Simonsiella muelleri]</t>
  </si>
  <si>
    <t>Tail tape measure protein n=1 Tax=Vibrio phage eugene 12A10 TaxID=573172 RepID=R9UBD2_9CAUD</t>
  </si>
  <si>
    <t>Oct.NODE_78_length_22629_cov_4.860991_19</t>
  </si>
  <si>
    <t>Tape measure protein n=1 Tax=Glaciimonas soli TaxID=2590999 RepID=A0A843YX74_9BURK</t>
  </si>
  <si>
    <t>DNAUV-4.514-67_4</t>
  </si>
  <si>
    <t>COG3941 [FUNC="Phage tail tape-measure protein, controls tail length"] [shortName=HI1514] [TAG=X TAGDEF="Mobilome: prophages, transposons" PROCESS=""]  [PATHWAY=""] phage tape measure protein [Rubinisphaera brasiliensis]</t>
  </si>
  <si>
    <t>Phage tape measure protein n=1 Tax=Cellulophaga phage phi39:1 TaxID=1327993 RepID=S0A180_9CAUD</t>
  </si>
  <si>
    <t>DNAUV-6.035-13_7</t>
  </si>
  <si>
    <t>sp|Q0PDK7|TMP_BPSPP Tail tape measure protein gp18 OS=Bacillus phage SPP1 OX=10724 PE=4 SV=1</t>
  </si>
  <si>
    <t>Avril.NODE_699_length_3588_cov_5.847155_2</t>
  </si>
  <si>
    <t>COG3941 [FUNC="Phage tail tape-measure protein, controls tail length"] [shortName=HI1514] [TAG=X TAGDEF="Mobilome: prophages, transposons" PROCESS=""]  [PATHWAY=""] phage tape measure protein [Spirosoma linguale DSM 74]</t>
  </si>
  <si>
    <t>Tail length tape measure protein n=1 Tax=Polaribacter phage P12002L TaxID=1647386 RepID=A0A0F7IJS8_9CAUD</t>
  </si>
  <si>
    <t>DNAUV-48.671-99_16</t>
  </si>
  <si>
    <t>COG3941 [FUNC="Phage tail tape-measure protein, controls tail length"] [shortName=HI1514] [TAG=X TAGDEF="Mobilome: prophages, transposons" PROCESS=""]  [PATHWAY=""] phage tape measure protein [Starkeya novella]</t>
  </si>
  <si>
    <t>Avril.NODE_216_length_8718_cov_5.759206_5</t>
  </si>
  <si>
    <t>COG4228 [FUNC="Mu-like prophage DNA circulation protein"] [shortName=] [TAG=X TAGDEF="Mobilome: prophages, transposons" PROCESS=""]  [PATHWAY=""] DNA circulation family protein [Brachyspira intermedia]</t>
  </si>
  <si>
    <t>DNA circulation N-terminal domain-containing protein n=1 Tax=Shewanella phage SppYZU01 TaxID=1965372 RepID=A0A1V0DYJ5_9CAUD</t>
  </si>
  <si>
    <t>DNAUV-3.693-13_6</t>
  </si>
  <si>
    <t>sp|P71389|VPN_HAEIN Mu-like prophage FluMu DNA circularization protein OS=Haemophilus influenzae (strain ATCC 51907 / DSM 11121 / KW20 / Rd) OX=71421 GN=HI_1515 PE=4 SV=1</t>
  </si>
  <si>
    <t>DNAUV-4.255-152_5</t>
  </si>
  <si>
    <t>sp|P08557|CIRCN_BPMU DNA circularization protein N OS=Escherichia phage Mu OX=2681603 GN=N PE=1 SV=2</t>
  </si>
  <si>
    <t>VOG22706 [FUNC="REFSEQ baseplate hub"] [TAG=Xu TAGDEF="Function unknown"]</t>
  </si>
  <si>
    <t>DNAUV-4.258-125_2</t>
  </si>
  <si>
    <t>DNAUV-43.274-68_113</t>
  </si>
  <si>
    <t>DNAUV-48.475-181_53</t>
  </si>
  <si>
    <t>Mai.NODE_617_length_3334_cov_3.419640_5</t>
  </si>
  <si>
    <t>VOG01864 [FUNC="sp|P71389|VPN_HAEIN Mu-like prophage FluMu DNA circularization protein"] [TAG=Xr TAGDEF="Virus replication"]</t>
  </si>
  <si>
    <t>DNA circulation N-terminal domain-containing protein n=1 Tax=Marispirochaeta aestuarii TaxID=1963862 RepID=A0A1Y1S188_9SPIO</t>
  </si>
  <si>
    <t>DNAUV-48.934-1423_58</t>
  </si>
  <si>
    <t>COG4228 [FUNC="Mu-like prophage DNA circulation protein"] [shortName=] [TAG=X TAGDEF="Mobilome: prophages, transposons" PROCESS=""]  [PATHWAY=""] DNA circulation-like protein [Polaromonas sp. JS666]</t>
  </si>
  <si>
    <t>Mu-like prophage DNA circulation protein n=1 Tax=Noviherbaspirillum humi TaxID=1688639 RepID=A0A239LFF2_9BURK</t>
  </si>
  <si>
    <t>11.09.P2-16.453-37_11</t>
  </si>
  <si>
    <t>sp|P17312|TERL_BPT4 Terminase, large subunit OS=Enterobacteria phage T4 OX=10665 GN=17 PE=1 SV=1</t>
  </si>
  <si>
    <t>COG4373 [FUNC="Mu-like prophage FluMu protein gp28"] [shortName=] [TAG=X TAGDEF="Mobilome: prophages, transposons" PROCESS=""]  [PATHWAY=""] hypothetical protein [Thermovibrio ammonificans]</t>
  </si>
  <si>
    <t>Large terminase protein n=1 Tax=Myoviridae sp. ctNQV2 TaxID=2827683 RepID=A0A8S5RY56_9CAUD</t>
  </si>
  <si>
    <t>11.09.P2-16.453-37_22</t>
  </si>
  <si>
    <t>DNAUV-41.618-136_31</t>
  </si>
  <si>
    <t>COG4373 [FUNC="Mu-like prophage FluMu protein gp28"] [shortName=] [TAG=X TAGDEF="Mobilome: prophages, transposons" PROCESS=""]  [PATHWAY=""] hypothetical protein Haur_1384 [Herpetosiphon aurantiacus DSM 785]</t>
  </si>
  <si>
    <t>Terminase large subunit n=1 Tax=Pseudoalteromonas phage PH1 TaxID=1874540 RepID=A0A1B2ANP0_9CAUD</t>
  </si>
  <si>
    <t>DNAUV-6.566-186_7</t>
  </si>
  <si>
    <t>VOG01116 [FUNC="sp|P17312|TERL_BPT4 Terminase, large subunit"] [TAG=Xh TAGDEF="Virus protein with function beneficial for the host"]</t>
  </si>
  <si>
    <t>Terminase n=1 Tax=Muricauda sp. TMED12 TaxID=1986608 RepID=A0A424LGM6_9FLAO</t>
  </si>
  <si>
    <t>Mai.NODE_939_length_2419_cov_2.817259_2</t>
  </si>
  <si>
    <t>Large terminase protein n=1 Tax=Myoviridae sp. ct3Pt8 TaxID=2826608 RepID=A0A8S5MLX5_9CAUD</t>
  </si>
  <si>
    <t>DNAUV-16.585-31_70</t>
  </si>
  <si>
    <t>COG4379 [FUNC="Mu-like prophage tail protein gpP"] [shortName=] [TAG=X TAGDEF="Mobilome: prophages, transposons" PROCESS=""]  [PATHWAY=""] hypothetical protein [Pseudodesulfovibrio aespoeensis]</t>
  </si>
  <si>
    <t>VOG01411 [FUNC="sp|P08558|BP44_BPMU Baseplate hub protein gp44"] [TAG=Xh TAGDEF="Virus protein with function beneficial for the host"]</t>
  </si>
  <si>
    <t>Putative tail protein n=1 Tax=Shewanella phage SppYZU01 TaxID=1965372 RepID=A0A1V0DYJ4_9CAUD</t>
  </si>
  <si>
    <t>DNAUV-48.934-1423_59</t>
  </si>
  <si>
    <t>COG4379 [FUNC="Mu-like prophage tail protein gpP"] [shortName=] [TAG=X TAGDEF="Mobilome: prophages, transposons" PROCESS=""]  [PATHWAY=""] hypothetical protein [Thalassolituus oleivorans]</t>
  </si>
  <si>
    <t>Baseplate protein n=1 Tax=Alkalilimnicola sp. S0819 TaxID=2613922 RepID=A0A833IS20_9GAMM</t>
  </si>
  <si>
    <t>Avril.NODE_216_length_8718_cov_5.759206_6</t>
  </si>
  <si>
    <t>sp|P08558|BP44_BPMU Baseplate hub protein gp44 OS=Escherichia phage Mu OX=2681603 GN=P PE=1 SV=1</t>
  </si>
  <si>
    <t>COG4379 [FUNC="Mu-like prophage tail protein gpP"] [shortName=] [TAG=X TAGDEF="Mobilome: prophages, transposons" PROCESS=""]  [PATHWAY=""] Mu phage baseplate assembly protein GpP [Shewanella oneidensis MR-1]</t>
  </si>
  <si>
    <t>DNAUV-43.274-68_116</t>
  </si>
  <si>
    <t>DNAUV-4.258-125_3</t>
  </si>
  <si>
    <t>COG4379 [FUNC="Mu-like prophage tail protein gpP"] [shortName=] [TAG=X TAGDEF="Mobilome: prophages, transposons" PROCESS=""]  [PATHWAY=""] phage tail protein [Brenneria goodwinii]</t>
  </si>
  <si>
    <t>DNAUV-48.475-181_54</t>
  </si>
  <si>
    <t>COG4379 [FUNC="Mu-like prophage tail protein gpP"] [shortName=] [TAG=X TAGDEF="Mobilome: prophages, transposons" PROCESS=""]  [PATHWAY=""] phage tail protein [Leminorella richardii]</t>
  </si>
  <si>
    <t>Putative tail protein n=1 Tax=Shewanella phage SFCi1 TaxID=1852599 RepID=A0A1B0Z1G8_9CAUD</t>
  </si>
  <si>
    <t>DNAUV-4.255-152_6</t>
  </si>
  <si>
    <t>COG4379 [FUNC="Mu-like prophage tail protein gpP"] [shortName=] [TAG=X TAGDEF="Mobilome: prophages, transposons" PROCESS=""]  [PATHWAY=""] tail protein [Xenorhabdus nematophila]</t>
  </si>
  <si>
    <t>DNAUV-48.934-1423_61</t>
  </si>
  <si>
    <t>sp|P44239|VG46_HAEIN Mu-like prophage FluMu protein gp46 OS=Haemophilus influenzae (strain ATCC 51907 / DSM 11121 / KW20 / Rd) OX=71421 GN=HI_1519 PE=4 SV=1</t>
  </si>
  <si>
    <t>COG4381 [FUNC="Mu-like prophage protein gp46"] [shortName=gp46] [TAG=X TAGDEF="Mobilome: prophages, transposons" PROCESS=""]  [PATHWAY=""] hypothetical protein [Burkholderia cepacia]</t>
  </si>
  <si>
    <t>Mu-like prophage protein gp46 n=1 Tax=Pseudomonas arsenicoxydans TaxID=702115 RepID=A0A502HR49_9PSED</t>
  </si>
  <si>
    <t>DNAUV-16.585-31_74</t>
  </si>
  <si>
    <t>COG4381 [FUNC="Mu-like prophage protein gp46"] [shortName=gp46] [TAG=X TAGDEF="Mobilome: prophages, transposons" PROCESS=""]  [PATHWAY=""] tail protein [Desulfovibrio vulgaris str. Hildenborough]</t>
  </si>
  <si>
    <t>Uncharacterized protein orf21C n=1 Tax=Vibrio phage VP16C TaxID=238893 RepID=Q6VSZ6_9CAUD</t>
  </si>
  <si>
    <t>DNAUV-4.350-11_2</t>
  </si>
  <si>
    <t>sp|P44225|VG29_HAEIN Mu-like prophage FluMu protein gp29 OS=Haemophilus influenzae (strain ATCC 51907 / DSM 11121 / KW20 / Rd) OX=71421 GN=HI_1501 PE=4 SV=1</t>
  </si>
  <si>
    <t>COG4383 [FUNC="Mu-like prophage protein gp29"] [shortName=gp29] [TAG=X TAGDEF="Mobilome: prophages, transposons" PROCESS=""]  [PATHWAY=""] DUF935 domain-containing protein [Syntrophobotulus glycolicus]</t>
  </si>
  <si>
    <t>Structural protein n=1 Tax=Salinibacter phage M31CR41-2 TaxID=2681614 RepID=A0A2I6UH33_9CAUD</t>
  </si>
  <si>
    <t>11.09.P1-16.187-16_15</t>
  </si>
  <si>
    <t>COG4383 [FUNC="Mu-like prophage protein gp29"] [shortName=gp29] [TAG=X TAGDEF="Mobilome: prophages, transposons" PROCESS=""]  [PATHWAY=""] hypothetical protein [[Eubacterium] rectale]</t>
  </si>
  <si>
    <t>Portal protein n=1 Tax=Pseudomonas phage UAVern TaxID=2856997 RepID=A0A975UUA4_9CAUD</t>
  </si>
  <si>
    <t>11.09.P1-16.187-16_3</t>
  </si>
  <si>
    <t>11.09.P1-4.695-17_1</t>
  </si>
  <si>
    <t>Portal protein n=1 Tax=Bradyrhizobium sp. CCBAU 51753 TaxID=1325100 RepID=A0A7S7TLA2_9BRAD</t>
  </si>
  <si>
    <t>11.09.P4-7.526-6.0_13</t>
  </si>
  <si>
    <t>Putative portal protein n=1 Tax=Roseobacter phage CRP-6 TaxID=2559285 RepID=A0A646QX65_9CAUD</t>
  </si>
  <si>
    <t>Avril.NODE_4_length_52184_cov_14.862668_18</t>
  </si>
  <si>
    <t>Avril.NODE_490_length_4799_cov_82.955734_7</t>
  </si>
  <si>
    <t>Portal protein n=1 Tax=Brucella endophytica TaxID=1963359 RepID=A0A916SHH3_9HYPH</t>
  </si>
  <si>
    <t>Avril.NODE_9_length_46600_cov_10.230895_32</t>
  </si>
  <si>
    <t>DNAUV-11.532-345_33</t>
  </si>
  <si>
    <t>DNAUV-14.799-179_11</t>
  </si>
  <si>
    <t>DNAUV-2.094-60_2</t>
  </si>
  <si>
    <t>DNAUV-2.353-6.9_1</t>
  </si>
  <si>
    <t>DNAUV-2.605-913_2</t>
  </si>
  <si>
    <t>DNAUV-2.705-103_11</t>
  </si>
  <si>
    <t>DNAUV-20.871-258_15</t>
  </si>
  <si>
    <t>DNAUV-3.634-57_1</t>
  </si>
  <si>
    <t>DNAUV-4.800-614_7</t>
  </si>
  <si>
    <t>DNAUV-5.384-113_18</t>
  </si>
  <si>
    <t>DNAUV-56.054-300_45</t>
  </si>
  <si>
    <t>Portal protein n=1 Tax=Alteromonas phage vB_AmeM_PT11-V22 TaxID=2704031 RepID=A0A6C0R1T9_9CAUD</t>
  </si>
  <si>
    <t>DNAUV-7.253-326_13</t>
  </si>
  <si>
    <t>DNAUV-7.289-190_18</t>
  </si>
  <si>
    <t>DNAUV-85.908-43_93</t>
  </si>
  <si>
    <t>Juil.NODE_15_length_4263_cov_5.604800_4</t>
  </si>
  <si>
    <t>Oct.NODE_120_length_15339_cov_5.617051_9</t>
  </si>
  <si>
    <t>Oct.NODE_1589_length_2332_cov_3.375933_2</t>
  </si>
  <si>
    <t>Oct.NODE_169_length_11288_cov_54.707825_17</t>
  </si>
  <si>
    <t>Oct.NODE_181_length_10780_cov_6.015478_12</t>
  </si>
  <si>
    <t>Oct.NODE_382_length_5950_cov_4.942324_3</t>
  </si>
  <si>
    <t>Oct.NODE_78_length_22629_cov_4.860991_4</t>
  </si>
  <si>
    <t>Oct.NODE_843_length_3525_cov_47.200865_4</t>
  </si>
  <si>
    <t>Sept.NODE_1098_length_2187_cov_38.373827_1</t>
  </si>
  <si>
    <t>Sept.NODE_97_length_14357_cov_113.549504_4</t>
  </si>
  <si>
    <t>11.09.P1-16.187-16_17</t>
  </si>
  <si>
    <t>COG4383 [FUNC="Mu-like prophage protein gp29"] [shortName=gp29] [TAG=X TAGDEF="Mobilome: prophages, transposons" PROCESS=""]  [PATHWAY=""] hypothetical protein [Heliobacterium modesticaldum]</t>
  </si>
  <si>
    <t>Structural protein n=1 Tax=Pseudomonas phage vB_PaeM_G1 TaxID=1983539 RepID=A0A218L3W5_9CAUD</t>
  </si>
  <si>
    <t>11.09.P1-16.187-16_5</t>
  </si>
  <si>
    <t>DNAUV-85.908-43_95</t>
  </si>
  <si>
    <t>Oct.NODE_1451_length_2477_cov_5.330718_1</t>
  </si>
  <si>
    <t>Sept.NODE_812_length_2682_cov_5.116102_3</t>
  </si>
  <si>
    <t>Portal protein n=1 Tax=Freshwater phage uvFW-CGR-AMD-COM-C203 TaxID=1838151 RepID=A0A1B0XTI8_9CAUD</t>
  </si>
  <si>
    <t>Avril.NODE_637_length_3818_cov_4.330322_5</t>
  </si>
  <si>
    <t>COG4386 [FUNC="Mu-like prophage tail sheath protein gpL"] [shortName=gpL] [TAG=X TAGDEF="Mobilome: prophages, transposons" PROCESS=""]  [PATHWAY=""] tail protein [Brachyspira intermedia]</t>
  </si>
  <si>
    <t>VOG04974 [FUNC="sp|P44233|VPL_HAEIN Mu-like prophage FluMu tail sheath protein"] [TAG=Xu TAGDEF="Function unknown"]</t>
  </si>
  <si>
    <t>Putative tail protein n=1 Tax=Shewanella phage SppYZU01 TaxID=1965372 RepID=A0A1V0DYG3_9CAUD</t>
  </si>
  <si>
    <t>DNAUV-16.585-31_54</t>
  </si>
  <si>
    <t>DNAUV-2.261-108_4</t>
  </si>
  <si>
    <t>DNAUV-2.261-159_2</t>
  </si>
  <si>
    <t>DNAUV-3.983-12_8</t>
  </si>
  <si>
    <t>DNAUV-43.274-68_108</t>
  </si>
  <si>
    <t>DNAUV-48.475-181_48</t>
  </si>
  <si>
    <t>DNAUV-51.550-178_54</t>
  </si>
  <si>
    <t>Tail protein n=7 Tax=unclassified Caudoviricetes TaxID=2788787 RepID=M1PRR7_9CAUD</t>
  </si>
  <si>
    <t>Mai.NODE_285_length_6110_cov_6.752106_3</t>
  </si>
  <si>
    <t>Oct.NODE_1922_length_2030_cov_2.668861_1</t>
  </si>
  <si>
    <t>DNAUV-48.934-1423_54</t>
  </si>
  <si>
    <t>sp|P79678|TSP_BPMU Tail sheath protein OS=Escherichia phage Mu OX=2681603 GN=L PE=1 SV=1</t>
  </si>
  <si>
    <t>COG4386 [FUNC="Mu-like prophage tail sheath protein gpL"] [shortName=gpL] [TAG=X TAGDEF="Mobilome: prophages, transposons" PROCESS=""]  [PATHWAY=""] tail protein [Polaromonas sp. JS666]</t>
  </si>
  <si>
    <t>Phage tail protein n=1 Tax=Pseudomonas arsenicoxydans TaxID=702115 RepID=A0A502HSI8_9PSED</t>
  </si>
  <si>
    <t>Oct.NODE_1544_length_2375_cov_5.509483_5</t>
  </si>
  <si>
    <t>COG4397 [FUNC="Mu-like prophage major head subunit gpT"] [shortName=gpT] [TAG=X TAGDEF="Mobilome: prophages, transposons" PROCESS=""]  [PATHWAY=""] hypothetical protein [Ktedonobacterales bacterium SCAWS-G2]</t>
  </si>
  <si>
    <t>Bacteriophage Mu GpT domain-containing protein n=1 Tax=Novosphingobium sp. KN65.2 TaxID=1478134 RepID=A0A158RWQ1_9SPHN</t>
  </si>
  <si>
    <t>DNAUV-4.559-22_2</t>
  </si>
  <si>
    <t>COG4422 [FUNC="Bacteriophage protein gp37"] [shortName=] [TAG=X TAGDEF="Mobilome: prophages, transposons" PROCESS=""]  [PATHWAY=""] phage Gp37/Gp68 family protein [Gluconacetobacter diazotrophicus]</t>
  </si>
  <si>
    <t>VOG34974 [FUNC="REFSEQ hypothetical protein"] [TAG=Xu TAGDEF="Function unknown"]</t>
  </si>
  <si>
    <t>Protein gp37 n=1 Tax=Salipiger aestuarii TaxID=568098 RepID=A0A327YTX2_9RHOB</t>
  </si>
  <si>
    <t>Avril.NODE_4_length_52184_cov_14.862668_57</t>
  </si>
  <si>
    <t>COG4474 [FUNC="Uncharacterized SPBc2 prophage-derived protein YoqJ"] [shortName=YoqJ] [TAG=X TAGDEF="Mobilome: prophages, transposons" PROCESS=""]  [PATHWAY=""] MULTISPECIES: DUF1273 domain-containing protein [Nostocales]</t>
  </si>
  <si>
    <t>VOG11393 [FUNC="REFSEQ hypothetical protein"] [TAG=Xu TAGDEF="Function unknown"]</t>
  </si>
  <si>
    <t>Macro domain-containing protein n=1 Tax=Roseibium aggregatum TaxID=187304 RepID=A0A0M6Y6G5_9HYPH</t>
  </si>
  <si>
    <t>Avril.NODE_78_length_21756_cov_6.683839_15</t>
  </si>
  <si>
    <t>N4 gp14-like protein n=5 Tax=Aorunvirus V12 TaxID=2846074 RepID=C4NT47_9CAUD</t>
  </si>
  <si>
    <t>DNAUV-19.264-18_3</t>
  </si>
  <si>
    <t>Gamma-glutamylcyclotransferase n=1 Tax=Sphingomonas sp. ABOLG TaxID=1985880 RepID=A0A430DHM1_9SPHN</t>
  </si>
  <si>
    <t>DNAUV-3.519-26_8</t>
  </si>
  <si>
    <t>DNAUV-5.077-286_2</t>
  </si>
  <si>
    <t>Uncharacterized protein n=1 Tax=Roseobacter phage RDJL Phi 1 TaxID=562742 RepID=F4YXR1_9CAUD</t>
  </si>
  <si>
    <t>DNAUV-73.172-54_77</t>
  </si>
  <si>
    <t>N4 gp14-like protein n=2 Tax=Roseovarius Plymouth podovirus 1 TaxID=926474 RepID=E3PZ86_9CAUD</t>
  </si>
  <si>
    <t>DNAUV-38.183-831_49</t>
  </si>
  <si>
    <t>COG4540 [FUNC="Phage P2 baseplate assembly protein gpV"] [shortName=gpV] [TAG=X TAGDEF="Mobilome: prophages, transposons" PROCESS=""]  [PATHWAY=""] hypothetical protein [Photorhabdus luminescens]</t>
  </si>
  <si>
    <t>VOG00453 [FUNC="sp|P31340|SPIKE_BPP2 Spike protein"] [TAG=Xh TAGDEF="Virus protein with function beneficial for the host"]</t>
  </si>
  <si>
    <t>Phage-related protein n=1 Tax=Yersinia phage fEV-1 TaxID=2077277 RepID=A0A2P9HY74_9CAUD</t>
  </si>
  <si>
    <t>Oct.NODE_697_length_4009_cov_3.022762_8</t>
  </si>
  <si>
    <t>Phage baseplate protein n=1 Tax=Spiribacter salinus TaxID=1335746 RepID=A0A540VRX5_9GAMM</t>
  </si>
  <si>
    <t>DNAUV-56.054-300_65</t>
  </si>
  <si>
    <t>COG4540 [FUNC="Phage P2 baseplate assembly protein gpV"] [shortName=gpV] [TAG=X TAGDEF="Mobilome: prophages, transposons" PROCESS=""]  [PATHWAY=""] translation initiation factor IF-2 [Cedecea neteri]</t>
  </si>
  <si>
    <t>Phage protein Gp138 N-terminal domain-containing protein n=1 Tax=Rhodanobacter sp. SCN 67-45 TaxID=1660133 RepID=A0A1E4HKR9_9GAMM</t>
  </si>
  <si>
    <t>DNAUV-8.168-17_11</t>
  </si>
  <si>
    <t>Putative baseplate protein n=1 Tax=Bdellovibrio phage phi1422 TaxID=1127515 RepID=H9C0N7_9CAUD</t>
  </si>
  <si>
    <t>DNAUV-85.908-43_113</t>
  </si>
  <si>
    <t>DNAUV-62.938-22_26</t>
  </si>
  <si>
    <t>COG4626 [FUNC="Phage terminase-like protein, large subunit, contains N-terminal HTH domain"] [shortName=YmfN] [TAG=X TAGDEF="Mobilome: prophages, transposons" PROCESS=""]  [PATHWAY=""] hypothetical protein [Acetobacter pasteurianus]</t>
  </si>
  <si>
    <t>VOG00879 [FUNC="REFSEQ terminase large subunit"] [TAG=Xu TAGDEF="Function unknown"]</t>
  </si>
  <si>
    <t>Phage terminase, large subunit n=1 Tax=Afipia clevelandensis ATCC 49720 TaxID=883079 RepID=K8PK74_9BRAD</t>
  </si>
  <si>
    <t>DNAUV-11.864-30_4</t>
  </si>
  <si>
    <t>COG4626 [FUNC="Phage terminase-like protein, large subunit, contains N-terminal HTH domain"] [shortName=YmfN] [TAG=X TAGDEF="Mobilome: prophages, transposons" PROCESS=""]  [PATHWAY=""] hypothetical protein [Candidatus Nitrosocaldus islandicus]</t>
  </si>
  <si>
    <t>Terminase large subunit n=1 Tax=Halogranum tailed virus 1 TaxID=1273749 RepID=R4T8V9_9CAUD</t>
  </si>
  <si>
    <t>11.09.P1-11.178-27_12</t>
  </si>
  <si>
    <t>Terminase, large subunit n=1 Tax=Salmonella phage rokbiter TaxID=2713317 RepID=A0A6G8RGY6_9CAUD</t>
  </si>
  <si>
    <t>11.09.P1-11.178-27_5</t>
  </si>
  <si>
    <t>11.09.P2-2.734-41_2</t>
  </si>
  <si>
    <t>Terminase-like family protein n=1 Tax=Salmonella phage L6jm TaxID=2713222 RepID=A0A6G6XRZ4_9CAUD</t>
  </si>
  <si>
    <t>11.09.P2-2.734-41_3</t>
  </si>
  <si>
    <t>05.07.P3-3.701-6.7_4</t>
  </si>
  <si>
    <t>COG4626 [FUNC="Phage terminase-like protein, large subunit, contains N-terminal HTH domain"] [shortName=YmfN] [TAG=X TAGDEF="Mobilome: prophages, transposons" PROCESS=""]  [PATHWAY=""] hypothetical protein [Magnetospirillum magneticum]</t>
  </si>
  <si>
    <t>VOG00587 [FUNC="REFSEQ tail fiber protein"] [TAG=Xu TAGDEF="Function unknown"]</t>
  </si>
  <si>
    <t>Tail fiber protein n=1 Tax=Roseobacter phage CRP-1 TaxID=2559280 RepID=A0A646QVJ9_9CAUD</t>
  </si>
  <si>
    <t>11.09.P1-2.558-49_2</t>
  </si>
  <si>
    <t>SPRY domain containing protein n=1 Tax=Methylophilales phage MEP301 TaxID=2806696 RepID=A0A894K074_9CAUD</t>
  </si>
  <si>
    <t>DNAUV-2.116-21_2</t>
  </si>
  <si>
    <t>LamG-like jellyroll fold domain-containing protein n=1 Tax=Synechococcus phage S-B68 TaxID=2545437 RepID=A0A482IHG0_9CAUD</t>
  </si>
  <si>
    <t>DNAUV-2.350-1109_3</t>
  </si>
  <si>
    <t>DNAUV-2.782-28_2</t>
  </si>
  <si>
    <t>DNAUV-2.782-28_3</t>
  </si>
  <si>
    <t>DNAUV-2.873-21_2</t>
  </si>
  <si>
    <t>DNAUV-3.163-38_4</t>
  </si>
  <si>
    <t>sp|Q90WU3|DDX1_CHICK ATP-dependent RNA helicase DDX1 OS=Gallus gallus OX=9031 GN=DDX1 PE=1 SV=1</t>
  </si>
  <si>
    <t>DNAUV-3.237-32_8</t>
  </si>
  <si>
    <t>DNAUV-3.815-34_8</t>
  </si>
  <si>
    <t>DNAUV-4.264-36_1</t>
  </si>
  <si>
    <t>DNAUV-7.884-127_13</t>
  </si>
  <si>
    <t>Juil.NODE_37_length_3006_cov_4.118943_1</t>
  </si>
  <si>
    <t>DNAUV-3.048-855_2</t>
  </si>
  <si>
    <t>sp|Q05219|VG13_BPML5 Gene 13 protein OS=Mycobacterium phage L5 OX=31757 GN=13 PE=3 SV=1</t>
  </si>
  <si>
    <t>COG4626 [FUNC="Phage terminase-like protein, large subunit, contains N-terminal HTH domain"] [shortName=YmfN] [TAG=X TAGDEF="Mobilome: prophages, transposons" PROCESS=""]  [PATHWAY=""] Terminase [Aurantimicrobium minutum]</t>
  </si>
  <si>
    <t>Terminase n=1 Tax=Thermomonospora cellulosilytica TaxID=1411118 RepID=A0A7W3MUA9_9ACTN</t>
  </si>
  <si>
    <t>Sept.NODE_113_length_11702_cov_94.511891_11</t>
  </si>
  <si>
    <t>Terminase n=1 Tax=Streptomyces viridosporus (strain ATCC 14672 / DSM 40746 / JCM 4963 / KCTC 9882 / NRRL B-12104 / FH 1290) TaxID=566461 RepID=D6A4C4_STRV1</t>
  </si>
  <si>
    <t>Sept.NODE_76_length_16573_cov_22.332425_13</t>
  </si>
  <si>
    <t>Sept.NODE_220_length_6664_cov_346.980481_6</t>
  </si>
  <si>
    <t>COG4626 [FUNC="Phage terminase-like protein, large subunit, contains N-terminal HTH domain"] [shortName=YmfN] [TAG=X TAGDEF="Mobilome: prophages, transposons" PROCESS=""]  [PATHWAY=""] terminase [Tsukamurella paurometabola]</t>
  </si>
  <si>
    <t>Phage terminase large subunit-like protein n=1 Tax=Longispora fulva TaxID=619741 RepID=A0A8J7GWN7_9ACTN</t>
  </si>
  <si>
    <t>11.09.P3-15.399-15_10</t>
  </si>
  <si>
    <t>COG4626 [FUNC="Phage terminase-like protein, large subunit, contains N-terminal HTH domain"] [shortName=YmfN] [TAG=X TAGDEF="Mobilome: prophages, transposons" PROCESS=""]  [PATHWAY=""] terminase large subunit [Dermacoccus nishinomiyaensis]</t>
  </si>
  <si>
    <t>Large terminase n=1 Tax=Pontimonas phage phiPsal1 TaxID=2079347 RepID=A0A2K9VGS4_9CAUD</t>
  </si>
  <si>
    <t>11.09.P4-15.966-7.3_22</t>
  </si>
  <si>
    <t>11.09.P4-19.981-12_36</t>
  </si>
  <si>
    <t>DNAUV-12.051-269_5</t>
  </si>
  <si>
    <t>Gp33 n=2 Tax=Streptomycetaceae TaxID=2062 RepID=F8JXC9_STREN</t>
  </si>
  <si>
    <t>DNAUV-12.383-30_5</t>
  </si>
  <si>
    <t>DNAUV-13.200-228_34</t>
  </si>
  <si>
    <t>DNAUV-3.237-613_7</t>
  </si>
  <si>
    <t>DNAUV-35.223-36_55</t>
  </si>
  <si>
    <t>DNAUV-4.725-110_3</t>
  </si>
  <si>
    <t>DNAUV-5.795-300_9</t>
  </si>
  <si>
    <t>Oct.NODE_133_length_14145_cov_13.486231_2</t>
  </si>
  <si>
    <t>Oct.NODE_165_length_11404_cov_3.438805_1</t>
  </si>
  <si>
    <t>Oct.NODE_191_length_10239_cov_19.502848_5</t>
  </si>
  <si>
    <t>Oct.NODE_54_length_30916_cov_12.817180_4</t>
  </si>
  <si>
    <t>Sept.NODE_380_length_4415_cov_54.653899_2</t>
  </si>
  <si>
    <t>Sept.NODE_68_length_19049_cov_12.264083_9</t>
  </si>
  <si>
    <t>DNAUV-35.226-432_31</t>
  </si>
  <si>
    <t>COG4626 [FUNC="Phage terminase-like protein, large subunit, contains N-terminal HTH domain"] [shortName=YmfN] [TAG=X TAGDEF="Mobilome: prophages, transposons" PROCESS=""]  [PATHWAY=""] terminase large subunit [Haematospirillum jordaniae]</t>
  </si>
  <si>
    <t>Phage terminase-like protein, large subunit n=1 Tax=Myroides odoratus TaxID=256 RepID=A0A378RNQ3_MYROD</t>
  </si>
  <si>
    <t>Sept.NODE_844_length_2597_cov_3.423682_3</t>
  </si>
  <si>
    <t>COG4626 [FUNC="Phage terminase-like protein, large subunit, contains N-terminal HTH domain"] [shortName=YmfN] [TAG=X TAGDEF="Mobilome: prophages, transposons" PROCESS=""]  [PATHWAY=""] terminase large subunit [Pseudoxanthomonas spadix]</t>
  </si>
  <si>
    <t>DNAUV-38.512-299_26</t>
  </si>
  <si>
    <t>COG4626 [FUNC="Phage terminase-like protein, large subunit, contains N-terminal HTH domain"] [shortName=YmfN] [TAG=X TAGDEF="Mobilome: prophages, transposons" PROCESS=""]  [PATHWAY=""] terminase large subunit [Rahnella sp. Y9602]</t>
  </si>
  <si>
    <t>Terminase n=1 Tax=Xenorhabdus miraniensis TaxID=351674 RepID=A0A2D0JJN4_9GAMM</t>
  </si>
  <si>
    <t>DNAUV-5.801-14_3</t>
  </si>
  <si>
    <t>sp|P27189|TRAC4_ECOLX DNA primase TraC OS=Escherichia coli OX=562 GN=traC PE=1 SV=1</t>
  </si>
  <si>
    <t>COG4643 [FUNC="Uncharacterized domain associated with phage/plasmid primase"] [shortName=] [TAG=X TAGDEF="Mobilome: prophages, transposons" PROCESS=""]  [PATHWAY=""] hypothetical protein [Cloacibacillus porcorum]</t>
  </si>
  <si>
    <t>VOG00224 [FUNC="sp|P03692|HELIC_BPT7 DNA helicase/primase"] [TAG=Xh TAGDEF="Virus protein with function beneficial for the host"]</t>
  </si>
  <si>
    <t>TOPRIM domain-containing protein n=1 Tax=Alteromonas phage PB15 TaxID=1913113 RepID=A0A1J0GWC9_9CAUD</t>
  </si>
  <si>
    <t>Oct.NODE_983_length_3135_cov_27.829870_2</t>
  </si>
  <si>
    <t>Toprim domain-containing protein n=2 Tax=Sphingobium sp. EP60837 TaxID=1855519 RepID=A0A173L0F3_9SPHN</t>
  </si>
  <si>
    <t>23.10.P2-5.452-7.9_1</t>
  </si>
  <si>
    <t>COG4643 [FUNC="Uncharacterized domain associated with phage/plasmid primase"] [shortName=] [TAG=X TAGDEF="Mobilome: prophages, transposons" PROCESS=""]  [PATHWAY=""] hypothetical protein [Nitrosococcus halophilus]</t>
  </si>
  <si>
    <t>Coil containing protein n=3 Tax=unclassified Caudoviricetes TaxID=2788787 RepID=A0A2I7QL39_9CAUD</t>
  </si>
  <si>
    <t>DNAUV-44.645-4509_67</t>
  </si>
  <si>
    <t>VOG36598 [FUNC="REFSEQ DNA primase"] [TAG=Xu TAGDEF="Function unknown"]</t>
  </si>
  <si>
    <t>Coil containing protein n=1 Tax=Vibrio phage 1.185.O._10N.286.49.C2 TaxID=1881392 RepID=A0A2I7RHX0_9CAUD</t>
  </si>
  <si>
    <t>DNAUV-4.279-19_3</t>
  </si>
  <si>
    <t>COG4643 [FUNC="Uncharacterized domain associated with phage/plasmid primase"] [shortName=] [TAG=X TAGDEF="Mobilome: prophages, transposons" PROCESS=""]  [PATHWAY=""] hypothetical protein [Rhodomicrobium vannielii]</t>
  </si>
  <si>
    <t>Putative primase n=1 Tax=Bdellovibrio phage phi1422 TaxID=1127515 RepID=H9C0J7_9CAUD</t>
  </si>
  <si>
    <t>DNAUV-16.760-19_28</t>
  </si>
  <si>
    <t>sp|P27190|TRAC5_ECOLX DNA primase TraC OS=Escherichia coli OX=562 GN=traC PE=1 SV=1</t>
  </si>
  <si>
    <t>COG4643 [FUNC="Uncharacterized domain associated with phage/plasmid primase"] [shortName=] [TAG=X TAGDEF="Mobilome: prophages, transposons" PROCESS=""]  [PATHWAY=""] hypothetical protein [Thiocystis violascens]</t>
  </si>
  <si>
    <t>DNAUV-4.279-19_4</t>
  </si>
  <si>
    <t>COG4643 [FUNC="Uncharacterized domain associated with phage/plasmid primase"] [shortName=] [TAG=X TAGDEF="Mobilome: prophages, transposons" PROCESS=""]  [PATHWAY=""] MULTISPECIES: hypothetical protein [Synechococcus]</t>
  </si>
  <si>
    <t>DNAUV-8.796-355_17</t>
  </si>
  <si>
    <t>COG4643 [FUNC="Uncharacterized domain associated with phage/plasmid primase"] [shortName=] [TAG=X TAGDEF="Mobilome: prophages, transposons" PROCESS=""]  [PATHWAY=""] putative ATPase [Thiocystis violascens]</t>
  </si>
  <si>
    <t>Oct.NODE_993_length_3118_cov_4.537708_5</t>
  </si>
  <si>
    <t>17.05.P3-5.039-5.4_4</t>
  </si>
  <si>
    <t>sp|P10021|TNPA_BACTU Transposase for transposon Tn4430 OS=Bacillus thuringiensis OX=1428 GN=tnpA PE=1 SV=1</t>
  </si>
  <si>
    <t>COG4644 [FUNC="Transposase and inactivated derivatives, TnpA family"] [shortName=] [TAG=X TAGDEF="Mobilome: prophages, transposons" PROCESS=""]  [PATHWAY=""] DUF4158 domain-containing protein [Oleiphilus messinensis]</t>
  </si>
  <si>
    <t>VOG36927 [FUNC="sp|P03008|TNP3_ECOLX Transposase for transposon Tn3"] [TAG=Xr TAGDEF="Virus replication"]</t>
  </si>
  <si>
    <t>DDE transposase n=2 Tax=Oceanospirillales TaxID=135619 RepID=A0A2K9LFP7_9GAMM</t>
  </si>
  <si>
    <t>11.09.P1-11.099-9.1_5</t>
  </si>
  <si>
    <t>COG4653 [FUNC="Predicted phage phi-C31 gp36 major capsid-like protein"] [shortName=gp36] [TAG=X TAGDEF="Mobilome: prophages, transposons" PROCESS=""]  [PATHWAY=""] phage major capsid protein [Arthrobacter sp. A3]</t>
  </si>
  <si>
    <t>Capsid protein n=1 Tax=Streptomyces rapamycinicus (strain ATCC 29253 / DSM 41530 / NRRL 5491 / AYB-994) TaxID=1343740 RepID=A0A0A0N350_STRRN</t>
  </si>
  <si>
    <t>11.09.P3-15.399-15_15</t>
  </si>
  <si>
    <t>Major capsid protein n=1 Tax=Pontimonas phage phiPsal1 TaxID=2079347 RepID=A0A2K9VGS3_9CAUD</t>
  </si>
  <si>
    <t>11.09.P4-15.966-7.3_27</t>
  </si>
  <si>
    <t>11.09.P4-19.981-12_41</t>
  </si>
  <si>
    <t>DNAUV-12.051-269_11</t>
  </si>
  <si>
    <t>DNAUV-12.383-30_10</t>
  </si>
  <si>
    <t>DNAUV-13.200-228_42</t>
  </si>
  <si>
    <t>DNAUV-3.816-231_5</t>
  </si>
  <si>
    <t>DNAUV-3.916-565_14</t>
  </si>
  <si>
    <t>DNAUV-35.223-36_60</t>
  </si>
  <si>
    <t>DNAUV-4.822-298_10</t>
  </si>
  <si>
    <t>DNAUV-6.350-323_7</t>
  </si>
  <si>
    <t>Oct.NODE_133_length_14145_cov_13.486231_6</t>
  </si>
  <si>
    <t>Oct.NODE_165_length_11404_cov_3.438805_6</t>
  </si>
  <si>
    <t>Oct.NODE_191_length_10239_cov_19.502848_11</t>
  </si>
  <si>
    <t>Oct.NODE_54_length_30916_cov_12.817180_9</t>
  </si>
  <si>
    <t>Sept.NODE_113_length_11702_cov_94.511891_15</t>
  </si>
  <si>
    <t>Sept.NODE_220_length_6664_cov_346.980481_11</t>
  </si>
  <si>
    <t>Sept.NODE_613_length_3201_cov_59.065480_2</t>
  </si>
  <si>
    <t>Sept.NODE_68_length_19049_cov_12.264083_14</t>
  </si>
  <si>
    <t>Sept.NODE_76_length_16573_cov_22.332425_18</t>
  </si>
  <si>
    <t>Avril.NODE_1289_length_2310_cov_3.903769_1</t>
  </si>
  <si>
    <t>Phage major capsid protein n=1 Tax=Rudanella paleaurantiibacter TaxID=2614655 RepID=A0A7J5TYE1_9BACT</t>
  </si>
  <si>
    <t>DNAUV-10.604-22_6</t>
  </si>
  <si>
    <t>Phage major capsid protein, HK97 family n=1 Tax=Marinomonas phage P12026 TaxID=1176423 RepID=I6RTR3_9CAUD</t>
  </si>
  <si>
    <t>Sept.NODE_1199_length_2065_cov_4.475622_4</t>
  </si>
  <si>
    <t>COG4653 [FUNC="Predicted phage phi-C31 gp36 major capsid-like protein"] [shortName=gp36] [TAG=X TAGDEF="Mobilome: prophages, transposons" PROCESS=""]  [PATHWAY=""] phage major capsid protein [Haematospirillum jordaniae]</t>
  </si>
  <si>
    <t>Major capsid protein n=1 Tax=Synechococcus phage S-CBS1 TaxID=909297 RepID=G8CLA4_9CAUD</t>
  </si>
  <si>
    <t>Avril.NODE_34_length_37560_cov_23.634315_16</t>
  </si>
  <si>
    <t>COG4653 [FUNC="Predicted phage phi-C31 gp36 major capsid-like protein"] [shortName=gp36] [TAG=X TAGDEF="Mobilome: prophages, transposons" PROCESS=""]  [PATHWAY=""] phage major capsid protein [Paracoccus denitrificans]</t>
  </si>
  <si>
    <t>Phage major capsid protein n=1 Tax=Cellulophaga phage phi10:1 TaxID=1327981 RepID=S0A2H8_9CAUD</t>
  </si>
  <si>
    <t>DNAUV-35.226-432_40</t>
  </si>
  <si>
    <t>COG4653 [FUNC="Predicted phage phi-C31 gp36 major capsid-like protein"] [shortName=gp36] [TAG=X TAGDEF="Mobilome: prophages, transposons" PROCESS=""]  [PATHWAY=""] phage major capsid protein [Pseudoxanthomonas spadix]</t>
  </si>
  <si>
    <t>Phage capsid protein n=1 Tax=Cellulophaga phage phi39:1 TaxID=1327993 RepID=S0A3Y1_9CAUD</t>
  </si>
  <si>
    <t>DNAUV-38.512-299_29</t>
  </si>
  <si>
    <t>COG4653 [FUNC="Predicted phage phi-C31 gp36 major capsid-like protein"] [shortName=gp36] [TAG=X TAGDEF="Mobilome: prophages, transposons" PROCESS=""]  [PATHWAY=""] phage major capsid protein [Serratia marcescens]</t>
  </si>
  <si>
    <t>Phage capsid protein n=1 Tax=Mannheimia granulomatis TaxID=85402 RepID=A0A6G8JGE0_9PAST</t>
  </si>
  <si>
    <t>Avril.NODE_82_length_20518_cov_10.265748_8</t>
  </si>
  <si>
    <t>COG4653 [FUNC="Predicted phage phi-C31 gp36 major capsid-like protein"] [shortName=gp36] [TAG=X TAGDEF="Mobilome: prophages, transposons" PROCESS=""]  [PATHWAY=""] phage major capsid protein [Soehngenia sp. W6]</t>
  </si>
  <si>
    <t>HK97 family major capsid protein n=1 Tax=Siphoviridae sp. ctvD11 TaxID=2656724 RepID=A0A5Q2WBR5_9CAUD</t>
  </si>
  <si>
    <t>DNAUV-24.553-87_8</t>
  </si>
  <si>
    <t>COG4653 [FUNC="Predicted phage phi-C31 gp36 major capsid-like protein"] [shortName=gp36] [TAG=X TAGDEF="Mobilome: prophages, transposons" PROCESS=""]  [PATHWAY=""] phage major capsid protein [Thalassococcus sp. SH-1]</t>
  </si>
  <si>
    <t>Major capsid protein n=1 Tax=Tenacibaculum phage JQ TaxID=2712935 RepID=A0A6G6XTZ8_9CAUD</t>
  </si>
  <si>
    <t>DNAUV-40.559-174_59</t>
  </si>
  <si>
    <t>sp|P03738|TIPL_LAMBD Tail tip protein L OS=Escherichia phage lambda OX=2681611 GN=L PE=1 SV=1</t>
  </si>
  <si>
    <t>COG4672 [FUNC="Phage tail protein"] [shortName=gp18] [TAG=X TAGDEF="Mobilome: prophages, transposons" PROCESS=""]  [PATHWAY=""] phage minor tail protein L [Sulfuritortus calidifontis]</t>
  </si>
  <si>
    <t>VOG00535 [FUNC="sp|O64332|TIPL_BPN15 Tail tip protein L"] [TAG=Xh TAGDEF="Virus protein with function beneficial for the host"]</t>
  </si>
  <si>
    <t>Tail protein n=2 Tax=Synechococcus phage S-CBS4 TaxID=756275 RepID=R9TH86_9CAUD</t>
  </si>
  <si>
    <t>Sept.NODE_77_length_16458_cov_100.393830_9</t>
  </si>
  <si>
    <t>11.09.P4-15.544-4.9_6</t>
  </si>
  <si>
    <t>COG4675 [FUNC="Phage tail collar domain"] [shortName=MdpB] [TAG=X TAGDEF="Mobilome: prophages, transposons" PROCESS=""]  [PATHWAY=""] hypothetical protein [Candidatus Puniceispirillum marinum]</t>
  </si>
  <si>
    <t>VOG00961 [FUNC="REFSEQ minor tail protein"] [TAG=Xu TAGDEF="Function unknown"]</t>
  </si>
  <si>
    <t>Uncharacterized protein n=1 Tax=Richelia sp. RM2_1_2 TaxID=2720436 RepID=A0A969SL70_9NOST</t>
  </si>
  <si>
    <t>DNAUV-41.618-136_37</t>
  </si>
  <si>
    <t>sp|P33227|STFE_ECOLI Putative uncharacterized protein StfE OS=Escherichia coli (strain K12) OX=83333 GN=stfE PE=5 SV=3</t>
  </si>
  <si>
    <t>COG4675 [FUNC="Phage tail collar domain"] [shortName=MdpB] [TAG=X TAGDEF="Mobilome: prophages, transposons" PROCESS=""]  [PATHWAY=""] hypothetical protein [Halocella sp. SP3-1]</t>
  </si>
  <si>
    <t>Phage tail protein n=1 Tax=Pseudomonas sp. PIC25 TaxID=1958773 RepID=A0A2A2DRE9_9PSED</t>
  </si>
  <si>
    <t>DNAUV-73.172-54_15</t>
  </si>
  <si>
    <t>sp|Q03314|RHIB_RHILV Protein RhiB OS=Rhizobium leguminosarum bv. viciae OX=387 GN=rhiB PE=4 SV=1</t>
  </si>
  <si>
    <t>Phage tail collar domain-containing protein n=1 Tax=Rhodoferax sediminis TaxID=2509614 RepID=A0A515EKF3_9BURK</t>
  </si>
  <si>
    <t>DNAUV-46.666-73_24</t>
  </si>
  <si>
    <t>COG4675 [FUNC="Phage tail collar domain"] [shortName=MdpB] [TAG=X TAGDEF="Mobilome: prophages, transposons" PROCESS=""]  [PATHWAY=""] hypothetical protein [Pelosinus fermentans]</t>
  </si>
  <si>
    <t>Phage tail collar domain-containing protein n=2 Tax=Oceanidesulfovibrio marinus TaxID=370038 RepID=A0A6P1ZJ46_9BACT</t>
  </si>
  <si>
    <t>DNAUV-48.934-1423_64</t>
  </si>
  <si>
    <t>COG4675 [FUNC="Phage tail collar domain"] [shortName=MdpB] [TAG=X TAGDEF="Mobilome: prophages, transposons" PROCESS=""]  [PATHWAY=""] hypothetical protein [Xanthobacter autotrophicus]</t>
  </si>
  <si>
    <t>Coil containing protein n=1 Tax=Vibrio phage 1.232.O._10N.261.51.E11 TaxID=1881454 RepID=A0A2I7RT42_9CAUD</t>
  </si>
  <si>
    <t>Sept.NODE_183_length_7901_cov_6.751338_9</t>
  </si>
  <si>
    <t>sp|Q5UPE4|COLL1_MIMIV Collagen-like protein 1 OS=Acanthamoeba polyphaga mimivirus OX=212035 GN=MIMI_L71 PE=4 SV=1</t>
  </si>
  <si>
    <t>COG4675 [FUNC="Phage tail collar domain"] [shortName=MdpB] [TAG=X TAGDEF="Mobilome: prophages, transposons" PROCESS=""]  [PATHWAY=""] microcystin-dependent protein-like [Chelativorans sp. BNC1]</t>
  </si>
  <si>
    <t>Tail fiber protein n=1 Tax=Bacteriophage sp. 438212 TaxID=2781367 RepID=A0A873WQ52_9CAUD</t>
  </si>
  <si>
    <t>11.09.P3-2.656-2.8_3</t>
  </si>
  <si>
    <t>COG4675 [FUNC="Phage tail collar domain"] [shortName=MdpB] [TAG=X TAGDEF="Mobilome: prophages, transposons" PROCESS=""]  [PATHWAY=""] MULTISPECIES: hypothetical protein [Chelatococcus]</t>
  </si>
  <si>
    <t>Tail fiber protein n=1 Tax=Freshwater phage uvFW-CGR-AMD-COM-C403 TaxID=1838152 RepID=A0A1B0XTQ6_9CAUD</t>
  </si>
  <si>
    <t>11.09.P2-10.172-27_15</t>
  </si>
  <si>
    <t>COG4675 [FUNC="Phage tail collar domain"] [shortName=MdpB] [TAG=X TAGDEF="Mobilome: prophages, transposons" PROCESS=""]  [PATHWAY=""] phage tail Collar [Trichodesmium erythraeum]</t>
  </si>
  <si>
    <t>Uncharacterized protein n=1 Tax=Marinoscillum sp. 108 TaxID=2653151 RepID=A0A654DYK1_9BACT</t>
  </si>
  <si>
    <t>DNAUV-12.470-14_9</t>
  </si>
  <si>
    <t>COG4675 [FUNC="Phage tail collar domain"] [shortName=MdpB] [TAG=X TAGDEF="Mobilome: prophages, transposons" PROCESS=""]  [PATHWAY=""] Tail Collar domain protein [Herpetosiphon aurantiacus DSM 785]</t>
  </si>
  <si>
    <t>Tail fiber protein n=1 Tax=Salibacter halophilus TaxID=1803916 RepID=A0A6N6MAQ0_9FLAO</t>
  </si>
  <si>
    <t>DNAUV-15.594-26_22</t>
  </si>
  <si>
    <t>Uncharacterized protein n=1 Tax=Aquimarina algiphila TaxID=2047982 RepID=A0A554VFP1_9FLAO</t>
  </si>
  <si>
    <t>DNAUV-4.905-235_10</t>
  </si>
  <si>
    <t>Uncharacterized protein n=1 Tax=Geobacter sp. OR-1 TaxID=1266765 RepID=A0A0A8WX42_9BACT</t>
  </si>
  <si>
    <t>DNAUV-46.666-73_23</t>
  </si>
  <si>
    <t>COG4675 [FUNC="Phage tail collar domain"] [shortName=MdpB] [TAG=X TAGDEF="Mobilome: prophages, transposons" PROCESS=""]  [PATHWAY=""] tail collar domain-containing protein [Paludibacter propionicigenes]</t>
  </si>
  <si>
    <t>Tail fiber protein n=1 Tax=Pyramidobacter sp. CG50-2 TaxID=2382160 RepID=A0A3A9HNI7_9BACT</t>
  </si>
  <si>
    <t>DNAUV-16.760-19_12</t>
  </si>
  <si>
    <t>COG4675 [FUNC="Phage tail collar domain"] [shortName=MdpB] [TAG=X TAGDEF="Mobilome: prophages, transposons" PROCESS=""]  [PATHWAY=""] tail collar protein [[Clostridium] cellulolyticum]</t>
  </si>
  <si>
    <t>Tail fiber protein n=1 Tax=Bdellovibrio phage phi1422 TaxID=1127515 RepID=H9C0P7_9CAUD</t>
  </si>
  <si>
    <t>DNAUV-2.193-6.4_3</t>
  </si>
  <si>
    <t>COG4675 [FUNC="Phage tail collar domain"] [shortName=MdpB] [TAG=X TAGDEF="Mobilome: prophages, transposons" PROCESS=""]  [PATHWAY=""] tail collar protein [Gluconacetobacter diazotrophicus]</t>
  </si>
  <si>
    <t>VOG26017 [FUNC="REFSEQ hypothetical protein"] [TAG=Xu TAGDEF="Function unknown"]</t>
  </si>
  <si>
    <t>Tail spike protein n=2 Tax=unclassified Caudoviricetes TaxID=2788787 RepID=A0A6G8R4S3_9CAUD</t>
  </si>
  <si>
    <t>Mai.NODE_564_length_3528_cov_6.189749_6</t>
  </si>
  <si>
    <t>Tail fiber protein n=1 Tax=Bordetella phage vB_BbrP_BB8 TaxID=2587820 RepID=A0A4Y5TNV2_9CAUD</t>
  </si>
  <si>
    <t>Oct.NODE_1914_length_2038_cov_5.814927_3</t>
  </si>
  <si>
    <t>Tail fibers protein n=1 Tax=Ruegeria phage 45A6 TaxID=1851646 RepID=A0A1X9HVM6_9CAUD</t>
  </si>
  <si>
    <t>05.07.P3-2.658-15_1</t>
  </si>
  <si>
    <t>COG4695 [FUNC="Phage portal protein BeeE"] [shortName=BeeE] [TAG=X TAGDEF="Mobilome: prophages, transposons" PROCESS=""]  [PATHWAY=""] MULTISPECIES: phage portal protein [Ferriphaselus]</t>
  </si>
  <si>
    <t>Phage portal protein, HK97 family n=2 Tax=Piscirickettsia salmonis TaxID=1238 RepID=A0A9Q6LPQ3_PISSA</t>
  </si>
  <si>
    <t>DNAUV-4.725-110_4</t>
  </si>
  <si>
    <t>COG4695 [FUNC="Phage portal protein BeeE"] [shortName=BeeE] [TAG=X TAGDEF="Mobilome: prophages, transposons" PROCESS=""]  [PATHWAY=""] MULTISPECIES: phage portal protein [Firmicutes]</t>
  </si>
  <si>
    <t>Portal n=1 Tax=Pontimonas phage phiPsal1 TaxID=2079347 RepID=A0A2K9VGN1_9CAUD</t>
  </si>
  <si>
    <t>DNAUV-38.512-299_27</t>
  </si>
  <si>
    <t>COG4695 [FUNC="Phage portal protein BeeE"] [shortName=BeeE] [TAG=X TAGDEF="Mobilome: prophages, transposons" PROCESS=""]  [PATHWAY=""] MULTISPECIES: phage portal protein [Ralstonia]</t>
  </si>
  <si>
    <t>Phage portal protein, HK97 family n=1 Tax=Halomonas shengliensis TaxID=419597 RepID=A0A1H0LWH7_9GAMM</t>
  </si>
  <si>
    <t>Mai.NODE_1084_length_2189_cov_4.776007_5</t>
  </si>
  <si>
    <t>COG4695 [FUNC="Phage portal protein BeeE"] [shortName=BeeE] [TAG=X TAGDEF="Mobilome: prophages, transposons" PROCESS=""]  [PATHWAY=""] MULTISPECIES: phage portal protein [Thermoactinomycetaceae]</t>
  </si>
  <si>
    <t>Phage portal protein n=1 Tax=Streptomyces fumanus TaxID=67302 RepID=A0A919A3B7_9ACTN</t>
  </si>
  <si>
    <t>DNAUV-5.235-14_9</t>
  </si>
  <si>
    <t>COG4695 [FUNC="Phage portal protein BeeE"] [shortName=BeeE] [TAG=X TAGDEF="Mobilome: prophages, transposons" PROCESS=""]  [PATHWAY=""] MULTISPECIES: phage portal protein [Wolbachia]</t>
  </si>
  <si>
    <t>Gene transfer agent portal protein n=1 Tax=Alteromonas phage PB15 TaxID=1913113 RepID=A0A1J0GWB8_9CAUD</t>
  </si>
  <si>
    <t>DNAUV-62.938-22_27</t>
  </si>
  <si>
    <t>sp|B6V2N4|PORTL_BPSP1 Probable portal protein OS=Bacillus phage SP01 OX=2884427 GN=3.1 PE=3 SV=1</t>
  </si>
  <si>
    <t>Portal protein n=1 Tax=Bacillus phage YungSlug TaxID=2736257 RepID=A0A7D3UHV5_9CAUD</t>
  </si>
  <si>
    <t>Sept.NODE_220_length_6664_cov_346.980481_7</t>
  </si>
  <si>
    <t>COG4695 [FUNC="Phage portal protein BeeE"] [shortName=BeeE] [TAG=X TAGDEF="Mobilome: prophages, transposons" PROCESS=""]  [PATHWAY=""] phage portal protein [Alkaliphilus metalliredigens]</t>
  </si>
  <si>
    <t>DNAUV-3.028-224_2</t>
  </si>
  <si>
    <t>COG4695 [FUNC="Phage portal protein BeeE"] [shortName=BeeE] [TAG=X TAGDEF="Mobilome: prophages, transposons" PROCESS=""]  [PATHWAY=""] phage portal protein [Brenneria goodwinii]</t>
  </si>
  <si>
    <t>Phage portal protein n=1 Tax=Hymenobacter setariae TaxID=2594794 RepID=A0A558BSW5_9BACT</t>
  </si>
  <si>
    <t>DNAUV-2.316-18_9</t>
  </si>
  <si>
    <t>sp|Q1RIH4|Y759_RICBR Uncharacterized protein RBE_0759 OS=Rickettsia bellii (strain RML369-C) OX=336407 GN=RBE_0759 PE=3 SV=1</t>
  </si>
  <si>
    <t>COG4695 [FUNC="Phage portal protein BeeE"] [shortName=BeeE] [TAG=X TAGDEF="Mobilome: prophages, transposons" PROCESS=""]  [PATHWAY=""] phage portal protein [Candidatus Nucleicultrix amoebiphila]</t>
  </si>
  <si>
    <t>Phage portal protein n=1 Tax=Afipia carboxidovorans (strain ATCC 49405 / DSM 1227 / KCTC 32145 / OM5) TaxID=504832 RepID=B6JFS6_AFIC5</t>
  </si>
  <si>
    <t>11.09.P4-15.966-7.3_23</t>
  </si>
  <si>
    <t>COG4695 [FUNC="Phage portal protein BeeE"] [shortName=BeeE] [TAG=X TAGDEF="Mobilome: prophages, transposons" PROCESS=""]  [PATHWAY=""] phage portal protein [Caproiciproducens sp. NJN-50]</t>
  </si>
  <si>
    <t>DNAUV-12.051-269_8</t>
  </si>
  <si>
    <t>DNAUV-13.200-228_37</t>
  </si>
  <si>
    <t>DNAUV-2.169-96_2</t>
  </si>
  <si>
    <t>DNAUV-5.795-300_10</t>
  </si>
  <si>
    <t>Oct.NODE_191_length_10239_cov_19.502848_6</t>
  </si>
  <si>
    <t>Oct.NODE_54_length_30916_cov_12.817180_5</t>
  </si>
  <si>
    <t>Sept.NODE_380_length_4415_cov_54.653899_3</t>
  </si>
  <si>
    <t>Sept.NODE_76_length_16573_cov_22.332425_14</t>
  </si>
  <si>
    <t>Avril.NODE_1205_length_2430_cov_9.013474_1</t>
  </si>
  <si>
    <t>COG4695 [FUNC="Phage portal protein BeeE"] [shortName=BeeE] [TAG=X TAGDEF="Mobilome: prophages, transposons" PROCESS=""]  [PATHWAY=""] phage portal protein [Chitinophaga pinensis]</t>
  </si>
  <si>
    <t>Phage portal protein n=1 Tax=Cellulophaga phage phi10:1 TaxID=1327981 RepID=S0A2G1_9CAUD</t>
  </si>
  <si>
    <t>Avril.NODE_138_length_13113_cov_12.225302_4</t>
  </si>
  <si>
    <t>Avril.NODE_34_length_37560_cov_23.634315_13</t>
  </si>
  <si>
    <t>DNAUV-24.553-87_4</t>
  </si>
  <si>
    <t>Sept.NODE_948_length_2396_cov_5.047416_1</t>
  </si>
  <si>
    <t>Phage portal protein n=2 Tax=Cellulophaga phage phi12:1 TaxID=1327976 RepID=R9ZXY9_9CAUD</t>
  </si>
  <si>
    <t>DNAUV-40.559-174_48</t>
  </si>
  <si>
    <t>sp|Q6QGD5|PORTL_BPT5 Portal protein OS=Escherichia phage T5 OX=2695836 GN=ORF141 PE=1 SV=1</t>
  </si>
  <si>
    <t>COG4695 [FUNC="Phage portal protein BeeE"] [shortName=BeeE] [TAG=X TAGDEF="Mobilome: prophages, transposons" PROCESS=""]  [PATHWAY=""] phage portal protein [Elusimicrobium minutum]</t>
  </si>
  <si>
    <t>Phage portal protein n=1 Tax=Pusillimonas sp. (ex Stolz et al. 2005) TaxID=1979962 RepID=A0A2D7XHI3_9BURK</t>
  </si>
  <si>
    <t>DNAUV-4.591-12_19</t>
  </si>
  <si>
    <t>COG4695 [FUNC="Phage portal protein BeeE"] [shortName=BeeE] [TAG=X TAGDEF="Mobilome: prophages, transposons" PROCESS=""]  [PATHWAY=""] phage portal protein [Gemmata obscuriglobus]</t>
  </si>
  <si>
    <t>Phage portal protein n=1 Tax=Paenactinomyces guangxiensis TaxID=1490290 RepID=A0A7W2A811_9BACL</t>
  </si>
  <si>
    <t>DNAUV-3.048-855_4</t>
  </si>
  <si>
    <t>COG4695 [FUNC="Phage portal protein BeeE"] [shortName=BeeE] [TAG=X TAGDEF="Mobilome: prophages, transposons" PROCESS=""]  [PATHWAY=""] phage portal protein [Herbinix luporum]</t>
  </si>
  <si>
    <t>11.09.P3-15.399-15_11</t>
  </si>
  <si>
    <t>COG4695 [FUNC="Phage portal protein BeeE"] [shortName=BeeE] [TAG=X TAGDEF="Mobilome: prophages, transposons" PROCESS=""]  [PATHWAY=""] phage portal protein [Mahella australiensis]</t>
  </si>
  <si>
    <t>11.09.P4-19.981-12_37</t>
  </si>
  <si>
    <t>DNAUV-35.223-36_56</t>
  </si>
  <si>
    <t>Oct.NODE_133_length_14145_cov_13.486231_3</t>
  </si>
  <si>
    <t>Oct.NODE_165_length_11404_cov_3.438805_2</t>
  </si>
  <si>
    <t>Sept.NODE_68_length_19049_cov_12.264083_10</t>
  </si>
  <si>
    <t>11.09.P1-11.099-9.1_1</t>
  </si>
  <si>
    <t>COG4695 [FUNC="Phage portal protein BeeE"] [shortName=BeeE] [TAG=X TAGDEF="Mobilome: prophages, transposons" PROCESS=""]  [PATHWAY=""] phage portal protein [Murdochiella vaginalis]</t>
  </si>
  <si>
    <t>Phage portal protein n=1 Tax=Pseudohongiella acticola TaxID=1524254 RepID=A0A1E8CGD0_9GAMM</t>
  </si>
  <si>
    <t>DNAUV-12.383-30_6</t>
  </si>
  <si>
    <t>COG4695 [FUNC="Phage portal protein BeeE"] [shortName=BeeE] [TAG=X TAGDEF="Mobilome: prophages, transposons" PROCESS=""]  [PATHWAY=""] phage portal protein [Peptoclostridium acidaminophilum]</t>
  </si>
  <si>
    <t>DNAUV-35.226-432_38</t>
  </si>
  <si>
    <t>Phage portal protein n=1 Tax=Cellulophaga phage phi39:1 TaxID=1327993 RepID=S0A2U9_9CAUD</t>
  </si>
  <si>
    <t>Sept.NODE_113_length_11702_cov_94.511891_12</t>
  </si>
  <si>
    <t>11.09.P1-11.178-27_14</t>
  </si>
  <si>
    <t>COG4695 [FUNC="Phage portal protein BeeE"] [shortName=BeeE] [TAG=X TAGDEF="Mobilome: prophages, transposons" PROCESS=""]  [PATHWAY=""] phage portal protein [Thermaerobacter marianensis]</t>
  </si>
  <si>
    <t>11.09.P1-11.178-27_7</t>
  </si>
  <si>
    <t>Avril.NODE_82_length_20518_cov_10.265748_3</t>
  </si>
  <si>
    <t>Portal protein n=1 Tax=Siphoviridae sp. ctvD11 TaxID=2656724 RepID=A0A5Q2WBV2_9CAUD</t>
  </si>
  <si>
    <t>DNAUV-10.604-22_3</t>
  </si>
  <si>
    <t>Phage portal protein, HK97 family n=1 Tax=Marinomonas phage P12026 TaxID=1176423 RepID=I6S761_9CAUD</t>
  </si>
  <si>
    <t>Sept.NODE_212_length_6860_cov_56.172079_5</t>
  </si>
  <si>
    <t>COG4695 [FUNC="Phage portal protein BeeE"] [shortName=BeeE] [TAG=X TAGDEF="Mobilome: prophages, transposons" PROCESS=""]  [PATHWAY=""] phage portal protein [Xanthobacter autotrophicus]</t>
  </si>
  <si>
    <t>Phage portal protein n=1 Tax=Caedibacter sp. 37-49 TaxID=1895735 RepID=A0A1M3J1W7_9GAMM</t>
  </si>
  <si>
    <t>DNAUV-8.035-135_14</t>
  </si>
  <si>
    <t>COG4718 [FUNC="Phage tail protein"] [shortName=] [TAG=X TAGDEF="Mobilome: prophages, transposons" PROCESS=""]  [PATHWAY=""] hypothetical protein [Agarilytica rhodophyticola]</t>
  </si>
  <si>
    <t>VOG01585 [FUNC="sp|P03737|TIPM_LAMBD Tail tip protein M"] [TAG=Xh TAGDEF="Virus protein with function beneficial for the host"]</t>
  </si>
  <si>
    <t>Phage tail protein n=1 Tax=Limnohabitans sp. Hippo4 TaxID=1826167 RepID=A0A315CHC0_9BURK</t>
  </si>
  <si>
    <t>DNAUV-40.559-174_61</t>
  </si>
  <si>
    <t>sp|P03730|TIPI_LAMBD Tail tip assembly protein I OS=Escherichia phage lambda OX=2681611 GN=I PE=3 SV=1</t>
  </si>
  <si>
    <t>COG4723 [FUNC="Phage-related protein, tail assembly protein I"] [shortName=] [TAG=X TAGDEF="Mobilome: prophages, transposons" PROCESS=""]  [PATHWAY=""] tail assembly protein [Sulfuritortus calidifontis]</t>
  </si>
  <si>
    <t>VOG02109 [FUNC="sp|O64334|TIPI_BPN15 Tail tip assembly protein I"] [TAG=Xh TAGDEF="Virus protein with function beneficial for the host"]</t>
  </si>
  <si>
    <t>Phage tail protein n=2 Tax=Pandoraea morbifera TaxID=2508300 RepID=A0A5E4YUH6_9BURK</t>
  </si>
  <si>
    <t>DNAUV-42.404-84_103</t>
  </si>
  <si>
    <t>COG4733 [FUNC="Phage-related protein, tail protein J"] [shortName=] [TAG=X TAGDEF="Mobilome: prophages, transposons" PROCESS=""]  [PATHWAY=""] bacteriophage protein [Acinetobacter baumannii]</t>
  </si>
  <si>
    <t>VOG00772 [FUNC="REFSEQ tail protein"] [TAG=Xu TAGDEF="Function unknown"]</t>
  </si>
  <si>
    <t>Tail protein n=1 Tax=Pigmentiphaga kullae TaxID=151784 RepID=A0A4Q7NCP6_9BURK</t>
  </si>
  <si>
    <t>DNAUV-5.151-166_16</t>
  </si>
  <si>
    <t>COG4733 [FUNC="Phage-related protein, tail protein J"] [shortName=] [TAG=X TAGDEF="Mobilome: prophages, transposons" PROCESS=""]  [PATHWAY=""] DUF1983 domain-containing protein [Moritella viscosa]</t>
  </si>
  <si>
    <t>Phage tail fiber host specificity protein n=1 Tax=Psychrobacter phage Psymv2 TaxID=1071177 RepID=G3ENB7_9CAUD</t>
  </si>
  <si>
    <t>Avril.NODE_4_length_52184_cov_14.862668_2</t>
  </si>
  <si>
    <t>COG4733 [FUNC="Phage-related protein, tail protein J"] [shortName=] [TAG=X TAGDEF="Mobilome: prophages, transposons" PROCESS=""]  [PATHWAY=""] host specificity protein J [Loktanella vestfoldensis]</t>
  </si>
  <si>
    <t>Putative phage tail protein n=1 Tax=Yoonia vestfoldensis TaxID=245188 RepID=A0A1Y0EEL4_9RHOB</t>
  </si>
  <si>
    <t>05.07.P3-4.574-4.5_9</t>
  </si>
  <si>
    <t>COG4733 [FUNC="Phage-related protein, tail protein J"] [shortName=] [TAG=X TAGDEF="Mobilome: prophages, transposons" PROCESS=""]  [PATHWAY=""] host specificity protein J [Pseudogulbenkiania sp. NH8B]</t>
  </si>
  <si>
    <t>Tip attachment protein J domain-containing protein n=1 Tax=Minwuia thermotolerans TaxID=2056226 RepID=A0A2M9G2N9_9PROT</t>
  </si>
  <si>
    <t>DNAUV-40.559-174_62</t>
  </si>
  <si>
    <t>sp|P03749|TIPJ_LAMBD Tip attachment protein J OS=Escherichia phage lambda OX=2681611 GN=J PE=1 SV=1</t>
  </si>
  <si>
    <t>COG4733 [FUNC="Phage-related protein, tail protein J"] [shortName=] [TAG=X TAGDEF="Mobilome: prophages, transposons" PROCESS=""]  [PATHWAY=""] host specificity protein J [Sulfuritortus calidifontis]</t>
  </si>
  <si>
    <t>Phage tail protein n=1 Tax=Haemophilus haemolyticus TaxID=726 RepID=A0A0M3G0M3_HAEHA</t>
  </si>
  <si>
    <t>DNAUV-11.762-11_15</t>
  </si>
  <si>
    <t>COG4733 [FUNC="Phage-related protein, tail protein J"] [shortName=] [TAG=X TAGDEF="Mobilome: prophages, transposons" PROCESS=""]  [PATHWAY=""] hypothetical protein [Candidatus Koribacter versatilis]</t>
  </si>
  <si>
    <t>DNAUV-2.543-7.8_1</t>
  </si>
  <si>
    <t>COG4733 [FUNC="Phage-related protein, tail protein J"] [shortName=] [TAG=X TAGDEF="Mobilome: prophages, transposons" PROCESS=""]  [PATHWAY=""] hypothetical protein [Cronobacter sakazakii]</t>
  </si>
  <si>
    <t>Tip attachment protein J domain-containing protein n=1 Tax=Noviherbaspirillum autotrophicum TaxID=709839 RepID=A0A0C2BHR8_9BURK</t>
  </si>
  <si>
    <t>11.09.P4-19.072-23_18</t>
  </si>
  <si>
    <t>COG4733 [FUNC="Phage-related protein, tail protein J"] [shortName=] [TAG=X TAGDEF="Mobilome: prophages, transposons" PROCESS=""]  [PATHWAY=""] hypothetical protein [Gemmata obscuriglobus]</t>
  </si>
  <si>
    <t>Putative tail fiber protein n=1 Tax=Roseobacter phage CRP-6 TaxID=2559285 RepID=A0A646QWH7_9CAUD</t>
  </si>
  <si>
    <t>DNAUV-3.337-77_5</t>
  </si>
  <si>
    <t>sp|P50899|GUXB_CELFA Exoglucanase B OS=Cellulomonas fimi (strain ATCC 484 / DSM 20113 / JCM 1341 / NBRC 15513 / NCIMB 8980 / NCTC 7547) OX=590998 GN=cbhB PE=1 SV=1</t>
  </si>
  <si>
    <t>Fibronectin type-III domain-containing protein n=1 Tax=Azospirillum sp. OGB3 TaxID=2587012 RepID=A0A839W6S3_9PROT</t>
  </si>
  <si>
    <t>DNAUV-4.807-32_1</t>
  </si>
  <si>
    <t>Tip attachment protein J domain-containing protein n=1 Tax=Methyloversatilis universalis (strain ATCC BAA-1314 / JCM 13912 / FAM5) TaxID=1000565 RepID=F5R8J4_METUF</t>
  </si>
  <si>
    <t>Juil.NODE_49_length_2610_cov_5.487280_2</t>
  </si>
  <si>
    <t>Phage tail protein (Fragment) n=1 Tax=Thalassobius litoralis TaxID=1010611 RepID=A0A521FT86_9RHOB</t>
  </si>
  <si>
    <t>Oct.NODE_1852_length_2092_cov_10.956799_1</t>
  </si>
  <si>
    <t>Oct.NODE_457_length_5243_cov_4.956438_5</t>
  </si>
  <si>
    <t>Oct.NODE_574_length_4543_cov_48.328877_1</t>
  </si>
  <si>
    <t>Sept.NODE_1004_length_2322_cov_28.526246_2</t>
  </si>
  <si>
    <t>Sept.NODE_1038_length_2269_cov_27.456640_4</t>
  </si>
  <si>
    <t>Sept.NODE_438_length_4045_cov_5.016291_2</t>
  </si>
  <si>
    <t>Sept.NODE_970_length_2365_cov_7.964069_1</t>
  </si>
  <si>
    <t>DNAUV-3.875-16_12</t>
  </si>
  <si>
    <t>COG4733 [FUNC="Phage-related protein, tail protein J"] [shortName=] [TAG=X TAGDEF="Mobilome: prophages, transposons" PROCESS=""]  [PATHWAY=""] hypothetical protein [Marinovum algicola]</t>
  </si>
  <si>
    <t>Fibronectin type-III domain-containing protein n=1 Tax=Leisingera aquaemixtae TaxID=1396826 RepID=A0A0P1HYB3_9RHOB</t>
  </si>
  <si>
    <t>DNAUV-5.654-32_9</t>
  </si>
  <si>
    <t>sp|Q66IV1|MYRF_XENLA Myelin regulatory factor OS=Xenopus laevis OX=8355 GN=myrf PE=2 SV=1</t>
  </si>
  <si>
    <t>COG4733 [FUNC="Phage-related protein, tail protein J"] [shortName=] [TAG=X TAGDEF="Mobilome: prophages, transposons" PROCESS=""]  [PATHWAY=""] hypothetical protein [Methylobacterium nodulans]</t>
  </si>
  <si>
    <t>Tip attachment protein J domain-containing protein n=2 Tax=Caulobacter vibrioides TaxID=155892 RepID=A0A290N2F9_CAUVI</t>
  </si>
  <si>
    <t>DNAUV-13.057-36_4</t>
  </si>
  <si>
    <t>COG4733 [FUNC="Phage-related protein, tail protein J"] [shortName=] [TAG=X TAGDEF="Mobilome: prophages, transposons" PROCESS=""]  [PATHWAY=""] MULTISPECIES: tail fiber protein [Pelagibacterium]</t>
  </si>
  <si>
    <t>Ig-like domain-containing protein n=1 Tax=Fibrella aestuarina BUZ 2 TaxID=1166018 RepID=I0KAU0_9BACT</t>
  </si>
  <si>
    <t>DNAUV-40.559-174_44</t>
  </si>
  <si>
    <t>Phage tail protein n=1 Tax=Yangia pacifica TaxID=311180 RepID=A0A2U8HBG2_9RHOB</t>
  </si>
  <si>
    <t>DNAUV-57.114-48_80</t>
  </si>
  <si>
    <t>CBM-cenC domain-containing protein n=1 Tax=Erythrobacter sp. SG61-1L TaxID=1603897 RepID=A0A0P6WS97_9SPHN</t>
  </si>
  <si>
    <t>DNAUV-4.646-13_1</t>
  </si>
  <si>
    <t>COG4733 [FUNC="Phage-related protein, tail protein J"] [shortName=] [TAG=X TAGDEF="Mobilome: prophages, transposons" PROCESS=""]  [PATHWAY=""] phage tail protein [Obesumbacterium proteus]</t>
  </si>
  <si>
    <t>Putative tail protein n=1 Tax=Pseudoalteromonas phage vB_PspS-H40/1 TaxID=1856120 RepID=A0A173H0M5_9CAUD</t>
  </si>
  <si>
    <t>DNAUV-42.055-32_34</t>
  </si>
  <si>
    <t>Coil containing protein n=2 Tax=unclassified Caudoviricetes TaxID=2788787 RepID=A0A2I7R6X7_9CAUD</t>
  </si>
  <si>
    <t>DNAUV-43.274-68_157</t>
  </si>
  <si>
    <t>COG4983 [FUNC="Primase-polymerase (Primpol) domain protein"] [shortName=] [TAG=X TAGDEF="Mobilome: prophages, transposons" PROCESS=""]  [PATHWAY=""] DNA primase [Peptoclostridium acidaminophilum]</t>
  </si>
  <si>
    <t>DUF5906 domain-containing protein n=1 Tax=Shewanella phage SppYZU01 TaxID=1965372 RepID=A0A1V0DYH9_9CAUD</t>
  </si>
  <si>
    <t>DNAUV-42.404-84_63</t>
  </si>
  <si>
    <t>COG4983 [FUNC="Primase-polymerase (Primpol) domain protein"] [shortName=] [TAG=X TAGDEF="Mobilome: prophages, transposons" PROCESS=""]  [PATHWAY=""] hypothetical protein [Glycocaulis alkaliphilus]</t>
  </si>
  <si>
    <t>DNA primase/helicase n=1 Tax=Aminobacter phage Erebus TaxID=2686310 RepID=A0A6M3T7V9_9CAUD</t>
  </si>
  <si>
    <t>DNAUV-2.639-28_6</t>
  </si>
  <si>
    <t>COG4983 [FUNC="Primase-polymerase (Primpol) domain protein"] [shortName=] [TAG=X TAGDEF="Mobilome: prophages, transposons" PROCESS=""]  [PATHWAY=""] hypothetical protein [Halobacterium salinarum]</t>
  </si>
  <si>
    <t>DNAUV-2.791-15_1</t>
  </si>
  <si>
    <t>DNAUV-3.210-12_7</t>
  </si>
  <si>
    <t>Avril.NODE_123_length_14650_cov_85.783830_7</t>
  </si>
  <si>
    <t>COG4983 [FUNC="Primase-polymerase (Primpol) domain protein"] [shortName=] [TAG=X TAGDEF="Mobilome: prophages, transposons" PROCESS=""]  [PATHWAY=""] hypothetical protein [Mesorhizobium loti]</t>
  </si>
  <si>
    <t>DNAUV-40.486-52_41</t>
  </si>
  <si>
    <t>DUF5906 domain-containing protein n=2 Tax=Pasteurella skyensis TaxID=97481 RepID=A0A1H7V960_9PAST</t>
  </si>
  <si>
    <t>DNAUV-43.228-64_34</t>
  </si>
  <si>
    <t>DNAUV-5.434-17_7</t>
  </si>
  <si>
    <t>Oct.NODE_373_length_6013_cov_28.507217_6</t>
  </si>
  <si>
    <t>DNAUV-6.177-13_5</t>
  </si>
  <si>
    <t>COG4983 [FUNC="Primase-polymerase (Primpol) domain protein"] [shortName=] [TAG=X TAGDEF="Mobilome: prophages, transposons" PROCESS=""]  [PATHWAY=""] hypothetical protein [Steroidobacter denitrificans]</t>
  </si>
  <si>
    <t>Replicative primase helicase n=1 Tax=Stenotrophomonas phage vB_SmaS-DLP_1 TaxID=1642588 RepID=A0A0M3N0J7_9CAUD</t>
  </si>
  <si>
    <t>DNAUV-10.604-22_10</t>
  </si>
  <si>
    <t>COG5005 [FUNC="Mu-like prophage protein gpG"] [shortName=gpG] [TAG=X TAGDEF="Mobilome: prophages, transposons" PROCESS=""]  [PATHWAY=""] phage protein, HK97 gp10 family [Sideroxydans lithotrophicus]</t>
  </si>
  <si>
    <t>VOG00680 [FUNC="sp|P36934|VPS_BPP2 Tail completion protein S"] [TAG=Xu TAGDEF="Function unknown"]</t>
  </si>
  <si>
    <t>HK97 gp10 family phage protein n=1 Tax=Marinomonas phage P12026 TaxID=1176423 RepID=I6S2W7_9CAUD</t>
  </si>
  <si>
    <t>DNAUV-43.274-68_112</t>
  </si>
  <si>
    <t>COG5280 [FUNC="Phage-related minor tail protein"] [shortName=YqbO] [TAG=X TAGDEF="Mobilome: prophages, transposons" PROCESS=""]  [PATHWAY=""] hypothetical protein [Tenericutes bacterium MO-XQ]</t>
  </si>
  <si>
    <t>Phage tail tape measure protein domain-containing protein n=1 Tax=Shewanella phage SppYZU01 TaxID=1965372 RepID=A0A1V0DYF4_9CAUD</t>
  </si>
  <si>
    <t>Avril.NODE_433_length_5276_cov_5.215859_2</t>
  </si>
  <si>
    <t>COG5280 [FUNC="Phage-related minor tail protein"] [shortName=YqbO] [TAG=X TAGDEF="Mobilome: prophages, transposons" PROCESS=""]  [PATHWAY=""] hypothetical protein CBO2339 [Clostridium botulinum A str. ATCC 3502]</t>
  </si>
  <si>
    <t>TP901 family phage tail tape measure protein n=1 Tax=Marinoscillum furvescens DSM 4134 TaxID=1122208 RepID=A0A3D9L500_MARFU</t>
  </si>
  <si>
    <t>DNAUV-8.035-135_13</t>
  </si>
  <si>
    <t>sp|Q6QGE7|TMP_BPT5 Tape measure protein pb2 precursor OS=Escherichia phage T5 OX=2695836 GN=D18-19 PE=1 SV=1</t>
  </si>
  <si>
    <t>COG5280 [FUNC="Phage-related minor tail protein"] [shortName=YqbO] [TAG=X TAGDEF="Mobilome: prophages, transposons" PROCESS=""]  [PATHWAY=""] murein transglycosylase [Thiocystis violascens]</t>
  </si>
  <si>
    <t>VOG03355 [FUNC="sp|Q6QGE7|TMP_BPT5 Tape measure protein pb2 precursor"] [TAG=Xh TAGDEF="Virus protein with function beneficial for the host"]</t>
  </si>
  <si>
    <t>Pore-forming tail tip protein n=1 Tax=Vibrio phage vB_VpS_PG07 TaxID=2301664 RepID=A0A385E4M9_9CAUD</t>
  </si>
  <si>
    <t>DNAUV-5.450-206_3</t>
  </si>
  <si>
    <t>sp|O64314|TMP_BPP2 Probable tape measure protein OS=Escherichia phage P2 OX=2905681 GN=T PE=3 SV=1</t>
  </si>
  <si>
    <t>COG5280 [FUNC="Phage-related minor tail protein"] [shortName=YqbO] [TAG=X TAGDEF="Mobilome: prophages, transposons" PROCESS=""]  [PATHWAY=""] phage tail tape measure protein [Acidaminococcus intestini]</t>
  </si>
  <si>
    <t>Tape measure n=1 Tax=Pontimonas phage phiPsal1 TaxID=2079347 RepID=A0A2K9VGI5_9CAUD</t>
  </si>
  <si>
    <t>Oct.NODE_459_length_5234_cov_18.622321_3</t>
  </si>
  <si>
    <t>Oct.NODE_54_length_30916_cov_12.817180_16</t>
  </si>
  <si>
    <t>Sept.NODE_250_length_6152_cov_30.397737_2</t>
  </si>
  <si>
    <t>Sept.NODE_363_length_4577_cov_7.199027_5</t>
  </si>
  <si>
    <t>COG5280 [FUNC="Phage-related minor tail protein"] [shortName=YqbO] [TAG=X TAGDEF="Mobilome: prophages, transposons" PROCESS=""]  [PATHWAY=""] phage tail tape measure protein [Anaerococcus prevotii]</t>
  </si>
  <si>
    <t>11.09.P1-6.485-22_12</t>
  </si>
  <si>
    <t>COG5280 [FUNC="Phage-related minor tail protein"] [shortName=YqbO] [TAG=X TAGDEF="Mobilome: prophages, transposons" PROCESS=""]  [PATHWAY=""] phage tail tape measure protein [Anoxybacter fermentans]</t>
  </si>
  <si>
    <t>DNAUV-6.502-141_3</t>
  </si>
  <si>
    <t>Oct.NODE_133_length_14145_cov_13.486231_11</t>
  </si>
  <si>
    <t>Sept.NODE_68_length_19049_cov_12.264083_22</t>
  </si>
  <si>
    <t>DNAUV-4.258-125_1</t>
  </si>
  <si>
    <t>COG5280 [FUNC="Phage-related minor tail protein"] [shortName=YqbO] [TAG=X TAGDEF="Mobilome: prophages, transposons" PROCESS=""]  [PATHWAY=""] phage tail tape measure protein [Bordetella petrii]</t>
  </si>
  <si>
    <t>DNAUV-10.817-54_12</t>
  </si>
  <si>
    <t>COG5280 [FUNC="Phage-related minor tail protein"] [shortName=YqbO] [TAG=X TAGDEF="Mobilome: prophages, transposons" PROCESS=""]  [PATHWAY=""] phage tail tape measure protein [Clostridium tetani]</t>
  </si>
  <si>
    <t>Phage tail tape measure protein, TP901 family n=1 Tax=Haloechinothrix halophila YIM 93223 TaxID=592678 RepID=W9DNA5_9PSEU</t>
  </si>
  <si>
    <t>DNAUV-4.255-152_4</t>
  </si>
  <si>
    <t>COG5280 [FUNC="Phage-related minor tail protein"] [shortName=YqbO] [TAG=X TAGDEF="Mobilome: prophages, transposons" PROCESS=""]  [PATHWAY=""] phage tail tape measure protein [Ethanoligenens harbinense]</t>
  </si>
  <si>
    <t>Avril.NODE_216_length_8718_cov_5.759206_4</t>
  </si>
  <si>
    <t>COG5280 [FUNC="Phage-related minor tail protein"] [shortName=YqbO] [TAG=X TAGDEF="Mobilome: prophages, transposons" PROCESS=""]  [PATHWAY=""] phage tail tape measure protein [Haematospirillum jordaniae]</t>
  </si>
  <si>
    <t>Phage tail tape measure protein n=1 Tax=Klebsiella michiganensis TaxID=1134687 RepID=A0A6P1UST6_9ENTR</t>
  </si>
  <si>
    <t>DNAUV-16.585-31_63</t>
  </si>
  <si>
    <t>DNAUV-2.644-248_8</t>
  </si>
  <si>
    <t>Phage tail tape measure protein domain-containing protein n=1 Tax=Paenibacillus sp. DMB5 TaxID=1780103 RepID=A0A101XXS4_9BACL</t>
  </si>
  <si>
    <t>DNAUV-3.693-13_5</t>
  </si>
  <si>
    <t>Mai.NODE_412_length_4410_cov_5.075086_7</t>
  </si>
  <si>
    <t>Tail tape measure protein n=1 Tax=Roseobacter phage RDJL Phi 2 TaxID=1682380 RepID=A0A0K0PVV1_9CAUD</t>
  </si>
  <si>
    <t>DNAUV-3.693-13_4</t>
  </si>
  <si>
    <t>COG5280 [FUNC="Phage-related minor tail protein"] [shortName=YqbO] [TAG=X TAGDEF="Mobilome: prophages, transposons" PROCESS=""]  [PATHWAY=""] phage tail tape measure protein [Histophilus somni]</t>
  </si>
  <si>
    <t>Avril.NODE_82_length_20518_cov_10.265748_17</t>
  </si>
  <si>
    <t>COG5280 [FUNC="Phage-related minor tail protein"] [shortName=YqbO] [TAG=X TAGDEF="Mobilome: prophages, transposons" PROCESS=""]  [PATHWAY=""] phage tail tape measure protein [Microcella alkaliphila]</t>
  </si>
  <si>
    <t>Uncharacterized protein n=1 Tax=Natronincola peptidivorans TaxID=426128 RepID=A0A1I0FBY5_9CLOT</t>
  </si>
  <si>
    <t>DNAUV-51.550-178_57</t>
  </si>
  <si>
    <t>COG5280 [FUNC="Phage-related minor tail protein"] [shortName=YqbO] [TAG=X TAGDEF="Mobilome: prophages, transposons" PROCESS=""]  [PATHWAY=""] phage tail tape measure protein [Persicobacter sp. JZB09]</t>
  </si>
  <si>
    <t>Tail length tape-measure protein n=1 Tax=Cellulophaga phage phi38:2 TaxID=1327999 RepID=S0A102_9CAUD</t>
  </si>
  <si>
    <t>11.09.P1-11.099-9.1_15</t>
  </si>
  <si>
    <t>COG5280 [FUNC="Phage-related minor tail protein"] [shortName=YqbO] [TAG=X TAGDEF="Mobilome: prophages, transposons" PROCESS=""]  [PATHWAY=""] phage tail tape measure protein [Sporanaerobacter sp. NJN-17]</t>
  </si>
  <si>
    <t>DNAUV-4.545-14_3</t>
  </si>
  <si>
    <t>COG5281 [FUNC="Phage-related minor tail protein"] [shortName=] [TAG=X TAGDEF="Mobilome: prophages, transposons" PROCESS=""]  [PATHWAY=""] hypothetical protein [Atlantibacter hermannii]</t>
  </si>
  <si>
    <t>Coil containing protein n=1 Tax=Vibrio phage 1.144.O._10N.286.45.B3 TaxID=1881428 RepID=A0A2I7RA20_9CAUD</t>
  </si>
  <si>
    <t>DNAUV-35.226-432_51</t>
  </si>
  <si>
    <t>COG5281 [FUNC="Phage-related minor tail protein"] [shortName=] [TAG=X TAGDEF="Mobilome: prophages, transposons" PROCESS=""]  [PATHWAY=""] hypothetical protein [endosymbiont of Acanthamoeba sp. UWC8]</t>
  </si>
  <si>
    <t>DNAUV-2.587-25_4</t>
  </si>
  <si>
    <t>COG5281 [FUNC="Phage-related minor tail protein"] [shortName=] [TAG=X TAGDEF="Mobilome: prophages, transposons" PROCESS=""]  [PATHWAY=""] hypothetical protein [Marinovum algicola]</t>
  </si>
  <si>
    <t>Bacteriophage tail tape measure N-terminal domain-containing protein n=1 Tax=Hot spring virus BHS1 TaxID=2024351 RepID=A0A2U7NW15_9VIRU</t>
  </si>
  <si>
    <t>DNAUV-5.320-300_11</t>
  </si>
  <si>
    <t>VOG33737 [FUNC="REFSEQ endolysin"] [TAG=Xu TAGDEF="Function unknown"]</t>
  </si>
  <si>
    <t>Bacteriophage tail tape measure N-terminal domain-containing protein n=2 Tax=Planctomonas sp. JC2975 TaxID=2729626 RepID=A0A848RTW4_9MICO</t>
  </si>
  <si>
    <t>DNAUV-4.236-14_2</t>
  </si>
  <si>
    <t>COG5281 [FUNC="Phage-related minor tail protein"] [shortName=] [TAG=X TAGDEF="Mobilome: prophages, transposons" PROCESS=""]  [PATHWAY=""] hypothetical protein [Octadecabacter arcticus]</t>
  </si>
  <si>
    <t>Tail tape measure protein n=1 Tax=Roseovarius indicus TaxID=540747 RepID=A0A5P3ACL3_9RHOB</t>
  </si>
  <si>
    <t>Sept.NODE_735_length_2841_cov_26.779612_4</t>
  </si>
  <si>
    <t>Phage tail tape measure protein n=1 Tax=Tranquillimonas pontilimi TaxID=1964209 RepID=A0A934IK24_9RHOB</t>
  </si>
  <si>
    <t>DNAUV-2.255-9.7_9</t>
  </si>
  <si>
    <t>COG5281 [FUNC="Phage-related minor tail protein"] [shortName=] [TAG=X TAGDEF="Mobilome: prophages, transposons" PROCESS=""]  [PATHWAY=""] hypothetical protein [Oxalobacter formigenes]</t>
  </si>
  <si>
    <t>Tape measure domain protein n=1 Tax=Achromobacter phage JWX TaxID=1589746 RepID=A0A0B4ZZC1_9CAUD</t>
  </si>
  <si>
    <t>Avril.NODE_549_length_4368_cov_3.079063_6</t>
  </si>
  <si>
    <t>COG5281 [FUNC="Phage-related minor tail protein"] [shortName=] [TAG=X TAGDEF="Mobilome: prophages, transposons" PROCESS=""]  [PATHWAY=""] hypothetical protein [Pelagibaca abyssi]</t>
  </si>
  <si>
    <t>Bacteriophage tail tape measure N-terminal domain-containing protein n=1 Tax=Salipiger sp. PrR003 TaxID=2706776 RepID=A0A845UQT2_9RHOB</t>
  </si>
  <si>
    <t>DNAUV-38.512-299_37</t>
  </si>
  <si>
    <t>COG5281 [FUNC="Phage-related minor tail protein"] [shortName=] [TAG=X TAGDEF="Mobilome: prophages, transposons" PROCESS=""]  [PATHWAY=""] hypothetical protein [Pusillimonas sp. T7-7]</t>
  </si>
  <si>
    <t>Coil containing protein n=1 Tax=Vibrio phage 1.206.O._10N.222.51.B10 TaxID=1881223 RepID=A0A2I7RNY5_9CAUD</t>
  </si>
  <si>
    <t>DNAUV-5.190-86_8</t>
  </si>
  <si>
    <t>COG5281 [FUNC="Phage-related minor tail protein"] [shortName=] [TAG=X TAGDEF="Mobilome: prophages, transposons" PROCESS=""]  [PATHWAY=""] MULTISPECIES: hypothetical protein [Phyllobacterium]</t>
  </si>
  <si>
    <t>Phage tail lysozyme domain-containing protein n=1 Tax=Paracoccus alcaliphilus TaxID=34002 RepID=A0A1H8K2B5_9RHOB</t>
  </si>
  <si>
    <t>Oct.NODE_1065_length_2995_cov_3.167347_2</t>
  </si>
  <si>
    <t>COG5281 [FUNC="Phage-related minor tail protein"] [shortName=] [TAG=X TAGDEF="Mobilome: prophages, transposons" PROCESS=""]  [PATHWAY=""] MULTISPECIES: phage tail protein [Rhodobacteraceae]</t>
  </si>
  <si>
    <t>ATPase involved in DNA repair n=2 Tax=Roseovarius indicus TaxID=540747 RepID=A0A5P3ABK2_9RHOB</t>
  </si>
  <si>
    <t>DNAUV-2.474-11_17</t>
  </si>
  <si>
    <t>COG5281 [FUNC="Phage-related minor tail protein"] [shortName=] [TAG=X TAGDEF="Mobilome: prophages, transposons" PROCESS=""]  [PATHWAY=""] phage associated protein [Neisseria gonorrhoeae FA 1090]</t>
  </si>
  <si>
    <t>Tail length tape measure protein n=1 Tax=Shewanella phage S0112 TaxID=2559821 RepID=A0A482MEL0_9CAUD</t>
  </si>
  <si>
    <t>DNAUV-64.562-41_71</t>
  </si>
  <si>
    <t>Virion protein, putative tape measure protein n=1 Tax=Pseudomonas phage KPP23 TaxID=1462581 RepID=W8VLG7_9CAUD</t>
  </si>
  <si>
    <t>DNAUV-15.738-237_60</t>
  </si>
  <si>
    <t>COG5281 [FUNC="Phage-related minor tail protein"] [shortName=] [TAG=X TAGDEF="Mobilome: prophages, transposons" PROCESS=""]  [PATHWAY=""] phage tail protein [Phreatobacter sp. S-12]</t>
  </si>
  <si>
    <t>Tape measure protein N-terminal domain-containing protein n=1 Tax=Leisingera sp. ANG-Vp TaxID=1577896 RepID=A0A0B4C4V4_9RHOB</t>
  </si>
  <si>
    <t>Sept.NODE_314_length_5194_cov_58.192450_2</t>
  </si>
  <si>
    <t>COG5281 [FUNC="Phage-related minor tail protein"] [shortName=] [TAG=X TAGDEF="Mobilome: prophages, transposons" PROCESS=""]  [PATHWAY=""] phage tail protein [Thiobacimonas profunda]</t>
  </si>
  <si>
    <t>Bacteriophage tail tape measure C-terminal domain-containing protein n=1 Tax=Paracoccus haeundaensis TaxID=225362 RepID=A0A5C4R600_9RHOB</t>
  </si>
  <si>
    <t>Avril.NODE_4_length_52184_cov_14.862668_33</t>
  </si>
  <si>
    <t>COG5281 [FUNC="Phage-related minor tail protein"] [shortName=] [TAG=X TAGDEF="Mobilome: prophages, transposons" PROCESS=""]  [PATHWAY=""] phage tail protein [Thioclava nitratireducens]</t>
  </si>
  <si>
    <t>DNAUV-48.934-1423_57</t>
  </si>
  <si>
    <t>COG5281 [FUNC="Phage-related minor tail protein"] [shortName=] [TAG=X TAGDEF="Mobilome: prophages, transposons" PROCESS=""]  [PATHWAY=""] phage tail tape measure protein [Hafnia alvei]</t>
  </si>
  <si>
    <t>Phage-related minor tail protein n=1 Tax=Serratia odorifera TaxID=618 RepID=A0A447L1F8_SEROD</t>
  </si>
  <si>
    <t>DNAUV-2.594-36_1</t>
  </si>
  <si>
    <t>COG5281 [FUNC="Phage-related minor tail protein"] [shortName=] [TAG=X TAGDEF="Mobilome: prophages, transposons" PROCESS=""]  [PATHWAY=""] phage tail tape measure protein [Sulfuritortus calidifontis]</t>
  </si>
  <si>
    <t>Sept.NODE_851_length_2587_cov_19.943128_1</t>
  </si>
  <si>
    <t>Sept.NODE_935_length_2438_cov_13.607218_2</t>
  </si>
  <si>
    <t>DNAUV-10.604-22_15</t>
  </si>
  <si>
    <t>COG5281 [FUNC="Phage-related minor tail protein"] [shortName=] [TAG=X TAGDEF="Mobilome: prophages, transposons" PROCESS=""]  [PATHWAY=""] phage tail tape-measure protein [Rhodobaca barguzinensis]</t>
  </si>
  <si>
    <t>Phage tail length tape-measure protein 1 n=1 Tax=Marinomonas phage P12026 TaxID=1176423 RepID=I6S2X0_9CAUD</t>
  </si>
  <si>
    <t>DNAUV-4.552-13_6</t>
  </si>
  <si>
    <t>DNAUV-43.228-64_16</t>
  </si>
  <si>
    <t>COG5281 [FUNC="Phage-related minor tail protein"] [shortName=] [TAG=X TAGDEF="Mobilome: prophages, transposons" PROCESS=""]  [PATHWAY=""] potassium-transporting ATPase subunit G [Rhodobacter sphaeroides]</t>
  </si>
  <si>
    <t>Bacteriophage tail tape measure C-terminal domain-containing protein n=1 Tax=Marinosulfonomonas sp. PRT-SC04 TaxID=1527300 RepID=A0A0P9B222_9RHOB</t>
  </si>
  <si>
    <t>DNAUV-12.051-269_25</t>
  </si>
  <si>
    <t>COG5281 [FUNC="Phage-related minor tail protein"] [shortName=] [TAG=X TAGDEF="Mobilome: prophages, transposons" PROCESS=""]  [PATHWAY=""] tail protein [[Haemophilus] ducreyi]</t>
  </si>
  <si>
    <t>Putative tape measure protein n=1 Tax=Freshwater phage uvFW-CGR-AMDFOS-S50-C341 TaxID=1838158 RepID=A0A1B0XUL9_9CAUD</t>
  </si>
  <si>
    <t>Oct.NODE_1753_length_2167_cov_3.564394_1</t>
  </si>
  <si>
    <t>COG5281 [FUNC="Phage-related minor tail protein"] [shortName=] [TAG=X TAGDEF="Mobilome: prophages, transposons" PROCESS=""]  [PATHWAY=""] tail protein [Jannaschia sp. CCS1]</t>
  </si>
  <si>
    <t>Lambda family phage tail tape measure protein n=1 Tax=Thioalbus denitrificans TaxID=547122 RepID=A0A369CDH1_9GAMM</t>
  </si>
  <si>
    <t>DNAUV-42.404-84_99</t>
  </si>
  <si>
    <t>sp|O64330|TMP_BPN15 Tape measure protein OS=Escherichia phage N15 OX=1604876 GN=gene 16 PE=3 SV=1</t>
  </si>
  <si>
    <t>COG5281 [FUNC="Phage-related minor tail protein"] [shortName=] [TAG=X TAGDEF="Mobilome: prophages, transposons" PROCESS=""]  [PATHWAY=""] tail protein [Klebsiella pneumoniae]</t>
  </si>
  <si>
    <t>Tail tape-measure protein n=1 Tax=Paracoccus phage vB_PmaS-R3 TaxID=2494563 RepID=A0A0B5A0F2_9CAUD</t>
  </si>
  <si>
    <t>DNAUV-44.091-1296_78</t>
  </si>
  <si>
    <t>sp|P85501|TMP_BPPAJ Tape measure protein OS=Pseudomonas phage PAJU2 OX=504346 GN=18 PE=1 SV=2</t>
  </si>
  <si>
    <t>Oct.NODE_12_length_43814_cov_20.924267_42</t>
  </si>
  <si>
    <t>DNAUV-7.232-25_4</t>
  </si>
  <si>
    <t>COG5281 [FUNC="Phage-related minor tail protein"] [shortName=] [TAG=X TAGDEF="Mobilome: prophages, transposons" PROCESS=""]  [PATHWAY=""] tail tape measure protein [Desulfovibrio vulgaris str. Hildenborough]</t>
  </si>
  <si>
    <t>Tail tape measure protein n=1 Tax=Vibrio phage 424E50-1 TaxID=2963198 RepID=A0A9P0VQE6_9CAUD</t>
  </si>
  <si>
    <t>DNAUV-64.565-409_1</t>
  </si>
  <si>
    <t>COG5281 [FUNC="Phage-related minor tail protein"] [shortName=] [TAG=X TAGDEF="Mobilome: prophages, transposons" PROCESS=""]  [PATHWAY=""] tape measure domain-containing protein [Pragia fontium]</t>
  </si>
  <si>
    <t>Oct.NODE_108_length_17648_cov_6.645257_22</t>
  </si>
  <si>
    <t>Tail length tape measure protein n=1 Tax=Alphaproteobacteria phage PhiJL001 TaxID=2681607 RepID=Q5DN23_9CAUD</t>
  </si>
  <si>
    <t>DNAUV-3.867-53_1</t>
  </si>
  <si>
    <t>COG5283 [FUNC="Phage-related tail protein"] [shortName=] [TAG=X TAGDEF="Mobilome: prophages, transposons" PROCESS=""]  [PATHWAY=""] hypothetical protein [Candidatus Promineofilum breve]</t>
  </si>
  <si>
    <t>Pore-forming tail protein n=1 Tax=Vibrio phage vB_VorS-PVo5 TaxID=1689660 RepID=A0A0N9BA77_9CAUD</t>
  </si>
  <si>
    <t>Sept.NODE_77_length_16458_cov_100.393830_4</t>
  </si>
  <si>
    <t>COG5283 [FUNC="Phage-related tail protein"] [shortName=] [TAG=X TAGDEF="Mobilome: prophages, transposons" PROCESS=""]  [PATHWAY=""] hypothetical protein [Sulfurivermis fontis]</t>
  </si>
  <si>
    <t>DNAUV-2.349-48_4</t>
  </si>
  <si>
    <t>COG5283 [FUNC="Phage-related tail protein"] [shortName=] [TAG=X TAGDEF="Mobilome: prophages, transposons" PROCESS=""]  [PATHWAY=""] phage tail tape measure protein [Anaerotignum propionicum]</t>
  </si>
  <si>
    <t>Tape measure domain-containing protein n=2 Tax=Pedobacter duraquae TaxID=425511 RepID=A0A4R6IIR4_9SPHI</t>
  </si>
  <si>
    <t>Oct.NODE_96_length_19348_cov_9.347069_12</t>
  </si>
  <si>
    <t>COG5283 [FUNC="Phage-related tail protein"] [shortName=] [TAG=X TAGDEF="Mobilome: prophages, transposons" PROCESS=""]  [PATHWAY=""] phage tail tape measure protein [Flavonifractor plautii]</t>
  </si>
  <si>
    <t>Phage tail tape measure protein, TP901 family, core region (Fragment) n=1 Tax=Thalassobaculum litoreum DSM 18839 TaxID=1123362 RepID=A0A8G2EYL5_9PROT</t>
  </si>
  <si>
    <t>Mai.NODE_147_length_9961_cov_24.236220_1</t>
  </si>
  <si>
    <t>COG5283 [FUNC="Phage-related tail protein"] [shortName=] [TAG=X TAGDEF="Mobilome: prophages, transposons" PROCESS=""]  [PATHWAY=""] phage tail tape measure protein [Photorhabdus luminescens]</t>
  </si>
  <si>
    <t>Phage tail tape measure protein n=1 Tax=Nocardioides oleivorans TaxID=273676 RepID=A0A4Q2RQP2_9ACTN</t>
  </si>
  <si>
    <t>Mai.NODE_285_length_6110_cov_6.752106_6</t>
  </si>
  <si>
    <t>sp|Q24LI1|TMP_BPPCD Probable tape measure protein OS=Clostridium phage phiCD119 (strain Clostridium difficile/United States/Govind/2006) OX=1283341 PE=3 SV=1</t>
  </si>
  <si>
    <t>COG5283 [FUNC="Phage-related tail protein"] [shortName=] [TAG=X TAGDEF="Mobilome: prophages, transposons" PROCESS=""]  [PATHWAY=""] phage tail tape measure protein [Polymorphum gilvum]</t>
  </si>
  <si>
    <t>Phage tail tape measure protein, TP901 family, core region n=1 Tax=Cohaesibacter sp. ES.047 TaxID=1798205 RepID=A0A285MA71_9HYPH</t>
  </si>
  <si>
    <t>DNAUV-48.475-181_52</t>
  </si>
  <si>
    <t>COG5283 [FUNC="Phage-related tail protein"] [shortName=] [TAG=X TAGDEF="Mobilome: prophages, transposons" PROCESS=""]  [PATHWAY=""] phage tail tape measure protein [Xenorhabdus nematophila]</t>
  </si>
  <si>
    <t>Phage tail tape measure protein domain-containing protein n=1 Tax=Shewanella phage SFCi1 TaxID=1852599 RepID=A0A1B0Z1G9_9CAUD</t>
  </si>
  <si>
    <t>Oct.NODE_1297_length_2672_cov_3.717233_2</t>
  </si>
  <si>
    <t>COG5301 [FUNC="Phage-related tail fiber protein"] [shortName=] [TAG=X TAGDEF="Mobilome: prophages, transposons" PROCESS=""]  [PATHWAY=""] DUF2793 domain-containing protein [Nitrobacter hamburgensis]</t>
  </si>
  <si>
    <t>VOG01333 [FUNC="REFSEQ tail fiber protein"] [TAG=Xu TAGDEF="Function unknown"]</t>
  </si>
  <si>
    <t>Ribonuclease III n=1 Tax=Dinoroseobacter phage vB_DshS-R5C TaxID=1965368 RepID=A0A1V0DY81_9CAUD</t>
  </si>
  <si>
    <t>DNAUV-22.071-221_46</t>
  </si>
  <si>
    <t>COG5301 [FUNC="Phage-related tail fiber protein"] [shortName=] [TAG=X TAGDEF="Mobilome: prophages, transposons" PROCESS=""]  [PATHWAY=""] DUF2793 domain-containing protein [Ochrobactrum anthropi]</t>
  </si>
  <si>
    <t>Ribonuclease III n=1 Tax=Paracoccus phage vB_PmaS-R3 TaxID=2494563 RepID=A0A0B5A0F6_9CAUD</t>
  </si>
  <si>
    <t>DNAUV-3.433-12-V2_8</t>
  </si>
  <si>
    <t>DNAUV-44.091-1296_83</t>
  </si>
  <si>
    <t>DUF2793 domain-containing protein n=1 Tax=Roseibium limicola TaxID=2816037 RepID=A0A939EQE3_9HYPH</t>
  </si>
  <si>
    <t>Oct.NODE_12_length_43814_cov_20.924267_47</t>
  </si>
  <si>
    <t>DNAUV-3.293-14_3</t>
  </si>
  <si>
    <t>COG5301 [FUNC="Phage-related tail fiber protein"] [shortName=] [TAG=X TAGDEF="Mobilome: prophages, transposons" PROCESS=""]  [PATHWAY=""] Fels-2 prophage protein [Salmonella phage Fels-2]</t>
  </si>
  <si>
    <t>VOG27138 [FUNC="REFSEQ tail protein"] [TAG=Xu TAGDEF="Function unknown"]</t>
  </si>
  <si>
    <t>Peptidase S74 domain-containing protein (Fragment) n=1 Tax=Pusillimonas sp. (ex Stolz et al. 2005) TaxID=1979962 RepID=A0A2D7XGP8_9BURK</t>
  </si>
  <si>
    <t>DNAUV-3.293-14_4</t>
  </si>
  <si>
    <t>Phage tail protein n=1 Tax=Halomonas sp. 15WGF TaxID=2570357 RepID=A0A4U3C4S5_9GAMM</t>
  </si>
  <si>
    <t>DNAUV-6.013-13_7</t>
  </si>
  <si>
    <t>Putative structural protein n=1 Tax=Roseobacter phage CRP-3 TaxID=2559282 RepID=A0A646QVY8_9CAUD</t>
  </si>
  <si>
    <t>DNAUV-6.013-13_8</t>
  </si>
  <si>
    <t>VOG27195 [FUNC="REFSEQ tail fiber protein"] [TAG=Xu TAGDEF="Function unknown"]</t>
  </si>
  <si>
    <t>DNAUV-9.325-79_15</t>
  </si>
  <si>
    <t>COG5301 [FUNC="Phage-related tail fiber protein"] [shortName=] [TAG=X TAGDEF="Mobilome: prophages, transposons" PROCESS=""]  [PATHWAY=""] hypothetical protein [Aquitalea magnusonii]</t>
  </si>
  <si>
    <t>Microcystin-dependent protein n=1 Tax=Rhodocyclus tenuis TaxID=1066 RepID=A0A840G786_RHOTE</t>
  </si>
  <si>
    <t>05.07.P3-8.454-37_1</t>
  </si>
  <si>
    <t>VOG00562 [FUNC="REFSEQ tail fiber protein"] [TAG=Xu TAGDEF="Function unknown"]</t>
  </si>
  <si>
    <t>Uncharacterized protein n=1 Tax=Pusillimonas sp. (ex Stolz et al. 2005) TaxID=1979962 RepID=A0A2D7XHR4_9BURK</t>
  </si>
  <si>
    <t>11.09.P1-11.178-27_4</t>
  </si>
  <si>
    <t>sp|Q9G0B5|FIB37_BPAR1 Long tail fiber protein Gp37 OS=Escherichia phage AR1 OX=66711 GN=37 PE=3 SV=1</t>
  </si>
  <si>
    <t>11.09.P2-5.979-8.2_1</t>
  </si>
  <si>
    <t>VOG02760 [FUNC="REFSEQ hypothetical protein"] [TAG=Xu TAGDEF="Function unknown"]</t>
  </si>
  <si>
    <t>Uncharacterized protein n=1 Tax=Synechococcus phage S-T4 TaxID=2268578 RepID=A0A385EGS0_9CAUD</t>
  </si>
  <si>
    <t>11.09.P4-9.128-2.8_10</t>
  </si>
  <si>
    <t>Phage tail protein n=1 Tax=Sphingobium sp. SCG-1 TaxID=2072936 RepID=A0A2L0ACC7_9SPHN</t>
  </si>
  <si>
    <t>11.09.P4-9.128-2.8_5</t>
  </si>
  <si>
    <t>Virion structural protein n=1 Tax=Cyanophage S-TIM5 TaxID=1137745 RepID=H6WFW1_9CAUD</t>
  </si>
  <si>
    <t>DNAUV-19.985-108_12</t>
  </si>
  <si>
    <t>VOG00277 [FUNC="sp|Q9G0B5|FIB37_BPAR1 Long tail fiber protein Gp37"] [TAG=Xp TAGDEF="Virus protein with function beneficial for the virus"]</t>
  </si>
  <si>
    <t>Head decoration protein n=1 Tax=Synechococcus phage S-CBS2 TaxID=753084 RepID=F4YCN2_9CAUD</t>
  </si>
  <si>
    <t>DNAUV-2.821-198_2</t>
  </si>
  <si>
    <t>sp|M1EAS5|FIB37_BPS16 Long tail fiber protein Gp37 OS=Salmonella phage S16 OX=1087482 PE=1 SV=1</t>
  </si>
  <si>
    <t>Putative tail fiber n=1 Tax=Synechococcus phage S-SRM01 TaxID=2781608 RepID=A0A879R3X6_9CAUD</t>
  </si>
  <si>
    <t>DNAUV-3.046-11_5</t>
  </si>
  <si>
    <t>sp|A6NMZ7|CO6A6_HUMAN Collagen alpha-6(VI) chain OS=Homo sapiens OX=9606 GN=COL6A6 PE=1 SV=2</t>
  </si>
  <si>
    <t>Putative tail fiber protein n=1 Tax=Synechococcus virus S-PRM1 TaxID=2100130 RepID=A0A346FK94_9CAUD</t>
  </si>
  <si>
    <t>DNAUV-3.766-534_1</t>
  </si>
  <si>
    <t>VOG00508 [FUNC="sp|P10930|FIB12_BPT4 Short tail fiber protein gp12"] [TAG=Xh TAGDEF="Virus protein with function beneficial for the host"]</t>
  </si>
  <si>
    <t>Tail protein n=2 Tax=unclassified Mollyvirus TaxID=2960776 RepID=A0A8E4UZJ8_9CAUD</t>
  </si>
  <si>
    <t>Oct.NODE_1185_length_2814_cov_7.513592_1</t>
  </si>
  <si>
    <t>Tail fiber domain-containing protein n=1 Tax=Aureispira sp. EL160426 TaxID=2864201 RepID=A0A915YF18_9BACT</t>
  </si>
  <si>
    <t>DNAUV-2.060-599_3</t>
  </si>
  <si>
    <t>COG5301 [FUNC="Phage-related tail fiber protein"] [shortName=] [TAG=X TAGDEF="Mobilome: prophages, transposons" PROCESS=""]  [PATHWAY=""] Phage-related tail fiber protein-like protein [Aminobacterium colombiense]</t>
  </si>
  <si>
    <t>Putative tail fiber protein n=1 Tax=Yersinia phage fEV-1 TaxID=2077277 RepID=A0A2P9HXN3_9CAUD</t>
  </si>
  <si>
    <t>DNAUV-3.051-251_12</t>
  </si>
  <si>
    <t>DNAUV-3.438-35_1</t>
  </si>
  <si>
    <t>BIG2 domain-containing protein n=1 Tax=Methanosarcina virus MetMV TaxID=2488574 RepID=A0A5K7NLJ8_9VIRU</t>
  </si>
  <si>
    <t>DNAUV-3.759-521_7</t>
  </si>
  <si>
    <t>Oct.NODE_1760_length_2160_cov_4.801900_2</t>
  </si>
  <si>
    <t>Uncharacterized protein n=1 Tax=Psychrobacillus phage Perkons TaxID=2729574 RepID=A0A6M3YKZ8_9CAUD</t>
  </si>
  <si>
    <t>Sept.NODE_497_length_3709_cov_9.777504_2</t>
  </si>
  <si>
    <t>05.07.P4-45.835-37_24</t>
  </si>
  <si>
    <t>COG5301 [FUNC="Phage-related tail fiber protein"] [shortName=] [TAG=X TAGDEF="Mobilome: prophages, transposons" PROCESS=""]  [PATHWAY=""] tail fiber-like protein [Chromobacterium violaceum]</t>
  </si>
  <si>
    <t>Putative Mu-like phage tail fiber protein n=1 Tax=Pseudomonas entomophila (strain L48) TaxID=384676 RepID=Q1I6B1_PSEE4</t>
  </si>
  <si>
    <t>DNAUV-15.594-26_19</t>
  </si>
  <si>
    <t>Carbohydrate-binding protein CenC n=1 Tax=Pseudomonas sp. MYb3 TaxID=1848735 RepID=A0A2S9BJH9_9PSED</t>
  </si>
  <si>
    <t>DNAUV-152.980-60_93</t>
  </si>
  <si>
    <t>Putative phage tail fiber protein n=1 Tax=Rhizobium phage RHph_Y65 TaxID=2509785 RepID=A0A7S5UX02_9CAUD</t>
  </si>
  <si>
    <t>DNAUV-152.980-60_98</t>
  </si>
  <si>
    <t>Uncharacterized protein n=1 Tax=Nitrobacter hamburgensis (strain DSM 10229 / NCIMB 13809 / X14) TaxID=323097 RepID=Q1QI87_NITHX</t>
  </si>
  <si>
    <t>DNAUV-23.723-492_9</t>
  </si>
  <si>
    <t>Prophage MuMc02, head decoration protein, putative n=1 Tax=Delftia sp. (strain Cs1-4) TaxID=742013 RepID=F6AMD9_DELSC</t>
  </si>
  <si>
    <t>DNAUV-5.320-300_12</t>
  </si>
  <si>
    <t>Carbohydrate binding domain-containing protein n=1 Tax=Dyella marensis TaxID=500610 RepID=A0A1I1ZWV7_9GAMM</t>
  </si>
  <si>
    <t>DNAUV-6.177-18_8</t>
  </si>
  <si>
    <t>Putative tail fiber protein n=1 Tax=Puniceispirillum phage HMO-2011 TaxID=948071 RepID=S4S2K4_9CAUD</t>
  </si>
  <si>
    <t>DNAUV-68.024-31_102</t>
  </si>
  <si>
    <t>CBM-cenC domain-containing protein n=1 Tax=Ralstonia phage RP13 TaxID=2743402 RepID=A0A6J4EHT4_9CAUD</t>
  </si>
  <si>
    <t>DNAUV-9.697-307_22</t>
  </si>
  <si>
    <t>Oct.NODE_98_length_18794_cov_7.263194_24</t>
  </si>
  <si>
    <t>DNAUV-10.134-12_13</t>
  </si>
  <si>
    <t>COG5301 [FUNC="Phage-related tail fiber protein"] [shortName=] [TAG=X TAGDEF="Mobilome: prophages, transposons" PROCESS=""]  [PATHWAY=""] tail protein [Ralstonia solanacearum]</t>
  </si>
  <si>
    <t>Uncharacterized protein n=1 Tax=Limnohabitans sp. MMS-10A-192 TaxID=1835769 RepID=A0A315BQD2_9BURK</t>
  </si>
  <si>
    <t>DNAUV-5.981-12_6</t>
  </si>
  <si>
    <t>VOG19924 [FUNC="REFSEQ virion structural protein"] [TAG=Xu TAGDEF="Function unknown"]</t>
  </si>
  <si>
    <t>Tail fiber protein n=3 Tax=unclassified Caudoviricetes TaxID=2788787 RepID=A0A2I7QUM7_9CAUD</t>
  </si>
  <si>
    <t>05.07.P3-6.142-4.3_2</t>
  </si>
  <si>
    <t>COG5301 [FUNC="Phage-related tail fiber protein"] [shortName=] [TAG=X TAGDEF="Mobilome: prophages, transposons" PROCESS=""]  [PATHWAY=""] variable tail fiber protein [Enterobacter cloacae subsp. cloacae ATCC 13047]</t>
  </si>
  <si>
    <t>Putative tail fiber protein n=1 Tax=Roseobacter phage CRP-1 TaxID=2559280 RepID=A0A646QWP9_9CAUD</t>
  </si>
  <si>
    <t>05.07.P4-23.194-34_19</t>
  </si>
  <si>
    <t>Putative tail fiber protein n=1 Tax=Roseobacter phage CRP-2 TaxID=2559281 RepID=A0A646QVS8_9CAUD</t>
  </si>
  <si>
    <t>05.07.P4-23.194-34_20</t>
  </si>
  <si>
    <t>sp|Q775D6|FIBD_BPBPP Tail fiber receptor-binding protein OS=Bordetella phage BPP-1 OX=2885909 GN=mtd PE=1 SV=1</t>
  </si>
  <si>
    <t>05.07.P4-45.835-37_8</t>
  </si>
  <si>
    <t>DNAUV-6.833-1509_13</t>
  </si>
  <si>
    <t>DNAUV-62.938-22_56</t>
  </si>
  <si>
    <t>Tail fiber protein n=1 Tax=Desulfosporosinus sp. OT TaxID=913865 RepID=G2FT47_9FIRM</t>
  </si>
  <si>
    <t>DNAUV-63.154-214_26</t>
  </si>
  <si>
    <t>Oct.NODE_443_length_5406_cov_21.525883_5</t>
  </si>
  <si>
    <t>DNAUV-48.671-99_26</t>
  </si>
  <si>
    <t>COG5301 [FUNC="Phage-related tail fiber protein"] [shortName=] [TAG=X TAGDEF="Mobilome: prophages, transposons" PROCESS=""]  [PATHWAY=""] variable tail fiber protein [Kosakonia sacchari]</t>
  </si>
  <si>
    <t>Phage tail protein n=1 Tax=Pseudosulfitobacter pseudonitzschiae TaxID=1402135 RepID=A0A9Q2S0Z2_9RHOB</t>
  </si>
  <si>
    <t>11.09.P2-2.989-10_4</t>
  </si>
  <si>
    <t>COG5323 [FUNC="Phage large terminase packaging protein"] [shortName=] [TAG=X TAGDEF="Mobilome: prophages, transposons" PROCESS=""]  [PATHWAY=""] ATP-binding protein [Methanolobus psychrophilus]</t>
  </si>
  <si>
    <t>Terminase large subunit n=1 Tax=Roseobacter phage CRP-6 TaxID=2559285 RepID=A0A646QWK1_9CAUD</t>
  </si>
  <si>
    <t>Oct.NODE_843_length_3525_cov_47.200865_2</t>
  </si>
  <si>
    <t>Oct.NODE_927_length_3271_cov_5.481965_7</t>
  </si>
  <si>
    <t>Oct.NODE_1589_length_2332_cov_3.375933_1</t>
  </si>
  <si>
    <t>COG5323 [FUNC="Phage large terminase packaging protein"] [shortName=] [TAG=X TAGDEF="Mobilome: prophages, transposons" PROCESS=""]  [PATHWAY=""] ATP-binding protein [Pannonibacter phragmitetus]</t>
  </si>
  <si>
    <t>Avril.NODE_34_length_37560_cov_23.634315_12</t>
  </si>
  <si>
    <t>COG5323 [FUNC="Phage large terminase packaging protein"] [shortName=] [TAG=X TAGDEF="Mobilome: prophages, transposons" PROCESS=""]  [PATHWAY=""] ATP-binding protein [Thermaerobacter marianensis]</t>
  </si>
  <si>
    <t>Terminase n=1 Tax=Deinococcus actinosclerus TaxID=1768108 RepID=A0A0U4B987_9DEIO</t>
  </si>
  <si>
    <t>Avril.NODE_4_length_52184_cov_14.862668_17</t>
  </si>
  <si>
    <t>Avril.NODE_9_length_46600_cov_10.230895_28</t>
  </si>
  <si>
    <t>DNAUV-20.871-258_10</t>
  </si>
  <si>
    <t>DNAUV-7.616-50_8</t>
  </si>
  <si>
    <t>Juil.NODE_15_length_4263_cov_5.604800_2</t>
  </si>
  <si>
    <t>Oct.NODE_120_length_15339_cov_5.617051_8</t>
  </si>
  <si>
    <t>DNAUV-2.199-16_5</t>
  </si>
  <si>
    <t>COG5323 [FUNC="Phage large terminase packaging protein"] [shortName=] [TAG=X TAGDEF="Mobilome: prophages, transposons" PROCESS=""]  [PATHWAY=""] DNA packaging protein [Neoasaia chiangmaiensis]</t>
  </si>
  <si>
    <t>Terminase large subunit n=1 Tax=Dunaliella viridis virus SI2 TaxID=754069 RepID=M4Q3G1_9CAUD</t>
  </si>
  <si>
    <t>DNAUV-35.210-45_94</t>
  </si>
  <si>
    <t>DNAUV-22.071-221_44</t>
  </si>
  <si>
    <t>COG5323 [FUNC="Phage large terminase packaging protein"] [shortName=] [TAG=X TAGDEF="Mobilome: prophages, transposons" PROCESS=""]  [PATHWAY=""] host specificity protein [Chelativorans sp. BNC1]</t>
  </si>
  <si>
    <t>VOG04614 [FUNC="REFSEQ tail protein"] [TAG=Xu TAGDEF="Function unknown"]</t>
  </si>
  <si>
    <t>Gene transfer agent n=1 Tax=Roseobacter phage RDJL Phi 1 TaxID=562742 RepID=F4YXU5_9CAUD</t>
  </si>
  <si>
    <t>Oct.NODE_1297_length_2672_cov_3.717233_1</t>
  </si>
  <si>
    <t>Gene transfer agent n=1 Tax=Roseobacter phage RDJL Phi 2 TaxID=1682380 RepID=A0A0K0PWS5_9CAUD</t>
  </si>
  <si>
    <t>DNAUV-4.120-96_2</t>
  </si>
  <si>
    <t>COG5323 [FUNC="Phage large terminase packaging protein"] [shortName=] [TAG=X TAGDEF="Mobilome: prophages, transposons" PROCESS=""]  [PATHWAY=""] hypothetical protein [Silicimonas algicola]</t>
  </si>
  <si>
    <t>DNAUV-43.228-64_22</t>
  </si>
  <si>
    <t>GTA-like protein n=1 Tax=Dinoroseobacter phage vB_DshS-R5C TaxID=1965368 RepID=A0A1V0DY94_9CAUD</t>
  </si>
  <si>
    <t>DNAUV-44.091-1296_82</t>
  </si>
  <si>
    <t>Gene transfer agent (GTA) n=1 Tax=Aquamicrobium defluvii TaxID=69279 RepID=A0A011UST7_9HYPH</t>
  </si>
  <si>
    <t>Mai.NODE_485_length_3954_cov_5.803026_6</t>
  </si>
  <si>
    <t>VOG00529 [FUNC="REFSEQ tail fiber protein"] [TAG=Xu TAGDEF="Function unknown"]</t>
  </si>
  <si>
    <t>Gp86 n=1 Tax=Alphaproteobacteria phage PhiJL001 TaxID=2681607 RepID=Q5DN19_9CAUD</t>
  </si>
  <si>
    <t>Oct.NODE_12_length_43814_cov_20.924267_46</t>
  </si>
  <si>
    <t>Sept.NODE_763_length_2781_cov_2.961482_1</t>
  </si>
  <si>
    <t>DNAUV-36.663-167_183</t>
  </si>
  <si>
    <t>COG5323 [FUNC="Phage large terminase packaging protein"] [shortName=] [TAG=X TAGDEF="Mobilome: prophages, transposons" PROCESS=""]  [PATHWAY=""] phage DNA packaging protein [Gluconobacter oxydans]</t>
  </si>
  <si>
    <t>DNAUV-7.476-13_9</t>
  </si>
  <si>
    <t>COG5362 [FUNC="Phage terminase large subunit"] [shortName=] [TAG=X TAGDEF="Mobilome: prophages, transposons" PROCESS=""]  [PATHWAY=""] hypothetical protein [[Eubacterium] rectale]</t>
  </si>
  <si>
    <t>DNAUV-28.787-28_25</t>
  </si>
  <si>
    <t>COG5362 [FUNC="Phage terminase large subunit"] [shortName=] [TAG=X TAGDEF="Mobilome: prophages, transposons" PROCESS=""]  [PATHWAY=""] hypothetical protein [Mesorhizobium loti]</t>
  </si>
  <si>
    <t>Terminase large subunit n=1 Tax=Pseudoalteromonas phage H101 TaxID=1654919 RepID=A0A0H4IP49_9CAUD</t>
  </si>
  <si>
    <t>DNAUV-56.054-300_43</t>
  </si>
  <si>
    <t>Putative terminase large subunit n=1 Tax=Klebsiella phage vB_KpM_FBKp34 TaxID=2801835 RepID=A0A7U0J6T5_9CAUD</t>
  </si>
  <si>
    <t>DNAUV-85.908-43_90</t>
  </si>
  <si>
    <t>Terminase n=4 Tax=Leptospira stimsonii TaxID=2202203 RepID=A0A5F1XJJ2_9LEPT</t>
  </si>
  <si>
    <t>DNAUV-85.908-43_92</t>
  </si>
  <si>
    <t>Terminase n=3 Tax=Plateaulakevirus TaxID=2843436 RepID=A0A5B9N3X0_9CAUD</t>
  </si>
  <si>
    <t>Avril.NODE_1351_length_2233_cov_3.587236_3</t>
  </si>
  <si>
    <t>COG5362 [FUNC="Phage terminase large subunit"] [shortName=] [TAG=X TAGDEF="Mobilome: prophages, transposons" PROCESS=""]  [PATHWAY=""] hypothetical protein [Pirellula staleyi]</t>
  </si>
  <si>
    <t>Terminase large subunit n=1 Tax=Bordetella phage MW2 TaxID=1916126 RepID=A0A2D0W956_9CAUD</t>
  </si>
  <si>
    <t>DNAUV-24.246-33_36</t>
  </si>
  <si>
    <t>sp|P10310|TERL_BPT3 Terminase, large subunit OS=Enterobacteria phage T3 OX=10759 GN=19 PE=1 SV=1</t>
  </si>
  <si>
    <t>COG5362 [FUNC="Phage terminase large subunit"] [shortName=] [TAG=X TAGDEF="Mobilome: prophages, transposons" PROCESS=""]  [PATHWAY=""] hypothetical protein DVU2611 [Desulfovibrio vulgaris str. Hildenborough]</t>
  </si>
  <si>
    <t>Terminase large subunit n=2 Tax=Siovirus germanense TaxID=2845497 RepID=A0A3G2YRM5_9CAUD</t>
  </si>
  <si>
    <t>DNAUV-7.251-124_18</t>
  </si>
  <si>
    <t>Terminase large subunit n=1 Tax=Roseobacter phage CRP-4 TaxID=2559283 RepID=A0A646QW75_9CAUD</t>
  </si>
  <si>
    <t>Mai.NODE_597_length_3414_cov_4.090801_2</t>
  </si>
  <si>
    <t>sp|Q9P9T5|Y1569_XYLFA Uncharacterized protein XF_1569/XF_1674 OS=Xylella fastidiosa (strain 9a5c) OX=160492 GN=XF_1569 PE=4 SV=1</t>
  </si>
  <si>
    <t>Terminase large subunit n=1 Tax=Roseobacter phage CRP-5 TaxID=2559284 RepID=A0A646QWW2_9CAUD</t>
  </si>
  <si>
    <t>Sept.NODE_114_length_11549_cov_14.463633_5</t>
  </si>
  <si>
    <t>05.07.P3-8.078-9.0_11</t>
  </si>
  <si>
    <t>COG5362 [FUNC="Phage terminase large subunit"] [shortName=] [TAG=X TAGDEF="Mobilome: prophages, transposons" PROCESS=""]  [PATHWAY=""] phage protein [Desulfovibrio vulgaris str. Hildenborough]</t>
  </si>
  <si>
    <t>DNAUV-18.095-1024_5</t>
  </si>
  <si>
    <t>Terminase n=1 Tax=Lentibacter virus vB_LenP_ICBM2 TaxID=2301529 RepID=A0A3G2YRD2_9CAUD</t>
  </si>
  <si>
    <t>DNAUV-37.297-108_30</t>
  </si>
  <si>
    <t>DNAUV-5.435-284_9</t>
  </si>
  <si>
    <t>Oct.NODE_84_length_21524_cov_20.230844_4</t>
  </si>
  <si>
    <t>Sept.NODE_280_length_5543_cov_50.885751_3</t>
  </si>
  <si>
    <t>DNAUV-29.591-37_9</t>
  </si>
  <si>
    <t>COG5362 [FUNC="Phage terminase large subunit"] [shortName=] [TAG=X TAGDEF="Mobilome: prophages, transposons" PROCESS=""]  [PATHWAY=""] terminase [Methanosarcina acetivorans C2A]</t>
  </si>
  <si>
    <t>Terminase-like family protein n=2 Tax=unclassified Caudoviricetes TaxID=2788787 RepID=A0A9P0Y7W4_9CAUD</t>
  </si>
  <si>
    <t>DNAUV-3.446-14_6</t>
  </si>
  <si>
    <t>Terminase large subunit n=1 Tax=Aeromonas phage vB_AceP_PAc TaxID=2996154 RepID=A0A9E9LYT6_9CAUD</t>
  </si>
  <si>
    <t>Oct.NODE_78_length_22629_cov_4.860991_2</t>
  </si>
  <si>
    <t>DNAUV-7.828-820_13</t>
  </si>
  <si>
    <t>COG5377 [FUNC="Phage-related protein, predicted endonuclease"] [shortName=] [TAG=X TAGDEF="Mobilome: prophages, transposons" PROCESS=""]  [PATHWAY=""] exonuclease [Dyella jiangningensis]</t>
  </si>
  <si>
    <t>Exonuclease n=1 Tax=Pseudoalteromonas phage H103 TaxID=1636200 RepID=A0A0K0MD53_9CAUD</t>
  </si>
  <si>
    <t>Oct.NODE_518_length_4867_cov_9.753325_4</t>
  </si>
  <si>
    <t>Avril.NODE_518_length_4558_cov_5.956918_3</t>
  </si>
  <si>
    <t>sp|P03697|EXO_LAMBD Exonuclease OS=Escherichia phage lambda OX=2681611 GN=exo PE=1 SV=1</t>
  </si>
  <si>
    <t>Putative phage-type endonuclease n=1 Tax=Pseudochelatococcus contaminans TaxID=1538103 RepID=A0A7W5Z2A2_9HYPH</t>
  </si>
  <si>
    <t>DNAUV-22.127-23_31</t>
  </si>
  <si>
    <t>Phage exonuclease n=1 Tax=Marinomonas phage P12026 TaxID=1176423 RepID=I6R1J7_9CAUD</t>
  </si>
  <si>
    <t>DNAUV-4.043-11_4</t>
  </si>
  <si>
    <t>Exonuclease n=1 Tax=Microvirga sp. BSC39 TaxID=1549810 RepID=A0A086MIF3_9HYPH</t>
  </si>
  <si>
    <t>DNAUV-4.606-12_11</t>
  </si>
  <si>
    <t>Mai.NODE_902_length_2500_cov_3.598773_3</t>
  </si>
  <si>
    <t>Sept.NODE_434_length_4079_cov_4.062127_3</t>
  </si>
  <si>
    <t>YqaJ-like recombinase protein n=2 Tax=Melaminivora alkalimesophila TaxID=1165852 RepID=A0A317RAJ9_9BURK</t>
  </si>
  <si>
    <t>DNAUV-10.460-73_16</t>
  </si>
  <si>
    <t>Avril.NODE_268_length_7382_cov_6.597516_10</t>
  </si>
  <si>
    <t>DNAUV-3.853-13_1</t>
  </si>
  <si>
    <t>YqaJ viral recombinase domain-containing protein n=1 Tax=Vibrio phage pYD21-A TaxID=754049 RepID=M4Q4Y1_9CAUD</t>
  </si>
  <si>
    <t>DNAUV-42.184-72_9</t>
  </si>
  <si>
    <t>Putative Yqaj-like alkaline DNA exonuclease n=1 Tax=Idiomarinaceae phage Phi1M2-2 TaxID=1527515 RepID=A0A088FB27_9CAUD</t>
  </si>
  <si>
    <t>DNAUV-5.468-24_18</t>
  </si>
  <si>
    <t>COG5377 [FUNC="Phage-related protein, predicted endonuclease"] [shortName=] [TAG=X TAGDEF="Mobilome: prophages, transposons" PROCESS=""]  [PATHWAY=""] hypothetical protein [bacterium endosymbiont of Mortierella elongata FMR23-6]</t>
  </si>
  <si>
    <t>DNAUV-9.183-44_32</t>
  </si>
  <si>
    <t>DNAUV-9.187-98_21</t>
  </si>
  <si>
    <t>Oct.NODE_431_length_5507_cov_6.212216_4</t>
  </si>
  <si>
    <t>DNAUV-35.223-36_81</t>
  </si>
  <si>
    <t>sp|P45907|YQAJ_BACSU Uncharacterized protein YqaJ OS=Bacillus subtilis (strain 168) OX=224308 GN=yqaJ PE=4 SV=1</t>
  </si>
  <si>
    <t>COG5377 [FUNC="Phage-related protein, predicted endonuclease"] [shortName=] [TAG=X TAGDEF="Mobilome: prophages, transposons" PROCESS=""]  [PATHWAY=""] hypothetical protein [Catenulispora acidiphila]</t>
  </si>
  <si>
    <t>YqaJ viral recombinase domain-containing protein n=1 Tax=Aphanizomenon flos-aquae WA102 TaxID=1710896 RepID=A0A1B7WZ33_APHFL</t>
  </si>
  <si>
    <t>Mai.NODE_820_length_2687_cov_7.629939_9</t>
  </si>
  <si>
    <t>COG5377 [FUNC="Phage-related protein, predicted endonuclease"] [shortName=] [TAG=X TAGDEF="Mobilome: prophages, transposons" PROCESS=""]  [PATHWAY=""] hypothetical protein [Gemmatimonas aurantiaca]</t>
  </si>
  <si>
    <t>Conserved phage protein n=2 Tax=Rhizobium meliloti TaxID=382 RepID=F7X244_SINMM</t>
  </si>
  <si>
    <t>11.09.P2-11.877-4.3_8</t>
  </si>
  <si>
    <t>COG5377 [FUNC="Phage-related protein, predicted endonuclease"] [shortName=] [TAG=X TAGDEF="Mobilome: prophages, transposons" PROCESS=""]  [PATHWAY=""] hypothetical protein [Pontimonas salivibrio]</t>
  </si>
  <si>
    <t>VOG14745 [FUNC="REFSEQ exonuclease"] [TAG=Xu TAGDEF="Function unknown"]</t>
  </si>
  <si>
    <t>Lambda exonuclease n=1 Tax=Pontimonas phage phiPsal1 TaxID=2079347 RepID=A0A2K9VGR3_9CAUD</t>
  </si>
  <si>
    <t>DNAUV-15.533-18_16</t>
  </si>
  <si>
    <t>DNAUV-2.589-89_1</t>
  </si>
  <si>
    <t>DNAUV-3.804-223_10</t>
  </si>
  <si>
    <t>DNAUV-4.595-108_1</t>
  </si>
  <si>
    <t>DNAUV-5.269-158_15</t>
  </si>
  <si>
    <t>DNAUV-6.604-1139_19</t>
  </si>
  <si>
    <t>DNAUV-9.007-689_17</t>
  </si>
  <si>
    <t>DNAUV-9.330-291_12</t>
  </si>
  <si>
    <t>Oct.NODE_54_length_30916_cov_12.817180_24</t>
  </si>
  <si>
    <t>Oct.NODE_731_length_3892_cov_3.792025_4</t>
  </si>
  <si>
    <t>DNAUV-16.760-19_21</t>
  </si>
  <si>
    <t>COG5377 [FUNC="Phage-related protein, predicted endonuclease"] [shortName=] [TAG=X TAGDEF="Mobilome: prophages, transposons" PROCESS=""]  [PATHWAY=""] hypothetical protein [Rummeliibacillus stabekisii]</t>
  </si>
  <si>
    <t>Putative recombinase n=1 Tax=Bdellovibrio phage phi1422 TaxID=1127515 RepID=H9C0I7_9CAUD</t>
  </si>
  <si>
    <t>DNAUV-5.308-10_9</t>
  </si>
  <si>
    <t>COG5377 [FUNC="Phage-related protein, predicted endonuclease"] [shortName=] [TAG=X TAGDEF="Mobilome: prophages, transposons" PROCESS=""]  [PATHWAY=""] YqaJ viral recombinase family [Rhodomicrobium vannielii]</t>
  </si>
  <si>
    <t>YqaJ-like viral recombinase domain protein n=1 Tax=Pelotomaculum sp. PtaB.Bin104 TaxID=1811693 RepID=A0A1V4VVK9_9FIRM</t>
  </si>
  <si>
    <t>DNAUV-2.479-15_2</t>
  </si>
  <si>
    <t>sp|Q6QIA5|TMP_BPBMU Probable tape measure protein OS=Burkholderia phage BcepMu (isolate -/United States/Summer/2002) OX=1283335 GN=BcepMu44 PE=3 SV=1</t>
  </si>
  <si>
    <t>COG5412 [FUNC="Phage-related protein"] [shortName=] [TAG=X TAGDEF="Mobilome: prophages, transposons" PROCESS=""]  [PATHWAY=""] G-protein gamma-like subunit [Desulfotomaculum ruminis]</t>
  </si>
  <si>
    <t>Uncharacterized protein n=1 Tax=Microcella frigidaquae TaxID=424758 RepID=A0A840XMR6_9MICO</t>
  </si>
  <si>
    <t>11.09.P4-19.981-12_50</t>
  </si>
  <si>
    <t>COG5412 [FUNC="Phage-related protein"] [shortName=] [TAG=X TAGDEF="Mobilome: prophages, transposons" PROCESS=""]  [PATHWAY=""] hypothetical protein [Mobiluncus curtisii]</t>
  </si>
  <si>
    <t>Uncharacterized protein n=1 Tax=Nocardioides bruguierae TaxID=2945102 RepID=A0A9X2D5P8_9ACTN</t>
  </si>
  <si>
    <t>DNAUV-35.223-36_70</t>
  </si>
  <si>
    <t>DNAUV-4.965-18_10</t>
  </si>
  <si>
    <t>COG5412 [FUNC="Phage-related protein"] [shortName=] [TAG=X TAGDEF="Mobilome: prophages, transposons" PROCESS=""]  [PATHWAY=""] hypothetical protein [Soehngenia sp. W6]</t>
  </si>
  <si>
    <t>Phage-related protein n=1 Tax=Actinopolymorpha pittospori TaxID=648752 RepID=A0A927RK14_9ACTN</t>
  </si>
  <si>
    <t>DNAUV-13.200-228_60</t>
  </si>
  <si>
    <t>COG5412 [FUNC="Phage-related protein"] [shortName=] [TAG=X TAGDEF="Mobilome: prophages, transposons" PROCESS=""]  [PATHWAY=""] phage tail tape measure protein [Anaerostipes hadrus]</t>
  </si>
  <si>
    <t>Phage tail tape measure protein, TP901 family n=1 Tax=Evansella cellulosilytica (strain ATCC 21833 / DSM 2522 / FERM P-1141 / JCM 9156 / N-4) TaxID=649639 RepID=E6TVF9_EVAC2</t>
  </si>
  <si>
    <t>Sept.NODE_265_length_5912_cov_87.377156_10</t>
  </si>
  <si>
    <t>11.09.P2-2.920-47_4</t>
  </si>
  <si>
    <t>COG5412 [FUNC="Phage-related protein"] [shortName=] [TAG=X TAGDEF="Mobilome: prophages, transposons" PROCESS=""]  [PATHWAY=""] phage tail tape measure protein [Bacillus licheniformis]</t>
  </si>
  <si>
    <t>DNAUV-8.623-317_30</t>
  </si>
  <si>
    <t>COG5412 [FUNC="Phage-related protein"] [shortName=] [TAG=X TAGDEF="Mobilome: prophages, transposons" PROCESS=""]  [PATHWAY=""] phage tail tape measure protein [Clostridium perfringens]</t>
  </si>
  <si>
    <t>Sept.NODE_425_length_4130_cov_204.285153_1</t>
  </si>
  <si>
    <t>11.09.P4-15.966-7.3_35</t>
  </si>
  <si>
    <t>COG5412 [FUNC="Phage-related protein"] [shortName=] [TAG=X TAGDEF="Mobilome: prophages, transposons" PROCESS=""]  [PATHWAY=""] phage tail tape measure protein [Eggerthella lenta]</t>
  </si>
  <si>
    <t>DNAUV-6.547-120_5</t>
  </si>
  <si>
    <t>DNAUV-7.327-58_8</t>
  </si>
  <si>
    <t>DNAUV-7.580-18_11</t>
  </si>
  <si>
    <t>DNAUV-9.330-291_4</t>
  </si>
  <si>
    <t>Sept.NODE_507_length_3660_cov_163.423578_7</t>
  </si>
  <si>
    <t>Sept.NODE_76_length_16573_cov_22.332425_25</t>
  </si>
  <si>
    <t>11.09.P1-3.089-2.8_6</t>
  </si>
  <si>
    <t>COG5412 [FUNC="Phage-related protein"] [shortName=] [TAG=X TAGDEF="Mobilome: prophages, transposons" PROCESS=""]  [PATHWAY=""] phage tail tape measure protein [Methanomethylovorans hollandica]</t>
  </si>
  <si>
    <t>DNAUV-15.533-18_5</t>
  </si>
  <si>
    <t>VOG00510 [FUNC="sp|Q6XQC4|TMP_BPT1 Tape measure protein"] [TAG=Xp TAGDEF="Virus protein with function beneficial for the virus"]</t>
  </si>
  <si>
    <t>Mai.NODE_617_length_3334_cov_3.419640_3</t>
  </si>
  <si>
    <t>COG5412 [FUNC="Phage-related protein"] [shortName=] [TAG=X TAGDEF="Mobilome: prophages, transposons" PROCESS=""]  [PATHWAY=""] phage tape measure protein [Ethanoligenens harbinense]</t>
  </si>
  <si>
    <t>Tail tape measure protein n=1 Tax=Siphoviridae sp. ctfW121 TaxID=2826413 RepID=A0A8S5N9B9_9CAUD</t>
  </si>
  <si>
    <t>DNAUV-4.552-13_3</t>
  </si>
  <si>
    <t>COG5437 [FUNC="Phage tail protein, TP901-1 family"] [shortName=LmaA] [TAG=X TAGDEF="Mobilome: prophages, transposons" PROCESS=""]  [PATHWAY=""] phage major tail protein, TP901-1 family [Gemmata obscuriglobus]</t>
  </si>
  <si>
    <t>VOG02777 [FUNC="REFSEQ major tail protein"] [TAG=Xu TAGDEF="Function unknown"]</t>
  </si>
  <si>
    <t>Putative major tail protein n=1 Tax=Alteromonas phage PB15 TaxID=1913113 RepID=A0A1J0GWA1_9CAUD</t>
  </si>
  <si>
    <t>Avril.NODE_314_length_6525_cov_6.168624_4</t>
  </si>
  <si>
    <t>COG5511 [FUNC="Phage capsid protein"] [shortName=] [TAG=X TAGDEF="Mobilome: prophages, transposons" PROCESS=""]  [PATHWAY=""] phage portal protein [Brachyspira intermedia]</t>
  </si>
  <si>
    <t>Portal protein n=1 Tax=Shewanella phage SppYZU01 TaxID=1965372 RepID=A0A1V0DYF9_9CAUD</t>
  </si>
  <si>
    <t>DNAUV-43.274-68_97</t>
  </si>
  <si>
    <t>DNAUV-48.475-181_37</t>
  </si>
  <si>
    <t>sp|P36272|PORTL_BPP21 Portal protein B OS=Enterobacteria phage P21 OX=10711 GN=B PE=3 SV=1</t>
  </si>
  <si>
    <t>DNAUV-51.550-178_40</t>
  </si>
  <si>
    <t>Phage portal protein n=6 Tax=unclassified Caudoviricetes TaxID=2788787 RepID=M4PNW2_9CAUD</t>
  </si>
  <si>
    <t>DNAUV-6.824-277_2</t>
  </si>
  <si>
    <t>DNAUV-7.726-37_31</t>
  </si>
  <si>
    <t>DNAUV-43.228-64_9</t>
  </si>
  <si>
    <t>sp|B0ZSF2|PORTL_BPHA1 Probable portal protein OS=Halomonas phage phiHAP-1 (isolate -/Gulf of Mexico/-/2001) OX=1283337 GN=HAPgp04 PE=3 SV=1</t>
  </si>
  <si>
    <t>COG5511 [FUNC="Phage capsid protein"] [shortName=] [TAG=X TAGDEF="Mobilome: prophages, transposons" PROCESS=""]  [PATHWAY=""] phage portal protein [Candidatus Koribacter versatilis]</t>
  </si>
  <si>
    <t>Phage portal protein n=1 Tax=Pseudodesulfovibrio sp. JC047 TaxID=2683199 RepID=A0A6L9M4Z4_9BACT</t>
  </si>
  <si>
    <t>DNAUV-2.918-14_6</t>
  </si>
  <si>
    <t>COG5511 [FUNC="Phage capsid protein"] [shortName=] [TAG=X TAGDEF="Mobilome: prophages, transposons" PROCESS=""]  [PATHWAY=""] phage portal protein [Haematospirillum jordaniae]</t>
  </si>
  <si>
    <t>Phage portal protein n=1 Tax=Sulfurovum sp. UBA12169 TaxID=2015906 RepID=A0A2D3WK22_9BACT</t>
  </si>
  <si>
    <t>DNAUV-59.689-63_51</t>
  </si>
  <si>
    <t>COG5511 [FUNC="Phage capsid protein"] [shortName=] [TAG=X TAGDEF="Mobilome: prophages, transposons" PROCESS=""]  [PATHWAY=""] phage portal protein [Hartmannibacter diazotrophicus]</t>
  </si>
  <si>
    <t>Portal protein n=4 Tax=unclassified Casjensviridae TaxID=2960002 RepID=A0A097EVZ4_9CAUD</t>
  </si>
  <si>
    <t>Sept.NODE_1199_length_2065_cov_4.475622_3</t>
  </si>
  <si>
    <t>COG5511 [FUNC="Phage capsid protein"] [shortName=] [TAG=X TAGDEF="Mobilome: prophages, transposons" PROCESS=""]  [PATHWAY=""] phage portal protein [Magnetococcus marinus]</t>
  </si>
  <si>
    <t>DNAUV-10.119-460_5</t>
  </si>
  <si>
    <t>COG5518 [FUNC="Phage capsid portal protein XkdE"] [shortName=] [TAG=X TAGDEF="Mobilome: prophages, transposons" PROCESS=""]  [PATHWAY=""] phage portal protein [Moritella viscosa]</t>
  </si>
  <si>
    <t>Phage portal protein n=1 Tax=Nonlabens phage P12024S TaxID=1168478 RepID=I6S2B7_9CAUD</t>
  </si>
  <si>
    <t>DNAUV-6.835-159_8</t>
  </si>
  <si>
    <t>DNAUV-11.762-11_6</t>
  </si>
  <si>
    <t>COG5525 [FUNC="Phage terminase, large subunit GpA"] [shortName=gpA1] [TAG=X TAGDEF="Mobilome: prophages, transposons" PROCESS=""]  [PATHWAY=""] bacteriophage tail assembly protein-like protein [Desulfatibacillum alkenivorans]</t>
  </si>
  <si>
    <t>Phage terminase large subunit GpA n=1 Tax=Desulfallas thermosapovorans DSM 6562 TaxID=1121431 RepID=A0A5S4ZQT1_9FIRM</t>
  </si>
  <si>
    <t>DNAUV-59.689-63_45</t>
  </si>
  <si>
    <t>COG5525 [FUNC="Phage terminase, large subunit GpA"] [shortName=gpA1] [TAG=X TAGDEF="Mobilome: prophages, transposons" PROCESS=""]  [PATHWAY=""] hypothetical protein [Hartmannibacter diazotrophicus]</t>
  </si>
  <si>
    <t>Terminase, large subunit n=5 Tax=unclassified Casjensviridae TaxID=2960002 RepID=G8DCP4_9CAUD</t>
  </si>
  <si>
    <t>DNAUV-2.072-105_2</t>
  </si>
  <si>
    <t>sp|P03708|TERL_LAMBD Terminase, large subunit OS=Escherichia phage lambda OX=2681611 GN=A PE=1 SV=1</t>
  </si>
  <si>
    <t>COG5525 [FUNC="Phage terminase, large subunit GpA"] [shortName=gpA1] [TAG=X TAGDEF="Mobilome: prophages, transposons" PROCESS=""]  [PATHWAY=""] large terminase subunit [Brachyspira intermedia]</t>
  </si>
  <si>
    <t>Putative large terminase subunit n=1 Tax=Shewanella phage SppYZU01 TaxID=1965372 RepID=A0A1V0DYD9_9CAUD</t>
  </si>
  <si>
    <t>DNAUV-2.434-170_4</t>
  </si>
  <si>
    <t>DNAUV-43.274-68_96</t>
  </si>
  <si>
    <t>DNAUV-48.475-181_36</t>
  </si>
  <si>
    <t>sp|P36693|TERL_BPP21 Terminase, large subunit OS=Enterobacteria phage P21 OX=10711 GN=2 PE=3 SV=2</t>
  </si>
  <si>
    <t>DNAUV-51.550-178_37</t>
  </si>
  <si>
    <t>Terminase, large subunit n=5 Tax=unclassified Caudoviricetes TaxID=2788787 RepID=M1Q730_9CAUD</t>
  </si>
  <si>
    <t>DNAUV-7.726-37_26</t>
  </si>
  <si>
    <t>Mai.NODE_285_length_6110_cov_6.752106_2</t>
  </si>
  <si>
    <t>Ig-like domain-containing protein n=1 Tax=Muricauda nanhaiensis TaxID=2292706 RepID=A0A371JL63_9FLAO</t>
  </si>
  <si>
    <t>Avril.NODE_314_length_6525_cov_6.168624_3</t>
  </si>
  <si>
    <t>COG5525 [FUNC="Phage terminase, large subunit GpA"] [shortName=gpA1] [TAG=X TAGDEF="Mobilome: prophages, transposons" PROCESS=""]  [PATHWAY=""] phage terminase large subunit family protein [Commensalibacter sp. AMU001]</t>
  </si>
  <si>
    <t>DNAUV-6.824-277_1</t>
  </si>
  <si>
    <t>COG5525 [FUNC="Phage terminase, large subunit GpA"] [shortName=gpA1] [TAG=X TAGDEF="Mobilome: prophages, transposons" PROCESS=""]  [PATHWAY=""] phage terminase large subunit family protein [Oscillibacter valericigenes]</t>
  </si>
  <si>
    <t>DNAUV-43.228-64_6</t>
  </si>
  <si>
    <t>COG5525 [FUNC="Phage terminase, large subunit GpA"] [shortName=gpA1] [TAG=X TAGDEF="Mobilome: prophages, transposons" PROCESS=""]  [PATHWAY=""] phage terminase large subunit family protein [Virgibacillus halodenitrificans]</t>
  </si>
  <si>
    <t>Phage terminase large subunit (GpA) n=1 Tax=Clostridium chromiireducens TaxID=225345 RepID=A0A1V4IWA6_9CLOT</t>
  </si>
  <si>
    <t>Oct.NODE_1081_length_2974_cov_3.416581_1</t>
  </si>
  <si>
    <t>COG5525 [FUNC="Phage terminase, large subunit GpA"] [shortName=gpA1] [TAG=X TAGDEF="Mobilome: prophages, transposons" PROCESS=""]  [PATHWAY=""] terminase [Polymorphum gilvum]</t>
  </si>
  <si>
    <t>DNAUV-72.439-197_31</t>
  </si>
  <si>
    <t>sp|P17492|REPA_NEIGO Replication protein OS=Neisseria gonorrhoeae OX=485 PE=3 SV=1</t>
  </si>
  <si>
    <t>COG5527 [FUNC="Protein involved in initiation of plasmid replication"] [shortName=] [TAG=X TAGDEF="Mobilome: prophages, transposons" PROCESS=""]  [PATHWAY=""] replication initiation protein [Acidisphaera sp. G45-3]</t>
  </si>
  <si>
    <t>Initiator Replication protein n=1 Tax=Marivita hallyeonensis TaxID=996342 RepID=A0A1M5Y9E2_9RHOB</t>
  </si>
  <si>
    <t>DNAUV-4.014-276_12</t>
  </si>
  <si>
    <t>COG5529 [FUNC="Phage-encoded DNA-binding protein ECs1768, contains HTH and DnaT DNA-binding domains"] [shortName=ECs1768] [TAG=X TAGDEF="Mobilome: prophages, transposons" PROCESS=""]  [PATHWAY=""] helix-turn-helix domain-containing protein [Pandoraea pnomenusa]</t>
  </si>
  <si>
    <t>VOG02804 [FUNC="REFSEQ hypothetical protein"] [TAG=Xu TAGDEF="Function unknown"]</t>
  </si>
  <si>
    <t>Helix-turn-helix domain-containing protein n=1 Tax=Cohaesibacter gelatinilyticus TaxID=372072 RepID=A0A285PNJ1_9HYPH</t>
  </si>
  <si>
    <t>Avril.NODE_874_length_3072_cov_4.595956_1</t>
  </si>
  <si>
    <t>COG5529 [FUNC="Phage-encoded DNA-binding protein ECs1768, contains HTH and DnaT DNA-binding domains"] [shortName=ECs1768] [TAG=X TAGDEF="Mobilome: prophages, transposons" PROCESS=""]  [PATHWAY=""] hypothetical protein [Brenneria goodwinii]</t>
  </si>
  <si>
    <t>Primosomal protein I n=1 Tax=Xanthomonas citri phage CP2 TaxID=1188795 RepID=K7ZLF3_9CAUD</t>
  </si>
  <si>
    <t>DNAUV-38.183-831_13</t>
  </si>
  <si>
    <t>COG5529 [FUNC="Phage-encoded DNA-binding protein ECs1768, contains HTH and DnaT DNA-binding domains"] [shortName=ECs1768] [TAG=X TAGDEF="Mobilome: prophages, transposons" PROCESS=""]  [PATHWAY=""] hypothetical protein [Cronobacter sakazakii]</t>
  </si>
  <si>
    <t>Phage replication protein n=1 Tax=Marinomonas phage P12026 TaxID=1176423 RepID=I6RTT8_9CAUD</t>
  </si>
  <si>
    <t>DNAUV-2.658-12_6</t>
  </si>
  <si>
    <t>DUF5906 domain-containing protein n=1 Tax=Edwardsiella phage PEi21 TaxID=1325372 RepID=N0DQU3_9CAUD</t>
  </si>
  <si>
    <t>DNAUV-44.091-1296_50</t>
  </si>
  <si>
    <t>Replicative primase/helicase n=1 Tax=Rhodobacter phage RcTitan TaxID=1662330 RepID=A0A0K1LKV4_9CAUD</t>
  </si>
  <si>
    <t>Oct.NODE_12_length_43814_cov_20.924267_50</t>
  </si>
  <si>
    <t>DNA primase/helicase n=1 Tax=Escherichia phage Halfdan TaxID=2234092 RepID=A0A2Z5H555_9CAUD</t>
  </si>
  <si>
    <t>Sept.NODE_176_length_8063_cov_18.327173_1</t>
  </si>
  <si>
    <t>Putative DNA primase/helicase n=1 Tax=Pseudomonas oleovorans TaxID=301 RepID=A0A397MLX1_PSEOL</t>
  </si>
  <si>
    <t>DNAUV-59.689-63_307</t>
  </si>
  <si>
    <t>COG5545 [FUNC="Predicted P-loop ATPase and inactivated derivatives"] [shortName=] [TAG=X TAGDEF="Mobilome: prophages, transposons" PROCESS=""]  [PATHWAY=""] hypothetical protein [Phascolarctobacterium faecium]</t>
  </si>
  <si>
    <t>Virulence-associated protein E n=1 Tax=Jannaschia seohaensis TaxID=475081 RepID=A0A2Y9AHM4_9RHOB</t>
  </si>
  <si>
    <t>DNAUV-9.846-39_12</t>
  </si>
  <si>
    <t>Virulence-associated protein E n=1 Tax=Croceibacter phage P2559Y TaxID=1327037 RepID=W8CQP1_9CAUD</t>
  </si>
  <si>
    <t>Mai.NODE_915_length_2475_cov_3.666529_1</t>
  </si>
  <si>
    <t>Phage-like protein n=3 Tax=root TaxID=1 RepID=A0A3B6XGG6_9CAUD</t>
  </si>
  <si>
    <t>DNAUV-13.721-139_18</t>
  </si>
  <si>
    <t>COG5545 [FUNC="Predicted P-loop ATPase and inactivated derivatives"] [shortName=] [TAG=X TAGDEF="Mobilome: prophages, transposons" PROCESS=""]  [PATHWAY=""] hypothetical protein [Robiginitalea biformata]</t>
  </si>
  <si>
    <t>DNA primase domain protein n=1 Tax=Nonlabens phage P12024L TaxID=1168479 RepID=I6R9Q6_9CAUD</t>
  </si>
  <si>
    <t>DNAUV-4.886-90_1</t>
  </si>
  <si>
    <t>DNAUV-51.550-178_23</t>
  </si>
  <si>
    <t>Vir E/ primase domain containing protein n=4 Tax=unclassified Caudoviricetes TaxID=2788787 RepID=M1PL02_9CAUD</t>
  </si>
  <si>
    <t>DNAUV-6.475-429_10</t>
  </si>
  <si>
    <t>Oct.NODE_676_length_4081_cov_9.068554_4</t>
  </si>
  <si>
    <t>23.10.P2-2.475-6.3_2</t>
  </si>
  <si>
    <t>COG5545 [FUNC="Predicted P-loop ATPase and inactivated derivatives"] [shortName=] [TAG=X TAGDEF="Mobilome: prophages, transposons" PROCESS=""]  [PATHWAY=""] hypothetical protein [Steroidobacter denitrificans]</t>
  </si>
  <si>
    <t>Coil containing protein n=1 Tax=Vibrio phage MZH0603 TaxID=2664193 RepID=A0A650EQL6_9CAUD</t>
  </si>
  <si>
    <t>05.07.P4-2.791-1.7_5</t>
  </si>
  <si>
    <t>COG5545 [FUNC="Predicted P-loop ATPase and inactivated derivatives"] [shortName=] [TAG=X TAGDEF="Mobilome: prophages, transposons" PROCESS=""]  [PATHWAY=""] MULTISPECIES: hypothetical protein [Rhodobacteraceae]</t>
  </si>
  <si>
    <t>DUF3987 domain-containing protein n=2 Tax=Novosphingobium marinum TaxID=1514948 RepID=A0A7Y9XWD3_9SPHN</t>
  </si>
  <si>
    <t>Mai.NODE_318_length_5574_cov_4.833303_4</t>
  </si>
  <si>
    <t>DNA primase/polymerase bifunctional N-terminal domain-containing protein n=1 Tax=Gimesia fumaroli TaxID=2527976 RepID=A0A518IKU1_9PLAN</t>
  </si>
  <si>
    <t>Avril.NODE_1470_length_2107_cov_2.945906_2</t>
  </si>
  <si>
    <t>COG5545 [FUNC="Predicted P-loop ATPase and inactivated derivatives"] [shortName=] [TAG=X TAGDEF="Mobilome: prophages, transposons" PROCESS=""]  [PATHWAY=""] phage-like protein [Desulfotomaculum ruminis]</t>
  </si>
  <si>
    <t>DNAUV-4.429-31_4</t>
  </si>
  <si>
    <t>COG5545 [FUNC="Predicted P-loop ATPase and inactivated derivatives"] [shortName=] [TAG=X TAGDEF="Mobilome: prophages, transposons" PROCESS=""]  [PATHWAY=""] virulence protein E [[Clostridium] cellulolyticum]</t>
  </si>
  <si>
    <t>Primase C-terminal 1 domain-containing protein n=1 Tax=Muricauda sp. TMED12 TaxID=1986608 RepID=A0A424LPV8_9FLAO</t>
  </si>
  <si>
    <t>DNAUV-43.492-339_16</t>
  </si>
  <si>
    <t>COG5545 [FUNC="Predicted P-loop ATPase and inactivated derivatives"] [shortName=] [TAG=X TAGDEF="Mobilome: prophages, transposons" PROCESS=""]  [PATHWAY=""] virulence-associated E family protein [Chroococcidiopsis thermalis]</t>
  </si>
  <si>
    <t>DNAUV-51.550-178_10</t>
  </si>
  <si>
    <t>COG5545 [FUNC="Predicted P-loop ATPase and inactivated derivatives"] [shortName=] [TAG=X TAGDEF="Mobilome: prophages, transposons" PROCESS=""]  [PATHWAY=""] virulence-associated E family protein [Pseudopedobacter saltans]</t>
  </si>
  <si>
    <t>VirE n=5 Tax=unclassified Caudoviricetes TaxID=2788787 RepID=M1NXJ3_9CAUD</t>
  </si>
  <si>
    <t>DNAUV-43.492-339_75</t>
  </si>
  <si>
    <t>COG5565 [FUNC="Phage terminase large (ATPase) subunit and inactivated derivatives"] [shortName=] [TAG=X TAGDEF="Mobilome: prophages, transposons" PROCESS=""]  [PATHWAY=""] DNA packaging protein [Bradyrhizobium japonicum]</t>
  </si>
  <si>
    <t>Terminase n=1 Tax=Arthrobacter phage Casserole TaxID=2946721 RepID=A0A9E7SJ57_9CAUD</t>
  </si>
  <si>
    <t>Sept.NODE_891_length_2510_cov_5.846029_2</t>
  </si>
  <si>
    <t>COG5565 [FUNC="Phage terminase large (ATPase) subunit and inactivated derivatives"] [shortName=] [TAG=X TAGDEF="Mobilome: prophages, transposons" PROCESS=""]  [PATHWAY=""] DNA packaging protein [Liberibacter crescens]</t>
  </si>
  <si>
    <t>TerL n=1 Tax=EBPR podovirus 1 TaxID=1048515 RepID=F8TUP1_9CAUD</t>
  </si>
  <si>
    <t>DNAUV-20.225-38_4</t>
  </si>
  <si>
    <t>COG5565 [FUNC="Phage terminase large (ATPase) subunit and inactivated derivatives"] [shortName=] [TAG=X TAGDEF="Mobilome: prophages, transposons" PROCESS=""]  [PATHWAY=""] MULTISPECIES: DNA packaging protein [Ensifer]</t>
  </si>
  <si>
    <t>DNA packaging protein n=1 Tax=Sinorhizobium sp. BJ1 TaxID=2035455 RepID=A0A2A6P740_9HYPH</t>
  </si>
  <si>
    <t>Sept.NODE_472_length_3823_cov_3.977176_1</t>
  </si>
  <si>
    <t>DNA packaging protein n=2 Tax=Variovorax sp. DXTD-1 TaxID=2495592 RepID=A0A3R9ZES1_9BURK</t>
  </si>
  <si>
    <t>DNAUV-10.604-22_9</t>
  </si>
  <si>
    <t>COG5614 [FUNC="Phage head-tail adaptor"] [shortName=] [TAG=X TAGDEF="Mobilome: prophages, transposons" PROCESS=""]  [PATHWAY=""] head-tail adaptor protein [Desulfarculus baarsii]</t>
  </si>
  <si>
    <t>VOG00071 [FUNC="sp|O48446|HCP16_BPSPP Head completion protein gp16"] [TAG=Xp TAGDEF="Virus protein with function beneficial for the virus"]</t>
  </si>
  <si>
    <t>Phage head-tail adaptor n=1 Tax=Marinomonas phage P12026 TaxID=1176423 RepID=I6R1H4_9CAUD</t>
  </si>
  <si>
    <t>DNAUV-38.512-299_31</t>
  </si>
  <si>
    <t>COG5614 [FUNC="Phage head-tail adaptor"] [shortName=] [TAG=X TAGDEF="Mobilome: prophages, transposons" PROCESS=""]  [PATHWAY=""] head-tail adaptor protein [Rahnella sp. Y9602]</t>
  </si>
  <si>
    <t>Head-tail adaptor protein n=1 Tax=Pantoea cypripedii TaxID=55209 RepID=A0A6B9FXE2_PANCY</t>
  </si>
  <si>
    <t>DNAUV-152.980-60_188</t>
  </si>
  <si>
    <t>sp|Q3V2Q8|N42L1_MOUSE NEDD4-binding protein 2-like 1 OS=Mus musculus OX=10090 GN=N4bp2l1 PE=2 SV=1</t>
  </si>
  <si>
    <t>COG0645 [FUNC="Predicted kinase, contains AAA domain"] [shortName=] [TAG=R TAGDEF="General function prediction only" PROCESS="POORLY CHARACTERIZED"]  [PATHWAY=""] hypothetical protein VP1457 [Vibrio parahaemolyticus RIMD 2210633]</t>
  </si>
  <si>
    <t>ATP-binding protein n=1 Tax=Ralstonia phage RsoM2USA TaxID=2070027 RepID=A0A8D4KGR1_9CAUD</t>
  </si>
  <si>
    <t>DNAUV-159.889-409_157</t>
  </si>
  <si>
    <t>AAA family ATPase n=3 Tax=Vibrio parahaemolyticus TaxID=670 RepID=A0A7Y0SC06_VIBPH</t>
  </si>
  <si>
    <t>11.09.P4-14.055-4.5_14</t>
  </si>
  <si>
    <t>sp|Q9BUJ2|HNRL1_HUMAN Heterogeneous nuclear ribonucleoprotein U-like protein 1 OS=Homo sapiens OX=9606 GN=HNRNPUL1 PE=1 SV=2</t>
  </si>
  <si>
    <t>COG0645 [FUNC="Predicted kinase, contains AAA domain"] [shortName=] [TAG=R TAGDEF="General function prediction only" PROCESS="POORLY CHARACTERIZED"]  [PATHWAY=""] WYL domain-containing protein [Stanieria cyanosphaera]</t>
  </si>
  <si>
    <t>Kinase n=2 Tax=unclassified Caudoviricetes TaxID=2788787 RepID=A0A2Z4QGP2_9CAUD</t>
  </si>
  <si>
    <t>DNAUV-35.210-45_120</t>
  </si>
  <si>
    <t>COG0645 [FUNC="Predicted kinase, contains AAA domain"] [shortName=] [TAG=R TAGDEF="General function prediction only" PROCESS="POORLY CHARACTERIZED"]  [PATHWAY=""] zeta toxin-like protein [Glutamicibacter arilaitensis]</t>
  </si>
  <si>
    <t>Uncharacterized protein n=1 Tax=Dunaliella viridis virus SI2 TaxID=754069 RepID=M4QBW1_9CAUD</t>
  </si>
  <si>
    <t>DNAUV-5.164-153_14</t>
  </si>
  <si>
    <t>COG0714 [FUNC="MoxR-like ATPase"] [shortName=MoxR] [TAG=R TAGDEF="General function prediction only" PROCESS="POORLY CHARACTERIZED"]  [PATHWAY="Cobalamine/B12 biosynthesis"] ATP-binding protein [Actinoplanes friuliensis]</t>
  </si>
  <si>
    <t>VOG00905 [FUNC="sp|O31673|CLPE_BACSU ATP-dependent Clp protease ATP-binding subunit ClpE"] [TAG=Xh TAGDEF="Virus protein with function beneficial for the host"]</t>
  </si>
  <si>
    <t>AAA domain-containing protein n=2 Tax=Spiribacter salilacus TaxID=2664894 RepID=A0A6N7QPJ9_9GAMM</t>
  </si>
  <si>
    <t>DNAUV-147.430-52_160</t>
  </si>
  <si>
    <t>sp|Q8T5T1|MDN1_GIAIN Midasin OS=Giardia intestinalis OX=5741 GN=MDN1 PE=3 SV=1</t>
  </si>
  <si>
    <t>COG0714 [FUNC="MoxR-like ATPase"] [shortName=MoxR] [TAG=R TAGDEF="General function prediction only" PROCESS="POORLY CHARACTERIZED"]  [PATHWAY="Cobalamine/B12 biosynthesis"] ATP-binding protein [Candidatus Thiodictyon syntrophicum]</t>
  </si>
  <si>
    <t>AAA family ATPase n=1 Tax=Roseburia sp. 1XD42-69 TaxID=2320088 RepID=A0A3A9GBJ6_9FIRM</t>
  </si>
  <si>
    <t>DNAUV-40.486-52_35</t>
  </si>
  <si>
    <t>sp|Q9HI16|GVPN1_HALSA Gas vesicle ATPase GvpN1 OS=Halobacterium salinarum (strain ATCC 700922 / JCM 11081 / NRC-1) OX=64091 GN=gvpN11 PE=1 SV=1</t>
  </si>
  <si>
    <t>COG0714 [FUNC="MoxR-like ATPase"] [shortName=MoxR] [TAG=R TAGDEF="General function prediction only" PROCESS="POORLY CHARACTERIZED"]  [PATHWAY="Cobalamine/B12 biosynthesis"] ATPase [Nonlabens dokdonensis]</t>
  </si>
  <si>
    <t>AAA family ATPase n=1 Tax=Spirosoma sordidisoli TaxID=2502893 RepID=A0A4Q2UBP0_9BACT</t>
  </si>
  <si>
    <t>DNAUV-72.439-197_27</t>
  </si>
  <si>
    <t>COG0714 [FUNC="MoxR-like ATPase"] [shortName=MoxR] [TAG=R TAGDEF="General function prediction only" PROCESS="POORLY CHARACTERIZED"]  [PATHWAY="Cobalamine/B12 biosynthesis"] MoxR family ATPase [Pseudodesulfovibrio aespoeensis]</t>
  </si>
  <si>
    <t>ATP-binding protein n=1 Tax=Mesorhizobium sp. M4B.F.Ca.ET.058.02.1.1 TaxID=2493675 RepID=A0A3S9ELL4_9HYPH</t>
  </si>
  <si>
    <t>05.07.P3-6.535-17_12</t>
  </si>
  <si>
    <t>COG0714 [FUNC="MoxR-like ATPase"] [shortName=MoxR] [TAG=R TAGDEF="General function prediction only" PROCESS="POORLY CHARACTERIZED"]  [PATHWAY="Cobalamine/B12 biosynthesis"] MoxR family ATPase [Sulfurimonas autotrophica]</t>
  </si>
  <si>
    <t>ATPase n=4 Tax=unclassified Caudoviricetes TaxID=2788787 RepID=A0A915Y956_9CAUD</t>
  </si>
  <si>
    <t>Avril.NODE_118_length_15026_cov_7.254091_7</t>
  </si>
  <si>
    <t>COG0714 [FUNC="MoxR-like ATPase"] [shortName=MoxR] [TAG=R TAGDEF="General function prediction only" PROCESS="POORLY CHARACTERIZED"]  [PATHWAY="Cobalamine/B12 biosynthesis"] MoxR-like ATPase [Chamaesiphon minutus PCC 6605]</t>
  </si>
  <si>
    <t>N4 gp24-like protein n=1 Tax=Silicibacter phage DSS3phi2 TaxID=490912 RepID=C4NT22_9CAUD</t>
  </si>
  <si>
    <t>DNAUV-2.968-10_3</t>
  </si>
  <si>
    <t>N4 gp24-like protein n=1 Tax=Sulfitobacter phage EE36phi1 TaxID=490913 RepID=C4NTA1_9CAUD</t>
  </si>
  <si>
    <t>DNAUV-73.172-54_128</t>
  </si>
  <si>
    <t>DNAUV-147.430-52_204</t>
  </si>
  <si>
    <t>sp|P29933|COBS_SINSX Aerobic cobaltochelatase subunit CobS OS=Sinorhizobium sp. OX=42445 GN=cobS PE=1 SV=1</t>
  </si>
  <si>
    <t>COG0714 [FUNC="MoxR-like ATPase"] [shortName=MoxR] [TAG=R TAGDEF="General function prediction only" PROCESS="POORLY CHARACTERIZED"]  [PATHWAY="Cobalamine/B12 biosynthesis"] porphyrin biosynthesis protein [Sutterella megalosphaeroides]</t>
  </si>
  <si>
    <t>CobS n=1 Tax=Synechococcus phage S-T4 TaxID=2268578 RepID=A0A385EHL1_9CAUD</t>
  </si>
  <si>
    <t>05.07.P3-6.554-4.7_3</t>
  </si>
  <si>
    <t>COG0790 [FUNC="TPR repeat"] [shortName=TPR] [TAG=R TAGDEF="General function prediction only" PROCESS="POORLY CHARACTERIZED"]  [PATHWAY=""] hypothetical protein [Nitrospira defluvii]</t>
  </si>
  <si>
    <t>VOG00062 [FUNC="sp|Q5UP18|YR865_MIMIV Uncharacterized protein R865"] [TAG=Xu TAGDEF="Function unknown"]</t>
  </si>
  <si>
    <t>Bacteriophage T5 Orf172 DNA-binding domain-containing protein n=1 Tax=Roseobacter phage CRP-2 TaxID=2559281 RepID=A0A646QWC9_9CAUD</t>
  </si>
  <si>
    <t>DNAUV-50.039-64_23</t>
  </si>
  <si>
    <t>DNAUV-2.987-14_1</t>
  </si>
  <si>
    <t>sp|A1A280|MIAB_BIFAA tRNA-2-methylthio-N(6)-dimethylallyladenosine synthase OS=Bifidobacterium adolescentis (strain ATCC 15703 / DSM 20083 / NCTC 11814 / E194a) OX=367928 GN=miaB PE=3 SV=1</t>
  </si>
  <si>
    <t>COG1032 [FUNC="Radical SAM superfamily enzyme YgiQ, UPF0313 family"] [shortName=YgiQ] [TAG=R TAGDEF="General function prediction only" PROCESS="POORLY CHARACTERIZED"]  [PATHWAY=""] radical SAM protein [Magnetospira sp. QH-2]</t>
  </si>
  <si>
    <t>Uncharacterized protein n=2 Tax=Magnetospira sp. (strain QH-2) TaxID=1288970 RepID=W6KDR3_MAGSQ</t>
  </si>
  <si>
    <t>DNAUV-2.539-13_10</t>
  </si>
  <si>
    <t>COG1040 [FUNC="DNA utilization protein ComFC/GntX, contains phosphoribosyltransferase domain"] [shortName=ComFC] [TAG=R TAGDEF="General function prediction only" PROCESS="POORLY CHARACTERIZED"]  [PATHWAY=""] PLxRFG domain-containing protein [Stenotrophomonas maltophilia]</t>
  </si>
  <si>
    <t>Helicase ATP-binding domain-containing protein n=1 Tax=Ruegeria phage 45A6 TaxID=1851646 RepID=A0A1X9HW54_9CAUD</t>
  </si>
  <si>
    <t>DNAUV-46.666-73_1</t>
  </si>
  <si>
    <t>Putative DNA methylase n=1 Tax=Vibrio phage vB_VspS_VS-ABTNL-3 TaxID=2026084 RepID=A0A2D0ZMY1_9CAUD</t>
  </si>
  <si>
    <t>DNAUV-80.863-259_12</t>
  </si>
  <si>
    <t>sp|Q31BD5|CLPP1_PROM9 ATP-dependent Clp protease proteolytic subunit 1 OS=Prochlorococcus marinus (strain MIT 9312) OX=74546 GN=clpP1 PE=3 SV=1</t>
  </si>
  <si>
    <t>Putative tail protein n=1 Tax=Cellulophaga phage phi13:1 TaxID=1327992 RepID=S0A103_9CAUD</t>
  </si>
  <si>
    <t>DNAUV-4.575-12_4</t>
  </si>
  <si>
    <t>COG1340 [FUNC="Uncharacterized coiled-coil protein, contains DUF342 domain"] [shortName=] [TAG=S TAGDEF="Function unknown" PROCESS="POORLY CHARACTERIZED"]  [PATHWAY=""] hypothetical protein [Gallaecimonas sp. HK-28]</t>
  </si>
  <si>
    <t>Putative tail tapemeasure protein n=1 Tax=Acinetobacter phage Loki TaxID=1970374 RepID=A0A0P1KKF4_9CAUD</t>
  </si>
  <si>
    <t>Oct.NODE_458_length_5235_cov_67.917181_1</t>
  </si>
  <si>
    <t>COG1357 [FUNC="Uncharacterized conserved protein YjbI, contains pentapeptide repeats"] [shortName=YjbI] [TAG=S TAGDEF="Function unknown" PROCESS="POORLY CHARACTERIZED"]  [PATHWAY=""] BspA family leucine-rich repeat surface protein [Ichthyobacterium seriolicida]</t>
  </si>
  <si>
    <t>Surface protein n=1 Tax=Ancylomarina subtilis TaxID=1639035 RepID=A0A4Q7VKD1_9BACT</t>
  </si>
  <si>
    <t>DNAUV-85.908-43_135</t>
  </si>
  <si>
    <t>COG1357 [FUNC="Uncharacterized conserved protein YjbI, contains pentapeptide repeats"] [shortName=YjbI] [TAG=S TAGDEF="Function unknown" PROCESS="POORLY CHARACTERIZED"]  [PATHWAY=""] conserved hypothetical protein [Methanosarcina acetivorans C2A]</t>
  </si>
  <si>
    <t>Pentapeptide repeat-containing protein n=1 Tax=Amazonocrinis nigriterrae CENA67 TaxID=2794033 RepID=A0A8J7LAE2_9NOST</t>
  </si>
  <si>
    <t>DNAUV-3.238-12_9</t>
  </si>
  <si>
    <t>COG1357 [FUNC="Uncharacterized conserved protein YjbI, contains pentapeptide repeats"] [shortName=YjbI] [TAG=S TAGDEF="Function unknown" PROCESS="POORLY CHARACTERIZED"]  [PATHWAY=""] endoribonuclease L-PSP [Nostoc punctiforme]</t>
  </si>
  <si>
    <t>RNA-binding protein 6 n=1 Tax=Rhizobium favelukesii TaxID=348824 RepID=W6RTK5_9HYPH</t>
  </si>
  <si>
    <t>Mai.NODE_1061_length_2218_cov_7.141008_3</t>
  </si>
  <si>
    <t>COG1357 [FUNC="Uncharacterized conserved protein YjbI, contains pentapeptide repeats"] [shortName=YjbI] [TAG=S TAGDEF="Function unknown" PROCESS="POORLY CHARACTERIZED"]  [PATHWAY=""] hypothetical protein [Gloeocapsa sp. PCC 7428]</t>
  </si>
  <si>
    <t>VOG00035 [FUNC="sp|Q5UQ39|YL796_MIMIV Uncharacterized protein L796"] [TAG=Xu TAGDEF="Function unknown"]</t>
  </si>
  <si>
    <t>Pentapeptide repeat protein n=1 Tax=Anaerotruncus colihominis DSM 17241 TaxID=445972 RepID=B0PEW2_9FIRM</t>
  </si>
  <si>
    <t>DNAUV-11.690-13_3</t>
  </si>
  <si>
    <t>COG1357 [FUNC="Uncharacterized conserved protein YjbI, contains pentapeptide repeats"] [shortName=YjbI] [TAG=S TAGDEF="Function unknown" PROCESS="POORLY CHARACTERIZED"]  [PATHWAY=""] hypothetical protein [Marichromatium purpuratum]</t>
  </si>
  <si>
    <t>Pentapeptide repeat protein n=1 Tax=Reticulomyxa filosa TaxID=46433 RepID=X6MHK1_RETFI</t>
  </si>
  <si>
    <t>Avril.NODE_9_length_46600_cov_10.230895_53</t>
  </si>
  <si>
    <t>COG1357 [FUNC="Uncharacterized conserved protein YjbI, contains pentapeptide repeats"] [shortName=YjbI] [TAG=S TAGDEF="Function unknown" PROCESS="POORLY CHARACTERIZED"]  [PATHWAY=""] hypothetical protein CD630_29960 [Clostridioides difficile 630]</t>
  </si>
  <si>
    <t>Pentapeptide repeat protein n=1 Tax=Rhodopseudomonas palustris (strain DX-1) TaxID=652103 RepID=E6VL72_RHOPX</t>
  </si>
  <si>
    <t>DNAUV-8.449-135_22</t>
  </si>
  <si>
    <t>sp|P73709|Y1819_SYNY3 Uncharacterized protein slr1819 OS=Synechocystis sp. (strain PCC 6803 / Kazusa) OX=1111708 GN=slr1819 PE=4 SV=1</t>
  </si>
  <si>
    <t>Pentapeptide repeat family protein n=2 Tax=unclassified Kyanoviridae TaxID=2960609 RepID=A0A650EZC6_9CAUD</t>
  </si>
  <si>
    <t>DNAUV-63.154-214_59</t>
  </si>
  <si>
    <t>COG1357 [FUNC="Uncharacterized conserved protein YjbI, contains pentapeptide repeats"] [shortName=YjbI] [TAG=S TAGDEF="Function unknown" PROCESS="POORLY CHARACTERIZED"]  [PATHWAY=""] pentapeptide repeat-containing protein [Desulfatibacillum alkenivorans]</t>
  </si>
  <si>
    <t>DNAUV-3.328-335_1</t>
  </si>
  <si>
    <t>sp|P0DW63|QNRB_SCAGO Quinolone resistance pentapeptide repeat protein QnrB96 OS=Scandinavium goeteborgense OX=1851514 GN=qnrB96 PE=3 SV=1</t>
  </si>
  <si>
    <t>COG1357 [FUNC="Uncharacterized conserved protein YjbI, contains pentapeptide repeats"] [shortName=YjbI] [TAG=S TAGDEF="Function unknown" PROCESS="POORLY CHARACTERIZED"]  [PATHWAY=""] pentapeptide repeat-containing protein [Gilliamella apicola]</t>
  </si>
  <si>
    <t>Pentapeptide repeat-containing protein n=1 Tax=Entomomonas asaccharolytica TaxID=2785331 RepID=A0A974NHV6_9GAMM</t>
  </si>
  <si>
    <t>DNAUV-2.593-11_5</t>
  </si>
  <si>
    <t>COG1357 [FUNC="Uncharacterized conserved protein YjbI, contains pentapeptide repeats"] [shortName=YjbI] [TAG=S TAGDEF="Function unknown" PROCESS="POORLY CHARACTERIZED"]  [PATHWAY=""] pentapeptide repeat-containing protein [Indioceanicola profundi]</t>
  </si>
  <si>
    <t>Pentapeptide repeat-containing protein n=1 Tax=Salmonella diarizonae TaxID=59204 RepID=A0A627WUV4_SALDZ</t>
  </si>
  <si>
    <t>DNAUV-85.908-43_55</t>
  </si>
  <si>
    <t>COG1357 [FUNC="Uncharacterized conserved protein YjbI, contains pentapeptide repeats"] [shortName=YjbI] [TAG=S TAGDEF="Function unknown" PROCESS="POORLY CHARACTERIZED"]  [PATHWAY=""] protein kinase [Microcoleus sp. PCC 7113]</t>
  </si>
  <si>
    <t>11.09.P3-4.035-43_2</t>
  </si>
  <si>
    <t>COG1357 [FUNC="Uncharacterized conserved protein YjbI, contains pentapeptide repeats"] [shortName=YjbI] [TAG=S TAGDEF="Function unknown" PROCESS="POORLY CHARACTERIZED"]  [PATHWAY=""] serine/threonine protein kinase [Trichodesmium erythraeum]</t>
  </si>
  <si>
    <t>DNAUV-15.895-276_14</t>
  </si>
  <si>
    <t>DNAUV-159.889-409_119</t>
  </si>
  <si>
    <t>COG1408 [FUNC="Predicted phosphohydrolase, MPP superfamily"] [shortName=YaeI] [TAG=R TAGDEF="General function prediction only" PROCESS="POORLY CHARACTERIZED"]  [PATHWAY=""] serine/threonine protein phosphatase [Thermodesulfobacterium geofontis]</t>
  </si>
  <si>
    <t>Calcineurin-like phosphoesterase n=1 Tax=Sinorhizobium phage phiM7 TaxID=1647403 RepID=A0A0F6WBP4_9CAUD</t>
  </si>
  <si>
    <t>DNAUV-7.544-40_3</t>
  </si>
  <si>
    <t>COG1545 [FUNC="Uncharacterized OB-fold protein, contains Zn-ribbon domain"] [shortName=] [TAG=R TAGDEF="General function prediction only" PROCESS="POORLY CHARACTERIZED"]  [PATHWAY=""] helicase [Lentibacillus amyloliquefaciens]</t>
  </si>
  <si>
    <t>Mai.NODE_976_length_2345_cov_5.422707_2</t>
  </si>
  <si>
    <t>COG1579 [FUNC="Predicted nucleic acid-binding protein DR0291, contains C4-type Zn-ribbon domain"] [shortName=DR0291] [TAG=R TAGDEF="General function prediction only" PROCESS="POORLY CHARACTERIZED"]  [PATHWAY=""] hypothetical protein [Maritalea myrionectae]</t>
  </si>
  <si>
    <t>Uncharacterized protein n=1 Tax=Sulfitobacter phage phiGT1 TaxID=2745703 RepID=A0A7D9N064_9CAUD</t>
  </si>
  <si>
    <t>DNAUV-152.980-60_64</t>
  </si>
  <si>
    <t>COG1610 [FUNC="Uncharacterized conserved protein YqeY, may have tRNA amino acid amidase activity"] [shortName=YqeY] [TAG=R TAGDEF="General function prediction only" PROCESS="POORLY CHARACTERIZED"]  [PATHWAY=""] hypothetical protein [Turneriella parva]</t>
  </si>
  <si>
    <t>VOG00801 [FUNC="sp|P54464|YQEY_BACSU Uncharacterized protein YqeY"] [TAG=Xu TAGDEF="Function unknown"]</t>
  </si>
  <si>
    <t>Aspartyl-tRNA amidotransferase subunit B n=2 Tax=Emdodecavirus TaxID=1980937 RepID=A0A0F6WC45_9CAUD</t>
  </si>
  <si>
    <t>DNAUV-159.889-409_123</t>
  </si>
  <si>
    <t>DNAUV-68.024-31_79</t>
  </si>
  <si>
    <t>COG1917 [FUNC="Cupin domain protein related to quercetin dioxygenase"] [shortName=QdoI] [TAG=R TAGDEF="General function prediction only" PROCESS="POORLY CHARACTERIZED"]  [PATHWAY=""] cupin domain-containing protein [Candidatus Nucleicultrix amoebiphila]</t>
  </si>
  <si>
    <t>Glucose-1-phosphate adenylyltransferase related protein n=2 Tax=Synechococcus phage S-CAM3 TaxID=1883366 RepID=A0A1D8KJR5_9CAUD</t>
  </si>
  <si>
    <t>DNAUV-17.838-18_13</t>
  </si>
  <si>
    <t>COG1978 [FUNC="Predicted RNase H-related nuclease YkuK, DUF458 family"] [shortName=YkuK] [TAG=R TAGDEF="General function prediction only" PROCESS="POORLY CHARACTERIZED"]  [PATHWAY=""] DUF458 domain-containing protein [Nonlabens dokdonensis]</t>
  </si>
  <si>
    <t>VOG21041 [FUNC="REFSEQ hypothetical protein"] [TAG=Xu TAGDEF="Function unknown"]</t>
  </si>
  <si>
    <t>Ribonuclease n=1 Tax=Rhodobacter phage RcXuper TaxID=2973496 RepID=A0A976SQH6_9CAUD</t>
  </si>
  <si>
    <t>DNAUV-24.776-121_35</t>
  </si>
  <si>
    <t>COG1978 [FUNC="Predicted RNase H-related nuclease YkuK, DUF458 family"] [shortName=YkuK] [TAG=R TAGDEF="General function prediction only" PROCESS="POORLY CHARACTERIZED"]  [PATHWAY=""] hypothetical protein [Chitinophaga pinensis]</t>
  </si>
  <si>
    <t>Uncharacterized protein n=1 Tax=Polynucleobacter antarcticus TaxID=1743162 RepID=A0A6M9PRJ1_9BURK</t>
  </si>
  <si>
    <t>11.09.P4-14.055-4.5_13</t>
  </si>
  <si>
    <t>COG1978 [FUNC="Predicted RNase H-related nuclease YkuK, DUF458 family"] [shortName=YkuK] [TAG=R TAGDEF="General function prediction only" PROCESS="POORLY CHARACTERIZED"]  [PATHWAY=""] hypothetical protein [Thermocrinis albus]</t>
  </si>
  <si>
    <t>DNAUV-43.621-123_27</t>
  </si>
  <si>
    <t>DUF458 domain-containing protein n=1 Tax=Aquifex aeolicus (strain VF5) TaxID=224324 RepID=O66517_AQUAE</t>
  </si>
  <si>
    <t>DNAUV-152.980-60_156</t>
  </si>
  <si>
    <t>COG1978 [FUNC="Predicted RNase H-related nuclease YkuK, DUF458 family"] [shortName=YkuK] [TAG=R TAGDEF="General function prediction only" PROCESS="POORLY CHARACTERIZED"]  [PATHWAY=""] hypothetical protein aq_114 [Aquifex aeolicus VF5]</t>
  </si>
  <si>
    <t>Uncharacterized protein n=1 Tax=Jezberella montanilacus TaxID=323426 RepID=A0A2T0XKH7_9BURK</t>
  </si>
  <si>
    <t>DNAUV-159.889-409_121</t>
  </si>
  <si>
    <t>Oct.NODE_1475_length_2442_cov_4.285295_5</t>
  </si>
  <si>
    <t>DNAUV-152.980-60_41</t>
  </si>
  <si>
    <t>COG2129 [FUNC="Predicted phosphoesterase, related to the Icc protein"] [shortName=] [TAG=R TAGDEF="General function prediction only" PROCESS="POORLY CHARACTERIZED"]  [PATHWAY=""] hypothetical protein [Deferribacter desulfuricans]</t>
  </si>
  <si>
    <t>Metallophosphatase n=1 Tax=Ochrobactrum phage vB_OspM_OC TaxID=2712956 RepID=A0A6G6XYB6_9CAUD</t>
  </si>
  <si>
    <t>DNAUV-159.889-409_22</t>
  </si>
  <si>
    <t>Metallophosphoesterase n=1 Tax=Sinorhizobium phage phiN3 TaxID=1647405 RepID=A0A0F6SJ32_9CAUD</t>
  </si>
  <si>
    <t>DNAUV-21.362-14_13</t>
  </si>
  <si>
    <t>Putative metallophosphatase protein n=6 Tax=unclassified Caudoviricetes TaxID=2788787 RepID=A0A7S5UVM3_9CAUD</t>
  </si>
  <si>
    <t>DNAUV-100.032-102_53</t>
  </si>
  <si>
    <t>sp|Q9CZJ0|MPPD2_MOUSE Metallophosphoesterase MPPED2 OS=Mus musculus OX=10090 GN=Mpped2 PE=2 SV=1</t>
  </si>
  <si>
    <t>COG2129 [FUNC="Predicted phosphoesterase, related to the Icc protein"] [shortName=] [TAG=R TAGDEF="General function prediction only" PROCESS="POORLY CHARACTERIZED"]  [PATHWAY=""] metallophosphoesterase [Thiomicrorhabdus sp. 13-15A]</t>
  </si>
  <si>
    <t>Calcineurin-like phosphoesterase superfamily domain protein n=1 Tax=Roseimaritima ulvae TaxID=980254 RepID=A0A5B9QQN9_9BACT</t>
  </si>
  <si>
    <t>DNAUV-2.783-11_5</t>
  </si>
  <si>
    <t>COG2129 [FUNC="Predicted phosphoesterase, related to the Icc protein"] [shortName=] [TAG=R TAGDEF="General function prediction only" PROCESS="POORLY CHARACTERIZED"]  [PATHWAY=""] MULTISPECIES: hypothetical protein [Pelagibacterium]</t>
  </si>
  <si>
    <t>Calcineurin-like phosphoesterase superfamily domain protein n=1 Tax=Bacteriophage DSS3_MAL1 TaxID=2664194 RepID=A0A7S5FQS7_9CAUD</t>
  </si>
  <si>
    <t>DNAUV-40.559-174_35</t>
  </si>
  <si>
    <t>COG2129 [FUNC="Predicted phosphoesterase, related to the Icc protein"] [shortName=] [TAG=R TAGDEF="General function prediction only" PROCESS="POORLY CHARACTERIZED"]  [PATHWAY=""] phosphatase [Rhizobium leguminosarum]</t>
  </si>
  <si>
    <t>Icc-related predicted phosphoesterase n=1 Tax=Rhizobium sp. (strain PP-F2F-G36) TaxID=2135649 RepID=A0A4R2TSB3_RHIS2</t>
  </si>
  <si>
    <t>DNAUV-147.430-52_106</t>
  </si>
  <si>
    <t>Metallophos domain-containing protein n=1 Tax=Escherichia phage ph0011 TaxID=2995639 RepID=A0A9E8VNK0_9CAUD</t>
  </si>
  <si>
    <t>Oct.NODE_33_length_37390_cov_21.424508_33</t>
  </si>
  <si>
    <t>sp|Q58451|Y1051_METJA Uncharacterized protein MJ1051 OS=Methanocaldococcus jannaschii (strain ATCC 43067 / DSM 2661 / JAL-1 / JCM 10045 / NBRC 100440) OX=243232 GN=MJ1051 PE=3 SV=1</t>
  </si>
  <si>
    <t>COG2192 [FUNC="Predicted carbamoyl transferase, NodU family"] [shortName=] [TAG=R TAGDEF="General function prediction only" PROCESS="POORLY CHARACTERIZED"]  [PATHWAY=""] hypothetical protein [Methanocaldococcus jannaschii]</t>
  </si>
  <si>
    <t>VOG01542 [FUNC="sp|Q70IY1|TOBZ_STRSD nebramycin 5' synthase"] [TAG=Xh TAGDEF="Virus protein with function beneficial for the host"]</t>
  </si>
  <si>
    <t>Putative cabamoyl transferase n=1 Tax=Xanthomonas phage Xp15 TaxID=322855 RepID=Q52PN7_9CAUD</t>
  </si>
  <si>
    <t>DNAUV-2.488-16_1</t>
  </si>
  <si>
    <t>COG2263 [FUNC="Predicted RNA methylase"] [shortName=] [TAG=R TAGDEF="General function prediction only" PROCESS="POORLY CHARACTERIZED"]  [PATHWAY=""] SAM-dependent methyltransferase [Sulfitobacter pseudonitzschiae]</t>
  </si>
  <si>
    <t>Type III restriction enzyme, res subunit n=1 Tax=Salipiger marinus TaxID=555512 RepID=A0A1G8MRN6_9RHOB</t>
  </si>
  <si>
    <t>DNAUV-152.980-60_157</t>
  </si>
  <si>
    <t>COG2268 [FUNC="Uncharacterized membrane protein YqiK, contains Band7/PHB/SPFH domain"] [shortName=YqiK] [TAG=S TAGDEF="Function unknown" PROCESS="POORLY CHARACTERIZED"]  [PATHWAY=""] hypothetical protein VP2844 [Vibrio parahaemolyticus RIMD 2210633]</t>
  </si>
  <si>
    <t>Band 7 domain-containing protein n=1 Tax=Marinobacter salinexigens TaxID=2919747 RepID=A0A5B0VAL0_9GAMM</t>
  </si>
  <si>
    <t>DNAUV-159.889-409_122</t>
  </si>
  <si>
    <t>sp|P0A3T3|BCSP_BRUAB 31 kDa immunogenic protein OS=Brucella abortus biovar 1 (strain 9-941) OX=262698 GN=bcsP31 PE=4 SV=1</t>
  </si>
  <si>
    <t>COG2358 [FUNC="TRAP-type uncharacterized transport system, periplasmic component"] [shortName=Imp] [TAG=R TAGDEF="General function prediction only" PROCESS="POORLY CHARACTERIZED"]  [PATHWAY=""] TRAP transporter substrate-binding protein [Methylobacterium nodulans]</t>
  </si>
  <si>
    <t>VOG04874 [FUNC="REFSEQ hypothetical protein"] [TAG=Xu TAGDEF="Function unknown"]</t>
  </si>
  <si>
    <t>Uncharacterized protein n=1 Tax=Aureimonas ureilytica TaxID=401562 RepID=A0A175REQ4_9HYPH</t>
  </si>
  <si>
    <t>11.09.P1-4.371-11_1</t>
  </si>
  <si>
    <t>COG2425 [FUNC="Uncharacterized conserved protein, contains a von Willebrand factor type A (vWA) domain"] [shortName=ViaA] [TAG=S TAGDEF="Function unknown" PROCESS="POORLY CHARACTERIZED"]  [PATHWAY=""] DUF2828 domain-containing protein [Cellulosilyticum lentocellum]</t>
  </si>
  <si>
    <t>DUF2828 domain-containing protein n=1 Tax=Cronobacter phage S13 TaxID=1327935 RepID=A0A060ANB2_9CAUD</t>
  </si>
  <si>
    <t>11.09.P1-4.371-11_5</t>
  </si>
  <si>
    <t>Uncharacterized protein n=1 Tax=Synechococcus phage BUCT-ZZ01 TaxID=2951202 RepID=A0A9E7NPL5_9CAUD</t>
  </si>
  <si>
    <t>11.09.P2-4.667-44_3</t>
  </si>
  <si>
    <t>11.09.P4-14.055-4.5_4</t>
  </si>
  <si>
    <t>DNAUV-152.980-60_155</t>
  </si>
  <si>
    <t>VWFA domain-containing protein n=1 Tax=Campylobacter phage CP30A TaxID=1229752 RepID=J9RWY0_9CAUD</t>
  </si>
  <si>
    <t>DNAUV-5.551-98_9</t>
  </si>
  <si>
    <t>Avril.NODE_569_length_4216_cov_3.571978_3</t>
  </si>
  <si>
    <t>COG2425 [FUNC="Uncharacterized conserved protein, contains a von Willebrand factor type A (vWA) domain"] [shortName=ViaA] [TAG=S TAGDEF="Function unknown" PROCESS="POORLY CHARACTERIZED"]  [PATHWAY=""] VWA domain-containing protein [Rhodobacter sphaeroides]</t>
  </si>
  <si>
    <t>VOG00528 [FUNC="REFSEQ tail protein"] [TAG=Xu TAGDEF="Function unknown"]</t>
  </si>
  <si>
    <t>Structral protein n=1 Tax=Xanthomonas phage Xoo-sp2 TaxID=1852622 RepID=A0A1X9IAH9_9CAUD</t>
  </si>
  <si>
    <t>DNAUV-5.897-20_8</t>
  </si>
  <si>
    <t>Virion structural protein n=1 Tax=Erythrobacter phage vB_EliS_R6L TaxID=1913119 RepID=A0A1P8VVG4_9CAUD</t>
  </si>
  <si>
    <t>DNAUV-59.689-63_95</t>
  </si>
  <si>
    <t>Tip attachment protein J domain-containing protein n=1 Tax=Ruegeria phage vB_RpoS-V16 TaxID=2218618 RepID=A0A2Z4QGR0_9CAUD</t>
  </si>
  <si>
    <t>DNAUV-64.562-41_3</t>
  </si>
  <si>
    <t>Tail protein n=1 Tax=Burkholderia phage vB_BceS_KL1 TaxID=1132026 RepID=I6NMA5_9CAUD</t>
  </si>
  <si>
    <t>DNAUV-64.565-409_4</t>
  </si>
  <si>
    <t>Putative tail protein n=1 Tax=Sphingomonas phage Kharn TaxID=2686312 RepID=A0A6M3T9X9_9CAUD</t>
  </si>
  <si>
    <t>Mai.NODE_531_length_3656_cov_3.414329_2</t>
  </si>
  <si>
    <t>11.09.P1-2.769-4.9_11</t>
  </si>
  <si>
    <t>COG2604 [FUNC="Uncharacterized conserved protein"] [shortName=] [TAG=S TAGDEF="Function unknown" PROCESS="POORLY CHARACTERIZED"]  [PATHWAY=""] DUF115 domain-containing protein [Pseudodesulfovibrio aespoeensis]</t>
  </si>
  <si>
    <t>6-hydroxymethylpterin diphosphokinase MptE-like domain-containing protein n=2 Tax=Pseudodesulfovibrio TaxID=2035811 RepID=E6VUH9_PSEA9</t>
  </si>
  <si>
    <t>DNAUV-10.817-54_4</t>
  </si>
  <si>
    <t>DNAUV-16.566-137_24</t>
  </si>
  <si>
    <t>DNAUV-22.957-353_11</t>
  </si>
  <si>
    <t>Oct.NODE_512_length_4893_cov_5.145308_6</t>
  </si>
  <si>
    <t>Putative helicase n=1 Tax=Listonella phage phiHSIC TaxID=310539 RepID=Q5G7M7_9CAUD</t>
  </si>
  <si>
    <t>DNAUV-13.692-18_4</t>
  </si>
  <si>
    <t>sp|P0AAR6|YBAN_ECO57 Inner membrane protein YbaN OS=Escherichia coli O157:H7 OX=83334 GN=ybaN PE=3 SV=1</t>
  </si>
  <si>
    <t>COG2832 [FUNC="Uncharacterized membrane protein YbaN, DUF454 family"] [shortName=YbaN] [TAG=S TAGDEF="Function unknown" PROCESS="POORLY CHARACTERIZED"]  [PATHWAY=""] DUF454 domain-containing protein [Jeongeupia sp. USM3]</t>
  </si>
  <si>
    <t>Inner membrane protein ybaN n=1 Tax=Kingella potus TaxID=265175 RepID=A0A377QZ17_9NEIS</t>
  </si>
  <si>
    <t>DNAUV-14.759-18_20</t>
  </si>
  <si>
    <t>COG3091 [FUNC="Predicted Zn-dependent metalloprotease, SprT family"] [shortName=SprT] [TAG=R TAGDEF="General function prediction only" PROCESS="POORLY CHARACTERIZED"]  [PATHWAY=""] hypothetical protein [Phycisphaera mikurensis]</t>
  </si>
  <si>
    <t>VOG01558 [FUNC="sp|A0A0R4IWG9|GCNA_DANRE Germ cell nuclear acidic protein"] [TAG=Xu TAGDEF="Function unknown"]</t>
  </si>
  <si>
    <t>SprT-like domain-containing protein n=1 Tax=Pseudomonas phage vB_PaeM_SCUT-S2 TaxID=2508866 RepID=A0A410T8Y6_9CAUD</t>
  </si>
  <si>
    <t>Mai.NODE_915_length_2475_cov_3.666529_2</t>
  </si>
  <si>
    <t>sp|P14500|YMUC_SALTM Uncharacterized protein in mucB 3'region (Fragment) OS=Salmonella typhimurium OX=90371 PE=4 SV=1</t>
  </si>
  <si>
    <t>COG3091 [FUNC="Predicted Zn-dependent metalloprotease, SprT family"] [shortName=SprT] [TAG=R TAGDEF="General function prediction only" PROCESS="POORLY CHARACTERIZED"]  [PATHWAY=""] sprT domain-containing protein [Agarilytica rhodophyticola]</t>
  </si>
  <si>
    <t>SprT family zinc-dependent metalloprotease n=2 Tax=Ralstonia insidiosa TaxID=190721 RepID=A0A848P5G4_9RALS</t>
  </si>
  <si>
    <t>05.07.P3-2.556-2.6_3</t>
  </si>
  <si>
    <t>COG3103 [FUNC="Uncharacterized conserved protein YgiM, contains N-terminal SH3 domain, DUF1202 family"] [shortName=YgiM] [TAG=R TAGDEF="General function prediction only" PROCESS="POORLY CHARACTERIZED"]  [PATHWAY=""] L-alanyl-D-glutamate peptidase [Bacillus cereus ATCC 14579]</t>
  </si>
  <si>
    <t>Endolysin n=1 Tax=Yersinia phage vB_Yen_X1 TaxID=2663327 RepID=A0A5Q2W697_9CAUD</t>
  </si>
  <si>
    <t>05.07.P4-45.835-37_37</t>
  </si>
  <si>
    <t>Peptidase M15C domain-containing protein n=1 Tax=Erythrobacter sp. EC-HK427 TaxID=2038396 RepID=A0A5E7YQ22_9SPHN</t>
  </si>
  <si>
    <t>11.09.P2-5.186-4.6_3</t>
  </si>
  <si>
    <t>sp|Q37976|AEPE_BPA18 L-alanyl-D-glutamate peptidase OS=Listeria phage A118 OX=40521 GN=ply PE=2 SV=2</t>
  </si>
  <si>
    <t>Endolysin n=1 Tax=Marinobacter phage PS3 TaxID=2041341 RepID=A0A2D1GMU0_9CAUD</t>
  </si>
  <si>
    <t>11.09.P4-14.613-5.8_18</t>
  </si>
  <si>
    <t>Peptidoglycan L-alanyl-D-glutamate endopeptidase CwlK n=1 Tax=Lonepinella koalarum TaxID=53417 RepID=A0A4R1KXG9_9PAST</t>
  </si>
  <si>
    <t>11.09.P4-19.072-23_21</t>
  </si>
  <si>
    <t>Peptidase M15C domain-containing protein n=2 Tax=Veronia pacifica TaxID=1080227 RepID=A0A1C3EL93_9GAMM</t>
  </si>
  <si>
    <t>11.09.P4-4.367-4.3_2</t>
  </si>
  <si>
    <t>M15 family peptidase n=1 Tax=Muricauda sp. TMED12 TaxID=1986608 RepID=A0A3S5JBV2_9FLAO</t>
  </si>
  <si>
    <t>11.09.P4-4.612-7.8_5</t>
  </si>
  <si>
    <t>Avril.NODE_69_length_24806_cov_10.877177_5</t>
  </si>
  <si>
    <t>M15 family peptidase n=1 Tax=Rhizobium meliloti TaxID=382 RepID=A0A843ZQP5_RHIML</t>
  </si>
  <si>
    <t>DNAUV-2.050-18_3</t>
  </si>
  <si>
    <t>DNAUV-2.630-35_3</t>
  </si>
  <si>
    <t>DNAUV-3.478-16_5</t>
  </si>
  <si>
    <t>DNAUV-38.940-21_67</t>
  </si>
  <si>
    <t>DNAUV-4.203-16_5</t>
  </si>
  <si>
    <t>L-alanyl-D-glutamate peptidase n=1 Tax=Microcystis phage vB_MaeS-yong1 TaxID=2762278 RepID=A0A7G8Z7X4_9CAUD</t>
  </si>
  <si>
    <t>DNAUV-4.264-36_4</t>
  </si>
  <si>
    <t>DNAUV-4.807-32_4</t>
  </si>
  <si>
    <t>DNAUV-57.114-48_73</t>
  </si>
  <si>
    <t>M15 family peptidase n=1 Tax=Roseobacter phage CRP-6 TaxID=2559285 RepID=A0A646QWH8_9CAUD</t>
  </si>
  <si>
    <t>DNAUV-63.154-214_3</t>
  </si>
  <si>
    <t>Phage protein n=1 Tax=Proteus vulgaris TaxID=585 RepID=A0A379F487_PROVU</t>
  </si>
  <si>
    <t>DNAUV-64.562-41_4</t>
  </si>
  <si>
    <t>Endolysin n=1 Tax=Synechococcus phage S-CBS4 TaxID=756275 RepID=R9TH33_9CAUD</t>
  </si>
  <si>
    <t>DNAUV-7.193-31-V2_18</t>
  </si>
  <si>
    <t>Juil.NODE_37_length_3006_cov_4.118943_4</t>
  </si>
  <si>
    <t>Avril.NODE_275_length_7268_cov_8.969361_4</t>
  </si>
  <si>
    <t>COG3103 [FUNC="Uncharacterized conserved protein YgiM, contains N-terminal SH3 domain, DUF1202 family"] [shortName=YgiM] [TAG=R TAGDEF="General function prediction only" PROCESS="POORLY CHARACTERIZED"]  [PATHWAY=""] SH3 domain-containing protein [Flammeovirga sp. MY04]</t>
  </si>
  <si>
    <t>VOG05103 [FUNC="REFSEQ hypothetical protein"] [TAG=Xu TAGDEF="Function unknown"]</t>
  </si>
  <si>
    <t>DUF5675 domain-containing protein n=8 Tax=Ingelinevirus TaxID=2948766 RepID=A0A8E4ZKI2_9CAUD</t>
  </si>
  <si>
    <t>DNAUV-10.760-29_8</t>
  </si>
  <si>
    <t>DUF5675 domain-containing protein n=1 Tax=Vibrio phage S4-7 TaxID=1873905 RepID=A0A1C9LW24_9CAUD</t>
  </si>
  <si>
    <t>DNAUV-34.277-41_21</t>
  </si>
  <si>
    <t>DUF5675 family protein n=2 Tax=unclassified Caudoviricetes TaxID=2788787 RepID=A0A9P0YFT2_9CAUD</t>
  </si>
  <si>
    <t>DNAUV-6.598-32_7</t>
  </si>
  <si>
    <t>DUF5675 domain-containing protein n=1 Tax=Spiribacter sp. E85 TaxID=2182432 RepID=A0A2U2MXN6_9GAMM</t>
  </si>
  <si>
    <t>Mai.NODE_1146_length_2108_cov_10.620555_3</t>
  </si>
  <si>
    <t>DUF5675 domain-containing protein n=1 Tax=Aequorivita sp. H23M31 TaxID=2494375 RepID=A0A410G2B8_9FLAO</t>
  </si>
  <si>
    <t>Oct.NODE_166_length_11400_cov_102.056148_7</t>
  </si>
  <si>
    <t>DUF5675 family protein n=1 Tax=Microbulbifer okhotskensis TaxID=2926617 RepID=A0A9X2EPK1_9GAMM</t>
  </si>
  <si>
    <t>DNAUV-38.183-831_4</t>
  </si>
  <si>
    <t>COG3108 [FUNC="Uncharacterized conserved protein YcbK, DUF882 family"] [shortName=YcbK] [TAG=S TAGDEF="Function unknown" PROCESS="POORLY CHARACTERIZED"]  [PATHWAY=""] DUF882 domain-containing protein [Alkaliphilus metalliredigens]</t>
  </si>
  <si>
    <t>Peptidase M15 n=1 Tax=Leptospira interrogans str. FPW1039 TaxID=1193040 RepID=A0A0F6IG81_LEPIR</t>
  </si>
  <si>
    <t>DNAUV-2.557-3816_2</t>
  </si>
  <si>
    <t>COG3108 [FUNC="Uncharacterized conserved protein YcbK, DUF882 family"] [shortName=YcbK] [TAG=S TAGDEF="Function unknown" PROCESS="POORLY CHARACTERIZED"]  [PATHWAY=""] DUF882 domain-containing protein [Ornithobacterium rhinotracheale]</t>
  </si>
  <si>
    <t>Peptidase M15A C-terminal domain-containing protein n=1 Tax=Capnocytophaga canis TaxID=1848903 RepID=A0A0B7IR63_9FLAO</t>
  </si>
  <si>
    <t>DNAUV-7.066-2192_9</t>
  </si>
  <si>
    <t>Peptidase M15 n=1 Tax=Nonlabens phage P12024S TaxID=1168478 RepID=I6R9L6_9CAUD</t>
  </si>
  <si>
    <t>DNAUV-7.076-482_6</t>
  </si>
  <si>
    <t>Oct.NODE_1159_length_2856_cov_9.287754_3</t>
  </si>
  <si>
    <t>DNAUV-16.119-15_25</t>
  </si>
  <si>
    <t>COG3108 [FUNC="Uncharacterized conserved protein YcbK, DUF882 family"] [shortName=YcbK] [TAG=S TAGDEF="Function unknown" PROCESS="POORLY CHARACTERIZED"]  [PATHWAY=""] DUF882 domain-containing protein [Ruegeria pomeroyi]</t>
  </si>
  <si>
    <t>Peptidase M15 n=1 Tax=Jhaorihella thermophila TaxID=488547 RepID=A0A1H5YZ20_9RHOB</t>
  </si>
  <si>
    <t>DNAUV-12.147-754_2</t>
  </si>
  <si>
    <t>Peptidase M15 n=1 Tax=Paracoccus jeotgali TaxID=2065379 RepID=A0A2K9MIX8_9RHOB</t>
  </si>
  <si>
    <t>DNAUV-36.663-167_142</t>
  </si>
  <si>
    <t>sp|P0AB08|YCBK_ECO57 Uncharacterized protein YcbK OS=Escherichia coli O157:H7 OX=83334 GN=ycbK PE=3 SV=1</t>
  </si>
  <si>
    <t>Peptidase M15 n=1 Tax=Pseudosulfitobacter pseudonitzschiae TaxID=1402135 RepID=A0A221K0J7_9RHOB</t>
  </si>
  <si>
    <t>DNAUV-8.944-24_8</t>
  </si>
  <si>
    <t>site-specific DNA-methyltransferase (adenine-specific) n=1 Tax=Ciceribacter sp. L1K22 TaxID=2820275 RepID=A0A939U130_9HYPH</t>
  </si>
  <si>
    <t>Oct.NODE_303_length_6944_cov_17.025258_2</t>
  </si>
  <si>
    <t>Oct.NODE_33_length_37390_cov_21.424508_3</t>
  </si>
  <si>
    <t>Peptidase M15A C-terminal domain-containing protein n=2 Tax=Ferruginivarius sediminum TaxID=2661937 RepID=A0A369T4E9_9PROT</t>
  </si>
  <si>
    <t>Oct.NODE_936_length_3247_cov_2.636278_2</t>
  </si>
  <si>
    <t>DNAUV-3.460-27_3</t>
  </si>
  <si>
    <t>COG3108 [FUNC="Uncharacterized conserved protein YcbK, DUF882 family"] [shortName=YcbK] [TAG=S TAGDEF="Function unknown" PROCESS="POORLY CHARACTERIZED"]  [PATHWAY=""] hypothetical protein [Robiginitalea biformata]</t>
  </si>
  <si>
    <t>Peptidase M15A C-terminal domain-containing protein n=1 Tax=Robiginitalea biformata (strain ATCC BAA-864 / HTCC2501 / KCTC 12146) TaxID=313596 RepID=A4CP44_ROBBH</t>
  </si>
  <si>
    <t>DNAUV-6.332-3826_7</t>
  </si>
  <si>
    <t>Peptidase M15 n=1 Tax=Pusillimonas sp. (ex Stolz et al. 2005) TaxID=1979962 RepID=A0A2D7XCM9_9BURK</t>
  </si>
  <si>
    <t>Oct.NODE_328_length_6539_cov_18.505706_3</t>
  </si>
  <si>
    <t>D-Ala-D-Ala carboxypeptidase family metallohydrolase n=1 Tax=Gracilimonas sediminicola TaxID=2952158 RepID=A0A9X2RAY7_9BACT</t>
  </si>
  <si>
    <t>11.09.P2-8.389-15_8</t>
  </si>
  <si>
    <t>sp|Q6WHG9|NEEDL_BPKVM Protein Gp5 OS=Vibrio phage KVP40 (isolate Vibrio parahaemolyticus/Japan/Matsuzaki/1991) OX=75320 GN=5 PE=1 SV=1</t>
  </si>
  <si>
    <t>COG3108 [FUNC="Uncharacterized conserved protein YcbK, DUF882 family"] [shortName=YcbK] [TAG=S TAGDEF="Function unknown" PROCESS="POORLY CHARACTERIZED"]  [PATHWAY=""] hypothetical protein [Thalassococcus sp. SH-1]</t>
  </si>
  <si>
    <t>VOG02892 [FUNC="REFSEQ baseplate hub subunit and tail lysozyme"] [TAG=Xu TAGDEF="Function unknown"]</t>
  </si>
  <si>
    <t>Baseplate hub subunit and tail lysozyme n=1 Tax=Ochrobactrum phage ORM_20 TaxID=2985243 RepID=A0A9N6WTV7_9VIRU</t>
  </si>
  <si>
    <t>Avril.NODE_346_length_6061_cov_8.625042_5</t>
  </si>
  <si>
    <t>COG3108 [FUNC="Uncharacterized conserved protein YcbK, DUF882 family"] [shortName=YcbK] [TAG=S TAGDEF="Function unknown" PROCESS="POORLY CHARACTERIZED"]  [PATHWAY=""] peptidase M15 [Collimonas fungivorans]</t>
  </si>
  <si>
    <t>Phage Endolysin protein n=1 Tax=Xanthomonas phage Suba TaxID=2674975 RepID=A0A679K1V7_9CAUD</t>
  </si>
  <si>
    <t>DNAUV-6.215-42_7</t>
  </si>
  <si>
    <t>COG3108 [FUNC="Uncharacterized conserved protein YcbK, DUF882 family"] [shortName=YcbK] [TAG=S TAGDEF="Function unknown" PROCESS="POORLY CHARACTERIZED"]  [PATHWAY=""] peptidase M15 [Defluviimonas alba]</t>
  </si>
  <si>
    <t>Peptidase M15A C-terminal domain-containing protein n=1 Tax=Bilophila sp. 4_1_30 TaxID=693988 RepID=G1UY45_9BACT</t>
  </si>
  <si>
    <t>DNAUV-38.512-299_47</t>
  </si>
  <si>
    <t>COG3108 [FUNC="Uncharacterized conserved protein YcbK, DUF882 family"] [shortName=YcbK] [TAG=S TAGDEF="Function unknown" PROCESS="POORLY CHARACTERIZED"]  [PATHWAY=""] peptidase M15 [Oceanimonas sp. GK1]</t>
  </si>
  <si>
    <t>Peptidase M15 n=1 Tax=Vibrio phage 1.047.O._10N.286.55.F2 TaxID=1881245 RepID=A0A2I7QRN6_9CAUD</t>
  </si>
  <si>
    <t>DNAUV-48.934-1423_70</t>
  </si>
  <si>
    <t>Peptidase M15A C-terminal domain-containing protein n=1 Tax=Desulfomarina profundi TaxID=2772557 RepID=A0A8D5FE90_9BACT</t>
  </si>
  <si>
    <t>DNAUV-6.324-16_6</t>
  </si>
  <si>
    <t>COG3108 [FUNC="Uncharacterized conserved protein YcbK, DUF882 family"] [shortName=YcbK] [TAG=S TAGDEF="Function unknown" PROCESS="POORLY CHARACTERIZED"]  [PATHWAY=""] phage tail tape measure protein [Thiobacimonas profunda]</t>
  </si>
  <si>
    <t>VOG16285 [FUNC="REFSEQ peptidase"] [TAG=Xu TAGDEF="Function unknown"]</t>
  </si>
  <si>
    <t>Peptidase M15A C-terminal domain-containing protein n=3 Tax=Emdodecavirus TaxID=1980937 RepID=S5M6U0_9CAUD</t>
  </si>
  <si>
    <t>23.10.P4-5.088-2.2_1</t>
  </si>
  <si>
    <t>sp|Q1IEH2|Y1031_PSEE4 PKHD-type hydroxylase PSEEN1031 OS=Pseudomonas entomophila (strain L48) OX=384676 GN=PSEEN1031 PE=3 SV=1</t>
  </si>
  <si>
    <t>COG3128 [FUNC="Predicted 2-oxoglutarate- and Fe(II)-dependent dioxygenase YbiX"] [shortName=PiuC] [TAG=R TAGDEF="General function prediction only" PROCESS="POORLY CHARACTERIZED"]  [PATHWAY=""] Fe2+-dependent dioxygenase [Asticcacaulis excentricus]</t>
  </si>
  <si>
    <t>Fe2OG dioxygenase domain-containing protein n=1 Tax=Pseudomonas sp. FW104-R4 TaxID=2070668 RepID=A0A2N8CUY3_9PSED</t>
  </si>
  <si>
    <t>DNAUV-7.148-65_2</t>
  </si>
  <si>
    <t>sp|Q3AJA6|Y1577_SYNSC PKHD-type hydroxylase Syncc9605_1577 OS=Synechococcus sp. (strain CC9605) OX=110662 GN=Syncc9605_1577 PE=3 SV=1</t>
  </si>
  <si>
    <t>COG3128 [FUNC="Predicted 2-oxoglutarate- and Fe(II)-dependent dioxygenase YbiX"] [shortName=PiuC] [TAG=R TAGDEF="General function prediction only" PROCESS="POORLY CHARACTERIZED"]  [PATHWAY=""] MULTISPECIES: oxidoreductase [Rhodobacteraceae]</t>
  </si>
  <si>
    <t>Putative 2OG-Fe(II) oxygenase n=1 Tax=Yellowstone lake phycodnavirus 1 TaxID=1586713 RepID=A0A0P0YLZ9_9PHYC</t>
  </si>
  <si>
    <t>DNAUV-6.655-66_6</t>
  </si>
  <si>
    <t>COG3134 [FUNC="Uncharacterized conserved protein YcfJ, contains glycine zipper 2TM domain"] [shortName=YcfJ] [TAG=S TAGDEF="Function unknown" PROCESS="POORLY CHARACTERIZED"]  [PATHWAY=""] glycine zipper 2TM domain-containing protein [Simiduia agarivorans]</t>
  </si>
  <si>
    <t>Outer membrane lipoprotein n=1 Tax=Simiduia agarivorans (strain DSM 21679 / JCM 13881 / BCRC 17597 / SA1) TaxID=1117647 RepID=K4KG85_SIMAS</t>
  </si>
  <si>
    <t>DNAUV-17.838-18_14</t>
  </si>
  <si>
    <t>sp|P0AB36|YCFJ_ECOL6 Uncharacterized protein YcfJ OS=Escherichia coli O6:H1 (strain CFT073 / ATCC 700928 / UPEC) OX=199310 GN=ycfJ PE=4 SV=1</t>
  </si>
  <si>
    <t>COG3134 [FUNC="Uncharacterized conserved protein YcfJ, contains glycine zipper 2TM domain"] [shortName=YcfJ] [TAG=S TAGDEF="Function unknown" PROCESS="POORLY CHARACTERIZED"]  [PATHWAY=""] glycine zipper 2TM domain-containing protein [Woeseia oceani]</t>
  </si>
  <si>
    <t>Glycine zipper 2TM domain-containing protein n=1 Tax=endosymbiont of Escarpia spicata TaxID=2200908 RepID=A0A370DU60_9GAMM</t>
  </si>
  <si>
    <t>05.07.P4-15.059-52_11</t>
  </si>
  <si>
    <t>COG3134 [FUNC="Uncharacterized conserved protein YcfJ, contains glycine zipper 2TM domain"] [shortName=YcfJ] [TAG=S TAGDEF="Function unknown" PROCESS="POORLY CHARACTERIZED"]  [PATHWAY=""] hypothetical protein [Xanthomonadales bacterium D13]</t>
  </si>
  <si>
    <t>Glycine zipper 2TM domain-containing protein n=1 Tax=Roseobacter phage CRP-2 TaxID=2559281 RepID=A0A646QWT8_9CAUD</t>
  </si>
  <si>
    <t>05.07.P4-15.059-52_3</t>
  </si>
  <si>
    <t>DNAUV-36.652-126_31</t>
  </si>
  <si>
    <t>sp|P0A8Z8|YQIA_ECOL6 Esterase YqiA OS=Escherichia coli O6:H1 (strain CFT073 / ATCC 700928 / UPEC) OX=199310 GN=yqiA PE=3 SV=1</t>
  </si>
  <si>
    <t>COG3150 [FUNC="Predicted esterase YcpF, UPF0227 family"] [shortName=YcfP] [TAG=R TAGDEF="General function prediction only" PROCESS="POORLY CHARACTERIZED"]  [PATHWAY=""] hypothetical protein [Oceanicoccus sagamiensis]</t>
  </si>
  <si>
    <t>Esterase n=2 Tax=Burkholderiales TaxID=80840 RepID=A6GR90_9BURK</t>
  </si>
  <si>
    <t>DNAUV-2.492-135_5</t>
  </si>
  <si>
    <t>COG3150 [FUNC="Predicted esterase YcpF, UPF0227 family"] [shortName=YcfP] [TAG=R TAGDEF="General function prediction only" PROCESS="POORLY CHARACTERIZED"]  [PATHWAY=""] hypothetical protein [Octadecabacter arcticus]</t>
  </si>
  <si>
    <t>Esterase n=2 Tax=Marinomonas sp. IMCC 4694 TaxID=2605432 RepID=A0A5S4UPH3_9GAMM</t>
  </si>
  <si>
    <t>DNAUV-24.214-21_30</t>
  </si>
  <si>
    <t>sp|B1KNL5|Y1808_SHEWM UPF0227 protein Swoo_1808 OS=Shewanella woodyi (strain ATCC 51908 / MS32) OX=392500 GN=Swoo_1808 PE=3 SV=1</t>
  </si>
  <si>
    <t>COG3150 [FUNC="Predicted esterase YcpF, UPF0227 family"] [shortName=YcfP] [TAG=R TAGDEF="General function prediction only" PROCESS="POORLY CHARACTERIZED"]  [PATHWAY=""] hypothetical protein [Spiribacter salinus]</t>
  </si>
  <si>
    <t>Esterase n=1 Tax=Spiribacter salilacus TaxID=2664894 RepID=A0A6N7QMM2_9GAMM</t>
  </si>
  <si>
    <t>DNAUV-3.872-71_3</t>
  </si>
  <si>
    <t>COG3209 [FUNC="Uncharacterized conserved protein RhaS, contains 28 RHS repeats"] [shortName=RhsA] [TAG=R TAGDEF="General function prediction only" PROCESS="POORLY CHARACTERIZED"]  [PATHWAY=""] hypothetical protein [Granulicella tundricola]</t>
  </si>
  <si>
    <t>Uncharacterized protein n=1 Tax=Nonlabens phage P12024S TaxID=1168478 RepID=I6R115_9CAUD</t>
  </si>
  <si>
    <t>DNAUV-8.168-17_3</t>
  </si>
  <si>
    <t>COG3209 [FUNC="Uncharacterized conserved protein RhaS, contains 28 RHS repeats"] [shortName=RhsA] [TAG=R TAGDEF="General function prediction only" PROCESS="POORLY CHARACTERIZED"]  [PATHWAY=""] hypothetical protein [Halomicronema hongdechloris]</t>
  </si>
  <si>
    <t>Uncharacterized protein n=1 Tax=Bdellovibrio phage phi1422 TaxID=1127515 RepID=H9C0M8_9CAUD</t>
  </si>
  <si>
    <t>11.09.P2-2.674-2.9_6</t>
  </si>
  <si>
    <t>COG3209 [FUNC="Uncharacterized conserved protein RhaS, contains 28 RHS repeats"] [shortName=RhsA] [TAG=R TAGDEF="General function prediction only" PROCESS="POORLY CHARACTERIZED"]  [PATHWAY=""] RHS protein [Ramlibacter tataouinensis]</t>
  </si>
  <si>
    <t>LamG-like jellyroll fold domain-containing protein n=2 Tax=Vellamovirus TaxID=2733139 RepID=E3SPU7_9CAUD</t>
  </si>
  <si>
    <t>DNAUV-3.925-19_9</t>
  </si>
  <si>
    <t>PKD domain-containing protein n=1 Tax=Syntrophobacter sp. SbD1 TaxID=2043167 RepID=A0A2U3LII1_9BACT</t>
  </si>
  <si>
    <t>DNAUV-43.803-72_9</t>
  </si>
  <si>
    <t>sp|P40766|YPMR_BACSU Uncharacterized protein YpmR OS=Bacillus subtilis (strain 168) OX=224308 GN=ypmR PE=4 SV=2</t>
  </si>
  <si>
    <t>COG3209 [FUNC="Uncharacterized conserved protein RhaS, contains 28 RHS repeats"] [shortName=RhsA] [TAG=R TAGDEF="General function prediction only" PROCESS="POORLY CHARACTERIZED"]  [PATHWAY=""] tandem-95 repeat protein [Stigmatella aurantiaca]</t>
  </si>
  <si>
    <t>VOG01831 [FUNC="REFSEQ lysophospholipase L1-like esterase"] [TAG=Xu TAGDEF="Function unknown"]</t>
  </si>
  <si>
    <t>PKD/Chitinase domain-containing protein n=1 Tax=Alteromonas phage vB_AmeM_PT11-V22 TaxID=2704031 RepID=A0A6C0R1N3_9CAUD</t>
  </si>
  <si>
    <t>DNAUV-10.764-50_17</t>
  </si>
  <si>
    <t>COG3209 [FUNC="Uncharacterized conserved protein RhaS, contains 28 RHS repeats"] [shortName=RhsA] [TAG=R TAGDEF="General function prediction only" PROCESS="POORLY CHARACTERIZED"]  [PATHWAY=""] YD repeat protein [Glaciecola sp. 4H-3-7+YE-5]</t>
  </si>
  <si>
    <t>Putative concanavalin A-like lectin/glucanase superfamily protein n=1 Tax=Aureococcus anophagefferens virus TaxID=1474867 RepID=A0A076FID6_9PHYC</t>
  </si>
  <si>
    <t>DNAUV-19.985-108_16</t>
  </si>
  <si>
    <t>COG3291 [FUNC="Uncharacterized conserved protein, PKD repeat domain"] [shortName=] [TAG=S TAGDEF="Function unknown" PROCESS="POORLY CHARACTERIZED"]  [PATHWAY=""] cell surface protein [Methanosarcina acetivorans C2A]</t>
  </si>
  <si>
    <t>PE-PGRS family protein n=1 Tax=Halopseudomonas oceani TaxID=1708783 RepID=A0A2P4EU92_9GAMM</t>
  </si>
  <si>
    <t>DNAUV-3.914-119_4</t>
  </si>
  <si>
    <t>DNA stabilization protein n=1 Tax=Pelagibacter phage Greip EXVC021P TaxID=2736229 RepID=A0A7S6C5Y0_9CAUD</t>
  </si>
  <si>
    <t>DNAUV-43.492-339_66</t>
  </si>
  <si>
    <t>DNAUV-6.021-103_2</t>
  </si>
  <si>
    <t>Phage tail protein n=2 Tax=Azospirillum TaxID=191 RepID=A0A9P1JZS9_9PROT</t>
  </si>
  <si>
    <t>DNAUV-6.547-120_6</t>
  </si>
  <si>
    <t>11.09.P4-2.675-1.7_1</t>
  </si>
  <si>
    <t>COG3291 [FUNC="Uncharacterized conserved protein, PKD repeat domain"] [shortName=] [TAG=S TAGDEF="Function unknown" PROCESS="POORLY CHARACTERIZED"]  [PATHWAY=""] PKD domain-containing protein [Alloactinosynnema sp. L-07]</t>
  </si>
  <si>
    <t>DNAUV-19.985-108_13</t>
  </si>
  <si>
    <t>LamG domain-containing protein n=1 Tax=Chlorobium phaeovibrioides TaxID=1094 RepID=A0A5M8ICI1_CHLPH</t>
  </si>
  <si>
    <t>DNAUV-19.985-108_14</t>
  </si>
  <si>
    <t>Oct.NODE_398_length_5775_cov_5.308566_2</t>
  </si>
  <si>
    <t>DUF4114 domain-containing protein n=1 Tax=Rivularia sp. (in: cyanobacteria) TaxID=2047365 RepID=A0A949T873_9CYAN</t>
  </si>
  <si>
    <t>DNAUV-5.301-11_5</t>
  </si>
  <si>
    <t>COG3341 [FUNC="Ribonuclease HI-related protein, contains viroplasmin and RNaseH domains"] [shortName=Rnh1] [TAG=R TAGDEF="General function prediction only" PROCESS="POORLY CHARACTERIZED"]  [PATHWAY=""] MULTISPECIES: DEAD/DEAH box helicase [Clostridiales]</t>
  </si>
  <si>
    <t>DNAUV-85.908-43_15</t>
  </si>
  <si>
    <t>sp|P61875|DPOL_PYRFU DNA polymerase OS=Pyrococcus furiosus (strain ATCC 43587 / DSM 3638 / JCM 8422 / Vc1) OX=186497 GN=pol PE=1 SV=1</t>
  </si>
  <si>
    <t>COG3359 [FUNC="Uncharacterized conserved protein YprB, contains RNaseH-like and TPR domains"] [shortName=YprB] [TAG=R TAGDEF="General function prediction only" PROCESS="POORLY CHARACTERIZED"]  [PATHWAY=""] exonuclease-like protein [Alkaliphilus metalliredigens]</t>
  </si>
  <si>
    <t>YprB ribonuclease H-like domain-containing protein n=9 Tax=Nankokuvirus TaxID=1925779 RepID=V5JVR3_9CAUD</t>
  </si>
  <si>
    <t>DNAUV-2.078-58_2</t>
  </si>
  <si>
    <t>COG3359 [FUNC="Uncharacterized conserved protein YprB, contains RNaseH-like and TPR domains"] [shortName=YprB] [TAG=R TAGDEF="General function prediction only" PROCESS="POORLY CHARACTERIZED"]  [PATHWAY=""] hypothetical protein [Archangium gephyra]</t>
  </si>
  <si>
    <t>YprB ribonuclease H-like domain-containing protein n=1 Tax=Ralstonia phage Anchaing TaxID=2759719 RepID=A0A7G5B8D1_9CAUD</t>
  </si>
  <si>
    <t>DNAUV-43.492-339_73</t>
  </si>
  <si>
    <t>YprB ribonuclease H-like domain-containing protein n=2 Tax=Streptomyces sp. IMTB 2501 TaxID=1776340 RepID=A0A1R0M913_9ACTN</t>
  </si>
  <si>
    <t>Oct.NODE_96_length_19348_cov_9.347069_3</t>
  </si>
  <si>
    <t>Putative DNA polymerase / exonucleases n=1 Tax=Ralstonia solanacearum TaxID=305 RepID=A0A0S4TXD0_RALSL</t>
  </si>
  <si>
    <t>DNAUV-41.172-78_64</t>
  </si>
  <si>
    <t>COG3359 [FUNC="Uncharacterized conserved protein YprB, contains RNaseH-like and TPR domains"] [shortName=YprB] [TAG=R TAGDEF="General function prediction only" PROCESS="POORLY CHARACTERIZED"]  [PATHWAY=""] hypothetical protein [Chondromyces crocatus]</t>
  </si>
  <si>
    <t>Exonuclease n=1 Tax=Pseudomonas phage phiB1_1 TaxID=2755402 RepID=A0A7D7JI42_9CAUD</t>
  </si>
  <si>
    <t>DNAUV-3.615-146_1</t>
  </si>
  <si>
    <t>COG3359 [FUNC="Uncharacterized conserved protein YprB, contains RNaseH-like and TPR domains"] [shortName=YprB] [TAG=R TAGDEF="General function prediction only" PROCESS="POORLY CHARACTERIZED"]  [PATHWAY=""] hypothetical protein [Soehngenia sp. W6]</t>
  </si>
  <si>
    <t>DNAUV-3.871-236_3</t>
  </si>
  <si>
    <t>DNAUV-62.938-22_4</t>
  </si>
  <si>
    <t>COG3359 [FUNC="Uncharacterized conserved protein YprB, contains RNaseH-like and TPR domains"] [shortName=YprB] [TAG=R TAGDEF="General function prediction only" PROCESS="POORLY CHARACTERIZED"]  [PATHWAY=""] hypothetical protein [Sorangium cellulosum]</t>
  </si>
  <si>
    <t>Exonuclease n=1 Tax=Pseudoalteromonas phage H101 TaxID=1654919 RepID=A0A0H4IS19_9CAUD</t>
  </si>
  <si>
    <t>DNAUV-5.102-23_13</t>
  </si>
  <si>
    <t>COG3372 [FUNC="Predicted nuclease of restriction endonuclease-like (RecB) superfamily, implicated in nucleotide excision repair"] [shortName=] [TAG=R TAGDEF="General function prediction only" PROCESS="POORLY CHARACTERIZED"]  [PATHWAY=""] hypothetical protein [Salinicoccus halodurans]</t>
  </si>
  <si>
    <t>VOG28403 [FUNC="REFSEQ hypothetical protein"] [TAG=Xu TAGDEF="Function unknown"]</t>
  </si>
  <si>
    <t>Uncharacterized protein n=1 Tax=Peptoclostridium acidaminophilum DSM 3953 TaxID=1286171 RepID=W8U4I4_PEPAC</t>
  </si>
  <si>
    <t>11.09.P1-7.169-42_21</t>
  </si>
  <si>
    <t>11.09.P2-14.862-46_29</t>
  </si>
  <si>
    <t>DNAUV-50.039-64_39</t>
  </si>
  <si>
    <t>COG3391 [FUNC="DNA-binding beta-propeller fold protein YncE"] [shortName=YncE] [TAG=R TAGDEF="General function prediction only" PROCESS="POORLY CHARACTERIZED"]  [PATHWAY=""] hypothetical protein [Halanaeroarchaeum sulfurireducens]</t>
  </si>
  <si>
    <t>VOG32770 [FUNC="REFSEQ hypothetical protein"] [TAG=Xu TAGDEF="Function unknown"]</t>
  </si>
  <si>
    <t>Uncharacterized protein n=1 Tax=Lentibacter virus vB_LenP_ICBM2 TaxID=2301529 RepID=A0A3G2YRG7_9CAUD</t>
  </si>
  <si>
    <t>DNAUV-57.114-48_99</t>
  </si>
  <si>
    <t>Tail fiber protein n=1 Tax=Roseobacter phage CRP-9 TaxID=2813174 RepID=A0A8E5F9M5_9CAUD</t>
  </si>
  <si>
    <t>05.07.P4-2.711-1.6_1</t>
  </si>
  <si>
    <t>COG3391 [FUNC="DNA-binding beta-propeller fold protein YncE"] [shortName=YncE] [TAG=R TAGDEF="General function prediction only" PROCESS="POORLY CHARACTERIZED"]  [PATHWAY=""] hypothetical protein CENSYa_0508 [Cenarchaeum symbiosum A]</t>
  </si>
  <si>
    <t>Uncharacterized protein n=1 Tax=Ruegeria sp. (strain TM1040) TaxID=292414 RepID=Q1GIG2_RUEST</t>
  </si>
  <si>
    <t>Avril.NODE_216_length_8718_cov_5.759206_11</t>
  </si>
  <si>
    <t>COG3391 [FUNC="DNA-binding beta-propeller fold protein YncE"] [shortName=YncE] [TAG=R TAGDEF="General function prediction only" PROCESS="POORLY CHARACTERIZED"]  [PATHWAY=""] hypothetical protein CENSYa_0708 [Cenarchaeum symbiosum A]</t>
  </si>
  <si>
    <t>DNAUV-4.012-22_1</t>
  </si>
  <si>
    <t>COG3506 [FUNC="Regulation of enolase protein 1 (function unknown), concanavalin A-like superfamily"] [shortName=Ree1] [TAG=S TAGDEF="Function unknown" PROCESS="POORLY CHARACTERIZED"]  [PATHWAY=""] T9SS C-terminal target domain-containing protein [Pseudoflavitalea sp. 5GH32-13]</t>
  </si>
  <si>
    <t>DNAUV-2.360-8.7_3</t>
  </si>
  <si>
    <t>sp|P39242|Y05G_BPT4 Uncharacterized 38.9 kDa protein in nrdC-mobD intergenic region OS=Enterobacteria phage T4 OX=10665 GN=y05G PE=4 SV=2</t>
  </si>
  <si>
    <t>COG3541 [FUNC="Predicted nucleotidyltransferase YcgL"] [shortName=YcgL] [TAG=R TAGDEF="General function prediction only" PROCESS="POORLY CHARACTERIZED"]  [PATHWAY=""] hypothetical protein [Gemmata obscuriglobus]</t>
  </si>
  <si>
    <t>VOG00897 [FUNC="sp|P39242|Y05G_BPT4 Uncharacterized 38.9 kDa protein in nrdC-mobD intergenic region"] [TAG=Xu TAGDEF="Function unknown"]</t>
  </si>
  <si>
    <t>Nucleotidyltransferase n=1 Tax=Vibrio phage vB_VpaM_R16F TaxID=2996088 RepID=A0A9E8K0E1_9CAUD</t>
  </si>
  <si>
    <t>DNAUV-85.908-43_85</t>
  </si>
  <si>
    <t>Thioredoxin n=1 Tax=Enterobacteria phage vB_EcoM_IME281 TaxID=2163887 RepID=A0A2S1GP83_9CAUD</t>
  </si>
  <si>
    <t>DNAUV-147.430-52_96</t>
  </si>
  <si>
    <t>sp|P94389|YCGL_BACSU Uncharacterized protein YcgL OS=Bacillus subtilis (strain 168) OX=224308 GN=ycgL PE=4 SV=1</t>
  </si>
  <si>
    <t>COG3541 [FUNC="Predicted nucleotidyltransferase YcgL"] [shortName=YcgL] [TAG=R TAGDEF="General function prediction only" PROCESS="POORLY CHARACTERIZED"]  [PATHWAY=""] nucleotidyltransferase domain-containing protein [Carnobacterium maltaromaticum]</t>
  </si>
  <si>
    <t>Nucleotidyltransferase domain-containing protein n=1 Tax=Butyrivibrio sp. X503 TaxID=2364878 RepID=A0A3A9S8V4_9FIRM</t>
  </si>
  <si>
    <t>Avril.NODE_9_length_46600_cov_10.230895_42</t>
  </si>
  <si>
    <t>COG3551 [FUNC="Uncharacterized conserved protein"] [shortName=] [TAG=S TAGDEF="Function unknown" PROCESS="POORLY CHARACTERIZED"]  [PATHWAY=""] glycosyl transferase group 1 [Oscillatoria nigro-viridis]</t>
  </si>
  <si>
    <t>Sulfotransferase family protein n=2 Tax=root TaxID=1 RepID=A0A9C9NHS3_9HYPH</t>
  </si>
  <si>
    <t>DNAUV-4.394-368_16</t>
  </si>
  <si>
    <t>COG3566 [FUNC="Uncharacterized conserved protein, DUF2213 domain"] [shortName=] [TAG=S TAGDEF="Function unknown" PROCESS="POORLY CHARACTERIZED"]  [PATHWAY=""] DUF2213 domain-containing protein [Achromobacter xylosoxidans]</t>
  </si>
  <si>
    <t>VOG03874 [FUNC="sp|P44180|Y1405_HAEIN Uncharacterized protein HI_1405"] [TAG=Xu TAGDEF="Function unknown"]</t>
  </si>
  <si>
    <t>Putative head protein n=1 Tax=Edwardsiella phage MSW-3 TaxID=1264700 RepID=L0MX79_9CAUD</t>
  </si>
  <si>
    <t>Oct.NODE_1284_length_2688_cov_3.123813_3</t>
  </si>
  <si>
    <t>COG3566 [FUNC="Uncharacterized conserved protein, DUF2213 domain"] [shortName=] [TAG=S TAGDEF="Function unknown" PROCESS="POORLY CHARACTERIZED"]  [PATHWAY=""] DUF2213 domain-containing protein [Mycoavidus cysteinexigens]</t>
  </si>
  <si>
    <t>DUF2213 domain-containing protein n=1 Tax=Edwardsiella phage PEi21 TaxID=1325372 RepID=N0DP48_9CAUD</t>
  </si>
  <si>
    <t>Avril.NODE_566_length_4224_cov_4.190213_2</t>
  </si>
  <si>
    <t>COG3566 [FUNC="Uncharacterized conserved protein, DUF2213 domain"] [shortName=] [TAG=S TAGDEF="Function unknown" PROCESS="POORLY CHARACTERIZED"]  [PATHWAY=""] MULTISPECIES: DUF2213 domain-containing protein [Listeria]</t>
  </si>
  <si>
    <t>DUF2213 domain-containing protein n=1 Tax=Lactobacillus bombicola TaxID=1505723 RepID=A0A1I1TYB4_9LACO</t>
  </si>
  <si>
    <t>DNAUV-12.430-23_7</t>
  </si>
  <si>
    <t>sp|P44183|Y1409_HAEIN Uncharacterized protein HI_1409 OS=Haemophilus influenzae (strain ATCC 51907 / DSM 11121 / KW20 / Rd) OX=71421 GN=HI_1409 PE=4 SV=1</t>
  </si>
  <si>
    <t>COG3567 [FUNC="Uncharacterized conserved protein, DUF1073 domain"] [shortName=] [TAG=S TAGDEF="Function unknown" PROCESS="POORLY CHARACTERIZED"]  [PATHWAY=""] DUF1073 domain-containing protein [bacterium endosymbiont of Mortierella elongata FMR23-6]</t>
  </si>
  <si>
    <t>Putative portal protein n=1 Tax=Bdellovibrio phage phi1422 TaxID=1127515 RepID=H9C0L9_9CAUD</t>
  </si>
  <si>
    <t>Oct.NODE_1284_length_2688_cov_3.123813_2</t>
  </si>
  <si>
    <t>sp|A0A494TJG7|ACB1_SPHPE Anti-CBASS protein Acb1 OS=Sphingomonas paeninsulae OX=2319844 GN=D3Y57_19160 PE=1 SV=1</t>
  </si>
  <si>
    <t>COG3567 [FUNC="Uncharacterized conserved protein, DUF1073 domain"] [shortName=] [TAG=S TAGDEF="Function unknown" PROCESS="POORLY CHARACTERIZED"]  [PATHWAY=""] DUF1073 domain-containing protein [Chelativorans sp. BNC1]</t>
  </si>
  <si>
    <t>DUF1073 domain-containing protein (Fragment) n=1 Tax=Spiribacter salinus TaxID=1335746 RepID=A0A540VRX6_9GAMM</t>
  </si>
  <si>
    <t>DNAUV-38.183-831_31</t>
  </si>
  <si>
    <t>COG3567 [FUNC="Uncharacterized conserved protein, DUF1073 domain"] [shortName=] [TAG=S TAGDEF="Function unknown" PROCESS="POORLY CHARACTERIZED"]  [PATHWAY=""] DUF1073 domain-containing protein [Commensalibacter sp. AMU001]</t>
  </si>
  <si>
    <t>Phage protein n=1 Tax=Yersinia phage fEV-1 TaxID=2077277 RepID=A0A2P9HXP6_9CAUD</t>
  </si>
  <si>
    <t>DNAUV-42.055-32_56</t>
  </si>
  <si>
    <t>COG3567 [FUNC="Uncharacterized conserved protein, DUF1073 domain"] [shortName=] [TAG=S TAGDEF="Function unknown" PROCESS="POORLY CHARACTERIZED"]  [PATHWAY=""] DUF1073 domain-containing protein [Mannheimia haemolytica]</t>
  </si>
  <si>
    <t>Portal protein n=1 Tax=Vibrio phage 1.122.B._10N.286.46.F8 TaxID=1881250 RepID=A0A2I7R6U3_9CAUD</t>
  </si>
  <si>
    <t>23.10.P4-2.975-8.4_2</t>
  </si>
  <si>
    <t>COG3567 [FUNC="Uncharacterized conserved protein, DUF1073 domain"] [shortName=] [TAG=S TAGDEF="Function unknown" PROCESS="POORLY CHARACTERIZED"]  [PATHWAY=""] DUF1073 domain-containing protein [Natronobacterium gregoryi]</t>
  </si>
  <si>
    <t>Portal protein n=1 Tax=Brevundimonas phage vB_BpoS-MaInes TaxID=2948603 RepID=A0A9E7N7C8_9CAUD</t>
  </si>
  <si>
    <t>DNAUV-42.184-72_68</t>
  </si>
  <si>
    <t>COG3567 [FUNC="Uncharacterized conserved protein, DUF1073 domain"] [shortName=] [TAG=S TAGDEF="Function unknown" PROCESS="POORLY CHARACTERIZED"]  [PATHWAY=""] DUF1073 domain-containing protein [Raoultella ornithinolytica]</t>
  </si>
  <si>
    <t>DUF1073 domain-containing protein n=1 Tax=Halomonas populi TaxID=2498858 RepID=A0A3S0YEM3_9GAMM</t>
  </si>
  <si>
    <t>DNAUV-43.803-72_13</t>
  </si>
  <si>
    <t>DUF1073 domain-containing protein n=1 Tax=Rhizobium meliloti TaxID=382 RepID=A0A9Q4LTR2_RHIML</t>
  </si>
  <si>
    <t>Avril.NODE_566_length_4224_cov_4.190213_1</t>
  </si>
  <si>
    <t>COG3567 [FUNC="Uncharacterized conserved protein, DUF1073 domain"] [shortName=] [TAG=S TAGDEF="Function unknown" PROCESS="POORLY CHARACTERIZED"]  [PATHWAY=""] DUF1073 domain-containing protein [Zymobacter palmae]</t>
  </si>
  <si>
    <t>DUF1073 domain-containing protein n=1 Tax=Scytonema sp. CRU_2_7 TaxID=2720407 RepID=A0A969SBJ2_9CYAN</t>
  </si>
  <si>
    <t>DNAUV-9.911-12_13</t>
  </si>
  <si>
    <t>COG3583 [FUNC="Uncharacterized conserved protein YabE, contains G5 and tandem DUF348 domains"] [shortName=YabE] [TAG=S TAGDEF="Function unknown" PROCESS="POORLY CHARACTERIZED"]  [PATHWAY=""] DUF348 domain-containing protein [Candidatus Saccharimonas aalborgensis]</t>
  </si>
  <si>
    <t>Phage tail lysozyme domain-containing protein n=1 Tax=Cohaesibacter gelatinilyticus TaxID=372072 RepID=A0A285PI52_9HYPH</t>
  </si>
  <si>
    <t>17.05.P3-3.971-4.9_3</t>
  </si>
  <si>
    <t>COG3584 [FUNC="3D (Asp-Asp-Asp) domain, usually in lytic transglycosylases"] [shortName=] [TAG=S TAGDEF="Function unknown" PROCESS="POORLY CHARACTERIZED"]  [PATHWAY="3D"] hypothetical protein [Maribacter sp. B1]</t>
  </si>
  <si>
    <t>VOG17903 [FUNC="REFSEQ hypothetical protein"] [TAG=Xu TAGDEF="Function unknown"]</t>
  </si>
  <si>
    <t>3D domain-containing protein n=1 Tax=Pontibacter mangrovi TaxID=2589816 RepID=A0A501WC87_9BACT</t>
  </si>
  <si>
    <t>DNAUV-28.498-30_16</t>
  </si>
  <si>
    <t>COG3584 [FUNC="3D (Asp-Asp-Asp) domain, usually in lytic transglycosylases"] [shortName=] [TAG=S TAGDEF="Function unknown" PROCESS="POORLY CHARACTERIZED"]  [PATHWAY="3D"] hypothetical protein [Mariniflexile sp. TRM1-10]</t>
  </si>
  <si>
    <t>Uncharacterized protein n=1 Tax=Tenacibaculum phage Larrie TaxID=2968246 RepID=A0A9X9JA98_9CAUD</t>
  </si>
  <si>
    <t>DNAUV-80.863-259_48</t>
  </si>
  <si>
    <t>COG3584 [FUNC="3D (Asp-Asp-Asp) domain, usually in lytic transglycosylases"] [shortName=] [TAG=S TAGDEF="Function unknown" PROCESS="POORLY CHARACTERIZED"]  [PATHWAY="3D"] hypothetical protein [Salinisphaera sp. LB1]</t>
  </si>
  <si>
    <t>DNAUV-5.801-14_8</t>
  </si>
  <si>
    <t>COG3680 [FUNC="Uncharacterized protein, contains GIY-YIG domain"] [shortName=] [TAG=S TAGDEF="Function unknown" PROCESS="POORLY CHARACTERIZED"]  [PATHWAY=""] hypothetical protein [Frischella perrara]</t>
  </si>
  <si>
    <t>Putative homing endonuclease protein n=1 Tax=Rhizobium phage RHph_Y1_10 TaxID=2509570 RepID=A0A7S5UUM0_9CAUD</t>
  </si>
  <si>
    <t>DNAUV-59.689-63_193</t>
  </si>
  <si>
    <t>sp|B3PZT5|Y3797_RHIE6 UPF0335 protein RHECIAT_CH0003797 OS=Rhizobium etli (strain CIAT 652) OX=491916 GN=RHECIAT_CH0003797 PE=3 SV=1</t>
  </si>
  <si>
    <t>COG3750 [FUNC="Uncharacterized conserved protein, UPF0335 family"] [shortName=] [TAG=S TAGDEF="Function unknown" PROCESS="POORLY CHARACTERIZED"]  [PATHWAY=""] DUF2312 domain-containing protein [Roseibacterium elongatum]</t>
  </si>
  <si>
    <t>VOG01454 [FUNC="sp|B9JS29|Y3695_ALLAM UPF0335 protein Avi_3695"] [TAG=Xu TAGDEF="Function unknown"]</t>
  </si>
  <si>
    <t>GapR-like DNA-binding domain-containing protein n=4 Tax=unclassified Casjensviridae TaxID=2960002 RepID=A0A097EVZ5_9CAUD</t>
  </si>
  <si>
    <t>DNAUV-7.147-1172_30</t>
  </si>
  <si>
    <t>sp|B6JC05|Y5086_AFIC5 UPF0335 protein OCAR_5086/OCA5_c28780 OS=Afipia carboxidovorans (strain ATCC 49405 / DSM 1227 / KCTC 32145 / OM5) OX=504832 GN=OCAR_5086 PE=3 SV=1</t>
  </si>
  <si>
    <t>COG3750 [FUNC="Uncharacterized conserved protein, UPF0335 family"] [shortName=] [TAG=S TAGDEF="Function unknown" PROCESS="POORLY CHARACTERIZED"]  [PATHWAY=""] hypothetical protein [Rhodovulum sulfidophilum]</t>
  </si>
  <si>
    <t>Cell division protein FtsK n=2 Tax=root TaxID=1 RepID=A0A1X9HX62_9CAUD</t>
  </si>
  <si>
    <t>Juil.NODE_3_length_12354_cov_19.229368_17</t>
  </si>
  <si>
    <t>sp|B1ZEG3|Y2872_METPB UPF0335 protein Mpop_2872 OS=Methylorubrum populi (strain ATCC BAA-705 / NCIMB 13946 / BJ001) OX=441620 GN=Mpop_2872 PE=3 SV=1</t>
  </si>
  <si>
    <t>COG3750 [FUNC="Uncharacterized conserved protein, UPF0335 family"] [shortName=] [TAG=S TAGDEF="Function unknown" PROCESS="POORLY CHARACTERIZED"]  [PATHWAY=""] MULTISPECIES: DUF2312 domain-containing protein [Rhodobacteraceae]</t>
  </si>
  <si>
    <t>Uncharacterized conserved protein, UPF0335 family n=2 Tax=Marivita TaxID=659428 RepID=A0A1M5NXC5_9RHOB</t>
  </si>
  <si>
    <t>DNAUV-2.177-33_1</t>
  </si>
  <si>
    <t>COG3756 [FUNC="Uncharacterized conserved protein YdaU, DUF1376 family"] [shortName=YdaU] [TAG=S TAGDEF="Function unknown" PROCESS="POORLY CHARACTERIZED"]  [PATHWAY=""] DUF1376 domain-containing protein [Aminobacter aminovorans]</t>
  </si>
  <si>
    <t>DUF1376 domain-containing protein n=1 Tax=Sulfitobacter phage pCB2047-C TaxID=754043 RepID=M4NMB8_9CAUD</t>
  </si>
  <si>
    <t>Mai.NODE_863_length_2587_cov_5.518167_2</t>
  </si>
  <si>
    <t>Sept.NODE_827_length_2646_cov_5.586646_1</t>
  </si>
  <si>
    <t>COG3756 [FUNC="Uncharacterized conserved protein YdaU, DUF1376 family"] [shortName=YdaU] [TAG=S TAGDEF="Function unknown" PROCESS="POORLY CHARACTERIZED"]  [PATHWAY=""] DUF1376 domain-containing protein [Liberibacter crescens]</t>
  </si>
  <si>
    <t>DUF1376 domain-containing protein n=1 Tax=Ruegeria phage 45A6 TaxID=1851646 RepID=A0A1X9HW69_9CAUD</t>
  </si>
  <si>
    <t>DNAUV-9.007-689_23</t>
  </si>
  <si>
    <t>COG3756 [FUNC="Uncharacterized conserved protein YdaU, DUF1376 family"] [shortName=YdaU] [TAG=S TAGDEF="Function unknown" PROCESS="POORLY CHARACTERIZED"]  [PATHWAY=""] DUF1376 domain-containing protein [Maritalea myrionectae]</t>
  </si>
  <si>
    <t>DNAUV-34.723-630_28</t>
  </si>
  <si>
    <t>sp|P76065|YDAU_ECOLI Uncharacterized protein YdaU OS=Escherichia coli (strain K12) OX=83333 GN=ydaU PE=4 SV=1</t>
  </si>
  <si>
    <t>COG3756 [FUNC="Uncharacterized conserved protein YdaU, DUF1376 family"] [shortName=YdaU] [TAG=S TAGDEF="Function unknown" PROCESS="POORLY CHARACTERIZED"]  [PATHWAY=""] DUF1376 domain-containing protein [Mesorhizobium loti]</t>
  </si>
  <si>
    <t>DUF1376 domain-containing protein n=1 Tax=Shinella sp. AETb1-6 TaxID=2692210 RepID=A0A7C9IC60_9HYPH</t>
  </si>
  <si>
    <t>DNAUV-4.322-25_4</t>
  </si>
  <si>
    <t>COG3756 [FUNC="Uncharacterized conserved protein YdaU, DUF1376 family"] [shortName=YdaU] [TAG=S TAGDEF="Function unknown" PROCESS="POORLY CHARACTERIZED"]  [PATHWAY=""] DUF1376 domain-containing protein [Paracoccus denitrificans]</t>
  </si>
  <si>
    <t>VOG03402 [FUNC="REFSEQ transcriptional repressor"] [TAG=Xu TAGDEF="Function unknown"]</t>
  </si>
  <si>
    <t>Helix-turn-helix domain-containing protein n=1 Tax=Rhodococcus kyotonensis TaxID=398843 RepID=A0A239FKT8_9NOCA</t>
  </si>
  <si>
    <t>Sept.NODE_450_length_3976_cov_14.713083_3</t>
  </si>
  <si>
    <t>11.09.P2-11.877-4.3_14</t>
  </si>
  <si>
    <t>COG3756 [FUNC="Uncharacterized conserved protein YdaU, DUF1376 family"] [shortName=YdaU] [TAG=S TAGDEF="Function unknown" PROCESS="POORLY CHARACTERIZED"]  [PATHWAY=""] DUF1376 domain-containing protein [Xanthobacter autotrophicus]</t>
  </si>
  <si>
    <t>RepO n=1 Tax=Pontimonas phage phiPsal1 TaxID=2079347 RepID=A0A2K9VGL5_9CAUD</t>
  </si>
  <si>
    <t>11.09.P2-3.527-3.0_1</t>
  </si>
  <si>
    <t>DNAUV-15.533-18_20</t>
  </si>
  <si>
    <t>DNAUV-2.047-79_1</t>
  </si>
  <si>
    <t>DNAUV-2.544-154_3</t>
  </si>
  <si>
    <t>DNAUV-2.810-49_9</t>
  </si>
  <si>
    <t>Uncharacterized protein n=1 Tax=Paracoccus versutus TaxID=34007 RepID=A0A3D9XPL0_PARVE</t>
  </si>
  <si>
    <t>Sept.NODE_457_length_3928_cov_21.540150_1</t>
  </si>
  <si>
    <t>Avril.NODE_118_length_15026_cov_7.254091_8</t>
  </si>
  <si>
    <t>COG3864 [FUNC="Predicted metal-dependent peptidase"] [shortName=] [TAG=R TAGDEF="General function prediction only" PROCESS="POORLY CHARACTERIZED"]  [PATHWAY=""] hypothetical protein [Alkalilimnicola ehrlichii]</t>
  </si>
  <si>
    <t>VOG01164 [FUNC="REFSEQ HNH endonuclease"] [TAG=Xu TAGDEF="Function unknown"]</t>
  </si>
  <si>
    <t>N4 gp25-like protein n=1 Tax=Roseovarius Plymouth podovirus 1 TaxID=926474 RepID=K4Q4Y2_9CAUD</t>
  </si>
  <si>
    <t>DNAUV-2.968-10_5</t>
  </si>
  <si>
    <t>DNAUV-73.172-54_130</t>
  </si>
  <si>
    <t>DNAUV-72.439-197_28</t>
  </si>
  <si>
    <t>sp|P56727|Y929_THEMA Uncharacterized protein TM_0929 OS=Thermotoga maritima (strain ATCC 43589 / DSM 3109 / JCM 10099 / NBRC 100826 / MSB8) OX=243274 GN=TM_0929 PE=4 SV=1</t>
  </si>
  <si>
    <t>COG3864 [FUNC="Predicted metal-dependent peptidase"] [shortName=] [TAG=R TAGDEF="General function prediction only" PROCESS="POORLY CHARACTERIZED"]  [PATHWAY=""] hypothetical protein [Allochromatium vinosum]</t>
  </si>
  <si>
    <t>Metallopeptidase domain-containing protein n=1 Tax=Brucella anthropi TaxID=529 RepID=A0A8I0TAX1_BRUAN</t>
  </si>
  <si>
    <t>05.07.P3-6.535-17_14</t>
  </si>
  <si>
    <t>COG3864 [FUNC="Predicted metal-dependent peptidase"] [shortName=] [TAG=R TAGDEF="General function prediction only" PROCESS="POORLY CHARACTERIZED"]  [PATHWAY=""] hypothetical protein [Sulfuricella denitrificans]</t>
  </si>
  <si>
    <t>Uncharacterized protein n=1 Tax=Richelia sp. RM2_1_2 TaxID=2720436 RepID=A0A969MMI0_9NOST</t>
  </si>
  <si>
    <t>05.07.P4-8.202-8.6_9</t>
  </si>
  <si>
    <t>DNAUV-68.024-31_77</t>
  </si>
  <si>
    <t>COG3904 [FUNC="Predicted periplasmic protein"] [shortName=] [TAG=S TAGDEF="Function unknown" PROCESS="POORLY CHARACTERIZED"]  [PATHWAY=""] hypothetical protein [Antarctobacter heliothermus]</t>
  </si>
  <si>
    <t>Lysozyme inhibitor LprI N-terminal domain-containing protein n=1 Tax=Paracoccus amoyensis TaxID=2760093 RepID=A0A926GAA6_9RHOB</t>
  </si>
  <si>
    <t>DNAUV-37.297-108_18</t>
  </si>
  <si>
    <t>COG3904 [FUNC="Predicted periplasmic protein"] [shortName=] [TAG=S TAGDEF="Function unknown" PROCESS="POORLY CHARACTERIZED"]  [PATHWAY=""] hypothetical protein [Labrenzia aggregata]</t>
  </si>
  <si>
    <t>Uncharacterized protein n=1 Tax=Devosia litorisediminis TaxID=2829817 RepID=A0A942E9D7_9HYPH</t>
  </si>
  <si>
    <t>11.09.P1-7.013-24_10</t>
  </si>
  <si>
    <t>COG3926 [FUNC="Lysozyme family protein"] [shortName=ZliS] [TAG=R TAGDEF="General function prediction only" PROCESS="POORLY CHARACTERIZED"]  [PATHWAY=""] hypothetical protein [Buttiauxella sp. 3AFRM03]</t>
  </si>
  <si>
    <t>Peptidase n=1 Tax=Vibrio ishigakensis TaxID=1481914 RepID=A0A0B8QIR5_9VIBR</t>
  </si>
  <si>
    <t>DNAUV-15.594-26_11</t>
  </si>
  <si>
    <t>COG3926 [FUNC="Lysozyme family protein"] [shortName=ZliS] [TAG=R TAGDEF="General function prediction only" PROCESS="POORLY CHARACTERIZED"]  [PATHWAY=""] hypothetical protein [Candidatus Puniceispirillum marinum]</t>
  </si>
  <si>
    <t>VOG03924 [FUNC="REFSEQ endolysin"] [TAG=Xu TAGDEF="Function unknown"]</t>
  </si>
  <si>
    <t>Uncharacterized protein n=1 Tax=Aphanizomenon flos-aquae WA102 TaxID=1710896 RepID=A0A1B7X2G7_APHFL</t>
  </si>
  <si>
    <t>DNAUV-2.646-17_7</t>
  </si>
  <si>
    <t>DNAUV-5.638-31_4</t>
  </si>
  <si>
    <t>Sept.NODE_1221_length_2040_cov_4.848866_3</t>
  </si>
  <si>
    <t>TtsA-like Glycoside hydrolase family 108 domain-containing protein n=1 Tax=Methylorubrum sp. Q1 TaxID=2562453 RepID=A0A4Z0E6G4_9HYPH</t>
  </si>
  <si>
    <t>DNAUV-41.618-136_46</t>
  </si>
  <si>
    <t>COG3926 [FUNC="Lysozyme family protein"] [shortName=ZliS] [TAG=R TAGDEF="General function prediction only" PROCESS="POORLY CHARACTERIZED"]  [PATHWAY=""] hypothetical protein [Halomonas elongata]</t>
  </si>
  <si>
    <t>Uncharacterized protein n=1 Tax=Rhizobacter sp. Root29 TaxID=1736511 RepID=A0A0Q6LK17_9BURK</t>
  </si>
  <si>
    <t>DNAUV-2.929-14_5</t>
  </si>
  <si>
    <t>COG3926 [FUNC="Lysozyme family protein"] [shortName=ZliS] [TAG=R TAGDEF="General function prediction only" PROCESS="POORLY CHARACTERIZED"]  [PATHWAY=""] hypothetical protein [Pseudogulbenkiania sp. NH8B]</t>
  </si>
  <si>
    <t>Predicted Peptidoglycan domain-containing protein n=1 Tax=Allosphingosinicella indica TaxID=941907 RepID=A0A1X7G0G7_9SPHN</t>
  </si>
  <si>
    <t>Avril.NODE_4_length_52184_cov_14.862668_15</t>
  </si>
  <si>
    <t>COG3926 [FUNC="Lysozyme family protein"] [shortName=ZliS] [TAG=R TAGDEF="General function prediction only" PROCESS="POORLY CHARACTERIZED"]  [PATHWAY=""] hypothetical protein [Roseomonas gilardii]</t>
  </si>
  <si>
    <t>Uncharacterized protein n=1 Tax=Ancylobacter sp. TS-1 TaxID=1850374 RepID=A0A5P8MW78_9HYPH</t>
  </si>
  <si>
    <t>DNAUV-7.251-124_15</t>
  </si>
  <si>
    <t>COG3926 [FUNC="Lysozyme family protein"] [shortName=ZliS] [TAG=R TAGDEF="General function prediction only" PROCESS="POORLY CHARACTERIZED"]  [PATHWAY=""] hypothetical protein [Starkeya novella]</t>
  </si>
  <si>
    <t>Lysozyme family protein n=1 Tax=Ancylobacter aquaticus TaxID=100 RepID=A0A4R1IC18_ANCAQ</t>
  </si>
  <si>
    <t>DNAUV-6.574-13_1</t>
  </si>
  <si>
    <t>COG3926 [FUNC="Lysozyme family protein"] [shortName=ZliS] [TAG=R TAGDEF="General function prediction only" PROCESS="POORLY CHARACTERIZED"]  [PATHWAY=""] hypothetical protein [Tolumonas auensis]</t>
  </si>
  <si>
    <t>Putative internal core protein n=1 Tax=Ralstonia phage RSB3 TaxID=1402875 RepID=U3TK92_9CAUD</t>
  </si>
  <si>
    <t>DNAUV-85.908-43_43</t>
  </si>
  <si>
    <t>COG3926 [FUNC="Lysozyme family protein"] [shortName=ZliS] [TAG=R TAGDEF="General function prediction only" PROCESS="POORLY CHARACTERIZED"]  [PATHWAY=""] hypothetical protein YE1815 [Yersinia enterocolitica subsp. enterocolitica 8081]</t>
  </si>
  <si>
    <t>Uncharacterized protein n=1 Tax=Sulfurovum sp. UBA12169 TaxID=2015906 RepID=A0A2D3WHQ2_9BACT</t>
  </si>
  <si>
    <t>DNAUV-48.671-99_28</t>
  </si>
  <si>
    <t>COG3926 [FUNC="Lysozyme family protein"] [shortName=ZliS] [TAG=R TAGDEF="General function prediction only" PROCESS="POORLY CHARACTERIZED"]  [PATHWAY=""] TIGR02594 family protein [Candidatus Filomicrobium marinum]</t>
  </si>
  <si>
    <t>TIGR02594 family protein n=1 Tax=Polaribacter marinus TaxID=2916838 RepID=A0A9X1VN43_9FLAO</t>
  </si>
  <si>
    <t>11.09.P4-15.476-7.9_6</t>
  </si>
  <si>
    <t>COG3926 [FUNC="Lysozyme family protein"] [shortName=ZliS] [TAG=R TAGDEF="General function prediction only" PROCESS="POORLY CHARACTERIZED"]  [PATHWAY=""] XRE family transcriptional regulator [Saccharophagus degradans]</t>
  </si>
  <si>
    <t>Secretion activating protein n=1 Tax=Marinobacter orientalis TaxID=1928859 RepID=A0A7Y0WTL2_9GAMM</t>
  </si>
  <si>
    <t>DNAUV-4.162-14_4</t>
  </si>
  <si>
    <t>Sept.NODE_569_length_3389_cov_4.134073_6</t>
  </si>
  <si>
    <t>Uncharacterized protein n=1 Tax=Alteromonas alba TaxID=2079529 RepID=A0A2S9V8V9_9ALTE</t>
  </si>
  <si>
    <t>Mai.NODE_1089_length_2179_cov_4.400659_3</t>
  </si>
  <si>
    <t>sp|P77216|YBDN_ECOLI Uncharacterized protein YbdN OS=Escherichia coli (strain K12) OX=83333 GN=ybdN PE=4 SV=1</t>
  </si>
  <si>
    <t>COG3969 [FUNC="Predicted phosphoadenosine phosphosulfate sulfurtransferase, contains C-terminal DUF3440 domain"] [shortName=YbdN] [TAG=R TAGDEF="General function prediction only" PROCESS="POORLY CHARACTERIZED"]  [PATHWAY=""] hypothetical protein CD630_05940 [Clostridioides difficile 630]</t>
  </si>
  <si>
    <t>PAPS reductase n=1 Tax=Pseudoalteromonas phage XCL1123 TaxID=2655003 RepID=A0A649V1S9_9CAUD</t>
  </si>
  <si>
    <t>DNAUV-2.999-11_5</t>
  </si>
  <si>
    <t>COG3969 [FUNC="Predicted phosphoadenosine phosphosulfate sulfurtransferase, contains C-terminal DUF3440 domain"] [shortName=YbdN] [TAG=R TAGDEF="General function prediction only" PROCESS="POORLY CHARACTERIZED"]  [PATHWAY=""] MULTISPECIES: DUF3440 domain-containing protein [Clostridiales]</t>
  </si>
  <si>
    <t>Avril.NODE_102_length_17063_cov_9.849659_12</t>
  </si>
  <si>
    <t>COG3969 [FUNC="Predicted phosphoadenosine phosphosulfate sulfurtransferase, contains C-terminal DUF3440 domain"] [shortName=YbdN] [TAG=R TAGDEF="General function prediction only" PROCESS="POORLY CHARACTERIZED"]  [PATHWAY=""] phosphoadenosine phosphosulfate reductase [Opitutaceae bacterium TAV5]</t>
  </si>
  <si>
    <t>Co-activator of prophage gene expression n=1 Tax=Phage 5P_3 TaxID=2492475 RepID=A0A3G8F6J8_9CAUD</t>
  </si>
  <si>
    <t>DNAUV-4.690-19_2</t>
  </si>
  <si>
    <t>sp|Q7U6F4|RIMK_PARMW Probable alpha-L-glutamate ligase OS=Parasynechococcus marenigrum (strain WH8102) OX=84588 GN=rimK PE=3 SV=1</t>
  </si>
  <si>
    <t>COG4067 [FUNC="Uncharacterized conserved protein"] [shortName=] [TAG=S TAGDEF="Function unknown" PROCESS="POORLY CHARACTERIZED"]  [PATHWAY=""] 30S ribosomal protein S6--L-glutamate ligase [Muricauda ruestringensis]</t>
  </si>
  <si>
    <t>Avril.NODE_208_length_8822_cov_7.156838_5</t>
  </si>
  <si>
    <t>COG4076 [FUNC="Predicted RNA methylase"] [shortName=] [TAG=R TAGDEF="General function prediction only" PROCESS="POORLY CHARACTERIZED"]  [PATHWAY=""] FkbM family methyltransferase [Tabrizicola sp. K13M18]</t>
  </si>
  <si>
    <t>Methyltransferase FkbM family protein n=2 Tax=Actinomycetes TaxID=1760 RepID=K6XGF5_9MICO</t>
  </si>
  <si>
    <t>DNAUV-28.498-30_28</t>
  </si>
  <si>
    <t>COG4099 [FUNC="Predicted peptidase"] [shortName=] [TAG=R TAGDEF="General function prediction only" PROCESS="POORLY CHARACTERIZED"]  [PATHWAY=""] T9SS C-terminal target domain-containing protein [Chitinophaga pinensis]</t>
  </si>
  <si>
    <t>Por secretion system C-terminal sorting domain-containing protein (Fragment) n=1 Tax=Flavisolibacter ginsengisoli DSM 18119 TaxID=1121884 RepID=A0A1M5GPV7_9BACT</t>
  </si>
  <si>
    <t>DNAUV-35.226-432_53</t>
  </si>
  <si>
    <t>COG4099 [FUNC="Predicted peptidase"] [shortName=] [TAG=R TAGDEF="General function prediction only" PROCESS="POORLY CHARACTERIZED"]  [PATHWAY=""] T9SS C-terminal target domain-containing protein [Chryseolinea sp. KIS68-18]</t>
  </si>
  <si>
    <t>Structural protein n=1 Tax=Cellulophaga phage phi39:1 TaxID=1327993 RepID=S0A3Y8_9CAUD</t>
  </si>
  <si>
    <t>DNAUV-12.383-30_19</t>
  </si>
  <si>
    <t>COG4127 [FUNC="Predicted restriction endonuclease, Mrr-cat superfamily"] [shortName=] [TAG=R TAGDEF="General function prediction only" PROCESS="POORLY CHARACTERIZED"]  [PATHWAY=""] hypothetical protein [Gordonia sp. KTR9]</t>
  </si>
  <si>
    <t>VOG32437 [FUNC="REFSEQ hypothetical protein"] [TAG=Xu TAGDEF="Function unknown"]</t>
  </si>
  <si>
    <t>Cytoplasmic protein n=1 Tax=Actinophytocola xanthii TaxID=1912961 RepID=A0A1Q8BVH4_9PSEU</t>
  </si>
  <si>
    <t>DNAUV-8.008-20_9</t>
  </si>
  <si>
    <t>sp|Q58840|Y1445_METJA Uncharacterized protein MJ1445 OS=Methanocaldococcus jannaschii (strain ATCC 43067 / DSM 2661 / JAL-1 / JCM 10045 / NBRC 100440) OX=243232 GN=MJ1445 PE=4 SV=1</t>
  </si>
  <si>
    <t>COG4186 [FUNC="Uncharacterized conserved protein MJ1445, calcineurin-like phosphoesterase superfamily"] [shortName=] [TAG=R TAGDEF="General function prediction only" PROCESS="POORLY CHARACTERIZED"]  [PATHWAY=""] hydrolase [Cardiobacterium hominis]</t>
  </si>
  <si>
    <t>Metallophosphatase n=5 Tax=Lightbulbvirus TaxID=1918522 RepID=R9ZWT3_9CAUD</t>
  </si>
  <si>
    <t>DNAUV-23.723-492_46</t>
  </si>
  <si>
    <t>COG4186 [FUNC="Uncharacterized conserved protein MJ1445, calcineurin-like phosphoesterase superfamily"] [shortName=] [TAG=R TAGDEF="General function prediction only" PROCESS="POORLY CHARACTERIZED"]  [PATHWAY=""] hydrolase [Sebaldella termitidis]</t>
  </si>
  <si>
    <t>Phosphoesterase n=1 Tax=Vibrio phage vB_ValS_X1 TaxID=2736341 RepID=A0A6M9Z6A7_9CAUD</t>
  </si>
  <si>
    <t>Oct.NODE_98_length_18794_cov_7.263194_8</t>
  </si>
  <si>
    <t>DNAUV-43.621-123_26</t>
  </si>
  <si>
    <t>COG4186 [FUNC="Uncharacterized conserved protein MJ1445, calcineurin-like phosphoesterase superfamily"] [shortName=] [TAG=R TAGDEF="General function prediction only" PROCESS="POORLY CHARACTERIZED"]  [PATHWAY=""] hypothetical protein [Geoglobus acetivorans]</t>
  </si>
  <si>
    <t>Metallophophesterase n=1 Tax=Bacteriophage DSS3_PM1 TaxID=2664195 RepID=A0A7S5FTL7_9CAUD</t>
  </si>
  <si>
    <t>Avril.NODE_810_length_3233_cov_8.993392_4</t>
  </si>
  <si>
    <t>sp|Q05280|VG66_BPML5 Gene 66 protein OS=Mycobacterium phage L5 OX=31757 GN=66 PE=4 SV=1</t>
  </si>
  <si>
    <t>COG4186 [FUNC="Uncharacterized conserved protein MJ1445, calcineurin-like phosphoesterase superfamily"] [shortName=] [TAG=R TAGDEF="General function prediction only" PROCESS="POORLY CHARACTERIZED"]  [PATHWAY=""] hypothetical protein [Lachnoclostridium phytofermentans]</t>
  </si>
  <si>
    <t>Phosphoesterase n=3 Tax=unclassified Caudoviricetes TaxID=2788787 RepID=A0A3Q9R6K9_9CAUD</t>
  </si>
  <si>
    <t>Mai.NODE_155_length_9651_cov_133.830971_11</t>
  </si>
  <si>
    <t>Mai.NODE_62_length_23274_cov_154.731599_28</t>
  </si>
  <si>
    <t>DNAUV-21.362-14_23</t>
  </si>
  <si>
    <t>COG4186 [FUNC="Uncharacterized conserved protein MJ1445, calcineurin-like phosphoesterase superfamily"] [shortName=] [TAG=R TAGDEF="General function prediction only" PROCESS="POORLY CHARACTERIZED"]  [PATHWAY=""] hypothetical protein [Methanocaldococcus jannaschii]</t>
  </si>
  <si>
    <t>Phosphoesterase n=1 Tax=Synechococcus phage S-CBS4 TaxID=756275 RepID=H2BCP5_9CAUD</t>
  </si>
  <si>
    <t>DNAUV-62.938-22_21</t>
  </si>
  <si>
    <t>sp|P32286|SEGA_BPT4 Endonuclease segA OS=Enterobacteria phage T4 OX=10665 GN=segA PE=4 SV=1</t>
  </si>
  <si>
    <t>COG4186 [FUNC="Uncharacterized conserved protein MJ1445, calcineurin-like phosphoesterase superfamily"] [shortName=] [TAG=R TAGDEF="General function prediction only" PROCESS="POORLY CHARACTERIZED"]  [PATHWAY=""] metallophosphatase [Parabacteroides distasonis]</t>
  </si>
  <si>
    <t>Homing endonuclease n=1 Tax=Shewanella phage Thanatos-1 TaxID=2734808 RepID=A0A6M5CEU2_9CAUD</t>
  </si>
  <si>
    <t>DNAUV-13.692-18_16</t>
  </si>
  <si>
    <t>COG4186 [FUNC="Uncharacterized conserved protein MJ1445, calcineurin-like phosphoesterase superfamily"] [shortName=] [TAG=R TAGDEF="General function prediction only" PROCESS="POORLY CHARACTERIZED"]  [PATHWAY=""] MULTISPECIES: phosphohydrolase [Pelagibacterium]</t>
  </si>
  <si>
    <t>Metallophosphoesterase n=1 Tax=Sinorhizobium phage phiM12 TaxID=1357423 RepID=S5M7N4_9CAUD</t>
  </si>
  <si>
    <t>DNAUV-43.621-123_24</t>
  </si>
  <si>
    <t>DNAUV-12.147-754_20</t>
  </si>
  <si>
    <t>COG4186 [FUNC="Uncharacterized conserved protein MJ1445, calcineurin-like phosphoesterase superfamily"] [shortName=] [TAG=R TAGDEF="General function prediction only" PROCESS="POORLY CHARACTERIZED"]  [PATHWAY=""] phosphoesterase [Sebaldella termitidis]</t>
  </si>
  <si>
    <t>DNAUV-147.430-52_118</t>
  </si>
  <si>
    <t>DNAUV-152.980-60_53</t>
  </si>
  <si>
    <t>Metallophosphoesterase n=1 Tax=Sinorhizobium phage phiN3 TaxID=1647405 RepID=A0A0F6YPK3_9CAUD</t>
  </si>
  <si>
    <t>DNAUV-159.889-409_38</t>
  </si>
  <si>
    <t>Metallophophesterase n=1 Tax=Bacteriophage DSS3_VP1 TaxID=2664196 RepID=A0A7S5FQD9_9CAUD</t>
  </si>
  <si>
    <t>DNAUV-16.119-15_8</t>
  </si>
  <si>
    <t>DNAUV-3.890-10_8</t>
  </si>
  <si>
    <t>DNAUV-36.652-126_33</t>
  </si>
  <si>
    <t>Oct.NODE_303_length_6944_cov_17.025258_9</t>
  </si>
  <si>
    <t>Mai.NODE_433_length_4257_cov_5.465017_2</t>
  </si>
  <si>
    <t>COG4186 [FUNC="Uncharacterized conserved protein MJ1445, calcineurin-like phosphoesterase superfamily"] [shortName=] [TAG=R TAGDEF="General function prediction only" PROCESS="POORLY CHARACTERIZED"]  [PATHWAY=""] phosphoesterase [Slackia heliotrinireducens]</t>
  </si>
  <si>
    <t>DNAUV-100.032-102_19</t>
  </si>
  <si>
    <t>COG4186 [FUNC="Uncharacterized conserved protein MJ1445, calcineurin-like phosphoesterase superfamily"] [shortName=] [TAG=R TAGDEF="General function prediction only" PROCESS="POORLY CHARACTERIZED"]  [PATHWAY=""] phosphoesterase or phosphohydrolase [Mesotoga prima]</t>
  </si>
  <si>
    <t>Metallophosphatase n=1 Tax=Cellulophaga phage phi14:2 TaxID=1327990 RepID=S0A3E2_9CAUD</t>
  </si>
  <si>
    <t>DNAUV-152.980-60_151</t>
  </si>
  <si>
    <t>COG4339 [FUNC="Predicted metal-dependent phosphohydrolase, HD superfamily"] [shortName=] [TAG=R TAGDEF="General function prediction only" PROCESS="POORLY CHARACTERIZED"]  [PATHWAY=""] hypothetical protein [Rivularia sp. PCC 7116]</t>
  </si>
  <si>
    <t>HD domain-containing protein n=1 Tax=Aphanizomenon flos-aquae WA102 TaxID=1710896 RepID=A0A1B7WZ58_APHFL</t>
  </si>
  <si>
    <t>DNAUV-4.646-13_2</t>
  </si>
  <si>
    <t>COG4447 [FUNC="Uncharacterized conserved protein related to plant photosystem II stability/assembly factor"] [shortName=] [TAG=R TAGDEF="General function prediction only" PROCESS="POORLY CHARACTERIZED"]  [PATHWAY=""] exo-alpha-sialidase [Candidatus Saccharimonas aalborgensis]</t>
  </si>
  <si>
    <t>VOG07950 [FUNC="REFSEQ outer capsid protein"] [TAG=Xu TAGDEF="Function unknown"]</t>
  </si>
  <si>
    <t>Outer capsid protein n=1 Tax=Vibrio phage phiVC8 TaxID=1076759 RepID=G3FFN0_BPVC8</t>
  </si>
  <si>
    <t>DNAUV-2.459-15_2</t>
  </si>
  <si>
    <t>COG4447 [FUNC="Uncharacterized conserved protein related to plant photosystem II stability/assembly factor"] [shortName=] [TAG=R TAGDEF="General function prediction only" PROCESS="POORLY CHARACTERIZED"]  [PATHWAY=""] hypothetical protein [Caldilinea aerophila]</t>
  </si>
  <si>
    <t>Outer capsid protein n=1 Tax=Vibrio phage Rostov 6 TaxID=2116688 RepID=A0A2S1GN28_9CAUD</t>
  </si>
  <si>
    <t>11.09.P2-5.979-8.2_3</t>
  </si>
  <si>
    <t>sp|Q8R4K8|PAPP1_MOUSE Pappalysin-1 OS=Mus musculus OX=10090 GN=Pappa PE=2 SV=2</t>
  </si>
  <si>
    <t>COG4447 [FUNC="Uncharacterized conserved protein related to plant photosystem II stability/assembly factor"] [shortName=] [TAG=R TAGDEF="General function prediction only" PROCESS="POORLY CHARACTERIZED"]  [PATHWAY=""] hypothetical protein [Candidatus Kuenenia stuttgartiensis]</t>
  </si>
  <si>
    <t>11.09.P2-5.979-8.2_6</t>
  </si>
  <si>
    <t>11.09.P4-9.128-2.8_7</t>
  </si>
  <si>
    <t>DNAUV-10.764-50_15</t>
  </si>
  <si>
    <t>LamG-like jellyroll fold domain-containing protein n=1 Tax=Synechococcus phage S-SKS1 TaxID=754042 RepID=M4QP69_9CAUD</t>
  </si>
  <si>
    <t>DNAUV-2.459-15_1</t>
  </si>
  <si>
    <t>COG4447 [FUNC="Uncharacterized conserved protein related to plant photosystem II stability/assembly factor"] [shortName=] [TAG=R TAGDEF="General function prediction only" PROCESS="POORLY CHARACTERIZED"]  [PATHWAY=""] hypothetical protein [Roseateles depolymerans]</t>
  </si>
  <si>
    <t>VOG36585 [FUNC="sp|P18056|HOC_BPT4 Highly immunogenic outer capsid protein"] [TAG=Xs TAGDEF="Virus structure"]</t>
  </si>
  <si>
    <t>Outer capsid protein n=1 Tax=Vibrio phage J2 TaxID=1558467 RepID=A0A0A7HAF9_9CAUD</t>
  </si>
  <si>
    <t>Avril.NODE_359_length_5917_cov_12.410611_6</t>
  </si>
  <si>
    <t>COG4625 [FUNC="Uncharacterized conserved protein, contains a C-terminal beta-barrel porin domain"] [shortName=] [TAG=S TAGDEF="Function unknown" PROCESS="POORLY CHARACTERIZED"]  [PATHWAY=""] autotransporter domain-containing protein [Ralstonia solanacearum]</t>
  </si>
  <si>
    <t>Staphylococcus aureus surface protein A n=2 Tax=Actinoplanes octamycinicus TaxID=135948 RepID=A0A7W7MB65_9ACTN</t>
  </si>
  <si>
    <t>11.09.P4-15.966-7.3_28</t>
  </si>
  <si>
    <t>sp|B1MHQ0|MSHA_MYCA9 D-inositol 3-phosphate glycosyltransferase OS=Mycobacteroides abscessus (strain ATCC 19977 / DSM 44196 / CCUG 20993 / CIP 104536 / JCM 13569 / NCTC 13031 / TMC 1543 / L948) OX=561007 GN=mshA PE=3 SV=1</t>
  </si>
  <si>
    <t>COG4627 [FUNC="Predicted SAM-depedendent methyltransferase"] [shortName=] [TAG=R TAGDEF="General function prediction only" PROCESS="POORLY CHARACTERIZED"]  [PATHWAY=""] hypothetical protein [Luteitalea pratensis]</t>
  </si>
  <si>
    <t>DNAUV-3.330-229_1</t>
  </si>
  <si>
    <t>sp|A0JZ09|MSHA_ARTS2 D-inositol 3-phosphate glycosyltransferase OS=Arthrobacter sp. (strain FB24) OX=290399 GN=mshA PE=3 SV=1</t>
  </si>
  <si>
    <t>DNAUV-3.816-231_6</t>
  </si>
  <si>
    <t>DNAUV-4.822-298_11</t>
  </si>
  <si>
    <t>Oct.NODE_191_length_10239_cov_19.502848_12</t>
  </si>
  <si>
    <t>Sept.NODE_613_length_3201_cov_59.065480_3</t>
  </si>
  <si>
    <t>DNAUV-48.934-1423_19</t>
  </si>
  <si>
    <t>COG4627 [FUNC="Predicted SAM-depedendent methyltransferase"] [shortName=] [TAG=R TAGDEF="General function prediction only" PROCESS="POORLY CHARACTERIZED"]  [PATHWAY=""] methyltransferase domain-containing protein [Methanosaeta harundinacea]</t>
  </si>
  <si>
    <t>Methyltransferase n=4 Tax=Pbunavirus TaxID=1198980 RepID=B7VFF7_9CAUD</t>
  </si>
  <si>
    <t>DNAUV-2.748-11_3</t>
  </si>
  <si>
    <t>COG4627 [FUNC="Predicted SAM-depedendent methyltransferase"] [shortName=] [TAG=R TAGDEF="General function prediction only" PROCESS="POORLY CHARACTERIZED"]  [PATHWAY=""] methyltransferase domain-containing protein [Methylococcus capsulatus]</t>
  </si>
  <si>
    <t>Glycosyl transferase family 1 domain-containing protein n=1 Tax=Methylophilus sp. TWE2 TaxID=1662285 RepID=A0A0K0SUL5_9PROT</t>
  </si>
  <si>
    <t>Sept.NODE_484_length_3759_cov_8.534017_2</t>
  </si>
  <si>
    <t>sp|A0QUV5|Y2350_MYCS2 Probable S-adenosylmethionine-dependent methyltransferase MSMEG_2350/MSMEI_2290 OS=Mycolicibacterium smegmatis (strain ATCC 700084 / mc(2)155) OX=246196 GN=MSMEG_2350 PE=1 SV=1</t>
  </si>
  <si>
    <t>COG4627 [FUNC="Predicted SAM-depedendent methyltransferase"] [shortName=] [TAG=R TAGDEF="General function prediction only" PROCESS="POORLY CHARACTERIZED"]  [PATHWAY=""] MULTISPECIES: methyltransferase domain-containing protein [Sphingomonadaceae]</t>
  </si>
  <si>
    <t>Methyltransferase type 11 domain-containing protein n=1 Tax=Caulobacter segnis TaxID=88688 RepID=A0A2W5WLY3_9CAUL</t>
  </si>
  <si>
    <t>DNAUV-46.098-673_44</t>
  </si>
  <si>
    <t>sp|Q9UZC8|RAD50_PYRAB DNA double-strand break repair Rad50 ATPase OS=Pyrococcus abyssi (strain GE5 / Orsay) OX=272844 GN=rad50 PE=3 SV=1</t>
  </si>
  <si>
    <t>COG4637 [FUNC="Predicted ATPase"] [shortName=] [TAG=R TAGDEF="General function prediction only" PROCESS="POORLY CHARACTERIZED"]  [PATHWAY=""] chromosome segregation protein SMC [Aeromonas salmonicida]</t>
  </si>
  <si>
    <t>Rad50/SbcC-type AAA domain-containing protein n=1 Tax=Croceibacter phage P2559S TaxID=1176422 RepID=I6R9S8_9CAUD</t>
  </si>
  <si>
    <t>DNAUV-13.692-18_14</t>
  </si>
  <si>
    <t>sp|P06855|KIPN_BPT4 Polynucleotide kinase OS=Enterobacteria phage T4 OX=10665 GN=pseT PE=1 SV=1</t>
  </si>
  <si>
    <t>COG4639 [FUNC="Predicted kinase"] [shortName=] [TAG=R TAGDEF="General function prediction only" PROCESS="POORLY CHARACTERIZED"]  [PATHWAY=""] 5'-hydroxyl kinase [Fibrella sp. ES10-3-2-2]</t>
  </si>
  <si>
    <t>Polynucleotide kinase n=1 Tax=Roseobacter phage DSS3P8 TaxID=1735562 RepID=A0A1B0V7I4_9CAUD</t>
  </si>
  <si>
    <t>DNAUV-3.855-13_6</t>
  </si>
  <si>
    <t>COG4639 [FUNC="Predicted kinase"] [shortName=] [TAG=R TAGDEF="General function prediction only" PROCESS="POORLY CHARACTERIZED"]  [PATHWAY=""] 5'-hydroxyl kinase [Plantactinospora sp. BB1]</t>
  </si>
  <si>
    <t>Polynucleotide kinase n=1 Tax=Bacteriophage DSS3_MAL1 TaxID=2664194 RepID=A0A7S5FQQ9_9CAUD</t>
  </si>
  <si>
    <t>DNAUV-72.439-197_23</t>
  </si>
  <si>
    <t>Polynucleotide kinase n=1 Tax=Bradyrhizobium pachyrhizi TaxID=280333 RepID=A0A0R3DVQ7_9BRAD</t>
  </si>
  <si>
    <t>Oct.NODE_54_length_30916_cov_12.817180_3</t>
  </si>
  <si>
    <t>COG4639 [FUNC="Predicted kinase"] [shortName=] [TAG=R TAGDEF="General function prediction only" PROCESS="POORLY CHARACTERIZED"]  [PATHWAY=""] ATP-binding protein [Actinomadura amylolytica]</t>
  </si>
  <si>
    <t>VOG02427 [FUNC="sp|A0ALF8|Y2422_LISW6 Nucleotide-binding protein lwe2422"] [TAG=Xh TAGDEF="Virus protein with function beneficial for the host"]</t>
  </si>
  <si>
    <t>AAA domain-containing protein n=1 Tax=Nocardia puris TaxID=208602 RepID=A0A366CW80_9NOCA</t>
  </si>
  <si>
    <t>DNAUV-85.908-43_87</t>
  </si>
  <si>
    <t>COG4639 [FUNC="Predicted kinase"] [shortName=] [TAG=R TAGDEF="General function prediction only" PROCESS="POORLY CHARACTERIZED"]  [PATHWAY=""] Polynucleotide 5'-hydroxyl-kinase [Spirosoma linguale DSM 74]</t>
  </si>
  <si>
    <t>Polynucleotide 5'-kinase and 3'-phosphatase n=1 Tax=Pseudomonas phage phiPMW TaxID=1815582 RepID=A0A1S5R1E7_9CAUD</t>
  </si>
  <si>
    <t>05.07.P3-3.942-8.7_3</t>
  </si>
  <si>
    <t>COG4639 [FUNC="Predicted kinase"] [shortName=] [TAG=R TAGDEF="General function prediction only" PROCESS="POORLY CHARACTERIZED"]  [PATHWAY=""] polynucleotide kinase [Catenulispora acidiphila]</t>
  </si>
  <si>
    <t>DNAUV-6.629-57_6</t>
  </si>
  <si>
    <t>COG4639 [FUNC="Predicted kinase"] [shortName=] [TAG=R TAGDEF="General function prediction only" PROCESS="POORLY CHARACTERIZED"]  [PATHWAY=""] polynucleotide kinase [Oscillatoria nigro-viridis]</t>
  </si>
  <si>
    <t>Polynucleotide kinase n=1 Tax=Podoviridae sp. ctefc32 TaxID=2827742 RepID=A0A8S5T2Z4_9CAUD</t>
  </si>
  <si>
    <t>DNAUV-147.430-52_197</t>
  </si>
  <si>
    <t>sp|P76462|YFAP_ECOLI Uncharacterized protein YfaP OS=Escherichia coli (strain K12) OX=83333 GN=yfaP PE=3 SV=1</t>
  </si>
  <si>
    <t>COG4676 [FUNC="Uncharacterized conserved protein YfaP, DUF2135 family"] [shortName=YfaP] [TAG=S TAGDEF="Function unknown" PROCESS="POORLY CHARACTERIZED"]  [PATHWAY=""] hypothetical protein [Methanobrevibacter ruminantium]</t>
  </si>
  <si>
    <t>VOG02054 [FUNC="REFSEQ hypothetical protein"] [TAG=Xu TAGDEF="Function unknown"]</t>
  </si>
  <si>
    <t>Uncharacterized protein n=2 Tax=Mesorhizobium sp. L-8-10 TaxID=2744523 RepID=A0A7R7CLB5_9HYPH</t>
  </si>
  <si>
    <t>DNAUV-2.178-12_5</t>
  </si>
  <si>
    <t>Uncharacterized protein gp55 n=1 Tax=EBPR siphovirus 2 TaxID=1048521 RepID=F8TV75_9CAUD</t>
  </si>
  <si>
    <t>DNAUV-24.407-29_10</t>
  </si>
  <si>
    <t>Uncharacterized protein n=1 Tax=Spirosoma terrae TaxID=1968276 RepID=A0A6L9L4X9_9BACT</t>
  </si>
  <si>
    <t>DNAUV-3.390-12_17</t>
  </si>
  <si>
    <t>ATP-binding-cassette protein n=1 Tax=Pseudomonas phage Zuri TaxID=2604899 RepID=A0A5C1K5V4_9CAUD</t>
  </si>
  <si>
    <t>Oct.NODE_773_length_3746_cov_3.753725_1</t>
  </si>
  <si>
    <t>Avril.NODE_78_length_21756_cov_6.683839_23</t>
  </si>
  <si>
    <t>HNH homing endonuclease n=1 Tax=Escherichia phage PMBT57 TaxID=2079259 RepID=A0A2K9VA88_9CAUD</t>
  </si>
  <si>
    <t>DNAUV-73.172-54_86</t>
  </si>
  <si>
    <t>HNH endonuclease n=1 Tax=Klebsiella phage Pylas TaxID=2419682 RepID=A0A3G3BYK5_9CAUD</t>
  </si>
  <si>
    <t>DNAUV-8.449-135_24</t>
  </si>
  <si>
    <t>NUMOD4 motif-containing protein n=1 Tax=Weizmannia coagulans DSM 1 = ATCC 7050 TaxID=1121088 RepID=A0A0B5X9D0_WEICA</t>
  </si>
  <si>
    <t>Sept.NODE_309_length_5250_cov_136.076805_13</t>
  </si>
  <si>
    <t>Homing endonuclease n=1 Tax=Enterococcus phage vB_Efm_LG62 TaxID=2970334 RepID=A0A976SGB9_9CAUD</t>
  </si>
  <si>
    <t>Oct.NODE_1525_length_2396_cov_3.319949_3</t>
  </si>
  <si>
    <t>sp|Q0UY62|DBP3_PHANO ATP-dependent RNA helicase DBP3 OS=Phaeosphaeria nodorum (strain SN15 / ATCC MYA-4574 / FGSC 10173) OX=321614 GN=DBP3 PE=3 SV=1</t>
  </si>
  <si>
    <t>COG4715 [FUNC="Uncharacterized protein, contains SWIM-type Zn finger domain"] [shortName=SWIM] [TAG=S TAGDEF="Function unknown" PROCESS="POORLY CHARACTERIZED"]  [PATHWAY=""] serine/threonine protein kinase [Salimicrobium jeotgali]</t>
  </si>
  <si>
    <t>Helicase C-terminal domain-containing protein n=2 Tax=Inquilinus limosus TaxID=171674 RepID=A0A0A0DBJ7_9PROT</t>
  </si>
  <si>
    <t>11.09.P4-4.358-3.0_3</t>
  </si>
  <si>
    <t>COG4801 [FUNC="Predicted acyltransferase, contains DUF342 domain"] [shortName=] [TAG=R TAGDEF="General function prediction only" PROCESS="POORLY CHARACTERIZED"]  [PATHWAY=""] hypothetical protein [Avibacterium paragallinarum]</t>
  </si>
  <si>
    <t>Phage related protein n=1 Tax=Bartonella australis (strain Aust/NH1) TaxID=1094489 RepID=M1NS04_BARAA</t>
  </si>
  <si>
    <t>DNAUV-21.362-14_3</t>
  </si>
  <si>
    <t>Cell shape determination protein CcmA n=1 Tax=Sulfobacillus benefaciens TaxID=453960 RepID=A0A2T2X8M8_9FIRM</t>
  </si>
  <si>
    <t>DNAUV-29.464-218_3</t>
  </si>
  <si>
    <t>DNAUV-12.430-23_13</t>
  </si>
  <si>
    <t>COG4834 [FUNC="Uncharacterized conserved protein, DUF2184 domain"] [shortName=] [TAG=S TAGDEF="Function unknown" PROCESS="POORLY CHARACTERIZED"]  [PATHWAY=""] DUF2184 domain-containing protein [Rahnella sp. Y9602]</t>
  </si>
  <si>
    <t>VOG03568 [FUNC="sp|A0A0U5AF03|CAPSD_BPK22 Major capsid protein"] [TAG=Xs TAGDEF="Virus structure"]</t>
  </si>
  <si>
    <t>DUF2184 domain-containing protein n=1 Tax=Bdellovibrio phage phi1422 TaxID=1127515 RepID=H9C0M4_9CAUD</t>
  </si>
  <si>
    <t>DNAUV-4.010-16_6</t>
  </si>
  <si>
    <t>COG4834 [FUNC="Uncharacterized conserved protein, DUF2184 domain"] [shortName=] [TAG=S TAGDEF="Function unknown" PROCESS="POORLY CHARACTERIZED"]  [PATHWAY=""] MULTISPECIES: DUF2184 domain-containing protein [Listeria]</t>
  </si>
  <si>
    <t>Major capsid protein n=1 Tax=Myoviridae sp. ct17M4 TaxID=2825016 RepID=A0A8S5TVA8_9CAUD</t>
  </si>
  <si>
    <t>DNAUV-64.562-41_29</t>
  </si>
  <si>
    <t>COG4951 [FUNC="Uncharacterized conserved protein"] [shortName=] [TAG=S TAGDEF="Function unknown" PROCESS="POORLY CHARACTERIZED"]  [PATHWAY=""] hypothetical protein [Candidatus Puniceispirillum marinum]</t>
  </si>
  <si>
    <t>Gp33 n=1 Tax=Alphaproteobacteria phage PhiJL001 TaxID=2681607 RepID=Q5DN72_9CAUD</t>
  </si>
  <si>
    <t>DNAUV-64.565-409_49</t>
  </si>
  <si>
    <t>DUF5906 domain-containing protein n=1 Tax=Sphingobium sp. 66-54 TaxID=1895845 RepID=A0A1M3PCK7_9SPHN</t>
  </si>
  <si>
    <t>DNAUV-26.770-92_22</t>
  </si>
  <si>
    <t>COG4951 [FUNC="Uncharacterized conserved protein"] [shortName=] [TAG=S TAGDEF="Function unknown" PROCESS="POORLY CHARACTERIZED"]  [PATHWAY=""] phage/plasmid primase, P4 family [Micavibrio aeruginosavorus]</t>
  </si>
  <si>
    <t>Primase n=1 Tax=Caudovirales sp. ctOwN3 TaxID=2656725 RepID=A0A5Q2W4S4_9CAUD</t>
  </si>
  <si>
    <t>DNAUV-5.648-962_7</t>
  </si>
  <si>
    <t>DNAUV-6.125-18_2</t>
  </si>
  <si>
    <t>05.07.P4-45.835-37_26</t>
  </si>
  <si>
    <t>COG4990 [FUNC="Predicted cysteine peptidase, C39 family"] [shortName=YvpB] [TAG=R TAGDEF="General function prediction only" PROCESS="POORLY CHARACTERIZED"]  [PATHWAY=""] hypothetical protein [Cyanothece sp. PCC 7822]</t>
  </si>
  <si>
    <t>Tail protein n=1 Tax=Siphoviridae sp. ctF5m84 TaxID=2826210 RepID=A0A8S5NR88_9CAUD</t>
  </si>
  <si>
    <t>11.09.P4-8.195-3.6_6</t>
  </si>
  <si>
    <t>VOG01586 [FUNC="REFSEQ baseplate hub"] [TAG=Xu TAGDEF="Function unknown"]</t>
  </si>
  <si>
    <t>Putative lytic transglycosylase n=1 Tax=Roseobacter phage CRP-5 TaxID=2559284 RepID=A0A646QWB6_9CAUD</t>
  </si>
  <si>
    <t>Avril.NODE_69_length_24806_cov_10.877177_20</t>
  </si>
  <si>
    <t>DNAUV-22.127-23_8</t>
  </si>
  <si>
    <t>VOG05375 [FUNC="REFSEQ pesticin domain-containing protein"] [TAG=Xu TAGDEF="Function unknown"]</t>
  </si>
  <si>
    <t>VgrG protein n=1 Tax=Vibrio phage vB_VpP_BT-1011 TaxID=2799672 RepID=A0A8F3BF73_9CAUD</t>
  </si>
  <si>
    <t>DNAUV-24.246-33_59</t>
  </si>
  <si>
    <t>17.05.P4-3.682-3.2_4</t>
  </si>
  <si>
    <t>COG5352 [FUNC="Uncharacterized conserved protein"] [shortName=] [TAG=S TAGDEF="Function unknown" PROCESS="POORLY CHARACTERIZED"]  [PATHWAY=""] MULTISPECIES: hypothetical protein [Lactobacillus]</t>
  </si>
  <si>
    <t>Phosphoesterase-like protein n=1 Tax=Virus Rctr41k TaxID=1924549 RepID=A0A1P8DJP0_9CAUD</t>
  </si>
  <si>
    <t>Avril.NODE_746_length_3440_cov_5.264106_1</t>
  </si>
  <si>
    <t>Uncharacterized protein n=1 Tax=Synechococcus phage S-CBS2 TaxID=753084 RepID=F4YCI4_9CAUD</t>
  </si>
  <si>
    <t>Avril.NODE_887_length_3031_cov_4.044019_2</t>
  </si>
  <si>
    <t>DNAUV-152.980-60_30</t>
  </si>
  <si>
    <t>Calcineurin-like phosphoesterase domain-containing protein n=1 Tax=Rhizobium phage RHph_I1_18 TaxID=2509726 RepID=A0A7S5R8B9_9CAUD</t>
  </si>
  <si>
    <t>DNAUV-159.889-409_10</t>
  </si>
  <si>
    <t>DNAUV-2.010-677_1</t>
  </si>
  <si>
    <t>DNAUV-2.360-24_1</t>
  </si>
  <si>
    <t>DNAUV-2.557-3816_3</t>
  </si>
  <si>
    <t>DNAUV-3.946-3390_1</t>
  </si>
  <si>
    <t>DNAUV-5.276-1364_1</t>
  </si>
  <si>
    <t>DNAUV-59.689-63_205</t>
  </si>
  <si>
    <t>Uncharacterized protein n=4 Tax=unclassified Casjensviridae TaxID=2960002 RepID=G8DCV8_9CAUD</t>
  </si>
  <si>
    <t>DNAUV-78.511-202_70</t>
  </si>
  <si>
    <t>Mai.NODE_516_length_3735_cov_357.217120_1</t>
  </si>
  <si>
    <t>DNAUV-2.043-299_2</t>
  </si>
  <si>
    <t>COG5410 [FUNC="Uncharacterized conserved protein"] [shortName=] [TAG=S TAGDEF="Function unknown" PROCESS="POORLY CHARACTERIZED"]  [PATHWAY=""] hypothetical protein [Acinetobacter baumannii]</t>
  </si>
  <si>
    <t>Phage uncharacterized protein (Putative large terminase), C-terminal domain-containing protein n=1 Tax=Marinobacter segnicrescens TaxID=430453 RepID=A0A1I0H7D3_9GAMM</t>
  </si>
  <si>
    <t>DNAUV-3.814-14_4</t>
  </si>
  <si>
    <t>COG5410 [FUNC="Uncharacterized conserved protein"] [shortName=] [TAG=S TAGDEF="Function unknown" PROCESS="POORLY CHARACTERIZED"]  [PATHWAY=""] hypothetical protein [Alkaliphilus metalliredigens]</t>
  </si>
  <si>
    <t>Terminase n=1 Tax=Clostridium sp. JN-9 TaxID=2507159 RepID=A0A410PPJ4_9CLOT</t>
  </si>
  <si>
    <t>DNAUV-11.690-13_1</t>
  </si>
  <si>
    <t>COG5410 [FUNC="Uncharacterized conserved protein"] [shortName=] [TAG=S TAGDEF="Function unknown" PROCESS="POORLY CHARACTERIZED"]  [PATHWAY=""] hypothetical protein [bacterium endosymbiont of Mortierella elongata FMR23-6]</t>
  </si>
  <si>
    <t>Phage terminase large subunit n=1 Tax=Serratia proteamaculans TaxID=28151 RepID=A0A5Q2VIS5_SERPR</t>
  </si>
  <si>
    <t>DNAUV-7.828-820_25</t>
  </si>
  <si>
    <t>COG5410 [FUNC="Uncharacterized conserved protein"] [shortName=] [TAG=S TAGDEF="Function unknown" PROCESS="POORLY CHARACTERIZED"]  [PATHWAY=""] hypothetical protein [Bordetella petrii]</t>
  </si>
  <si>
    <t>Phage terminase, large subunit n=1 Tax=Yersinia phage fEV-1 TaxID=2077277 RepID=A0A2P9HXH3_9CAUD</t>
  </si>
  <si>
    <t>Avril.NODE_774_length_3351_cov_4.249090_2</t>
  </si>
  <si>
    <t>COG5410 [FUNC="Uncharacterized conserved protein"] [shortName=] [TAG=S TAGDEF="Function unknown" PROCESS="POORLY CHARACTERIZED"]  [PATHWAY=""] hypothetical protein [endosymbiont of Acanthamoeba sp. UWC8]</t>
  </si>
  <si>
    <t>Terminase large subunit gp17-like C-terminal domain-containing protein (Fragment) n=1 Tax=Alteromonas australica TaxID=589873 RepID=A0A350P641_9ALTE</t>
  </si>
  <si>
    <t>DNAUV-10.604-22_2</t>
  </si>
  <si>
    <t>COG5410 [FUNC="Uncharacterized conserved protein"] [shortName=] [TAG=S TAGDEF="Function unknown" PROCESS="POORLY CHARACTERIZED"]  [PATHWAY=""] hypothetical protein [Frateuria aurantia]</t>
  </si>
  <si>
    <t>Avril.NODE_69_length_24806_cov_10.877177_6</t>
  </si>
  <si>
    <t>COG5410 [FUNC="Uncharacterized conserved protein"] [shortName=] [TAG=S TAGDEF="Function unknown" PROCESS="POORLY CHARACTERIZED"]  [PATHWAY=""] hypothetical protein [Hydrogenobacter thermophilus]</t>
  </si>
  <si>
    <t>DNAUV-46.666-73_28</t>
  </si>
  <si>
    <t>Terminase large subunit n=1 Tax=Vibrio phage vB_VspS_VS-ABTNL-3 TaxID=2026084 RepID=A0A2D0ZP51_9CAUD</t>
  </si>
  <si>
    <t>DNAUV-72.439-197_114</t>
  </si>
  <si>
    <t>Gp098 n=1 Tax=Erwinia phage vB_EamP-S6 TaxID=1051675 RepID=G0YQJ0_9CAUD</t>
  </si>
  <si>
    <t>Oct.NODE_104_length_18061_cov_4.720593_5</t>
  </si>
  <si>
    <t>23.10.P4-4.701-3.3_2</t>
  </si>
  <si>
    <t>COG5410 [FUNC="Uncharacterized conserved protein"] [shortName=] [TAG=S TAGDEF="Function unknown" PROCESS="POORLY CHARACTERIZED"]  [PATHWAY=""] hypothetical protein [Indioceanicola profundi]</t>
  </si>
  <si>
    <t>Phage protein n=1 Tax=Celeribacter phage P12053L TaxID=1197951 RepID=I6RT34_9CAUD</t>
  </si>
  <si>
    <t>Avril.NODE_404_length_5515_cov_20.092674_4</t>
  </si>
  <si>
    <t>DNAUV-38.940-21_53</t>
  </si>
  <si>
    <t>Terminase large subunit n=6 Tax=root TaxID=1 RepID=A0A2H5BQC1_9CAUD</t>
  </si>
  <si>
    <t>11.09.P4-4.801-2.4_7</t>
  </si>
  <si>
    <t>COG5410 [FUNC="Uncharacterized conserved protein"] [shortName=] [TAG=S TAGDEF="Function unknown" PROCESS="POORLY CHARACTERIZED"]  [PATHWAY=""] hypothetical protein [Methyloceanibacter caenitepidi]</t>
  </si>
  <si>
    <t>Terminase, large subunit, putative n=1 Tax=Methyloceanibacter caenitepidi TaxID=1384459 RepID=A0A0A8K0R4_9HYPH</t>
  </si>
  <si>
    <t>Avril.NODE_333_length_6283_cov_4.996468_1</t>
  </si>
  <si>
    <t>VOG03543 [FUNC="REFSEQ terminase large subunit"] [TAG=Xu TAGDEF="Function unknown"]</t>
  </si>
  <si>
    <t>Intein C-terminal splicing domain-containing protein n=1 Tax=Paracoccus sp. SCN 68-21 TaxID=1660154 RepID=A0A1E4EUQ2_9RHOB</t>
  </si>
  <si>
    <t>DNAUV-2.669-1158_2</t>
  </si>
  <si>
    <t>sp|P03694|TERL_BPT7 Terminase, large subunit OS=Escherichia phage T7 OX=10760 GN=19 PE=1 SV=1</t>
  </si>
  <si>
    <t>COG5410 [FUNC="Uncharacterized conserved protein"] [shortName=] [TAG=S TAGDEF="Function unknown" PROCESS="POORLY CHARACTERIZED"]  [PATHWAY=""] hypothetical protein [Micavibrio aeruginosavorus]</t>
  </si>
  <si>
    <t>Phage-related DNA maturase n=1 Tax=Azorhizobium caulinodans (strain ATCC 43989 / DSM 5975 / JCM 20966 / LMG 6465 / NBRC 14845 / NCIMB 13405 / ORS 571) TaxID=438753 RepID=A8IF47_AZOC5</t>
  </si>
  <si>
    <t>DNAUV-3.518-23_4</t>
  </si>
  <si>
    <t>Terminase, large subunit n=1 Tax=Ralstonia phage DU_RP_I TaxID=2041493 RepID=A0A2D2W5F3_9CAUD</t>
  </si>
  <si>
    <t>DNAUV-4.605-763_5</t>
  </si>
  <si>
    <t>DNA maturase B n=1 Tax=Chelatococcus sambhunathii TaxID=363953 RepID=A0A0K6HJH4_9HYPH</t>
  </si>
  <si>
    <t>DNAUV-4.832-145_12</t>
  </si>
  <si>
    <t>Terminase, large subunit n=1 Tax=Ralstonia phage RsoP1EGY TaxID=2070026 RepID=A0A2R2ZGE7_9CAUD</t>
  </si>
  <si>
    <t>DNAUV-5.846-426_12</t>
  </si>
  <si>
    <t>Oct.NODE_1408_length_2526_cov_17.187778_1</t>
  </si>
  <si>
    <t>Oct.NODE_153_length_12323_cov_15.965683_4</t>
  </si>
  <si>
    <t>Sept.NODE_916_length_2464_cov_13.495641_1</t>
  </si>
  <si>
    <t>Oct.NODE_33_length_37390_cov_21.424508_8</t>
  </si>
  <si>
    <t>COG5410 [FUNC="Uncharacterized conserved protein"] [shortName=] [TAG=S TAGDEF="Function unknown" PROCESS="POORLY CHARACTERIZED"]  [PATHWAY=""] hypothetical protein [Mycoavidus cysteinexigens]</t>
  </si>
  <si>
    <t>DNAUV-13.752-24_6</t>
  </si>
  <si>
    <t>COG5410 [FUNC="Uncharacterized conserved protein"] [shortName=] [TAG=S TAGDEF="Function unknown" PROCESS="POORLY CHARACTERIZED"]  [PATHWAY=""] hypothetical protein [Persephonella marina]</t>
  </si>
  <si>
    <t>DNAUV-73.172-54_18</t>
  </si>
  <si>
    <t>Terminase large subunit gp17-like C-terminal domain-containing protein n=1 Tax=Dinoroseobacter phage vBDshPR2C TaxID=1498169 RepID=A0A0A7CI85_9CAUD</t>
  </si>
  <si>
    <t>Avril.NODE_304_length_6712_cov_4.809374_6</t>
  </si>
  <si>
    <t>COG5410 [FUNC="Uncharacterized conserved protein"] [shortName=] [TAG=S TAGDEF="Function unknown" PROCESS="POORLY CHARACTERIZED"]  [PATHWAY=""] hypothetical protein [Sphingorhabdus flavimaris]</t>
  </si>
  <si>
    <t>Putative phage terminase large subunit-like protein n=1 Tax=Luteimonas cucumeris TaxID=985012 RepID=A0A562LAW1_9GAMM</t>
  </si>
  <si>
    <t>Oct.NODE_441_length_5418_cov_5.945739_4</t>
  </si>
  <si>
    <t>COG5410 [FUNC="Uncharacterized conserved protein"] [shortName=] [TAG=S TAGDEF="Function unknown" PROCESS="POORLY CHARACTERIZED"]  [PATHWAY=""] hypothetical protein [Trichormus variabilis]</t>
  </si>
  <si>
    <t>DNAUV-3.499-15_4</t>
  </si>
  <si>
    <t>COG5410 [FUNC="Uncharacterized conserved protein"] [shortName=] [TAG=S TAGDEF="Function unknown" PROCESS="POORLY CHARACTERIZED"]  [PATHWAY=""] MULTISPECIES: hypothetical protein [Klebsiella]</t>
  </si>
  <si>
    <t>Terminase, large subunit n=1 Tax=Erwinia phage phiEt88 TaxID=925984 RepID=E5AGA3_9CAUD</t>
  </si>
  <si>
    <t>Avril.NODE_138_length_13113_cov_12.225302_3</t>
  </si>
  <si>
    <t>COG5410 [FUNC="Uncharacterized conserved protein"] [shortName=] [TAG=S TAGDEF="Function unknown" PROCESS="POORLY CHARACTERIZED"]  [PATHWAY=""] MULTISPECIES: hypothetical protein [Wolbachia]</t>
  </si>
  <si>
    <t>Phage terminase large subunit n=1 Tax=Cellulophaga phage phi17:1 TaxID=1327980 RepID=S0A1F4_9CAUD</t>
  </si>
  <si>
    <t>Sept.NODE_212_length_6860_cov_56.172079_4</t>
  </si>
  <si>
    <t>COG5410 [FUNC="Uncharacterized conserved protein"] [shortName=] [TAG=S TAGDEF="Function unknown" PROCESS="POORLY CHARACTERIZED"]  [PATHWAY=""] phage associated protein [Neisseria gonorrhoeae FA 1090]</t>
  </si>
  <si>
    <t>Terminase large subunit n=1 Tax=Pseudomonas phage MR14 TaxID=2711178 RepID=A0A6M3TDZ9_9CAUD</t>
  </si>
  <si>
    <t>Avril.NODE_82_length_20518_cov_10.265748_2</t>
  </si>
  <si>
    <t>COG5410 [FUNC="Uncharacterized conserved protein"] [shortName=] [TAG=S TAGDEF="Function unknown" PROCESS="POORLY CHARACTERIZED"]  [PATHWAY=""] phage protein [Candidatus Beckwithbacteria bacterium GW2011_GWC1_49_16]</t>
  </si>
  <si>
    <t>Phage terminase large subunit-like protein n=1 Tax=Bradyrhizobium sp. Y-H1 TaxID=2485167 RepID=A0A4R3U3J7_9BRAD</t>
  </si>
  <si>
    <t>DNAUV-2.410-211_3</t>
  </si>
  <si>
    <t>sp|P59966|DNAB_MYCBO Replicative DNA helicase OS=Mycobacterium bovis (strain ATCC BAA-935 / AF2122/97) OX=233413 GN=dnaB PE=3 SV=1</t>
  </si>
  <si>
    <t>COG5410 [FUNC="Uncharacterized conserved protein"] [shortName=] [TAG=S TAGDEF="Function unknown" PROCESS="POORLY CHARACTERIZED"]  [PATHWAY=""] phage protein [Chelativorans sp. BNC1]</t>
  </si>
  <si>
    <t>Putative Terminase large subunit gp19 n=1 Tax=Gammaproteobacteria virus GOV_bin_2604 TaxID=2562602 RepID=A0A4D6BJC4_9CAUD</t>
  </si>
  <si>
    <t>Sept.NODE_253_length_6083_cov_195.376410_4</t>
  </si>
  <si>
    <t>Avril.NODE_1197_length_2438_cov_4.616030_1</t>
  </si>
  <si>
    <t>COG5410 [FUNC="Uncharacterized conserved protein"] [shortName=] [TAG=S TAGDEF="Function unknown" PROCESS="POORLY CHARACTERIZED"]  [PATHWAY=""] phage terminase [Candidatus Hamiltonella defensa]</t>
  </si>
  <si>
    <t>Terminase large subunit n=1 Tax=Caudovirales sp. ctOwN3 TaxID=2656725 RepID=A0A5Q2W1Z7_9CAUD</t>
  </si>
  <si>
    <t>Avril.NODE_428_length_5323_cov_18.882878_2</t>
  </si>
  <si>
    <t>DNAUV-46.098-673_59</t>
  </si>
  <si>
    <t>Terminase-like family protein n=1 Tax=Croceibacter phage P2559S TaxID=1176422 RepID=I6R9S5_9CAUD</t>
  </si>
  <si>
    <t>DNAUV-38.183-831_30</t>
  </si>
  <si>
    <t>COG5410 [FUNC="Uncharacterized conserved protein"] [shortName=] [TAG=S TAGDEF="Function unknown" PROCESS="POORLY CHARACTERIZED"]  [PATHWAY=""] terminase [Buttiauxella sp. 3AFRM03]</t>
  </si>
  <si>
    <t>Putative large terminase n=1 Tax=Shinella sp. DD12 TaxID=1410620 RepID=A0A021X8B5_9HYPH</t>
  </si>
  <si>
    <t>Sept.NODE_253_length_6083_cov_195.376410_5</t>
  </si>
  <si>
    <t>Terminase large subunit n=1 Tax=phage 023Pt_psg01 TaxID=2945965 RepID=A0A9E7LED7_9CAUD</t>
  </si>
  <si>
    <t>DNAUV-3.817-9.7_2</t>
  </si>
  <si>
    <t>COG5410 [FUNC="Uncharacterized conserved protein"] [shortName=] [TAG=S TAGDEF="Function unknown" PROCESS="POORLY CHARACTERIZED"]  [PATHWAY=""] terminase [Commensalibacter sp. AMU001]</t>
  </si>
  <si>
    <t>Terminase large subunit n=2 Tax=unclassified Caudoviricetes TaxID=2788787 RepID=A0A1B0UY54_9CAUD</t>
  </si>
  <si>
    <t>11.09.P1-4.953-41_6</t>
  </si>
  <si>
    <t>COG5410 [FUNC="Uncharacterized conserved protein"] [shortName=] [TAG=S TAGDEF="Function unknown" PROCESS="POORLY CHARACTERIZED"]  [PATHWAY=""] terminase [Methylobacterium nodulans]</t>
  </si>
  <si>
    <t>Terminase n=1 Tax=Pusillimonas sp. (ex Stolz et al. 2005) TaxID=1979962 RepID=A0A2D7XBY6_9BURK</t>
  </si>
  <si>
    <t>11.09.P4-7.526-6.0_11</t>
  </si>
  <si>
    <t>Terminase n=1 Tax=Sphingomonas sp. Leaf10 TaxID=1735676 RepID=A0A0Q4DJP1_9SPHN</t>
  </si>
  <si>
    <t>Avril.NODE_490_length_4799_cov_82.955734_6</t>
  </si>
  <si>
    <t>Terminase n=1 Tax=Mesorhizobium soli TaxID=1295366 RepID=A0A2P7SE51_9HYPH</t>
  </si>
  <si>
    <t>DNAUV-11.532-345_32</t>
  </si>
  <si>
    <t>DNAUV-14.799-179_10</t>
  </si>
  <si>
    <t>DNAUV-2.140-18_7</t>
  </si>
  <si>
    <t>DNAUV-2.705-103_10</t>
  </si>
  <si>
    <t>Phage large subunit terminase n=2 Tax=Ahrensia sp. R2A130 TaxID=744979 RepID=E0MRK0_9HYPH</t>
  </si>
  <si>
    <t>DNAUV-3.274-85_4</t>
  </si>
  <si>
    <t>DNAUV-4.800-614_6</t>
  </si>
  <si>
    <t>DNAUV-5.045-610_13</t>
  </si>
  <si>
    <t>DNAUV-5.384-113_17</t>
  </si>
  <si>
    <t>Oct.NODE_169_length_11288_cov_54.707825_16</t>
  </si>
  <si>
    <t>Oct.NODE_181_length_10780_cov_6.015478_11</t>
  </si>
  <si>
    <t>Sept.NODE_97_length_14357_cov_113.549504_3</t>
  </si>
  <si>
    <t>DNAUV-6.196-413_18</t>
  </si>
  <si>
    <t>COG5410 [FUNC="Uncharacterized conserved protein"] [shortName=] [TAG=S TAGDEF="Function unknown" PROCESS="POORLY CHARACTERIZED"]  [PATHWAY=""] terminase [Methyloceanibacter caenitepidi]</t>
  </si>
  <si>
    <t>Terminase large subunit gp17-like C-terminal domain-containing protein n=1 Tax=Azospirillum sp. TSH20 TaxID=652754 RepID=A0A2U1X3F4_9PROT</t>
  </si>
  <si>
    <t>Avril.NODE_495_length_4767_cov_6.810908_7</t>
  </si>
  <si>
    <t>COG5410 [FUNC="Uncharacterized conserved protein"] [shortName=] [TAG=S TAGDEF="Function unknown" PROCESS="POORLY CHARACTERIZED"]  [PATHWAY=""] terminase-like protein [Roseobacter litoralis]</t>
  </si>
  <si>
    <t>DNAUV-44.091-1296_79</t>
  </si>
  <si>
    <t>COG5448 [FUNC="Uncharacterized conserved protein, DUF2460 domain"] [shortName=] [TAG=S TAGDEF="Function unknown" PROCESS="POORLY CHARACTERIZED"]  [PATHWAY=""] TIGR02217 family protein [Celeribacter indicus]</t>
  </si>
  <si>
    <t>VOG00906 [FUNC="REFSEQ tail assembly protein"] [TAG=Xu TAGDEF="Function unknown"]</t>
  </si>
  <si>
    <t>Glycoside hydrolase family protein n=1 Tax=Paracoccus phage vB_PmaS-R3 TaxID=2494563 RepID=A0A0B5A2K3_9CAUD</t>
  </si>
  <si>
    <t>Oct.NODE_12_length_43814_cov_20.924267_43</t>
  </si>
  <si>
    <t>DNAUV-43.228-64_17</t>
  </si>
  <si>
    <t>COG5448 [FUNC="Uncharacterized conserved protein, DUF2460 domain"] [shortName=] [TAG=S TAGDEF="Function unknown" PROCESS="POORLY CHARACTERIZED"]  [PATHWAY=""] TIGR02217 family protein [Paracoccus denitrificans]</t>
  </si>
  <si>
    <t>TIGR02217 family protein n=1 Tax=Pseudorhodobacter turbinis TaxID=2500533 RepID=A0A4P8ECK8_9RHOB</t>
  </si>
  <si>
    <t>DNAUV-2.255-9.7_12</t>
  </si>
  <si>
    <t>COG5448 [FUNC="Uncharacterized conserved protein, DUF2460 domain"] [shortName=] [TAG=S TAGDEF="Function unknown" PROCESS="POORLY CHARACTERIZED"]  [PATHWAY=""] TIGR02217 family protein [Polymorphum gilvum]</t>
  </si>
  <si>
    <t>Gp83 n=1 Tax=Alphaproteobacteria phage PhiJL001 TaxID=2681607 RepID=Q5DN22_9CAUD</t>
  </si>
  <si>
    <t>DNAUV-15.738-237_61</t>
  </si>
  <si>
    <t>COG5448 [FUNC="Uncharacterized conserved protein, DUF2460 domain"] [shortName=] [TAG=S TAGDEF="Function unknown" PROCESS="POORLY CHARACTERIZED"]  [PATHWAY=""] TIGR02217 family protein [Sagittula sp. P11]</t>
  </si>
  <si>
    <t>Uncharacterized protein (TIGR02217 family) n=1 Tax=Salipiger aestuarii TaxID=568098 RepID=A0A327YPQ0_9RHOB</t>
  </si>
  <si>
    <t>DNAUV-59.689-63_86</t>
  </si>
  <si>
    <t>COG5449 [FUNC="Uncharacterized conserved protein, DUF2163 domain"] [shortName=] [TAG=S TAGDEF="Function unknown" PROCESS="POORLY CHARACTERIZED"]  [PATHWAY=""] DUF2163 domain-containing protein [Hahella chejuensis]</t>
  </si>
  <si>
    <t>VOG02242 [FUNC="REFSEQ tail assembly protein"] [TAG=Xu TAGDEF="Function unknown"]</t>
  </si>
  <si>
    <t>DUF2163 domain-containing protein n=4 Tax=unclassified Casjensviridae TaxID=2960002 RepID=G8DCS1_9CAUD</t>
  </si>
  <si>
    <t>DNAUV-44.091-1296_80</t>
  </si>
  <si>
    <t>COG5449 [FUNC="Uncharacterized conserved protein, DUF2163 domain"] [shortName=] [TAG=S TAGDEF="Function unknown" PROCESS="POORLY CHARACTERIZED"]  [PATHWAY=""] DUF2163 domain-containing protein [Microvirga ossetica]</t>
  </si>
  <si>
    <t>Beta tubulin n=1 Tax=Paracoccus phage vB_PmaS-R3 TaxID=2494563 RepID=A0A0B5A5B8_9CAUD</t>
  </si>
  <si>
    <t>Oct.NODE_12_length_43814_cov_20.924267_44</t>
  </si>
  <si>
    <t>DNAUV-2.255-9.7_15</t>
  </si>
  <si>
    <t>COG5449 [FUNC="Uncharacterized conserved protein, DUF2163 domain"] [shortName=] [TAG=S TAGDEF="Function unknown" PROCESS="POORLY CHARACTERIZED"]  [PATHWAY=""] DUF2163 domain-containing protein [Polymorphum gilvum]</t>
  </si>
  <si>
    <t>VOG29301 [FUNC="REFSEQ tail assembly protein"] [TAG=Xu TAGDEF="Function unknown"]</t>
  </si>
  <si>
    <t>Gene transfer agent-like protein n=1 Tax=Polymorphum gilvum (strain LMG 25793 / CGMCC 1.9160 / SL003B-26A1) TaxID=991905 RepID=F2J690_POLGS</t>
  </si>
  <si>
    <t>DNAUV-15.738-237_62</t>
  </si>
  <si>
    <t>COG5449 [FUNC="Uncharacterized conserved protein, DUF2163 domain"] [shortName=] [TAG=S TAGDEF="Function unknown" PROCESS="POORLY CHARACTERIZED"]  [PATHWAY=""] DUF2163 domain-containing protein [Pseudorhodoplanes sinuspersici]</t>
  </si>
  <si>
    <t>Putative phage protein (TIGR02218 family) n=1 Tax=Dichotomicrobium thermohalophilum TaxID=933063 RepID=A0A397QFC7_9HYPH</t>
  </si>
  <si>
    <t>DNAUV-4.575-12_6</t>
  </si>
  <si>
    <t>sp|O68639|Y523_XYLFA Uncharacterized protein XF_0523 OS=Xylella fastidiosa (strain 9a5c) OX=160492 GN=XF_0523 PE=4 SV=2</t>
  </si>
  <si>
    <t>COG5449 [FUNC="Uncharacterized conserved protein, DUF2163 domain"] [shortName=] [TAG=S TAGDEF="Function unknown" PROCESS="POORLY CHARACTERIZED"]  [PATHWAY=""] DUF2163 domain-containing protein [Rhodobacter sphaeroides]</t>
  </si>
  <si>
    <t>Virion structural protein n=1 Tax=Xanthomonas phage Mallos TaxID=2939131 RepID=A0A9E7E1H2_9CAUD</t>
  </si>
  <si>
    <t>DNAUV-64.565-409_3</t>
  </si>
  <si>
    <t>Virion structural protein n=1 Tax=Erythrobacter phage vB_EliS_R6L TaxID=1913119 RepID=A0A1P8VVP7_9CAUD</t>
  </si>
  <si>
    <t>DNAUV-64.562-41_2</t>
  </si>
  <si>
    <t>COG5449 [FUNC="Uncharacterized conserved protein, DUF2163 domain"] [shortName=] [TAG=S TAGDEF="Function unknown" PROCESS="POORLY CHARACTERIZED"]  [PATHWAY=""] DUF2163 domain-containing protein [Sulfurivermis fontis]</t>
  </si>
  <si>
    <t>Minor tail protein n=3 Tax=unclassified Caudoviricetes TaxID=2788787 RepID=A0A9E7SLL0_9CAUD</t>
  </si>
  <si>
    <t>DNAUV-43.228-64_20</t>
  </si>
  <si>
    <t>COG5449 [FUNC="Uncharacterized conserved protein, DUF2163 domain"] [shortName=] [TAG=S TAGDEF="Function unknown" PROCESS="POORLY CHARACTERIZED"]  [PATHWAY=""] DUF2163 domain-containing protein [Xanthobacter autotrophicus]</t>
  </si>
  <si>
    <t>DNAUV-5.897-20_6</t>
  </si>
  <si>
    <t>COG5449 [FUNC="Uncharacterized conserved protein, DUF2163 domain"] [shortName=] [TAG=S TAGDEF="Function unknown" PROCESS="POORLY CHARACTERIZED"]  [PATHWAY=""] hypothetical protein [Rhodocyclaceae bacterium]</t>
  </si>
  <si>
    <t>Virion structural protein n=1 Tax=Xanthomonas phage Elanor TaxID=2939127 RepID=A0A9E7E191_9CAUD</t>
  </si>
  <si>
    <t>DNAUV-24.776-121_55</t>
  </si>
  <si>
    <t>COG5457 [FUNC="Uncharacterized conserved protein YjiS, DUF1127 family"] [shortName=YjiS] [TAG=S TAGDEF="Function unknown" PROCESS="POORLY CHARACTERIZED"]  [PATHWAY=""] hypothetical protein [Thalassococcus sp. SH-1]</t>
  </si>
  <si>
    <t>DUF1127 domain-containing protein n=2 Tax=Paracoccus amoyensis TaxID=2760093 RepID=A0A926GIU5_9RHOB</t>
  </si>
  <si>
    <t>DNAUV-42.404-84_88</t>
  </si>
  <si>
    <t>COG5492 [FUNC="Uncharacterized conserved protein YjdB, contains Ig-like domain"] [shortName=YjdB] [TAG=R TAGDEF="General function prediction only" PROCESS="POORLY CHARACTERIZED"]  [PATHWAY=""] hypothetical protein [Obesumbacterium proteus]</t>
  </si>
  <si>
    <t>Major capsid protein n=1 Tax=Paracoccus phage vB_PmaS-R3 TaxID=2494563 RepID=A0A0B5A2J4_9CAUD</t>
  </si>
  <si>
    <t>DNAUV-44.091-1296_67</t>
  </si>
  <si>
    <t>DNAUV-5.550-13_3</t>
  </si>
  <si>
    <t>Oct.NODE_12_length_43814_cov_20.924267_33</t>
  </si>
  <si>
    <t>DNAUV-42.055-32_27</t>
  </si>
  <si>
    <t>COG5492 [FUNC="Uncharacterized conserved protein YjdB, contains Ig-like domain"] [shortName=YjdB] [TAG=R TAGDEF="General function prediction only" PROCESS="POORLY CHARACTERIZED"]  [PATHWAY=""] hypothetical protein [Paenalcaligenes hominis]</t>
  </si>
  <si>
    <t>Major tail protein n=2 Tax=unclassified Caudoviricetes TaxID=2788787 RepID=A0A2I7QK43_9CAUD</t>
  </si>
  <si>
    <t>Avril.NODE_275_length_7268_cov_8.969361_2</t>
  </si>
  <si>
    <t>COG5492 [FUNC="Uncharacterized conserved protein YjdB, contains Ig-like domain"] [shortName=YjdB] [TAG=R TAGDEF="General function prediction only" PROCESS="POORLY CHARACTERIZED"]  [PATHWAY=""] hypothetical protein [Winogradskyella sp. PG-2]</t>
  </si>
  <si>
    <t>Pectate lyase n=3 Tax=Zhouia amylolytica TaxID=376730 RepID=W2UQI2_9FLAO</t>
  </si>
  <si>
    <t>DNAUV-35.226-432_57</t>
  </si>
  <si>
    <t>Pectate lyase domain-containing protein n=2 Tax=Arenibacter nanhaiticus TaxID=558155 RepID=A0A1M6KJV8_9FLAO</t>
  </si>
  <si>
    <t>Sept.NODE_301_length_5302_cov_38.608348_11</t>
  </si>
  <si>
    <t>COG5492 [FUNC="Uncharacterized conserved protein YjdB, contains Ig-like domain"] [shortName=YjdB] [TAG=R TAGDEF="General function prediction only" PROCESS="POORLY CHARACTERIZED"]  [PATHWAY=""] hypothetical protein EAE_21045 [Klebsiella aerogenes KCTC 2190]</t>
  </si>
  <si>
    <t>VOG00570 [FUNC="sp|P45929|YQBM_BACSU Uncharacterized protein YqbM"] [TAG=Xu TAGDEF="Function unknown"]</t>
  </si>
  <si>
    <t>Putative tail structural protein n=1 Tax=Roseobacter phage CRP-6 TaxID=2559285 RepID=A0A646QWK5_9CAUD</t>
  </si>
  <si>
    <t>DNAUV-10.324-175_9</t>
  </si>
  <si>
    <t>COG5492 [FUNC="Uncharacterized conserved protein YjdB, contains Ig-like domain"] [shortName=YjdB] [TAG=R TAGDEF="General function prediction only" PROCESS="POORLY CHARACTERIZED"]  [PATHWAY=""] S-layer domain-containing protein [Tepidanaerobacter acetatoxydans]</t>
  </si>
  <si>
    <t>Concanavalin A-like lectin/glucanase domain protein n=4 Tax=Acididesulfobacillus acetoxydans TaxID=1561005 RepID=A0A8S0X3G7_9FIRM</t>
  </si>
  <si>
    <t>DNAUV-38.512-299_4</t>
  </si>
  <si>
    <t>COG5519 [FUNC="Predicted ATPase domain of Cch-like helicases, DUF927 family"] [shortName=] [TAG=R TAGDEF="General function prediction only" PROCESS="POORLY CHARACTERIZED"]  [PATHWAY=""] DNA primase [Leclercia adecarboxylata]</t>
  </si>
  <si>
    <t>Bacteriophage T7 Gp4 DNA primase/helicase N-terminal domain-containing protein n=1 Tax=Vibrio phage 1.181.O._10N.286.46.C9 TaxID=1881433 RepID=A0A2I7RHB8_9CAUD</t>
  </si>
  <si>
    <t>DNAUV-43.803-72_11</t>
  </si>
  <si>
    <t>COG5556 [FUNC="Uncharacterized conserved protein"] [shortName=] [TAG=S TAGDEF="Function unknown" PROCESS="POORLY CHARACTERIZED"]  [PATHWAY=""] phage protein [Enterobacter cloacae subsp. cloacae ATCC 13047]</t>
  </si>
  <si>
    <t>Resolvase HTH domain-containing protein n=1 Tax=Salicola phage CGphi29 TaxID=754067 RepID=M4R207_9CAUD</t>
  </si>
  <si>
    <t>Sept.NODE_176_length_8063_cov_18.327173_6</t>
  </si>
  <si>
    <t>COG5651 [FUNC="PPE-repeat protein"] [shortName=PPE] [TAG=S TAGDEF="Function unknown" PROCESS="POORLY CHARACTERIZED"]  [PATHWAY=""] hypothetical protein [Mogibacterium diversum]</t>
  </si>
  <si>
    <t>VOG01495 [FUNC="sp|Q5UQ13|COLL2_MIMIV Collagen-like protein 2"] [TAG=Xh TAGDEF="Virus protein with function beneficial for the host"]</t>
  </si>
  <si>
    <t>Pentapeptide repeat-containing protein n=1 Tax=Ruminococcus gnavus TaxID=33038 RepID=A0A2N5PMJ6_RUMGN</t>
  </si>
  <si>
    <t>DNAUV-147.430-52_220</t>
  </si>
  <si>
    <t>COG5651 [FUNC="PPE-repeat protein"] [shortName=PPE] [TAG=S TAGDEF="Function unknown" PROCESS="POORLY CHARACTERIZED"]  [PATHWAY=""] hypothetical protein [Sebaldella termitidis]</t>
  </si>
  <si>
    <t>Pentapeptide repeat-containing protein (Fragment) n=2 Tax=Acinetobacter sp. WCHAc060033 TaxID=2518624 RepID=A0A4Q7B5A5_9GAMM</t>
  </si>
  <si>
    <t>DNAUV-16.566-137_26</t>
  </si>
  <si>
    <t>COG5651 [FUNC="PPE-repeat protein"] [shortName=PPE] [TAG=S TAGDEF="Function unknown" PROCESS="POORLY CHARACTERIZED"]  [PATHWAY=""] pentapeptide repeat-containing protein [Chitinophaga pinensis]</t>
  </si>
  <si>
    <t>Uncharacterized protein n=1 Tax=Velocimicrobium porci TaxID=2606634 RepID=A0A6L5XXG4_9FIRM</t>
  </si>
  <si>
    <t>DNAUV-44.645-4509_36</t>
  </si>
  <si>
    <t>Coil containing protein n=1 Tax=Vibrio phage 1.185.O._10N.286.49.C2 TaxID=1881392 RepID=A0A2I7RHT9_9CAUD</t>
  </si>
  <si>
    <t>DNAUV-21.362-14_6</t>
  </si>
  <si>
    <t>sp|P32275|Y12F_BPT4 Uncharacterized 32.4 kDa protein in Gp30-rIII intergenic region OS=Enterobacteria phage T4 OX=10665 GN=y12F PE=4 SV=1</t>
  </si>
  <si>
    <t>COG5663 [FUNC="Uncharacterized conserved protein YqfW, HAD superfamily"] [shortName=YqfW] [TAG=R TAGDEF="General function prediction only" PROCESS="POORLY CHARACTERIZED"]  [PATHWAY=""] hypothetical protein [Halanaerobium hydrogeniformans]</t>
  </si>
  <si>
    <t>Uncharacterized protein n=1 Tax=Xanthomarina gelatinilytica TaxID=1137281 RepID=A0A3D6BTZ5_9FLAO</t>
  </si>
  <si>
    <t>DNAUV-17.618-285_20</t>
  </si>
  <si>
    <t>COG5663 [FUNC="Uncharacterized conserved protein YqfW, HAD superfamily"] [shortName=YqfW] [TAG=R TAGDEF="General function prediction only" PROCESS="POORLY CHARACTERIZED"]  [PATHWAY=""] MULTISPECIES: hypothetical protein [Carboxydocella]</t>
  </si>
  <si>
    <t>Phage protein n=1 Tax=Escherichia phage inoa TaxID=2696408 RepID=A0A6B9WV58_9CAUD</t>
  </si>
  <si>
    <t>05.07.P3-10.289-13_12</t>
  </si>
  <si>
    <t>Uncharacterized protein n=1 Tax=Vibrio phage 2.275.O._10N.286.54.E11 TaxID=1881285 RepID=A0A2I7SAX6_9CAUD</t>
  </si>
  <si>
    <t>05.07.P3-10.289-13_13</t>
  </si>
  <si>
    <t>Uncharacterized protein n=4 Tax=unclassified Caudoviricetes TaxID=2788787 RepID=A0A915VH62_9CAUD</t>
  </si>
  <si>
    <t>05.07.P3-10.289-13_15</t>
  </si>
  <si>
    <t>VOG21434 [FUNC="REFSEQ hypothetical protein"] [TAG=Xu TAGDEF="Function unknown"]</t>
  </si>
  <si>
    <t>Uncharacterized protein n=1 Tax=Pseudomonas phage sp. 30-2 TaxID=2972142 RepID=A0A915VH33_9CAUD</t>
  </si>
  <si>
    <t>05.07.P3-10.289-13_18</t>
  </si>
  <si>
    <t>VOG34316 [FUNC="REFSEQ hypothetical protein"] [TAG=Xu TAGDEF="Function unknown"]</t>
  </si>
  <si>
    <t>Uncharacterized protein n=1 Tax=Richelia sp. RM2_1_2 TaxID=2720436 RepID=A0A969MHZ0_9NOST</t>
  </si>
  <si>
    <t>05.07.P3-10.289-13_20</t>
  </si>
  <si>
    <t>Glycosyltransferase n=1 Tax=Synechococcus phage BUCT-ZZ01 TaxID=2951202 RepID=A0A9E7NPF6_9CAUD</t>
  </si>
  <si>
    <t>05.07.P3-10.845-3.9_1</t>
  </si>
  <si>
    <t>Putative baseplate J domain protein n=1 Tax=Pelagibacter phage Mosig EXVC030M TaxID=2759214 RepID=A0A7S6ILN7_9CAUD</t>
  </si>
  <si>
    <t>05.07.P3-10.845-3.9_10</t>
  </si>
  <si>
    <t>VOG04259 [FUNC="sp|P16011|BP53_BPT4 Baseplate wedge protein gp53"] [TAG=Xh TAGDEF="Virus protein with function beneficial for the host"]</t>
  </si>
  <si>
    <t>Baseplate wedge subunit n=1 Tax=Pelagibacter phage HTVC008M TaxID=1283076 RepID=M1I7R1_9CAUD</t>
  </si>
  <si>
    <t>05.07.P3-10.845-3.9_11</t>
  </si>
  <si>
    <t>VOG04226 [FUNC="sp|P17172|BP27_BPT4 Baseplate central spike complex protein gp27"] [TAG=Xh TAGDEF="Virus protein with function beneficial for the host"]</t>
  </si>
  <si>
    <t>Uncharacterized protein n=1 Tax=Sinorhizobium phage phiM9 TaxID=1636182 RepID=A0A0F6R5X8_9CAUD</t>
  </si>
  <si>
    <t>05.07.P3-10.845-3.9_12</t>
  </si>
  <si>
    <t>VOG23986 [FUNC="REFSEQ hypothetical protein"] [TAG=Xu TAGDEF="Function unknown"]</t>
  </si>
  <si>
    <t>Uncharacterized protein n=1 Tax=Richelia sp. RM2_1_2 TaxID=2720436 RepID=A0A969MJA7_9NOST</t>
  </si>
  <si>
    <t>05.07.P3-10.845-3.9_13</t>
  </si>
  <si>
    <t>Putative baseplate protein n=1 Tax=Pelagibacter phage Mosig EXVC030M TaxID=2759214 RepID=A0A7S6ILK3_9CAUD</t>
  </si>
  <si>
    <t>05.07.P3-10.845-3.9_16</t>
  </si>
  <si>
    <t>sp|P19060|BP06_BPT4 Baseplate wedge protein gp6 OS=Enterobacteria phage T4 OX=10665 GN=6 PE=1 SV=1</t>
  </si>
  <si>
    <t>Baseplate wedge n=1 Tax=Pelagibacter phage HTVC008M TaxID=1283076 RepID=M1HLR4_9CAUD</t>
  </si>
  <si>
    <t>05.07.P3-10.845-3.9_3</t>
  </si>
  <si>
    <t>sp|P15075|HDNUC_BPT4 Head completion nuclease OS=Enterobacteria phage T4 OX=10665 GN=50 PE=1 SV=2</t>
  </si>
  <si>
    <t>VOG03635 [FUNC="sp|P15075|HDNUC_BPT4 Head completion nuclease"] [TAG=Xu TAGDEF="Function unknown"]</t>
  </si>
  <si>
    <t>Head completion nuclease n=1 Tax=Synechococcus phage S-H9-2 TaxID=2783669 RepID=A0A873WE32_9CAUD</t>
  </si>
  <si>
    <t>05.07.P3-10.845-3.9_4</t>
  </si>
  <si>
    <t>sp|P15076|DNAPR_BPT4 Terminal DNA protecting protein OS=Enterobacteria phage T4 OX=10665 GN=2 PE=4 SV=2</t>
  </si>
  <si>
    <t>VOG31008 [FUNC="sp|P15076|DNAPR_BPT4 Terminal DNA protecting protein"] [TAG=Xp TAGDEF="Virus protein with function beneficial for the virus"]</t>
  </si>
  <si>
    <t>DNA end protector protein n=1 Tax=Synechococcus phage BUCT-ZZ01 TaxID=2951202 RepID=A0A9E7NRH5_9CAUD</t>
  </si>
  <si>
    <t>05.07.P3-10.845-3.9_5</t>
  </si>
  <si>
    <t>VOG00058 [FUNC="sp|P13333|TUBE_BPT4 Tail tube protein gp19"] [TAG=Xh TAGDEF="Virus protein with function beneficial for the host"]</t>
  </si>
  <si>
    <t>Putative baseplate tail tube initiator n=1 Tax=Pelagibacter phage Mosig EXVC030M TaxID=2759214 RepID=A0A7S6ILP8_9CAUD</t>
  </si>
  <si>
    <t>05.07.P3-10.845-3.9_6</t>
  </si>
  <si>
    <t>VOG01069 [FUNC="sp|P17173|TAP51_BPT4 Baseplate hub assembly protein gp51"] [TAG=Xh TAGDEF="Virus protein with function beneficial for the host"]</t>
  </si>
  <si>
    <t>Baseplate hub subunit n=1 Tax=Synechococcus phage S-IOM18 TaxID=754039 RepID=R9TLM4_9CAUD</t>
  </si>
  <si>
    <t>05.07.P3-10.845-3.9_7</t>
  </si>
  <si>
    <t>EF-hand domain-containing protein n=1 Tax=Pelagibacter phage HTVC008M TaxID=1283076 RepID=M1IP46_9CAUD</t>
  </si>
  <si>
    <t>05.07.P3-10.845-3.9_9</t>
  </si>
  <si>
    <t>VOG04251 [FUNC="sp|P13339|BP48_BPT4 Baseplate tail-tube junction protein gp48"] [TAG=Xh TAGDEF="Virus protein with function beneficial for the host"]</t>
  </si>
  <si>
    <t>Baseplate tail tube cap n=1 Tax=Pseudomonas phage pf16 TaxID=1815630 RepID=A0A1S5R3Y5_9CAUD</t>
  </si>
  <si>
    <t>05.07.P3-15.581-31_10</t>
  </si>
  <si>
    <t>Uncharacterized protein n=1 Tax=Roseobacter phage CRP-2 TaxID=2559281 RepID=A0A646QVR1_9CAUD</t>
  </si>
  <si>
    <t>05.07.P3-15.581-31_11</t>
  </si>
  <si>
    <t>VOG00180 [FUNC="sp|Q8QL42|Y207_SIRV1 Uncharacterized protein 207"] [TAG=Xu TAGDEF="Function unknown"]</t>
  </si>
  <si>
    <t>PD-(D/E)XK endonuclease-like domain-containing protein n=1 Tax=Roseobacter phage CRP-2 TaxID=2559281 RepID=A0A646QWB8_9CAUD</t>
  </si>
  <si>
    <t>05.07.P3-15.581-31_12</t>
  </si>
  <si>
    <t>sp|P00641|ENDO_BPT7 Endonuclease I OS=Escherichia phage T7 OX=10760 GN=3 PE=1 SV=1</t>
  </si>
  <si>
    <t>VOG00417 [FUNC="sp|P00641|ENDO_BPT7 Endonuclease I"] [TAG=Xp TAGDEF="Virus protein with function beneficial for the virus"]</t>
  </si>
  <si>
    <t>Endonuclease n=1 Tax=Roseobacter phage CRP-2 TaxID=2559281 RepID=A0A646QVQ6_9CAUD</t>
  </si>
  <si>
    <t>05.07.P3-15.581-31_13</t>
  </si>
  <si>
    <t>Uncharacterized protein n=1 Tax=Roseobacter phage CRP-2 TaxID=2559281 RepID=A0A646QVQ7_9CAUD</t>
  </si>
  <si>
    <t>05.07.P3-15.581-31_4</t>
  </si>
  <si>
    <t>Uncharacterized protein 36 n=1 Tax=Klebsiella phage KP34 TaxID=674081 RepID=D1L2X9_BPK34</t>
  </si>
  <si>
    <t>05.07.P3-15.581-31_5</t>
  </si>
  <si>
    <t>05.07.P3-2.556-2.6_2</t>
  </si>
  <si>
    <t>VOG00431 [FUNC="sp|P03740|TFA_LAMBD Tail fiber assembly protein"] [TAG=Xs TAGDEF="Virus structure"]</t>
  </si>
  <si>
    <t>Predicted protein n=1 Tax=Cyanophage NATL2A-133 TaxID=445692 RepID=E3SP38_9CAUD</t>
  </si>
  <si>
    <t>05.07.P3-2.627-1.4_3</t>
  </si>
  <si>
    <t>sp|Q6WHE6|PORTL_BPKVM Portal protein OS=Vibrio phage KVP40 (isolate Vibrio parahaemolyticus/Japan/Matsuzaki/1991) OX=75320 GN=20 PE=3 SV=1</t>
  </si>
  <si>
    <t>VOG00702 [FUNC="sp|E1XTG6|PORTL_BPSAV Portal protein"] [TAG=Xh TAGDEF="Virus protein with function beneficial for the host"]</t>
  </si>
  <si>
    <t>Portal vertex protein n=1 Tax=Pseudomonas phage sp. 30-2 TaxID=2972142 RepID=A0A915Y829_9CAUD</t>
  </si>
  <si>
    <t>05.07.P3-2.627-1.4_5</t>
  </si>
  <si>
    <t>Uncharacterized protein n=1 Tax=Pelagibacter phage HTVC008M TaxID=1283076 RepID=M1ID85_9CAUD</t>
  </si>
  <si>
    <t>05.07.P3-2.645-33_2</t>
  </si>
  <si>
    <t>Uncharacterized protein n=1 Tax=Roseobacter phage CRP-9 TaxID=2813174 RepID=A0A8E5B988_9CAUD</t>
  </si>
  <si>
    <t>05.07.P3-2.645-33_4</t>
  </si>
  <si>
    <t>VOG02748 [FUNC="sp|O64269|VG88_BPMD2 Gene 88 protein"] [TAG=Xu TAGDEF="Function unknown"]</t>
  </si>
  <si>
    <t>Gene 88 protein n=1 Tax=Roseobacter phage CRP-4 TaxID=2559283 RepID=A0A646QW33_9CAUD</t>
  </si>
  <si>
    <t>05.07.P3-2.658-15_2</t>
  </si>
  <si>
    <t>Uncharacterized protein n=1 Tax=Pusillimonas sp. (ex Stolz et al. 2005) TaxID=1979962 RepID=A0A2D7XCL6_9BURK</t>
  </si>
  <si>
    <t>05.07.P3-2.740-3.0_1</t>
  </si>
  <si>
    <t>Uncharacterized protein n=1 Tax=Pelagibacter phage Mosig EXVC030M TaxID=2759214 RepID=A0A7S6IP17_9CAUD</t>
  </si>
  <si>
    <t>05.07.P3-3.013-1.6_1</t>
  </si>
  <si>
    <t>Large polyvalent protein associated domain-containing protein n=1 Tax=Azospirillum doebereinerae TaxID=92933 RepID=A0A3S0WPS9_9PROT</t>
  </si>
  <si>
    <t>05.07.P3-3.013-1.6_3</t>
  </si>
  <si>
    <t>sp|P03748|FIBER_BPT7 Tail fiber protein OS=Escherichia phage T7 OX=10760 GN=17 PE=1 SV=1</t>
  </si>
  <si>
    <t>VOG26120 [FUNC="REFSEQ hypothetical protein"] [TAG=Xu TAGDEF="Function unknown"]</t>
  </si>
  <si>
    <t>Tail fiber protein n=1 Tax=Vibrio phage VBP47 TaxID=754073 RepID=M4SQN5_9CAUD</t>
  </si>
  <si>
    <t>05.07.P3-3.701-6.7_1</t>
  </si>
  <si>
    <t>Putative tail structural protein n=1 Tax=Roseobacter phage CRP-1 TaxID=2559280 RepID=A0A646QVJ0_9CAUD</t>
  </si>
  <si>
    <t>05.07.P3-3.701-6.7_2</t>
  </si>
  <si>
    <t>Gp7 n=1 Tax=Siovirus americense TaxID=136084 RepID=Q9G0H8_9CAUD</t>
  </si>
  <si>
    <t>05.07.P3-3.942-8.7_5</t>
  </si>
  <si>
    <t>sp|Q05277|VG64_BPML5 Gene 64 protein OS=Mycobacterium phage L5 OX=31757 GN=64 PE=4 SV=1</t>
  </si>
  <si>
    <t>VOG04228 [FUNC="sp|Q05277|VG64_BPML5 Gene 64 protein"] [TAG=Xu TAGDEF="Function unknown"]</t>
  </si>
  <si>
    <t>Uncharacterized protein n=3 Tax=Benedictvirus TaxID=2946819 RepID=G1JUN7_9CAUD</t>
  </si>
  <si>
    <t>05.07.P3-4.574-4.5_10</t>
  </si>
  <si>
    <t>VOG01194 [FUNC="REFSEQ tail fiber protein"] [TAG=Xu TAGDEF="Function unknown"]</t>
  </si>
  <si>
    <t>Tail fiber protein n=1 Tax=Pelagibacter phage Kolga EXVC016S TaxID=2736233 RepID=A0A7S5YAV0_9CAUD</t>
  </si>
  <si>
    <t>05.07.P3-4.574-4.5_11</t>
  </si>
  <si>
    <t>Putative tail-related protein n=1 Tax=Puniceispirillum phage HMO-2011 TaxID=948071 RepID=S4S2D5_9CAUD</t>
  </si>
  <si>
    <t>05.07.P3-4.574-4.5_12</t>
  </si>
  <si>
    <t>Uncharacterized protein n=1 Tax=Roseobacter phage CRP-3 TaxID=2559282 RepID=A0A646QX77_9CAUD</t>
  </si>
  <si>
    <t>05.07.P3-4.574-4.5_13</t>
  </si>
  <si>
    <t>Uncharacterized protein n=1 Tax=Roseobacter phage CRP-6 TaxID=2559285 RepID=A0A646QWI4_9CAUD</t>
  </si>
  <si>
    <t>05.07.P3-4.574-4.5_14</t>
  </si>
  <si>
    <t>VOG01722 [FUNC="REFSEQ holin"] [TAG=Xu TAGDEF="Function unknown"]</t>
  </si>
  <si>
    <t>Holin of 3TMs, for gene-transfer release n=1 Tax=Pusillimonas sp. (ex Stolz et al. 2005) TaxID=1979962 RepID=A0A2D7XEL5_9BURK</t>
  </si>
  <si>
    <t>05.07.P3-4.760-8.9_5</t>
  </si>
  <si>
    <t>05.07.P3-4.760-8.9_6</t>
  </si>
  <si>
    <t>Uncharacterized protein n=1 Tax=Megamonas hypermegale TaxID=158847 RepID=A0A378NSF8_9FIRM</t>
  </si>
  <si>
    <t>05.07.P3-5.090-10_6</t>
  </si>
  <si>
    <t>VOG28671 [FUNC="REFSEQ virion structural protein"] [TAG=Xu TAGDEF="Function unknown"]</t>
  </si>
  <si>
    <t>Uncharacterized protein n=1 Tax=Pseudomonas phage vB_PaeM_MIJ3 TaxID=2567864 RepID=A0A5E4A021_9CAUD</t>
  </si>
  <si>
    <t>05.07.P3-5.693-5.0_4</t>
  </si>
  <si>
    <t>sp|P20327|Y53_BPT3 Uncharacterized gene 5.3 protein OS=Enterobacteria phage T3 OX=10759 GN=5.3 PE=4 SV=1</t>
  </si>
  <si>
    <t>Homing endonuclease n=1 Tax=Escherichia phage NTNC80A TaxID=2970325 RepID=A0A976XN64_9CAUD</t>
  </si>
  <si>
    <t>05.07.P3-5.693-5.0_5</t>
  </si>
  <si>
    <t>Single-stranded DNA-binding protein n=1 Tax=Roseobacter phage CRP-13 TaxID=2813173 RepID=A0A8E5BG41_9CAUD</t>
  </si>
  <si>
    <t>05.07.P3-5.693-5.0_6</t>
  </si>
  <si>
    <t>PD-(D/E)XK endonuclease-like domain-containing protein n=1 Tax=Roseobacter phage CRP-13 TaxID=2813173 RepID=A0A8E5BFT8_9CAUD</t>
  </si>
  <si>
    <t>05.07.P3-5.693-5.0_7</t>
  </si>
  <si>
    <t>VOG00750 [FUNC="sp|O48499|D14_BPT5 Protein D14"] [TAG=Xh TAGDEF="Virus protein with function beneficial for the host"]</t>
  </si>
  <si>
    <t>Holliday junction resolvase n=1 Tax=Roseobacter phage CRP-3 TaxID=2559282 RepID=A0A646QX32_9CAUD</t>
  </si>
  <si>
    <t>05.07.P3-5.693-5.0_9</t>
  </si>
  <si>
    <t>VOG01705 [FUNC="sp|Q05264|VG54_BPML5 Gene 54 protein"] [TAG=Xu TAGDEF="Function unknown"]</t>
  </si>
  <si>
    <t>Calcineurin-like phosphoesterase domain-containing protein n=1 Tax=Roseobacter phage CRP-13 TaxID=2813173 RepID=A0A8E5F643_9CAUD</t>
  </si>
  <si>
    <t>05.07.P3-6.142-4.3_1</t>
  </si>
  <si>
    <t>VOG01719 [FUNC="REFSEQ amidase"] [TAG=Xu TAGDEF="Function unknown"]</t>
  </si>
  <si>
    <t>Putative structural protein n=1 Tax=Roseobacter phage CRP-3 TaxID=2559282 RepID=A0A646QVZ4_9CAUD</t>
  </si>
  <si>
    <t>05.07.P3-6.142-4.3_3</t>
  </si>
  <si>
    <t>LamG-like jellyroll fold domain-containing protein n=1 Tax=Pararhodobacter aggregans TaxID=404875 RepID=A0A2T7URD7_9RHOB</t>
  </si>
  <si>
    <t>05.07.P3-6.175-19_2</t>
  </si>
  <si>
    <t>Structural protein n=1 Tax=Cellulophaga phage phi19:3 TaxID=1327971 RepID=R9ZYF5_9CAUD</t>
  </si>
  <si>
    <t>05.07.P3-6.363-21_3</t>
  </si>
  <si>
    <t>Uncharacterized protein n=1 Tax=Celeribacter phage P12053L TaxID=1197951 RepID=I6S6H1_9CAUD</t>
  </si>
  <si>
    <t>05.07.P3-6.363-21_7</t>
  </si>
  <si>
    <t>Uncharacterized protein n=1 Tax=Synechococcus phage S-CRM01 TaxID=1026955 RepID=F5B442_9CAUD</t>
  </si>
  <si>
    <t>05.07.P3-6.460-14_10</t>
  </si>
  <si>
    <t>sp|P18005|YUBP_ECOLI UPF0380 protein YubP OS=Escherichia coli (strain K12) OX=83333 GN=yubP PE=3 SV=3</t>
  </si>
  <si>
    <t>VOG01024 [FUNC="sp|P52132|YFJQ_ECOLI UPF0380 protein YfjQ"] [TAG=Xu TAGDEF="Function unknown"]</t>
  </si>
  <si>
    <t>DUF945 domain-containing protein n=1 Tax=Curvibacter phage P26059A TaxID=1983783 RepID=A0A384UH13_9CAUD</t>
  </si>
  <si>
    <t>05.07.P3-6.460-14_3</t>
  </si>
  <si>
    <t>Uncharacterized protein n=1 Tax=Roseobacter phage CRP-1 TaxID=2559280 RepID=A0A646QVG4_9CAUD</t>
  </si>
  <si>
    <t>05.07.P3-6.460-14_4</t>
  </si>
  <si>
    <t>DNA primase n=1 Tax=Roseobacter phage CRP-3 TaxID=2559282 RepID=A0A646QVW5_9CAUD</t>
  </si>
  <si>
    <t>05.07.P3-6.460-14_6</t>
  </si>
  <si>
    <t>05.07.P3-6.460-14_8</t>
  </si>
  <si>
    <t>VOG03699 [FUNC="REFSEQ hypothetical protein"] [TAG=Xu TAGDEF="Function unknown"]</t>
  </si>
  <si>
    <t>Uncharacterized protein n=1 Tax=Pseudomonas phage vB_PaeM_LCK69 TaxID=2488595 RepID=A0A3G8F5F5_9CAUD</t>
  </si>
  <si>
    <t>05.07.P3-6.535-17_11</t>
  </si>
  <si>
    <t>Uncharacterized protein n=1 Tax=Coraliomargarita sp. TMED73 TaxID=1986604 RepID=A0A424R7W9_9BACT</t>
  </si>
  <si>
    <t>05.07.P3-6.535-17_15</t>
  </si>
  <si>
    <t>VOG05002 [FUNC="REFSEQ hypothetical protein"] [TAG=Xu TAGDEF="Function unknown"]</t>
  </si>
  <si>
    <t>Uncharacterized protein n=1 Tax=Nitrincola phage 1M3-16 TaxID=1472912 RepID=A0A023NGQ5_9CAUD</t>
  </si>
  <si>
    <t>05.07.P3-6.538-4.9_1</t>
  </si>
  <si>
    <t>VOG00336 [FUNC="sp|P03728|PORTL_BPT7 Portal protein"] [TAG=Xp TAGDEF="Virus protein with function beneficial for the virus"]</t>
  </si>
  <si>
    <t>Putative portal protein n=1 Tax=Roseobacter phage CRP-2 TaxID=2559281 RepID=A0A646QVU4_9CAUD</t>
  </si>
  <si>
    <t>05.07.P3-6.538-4.9_2</t>
  </si>
  <si>
    <t>Cell wall hydrolase SleB domain-containing protein n=1 Tax=Roseobacter phage CRP-2 TaxID=2559281 RepID=A0A646QVU6_9CAUD</t>
  </si>
  <si>
    <t>05.07.P3-6.538-4.9_3</t>
  </si>
  <si>
    <t>VOG21166 [FUNC="REFSEQ hypothetical protein"] [TAG=Xu TAGDEF="Function unknown"]</t>
  </si>
  <si>
    <t>Uncharacterized protein n=1 Tax=Roseobacter phage CRP-2 TaxID=2559281 RepID=A0A646QVU3_9CAUD</t>
  </si>
  <si>
    <t>05.07.P3-6.538-4.9_4</t>
  </si>
  <si>
    <t>Putative coat protein n=1 Tax=Roseobacter phage CRP-2 TaxID=2559281 RepID=A0A646QWZ1_9CAUD</t>
  </si>
  <si>
    <t>05.07.P3-6.554-4.7_1</t>
  </si>
  <si>
    <t>Internal virion protein n=1 Tax=Roseobacter phage CRP-9 TaxID=2813174 RepID=A0A8E5BC91_9CAUD</t>
  </si>
  <si>
    <t>05.07.P3-6.670-18_10</t>
  </si>
  <si>
    <t>PD-(D/E)XK endonuclease-like domain-containing protein n=1 Tax=Roseobacter phage CRP-3 TaxID=2559282 RepID=A0A646QVX8_9CAUD</t>
  </si>
  <si>
    <t>05.07.P3-6.670-18_11</t>
  </si>
  <si>
    <t>sp|Q0C1R0|Y1625_HYPNA PKHD-type hydroxylase HNE_1625 OS=Hyphomonas neptunium (strain ATCC 15444) OX=228405 GN=HNE_1625 PE=3 SV=1</t>
  </si>
  <si>
    <t>Prolyl 4-hydroxylase alpha subunit Fe(2+) 2OG dioxygenase domain-containing protein n=1 Tax=Amphora coffeiformis TaxID=265554 RepID=A0A7S3L8B6_9STRA</t>
  </si>
  <si>
    <t>05.07.P3-6.670-18_12</t>
  </si>
  <si>
    <t>Endonuclease I n=2 Tax=Teetrevirus TaxID=2732693 RepID=A0A8X8M6C0_9CAUD</t>
  </si>
  <si>
    <t>05.07.P3-6.670-18_2</t>
  </si>
  <si>
    <t>Uncharacterized protein n=1 Tax=Escherichia phage IMM-002 TaxID=2041760 RepID=A0A384WW62_9CAUD</t>
  </si>
  <si>
    <t>05.07.P3-6.670-18_3</t>
  </si>
  <si>
    <t>05.07.P3-6.670-18_8</t>
  </si>
  <si>
    <t>05.07.P3-7.327-12_1</t>
  </si>
  <si>
    <t>VOG27220 [FUNC="REFSEQ hypothetical protein"] [TAG=Xu TAGDEF="Function unknown"]</t>
  </si>
  <si>
    <t>Uncharacterized protein n=1 Tax=Curvibacter phage P26059A TaxID=1983783 RepID=A0A384UGV6_9CAUD</t>
  </si>
  <si>
    <t>05.07.P3-7.327-12_2</t>
  </si>
  <si>
    <t>Uncharacterized protein n=1 Tax=Bacteriophage DSS3_VP1 TaxID=2664196 RepID=A0A7S5FT11_9CAUD</t>
  </si>
  <si>
    <t>05.07.P3-7.327-12_3</t>
  </si>
  <si>
    <t>05.07.P3-7.327-12_5</t>
  </si>
  <si>
    <t>PD-(D/E)XK endonuclease-like domain-containing protein n=1 Tax=Roseobacter phage CRP-4 TaxID=2559283 RepID=A0A646QWM8_9CAUD</t>
  </si>
  <si>
    <t>05.07.P3-7.327-12_6</t>
  </si>
  <si>
    <t>Holliday junction resolvase n=1 Tax=Sphingomonas sp. Leaf357 TaxID=1736350 RepID=A0A0Q5QQD2_9SPHN</t>
  </si>
  <si>
    <t>05.07.P3-7.327-12_7</t>
  </si>
  <si>
    <t>Uncharacterized protein n=1 Tax=Richelia sp. RM2_1_2 TaxID=2720436 RepID=A0A969MHM1_9NOST</t>
  </si>
  <si>
    <t>05.07.P3-7.327-12_8</t>
  </si>
  <si>
    <t>05.07.P3-7.417-49_1</t>
  </si>
  <si>
    <t>Uncharacterized protein n=2 Tax=unclassified Pakpunavirus TaxID=2109910 RepID=A0A410T8Z9_9CAUD</t>
  </si>
  <si>
    <t>05.07.P3-7.417-49_2</t>
  </si>
  <si>
    <t>Uncharacterized protein n=1 Tax=Roseobacter phage CRP-3 TaxID=2559282 RepID=A0A646QW25_9CAUD</t>
  </si>
  <si>
    <t>05.07.P3-8.078-9.0_10</t>
  </si>
  <si>
    <t>Pectate lyase superfamily protein domain-containing protein n=1 Tax=Leclercia sp. J807 TaxID=2681307 RepID=A0A9Q6PYE1_9ENTR</t>
  </si>
  <si>
    <t>05.07.P3-8.078-9.0_12</t>
  </si>
  <si>
    <t>Portal protein n=1 Tax=Lentibacter virus vB_LenP_ICBM2 TaxID=2301529 RepID=A0A3G2YRC2_9CAUD</t>
  </si>
  <si>
    <t>05.07.P3-8.078-9.0_8</t>
  </si>
  <si>
    <t>VOG21490 [FUNC="REFSEQ hypothetical protein"] [TAG=Xu TAGDEF="Function unknown"]</t>
  </si>
  <si>
    <t>Uncharacterized protein n=1 Tax=Roseobacter phage CRP-4 TaxID=2559283 RepID=A0A646QW91_9CAUD</t>
  </si>
  <si>
    <t>05.07.P3-8.078-9.0_9</t>
  </si>
  <si>
    <t>Tail protein n=1 Tax=Lentibacter virus vB_LenP_ICBM2 TaxID=2301529 RepID=A0A3G2YRY7_9CAUD</t>
  </si>
  <si>
    <t>05.07.P3-8.137-13_10</t>
  </si>
  <si>
    <t>VOG10418 [FUNC="REFSEQ hypothetical protein"] [TAG=Xu TAGDEF="Function unknown"]</t>
  </si>
  <si>
    <t>Uncharacterized protein n=1 Tax=Delftia phage PhiW-14 TaxID=665032 RepID=C9DG85_BPW14</t>
  </si>
  <si>
    <t>05.07.P3-8.137-13_12</t>
  </si>
  <si>
    <t>AzlD domain-containing protein n=1 Tax=Parvularcula mediterranea TaxID=2732508 RepID=A0A7Y3W634_9PROT</t>
  </si>
  <si>
    <t>05.07.P3-8.137-13_13</t>
  </si>
  <si>
    <t>05.07.P3-8.137-13_14</t>
  </si>
  <si>
    <t>HAD family hydrolase n=1 Tax=Muricauda sp. TMED12 TaxID=1986608 RepID=A0A3R7TYT1_9FLAO</t>
  </si>
  <si>
    <t>05.07.P3-8.137-13_4</t>
  </si>
  <si>
    <t>VOG01352 [FUNC="sp|Q5UPV7|YR277_MIMIV Uncharacterized protein R277"] [TAG=Xh TAGDEF="Virus protein with function beneficial for the host"]</t>
  </si>
  <si>
    <t>Zeta toxin domain-containing protein n=1 Tax=Pelagibacter phage HTVC008M TaxID=1283076 RepID=M1HLX5_9CAUD</t>
  </si>
  <si>
    <t>05.07.P3-8.454-37_2</t>
  </si>
  <si>
    <t>05.07.P3-8.454-37_4</t>
  </si>
  <si>
    <t>VOG20314 [FUNC="REFSEQ hypothetical protein"] [TAG=Xu TAGDEF="Function unknown"]</t>
  </si>
  <si>
    <t>Uncharacterized protein n=1 Tax=Pontimonas phage phiPsal1 TaxID=2079347 RepID=A0A2K9VGQ7_9CAUD</t>
  </si>
  <si>
    <t>05.07.P3-8.454-37_6</t>
  </si>
  <si>
    <t>05.07.P3-8.454-37_8</t>
  </si>
  <si>
    <t>VOG37805 [FUNC="REFSEQ hypothetical protein"] [TAG=Xu TAGDEF="Function unknown"]</t>
  </si>
  <si>
    <t>TMhelix containing protein n=1 Tax=Roseobacter phage CRP-7 TaxID=2559286 RepID=A0A646QWV0_9CAUD</t>
  </si>
  <si>
    <t>05.07.P3-8.454-37_9</t>
  </si>
  <si>
    <t>Uncharacterized protein n=1 Tax=Roseobacter phage CRP-9 TaxID=2813174 RepID=A0A8E5BFR2_9CAUD</t>
  </si>
  <si>
    <t>05.07.P4-10.196-26_1</t>
  </si>
  <si>
    <t>05.07.P4-10.196-26_10</t>
  </si>
  <si>
    <t>Uncharacterized protein z842R n=1 Tax=Acanthocystis turfacea chlorella virus 1 TaxID=322019 RepID=A7KAA2_9PHYC</t>
  </si>
  <si>
    <t>05.07.P4-10.196-26_13</t>
  </si>
  <si>
    <t>05.07.P4-10.196-26_14</t>
  </si>
  <si>
    <t>05.07.P4-10.196-26_15</t>
  </si>
  <si>
    <t>05.07.P4-10.196-26_19</t>
  </si>
  <si>
    <t>05.07.P4-10.196-26_2</t>
  </si>
  <si>
    <t>05.07.P4-10.196-26_23</t>
  </si>
  <si>
    <t>05.07.P4-10.196-26_3</t>
  </si>
  <si>
    <t>05.07.P4-12.715-37_1</t>
  </si>
  <si>
    <t>VOG21241 [FUNC="REFSEQ hypothetical protein"] [TAG=Xu TAGDEF="Function unknown"]</t>
  </si>
  <si>
    <t>Scaffolding protein n=3 Tax=unclassified Caudoviricetes TaxID=2788787 RepID=A0A915VGX9_9CAUD</t>
  </si>
  <si>
    <t>05.07.P4-12.715-37_2</t>
  </si>
  <si>
    <t>sp|Q6WHE1|CAPSH_BPKVM Major capsid protein OS=Vibrio phage KVP40 (isolate Vibrio parahaemolyticus/Japan/Matsuzaki/1991) OX=75320 GN=23 PE=1 SV=1</t>
  </si>
  <si>
    <t>VOG00464 [FUNC="sp|P04535|CAPSH_BPT4 Major capsid protein"] [TAG=Xh TAGDEF="Virus protein with function beneficial for the host"]</t>
  </si>
  <si>
    <t>Capsid protein n=1 Tax=Vibrio phage 2.275.O._10N.286.54.E11 TaxID=1881285 RepID=A0A2I7SAV8_9CAUD</t>
  </si>
  <si>
    <t>05.07.P4-12.715-37_3</t>
  </si>
  <si>
    <t>Uncharacterized protein n=2 Tax=root TaxID=1 RepID=A0A7V1BIE1_9RHOB</t>
  </si>
  <si>
    <t>05.07.P4-12.715-37_5</t>
  </si>
  <si>
    <t>05.07.P4-12.715-37_7</t>
  </si>
  <si>
    <t>Tail fiber protein n=2 Tax=unclassified Kyanoviridae TaxID=2960609 RepID=A0A650EX20_9CAUD</t>
  </si>
  <si>
    <t>05.07.P4-12.715-37_8</t>
  </si>
  <si>
    <t>VOG01731 [FUNC="REFSEQ hypothetical protein"] [TAG=Xu TAGDEF="Function unknown"]</t>
  </si>
  <si>
    <t>Virion structural protein n=1 Tax=Synechococcus phage S-SRM01 TaxID=2781608 RepID=A0A879R471_9CAUD</t>
  </si>
  <si>
    <t>05.07.P4-12.715-37_9</t>
  </si>
  <si>
    <t>Collagen-like protein n=1 Tax=Pseudorhodobacter turbinis TaxID=2500533 RepID=A0A4P8EJT5_9RHOB</t>
  </si>
  <si>
    <t>05.07.P4-13.300-12_15</t>
  </si>
  <si>
    <t>VOG02079 [FUNC="REFSEQ hypothetical protein"] [TAG=Xu TAGDEF="Function unknown"]</t>
  </si>
  <si>
    <t>DUF6321 domain-containing protein n=1 Tax=Synechococcus phage S-RIM8 TaxID=756278 RepID=A0A1D7S9D9_9CAUD</t>
  </si>
  <si>
    <t>05.07.P4-13.300-12_17</t>
  </si>
  <si>
    <t>sp|F6SDF8|MGME1_XENTR Mitochondrial genome maintenance exonuclease 1 OS=Xenopus tropicalis OX=8364 GN=mgme1 PE=2 SV=2</t>
  </si>
  <si>
    <t>Uncharacterized protein n=1 Tax=Cronobacter phage vB_CsaM_GAP32 TaxID=1141136 RepID=K4F9L9_9CAUD</t>
  </si>
  <si>
    <t>05.07.P4-13.300-12_19</t>
  </si>
  <si>
    <t>VOG31377 [FUNC="REFSEQ hypothetical protein"] [TAG=Xu TAGDEF="Function unknown"]</t>
  </si>
  <si>
    <t>Uncharacterized protein n=1 Tax=Richelia sp. RM2_1_2 TaxID=2720436 RepID=A0A969MND2_9NOST</t>
  </si>
  <si>
    <t>05.07.P4-13.300-12_6</t>
  </si>
  <si>
    <t>DNA primase n=4 Tax=unclassified Caudoviricetes TaxID=2788787 RepID=A0A915VLN0_9CAUD</t>
  </si>
  <si>
    <t>05.07.P4-13.300-12_7</t>
  </si>
  <si>
    <t>sp|P04530|HELIC_BPT4 DnaB-like replicative helicase OS=Enterobacteria phage T4 OX=10665 GN=41 PE=1 SV=1</t>
  </si>
  <si>
    <t>SF4 helicase domain-containing protein n=1 Tax=Pseudomonas phage vB_PaeM_PA5oct TaxID=2163605 RepID=A0A4Y1LUN2_9CAUD</t>
  </si>
  <si>
    <t>05.07.P4-15.059-52_1</t>
  </si>
  <si>
    <t>05.07.P4-15.059-52_12</t>
  </si>
  <si>
    <t>Recombination endonuclease VII n=1 Tax=Actinoplanes philippinensis TaxID=35752 RepID=A0A1I2HX84_9ACTN</t>
  </si>
  <si>
    <t>05.07.P4-15.059-52_4</t>
  </si>
  <si>
    <t>05.07.P4-15.059-52_8</t>
  </si>
  <si>
    <t>05.07.P4-2.711-1.6_2</t>
  </si>
  <si>
    <t>Tail fiber protein n=1 Tax=Roseobacter phage CRP-13 TaxID=2813173 RepID=A0A8E5F809_9CAUD</t>
  </si>
  <si>
    <t>05.07.P4-2.789-56_1</t>
  </si>
  <si>
    <t>05.07.P4-2.789-56_2</t>
  </si>
  <si>
    <t>Uncharacterized protein n=1 Tax=Roseobacter phage CRP-6 TaxID=2559285 RepID=A0A646QXN6_9CAUD</t>
  </si>
  <si>
    <t>05.07.P4-2.789-56_4</t>
  </si>
  <si>
    <t>Endonuclease n=1 Tax=Roseobacter phage CRP-6 TaxID=2559285 RepID=A0A646QWG3_9CAUD</t>
  </si>
  <si>
    <t>05.07.P4-2.791-1.7_3</t>
  </si>
  <si>
    <t>Single-stranded DNA-binding protein n=1 Tax=Pelagibacter phage HTVC011P TaxID=1283078 RepID=M1I847_9CAUD</t>
  </si>
  <si>
    <t>05.07.P4-2.934-34_4</t>
  </si>
  <si>
    <t>VOG01011 [FUNC="REFSEQ hypothetical protein"] [TAG=Xu TAGDEF="Function unknown"]</t>
  </si>
  <si>
    <t>AbrB/MazE/SpoVT family DNA-binding domain-containing protein n=1 Tax=Vibrio cholerae TaxID=666 RepID=A0A544DJD1_VIBCL</t>
  </si>
  <si>
    <t>05.07.P4-2.934-34_7</t>
  </si>
  <si>
    <t>05.07.P4-23.194-34_11</t>
  </si>
  <si>
    <t>05.07.P4-23.194-34_12</t>
  </si>
  <si>
    <t>05.07.P4-23.194-34_13</t>
  </si>
  <si>
    <t>05.07.P4-23.194-34_14</t>
  </si>
  <si>
    <t>Putative coat protein n=1 Tax=Roseobacter phage CRP-1 TaxID=2559280 RepID=A0A646QVJ7_9CAUD</t>
  </si>
  <si>
    <t>05.07.P4-23.194-34_16</t>
  </si>
  <si>
    <t>ParB/Sulfiredoxin domain-containing protein n=1 Tax=Roseobacter phage CRP-9 TaxID=2813174 RepID=A0A8E5BER7_9CAUD</t>
  </si>
  <si>
    <t>05.07.P4-23.194-34_17</t>
  </si>
  <si>
    <t>VOG02297 [FUNC="REFSEQ tail protein"] [TAG=Xu TAGDEF="Function unknown"]</t>
  </si>
  <si>
    <t>Tail tubular protein A n=1 Tax=Roseobacter phage CRP-13 TaxID=2813173 RepID=A0A8E5BF29_9CAUD</t>
  </si>
  <si>
    <t>05.07.P4-23.194-34_18</t>
  </si>
  <si>
    <t>Putative structural protein n=1 Tax=Roseobacter phage CRP-13 TaxID=2813173 RepID=A0A8E5BDF9_9CAUD</t>
  </si>
  <si>
    <t>05.07.P4-23.194-34_2</t>
  </si>
  <si>
    <t>Uncharacterized protein n=1 Tax=Roseobacter phage CRP-9 TaxID=2813174 RepID=A0A8E5BG27_9CAUD</t>
  </si>
  <si>
    <t>05.07.P4-23.194-34_21</t>
  </si>
  <si>
    <t>05.07.P4-23.194-34_23</t>
  </si>
  <si>
    <t>05.07.P4-23.194-34_24</t>
  </si>
  <si>
    <t>05.07.P4-23.194-34_3</t>
  </si>
  <si>
    <t>DUF5872 domain-containing protein n=1 Tax=Roseobacter phage CRP-13 TaxID=2813173 RepID=A0A8E5BF37_9CAUD</t>
  </si>
  <si>
    <t>05.07.P4-23.194-34_4</t>
  </si>
  <si>
    <t>Uncharacterized protein n=1 Tax=Roseobacter phage CRP-1 TaxID=2559280 RepID=A0A646QVM6_9CAUD</t>
  </si>
  <si>
    <t>05.07.P4-23.194-34_5</t>
  </si>
  <si>
    <t>05.07.P4-23.194-34_8</t>
  </si>
  <si>
    <t>VOG04227 [FUNC="REFSEQ terminase small subunit"] [TAG=Xu TAGDEF="Function unknown"]</t>
  </si>
  <si>
    <t>Terminase small subunit n=1 Tax=Roseobacter phage CRP-2 TaxID=2559281 RepID=A0A646QVU0_9CAUD</t>
  </si>
  <si>
    <t>05.07.P4-23.194-34_9</t>
  </si>
  <si>
    <t>Uncharacterized protein n=1 Tax=Roseobacter phage CRP-2 TaxID=2559281 RepID=A0A646QVT9_9CAUD</t>
  </si>
  <si>
    <t>05.07.P4-23.233-14_1</t>
  </si>
  <si>
    <t>Calcineurin-like phosphoesterase domain-containing protein n=2 Tax=unclassified Caudoviricetes TaxID=2788787 RepID=A0A915YA95_9CAUD</t>
  </si>
  <si>
    <t>05.07.P4-23.233-14_10</t>
  </si>
  <si>
    <t>VOG00678 [FUNC="sp|P06807|PCPP_BPT4 Prohead core protein protease"] [TAG=Xh TAGDEF="Virus protein with function beneficial for the host"]</t>
  </si>
  <si>
    <t>Prohead protease n=1 Tax=Salicola phage SCTP-2 TaxID=2015814 RepID=A0A248SJQ4_9CAUD</t>
  </si>
  <si>
    <t>05.07.P4-23.233-14_11</t>
  </si>
  <si>
    <t>05.07.P4-23.233-14_12</t>
  </si>
  <si>
    <t>05.07.P4-23.233-14_14</t>
  </si>
  <si>
    <t>05.07.P4-23.233-14_15</t>
  </si>
  <si>
    <t>05.07.P4-23.233-14_17</t>
  </si>
  <si>
    <t>Pectate lyase superfamily protein domain-containing protein n=1 Tax=Nisaea acidiphila TaxID=1862145 RepID=A0A9J7AVB5_9PROT</t>
  </si>
  <si>
    <t>05.07.P4-23.233-14_18</t>
  </si>
  <si>
    <t>VOG22695 [FUNC="REFSEQ hypothetical protein"] [TAG=Xu TAGDEF="Function unknown"]</t>
  </si>
  <si>
    <t>Tail fiber protein n=1 Tax=Caulobacter phage CcrColossus TaxID=1211640 RepID=K4JVS8_9CAUD</t>
  </si>
  <si>
    <t>05.07.P4-23.233-14_19</t>
  </si>
  <si>
    <t>Tail protein n=1 Tax=Brevundimonas phage vB_BpoS-Gurke TaxID=2948599 RepID=A0A9E7N4L7_9CAUD</t>
  </si>
  <si>
    <t>05.07.P4-23.233-14_20</t>
  </si>
  <si>
    <t>Major tropism determinant N-terminal domain-containing protein n=1 Tax=Muricauda sp. TMED12 TaxID=1986608 RepID=A0A424LPK2_9FLAO</t>
  </si>
  <si>
    <t>05.07.P4-23.233-14_3</t>
  </si>
  <si>
    <t>Twitch domain-containing radical SAM protein n=1 Tax=Vicingus serpentipes TaxID=1926625 RepID=A0A5C6RXE6_9FLAO</t>
  </si>
  <si>
    <t>05.07.P4-23.233-14_34</t>
  </si>
  <si>
    <t>Uncharacterized protein n=1 Tax=Richelia sp. RM2_1_2 TaxID=2720436 RepID=A0A969MHU6_9NOST</t>
  </si>
  <si>
    <t>05.07.P4-23.233-14_4</t>
  </si>
  <si>
    <t>Recombination-related endonuclease n=2 Tax=unclassified Caudoviricetes TaxID=2788787 RepID=A0A915Y8G2_9CAUD</t>
  </si>
  <si>
    <t>05.07.P4-23.233-14_5</t>
  </si>
  <si>
    <t>Uncharacterized protein n=1 Tax=Salicola phage SCTP-2 TaxID=2015814 RepID=A0A248SKC7_9CAUD</t>
  </si>
  <si>
    <t>05.07.P4-23.233-14_8</t>
  </si>
  <si>
    <t>05.07.P4-3.061-6.3_4</t>
  </si>
  <si>
    <t>Sigma-70 family RNA polymerase sigma factor n=1 Tax=Roseobacter phage CRP-6 TaxID=2559285 RepID=A0A646QWF1_9CAUD</t>
  </si>
  <si>
    <t>05.07.P4-3.061-6.3_5</t>
  </si>
  <si>
    <t>sp|Q9L9G3|NOVE_STRNV Transcriptional regulator NovE OS=Streptomyces niveus OX=193462 GN=novE PE=4 SV=1</t>
  </si>
  <si>
    <t>Uncharacterized protein n=3 Tax=Actinoallomurus iriomotensis TaxID=478107 RepID=A0A9W6SE77_9ACTN</t>
  </si>
  <si>
    <t>05.07.P4-3.153-5.6_1</t>
  </si>
  <si>
    <t>Tail fiber-like protein n=1 Tax=Synechococcus phage S-H9-1 TaxID=2783674 RepID=A0A873WGU2_9CAUD</t>
  </si>
  <si>
    <t>05.07.P4-3.424-2.1_4</t>
  </si>
  <si>
    <t>Uncharacterized protein n=1 Tax=Pseudomonas phage vB_PaeM_PA5oct TaxID=2163605 RepID=A0A4Y5JU75_9CAUD</t>
  </si>
  <si>
    <t>05.07.P4-3.424-2.1_5</t>
  </si>
  <si>
    <t>VOG30981 [FUNC="REFSEQ hypothetical protein"] [TAG=Xu TAGDEF="Function unknown"]</t>
  </si>
  <si>
    <t>Uncharacterized protein n=1 Tax=Richelia sp. RM2_1_2 TaxID=2720436 RepID=A0A969MDS0_9NOST</t>
  </si>
  <si>
    <t>05.07.P4-3.424-2.1_6</t>
  </si>
  <si>
    <t>05.07.P4-3.475-5.4_7</t>
  </si>
  <si>
    <t>Uncharacterized protein n=1 Tax=Celeribacter phage P12053L TaxID=1197951 RepID=I6RT02_9CAUD</t>
  </si>
  <si>
    <t>05.07.P4-3.629-43_2</t>
  </si>
  <si>
    <t>Tail fiber protein n=1 Tax=Methylophilales phage MEP301 TaxID=2806696 RepID=A0A8B6T3V1_9CAUD</t>
  </si>
  <si>
    <t>05.07.P4-3.629-43_3</t>
  </si>
  <si>
    <t>Uncharacterized protein n=1 Tax=Prochlorococcus phage P-SSP7 TaxID=268748 RepID=D1LWI1_BPPRP</t>
  </si>
  <si>
    <t>05.07.P4-3.629-43_4</t>
  </si>
  <si>
    <t>Tail fiber protein n=1 Tax=Pelagibacter phage Lederberg EXVC029P TaxID=2759213 RepID=A0A7S6ILD8_9CAUD</t>
  </si>
  <si>
    <t>05.07.P4-3.629-43_5</t>
  </si>
  <si>
    <t>Tail fiber protein n=1 Tax=Pelagibacter phage Lederberg EXVC029P TaxID=2759213 RepID=A0A7S6ILD6_9CAUD</t>
  </si>
  <si>
    <t>05.07.P4-3.629-43_6</t>
  </si>
  <si>
    <t>Phage tail protein (Fragment) n=1 Tax=Alteromonas australica TaxID=589873 RepID=A0A350P3G6_9ALTE</t>
  </si>
  <si>
    <t>05.07.P4-3.709-29_1</t>
  </si>
  <si>
    <t>Phage tail length tape-measure protein n=1 Tax=Croceibacter phage P2559Y TaxID=1327037 RepID=W8CQE5_9CAUD</t>
  </si>
  <si>
    <t>05.07.P4-3.936-2.2_1</t>
  </si>
  <si>
    <t>VOG28408 [FUNC="REFSEQ protease"] [TAG=Xu TAGDEF="Function unknown"]</t>
  </si>
  <si>
    <t>Uncharacterized protein n=1 Tax=Pusillimonas sp. (ex Stolz et al. 2005) TaxID=1979962 RepID=A0A2D7XII2_9BURK</t>
  </si>
  <si>
    <t>05.07.P4-3.936-2.2_2</t>
  </si>
  <si>
    <t>VOG01755 [FUNC="REFSEQ major head protein"] [TAG=Xu TAGDEF="Function unknown"]</t>
  </si>
  <si>
    <t>Major capsid protein n=1 Tax=Pusillimonas sp. (ex Stolz et al. 2005) TaxID=1979962 RepID=A0A2D7XAT3_9BURK</t>
  </si>
  <si>
    <t>05.07.P4-3.936-2.2_3</t>
  </si>
  <si>
    <t>Uncharacterized protein n=1 Tax=Pelagibacter phage HTVC203P TaxID=2796523 RepID=A0A7T3PHN3_9CAUD</t>
  </si>
  <si>
    <t>05.07.P4-3.936-2.2_4</t>
  </si>
  <si>
    <t>VOG02296 [FUNC="sp|D1L2W4|TUBE1_BPK32 Tail tubular protein A"] [TAG=Xh TAGDEF="Virus protein with function beneficial for the host"]</t>
  </si>
  <si>
    <t>Putative tail tubular A n=1 Tax=Pelagibacter phage HTVC024P TaxID=2796518 RepID=A0A7T3PH38_9CAUD</t>
  </si>
  <si>
    <t>05.07.P4-3.936-2.2_5</t>
  </si>
  <si>
    <t>05.07.P4-4.281-5.3_4</t>
  </si>
  <si>
    <t>Uncharacterized protein n=1 Tax=Podoviridae sp. ct2cs2 TaxID=2656707 RepID=A0A5Q2W5X7_9CAUD</t>
  </si>
  <si>
    <t>05.07.P4-4.281-5.3_5</t>
  </si>
  <si>
    <t>Scaffold protein n=1 Tax=Roseobacter phage CRP-9 TaxID=2813174 RepID=A0A8E5BFS0_9CAUD</t>
  </si>
  <si>
    <t>05.07.P4-4.281-5.3_6</t>
  </si>
  <si>
    <t>Putative coat protein n=1 Tax=Roseobacter phage CRP-13 TaxID=2813173 RepID=A0A8E5BD08_9CAUD</t>
  </si>
  <si>
    <t>05.07.P4-4.496-42_4</t>
  </si>
  <si>
    <t>Tail protein n=1 Tax=Pedobacter duraquae TaxID=425511 RepID=A0A4R6IIS4_9SPHI</t>
  </si>
  <si>
    <t>05.07.P4-45.835-37_1</t>
  </si>
  <si>
    <t>05.07.P4-45.835-37_10</t>
  </si>
  <si>
    <t>Putative structural protein n=1 Tax=Roseobacter phage CRP-9 TaxID=2813174 RepID=A0A8E5B9D1_9CAUD</t>
  </si>
  <si>
    <t>05.07.P4-45.835-37_11</t>
  </si>
  <si>
    <t>05.07.P4-45.835-37_12</t>
  </si>
  <si>
    <t>Uncharacterized protein n=1 Tax=Microvirga alba TaxID=2791025 RepID=A0A931FQ81_9HYPH</t>
  </si>
  <si>
    <t>05.07.P4-45.835-37_13</t>
  </si>
  <si>
    <t>Uncharacterized protein n=1 Tax=Muricauda sp. TMED12 TaxID=1986608 RepID=A0A3S5JBU6_9FLAO</t>
  </si>
  <si>
    <t>05.07.P4-45.835-37_14</t>
  </si>
  <si>
    <t>Putative tail-related protein n=1 Tax=Puniceispirillum phage HMO-2011 TaxID=948071 RepID=S4S2E8_9CAUD</t>
  </si>
  <si>
    <t>05.07.P4-45.835-37_16</t>
  </si>
  <si>
    <t>Tail fiber protein n=1 Tax=Aminobacter sp. SR38 TaxID=2774562 RepID=A0A7L8RW14_9HYPH</t>
  </si>
  <si>
    <t>05.07.P4-45.835-37_17</t>
  </si>
  <si>
    <t>VOG30763 [FUNC="REFSEQ hypothetical protein"] [TAG=Xu TAGDEF="Function unknown"]</t>
  </si>
  <si>
    <t>Uncharacterized protein n=1 Tax=Dunaliella viridis virus SI2 TaxID=754069 RepID=M4Q0W6_9CAUD</t>
  </si>
  <si>
    <t>05.07.P4-45.835-37_18</t>
  </si>
  <si>
    <t>VOG02786 [FUNC="REFSEQ hypothetical protein"] [TAG=Xu TAGDEF="Function unknown"]</t>
  </si>
  <si>
    <t>Uncharacterized protein n=1 Tax=Puniceispirillum phage HMO-2011 TaxID=948071 RepID=S4T799_9CAUD</t>
  </si>
  <si>
    <t>05.07.P4-45.835-37_19</t>
  </si>
  <si>
    <t>Putative tail fiber protein n=1 Tax=Puniceispirillum phage HMO-2011 TaxID=948071 RepID=S4S2M2_9CAUD</t>
  </si>
  <si>
    <t>05.07.P4-45.835-37_20</t>
  </si>
  <si>
    <t>Uncharacterized protein n=1 Tax=Synechococcus phage S-B05 TaxID=2484637 RepID=A0A4Y5P0Z8_9CAUD</t>
  </si>
  <si>
    <t>05.07.P4-45.835-37_21</t>
  </si>
  <si>
    <t>Uncharacterized protein n=1 Tax=Pelagibacter phage Lederberg EXVC029P TaxID=2759213 RepID=A0A7S6INR7_9CAUD</t>
  </si>
  <si>
    <t>05.07.P4-45.835-37_22</t>
  </si>
  <si>
    <t>05.07.P4-45.835-37_23</t>
  </si>
  <si>
    <t>05.07.P4-45.835-37_25</t>
  </si>
  <si>
    <t>Uncharacterized protein n=1 Tax=Roseobacter phage CRP-13 TaxID=2813173 RepID=A0A8E5BG47_9CAUD</t>
  </si>
  <si>
    <t>05.07.P4-45.835-37_27</t>
  </si>
  <si>
    <t>VOG38051 [FUNC="REFSEQ hypothetical protein"] [TAG=Xu TAGDEF="Function unknown"]</t>
  </si>
  <si>
    <t>05.07.P4-45.835-37_3</t>
  </si>
  <si>
    <t>05.07.P4-45.835-37_30</t>
  </si>
  <si>
    <t>05.07.P4-45.835-37_33</t>
  </si>
  <si>
    <t>05.07.P4-45.835-37_38</t>
  </si>
  <si>
    <t>Uncharacterized protein n=1 Tax=Roseobacter phage CRP-6 TaxID=2559285 RepID=A0A646QWJ5_9CAUD</t>
  </si>
  <si>
    <t>05.07.P4-45.835-37_39</t>
  </si>
  <si>
    <t>05.07.P4-45.835-37_4</t>
  </si>
  <si>
    <t>05.07.P4-45.835-37_40</t>
  </si>
  <si>
    <t>VOG01170 [FUNC="REFSEQ hypothetical protein"] [TAG=Xu TAGDEF="Function unknown"]</t>
  </si>
  <si>
    <t>TMhelix containing protein n=1 Tax=Vibrio phage VvAW1 TaxID=1168281 RepID=I3PUY2_9CAUD</t>
  </si>
  <si>
    <t>05.07.P4-45.835-37_41</t>
  </si>
  <si>
    <t>Uncharacterized protein n=1 Tax=Synechococcus phage S-CBS2 TaxID=753084 RepID=F4YCM7_9CAUD</t>
  </si>
  <si>
    <t>05.07.P4-45.835-37_42</t>
  </si>
  <si>
    <t>sp|O64250|VG59_BPMD2 Gene 59 protein OS=Mycobacterium phage D29 OX=28369 GN=59 PE=4 SV=1</t>
  </si>
  <si>
    <t>Endonuclease n=1 Tax=Synechococcus phage S-CBS2 TaxID=753084 RepID=F4YCP4_9CAUD</t>
  </si>
  <si>
    <t>05.07.P4-45.835-37_43</t>
  </si>
  <si>
    <t>Uncharacterized protein n=1 Tax=Roseobacter phage CRP-13 TaxID=2813173 RepID=A0A8E5BCF6_9CAUD</t>
  </si>
  <si>
    <t>05.07.P4-45.835-37_45</t>
  </si>
  <si>
    <t>05.07.P4-45.835-37_47</t>
  </si>
  <si>
    <t>VOG36907 [FUNC="REFSEQ hypothetical protein"] [TAG=Xu TAGDEF="Function unknown"]</t>
  </si>
  <si>
    <t>Uncharacterized protein n=1 Tax=Lentibacter virus vB_LenP_ICBM2 TaxID=2301529 RepID=A0A3G2YRP1_9CAUD</t>
  </si>
  <si>
    <t>05.07.P4-45.835-37_49</t>
  </si>
  <si>
    <t>05.07.P4-45.835-37_5</t>
  </si>
  <si>
    <t>05.07.P4-45.835-37_50</t>
  </si>
  <si>
    <t>05.07.P4-45.835-37_54</t>
  </si>
  <si>
    <t>05.07.P4-45.835-37_56</t>
  </si>
  <si>
    <t>Endonuclease I n=1 Tax=Roseobacter phage CRP-13 TaxID=2813173 RepID=A0A8E5BEC4_9CAUD</t>
  </si>
  <si>
    <t>05.07.P4-45.835-37_59</t>
  </si>
  <si>
    <t>VOG19495 [FUNC="REFSEQ hypothetical protein"] [TAG=Xu TAGDEF="Function unknown"]</t>
  </si>
  <si>
    <t>Endonuclease n=1 Tax=Lentibacter virus vB_LenP_ICBM2 TaxID=2301529 RepID=A0A3G2YRD1_9CAUD</t>
  </si>
  <si>
    <t>05.07.P4-45.835-37_6</t>
  </si>
  <si>
    <t>Uncharacterized protein n=1 Tax=Fadolivirus 1 TaxID=2740746 RepID=A0A7D3V904_9VIRU</t>
  </si>
  <si>
    <t>05.07.P4-45.835-37_60</t>
  </si>
  <si>
    <t>DUF3310 domain-containing protein n=1 Tax=Roseobacter phage CRP-1 TaxID=2559280 RepID=A0A646QVI2_9CAUD</t>
  </si>
  <si>
    <t>05.07.P4-45.835-37_9</t>
  </si>
  <si>
    <t>Integration and excision endonuclease VII n=2 Tax=unclassified Teetrevirus TaxID=2745900 RepID=A0A976RWK3_9CAUD</t>
  </si>
  <si>
    <t>05.07.P4-5.193-3.5_1</t>
  </si>
  <si>
    <t>Terminase large subunit gp17-like C-terminal domain-containing protein n=2 Tax=unclassified Caudoviricetes TaxID=2788787 RepID=A0A915Y8E4_9CAUD</t>
  </si>
  <si>
    <t>05.07.P4-5.193-3.5_2</t>
  </si>
  <si>
    <t>VOG35971 [FUNC="REFSEQ virion structural protein"] [TAG=Xu TAGDEF="Function unknown"]</t>
  </si>
  <si>
    <t>Structural protein n=1 Tax=Pseudomonas phage vB_PaeM_MIJ3 TaxID=2567864 RepID=A0A5E3ZZB2_9CAUD</t>
  </si>
  <si>
    <t>05.07.P4-5.877-4.3_21</t>
  </si>
  <si>
    <t>sp|A0A2L0V161|DGTPH_BPPMB dATP/dGTP diphosphohydrolase OS=Salmonella phage PMBT28 OX=2081904 PE=3 SV=1</t>
  </si>
  <si>
    <t>Uncharacterized protein gp25 n=1 Tax=EBPR siphovirus 2 TaxID=1048521 RepID=F8TV45_9CAUD</t>
  </si>
  <si>
    <t>05.07.P4-5.877-4.3_22</t>
  </si>
  <si>
    <t>Recombination endonuclease VII n=1 Tax=Kitasatospora gansuensis TaxID=258050 RepID=A0A7W7WIU7_9ACTN</t>
  </si>
  <si>
    <t>05.07.P4-5.951-13_2</t>
  </si>
  <si>
    <t>VOG19090 [FUNC="REFSEQ virion structural protein"] [TAG=Xu TAGDEF="Function unknown"]</t>
  </si>
  <si>
    <t>Tail sheath stabilizer and completion protein n=4 Tax=unclassified Caudoviricetes TaxID=2788787 RepID=A0A915Y9C1_9CAUD</t>
  </si>
  <si>
    <t>05.07.P4-5.951-13_3</t>
  </si>
  <si>
    <t>VOG00474 [FUNC="REFSEQ hypothetical protein"] [TAG=Xu TAGDEF="Function unknown"]</t>
  </si>
  <si>
    <t>Uncharacterized protein n=1 Tax=Richelia sp. RM2_1_2 TaxID=2720436 RepID=A0A969SL62_9NOST</t>
  </si>
  <si>
    <t>05.07.P4-5.951-13_7</t>
  </si>
  <si>
    <t>VOG03644 [FUNC="sp|P04524|SIGML_BPT4 RNA polymerase sigma-like factor"] [TAG=Xh TAGDEF="Virus protein with function beneficial for the host"]</t>
  </si>
  <si>
    <t>Sigma factor for T4 late transcription n=1 Tax=Pseudomonas phage vB_PaeM_MIJ3 TaxID=2567864 RepID=A0A5E4A0N1_9CAUD</t>
  </si>
  <si>
    <t>05.07.P4-5.951-13_9</t>
  </si>
  <si>
    <t>Calcineurin-like phosphoesterase domain-containing protein n=1 Tax=Pseudomonas phage sp. 30-3 TaxID=2972143 RepID=A0A915YA33_9CAUD</t>
  </si>
  <si>
    <t>05.07.P4-7.222-16_1</t>
  </si>
  <si>
    <t>05.07.P4-7.222-16_6</t>
  </si>
  <si>
    <t>Uncharacterized protein n=1 Tax=Roseobacter phage CRP-9 TaxID=2813174 RepID=A0A8E5BEY3_9CAUD</t>
  </si>
  <si>
    <t>05.07.P4-7.222-16_7</t>
  </si>
  <si>
    <t>Recombination endonuclease VII n=2 Tax=unclassified Kyanoviridae TaxID=2960609 RepID=A0A650EX62_9CAUD</t>
  </si>
  <si>
    <t>05.07.P4-8.202-8.6_10</t>
  </si>
  <si>
    <t>Uncharacterized protein n=1 Tax=Thioclava sp. DLFJ4-1 TaxID=1915313 RepID=A0A1T2AXT3_9RHOB</t>
  </si>
  <si>
    <t>05.07.P4-8.202-8.6_12</t>
  </si>
  <si>
    <t>VOG19092 [FUNC="REFSEQ hypothetical protein"] [TAG=Xu TAGDEF="Function unknown"]</t>
  </si>
  <si>
    <t>Hypothetical-Protein / belonging to T4-LIKE GC: 794 n=1 Tax=Synechococcus phage S-PM2 TaxID=238854 RepID=Q5GQY7_BPSYP</t>
  </si>
  <si>
    <t>05.07.P4-8.202-8.6_14</t>
  </si>
  <si>
    <t>Uncharacterized protein n=1 Tax=Lake Baikal phage Baikal-20-5m-C28 TaxID=2047876 RepID=A0A2H4N7Y3_9CAUD</t>
  </si>
  <si>
    <t>05.07.P4-8.202-8.6_15</t>
  </si>
  <si>
    <t>05.07.P4-8.873-11_1</t>
  </si>
  <si>
    <t>Uncharacterized protein n=1 Tax=Pseudomonas phage vB_PaeM_MIJ3 TaxID=2567864 RepID=A0A5E4A082_9CAUD</t>
  </si>
  <si>
    <t>05.07.P4-9.181-36_12</t>
  </si>
  <si>
    <t>Uncharacterized protein n=2 Tax=Mucilaginibacter pedocola TaxID=1792845 RepID=A0A1S9P882_9SPHI</t>
  </si>
  <si>
    <t>05.07.P4-9.181-36_5</t>
  </si>
  <si>
    <t>05.07.P4-9.181-36_6</t>
  </si>
  <si>
    <t>Uncharacterized protein (Fragment) n=1 Tax=Daphnia pulex TaxID=6669 RepID=E9I2M5_DAPPU</t>
  </si>
  <si>
    <t>05.07.P4-9.777-28_1</t>
  </si>
  <si>
    <t>sp|C0HJN9|CO1A1_EQUSP Collagen alpha-1(I) chain (Fragments) OS=Equus sp. OX=46122 GN=COL1A1 PE=1 SV=1</t>
  </si>
  <si>
    <t>Pectate lyase superfamily protein domain-containing protein n=2 Tax=Lysobacter gilvus TaxID=2682097 RepID=A0A7C9LM10_9GAMM</t>
  </si>
  <si>
    <t>05.07.P4-9.777-28_4</t>
  </si>
  <si>
    <t>VOG01088 [FUNC="REFSEQ tail fiber protein"] [TAG=Xu TAGDEF="Function unknown"]</t>
  </si>
  <si>
    <t>Caudovirales tail fibre assembly protein n=1 Tax=Thalassobius gelatinovorus TaxID=53501 RepID=A0A0P1FIZ6_THAGE</t>
  </si>
  <si>
    <t>05.07.P4-9.777-28_6</t>
  </si>
  <si>
    <t>VOG13228 [FUNC="REFSEQ hypothetical protein"] [TAG=Xu TAGDEF="Function unknown"]</t>
  </si>
  <si>
    <t>Virion structural protein n=1 Tax=Synechococcus phage S-SKS1 TaxID=754042 RepID=M4R1D9_9CAUD</t>
  </si>
  <si>
    <t>05.07.P4-9.777-28_7</t>
  </si>
  <si>
    <t>Uncharacterized protein n=1 Tax=Desulfobacterales bacterium RS19-109 TaxID=2984131 RepID=A0A9X4MF81_9BACT</t>
  </si>
  <si>
    <t>11.09.P1-10.075-33_12</t>
  </si>
  <si>
    <t>VOG02468 [FUNC="REFSEQ portal protein"] [TAG=Xu TAGDEF="Function unknown"]</t>
  </si>
  <si>
    <t>DUF4055 domain-containing protein n=1 Tax=Salmonella typhimurium TaxID=90371 RepID=A0A706IL63_SALTM</t>
  </si>
  <si>
    <t>11.09.P1-10.075-33_14</t>
  </si>
  <si>
    <t>VOG03848 [FUNC="sp|Q05222|SCAF_BPML5 Probable capsid assembly scaffolding protein"] [TAG=Xs TAGDEF="Virus structure"]</t>
  </si>
  <si>
    <t>Scaffold protein n=1 Tax=Salmonella enteritidis TaxID=149539 RepID=A0A6X9V346_SALEN</t>
  </si>
  <si>
    <t>11.09.P1-10.075-33_15</t>
  </si>
  <si>
    <t>p22 coat-protein 5 family protein n=2 Tax=Cupriavidus taiwanensis TaxID=164546 RepID=A0A375GV83_9BURK</t>
  </si>
  <si>
    <t>11.09.P1-10.075-33_16</t>
  </si>
  <si>
    <t>Minor tail protein n=1 Tax=Streptomyces phage Gibson TaxID=2500796 RepID=A0A411AY06_9CAUD</t>
  </si>
  <si>
    <t>11.09.P1-10.075-33_4</t>
  </si>
  <si>
    <t>Putative structural protein n=1 Tax=Escherichia phage L AB-2017 TaxID=1933114 RepID=A0A1Q1PUU9_9CAUD</t>
  </si>
  <si>
    <t>11.09.P1-10.075-33_6</t>
  </si>
  <si>
    <t>11.09.P1-10.075-33_7</t>
  </si>
  <si>
    <t>11.09.P1-10.075-33_8</t>
  </si>
  <si>
    <t>11.09.P1-11.099-9.1_10</t>
  </si>
  <si>
    <t>Neck protein n=1 Tax=Pontimonas phage phiPsal1 TaxID=2079347 RepID=A0A2K9VGI2_9CAUD</t>
  </si>
  <si>
    <t>11.09.P1-11.099-9.1_11</t>
  </si>
  <si>
    <t>Tail completion protein n=1 Tax=Pontimonas phage phiPsal1 TaxID=2079347 RepID=A0A2K9VGP3_9CAUD</t>
  </si>
  <si>
    <t>11.09.P1-11.099-9.1_12</t>
  </si>
  <si>
    <t>Phage tail tube protein n=1 Tax=Nonomuraea wenchangensis TaxID=568860 RepID=A0A1I0EEG8_9ACTN</t>
  </si>
  <si>
    <t>11.09.P1-11.099-9.1_13</t>
  </si>
  <si>
    <t>Phage protein n=1 Tax=Pontimonas phage phiPsal1 TaxID=2079347 RepID=A0A2K9VGQ1_9CAUD</t>
  </si>
  <si>
    <t>11.09.P1-11.148-50_14</t>
  </si>
  <si>
    <t>11.09.P1-11.148-50_2</t>
  </si>
  <si>
    <t>11.09.P1-11.148-50_4</t>
  </si>
  <si>
    <t>11.09.P1-11.148-50_6</t>
  </si>
  <si>
    <t>11.09.P1-11.178-27_11</t>
  </si>
  <si>
    <t>11.09.P1-11.178-27_13</t>
  </si>
  <si>
    <t>sp|Q6QGD4|ENDON_BPT5 Nicking endonuclease OS=Escherichia phage T5 OX=2695836 GN=ORF142 PE=2 SV=1</t>
  </si>
  <si>
    <t>VOG03410 [FUNC="sp|Q6QGD4|ENDON_BPT5 Nicking endonuclease"] [TAG=Xh TAGDEF="Virus protein with function beneficial for the host"]</t>
  </si>
  <si>
    <t>HNH endonuclease n=1 Tax=Pusillimonas sp. (ex Stolz et al. 2005) TaxID=1979962 RepID=A0A2D7XHD1_9BURK</t>
  </si>
  <si>
    <t>11.09.P1-11.178-27_6</t>
  </si>
  <si>
    <t>11.09.P1-16.187-16_11</t>
  </si>
  <si>
    <t>VOG02737 [FUNC="REFSEQ hypothetical protein"] [TAG=Xu TAGDEF="Function unknown"]</t>
  </si>
  <si>
    <t>Virion structural protein n=13 Tax=root TaxID=1 RepID=D4N442_9CAUD</t>
  </si>
  <si>
    <t>11.09.P1-16.187-16_16</t>
  </si>
  <si>
    <t>sp|Q5UPT4|YL247_MIMIV Uncharacterized HNH endonuclease L247 OS=Acanthamoeba polyphaga mimivirus OX=212035 GN=MIMI_L247 PE=4 SV=1</t>
  </si>
  <si>
    <t>HNH homing endonuclease n=22 Tax=unclassified Caudoviricetes TaxID=2788787 RepID=F1D1A2_9CAUD</t>
  </si>
  <si>
    <t>11.09.P1-16.187-16_18</t>
  </si>
  <si>
    <t>Phage-like element PBSX protein XkdF domain-containing protein n=17 Tax=Phapecoctavirus TaxID=2733124 RepID=K7QKC5_9CAUD</t>
  </si>
  <si>
    <t>11.09.P1-16.187-16_19</t>
  </si>
  <si>
    <t>VOG15198 [FUNC="REFSEQ hypothetical protein"] [TAG=Xu TAGDEF="Function unknown"]</t>
  </si>
  <si>
    <t>Capsid and scaffold protein n=3 Tax=root TaxID=1 RepID=A0A0A1IWH4_9CAUD</t>
  </si>
  <si>
    <t>11.09.P1-16.187-16_20</t>
  </si>
  <si>
    <t>Head decoration protein n=1 Tax=Vineibacter terrae TaxID=2586908 RepID=A0A5C8PGA0_9HYPH</t>
  </si>
  <si>
    <t>11.09.P1-16.187-16_21</t>
  </si>
  <si>
    <t>sp|D6RRG1|CAPSD_BPKPP Major capsid protein OS=Pseudomonas phage KPP10 OX=582345 GN=ORF4 PE=1 SV=1</t>
  </si>
  <si>
    <t>VOG00999 [FUNC="sp|D6RRG1|CAPSD_BPKPP Major capsid protein"] [TAG=Xh TAGDEF="Virus protein with function beneficial for the host"]</t>
  </si>
  <si>
    <t>Major structural protein n=1 Tax=Curvibacter phage P26059A TaxID=1983783 RepID=A0A384V0A6_9CAUD</t>
  </si>
  <si>
    <t>11.09.P1-16.187-16_23</t>
  </si>
  <si>
    <t>11.09.P1-16.187-16_4</t>
  </si>
  <si>
    <t>11.09.P1-16.187-16_6</t>
  </si>
  <si>
    <t>11.09.P1-16.187-16_7</t>
  </si>
  <si>
    <t>11.09.P1-16.187-16_8</t>
  </si>
  <si>
    <t>11.09.P1-16.187-16_9</t>
  </si>
  <si>
    <t>11.09.P1-2.558-49_1</t>
  </si>
  <si>
    <t>DUF2793 domain-containing protein n=1 Tax=Mesorhizobium sp. M4B.F.Ca.ET.143.01.1.1 TaxID=2563947 RepID=A0A4S1FM68_9HYPH</t>
  </si>
  <si>
    <t>11.09.P1-2.769-4.9_5</t>
  </si>
  <si>
    <t>11.09.P1-2.769-4.9_7</t>
  </si>
  <si>
    <t>11.09.P1-2.769-4.9_8</t>
  </si>
  <si>
    <t>11.09.P1-2.849-4.4_3</t>
  </si>
  <si>
    <t>Putative tail fiber protein n=1 Tax=Pelagibacter phage Mosig EXVC030M TaxID=2759214 RepID=A0A7S6LF64_9CAUD</t>
  </si>
  <si>
    <t>11.09.P1-2.849-4.4_4</t>
  </si>
  <si>
    <t>VOG01580 [FUNC="REFSEQ hypothetical protein"] [TAG=Xu TAGDEF="Function unknown"]</t>
  </si>
  <si>
    <t>YadA domain-containing structural protein n=1 Tax=Prochlorococcus phage P-HM2 TaxID=445696 RepID=E3SSU2_9CAUD</t>
  </si>
  <si>
    <t>11.09.P1-3.080-2.1_6</t>
  </si>
  <si>
    <t>Putative DNA methylase n=1 Tax=Sinorhizobium phage phiM6 TaxID=2301527 RepID=A0A346HW64_9CAUD</t>
  </si>
  <si>
    <t>11.09.P1-3.080-2.1_7</t>
  </si>
  <si>
    <t>site-specific DNA-methyltransferase (adenine-specific) n=1 Tax=Gemmobacter lutimaris TaxID=2306023 RepID=A0A398BQ89_9RHOB</t>
  </si>
  <si>
    <t>11.09.P1-3.089-2.8_1</t>
  </si>
  <si>
    <t>VOG28322 [FUNC="REFSEQ head-tail connector protein"] [TAG=Xu TAGDEF="Function unknown"]</t>
  </si>
  <si>
    <t>11.09.P1-3.089-2.8_2</t>
  </si>
  <si>
    <t>11.09.P1-3.089-2.8_3</t>
  </si>
  <si>
    <t>Tail tube n=1 Tax=Pontimonas phage phiPsal1 TaxID=2079347 RepID=A0A2K9VGS0_9CAUD</t>
  </si>
  <si>
    <t>11.09.P1-3.089-2.8_4</t>
  </si>
  <si>
    <t>11.09.P1-3.217-7.2_10</t>
  </si>
  <si>
    <t>Uncharacterized protein n=1 Tax=Pusillimonas sp. (ex Stolz et al. 2005) TaxID=1979962 RepID=A0A2D7XCI0_9BURK</t>
  </si>
  <si>
    <t>11.09.P1-3.217-7.2_3</t>
  </si>
  <si>
    <t>Uncharacterized protein n=1 Tax=Dishui lake phycodnavirus 1 TaxID=2079134 RepID=A0A2K9R7T3_9PHYC</t>
  </si>
  <si>
    <t>11.09.P1-3.217-7.2_7</t>
  </si>
  <si>
    <t>Uncharacterized protein n=1 Tax=Marine Group I thaumarchaeote TaxID=2511932 RepID=A0A7K4MXF5_9ARCH</t>
  </si>
  <si>
    <t>11.09.P1-3.217-7.2_9</t>
  </si>
  <si>
    <t>11.09.P1-3.420-12_4</t>
  </si>
  <si>
    <t>Single stranded DNA binding protein n=1 Tax=Pontimonas phage phiPsal1 TaxID=2079347 RepID=A0A2K9VGW7_9CAUD</t>
  </si>
  <si>
    <t>11.09.P1-3.420-12_5</t>
  </si>
  <si>
    <t>Repair endonuclease n=1 Tax=Pontimonas phage phiPsal1 TaxID=2079347 RepID=A0A2K9VGT5_9CAUD</t>
  </si>
  <si>
    <t>11.09.P1-3.420-12_6</t>
  </si>
  <si>
    <t>11.09.P1-3.445-3.8_2</t>
  </si>
  <si>
    <t>VOG37433 [FUNC="REFSEQ hypothetical protein"] [TAG=Xu TAGDEF="Function unknown"]</t>
  </si>
  <si>
    <t>Single-stranded DNA-binding protein n=1 Tax=Escherichia phage ukendt TaxID=2696458 RepID=A0A6B9WMY5_9CAUD</t>
  </si>
  <si>
    <t>11.09.P1-3.445-3.8_3</t>
  </si>
  <si>
    <t>Exonuclease n=1 Tax=Pseudomonas phage vB_PsaM_M1 TaxID=2995601 RepID=A0A9E8G0X0_9CAUD</t>
  </si>
  <si>
    <t>11.09.P1-3.601-43_1</t>
  </si>
  <si>
    <t>sp|E1XTK6|SERDT_BPSAV Serinyltransferase OS=Salmonella phage ViI OX=1987993 GN=Vi01_199 PE=1 SV=1</t>
  </si>
  <si>
    <t>VOG04739 [FUNC="sp|E1XTK6|SERDT_BPSAV Serinyltransferase"] [TAG=Xp TAGDEF="Virus protein with function beneficial for the virus"]</t>
  </si>
  <si>
    <t>Amino acid:DNA transferase domain-containing protein n=1 Tax=Serratia phage 2050H1 TaxID=2024250 RepID=A0A249Y273_9CAUD</t>
  </si>
  <si>
    <t>11.09.P1-3.608-24_1</t>
  </si>
  <si>
    <t>Head-tail joining protein n=1 Tax=Synechococcus phage S-CBS4 TaxID=756275 RepID=R9TH41_9CAUD</t>
  </si>
  <si>
    <t>11.09.P1-3.608-24_2</t>
  </si>
  <si>
    <t>VOG00511 [FUNC="REFSEQ tail completion or Neck1 protein"] [TAG=Xu TAGDEF="Function unknown"]</t>
  </si>
  <si>
    <t>Neck protein n=1 Tax=Dyadobacter jiangsuensis TaxID=1591085 RepID=A0A2P8FP24_9BACT</t>
  </si>
  <si>
    <t>11.09.P1-3.608-24_4</t>
  </si>
  <si>
    <t>11.09.P1-3.608-24_5</t>
  </si>
  <si>
    <t>11.09.P1-3.638-5.4_2</t>
  </si>
  <si>
    <t>Tail fiber protein n=1 Tax=Sulfitobacter phage phiGT1 TaxID=2745703 RepID=A0A7D9N063_9CAUD</t>
  </si>
  <si>
    <t>11.09.P1-3.638-5.4_5</t>
  </si>
  <si>
    <t>sp|P06807|PCPP_BPT4 Prohead core protein protease OS=Enterobacteria phage T4 OX=10665 GN=21 PE=1 SV=2</t>
  </si>
  <si>
    <t>Prohead core scaffold and protease n=1 Tax=Sinorhizobium phage phiN3 TaxID=1647405 RepID=A0A0F6YPZ3_9CAUD</t>
  </si>
  <si>
    <t>11.09.P1-3.769-6.5_1</t>
  </si>
  <si>
    <t>11.09.P1-3.923-52_1</t>
  </si>
  <si>
    <t>sp|P11110|NECK1_BPT4 Neck protein gp13 OS=Enterobacteria phage T4 OX=10665 GN=13 PE=1 SV=1</t>
  </si>
  <si>
    <t>VOG00468 [FUNC="sp|P11110|NECK1_BPT4 Neck protein gp13"] [TAG=Xs TAGDEF="Virus structure"]</t>
  </si>
  <si>
    <t>Neck protein n=1 Tax=Muricauda sp. TMED12 TaxID=1986608 RepID=A0A3R7T2U3_9FLAO</t>
  </si>
  <si>
    <t>11.09.P1-3.923-52_2</t>
  </si>
  <si>
    <t>sp|P11111|NECK2_BPT4 Neck protein gp14 OS=Enterobacteria phage T4 OX=10665 GN=14 PE=1 SV=1</t>
  </si>
  <si>
    <t>VOG24738 [FUNC="sp|P11111|NECK2_BPT4 Neck protein gp14"] [TAG=Xs TAGDEF="Virus structure"]</t>
  </si>
  <si>
    <t>Neck protein n=1 Tax=Muricauda sp. TMED12 TaxID=1986608 RepID=A0A3R7RYY5_9FLAO</t>
  </si>
  <si>
    <t>11.09.P1-3.923-52_3</t>
  </si>
  <si>
    <t>11.09.P1-3.923-52_4</t>
  </si>
  <si>
    <t>11.09.P1-4.006-6.6_8</t>
  </si>
  <si>
    <t>VOG28212 [FUNC="REFSEQ hypothetical protein"] [TAG=Xu TAGDEF="Function unknown"]</t>
  </si>
  <si>
    <t>aminoacyl-tRNA hydrolase n=1 Tax=Rhizobium phage RHph_I1_18 TaxID=2509726 RepID=A0A7S5UVS8_9CAUD</t>
  </si>
  <si>
    <t>11.09.P1-4.202-9.3_7</t>
  </si>
  <si>
    <t>DNA polymerase n=1 Tax=Pseudomonas phage JG004 TaxID=757342 RepID=F4YDN0_9CAUD</t>
  </si>
  <si>
    <t>11.09.P1-4.205-10_11</t>
  </si>
  <si>
    <t>sp|Q4DCH3|JBP2_TRYCC Bifunctional helicase and thymine dioxygenase JBP2 OS=Trypanosoma cruzi (strain CL Brener) OX=353153 GN=JBP2 PE=3 SV=1</t>
  </si>
  <si>
    <t>VOG32820 [FUNC="REFSEQ queuine tRNA-ribosyltransferase"] [TAG=Xu TAGDEF="Function unknown"]</t>
  </si>
  <si>
    <t>2OGFeDO JBP1/TET oxygenase domain-containing protein n=1 Tax=Nonlabens phage P12024L TaxID=1168479 RepID=I6R170_9CAUD</t>
  </si>
  <si>
    <t>11.09.P1-4.232-18_1</t>
  </si>
  <si>
    <t>11.09.P1-4.232-18_5</t>
  </si>
  <si>
    <t>11.09.P1-4.232-18_6</t>
  </si>
  <si>
    <t>Baseplate wedge subunit n=1 Tax=Salicola phage SCTP-2 TaxID=2015814 RepID=A0A248SJT8_9CAUD</t>
  </si>
  <si>
    <t>11.09.P1-4.371-11_4</t>
  </si>
  <si>
    <t>Endodeoxyribonuclease I n=1 Tax=Myoviridae sp. ctCo31 TaxID=2825053 RepID=A0A8S5UMM3_9CAUD</t>
  </si>
  <si>
    <t>11.09.P1-4.496-42_3</t>
  </si>
  <si>
    <t>Long tail fiber protein Gp37 n=1 Tax=Vibrio phage nt-1 TaxID=115992 RepID=R9TFT8_9CAUD</t>
  </si>
  <si>
    <t>11.09.P1-4.496-42_5</t>
  </si>
  <si>
    <t>Tail fiber domain-containing protein n=1 Tax=Adonisia turfae CCMR0081 TaxID=2292702 RepID=A0A6M0RYC0_9CYAN</t>
  </si>
  <si>
    <t>11.09.P1-4.649-15_1</t>
  </si>
  <si>
    <t>11.09.P1-4.695-17_2</t>
  </si>
  <si>
    <t>11.09.P1-4.695-17_9</t>
  </si>
  <si>
    <t>Uncharacterized protein n=1 Tax=Parabacteroides johnsonii CAG:246 TaxID=1263091 RepID=R5DD37_9BACT</t>
  </si>
  <si>
    <t>11.09.P1-4.953-41_1</t>
  </si>
  <si>
    <t>VOG00040 [FUNC="sp|P14107|Y8K6_BPP22 Uncharacterized 8.6 kDa protein in ral-gp17 intergenic region"] [TAG=Xu TAGDEF="Function unknown"]</t>
  </si>
  <si>
    <t>Uncharacterized protein n=1 Tax=Brucella anthropi TaxID=529 RepID=A0A7T4LQP2_BRUAN</t>
  </si>
  <si>
    <t>11.09.P1-4.953-41_5</t>
  </si>
  <si>
    <t>Thymidylate synthase n=1 Tax=Dinoroseobacter phage DS-1410Ws-06 TaxID=1815983 RepID=A0A191VY97_9CAUD</t>
  </si>
  <si>
    <t>11.09.P1-5.939-39_2</t>
  </si>
  <si>
    <t>11.09.P1-5.939-39_9</t>
  </si>
  <si>
    <t>11.09.P1-6.317-5.1_1</t>
  </si>
  <si>
    <t>Endonuclease n=1 Tax=Roseobacter phage CRP-6 TaxID=2559285 RepID=A0A646QWH5_9CAUD</t>
  </si>
  <si>
    <t>11.09.P1-6.317-5.1_8</t>
  </si>
  <si>
    <t>11.09.P1-6.485-22_13</t>
  </si>
  <si>
    <t>Uncharacterized protein n=1 Tax=Prochlorococcus phage P-SSP7 TaxID=268748 RepID=Q58N21_BPPRP</t>
  </si>
  <si>
    <t>11.09.P1-6.485-22_14</t>
  </si>
  <si>
    <t>VOG03701 [FUNC="REFSEQ hypothetical protein"] [TAG=Xu TAGDEF="Function unknown"]</t>
  </si>
  <si>
    <t>Uncharacterized protein n=1 Tax=Azorhizobium caulinodans (strain ATCC 43989 / DSM 5975 / JCM 20966 / LMG 6465 / NBRC 14845 / NCIMB 13405 / ORS 571) TaxID=438753 RepID=A8IF54_AZOC5</t>
  </si>
  <si>
    <t>11.09.P1-6.485-22_15</t>
  </si>
  <si>
    <t>11.09.P1-6.485-22_16</t>
  </si>
  <si>
    <t>DUF2190 family protein n=1 Tax=Planctomyces bekefii TaxID=1653850 RepID=A0A5C6M3G4_9PLAN</t>
  </si>
  <si>
    <t>11.09.P1-6.485-22_3</t>
  </si>
  <si>
    <t>11.09.P1-7.708-5.5_1</t>
  </si>
  <si>
    <t>VOG06509 [FUNC="REFSEQ tail appendage"] [TAG=Xu TAGDEF="Function unknown"]</t>
  </si>
  <si>
    <t>Gp27 n=1 Tax=Siovirus americense TaxID=136084 RepID=Q9G0F7_9CAUD</t>
  </si>
  <si>
    <t>11.09.P1-7.708-5.5_2</t>
  </si>
  <si>
    <t>Gp26.2 n=1 Tax=Siovirus americense TaxID=136084 RepID=Q9G0F8_9CAUD</t>
  </si>
  <si>
    <t>11.09.P1-7.708-5.5_3</t>
  </si>
  <si>
    <t>VOG22288 [FUNC="REFSEQ gp26.1"] [TAG=Xu TAGDEF="Function unknown"]</t>
  </si>
  <si>
    <t>Internal virion protein B n=1 Tax=Lentibacter virus vB_LenP_ICBM2 TaxID=2301529 RepID=A0A3G2YRJ4_9CAUD</t>
  </si>
  <si>
    <t>11.09.P1-7.708-5.5_4</t>
  </si>
  <si>
    <t>VOG12856 [FUNC="REFSEQ internal virion protein D"] [TAG=Xu TAGDEF="Function unknown"]</t>
  </si>
  <si>
    <t>Internal virion protein D n=1 Tax=Roseobacter phage CRP-5 TaxID=2559284 RepID=A0A646QWC2_9CAUD</t>
  </si>
  <si>
    <t>11.09.P1-7.803-7.9_1</t>
  </si>
  <si>
    <t>sp|Q05264|VG54_BPML5 Gene 54 protein OS=Mycobacterium phage L5 OX=31757 GN=54 PE=4 SV=1</t>
  </si>
  <si>
    <t>Metallo-dependent phosphatase n=2 Tax=Barbavirus barba19A TaxID=2734091 RepID=A0A4P8N515_9CAUD</t>
  </si>
  <si>
    <t>11.09.P1-7.803-7.9_2</t>
  </si>
  <si>
    <t>ATP-binding protein n=1 Tax=Klebsiella phage 6937 TaxID=2912294 RepID=A0A9E7M7E1_9CAUD</t>
  </si>
  <si>
    <t>11.09.P1-7.803-7.9_3</t>
  </si>
  <si>
    <t>Nucleotidase n=1 Tax=Klebsiella phage vB_KpM_FBKp34 TaxID=2801835 RepID=A0A7U0GAU5_9CAUD</t>
  </si>
  <si>
    <t>11.09.P1-7.803-7.9_4</t>
  </si>
  <si>
    <t>VOG02813 [FUNC="REFSEQ nucleotide pyrophosphohydrolase"] [TAG=Xu TAGDEF="Function unknown"]</t>
  </si>
  <si>
    <t>Phosphoribosyl-ATP pyrophosphohydrolase-like protein n=1 Tax=Escherichia phage 4MG TaxID=1391428 RepID=V5KSK3_9CAUD</t>
  </si>
  <si>
    <t>11.09.P1-7.803-7.9_5</t>
  </si>
  <si>
    <t>11.09.P1-7.803-7.9_6</t>
  </si>
  <si>
    <t>11.09.P1-7.803-7.9_7</t>
  </si>
  <si>
    <t>11.09.P1-8.802-7.6_4</t>
  </si>
  <si>
    <t>Uncharacterized protein n=1 Tax=Roseobacter phage CRP-13 TaxID=2813173 RepID=A0A8E5F7H0_9CAUD</t>
  </si>
  <si>
    <t>11.09.P1-8.802-7.6_6</t>
  </si>
  <si>
    <t>VOG37666 [FUNC="REFSEQ hypothetical protein"] [TAG=Xu TAGDEF="Function unknown"]</t>
  </si>
  <si>
    <t>YubB ferredoxin-like domain-containing protein n=1 Tax=Guillardia theta (strain CCMP2712) TaxID=905079 RepID=L1J7Q9_GUITC</t>
  </si>
  <si>
    <t>11.09.P1-8.802-7.6_8</t>
  </si>
  <si>
    <t>HNH endonuclease protein n=1 Tax=Rhizobium phage RHph_N3_19 TaxID=2509746 RepID=A0A7S5R8F3_9CAUD</t>
  </si>
  <si>
    <t>11.09.P1-8.802-7.6_9</t>
  </si>
  <si>
    <t>11.09.P1-9.365-8.7_1</t>
  </si>
  <si>
    <t>LGT_TIGR03299, phage/plasmid-like protein TIGR03299 n=1 Tax=Sinorhizobium phage phiN3 TaxID=1647405 RepID=A0A0F6SJ46_9CAUD</t>
  </si>
  <si>
    <t>11.09.P1-9.365-8.7_10</t>
  </si>
  <si>
    <t>VOG36329 [FUNC="REFSEQ hypothetical protein"] [TAG=Xu TAGDEF="Function unknown"]</t>
  </si>
  <si>
    <t>Uncharacterized protein n=1 Tax=Lake Baikal phage Baikal-20-5m-C28 TaxID=2047876 RepID=A0A2H4N7S6_9CAUD</t>
  </si>
  <si>
    <t>11.09.P1-9.365-8.7_11</t>
  </si>
  <si>
    <t>VOG32096 [FUNC="REFSEQ hypothetical protein"] [TAG=Xu TAGDEF="Function unknown"]</t>
  </si>
  <si>
    <t>Uncharacterized protein n=1 Tax=Xanthomarina gelatinilytica TaxID=1137281 RepID=A0A3D6BSE9_9FLAO</t>
  </si>
  <si>
    <t>11.09.P1-9.365-8.7_2</t>
  </si>
  <si>
    <t>Uncharacterized protein n=1 Tax=Vibrio phage Va1 TaxID=2508852 RepID=A0A410T6E5_9CAUD</t>
  </si>
  <si>
    <t>11.09.P1-9.365-8.7_4</t>
  </si>
  <si>
    <t>VOG11908 [FUNC="REFSEQ hypothetical protein"] [TAG=Xu TAGDEF="Function unknown"]</t>
  </si>
  <si>
    <t>Uncharacterized protein n=1 Tax=Pusillimonas sp. (ex Stolz et al. 2005) TaxID=1979962 RepID=A0A2D7XI84_9BURK</t>
  </si>
  <si>
    <t>11.09.P1-9.365-8.7_5</t>
  </si>
  <si>
    <t>Uncharacterized protein n=1 Tax=Muricauda sp. TMED12 TaxID=1986608 RepID=A0A3S5JBV8_9FLAO</t>
  </si>
  <si>
    <t>11.09.P1-9.365-8.7_6</t>
  </si>
  <si>
    <t>VOG02140 [FUNC="REFSEQ cytidyltransferase"] [TAG=Xu TAGDEF="Function unknown"]</t>
  </si>
  <si>
    <t>DUF5824 domain-containing protein n=1 Tax=Muricauda sp. TMED12 TaxID=1986608 RepID=A0A424LPW3_9FLAO</t>
  </si>
  <si>
    <t>11.09.P1-9.365-8.7_8</t>
  </si>
  <si>
    <t>Uncharacterized protein n=1 Tax=Pusillimonas sp. (ex Stolz et al. 2005) TaxID=1979962 RepID=A0A2D7XIB4_9BURK</t>
  </si>
  <si>
    <t>11.09.P1-9.365-8.7_9</t>
  </si>
  <si>
    <t>Uncharacterized protein n=1 Tax=Pelagibacter phage HTVC008M TaxID=1283076 RepID=M1I7Y2_9CAUD</t>
  </si>
  <si>
    <t>11.09.P2-10.778-51_11</t>
  </si>
  <si>
    <t>Major capsid protein VP54 n=1 Tax=Acanthocystis turfacea Chlorella virus Canal-1 TaxID=1278270 RepID=M1HKP5_9PHYC</t>
  </si>
  <si>
    <t>11.09.P2-10.778-51_12</t>
  </si>
  <si>
    <t>Structural protein n=1 Tax=Synechococcus phage S-H9-1 TaxID=2783674 RepID=A0A873WT31_9CAUD</t>
  </si>
  <si>
    <t>11.09.P2-11.589-35_11</t>
  </si>
  <si>
    <t>11.09.P2-11.589-35_24</t>
  </si>
  <si>
    <t>11.09.P2-11.877-4.3_1</t>
  </si>
  <si>
    <t>11.09.P2-11.877-4.3_10</t>
  </si>
  <si>
    <t>Uncharacterized protein n=1 Tax=Pontimonas phage phiPsal1 TaxID=2079347 RepID=A0A2K9VGQ0_9CAUD</t>
  </si>
  <si>
    <t>11.09.P2-11.877-4.3_11</t>
  </si>
  <si>
    <t>Uncharacterized protein n=1 Tax=Pontimonas phage phiPsal1 TaxID=2079347 RepID=A0A2K9VGK8_9CAUD</t>
  </si>
  <si>
    <t>11.09.P2-11.877-4.3_12</t>
  </si>
  <si>
    <t>Holiday junction resolvase n=1 Tax=Pontimonas phage phiPsal1 TaxID=2079347 RepID=A0A2K9VGN7_9CAUD</t>
  </si>
  <si>
    <t>11.09.P2-11.877-4.3_13</t>
  </si>
  <si>
    <t>11.09.P2-11.877-4.3_15</t>
  </si>
  <si>
    <t>Replisome organizer n=1 Tax=Pontimonas phage phiPsal1 TaxID=2079347 RepID=A0A2K9VGS7_9CAUD</t>
  </si>
  <si>
    <t>11.09.P2-11.877-4.3_18</t>
  </si>
  <si>
    <t>11.09.P2-11.877-4.3_19</t>
  </si>
  <si>
    <t>11.09.P2-11.877-4.3_3</t>
  </si>
  <si>
    <t>Uncharacterized protein n=1 Tax=Pontimonas phage phiPsal1 TaxID=2079347 RepID=A0A2K9VGP0_9CAUD</t>
  </si>
  <si>
    <t>11.09.P2-11.877-4.3_37</t>
  </si>
  <si>
    <t>HTH protein n=1 Tax=Pontimonas phage phiPsal1 TaxID=2079347 RepID=A0A2K9VGU6_9CAUD</t>
  </si>
  <si>
    <t>11.09.P2-11.877-4.3_4</t>
  </si>
  <si>
    <t>VOG00150 [FUNC="REFSEQ holin"] [TAG=Xu TAGDEF="Function unknown"]</t>
  </si>
  <si>
    <t>Holin n=1 Tax=Pontimonas phage phiPsal1 TaxID=2079347 RepID=A0A2K9VGJ8_9CAUD</t>
  </si>
  <si>
    <t>11.09.P2-11.877-4.3_6</t>
  </si>
  <si>
    <t>Uncharacterized protein n=1 Tax=Pontimonas phage phiPsal1 TaxID=2079347 RepID=A0A2K9VGL9_9CAUD</t>
  </si>
  <si>
    <t>11.09.P2-11.877-4.3_7</t>
  </si>
  <si>
    <t>Transmembrane protein n=1 Tax=Pontimonas phage phiPsal1 TaxID=2079347 RepID=A0A2K9VGM4_9CAUD</t>
  </si>
  <si>
    <t>11.09.P2-11.877-4.3_9</t>
  </si>
  <si>
    <t>Uncharacterized protein n=1 Tax=Pontimonas phage phiPsal1 TaxID=2079347 RepID=A0A2K9VGS1_9CAUD</t>
  </si>
  <si>
    <t>11.09.P2-13.656-12_13</t>
  </si>
  <si>
    <t>PD-(D/E)XK nuclease superfamily protein n=1 Tax=Nitrosospira sp. Nl5 TaxID=200120 RepID=A0A1G5BRU8_9PROT</t>
  </si>
  <si>
    <t>11.09.P2-13.656-12_14</t>
  </si>
  <si>
    <t>HNH endonuclease n=4 Tax=Pseudomonas phage vB_PsyM_KIL1 TaxID=1777065 RepID=A0A142IE65_9CAUD</t>
  </si>
  <si>
    <t>11.09.P2-13.656-12_3</t>
  </si>
  <si>
    <t>11.09.P2-13.656-12_4</t>
  </si>
  <si>
    <t>11.09.P2-13.999-19_1</t>
  </si>
  <si>
    <t>Uncharacterized protein n=1 Tax=Rhizobium phage vB_RleA_TRX32-1 TaxID=2777321 RepID=A0A7T7GRS0_9CAUD</t>
  </si>
  <si>
    <t>11.09.P2-13.999-19_11</t>
  </si>
  <si>
    <t>11.09.P2-13.999-19_12</t>
  </si>
  <si>
    <t>11.09.P2-13.999-19_5</t>
  </si>
  <si>
    <t>11.09.P2-16.453-37_10</t>
  </si>
  <si>
    <t>Uncharacterized protein n=1 Tax=Myoviridae sp. ctNQV2 TaxID=2827683 RepID=A0A8S5RZM8_9CAUD</t>
  </si>
  <si>
    <t>11.09.P2-16.453-37_16</t>
  </si>
  <si>
    <t>LsmAD domain-containing protein n=1 Tax=Myoviridae sp. ctNQV2 TaxID=2827683 RepID=A0A8S5RZF7_9CAUD</t>
  </si>
  <si>
    <t>11.09.P2-16.453-37_18</t>
  </si>
  <si>
    <t>Uncharacterized protein n=1 Tax=Muricauda sp. TMED12 TaxID=1986608 RepID=A0A3R7S3D1_9FLAO</t>
  </si>
  <si>
    <t>11.09.P2-16.453-37_19</t>
  </si>
  <si>
    <t>Uncharacterized protein n=1 Tax=Prevotella sp. CAG:1092 TaxID=1262919 RepID=R5PF69_9BACT</t>
  </si>
  <si>
    <t>11.09.P2-16.453-37_21</t>
  </si>
  <si>
    <t>11.09.P2-16.453-37_5</t>
  </si>
  <si>
    <t>11.09.P2-16.453-37_7</t>
  </si>
  <si>
    <t>11.09.P2-16.453-37_8</t>
  </si>
  <si>
    <t>11.09.P2-2.408-4.7_1</t>
  </si>
  <si>
    <t>Capsid assembly protein n=1 Tax=Myoviridae sp. ctNQV2 TaxID=2827683 RepID=A0A8S5RY91_9CAUD</t>
  </si>
  <si>
    <t>11.09.P2-2.456-2.8_4</t>
  </si>
  <si>
    <t>VOG26144 [FUNC="REFSEQ hypothetical protein"] [TAG=Xu TAGDEF="Function unknown"]</t>
  </si>
  <si>
    <t>Phosphoribosylaminoimidazole synthetase n=1 Tax=Synechococcus phage ACG-2014f TaxID=1493511 RepID=A0A0E3FKY6_9CAUD</t>
  </si>
  <si>
    <t>11.09.P2-2.456-2.8_5</t>
  </si>
  <si>
    <t>11.09.P2-2.501-6.5_1</t>
  </si>
  <si>
    <t>Head completion nuclease n=1 Tax=Synechococcus phage S-WAM1 TaxID=1815521 RepID=A0A1D8KS17_9CAUD</t>
  </si>
  <si>
    <t>11.09.P2-2.501-6.5_2</t>
  </si>
  <si>
    <t>DNA end protector protein n=4 Tax=Emdodecavirus TaxID=1980937 RepID=A0A0F6WCM7_9CAUD</t>
  </si>
  <si>
    <t>11.09.P2-2.501-6.5_3</t>
  </si>
  <si>
    <t>Tail tube monomer n=1 Tax=Synechococcus phage BUCT-ZZ01 TaxID=2951202 RepID=A0A9E7NQQ3_9CAUD</t>
  </si>
  <si>
    <t>11.09.P2-2.501-6.5_4</t>
  </si>
  <si>
    <t>Baseplate hub subunit n=4 Tax=Emdodecavirus TaxID=1980937 RepID=S5MAZ1_9CAUD</t>
  </si>
  <si>
    <t>11.09.P2-2.521-3.9_1</t>
  </si>
  <si>
    <t>UvrD-like helicase C-terminal domain-containing protein n=1 Tax=Mimiviridae sp. ChoanoV1 TaxID=2596887 RepID=A0A5B8IHE9_9VIRU</t>
  </si>
  <si>
    <t>11.09.P2-2.521-3.9_2</t>
  </si>
  <si>
    <t>VOG13615 [FUNC="REFSEQ prohead protease"] [TAG=Xu TAGDEF="Function unknown"]</t>
  </si>
  <si>
    <t>11.09.P2-2.550-2.8_1</t>
  </si>
  <si>
    <t>VOG02878 [FUNC="REFSEQ tail fiber protein; host specificity"] [TAG=Xu TAGDEF="Function unknown"]</t>
  </si>
  <si>
    <t>Uncharacterized protein n=1 Tax=Pusillimonas sp. (ex Stolz et al. 2005) TaxID=1979962 RepID=A0A2D7XEL7_9BURK</t>
  </si>
  <si>
    <t>11.09.P2-2.550-2.8_3</t>
  </si>
  <si>
    <t>Uncharacterized protein n=1 Tax=Gammaproteobacteria virus GOV_bin_2604 TaxID=2562602 RepID=A0A4D6BFN3_9CAUD</t>
  </si>
  <si>
    <t>11.09.P2-2.722-2.2_4</t>
  </si>
  <si>
    <t>DUF3307 domain-containing protein n=1 Tax=Arsenicitalea aurantiaca TaxID=1783274 RepID=A0A433X7L0_9HYPH</t>
  </si>
  <si>
    <t>11.09.P2-2.742-6.5_2</t>
  </si>
  <si>
    <t>sp|Q6QGT3|A1_BPT5 Protein A1 OS=Escherichia phage T5 OX=2695836 GN=A1 PE=1 SV=1</t>
  </si>
  <si>
    <t>A1-like protein n=3 Tax=Cellulophaga phage phiST TaxID=756282 RepID=M4T1R5_9CAUD</t>
  </si>
  <si>
    <t>11.09.P2-2.787-3.0_2</t>
  </si>
  <si>
    <t>Capsid protein n=1 Tax=Bdellovibrio sp. ArHS TaxID=1569284 RepID=A0A0B8WVS7_9BACT</t>
  </si>
  <si>
    <t>11.09.P2-2.787-3.0_4</t>
  </si>
  <si>
    <t>VOG10770 [FUNC="REFSEQ hypothetical protein"] [TAG=Xu TAGDEF="Function unknown"]</t>
  </si>
  <si>
    <t>Phage tail protein n=1 Tax=Burkholderia lata (strain ATCC 17760 / DSM 23089 / LMG 22485 / NCIMB 9086 / R18194 / 383) TaxID=482957 RepID=A0A6P2LC69_BURL3</t>
  </si>
  <si>
    <t>11.09.P2-2.787-3.0_8</t>
  </si>
  <si>
    <t>11.09.P2-2.989-10_3</t>
  </si>
  <si>
    <t>Uncharacterized protein n=1 Tax=Roseobacter phage CRP-6 TaxID=2559285 RepID=A0A646QWL3_9CAUD</t>
  </si>
  <si>
    <t>11.09.P2-3.027-47_10</t>
  </si>
  <si>
    <t>Fibronectin type III domain-containing protein n=1 Tax=Geomesophilobacter sediminis TaxID=2798584 RepID=A0A8J7JGL8_9BACT</t>
  </si>
  <si>
    <t>11.09.P2-3.100-2.8_2</t>
  </si>
  <si>
    <t>sp|P32283|MOBE_BPT4 Probable mobile endonuclease E OS=Enterobacteria phage T4 OX=10665 GN=mobE PE=4 SV=1</t>
  </si>
  <si>
    <t>NUMOD3 motif protein n=1 Tax=Escherichia phage vB_EcoM_KAW3E185 TaxID=2508201 RepID=A0A482MXE8_9CAUD</t>
  </si>
  <si>
    <t>11.09.P2-3.100-2.8_3</t>
  </si>
  <si>
    <t>Putative portal protein n=1 Tax=Bacteriophage DSS3_VP1 TaxID=2664196 RepID=A0A7S5FTD5_9CAUD</t>
  </si>
  <si>
    <t>11.09.P2-3.100-2.8_4</t>
  </si>
  <si>
    <t>Minor head protein-like protein n=1 Tax=Bacteriophage DSS3_VP1 TaxID=2664196 RepID=A0A7S5FSX1_9CAUD</t>
  </si>
  <si>
    <t>11.09.P2-3.104-1.5_1</t>
  </si>
  <si>
    <t>Minor head protein-like protein n=1 Tax=Bacteriophage DSS3_PM1 TaxID=2664195 RepID=A0A7S5FRK7_9CAUD</t>
  </si>
  <si>
    <t>11.09.P2-3.104-1.5_2</t>
  </si>
  <si>
    <t>11.09.P2-3.132-59_2</t>
  </si>
  <si>
    <t>11.09.P2-3.167-4.3_10</t>
  </si>
  <si>
    <t>VOG10840 [FUNC="REFSEQ hypothetical protein"] [TAG=Xu TAGDEF="Function unknown"]</t>
  </si>
  <si>
    <t>Uncharacterized protein n=1 Tax=Hephaestia caeni TaxID=645617 RepID=A0A397PJW4_9SPHN</t>
  </si>
  <si>
    <t>11.09.P2-3.167-4.3_6</t>
  </si>
  <si>
    <t>VOG02917 [FUNC="REFSEQ hypothetical protein"] [TAG=Xu TAGDEF="Function unknown"]</t>
  </si>
  <si>
    <t>Uncharacterized protein n=1 Tax=Caulobacter phage Ccr5 TaxID=1959740 RepID=A0A1V0EBD6_9CAUD</t>
  </si>
  <si>
    <t>11.09.P2-3.167-4.3_7</t>
  </si>
  <si>
    <t>VOG26818 [FUNC="REFSEQ hypothetical protein"] [TAG=Xu TAGDEF="Function unknown"]</t>
  </si>
  <si>
    <t>Uncharacterized protein n=1 Tax=Caulifigura coniformis TaxID=2527983 RepID=A0A517S9J4_9PLAN</t>
  </si>
  <si>
    <t>11.09.P2-3.167-4.3_8</t>
  </si>
  <si>
    <t>VOG01552 [FUNC="REFSEQ hypothetical protein"] [TAG=Xu TAGDEF="Function unknown"]</t>
  </si>
  <si>
    <t>Unnamed protein product n=3 Tax=Ampunavirus BpAMP1 TaxID=2733589 RepID=A0A0A1I646_9CAUD</t>
  </si>
  <si>
    <t>11.09.P2-3.396-49_2</t>
  </si>
  <si>
    <t>LamG-like jellyroll fold domain-containing protein n=1 Tax=Cyanophage P-RSM6 TaxID=929832 RepID=M4SQ89_9CAUD</t>
  </si>
  <si>
    <t>11.09.P2-3.526-51_1</t>
  </si>
  <si>
    <t>Endonuclease TevI-like protein n=4 Tax=Kuttervirus TaxID=2169536 RepID=A0A2Z5HNR1_9CAUD</t>
  </si>
  <si>
    <t>11.09.P2-3.526-51_3</t>
  </si>
  <si>
    <t>DUF3310 domain-containing protein n=1 Tax=Rhizobium meliloti TaxID=382 RepID=A0A843ZQD3_RHIML</t>
  </si>
  <si>
    <t>11.09.P2-3.526-51_5</t>
  </si>
  <si>
    <t>Uncharacterized protein n=1 Tax=Salinihabitans flavidus TaxID=569882 RepID=A0A1H8WJR2_9RHOB</t>
  </si>
  <si>
    <t>11.09.P2-3.527-3.0_2</t>
  </si>
  <si>
    <t>11.09.P2-3.527-3.0_9</t>
  </si>
  <si>
    <t>11.09.P2-3.701-24_2</t>
  </si>
  <si>
    <t>11.09.P2-4.667-44_1</t>
  </si>
  <si>
    <t>VOG13564 [FUNC="REFSEQ hypothetical protein"] [TAG=Xu TAGDEF="Function unknown"]</t>
  </si>
  <si>
    <t>HNH endonuclease n=1 Tax=Burkholderia cenocepacia TaxID=95486 RepID=A0A109E1V1_9BURK</t>
  </si>
  <si>
    <t>11.09.P2-4.671-36_5</t>
  </si>
  <si>
    <t>DNA primase/helicase n=1 Tax=Prevotella sp. CAG:1092 TaxID=1262919 RepID=R5PWB0_9BACT</t>
  </si>
  <si>
    <t>11.09.P2-4.695-4.7_1</t>
  </si>
  <si>
    <t>VOG01846 [FUNC="REFSEQ hypothetical protein"] [TAG=Xu TAGDEF="Function unknown"]</t>
  </si>
  <si>
    <t>Tail spike TSP1/Gp66 N-terminal domain-containing protein n=1 Tax=Serratia sp. OS31 TaxID=2760844 RepID=A0A7W4F3Z0_9GAMM</t>
  </si>
  <si>
    <t>11.09.P2-4.695-4.7_3</t>
  </si>
  <si>
    <t>Alpha/beta hydrolase n=1 Tax=Marine Group I thaumarchaeote TaxID=2511932 RepID=A0A7K4MRC0_9ARCH</t>
  </si>
  <si>
    <t>11.09.P2-4.695-4.7_5</t>
  </si>
  <si>
    <t>11.09.P2-4.695-4.7_7</t>
  </si>
  <si>
    <t>11.09.P2-4.702-48_5</t>
  </si>
  <si>
    <t>11.09.P2-4.757-48_11</t>
  </si>
  <si>
    <t>11.09.P2-4.877-48_6</t>
  </si>
  <si>
    <t>VOG02614 [FUNC="sp|E1XT70|HMUD1_BPSAV 5-hmdU DNA kinase 1"] [TAG=Xp TAGDEF="Virus protein with function beneficial for the virus"]</t>
  </si>
  <si>
    <t>Adenylate kinase n=1 Tax=Caulobacter phage Cr30 TaxID=1357714 RepID=A0A067XQA4_9CAUD</t>
  </si>
  <si>
    <t>11.09.P2-4.877-48_9</t>
  </si>
  <si>
    <t>Amino acid:DNA transferase domain-containing protein n=1 Tax=Erwinia phage vB_EamM-Bue1 TaxID=2099338 RepID=A0A2P1JUH5_9CAUD</t>
  </si>
  <si>
    <t>11.09.P2-4.929-22_10</t>
  </si>
  <si>
    <t>11.09.P2-4.929-22_3</t>
  </si>
  <si>
    <t>Hedgehog/Intein (Hint) domain-containing protein n=1 Tax=Thioalkalivibrio sp. (strain K90mix) TaxID=396595 RepID=D3SGP0_THISK</t>
  </si>
  <si>
    <t>11.09.P2-5.186-4.6_4</t>
  </si>
  <si>
    <t>VOG25983 [FUNC="sp|Q6XQ97|SPANU_BPT1 U-spanin"] [TAG=Xh TAGDEF="Virus protein with function beneficial for the host"]</t>
  </si>
  <si>
    <t>Gp22 n=1 Tax=Siovirus americense TaxID=136084 RepID=Q9G0G4_9CAUD</t>
  </si>
  <si>
    <t>11.09.P2-5.186-4.6_9</t>
  </si>
  <si>
    <t>sp|P07719|V17_BPT3 Gene 1.7 protein OS=Enterobacteria phage T3 OX=10759 GN=1.7 PE=4 SV=1</t>
  </si>
  <si>
    <t>DUF3310 domain-containing protein n=1 Tax=Roseobacter phage CRP-9 TaxID=2813174 RepID=A0A8E5BCW9_9CAUD</t>
  </si>
  <si>
    <t>11.09.P2-5.328-22_3</t>
  </si>
  <si>
    <t>11.09.P2-5.821-17_2</t>
  </si>
  <si>
    <t>11.09.P2-5.821-17_7</t>
  </si>
  <si>
    <t>11.09.P2-5.979-8.2_2</t>
  </si>
  <si>
    <t>VOG00454 [FUNC="REFSEQ hypothetical protein"] [TAG=Xu TAGDEF="Function unknown"]</t>
  </si>
  <si>
    <t>11.09.P2-5.979-8.2_5</t>
  </si>
  <si>
    <t>11.09.P2-6.233-4.5_4</t>
  </si>
  <si>
    <t>Baseplate tail tube cap protein n=1 Tax=Stenotrophomonas phage vB_SmaS-DLP_6 TaxID=1651816 RepID=A0A142EZQ7_9CAUD</t>
  </si>
  <si>
    <t>11.09.P2-6.233-4.5_5</t>
  </si>
  <si>
    <t>Baseplate wedge subunit n=4 Tax=Emdodecavirus TaxID=1980937 RepID=S5MCY8_9CAUD</t>
  </si>
  <si>
    <t>11.09.P2-6.233-4.5_7</t>
  </si>
  <si>
    <t>Baseplate hub subunit and tail lysozyme n=1 Tax=Ochrobactrum phage vB_OspM_OC TaxID=2712956 RepID=A0A6G6XWX7_9CAUD</t>
  </si>
  <si>
    <t>11.09.P2-7.063-16_1</t>
  </si>
  <si>
    <t>VOG04034 [FUNC="sp|P11112|COMPL_BPT4 Tail completion protein gp15"] [TAG=Xh TAGDEF="Virus protein with function beneficial for the host"]</t>
  </si>
  <si>
    <t>Tail sheath stabilizer and completion protein n=1 Tax=Xanthomonas phage XacN1 TaxID=2042251 RepID=A0A292GIU6_9CAUD</t>
  </si>
  <si>
    <t>11.09.P2-7.063-16_15</t>
  </si>
  <si>
    <t>Head completion nuclease n=1 Tax=Stenotrophomonas phage vB_SmaS-DLP_6 TaxID=1651816 RepID=A0A142EZX2_9CAUD</t>
  </si>
  <si>
    <t>11.09.P2-7.195-49_7</t>
  </si>
  <si>
    <t>11.09.P2-8.389-15_10</t>
  </si>
  <si>
    <t>Baseplate wedge protein n=1 Tax=Muricauda sp. TMED12 TaxID=1986608 RepID=A0A3S5JBU9_9FLAO</t>
  </si>
  <si>
    <t>11.09.P2-8.592-23_12</t>
  </si>
  <si>
    <t>11.09.P2-8.592-23_15</t>
  </si>
  <si>
    <t>sp|Q57X81|JBP2_TRYB2 Bifunctional helicase and thymine dioxygenase JBP2 OS=Trypanosoma brucei brucei (strain 927/4 GUTat10.1) OX=185431 GN=JBP2 PE=1 SV=1</t>
  </si>
  <si>
    <t>11.09.P2-8.592-23_17</t>
  </si>
  <si>
    <t>Amino acid:DNA transferase domain-containing protein n=2 Tax=unclassified Ackermannviridae TaxID=2175602 RepID=A0A2I7RZ12_9CAUD</t>
  </si>
  <si>
    <t>11.09.P2-8.592-23_3</t>
  </si>
  <si>
    <t>11.09.P2-8.592-23_6</t>
  </si>
  <si>
    <t>11.09.P2-8.592-23_8</t>
  </si>
  <si>
    <t>11.09.P2-8.963-47_16</t>
  </si>
  <si>
    <t>11.09.P2-9.198-18_10</t>
  </si>
  <si>
    <t>Uncharacterized protein n=1 Tax=Acinetobacter bohemicus ANC 3994 TaxID=1217715 RepID=N8Q9R2_9GAMM</t>
  </si>
  <si>
    <t>11.09.P2-9.198-18_11</t>
  </si>
  <si>
    <t>Tail fiber protein n=1 Tax=Horticoccus luteus TaxID=2862869 RepID=A0A8F9TUD9_9BACT</t>
  </si>
  <si>
    <t>11.09.P2-9.198-18_7</t>
  </si>
  <si>
    <t>11.09.P2-9.198-18_8</t>
  </si>
  <si>
    <t>11.09.P2-9.198-18_9</t>
  </si>
  <si>
    <t>DUF1983 domain-containing protein n=1 Tax=Brevundimonas sp. SGAir0440 TaxID=2579977 RepID=A0A4P8QB90_9CAUL</t>
  </si>
  <si>
    <t>11.09.P2-9.720-31_1</t>
  </si>
  <si>
    <t>Structural maintenance of chromosomes protein n=1 Tax=Myoviridae sp. ctPuP5 TaxID=2823543 RepID=A0A8S5L9N7_9CAUD</t>
  </si>
  <si>
    <t>11.09.P2-9.720-31_11</t>
  </si>
  <si>
    <t>Uncharacterized protein n=1 Tax=Xanthomonas phage Xoo-sp13 TaxID=2591401 RepID=A0A7D0GRR5_9CAUD</t>
  </si>
  <si>
    <t>11.09.P2-9.720-31_12</t>
  </si>
  <si>
    <t>N-acetylmuramoyl-L-alanine amidase n=1 Tax=Richelia sp. RM2_1_2 TaxID=2720436 RepID=A0A969SND8_9NOST</t>
  </si>
  <si>
    <t>11.09.P2-9.720-31_4</t>
  </si>
  <si>
    <t>11.09.P2-9.720-31_5</t>
  </si>
  <si>
    <t>11.09.P2-9.720-31_8</t>
  </si>
  <si>
    <t>11.09.P3-12.072-49_1</t>
  </si>
  <si>
    <t>Tail fiber protein n=1 Tax=Synechococcus phage S-N03 TaxID=2718943 RepID=A0A6G8R5H9_9CAUD</t>
  </si>
  <si>
    <t>11.09.P3-12.072-49_7</t>
  </si>
  <si>
    <t>11.09.P3-12.072-49_9</t>
  </si>
  <si>
    <t>Double jelly roll capsid protein n=1 Tax=Vibrio phage 1.020.O._10N.222.48.A2 TaxID=1881450 RepID=A0A2I7QKY3_9VIRU</t>
  </si>
  <si>
    <t>11.09.P3-15.399-15_16</t>
  </si>
  <si>
    <t>11.09.P3-15.399-15_2</t>
  </si>
  <si>
    <t>11.09.P3-15.399-15_3</t>
  </si>
  <si>
    <t>HNH endonuclease n=1 Tax=Rhodococcus cavernicola TaxID=2495913 RepID=A0A5A7SBA5_9NOCA</t>
  </si>
  <si>
    <t>11.09.P3-15.399-15_7</t>
  </si>
  <si>
    <t>VOG36111 [FUNC="REFSEQ hypothetical protein"] [TAG=Xu TAGDEF="Function unknown"]</t>
  </si>
  <si>
    <t>Minor tail protein n=4 Tax=Smoothievirus TaxID=1982557 RepID=A0A1B3AZT8_9CAUD</t>
  </si>
  <si>
    <t>11.09.P3-15.399-15_9</t>
  </si>
  <si>
    <t>11.09.P3-2.429-58_3</t>
  </si>
  <si>
    <t>Putative phage structural protein n=1 Tax=Puniceispirillum phage HMO-2011 TaxID=948071 RepID=S4S2S9_9CAUD</t>
  </si>
  <si>
    <t>11.09.P3-2.442-12_3</t>
  </si>
  <si>
    <t>11.09.P3-2.471-21_2</t>
  </si>
  <si>
    <t>HK97 gp10 family phage protein n=1 Tax=Hot spring virus BHS1 TaxID=2024351 RepID=A0A2U7P6D3_9VIRU</t>
  </si>
  <si>
    <t>11.09.P3-2.485-43_1</t>
  </si>
  <si>
    <t>VOG16033 [FUNC="REFSEQ hypothetical protein"] [TAG=Xu TAGDEF="Function unknown"]</t>
  </si>
  <si>
    <t>DUF806 family protein n=1 Tax=Nonlabens phage P12024S TaxID=1168478 RepID=I6S2E3_9CAUD</t>
  </si>
  <si>
    <t>11.09.P3-2.485-43_2</t>
  </si>
  <si>
    <t>VOG29399 [FUNC="REFSEQ hypothetical protein"] [TAG=Xu TAGDEF="Function unknown"]</t>
  </si>
  <si>
    <t>Uncharacterized protein n=1 Tax=Nonlabens phage P12024L TaxID=1168479 RepID=I6RTE2_9CAUD</t>
  </si>
  <si>
    <t>11.09.P3-2.485-43_3</t>
  </si>
  <si>
    <t>VOG13120 [FUNC="REFSEQ hypothetical protein"] [TAG=Xu TAGDEF="Function unknown"]</t>
  </si>
  <si>
    <t>Uncharacterized protein n=1 Tax=Nonlabens phage P12024S TaxID=1168478 RepID=I6S6P3_9CAUD</t>
  </si>
  <si>
    <t>11.09.P3-2.663-3.2_1</t>
  </si>
  <si>
    <t>Major capsid protein n=1 Tax=Bacillus phage YungSlug TaxID=2736257 RepID=A0A7D3UXB7_9CAUD</t>
  </si>
  <si>
    <t>11.09.P3-2.663-3.2_4</t>
  </si>
  <si>
    <t>VOG03091 [FUNC="sp|P85226|VPN2_BPPHE Putative major capsid protein"] [TAG=Xs TAGDEF="Virus structure"]</t>
  </si>
  <si>
    <t>Uncharacterized protein n=2 Tax=unclassified Okubovirus TaxID=2562460 RepID=A0A9Y1YU83_9CAUD</t>
  </si>
  <si>
    <t>11.09.P3-3.010-2.3_1</t>
  </si>
  <si>
    <t>Uncharacterized protein n=1 Tax=Aquisalinus luteolus TaxID=1566827 RepID=A0A8J3A3Q4_9PROT</t>
  </si>
  <si>
    <t>11.09.P3-3.010-2.3_4</t>
  </si>
  <si>
    <t>11.09.P3-3.081-2.6_2</t>
  </si>
  <si>
    <t>11.09.P3-3.306-1.5_1</t>
  </si>
  <si>
    <t>Uncharacterized protein n=1 Tax=Roseobacter phage CRP-4 TaxID=2559283 RepID=A0A646QW47_9CAUD</t>
  </si>
  <si>
    <t>11.09.P3-3.306-1.5_3</t>
  </si>
  <si>
    <t>11.09.P3-3.306-1.5_4</t>
  </si>
  <si>
    <t>11.09.P3-3.319-63_3</t>
  </si>
  <si>
    <t>2OGFeDO JBP1/TET oxygenase domain-containing protein n=1 Tax=Mimiviridae sp. ChoanoV1 TaxID=2596887 RepID=A0A5B8IEN0_9VIRU</t>
  </si>
  <si>
    <t>11.09.P3-3.319-63_5</t>
  </si>
  <si>
    <t>VOG00670 [FUNC="REFSEQ hypothetical protein"] [TAG=Xu TAGDEF="Function unknown"]</t>
  </si>
  <si>
    <t>Uncharacterized protein n=1 Tax=Pseudomonas fluorescens NCIMB 11764 TaxID=1221522 RepID=A0A0K1QLK4_PSEFL</t>
  </si>
  <si>
    <t>11.09.P3-3.616-5.9_3</t>
  </si>
  <si>
    <t>11.09.P3-3.616-5.9_6</t>
  </si>
  <si>
    <t>11.09.P3-3.678-2.5_2</t>
  </si>
  <si>
    <t>11.09.P3-3.678-2.5_3</t>
  </si>
  <si>
    <t>11.09.P3-4.035-43_4</t>
  </si>
  <si>
    <t>VOG00302 [FUNC="sp|P07693|ADOM_BPT3 S-Adenosylmethionine lyase"] [TAG=Xh TAGDEF="Virus protein with function beneficial for the host"]</t>
  </si>
  <si>
    <t>Phage protein n=1 Tax=Celeribacter phage P12053L TaxID=1197951 RepID=I6R0X6_9CAUD</t>
  </si>
  <si>
    <t>11.09.P3-5.335-18_10</t>
  </si>
  <si>
    <t>11.09.P3-5.335-18_7</t>
  </si>
  <si>
    <t>Major capsid protein VP54 n=1 Tax=Paramecium bursaria Chlorella virus CZ-2 TaxID=1278251 RepID=M1I2R0_9PHYC</t>
  </si>
  <si>
    <t>11.09.P3-7.645-41_2</t>
  </si>
  <si>
    <t>Peptidase S74 domain-containing protein n=1 Tax=Streptococcus phage PH10 TaxID=644007 RepID=C5J973_9CAUD</t>
  </si>
  <si>
    <t>11.09.P3-7.645-41_6</t>
  </si>
  <si>
    <t>11.09.P3-9.290-4.4_2</t>
  </si>
  <si>
    <t>11.09.P3-9.290-4.4_7</t>
  </si>
  <si>
    <t>S8 family serine peptidase n=1 Tax=Richelia sp. RM2_1_2 TaxID=2720436 RepID=A0A969MHT5_9NOST</t>
  </si>
  <si>
    <t>11.09.P3-9.290-4.4_8</t>
  </si>
  <si>
    <t>11.09.P4-14.055-4.5_10</t>
  </si>
  <si>
    <t>Deoxynucleotide monophosphate kinase n=1 Tax=Marinobacter nauticus TaxID=2743 RepID=A0A833N8Y2_MARNT</t>
  </si>
  <si>
    <t>11.09.P4-14.055-4.5_11</t>
  </si>
  <si>
    <t>VOG01611 [FUNC="sp|P17308|Y13B_BPT4 Uncharacterized 11.5 kDa protein in Gp31-cd intergenic region"] [TAG=Xu TAGDEF="Function unknown"]</t>
  </si>
  <si>
    <t>Uncharacterized protein 31.1 n=1 Tax=Enterobacter phage CC31 TaxID=709484 RepID=E5DHU7_9CAUD</t>
  </si>
  <si>
    <t>11.09.P4-14.055-4.5_18</t>
  </si>
  <si>
    <t>Uncharacterized protein n=2 Tax=Limnohabitans sp. 103DPR2 TaxID=1678129 RepID=A0A0P0MID7_9BURK</t>
  </si>
  <si>
    <t>11.09.P4-14.055-4.5_2</t>
  </si>
  <si>
    <t>VOG01178 [FUNC="REFSEQ hypothetical protein"] [TAG=Xu TAGDEF="Function unknown"]</t>
  </si>
  <si>
    <t>tRNA pseudouridine synthase D n=1 Tax=Lentibacter virus vB_LenP_ICBM2 TaxID=2301529 RepID=A0A411MQV8_9CAUD</t>
  </si>
  <si>
    <t>11.09.P4-14.055-4.5_3</t>
  </si>
  <si>
    <t>11.09.P4-14.055-4.5_6</t>
  </si>
  <si>
    <t>VOG05870 [FUNC="REFSEQ hypothetical protein"] [TAG=Xu TAGDEF="Function unknown"]</t>
  </si>
  <si>
    <t>SprT-like domain-containing protein n=2 Tax=Prochlorococcus phage P-SSM2 TaxID=268746 RepID=Q58MT0_BPPRM</t>
  </si>
  <si>
    <t>11.09.P4-14.613-5.8_14</t>
  </si>
  <si>
    <t>VOG01870 [FUNC="REFSEQ hypothetical protein"] [TAG=Xu TAGDEF="Function unknown"]</t>
  </si>
  <si>
    <t>11.09.P4-14.613-5.8_17</t>
  </si>
  <si>
    <t>Uncharacterized protein n=1 Tax=Pseudoduganella lutea TaxID=321985 RepID=A0A4V0Z4G2_9BURK</t>
  </si>
  <si>
    <t>11.09.P4-14.613-5.8_19</t>
  </si>
  <si>
    <t>11.09.P4-14.613-5.8_3</t>
  </si>
  <si>
    <t>Putative endonuclease n=1 Tax=Pseudomonas phage TC6 TaxID=2060947 RepID=A0A2H5BQD8_9CAUD</t>
  </si>
  <si>
    <t>11.09.P4-14.613-5.8_4</t>
  </si>
  <si>
    <t>Uncharacterized protein n=1 Tax=Rhizobium sp. BK376 TaxID=2512149 RepID=A0A4R3G281_9HYPH</t>
  </si>
  <si>
    <t>11.09.P4-14.613-5.8_5</t>
  </si>
  <si>
    <t>Uncharacterized protein (Fragment) n=1 Tax=Cyprideis torosa TaxID=163714 RepID=A0A7R8WIF5_9CRUS</t>
  </si>
  <si>
    <t>11.09.P4-14.613-5.8_6</t>
  </si>
  <si>
    <t>11.09.P4-14.613-5.8_7</t>
  </si>
  <si>
    <t>11.09.P4-14.613-5.8_9</t>
  </si>
  <si>
    <t>11.09.P4-15.476-7.9_13</t>
  </si>
  <si>
    <t>DUF4326 domain-containing protein n=1 Tax=Ralstonia phage RsoM2USA TaxID=2070027 RepID=A0A8D4GN50_9CAUD</t>
  </si>
  <si>
    <t>11.09.P4-15.476-7.9_16</t>
  </si>
  <si>
    <t>VOG25419 [FUNC="sp|A6VR16|DNLJ_ACTSZ DNA ligase"] [TAG=Xh TAGDEF="Virus protein with function beneficial for the host"]</t>
  </si>
  <si>
    <t>Uncharacterized protein n=1 Tax=Muricauda sp. TMED12 TaxID=1986608 RepID=A0A3R7TYR9_9FLAO</t>
  </si>
  <si>
    <t>11.09.P4-15.476-7.9_17</t>
  </si>
  <si>
    <t>Putative NAD synthetase n=1 Tax=Prochlorococcus phage P-TIM68 TaxID=1542477 RepID=A0A0K0KW02_9CAUD</t>
  </si>
  <si>
    <t>11.09.P4-15.476-7.9_18</t>
  </si>
  <si>
    <t>11.09.P4-15.476-7.9_20</t>
  </si>
  <si>
    <t>Glycosyltransferase n=1 Tax=Acetobacter pasteurianus NBRC 3278 TaxID=1226660 RepID=A0A401X8A1_ACEPA</t>
  </si>
  <si>
    <t>11.09.P4-15.476-7.9_3</t>
  </si>
  <si>
    <t>11.09.P4-15.476-7.9_5</t>
  </si>
  <si>
    <t>KOW domain-containing protein n=1 Tax=Muricauda sp. TMED12 TaxID=1986608 RepID=A0A3S5JBV6_9FLAO</t>
  </si>
  <si>
    <t>11.09.P4-15.476-7.9_7</t>
  </si>
  <si>
    <t>Carboxylesterase n=1 Tax=Niveispirillum cyanobacteriorum TaxID=1612173 RepID=A0A2K9NM89_9PROT</t>
  </si>
  <si>
    <t>11.09.P4-15.476-7.9_8</t>
  </si>
  <si>
    <t>Uncharacterized protein n=1 Tax=Roseobacter insulae TaxID=2859783 RepID=A0A9X1K0Y0_9RHOB</t>
  </si>
  <si>
    <t>11.09.P4-15.476-7.9_9</t>
  </si>
  <si>
    <t>sp|P04520|PRIM_BPT4 DNA primase OS=Enterobacteria phage T4 OX=10665 GN=61 PE=1 SV=1</t>
  </si>
  <si>
    <t>DNA primase n=1 Tax=Synechococcus phage S-SRM01 TaxID=2781608 RepID=A0A879R423_9CAUD</t>
  </si>
  <si>
    <t>11.09.P4-15.544-4.9_5</t>
  </si>
  <si>
    <t>11.09.P4-15.544-4.9_7</t>
  </si>
  <si>
    <t>11.09.P4-15.544-4.9_8</t>
  </si>
  <si>
    <t>11.09.P4-15.938-18_1</t>
  </si>
  <si>
    <t>Putative coat protein n=1 Tax=Roseobacter phage CRP-9 TaxID=2813174 RepID=A0A8E5BG21_9CAUD</t>
  </si>
  <si>
    <t>11.09.P4-15.938-18_10</t>
  </si>
  <si>
    <t>Uncharacterized protein n=1 Tax=Roseobacter phage CRP-9 TaxID=2813174 RepID=A0A8E5B9C4_9CAUD</t>
  </si>
  <si>
    <t>11.09.P4-15.938-18_11</t>
  </si>
  <si>
    <t>Phage tail lysozyme domain-containing protein n=1 Tax=Paracoccus sp. M683 TaxID=2594268 RepID=A0A553ALZ2_9RHOB</t>
  </si>
  <si>
    <t>11.09.P4-15.938-18_12</t>
  </si>
  <si>
    <t>Uncharacterized protein n=1 Tax=Roseobacter phage CRP-2 TaxID=2559281 RepID=A0A646QWX4_9CAUD</t>
  </si>
  <si>
    <t>11.09.P4-15.938-18_2</t>
  </si>
  <si>
    <t>sp|Q05272|VG59_BPML5 Gene 59 protein OS=Mycobacterium phage L5 OX=31757 GN=59 PE=4 SV=1</t>
  </si>
  <si>
    <t>PfWMP3_35 n=1 Tax=Wumptrevirus WMP3 TaxID=440250 RepID=A5HL29_9CAUD</t>
  </si>
  <si>
    <t>11.09.P4-15.938-18_3</t>
  </si>
  <si>
    <t>Uncharacterized protein n=1 Tax=Sinorhizobium phage phiM6 TaxID=2301527 RepID=A0A346HW40_9CAUD</t>
  </si>
  <si>
    <t>11.09.P4-15.938-18_4</t>
  </si>
  <si>
    <t>Tail tubular protein A n=1 Tax=Roseobacter phage CRP-9 TaxID=2813174 RepID=A0A8E5BCX4_9CAUD</t>
  </si>
  <si>
    <t>11.09.P4-15.938-18_5</t>
  </si>
  <si>
    <t>Putative structural protein n=1 Tax=Roseobacter phage CRP-2 TaxID=2559281 RepID=A0A646QVU1_9CAUD</t>
  </si>
  <si>
    <t>11.09.P4-15.938-18_7</t>
  </si>
  <si>
    <t>Intron associated endonuclease 1 n=1 Tax=Caudovirales sp. ctOwN3 TaxID=2656725 RepID=A0A5Q2W882_9CAUD</t>
  </si>
  <si>
    <t>11.09.P4-15.938-18_8</t>
  </si>
  <si>
    <t>VOG01625 [FUNC="REFSEQ hypothetical protein"] [TAG=Xu TAGDEF="Function unknown"]</t>
  </si>
  <si>
    <t>Uncharacterized protein n=1 Tax=Paenalcaligenes hominis TaxID=643674 RepID=A0A1U9JY83_9BURK</t>
  </si>
  <si>
    <t>11.09.P4-15.966-7.3_21</t>
  </si>
  <si>
    <t>11.09.P4-15.966-7.3_30</t>
  </si>
  <si>
    <t>11.09.P4-15.966-7.3_31</t>
  </si>
  <si>
    <t>11.09.P4-15.966-7.3_32</t>
  </si>
  <si>
    <t>11.09.P4-15.966-7.3_33</t>
  </si>
  <si>
    <t>Neck protein n=1 Tax=Pontimonas phage phiPsal1 TaxID=2079347 RepID=A0A2K9VGN2_9CAUD</t>
  </si>
  <si>
    <t>11.09.P4-15.966-7.3_36</t>
  </si>
  <si>
    <t>11.09.P4-19.072-23_10</t>
  </si>
  <si>
    <t>11.09.P4-19.072-23_11</t>
  </si>
  <si>
    <t>SAM-dependent methyltransferase n=1 Tax=Roseobacter phage CRP-6 TaxID=2559285 RepID=A0A646QWG1_9CAUD</t>
  </si>
  <si>
    <t>11.09.P4-19.072-23_16</t>
  </si>
  <si>
    <t>Uncharacterized protein n=1 Tax=Mesorhizobium phage vB_MloP_Lo5R7ANS TaxID=1527771 RepID=A0A076YL53_9CAUD</t>
  </si>
  <si>
    <t>11.09.P4-19.072-23_17</t>
  </si>
  <si>
    <t>Putative integration and excision endonuclease VII n=1 Tax=Synechococcus phage S-B28 TaxID=2545435 RepID=A0A482IEC4_9CAUD</t>
  </si>
  <si>
    <t>11.09.P4-19.072-23_19</t>
  </si>
  <si>
    <t>Tail fiber protein n=1 Tax=Roseobacter phage CRP-6 TaxID=2559285 RepID=A0A646QXP6_9CAUD</t>
  </si>
  <si>
    <t>11.09.P4-19.072-23_20</t>
  </si>
  <si>
    <t>Tail assembly chaperone protein n=1 Tax=Lentibacter virus vB_LenP_ICBM2 TaxID=2301529 RepID=A0A3G2YRR9_9CAUD</t>
  </si>
  <si>
    <t>11.09.P4-19.072-23_22</t>
  </si>
  <si>
    <t>VOG04221 [FUNC="REFSEQ endonuclease VII"] [TAG=Xu TAGDEF="Function unknown"]</t>
  </si>
  <si>
    <t>HNH nuclease domain-containing protein n=1 Tax=Prochlorococcus sp. MIT 0604 TaxID=1501268 RepID=A0A089P6E3_9CYAN</t>
  </si>
  <si>
    <t>11.09.P4-19.072-23_23</t>
  </si>
  <si>
    <t>11.09.P4-19.072-23_24</t>
  </si>
  <si>
    <t>Uncharacterized protein n=1 Tax=Bacteroides sp. CAG:633 TaxID=1262744 RepID=R6FHN0_9BACE</t>
  </si>
  <si>
    <t>11.09.P4-19.072-23_27</t>
  </si>
  <si>
    <t>11.09.P4-19.072-23_4</t>
  </si>
  <si>
    <t>11.09.P4-19.072-23_6</t>
  </si>
  <si>
    <t>Endodeoxyribonuclease n=1 Tax=Devosia sp. 66-22 TaxID=1895753 RepID=A0A1M3KSY4_9HYPH</t>
  </si>
  <si>
    <t>11.09.P4-19.981-12_1</t>
  </si>
  <si>
    <t>Uncharacterized protein n=1 Tax=Pontimonas salivibrio TaxID=1159327 RepID=A0A2L2BNK5_9MICO</t>
  </si>
  <si>
    <t>11.09.P4-19.981-12_33</t>
  </si>
  <si>
    <t>11.09.P4-19.981-12_35</t>
  </si>
  <si>
    <t>11.09.P4-19.981-12_43</t>
  </si>
  <si>
    <t>Beta-1,4-N-acetylgalactosaminyltransferase n=1 Tax=Selenomonas sp. mPRGC5 TaxID=2593411 RepID=A0A5D6W6I7_9FIRM</t>
  </si>
  <si>
    <t>11.09.P4-19.981-12_45</t>
  </si>
  <si>
    <t>11.09.P4-19.981-12_47</t>
  </si>
  <si>
    <t>11.09.P4-19.981-12_48</t>
  </si>
  <si>
    <t>Phage tail protein n=1 Tax=Streptomyces sp. SID13726 TaxID=2706058 RepID=A0A6B2XAQ2_9ACTN</t>
  </si>
  <si>
    <t>11.09.P4-19.981-12_52</t>
  </si>
  <si>
    <t>Uncharacterized protein n=1 Tax=Clavibacter michiganensis subsp. michiganensis TaxID=33013 RepID=A0A251XKI1_CLAMM</t>
  </si>
  <si>
    <t>11.09.P4-19.981-12_54</t>
  </si>
  <si>
    <t>Uncharacterized protein n=1 Tax=Nocardia africana TaxID=134964 RepID=A0A378WMV4_9NOCA</t>
  </si>
  <si>
    <t>11.09.P4-19.981-12_55</t>
  </si>
  <si>
    <t>3E1 protein n=1 Tax=Entamoeba histolytica TaxID=5759 RepID=O15822_ENTHI</t>
  </si>
  <si>
    <t>11.09.P4-2.455-1.8_1</t>
  </si>
  <si>
    <t>YHYH domain-containing protein n=1 Tax=Cyanophage P-SS1 TaxID=889957 RepID=M1PQV8_9CAUD</t>
  </si>
  <si>
    <t>11.09.P4-2.545-2.8_1</t>
  </si>
  <si>
    <t>DNA maturase B n=2 Tax=Aminobacter TaxID=31988 RepID=A0A562FP49_9HYPH</t>
  </si>
  <si>
    <t>11.09.P4-2.545-2.8_6</t>
  </si>
  <si>
    <t>11.09.P4-2.675-1.7_3</t>
  </si>
  <si>
    <t>LamG-like jellyroll fold domain-containing protein n=1 Tax=Synechococcus phage S-SKS1 TaxID=754042 RepID=M4QPH6_9CAUD</t>
  </si>
  <si>
    <t>11.09.P4-2.974-2.3_1</t>
  </si>
  <si>
    <t>Uncharacterized protein n=1 Tax=Richelia sp. RM2_1_2 TaxID=2720436 RepID=A0A969MCY7_9NOST</t>
  </si>
  <si>
    <t>11.09.P4-24.849-9.8_14</t>
  </si>
  <si>
    <t>sp|P87294|TCP4_SCHPO Putative RNA polymerase II transcriptional coactivator OS=Schizosaccharomyces pombe (strain 972 / ATCC 24843) OX=284812 GN=SPAC16A10.02 PE=1 SV=1</t>
  </si>
  <si>
    <t>VOG15563 [FUNC="REFSEQ transcriptional regulator"] [TAG=Xu TAGDEF="Function unknown"]</t>
  </si>
  <si>
    <t>Transcriptional coactivator p15 (PC4) C-terminal domain-containing protein n=1 Tax=Providencia phage PSTCR5 TaxID=2783547 RepID=A0A873WQ32_9CAUD</t>
  </si>
  <si>
    <t>11.09.P4-24.849-9.8_16</t>
  </si>
  <si>
    <t>sp|Q6QGG9|D5_BPT5 Putative transcription factor D5 OS=Escherichia phage T5 OX=2695836 GN=D5 PE=1 SV=1</t>
  </si>
  <si>
    <t>VOG00019 [FUNC="sp|Q6QGG9|D5_BPT5 Putative transcription factor D5"] [TAG=Xu TAGDEF="Function unknown"]</t>
  </si>
  <si>
    <t>Putative transcription factor n=1 Tax=Pantoea phage vB_PagS_AAS21 TaxID=2575261 RepID=A0A4Y5P1E7_9CAUD</t>
  </si>
  <si>
    <t>11.09.P4-24.849-9.8_18</t>
  </si>
  <si>
    <t>VOG06535 [FUNC="REFSEQ helicase"] [TAG=Xu TAGDEF="Function unknown"]</t>
  </si>
  <si>
    <t>D2 protein n=1 Tax=Klebsiella phage vB_KppS-Storm TaxID=2762828 RepID=A0A7R8R6Y5_9CAUD</t>
  </si>
  <si>
    <t>11.09.P4-24.849-9.8_28</t>
  </si>
  <si>
    <t>Putative ssDNA binding protein n=1 Tax=Pantoea phage vB_PagS_AAS21 TaxID=2575261 RepID=A0A4Y5P1F0_9CAUD</t>
  </si>
  <si>
    <t>11.09.P4-3.007-3.9_3</t>
  </si>
  <si>
    <t>sp|A0A385DVC3|RING4_BPCA1 Ring protein 4/5 OS=Bacteroides phage crAss001 OX=2301731 GN=crAss001_34 PE=1 SV=1</t>
  </si>
  <si>
    <t>VOG00766 [FUNC="sp|A0A385DVC3|RING4_BPCA1 Ring protein 4/5"] [TAG=Xs TAGDEF="Virus structure"]</t>
  </si>
  <si>
    <t>Ring protein 4/5 n=1 Tax=Bacteroides phage crAss001 TaxID=2301731 RepID=RING4_BPCA1</t>
  </si>
  <si>
    <t>11.09.P4-3.007-3.9_4</t>
  </si>
  <si>
    <t>sp|A0A385DV73|RING3_BPCA1 Ring protein 3 OS=Bacteroides phage crAss001 OX=2301731 GN=crAss001_35 PE=1 SV=1</t>
  </si>
  <si>
    <t>Uncharacterized protein n=1 Tax=CrAss-like virus sp. ct3KQ27 TaxID=2825834 RepID=A0A8S5TT23_9CAUD</t>
  </si>
  <si>
    <t>11.09.P4-3.013-2.2_2</t>
  </si>
  <si>
    <t>Helix-turn-helix n=1 Tax=Nitrosovibrio sp. Nv4 TaxID=1945880 RepID=A0A286C4P8_9PROT</t>
  </si>
  <si>
    <t>11.09.P4-3.013-2.2_4</t>
  </si>
  <si>
    <t>DUF3293 domain-containing protein n=1 Tax=Paraburkholderia sp. PGU19 TaxID=2735434 RepID=A0A7I8CNG0_9BURK</t>
  </si>
  <si>
    <t>11.09.P4-3.073-2.0_5</t>
  </si>
  <si>
    <t>Uncharacterized protein n=1 Tax=Freshwater phage uvFW-CGR-AMD-COM-C493 TaxID=1838157 RepID=A0A1B0XUK5_9CAUD</t>
  </si>
  <si>
    <t>11.09.P4-3.073-2.0_6</t>
  </si>
  <si>
    <t>VOG26123 [FUNC="REFSEQ hypothetical protein"] [TAG=Xu TAGDEF="Function unknown"]</t>
  </si>
  <si>
    <t>Minor tail protein n=4 Tax=Immanueltrevirus TaxID=2842757 RepID=A0A9E7QBP2_9CAUD</t>
  </si>
  <si>
    <t>11.09.P4-3.245-3.4_10</t>
  </si>
  <si>
    <t>Uncharacterized protein n=1 Tax=Freshwater phage uvFW-CGR-AMD-COM-C203 TaxID=1838151 RepID=A0A1B0XTM0_9CAUD</t>
  </si>
  <si>
    <t>11.09.P4-3.245-3.4_13</t>
  </si>
  <si>
    <t>11.09.P4-3.245-3.4_9</t>
  </si>
  <si>
    <t>Peptidase S74 domain-containing protein n=1 Tax=Streptomyces phage Leviticus TaxID=2593357 RepID=A0A514U390_9CAUD</t>
  </si>
  <si>
    <t>11.09.P4-3.520-2.4_4</t>
  </si>
  <si>
    <t>VOG01654 [FUNC="REFSEQ hypothetical protein"] [TAG=Xu TAGDEF="Function unknown"]</t>
  </si>
  <si>
    <t>Uncharacterized protein n=2 Tax=Emdodecavirus TaxID=1980937 RepID=S5MBV5_9CAUD</t>
  </si>
  <si>
    <t>11.09.P4-3.520-2.4_5</t>
  </si>
  <si>
    <t>VOG00550 [FUNC="REFSEQ hypothetical protein"] [TAG=Xu TAGDEF="Function unknown"]</t>
  </si>
  <si>
    <t>Uncharacterized protein n=1 Tax=Sinorhizobium phage phiN3 TaxID=1647405 RepID=A0A0F6SJ63_9CAUD</t>
  </si>
  <si>
    <t>11.09.P4-3.520-2.4_6</t>
  </si>
  <si>
    <t>CMP/dCMP-type deaminase domain-containing protein n=1 Tax=Aeromonas phage vB_AceP_PAc TaxID=2996154 RepID=A0A9E9M1E0_9CAUD</t>
  </si>
  <si>
    <t>11.09.P4-3.547-1.7_3</t>
  </si>
  <si>
    <t>VOG03821 [FUNC="REFSEQ tail fiber protein"] [TAG=Xu TAGDEF="Function unknown"]</t>
  </si>
  <si>
    <t>Coil containing protein n=1 Tax=Vibrio phage 1.214.O._10N.222.54.F11 TaxID=1881264 RepID=A0A2I7RQH6_9CAUD</t>
  </si>
  <si>
    <t>11.09.P4-3.944-2.2_1</t>
  </si>
  <si>
    <t>Terminase large subunit n=1 Tax=Freshwater phage uvFW-CGR-AMD-COM-C449 TaxID=1838155 RepID=A0A1B0XUA3_9CAUD</t>
  </si>
  <si>
    <t>11.09.P4-3.944-2.2_2</t>
  </si>
  <si>
    <t>Portal protein n=1 Tax=Freshwater phage uvFW-CGR-AMD-COM-C493 TaxID=1838157 RepID=A0A1B0XUH1_9CAUD</t>
  </si>
  <si>
    <t>11.09.P4-4.358-3.0_5</t>
  </si>
  <si>
    <t>11.09.P4-4.367-4.3_1</t>
  </si>
  <si>
    <t>11.09.P4-4.367-4.3_3</t>
  </si>
  <si>
    <t>11.09.P4-4.367-4.3_5</t>
  </si>
  <si>
    <t>11.09.P4-4.393-3.0_1</t>
  </si>
  <si>
    <t>11.09.P4-4.393-3.0_2</t>
  </si>
  <si>
    <t>RICIN domain-containing protein n=1 Tax=Luteolibacter yonseiensis TaxID=1144680 RepID=A0A934R590_9BACT</t>
  </si>
  <si>
    <t>11.09.P4-4.503-16_3</t>
  </si>
  <si>
    <t>sp|Q9G050|REP_BPPHM Replication-associated protein VP4 OS=Bdellovibrio phage phiMH2K OX=145579 GN=ORF4 PE=3 SV=1</t>
  </si>
  <si>
    <t>VOG02575 [FUNC="sp|Q8QL45|Y117_SIRV1 Uncharacterized protein 117"] [TAG=Xu TAGDEF="Function unknown"]</t>
  </si>
  <si>
    <t>Replication initiator protein n=1 Tax=Apis mellifera associated microvirus 43 TaxID=2494773 RepID=A0A3S8UUF4_9VIRU</t>
  </si>
  <si>
    <t>11.09.P4-4.503-16_4</t>
  </si>
  <si>
    <t>sp|Q9G059|CAPSD_BPPHM Capsid protein VP1 OS=Bdellovibrio phage phiMH2K OX=145579 GN=ORF1 PE=3 SV=1</t>
  </si>
  <si>
    <t>VOG01890 [FUNC="sp|P11333|CAPSD_SPV4 Capsid protein VP1"] [TAG=Xs TAGDEF="Virus structure"]</t>
  </si>
  <si>
    <t>Major capsid protein n=1 Tax=robinz microvirus RP_56 TaxID=2886448 RepID=A0A8K1UFI7_9VIRU</t>
  </si>
  <si>
    <t>11.09.P4-4.612-7.8_1</t>
  </si>
  <si>
    <t>DUF1983 domain-containing protein n=1 Tax=Tritonibacter mobilis TaxID=379347 RepID=A0A1H2VE67_9RHOB</t>
  </si>
  <si>
    <t>11.09.P4-4.612-7.8_10</t>
  </si>
  <si>
    <t>sp|P03781|NUCK_BPT7 Nucleotide kinase gp1.7 OS=Escherichia phage T7 OX=10760 GN=1.7 PE=1 SV=1</t>
  </si>
  <si>
    <t>11.09.P4-4.612-7.8_2</t>
  </si>
  <si>
    <t>VOG00281 [FUNC="REFSEQ tail fiber protein"] [TAG=Xu TAGDEF="Function unknown"]</t>
  </si>
  <si>
    <t>Phage tail protein n=1 Tax=Phormidium sp. SL48-SHIP TaxID=2518363 RepID=A0A522X7A6_9CYAN</t>
  </si>
  <si>
    <t>11.09.P4-4.612-7.8_3</t>
  </si>
  <si>
    <t>11.09.P4-4.612-7.8_4</t>
  </si>
  <si>
    <t>11.09.P4-4.612-7.8_6</t>
  </si>
  <si>
    <t>11.09.P4-4.741-2.0_2</t>
  </si>
  <si>
    <t>Uncharacterized protein n=1 Tax=Nonlabens phage P12024L TaxID=1168479 RepID=I6S2J9_9CAUD</t>
  </si>
  <si>
    <t>11.09.P4-4.741-2.0_4</t>
  </si>
  <si>
    <t>11.09.P4-4.741-2.0_5</t>
  </si>
  <si>
    <t>11.09.P4-4.741-2.0_6</t>
  </si>
  <si>
    <t>11.09.P4-4.801-2.4_6</t>
  </si>
  <si>
    <t>Gp13.5 n=1 Tax=Escherichia phage EcoDS1 TaxID=532075 RepID=B3VCW6_9CAUD</t>
  </si>
  <si>
    <t>11.09.P4-6.347-3.6_5</t>
  </si>
  <si>
    <t>HNH endonuclease n=1 Tax=Gordonia phage WilliamBoone TaxID=2507857 RepID=A0A410TC87_9CAUD</t>
  </si>
  <si>
    <t>11.09.P4-6.664-4.2_1</t>
  </si>
  <si>
    <t>Uncharacterized protein n=1 Tax=Paracoccus versutus TaxID=34007 RepID=A0A369U6D6_PARVE</t>
  </si>
  <si>
    <t>11.09.P4-6.664-4.2_5</t>
  </si>
  <si>
    <t>Putative structural protein n=1 Tax=Roseobacter phage CRP-9 TaxID=2813174 RepID=A0A8E5BEZ5_9CAUD</t>
  </si>
  <si>
    <t>11.09.P4-6.664-4.2_6</t>
  </si>
  <si>
    <t>Putative tail fiber protein n=1 Tax=Roseobacter phage CRP-13 TaxID=2813173 RepID=A0A8E5B9I0_9CAUD</t>
  </si>
  <si>
    <t>11.09.P4-7.032-3.4_3</t>
  </si>
  <si>
    <t>Putative A1 protein n=2 Tax=Incheonvirus TaxID=2976977 RepID=A0A0F7IKJ4_9CAUD</t>
  </si>
  <si>
    <t>11.09.P4-7.032-3.4_4</t>
  </si>
  <si>
    <t>Putative A1 protein n=1 Tax=Xanthomonas phage Xoo-sp13 TaxID=2591401 RepID=A0A7D0KXQ7_9CAUD</t>
  </si>
  <si>
    <t>11.09.P4-7.526-6.0_12</t>
  </si>
  <si>
    <t>sp|P06018|MOM_BPMU Methylcarbamoylase mom OS=Escherichia phage Mu OX=2681603 GN=mom PE=1 SV=1</t>
  </si>
  <si>
    <t>VOG04590 [FUNC="sp|P06018|MOM_BPMU Methylcarbamoylase mom"] [TAG=Xh TAGDEF="Virus protein with function beneficial for the host"]</t>
  </si>
  <si>
    <t>Helicase ATP-binding domain-containing protein n=1 Tax=Mesorhizobium sp. B2-8-9 TaxID=2589899 RepID=A0A502TMT3_9HYPH</t>
  </si>
  <si>
    <t>11.09.P4-7.526-6.0_9</t>
  </si>
  <si>
    <t>11.09.P4-7.750-6.7_4</t>
  </si>
  <si>
    <t>11.09.P4-7.750-6.7_6</t>
  </si>
  <si>
    <t>11.09.P4-7.960-11_9</t>
  </si>
  <si>
    <t>11.09.P4-8.195-3.6_3</t>
  </si>
  <si>
    <t>HNH endonuclease n=1 Tax=Pseudomonas phage PAK_P4 TaxID=1327966 RepID=V5JX98_9CAUD</t>
  </si>
  <si>
    <t>11.09.P4-8.195-3.6_8</t>
  </si>
  <si>
    <t>11.09.P4-9.128-2.8_11</t>
  </si>
  <si>
    <t>VOG01122 [FUNC="REFSEQ tail fiber protein"] [TAG=Xu TAGDEF="Function unknown"]</t>
  </si>
  <si>
    <t>11.09.P4-9.128-2.8_13</t>
  </si>
  <si>
    <t>VOG17323 [FUNC="REFSEQ hypothetical protein"] [TAG=Xu TAGDEF="Function unknown"]</t>
  </si>
  <si>
    <t>Uncharacterized protein n=1 Tax=Kineobactrum salinum TaxID=2708301 RepID=A0A6C0U5S0_9GAMM</t>
  </si>
  <si>
    <t>11.09.P4-9.128-2.8_6</t>
  </si>
  <si>
    <t>11.09.P4-9.128-2.8_9</t>
  </si>
  <si>
    <t>11.09.P4-9.744-7.4_6</t>
  </si>
  <si>
    <t>17.05.P3-11.511-17_8</t>
  </si>
  <si>
    <t>17.05.P3-11.511-17_9</t>
  </si>
  <si>
    <t>17.05.P3-2.985-12_2</t>
  </si>
  <si>
    <t>Uncharacterized protein n=1 Tax=Tenacibaculum sp. MAR_2009_124 TaxID=1250059 RepID=A0A1H4Y1X5_9FLAO</t>
  </si>
  <si>
    <t>17.05.P3-2.985-12_3</t>
  </si>
  <si>
    <t>VOG18805 [FUNC="REFSEQ VirE N-domain protein"] [TAG=Xu TAGDEF="Function unknown"]</t>
  </si>
  <si>
    <t>VirE N-domain protein n=4 Tax=Helsingorvirus TaxID=1918017 RepID=S0A0F1_9CAUD</t>
  </si>
  <si>
    <t>17.05.P3-23.182-38_6</t>
  </si>
  <si>
    <t>VOG17695 [FUNC="REFSEQ virion structural protein"] [TAG=Xu TAGDEF="Function unknown"]</t>
  </si>
  <si>
    <t>Structural protein n=1 Tax=Podoviridae sp. ctQyH19 TaxID=2825249 RepID=A0A8S5UQU7_9CAUD</t>
  </si>
  <si>
    <t>17.05.P3-23.182-38_9</t>
  </si>
  <si>
    <t>Putative RNA polymerase n=1 Tax=Bacteroides phage crAss001 TaxID=2301731 RepID=A0A385DT98_BPCA1</t>
  </si>
  <si>
    <t>17.05.P3-3.905-7.7_2</t>
  </si>
  <si>
    <t>VOG05459 [FUNC="REFSEQ hypothetical protein"] [TAG=Xu TAGDEF="Function unknown"]</t>
  </si>
  <si>
    <t>Uncharacterized protein n=2 Tax=unclassified Asteriusvirus TaxID=2562455 RepID=A0A9E9ABA5_9CAUD</t>
  </si>
  <si>
    <t>17.05.P3-3.905-7.7_3</t>
  </si>
  <si>
    <t>VOG30479 [FUNC="REFSEQ hypothetical protein"] [TAG=Xu TAGDEF="Function unknown"]</t>
  </si>
  <si>
    <t>Uncharacterized protein n=2 Tax=Callevirus TaxID=2948648 RepID=S0A0Q6_9CAUD</t>
  </si>
  <si>
    <t>17.05.P3-3.971-4.9_2</t>
  </si>
  <si>
    <t>Putative HNH homing endonuclease n=1 Tax=Erwinia phage pEa_SNUABM_12 TaxID=2768773 RepID=A0A7L8ZM65_9CAUD</t>
  </si>
  <si>
    <t>17.05.P3-4.761-6.3_1</t>
  </si>
  <si>
    <t>YprB ribonuclease H-like domain-containing protein n=1 Tax=Ralstonia phage RSB3 TaxID=1402875 RepID=U3TJZ9_9CAUD</t>
  </si>
  <si>
    <t>17.05.P3-4.761-6.3_5</t>
  </si>
  <si>
    <t>HNH endonuclease n=1 Tax=Virus NIOZ-UU157 TaxID=2763269 RepID=A0A7S9SUC2_9VIRU</t>
  </si>
  <si>
    <t>17.05.P3-4.761-6.3_8</t>
  </si>
  <si>
    <t>17.05.P3-4.773-8.9_2</t>
  </si>
  <si>
    <t>Single-stranded DNA-binding protein n=1 Tax=Rhizobium phage RHph_N3_19 TaxID=2509746 RepID=A0A7S5UW93_9CAUD</t>
  </si>
  <si>
    <t>17.05.P3-4.773-8.9_4</t>
  </si>
  <si>
    <t>Putative Cas4-like protein n=1 Tax=Sinorhizobium phage phiM6 TaxID=2301527 RepID=A0A346HW81_9CAUD</t>
  </si>
  <si>
    <t>17.05.P3-4.773-8.9_5</t>
  </si>
  <si>
    <t>Putative endonuclease n=1 Tax=Sinorhizobium phage phiM6 TaxID=2301527 RepID=A0A346HW80_9CAUD</t>
  </si>
  <si>
    <t>17.05.P3-4.773-8.9_6</t>
  </si>
  <si>
    <t>Calcineurin-like phosphoesterase domain-containing protein n=1 Tax=Rhodovulum sulfidophilum TaxID=35806 RepID=A0A2W5N324_RHOSU</t>
  </si>
  <si>
    <t>17.05.P3-4.824-8.9_1</t>
  </si>
  <si>
    <t>Uncharacterized protein n=1 Tax=Salicola phage SCTP-2 TaxID=2015814 RepID=A0A248SJD0_9CAUD</t>
  </si>
  <si>
    <t>17.05.P3-9.502-32_2</t>
  </si>
  <si>
    <t>17.05.P3-9.502-32_3</t>
  </si>
  <si>
    <t>17.05.P3-9.502-32_4</t>
  </si>
  <si>
    <t>sp|A0A385DVS7|AUXCP_BPCA1 Auxiliary capsid protein OS=Bacteroides phage crAss001 OX=2301731 GN=crAss001_36 PE=1 SV=1</t>
  </si>
  <si>
    <t>VOG29060 [FUNC="sp|A0A385DVS7|AUXCP_BPCA1 Auxiliary capsid protein"] [TAG=Xs TAGDEF="Virus structure"]</t>
  </si>
  <si>
    <t>Auxiliary capsid protein n=1 Tax=Bacteroides phage crAss001 TaxID=2301731 RepID=AUXCP_BPCA1</t>
  </si>
  <si>
    <t>17.05.P3-9.502-32_8</t>
  </si>
  <si>
    <t>Tail fiber domain-containing protein n=1 Tax=Micavibrio aeruginosavorus TaxID=349221 RepID=A0A7T5R1G0_9BACT</t>
  </si>
  <si>
    <t>17.05.P4-3.041-3.6_4</t>
  </si>
  <si>
    <t>PD-(D/E)XK endonuclease-like domain-containing protein n=1 Tax=Pusillimonas sp. (ex Stolz et al. 2005) TaxID=1979962 RepID=A0A2D7XFA9_9BURK</t>
  </si>
  <si>
    <t>17.05.P4-3.041-3.6_5</t>
  </si>
  <si>
    <t>Glycosyltransferase n=1 Tax=Dictyoglomus turgidum TaxID=513050 RepID=A0A7C3WVB9_9BACT</t>
  </si>
  <si>
    <t>17.05.P4-3.235-27_1</t>
  </si>
  <si>
    <t>Phage tail protein n=1 Tax=Gemmata obscuriglobus TaxID=114 RepID=A0A2Z3GNS8_9BACT</t>
  </si>
  <si>
    <t>17.05.P4-3.235-27_2</t>
  </si>
  <si>
    <t>Uncharacterized protein n=1 Tax=Massilia polaris TaxID=2728846 RepID=A0A848HKS9_9BURK</t>
  </si>
  <si>
    <t>17.05.P4-3.235-27_3</t>
  </si>
  <si>
    <t>17.05.P4-3.235-27_4</t>
  </si>
  <si>
    <t>VOG02492 [FUNC="REFSEQ head-tail adaptor Ad1"] [TAG=Xu TAGDEF="Function unknown"]</t>
  </si>
  <si>
    <t>Putative DnaT-like domain-containing protein n=2 Tax=unclassified Caudoviricetes TaxID=2788787 RepID=A0A7L8ZKV7_9CAUD</t>
  </si>
  <si>
    <t>17.05.P4-3.590-5.6_2</t>
  </si>
  <si>
    <t>Uncharacterized protein n=1 Tax=Streptosporangium carneum TaxID=47481 RepID=A0A9W6MB15_9ACTN</t>
  </si>
  <si>
    <t>17.05.P4-3.590-5.6_3</t>
  </si>
  <si>
    <t>17.05.P4-3.590-5.6_4</t>
  </si>
  <si>
    <t>17.05.P4-3.590-5.6_5</t>
  </si>
  <si>
    <t>17.05.P4-3.590-5.6_6</t>
  </si>
  <si>
    <t>HK97 gp10 family phage protein n=1 Tax=Paracandidimonas soli TaxID=1917182 RepID=A0A4R3ULS0_9BURK</t>
  </si>
  <si>
    <t>17.05.P4-3.682-3.2_1</t>
  </si>
  <si>
    <t>VOG33204 [FUNC="REFSEQ peptidoglycan-associated protein-like protein"] [TAG=Xu TAGDEF="Function unknown"]</t>
  </si>
  <si>
    <t>HU domain protein n=1 Tax=Podoviridae sp. ctU7u6 TaxID=2825252 RepID=A0A8S5PAD9_9CAUD</t>
  </si>
  <si>
    <t>17.05.P4-3.682-3.2_5</t>
  </si>
  <si>
    <t>VOG02404 [FUNC="sp|A0A385DT87|RING2_BPCA1 Ring protein 2"] [TAG=Xs TAGDEF="Virus structure"]</t>
  </si>
  <si>
    <t>Uncharacterized protein n=1 Tax=Richelia sp. RM2_1_2 TaxID=2720436 RepID=A0A969MPP7_9NOST</t>
  </si>
  <si>
    <t>17.05.P4-6.277-10_2</t>
  </si>
  <si>
    <t>VOG18619 [FUNC="REFSEQ virion structural protein"] [TAG=Xu TAGDEF="Function unknown"]</t>
  </si>
  <si>
    <t>Structural protein n=5 Tax=Lightbulbvirus TaxID=1918522 RepID=R9ZZC0_9CAUD</t>
  </si>
  <si>
    <t>17.05.P4-6.277-10_3</t>
  </si>
  <si>
    <t>VOG25286 [FUNC="REFSEQ structural protein"] [TAG=Xu TAGDEF="Function unknown"]</t>
  </si>
  <si>
    <t>Structural protein n=5 Tax=Lightbulbvirus TaxID=1918522 RepID=R9ZWX4_9CAUD</t>
  </si>
  <si>
    <t>17.05.P4-6.277-10_5</t>
  </si>
  <si>
    <t>L-Ala-D-Glu peptidase-like protein n=1 Tax=Tenacibaculum phage Gundel_1 TaxID=2745672 RepID=A0A8E5EA49_9CAUD</t>
  </si>
  <si>
    <t>17.05.P4-6.277-10_7</t>
  </si>
  <si>
    <t>AP2/ERF domain-containing protein n=1 Tax=Bacillus phage PBC2 TaxID=1675029 RepID=A0A218KC02_9CAUD</t>
  </si>
  <si>
    <t>17.05.P4-7.351-9.9_3</t>
  </si>
  <si>
    <t>DUF1565 domain-containing protein n=1 Tax=Polyangium spumosum TaxID=889282 RepID=A0A6N7Q1A8_9BACT</t>
  </si>
  <si>
    <t>17.05.P4-7.351-9.9_5</t>
  </si>
  <si>
    <t>Portal protein n=1 Tax=Richelia sp. RM2_1_2 TaxID=2720436 RepID=A0A969MDK6_9NOST</t>
  </si>
  <si>
    <t>17.05.P4-7.351-9.9_9</t>
  </si>
  <si>
    <t>Collagen-like protein n=1 Tax=Aquiluna borgnonia TaxID=2499157 RepID=A0A7D4TR62_9MICO</t>
  </si>
  <si>
    <t>17.05.P4-7.836-35_1</t>
  </si>
  <si>
    <t>Portal protein n=1 Tax=Anabaena phage A-4L TaxID=1357732 RepID=A0A059PYA9_9CAUD</t>
  </si>
  <si>
    <t>17.05.P4-7.836-35_4</t>
  </si>
  <si>
    <t>P22 coat protein-protein 5 domain protein n=1 Tax=Herpetosiphon aurantiacus (strain ATCC 23779 / DSM 785 / 114-95) TaxID=316274 RepID=A9AWQ4_HERA2</t>
  </si>
  <si>
    <t>17.05.P4-7.836-35_6</t>
  </si>
  <si>
    <t>17.05.P4-7.836-35_9</t>
  </si>
  <si>
    <t>17.05.P4-8.753-4.4_10</t>
  </si>
  <si>
    <t>17.05.P4-8.753-4.4_2</t>
  </si>
  <si>
    <t>DNA helicase n=1 Tax=Caulobacter phage Lullwater TaxID=2024607 RepID=A0A291LB23_9CAUD</t>
  </si>
  <si>
    <t>17.05.P4-8.753-4.4_5</t>
  </si>
  <si>
    <t>PD-(D/E)XK nuclease superfamily protein n=1 Tax=Nitrosospira multiformis TaxID=1231 RepID=A0A1H8IVL8_9PROT</t>
  </si>
  <si>
    <t>17.05.P4-8.753-4.4_7</t>
  </si>
  <si>
    <t>17.05.P4-9.635-21_10</t>
  </si>
  <si>
    <t>17.05.P4-9.635-21_3</t>
  </si>
  <si>
    <t>Prophage PSSB64-02, structural protein n=1 Tax=Pseudomonas sp. ES3-33 TaxID=1628833 RepID=A0A0D9A3X3_9PSED</t>
  </si>
  <si>
    <t>17.05.P4-9.635-21_5</t>
  </si>
  <si>
    <t>Uncharacterized protein n=1 Tax=Paraglaciecola Antarctic JLT virus 2 TaxID=2945131 RepID=A0A9E7E4J5_9VIRU</t>
  </si>
  <si>
    <t>17.05.P4-9.635-21_6</t>
  </si>
  <si>
    <t>P22 coat-protein 5 family protein n=1 Tax=Enterobacter roggenkampii TaxID=1812935 RepID=A0A837LDC5_9ENTR</t>
  </si>
  <si>
    <t>17.05.P4-9.635-21_8</t>
  </si>
  <si>
    <t>17.05.P4-9.635-21_9</t>
  </si>
  <si>
    <t>23.10.P2-2.475-6.3_1</t>
  </si>
  <si>
    <t>23.10.P2-2.723-10_3</t>
  </si>
  <si>
    <t>VOG02935 [FUNC="REFSEQ holin"] [TAG=Xu TAGDEF="Function unknown"]</t>
  </si>
  <si>
    <t>Holin of 3TMs, for gene-transfer release n=1 Tax=Nonlabens phage P12024L TaxID=1168479 RepID=I6S6S3_9CAUD</t>
  </si>
  <si>
    <t>23.10.P2-2.723-10_5</t>
  </si>
  <si>
    <t>sp|P69174|NING_BP933 Protein ninG OS=Escherichia phage 933W OX=10730 GN=ninG PE=3 SV=1</t>
  </si>
  <si>
    <t>VOG00101 [FUNC="sp|P03770|NING_LAMBD Protein ninG"] [TAG=Xu TAGDEF="Function unknown"]</t>
  </si>
  <si>
    <t>Recombinase n=2 Tax=Parabacteroides sp. CH2-D42-20 TaxID=2320086 RepID=A0A3L7ZGX5_9BACT</t>
  </si>
  <si>
    <t>23.10.P2-3.261-21_1</t>
  </si>
  <si>
    <t>VOG04283 [FUNC="REFSEQ hypothetical protein"] [TAG=Xu TAGDEF="Function unknown"]</t>
  </si>
  <si>
    <t>Uncharacterized protein n=1 Tax=Costertonia aggregata TaxID=343403 RepID=A0A7H9AS82_9FLAO</t>
  </si>
  <si>
    <t>23.10.P2-3.261-21_3</t>
  </si>
  <si>
    <t>Phage portal protein n=1 Tax=Costertonia aggregata TaxID=343403 RepID=A0A7H9ARM4_9FLAO</t>
  </si>
  <si>
    <t>23.10.P2-3.261-21_4</t>
  </si>
  <si>
    <t>23.10.P2-3.261-21_6</t>
  </si>
  <si>
    <t>23.10.P2-5.452-7.9_4</t>
  </si>
  <si>
    <t>VOG01797 [FUNC="REFSEQ hypothetical protein"] [TAG=Xu TAGDEF="Function unknown"]</t>
  </si>
  <si>
    <t>Putative endolysin n=1 Tax=Alteromonas phage ZP6 TaxID=2492447 RepID=A0A3S9U8G4_9CAUD</t>
  </si>
  <si>
    <t>23.10.P2-5.821-5.2_3</t>
  </si>
  <si>
    <t>Uncharacterized protein n=1 Tax=Thalassomonas phage BA3 TaxID=469660 RepID=A8HNV9_9CAUD</t>
  </si>
  <si>
    <t>23.10.P2-5.970-7.7_1</t>
  </si>
  <si>
    <t>23.10.P2-5.970-7.7_3</t>
  </si>
  <si>
    <t>23.10.P2-5.970-7.7_4</t>
  </si>
  <si>
    <t>Antirestriction protein ArdA n=1 Tax=Acinetobacter phage TaPaz TaxID=2834266 RepID=A0A8E7FXX5_9CAUD</t>
  </si>
  <si>
    <t>23.10.P2-8.520-7.4_1</t>
  </si>
  <si>
    <t>Portal protein n=3 Tax=Viruses TaxID=10239 RepID=M4SJW8_9CAUD</t>
  </si>
  <si>
    <t>23.10.P2-8.520-7.4_10</t>
  </si>
  <si>
    <t>VOG02105 [FUNC="sp|P04537|UVSY_BPT4 Recombination protein uvsY"] [TAG=Xr TAGDEF="Virus replication"]</t>
  </si>
  <si>
    <t>UvsY n=1 Tax=Sinorhizobium phage phiN3 TaxID=1647405 RepID=A0A0F6WCF0_9CAUD</t>
  </si>
  <si>
    <t>23.10.P2-8.520-7.4_11</t>
  </si>
  <si>
    <t>sp|P20703|UVSW_BPT4 ATP-dependent DNA helicase uvsW OS=Enterobacteria phage T4 OX=10665 GN=uvsW PE=1 SV=2</t>
  </si>
  <si>
    <t>Superfamily II DNA or RNA helicase n=1 Tax=Lake Baikal phage Baikal-20-5m-C28 TaxID=2047876 RepID=A0A2H4N7N6_9CAUD</t>
  </si>
  <si>
    <t>23.10.P2-8.520-7.4_4</t>
  </si>
  <si>
    <t>Prohead core scaffold and protease n=3 Tax=Ronodorvirus ssm4 TaxID=2845939 RepID=Q58LJ2_BPPRS</t>
  </si>
  <si>
    <t>23.10.P2-8.520-7.4_5</t>
  </si>
  <si>
    <t>sp|Q9ZXI1|SCAF_BPAR1 Capsid assembly scaffolding protein OS=Escherichia phage AR1 OX=66711 GN=22 PE=3 SV=1</t>
  </si>
  <si>
    <t>VOG04333 [FUNC="sp|Q9ZXI1|SCAF_BPAR1 Capsid assembly scaffolding protein"] [TAG=Xs TAGDEF="Virus structure"]</t>
  </si>
  <si>
    <t>Prohead core protein n=1 Tax=Pelagibacter phage HTVC008M TaxID=1283076 RepID=M1ICS4_9CAUD</t>
  </si>
  <si>
    <t>23.10.P2-8.520-7.4_6</t>
  </si>
  <si>
    <t>sp|P85989|CAPSD_BPSK9 Major capsid protein OS=Serratia phage KSP90 OX=552528 PE=1 SV=2</t>
  </si>
  <si>
    <t>Major capsid protein n=1 Tax=Synechococcus phage S-SCSM1 TaxID=2588487 RepID=A0A6M2ZHY3_9CAUD</t>
  </si>
  <si>
    <t>23.10.P2-8.520-7.4_9</t>
  </si>
  <si>
    <t>Putative tail tube protein n=1 Tax=Pelagibacter phage Mosig EXVC030M TaxID=2759214 RepID=A0A7S6ILF6_9CAUD</t>
  </si>
  <si>
    <t>23.10.P4-12.198-32_8</t>
  </si>
  <si>
    <t>23.10.P4-12.198-32_9</t>
  </si>
  <si>
    <t>VOG25814 [FUNC="REFSEQ hypothetical protein"] [TAG=Xu TAGDEF="Function unknown"]</t>
  </si>
  <si>
    <t>Polymerase nucleotidyl transferase domain-containing protein n=1 Tax=Richelia sp. RM2_1_2 TaxID=2720436 RepID=A0A969MFY6_9NOST</t>
  </si>
  <si>
    <t>23.10.P4-2.471-2.2_2</t>
  </si>
  <si>
    <t>VOG30277 [FUNC="REFSEQ tail protein"] [TAG=Xu TAGDEF="Function unknown"]</t>
  </si>
  <si>
    <t>Uncharacterized protein n=1 Tax=Salinivibrio phage CW02 TaxID=1161935 RepID=H9D1G9_9CAUD</t>
  </si>
  <si>
    <t>23.10.P4-2.472-2.0_1</t>
  </si>
  <si>
    <t>Portal protein n=1 Tax=Virus NIOZ-UU157 TaxID=2763269 RepID=A0A7S9XDN4_9VIRU</t>
  </si>
  <si>
    <t>23.10.P4-2.472-2.0_2</t>
  </si>
  <si>
    <t>VOG06387 [FUNC="REFSEQ structural protein"] [TAG=Xu TAGDEF="Function unknown"]</t>
  </si>
  <si>
    <t>Large polyvalent protein-associated domain-containing protein n=1 Tax=Pusillimonas sp. (ex Stolz et al. 2005) TaxID=1979962 RepID=A0A2D7XI95_9BURK</t>
  </si>
  <si>
    <t>23.10.P4-2.583-7.9_1</t>
  </si>
  <si>
    <t>23.10.P4-2.583-7.9_3</t>
  </si>
  <si>
    <t>Methyltransferase type 11 domain-containing protein n=1 Tax=Emiliania huxleyi TaxID=2903 RepID=R1DGT6_EMIHU</t>
  </si>
  <si>
    <t>23.10.P4-2.821-4.8_2</t>
  </si>
  <si>
    <t>VOG19732 [FUNC="REFSEQ virion structural protein"] [TAG=Xu TAGDEF="Function unknown"]</t>
  </si>
  <si>
    <t>Uncharacterized protein n=1 Tax=Pusillimonas sp. (ex Stolz et al. 2005) TaxID=1979962 RepID=A0A2D7XE79_9BURK</t>
  </si>
  <si>
    <t>23.10.P4-2.821-4.8_3</t>
  </si>
  <si>
    <t>VOG36818 [FUNC="REFSEQ hypothetical protein"] [TAG=Xu TAGDEF="Function unknown"]</t>
  </si>
  <si>
    <t>Uncharacterized protein n=1 Tax=Pusillimonas sp. (ex Stolz et al. 2005) TaxID=1979962 RepID=A0A2D7XC25_9BURK</t>
  </si>
  <si>
    <t>23.10.P4-2.821-4.8_4</t>
  </si>
  <si>
    <t>VOG13088 [FUNC="REFSEQ virion structural protein"] [TAG=Xu TAGDEF="Function unknown"]</t>
  </si>
  <si>
    <t>Structural protein n=2 Tax=Callevirus TaxID=2948648 RepID=S0A027_9CAUD</t>
  </si>
  <si>
    <t>23.10.P4-2.911-18_4</t>
  </si>
  <si>
    <t>Uncharacterized protein n=1 Tax=Salicola phage SCTP-2 TaxID=2015814 RepID=A0A248SKH4_9CAUD</t>
  </si>
  <si>
    <t>23.10.P4-2.975-8.4_1</t>
  </si>
  <si>
    <t>VOG21724 [FUNC="REFSEQ hypothetical protein"] [TAG=Xu TAGDEF="Function unknown"]</t>
  </si>
  <si>
    <t>Tumor necrosis factor-like domain protein n=2 Tax=unclassified Zobellviridae TaxID=2853025 RepID=A0A2I7QW32_9CAUD</t>
  </si>
  <si>
    <t>23.10.P4-3.023-4.0_2</t>
  </si>
  <si>
    <t>Terminase large subunit n=1 Tax=Cellulophaga phage phi14:2 TaxID=1327990 RepID=S0A426_9CAUD</t>
  </si>
  <si>
    <t>23.10.P4-3.241-13_1</t>
  </si>
  <si>
    <t>Terminase n=2 Tax=Aquimarina algiphila TaxID=2047982 RepID=A0A554VRK8_9FLAO</t>
  </si>
  <si>
    <t>23.10.P4-3.470-19_3</t>
  </si>
  <si>
    <t>23.10.P4-3.637-42_1</t>
  </si>
  <si>
    <t>Uncharacterized protein n=1 Tax=Richelia sp. RM2_1_2 TaxID=2720436 RepID=A0A969SV25_9NOST</t>
  </si>
  <si>
    <t>23.10.P4-4.134-1.9_1</t>
  </si>
  <si>
    <t>VOG32584 [FUNC="REFSEQ virion structural protein"] [TAG=Xu TAGDEF="Function unknown"]</t>
  </si>
  <si>
    <t>Minor structural protein n=1 Tax=Myoviridae sp. cts9u10 TaxID=2825187 RepID=A0A8S5NZ71_9CAUD</t>
  </si>
  <si>
    <t>23.10.P4-4.134-1.9_2</t>
  </si>
  <si>
    <t>VOG05380 [FUNC="REFSEQ virion structural protein"] [TAG=Xu TAGDEF="Function unknown"]</t>
  </si>
  <si>
    <t>Putative phage capsid protein n=1 Tax=Croceibacter phage P2559S TaxID=1176422 RepID=I6R1A2_9CAUD</t>
  </si>
  <si>
    <t>23.10.P4-4.134-1.9_3</t>
  </si>
  <si>
    <t>23.10.P4-4.134-1.9_4</t>
  </si>
  <si>
    <t>VOG31641 [FUNC="REFSEQ hypothetical protein"] [TAG=Xu TAGDEF="Function unknown"]</t>
  </si>
  <si>
    <t>Uncharacterized protein n=1 Tax=Croceibacter phage P2559S TaxID=1176422 RepID=I6S2M3_9CAUD</t>
  </si>
  <si>
    <t>23.10.P4-4.175-1.8_4</t>
  </si>
  <si>
    <t>VOG03112 [FUNC="REFSEQ hypothetical protein"] [TAG=Xu TAGDEF="Function unknown"]</t>
  </si>
  <si>
    <t>Uncharacterized protein n=1 Tax=Dinoroseobacter phage DFL12phi1 TaxID=1477404 RepID=A0A023NH77_9CAUD</t>
  </si>
  <si>
    <t>23.10.P4-4.175-1.8_5</t>
  </si>
  <si>
    <t>VOG33799 [FUNC="REFSEQ hypothetical protein"] [TAG=Xu TAGDEF="Function unknown"]</t>
  </si>
  <si>
    <t>Virion protein n=1 Tax=Dinoroseobacter phage DFL12phi1 TaxID=1477404 RepID=A0A023NGH3_9CAUD</t>
  </si>
  <si>
    <t>23.10.P4-4.175-1.8_6</t>
  </si>
  <si>
    <t>23.10.P4-4.701-3.3_1</t>
  </si>
  <si>
    <t>23.10.P4-4.701-3.3_4</t>
  </si>
  <si>
    <t>Putative portal protein n=1 Tax=Roseobacter phage CRP-4 TaxID=2559283 RepID=A0A646QW79_9CAUD</t>
  </si>
  <si>
    <t>23.10.P4-5.088-2.2_8</t>
  </si>
  <si>
    <t>VOG20833 [FUNC="REFSEQ hypothetical protein"] [TAG=Xu TAGDEF="Function unknown"]</t>
  </si>
  <si>
    <t>Uncharacterized protein n=2 Tax=unclassified Caudoviricetes TaxID=2788787 RepID=A0A5E3ZZU1_9CAUD</t>
  </si>
  <si>
    <t>23.10.P4-5.088-2.2_9</t>
  </si>
  <si>
    <t>VOG00385 [FUNC="sp|P17313|VG31_BPT4 Capsid assembly protein Gp31"] [TAG=Xh TAGDEF="Virus protein with function beneficial for the host"]</t>
  </si>
  <si>
    <t>Uncharacterized protein n=1 Tax=Xanthomonas phage XbC2 TaxID=2978503 RepID=A0A9X9JXR2_9CAUD</t>
  </si>
  <si>
    <t>23.10.P4-5.507-28_3</t>
  </si>
  <si>
    <t>Uncharacterized protein n=1 Tax=Pantanalinema sp. GBBB05 TaxID=2604139 RepID=A0A937JXZ9_9CYAN</t>
  </si>
  <si>
    <t>23.10.P4-5.507-28_4</t>
  </si>
  <si>
    <t>VOG00173 [FUNC="sp|P10930|FIB12_BPT4 Short tail fiber protein gp12"] [TAG=Xh TAGDEF="Virus protein with function beneficial for the host"]</t>
  </si>
  <si>
    <t>Putative tail protein n=1 Tax=Nitrincola phage 1M3-16 TaxID=1472912 RepID=A0A023NGU4_9CAUD</t>
  </si>
  <si>
    <t>23.10.P4-5.507-28_5</t>
  </si>
  <si>
    <t>Uncharacterized protein n=1 Tax=Xanthomarina gelatinilytica TaxID=1137281 RepID=A0A3D6BNX3_9FLAO</t>
  </si>
  <si>
    <t>23.10.P4-5.507-28_7</t>
  </si>
  <si>
    <t>Tail fiber-like protein n=1 Tax=Synechococcus phage S-B05 TaxID=2484637 RepID=A0A4Y5P180_9CAUD</t>
  </si>
  <si>
    <t>23.10.P4-5.867-18_4</t>
  </si>
  <si>
    <t>DUF4394 domain-containing protein n=1 Tax=Pusillimonas sp. (ex Stolz et al. 2005) TaxID=1979962 RepID=A0A2D7XF46_9BURK</t>
  </si>
  <si>
    <t>23.10.P4-6.086-5.9_2</t>
  </si>
  <si>
    <t>sp|P04524|SIGML_BPT4 RNA polymerase sigma-like factor OS=Enterobacteria phage T4 OX=10665 GN=55 PE=1 SV=1</t>
  </si>
  <si>
    <t>RNA polymerase sigma-like factor n=1 Tax=Synechococcus phage ACG-2014i TaxID=1493513 RepID=A0A0E3FGB4_9CAUD</t>
  </si>
  <si>
    <t>23.10.P4-6.086-5.9_3</t>
  </si>
  <si>
    <t>Metallophosphoesterase family protein n=1 Tax=Marine Group I thaumarchaeote TaxID=2511932 RepID=A0A7K4MPF0_9ARCH</t>
  </si>
  <si>
    <t>23.10.P4-6.086-5.9_4</t>
  </si>
  <si>
    <t>sp|P04522|EXO2_BPT4 Exonuclease subunit 2 OS=Enterobacteria phage T4 OX=10665 GN=46 PE=1 SV=2</t>
  </si>
  <si>
    <t>Recombination endonuclease subunit n=1 Tax=Synechococcus phage S-H9-2 TaxID=2783669 RepID=A0A873WT92_9CAUD</t>
  </si>
  <si>
    <t>23.10.P4-6.086-5.9_5</t>
  </si>
  <si>
    <t>sp|Q5UPQ1|YR762_MIMIV Uncharacterized protein R762 OS=Acanthamoeba polyphaga mimivirus OX=212035 GN=MIMI_R762 PE=4 SV=1</t>
  </si>
  <si>
    <t>VOG08564 [FUNC="sp|Q5UPQ1|YR762_MIMIV Uncharacterized protein R762"] [TAG=Xu TAGDEF="Function unknown"]</t>
  </si>
  <si>
    <t>Uncharacterized protein n=1 Tax=Hyunsoonleella aquatilis TaxID=2762758 RepID=A0A923HE46_9FLAO</t>
  </si>
  <si>
    <t>23.10.P4-6.086-5.9_7</t>
  </si>
  <si>
    <t>sp|E1XTG1|CAPSD_BPSAV Major capsid protein OS=Salmonella phage ViI OX=1987993 GN=Vi01_152c PE=3 SV=1</t>
  </si>
  <si>
    <t>Precursor of major head subunit n=1 Tax=Synechococcus phage S-SRM01 TaxID=2781608 RepID=A0A879R1W4_9CAUD</t>
  </si>
  <si>
    <t>23.10.P4-6.087-20_5</t>
  </si>
  <si>
    <t>DnaB-like helicase n=6 Tax=Mollyvirus TaxID=2948826 RepID=A0A8E4UYI8_9CAUD</t>
  </si>
  <si>
    <t>23.10.P4-7.580-4.5_1</t>
  </si>
  <si>
    <t>Uncharacterized protein n=1 Tax=Denitrobaculum tricleocarpae TaxID=2591009 RepID=A0A545TSW1_9PROT</t>
  </si>
  <si>
    <t>23.10.P4-7.580-4.5_5</t>
  </si>
  <si>
    <t>VOG01680 [FUNC="REFSEQ tail protein"] [TAG=Xu TAGDEF="Function unknown"]</t>
  </si>
  <si>
    <t>Chitobiase/beta-hexosaminidase C-terminal domain-containing protein n=1 Tax=Paenibacillus sp. UNCCL117 TaxID=1502764 RepID=A0A1K1QEC7_9BACL</t>
  </si>
  <si>
    <t>23.10.P4-7.768-10_10</t>
  </si>
  <si>
    <t>Uncharacterized protein n=1 Tax=Methylobacter sp. YRD-M1 TaxID=2911520 RepID=A0A9E9BT34_9GAMM</t>
  </si>
  <si>
    <t>23.10.P4-7.768-10_13</t>
  </si>
  <si>
    <t>Uncharacterized protein n=1 Tax=Synechococcus phage MRHenn-2013a TaxID=2791035 RepID=M1Q5E8_9CAUD</t>
  </si>
  <si>
    <t>23.10.P4-7.768-10_14</t>
  </si>
  <si>
    <t>VOG05677 [FUNC="REFSEQ hypothetical protein"] [TAG=Xu TAGDEF="Function unknown"]</t>
  </si>
  <si>
    <t>Tail fiber domain-containing protein n=1 Tax=Vineibacter terrae TaxID=2586908 RepID=A0A5C8PTY8_9HYPH</t>
  </si>
  <si>
    <t>23.10.P4-7.768-10_15</t>
  </si>
  <si>
    <t>D-alanyl-D-alanine carboxypeptidase family protein n=1 Tax=Ruegeria sp. R13_0 TaxID=2821099 RepID=A0A940DYF6_9RHOB</t>
  </si>
  <si>
    <t>23.10.P4-7.768-10_17</t>
  </si>
  <si>
    <t>Uncharacterized protein n=1 Tax=Simplicispira sp. 125 TaxID=2135643 RepID=A0A2U1C740_9BURK</t>
  </si>
  <si>
    <t>23.10.P4-7.768-10_18</t>
  </si>
  <si>
    <t>Uncharacterized protein n=1 Tax=Noviherbaspirillum humi TaxID=1688639 RepID=A0A239LU09_9BURK</t>
  </si>
  <si>
    <t>23.10.P4-7.768-10_19</t>
  </si>
  <si>
    <t>23.10.P4-7.768-10_20</t>
  </si>
  <si>
    <t>M15 family metallopeptidase n=2 Tax=Sedimenticola selenatireducens TaxID=191960 RepID=A0A558E0X1_9GAMM</t>
  </si>
  <si>
    <t>23.10.P4-7.838-26_10</t>
  </si>
  <si>
    <t>Major capsid protein n=6 Tax=unclassified Caudoviricetes TaxID=2788787 RepID=A0A7S5RHI5_9CAUD</t>
  </si>
  <si>
    <t>23.10.P4-7.838-26_11</t>
  </si>
  <si>
    <t>HNH endonuclease protein n=1 Tax=Rhizobium phage RHph_I3_11 TaxID=2509731 RepID=A0A7S5R1H6_9CAUD</t>
  </si>
  <si>
    <t>23.10.P4-7.838-26_13</t>
  </si>
  <si>
    <t>VOG22798 [FUNC="REFSEQ hypothetical protein"] [TAG=Xu TAGDEF="Function unknown"]</t>
  </si>
  <si>
    <t>Uncharacterized protein n=2 Tax=Pseudoalteromonadaceae TaxID=267888 RepID=A0A8I0MXX6_9GAMM</t>
  </si>
  <si>
    <t>23.10.P4-7.838-26_15</t>
  </si>
  <si>
    <t>Uncharacterized protein n=1 Tax=Siphoviridae sp. ctYh54 TaxID=2826379 RepID=A0A8S5MF28_9CAUD</t>
  </si>
  <si>
    <t>23.10.P4-7.838-26_6</t>
  </si>
  <si>
    <t>Uncharacterized protein n=1 Tax=Helicobacter apodemus TaxID=135569 RepID=A0A4U8UCN1_9HELI</t>
  </si>
  <si>
    <t>23.10.P4-7.838-26_8</t>
  </si>
  <si>
    <t>VOG38103 [FUNC="REFSEQ hypothetical protein"] [TAG=Xu TAGDEF="Function unknown"]</t>
  </si>
  <si>
    <t>Uncharacterized protein n=7 Tax=unclassified Caudoviricetes TaxID=2788787 RepID=A0A7S5R645_9CAUD</t>
  </si>
  <si>
    <t>23.10.P4-7.838-26_9</t>
  </si>
  <si>
    <t>Prohead core scaffolding and protease protein n=4 Tax=unclassified Caudoviricetes TaxID=2788787 RepID=A0A7S5RBT7_9CAUD</t>
  </si>
  <si>
    <t>23.10.P4-9.639-4.1_10</t>
  </si>
  <si>
    <t>Head completion nuclease n=4 Tax=unclassified Caudoviricetes TaxID=2788787 RepID=A0A915VGX3_9CAUD</t>
  </si>
  <si>
    <t>23.10.P4-9.639-4.1_11</t>
  </si>
  <si>
    <t>Uncharacterized protein n=1 Tax=Pseudomonas phage vB_PaeM_MIJ3 TaxID=2567864 RepID=A0A5E3ZZH9_9CAUD</t>
  </si>
  <si>
    <t>23.10.P4-9.639-4.1_15</t>
  </si>
  <si>
    <t>23.10.P4-9.639-4.1_6</t>
  </si>
  <si>
    <t>Tail tube protein n=1 Tax=Richelia sp. RM2_1_2 TaxID=2720436 RepID=A0A969MMD8_9NOST</t>
  </si>
  <si>
    <t>23.10.P4-9.639-4.1_7</t>
  </si>
  <si>
    <t>Virion structural protein n=1 Tax=Pseudomonas phage sp. 30-2 TaxID=2972142 RepID=A0A915VHG0_9CAUD</t>
  </si>
  <si>
    <t>Avril.NODE_1011_length_2713_cov_4.411964_4</t>
  </si>
  <si>
    <t>VOG00593 [FUNC="sp|P03765|NINB_LAMBD Protein ninB"] [TAG=Xu TAGDEF="Function unknown"]</t>
  </si>
  <si>
    <t>Uncharacterized protein n=1 Tax=Olleya phage Harreka_1 TaxID=2745673 RepID=A0A8E4ZCB3_9CAUD</t>
  </si>
  <si>
    <t>Avril.NODE_1015_length_2707_cov_3.949095_3</t>
  </si>
  <si>
    <t>Uncharacterized protein n=1 Tax=Bacteriophage DSS3_VP1 TaxID=2664196 RepID=A0A7S5KPH2_9CAUD</t>
  </si>
  <si>
    <t>Avril.NODE_102_length_17063_cov_9.849659_11</t>
  </si>
  <si>
    <t>Uncharacterized protein n=1 Tax=Pseudoalteromonas phage XCL1123 TaxID=2655003 RepID=A0A649V0K8_9CAUD</t>
  </si>
  <si>
    <t>Avril.NODE_102_length_17063_cov_9.849659_2</t>
  </si>
  <si>
    <t>VOG31239 [FUNC="REFSEQ hypothetical protein"] [TAG=Xu TAGDEF="Function unknown"]</t>
  </si>
  <si>
    <t>Uncharacterized protein n=1 Tax=Rhodocytophaga rosea TaxID=2704465 RepID=A0A6C0GN02_9BACT</t>
  </si>
  <si>
    <t>Avril.NODE_102_length_17063_cov_9.849659_6</t>
  </si>
  <si>
    <t>Virion structural protein n=1 Tax=Cyanophage S-RIM44 TaxID=1278485 RepID=A0A1D7SD63_9CAUD</t>
  </si>
  <si>
    <t>Avril.NODE_102_length_17063_cov_9.849659_8</t>
  </si>
  <si>
    <t>Peptidase M15A C-terminal domain-containing protein n=1 Tax=Rhodohalobacter barkolensis TaxID=2053187 RepID=A0A2N0VHR9_9BACT</t>
  </si>
  <si>
    <t>Avril.NODE_1023_length_2688_cov_5.219142_3</t>
  </si>
  <si>
    <t>Uncharacterized protein 68 n=2 Tax=root TaxID=1 RepID=B0VK68_9CAUD</t>
  </si>
  <si>
    <t>Avril.NODE_1042_length_2659_cov_7.129416_2</t>
  </si>
  <si>
    <t>Tail fiber protein n=1 Tax=Verrucomicrobia phage P8625 TaxID=1636271 RepID=A0A0E3JS85_9CAUD</t>
  </si>
  <si>
    <t>Avril.NODE_1056_length_2640_cov_3.968279_1</t>
  </si>
  <si>
    <t>Lin1244/Lin1753-like N-terminal domain-containing protein n=1 Tax=Mucilaginibacter sp. NFR10 TaxID=1566292 RepID=A0A1G4U449_9SPHI</t>
  </si>
  <si>
    <t>Avril.NODE_1100_length_2568_cov_5.087943_3</t>
  </si>
  <si>
    <t>Uncharacterized protein n=1 Tax=Synechococcus phage S-H34 TaxID=2718942 RepID=A0A6G8R6R3_9CAUD</t>
  </si>
  <si>
    <t>Avril.NODE_1100_length_2568_cov_5.087943_4</t>
  </si>
  <si>
    <t>Uncharacterized protein n=1 Tax=Pusillimonas sp. (ex Stolz et al. 2005) TaxID=1979962 RepID=A0A2D7XEH1_9BURK</t>
  </si>
  <si>
    <t>Avril.NODE_1133_length_2528_cov_12.724626_3</t>
  </si>
  <si>
    <t>Phage portal protein n=1 Tax=Falsochrobactrum shanghaiense TaxID=2201899 RepID=A0A316JE62_9HYPH</t>
  </si>
  <si>
    <t>Avril.NODE_1133_length_2528_cov_12.724626_5</t>
  </si>
  <si>
    <t>Avril.NODE_1157_length_2486_cov_6.173591_3</t>
  </si>
  <si>
    <t>Avril.NODE_1157_length_2486_cov_6.173591_4</t>
  </si>
  <si>
    <t>sp|Q775C3|PORTL_BPBPP Probable portal protein OS=Bordetella phage BPP-1 OX=2885909 GN=bbp21 PE=3 SV=1</t>
  </si>
  <si>
    <t>Phage head-tail adapter protein n=1 Tax=Zavarzinia aquatilis TaxID=2211142 RepID=A0A317EIB3_9PROT</t>
  </si>
  <si>
    <t>Avril.NODE_1160_length_2484_cov_2.406752_2</t>
  </si>
  <si>
    <t>Uncharacterized protein n=1 Tax=Aquamicrobium defluvii TaxID=69279 RepID=A0A4R6Y4J2_9HYPH</t>
  </si>
  <si>
    <t>Avril.NODE_1160_length_2484_cov_2.406752_3</t>
  </si>
  <si>
    <t>VOG02567 [FUNC="REFSEQ hypothetical protein"] [TAG=Xu TAGDEF="Function unknown"]</t>
  </si>
  <si>
    <t>Uncharacterized protein n=1 Tax=Rhizobium phage RHph_I1_23 TaxID=2509727 RepID=A0A7S5RFQ6_9CAUD</t>
  </si>
  <si>
    <t>Avril.NODE_1160_length_2484_cov_2.406752_5</t>
  </si>
  <si>
    <t>VOG00126 [FUNC="REFSEQ hypothetical protein"] [TAG=Xu TAGDEF="Function unknown"]</t>
  </si>
  <si>
    <t>Uncharacterized protein n=32 Tax=Perisivirus TaxID=1984798 RepID=H2EI48_9CAUD</t>
  </si>
  <si>
    <t>Avril.NODE_1163_length_2478_cov_4.772596_4</t>
  </si>
  <si>
    <t>VOG03384 [FUNC="REFSEQ hypothetical protein"] [TAG=Xu TAGDEF="Function unknown"]</t>
  </si>
  <si>
    <t>dATP/dGTP diphosphohydrolase N-terminal domain-containing protein n=1 Tax=Sphaerotilus phage vB_SnaP-R1 TaxID=2696336 RepID=A0A6B9SV05_9CAUD</t>
  </si>
  <si>
    <t>Avril.NODE_1163_length_2478_cov_4.772596_5</t>
  </si>
  <si>
    <t>VOG00481 [FUNC="REFSEQ hypothetical protein"] [TAG=Xu TAGDEF="Function unknown"]</t>
  </si>
  <si>
    <t>DUF4406 domain-containing protein n=1 Tax=Vibrio phage pYD21-A TaxID=754049 RepID=M4Q3J5_9CAUD</t>
  </si>
  <si>
    <t>Avril.NODE_118_length_15026_cov_7.254091_1</t>
  </si>
  <si>
    <t>VOG20789 [FUNC="REFSEQ hypothetical protein"] [TAG=Xu TAGDEF="Function unknown"]</t>
  </si>
  <si>
    <t>Uncharacterized protein n=1 Tax=Roseobacter phage RD-1410Ws-07 TaxID=1815985 RepID=A0A191VYM7_9CAUD</t>
  </si>
  <si>
    <t>Avril.NODE_118_length_15026_cov_7.254091_10</t>
  </si>
  <si>
    <t>VOG31991 [FUNC="REFSEQ hypothetical protein"] [TAG=Xu TAGDEF="Function unknown"]</t>
  </si>
  <si>
    <t>Terminase small subunit n=1 Tax=Dinoroseobacter phage vBDshPR2C TaxID=1498169 RepID=A0A0A7CHE4_9CAUD</t>
  </si>
  <si>
    <t>Avril.NODE_118_length_15026_cov_7.254091_11</t>
  </si>
  <si>
    <t>dATP/dGTP diphosphohydrolase N-terminal domain-containing protein n=1 Tax=Dinoroseobacter phage vB_DshS-R5C TaxID=1965368 RepID=A0A1V0DY19_9CAUD</t>
  </si>
  <si>
    <t>Avril.NODE_118_length_15026_cov_7.254091_13</t>
  </si>
  <si>
    <t>Lipoprotein n=1 Tax=Phage MedPE-SWcel-C56 TaxID=1871314 RepID=A0A1B1IY04_9CAUD</t>
  </si>
  <si>
    <t>Avril.NODE_118_length_15026_cov_7.254091_15</t>
  </si>
  <si>
    <t>VOG00177 [FUNC="REFSEQ hypothetical protein"] [TAG=Xu TAGDEF="Function unknown"]</t>
  </si>
  <si>
    <t>DUF2829 domain-containing protein n=1 Tax=Rhodopseudomonas sp. P2A-2r TaxID=2991972 RepID=A0A9E7Y4K6_9BRAD</t>
  </si>
  <si>
    <t>Avril.NODE_118_length_15026_cov_7.254091_2</t>
  </si>
  <si>
    <t>VOG14762 [FUNC="sp|P15235|YLF2_BPN4 Uncharacterized protein Gp2"] [TAG=Xu TAGDEF="Function unknown"]</t>
  </si>
  <si>
    <t>Uncharacterized protein n=4 Tax=Aorunvirus V12 TaxID=2846074 RepID=A0A2Z4QFA4_9CAUD</t>
  </si>
  <si>
    <t>Avril.NODE_118_length_15026_cov_7.254091_3</t>
  </si>
  <si>
    <t>RNA polymerase subunit n=1 Tax=Dinoroseobacter phage DFL12phi1 TaxID=1477404 RepID=A0A023NGN9_9CAUD</t>
  </si>
  <si>
    <t>Avril.NODE_118_length_15026_cov_7.254091_4</t>
  </si>
  <si>
    <t>Putative HNH endonuclease n=1 Tax=Sulfitobacter phage EE36phi1 TaxID=490913 RepID=C4NT91_9CAUD</t>
  </si>
  <si>
    <t>Avril.NODE_118_length_15026_cov_7.254091_5</t>
  </si>
  <si>
    <t>VOG06952 [FUNC="REFSEQ hypothetical protein"] [TAG=Xu TAGDEF="Function unknown"]</t>
  </si>
  <si>
    <t>Uncharacterized protein n=1 Tax=Dinoroseobacter phage DFL12phi1 TaxID=1477404 RepID=A0A023NHV6_9CAUD</t>
  </si>
  <si>
    <t>Avril.NODE_118_length_15026_cov_7.254091_6</t>
  </si>
  <si>
    <t>N4 gp16-like protein n=2 Tax=Roseovarius Plymouth podovirus 1 TaxID=926474 RepID=E3PZ58_9CAUD</t>
  </si>
  <si>
    <t>Avril.NODE_1196_length_2439_cov_4.161913_1</t>
  </si>
  <si>
    <t>sp|P03680|DPOL_BPPH2 DNA polymerase OS=Bacillus phage phi29 OX=2884424 GN=2 PE=1 SV=1</t>
  </si>
  <si>
    <t>DNA-directed DNA polymerase n=1 Tax=Wuchereria bancrofti TaxID=6293 RepID=A0A3P7FGI9_WUCBA</t>
  </si>
  <si>
    <t>Avril.NODE_1196_length_2439_cov_4.161913_2</t>
  </si>
  <si>
    <t>VOG27672 [FUNC="REFSEQ hypothetical protein"] [TAG=Xu TAGDEF="Function unknown"]</t>
  </si>
  <si>
    <t>Coil containing protein n=2 Tax=Autolykiviridae TaxID=2184034 RepID=A0A2I7RXE9_9VIRU</t>
  </si>
  <si>
    <t>Avril.NODE_1196_length_2439_cov_4.161913_3</t>
  </si>
  <si>
    <t>Avril.NODE_120_length_14812_cov_7.045267_10</t>
  </si>
  <si>
    <t>VOG27311 [FUNC="REFSEQ virion structural protein"] [TAG=Xu TAGDEF="Function unknown"]</t>
  </si>
  <si>
    <t>Uncharacterized protein n=1 Tax=Dinoroseobacter phage DFL12phi1 TaxID=1477404 RepID=A0A024E334_9CAUD</t>
  </si>
  <si>
    <t>Avril.NODE_120_length_14812_cov_7.045267_11</t>
  </si>
  <si>
    <t>Avril.NODE_120_length_14812_cov_7.045267_12</t>
  </si>
  <si>
    <t>Avril.NODE_120_length_14812_cov_7.045267_14</t>
  </si>
  <si>
    <t>sp|Q859P9|RPOLV_BPN4 Virion DNA-directed RNA polymerase OS=Enterobacteria phage N4 OX=2886925 GN=50 PE=1 SV=2</t>
  </si>
  <si>
    <t>Virion-encapsulated RNA polymerase n=4 Tax=Aorunvirus V12 TaxID=2846074 RepID=A0A2Z4QFY0_9CAUD</t>
  </si>
  <si>
    <t>Avril.NODE_120_length_14812_cov_7.045267_8</t>
  </si>
  <si>
    <t>sp|Q859Q5|CAPSD_BPN4 Major capsid protein OS=Enterobacteria phage N4 OX=2886925 GN=56 PE=1 SV=2</t>
  </si>
  <si>
    <t>Major capsid coat protein n=5 Tax=Aorunvirus V12 TaxID=2846074 RepID=B0FLN4_9CAUD</t>
  </si>
  <si>
    <t>Avril.NODE_120_length_14812_cov_7.045267_9</t>
  </si>
  <si>
    <t>VOG19912 [FUNC="REFSEQ hypothetical protein"] [TAG=Xu TAGDEF="Function unknown"]</t>
  </si>
  <si>
    <t>N4 gp55-like protein n=1 Tax=Roseovarius sp. 217 phage 1 TaxID=874471 RepID=E3PZB0_9CAUD</t>
  </si>
  <si>
    <t>Avril.NODE_1207_length_2430_cov_4.066105_1</t>
  </si>
  <si>
    <t>VOG05583 [FUNC="REFSEQ hypothetical protein"] [TAG=Xu TAGDEF="Function unknown"]</t>
  </si>
  <si>
    <t>F5/8 type C domain-containing protein n=1 Tax=Marinomonas phage P12026 TaxID=1176423 RepID=I6RTS1_9CAUD</t>
  </si>
  <si>
    <t>Avril.NODE_1207_length_2430_cov_4.066105_3</t>
  </si>
  <si>
    <t>VOG35007 [FUNC="REFSEQ tail fiber protein"] [TAG=Xu TAGDEF="Function unknown"]</t>
  </si>
  <si>
    <t>Phage tail protein n=3 Tax=Rhodovulum sulfidophilum TaxID=35806 RepID=A0A0D6AWW5_RHOSU</t>
  </si>
  <si>
    <t>Avril.NODE_1214_length_2417_cov_31.851397_2</t>
  </si>
  <si>
    <t>Avril.NODE_1225_length_2401_cov_5.228048_1</t>
  </si>
  <si>
    <t>sp|Q9T1R5|VP33_BPAPS Putative DNA transfer protein p33 OS=Acyrthosiphon pisum secondary endosymbiont phage 1 OX=2682836 GN=33 PE=3 SV=1</t>
  </si>
  <si>
    <t>VOG01852 [FUNC="REFSEQ hypothetical protein"] [TAG=Xu TAGDEF="Function unknown"]</t>
  </si>
  <si>
    <t>Peptidoglycan hydrolase n=1 Tax=EBPR podovirus 2 TaxID=1048516 RepID=F8TUS7_9CAUD</t>
  </si>
  <si>
    <t>Avril.NODE_1225_length_2401_cov_5.228048_2</t>
  </si>
  <si>
    <t>Putative internal virion protein/injection protein n=1 Tax=Sulfitobacter phage phiGT1 TaxID=2745703 RepID=A0A7D9N078_9CAUD</t>
  </si>
  <si>
    <t>Avril.NODE_1227_length_2396_cov_3.659120_2</t>
  </si>
  <si>
    <t>5'-deoxynucleotidase n=1 Tax=Pseudomonas phage ZC01 TaxID=1622114 RepID=A0A1L2C8Y7_9CAUD</t>
  </si>
  <si>
    <t>Avril.NODE_1227_length_2396_cov_3.659120_3</t>
  </si>
  <si>
    <t>DUF3310 domain-containing protein n=1 Tax=Rhodoferax phage P26218 TaxID=1636270 RepID=A0A0E3M2S5_9CAUD</t>
  </si>
  <si>
    <t>Avril.NODE_123_length_14650_cov_85.783830_10</t>
  </si>
  <si>
    <t>Uncharacterized protein n=1 Tax=Acinetobacter phage AbP2 TaxID=2015804 RepID=A0A220NQL6_9CAUD</t>
  </si>
  <si>
    <t>Avril.NODE_123_length_14650_cov_85.783830_16</t>
  </si>
  <si>
    <t>Uncharacterized protein n=1 Tax=Lysobacter sp. Root690 TaxID=1736588 RepID=A0A0Q8JJL2_9GAMM</t>
  </si>
  <si>
    <t>Avril.NODE_123_length_14650_cov_85.783830_20</t>
  </si>
  <si>
    <t>Avril.NODE_123_length_14650_cov_85.783830_21</t>
  </si>
  <si>
    <t>Single-stranded DNA-binding protein n=1 Tax=Shewanella phage SppYZU01 TaxID=1965372 RepID=A0A1V0DYG7_9CAUD</t>
  </si>
  <si>
    <t>Avril.NODE_123_length_14650_cov_85.783830_4</t>
  </si>
  <si>
    <t>Uncharacterized protein n=1 Tax=Shewanella phage SppYZU01 TaxID=1965372 RepID=A0A1V0DYL1_9CAUD</t>
  </si>
  <si>
    <t>Avril.NODE_123_length_14650_cov_85.783830_6</t>
  </si>
  <si>
    <t>DNA cytosine methyltransferase n=1 Tax=Aeromonas hydrophila TaxID=644 RepID=A0A8H9V497_AERHY</t>
  </si>
  <si>
    <t>Avril.NODE_123_length_14650_cov_85.783830_8</t>
  </si>
  <si>
    <t>VOG01136 [FUNC="REFSEQ cysteine dioxygenase"] [TAG=Xu TAGDEF="Function unknown"]</t>
  </si>
  <si>
    <t>Cupin n=2 Tax=Alteromonas sp. KUL49 TaxID=2480798 RepID=A0A4Q8UBH2_9ALTE</t>
  </si>
  <si>
    <t>Avril.NODE_1236_length_2385_cov_4.472103_1</t>
  </si>
  <si>
    <t>Uncharacterized protein n=1 Tax=Bosea lathyri TaxID=1036778 RepID=A0A1H6BW76_9HYPH</t>
  </si>
  <si>
    <t>Avril.NODE_1236_length_2385_cov_4.472103_3</t>
  </si>
  <si>
    <t>6-phosphogluconate dehydrogenase protein n=1 Tax=Rhizobium phage RHph_N65 TaxID=2509753 RepID=A0A7S5RB58_9CAUD</t>
  </si>
  <si>
    <t>Avril.NODE_1239_length_2378_cov_8.521309_1</t>
  </si>
  <si>
    <t>VOG16036 [FUNC="REFSEQ hypothetical protein"] [TAG=Xu TAGDEF="Function unknown"]</t>
  </si>
  <si>
    <t>Coil containing protein n=1 Tax=Vibrio phage 1.248.O._10N.261.54.F1 TaxID=1881267 RepID=A0A2I7RX53_9CAUD</t>
  </si>
  <si>
    <t>Avril.NODE_1239_length_2378_cov_8.521309_2</t>
  </si>
  <si>
    <t>Uncharacterized protein n=1 Tax=Methylibium sp. Pch-M TaxID=2082386 RepID=A0A4P6GWM2_9BURK</t>
  </si>
  <si>
    <t>Avril.NODE_1270_length_2341_cov_4.421697_4</t>
  </si>
  <si>
    <t>DUF2815 family protein n=1 Tax=Rhizobium phage RHph_N65 TaxID=2509753 RepID=A0A7S5RB46_9CAUD</t>
  </si>
  <si>
    <t>Avril.NODE_1289_length_2310_cov_3.903769_2</t>
  </si>
  <si>
    <t>VOG37860 [FUNC="REFSEQ structural protein"] [TAG=Xu TAGDEF="Function unknown"]</t>
  </si>
  <si>
    <t>Structural protein n=1 Tax=Cellulophaga phage phi19:1 TaxID=1327970 RepID=R9ZXX1_9CAUD</t>
  </si>
  <si>
    <t>Avril.NODE_1293_length_2301_cov_4.075690_2</t>
  </si>
  <si>
    <t>Phage protein n=6 Tax=Brussowvirus TaxID=1623303 RepID=Q56S93_9CAUD</t>
  </si>
  <si>
    <t>Avril.NODE_1306_length_2285_cov_21.851570_1</t>
  </si>
  <si>
    <t>VOG00982 [FUNC="REFSEQ hypothetical protein"] [TAG=Xu TAGDEF="Function unknown"]</t>
  </si>
  <si>
    <t>DUF4178 domain-containing protein n=2 Tax=Bequatrovirus spock TaxID=1918008 RepID=U5PXP2_9CAUD</t>
  </si>
  <si>
    <t>Avril.NODE_1317_length_2274_cov_5.747634_1</t>
  </si>
  <si>
    <t>VOG15009 [FUNC="REFSEQ hypothetical protein"] [TAG=Xu TAGDEF="Function unknown"]</t>
  </si>
  <si>
    <t>Uncharacterized protein n=5 Tax=unclassified Dolichocephalovirinae TaxID=2788884 RepID=A0A976S1C7_9CAUD</t>
  </si>
  <si>
    <t>Avril.NODE_1317_length_2274_cov_5.747634_3</t>
  </si>
  <si>
    <t>VOG07321 [FUNC="REFSEQ hypothetical protein"] [TAG=Xu TAGDEF="Function unknown"]</t>
  </si>
  <si>
    <t>Uncharacterized protein n=1 Tax=Marinobacter sp. THAF39 TaxID=2587857 RepID=A0A5P9EIY0_9GAMM</t>
  </si>
  <si>
    <t>Avril.NODE_1317_length_2274_cov_5.747634_4</t>
  </si>
  <si>
    <t>VOG17494 [FUNC="REFSEQ hypothetical protein"] [TAG=Xu TAGDEF="Function unknown"]</t>
  </si>
  <si>
    <t>Uncharacterized protein n=1 Tax=Bradyrhizobium sp. ERR14 TaxID=2663837 RepID=A0A840HMU9_9BRAD</t>
  </si>
  <si>
    <t>Avril.NODE_1317_length_2274_cov_5.747634_5</t>
  </si>
  <si>
    <t>VOG31676 [FUNC="REFSEQ hypothetical protein"] [TAG=Xu TAGDEF="Function unknown"]</t>
  </si>
  <si>
    <t>SLH domain-containing protein n=1 Tax=Mesorhizobium phage Cp1R7A-A1 TaxID=2723894 RepID=A0A6H0QUR6_9CAUD</t>
  </si>
  <si>
    <t>Avril.NODE_1318_length_2272_cov_6.227785_7</t>
  </si>
  <si>
    <t>Uncharacterized protein n=1 Tax=Aureimonas sp. AU20 TaxID=1349819 RepID=A0A0S2EQG1_9HYPH</t>
  </si>
  <si>
    <t>Avril.NODE_1322_length_2266_cov_7.394844_4</t>
  </si>
  <si>
    <t>VOG20948 [FUNC="REFSEQ hypothetical protein"] [TAG=Xu TAGDEF="Function unknown"]</t>
  </si>
  <si>
    <t>Uncharacterized protein n=2 Tax=unclassified Caudoviricetes TaxID=2788787 RepID=A0A6G8R5I7_9CAUD</t>
  </si>
  <si>
    <t>Avril.NODE_1331_length_2258_cov_3.006355_1</t>
  </si>
  <si>
    <t>Putative ejection protein n=1 Tax=Pseudoalteromonas virus vB_PspP-H6/1 TaxID=1852626 RepID=A0A191ZDE9_9CAUD</t>
  </si>
  <si>
    <t>Avril.NODE_1343_length_2240_cov_4.160641_4</t>
  </si>
  <si>
    <t>Baseplate protein n=1 Tax=Alteromonas phage vB_AmeM_PT11-V22 TaxID=2704031 RepID=A0A6C0R1U9_9CAUD</t>
  </si>
  <si>
    <t>Avril.NODE_1351_length_2233_cov_3.587236_2</t>
  </si>
  <si>
    <t>VOG16315 [FUNC="REFSEQ hypothetical protein"] [TAG=Xu TAGDEF="Function unknown"]</t>
  </si>
  <si>
    <t>Uncharacterized protein n=1 Tax=Rhizobium phage RHph_TM16 TaxID=2509755 RepID=A0A7S5QUT4_9CAUD</t>
  </si>
  <si>
    <t>Avril.NODE_1353_length_2232_cov_29.663757_3</t>
  </si>
  <si>
    <t>DUF3310-domain containing protein n=1 Tax=phage 023Pt_psg01 TaxID=2945965 RepID=A0A9E7L905_9CAUD</t>
  </si>
  <si>
    <t>Avril.NODE_1377_length_2210_cov_2.688167_2</t>
  </si>
  <si>
    <t>VOG00552 [FUNC="sp|P00513|PK_BPT7 Protein kinase 0.7"] [TAG=Xh TAGDEF="Virus protein with function beneficial for the host"]</t>
  </si>
  <si>
    <t>Protein kinase n=1 Tax=Cellulophaga phage phi19:3 TaxID=1327971 RepID=R9ZWG7_9CAUD</t>
  </si>
  <si>
    <t>Avril.NODE_138_length_13113_cov_12.225302_10</t>
  </si>
  <si>
    <t>Structural protein n=1 Tax=Cellulophaga phage phi10:1 TaxID=1327981 RepID=R9ZYJ9_9CAUD</t>
  </si>
  <si>
    <t>Avril.NODE_138_length_13113_cov_12.225302_14</t>
  </si>
  <si>
    <t>VOG04946 [FUNC="REFSEQ virion structural protein"] [TAG=Xu TAGDEF="Function unknown"]</t>
  </si>
  <si>
    <t>Structural protein n=1 Tax=Cellulophaga phage phi10:1 TaxID=1327981 RepID=S0A2J0_9CAUD</t>
  </si>
  <si>
    <t>Avril.NODE_138_length_13113_cov_12.225302_2</t>
  </si>
  <si>
    <t>DUF4468 domain-containing protein n=1 Tax=Polaribacter sp. BM10 TaxID=1529069 RepID=A0A1U9L723_9FLAO</t>
  </si>
  <si>
    <t>Avril.NODE_138_length_13113_cov_12.225302_7</t>
  </si>
  <si>
    <t>Avril.NODE_138_length_13113_cov_12.225302_8</t>
  </si>
  <si>
    <t>Head-tail connector protein n=1 Tax=Cellulophaga phage phi10:1 TaxID=1327981 RepID=R9ZZ82_9CAUD</t>
  </si>
  <si>
    <t>Avril.NODE_138_length_13113_cov_12.225302_9</t>
  </si>
  <si>
    <t>Putative tail component n=1 Tax=Cellulophaga phage phi10:1 TaxID=1327981 RepID=S0A2I3_9CAUD</t>
  </si>
  <si>
    <t>Avril.NODE_1381_length_2207_cov_3.699814_4</t>
  </si>
  <si>
    <t>Phage protein n=1 Tax=Yersinia phage fEV-1 TaxID=2077277 RepID=A0A2P9HY19_9CAUD</t>
  </si>
  <si>
    <t>Avril.NODE_1385_length_2205_cov_5.757674_1</t>
  </si>
  <si>
    <t>sp|A0A385DT68|PORTL_BPCA1 Portal protein OS=Bacteroides phage crAss001 OX=2301731 GN=crAss001_20 PE=1 SV=1</t>
  </si>
  <si>
    <t>VOG04106 [FUNC="sp|Q9T1S9|PORTL_BPAPS Portal protein"] [TAG=Xh TAGDEF="Virus protein with function beneficial for the host"]</t>
  </si>
  <si>
    <t>Structural protein n=1 Tax=Cellulophaga phage phi14:2 TaxID=1327990 RepID=S0A3H8_9CAUD</t>
  </si>
  <si>
    <t>Avril.NODE_1406_length_2183_cov_34.203947_2</t>
  </si>
  <si>
    <t>Uncharacterized protein n=1 Tax=Curvibacter phage P26059A TaxID=1983783 RepID=A0A384V7D9_9CAUD</t>
  </si>
  <si>
    <t>Avril.NODE_1406_length_2183_cov_34.203947_3</t>
  </si>
  <si>
    <t>Uncharacterized protein gp44 n=1 Tax=EBPR podovirus 1 TaxID=1048515 RepID=F8TUP6_9CAUD</t>
  </si>
  <si>
    <t>Avril.NODE_1406_length_2183_cov_34.203947_5</t>
  </si>
  <si>
    <t>DUF1064 domain-containing protein n=1 Tax=Buttiauxella sp. B2 TaxID=2587812 RepID=A0A5C5DDW0_9ENTR</t>
  </si>
  <si>
    <t>Avril.NODE_1411_length_2178_cov_4.468676_1</t>
  </si>
  <si>
    <t>P22 coat-protein 5 family protein n=1 Tax=Massilia atriviolacea TaxID=2495579 RepID=A0A430HR94_9BURK</t>
  </si>
  <si>
    <t>Avril.NODE_1411_length_2178_cov_4.468676_3</t>
  </si>
  <si>
    <t>Uncharacterized protein n=1 Tax=Podoviridae sp. ct2cs2 TaxID=2656707 RepID=A0A5Q2W7M0_9CAUD</t>
  </si>
  <si>
    <t>Avril.NODE_1436_length_2145_cov_7.643062_2</t>
  </si>
  <si>
    <t>VOG01171 [FUNC="REFSEQ hypothetical protein"] [TAG=Xu TAGDEF="Function unknown"]</t>
  </si>
  <si>
    <t>DUF6291 domain-containing protein n=1 Tax=Cellulophaga phage phi13:2 TaxID=1328030 RepID=S0A2K1_9CAUD</t>
  </si>
  <si>
    <t>Avril.NODE_1437_length_2144_cov_5.672092_3</t>
  </si>
  <si>
    <t>Glycosyltransferase n=2 Tax=unclassified Caudoviricetes TaxID=2788787 RepID=M4QRC6_9CAUD</t>
  </si>
  <si>
    <t>Avril.NODE_1445_length_2136_cov_5.841903_1</t>
  </si>
  <si>
    <t>VOG02019 [FUNC="REFSEQ hypothetical protein"] [TAG=Xu TAGDEF="Function unknown"]</t>
  </si>
  <si>
    <t>AAA family ATPase n=2 Tax=Bacillus phage PBS1 TaxID=10683 RepID=A0A172JI79_BPPB1</t>
  </si>
  <si>
    <t>Avril.NODE_1467_length_2108_cov_3.121286_4</t>
  </si>
  <si>
    <t>Avril.NODE_1499_length_2084_cov_3.859044_1</t>
  </si>
  <si>
    <t>VOG02757 [FUNC="REFSEQ hypothetical protein"] [TAG=Xu TAGDEF="Function unknown"]</t>
  </si>
  <si>
    <t>Uncharacterized protein n=1 Tax=Winogradskyella phage Peternella_1 TaxID=2745699 RepID=A0A8E4ZGM1_9CAUD</t>
  </si>
  <si>
    <t>Avril.NODE_1514_length_2066_cov_3.336151_1</t>
  </si>
  <si>
    <t>62 kDa structural protein n=1 Tax=Alphaproteobacteria phage PhiJL001 TaxID=2681607 RepID=Q5DN45_9CAUD</t>
  </si>
  <si>
    <t>Avril.NODE_1514_length_2066_cov_3.336151_2</t>
  </si>
  <si>
    <t>Gp66 n=1 Tax=Alphaproteobacteria phage PhiJL001 TaxID=2681607 RepID=Q5DN39_9CAUD</t>
  </si>
  <si>
    <t>Avril.NODE_152_length_12366_cov_13.326375_10</t>
  </si>
  <si>
    <t>sp|P20323|PORTL_BPT3 Portal protein OS=Enterobacteria phage T3 OX=10759 GN=8 PE=3 SV=1</t>
  </si>
  <si>
    <t>Portal protein n=1 Tax=Oxalobacter vibrioformis TaxID=933080 RepID=A0A9E9LVL5_9BURK</t>
  </si>
  <si>
    <t>Avril.NODE_152_length_12366_cov_13.326375_12</t>
  </si>
  <si>
    <t>Putative capsid protein n=4 Tax=unclassified Autographiviridae TaxID=2731990 RepID=A0A7S6C5N6_9CAUD</t>
  </si>
  <si>
    <t>Avril.NODE_152_length_12366_cov_13.326375_14</t>
  </si>
  <si>
    <t>sp|D1L2W4|TUBE1_BPK32 Tail tubular protein A OS=Klebsiella phage KP32 OX=674082 GN=31 PE=1 SV=1</t>
  </si>
  <si>
    <t>Uncharacterized protein n=1 Tax=Roseibium alexandrii (strain DSM 17067 / NCIMB 14079 / DFL-11) TaxID=244592 RepID=A0A5E8GSZ5_ROSAD</t>
  </si>
  <si>
    <t>Avril.NODE_152_length_12366_cov_13.326375_15</t>
  </si>
  <si>
    <t>sp|P03747|TUBE2_BPT7 Tail tubular protein gp12 OS=Escherichia phage T7 OX=10760 GN=12 PE=1 SV=1</t>
  </si>
  <si>
    <t>Tail tubular protein B n=1 Tax=Roseibium alexandrii (strain DSM 17067 / NCIMB 14079 / DFL-11) TaxID=244592 RepID=A0A5E8GT11_ROSAD</t>
  </si>
  <si>
    <t>Avril.NODE_152_length_12366_cov_13.326375_4</t>
  </si>
  <si>
    <t>sp|P03796|Y77_BPT7 Protein 7.7 OS=Escherichia phage T7 OX=10760 GN=7.7 PE=4 SV=1</t>
  </si>
  <si>
    <t>HNH nuclease domain-containing protein n=2 Tax=unclassified Caudoviricetes TaxID=2788787 RepID=A0A3B8E5N5_9CAUD</t>
  </si>
  <si>
    <t>Avril.NODE_152_length_12366_cov_13.326375_6</t>
  </si>
  <si>
    <t>dATP/dGTP diphosphohydrolase N-terminal domain-containing protein n=1 Tax=Siphoviridae sp. ct3es5 TaxID=2825322 RepID=A0A8S5PTZ8_9CAUD</t>
  </si>
  <si>
    <t>Avril.NODE_1525_length_2056_cov_10.415292_2</t>
  </si>
  <si>
    <t>VOG13207 [FUNC="REFSEQ hypothetical protein"] [TAG=Xu TAGDEF="Function unknown"]</t>
  </si>
  <si>
    <t>Uncharacterized protein n=1 Tax=Dyadobacter soli TaxID=659014 RepID=A0A1G7WLG1_9BACT</t>
  </si>
  <si>
    <t>Avril.NODE_1525_length_2056_cov_10.415292_3</t>
  </si>
  <si>
    <t>p37 n=1 Tax=Xanthomonas phage phiL7 TaxID=538979 RepID=C4ML37_9CAUD</t>
  </si>
  <si>
    <t>Avril.NODE_1532_length_2050_cov_4.450125_1</t>
  </si>
  <si>
    <t>Terminase n=1 Tax=Acinetobacter phage AbP2 TaxID=2015804 RepID=A0A220NQK8_9CAUD</t>
  </si>
  <si>
    <t>Avril.NODE_1540_length_2045_cov_8.818593_3</t>
  </si>
  <si>
    <t>Portal protein n=1 Tax=Rhizobium phage RHph_I1_23 TaxID=2509727 RepID=A0A7S5RFM4_9CAUD</t>
  </si>
  <si>
    <t>Avril.NODE_1548_length_2037_cov_2.568618_1</t>
  </si>
  <si>
    <t>VOG05641 [FUNC="REFSEQ hypothetical protein"] [TAG=Xu TAGDEF="Function unknown"]</t>
  </si>
  <si>
    <t>Uncharacterized protein n=1 Tax=Pseudomonas phage AF TaxID=1235689 RepID=K4NZ13_9CAUD</t>
  </si>
  <si>
    <t>Avril.NODE_1548_length_2037_cov_2.568618_4</t>
  </si>
  <si>
    <t>DUF2158 domain-containing protein n=1 Tax=Pseudomonas lini TaxID=163011 RepID=A0A0J6HD73_9PSED</t>
  </si>
  <si>
    <t>Avril.NODE_1563_length_2024_cov_2.643474_2</t>
  </si>
  <si>
    <t>Internal virion protein D n=1 Tax=Pelagibacter phage HTVC105P TaxID=2283018 RepID=A0A4Y1NTB4_9CAUD</t>
  </si>
  <si>
    <t>Avril.NODE_1573_length_2010_cov_2.851662_4</t>
  </si>
  <si>
    <t>Head-to-tail joining protein n=1 Tax=Pelagibacter phage HTVC031P TaxID=2283017 RepID=A0A4Y1NTX5_9CAUD</t>
  </si>
  <si>
    <t>Avril.NODE_1574_length_2007_cov_3.222336_1</t>
  </si>
  <si>
    <t>Nucleoside 2-deoxyribosyltransferase n=1 Tax=Syntrophorhabdus sp. PtaB.Bin047 TaxID=1811700 RepID=A0A1V4X3W6_9BACT</t>
  </si>
  <si>
    <t>Avril.NODE_1574_length_2007_cov_3.222336_3</t>
  </si>
  <si>
    <t>VOG06220 [FUNC="REFSEQ HNH endonuclease"] [TAG=Xu TAGDEF="Function unknown"]</t>
  </si>
  <si>
    <t>HNH endonuclease n=1 Tax=Tenacibaculum phage Gundel_1 TaxID=2745672 RepID=A0A8E5EA32_9CAUD</t>
  </si>
  <si>
    <t>Avril.NODE_183_length_10179_cov_6.969380_1</t>
  </si>
  <si>
    <t>Avril.NODE_183_length_10179_cov_6.969380_2</t>
  </si>
  <si>
    <t>Phage head-tail joining protein n=1 Tax=Pedobacter africanus TaxID=151894 RepID=A0A1W1ZBH7_9SPHI</t>
  </si>
  <si>
    <t>Avril.NODE_183_length_10179_cov_6.969380_3</t>
  </si>
  <si>
    <t>Avril.NODE_183_length_10179_cov_6.969380_4</t>
  </si>
  <si>
    <t>Avril.NODE_183_length_10179_cov_6.969380_5</t>
  </si>
  <si>
    <t>VOG01147 [FUNC="sp|A9CRB8|TAIL_BPMR1 Putative tail protein"] [TAG=Xu TAGDEF="Function unknown"]</t>
  </si>
  <si>
    <t>Phage tail protein n=1 Tax=Sulfuricurvum sp. MLSB TaxID=1537917 RepID=A0A091B3N7_9BACT</t>
  </si>
  <si>
    <t>Avril.NODE_183_length_10179_cov_6.969380_8</t>
  </si>
  <si>
    <t>Structural protein n=1 Tax=Cellulophaga phage phi17:1 TaxID=1327980 RepID=S0A0K1_9CAUD</t>
  </si>
  <si>
    <t>Avril.NODE_183_length_10179_cov_6.969380_9</t>
  </si>
  <si>
    <t>Uncharacterized protein n=1 Tax=Psychroserpens burtonensis TaxID=49278 RepID=A0A5C7BA64_9FLAO</t>
  </si>
  <si>
    <t>Avril.NODE_198_length_9539_cov_5.856811_3</t>
  </si>
  <si>
    <t>VOG01744 [FUNC="REFSEQ hypothetical protein"] [TAG=Xu TAGDEF="Function unknown"]</t>
  </si>
  <si>
    <t>Uncharacterized protein n=1 Tax=Synechococcus phage S-B28 TaxID=2545435 RepID=A0A482IEY4_9CAUD</t>
  </si>
  <si>
    <t>Avril.NODE_208_length_8822_cov_7.156838_7</t>
  </si>
  <si>
    <t>VOG33963 [FUNC="REFSEQ hypothetical protein"] [TAG=Xu TAGDEF="Function unknown"]</t>
  </si>
  <si>
    <t>Glycosyltransferase n=1 Tax=Synechococcus phage S-T4 TaxID=2268578 RepID=A0A385EF55_9CAUD</t>
  </si>
  <si>
    <t>Avril.NODE_216_length_8718_cov_5.759206_10</t>
  </si>
  <si>
    <t>VOG23821 [FUNC="REFSEQ hypothetical protein"] [TAG=Xu TAGDEF="Function unknown"]</t>
  </si>
  <si>
    <t>Tail fiber protein n=1 Tax=Pseudoalteromonas phage J2-1 TaxID=2023998 RepID=A0A223LHB6_9CAUD</t>
  </si>
  <si>
    <t>Avril.NODE_216_length_8718_cov_5.759206_7</t>
  </si>
  <si>
    <t>Baseplate assembly protein n=1 Tax=Shewanella phage SppYZU01 TaxID=1965372 RepID=A0A1V0DYH6_9CAUD</t>
  </si>
  <si>
    <t>Avril.NODE_216_length_8718_cov_5.759206_8</t>
  </si>
  <si>
    <t>Tail protein n=1 Tax=Shewanella phage SppYZU01 TaxID=1965372 RepID=A0A1V0DYI9_9CAUD</t>
  </si>
  <si>
    <t>Avril.NODE_245_length_7822_cov_4.736964_5</t>
  </si>
  <si>
    <t>Tail fiber-like protein n=1 Tax=Prochlorococcus phage P-RSP2 TaxID=756283 RepID=M1NXB9_9CAUD</t>
  </si>
  <si>
    <t>Avril.NODE_251_length_7649_cov_10.635238_10</t>
  </si>
  <si>
    <t>VOG35660 [FUNC="REFSEQ major head protein"] [TAG=Xu TAGDEF="Function unknown"]</t>
  </si>
  <si>
    <t>Major capsid protein n=1 Tax=Podoviridae sp. ctDWo9 TaxID=2656708 RepID=A0A5Q2W8H0_9CAUD</t>
  </si>
  <si>
    <t>Avril.NODE_251_length_7649_cov_10.635238_6</t>
  </si>
  <si>
    <t>Portal protein n=1 Tax=Podoviridae sp. ctDWo9 TaxID=2656708 RepID=A0A5Q2W5Q8_9CAUD</t>
  </si>
  <si>
    <t>Avril.NODE_268_length_7382_cov_6.597516_12</t>
  </si>
  <si>
    <t>Putative VRR-DNA nuclease n=1 Tax=Idiomarinaceae phage Phi1M2-2 TaxID=1527515 RepID=A0A088FB78_9CAUD</t>
  </si>
  <si>
    <t>Avril.NODE_268_length_7382_cov_6.597516_8</t>
  </si>
  <si>
    <t>sp|O31907|YORG_BACSU SPbeta prophage-derived uncharacterized protein YorG OS=Bacillus subtilis (strain 168) OX=224308 GN=yorG PE=4 SV=1</t>
  </si>
  <si>
    <t>Uncharacterized protein n=1 Tax=Pseudoalteromonas phage H103 TaxID=1636200 RepID=A0A0K0MDI9_9CAUD</t>
  </si>
  <si>
    <t>Avril.NODE_268_length_7382_cov_6.597516_9</t>
  </si>
  <si>
    <t>Uncharacterized protein n=1 Tax=Pseudoalteromonas phage H103 TaxID=1636200 RepID=A0A0K0MD66_9CAUD</t>
  </si>
  <si>
    <t>Avril.NODE_275_length_7268_cov_8.969361_5</t>
  </si>
  <si>
    <t>Uncharacterized protein n=1 Tax=Tenacibaculum sp. SZ-18 TaxID=754423 RepID=A0A2K8V832_9FLAO</t>
  </si>
  <si>
    <t>Avril.NODE_302_length_6806_cov_5.620649_2</t>
  </si>
  <si>
    <t>Head-tail connector n=1 Tax=Pelagibacter phage HTVC024P TaxID=2796518 RepID=A0A7T3PH40_9CAUD</t>
  </si>
  <si>
    <t>Avril.NODE_302_length_6806_cov_5.620649_3</t>
  </si>
  <si>
    <t>Uncharacterized protein n=2 Tax=Pseudodesulfovibrio mercurii TaxID=641491 RepID=F0JC08_9BACT</t>
  </si>
  <si>
    <t>Avril.NODE_302_length_6806_cov_5.620649_4</t>
  </si>
  <si>
    <t>Putative major capsid protein n=1 Tax=Pelagibacter phage Lederberg EXVC029P TaxID=2759213 RepID=A0A7S6ILA8_9CAUD</t>
  </si>
  <si>
    <t>Avril.NODE_302_length_6806_cov_5.620649_5</t>
  </si>
  <si>
    <t>Uncharacterized protein n=1 Tax=Pseudomonas sp. WS 5406 TaxID=2717498 RepID=A0A7Y0YU57_9PSED</t>
  </si>
  <si>
    <t>Avril.NODE_302_length_6806_cov_5.620649_6</t>
  </si>
  <si>
    <t>Putative tail tubular protein A n=1 Tax=Pelagibacter phage Lederberg EXVC029P TaxID=2759213 RepID=A0A7S6IL96_9CAUD</t>
  </si>
  <si>
    <t>Avril.NODE_304_length_6712_cov_4.809374_3</t>
  </si>
  <si>
    <t>Minor tail protein n=1 Tax=Rubinisphaera brasiliensis (strain ATCC 49424 / DSM 5305 / JCM 21570 / IAM 15109 / NBRC 103401 / IFAM 1448) TaxID=756272 RepID=F0SNL0_RUBBR</t>
  </si>
  <si>
    <t>Avril.NODE_304_length_6712_cov_4.809374_7</t>
  </si>
  <si>
    <t>6-phosphogluconolactonase n=1 Tax=Phage CBW1004C-Prop1 TaxID=2838316 RepID=A0A8E7BVN6_9CAUD</t>
  </si>
  <si>
    <t>Avril.NODE_304_length_6712_cov_4.809374_9</t>
  </si>
  <si>
    <t>Capsid and scaffold protein n=1 Tax=Phage CBW1004C-Prop1 TaxID=2838316 RepID=A0A8E7BYE7_9CAUD</t>
  </si>
  <si>
    <t>Avril.NODE_314_length_6525_cov_6.168624_9</t>
  </si>
  <si>
    <t>Major capsid protein n=1 Tax=Shewanella phage SppYZU01 TaxID=1965372 RepID=A0A1V0DYG6_9CAUD</t>
  </si>
  <si>
    <t>Avril.NODE_315_length_6512_cov_5.134583_2</t>
  </si>
  <si>
    <t>Uncharacterized protein n=1 Tax=Halomonas kenyensis TaxID=321266 RepID=A0A7V9W0V5_9GAMM</t>
  </si>
  <si>
    <t>Avril.NODE_329_length_6307_cov_6.475048_6</t>
  </si>
  <si>
    <t>Portal protein n=1 Tax=Podoviridae sp. ctka020 TaxID=2656713 RepID=A0A5Q2W8P7_9CAUD</t>
  </si>
  <si>
    <t>Avril.NODE_333_length_6283_cov_4.996468_2</t>
  </si>
  <si>
    <t>Portal protein n=1 Tax=Rhizobium phage RHph_N65 TaxID=2509753 RepID=A0A7S5RGC1_9CAUD</t>
  </si>
  <si>
    <t>Avril.NODE_333_length_6283_cov_4.996468_3</t>
  </si>
  <si>
    <t>Scaffolding protein n=1 Tax=Rhizobium phage RHph_N65 TaxID=2509753 RepID=A0A7S5RB16_9CAUD</t>
  </si>
  <si>
    <t>Avril.NODE_333_length_6283_cov_4.996468_5</t>
  </si>
  <si>
    <t>Phage major capsid protein, HK97 family n=1 Tax=Bosea lathyri TaxID=1036778 RepID=A0A1H6BW34_9HYPH</t>
  </si>
  <si>
    <t>Avril.NODE_333_length_6283_cov_4.996468_6</t>
  </si>
  <si>
    <t>Uncharacterized protein n=1 Tax=Rhizobium phage RHph_N65 TaxID=2509753 RepID=A0A7S5RJK8_9CAUD</t>
  </si>
  <si>
    <t>Avril.NODE_335_length_6250_cov_22.793059_1</t>
  </si>
  <si>
    <t>Virion structural protein n=1 Tax=Pseudoalteromonas phage H103 TaxID=1636200 RepID=A0A0K0MD20_9CAUD</t>
  </si>
  <si>
    <t>Avril.NODE_335_length_6250_cov_22.793059_2</t>
  </si>
  <si>
    <t>Tail fiber protein (Fragment) n=1 Tax=Mimivirus LCMiAC01 TaxID=2506608 RepID=A0A481YZG3_9VIRU</t>
  </si>
  <si>
    <t>Avril.NODE_335_length_6250_cov_22.793059_5</t>
  </si>
  <si>
    <t>Avril.NODE_34_length_37560_cov_23.634315_1</t>
  </si>
  <si>
    <t>YopX protein domain-containing protein n=1 Tax=Polaribacter sp. IC073 TaxID=2508540 RepID=A0A5C6XU81_9FLAO</t>
  </si>
  <si>
    <t>Avril.NODE_34_length_37560_cov_23.634315_11</t>
  </si>
  <si>
    <t>Phage terminase small subunit n=1 Tax=Cellulophaga phage phi19:1 TaxID=1327970 RepID=R9ZXU8_9CAUD</t>
  </si>
  <si>
    <t>Avril.NODE_34_length_37560_cov_23.634315_17</t>
  </si>
  <si>
    <t>Avril.NODE_34_length_37560_cov_23.634315_18</t>
  </si>
  <si>
    <t>Avril.NODE_34_length_37560_cov_23.634315_2</t>
  </si>
  <si>
    <t>VOG13182 [FUNC="REFSEQ hypothetical protein"] [TAG=Xu TAGDEF="Function unknown"]</t>
  </si>
  <si>
    <t>Phage protein n=1 Tax=Tenacibaculum phage JQ TaxID=2712935 RepID=A0A6G6XU26_9CAUD</t>
  </si>
  <si>
    <t>Avril.NODE_34_length_37560_cov_23.634315_20</t>
  </si>
  <si>
    <t>Avril.NODE_34_length_37560_cov_23.634315_23</t>
  </si>
  <si>
    <t>Avril.NODE_34_length_37560_cov_23.634315_24</t>
  </si>
  <si>
    <t>Phage tail protein n=1 Tax=Cellulophaga phage phi10:1 TaxID=1327981 RepID=R9ZYK3_9CAUD</t>
  </si>
  <si>
    <t>Avril.NODE_34_length_37560_cov_23.634315_25</t>
  </si>
  <si>
    <t>Structural protein n=1 Tax=Cellulophaga phage phi10:1 TaxID=1327981 RepID=S0A0U4_9CAUD</t>
  </si>
  <si>
    <t>Avril.NODE_34_length_37560_cov_23.634315_29</t>
  </si>
  <si>
    <t>VOG06450 [FUNC="REFSEQ hypothetical protein"] [TAG=Xu TAGDEF="Function unknown"]</t>
  </si>
  <si>
    <t>Lipoprotein n=1 Tax=Cellulophaga phage phi10:1 TaxID=1327981 RepID=S0A0K7_9CAUD</t>
  </si>
  <si>
    <t>Avril.NODE_34_length_37560_cov_23.634315_3</t>
  </si>
  <si>
    <t>VOG09749 [FUNC="REFSEQ hypothetical protein"] [TAG=Xu TAGDEF="Function unknown"]</t>
  </si>
  <si>
    <t>Uncharacterized protein n=1 Tax=Aquimarina algiphila TaxID=2047982 RepID=A0A554VRJ4_9FLAO</t>
  </si>
  <si>
    <t>Avril.NODE_34_length_37560_cov_23.634315_30</t>
  </si>
  <si>
    <t>Calcineurin-like phosphoesterase family protein n=1 Tax=Marinilabilia salmonicolor TaxID=989 RepID=A0A368VDA8_9BACT</t>
  </si>
  <si>
    <t>Avril.NODE_34_length_37560_cov_23.634315_38</t>
  </si>
  <si>
    <t>VOG14564 [FUNC="REFSEQ hypothetical protein"] [TAG=Xu TAGDEF="Function unknown"]</t>
  </si>
  <si>
    <t>ASCH domain-containing protein n=2 Tax=Leeuwenhoekiella TaxID=283735 RepID=A3XG86_LEEBM</t>
  </si>
  <si>
    <t>Avril.NODE_34_length_37560_cov_23.634315_4</t>
  </si>
  <si>
    <t>VOG15573 [FUNC="REFSEQ hypothetical protein"] [TAG=Xu TAGDEF="Function unknown"]</t>
  </si>
  <si>
    <t>Phage protein n=2 Tax=Assiduviridae TaxID=2946156 RepID=R9ZYF4_9CAUD</t>
  </si>
  <si>
    <t>Avril.NODE_34_length_37560_cov_23.634315_40</t>
  </si>
  <si>
    <t>Uncharacterized protein n=1 Tax=Riemerella anatipestifer RA-CH-1 TaxID=1228997 RepID=J9R245_RIEAN</t>
  </si>
  <si>
    <t>Avril.NODE_34_length_37560_cov_23.634315_5</t>
  </si>
  <si>
    <t>VOG15011 [FUNC="REFSEQ single strand DNA binding protein"] [TAG=Xu TAGDEF="Function unknown"]</t>
  </si>
  <si>
    <t>DUF3127 domain-containing protein n=1 Tax=Winogradskyella thalassocola TaxID=262004 RepID=A0A1G7XUG9_9FLAO</t>
  </si>
  <si>
    <t>Avril.NODE_34_length_37560_cov_23.634315_6</t>
  </si>
  <si>
    <t>HNH nuclease domain-containing protein n=1 Tax=Caldisericum exile TaxID=693075 RepID=A0A7C4TXG7_9BACT</t>
  </si>
  <si>
    <t>Avril.NODE_34_length_37560_cov_23.634315_7</t>
  </si>
  <si>
    <t>Avril.NODE_34_length_37560_cov_23.634315_8</t>
  </si>
  <si>
    <t>DUF1376 domain-containing protein n=1 Tax=Cellulophaga phage phi19:1 TaxID=1327970 RepID=R9ZW52_9CAUD</t>
  </si>
  <si>
    <t>Avril.NODE_346_length_6061_cov_8.625042_1</t>
  </si>
  <si>
    <t>VOG12816 [FUNC="REFSEQ virion structural protein"] [TAG=Xu TAGDEF="Function unknown"]</t>
  </si>
  <si>
    <t>PLxRFG domain-containing protein n=1 Tax=Oricola cellulosilytica TaxID=1429082 RepID=A0A4R0PCE5_9HYPH</t>
  </si>
  <si>
    <t>Avril.NODE_346_length_6061_cov_8.625042_3</t>
  </si>
  <si>
    <t>Peptidase S74 domain-containing protein n=1 Tax=Pelagibacter phage HTVC008M TaxID=1283076 RepID=M1HLS3_9CAUD</t>
  </si>
  <si>
    <t>Avril.NODE_353_length_5977_cov_5.441405_3</t>
  </si>
  <si>
    <t>Avril.NODE_353_length_5977_cov_5.441405_4</t>
  </si>
  <si>
    <t>Avril.NODE_359_length_5917_cov_12.410611_2</t>
  </si>
  <si>
    <t>VOG37245 [FUNC="REFSEQ DNA binding protein"] [TAG=Xu TAGDEF="Function unknown"]</t>
  </si>
  <si>
    <t>Uncharacterized protein n=1 Tax=Ruegeria phage Tedan TaxID=2759200 RepID=A0A7G9V0H0_9CAUD</t>
  </si>
  <si>
    <t>Avril.NODE_359_length_5917_cov_12.410611_5</t>
  </si>
  <si>
    <t>Avril.NODE_366_length_5845_cov_16.757340_10</t>
  </si>
  <si>
    <t>Avril.NODE_366_length_5845_cov_16.757340_5</t>
  </si>
  <si>
    <t>Phage protein n=1 Tax=Pasteurella multocida TaxID=747 RepID=A0A1E3XKT0_PASMD</t>
  </si>
  <si>
    <t>Avril.NODE_389_length_5642_cov_15.155898_1</t>
  </si>
  <si>
    <t>VOG27464 [FUNC="REFSEQ replicative DNA helicase"] [TAG=Xu TAGDEF="Function unknown"]</t>
  </si>
  <si>
    <t>Helicase ATPase REPLICATION n=1 Tax=Podoviridae sp. ctQyH19 TaxID=2825249 RepID=A0A8S5UQX6_9CAUD</t>
  </si>
  <si>
    <t>Avril.NODE_389_length_5642_cov_15.155898_2</t>
  </si>
  <si>
    <t>AAA domain protein n=1 Tax=Myoviridae sp. ct1ba2 TaxID=2827654 RepID=A0A8S5S770_9CAUD</t>
  </si>
  <si>
    <t>Avril.NODE_389_length_5642_cov_15.155898_5</t>
  </si>
  <si>
    <t>DNA primase n=1 Tax=Podoviridae sp. ctQyH19 TaxID=2825249 RepID=A0A8S5UQN6_9CAUD</t>
  </si>
  <si>
    <t>Avril.NODE_4_length_52184_cov_14.862668_12</t>
  </si>
  <si>
    <t>VOG28430 [FUNC="REFSEQ hypothetical protein"] [TAG=Xu TAGDEF="Function unknown"]</t>
  </si>
  <si>
    <t>Uncharacterized protein n=1 Tax=Bacillus phage vB_BcoS-136 TaxID=2419619 RepID=A0A3G3BVQ9_9CAUD</t>
  </si>
  <si>
    <t>Avril.NODE_4_length_52184_cov_14.862668_13</t>
  </si>
  <si>
    <t>VOG35016 [FUNC="REFSEQ hypothetical protein"] [TAG=Xu TAGDEF="Function unknown"]</t>
  </si>
  <si>
    <t>Phage protein n=1 Tax=Yersinia phage fHe-Yen9-03 TaxID=2052743 RepID=A0A2C9CY91_9CAUD</t>
  </si>
  <si>
    <t>Avril.NODE_4_length_52184_cov_14.862668_20</t>
  </si>
  <si>
    <t>SGNH/GDSL hydrolase family protein n=1 Tax=Loktanella ponticola TaxID=1524255 RepID=A0A7W9EZC0_9RHOB</t>
  </si>
  <si>
    <t>Avril.NODE_4_length_52184_cov_14.862668_21</t>
  </si>
  <si>
    <t>Uncharacterized protein n=2 Tax=Jannaschia seosinensis TaxID=313367 RepID=A0A0M7BGE9_9RHOB</t>
  </si>
  <si>
    <t>Avril.NODE_4_length_52184_cov_14.862668_22</t>
  </si>
  <si>
    <t>Avril.NODE_4_length_52184_cov_14.862668_23</t>
  </si>
  <si>
    <t>DUF2190 family protein n=1 Tax=Roseobacter phage CRP-6 TaxID=2559285 RepID=A0A646QX51_9CAUD</t>
  </si>
  <si>
    <t>Avril.NODE_4_length_52184_cov_14.862668_25</t>
  </si>
  <si>
    <t>sp|J9RWN8|CAPSD_BPPPJ Major capsid protein OS=Pseudomonas phage JBD67 OX=1225793 GN=HMPREFV_HMPID9886gp0036 PE=1 SV=1</t>
  </si>
  <si>
    <t>VOG02552 [FUNC="sp|Q6QIB5|CAPSD_BPBMU Major capsid protein"] [TAG=Xh TAGDEF="Virus protein with function beneficial for the host"]</t>
  </si>
  <si>
    <t>Capsid protein n=1 Tax=Roseobacter phage CRP-6 TaxID=2559285 RepID=A0A646QWL1_9CAUD</t>
  </si>
  <si>
    <t>Avril.NODE_4_length_52184_cov_14.862668_26</t>
  </si>
  <si>
    <t>Uncharacterized protein n=1 Tax=Roseobacter phage CRP-6 TaxID=2559285 RepID=A0A646QWK0_9CAUD</t>
  </si>
  <si>
    <t>Avril.NODE_4_length_52184_cov_14.862668_27</t>
  </si>
  <si>
    <t>Uncharacterized protein n=1 Tax=Roseobacter phage CRP-6 TaxID=2559285 RepID=A0A646QWK2_9CAUD</t>
  </si>
  <si>
    <t>Avril.NODE_4_length_52184_cov_14.862668_28</t>
  </si>
  <si>
    <t>Minor capsid protein n=1 Tax=Roseobacter phage CRP-6 TaxID=2559285 RepID=A0A646QWJ0_9CAUD</t>
  </si>
  <si>
    <t>Avril.NODE_4_length_52184_cov_14.862668_3</t>
  </si>
  <si>
    <t>Tail fiber domain-containing protein n=1 Tax=Youngimonas vesicularis TaxID=1294297 RepID=A0A4S3M5F0_9RHOB</t>
  </si>
  <si>
    <t>Avril.NODE_4_length_52184_cov_14.862668_30</t>
  </si>
  <si>
    <t>VOG00352 [FUNC="REFSEQ tail terminator"] [TAG=Xu TAGDEF="Function unknown"]</t>
  </si>
  <si>
    <t>Tail-completion protein n=1 Tax=Roseobacter phage CRP-6 TaxID=2559285 RepID=A0A646QWI9_9CAUD</t>
  </si>
  <si>
    <t>Avril.NODE_4_length_52184_cov_14.862668_31</t>
  </si>
  <si>
    <t>Avril.NODE_4_length_52184_cov_14.862668_32</t>
  </si>
  <si>
    <t>Tail assembly chaperone n=1 Tax=Roseobacter phage CRP-6 TaxID=2559285 RepID=A0A646QWJ4_9CAUD</t>
  </si>
  <si>
    <t>Avril.NODE_4_length_52184_cov_14.862668_34</t>
  </si>
  <si>
    <t>Phage tail protein n=1 Tax=Shimia haliotis TaxID=1280847 RepID=A0A1I4CC02_9RHOB</t>
  </si>
  <si>
    <t>Avril.NODE_4_length_52184_cov_14.862668_35</t>
  </si>
  <si>
    <t>DUF2163 domain-containing protein n=1 Tax=Tabrizicola sp. WMC-M-20 TaxID=2528693 RepID=A0A4Z0LGI8_9RHOB</t>
  </si>
  <si>
    <t>Avril.NODE_4_length_52184_cov_14.862668_4</t>
  </si>
  <si>
    <t>VOG00777 [FUNC="REFSEQ hypothetical protein"] [TAG=Xu TAGDEF="Function unknown"]</t>
  </si>
  <si>
    <t>DUF4376 domain-containing protein n=1 Tax=Cohaesibacter sp. ES.047 TaxID=1798205 RepID=A0A285M8B0_9HYPH</t>
  </si>
  <si>
    <t>Avril.NODE_4_length_52184_cov_14.862668_44</t>
  </si>
  <si>
    <t>Bacteriophage protein n=1 Tax=Burkholderia multivorans TaxID=87883 RepID=A0A2S9MBC1_9BURK</t>
  </si>
  <si>
    <t>Avril.NODE_4_length_52184_cov_14.862668_45</t>
  </si>
  <si>
    <t>Uncharacterized protein n=1 Tax=Bacillus sp. 7586-K TaxID=2021690 RepID=A0A268EC85_9BACI</t>
  </si>
  <si>
    <t>Avril.NODE_4_length_52184_cov_14.862668_49</t>
  </si>
  <si>
    <t>Avril.NODE_4_length_52184_cov_14.862668_52</t>
  </si>
  <si>
    <t>Uncharacterized protein n=1 Tax=Skeletonema virus LDF-2015a TaxID=1769778 RepID=A0A1B1IHW4_9VIRU</t>
  </si>
  <si>
    <t>Avril.NODE_4_length_52184_cov_14.862668_54</t>
  </si>
  <si>
    <t>HNH nuclease n=1 Tax=Klebsiella phage vB_KpnP_Klyazma TaxID=2972439 RepID=A0A976XLZ6_9CAUD</t>
  </si>
  <si>
    <t>Avril.NODE_4_length_52184_cov_14.862668_58</t>
  </si>
  <si>
    <t>Calcineurin-like phosphoesterase domain-containing protein (Fragment) n=1 Tax=Phormidium sp. SL48-SHIP TaxID=2518363 RepID=A0A522X8C2_9CYAN</t>
  </si>
  <si>
    <t>Avril.NODE_4_length_52184_cov_14.862668_60</t>
  </si>
  <si>
    <t>Uncharacterized protein n=1 Tax=Labrenzia sp. THAF35 TaxID=2587854 RepID=A0A9X7NRE3_9HYPH</t>
  </si>
  <si>
    <t>Avril.NODE_4_length_52184_cov_14.862668_63</t>
  </si>
  <si>
    <t>Nucelotide kinase n=1 Tax=Siphoviridae sp. ctKcB20 TaxID=2827568 RepID=A0A8S5LKU1_9CAUD</t>
  </si>
  <si>
    <t>Avril.NODE_4_length_52184_cov_14.862668_7</t>
  </si>
  <si>
    <t>Holin n=1 Tax=Halomonas sp. BC04 TaxID=1403540 RepID=W7Q8N5_9GAMM</t>
  </si>
  <si>
    <t>Avril.NODE_40_length_35582_cov_1508.917105_1</t>
  </si>
  <si>
    <t>Major capsid protein n=1 Tax=Podoviridae sp. ctviO18 TaxID=2656716 RepID=A0A5Q2W9L9_9CAUD</t>
  </si>
  <si>
    <t>Avril.NODE_401_length_5539_cov_11.167396_2</t>
  </si>
  <si>
    <t>VOG05745 [FUNC="REFSEQ hypothetical protein"] [TAG=Xu TAGDEF="Function unknown"]</t>
  </si>
  <si>
    <t>Uncharacterized protein n=1 Tax=Flavobacterium tangerinum TaxID=2488728 RepID=A0A3P3W8P7_9FLAO</t>
  </si>
  <si>
    <t>Avril.NODE_401_length_5539_cov_11.167396_4</t>
  </si>
  <si>
    <t>VOG00860 [FUNC="REFSEQ tail protein"] [TAG=Xu TAGDEF="Function unknown"]</t>
  </si>
  <si>
    <t>Uncharacterized protein n=1 Tax=Parabacteroides phage PD691P3 TaxID=2968688 RepID=A0A9Y1MS48_9CAUD</t>
  </si>
  <si>
    <t>Avril.NODE_404_length_5515_cov_20.092674_2</t>
  </si>
  <si>
    <t>VOG19876 [FUNC="REFSEQ pectin lyase activity"] [TAG=Xu TAGDEF="Function unknown"]</t>
  </si>
  <si>
    <t>Pectin lyase-like protein n=1 Tax=Lessievirus bcepmigl TaxID=1195073 RepID=I6X6U1_9CAUD</t>
  </si>
  <si>
    <t>Avril.NODE_404_length_5515_cov_20.092674_3</t>
  </si>
  <si>
    <t>Avril.NODE_423_length_5371_cov_14.051166_2</t>
  </si>
  <si>
    <t>VOG01073 [FUNC="REFSEQ hypothetical protein"] [TAG=Xu TAGDEF="Function unknown"]</t>
  </si>
  <si>
    <t>Uncharacterized protein n=1 Tax=Xylella phage Salvo TaxID=1415147 RepID=V5Q8T2_9CAUD</t>
  </si>
  <si>
    <t>Avril.NODE_428_length_5323_cov_18.882878_4</t>
  </si>
  <si>
    <t>Uncharacterized protein n=1 Tax=Salinisphaera hydrothermalis (strain C41B8) TaxID=1304275 RepID=A0A084INN8_SALHC</t>
  </si>
  <si>
    <t>Avril.NODE_428_length_5323_cov_18.882878_5</t>
  </si>
  <si>
    <t>Co-chaperonin GroES protein n=1 Tax=Caulobacter phage RW TaxID=2591034 RepID=A0A514AAZ8_9CAUD</t>
  </si>
  <si>
    <t>Avril.NODE_466_length_5014_cov_6.251260_2</t>
  </si>
  <si>
    <t>VOG04997 [FUNC="REFSEQ portal protein"] [TAG=Xu TAGDEF="Function unknown"]</t>
  </si>
  <si>
    <t>Uncharacterized protein n=3 Tax=root TaxID=1 RepID=A0A9Y1HT91_9CAUD</t>
  </si>
  <si>
    <t>Avril.NODE_466_length_5014_cov_6.251260_5</t>
  </si>
  <si>
    <t>Uncharacterized protein n=1 Tax=Gramella crocea TaxID=2904124 RepID=A0A9X2A6Y3_9FLAO</t>
  </si>
  <si>
    <t>Avril.NODE_469_length_5004_cov_3.915943_4</t>
  </si>
  <si>
    <t>Trimeric autotransporter adhesin YadA-like head domain-containing protein n=1 Tax=Roseobacter phage RDJL Phi 2 TaxID=1682380 RepID=A0A0K0PVI4_9CAUD</t>
  </si>
  <si>
    <t>Avril.NODE_474_length_4951_cov_5.210989_11</t>
  </si>
  <si>
    <t>Oxidoreductase n=1 Tax=Limoniibacter endophyticus TaxID=1565040 RepID=A0A8J3DFM8_9HYPH</t>
  </si>
  <si>
    <t>Avril.NODE_474_length_4951_cov_5.210989_2</t>
  </si>
  <si>
    <t>DUF551 domain-containing protein n=1 Tax=Mesorhizobium sp. Root172 TaxID=1736481 RepID=A0A0Q8KFM7_9HYPH</t>
  </si>
  <si>
    <t>Avril.NODE_474_length_4951_cov_5.210989_4</t>
  </si>
  <si>
    <t>Uncharacterized protein n=1 Tax=Tenacibaculum phage pT24 TaxID=1880590 RepID=A0A1B4XWJ4_9CAUD</t>
  </si>
  <si>
    <t>Avril.NODE_474_length_4951_cov_5.210989_6</t>
  </si>
  <si>
    <t>Uncharacterized protein n=1 Tax=Kyungwonvirus Esp29491 TaxID=1073767 RepID=G1CST1_9CAUD</t>
  </si>
  <si>
    <t>Avril.NODE_495_length_4767_cov_6.810908_6</t>
  </si>
  <si>
    <t>Uncharacterized protein n=1 Tax=Proteus phage Privateer TaxID=2712958 RepID=A0A6G8R3T1_9CAUD</t>
  </si>
  <si>
    <t>Avril.NODE_495_length_4767_cov_6.810908_8</t>
  </si>
  <si>
    <t>Portal (Connector) protein n=5 Tax=root TaxID=1 RepID=A0A076G5E8_9CAUD</t>
  </si>
  <si>
    <t>Avril.NODE_495_length_4767_cov_6.810908_9</t>
  </si>
  <si>
    <t>Bacteriophage head to tail connecting protein n=1 Tax=Bradyrhizobium erythrophlei TaxID=1437360 RepID=A0A1M5T8B9_9BRAD</t>
  </si>
  <si>
    <t>Avril.NODE_497_length_4757_cov_5.379838_1</t>
  </si>
  <si>
    <t>Terminase-like family protein n=1 Tax=Prosthecobacter debontii TaxID=48467 RepID=A0A1T4X5Y7_9BACT</t>
  </si>
  <si>
    <t>Avril.NODE_497_length_4757_cov_5.379838_5</t>
  </si>
  <si>
    <t>VOG02787 [FUNC="REFSEQ hypothetical protein"] [TAG=Xu TAGDEF="Function unknown"]</t>
  </si>
  <si>
    <t>Uncharacterized protein n=1 Tax=Caulobacter phage CcrColossus TaxID=1211640 RepID=K4JW53_9CAUD</t>
  </si>
  <si>
    <t>Avril.NODE_497_length_4757_cov_5.379838_6</t>
  </si>
  <si>
    <t>Avril.NODE_502_length_4728_cov_211.053927_2</t>
  </si>
  <si>
    <t>VOG21927 [FUNC="REFSEQ hypothetical protein"] [TAG=Xu TAGDEF="Function unknown"]</t>
  </si>
  <si>
    <t>Antirestriction protein n=1 Tax=Pseudomonas phage phiPMW TaxID=1815582 RepID=A0A1S5R167_9CAUD</t>
  </si>
  <si>
    <t>Avril.NODE_515_length_4594_cov_3.888522_2</t>
  </si>
  <si>
    <t>Putative phage-associated recombination protein n=1 Tax=Nonlabens phage P12024L TaxID=1168479 RepID=I6R9Q2_9CAUD</t>
  </si>
  <si>
    <t>Avril.NODE_515_length_4594_cov_3.888522_3</t>
  </si>
  <si>
    <t>ATP dependent helicase n=1 Tax=Podoviridae sp. ctQyH19 TaxID=2825249 RepID=A0A8S5UQU4_9CAUD</t>
  </si>
  <si>
    <t>Avril.NODE_515_length_4594_cov_3.888522_5</t>
  </si>
  <si>
    <t>HNH endonuclease n=1 Tax=Siphoviridae sp. ctpQM7 TaxID=2656722 RepID=A0A5Q2W891_9CAUD</t>
  </si>
  <si>
    <t>Avril.NODE_517_length_4566_cov_3.824651_2</t>
  </si>
  <si>
    <t>Portal protein n=6 Tax=root TaxID=1 RepID=R9RFW9_9CAUD</t>
  </si>
  <si>
    <t>Avril.NODE_517_length_4566_cov_3.824651_4</t>
  </si>
  <si>
    <t>N4-gp56 family major capsid protein n=1 Tax=Cupriavidus taiwanensis TaxID=164546 RepID=A0A375C933_9BURK</t>
  </si>
  <si>
    <t>Avril.NODE_518_length_4558_cov_5.956918_2</t>
  </si>
  <si>
    <t>Putative recombination protein n=1 Tax=Edwardsiella phage GF-2 TaxID=1537091 RepID=A0A077KCB6_9CAUD</t>
  </si>
  <si>
    <t>Avril.NODE_518_length_4558_cov_5.956918_6</t>
  </si>
  <si>
    <t>Uncharacterized protein n=1 Tax=Synechococcus phage Bellamy TaxID=2023996 RepID=A0A222YWY2_9CAUD</t>
  </si>
  <si>
    <t>Avril.NODE_526_length_4502_cov_8.365865_4</t>
  </si>
  <si>
    <t>Avril.NODE_528_length_4496_cov_5.266832_1</t>
  </si>
  <si>
    <t>Uncharacterized protein n=2 Tax=Siovirus germanense TaxID=2845497 RepID=A0A3G2YRD4_9CAUD</t>
  </si>
  <si>
    <t>Avril.NODE_528_length_4496_cov_5.266832_2</t>
  </si>
  <si>
    <t>Major capsid protein n=2 Tax=Siovirus germanense TaxID=2845497 RepID=A0A3G2YR79_9CAUD</t>
  </si>
  <si>
    <t>Avril.NODE_528_length_4496_cov_5.266832_5</t>
  </si>
  <si>
    <t>Uncharacterized protein n=1 Tax=Thermomonas haemolytica TaxID=141949 RepID=A0A4R3N8Z0_9GAMM</t>
  </si>
  <si>
    <t>Avril.NODE_528_length_4496_cov_5.266832_6</t>
  </si>
  <si>
    <t>Ig-like domain-containing protein n=1 Tax=Hyphomonas sp. CY54-11-8 TaxID=1280944 RepID=A0A059DRC2_9PROT</t>
  </si>
  <si>
    <t>Avril.NODE_531_length_4481_cov_3.347492_3</t>
  </si>
  <si>
    <t>sp|Q9T1P8|VP50_BPAPS Putative protein p50 OS=Acyrthosiphon pisum secondary endosymbiont phage 1 OX=2682836 GN=50 PE=4 SV=1</t>
  </si>
  <si>
    <t>DUF2815 family protein n=1 Tax=Pseudoalteromonas phage AL TaxID=2712933 RepID=A0A6G6XVC6_9CAUD</t>
  </si>
  <si>
    <t>Avril.NODE_531_length_4481_cov_3.347492_5</t>
  </si>
  <si>
    <t>Fis family transcriptional regulator n=1 Tax=Caulobacter sp. FWC2 TaxID=69664 RepID=A0A2G5QLC0_9CAUL</t>
  </si>
  <si>
    <t>Avril.NODE_537_length_4464_cov_3.849399_4</t>
  </si>
  <si>
    <t>DNA glycosylase n=1 Tax=Brevundimonas phage vB_BpoS-Strzyga TaxID=2948609 RepID=A0A9E7SM48_9CAUD</t>
  </si>
  <si>
    <t>Avril.NODE_549_length_4368_cov_3.079063_3</t>
  </si>
  <si>
    <t>Avril.NODE_549_length_4368_cov_3.079063_4</t>
  </si>
  <si>
    <t>Avril.NODE_549_length_4368_cov_3.079063_5</t>
  </si>
  <si>
    <t>Avril.NODE_569_length_4216_cov_3.571978_4</t>
  </si>
  <si>
    <t>VOG01674 [FUNC="sp|O64363|VG55_BPN15 Protein gp55"] [TAG=Xu TAGDEF="Function unknown"]</t>
  </si>
  <si>
    <t>Homology to phage-tail assembly proteins n=1 Tax=Orrella dioscoreae TaxID=1851544 RepID=A0A1C3K7L9_9BURK</t>
  </si>
  <si>
    <t>Avril.NODE_571_length_4202_cov_51.095250_3</t>
  </si>
  <si>
    <t>Coil containing protein n=1 Tax=Vibrio phage 1.184.A._10N.286.49.A5 TaxID=1881254 RepID=A0A2I7RHM3_9CAUD</t>
  </si>
  <si>
    <t>Avril.NODE_571_length_4202_cov_51.095250_5</t>
  </si>
  <si>
    <t>Large polyvalent protein associated domain-containing protein n=1 Tax=Alteromonas australica TaxID=589873 RepID=A0A350P6I8_9ALTE</t>
  </si>
  <si>
    <t>Avril.NODE_587_length_4079_cov_4.190109_4</t>
  </si>
  <si>
    <t>VOG07575 [FUNC="REFSEQ COOH.NH2 ligase"] [TAG=Xu TAGDEF="Function unknown"]</t>
  </si>
  <si>
    <t>COOH.NH2 ligase-type 2 n=1 Tax=Pseudomonas phage IME180 TaxID=2041348 RepID=A0A291I9C3_9CAUD</t>
  </si>
  <si>
    <t>Avril.NODE_587_length_4079_cov_4.190109_5</t>
  </si>
  <si>
    <t>VOG35618 [FUNC="REFSEQ hypothetical protein"] [TAG=Xu TAGDEF="Function unknown"]</t>
  </si>
  <si>
    <t>Virion structural protein n=1 Tax=Erwinia phage Pecta TaxID=2851070 RepID=A0A9E6N8P6_9CAUD</t>
  </si>
  <si>
    <t>Avril.NODE_590_length_4063_cov_7.149202_3</t>
  </si>
  <si>
    <t>VOG00233 [FUNC="sp|P03690|VR2A_BPT4 Protein rIIA"] [TAG=Xh TAGDEF="Virus protein with function beneficial for the host"]</t>
  </si>
  <si>
    <t>N4 rIIA-like protein n=2 Tax=Roseovarius Plymouth podovirus 1 TaxID=926474 RepID=E3PZ82_9CAUD</t>
  </si>
  <si>
    <t>Avril.NODE_590_length_4063_cov_7.149202_4</t>
  </si>
  <si>
    <t>VOG00673 [FUNC="sp|P03691|VR2B_BPT4 Protein rIIB"] [TAG=Xh TAGDEF="Virus protein with function beneficial for the host"]</t>
  </si>
  <si>
    <t>N4 rIIB-like protein n=2 Tax=Roseovarius Plymouth podovirus 1 TaxID=926474 RepID=E3PZ83_9CAUD</t>
  </si>
  <si>
    <t>Avril.NODE_592_length_4053_cov_6.845923_8</t>
  </si>
  <si>
    <t>Uncharacterized protein n=1 Tax=Devosia pacifica TaxID=1335967 RepID=A0A918S717_9HYPH</t>
  </si>
  <si>
    <t>Avril.NODE_630_length_3840_cov_18.272919_3</t>
  </si>
  <si>
    <t>Avril.NODE_630_length_3840_cov_18.272919_5</t>
  </si>
  <si>
    <t>Avril.NODE_637_length_3818_cov_4.330322_2</t>
  </si>
  <si>
    <t>Uncharacterized protein n=1 Tax=Vibrio phage CKB-S1 TaxID=1903259 RepID=A0A1E1GE12_9CAUD</t>
  </si>
  <si>
    <t>Avril.NODE_637_length_3818_cov_4.330322_3</t>
  </si>
  <si>
    <t>Uncharacterized protein n=1 Tax=Shewanella phage SppYZU01 TaxID=1965372 RepID=A0A1V0DYF2_9CAUD</t>
  </si>
  <si>
    <t>Avril.NODE_637_length_3818_cov_4.330322_6</t>
  </si>
  <si>
    <t>Tail tube protein n=1 Tax=Vibrio phage 1.009.O._10N.261.51.C9 TaxID=1881289 RepID=A0A2I7QJK1_9CAUD</t>
  </si>
  <si>
    <t>Avril.NODE_656_length_3752_cov_6.298621_1</t>
  </si>
  <si>
    <t>Uncharacterized protein n=1 Tax=Elizabethkingia anophelis TaxID=1117645 RepID=A0A494JBW2_9FLAO</t>
  </si>
  <si>
    <t>Avril.NODE_656_length_3752_cov_6.298621_2</t>
  </si>
  <si>
    <t>Phage protein n=2 Tax=Incheonvirus TaxID=2976977 RepID=A0A0F7IJZ2_9CAUD</t>
  </si>
  <si>
    <t>Avril.NODE_656_length_3752_cov_6.298621_3</t>
  </si>
  <si>
    <t>VOG06438 [FUNC="REFSEQ hypothetical protein"] [TAG=Xu TAGDEF="Function unknown"]</t>
  </si>
  <si>
    <t>Uncharacterized protein n=2 Tax=Incheonvirus TaxID=2976977 RepID=A0A0F7IKK4_9CAUD</t>
  </si>
  <si>
    <t>Avril.NODE_656_length_3752_cov_6.298621_4</t>
  </si>
  <si>
    <t>Uncharacterized protein n=2 Tax=Incheonvirus TaxID=2976977 RepID=A0A0F7IN88_9CAUD</t>
  </si>
  <si>
    <t>Avril.NODE_673_length_3695_cov_3.051374_1</t>
  </si>
  <si>
    <t>VOG32686 [FUNC="REFSEQ virion structural protein"] [TAG=Xu TAGDEF="Function unknown"]</t>
  </si>
  <si>
    <t>Uncharacterized protein n=1 Tax=Tenacibaculum sp. SZ-18 TaxID=754423 RepID=A0A2K8VCR0_9FLAO</t>
  </si>
  <si>
    <t>Avril.NODE_673_length_3695_cov_3.051374_3</t>
  </si>
  <si>
    <t>Uncharacterized protein n=1 Tax=Tenacibaculum phage JQ TaxID=2712935 RepID=A0A6G6XUT5_9CAUD</t>
  </si>
  <si>
    <t>Avril.NODE_677_length_3682_cov_8.232975_2</t>
  </si>
  <si>
    <t>Metallo-dependent phosphatase-like domain containing protein n=1 Tax=Freshwater phage uvFW-CGR-AMD-COM-C203 TaxID=1838151 RepID=A0A1B0XTL6_9CAUD</t>
  </si>
  <si>
    <t>Avril.NODE_680_length_3665_cov_6.449584_1</t>
  </si>
  <si>
    <t>VOG02543 [FUNC="REFSEQ terminase small subunit"] [TAG=Xu TAGDEF="Function unknown"]</t>
  </si>
  <si>
    <t>Terminase small subunit n=1 Tax=Pontimicrobium aquaticum TaxID=2565367 RepID=A0A4U0F1D2_9FLAO</t>
  </si>
  <si>
    <t>Avril.NODE_680_length_3665_cov_6.449584_3</t>
  </si>
  <si>
    <t>VOG32613 [FUNC="REFSEQ hypothetical protein"] [TAG=Xu TAGDEF="Function unknown"]</t>
  </si>
  <si>
    <t>Uncharacterized protein n=1 Tax=Cellulophaga phage phi13:2 TaxID=1328030 RepID=S0A4G6_9CAUD</t>
  </si>
  <si>
    <t>Avril.NODE_69_length_24806_cov_10.877177_10</t>
  </si>
  <si>
    <t>Major capsid protein n=1 Tax=Lentibacter virus vB_LenP_ICBM2 TaxID=2301529 RepID=A0A3G2YRD3_9CAUD</t>
  </si>
  <si>
    <t>Avril.NODE_69_length_24806_cov_10.877177_13</t>
  </si>
  <si>
    <t>Putative adaptor protein n=1 Tax=Roseobacter phage CRP-5 TaxID=2559284 RepID=A0A646QWD9_9CAUD</t>
  </si>
  <si>
    <t>Avril.NODE_69_length_24806_cov_10.877177_15</t>
  </si>
  <si>
    <t>Tubular protein B n=1 Tax=Lentibacter virus vB_LenP_ICBM2 TaxID=2301529 RepID=A0A3G2YRV9_9CAUD</t>
  </si>
  <si>
    <t>Avril.NODE_69_length_24806_cov_10.877177_16</t>
  </si>
  <si>
    <t>GCN5-related N-acetyltransferase n=1 Tax=Celeribacter phage P12053L TaxID=1197951 RepID=I6R9K6_9CAUD</t>
  </si>
  <si>
    <t>Avril.NODE_69_length_24806_cov_10.877177_17</t>
  </si>
  <si>
    <t>Internal virion protein n=1 Tax=Roseobacter phage CRP-4 TaxID=2559283 RepID=A0A646QW62_9CAUD</t>
  </si>
  <si>
    <t>Avril.NODE_69_length_24806_cov_10.877177_18</t>
  </si>
  <si>
    <t>Internal virion protein D n=1 Tax=Roseobacter phage CRP-4 TaxID=2559283 RepID=A0A646QW61_9CAUD</t>
  </si>
  <si>
    <t>Avril.NODE_69_length_24806_cov_10.877177_2</t>
  </si>
  <si>
    <t>PKD domain-containing protein n=1 Tax=Litoreibacter ascidiaceicola TaxID=1486859 RepID=A0A1M5DWS8_9RHOB</t>
  </si>
  <si>
    <t>Avril.NODE_69_length_24806_cov_10.877177_21</t>
  </si>
  <si>
    <t>Uncharacterized protein n=1 Tax=Thalassobius litoralis TaxID=1010611 RepID=A0A521FBR1_9RHOB</t>
  </si>
  <si>
    <t>Avril.NODE_69_length_24806_cov_10.877177_23</t>
  </si>
  <si>
    <t>Avril.NODE_69_length_24806_cov_10.877177_25</t>
  </si>
  <si>
    <t>VOG01814 [FUNC="REFSEQ nucleotide kinase"] [TAG=Xu TAGDEF="Function unknown"]</t>
  </si>
  <si>
    <t>DUF3310 domain-containing protein n=1 Tax=Rhizobium phage RHph_I3_11 TaxID=2509731 RepID=A0A7S5UUP8_9CAUD</t>
  </si>
  <si>
    <t>Avril.NODE_69_length_24806_cov_10.877177_3</t>
  </si>
  <si>
    <t>VOG08313 [FUNC="REFSEQ hypothetical protein"] [TAG=Xu TAGDEF="Function unknown"]</t>
  </si>
  <si>
    <t>Uncharacterized protein n=1 Tax=Cohaesibacter sp. ES.047 TaxID=1798205 RepID=A0A285MBY5_9HYPH</t>
  </si>
  <si>
    <t>Avril.NODE_69_length_24806_cov_10.877177_7</t>
  </si>
  <si>
    <t>Tail fiber protein n=1 Tax=Micavibrio aeruginosavorus TaxID=349221 RepID=A0A2W5MZD7_9BACT</t>
  </si>
  <si>
    <t>Avril.NODE_69_length_24806_cov_10.877177_8</t>
  </si>
  <si>
    <t>Putative portal protein n=1 Tax=Roseobacter phage CRP-5 TaxID=2559284 RepID=A0A646QWD2_9CAUD</t>
  </si>
  <si>
    <t>Avril.NODE_69_length_24806_cov_10.877177_9</t>
  </si>
  <si>
    <t>VOG25798 [FUNC="REFSEQ hypothetical protein"] [TAG=Xu TAGDEF="Function unknown"]</t>
  </si>
  <si>
    <t>Uncharacterized protein n=1 Tax=Roseobacter phage CRP-5 TaxID=2559284 RepID=A0A646QWC6_9CAUD</t>
  </si>
  <si>
    <t>Avril.NODE_698_length_3595_cov_7.156215_3</t>
  </si>
  <si>
    <t>Uncharacterized protein n=1 Tax=Pseudomonas phage vB_PaeP_Tr60_Ab31 TaxID=1449437 RepID=W6MVE3_9CAUD</t>
  </si>
  <si>
    <t>Avril.NODE_700_length_3587_cov_4.046433_1</t>
  </si>
  <si>
    <t>DNA directed DNA polymerase n=1 Tax=Myoviridae sp. ctx322 TaxID=2826711 RepID=A0A8S5NA30_9CAUD</t>
  </si>
  <si>
    <t>Avril.NODE_700_length_3587_cov_4.046433_2</t>
  </si>
  <si>
    <t>Uncharacterized protein n=1 Tax=Myoviridae sp. ctx322 TaxID=2826711 RepID=A0A8S5NBD5_9CAUD</t>
  </si>
  <si>
    <t>Avril.NODE_700_length_3587_cov_4.046433_4</t>
  </si>
  <si>
    <t>Deoxynucleotide monophosphate kinase n=1 Tax=Pseudomonas fragi TaxID=296 RepID=A0A266LNL4_PSEFR</t>
  </si>
  <si>
    <t>Avril.NODE_705_length_3581_cov_2.805729_1</t>
  </si>
  <si>
    <t>P22 coat protein Gp5 n=1 Tax=Bradyrhizobium sp. Y-H1 TaxID=2485167 RepID=A0A4R3U4X9_9BRAD</t>
  </si>
  <si>
    <t>Avril.NODE_705_length_3581_cov_2.805729_3</t>
  </si>
  <si>
    <t>Major tail protein n=1 Tax=Gordonia phage Moosehead TaxID=2743987 RepID=A0A7D5K6F4_9CAUD</t>
  </si>
  <si>
    <t>Avril.NODE_723_length_3513_cov_4.836322_1</t>
  </si>
  <si>
    <t>VOG14714 [FUNC="REFSEQ hypothetical protein"] [TAG=Xu TAGDEF="Function unknown"]</t>
  </si>
  <si>
    <t>Tail fiber protein n=1 Tax=Olleya phage Harreka_1 TaxID=2745673 RepID=A0A8E5EAV1_9CAUD</t>
  </si>
  <si>
    <t>Avril.NODE_723_length_3513_cov_4.836322_2</t>
  </si>
  <si>
    <t>VOG22696 [FUNC="REFSEQ hypothetical protein"] [TAG=Xu TAGDEF="Function unknown"]</t>
  </si>
  <si>
    <t>Uncharacterized protein n=1 Tax=Olleya phage Harreka_1 TaxID=2745673 RepID=A0A8E5EBH6_9CAUD</t>
  </si>
  <si>
    <t>Avril.NODE_737_length_3472_cov_83.769681_1</t>
  </si>
  <si>
    <t>Calcineurin-like phosphoesterase domain-containing protein n=1 Tax=Synechococcus phage S-CBS2 TaxID=753084 RepID=F4YCR0_9CAUD</t>
  </si>
  <si>
    <t>Avril.NODE_737_length_3472_cov_83.769681_3</t>
  </si>
  <si>
    <t>DUF2591 domain-containing protein n=1 Tax=Brucella anthropi TaxID=529 RepID=A0A8I0N587_BRUAN</t>
  </si>
  <si>
    <t>Avril.NODE_738_length_3472_cov_4.064677_4</t>
  </si>
  <si>
    <t>Tail fiber protein n=1 Tax=Vibrio phage VBM1 TaxID=754074 RepID=M4PRJ8_9CAUD</t>
  </si>
  <si>
    <t>Avril.NODE_746_length_3440_cov_5.264106_2</t>
  </si>
  <si>
    <t>Uncharacterized protein gp36 n=1 Tax=EBPR podovirus 3 TaxID=1048517 RepID=F8TUZ8_9CAUD</t>
  </si>
  <si>
    <t>Avril.NODE_746_length_3440_cov_5.264106_5</t>
  </si>
  <si>
    <t>sp|P03770|NING_LAMBD Protein ninG OS=Escherichia phage lambda OX=2681611 GN=ninG PE=3 SV=1</t>
  </si>
  <si>
    <t>NinG protein n=1 Tax=Marinosulfonomonas sp. PRT-SC04 TaxID=1527300 RepID=A0A0P9ACP0_9RHOB</t>
  </si>
  <si>
    <t>Avril.NODE_747_length_3440_cov_4.221861_2</t>
  </si>
  <si>
    <t>Uncharacterized protein n=1 Tax=Cellulophaga phage phi10:1 TaxID=1327981 RepID=S0A0M1_9CAUD</t>
  </si>
  <si>
    <t>Avril.NODE_747_length_3440_cov_4.221861_4</t>
  </si>
  <si>
    <t>Uncharacterized protein n=1 Tax=Christiangramia fulva TaxID=2126553 RepID=A0A2R3ZAG5_9FLAO</t>
  </si>
  <si>
    <t>Avril.NODE_748_length_3438_cov_4.292640_6</t>
  </si>
  <si>
    <t>VOG01872 [FUNC="REFSEQ tail protein"] [TAG=Xu TAGDEF="Function unknown"]</t>
  </si>
  <si>
    <t>Gp71 n=1 Tax=Alphaproteobacteria phage PhiJL001 TaxID=2681607 RepID=Q5DN34_9CAUD</t>
  </si>
  <si>
    <t>Avril.NODE_755_length_3417_cov_11.848602_2</t>
  </si>
  <si>
    <t>Putative fiber protein n=1 Tax=Roseobacter phage CRP-13 TaxID=2813173 RepID=A0A8E5F7I7_9CAUD</t>
  </si>
  <si>
    <t>Avril.NODE_755_length_3417_cov_11.848602_5</t>
  </si>
  <si>
    <t>VOG35813 [FUNC="REFSEQ glycosyltransferase"] [TAG=Xu TAGDEF="Function unknown"]</t>
  </si>
  <si>
    <t>Glycosyltransferase n=1 Tax=Streptomyces phage KimJongPhill TaxID=2848886 RepID=A0A8F2E6G3_9CAUD</t>
  </si>
  <si>
    <t>Avril.NODE_755_length_3417_cov_11.848602_6</t>
  </si>
  <si>
    <t>Peptidase U35 n=1 Tax=Rhodococcus sp. EPR-157 TaxID=1813677 RepID=A0A164NT55_9NOCA</t>
  </si>
  <si>
    <t>Avril.NODE_756_length_3411_cov_3.678188_5</t>
  </si>
  <si>
    <t>Putative ATPase AAA n=1 Tax=Idiomarinaceae phage 1N2-2 TaxID=1536592 RepID=A0A088F776_9CAUD</t>
  </si>
  <si>
    <t>Avril.NODE_756_length_3411_cov_3.678188_7</t>
  </si>
  <si>
    <t>VOG00970 [FUNC="REFSEQ hypothetical protein"] [TAG=Xu TAGDEF="Function unknown"]</t>
  </si>
  <si>
    <t>DUF669 domain-containing protein n=1 Tax=Salicola phage CGphi29 TaxID=754067 RepID=M4QSB7_9CAUD</t>
  </si>
  <si>
    <t>Avril.NODE_756_length_3411_cov_3.678188_8</t>
  </si>
  <si>
    <t>VOG04741 [FUNC="REFSEQ hypothetical protein"] [TAG=Xu TAGDEF="Function unknown"]</t>
  </si>
  <si>
    <t>Uncharacterized protein n=1 Tax=Aminobacter anthyllidis TaxID=1035067 RepID=A0A9X1A761_9HYPH</t>
  </si>
  <si>
    <t>Avril.NODE_763_length_3383_cov_6.780349_1</t>
  </si>
  <si>
    <t>Terminase small subunit n=1 Tax=Pseudomonas phage ZC01 TaxID=1622114 RepID=A0A1L2C8V8_9CAUD</t>
  </si>
  <si>
    <t>Avril.NODE_768_length_3366_cov_5.159468_1</t>
  </si>
  <si>
    <t>RusA family crossover junction endodeoxyribonuclease n=1 Tax=Aliikangiella marina TaxID=1712262 RepID=A0A545THF0_9GAMM</t>
  </si>
  <si>
    <t>Avril.NODE_768_length_3366_cov_5.159468_2</t>
  </si>
  <si>
    <t>Putative HNH endonuclease 1 n=1 Tax=Bacillus phage BCU4 TaxID=1126951 RepID=J9PRF1_9CAUD</t>
  </si>
  <si>
    <t>Avril.NODE_774_length_3351_cov_4.249090_1</t>
  </si>
  <si>
    <t>Endonuclease VII n=3 Tax=Icepovirus TaxID=2842751 RepID=A0A7G8ZZH1_9CAUD</t>
  </si>
  <si>
    <t>Avril.NODE_774_length_3351_cov_4.249090_4</t>
  </si>
  <si>
    <t>Uncharacterized protein n=1 Tax=Marine Group I thaumarchaeote TaxID=2511932 RepID=A0A7K4MXA3_9ARCH</t>
  </si>
  <si>
    <t>Avril.NODE_78_length_21756_cov_6.683839_1</t>
  </si>
  <si>
    <t>Avril.NODE_78_length_21756_cov_6.683839_12</t>
  </si>
  <si>
    <t>Avril.NODE_78_length_21756_cov_6.683839_13</t>
  </si>
  <si>
    <t>sp|P03795|Y28_BPT7 Protein 2.8 OS=Escherichia phage T7 OX=10760 GN=2.8 PE=4 SV=2</t>
  </si>
  <si>
    <t>N4 gp22-like protein n=1 Tax=Silicibacter phage DSS3phi2 TaxID=490912 RepID=C4NT45_9CAUD</t>
  </si>
  <si>
    <t>Avril.NODE_78_length_21756_cov_6.683839_16</t>
  </si>
  <si>
    <t>VOG03936 [FUNC="sp|Q5UP22|YR261_MIMIV Uncharacterized protein R261"] [TAG=Xu TAGDEF="Function unknown"]</t>
  </si>
  <si>
    <t>N4 gp2-like protein n=5 Tax=Aorunvirus V12 TaxID=2846074 RepID=C4NT48_9CAUD</t>
  </si>
  <si>
    <t>Avril.NODE_78_length_21756_cov_6.683839_17</t>
  </si>
  <si>
    <t>Uncharacterized protein n=1 Tax=Roseovarius sp. 217 phage 1 TaxID=874471 RepID=E3PZ91_9CAUD</t>
  </si>
  <si>
    <t>Avril.NODE_78_length_21756_cov_6.683839_18</t>
  </si>
  <si>
    <t>VOG17849 [FUNC="REFSEQ hypothetical protein"] [TAG=Xu TAGDEF="Function unknown"]</t>
  </si>
  <si>
    <t>Uncharacterized protein n=5 Tax=Aorunvirus V12 TaxID=2846074 RepID=C4NT49_9CAUD</t>
  </si>
  <si>
    <t>Avril.NODE_78_length_21756_cov_6.683839_20</t>
  </si>
  <si>
    <t>VOG05258 [FUNC="REFSEQ hypothetical protein"] [TAG=Xu TAGDEF="Function unknown"]</t>
  </si>
  <si>
    <t>Uncharacterized protein n=1 Tax=Ruegeria phage vB_RpoP-V13 TaxID=2218612 RepID=A0A2Z4QGK2_9CAUD</t>
  </si>
  <si>
    <t>Avril.NODE_78_length_21756_cov_6.683839_21</t>
  </si>
  <si>
    <t>N4 DNA helicase-like protein n=1 Tax=Roseovarius Plymouth podovirus 1 TaxID=926474 RepID=K4Q562_9CAUD</t>
  </si>
  <si>
    <t>Avril.NODE_78_length_21756_cov_6.683839_24</t>
  </si>
  <si>
    <t>DNA polymerase n=1 Tax=Dinoroseobacter phage DFL12phi1 TaxID=1477404 RepID=A0A023NH90_9CAUD</t>
  </si>
  <si>
    <t>Avril.NODE_78_length_21756_cov_6.683839_25</t>
  </si>
  <si>
    <t>VOG23199 [FUNC="REFSEQ exonuclease"] [TAG=Xu TAGDEF="Function unknown"]</t>
  </si>
  <si>
    <t>N4 gp42-like protein n=1 Tax=Roseovarius Plymouth podovirus 1 TaxID=926474 RepID=K4Q4Y9_9CAUD</t>
  </si>
  <si>
    <t>Avril.NODE_78_length_21756_cov_6.683839_26</t>
  </si>
  <si>
    <t>HNH nuclease domain-containing protein n=1 Tax=Sulfitobacter phage EE36phi1 TaxID=490913 RepID=C4NTD4_9CAUD</t>
  </si>
  <si>
    <t>Avril.NODE_78_length_21756_cov_6.683839_27</t>
  </si>
  <si>
    <t>VOG05621 [FUNC="REFSEQ DNA primase"] [TAG=Xu TAGDEF="Function unknown"]</t>
  </si>
  <si>
    <t>N4 gp43-like protein n=2 Tax=Roseovarius Plymouth podovirus 1 TaxID=926474 RepID=E3PZ99_9CAUD</t>
  </si>
  <si>
    <t>Avril.NODE_78_length_21756_cov_6.683839_28</t>
  </si>
  <si>
    <t>N4 gp44-like protein n=2 Tax=Roseovarius Plymouth podovirus 1 TaxID=926474 RepID=E3PZA0_9CAUD</t>
  </si>
  <si>
    <t>Avril.NODE_78_length_21756_cov_6.683839_29</t>
  </si>
  <si>
    <t>VOG01412 [FUNC="REFSEQ single strand DNA binding protein"] [TAG=Xu TAGDEF="Function unknown"]</t>
  </si>
  <si>
    <t>Single-strand DNA binding protein n=2 Tax=Baltimorevirus DFL12 TaxID=2169868 RepID=A0A023NGI0_9CAUD</t>
  </si>
  <si>
    <t>Avril.NODE_78_length_21756_cov_6.683839_30</t>
  </si>
  <si>
    <t>Uncharacterized protein n=1 Tax=Dinoroseobacter phage vBDshPR2C TaxID=1498169 RepID=A0A0A7CHF1_9CAUD</t>
  </si>
  <si>
    <t>Avril.NODE_781_length_3329_cov_6.180208_4</t>
  </si>
  <si>
    <t>Uncharacterized protein n=2 Tax=Roseivirga spongicola TaxID=333140 RepID=A0A150XDX1_9BACT</t>
  </si>
  <si>
    <t>Avril.NODE_781_length_3329_cov_6.180208_5</t>
  </si>
  <si>
    <t>Structural protein n=2 Tax=Callevirus TaxID=2948648 RepID=S0A0W4_9CAUD</t>
  </si>
  <si>
    <t>Avril.NODE_785_length_3312_cov_5.407737_1</t>
  </si>
  <si>
    <t>Uncharacterized protein n=1 Tax=TM7 phage DolZOral124_53_65 TaxID=2053587 RepID=A0A2H4PHR9_9CAUD</t>
  </si>
  <si>
    <t>Avril.NODE_785_length_3312_cov_5.407737_2</t>
  </si>
  <si>
    <t>RNase H superfamily protein n=1 Tax=Bordetella genomosp. 9 TaxID=1416803 RepID=A0A261R4W7_9BORD</t>
  </si>
  <si>
    <t>Avril.NODE_789_length_3297_cov_5.569093_1</t>
  </si>
  <si>
    <t>Phage terminase large subunit n=1 Tax=Kaustia mangrovi TaxID=2593653 RepID=A0A7S8HDR3_9HYPH</t>
  </si>
  <si>
    <t>Avril.NODE_789_length_3297_cov_5.569093_3</t>
  </si>
  <si>
    <t>Uncharacterized protein n=1 Tax=Vibrio phage 1.204.O._10N.222.46.F12 TaxID=1881263 RepID=A0A2I7RNK7_9CAUD</t>
  </si>
  <si>
    <t>Avril.NODE_792_length_3293_cov_5.259728_4</t>
  </si>
  <si>
    <t>PD-(D/E)XK endonuclease-like domain-containing protein n=1 Tax=Celeribacter phage P12053L TaxID=1197951 RepID=I6R0Z0_9CAUD</t>
  </si>
  <si>
    <t>Avril.NODE_792_length_3293_cov_5.259728_6</t>
  </si>
  <si>
    <t>Calcineurin-like phosphoesterase domain-containing protein n=1 Tax=Sinorhizobium phage phiM6 TaxID=2301527 RepID=A0A346HW77_9CAUD</t>
  </si>
  <si>
    <t>Avril.NODE_804_length_3249_cov_6.841578_3</t>
  </si>
  <si>
    <t>Uncharacterized protein n=1 Tax=Podoviridae sp. cty5g4 TaxID=2656717 RepID=A0A5Q2W5K2_9CAUD</t>
  </si>
  <si>
    <t>Avril.NODE_808_length_3244_cov_5.748511_2</t>
  </si>
  <si>
    <t>Uncharacterized protein n=1 Tax=Yangshan Harbor Nitrososphaeria virus TaxID=2969597 RepID=A0A976UAL6_9CAUD</t>
  </si>
  <si>
    <t>Avril.NODE_82_length_20518_cov_10.265748_1</t>
  </si>
  <si>
    <t>Terminase small subunit n=1 Tax=Podoviridae sp. ctka020 TaxID=2656713 RepID=A0A5Q2W2N5_9CAUD</t>
  </si>
  <si>
    <t>Avril.NODE_82_length_20518_cov_10.265748_11</t>
  </si>
  <si>
    <t>Head tail connector protein n=1 Tax=Siphoviridae sp. ctvD11 TaxID=2656724 RepID=A0A5Q2W977_9CAUD</t>
  </si>
  <si>
    <t>Avril.NODE_82_length_20518_cov_10.265748_14</t>
  </si>
  <si>
    <t>Minor tail protein U n=1 Tax=Siphoviridae sp. ctvD11 TaxID=2656724 RepID=A0A5Q2W5P2_9CAUD</t>
  </si>
  <si>
    <t>Avril.NODE_82_length_20518_cov_10.265748_15</t>
  </si>
  <si>
    <t>Major capsid protein n=1 Tax=Siphoviridae sp. ctvD11 TaxID=2656724 RepID=A0A5Q2WBA6_9CAUD</t>
  </si>
  <si>
    <t>Avril.NODE_82_length_20518_cov_10.265748_18</t>
  </si>
  <si>
    <t>VOG08534 [FUNC="REFSEQ tail protein"] [TAG=Xu TAGDEF="Function unknown"]</t>
  </si>
  <si>
    <t>Minor tail protein n=1 Tax=Siphoviridae sp. ctvD11 TaxID=2656724 RepID=A0A5Q2W5L8_9CAUD</t>
  </si>
  <si>
    <t>Avril.NODE_82_length_20518_cov_10.265748_19</t>
  </si>
  <si>
    <t>Uncharacterized protein n=1 Tax=Siphoviridae sp. ctvD11 TaxID=2656724 RepID=A0A5Q2W5Q6_9CAUD</t>
  </si>
  <si>
    <t>Avril.NODE_82_length_20518_cov_10.265748_4</t>
  </si>
  <si>
    <t>Uncharacterized protein n=1 Tax=Nostoc sp. UCD120 TaxID=2681312 RepID=A0A841VEF3_9NOSO</t>
  </si>
  <si>
    <t>Avril.NODE_82_length_20518_cov_10.265748_5</t>
  </si>
  <si>
    <t>VOG32218 [FUNC="REFSEQ hypothetical protein"] [TAG=Xu TAGDEF="Function unknown"]</t>
  </si>
  <si>
    <t>Putative tail fiber protein n=1 Tax=Pseudomonas phage phiK7A1 TaxID=2759194 RepID=A0A7H0XFT6_9CAUD</t>
  </si>
  <si>
    <t>Avril.NODE_82_length_20518_cov_10.265748_9</t>
  </si>
  <si>
    <t>VOG02565 [FUNC="REFSEQ hypothetical protein"] [TAG=Xu TAGDEF="Function unknown"]</t>
  </si>
  <si>
    <t>PLAT domain-containing protein n=1 Tax=Streptomyces sp. CC53 TaxID=1906740 RepID=A0A1S2JXV6_9ACTN</t>
  </si>
  <si>
    <t>Avril.NODE_841_length_3164_cov_5.103570_3</t>
  </si>
  <si>
    <t>Uncharacterized protein n=2 Tax=root TaxID=1 RepID=A0A7L8G4D7_9VIRU</t>
  </si>
  <si>
    <t>Avril.NODE_881_length_3051_cov_5.697597_1</t>
  </si>
  <si>
    <t>VOG01250 [FUNC="REFSEQ tail length tape measure protein"] [TAG=Xu TAGDEF="Function unknown"]</t>
  </si>
  <si>
    <t>Tail protein n=1 Tax=Pseudomonas phage PspYZU01 TaxID=1983555 RepID=A0A2U7N855_9CAUD</t>
  </si>
  <si>
    <t>Avril.NODE_881_length_3051_cov_5.697597_2</t>
  </si>
  <si>
    <t>Tail protein n=1 Tax=Burkholderia phage vB_BceS_AH2 TaxID=1133022 RepID=I6NSS6_9CAUD</t>
  </si>
  <si>
    <t>Avril.NODE_887_length_3031_cov_4.044019_1</t>
  </si>
  <si>
    <t>VOG30496 [FUNC="REFSEQ hypothetical protein"] [TAG=Xu TAGDEF="Function unknown"]</t>
  </si>
  <si>
    <t>Uncharacterized protein n=1 Tax=Pedobacter cryoconitis TaxID=188932 RepID=A0A7X0J775_9SPHI</t>
  </si>
  <si>
    <t>Avril.NODE_9_length_46600_cov_10.230895_1</t>
  </si>
  <si>
    <t>CMP/dCMP-type deaminase domain-containing protein n=1 Tax=Alteromonas australica TaxID=589873 RepID=A0A350P571_9ALTE</t>
  </si>
  <si>
    <t>Avril.NODE_9_length_46600_cov_10.230895_10</t>
  </si>
  <si>
    <t>Endonuclease n=1 Tax=Siphoviridae sp. ctClL93 TaxID=2825381 RepID=A0A8S5VDY6_9CAUD</t>
  </si>
  <si>
    <t>Avril.NODE_9_length_46600_cov_10.230895_13</t>
  </si>
  <si>
    <t>Avril.NODE_9_length_46600_cov_10.230895_14</t>
  </si>
  <si>
    <t>Avril.NODE_9_length_46600_cov_10.230895_16</t>
  </si>
  <si>
    <t>Avril.NODE_9_length_46600_cov_10.230895_17</t>
  </si>
  <si>
    <t>Class I SAM-dependent methyltransferase n=1 Tax=Paracoccus pantotrophus TaxID=82367 RepID=A0A7H9BRF5_PARPN</t>
  </si>
  <si>
    <t>Avril.NODE_9_length_46600_cov_10.230895_26</t>
  </si>
  <si>
    <t>DUF2793 domain-containing protein n=1 Tax=Pararhodobacter marinus TaxID=2184063 RepID=A0A2U2CCQ7_9RHOB</t>
  </si>
  <si>
    <t>Avril.NODE_9_length_46600_cov_10.230895_27</t>
  </si>
  <si>
    <t>Avril.NODE_9_length_46600_cov_10.230895_3</t>
  </si>
  <si>
    <t>Uncharacterized protein n=1 Tax=Sphingorhabdus sp. SMR4y TaxID=2584094 RepID=A0A220W6Q7_9SPHN</t>
  </si>
  <si>
    <t>Avril.NODE_9_length_46600_cov_10.230895_30</t>
  </si>
  <si>
    <t>VOG02677 [FUNC="REFSEQ structural protein"] [TAG=Xu TAGDEF="Function unknown"]</t>
  </si>
  <si>
    <t>Uncharacterized protein n=2 Tax=unclassified Mesorhizobium TaxID=325217 RepID=A0A3S1JMB3_9HYPH</t>
  </si>
  <si>
    <t>Avril.NODE_9_length_46600_cov_10.230895_34</t>
  </si>
  <si>
    <t>Avril.NODE_9_length_46600_cov_10.230895_35</t>
  </si>
  <si>
    <t>VOG00148 [FUNC="REFSEQ head scaffolding protein"] [TAG=Xu TAGDEF="Function unknown"]</t>
  </si>
  <si>
    <t>DUF2190 family protein n=2 Tax=Azospirillum TaxID=191 RepID=A0A4D8PT82_AZOBR</t>
  </si>
  <si>
    <t>Avril.NODE_9_length_46600_cov_10.230895_36</t>
  </si>
  <si>
    <t>sp|Q6QIB5|CAPSD_BPBMU Major capsid protein OS=Burkholderia phage BcepMu (isolate -/United States/Summer/2002) OX=1283335 GN=BcepMu34 PE=3 SV=1</t>
  </si>
  <si>
    <t>Avril.NODE_9_length_46600_cov_10.230895_37</t>
  </si>
  <si>
    <t>Avril.NODE_9_length_46600_cov_10.230895_38</t>
  </si>
  <si>
    <t>Avril.NODE_9_length_46600_cov_10.230895_40</t>
  </si>
  <si>
    <t>Avril.NODE_9_length_46600_cov_10.230895_44</t>
  </si>
  <si>
    <t>Avril.NODE_9_length_46600_cov_10.230895_45</t>
  </si>
  <si>
    <t>Avril.NODE_9_length_46600_cov_10.230895_46</t>
  </si>
  <si>
    <t>Avril.NODE_9_length_46600_cov_10.230895_48</t>
  </si>
  <si>
    <t>VOG07366 [FUNC="REFSEQ hypothetical protein"] [TAG=Xu TAGDEF="Function unknown"]</t>
  </si>
  <si>
    <t>Carbohydrate-binding protein n=1 Tax=Leisingera sp. ANG-Vp TaxID=1577896 RepID=A0A0B4BXA0_9RHOB</t>
  </si>
  <si>
    <t>Avril.NODE_9_length_46600_cov_10.230895_49</t>
  </si>
  <si>
    <t>Uncharacterized protein n=1 Tax=Mameliella alba TaxID=561184 RepID=A0A6F8QD83_9RHOB</t>
  </si>
  <si>
    <t>Avril.NODE_9_length_46600_cov_10.230895_7</t>
  </si>
  <si>
    <t>Avril.NODE_9_length_46600_cov_10.230895_9</t>
  </si>
  <si>
    <t>Avril.NODE_936_length_2903_cov_6.450492_1</t>
  </si>
  <si>
    <t>Avril.NODE_936_length_2903_cov_6.450492_3</t>
  </si>
  <si>
    <t>Uncharacterized protein n=1 Tax=Planctomyces sp. SH-PL14 TaxID=1632864 RepID=A0A142X6E2_9PLAN</t>
  </si>
  <si>
    <t>Avril.NODE_949_length_2869_cov_5.357854_1</t>
  </si>
  <si>
    <t>Uncharacterized protein n=1 Tax=Shewanella phage SppYZU01 TaxID=1965372 RepID=A0A1V0DYH2_9CAUD</t>
  </si>
  <si>
    <t>Avril.NODE_949_length_2869_cov_5.357854_3</t>
  </si>
  <si>
    <t>HNH nuclease domain-containing protein n=2 Tax=unclassified Caudoviricetes TaxID=2788787 RepID=H9C119_9CAUD</t>
  </si>
  <si>
    <t>Avril.NODE_96_length_18205_cov_10.611129_10</t>
  </si>
  <si>
    <t>VOG15525 [FUNC="sp|P26749|VG10_BPP22 Packaged DNA stabilization protein gp10"] [TAG=Xh TAGDEF="Virus protein with function beneficial for the host"]</t>
  </si>
  <si>
    <t>Putative head completion protein n=1 Tax=Pseudoalteromonas virus vB_PspP-H6/1 TaxID=1852626 RepID=A0A191ZDE3_9CAUD</t>
  </si>
  <si>
    <t>Avril.NODE_96_length_18205_cov_10.611129_15</t>
  </si>
  <si>
    <t>Putative ejection protein n=1 Tax=Pseudoalteromonas virus vB_PspP-H6/1 TaxID=1852626 RepID=A0A191ZDF1_9CAUD</t>
  </si>
  <si>
    <t>Avril.NODE_96_length_18205_cov_10.611129_16</t>
  </si>
  <si>
    <t>Uncharacterized protein n=1 Tax=Leisingera sp. ANG-M7 TaxID=1577902 RepID=A0A0C1IUI0_9RHOB</t>
  </si>
  <si>
    <t>Avril.NODE_96_length_18205_cov_10.611129_17</t>
  </si>
  <si>
    <t>Uncharacterized protein n=1 Tax=Variovorax paradoxus TaxID=34073 RepID=A0A9X7VDM2_VARPD</t>
  </si>
  <si>
    <t>Avril.NODE_96_length_18205_cov_10.611129_18</t>
  </si>
  <si>
    <t>Avril.NODE_96_length_18205_cov_10.611129_4</t>
  </si>
  <si>
    <t>sp|Q9T1S9|PORTL_BPAPS Portal protein OS=Acyrthosiphon pisum secondary endosymbiont phage 1 OX=2682836 GN=19 PE=3 SV=1</t>
  </si>
  <si>
    <t>Putative portal protein n=1 Tax=Pseudoalteromonas virus vB_PspP-H6/1 TaxID=1852626 RepID=A0A191ZDD2_9CAUD</t>
  </si>
  <si>
    <t>Avril.NODE_96_length_18205_cov_10.611129_7</t>
  </si>
  <si>
    <t>sp|Q9T1S4|CAPSD_BPAPS Major capsid protein OS=Acyrthosiphon pisum secondary endosymbiont phage 1 OX=2682836 GN=24 PE=1 SV=3</t>
  </si>
  <si>
    <t>Putative coat protein n=1 Tax=Pseudoalteromonas virus vB_PspP-H6/1 TaxID=1852626 RepID=A0A191ZDD7_9CAUD</t>
  </si>
  <si>
    <t>Avril.NODE_96_length_18205_cov_10.611129_8</t>
  </si>
  <si>
    <t>VOG05820 [FUNC="sp|P26746|EXLYS_BPP22 Peptidoglycan hydrolase gp4"] [TAG=Xh TAGDEF="Virus protein with function beneficial for the host"]</t>
  </si>
  <si>
    <t>Putative head completion protein n=1 Tax=Pseudoalteromonas virus vB_PspP-H6/1 TaxID=1852626 RepID=A0A191ZDE6_9CAUD</t>
  </si>
  <si>
    <t>Avril.NODE_96_length_18205_cov_10.611129_9</t>
  </si>
  <si>
    <t>Uncharacterized protein n=1 Tax=Vibrio phage V09 TaxID=2724327 RepID=A0A6H0X9E7_9CAUD</t>
  </si>
  <si>
    <t>Avril.NODE_966_length_2827_cov_3.378427_1</t>
  </si>
  <si>
    <t>Internal virion protein D n=1 Tax=Lentibacter virus vB_LenP_ICBM2 TaxID=2301529 RepID=A0A3G2YRC1_9CAUD</t>
  </si>
  <si>
    <t>Avril.NODE_980_length_2789_cov_8.821507_4</t>
  </si>
  <si>
    <t>VOG19401 [FUNC="REFSEQ hypothetical protein"] [TAG=Xu TAGDEF="Function unknown"]</t>
  </si>
  <si>
    <t>Uncharacterized protein n=1 Tax=Pseudomonas phage vB_PaeM_PAO1_Ab03 TaxID=1548901 RepID=A0A0A1IUP7_9CAUD</t>
  </si>
  <si>
    <t>Avril.NODE_980_length_2789_cov_8.821507_5</t>
  </si>
  <si>
    <t>Uncharacterized protein n=2 Tax=Primorskyibacter flagellatus TaxID=1387277 RepID=A0A917A690_9RHOB</t>
  </si>
  <si>
    <t>Avril.NODE_984_length_2770_cov_6.102394_1</t>
  </si>
  <si>
    <t>VOG03113 [FUNC="REFSEQ hypothetical protein"] [TAG=Xu TAGDEF="Function unknown"]</t>
  </si>
  <si>
    <t>Uncharacterized protein n=1 Tax=Brevundimonas phage vB_BpoS-Babayka TaxID=2948596 RepID=A0A9E7SMC6_9CAUD</t>
  </si>
  <si>
    <t>Avril.NODE_984_length_2770_cov_6.102394_4</t>
  </si>
  <si>
    <t>Uncharacterized protein n=1 Tax=Moraxella nonliquefaciens TaxID=478 RepID=A0A1B8PM39_MORNO</t>
  </si>
  <si>
    <t>Avril.NODE_988_length_2761_cov_5.259424_2</t>
  </si>
  <si>
    <t>G8 domain-containing protein n=1 Tax=Spirosoma sp. 48-14 TaxID=1895854 RepID=A0A1Q3WRQ1_9BACT</t>
  </si>
  <si>
    <t>Avril.NODE_988_length_2761_cov_5.259424_3</t>
  </si>
  <si>
    <t>Tail fiber protein n=1 Tax=Olleya phage Harreka_1 TaxID=2745673 RepID=A0A8E4ZEP4_9CAUD</t>
  </si>
  <si>
    <t>Avril.NODE_988_length_2761_cov_5.259424_5</t>
  </si>
  <si>
    <t>sp|P15316|HYLP1_BPH44 Hyaluronoglucosaminidase OS=Streptococcus pyogenes phage H4489A OX=12366 GN=HYLP1 PE=1 SV=1</t>
  </si>
  <si>
    <t>VOG17056 [FUNC="REFSEQ PE-PGRS family protein"] [TAG=Xu TAGDEF="Function unknown"]</t>
  </si>
  <si>
    <t>Hyaluronidase n=1 Tax=Myoviridae sp. ctE3x18 TaxID=2825059 RepID=A0A8S5VEF7_9CAUD</t>
  </si>
  <si>
    <t>Avril.NODE_991_length_2752_cov_6.556544_1</t>
  </si>
  <si>
    <t>Uncharacterized protein (Fragment) n=1 Tax=Methylophilales phage HIM624-A TaxID=889949 RepID=H6BJ57_9CAUD</t>
  </si>
  <si>
    <t>Avril.NODE_994_length_2744_cov_4.212347_2</t>
  </si>
  <si>
    <t>Terminase large subunit n=1 Tax=Rhizobium phage Paso TaxID=2767574 RepID=A0A7L8G4S0_9CAUD</t>
  </si>
  <si>
    <t>Avril.NODE_999_length_2734_cov_5.191116_1</t>
  </si>
  <si>
    <t>Tail fiber domain-containing protein n=1 Tax=Erythrobacter crassostrea TaxID=2828328 RepID=A0A9X1F2F7_9SPHN</t>
  </si>
  <si>
    <t>Avril.NODE_999_length_2734_cov_5.191116_2</t>
  </si>
  <si>
    <t>Putative internal virion protein/injection protein n=1 Tax=Sulfitobacter phage phiGT1 TaxID=2745703 RepID=A0A7D9N077_9CAUD</t>
  </si>
  <si>
    <t>Avril.NODE_999_length_2734_cov_5.191116_3</t>
  </si>
  <si>
    <t>sp|Q01146|GP16_BPP22 Internal virion protein gp16 OS=Salmonella phage P22 OX=10754 GN=16 PE=1 SV=2</t>
  </si>
  <si>
    <t>Coil containing protein n=1 Tax=Vibrio phage 1.079.O._10N.286.45.E9 TaxID=1881314 RepID=A0A2I7QW93_9CAUD</t>
  </si>
  <si>
    <t>DNAUV-10.119-460_1</t>
  </si>
  <si>
    <t>DNAUV-10.119-460_13</t>
  </si>
  <si>
    <t>Uncharacterized protein n=1 Tax=Salmonella phage Skate TaxID=2234035 RepID=A0A2Z5HSV6_9CAUD</t>
  </si>
  <si>
    <t>DNAUV-10.119-460_15</t>
  </si>
  <si>
    <t>VOG18393 [FUNC="REFSEQ hypothetical protein"] [TAG=Xu TAGDEF="Function unknown"]</t>
  </si>
  <si>
    <t>Uncharacterized protein n=1 Tax=Cellulophaga phage phi13:1 TaxID=1327992 RepID=S0A4F4_9CAUD</t>
  </si>
  <si>
    <t>DNAUV-10.119-460_2</t>
  </si>
  <si>
    <t>VOG21827 [FUNC="REFSEQ hypothetical protein"] [TAG=Xu TAGDEF="Function unknown"]</t>
  </si>
  <si>
    <t>Phage major capsid protein n=1 Tax=Costertonia aggregata TaxID=343403 RepID=A0A7H9ARI6_9FLAO</t>
  </si>
  <si>
    <t>DNAUV-10.119-460_3</t>
  </si>
  <si>
    <t>Uncharacterized protein n=1 Tax=Nonlabens phage P12024S TaxID=1168478 RepID=I6R9L1_9CAUD</t>
  </si>
  <si>
    <t>DNAUV-10.119-460_4</t>
  </si>
  <si>
    <t>VOG20407 [FUNC="REFSEQ hypothetical protein"] [TAG=Xu TAGDEF="Function unknown"]</t>
  </si>
  <si>
    <t>Phage protein n=2 Tax=Inhavirus TaxID=1982244 RepID=I6S6R3_9CAUD</t>
  </si>
  <si>
    <t>DNAUV-10.119-460_6</t>
  </si>
  <si>
    <t>VOG37215 [FUNC="REFSEQ hypothetical protein"] [TAG=Xu TAGDEF="Function unknown"]</t>
  </si>
  <si>
    <t>Uncharacterized protein n=2 Tax=Inhavirus TaxID=1982244 RepID=I6RTA6_9CAUD</t>
  </si>
  <si>
    <t>DNAUV-10.119-460_7</t>
  </si>
  <si>
    <t>Uncharacterized protein n=2 Tax=Inhavirus TaxID=1982244 RepID=I6R9P6_9CAUD</t>
  </si>
  <si>
    <t>DNAUV-10.119-460_8</t>
  </si>
  <si>
    <t>LamG-like jellyroll fold domain-containing protein n=1 Tax=Paenibacillus solanacearum TaxID=2048548 RepID=A0A916JY92_9BACL</t>
  </si>
  <si>
    <t>DNAUV-10.134-12_10</t>
  </si>
  <si>
    <t>DNAUV-10.134-12_11</t>
  </si>
  <si>
    <t>Uncharacterized protein n=2 Tax=Salacisavirus pssm2 TaxID=2734140 RepID=Q58M61_BPPRM</t>
  </si>
  <si>
    <t>DNAUV-10.134-12_12</t>
  </si>
  <si>
    <t>Tail fiber protein n=1 Tax=Synechococcus phage S-B68 TaxID=2545437 RepID=A0A482IF47_9CAUD</t>
  </si>
  <si>
    <t>DNAUV-10.134-12_9</t>
  </si>
  <si>
    <t>Uncharacterized protein n=1 Tax=Synechococcus phage S-SRM01 TaxID=2781608 RepID=A0A879R284_9CAUD</t>
  </si>
  <si>
    <t>DNAUV-10.232-110_12</t>
  </si>
  <si>
    <t>DNAUV-10.232-110_13</t>
  </si>
  <si>
    <t>Uncharacterized protein n=1 Tax=Azospirillum sp. 47_25 TaxID=1896971 RepID=A0A1Q6UCE1_9PROT</t>
  </si>
  <si>
    <t>DNAUV-10.232-110_16</t>
  </si>
  <si>
    <t>Uncharacterized protein n=1 Tax=Azospirillum sp. 47_25 TaxID=1896971 RepID=A0A1Q6UCD9_9PROT</t>
  </si>
  <si>
    <t>DNAUV-10.232-110_17</t>
  </si>
  <si>
    <t>Uncharacterized protein n=1 Tax=Tistrella mobilis (strain KA081020-065) TaxID=1110502 RepID=I3TN68_TISMK</t>
  </si>
  <si>
    <t>DNAUV-10.232-110_8</t>
  </si>
  <si>
    <t>sp|P10479|DPOL_BPPRD DNA-directed DNA polymerase OS=Enterobacteria phage PRD1 OX=10658 GN=I PE=3 SV=1</t>
  </si>
  <si>
    <t>DNA-directed DNA polymerase n=2 Tax=Autolykiviridae TaxID=2184034 RepID=A0A2I7RXL2_9VIRU</t>
  </si>
  <si>
    <t>DNAUV-10.245-283_12</t>
  </si>
  <si>
    <t>DNA cytosine methyltransferase n=2 Tax=Cellulophaga phage phi18:1 TaxID=1327982 RepID=S0A2X1_9CAUD</t>
  </si>
  <si>
    <t>DNAUV-10.245-283_13</t>
  </si>
  <si>
    <t>Uncharacterized protein (Fragment) n=1 Tax=Streptococcus pneumoniae TaxID=1313 RepID=A0A6G2D7Z2_STREE</t>
  </si>
  <si>
    <t>DNAUV-10.324-175_2</t>
  </si>
  <si>
    <t>Right-handed parallel beta-helix repeat-containing protein n=1 Tax=Desulfobacter latus TaxID=2292 RepID=A0A850SYC6_9BACT</t>
  </si>
  <si>
    <t>DNAUV-10.324-175_3</t>
  </si>
  <si>
    <t>HK97 gp10 family phage protein n=1 Tax=Larkinella terrae TaxID=2025311 RepID=A0A7K0EJ69_9BACT</t>
  </si>
  <si>
    <t>DNAUV-10.324-175_4</t>
  </si>
  <si>
    <t>Uncharacterized protein n=5 Tax=Helsingorvirus TaxID=1918017 RepID=R9ZXN6_9CAUD</t>
  </si>
  <si>
    <t>DNAUV-10.324-175_5</t>
  </si>
  <si>
    <t>Phage tail protein n=3 Tax=Helsingorvirus TaxID=1918017 RepID=R9ZZR3_9CAUD</t>
  </si>
  <si>
    <t>DNAUV-10.324-175_6</t>
  </si>
  <si>
    <t>VOG36257 [FUNC="REFSEQ hypothetical protein"] [TAG=Xu TAGDEF="Function unknown"]</t>
  </si>
  <si>
    <t>Uncharacterized protein n=1 Tax=Chitinophaga parva TaxID=2169414 RepID=A0A2T7BBQ6_9BACT</t>
  </si>
  <si>
    <t>DNAUV-10.431-28_1</t>
  </si>
  <si>
    <t>HNH endonuclease n=2 Tax=root TaxID=1 RepID=A0A1B0VMI8_9CAUD</t>
  </si>
  <si>
    <t>DNAUV-10.431-28_10</t>
  </si>
  <si>
    <t>DUF5675 domain-containing protein n=1 Tax=Alteromonas phage XX1924 TaxID=2664192 RepID=A0A6B9J1H8_9CAUD</t>
  </si>
  <si>
    <t>DNAUV-10.431-28_11</t>
  </si>
  <si>
    <t>VOG17231 [FUNC="REFSEQ hypothetical protein"] [TAG=Xu TAGDEF="Function unknown"]</t>
  </si>
  <si>
    <t>Holin of 3TMs, for gene-transfer release n=1 Tax=Foturvirus H44 TaxID=2733905 RepID=A0A220YL78_9CAUD</t>
  </si>
  <si>
    <t>DNAUV-10.431-28_14</t>
  </si>
  <si>
    <t>Uncharacterized protein n=1 Tax=Siphoviridae sp. ctm7X10 TaxID=2827929 RepID=A0A8S5S564_9CAUD</t>
  </si>
  <si>
    <t>DNAUV-10.431-28_3</t>
  </si>
  <si>
    <t>AP2/ERF domain-containing protein n=1 Tax=Achromobacter denitrificans TaxID=32002 RepID=A0A6N0JI84_ACHDE</t>
  </si>
  <si>
    <t>DNAUV-10.431-28_8</t>
  </si>
  <si>
    <t>HTH cro/C1-type domain-containing protein n=1 Tax=Pseudomonas phage pf16 TaxID=1815630 RepID=A0A1S5R3W3_9CAUD</t>
  </si>
  <si>
    <t>DNAUV-10.460-73_13</t>
  </si>
  <si>
    <t>DNAUV-10.460-73_14</t>
  </si>
  <si>
    <t>Single-stranded DNA-binding protein n=32 Tax=Perisivirus TaxID=1984798 RepID=H2EI91_9CAUD</t>
  </si>
  <si>
    <t>DNAUV-10.460-73_20</t>
  </si>
  <si>
    <t>DNAUV-10.460-73_22</t>
  </si>
  <si>
    <t>DNA cytosine methyltransferase n=1 Tax=Rhodobacter kunshanensis TaxID=2583234 RepID=A0A6M1TUU4_9RHOB</t>
  </si>
  <si>
    <t>DNAUV-10.460-73_36</t>
  </si>
  <si>
    <t>Uncharacterized protein n=1 Tax=Ruegeria sp. (strain TM1040) TaxID=292414 RepID=Q1GG51_RUEST</t>
  </si>
  <si>
    <t>DNAUV-10.460-73_38</t>
  </si>
  <si>
    <t>DNAUV-10.553-337_13</t>
  </si>
  <si>
    <t>VOG08356 [FUNC="REFSEQ putative terminal protein"] [TAG=Xu TAGDEF="Function unknown"]</t>
  </si>
  <si>
    <t>Coil containing protein n=2 Tax=Autolykiviridae TaxID=2184034 RepID=A0A2I7RXE1_9VIRU</t>
  </si>
  <si>
    <t>DNAUV-10.553-337_14</t>
  </si>
  <si>
    <t>DNAUV-10.553-337_15</t>
  </si>
  <si>
    <t>DUF3945 domain-containing protein n=1 Tax=Hydrotalea sp. AMD TaxID=2501297 RepID=A0A4Q0ASL7_9BACT</t>
  </si>
  <si>
    <t>DNAUV-10.604-22_1</t>
  </si>
  <si>
    <t>sp|P04893|TERS_BPP22 Terminase, small subunit OS=Salmonella phage P22 OX=10754 GN=3 PE=1 SV=3</t>
  </si>
  <si>
    <t>VOG03551 [FUNC="sp|P04893|TERS_BPP22 Terminase, small subunit"] [TAG=Xh TAGDEF="Virus protein with function beneficial for the host"]</t>
  </si>
  <si>
    <t>DNA-packaging protein n=1 Tax=Morganella morganii TaxID=582 RepID=A0A2S1BEC4_MORMO</t>
  </si>
  <si>
    <t>DNAUV-10.604-22_11</t>
  </si>
  <si>
    <t>sp|O48448|COMPL_BPSPP Tail completion protein gp17 OS=Bacillus phage SPP1 OX=10724 PE=1 SV=1</t>
  </si>
  <si>
    <t>DUF3168 domain-containing protein n=1 Tax=Marinomonas phage P12026 TaxID=1176423 RepID=I6RTR7_9CAUD</t>
  </si>
  <si>
    <t>DNAUV-10.604-22_12</t>
  </si>
  <si>
    <t>Phage major tail protein n=1 Tax=Marinomonas phage P12026 TaxID=1176423 RepID=I6R9Y9_9CAUD</t>
  </si>
  <si>
    <t>DNAUV-10.604-22_13</t>
  </si>
  <si>
    <t>Phage major tail protein, TP901-1 family n=1 Tax=Alkalilimnicola ehrlichii TaxID=351052 RepID=A0A3E0WQA8_9GAMM</t>
  </si>
  <si>
    <t>DNAUV-10.604-22_14</t>
  </si>
  <si>
    <t>Phage protein n=1 Tax=Marinomonas phage P12026 TaxID=1176423 RepID=I6S768_9CAUD</t>
  </si>
  <si>
    <t>DNAUV-10.604-22_7</t>
  </si>
  <si>
    <t>Phage gp6-like head-tail connector protein n=1 Tax=Marinomonas phage P12026 TaxID=1176423 RepID=I6S763_9CAUD</t>
  </si>
  <si>
    <t>DNAUV-10.604-22_8</t>
  </si>
  <si>
    <t>VOG00799 [FUNC="REFSEQ hypothetical protein"] [TAG=Xu TAGDEF="Function unknown"]</t>
  </si>
  <si>
    <t>Uncharacterized protein n=1 Tax=Vibrio phage P23 TaxID=2488664 RepID=A0A3G8F376_9CAUD</t>
  </si>
  <si>
    <t>DNAUV-10.612-16_13</t>
  </si>
  <si>
    <t>VOG16073 [FUNC="REFSEQ hypothetical protein"] [TAG=Xu TAGDEF="Function unknown"]</t>
  </si>
  <si>
    <t>GP-PDE domain-containing protein n=2 Tax=unclassified Kyanoviridae TaxID=2960609 RepID=A0A650EX53_9CAUD</t>
  </si>
  <si>
    <t>DNAUV-10.744-185_10</t>
  </si>
  <si>
    <t>Uncharacterized protein n=1 Tax=Oceanibaculum indicum TaxID=526216 RepID=A0A420WQ38_9PROT</t>
  </si>
  <si>
    <t>DNAUV-10.744-185_11</t>
  </si>
  <si>
    <t>Uncharacterized protein n=1 Tax=Nostoc sp. GBBB01 TaxID=2604138 RepID=A0A9D7YY01_9NOSO</t>
  </si>
  <si>
    <t>DNAUV-10.744-185_16</t>
  </si>
  <si>
    <t>DNAUV-10.744-185_17</t>
  </si>
  <si>
    <t>Single-stranded DNA-binding protein n=2 Tax=Autolykiviridae TaxID=2184034 RepID=A0A2I7RXD4_9VIRU</t>
  </si>
  <si>
    <t>DNAUV-10.744-185_4</t>
  </si>
  <si>
    <t>DNAUV-10.744-185_5</t>
  </si>
  <si>
    <t>DNAUV-10.749-19_12</t>
  </si>
  <si>
    <t>VOG17680 [FUNC="REFSEQ gp88"] [TAG=Xu TAGDEF="Function unknown"]</t>
  </si>
  <si>
    <t>Gp88 n=1 Tax=Sphingomonas phage PAU TaxID=1150991 RepID=H9NBW5_9CAUD</t>
  </si>
  <si>
    <t>DNAUV-10.749-19_13</t>
  </si>
  <si>
    <t>Uncharacterized protein n=1 Tax=Virus NIOZ-UU157 TaxID=2763269 RepID=A0A7S9XGN5_9VIRU</t>
  </si>
  <si>
    <t>DNAUV-10.749-19_2</t>
  </si>
  <si>
    <t>Uncharacterized protein n=1 Tax=Virus NIOZ-UU157 TaxID=2763269 RepID=A0A7S9SU03_9VIRU</t>
  </si>
  <si>
    <t>DNAUV-10.749-19_4</t>
  </si>
  <si>
    <t>Uncharacterized protein n=1 Tax=Virus NIOZ-UU157 TaxID=2763269 RepID=A0A7S9SUJ9_9VIRU</t>
  </si>
  <si>
    <t>DNAUV-10.749-19_5</t>
  </si>
  <si>
    <t>VOG29642 [FUNC="REFSEQ gp156"] [TAG=Xu TAGDEF="Function unknown"]</t>
  </si>
  <si>
    <t>Major capsid protein n=1 Tax=Virus NIOZ-UU157 TaxID=2763269 RepID=A0A7S9XFP8_9VIRU</t>
  </si>
  <si>
    <t>DNAUV-10.749-19_9</t>
  </si>
  <si>
    <t>ProQ/FinO domain-containing protein n=1 Tax=Myoviridae sp. ctgsk7 TaxID=2825151 RepID=A0A8S5PWT3_9CAUD</t>
  </si>
  <si>
    <t>DNAUV-10.760-29_11</t>
  </si>
  <si>
    <t>VOG10842 [FUNC="REFSEQ hypothetical protein"] [TAG=Xu TAGDEF="Function unknown"]</t>
  </si>
  <si>
    <t>Uncharacterized protein n=1 Tax=Vibrio phage 11895-B1 TaxID=754075 RepID=M4R2S4_9CAUD</t>
  </si>
  <si>
    <t>DNAUV-10.760-29_12</t>
  </si>
  <si>
    <t>VOG11730 [FUNC="REFSEQ hypothetical protein"] [TAG=Xu TAGDEF="Function unknown"]</t>
  </si>
  <si>
    <t>Uncharacterized protein n=2 Tax=unclassified Caudoviricetes TaxID=2788787 RepID=M4M987_9CAUD</t>
  </si>
  <si>
    <t>DNAUV-10.760-29_3</t>
  </si>
  <si>
    <t>VOG01839 [FUNC="REFSEQ hypothetical protein"] [TAG=Xu TAGDEF="Function unknown"]</t>
  </si>
  <si>
    <t>Uncharacterized protein n=2 Tax=unclassified Caudoviricetes TaxID=2788787 RepID=M4MH11_9CAUD</t>
  </si>
  <si>
    <t>DNAUV-10.760-29_7</t>
  </si>
  <si>
    <t>VOG26567 [FUNC="REFSEQ hypothetical protein"] [TAG=Xu TAGDEF="Function unknown"]</t>
  </si>
  <si>
    <t>Uncharacterized protein n=2 Tax=unclassified Caudoviricetes TaxID=2788787 RepID=M4M9B5_9CAUD</t>
  </si>
  <si>
    <t>DNAUV-10.764-50_10</t>
  </si>
  <si>
    <t>Virion structural protein n=1 Tax=Pelagibacter phage HTVC008M TaxID=1283076 RepID=M1IP77_9CAUD</t>
  </si>
  <si>
    <t>DNAUV-10.764-50_12</t>
  </si>
  <si>
    <t>Putative tail fiber protein n=1 Tax=Pelagibacter phage Mosig EXVC030M TaxID=2759214 RepID=A0A7S6ILH9_9CAUD</t>
  </si>
  <si>
    <t>DNAUV-10.764-50_13</t>
  </si>
  <si>
    <t>Tail fiber protein (Fragment) n=1 Tax=Synechococcus phage S-CBS4 TaxID=756275 RepID=R9TH03_9CAUD</t>
  </si>
  <si>
    <t>DNAUV-10.764-50_16</t>
  </si>
  <si>
    <t>Cadherin domain-containing protein n=1 Tax=Oceaniferula marina TaxID=2748318 RepID=A0A851GCI7_9BACT</t>
  </si>
  <si>
    <t>DNAUV-10.764-50_18</t>
  </si>
  <si>
    <t>Uncharacterized protein n=1 Tax=Symbiodinium pilosum TaxID=2952 RepID=A0A812NS78_SYMPI</t>
  </si>
  <si>
    <t>DNAUV-10.764-50_6</t>
  </si>
  <si>
    <t>DNAUV-10.764-50_8</t>
  </si>
  <si>
    <t>Uncharacterized protein n=1 Tax=Microvirga sp. BSC39 TaxID=1549810 RepID=A0A086MIJ2_9HYPH</t>
  </si>
  <si>
    <t>DNAUV-10.817-54_13</t>
  </si>
  <si>
    <t>DNAUV-10.817-54_15</t>
  </si>
  <si>
    <t>Glycine rich protein n=1 Tax=Bradyrhizobium lablabi TaxID=722472 RepID=A0A1M7FTV1_9BRAD</t>
  </si>
  <si>
    <t>DNAUV-10.817-54_16</t>
  </si>
  <si>
    <t>Uncharacterized protein n=1 Tax=Pseudothauera rhizosphaerae TaxID=2565932 RepID=A0A4S4AY99_9RHOO</t>
  </si>
  <si>
    <t>DNAUV-10.817-54_6</t>
  </si>
  <si>
    <t>DNAUV-10.817-54_7</t>
  </si>
  <si>
    <t>DNAUV-10.817-54_8</t>
  </si>
  <si>
    <t>VOG00376 [FUNC="sp|P85503|STRU3_BPPAJ Structural protein 3"] [TAG=Xs TAGDEF="Virus structure"]</t>
  </si>
  <si>
    <t>DNAUV-10.817-54_9</t>
  </si>
  <si>
    <t>DNAUV-10.848-20_14</t>
  </si>
  <si>
    <t>Class I SAM-dependent methyltransferase n=1 Tax=Sphingosinicella ginsenosidimutans TaxID=1176539 RepID=A0A5C6TVM7_9SPHN</t>
  </si>
  <si>
    <t>DNAUV-10.848-20_15</t>
  </si>
  <si>
    <t>HNH endonuclease n=1 Tax=Enterobacter phage phiEap-2 TaxID=1701257 RepID=A0A0K2FHW0_9CAUD</t>
  </si>
  <si>
    <t>DNAUV-10.898-81_16</t>
  </si>
  <si>
    <t>DNAUV-10.898-81_17</t>
  </si>
  <si>
    <t>DNAUV-10.898-81_20</t>
  </si>
  <si>
    <t>DNAUV-10.898-81_31</t>
  </si>
  <si>
    <t>Putative packaging ATPase n=8 Tax=Autolykiviridae TaxID=2184034 RepID=A0A2I7R1W9_9VIRU</t>
  </si>
  <si>
    <t>DNAUV-10.898-81_34</t>
  </si>
  <si>
    <t>VOG21288 [FUNC="sp|P15794|CAPSD_BPPM2 Major capsid protein P2"] [TAG=Xs TAGDEF="Virus structure"]</t>
  </si>
  <si>
    <t>Double jelly roll capsid protein n=2 Tax=Autolykiviridae TaxID=2184034 RepID=A0A2I7RXG1_9VIRU</t>
  </si>
  <si>
    <t>DNAUV-10.898-81_40</t>
  </si>
  <si>
    <t>DNAUV-10.898-81_42</t>
  </si>
  <si>
    <t>VOG02075 [FUNC="REFSEQ head protein"] [TAG=Xu TAGDEF="Function unknown"]</t>
  </si>
  <si>
    <t>Uncharacterized protein n=1 Tax=Scandinavium goeteborgense TaxID=1851514 RepID=A0A4R6EQY8_SCAGO</t>
  </si>
  <si>
    <t>DNAUV-10.912-14_10</t>
  </si>
  <si>
    <t>Phage stabilisation protein n=1 Tax=Acinetobacter baumannii TaxID=470 RepID=A0A858S721_ACIBA</t>
  </si>
  <si>
    <t>DNAUV-10.912-14_11</t>
  </si>
  <si>
    <t>Uncharacterized protein n=1 Tax=Novosphingobium chloroacetimidivorans TaxID=1428314 RepID=A0A7W7K673_9SPHN</t>
  </si>
  <si>
    <t>DNAUV-10.912-14_14</t>
  </si>
  <si>
    <t>Tail spike protein/chaperone n=1 Tax=Octadecabacter Antarctic DB virus 2 TaxID=2945129 RepID=A0A9E7J7X7_9VIRU</t>
  </si>
  <si>
    <t>DNAUV-10.912-14_16</t>
  </si>
  <si>
    <t>Uncharacterized protein n=2 Tax=Buttiauxella sp. JUb87 TaxID=2485129 RepID=A0A4R6EB57_9ENTR</t>
  </si>
  <si>
    <t>DNAUV-10.912-14_17</t>
  </si>
  <si>
    <t>Pectate lyase superfamily protein domain-containing protein n=1 Tax=Amylibacter kogurei TaxID=1889778 RepID=A0A2G5K8E7_9RHOB</t>
  </si>
  <si>
    <t>DNAUV-10.912-14_2</t>
  </si>
  <si>
    <t>VOG36365 [FUNC="REFSEQ hypothetical protein"] [TAG=Xu TAGDEF="Function unknown"]</t>
  </si>
  <si>
    <t>DNA-binding protein n=1 Tax=Escherichia coli TaxID=562 RepID=A0A369FCN9_ECOLX</t>
  </si>
  <si>
    <t>DNAUV-10.932-1045_11</t>
  </si>
  <si>
    <t>DNAUV-10.932-1045_12</t>
  </si>
  <si>
    <t>DNAUV-10.932-1045_13</t>
  </si>
  <si>
    <t>DNAUV-10.932-1045_15</t>
  </si>
  <si>
    <t>DNAUV-10.932-1045_16</t>
  </si>
  <si>
    <t>DNAUV-10.932-1045_18</t>
  </si>
  <si>
    <t>Acyl-CoA N-acyltransferase n=2 Tax=Autolykiviridae TaxID=2184034 RepID=A0A2I7RXM2_9VIRU</t>
  </si>
  <si>
    <t>DNAUV-10.932-1045_20</t>
  </si>
  <si>
    <t>Coil containing protein n=2 Tax=Autolykiviridae TaxID=2184034 RepID=A0A2I7RXG9_9VIRU</t>
  </si>
  <si>
    <t>DNAUV-10.932-1045_23</t>
  </si>
  <si>
    <t>Virion protein n=2 Tax=Endozoicomonas montiporae TaxID=1027273 RepID=A0A142BD06_9GAMM</t>
  </si>
  <si>
    <t>DNAUV-10.932-1045_24</t>
  </si>
  <si>
    <t>Uncharacterized protein n=1 Tax=Pseudohongiella nitratireducens TaxID=1768907 RepID=A0A916VK04_9GAMM</t>
  </si>
  <si>
    <t>DNAUV-10.932-1045_9</t>
  </si>
  <si>
    <t>DNAUV-100.032-102_11</t>
  </si>
  <si>
    <t>GIY-YIG nuclease family protein n=1 Tax=Richelia sp. RM2_1_2 TaxID=2720436 RepID=A0A969STN1_9NOST</t>
  </si>
  <si>
    <t>DNAUV-100.032-102_12</t>
  </si>
  <si>
    <t>VOG06369 [FUNC="REFSEQ hypothetical protein"] [TAG=Xu TAGDEF="Function unknown"]</t>
  </si>
  <si>
    <t>Uncharacterized protein n=1 Tax=Cellulophaga phage phi14:2 TaxID=1327990 RepID=R9ZZX3_9CAUD</t>
  </si>
  <si>
    <t>DNAUV-100.032-102_18</t>
  </si>
  <si>
    <t>VOG17834 [FUNC="REFSEQ hypothetical protein"] [TAG=Xu TAGDEF="Function unknown"]</t>
  </si>
  <si>
    <t>Phage protein n=5 Tax=Lightbulbvirus TaxID=1918522 RepID=R9ZX67_9CAUD</t>
  </si>
  <si>
    <t>DNAUV-100.032-102_20</t>
  </si>
  <si>
    <t>VOG29566 [FUNC="REFSEQ hypothetical protein"] [TAG=Xu TAGDEF="Function unknown"]</t>
  </si>
  <si>
    <t>Uncharacterized protein n=2 Tax=Phocaeicola TaxID=909656 RepID=A0A6I0GUH0_PHOVU</t>
  </si>
  <si>
    <t>DNAUV-100.032-102_27</t>
  </si>
  <si>
    <t>Uncharacterized protein n=1 Tax=Burkholderia lata (strain ATCC 17760 / DSM 23089 / LMG 22485 / NCIMB 9086 / R18194 / 383) TaxID=482957 RepID=A0A6P2VAS1_BURL3</t>
  </si>
  <si>
    <t>DNAUV-100.032-102_29</t>
  </si>
  <si>
    <t>Chromatin remodeling complex ATPase n=1 Tax=Podoviridae sp. ctQyH19 TaxID=2825249 RepID=A0A8S5UQL0_9CAUD</t>
  </si>
  <si>
    <t>DNAUV-100.032-102_31</t>
  </si>
  <si>
    <t>Uncharacterized protein n=2 Tax=Cellulophaga phage phi14:2 TaxID=1327990 RepID=S0A0L0_9CAUD</t>
  </si>
  <si>
    <t>DNAUV-100.032-102_32</t>
  </si>
  <si>
    <t>DNAUV-100.032-102_35</t>
  </si>
  <si>
    <t>ATP-binding protein n=1 Tax=Finegoldia magna TaxID=1260 RepID=A0A233W5U2_FINMA</t>
  </si>
  <si>
    <t>DNAUV-100.032-102_39</t>
  </si>
  <si>
    <t>GIY-YIG nuclease family protein n=1 Tax=Chitinibacter bivalviorum TaxID=2739434 RepID=A0A7H9BGC8_9NEIS</t>
  </si>
  <si>
    <t>DNAUV-100.032-102_40</t>
  </si>
  <si>
    <t>VOG25725 [FUNC="REFSEQ hypothetical protein"] [TAG=Xu TAGDEF="Function unknown"]</t>
  </si>
  <si>
    <t>Uncharacterized protein n=1 Tax=Cellulophaga phage phi14:2 TaxID=1327990 RepID=S0A3T5_9CAUD</t>
  </si>
  <si>
    <t>DNAUV-100.032-102_41</t>
  </si>
  <si>
    <t>Crossover junction endodeoxyribonuclease RusA n=1 Tax=Orpheovirus IHUMI-LCC2 TaxID=2023057 RepID=A0A2I2L3K7_9PHYC</t>
  </si>
  <si>
    <t>DNAUV-100.032-102_44</t>
  </si>
  <si>
    <t>sp|P03691|VR2B_BPT4 Protein rIIB OS=Enterobacteria phage T4 OX=10665 GN=rIIB PE=4 SV=3</t>
  </si>
  <si>
    <t>Uncharacterized protein n=1 Tax=Spirosoma terrae TaxID=1968276 RepID=A0A6L9LA33_9BACT</t>
  </si>
  <si>
    <t>DNAUV-100.032-102_45</t>
  </si>
  <si>
    <t>VOG00600 [FUNC="sp|P15032|RECE_ECOLI Exodeoxyribonuclease 8"] [TAG=Xu TAGDEF="Function unknown"]</t>
  </si>
  <si>
    <t>Exodeoxyribonuclease 8 n=1 Tax=Podoviridae sp. ctQyH19 TaxID=2825249 RepID=A0A8S5UQY3_9CAUD</t>
  </si>
  <si>
    <t>DNAUV-100.032-102_50</t>
  </si>
  <si>
    <t>Uncharacterized protein n=1 Tax=Cellulophaga phage phi46:3 TaxID=1327985 RepID=R9ZZJ1_9CAUD</t>
  </si>
  <si>
    <t>DNAUV-100.032-102_51</t>
  </si>
  <si>
    <t>VOG27710 [FUNC="REFSEQ hypothetical protein"] [TAG=Xu TAGDEF="Function unknown"]</t>
  </si>
  <si>
    <t>Uncharacterized protein n=2 Tax=Incheonvirus TaxID=2976977 RepID=A0A0F7IJM9_9CAUD</t>
  </si>
  <si>
    <t>DNAUV-100.032-102_55</t>
  </si>
  <si>
    <t>Uncharacterized protein n=1 Tax=Ancylomarina subtilis TaxID=1639035 RepID=A0A4Q7V3M3_9BACT</t>
  </si>
  <si>
    <t>DNAUV-100.032-102_63</t>
  </si>
  <si>
    <t>Structural protein n=2 Tax=Cellulophaga phage phi14:2 TaxID=1327990 RepID=S0A2C3_9CAUD</t>
  </si>
  <si>
    <t>DNAUV-100.032-102_64</t>
  </si>
  <si>
    <t>VOG05982 [FUNC="REFSEQ hypothetical protein"] [TAG=Xu TAGDEF="Function unknown"]</t>
  </si>
  <si>
    <t>Structural protein n=1 Tax=Cellulophaga phage phi14:2 TaxID=1327990 RepID=S0A048_9CAUD</t>
  </si>
  <si>
    <t>DNAUV-100.032-102_74</t>
  </si>
  <si>
    <t>DUF1353 domain-containing protein n=1 Tax=Sediminitomix flava TaxID=379075 RepID=A0A315Z5Q6_SEDFL</t>
  </si>
  <si>
    <t>DNAUV-100.032-102_76</t>
  </si>
  <si>
    <t>Phage tail protein n=1 Tax=Cellulophaga phage phi14:2 TaxID=1327990 RepID=S0A0A3_9CAUD</t>
  </si>
  <si>
    <t>DNAUV-100.032-102_79</t>
  </si>
  <si>
    <t>VOG08976 [FUNC="REFSEQ hypothetical protein"] [TAG=Xu TAGDEF="Function unknown"]</t>
  </si>
  <si>
    <t>Uncharacterized protein n=1 Tax=CrAss-like virus sp. ctelJ1 TaxID=2825838 RepID=A0A8S5V2E9_9CAUD</t>
  </si>
  <si>
    <t>DNAUV-100.032-102_8</t>
  </si>
  <si>
    <t>Group I intron endonuclease n=1 Tax=Spirosoma oryzae TaxID=1469603 RepID=A0A2T0SYL3_9BACT</t>
  </si>
  <si>
    <t>DNAUV-100.032-102_81</t>
  </si>
  <si>
    <t>DNAUV-100.032-102_82</t>
  </si>
  <si>
    <t>VOG09957 [FUNC="REFSEQ hypothetical protein"] [TAG=Xu TAGDEF="Function unknown"]</t>
  </si>
  <si>
    <t>Regulatory protein n=1 Tax=Cellulophaga phage phi14:2 TaxID=1327990 RepID=S0A0T9_9CAUD</t>
  </si>
  <si>
    <t>DNAUV-100.032-102_83</t>
  </si>
  <si>
    <t>sp|A0A385DVU6|CAPSD_BPCA1 Major capsid protein OS=Bacteroides phage crAss001 OX=2301731 GN=crAss001_32 PE=1 SV=1</t>
  </si>
  <si>
    <t>VOG02227 [FUNC="sp|A0A385DVU6|CAPSD_BPCA1 Major capsid protein"] [TAG=Xs TAGDEF="Virus structure"]</t>
  </si>
  <si>
    <t>Major capsid protein n=1 Tax=CrAss-like virus sp. ctDAq1 TaxID=2826822 RepID=A0A8S5QUS7_9CAUD</t>
  </si>
  <si>
    <t>DNAUV-100.032-102_84</t>
  </si>
  <si>
    <t>VOG04018 [FUNC="REFSEQ hypothetical protein"] [TAG=Xu TAGDEF="Function unknown"]</t>
  </si>
  <si>
    <t>Uncharacterized protein n=1 Tax=Cellulophaga phage phi14:2 TaxID=1327990 RepID=S0A085_9CAUD</t>
  </si>
  <si>
    <t>DNAUV-100.032-102_85</t>
  </si>
  <si>
    <t>DNAUV-100.032-102_86</t>
  </si>
  <si>
    <t>DNAUV-100.032-102_87</t>
  </si>
  <si>
    <t>DNAUV-100.032-102_91</t>
  </si>
  <si>
    <t>DNAUV-100.032-102_94</t>
  </si>
  <si>
    <t>VOG05551 [FUNC="REFSEQ hypothetical protein"] [TAG=Xu TAGDEF="Function unknown"]</t>
  </si>
  <si>
    <t>Uncharacterized protein n=1 Tax=Cellulophaga phage phi19:1 TaxID=1327970 RepID=R9ZZB5_9CAUD</t>
  </si>
  <si>
    <t>DNAUV-100.032-102_95</t>
  </si>
  <si>
    <t>Structural protein n=1 Tax=Cellulophaga phage phi14:2 TaxID=1327990 RepID=S0A406_9CAUD</t>
  </si>
  <si>
    <t>DNAUV-100.032-102_96</t>
  </si>
  <si>
    <t>Uncharacterized protein n=1 Tax=Cellulophaga phage phi14:2 TaxID=1327990 RepID=S0A3F4_9CAUD</t>
  </si>
  <si>
    <t>DNAUV-100.032-102_97</t>
  </si>
  <si>
    <t>sp|A0A385DT91|RING1_BPCA1 Ring protein 1 OS=Bacteroides phage crAss001 OX=2301731 GN=crAss001_43 PE=1 SV=1</t>
  </si>
  <si>
    <t>VOG05960 [FUNC="sp|A0A385DT91|RING1_BPCA1 Ring protein 1"] [TAG=Xs TAGDEF="Virus structure"]</t>
  </si>
  <si>
    <t>Tail tubular protein n=1 Tax=CrAss-like virus sp. ctZ6R2 TaxID=2827629 RepID=A0A8S5RTC6_9CAUD</t>
  </si>
  <si>
    <t>DNAUV-100.032-102_98</t>
  </si>
  <si>
    <t>sp|A0A385DVD6|MUZZL_BPCA1 Muzzle protein OS=Bacteroides phage crAss001 OX=2301731 GN=crAss001_44 PE=1 SV=1</t>
  </si>
  <si>
    <t>VOG03197 [FUNC="sp|A0A385DVD6|MUZZL_BPCA1 Muzzle protein"] [TAG=Xs TAGDEF="Virus structure"]</t>
  </si>
  <si>
    <t>Structural protein n=1 Tax=Cellulophaga phage phi14:2 TaxID=1327990 RepID=S0A2C8_9CAUD</t>
  </si>
  <si>
    <t>DNAUV-100.032-102_99</t>
  </si>
  <si>
    <t>VOG08809 [FUNC="REFSEQ tail protein"] [TAG=Xu TAGDEF="Function unknown"]</t>
  </si>
  <si>
    <t>Bacteriocin n=1 Tax=CrAss-like virus sp. ctDAq1 TaxID=2826822 RepID=A0A8S5QT70_9CAUD</t>
  </si>
  <si>
    <t>DNAUV-11.146-229_19</t>
  </si>
  <si>
    <t>DNAUV-11.146-229_20</t>
  </si>
  <si>
    <t>DNAUV-11.146-229_23</t>
  </si>
  <si>
    <t>Uncharacterized protein n=3 Tax=root TaxID=1 RepID=A0A8S5UI89_9CAUD</t>
  </si>
  <si>
    <t>DNAUV-11.146-229_3</t>
  </si>
  <si>
    <t>LamG-like jellyroll fold domain-containing protein n=2 Tax=Maricaulis TaxID=74317 RepID=A0A1Q8G0X1_9PROT</t>
  </si>
  <si>
    <t>DNAUV-11.146-229_4</t>
  </si>
  <si>
    <t>Uncharacterized protein n=1 Tax=Oceanibaculum indicum TaxID=526216 RepID=A0A420WGM2_9PROT</t>
  </si>
  <si>
    <t>DNAUV-11.146-229_5</t>
  </si>
  <si>
    <t>Peptidase M15A C-terminal domain-containing protein n=1 Tax=Saliniradius amylolyticus TaxID=2183582 RepID=A0A2S2E2R3_9ALTE</t>
  </si>
  <si>
    <t>DNAUV-11.146-229_6</t>
  </si>
  <si>
    <t>Uncharacterized protein n=1 Tax=Celeribacter phage P12053L TaxID=1197951 RepID=I6RT23_9CAUD</t>
  </si>
  <si>
    <t>DNAUV-11.146-229_7</t>
  </si>
  <si>
    <t>Phage protein n=1 Tax=Polaromonas sp. CG9_12 TaxID=1504672 RepID=A0A068YQ05_9BURK</t>
  </si>
  <si>
    <t>DNAUV-11.176-406_10</t>
  </si>
  <si>
    <t>Uncharacterized protein n=1 Tax=Gramella crocea TaxID=2904124 RepID=A0A9X2A576_9FLAO</t>
  </si>
  <si>
    <t>DNAUV-11.176-406_12</t>
  </si>
  <si>
    <t>DNAUV-11.176-406_5</t>
  </si>
  <si>
    <t>Phage portal protein n=1 Tax=Tenacibaculum caenipelagi TaxID=1325435 RepID=A0A4R6TFZ3_9FLAO</t>
  </si>
  <si>
    <t>DNAUV-11.176-406_6</t>
  </si>
  <si>
    <t>Phage protein n=1 Tax=Tenacibaculum caenipelagi TaxID=1325435 RepID=A0A4R6TCU1_9FLAO</t>
  </si>
  <si>
    <t>DNAUV-11.176-406_7</t>
  </si>
  <si>
    <t>Uncharacterized protein n=1 Tax=Tenacibaculum caenipelagi TaxID=1325435 RepID=A0A4V3D328_9FLAO</t>
  </si>
  <si>
    <t>DNAUV-11.176-406_8</t>
  </si>
  <si>
    <t>Uncharacterized protein n=1 Tax=Tenacibaculum caenipelagi TaxID=1325435 RepID=A0A4R6TE37_9FLAO</t>
  </si>
  <si>
    <t>DNAUV-11.176-406_9</t>
  </si>
  <si>
    <t>VOG29537 [FUNC="REFSEQ hypothetical protein"] [TAG=Xu TAGDEF="Function unknown"]</t>
  </si>
  <si>
    <t>Uncharacterized protein n=1 Tax=Gramella crocea TaxID=2904124 RepID=A0A9X2A6H0_9FLAO</t>
  </si>
  <si>
    <t>DNAUV-11.287-15_1</t>
  </si>
  <si>
    <t>sp|A0MZE1|PORTL_BPN4 Probable portal protein OS=Enterobacteria phage N4 OX=2886925 GN=59 PE=3 SV=1</t>
  </si>
  <si>
    <t>Portal protein n=1 Tax=Pseudomonas phage Zuri TaxID=2604899 RepID=A0A5C1K732_9CAUD</t>
  </si>
  <si>
    <t>DNAUV-11.287-15_2</t>
  </si>
  <si>
    <t>VOG03083 [FUNC="REFSEQ hypothetical protein"] [TAG=Xu TAGDEF="Function unknown"]</t>
  </si>
  <si>
    <t>Terminase small subunit n=1 Tax=Erwinia phage phiEaP8 TaxID=2178928 RepID=A0A3G1QTL8_9CAUD</t>
  </si>
  <si>
    <t>DNAUV-11.287-15_3</t>
  </si>
  <si>
    <t>VOG37795 [FUNC="REFSEQ tail length tape measure protein"] [TAG=Xu TAGDEF="Function unknown"]</t>
  </si>
  <si>
    <t>Tape measure protein n=1 Tax=Sinorhizobium phage ort11 TaxID=2599764 RepID=A0A5C2H5M3_9CAUD</t>
  </si>
  <si>
    <t>DNAUV-11.287-15_4</t>
  </si>
  <si>
    <t>Major coat protein n=1 Tax=Achromobacter phage JWAlpha TaxID=1416009 RepID=V9VCY6_9CAUD</t>
  </si>
  <si>
    <t>DNAUV-11.287-15_5</t>
  </si>
  <si>
    <t>Uncharacterized protein n=1 Tax=Achromobacter phage vB_AxyP_19-32_Axy24 TaxID=2591048 RepID=A0A514CW98_9CAUD</t>
  </si>
  <si>
    <t>DNAUV-11.287-15_7</t>
  </si>
  <si>
    <t>TolC family protein n=2 Tax=unclassified Mesorhizobium TaxID=325217 RepID=A0A3Q8ZL72_9HYPH</t>
  </si>
  <si>
    <t>DNAUV-11.287-15_8</t>
  </si>
  <si>
    <t>Uncharacterized protein n=1 Tax=Xanthomonas phage RiverRider TaxID=2108116 RepID=A0A2P1JUZ5_9CAUD</t>
  </si>
  <si>
    <t>DNAUV-11.287-15_9</t>
  </si>
  <si>
    <t>Minor capsid protein n=1 Tax=Sinorhizobium phage ort11 TaxID=2599764 RepID=A0A5C2H1D6_9CAUD</t>
  </si>
  <si>
    <t>DNAUV-11.383-1014_17</t>
  </si>
  <si>
    <t>DNA-directed DNA polymerase n=1 Tax=Inonotus obliquus TaxID=167356 RepID=A0A5A4UA86_9AGAM</t>
  </si>
  <si>
    <t>DNAUV-11.383-1014_9</t>
  </si>
  <si>
    <t>AGB-1 n=1 Tax=Heterosigma akashiwo virus 01 TaxID=97195 RepID=Q91DI0_HAV01</t>
  </si>
  <si>
    <t>DNAUV-11.392-193_10</t>
  </si>
  <si>
    <t>DNAUV-11.392-193_12</t>
  </si>
  <si>
    <t>Predicted internal virion protein D n=1 Tax=Citrobacter phage CR8 TaxID=1455076 RepID=W6Q7I9_9CAUD</t>
  </si>
  <si>
    <t>DNAUV-11.392-193_13</t>
  </si>
  <si>
    <t>DNAUV-11.392-193_24</t>
  </si>
  <si>
    <t>DNAUV-11.392-193_25</t>
  </si>
  <si>
    <t>sp|P17637|VP12_BPPRD Single-stranded DNA-binding protein OS=Enterobacteria phage PRD1 OX=10658 GN=XII PE=4 SV=1</t>
  </si>
  <si>
    <t>VOG32908 [FUNC="sp|P17637|VP12_BPPRD Single-stranded DNA-binding protein"] [TAG=Xh TAGDEF="Virus protein with function beneficial for the host"]</t>
  </si>
  <si>
    <t>SsDNA binding protein n=1 Tax=Enterobacteria phage PR4 TaxID=318595 RepID=Q3T4V8_9VIRU</t>
  </si>
  <si>
    <t>DNAUV-11.392-193_5</t>
  </si>
  <si>
    <t>DNAUV-11.419-18_1</t>
  </si>
  <si>
    <t>Homing endonuclease n=1 Tax=Salmonella phage PST_H2 TaxID=2978975 RepID=A0A977XS85_9CAUD</t>
  </si>
  <si>
    <t>DNAUV-11.419-18_10</t>
  </si>
  <si>
    <t>EF-hand domain-containing protein n=1 Tax=Muricauda sp. TMED12 TaxID=1986608 RepID=A0A3R7TQ03_9FLAO</t>
  </si>
  <si>
    <t>DNAUV-11.419-18_11</t>
  </si>
  <si>
    <t>Phosphoribosylaminoimidazole synthetase n=1 Tax=Synechococcus phage ACG-2014f TaxID=1493511 RepID=A0A0E3I023_9CAUD</t>
  </si>
  <si>
    <t>DNAUV-11.419-18_12</t>
  </si>
  <si>
    <t>DNAUV-11.419-18_15</t>
  </si>
  <si>
    <t>Lipooligosaccharide biosynthesis glycosyltransferase n=1 Tax=Helicobacter sp. TUL TaxID=1848928 RepID=A0A2A2GRE4_9HELI</t>
  </si>
  <si>
    <t>DNAUV-11.419-18_16</t>
  </si>
  <si>
    <t>DNAUV-11.419-18_21</t>
  </si>
  <si>
    <t>DNAUV-11.419-18_3</t>
  </si>
  <si>
    <t>Uncharacterized protein n=1 Tax=Myoviridae sp. ctA4D8 TaxID=2823535 RepID=A0A8S5L6I8_9CAUD</t>
  </si>
  <si>
    <t>DNAUV-11.419-18_4</t>
  </si>
  <si>
    <t>DNAUV-11.419-18_5</t>
  </si>
  <si>
    <t>DNAUV-11.419-18_6</t>
  </si>
  <si>
    <t>DNAUV-11.419-18_7</t>
  </si>
  <si>
    <t>DNAUV-11.419-18_8</t>
  </si>
  <si>
    <t>DNAUV-11.532-345_1</t>
  </si>
  <si>
    <t>Uncharacterized protein n=1 Tax=Rubellimicrobium thermophilum DSM 16684 TaxID=1123069 RepID=S9R5F2_9RHOB</t>
  </si>
  <si>
    <t>DNAUV-11.532-345_29</t>
  </si>
  <si>
    <t>VOG01610 [FUNC="REFSEQ hypothetical protein"] [TAG=Xu TAGDEF="Function unknown"]</t>
  </si>
  <si>
    <t>DUF551 domain-containing protein n=1 Tax=Phaeobacter gallaeciensis DSM 26640 TaxID=1423144 RepID=V9WIN1_9RHOB</t>
  </si>
  <si>
    <t>DNAUV-11.532-345_3</t>
  </si>
  <si>
    <t>Uncharacterized protein n=1 Tax=Rubellimicrobium thermophilum DSM 16684 TaxID=1123069 RepID=S9SAG3_9RHOB</t>
  </si>
  <si>
    <t>DNAUV-11.532-345_30</t>
  </si>
  <si>
    <t>Thymidylate synthase n=1 Tax=Ruegeria phage vB_RpoP-V13 TaxID=2218612 RepID=A0A2Z4QGH6_9CAUD</t>
  </si>
  <si>
    <t>DNAUV-11.532-345_7</t>
  </si>
  <si>
    <t>DNAUV-11.690-13_11</t>
  </si>
  <si>
    <t>Coat protein n=1 Tax=Pseudoalteromonas phage H103 TaxID=1636200 RepID=A0A0K0MD35_9CAUD</t>
  </si>
  <si>
    <t>DNAUV-11.690-13_12</t>
  </si>
  <si>
    <t>Uncharacterized protein n=1 Tax=Vibrio phage 1.076.O._10N.286.51.B7 TaxID=2070720 RepID=A0A2I7QVW1_9CAUD</t>
  </si>
  <si>
    <t>DNAUV-11.690-13_14</t>
  </si>
  <si>
    <t>DNAUV-11.690-13_16</t>
  </si>
  <si>
    <t>VOG04925 [FUNC="REFSEQ hypothetical protein"] [TAG=Xu TAGDEF="Function unknown"]</t>
  </si>
  <si>
    <t>Head completion protein n=1 Tax=Vibrio phage pYD21-A TaxID=754049 RepID=M4Q4V6_9CAUD</t>
  </si>
  <si>
    <t>DNAUV-11.690-13_17</t>
  </si>
  <si>
    <t>VOG03872 [FUNC="REFSEQ hypothetical protein"] [TAG=Xu TAGDEF="Function unknown"]</t>
  </si>
  <si>
    <t>Uncharacterized protein n=1 Tax=Pseudoalteromonas phage XCL1123 TaxID=2655003 RepID=A0A649V1S7_9CAUD</t>
  </si>
  <si>
    <t>DNAUV-11.690-13_18</t>
  </si>
  <si>
    <t>Neck protein n=1 Tax=Pseudoalteromonas phage C7 TaxID=2510494 RepID=A0A411CVS2_9CAUD</t>
  </si>
  <si>
    <t>DNAUV-11.690-13_20</t>
  </si>
  <si>
    <t>Major tail protein n=2 Tax=unclassified Caudoviricetes TaxID=2788787 RepID=A0A2I7R6V1_9CAUD</t>
  </si>
  <si>
    <t>DNAUV-11.690-13_6</t>
  </si>
  <si>
    <t>VOG26542 [FUNC="sp|O34401|YOPX_BACSU SPbeta prophage-derived uncharacterized protein YopX"] [TAG=Xu TAGDEF="Function unknown"]</t>
  </si>
  <si>
    <t>YopX protein n=1 Tax=Siphoviridae sp. ctGN02 TaxID=2825411 RepID=A0A8S5PJR6_9CAUD</t>
  </si>
  <si>
    <t>DNAUV-11.690-13_7</t>
  </si>
  <si>
    <t>Coil containing protein n=2 Tax=unclassified Caudoviricetes TaxID=2788787 RepID=A0A2I7RX48_9CAUD</t>
  </si>
  <si>
    <t>DNAUV-11.762-11_11</t>
  </si>
  <si>
    <t>Homeodomain-like protein n=1 Tax=TM7 phage DolZOral124_53_65 TaxID=2053587 RepID=A0A2H4PHY1_9CAUD</t>
  </si>
  <si>
    <t>DNAUV-11.762-11_12</t>
  </si>
  <si>
    <t>Major virion structural protein n=1 Tax=Neorhizobium galegae bv. officinalis TaxID=323656 RepID=A0A0T7GYB5_NEOGA</t>
  </si>
  <si>
    <t>DNAUV-11.762-11_8</t>
  </si>
  <si>
    <t>Portal protein n=1 Tax=Podoviridae sp. ct9A73 TaxID=2825225 RepID=A0A8S5UK58_9CAUD</t>
  </si>
  <si>
    <t>DNAUV-11.864-30_13</t>
  </si>
  <si>
    <t>VOG04774 [FUNC="REFSEQ hypothetical protein"] [TAG=Xu TAGDEF="Function unknown"]</t>
  </si>
  <si>
    <t>Capsid protein n=1 Tax=Gordonia phage GMA1 TaxID=1647470 RepID=A0A159B6I9_9CAUD</t>
  </si>
  <si>
    <t>DNAUV-11.864-30_7</t>
  </si>
  <si>
    <t>Phage portal protein n=1 Tax=Geoglobus acetivorans TaxID=565033 RepID=A0A0A7GCZ9_GEOAI</t>
  </si>
  <si>
    <t>DNAUV-11.867-26_23</t>
  </si>
  <si>
    <t>DNA-directed DNA polymerase n=1 Tax=Enterobacteria phage PR772 TaxID=261665 RepID=Q6EDY4_9VIRU</t>
  </si>
  <si>
    <t>DNAUV-11.867-26_29</t>
  </si>
  <si>
    <t>sp|P28732|VP10_BPPRD Protein P10 OS=Enterobacteria phage PRD1 OX=10658 GN=X PE=4 SV=1</t>
  </si>
  <si>
    <t>VOG07847 [FUNC="sp|P28732|VP10_BPPRD Protein P10"] [TAG=Xs TAGDEF="Virus structure"]</t>
  </si>
  <si>
    <t>Assembly n=1 Tax=Enterobacteria phage PR4 TaxID=318595 RepID=Q3T4X9_9VIRU</t>
  </si>
  <si>
    <t>DNAUV-11.867-26_30</t>
  </si>
  <si>
    <t>sp|P27381|PKG9_BPPRD DNA packaging ATPase P9 OS=Enterobacteria phage PRD1 OX=10658 GN=IX PE=1 SV=3</t>
  </si>
  <si>
    <t>DUF87 domain-containing protein n=1 Tax=Hydrotalea sp. AMD TaxID=2501297 RepID=A0A4Q0ASK9_9BACT</t>
  </si>
  <si>
    <t>DNAUV-11.867-26_31</t>
  </si>
  <si>
    <t>DNA packaging ATPase n=1 Tax=Enterobacteria phage PR4 TaxID=318595 RepID=Q08660_9VIRU</t>
  </si>
  <si>
    <t>DNAUV-11.867-26_34</t>
  </si>
  <si>
    <t>sp|P22535|CAPSD_BPPRD Major capsid protein P3 OS=Enterobacteria phage PRD1 OX=10658 GN=III PE=1 SV=2</t>
  </si>
  <si>
    <t>DUF4270 family protein n=1 Tax=Hydrotalea sp. AMD TaxID=2501297 RepID=A0A4Q0ASC6_9BACT</t>
  </si>
  <si>
    <t>DNAUV-12.051-269_1</t>
  </si>
  <si>
    <t>Phage terminase, small subunit, putative, P27 family n=1 Tax=Streptomyces sp. 1331.2 TaxID=1938835 RepID=A0A285QQY3_9ACTN</t>
  </si>
  <si>
    <t>DNAUV-12.051-269_17</t>
  </si>
  <si>
    <t>Uncharacterized protein n=1 Tax=Azospira sp. I13 TaxID=1765050 RepID=A0A2R5EH99_9RHOO</t>
  </si>
  <si>
    <t>DNAUV-12.051-269_19</t>
  </si>
  <si>
    <t>DNAUV-12.051-269_22</t>
  </si>
  <si>
    <t>DNAUV-12.051-269_23</t>
  </si>
  <si>
    <t>DNAUV-12.051-269_24</t>
  </si>
  <si>
    <t>HK97 gp10 family phage protein n=1 Tax=Amycolatopsis sp. SID8362 TaxID=2690346 RepID=A0A6B2D9Q7_9PSEU</t>
  </si>
  <si>
    <t>DNAUV-12.051-269_46</t>
  </si>
  <si>
    <t>HIRAN domain-containing protein n=2 Tax=Modestobacter sp. DSM 44400 TaxID=1550230 RepID=A0A1H3P6Z8_9ACTN</t>
  </si>
  <si>
    <t>DNAUV-12.093-17_1</t>
  </si>
  <si>
    <t>sp|P16011|BP53_BPT4 Baseplate wedge protein gp53 OS=Enterobacteria phage T4 OX=10665 GN=53 PE=1 SV=1</t>
  </si>
  <si>
    <t>Baseplate wedge protein n=1 Tax=Ochrobactrum phage vB_OspM_OC TaxID=2712956 RepID=A0A6G6XWQ2_9CAUD</t>
  </si>
  <si>
    <t>DNAUV-12.093-17_10</t>
  </si>
  <si>
    <t>sp|Q36580|IEND1_NEUCR Probable intron-encoded endonuclease 1 OS=Neurospora crassa (strain ATCC 24698 / 74-OR23-1A / CBS 708.71 / DSM 1257 / FGSC 987) OX=367110 GN=NCU16019 PE=3 SV=1</t>
  </si>
  <si>
    <t>GIY-YIG domain-containing protein n=1 Tax=Geobacillus stearothermophilus TaxID=1422 RepID=A0A150MUV4_GEOSE</t>
  </si>
  <si>
    <t>DNAUV-12.093-17_11</t>
  </si>
  <si>
    <t>DUF4815 domain-containing protein n=1 Tax=Ochrobactrum phage vB_OspM_OC TaxID=2712956 RepID=A0A6G6XWK9_9CAUD</t>
  </si>
  <si>
    <t>DNAUV-12.093-17_2</t>
  </si>
  <si>
    <t>Baseplate hub subunit n=3 Tax=Emdodecavirus TaxID=1980937 RepID=S5MV68_9CAUD</t>
  </si>
  <si>
    <t>DNAUV-12.093-17_3</t>
  </si>
  <si>
    <t>Baseplate hub subunit/tail lysozyme n=1 Tax=Acidovorax phage ACP17 TaxID=2010329 RepID=A0A223AIX6_9CAUD</t>
  </si>
  <si>
    <t>DNAUV-12.093-17_5</t>
  </si>
  <si>
    <t>DNAUV-12.093-17_6</t>
  </si>
  <si>
    <t>VOG21688 [FUNC="REFSEQ baseplate wedge subunit"] [TAG=Xu TAGDEF="Function unknown"]</t>
  </si>
  <si>
    <t>Baseplate wedge subunit protein n=1 Tax=Stenotrophomonas phage vB_SmaS-DLP_6 TaxID=1651816 RepID=A0A142EZL3_9CAUD</t>
  </si>
  <si>
    <t>DNAUV-12.093-17_8</t>
  </si>
  <si>
    <t>sp|P19062|BP08_BPT4 Baseplate wedge protein gp8 OS=Enterobacteria phage T4 OX=10665 GN=8 PE=1 SV=1</t>
  </si>
  <si>
    <t>VOG08628 [FUNC="REFSEQ baseplate wedge subunit"] [TAG=Xu TAGDEF="Function unknown"]</t>
  </si>
  <si>
    <t>Bacteriophage T4 Gp8 domain-containing protein n=1 Tax=Marine Group I thaumarchaeote TaxID=2511932 RepID=A0A7K4MPU8_9ARCH</t>
  </si>
  <si>
    <t>DNAUV-12.093-17_9</t>
  </si>
  <si>
    <t>Baseplate structural protein n=1 Tax=Ochrobactrum phage vB_OspM_OC TaxID=2712956 RepID=A0A6G6XXF8_9CAUD</t>
  </si>
  <si>
    <t>DNAUV-12.147-754_1</t>
  </si>
  <si>
    <t>DNAUV-12.147-754_14</t>
  </si>
  <si>
    <t>VOG00305 [FUNC="sp|P03798|Y53_BPT7 Protein 5.3"] [TAG=Xu TAGDEF="Function unknown"]</t>
  </si>
  <si>
    <t>PD(D/E)XK endonuclease domain-containing protein n=1 Tax=Synechococcus phage MRHenn-2013a TaxID=2791035 RepID=M1PVX4_9CAUD</t>
  </si>
  <si>
    <t>DNAUV-12.147-754_16</t>
  </si>
  <si>
    <t>DNAUV-12.147-754_17</t>
  </si>
  <si>
    <t>sp|P20314|ENRN_BPT3 Endodeoxyribonuclease 1 OS=Enterobacteria phage T3 OX=10759 GN=3 PE=4 SV=1</t>
  </si>
  <si>
    <t>Endonuclease n=1 Tax=Synechococcus phage S-CBP1 TaxID=1273711 RepID=A0A096VKD8_9CAUD</t>
  </si>
  <si>
    <t>DNAUV-12.147-754_19</t>
  </si>
  <si>
    <t>DNAUV-12.147-754_22</t>
  </si>
  <si>
    <t>Protein of unknwon function (DUF3310) n=1 Tax=Brucella daejeonensis TaxID=659015 RepID=A0A7W9AU93_9HYPH</t>
  </si>
  <si>
    <t>DNAUV-12.287-20_24</t>
  </si>
  <si>
    <t>Calcineurin-like phosphoesterase domain-containing protein n=1 Tax=Richelia sp. RM2_1_2 TaxID=2720436 RepID=A0A969MF72_9NOST</t>
  </si>
  <si>
    <t>DNAUV-12.287-216_17</t>
  </si>
  <si>
    <t>Cro/Cl family transcriptional regulator n=1 Tax=Vibrio barjaei TaxID=1676683 RepID=A0A9Q5P986_9VIBR</t>
  </si>
  <si>
    <t>DNAUV-12.287-216_25</t>
  </si>
  <si>
    <t>Uncharacterized protein n=1 Tax=Novosphingobium umbonatum TaxID=1908524 RepID=A0A3S2VR35_9SPHN</t>
  </si>
  <si>
    <t>DNAUV-12.287-216_33</t>
  </si>
  <si>
    <t>Uncharacterized protein n=1 Tax=Halioglobus sp. HI00S01 TaxID=1822214 RepID=A0A165TLJ4_9GAMM</t>
  </si>
  <si>
    <t>DNAUV-12.287-216_41</t>
  </si>
  <si>
    <t>DNAUV-12.287-216_45</t>
  </si>
  <si>
    <t>DNAUV-12.287-216_47</t>
  </si>
  <si>
    <t>sp|Q9T1Q4|VP44_BPAPS Putative nuclease p44 OS=Acyrthosiphon pisum secondary endosymbiont phage 1 OX=2682836 GN=44 PE=3 SV=1</t>
  </si>
  <si>
    <t>VRR-NUC domain-containing protein n=4 Tax=root TaxID=1 RepID=A0A5K1KD53_9CAUD</t>
  </si>
  <si>
    <t>DNAUV-12.291-189_13</t>
  </si>
  <si>
    <t>Uncharacterized protein n=1 Tax=Paracoccus versutus TaxID=34007 RepID=A0A369TVA3_PARVE</t>
  </si>
  <si>
    <t>DNAUV-12.291-189_14</t>
  </si>
  <si>
    <t>VOG00984 [FUNC="sp|P13314|Y06G_BPT4 Uncharacterized 10.2 kDa protein in regB-denV intergenic region"] [TAG=Xu TAGDEF="Function unknown"]</t>
  </si>
  <si>
    <t>Uncharacterized protein n=1 Tax=Paracoccus limosus TaxID=913252 RepID=A0A844GZQ3_9RHOB</t>
  </si>
  <si>
    <t>DNAUV-12.291-189_19</t>
  </si>
  <si>
    <t>UvrD-like helicase C-terminal domain-containing protein n=1 Tax=Crocosphaera subtropica (strain ATCC 51142 / BH68) TaxID=43989 RepID=B1X365_CROS5</t>
  </si>
  <si>
    <t>DNAUV-12.291-189_20</t>
  </si>
  <si>
    <t>DNAUV-12.291-189_24</t>
  </si>
  <si>
    <t>VRR-NUC domain-containing protein n=1 Tax=Methylotenera mobilis TaxID=359408 RepID=A0A351RD03_9PROT</t>
  </si>
  <si>
    <t>DNAUV-12.291-189_46</t>
  </si>
  <si>
    <t>DNAUV-12.383-30_2</t>
  </si>
  <si>
    <t>Glycosyltransferase family 2 protein n=1 Tax=Pantoea stewartii subsp. stewartii DC283 TaxID=660596 RepID=H3RE96_PANSE</t>
  </si>
  <si>
    <t>DNAUV-12.383-30_3</t>
  </si>
  <si>
    <t>Phage terminase small subunit P27 family n=1 Tax=Streptomyces sp. SID5468 TaxID=2690295 RepID=A0A7K2NBA4_9ACTN</t>
  </si>
  <si>
    <t>DNAUV-12.383-30_8</t>
  </si>
  <si>
    <t>DNAUV-12.402-457_13</t>
  </si>
  <si>
    <t>Uncharacterized protein n=2 Tax=Serratia symbiotica TaxID=138074 RepID=A0A455VIK5_9GAMM</t>
  </si>
  <si>
    <t>DNAUV-12.402-457_36</t>
  </si>
  <si>
    <t>DNAUV-12.402-457_39</t>
  </si>
  <si>
    <t>DUF3883 domain-containing protein n=1 Tax=Methanosarcina mazei TaxID=2209 RepID=A0A4V1FAV0_METMZ</t>
  </si>
  <si>
    <t>DNAUV-12.402-457_40</t>
  </si>
  <si>
    <t>Gp30 n=1 Tax=Ryyoungvirus bcepC6B TaxID=279280 RepID=Q6J1P7_9CAUD</t>
  </si>
  <si>
    <t>DNAUV-12.402-457_47</t>
  </si>
  <si>
    <t>VOG08427 [FUNC="REFSEQ hypothetical protein"] [TAG=Xu TAGDEF="Function unknown"]</t>
  </si>
  <si>
    <t>Uncharacterized protein n=4 Tax=root TaxID=1 RepID=A0A088FAU6_9CAUD</t>
  </si>
  <si>
    <t>DNAUV-12.402-457_5</t>
  </si>
  <si>
    <t>sp|O64246|VG55_BPMD2 Gene 55 protein OS=Mycobacterium phage D29 OX=28369 GN=55 PE=4 SV=1</t>
  </si>
  <si>
    <t>DUF6378 domain-containing protein n=1 Tax=Lachnospira eligens TaxID=39485 RepID=A0A174YX07_9FIRM</t>
  </si>
  <si>
    <t>DNAUV-12.430-23_11</t>
  </si>
  <si>
    <t>Uncharacterized protein n=1 Tax=Bdellovibrio phage phi1422 TaxID=1127515 RepID=H9C0M2_9CAUD</t>
  </si>
  <si>
    <t>DNAUV-12.430-23_12</t>
  </si>
  <si>
    <t>Uncharacterized protein n=1 Tax=Bdellovibrio phage phi1422 TaxID=1127515 RepID=H9C0M3_9CAUD</t>
  </si>
  <si>
    <t>DNAUV-12.430-23_3</t>
  </si>
  <si>
    <t>Uncharacterized protein n=1 Tax=Bdellovibrio phage phi1422 TaxID=1127515 RepID=H9C0L4_9CAUD</t>
  </si>
  <si>
    <t>DNAUV-12.430-23_4</t>
  </si>
  <si>
    <t>VOG01608 [FUNC="REFSEQ terminase small subunit"] [TAG=Xu TAGDEF="Function unknown"]</t>
  </si>
  <si>
    <t>Transposase n=1 Tax=Alicyclobacillus vulcanalis TaxID=252246 RepID=A0A1N7MR62_9BACL</t>
  </si>
  <si>
    <t>DNAUV-12.430-23_9</t>
  </si>
  <si>
    <t>Glycosyltransferase n=1 Tax=Gluconobacter oxydans NBRC 3293 TaxID=1315969 RepID=A0A829X4F0_GLUOY</t>
  </si>
  <si>
    <t>DNAUV-12.470-14_1</t>
  </si>
  <si>
    <t>Baseplate wedge n=1 Tax=Sinorhizobium phage phiN3 TaxID=1647405 RepID=A0A0F6SJ07_9CAUD</t>
  </si>
  <si>
    <t>DNAUV-12.470-14_3</t>
  </si>
  <si>
    <t>Structural protein n=1 Tax=Caulobacter phage Cr30 TaxID=1357714 RepID=A0A067XQM9_9CAUD</t>
  </si>
  <si>
    <t>DNAUV-12.470-14_4</t>
  </si>
  <si>
    <t>Baseplate wedge subunit n=3 Tax=Emdodecavirus TaxID=1980937 RepID=S5M6T0_9CAUD</t>
  </si>
  <si>
    <t>DNAUV-12.470-14_6</t>
  </si>
  <si>
    <t>DUF4815 domain-containing protein n=2 Tax=unclassified Kyanoviridae TaxID=2960609 RepID=A0A650EXL0_9CAUD</t>
  </si>
  <si>
    <t>DNAUV-12.470-14_8</t>
  </si>
  <si>
    <t>VrlC protein n=1 Tax=Sinorhizobium phage phiM7 TaxID=1647403 RepID=A0A0F6YQJ1_9CAUD</t>
  </si>
  <si>
    <t>DNAUV-12.946-36_22</t>
  </si>
  <si>
    <t>DNAUV-12.946-36_3</t>
  </si>
  <si>
    <t>Coil containing protein n=9 Tax=Autolykiviridae TaxID=2184034 RepID=A0A2I7R1X0_9VIRU</t>
  </si>
  <si>
    <t>DNAUV-12.946-36_4</t>
  </si>
  <si>
    <t>sp|Q9XJR9|P9_BPPM2 Protein P9 OS=Pseudoalteromonas phage PM2 OX=2905728 GN=IX PE=1 SV=2</t>
  </si>
  <si>
    <t>DNAUV-12.946-36_5</t>
  </si>
  <si>
    <t>Viral coat protein P2 N-terminal domain-containing protein n=2 Tax=Thioclava dalianensis TaxID=1185766 RepID=A0A074TJ95_9RHOB</t>
  </si>
  <si>
    <t>DNAUV-13.057-36_9</t>
  </si>
  <si>
    <t>VOG03712 [FUNC="REFSEQ hypothetical protein"] [TAG=Xu TAGDEF="Function unknown"]</t>
  </si>
  <si>
    <t>Uncharacterized protein n=1 Tax=Caulobacter phage CcrColossus TaxID=1211640 RepID=K4JUG3_9CAUD</t>
  </si>
  <si>
    <t>DNAUV-13.079-18_10</t>
  </si>
  <si>
    <t>Thymidylate kinase n=1 Tax=Ralstonia phage RsoM2USA TaxID=2070027 RepID=A0A8D4KJ21_9CAUD</t>
  </si>
  <si>
    <t>DNAUV-13.079-18_14</t>
  </si>
  <si>
    <t>VOG19880 [FUNC="REFSEQ hypothetical protein"] [TAG=Xu TAGDEF="Function unknown"]</t>
  </si>
  <si>
    <t>Uncharacterized protein n=1 Tax=Bacillus phage SP10 TaxID=941058 RepID=F8WPY9_BPS10</t>
  </si>
  <si>
    <t>DNAUV-13.079-18_15</t>
  </si>
  <si>
    <t>Nuclease associated modular domain-containing protein n=2 Tax=Bacillus TaxID=1386 RepID=A0A161TNT5_BACCE</t>
  </si>
  <si>
    <t>DNAUV-13.079-18_16</t>
  </si>
  <si>
    <t>Uncharacterized protein n=1 Tax=Bacillus phage SP10 TaxID=941058 RepID=F8WPZ0_BPS10</t>
  </si>
  <si>
    <t>DNAUV-13.079-18_19</t>
  </si>
  <si>
    <t>sp|B6V2P4|TSP_BPSP1 Tail sheath protein OS=Bacillus phage SP01 OX=2884427 GN=9.1 PE=3 SV=1</t>
  </si>
  <si>
    <t>VOG05204 [FUNC="sp|P85225|VPN1_BPPHE Putative tail sheath protein"] [TAG=Xs TAGDEF="Virus structure"]</t>
  </si>
  <si>
    <t>Tail sheath protein n=1 Tax=Bacillus phage P59 TaxID=2723893 RepID=A0A7S5VJT7_9CAUD</t>
  </si>
  <si>
    <t>DNAUV-13.079-18_3</t>
  </si>
  <si>
    <t>HNH endonuclease n=1 Tax=Rufibacter hautae TaxID=2595005 RepID=A0A5B6TAY0_9BACT</t>
  </si>
  <si>
    <t>DNAUV-13.200-228_28</t>
  </si>
  <si>
    <t>Phage terminase small subunit P27 family n=3 Tax=unclassified Streptomyces TaxID=2593676 RepID=A0A367HUR1_9ACTN</t>
  </si>
  <si>
    <t>DNAUV-13.200-228_51</t>
  </si>
  <si>
    <t>DNAUV-13.200-228_53</t>
  </si>
  <si>
    <t>DNAUV-13.200-228_54</t>
  </si>
  <si>
    <t>DNAUV-13.200-228_55</t>
  </si>
  <si>
    <t>DNAUV-13.200-228_56</t>
  </si>
  <si>
    <t>DNAUV-13.625-317_1</t>
  </si>
  <si>
    <t>sp|Q9C5I3|ERF76_ARATH Ethylene-responsive transcription factor 11 OS=Arabidopsis thaliana OX=3702 GN=ERF11 PE=1 SV=1</t>
  </si>
  <si>
    <t>AP2 domain n=2 Tax=Enterobacter cloacae TaxID=550 RepID=A0A0M7DL87_ENTCL</t>
  </si>
  <si>
    <t>DNAUV-13.625-317_18</t>
  </si>
  <si>
    <t>DNAUV-13.625-317_2</t>
  </si>
  <si>
    <t>Uncharacterized protein n=1 Tax=Sinorhizobium meliloti CCNWSX0020 TaxID=1107881 RepID=H0FZ24_RHIML</t>
  </si>
  <si>
    <t>DNAUV-13.625-317_3</t>
  </si>
  <si>
    <t>Uncharacterized protein n=1 Tax=Roseobacter phage CRP-6 TaxID=2559285 RepID=A0A646QWF3_9CAUD</t>
  </si>
  <si>
    <t>DNAUV-13.625-317_6</t>
  </si>
  <si>
    <t>VOG15819 [FUNC="REFSEQ hypothetical protein"] [TAG=Xu TAGDEF="Function unknown"]</t>
  </si>
  <si>
    <t>Uncharacterized protein n=4 Tax=Emdodecavirus TaxID=1980937 RepID=S5MDD8_9CAUD</t>
  </si>
  <si>
    <t>DNAUV-13.646-18_13</t>
  </si>
  <si>
    <t>sp|Q6WI75|CLAMP_BPKVM Sliding clamp OS=Vibrio phage KVP40 (isolate Vibrio parahaemolyticus/Japan/Matsuzaki/1991) OX=75320 GN=45 PE=3 SV=1</t>
  </si>
  <si>
    <t>VOG18693 [FUNC="sp|P04525|CLAMP_BPT4 Sliding clamp"] [TAG=Xr TAGDEF="Virus replication"]</t>
  </si>
  <si>
    <t>Sliding clamp n=1 Tax=Synechococcus phage BUCT-ZZ01 TaxID=2951202 RepID=A0A9E7T202_9CAUD</t>
  </si>
  <si>
    <t>DNAUV-13.646-18_14</t>
  </si>
  <si>
    <t>sp|P04526|LOADL_BPT4 Sliding-clamp-loader large subunit OS=Enterobacteria phage T4 OX=10665 GN=44 PE=1 SV=1</t>
  </si>
  <si>
    <t>DNAUV-13.646-18_15</t>
  </si>
  <si>
    <t>VOG28557 [FUNC="sp|P04527|LOADS_BPT4 Sliding-clamp-loader small subunit"] [TAG=Xr TAGDEF="Virus replication"]</t>
  </si>
  <si>
    <t>Gp62 clamp loader subunit n=1 Tax=Synechococcus phage metaG-MbCM1 TaxID=1079999 RepID=H8ZND9_9CAUD</t>
  </si>
  <si>
    <t>DNAUV-13.646-18_16</t>
  </si>
  <si>
    <t>sp|P69627|REGA_BPR18 Translation repressor protein OS=Enterobacteria phage RB18 OX=10692 GN=regA PE=3 SV=1</t>
  </si>
  <si>
    <t>VOG03716 [FUNC="sp|P69626|REGA_BPT6 Translation repressor protein"] [TAG=Xr TAGDEF="Virus replication"]</t>
  </si>
  <si>
    <t>Translational repressor RegA n=2 Tax=root TaxID=1 RepID=A0A7K4MWV2_9ARCH</t>
  </si>
  <si>
    <t>DNAUV-13.646-18_18</t>
  </si>
  <si>
    <t>sp|Q38087|DPOL_BPR69 DNA-directed DNA polymerase OS=Escherichia phage RB69 OX=12353 GN=43 PE=1 SV=1</t>
  </si>
  <si>
    <t>DNAUV-13.646-18_19</t>
  </si>
  <si>
    <t>DNA polymerase n=1 Tax=Synechococcus phage S-SRM01 TaxID=2781608 RepID=A0A879R201_9CAUD</t>
  </si>
  <si>
    <t>DNAUV-13.646-18_2</t>
  </si>
  <si>
    <t>DNAUV-13.646-18_3</t>
  </si>
  <si>
    <t>DNAUV-13.646-18_4</t>
  </si>
  <si>
    <t>DEAD/DEAH box helicase family protein n=1 Tax=Marine Group I thaumarchaeote TaxID=2511932 RepID=A0A7K4MS45_9ARCH</t>
  </si>
  <si>
    <t>DNAUV-13.646-18_5</t>
  </si>
  <si>
    <t>RNA polymerase sigma-like factor n=1 Tax=Synechococcus phage S-SCSM1 TaxID=2588487 RepID=A0A6M2ZIG1_9CAUD</t>
  </si>
  <si>
    <t>DNAUV-13.646-18_6</t>
  </si>
  <si>
    <t>Recombination endonuclease subunit n=4 Tax=Ronodorvirus TaxID=2843447 RepID=Q58LH9_BPPRS</t>
  </si>
  <si>
    <t>DNAUV-13.646-18_7</t>
  </si>
  <si>
    <t>RecF/RecN/SMC N-terminal domain-containing protein n=1 Tax=Synechococcus sp. CPC35 TaxID=2024880 RepID=A0A2D4YUM9_9SYNE</t>
  </si>
  <si>
    <t>DNAUV-13.646-18_8</t>
  </si>
  <si>
    <t>DNAUV-13.692-18_11</t>
  </si>
  <si>
    <t>Uncharacterized protein n=1 Tax=Poriferisphaera corsica TaxID=2528020 RepID=A0A517YVI9_9BACT</t>
  </si>
  <si>
    <t>DNAUV-13.692-18_13</t>
  </si>
  <si>
    <t>VOG26442 [FUNC="REFSEQ hypothetical protein"] [TAG=Xu TAGDEF="Function unknown"]</t>
  </si>
  <si>
    <t>Uncharacterized protein n=6 Tax=unclassified Caudoviricetes TaxID=2788787 RepID=A0A7S5RF85_9CAUD</t>
  </si>
  <si>
    <t>DNAUV-13.692-18_15</t>
  </si>
  <si>
    <t>Putative polyA polymerase n=1 Tax=Sinorhizobium phage phiN3 TaxID=1647405 RepID=A0A0F6SJ64_9CAUD</t>
  </si>
  <si>
    <t>DNAUV-13.692-18_6</t>
  </si>
  <si>
    <t>VOG13587 [FUNC="REFSEQ hypothetical protein"] [TAG=Xu TAGDEF="Function unknown"]</t>
  </si>
  <si>
    <t>Uncharacterized protein n=1 Tax=Celeribacter phage P12053L TaxID=1197951 RepID=I6S274_9CAUD</t>
  </si>
  <si>
    <t>DNAUV-13.692-18_8</t>
  </si>
  <si>
    <t>VOG37484 [FUNC="REFSEQ hypothetical protein"] [TAG=Xu TAGDEF="Function unknown"]</t>
  </si>
  <si>
    <t>Uncharacterized protein n=1 Tax=Nonomuraea phyllanthi TaxID=2219224 RepID=A0A5C4V5W8_9ACTN</t>
  </si>
  <si>
    <t>DNAUV-13.721-139_11</t>
  </si>
  <si>
    <t>Lipoprotein n=1 Tax=Kordia sp. SMS9 TaxID=2282170 RepID=A0A345H1J3_9FLAO</t>
  </si>
  <si>
    <t>DNAUV-13.721-139_12</t>
  </si>
  <si>
    <t>Calcineurin-like phosphoesterase domain-containing protein n=2 Tax=Inhavirus TaxID=1982244 RepID=I6S2H4_9CAUD</t>
  </si>
  <si>
    <t>DNAUV-13.721-139_13</t>
  </si>
  <si>
    <t>Chromosomal replication initiator DnaA C-terminal domain-containing protein n=2 Tax=Inhavirus TaxID=1982244 RepID=I6RTB7_9CAUD</t>
  </si>
  <si>
    <t>DNAUV-13.721-139_14</t>
  </si>
  <si>
    <t>Uncharacterized protein n=2 Tax=Bacteroides fragilis TaxID=817 RepID=A0A413JZA1_BACFG</t>
  </si>
  <si>
    <t>DNAUV-13.721-139_15</t>
  </si>
  <si>
    <t>Exonuclease n=2 Tax=Inhavirus TaxID=1982244 RepID=I6S6S8_9CAUD</t>
  </si>
  <si>
    <t>DNAUV-13.721-139_16</t>
  </si>
  <si>
    <t>DUF3127 domain-containing protein n=1 Tax=Nonlabens phage P12024S TaxID=1168478 RepID=I6R120_9CAUD</t>
  </si>
  <si>
    <t>DNAUV-13.721-139_17</t>
  </si>
  <si>
    <t>VOG15997 [FUNC="REFSEQ hypothetical protein"] [TAG=Xu TAGDEF="Function unknown"]</t>
  </si>
  <si>
    <t>Phage protein n=1 Tax=Nonlabens phage P12024L TaxID=1168479 RepID=I6RTC3_9CAUD</t>
  </si>
  <si>
    <t>DNAUV-13.721-139_4</t>
  </si>
  <si>
    <t>Phage portal protein n=1 Tax=Nonlabens phage P12024L TaxID=1168479 RepID=I6R154_9CAUD</t>
  </si>
  <si>
    <t>DNAUV-13.721-139_5</t>
  </si>
  <si>
    <t>DNAUV-13.721-139_6</t>
  </si>
  <si>
    <t>DNAUV-13.721-139_8</t>
  </si>
  <si>
    <t>Lipoprotein n=7 Tax=Freyavirus TaxID=2948713 RepID=A0A8E4ZMA9_9CAUD</t>
  </si>
  <si>
    <t>DNAUV-13.721-139_9</t>
  </si>
  <si>
    <t>ChrR-like cupin domain-containing protein n=7 Tax=Freyavirus TaxID=2948713 RepID=A0A8E4ZLL4_9CAUD</t>
  </si>
  <si>
    <t>DNAUV-13.752-24_10</t>
  </si>
  <si>
    <t>Major capsid protein n=1 Tax=Celeribacter phage P12053L TaxID=1197951 RepID=I6R9K8_9CAUD</t>
  </si>
  <si>
    <t>DNAUV-13.752-24_12</t>
  </si>
  <si>
    <t>Uncharacterized protein n=1 Tax=Hassallia byssoidea VB512170 TaxID=1304833 RepID=A0A846HI62_9CYAN</t>
  </si>
  <si>
    <t>DNAUV-13.752-24_27</t>
  </si>
  <si>
    <t>DNAUV-13.752-24_4</t>
  </si>
  <si>
    <t>Pectate lyase-like protein n=1 Tax=Rhizobium sp. BK251 TaxID=2512125 RepID=A0A4R1RVH4_9HYPH</t>
  </si>
  <si>
    <t>DNAUV-13.752-24_7</t>
  </si>
  <si>
    <t>DNAUV-13.752-24_8</t>
  </si>
  <si>
    <t>Coil containing protein n=2 Tax=unclassified Zobellviridae TaxID=2853025 RepID=A0A2I7QW18_9CAUD</t>
  </si>
  <si>
    <t>DNAUV-13.932-136_14</t>
  </si>
  <si>
    <t>DNAUV-13.932-136_16</t>
  </si>
  <si>
    <t>Uncharacterized protein n=1 Tax=Kaistia nematophila TaxID=2994654 RepID=A0A9X3ECV1_9HYPH</t>
  </si>
  <si>
    <t>DNAUV-13.932-136_19</t>
  </si>
  <si>
    <t>DNAUV-13.932-136_23</t>
  </si>
  <si>
    <t>Virion structural protein n=1 Tax=Cyanophage S-TIM66 TaxID=2969442 RepID=A0A9X9P2T6_9CAUD</t>
  </si>
  <si>
    <t>DNAUV-13.932-136_25</t>
  </si>
  <si>
    <t>VOG05991 [FUNC="REFSEQ hypothetical protein"] [TAG=Xu TAGDEF="Function unknown"]</t>
  </si>
  <si>
    <t>Uncharacterized protein n=1 Tax=Synechococcus phage S-SKS1 TaxID=754042 RepID=M4R1D6_9CAUD</t>
  </si>
  <si>
    <t>DNAUV-13.932-136_27</t>
  </si>
  <si>
    <t>Unnamed protein product n=1 Tax=Bathycoccus prasinos TaxID=41875 RepID=K8F3H1_9CHLO</t>
  </si>
  <si>
    <t>DNAUV-13.932-136_28</t>
  </si>
  <si>
    <t>DNAUV-14.641-27_1</t>
  </si>
  <si>
    <t>Macro domain-containing protein n=1 Tax=Vibrio phage eugene 12A10 TaxID=573172 RepID=R9U7I2_9CAUD</t>
  </si>
  <si>
    <t>DNAUV-14.641-27_10</t>
  </si>
  <si>
    <t>Uncharacterized protein n=1 Tax=Vibrio phage 11895-B1 TaxID=754075 RepID=M4QR22_9CAUD</t>
  </si>
  <si>
    <t>DNAUV-14.641-27_11</t>
  </si>
  <si>
    <t>Uncharacterized protein n=2 Tax=unclassified Caudoviricetes TaxID=2788787 RepID=A0A9P0VGL0_9CAUD</t>
  </si>
  <si>
    <t>DNAUV-14.641-27_12</t>
  </si>
  <si>
    <t>Coil containing protein n=1 Tax=Vibrio phage 1.081.O._10N.286.52.C2 TaxID=2070722 RepID=A0A2I7QX28_9CAUD</t>
  </si>
  <si>
    <t>DNAUV-14.641-27_14</t>
  </si>
  <si>
    <t>VOG03531 [FUNC="REFSEQ hypothetical protein"] [TAG=Xu TAGDEF="Function unknown"]</t>
  </si>
  <si>
    <t>Coil containing protein n=1 Tax=Vibrio phage 1.161.O._10N.261.48.C5 TaxID=1881340 RepID=A0A2I7RD59_9CAUD</t>
  </si>
  <si>
    <t>DNAUV-14.641-27_16</t>
  </si>
  <si>
    <t>Uncharacterized protein n=1 Tax=Vibrio phage PWH3a-P1 TaxID=754058 RepID=M4QU34_9CAUD</t>
  </si>
  <si>
    <t>DNAUV-14.641-27_3</t>
  </si>
  <si>
    <t>Coil containing protein n=1 Tax=Vibrio phage 1.161.O._10N.261.48.C5 TaxID=1881340 RepID=A0A2I7RD36_9CAUD</t>
  </si>
  <si>
    <t>DNAUV-14.641-27_4</t>
  </si>
  <si>
    <t>VOG22238 [FUNC="REFSEQ hypothetical protein"] [TAG=Xu TAGDEF="Function unknown"]</t>
  </si>
  <si>
    <t>Uncharacterized protein n=2 Tax=unclassified Caudoviricetes TaxID=2788787 RepID=M4M996_9CAUD</t>
  </si>
  <si>
    <t>DNAUV-14.641-27_5</t>
  </si>
  <si>
    <t>Uncharacterized protein n=1 Tax=Vibrio phage eugene 12A10 TaxID=573172 RepID=R9U7H3_9CAUD</t>
  </si>
  <si>
    <t>DNAUV-14.641-27_6</t>
  </si>
  <si>
    <t>VOG05590 [FUNC="REFSEQ hypothetical protein"] [TAG=Xu TAGDEF="Function unknown"]</t>
  </si>
  <si>
    <t>Uncharacterized protein n=1 Tax=Vibrio phage 424E50-1 TaxID=2963198 RepID=A0A9P0Y9N3_9CAUD</t>
  </si>
  <si>
    <t>DNAUV-14.641-27_9</t>
  </si>
  <si>
    <t>VOG35132 [FUNC="REFSEQ hypothetical protein"] [TAG=Xu TAGDEF="Function unknown"]</t>
  </si>
  <si>
    <t>Antirestriction protein n=2 Tax=unclassified Caudoviricetes TaxID=2788787 RepID=A0A9P0VI70_9CAUD</t>
  </si>
  <si>
    <t>DNAUV-14.753-15_11</t>
  </si>
  <si>
    <t>Protein Gp5 N-terminal OB-fold domain-containing protein n=1 Tax=Muricauda sp. TMED12 TaxID=1986608 RepID=A0A3R7S395_9FLAO</t>
  </si>
  <si>
    <t>DNAUV-14.753-15_12</t>
  </si>
  <si>
    <t>Phage tail tape measure protein domain-containing protein n=1 Tax=Hyphomicrobium sp. ghe19 TaxID=2682968 RepID=A0A679K1N0_9HYPH</t>
  </si>
  <si>
    <t>DNAUV-14.753-15_15</t>
  </si>
  <si>
    <t>Baseplate wedge subunit n=1 Tax=Lake Baikal phage Baikal-20-5m-C28 TaxID=2047876 RepID=A0A2H4N7H0_9CAUD</t>
  </si>
  <si>
    <t>DNAUV-14.753-15_17</t>
  </si>
  <si>
    <t>Uncharacterized protein n=1 Tax=Lake Baikal phage Baikal-20-5m-C28 TaxID=2047876 RepID=A0A2H4N7H1_9CAUD</t>
  </si>
  <si>
    <t>DNAUV-14.753-15_18</t>
  </si>
  <si>
    <t>Virion structural protein n=2 Tax=Aurunvirus TaxID=2733093 RepID=H6WFW0_9CAUD</t>
  </si>
  <si>
    <t>DNAUV-14.753-15_19</t>
  </si>
  <si>
    <t>sp|P10928|BP10_BPT4 Baseplate wedge protein gp10 OS=Enterobacteria phage T4 OX=10665 GN=10 PE=1 SV=1</t>
  </si>
  <si>
    <t>Baseplate wedge tail fiber connector n=1 Tax=Prochlorococcus phage P-SSM7 TaxID=445688 RepID=E3SNK9_9CAUD</t>
  </si>
  <si>
    <t>DNAUV-14.753-15_20</t>
  </si>
  <si>
    <t>Bacteriophage T4 Gp8 domain-containing protein n=1 Tax=Muricauda sp. TMED12 TaxID=1986608 RepID=A0A424LPK1_9FLAO</t>
  </si>
  <si>
    <t>DNAUV-14.753-15_4</t>
  </si>
  <si>
    <t>Baseplate tail tube cap n=1 Tax=Lake Baikal phage Baikal-20-5m-C28 TaxID=2047876 RepID=A0A2H4N7G5_9CAUD</t>
  </si>
  <si>
    <t>DNAUV-14.753-15_5</t>
  </si>
  <si>
    <t>Uncharacterized protein n=1 Tax=Muricauda sp. TMED12 TaxID=1986608 RepID=A0A424LPK0_9FLAO</t>
  </si>
  <si>
    <t>DNAUV-14.753-15_7</t>
  </si>
  <si>
    <t>DNAUV-14.759-18_1</t>
  </si>
  <si>
    <t>DNAUV-14.759-18_13</t>
  </si>
  <si>
    <t>Homing endonuclease n=1 Tax=Vibrio phage ValKK3 TaxID=1610855 RepID=A0A0D4DB24_9CAUD</t>
  </si>
  <si>
    <t>DNAUV-14.759-18_17</t>
  </si>
  <si>
    <t>sp|P13325|SEGB_BPT4 Putative endonuclease segB OS=Enterobacteria phage T4 OX=10665 GN=segB PE=4 SV=4</t>
  </si>
  <si>
    <t>Putative Seg-like homing endonuclease GIY-YIG family n=1 Tax=Acinetobacter phage Henu6 TaxID=2500136 RepID=A0A410T5I0_9CAUD</t>
  </si>
  <si>
    <t>DNAUV-14.759-18_2</t>
  </si>
  <si>
    <t>Phage tail protein n=1 Tax=Marine Group I thaumarchaeote TaxID=2511932 RepID=A0A7K4MS44_9ARCH</t>
  </si>
  <si>
    <t>DNAUV-14.759-18_22</t>
  </si>
  <si>
    <t>sp|P13342|HLOAD_BPT4 DNA helicase assembly protein OS=Enterobacteria phage T4 OX=10665 GN=59 PE=1 SV=1</t>
  </si>
  <si>
    <t>VOG02188 [FUNC="sp|P13342|HLOAD_BPT4 DNA helicase assembly protein"] [TAG=Xr TAGDEF="Virus replication"]</t>
  </si>
  <si>
    <t>Loader of DNA helicase n=1 Tax=Synechococcus phage S-CREM1 TaxID=2982919 RepID=A0A9X9JLY3_9CAUD</t>
  </si>
  <si>
    <t>DNAUV-14.759-18_23</t>
  </si>
  <si>
    <t>sp|P03695|SSB_BPT4 Single-stranded DNA-binding protein OS=Enterobacteria phage T4 OX=10665 GN=32 PE=1 SV=1</t>
  </si>
  <si>
    <t>Single-stranded DNA-binding protein n=1 Tax=Coraliomargarita sp. TMED73 TaxID=1986604 RepID=A0A3R7VIS8_9BACT</t>
  </si>
  <si>
    <t>DNAUV-14.759-18_30</t>
  </si>
  <si>
    <t>VOG14389 [FUNC="REFSEQ hypothetical protein"] [TAG=Xu TAGDEF="Function unknown"]</t>
  </si>
  <si>
    <t>Uncharacterized protein n=1 Tax=Hwanghaeella grinnelliae TaxID=2500179 RepID=A0A437QVF7_9PROT</t>
  </si>
  <si>
    <t>DNAUV-14.759-18_4</t>
  </si>
  <si>
    <t>Baseplate assembly chaperone n=1 Tax=Synechococcus phage S-B68 TaxID=2545437 RepID=A0A482IH29_9CAUD</t>
  </si>
  <si>
    <t>DNAUV-14.799-179_12</t>
  </si>
  <si>
    <t>DNAUV-14.799-179_18</t>
  </si>
  <si>
    <t>DNAUV-14.799-179_38</t>
  </si>
  <si>
    <t>VOG02397 [FUNC="REFSEQ hypothetical protein"] [TAG=Xu TAGDEF="Function unknown"]</t>
  </si>
  <si>
    <t>Uncharacterized protein n=1 Tax=Marinobacter nauticus TaxID=2743 RepID=A0A833JS11_MARNT</t>
  </si>
  <si>
    <t>DNAUV-14.799-179_39</t>
  </si>
  <si>
    <t>VOG16141 [FUNC="REFSEQ hypothetical protein"] [TAG=Xu TAGDEF="Function unknown"]</t>
  </si>
  <si>
    <t>ArdA-like antirestriction protein n=1 Tax=Streptomyces phage Alsaber TaxID=2053672 RepID=A0A2H4PGI7_9CAUD</t>
  </si>
  <si>
    <t>DNAUV-14.799-179_4</t>
  </si>
  <si>
    <t>Uncharacterized protein n=1 Tax=Mesorhizobium sp. B2-8-9 TaxID=2589899 RepID=A0A502TIJ1_9HYPH</t>
  </si>
  <si>
    <t>DNAUV-14.799-179_7</t>
  </si>
  <si>
    <t>sp|Q6QGD3|ENDO1_BPT5 Putative endonuclease OS=Escherichia phage T5 OX=2695836 GN=T5.154 PE=2 SV=1</t>
  </si>
  <si>
    <t>Uncharacterized protein n=2 Tax=Enterobacter asburiae TaxID=61645 RepID=A0A9X8JYL1_ENTAS</t>
  </si>
  <si>
    <t>DNAUV-14.799-179_8</t>
  </si>
  <si>
    <t>DNAUV-14.976-22_10</t>
  </si>
  <si>
    <t>VOG08808 [FUNC="REFSEQ hypothetical protein"] [TAG=Xu TAGDEF="Function unknown"]</t>
  </si>
  <si>
    <t>Single-stranded DNA-binding protein n=1 Tax=Vibrio phage 11895-B1 TaxID=754075 RepID=M4R2Y0_9CAUD</t>
  </si>
  <si>
    <t>DNAUV-14.976-22_13</t>
  </si>
  <si>
    <t>VOG00257 [FUNC="REFSEQ baseplate protein"] [TAG=Xu TAGDEF="Function unknown"]</t>
  </si>
  <si>
    <t>Uncharacterized protein n=1 Tax=Vibrio phage 11895-B1 TaxID=754075 RepID=M4R2Y4_9CAUD</t>
  </si>
  <si>
    <t>DNAUV-14.976-22_14</t>
  </si>
  <si>
    <t>VOG21165 [FUNC="REFSEQ hypothetical protein"] [TAG=Xu TAGDEF="Function unknown"]</t>
  </si>
  <si>
    <t>Uncharacterized protein n=1 Tax=Vibrio phage 11895-B1 TaxID=754075 RepID=M4QQV2_9CAUD</t>
  </si>
  <si>
    <t>DNAUV-14.976-22_15</t>
  </si>
  <si>
    <t>VOG07333 [FUNC="REFSEQ hypothetical protein"] [TAG=Xu TAGDEF="Function unknown"]</t>
  </si>
  <si>
    <t>Tail fiber protein n=1 Tax=Vibrio phage eugene 12A10 TaxID=573172 RepID=R9UBD8_9CAUD</t>
  </si>
  <si>
    <t>DNAUV-14.976-22_16</t>
  </si>
  <si>
    <t>VOG10017 [FUNC="REFSEQ hypothetical protein"] [TAG=Xu TAGDEF="Function unknown"]</t>
  </si>
  <si>
    <t>DUF4376 domain-containing protein n=1 Tax=Vibrio phage 1.238.B._10N.261.52.F10 TaxID=1881232 RepID=A0A2I7RUX3_9CAUD</t>
  </si>
  <si>
    <t>DNAUV-14.976-22_21</t>
  </si>
  <si>
    <t>VOG00026 [FUNC="sp|Q6QGD3|ENDO1_BPT5 Putative endonuclease"] [TAG=Xh TAGDEF="Virus protein with function beneficial for the host"]</t>
  </si>
  <si>
    <t>GIY-YIG nuclease family protein n=1 Tax=Aeromonas phage vB_AceP_PAc TaxID=2996154 RepID=A0A9E9M1H3_9CAUD</t>
  </si>
  <si>
    <t>DNAUV-14.976-22_22</t>
  </si>
  <si>
    <t>Uncharacterized protein n=2 Tax=unclassified Caudoviricetes TaxID=2788787 RepID=A0A385EHC3_9CAUD</t>
  </si>
  <si>
    <t>DNAUV-14.976-22_4</t>
  </si>
  <si>
    <t>DNAUV-14.976-22_5</t>
  </si>
  <si>
    <t>AP2 domain-containing protein n=1 Tax=Dorea formicigenerans TaxID=39486 RepID=A0A412KLM6_9FIRM</t>
  </si>
  <si>
    <t>DNAUV-14.976-22_6</t>
  </si>
  <si>
    <t>VOG00954 [FUNC="REFSEQ hypothetical protein"] [TAG=Xu TAGDEF="Function unknown"]</t>
  </si>
  <si>
    <t>DUF1653 domain-containing protein n=1 Tax=Vibrio phage eugene 12A10 TaxID=573172 RepID=R9U7D0_9CAUD</t>
  </si>
  <si>
    <t>DNAUV-14.976-22_7</t>
  </si>
  <si>
    <t>VOG22016 [FUNC="REFSEQ hypothetical protein"] [TAG=Xu TAGDEF="Function unknown"]</t>
  </si>
  <si>
    <t>Uncharacterized protein n=1 Tax=Vibrio phage 1.193.O._10N.286.52.C6 TaxID=1881436 RepID=A0A2I7RL02_9CAUD</t>
  </si>
  <si>
    <t>DNAUV-14.976-22_8</t>
  </si>
  <si>
    <t>VOG24329 [FUNC="REFSEQ hypothetical protein"] [TAG=Xu TAGDEF="Function unknown"]</t>
  </si>
  <si>
    <t>Uncharacterized protein n=1 Tax=Vibrio phage ValKK3 TaxID=1610855 RepID=A0A0D4DAI5_9CAUD</t>
  </si>
  <si>
    <t>DNAUV-14.976-22_9</t>
  </si>
  <si>
    <t>VOG02977 [FUNC="REFSEQ hypothetical protein"] [TAG=Xu TAGDEF="Function unknown"]</t>
  </si>
  <si>
    <t>Coil containing protein n=2 Tax=unclassified Caudoviricetes TaxID=2788787 RepID=A0A2I7RD02_9CAUD</t>
  </si>
  <si>
    <t>DNAUV-147.430-52_101</t>
  </si>
  <si>
    <t>sp|P04529|UVSX_BPT4 Recombination and repair protein OS=Enterobacteria phage T4 OX=10665 GN=UVSX PE=1 SV=2</t>
  </si>
  <si>
    <t>Recombination protein n=1 Tax=Synechococcus phage BUCT-ZZ01 TaxID=2951202 RepID=A0A9E7T208_9CAUD</t>
  </si>
  <si>
    <t>DNAUV-147.430-52_103</t>
  </si>
  <si>
    <t>DnaB-like replicative helicase n=1 Tax=Prochlorococcus phage MED4-213 TaxID=889956 RepID=M4QQB1_9CAUD</t>
  </si>
  <si>
    <t>DNAUV-147.430-52_107</t>
  </si>
  <si>
    <t>Loader of gp41 DNA helicase n=1 Tax=Synechococcus phage S-SM1 TaxID=444859 RepID=E3SI13_9CAUD</t>
  </si>
  <si>
    <t>DNAUV-147.430-52_109</t>
  </si>
  <si>
    <t>sp|P09035|SSB_BPT2 Single-stranded DNA-binding protein OS=Enterobacteria phage T2 OX=2060721 GN=32 PE=2 SV=2</t>
  </si>
  <si>
    <t>Single-stranded DNA-binding protein n=1 Tax=Synechococcus phage S-B43 TaxID=2484638 RepID=A0A514ABN0_9CAUD</t>
  </si>
  <si>
    <t>DNAUV-147.430-52_115</t>
  </si>
  <si>
    <t>Large polyvalent protein associated domain-containing protein n=1 Tax=Arcobacter sp. FWKO B TaxID=2593672 RepID=A0A7L8V6N3_9BACT</t>
  </si>
  <si>
    <t>DNAUV-147.430-52_116</t>
  </si>
  <si>
    <t>Head completion nuclease n=1 Tax=Cyanophage P-RSM6 TaxID=929832 RepID=M4SLW3_9CAUD</t>
  </si>
  <si>
    <t>DNAUV-147.430-52_117</t>
  </si>
  <si>
    <t>DNA end protector protein n=1 Tax=Lake Baikal phage Baikal-20-5m-C28 TaxID=2047876 RepID=A0A2H4N7G3_9CAUD</t>
  </si>
  <si>
    <t>DNAUV-147.430-52_119</t>
  </si>
  <si>
    <t>Baseplate tail tube initiator n=1 Tax=Aeromonas hydrophila TaxID=644 RepID=A0A4P7IR64_AERHY</t>
  </si>
  <si>
    <t>DNAUV-147.430-52_121</t>
  </si>
  <si>
    <t>DNAUV-147.430-52_122</t>
  </si>
  <si>
    <t>Protein Gp5 N-terminal OB-fold domain-containing protein n=2 Tax=unclassified Ackermannviridae TaxID=2175602 RepID=A0A2I7RYG2_9CAUD</t>
  </si>
  <si>
    <t>DNAUV-147.430-52_124</t>
  </si>
  <si>
    <t>DNAUV-147.430-52_126</t>
  </si>
  <si>
    <t>DNAUV-147.430-52_127</t>
  </si>
  <si>
    <t>DNAUV-147.430-52_129</t>
  </si>
  <si>
    <t>DNA primase n=1 Tax=Synechococcus phage S-H34 TaxID=2718942 RepID=A0A6G8R6V5_9CAUD</t>
  </si>
  <si>
    <t>DNAUV-147.430-52_135</t>
  </si>
  <si>
    <t>Putative RuvC n=1 Tax=Pelagibacter phage Mosig EXVC030M TaxID=2759214 RepID=A0A7S6LEI3_9CAUD</t>
  </si>
  <si>
    <t>DNAUV-147.430-52_141</t>
  </si>
  <si>
    <t>VOG05038 [FUNC="REFSEQ hypothetical protein"] [TAG=Xu TAGDEF="Function unknown"]</t>
  </si>
  <si>
    <t>Uncharacterized protein n=2 Tax=unclassified Caudoviricetes TaxID=2788787 RepID=A0A4Y5JXM9_9CAUD</t>
  </si>
  <si>
    <t>DNAUV-147.430-52_147</t>
  </si>
  <si>
    <t>Uncharacterized protein n=1 Tax=Vibrio phage Va1 TaxID=2508852 RepID=A0A410T6A8_9CAUD</t>
  </si>
  <si>
    <t>DNAUV-147.430-52_15</t>
  </si>
  <si>
    <t>DNAUV-147.430-52_152</t>
  </si>
  <si>
    <t>VOG21439 [FUNC="REFSEQ hypothetical protein"] [TAG=Xu TAGDEF="Function unknown"]</t>
  </si>
  <si>
    <t>Uncharacterized protein n=1 Tax=Burkholderia gladioli TaxID=28095 RepID=A0A833Q7P9_BURGA</t>
  </si>
  <si>
    <t>DNAUV-147.430-52_153</t>
  </si>
  <si>
    <t>Zeta toxin domain-containing protein n=2 Tax=Pseudotevenvirus TaxID=2842979 RepID=A0A1B1IXD6_9CAUD</t>
  </si>
  <si>
    <t>DNAUV-147.430-52_156</t>
  </si>
  <si>
    <t>sp|Q9BQP7|MGME1_HUMAN Mitochondrial genome maintenance exonuclease 1 OS=Homo sapiens OX=9606 GN=MGME1 PE=1 SV=1</t>
  </si>
  <si>
    <t>PD-(D/E)XK nuclease n=2 Tax=Kuttervirus TaxID=2169536 RepID=U5PV54_9CAUD</t>
  </si>
  <si>
    <t>DNAUV-147.430-52_16</t>
  </si>
  <si>
    <t>VOG28305 [FUNC="REFSEQ hypothetical protein"] [TAG=Xu TAGDEF="Function unknown"]</t>
  </si>
  <si>
    <t>Structural protein n=1 Tax=Rhizobium phage RHph_I1_18 TaxID=2509726 RepID=A0A7S5UU58_9CAUD</t>
  </si>
  <si>
    <t>DNAUV-147.430-52_162</t>
  </si>
  <si>
    <t>VOG30537 [FUNC="REFSEQ transposase"] [TAG=Xu TAGDEF="Function unknown"]</t>
  </si>
  <si>
    <t>Uncharacterized protein n=2 Tax=Bacillus TaxID=1386 RepID=A0A1C3SDC1_9BACI</t>
  </si>
  <si>
    <t>DNAUV-147.430-52_165</t>
  </si>
  <si>
    <t>Uncharacterized protein n=1 Tax=Xanthomonas phage XacN1 TaxID=2042251 RepID=A0A292GIY7_9CAUD</t>
  </si>
  <si>
    <t>DNAUV-147.430-52_166</t>
  </si>
  <si>
    <t>Uncharacterized protein n=1 Tax=Stella humosa TaxID=94 RepID=A0A3N1MCI1_9PROT</t>
  </si>
  <si>
    <t>DNAUV-147.430-52_168</t>
  </si>
  <si>
    <t>ATP-binding protein n=1 Tax=Rhodovastum atsumiense TaxID=504468 RepID=A0A5M6INS8_9PROT</t>
  </si>
  <si>
    <t>DNAUV-147.430-52_169</t>
  </si>
  <si>
    <t>Tail completion protein n=2 Tax=unclassified Kyanoviridae TaxID=2960609 RepID=A0A650EWZ4_9CAUD</t>
  </si>
  <si>
    <t>DNAUV-147.430-52_17</t>
  </si>
  <si>
    <t>Baseplate wedge n=1 Tax=Pelagibacter phage HTVC008M TaxID=1283076 RepID=M1IP75_9CAUD</t>
  </si>
  <si>
    <t>DNAUV-147.430-52_170</t>
  </si>
  <si>
    <t>sp|P04537|UVSY_BPT4 Recombination protein uvsY OS=Enterobacteria phage T4 OX=10665 GN=uvsY PE=1 SV=3</t>
  </si>
  <si>
    <t>Single-stranded DNA binding protein n=1 Tax=Cyanophage S-RIM4 TaxID=2530169 RepID=A0A482MM33_9CAUD</t>
  </si>
  <si>
    <t>DNAUV-147.430-52_171</t>
  </si>
  <si>
    <t>Putative UvsW n=1 Tax=Pelagibacter phage Mosig EXVC030M TaxID=2759214 RepID=A0A7S6ILE9_9CAUD</t>
  </si>
  <si>
    <t>DNAUV-147.430-52_173</t>
  </si>
  <si>
    <t>RNA polymerase sigma-like factor n=1 Tax=Pelagibacter phage HTVC008M TaxID=1283076 RepID=M1HLV2_9CAUD</t>
  </si>
  <si>
    <t>DNAUV-147.430-52_174</t>
  </si>
  <si>
    <t>Calcineurin-like phosphoesterase domain-containing protein n=1 Tax=Muricauda sp. TMED12 TaxID=1986608 RepID=A0A424LGP4_9FLAO</t>
  </si>
  <si>
    <t>DNAUV-147.430-52_175</t>
  </si>
  <si>
    <t>AAA family ATPase n=1 Tax=Marine Group I thaumarchaeote TaxID=2511932 RepID=A0A7K4MWV3_9ARCH</t>
  </si>
  <si>
    <t>DNAUV-147.430-52_176</t>
  </si>
  <si>
    <t>ParB/Sulfiredoxin domain-containing protein n=1 Tax=Erwinia sp. OLSSP12 TaxID=1912096 RepID=A0A2G8EJB6_9GAMM</t>
  </si>
  <si>
    <t>DNAUV-147.430-52_177</t>
  </si>
  <si>
    <t>sp|A0A0S0N9S9|HMUDK_BPPAM 5-hmdU DNA kinase OS=Pseudomonas phage PaMx11 OX=1175657 GN=PaMx11_49 PE=1 SV=1</t>
  </si>
  <si>
    <t>Uncharacterized protein n=1 Tax=Pseudomonas phage ZC01 TaxID=1622114 RepID=A0A1L2C921_9CAUD</t>
  </si>
  <si>
    <t>DNAUV-147.430-52_178</t>
  </si>
  <si>
    <t>Uncharacterized protein n=1 Tax=Aliiroseovarius sp. xm-v-201 TaxID=2651833 RepID=A0A9Q5G8S7_9RHOB</t>
  </si>
  <si>
    <t>DNAUV-147.430-52_181</t>
  </si>
  <si>
    <t>VOG01474 [FUNC="REFSEQ hypothetical protein"] [TAG=Xu TAGDEF="Function unknown"]</t>
  </si>
  <si>
    <t>DUF262 domain-containing protein n=1 Tax=Paenibacillus oralis TaxID=2490856 RepID=A0A3P3TAS0_9BACL</t>
  </si>
  <si>
    <t>DNAUV-147.430-52_188</t>
  </si>
  <si>
    <t>Uncharacterized protein n=1 Tax=Rhizopus oryzae TaxID=64495 RepID=A0A9P7BJQ5_RHIOR</t>
  </si>
  <si>
    <t>DNAUV-147.430-52_198</t>
  </si>
  <si>
    <t>VOG23531 [FUNC="REFSEQ hypothetical protein"] [TAG=Xu TAGDEF="Function unknown"]</t>
  </si>
  <si>
    <t>Uncharacterized protein n=1 Tax=Mesorhizobium sp. L-8-10 TaxID=2744523 RepID=A0A7R7CL54_9HYPH</t>
  </si>
  <si>
    <t>DNAUV-147.430-52_20</t>
  </si>
  <si>
    <t>Putative VrlC protein n=1 Tax=Pelagibacter phage Mosig EXVC030M TaxID=2759214 RepID=A0A7S6LF74_9CAUD</t>
  </si>
  <si>
    <t>DNAUV-147.430-52_203</t>
  </si>
  <si>
    <t>VOG00767 [FUNC="REFSEQ peptidase"] [TAG=Xu TAGDEF="Function unknown"]</t>
  </si>
  <si>
    <t>Peptidase n=1 Tax=Synechococcus phage S-CBM2 TaxID=351708 RepID=I3ULD0_9CAUD</t>
  </si>
  <si>
    <t>DNAUV-147.430-52_205</t>
  </si>
  <si>
    <t>sp|O80164|CLAMP_BPR69 Sliding clamp OS=Escherichia phage RB69 OX=12353 GN=45 PE=1 SV=1</t>
  </si>
  <si>
    <t>Sliding clamp n=1 Tax=Synechococcus phage S-H34 TaxID=2718942 RepID=A0A6G8R6K9_9CAUD</t>
  </si>
  <si>
    <t>DNAUV-147.430-52_207</t>
  </si>
  <si>
    <t>Clamp loader subunit n=1 Tax=Synechococcus phage ACG-2014d TaxID=1493509 RepID=A0A0E3EZN9_9CAUD</t>
  </si>
  <si>
    <t>DNAUV-147.430-52_208</t>
  </si>
  <si>
    <t>Translation repressor protein n=1 Tax=Synechococcus phage ACG-2014f TaxID=1493511 RepID=A0A0E3HHJ9_9CAUD</t>
  </si>
  <si>
    <t>DNAUV-147.430-52_21</t>
  </si>
  <si>
    <t>Uncharacterized protein n=1 Tax=Blastochloris viridis TaxID=1079 RepID=A0A6N4R0A3_BLAVI</t>
  </si>
  <si>
    <t>DNAUV-147.430-52_214</t>
  </si>
  <si>
    <t>VOG02112 [FUNC="REFSEQ hypothetical protein"] [TAG=Xu TAGDEF="Function unknown"]</t>
  </si>
  <si>
    <t>Uncharacterized protein n=1 Tax=Roseobacter phage DSS3P8 TaxID=1735562 RepID=A0A1B0V4T1_9CAUD</t>
  </si>
  <si>
    <t>DNAUV-147.430-52_216</t>
  </si>
  <si>
    <t>Uncharacterized protein n=1 Tax=Dyadobacter psychrotolerans TaxID=2541721 RepID=A0A4R5DTJ2_9BACT</t>
  </si>
  <si>
    <t>DNAUV-147.430-52_218</t>
  </si>
  <si>
    <t>Uncharacterized protein n=2 Tax=Marivita hallyeonensis TaxID=996342 RepID=A0A1M5WXB1_9RHOB</t>
  </si>
  <si>
    <t>DNAUV-147.430-52_22</t>
  </si>
  <si>
    <t>DNAUV-147.430-52_221</t>
  </si>
  <si>
    <t>Uncharacterized protein n=2 Tax=Lysobacter enzymogenes TaxID=69 RepID=A0A1H2XMA5_LYSEN</t>
  </si>
  <si>
    <t>DNAUV-147.430-52_223</t>
  </si>
  <si>
    <t>DNAUV-147.430-52_23</t>
  </si>
  <si>
    <t>VOG23141 [FUNC="REFSEQ hypothetical protein"] [TAG=Xu TAGDEF="Function unknown"]</t>
  </si>
  <si>
    <t>Tail fiber protein n=1 Tax=Rhizobium leguminosarum bv. trifolii TaxID=386 RepID=A0A6M5ZF32_RHILT</t>
  </si>
  <si>
    <t>DNAUV-147.430-52_24</t>
  </si>
  <si>
    <t>Putative tail fiber protein n=2 Tax=unclassified Caudoviricetes TaxID=2788787 RepID=M4QM50_9CAUD</t>
  </si>
  <si>
    <t>DNAUV-147.430-52_25</t>
  </si>
  <si>
    <t>Uncharacterized protein n=1 Tax=Desulfatibacillum aliphaticivorans TaxID=218208 RepID=B8FCR0_DESAL</t>
  </si>
  <si>
    <t>DNAUV-147.430-52_30</t>
  </si>
  <si>
    <t>Neck protein n=1 Tax=Cyanophage P-TIM40 TaxID=1589733 RepID=A0A0C5AMW6_9CAUD</t>
  </si>
  <si>
    <t>DNAUV-147.430-52_31</t>
  </si>
  <si>
    <t>Neck protein n=1 Tax=Cyanophage P-TIM40 TaxID=1589733 RepID=A0A0C5AAX8_9CAUD</t>
  </si>
  <si>
    <t>DNAUV-147.430-52_33</t>
  </si>
  <si>
    <t>sp|P11112|COMPL_BPT4 Tail completion protein gp15 OS=Enterobacteria phage T4 OX=10665 GN=15 PE=1 SV=2</t>
  </si>
  <si>
    <t>Tail assembly protein n=1 Tax=Synechococcus phage S-H25 TaxID=2718941 RepID=A0A6G8R6V3_9CAUD</t>
  </si>
  <si>
    <t>DNAUV-147.430-52_35</t>
  </si>
  <si>
    <t>Uncharacterized protein n=1 Tax=Diaphorobacter nitroreducens TaxID=164759 RepID=A0A2Z2LGN6_9BURK</t>
  </si>
  <si>
    <t>DNAUV-147.430-52_37</t>
  </si>
  <si>
    <t>VOG15201 [FUNC="REFSEQ hypothetical protein"] [TAG=Xu TAGDEF="Function unknown"]</t>
  </si>
  <si>
    <t>Uncharacterized protein n=1 Tax=Sphingomonas sanguinis TaxID=33051 RepID=A0A147HSZ8_9SPHN</t>
  </si>
  <si>
    <t>DNAUV-147.430-52_38</t>
  </si>
  <si>
    <t>Uncharacterized protein n=1 Tax=Aminobacter aminovorans TaxID=83263 RepID=A0A142M479_AMIAI</t>
  </si>
  <si>
    <t>DNAUV-147.430-52_39</t>
  </si>
  <si>
    <t>DNAUV-147.430-52_40</t>
  </si>
  <si>
    <t>Uncharacterized protein n=1 Tax=Thalassospira lohafexi TaxID=744227 RepID=A0A2N3L3V8_9PROT</t>
  </si>
  <si>
    <t>DNAUV-147.430-52_43</t>
  </si>
  <si>
    <t>tRNA synthetases class I catalytic domain-containing protein n=1 Tax=Iodidimonas gelatinilytica TaxID=1236966 RepID=A0A5A7MKE4_9PROT</t>
  </si>
  <si>
    <t>DNAUV-147.430-52_46</t>
  </si>
  <si>
    <t>VOG08173 [FUNC="sp|P17311|TERS_BPT4 Terminase, small subunit"] [TAG=Xr TAGDEF="Virus replication"]</t>
  </si>
  <si>
    <t>Terminase small subunit n=1 Tax=Synechococcus phage S-SRM01 TaxID=2781608 RepID=A0A879R401_9CAUD</t>
  </si>
  <si>
    <t>DNAUV-147.430-52_47</t>
  </si>
  <si>
    <t>Terminase large subunit n=1 Tax=Synechococcus phage S-CAM3 TaxID=1883366 RepID=A0A1D8KJT0_9CAUD</t>
  </si>
  <si>
    <t>DNAUV-147.430-52_49</t>
  </si>
  <si>
    <t>sp|P85992|TUBE_BPSK9 Tail tube protein OS=Serratia phage KSP90 OX=552528 PE=1 SV=2</t>
  </si>
  <si>
    <t>Tail tube protein n=1 Tax=Pseudomonas phage pf16 TaxID=1815630 RepID=A0A1S5R3Y4_9CAUD</t>
  </si>
  <si>
    <t>DNAUV-147.430-52_50</t>
  </si>
  <si>
    <t>Portal protein n=1 Tax=Synechococcus phage S-RIM8 TaxID=756278 RepID=A0A1D7SAI9_9CAUD</t>
  </si>
  <si>
    <t>DNAUV-147.430-52_51</t>
  </si>
  <si>
    <t>DNA ligase 1 n=1 Tax=Tenacibaculum phage pT24 TaxID=1880590 RepID=A0A1B4XWW4_9CAUD</t>
  </si>
  <si>
    <t>DNAUV-147.430-52_52</t>
  </si>
  <si>
    <t>Uncharacterized protein n=1 Tax=Synechococcus phage BUCT-ZZ01 TaxID=2951202 RepID=A0A9E7SZY2_9CAUD</t>
  </si>
  <si>
    <t>DNAUV-147.430-52_53</t>
  </si>
  <si>
    <t>Prohead core scaffold protein n=1 Tax=Synechococcus phage S-H38 TaxID=2783673 RepID=A0A873WDF0_9CAUD</t>
  </si>
  <si>
    <t>DNAUV-147.430-52_54</t>
  </si>
  <si>
    <t>DNAUV-147.430-52_55</t>
  </si>
  <si>
    <t>Precursor of major head subunit n=1 Tax=Stenotrophomonas phage vB_SmaS-DLP_6 TaxID=1651816 RepID=A0A142EZN4_9CAUD</t>
  </si>
  <si>
    <t>DNAUV-147.430-52_56</t>
  </si>
  <si>
    <t>GIY-YIG domain-containing protein n=2 Tax=unclassified Kyanoviridae TaxID=2960609 RepID=A0A650FA59_9CAUD</t>
  </si>
  <si>
    <t>DNAUV-147.430-52_57</t>
  </si>
  <si>
    <t>Homing endonuclease n=1 Tax=Caulobacter phage Cr30 TaxID=1357714 RepID=A0A067XQD5_9CAUD</t>
  </si>
  <si>
    <t>DNAUV-147.430-52_73</t>
  </si>
  <si>
    <t>sp|Q7T3S3|CHSTB_DANRE Carbohydrate sulfotransferase 11 OS=Danio rerio OX=7955 GN=chst11 PE=2 SV=1</t>
  </si>
  <si>
    <t>VOG04027 [FUNC="REFSEQ Galactose-3-O-sulfotransferase"] [TAG=Xu TAGDEF="Function unknown"]</t>
  </si>
  <si>
    <t>Sulfotransferase family protein n=1 Tax=Leptolyngbya sp. SIO1E4 TaxID=2607768 RepID=A0A6I5QRM9_9CYAN</t>
  </si>
  <si>
    <t>DNAUV-147.430-52_76</t>
  </si>
  <si>
    <t>HNH nuclease domain-containing protein n=1 Tax=Vibrio phage VH1_2019 TaxID=2686307 RepID=A0A6B9SWZ2_9CAUD</t>
  </si>
  <si>
    <t>DNAUV-147.430-52_82</t>
  </si>
  <si>
    <t>Baseplate tail tube cap n=1 Tax=Muricauda sp. TMED12 TaxID=1986608 RepID=A0A424LPP1_9FLAO</t>
  </si>
  <si>
    <t>DNAUV-147.430-52_83</t>
  </si>
  <si>
    <t>Baseplate wedge protein n=1 Tax=Synechococcus phage S-N03 TaxID=2718943 RepID=A0A6G8R5W9_9CAUD</t>
  </si>
  <si>
    <t>DNAUV-147.430-52_84</t>
  </si>
  <si>
    <t>Uncharacterized protein n=1 Tax=Synechococcus phage BUCT-ZZ01 TaxID=2951202 RepID=A0A9E7NN43_9CAUD</t>
  </si>
  <si>
    <t>DNAUV-147.430-52_85</t>
  </si>
  <si>
    <t>Baseplate hub subunit n=1 Tax=Synechococcus phage S-CBM2 TaxID=351708 RepID=I3ULM5_9CAUD</t>
  </si>
  <si>
    <t>DNAUV-147.430-52_86</t>
  </si>
  <si>
    <t>VOG20099 [FUNC="REFSEQ hypothetical protein"] [TAG=Xu TAGDEF="Function unknown"]</t>
  </si>
  <si>
    <t>Uncharacterized protein n=1 Tax=Xanthobacter flavus TaxID=281 RepID=A0A9W6FK82_XANFL</t>
  </si>
  <si>
    <t>DNAUV-147.430-52_93</t>
  </si>
  <si>
    <t>VOG00486 [FUNC="REFSEQ hypothetical protein"] [TAG=Xu TAGDEF="Function unknown"]</t>
  </si>
  <si>
    <t>Uncharacterized protein n=1 Tax=Roseibium alexandrii TaxID=388408 RepID=A0A0M6ZY28_9HYPH</t>
  </si>
  <si>
    <t>DNAUV-147.430-52_97</t>
  </si>
  <si>
    <t>DNA-directed DNA polymerase n=1 Tax=Prochlorococcus phage P-SSM7 TaxID=445688 RepID=E3SNU2_9CAUD</t>
  </si>
  <si>
    <t>DNAUV-147.430-52_99</t>
  </si>
  <si>
    <t>DNA-directed DNA polymerase n=1 Tax=Synechococcus phage S-CBM2 TaxID=351708 RepID=I3ULE9_9CAUD</t>
  </si>
  <si>
    <t>DNAUV-15.533-18_1</t>
  </si>
  <si>
    <t>DNAUV-15.533-18_10</t>
  </si>
  <si>
    <t>DNAUV-15.533-18_12</t>
  </si>
  <si>
    <t>t-SNARE coiled-coil homology domain-containing protein n=1 Tax=Pontimonas phage phiPsal1 TaxID=2079347 RepID=A0A2K9VGR1_9CAUD</t>
  </si>
  <si>
    <t>DNAUV-15.533-18_13</t>
  </si>
  <si>
    <t>DNAUV-15.533-18_14</t>
  </si>
  <si>
    <t>DNAUV-15.533-18_17</t>
  </si>
  <si>
    <t>VOG05427 [FUNC="REFSEQ hypothetical protein"] [TAG=Xu TAGDEF="Function unknown"]</t>
  </si>
  <si>
    <t>DNAUV-15.533-18_18</t>
  </si>
  <si>
    <t>Uncharacterized protein n=1 Tax=Sediminivirga luteola TaxID=1774748 RepID=A0A8J2XK27_9MICO</t>
  </si>
  <si>
    <t>DNAUV-15.533-18_19</t>
  </si>
  <si>
    <t>DNAUV-15.533-18_2</t>
  </si>
  <si>
    <t>DNAUV-15.533-18_21</t>
  </si>
  <si>
    <t>VOG25726 [FUNC="REFSEQ hypothetical protein"] [TAG=Xu TAGDEF="Function unknown"]</t>
  </si>
  <si>
    <t>Replicative helicase inhibitor G39P N-terminal domain-containing protein n=1 Tax=Arthrobacter phage Persistence TaxID=2836007 RepID=A0A8F3IIC9_9CAUD</t>
  </si>
  <si>
    <t>DNAUV-15.533-18_3</t>
  </si>
  <si>
    <t>DNAUV-15.533-18_6</t>
  </si>
  <si>
    <t>DNAUV-15.533-18_7</t>
  </si>
  <si>
    <t>Uncharacterized protein n=1 Tax=Pontimonas phage phiPsal1 TaxID=2079347 RepID=A0A2K9VGL0_9CAUD</t>
  </si>
  <si>
    <t>DNAUV-15.533-18_8</t>
  </si>
  <si>
    <t>Putative virion structural protein n=1 Tax=Pontimonas phage phiPsal1 TaxID=2079347 RepID=A0A2K9VGL7_9CAUD</t>
  </si>
  <si>
    <t>DNAUV-15.533-18_9</t>
  </si>
  <si>
    <t>Uncharacterized protein n=1 Tax=Micromonas pusilla virus 12T TaxID=755272 RepID=M4QQ60_9PHYC</t>
  </si>
  <si>
    <t>DNAUV-15.594-26_1</t>
  </si>
  <si>
    <t>Uncharacterized protein n=1 Tax=Octadecabacter Antarctic DB virus 2 TaxID=2945129 RepID=A0A9E7E4T9_9VIRU</t>
  </si>
  <si>
    <t>DNAUV-15.594-26_10</t>
  </si>
  <si>
    <t>DNAUV-15.594-26_13</t>
  </si>
  <si>
    <t>Virion structural protein n=1 Tax=Cyanophage S-TIM54 TaxID=1137744 RepID=A0A9X9P3I0_9CAUD</t>
  </si>
  <si>
    <t>DNAUV-15.594-26_14</t>
  </si>
  <si>
    <t>HNH endonuclease n=1 Tax=Marseillevirus LCMAC101 TaxID=2506602 RepID=A0A481YSW5_9VIRU</t>
  </si>
  <si>
    <t>DNAUV-15.594-26_15</t>
  </si>
  <si>
    <t>DNAUV-15.594-26_17</t>
  </si>
  <si>
    <t>Peptidase S74 domain-containing protein n=1 Tax=Winogradskyella ouciana TaxID=2608631 RepID=A0A7K1GEK5_9FLAO</t>
  </si>
  <si>
    <t>DNAUV-15.594-26_18</t>
  </si>
  <si>
    <t>Tail fiber n=1 Tax=Pelagibacter phage HTVC119P TaxID=2283020 RepID=A0A4Y1NTM3_9CAUD</t>
  </si>
  <si>
    <t>DNAUV-15.594-26_24</t>
  </si>
  <si>
    <t>Uncharacterized protein n=1 Tax=Octadecabacter Antarctic DB virus 2 TaxID=2945129 RepID=A0A9E7E5D8_9VIRU</t>
  </si>
  <si>
    <t>DNAUV-15.594-26_4</t>
  </si>
  <si>
    <t>Portal protein n=1 Tax=Bordetella flabilis TaxID=463014 RepID=A0A193GB02_9BORD</t>
  </si>
  <si>
    <t>DNAUV-15.594-26_5</t>
  </si>
  <si>
    <t>VOG15851 [FUNC="REFSEQ head scaffolding protein"] [TAG=Xu TAGDEF="Function unknown"]</t>
  </si>
  <si>
    <t>Uncharacterized protein n=1 Tax=Delftia acidovorans (strain DSM 14801 / SPH-1) TaxID=398578 RepID=A9BYP2_DELAS</t>
  </si>
  <si>
    <t>DNAUV-15.594-26_6</t>
  </si>
  <si>
    <t>sp|P85987|CAPSD_BPSK1 Major capsid protein OS=Serratia phage KSP100 OX=552529 PE=1 SV=2</t>
  </si>
  <si>
    <t>Major head protein n=1 Tax=Methylophilales phage HIM624-A TaxID=889949 RepID=H6BJ47_9CAUD</t>
  </si>
  <si>
    <t>DNAUV-15.594-26_7</t>
  </si>
  <si>
    <t>VOG37436 [FUNC="REFSEQ reprolysin/zinc metalloprotease"] [TAG=Xu TAGDEF="Function unknown"]</t>
  </si>
  <si>
    <t>Uncharacterized protein n=1 Tax=Sinorhizobium phage phiM5 TaxID=2005789 RepID=A0A1Y0T0P7_9CAUD</t>
  </si>
  <si>
    <t>DNAUV-15.594-26_8</t>
  </si>
  <si>
    <t>VOG28967 [FUNC="REFSEQ virion structural protein"] [TAG=Xu TAGDEF="Function unknown"]</t>
  </si>
  <si>
    <t>Tail tubular protein n=1 Tax=Octadecabacter Antarctic DB virus 2 TaxID=2945129 RepID=A0A9E7E4Z6_9VIRU</t>
  </si>
  <si>
    <t>DNAUV-15.738-237_35</t>
  </si>
  <si>
    <t>DUF4055 domain-containing protein n=1 Tax=Nitrosomonas ureae TaxID=44577 RepID=A0A1H2EP00_9PROT</t>
  </si>
  <si>
    <t>DNAUV-15.738-237_39</t>
  </si>
  <si>
    <t>Coil containing protein n=1 Tax=Vibrio phage 033B TaxID=2966627 RepID=A0A9E8G3N4_9CAUD</t>
  </si>
  <si>
    <t>DNAUV-15.738-237_43</t>
  </si>
  <si>
    <t>sp|Q38582|CAPSD_BPSPP Major capsid protein OS=Bacillus phage SPP1 OX=10724 GN=13 PE=1 SV=1</t>
  </si>
  <si>
    <t>Major head protein n=2 Tax=Nipunavirus TaxID=1982239 RepID=A0A172PZT7_9CAUD</t>
  </si>
  <si>
    <t>DNAUV-15.738-237_45</t>
  </si>
  <si>
    <t>VOG09054 [FUNC="REFSEQ hypothetical protein"] [TAG=Xu TAGDEF="Function unknown"]</t>
  </si>
  <si>
    <t>Uncharacterized protein n=1 Tax=Vibrio phage 033B TaxID=2966627 RepID=A0A9E8GAE2_9CAUD</t>
  </si>
  <si>
    <t>DNAUV-15.738-237_46</t>
  </si>
  <si>
    <t>BapA prefix-like domain-containing protein n=1 Tax=Halomonas binhaiensis TaxID=2562282 RepID=A0A5C1NCJ3_9GAMM</t>
  </si>
  <si>
    <t>DNAUV-15.738-237_48</t>
  </si>
  <si>
    <t>Phage protein n=1 Tax=Lysobacter dokdonensis DS-58 TaxID=1300345 RepID=A0A0A2X3U1_9GAMM</t>
  </si>
  <si>
    <t>DNAUV-15.738-237_50</t>
  </si>
  <si>
    <t>Gp77 n=1 Tax=Alphaproteobacteria phage PhiJL001 TaxID=2681607 RepID=Q5DN28_9CAUD</t>
  </si>
  <si>
    <t>DNAUV-15.738-237_52</t>
  </si>
  <si>
    <t>Major structural phage protein n=1 Tax=Pseudomonas phage YuA TaxID=462590 RepID=A9J4W6_BPPYU</t>
  </si>
  <si>
    <t>DNAUV-15.738-237_53</t>
  </si>
  <si>
    <t>VOG00185 [FUNC="REFSEQ tail assembly chaperone"] [TAG=Xu TAGDEF="Function unknown"]</t>
  </si>
  <si>
    <t>Uncharacterized protein n=1 Tax=Nitrosomonas ureae TaxID=44577 RepID=A0A286ABV3_9PROT</t>
  </si>
  <si>
    <t>DNAUV-15.738-237_54</t>
  </si>
  <si>
    <t>Tail chaperonin n=1 Tax=Stenotrophomonas phage vB_SmaS-AXL_3 TaxID=2740427 RepID=A0A7D5BY75_9CAUD</t>
  </si>
  <si>
    <t>DNAUV-15.738-237_55</t>
  </si>
  <si>
    <t>Uncharacterized protein n=7 Tax=Yuavirus TaxID=1299429 RepID=I6XM60_9CAUD</t>
  </si>
  <si>
    <t>DNAUV-15.738-237_6</t>
  </si>
  <si>
    <t>Uncharacterized protein n=1 Tax=Ruegeria intermedia TaxID=996115 RepID=A0A1M5APR4_9RHOB</t>
  </si>
  <si>
    <t>DNAUV-15.738-237_64</t>
  </si>
  <si>
    <t>Host specificity protein n=1 Tax=Pseudotabrizicola algicola TaxID=2709381 RepID=A0A6B3RRC3_9RHOB</t>
  </si>
  <si>
    <t>DNAUV-15.895-276_11</t>
  </si>
  <si>
    <t>Uncharacterized protein n=1 Tax=Marivita cryptomonadis TaxID=505252 RepID=A0A9Q2PBE7_9RHOB</t>
  </si>
  <si>
    <t>DNAUV-15.895-276_15</t>
  </si>
  <si>
    <t>DNAUV-15.895-276_18</t>
  </si>
  <si>
    <t>DNAUV-15.895-276_19</t>
  </si>
  <si>
    <t>Lipoprotein n=1 Tax=Mameliella alba TaxID=561184 RepID=A0A6F8QD55_9RHOB</t>
  </si>
  <si>
    <t>DNAUV-15.895-276_20</t>
  </si>
  <si>
    <t>DNAUV-15.895-276_22</t>
  </si>
  <si>
    <t>DNAUV-15.895-276_26</t>
  </si>
  <si>
    <t>DNAUV-152.980-60_100</t>
  </si>
  <si>
    <t>Neck protein n=1 Tax=Rhizobium phage RHph_I1_18 TaxID=2509726 RepID=A0A7S5R4B4_9CAUD</t>
  </si>
  <si>
    <t>DNAUV-152.980-60_101</t>
  </si>
  <si>
    <t>Proximal tail sheath stabilization n=4 Tax=Emdodecavirus TaxID=1980937 RepID=S5MCV9_9CAUD</t>
  </si>
  <si>
    <t>DNAUV-152.980-60_102</t>
  </si>
  <si>
    <t>Gp16 terminase DNA packaging protein n=2 Tax=Synechococcus phage ACG-2014c TaxID=1079998 RepID=H8ZMJ6_9CAUD</t>
  </si>
  <si>
    <t>DNAUV-152.980-60_103</t>
  </si>
  <si>
    <t>Uncharacterized protein n=1 Tax=Bacillus phage SP-15 TaxID=1792032 RepID=A0A127AWL2_9CAUD</t>
  </si>
  <si>
    <t>DNAUV-152.980-60_104</t>
  </si>
  <si>
    <t>Terminase large subunit protein n=1 Tax=Rhizobium phage RHph_I1_18 TaxID=2509726 RepID=A0A7S5UX37_9CAUD</t>
  </si>
  <si>
    <t>DNAUV-152.980-60_107</t>
  </si>
  <si>
    <t>sp|E1XTG9|TSP_BPSAV Tail sheath protein OS=Salmonella phage ViI OX=1987993 GN=tail sheath PE=3 SV=1</t>
  </si>
  <si>
    <t>DNAUV-152.980-60_11</t>
  </si>
  <si>
    <t>DNA end protector protein n=1 Tax=Rhizobium phage RHph_I1_18 TaxID=2509726 RepID=A0A7S5R3S2_9CAUD</t>
  </si>
  <si>
    <t>DNAUV-152.980-60_110</t>
  </si>
  <si>
    <t>sp|P13333|TUBE_BPT4 Tail tube protein gp19 OS=Enterobacteria phage T4 OX=10665 GN=19 PE=1 SV=1</t>
  </si>
  <si>
    <t>Tail tube protein n=1 Tax=Rhizobium phage RHph_I1_18 TaxID=2509726 RepID=A0A7S5R478_9CAUD</t>
  </si>
  <si>
    <t>DNAUV-152.980-60_111</t>
  </si>
  <si>
    <t>Portal protein n=1 Tax=Rhizobium phage RHph_I1_18 TaxID=2509726 RepID=A0A7S5UU74_9CAUD</t>
  </si>
  <si>
    <t>DNAUV-152.980-60_113</t>
  </si>
  <si>
    <t>Protease n=2 Tax=Greenvirus TaxID=2948729 RepID=M1TUP6_9CAUD</t>
  </si>
  <si>
    <t>DNAUV-152.980-60_114</t>
  </si>
  <si>
    <t>Scaffolding protein n=1 Tax=Synechococcus phage Bellamy TaxID=2023996 RepID=A0A222YVT0_9CAUD</t>
  </si>
  <si>
    <t>DNAUV-152.980-60_115</t>
  </si>
  <si>
    <t>Major capsid protein n=1 Tax=Rhizobium phage RHph_I1_18 TaxID=2509726 RepID=A0A7S5R4C3_9CAUD</t>
  </si>
  <si>
    <t>DNAUV-152.980-60_12</t>
  </si>
  <si>
    <t>Baseplate tail tube cap protein n=1 Tax=Rhizobium phage RHph_I1_18 TaxID=2509726 RepID=A0A7S5R3V1_9CAUD</t>
  </si>
  <si>
    <t>DNAUV-152.980-60_122</t>
  </si>
  <si>
    <t>Uncharacterized protein n=1 Tax=Rhizobium phage RHph_I1_18 TaxID=2509726 RepID=A0A7S5R3W3_9CAUD</t>
  </si>
  <si>
    <t>DNAUV-152.980-60_124</t>
  </si>
  <si>
    <t>Putative head-proximal tip of tail tube tail completion + sheath stabilizer protein n=2 Tax=unclassified Kyanoviridae TaxID=2960609 RepID=A0A4Y5P0P6_9CAUD</t>
  </si>
  <si>
    <t>DNAUV-152.980-60_125</t>
  </si>
  <si>
    <t>UvsY n=1 Tax=Stenotrophomonas phage vB_SmaS-DLP_6 TaxID=1651816 RepID=A0A142EZX6_9CAUD</t>
  </si>
  <si>
    <t>DNAUV-152.980-60_126</t>
  </si>
  <si>
    <t>Putative RNA-DNA + DNA-DNA helicase n=1 Tax=Prochlorococcus phage P-TIM68 TaxID=1542477 RepID=A0A0K0KVV2_9CAUD</t>
  </si>
  <si>
    <t>DNAUV-152.980-60_128</t>
  </si>
  <si>
    <t>Sigma factor for late transcription protein n=1 Tax=Rhizobium phage RHph_I1_18 TaxID=2509726 RepID=A0A7S5R9Q8_9CAUD</t>
  </si>
  <si>
    <t>DNAUV-152.980-60_129</t>
  </si>
  <si>
    <t>Recombination endonuclease subunit n=1 Tax=Prochlorococcus phage P-HM1 TaxID=445700 RepID=E3SMW2_9CAUD</t>
  </si>
  <si>
    <t>DNAUV-152.980-60_13</t>
  </si>
  <si>
    <t>Baseplate wedge subunit protein n=1 Tax=Rhizobium phage RHph_I1_18 TaxID=2509726 RepID=A0A7S5R9P8_9CAUD</t>
  </si>
  <si>
    <t>DNAUV-152.980-60_130</t>
  </si>
  <si>
    <t>Recombination-related endonuclease n=1 Tax=Synechococcus phage S-CAM3 TaxID=1883366 RepID=A0A1D8KJ28_9CAUD</t>
  </si>
  <si>
    <t>DNAUV-152.980-60_132</t>
  </si>
  <si>
    <t>Uncharacterized protein n=1 Tax=Methanococcus maripaludis TaxID=39152 RepID=A0A8T3W000_METMI</t>
  </si>
  <si>
    <t>DNAUV-152.980-60_133</t>
  </si>
  <si>
    <t>DNAUV-152.980-60_134</t>
  </si>
  <si>
    <t>VOG05866 [FUNC="REFSEQ hypothetical protein"] [TAG=Xu TAGDEF="Function unknown"]</t>
  </si>
  <si>
    <t>Uncharacterized protein n=1 Tax=Septoria linicola TaxID=215465 RepID=A0A9Q9ENF6_9PEZI</t>
  </si>
  <si>
    <t>DNAUV-152.980-60_135</t>
  </si>
  <si>
    <t>DNAUV-152.980-60_138</t>
  </si>
  <si>
    <t>Conjugal transfer protein n=1 Tax=Anaerococcus sp. HMSC065G05 TaxID=1739356 RepID=A0A1E8RGH2_9FIRM</t>
  </si>
  <si>
    <t>DNAUV-152.980-60_140</t>
  </si>
  <si>
    <t>dATP/dGTP diphosphohydrolase N-terminal domain-containing protein n=1 Tax=Azorhizobium caulinodans (strain ATCC 43989 / DSM 5975 / JCM 20966 / LMG 6465 / NBRC 14845 / NCIMB 13405 / ORS 571) TaxID=438753 RepID=A8IF88_AZOC5</t>
  </si>
  <si>
    <t>DNAUV-152.980-60_142</t>
  </si>
  <si>
    <t>VOG03002 [FUNC="REFSEQ hypothetical protein"] [TAG=Xu TAGDEF="Function unknown"]</t>
  </si>
  <si>
    <t>Uncharacterized protein n=1 Tax=Ralstonia phage RsoM2USA TaxID=2070027 RepID=A0A8D4GNJ5_9CAUD</t>
  </si>
  <si>
    <t>DNAUV-152.980-60_144</t>
  </si>
  <si>
    <t>DNA polymerase n=1 Tax=Marine Group I thaumarchaeote TaxID=2511932 RepID=A0A7K4MXP4_9ARCH</t>
  </si>
  <si>
    <t>DNAUV-152.980-60_145</t>
  </si>
  <si>
    <t>Sliding-clamp-loader large subunit n=1 Tax=Stenotrophomonas phage vB_SmaS-DLP_6 TaxID=1651816 RepID=A0A142EZQ1_9CAUD</t>
  </si>
  <si>
    <t>DNAUV-152.980-60_146</t>
  </si>
  <si>
    <t>Clamp loader subunit n=4 Tax=Emdodecavirus TaxID=1980937 RepID=S5MAN3_9CAUD</t>
  </si>
  <si>
    <t>DNAUV-152.980-60_147</t>
  </si>
  <si>
    <t>sp|Q01751|REGA_BPR69 Translation repressor protein OS=Escherichia phage RB69 OX=12353 GN=regA PE=1 SV=1</t>
  </si>
  <si>
    <t>Translation repressor protein n=1 Tax=Synechococcus phage ACG-2014g TaxID=1493512 RepID=A0A0E3FDG0_9CAUD</t>
  </si>
  <si>
    <t>DNAUV-152.980-60_148</t>
  </si>
  <si>
    <t>DNAUV-152.980-60_149</t>
  </si>
  <si>
    <t>Large terminase protein n=1 Tax=Synechococcus phage S-CRM01 TaxID=1026955 RepID=F5B3Q5_9CAUD</t>
  </si>
  <si>
    <t>DNAUV-152.980-60_153</t>
  </si>
  <si>
    <t>Uncharacterized protein n=1 Tax=Ruegeria phage vB_RpoS-V10 TaxID=2218616 RepID=A0A2Z4QHN5_9CAUD</t>
  </si>
  <si>
    <t>DNAUV-152.980-60_154</t>
  </si>
  <si>
    <t>VOG26573 [FUNC="REFSEQ hypothetical protein"] [TAG=Xu TAGDEF="Function unknown"]</t>
  </si>
  <si>
    <t>Uncharacterized protein n=1 Tax=Caldibacillus debilis GB1 TaxID=1339248 RepID=A0A420VDL1_9BACI</t>
  </si>
  <si>
    <t>DNAUV-152.980-60_158</t>
  </si>
  <si>
    <t>aminoacyl-tRNA hydrolase n=1 Tax=Bacteriophage DSS3_MAL1 TaxID=2664194 RepID=A0A7S5FQL1_9CAUD</t>
  </si>
  <si>
    <t>DNAUV-152.980-60_162</t>
  </si>
  <si>
    <t>HNH endonuclease n=1 Tax=Rhizobium meliloti TaxID=382 RepID=A0A2J0YSW9_RHIML</t>
  </si>
  <si>
    <t>DNAUV-152.980-60_165</t>
  </si>
  <si>
    <t>Uncharacterized protein n=1 Tax=Rhizobium phage RHph_I1_18 TaxID=2509726 RepID=A0A7S5R3Z6_9CAUD</t>
  </si>
  <si>
    <t>DNAUV-152.980-60_167</t>
  </si>
  <si>
    <t>Uncharacterized protein n=1 Tax=Rhizobium phage RHph_I1_18 TaxID=2509726 RepID=A0A7S5R3Z1_9CAUD</t>
  </si>
  <si>
    <t>DNAUV-152.980-60_168</t>
  </si>
  <si>
    <t>Protein kinase domain-containing protein n=1 Tax=Rhizobium phage RHph_I1_18 TaxID=2509726 RepID=A0A7S5R3M5_9CAUD</t>
  </si>
  <si>
    <t>DNAUV-152.980-60_17</t>
  </si>
  <si>
    <t>Transmembrane protein n=1 Tax=Rhizobium phage RHph_I1_18 TaxID=2509726 RepID=A0A7S5R3S5_9CAUD</t>
  </si>
  <si>
    <t>DNAUV-152.980-60_170</t>
  </si>
  <si>
    <t>VOG31889 [FUNC="REFSEQ RNA ligase"] [TAG=Xu TAGDEF="Function unknown"]</t>
  </si>
  <si>
    <t>Uncharacterized protein n=3 Tax=Emdodecavirus TaxID=1980937 RepID=A0A0F6WC90_9CAUD</t>
  </si>
  <si>
    <t>DNAUV-152.980-60_171</t>
  </si>
  <si>
    <t>Protein kinase domain-containing protein n=1 Tax=Rhizobium phage RHph_I1_18 TaxID=2509726 RepID=A0A7S5R3P1_9CAUD</t>
  </si>
  <si>
    <t>DNAUV-152.980-60_172</t>
  </si>
  <si>
    <t>DNA primase protein n=1 Tax=Rhizobium phage RHph_I1_18 TaxID=2509726 RepID=A0A7S5R3Y5_9CAUD</t>
  </si>
  <si>
    <t>DNAUV-152.980-60_178</t>
  </si>
  <si>
    <t>Gp141 n=1 Tax=Sphingomonas phage PAU TaxID=1150991 RepID=H9NC18_9CAUD</t>
  </si>
  <si>
    <t>DNAUV-152.980-60_182</t>
  </si>
  <si>
    <t>VOG06381 [FUNC="REFSEQ VOG4594"] [TAG=Xu TAGDEF="Function unknown"]</t>
  </si>
  <si>
    <t>Protein rIIA n=1 Tax=Vibrio phage V09 TaxID=2724327 RepID=A0A6H0X940_9CAUD</t>
  </si>
  <si>
    <t>DNAUV-152.980-60_183</t>
  </si>
  <si>
    <t>Uncharacterized protein n=2 Tax=Rhizobium rosettiformans TaxID=1368430 RepID=A0A4S8PZ01_9HYPH</t>
  </si>
  <si>
    <t>DNAUV-152.980-60_187</t>
  </si>
  <si>
    <t>VOG05742 [FUNC="REFSEQ hypothetical protein"] [TAG=Xu TAGDEF="Function unknown"]</t>
  </si>
  <si>
    <t>Uncharacterized protein n=1 Tax=Vibrio phage VPMCC14 TaxID=2968382 RepID=A0A976SFY0_9CAUD</t>
  </si>
  <si>
    <t>DNAUV-152.980-60_189</t>
  </si>
  <si>
    <t>3'-5' exoribonuclease Rv2179c-like domain-containing protein n=2 Tax=unclassified Caudoviricetes TaxID=2788787 RepID=A0A2I7SB53_9CAUD</t>
  </si>
  <si>
    <t>DNAUV-152.980-60_190</t>
  </si>
  <si>
    <t>VOG02948 [FUNC="REFSEQ hypothetical protein"] [TAG=Xu TAGDEF="Function unknown"]</t>
  </si>
  <si>
    <t>ATP-grasp domain-containing protein n=3 Tax=Myxococcaceae TaxID=31 RepID=Q1D4Q5_MYXXD</t>
  </si>
  <si>
    <t>DNAUV-152.980-60_191</t>
  </si>
  <si>
    <t>DNAUV-152.980-60_192</t>
  </si>
  <si>
    <t>VOG20836 [FUNC="REFSEQ hypothetical protein"] [TAG=Xu TAGDEF="Function unknown"]</t>
  </si>
  <si>
    <t>Uncharacterized protein n=1 Tax=Elizabethkingia anophelis TaxID=1117645 RepID=A0A494JAJ0_9FLAO</t>
  </si>
  <si>
    <t>DNAUV-152.980-60_195</t>
  </si>
  <si>
    <t>Tail tube protein n=1 Tax=Rhizobium phage RHph_I1_18 TaxID=2509726 RepID=A0A7S5REH3_9CAUD</t>
  </si>
  <si>
    <t>DNAUV-152.980-60_196</t>
  </si>
  <si>
    <t>Putative baseplate hub subunit protein n=1 Tax=Rhizobium phage RHph_I1_18 TaxID=2509726 RepID=A0A7S5UU05_9CAUD</t>
  </si>
  <si>
    <t>DNAUV-152.980-60_200</t>
  </si>
  <si>
    <t>DUF4116 domain-containing protein n=1 Tax=Salicola phage SCTP-2 TaxID=2015814 RepID=A0A248SJ31_9CAUD</t>
  </si>
  <si>
    <t>DNAUV-152.980-60_202</t>
  </si>
  <si>
    <t>VOG05797 [FUNC="REFSEQ hypothetical protein"] [TAG=Xu TAGDEF="Function unknown"]</t>
  </si>
  <si>
    <t>DNAUV-152.980-60_206</t>
  </si>
  <si>
    <t>Uncharacterized protein n=1 Tax=Leisingera sp. ANG-M7 TaxID=1577902 RepID=A0A0C1G353_9RHOB</t>
  </si>
  <si>
    <t>DNAUV-152.980-60_24</t>
  </si>
  <si>
    <t>Uncharacterized protein n=1 Tax=Cyanophage P-RSM1 TaxID=536444 RepID=M4QDS1_9CAUD</t>
  </si>
  <si>
    <t>DNAUV-152.980-60_25</t>
  </si>
  <si>
    <t>Single-stranded DNA-binding protein n=1 Tax=Rhizobium phage RHph_I1_18 TaxID=2509726 RepID=A0A7S5RDQ4_9CAUD</t>
  </si>
  <si>
    <t>DNAUV-152.980-60_29</t>
  </si>
  <si>
    <t>DNAUV-152.980-60_32</t>
  </si>
  <si>
    <t>Putative endonuclease SegE GIY-YIG domain-containing protein n=1 Tax=Tritonibacter mobilis F1926 TaxID=1265309 RepID=A0A1B1A9U9_9RHOB</t>
  </si>
  <si>
    <t>DNAUV-152.980-60_34</t>
  </si>
  <si>
    <t>VOG22892 [FUNC="REFSEQ hypothetical protein"] [TAG=Xu TAGDEF="Function unknown"]</t>
  </si>
  <si>
    <t>Uncharacterized protein n=1 Tax=Idiomarinaceae phage Phi1M2-2 TaxID=1527515 RepID=A0A088F787_9CAUD</t>
  </si>
  <si>
    <t>DNAUV-152.980-60_36</t>
  </si>
  <si>
    <t>Uncharacterized protein n=1 Tax=Rhizobium phage RHph_I1_18 TaxID=2509726 RepID=A0A7S5UVS3_9CAUD</t>
  </si>
  <si>
    <t>DNAUV-152.980-60_4</t>
  </si>
  <si>
    <t>Uncharacterized protein n=1 Tax=Ochrobactrum phage ORM_20 TaxID=2985243 RepID=A0A9N6ZGI4_9VIRU</t>
  </si>
  <si>
    <t>DNAUV-152.980-60_43</t>
  </si>
  <si>
    <t>DUF1599 domain-containing protein n=1 Tax=Xanthomarina gelatinilytica TaxID=1137281 RepID=A0A3D6BSX0_9FLAO</t>
  </si>
  <si>
    <t>DNAUV-152.980-60_44</t>
  </si>
  <si>
    <t>sp|P39241|MOBD_BPT4 Probable mobile endonuclease D OS=Enterobacteria phage T4 OX=10665 GN=mobD PE=4 SV=2</t>
  </si>
  <si>
    <t>MobE homing endonuclease n=1 Tax=Sinorhizobium phage phiN3 TaxID=1647405 RepID=A0A0F6WD21_9CAUD</t>
  </si>
  <si>
    <t>DNAUV-152.980-60_48</t>
  </si>
  <si>
    <t>DNA-directed DNA polymerase n=1 Tax=Rhizobium phage RHph_I1_18 TaxID=2509726 RepID=A0A7S5R3W9_9CAUD</t>
  </si>
  <si>
    <t>DNAUV-152.980-60_49</t>
  </si>
  <si>
    <t>DNAUV-152.980-60_50</t>
  </si>
  <si>
    <t>Putative RecA-like recombination protein n=1 Tax=Lake Baikal phage Baikal-20-5m-C28 TaxID=2047876 RepID=A0A2H4N7S2_9CAUD</t>
  </si>
  <si>
    <t>DNAUV-152.980-60_51</t>
  </si>
  <si>
    <t>DNA primase n=1 Tax=Marine Group I thaumarchaeote TaxID=2511932 RepID=A0A7K4MWR6_9ARCH</t>
  </si>
  <si>
    <t>DNAUV-152.980-60_6</t>
  </si>
  <si>
    <t>Head completion nuclease n=1 Tax=Synechococcus virus S-PRM1 TaxID=2100130 RepID=A0A346FKA8_9CAUD</t>
  </si>
  <si>
    <t>DNAUV-152.980-60_63</t>
  </si>
  <si>
    <t>DNAUV-152.980-60_65</t>
  </si>
  <si>
    <t>VOG01206 [FUNC="sp|P22917|Y16D_BPT4 Uncharacterized 17.8 kDa protein in arn-motA intergenic region"] [TAG=Xu TAGDEF="Function unknown"]</t>
  </si>
  <si>
    <t>p063 n=1 Tax=Rhizobium phage 16-3 TaxID=10704 RepID=B4UTV1_BP163</t>
  </si>
  <si>
    <t>DNAUV-152.980-60_67</t>
  </si>
  <si>
    <t>DNAUV-152.980-60_68</t>
  </si>
  <si>
    <t>Toprim domain-containing protein n=1 Tax=Synechococcus phage B3 TaxID=2674978 RepID=A0A650EZE8_9CAUD</t>
  </si>
  <si>
    <t>DNAUV-152.980-60_69</t>
  </si>
  <si>
    <t>Uncharacterized protein n=1 Tax=Vibrio phage vB_VchM_Kuja TaxID=2686437 RepID=A0A6B9J594_9CAUD</t>
  </si>
  <si>
    <t>DNAUV-152.980-60_79</t>
  </si>
  <si>
    <t>Structural protein n=1 Tax=Rhizobium phage RHph_I1_18 TaxID=2509726 RepID=A0A7S5UVD5_9CAUD</t>
  </si>
  <si>
    <t>DNAUV-152.980-60_81</t>
  </si>
  <si>
    <t>Baseplate hub subunit and tail lysozyme protein n=1 Tax=Rhizobium phage RHph_I1_18 TaxID=2509726 RepID=A0A7S5UWW5_9CAUD</t>
  </si>
  <si>
    <t>DNAUV-152.980-60_82</t>
  </si>
  <si>
    <t>Baseplate hub subunit and tail lysozyme protein n=1 Tax=Rhizobium phage RHph_I1_18 TaxID=2509726 RepID=A0A7S5UVQ3_9CAUD</t>
  </si>
  <si>
    <t>DNAUV-152.980-60_83</t>
  </si>
  <si>
    <t>Uncharacterized protein n=1 Tax=Rhizobium phage RHph_I1_18 TaxID=2509726 RepID=A0A7S5RDQ0_9CAUD</t>
  </si>
  <si>
    <t>DNAUV-152.980-60_85</t>
  </si>
  <si>
    <t>Baseplate wedge subunit protein n=1 Tax=Rhizobium phage RHph_I1_18 TaxID=2509726 RepID=A0A7S5R8M0_9CAUD</t>
  </si>
  <si>
    <t>DNAUV-152.980-60_87</t>
  </si>
  <si>
    <t>DNAUV-152.980-60_88</t>
  </si>
  <si>
    <t>Baseplate wedge subunit protein n=1 Tax=Rhizobium phage RHph_I1_18 TaxID=2509726 RepID=A0A7S5RA24_9CAUD</t>
  </si>
  <si>
    <t>DNAUV-152.980-60_90</t>
  </si>
  <si>
    <t>Putative adsorption associated tail protein n=1 Tax=Rhizobium phage RHph_I1_18 TaxID=2509726 RepID=A0A7S5R485_9CAUD</t>
  </si>
  <si>
    <t>DNAUV-152.980-60_91</t>
  </si>
  <si>
    <t>Tail fiber protein n=1 Tax=Rhizobium phage RHph_I1_18 TaxID=2509726 RepID=A0A7S5R472_9CAUD</t>
  </si>
  <si>
    <t>DNAUV-152.980-60_92</t>
  </si>
  <si>
    <t>Putative structural protein n=1 Tax=Rhizobium phage RHph_I1_18 TaxID=2509726 RepID=A0A7S5R471_9CAUD</t>
  </si>
  <si>
    <t>DNAUV-152.980-60_94</t>
  </si>
  <si>
    <t>DUF1353 domain-containing protein n=1 Tax=Roseibium sp. TrichSKD4 TaxID=744980 RepID=E2CPH5_9HYPH</t>
  </si>
  <si>
    <t>DNAUV-152.980-60_96</t>
  </si>
  <si>
    <t>Tail fiber protein n=1 Tax=Rhizobium phage RHph_Y68 TaxID=2509787 RepID=A0A7S5R4S6_9CAUD</t>
  </si>
  <si>
    <t>DNAUV-152.980-60_97</t>
  </si>
  <si>
    <t>Uncharacterized protein n=1 Tax=Rhodovulum marinum TaxID=320662 RepID=A0A4R2Q5M2_9RHOB</t>
  </si>
  <si>
    <t>DNAUV-152.980-60_99</t>
  </si>
  <si>
    <t>Neck protein n=1 Tax=Stenotrophomonas phage vB_SmaS-DLP_6 TaxID=1651816 RepID=A0A142EZS0_9CAUD</t>
  </si>
  <si>
    <t>DNAUV-159.889-409_101</t>
  </si>
  <si>
    <t>Putative endonuclease n=1 Tax=Ochrobactrum phage vB_OspM_OC TaxID=2712956 RepID=A0A6G6XXC0_9CAUD</t>
  </si>
  <si>
    <t>DNAUV-159.889-409_105</t>
  </si>
  <si>
    <t>Putative sliding clamp DNA polymerase accessory protein n=1 Tax=Rhizobium phage RHph_I1_18 TaxID=2509726 RepID=A0A7S5R3V0_9CAUD</t>
  </si>
  <si>
    <t>DNAUV-159.889-409_106</t>
  </si>
  <si>
    <t>Sliding-clamp-loader large subunit n=2 Tax=Salacisavirus pssm2 TaxID=2734140 RepID=Q58MJ3_BPPRM</t>
  </si>
  <si>
    <t>DNAUV-159.889-409_107</t>
  </si>
  <si>
    <t>DNAUV-159.889-409_108</t>
  </si>
  <si>
    <t>Translation repressor protein n=4 Tax=Emdodecavirus TaxID=1980937 RepID=S5MUZ4_9CAUD</t>
  </si>
  <si>
    <t>DNAUV-159.889-409_11</t>
  </si>
  <si>
    <t>NAD synthetase n=3 Tax=Emdodecavirus TaxID=1980937 RepID=A0A0F6WCB4_9CAUD</t>
  </si>
  <si>
    <t>DNAUV-159.889-409_115</t>
  </si>
  <si>
    <t>Putative Seg-like homing DNA endonuclease n=3 Tax=Lazarusvirus kimel TaxID=2843635 RepID=A0A6B9LN42_9CAUD</t>
  </si>
  <si>
    <t>DNAUV-159.889-409_116</t>
  </si>
  <si>
    <t>Uncharacterized protein n=2 Tax=root TaxID=1 RepID=A0A7V1BHV3_9RHOB</t>
  </si>
  <si>
    <t>DNAUV-159.889-409_117</t>
  </si>
  <si>
    <t>DUF4343 domain-containing protein n=1 Tax=Corallococcus aberystwythensis TaxID=2316722 RepID=A0A3A8QIP0_9BACT</t>
  </si>
  <si>
    <t>DNAUV-159.889-409_118</t>
  </si>
  <si>
    <t>VOG03079 [FUNC="REFSEQ hypothetical protein"] [TAG=Xu TAGDEF="Function unknown"]</t>
  </si>
  <si>
    <t>Uncharacterized protein n=1 Tax=Epilithonimonas hungarica TaxID=454006 RepID=A0A1G7U6U3_9FLAO</t>
  </si>
  <si>
    <t>DNAUV-159.889-409_124</t>
  </si>
  <si>
    <t>VOG02024 [FUNC="REFSEQ secreted protein"] [TAG=Xu TAGDEF="Function unknown"]</t>
  </si>
  <si>
    <t>Uncharacterized protein n=1 Tax=Acaryochloris marina (strain MBIC 11017) TaxID=329726 RepID=B0C1H8_ACAM1</t>
  </si>
  <si>
    <t>DNAUV-159.889-409_126</t>
  </si>
  <si>
    <t>DNAUV-159.889-409_13</t>
  </si>
  <si>
    <t>sp|Q38441|YOR5_BPSPP Uncharacterized 10.3 kDa protein in GP2-GP6 intergenic region OS=Bacillus phage SPP1 OX=10724 PE=4 SV=1</t>
  </si>
  <si>
    <t>Phage protein n=1 Tax=Actinomyces succiniciruminis TaxID=1522002 RepID=A0A1L7RMB1_9ACTO</t>
  </si>
  <si>
    <t>DNAUV-159.889-409_130</t>
  </si>
  <si>
    <t>Tail fiber protein n=1 Tax=Caulobacter phage Cr30 TaxID=1357714 RepID=A0A067XQR4_9CAUD</t>
  </si>
  <si>
    <t>DNAUV-159.889-409_132</t>
  </si>
  <si>
    <t>DNAUV-159.889-409_133</t>
  </si>
  <si>
    <t>DNAUV-159.889-409_134</t>
  </si>
  <si>
    <t>Anti-CBASS protein Acb1 n=1 Tax=Ochrobactrum phage vB_OspM_OC TaxID=2712956 RepID=A0A6G6XXV3_9CAUD</t>
  </si>
  <si>
    <t>DNAUV-159.889-409_135</t>
  </si>
  <si>
    <t>Uncharacterized protein n=1 Tax=Stenotrophomonas phage vB_SmaS-DLP_6 TaxID=1651816 RepID=A0A142EZV7_9CAUD</t>
  </si>
  <si>
    <t>DNAUV-159.889-409_136</t>
  </si>
  <si>
    <t>DNAUV-159.889-409_137</t>
  </si>
  <si>
    <t>DNAUV-159.889-409_139</t>
  </si>
  <si>
    <t>DNAUV-159.889-409_142</t>
  </si>
  <si>
    <t>DNAUV-159.889-409_147</t>
  </si>
  <si>
    <t>Protector from prophage-induced early lysis n=1 Tax=Enterobacter phage phiEap-3 TaxID=1682394 RepID=A0A0K2FHI3_9CAUD</t>
  </si>
  <si>
    <t>DNAUV-159.889-409_148</t>
  </si>
  <si>
    <t>DNAUV-159.889-409_149</t>
  </si>
  <si>
    <t>DNAUV-159.889-409_15</t>
  </si>
  <si>
    <t>DNAUV-159.889-409_150</t>
  </si>
  <si>
    <t>VOG28487 [FUNC="REFSEQ hypothetical protein"] [TAG=Xu TAGDEF="Function unknown"]</t>
  </si>
  <si>
    <t>Transmembrane protein n=1 Tax=Sinorhizobium phage phiN3 TaxID=1647405 RepID=A0A0F6SJ65_9CAUD</t>
  </si>
  <si>
    <t>DNAUV-159.889-409_154</t>
  </si>
  <si>
    <t>DNAUV-159.889-409_155</t>
  </si>
  <si>
    <t>Uncharacterized protein n=1 Tax=Streptomyces phage Wollford TaxID=2283267 RepID=A0A345M9Y3_9CAUD</t>
  </si>
  <si>
    <t>DNAUV-159.889-409_158</t>
  </si>
  <si>
    <t>Exonuclease A n=1 Tax=Escherichia phage teqsoen TaxID=2697540 RepID=A0A6B9WJL4_9CAUD</t>
  </si>
  <si>
    <t>DNAUV-159.889-409_161</t>
  </si>
  <si>
    <t>DNAUV-159.889-409_162</t>
  </si>
  <si>
    <t>DNAUV-159.889-409_164</t>
  </si>
  <si>
    <t>RES domain-containing protein n=1 Tax=Erythrobacter aureus TaxID=2182384 RepID=A0A345YIX3_9SPHN</t>
  </si>
  <si>
    <t>DNAUV-159.889-409_167</t>
  </si>
  <si>
    <t>DNAUV-159.889-409_170</t>
  </si>
  <si>
    <t>DNAUV-159.889-409_171</t>
  </si>
  <si>
    <t>DNAUV-159.889-409_172</t>
  </si>
  <si>
    <t>DNAUV-159.889-409_173</t>
  </si>
  <si>
    <t>DNAUV-159.889-409_174</t>
  </si>
  <si>
    <t>DNAUV-159.889-409_177</t>
  </si>
  <si>
    <t>DNAUV-159.889-409_179</t>
  </si>
  <si>
    <t>DNAUV-159.889-409_18</t>
  </si>
  <si>
    <t>VOG04314 [FUNC="REFSEQ hypothetical protein"] [TAG=Xu TAGDEF="Function unknown"]</t>
  </si>
  <si>
    <t>Uncharacterized protein n=1 Tax=Pelagibacter phage Mosig EXVC030M TaxID=2759214 RepID=A0A7S6LEH6_9CAUD</t>
  </si>
  <si>
    <t>DNAUV-159.889-409_180</t>
  </si>
  <si>
    <t>DNAUV-159.889-409_181</t>
  </si>
  <si>
    <t>Uncharacterized protein n=1 Tax=Pseudomonas phage sp. 30-3 TaxID=2972143 RepID=A0A915VHB8_9CAUD</t>
  </si>
  <si>
    <t>DNAUV-159.889-409_184</t>
  </si>
  <si>
    <t>DNAUV-159.889-409_185</t>
  </si>
  <si>
    <t>sp|P19061|BP07_BPT4 Baseplate wedge protein gp7 OS=Enterobacteria phage T4 OX=10665 GN=7 PE=1 SV=1</t>
  </si>
  <si>
    <t>DNAUV-159.889-409_186</t>
  </si>
  <si>
    <t>DNAUV-159.889-409_187</t>
  </si>
  <si>
    <t>DNAUV-159.889-409_188</t>
  </si>
  <si>
    <t>DNAUV-159.889-409_189</t>
  </si>
  <si>
    <t>DNAUV-159.889-409_191</t>
  </si>
  <si>
    <t>Tail fiber protein n=1 Tax=Yangia pacifica TaxID=311180 RepID=A0A1I6QKC4_9RHOB</t>
  </si>
  <si>
    <t>DNAUV-159.889-409_192</t>
  </si>
  <si>
    <t>VOG00742 [FUNC="REFSEQ tail protein"] [TAG=Xu TAGDEF="Function unknown"]</t>
  </si>
  <si>
    <t>DUF4376 domain-containing protein n=1 Tax=Yangia pacifica TaxID=311180 RepID=A0A1I6QKE5_9RHOB</t>
  </si>
  <si>
    <t>DNAUV-159.889-409_193</t>
  </si>
  <si>
    <t>DNAUV-159.889-409_194</t>
  </si>
  <si>
    <t>VOG00592 [FUNC="sp|P33227|STFE_ECOLI Putative uncharacterized protein StfE"] [TAG=Xu TAGDEF="Function unknown"]</t>
  </si>
  <si>
    <t>Putative tail fiber protein n=1 Tax=Rhizobium phage RHph_I1_18 TaxID=2509726 RepID=A0A7S5R8P1_9CAUD</t>
  </si>
  <si>
    <t>DNAUV-159.889-409_195</t>
  </si>
  <si>
    <t>Uncharacterized protein DUF4376 n=1 Tax=Hoeflea marina TaxID=274592 RepID=A0A317PE85_9HYPH</t>
  </si>
  <si>
    <t>DNAUV-159.889-409_196</t>
  </si>
  <si>
    <t>VOG01183 [FUNC="REFSEQ tail assembly chaperone"] [TAG=Xu TAGDEF="Function unknown"]</t>
  </si>
  <si>
    <t>DUF1353 domain-containing protein n=2 Tax=Thalassobacter TaxID=266808 RepID=A0A0N7LTZ0_9RHOB</t>
  </si>
  <si>
    <t>DNAUV-159.889-409_197</t>
  </si>
  <si>
    <t>DNAUV-159.889-409_198</t>
  </si>
  <si>
    <t>DNAUV-159.889-409_199</t>
  </si>
  <si>
    <t>Tail sheath stabilization protein n=1 Tax=Rhizobium phage RHph_I1_18 TaxID=2509726 RepID=A0A7S5UVX7_9CAUD</t>
  </si>
  <si>
    <t>DNAUV-159.889-409_2</t>
  </si>
  <si>
    <t>Loader of DNA helicase n=1 Tax=Cyanophage S-RIM50 TaxID=687803 RepID=A0A127KLQ1_9CAUD</t>
  </si>
  <si>
    <t>DNAUV-159.889-409_203</t>
  </si>
  <si>
    <t>DNAUV-159.889-409_206</t>
  </si>
  <si>
    <t>DNAUV-159.889-409_208</t>
  </si>
  <si>
    <t>DNAUV-159.889-409_209</t>
  </si>
  <si>
    <t>DNAUV-159.889-409_21</t>
  </si>
  <si>
    <t>VOG06755 [FUNC="REFSEQ histidyl tRNA synthetase"] [TAG=Xu TAGDEF="Function unknown"]</t>
  </si>
  <si>
    <t>RNA polymerase alpha subunit C-terminal domain-containing protein n=1 Tax=Caulobacter phage CcrPW TaxID=2283271 RepID=A0A385ED89_9CAUD</t>
  </si>
  <si>
    <t>DNAUV-159.889-409_214</t>
  </si>
  <si>
    <t>DNAUV-159.889-409_215</t>
  </si>
  <si>
    <t>sp|P04534|SCAF_BPT4 Capsid assembly scaffolding protein OS=Enterobacteria phage T4 OX=10665 GN=22 PE=1 SV=2</t>
  </si>
  <si>
    <t>Scaffold prohead core protein n=1 Tax=Stenotrophomonas phage vB_SmaS-DLP_6 TaxID=1651816 RepID=A0A142EZP6_9CAUD</t>
  </si>
  <si>
    <t>DNAUV-159.889-409_216</t>
  </si>
  <si>
    <t>DNAUV-159.889-409_220</t>
  </si>
  <si>
    <t>sp|P07074|MOBC_BPT4 Probable mobile endonuclease C OS=Enterobacteria phage T4 OX=10665 GN=mobC PE=4 SV=1</t>
  </si>
  <si>
    <t>Phage-associated homing endonuclease n=1 Tax=Vibrio phage phi-pp2 TaxID=1204514 RepID=I6X2B0_9CAUD</t>
  </si>
  <si>
    <t>DNAUV-159.889-409_221</t>
  </si>
  <si>
    <t>Putative Seg-like homing DNA endonuclease n=1 Tax=Salmonella phage STP4-a TaxID=1445860 RepID=A0A0B4L9B9_9CAUD</t>
  </si>
  <si>
    <t>DNAUV-159.889-409_226</t>
  </si>
  <si>
    <t>DNAUV-159.889-409_228</t>
  </si>
  <si>
    <t>Tail tube protein n=1 Tax=Stenotrophomonas phage vB_SmaS-DLP_6 TaxID=1651816 RepID=A0A142EZW2_9CAUD</t>
  </si>
  <si>
    <t>DNAUV-159.889-409_229</t>
  </si>
  <si>
    <t>Recombination mediator protein UvsY n=2 Tax=Marine Group I thaumarchaeote TaxID=2511932 RepID=A0A7K4MWS7_9ARCH</t>
  </si>
  <si>
    <t>DNAUV-159.889-409_23</t>
  </si>
  <si>
    <t>VOG07598 [FUNC="REFSEQ hypothetical protein"] [TAG=Xu TAGDEF="Function unknown"]</t>
  </si>
  <si>
    <t>Uncharacterized protein n=3 Tax=Emdodecavirus TaxID=1980937 RepID=S5MDJ2_9CAUD</t>
  </si>
  <si>
    <t>DNAUV-159.889-409_230</t>
  </si>
  <si>
    <t>Helicase ATP-binding domain-containing protein n=1 Tax=Synechococcus sp. TMED187 TaxID=1986595 RepID=A0A1Z9KRC4_9SYNE</t>
  </si>
  <si>
    <t>DNAUV-159.889-409_232</t>
  </si>
  <si>
    <t>DNAUV-159.889-409_233</t>
  </si>
  <si>
    <t>MobE homing endonuclease n=3 Tax=Emdodecavirus TaxID=1980937 RepID=A0A0F6WC63_9CAUD</t>
  </si>
  <si>
    <t>DNAUV-159.889-409_24</t>
  </si>
  <si>
    <t>YopX protein domain-containing protein n=1 Tax=Clostridium botulinum TaxID=1491 RepID=A0A8I0HKW9_CLOBO</t>
  </si>
  <si>
    <t>DNAUV-159.889-409_26</t>
  </si>
  <si>
    <t>Nucleotide modification associated domain-containing protein n=1 Tax=Serratia phage Muldoon TaxID=2601678 RepID=A0A5P8PH22_9CAUD</t>
  </si>
  <si>
    <t>DNAUV-159.889-409_3</t>
  </si>
  <si>
    <t>DNAUV-159.889-409_31</t>
  </si>
  <si>
    <t>VOG24384 [FUNC="sp|P04415|DPOL_BPT4 DNA-directed DNA polymerase"] [TAG=Xh TAGDEF="Virus protein with function beneficial for the host"]</t>
  </si>
  <si>
    <t>DNAUV-159.889-409_33</t>
  </si>
  <si>
    <t>DNAUV-159.889-409_34</t>
  </si>
  <si>
    <t>DNAUV-159.889-409_35</t>
  </si>
  <si>
    <t>DnaB-like replicative helicase n=1 Tax=Caulobacter phage Cr30 TaxID=1357714 RepID=A0A067XR20_9CAUD</t>
  </si>
  <si>
    <t>DNAUV-159.889-409_37</t>
  </si>
  <si>
    <t>VOG01516 [FUNC="REFSEQ hypothetical protein"] [TAG=Xu TAGDEF="Function unknown"]</t>
  </si>
  <si>
    <t>O-spanin n=1 Tax=Rhizobium phage RHph_I1_18 TaxID=2509726 RepID=A0A7S5UUU1_9CAUD</t>
  </si>
  <si>
    <t>DNAUV-159.889-409_39</t>
  </si>
  <si>
    <t>Uncharacterized protein n=1 Tax=Bacteriophage DSS3_MAL1 TaxID=2664194 RepID=A0A7S5KPP2_9CAUD</t>
  </si>
  <si>
    <t>DNAUV-159.889-409_40</t>
  </si>
  <si>
    <t>LGT_TIGR03299, phage/plasmid-like protein TIGR03299 n=3 Tax=Emdodecavirus TaxID=1980937 RepID=S5M7I0_9CAUD</t>
  </si>
  <si>
    <t>DNAUV-159.889-409_44</t>
  </si>
  <si>
    <t>DNAUV-159.889-409_47</t>
  </si>
  <si>
    <t>DUF4031 domain-containing protein n=1 Tax=Rhizobium phage RHph_N42 TaxID=2509752 RepID=A0A7S5UYP7_9CAUD</t>
  </si>
  <si>
    <t>DNAUV-159.889-409_49</t>
  </si>
  <si>
    <t>Hef60 n=1 Tax=Campylobacter phage PC5 TaxID=1541690 RepID=A0A1B0XVU0_9CAUD</t>
  </si>
  <si>
    <t>DNAUV-159.889-409_56</t>
  </si>
  <si>
    <t>Gp20 n=1 Tax=Alphaproteobacteria phage PhiJL001 TaxID=2681607 RepID=Q5DN85_9CAUD</t>
  </si>
  <si>
    <t>DNAUV-159.889-409_57</t>
  </si>
  <si>
    <t>VOG20565 [FUNC="REFSEQ hypothetical protein"] [TAG=Xu TAGDEF="Function unknown"]</t>
  </si>
  <si>
    <t>Nucleoside 2-deoxyribosyltransferase n=1 Tax=Dendrothele bispora (strain CBS 962.96) TaxID=1314807 RepID=A0A4S8MDM0_DENBC</t>
  </si>
  <si>
    <t>DNAUV-159.889-409_59</t>
  </si>
  <si>
    <t>Uncharacterized protein n=1 Tax=Rhizobium phage RHph_I1_18 TaxID=2509726 RepID=A0A7S5UWZ4_9CAUD</t>
  </si>
  <si>
    <t>DNAUV-159.889-409_61</t>
  </si>
  <si>
    <t>DNAUV-159.889-409_62</t>
  </si>
  <si>
    <t>DNAUV-159.889-409_7</t>
  </si>
  <si>
    <t>DNAUV-159.889-409_77</t>
  </si>
  <si>
    <t>DNAUV-159.889-409_9</t>
  </si>
  <si>
    <t>Uncharacterized protein n=3 Tax=Emdodecavirus TaxID=1980937 RepID=S5M751_9CAUD</t>
  </si>
  <si>
    <t>DNAUV-159.889-409_91</t>
  </si>
  <si>
    <t>Recombination endonuclease n=1 Tax=Synechococcus phage Bellamy TaxID=2023996 RepID=A0A222YVT5_9CAUD</t>
  </si>
  <si>
    <t>DNAUV-159.889-409_92</t>
  </si>
  <si>
    <t>Recombination endonuclease sunbunit n=3 Tax=Emdodecavirus TaxID=1980937 RepID=S5MPC7_9CAUD</t>
  </si>
  <si>
    <t>DNAUV-159.889-409_94</t>
  </si>
  <si>
    <t>VOG03691 [FUNC="REFSEQ hypothetical protein"] [TAG=Xu TAGDEF="Function unknown"]</t>
  </si>
  <si>
    <t>C2H2-type domain-containing protein n=1 Tax=Bacillus phage vB_BpuM-BpSp TaxID=1739968 RepID=A0A141HSH9_9CAUD</t>
  </si>
  <si>
    <t>DNAUV-159.889-409_95</t>
  </si>
  <si>
    <t>Uncharacterized protein n=1 Tax=Pelagibacter phage HTVC008M TaxID=1283076 RepID=M1HM36_9CAUD</t>
  </si>
  <si>
    <t>DNAUV-159.889-409_96</t>
  </si>
  <si>
    <t>DNAUV-159.889-409_97</t>
  </si>
  <si>
    <t>GIY-YIG domain-containing protein n=1 Tax=Alteromonas profundi TaxID=2696062 RepID=A0A7X5LPC0_9ALTE</t>
  </si>
  <si>
    <t>DNAUV-159.889-409_98</t>
  </si>
  <si>
    <t>DNAUV-16.119-15_1</t>
  </si>
  <si>
    <t>Uncharacterized protein n=2 Tax=Ripduovirus RP12 TaxID=2560700 RepID=A0A1L7N0Y4_9CAUD</t>
  </si>
  <si>
    <t>DNAUV-16.119-15_22</t>
  </si>
  <si>
    <t>DNAUV-16.119-15_3</t>
  </si>
  <si>
    <t>DNAUV-16.119-15_33</t>
  </si>
  <si>
    <t>DNAUV-16.119-15_4</t>
  </si>
  <si>
    <t>Endonuclease n=1 Tax=Synechococcus phage S-CBP3 TaxID=756276 RepID=I3ULV1_9CAUD</t>
  </si>
  <si>
    <t>DNAUV-16.119-15_5</t>
  </si>
  <si>
    <t>Recombination endonuclease VII n=1 Tax=Caballeronia temeraria TaxID=1777137 RepID=A0A158DMG8_9BURK</t>
  </si>
  <si>
    <t>DNAUV-16.119-15_7</t>
  </si>
  <si>
    <t>DNAUV-16.119-15_9</t>
  </si>
  <si>
    <t>DUF3310 domain-containing protein n=1 Tax=Pelagibacter phage HTVC024P TaxID=2796518 RepID=A0A7T3PH10_9CAUD</t>
  </si>
  <si>
    <t>DNAUV-16.256-16_2</t>
  </si>
  <si>
    <t>Uncharacterized protein z840R n=1 Tax=Acanthocystis turfacea chlorella virus 1 TaxID=322019 RepID=A7KAA0_9PHYC</t>
  </si>
  <si>
    <t>DNAUV-16.256-16_22</t>
  </si>
  <si>
    <t>RIIA lysis inhibitor n=1 Tax=Phaeobacter phage MD18 TaxID=2723761 RepID=A0A6H1Z5G9_9CAUD</t>
  </si>
  <si>
    <t>DNAUV-16.256-16_23</t>
  </si>
  <si>
    <t>RIIB lysis inhibitor n=1 Tax=Rhodobacter phage RcXuper TaxID=2973496 RepID=A0A976XLG8_9CAUD</t>
  </si>
  <si>
    <t>DNAUV-16.256-16_29</t>
  </si>
  <si>
    <t>DNAUV-16.256-16_34</t>
  </si>
  <si>
    <t>Endonuclease n=1 Tax=Puniceispirillum phage HMO-2011 TaxID=948071 RepID=S4S2K2_9CAUD</t>
  </si>
  <si>
    <t>DNAUV-16.256-16_35</t>
  </si>
  <si>
    <t>Methyltransferase n=1 Tax=Ruegeria sp. (strain TM1040) TaxID=292414 RepID=Q1GIJ1_RUEST</t>
  </si>
  <si>
    <t>DNAUV-16.256-16_38</t>
  </si>
  <si>
    <t>sp|Q0H8Z1|IEND3_USTMA Probable intron-encoded DNA endonuclease 3 OS=Ustilago maydis (strain 521 / FGSC 9021) OX=237631 GN=hegI3 PE=3 SV=1</t>
  </si>
  <si>
    <t>Homing endonuclease LAGLIDADG domain-containing protein n=1 Tax=Variovorax paradoxus TaxID=34073 RepID=A0A2W5QL63_VARPD</t>
  </si>
  <si>
    <t>DNAUV-16.459-106_11</t>
  </si>
  <si>
    <t>sp|P86938|JBP1_TRYB2 Thymine dioxygenase JBP1 OS=Trypanosoma brucei brucei (strain 927/4 GUTat10.1) OX=185431 GN=JBP1 PE=1 SV=1</t>
  </si>
  <si>
    <t>VOG25150 [FUNC="REFSEQ putative SNF2 DNA repair protein"] [TAG=Xu TAGDEF="Function unknown"]</t>
  </si>
  <si>
    <t>SNF2 DNA repair protein n=1 Tax=Stenotrophomonas phage vB_SmaS-DLP_6 TaxID=1651816 RepID=A0A142EZN2_9CAUD</t>
  </si>
  <si>
    <t>DNAUV-16.459-106_16</t>
  </si>
  <si>
    <t>DNAUV-16.459-106_17</t>
  </si>
  <si>
    <t>DNAUV-16.459-106_18</t>
  </si>
  <si>
    <t>DUF3310 domain-containing protein n=1 Tax=Pusillimonas sp. (ex Stolz et al. 2005) TaxID=1979962 RepID=A0A2D7XFK0_9BURK</t>
  </si>
  <si>
    <t>DNAUV-16.459-106_2</t>
  </si>
  <si>
    <t>VOG31892 [FUNC="REFSEQ ADP-ribosyltransferase exoenzyme toxin"] [TAG=Xu TAGDEF="Function unknown"]</t>
  </si>
  <si>
    <t>Clostridial binary toxin A n=2 Tax=Lentilactobacillus hilgardii TaxID=1588 RepID=C0XM23_LENH9</t>
  </si>
  <si>
    <t>DNAUV-16.459-106_20</t>
  </si>
  <si>
    <t>Sliding clamp n=2 Tax=Salacisavirus pssm2 TaxID=2734140 RepID=Q58MJ7_BPPRM</t>
  </si>
  <si>
    <t>DNAUV-16.459-106_21</t>
  </si>
  <si>
    <t>DNAUV-16.459-106_23</t>
  </si>
  <si>
    <t>DNAUV-16.459-106_24</t>
  </si>
  <si>
    <t>Translation repressor protein n=1 Tax=Synechococcus phage S-IOM18 TaxID=754039 RepID=R9TM31_9CAUD</t>
  </si>
  <si>
    <t>DNAUV-16.459-106_26</t>
  </si>
  <si>
    <t>DNA primase subunit n=2 Tax=Vellamovirus TaxID=2733139 RepID=E3SPQ5_9CAUD</t>
  </si>
  <si>
    <t>DNAUV-16.566-137_13</t>
  </si>
  <si>
    <t>DNAUV-16.566-137_15</t>
  </si>
  <si>
    <t>Ig-like domain-containing protein n=1 Tax=Jannaschia seohaensis TaxID=475081 RepID=A0A2Y9B8Y8_9RHOB</t>
  </si>
  <si>
    <t>DNAUV-16.566-137_21</t>
  </si>
  <si>
    <t>Uncharacterized protein n=4 Tax=unclassified Mesorhizobium TaxID=325217 RepID=A0A4S0VHK5_9HYPH</t>
  </si>
  <si>
    <t>DNAUV-16.566-137_23</t>
  </si>
  <si>
    <t>Uncharacterized protein n=1 Tax=Alteromonas phage PB15 TaxID=1913113 RepID=A0A1J0GWE2_9CAUD</t>
  </si>
  <si>
    <t>DNAUV-16.566-137_27</t>
  </si>
  <si>
    <t>VOG01626 [FUNC="REFSEQ hypothetical protein"] [TAG=Xu TAGDEF="Function unknown"]</t>
  </si>
  <si>
    <t>Uncharacterized protein n=1 Tax=Beijerinckia sp. 28-YEA-48 TaxID=1882748 RepID=A0A1H4SIA2_9HYPH</t>
  </si>
  <si>
    <t>DNAUV-16.566-137_28</t>
  </si>
  <si>
    <t>VOG02185 [FUNC="REFSEQ hypothetical protein"] [TAG=Xu TAGDEF="Function unknown"]</t>
  </si>
  <si>
    <t>Uncharacterized protein n=1 Tax=Stenotrophomonas phage vB_SmaS-DLP_6 TaxID=1651816 RepID=A0A142F061_9CAUD</t>
  </si>
  <si>
    <t>DNAUV-16.566-137_30</t>
  </si>
  <si>
    <t>DNAUV-16.566-137_33</t>
  </si>
  <si>
    <t>DNAUV-16.566-137_35</t>
  </si>
  <si>
    <t>HNH endonuclease n=1 Tax=Streptomyces phage Belfort TaxID=2801887 RepID=A0A7T7Z9I6_9CAUD</t>
  </si>
  <si>
    <t>DNAUV-16.585-31_47</t>
  </si>
  <si>
    <t>Uncharacterized protein n=1 Tax=Shewanella phage SppYZU01 TaxID=1965372 RepID=A0A1V0DYF8_9CAUD</t>
  </si>
  <si>
    <t>DNAUV-16.585-31_49</t>
  </si>
  <si>
    <t>DNAUV-16.585-31_56</t>
  </si>
  <si>
    <t>Tail tube protein n=1 Tax=Vibrio phage CKB-S1 TaxID=1903259 RepID=A0A1E1GEI5_9CAUD</t>
  </si>
  <si>
    <t>DNAUV-16.585-31_58</t>
  </si>
  <si>
    <t>Uncharacterized protein n=1 Tax=Shewanella phage SppYZU01 TaxID=1965372 RepID=A0A1V0DYG9_9CAUD</t>
  </si>
  <si>
    <t>DNAUV-16.585-31_65</t>
  </si>
  <si>
    <t>DNAUV-16.585-31_80</t>
  </si>
  <si>
    <t>VOG01138 [FUNC="REFSEQ tail fiber protein"] [TAG=Xu TAGDEF="Function unknown"]</t>
  </si>
  <si>
    <t>SGNH hydrolase-type esterase domain-containing protein n=1 Tax=Pseudoalteromonas phage H101 TaxID=1654919 RepID=A0A0H4J203_9CAUD</t>
  </si>
  <si>
    <t>DNAUV-16.585-31_84</t>
  </si>
  <si>
    <t>DNAUV-16.760-19_10</t>
  </si>
  <si>
    <t>DUF2612 domain-containing protein n=1 Tax=Bdellovibrio phage phi1422 TaxID=1127515 RepID=H9C0P0_9CAUD</t>
  </si>
  <si>
    <t>DNAUV-16.760-19_11</t>
  </si>
  <si>
    <t>VOG01126 [FUNC="REFSEQ tail fiber protein"] [TAG=Xu TAGDEF="Function unknown"]</t>
  </si>
  <si>
    <t>Glycine rich protein n=1 Tax=Streptomyces sp. 1222.2 TaxID=1938833 RepID=A0A286FAA1_9ACTN</t>
  </si>
  <si>
    <t>DNAUV-16.760-19_19</t>
  </si>
  <si>
    <t>Chondroitin 4-O-sulfotransferase n=1 Tax=Oceanobacillus arenosus TaxID=1229153 RepID=A0A3D8PME3_9BACI</t>
  </si>
  <si>
    <t>DNAUV-16.760-19_2</t>
  </si>
  <si>
    <t>Uncharacterized protein n=1 Tax=Bdellovibrio phage phi1422 TaxID=1127515 RepID=H9C0I4_9CAUD</t>
  </si>
  <si>
    <t>DNAUV-16.760-19_26</t>
  </si>
  <si>
    <t>VRR-NUC domain-containing protein n=1 Tax=Bdellovibrio phage phi1422 TaxID=1127515 RepID=H9C0J2_9CAUD</t>
  </si>
  <si>
    <t>DNAUV-16.760-19_3</t>
  </si>
  <si>
    <t>Single-stranded DNA-binding protein n=1 Tax=Bdellovibrio phage phi1422 TaxID=1127515 RepID=H9C0I3_9CAUD</t>
  </si>
  <si>
    <t>DNAUV-16.760-19_7</t>
  </si>
  <si>
    <t>Uncharacterized protein n=1 Tax=Bdellovibrio phage phi1422 TaxID=1127515 RepID=H9C0N8_9CAUD</t>
  </si>
  <si>
    <t>DNAUV-16.786-275_11</t>
  </si>
  <si>
    <t>VOG35374 [FUNC="REFSEQ hypothetical protein"] [TAG=Xu TAGDEF="Function unknown"]</t>
  </si>
  <si>
    <t>Phage protein n=1 Tax=Xanthomonas phage Mallos TaxID=2939131 RepID=A0A9E7E1S4_9CAUD</t>
  </si>
  <si>
    <t>DNAUV-16.786-275_13</t>
  </si>
  <si>
    <t>Uncharacterized protein n=1 Tax=Rhizobium phage RHph_I1_18 TaxID=2509726 RepID=A0A7S5R9Y2_9CAUD</t>
  </si>
  <si>
    <t>DNAUV-16.786-275_19</t>
  </si>
  <si>
    <t>VOG33190 [FUNC="REFSEQ hypothetical protein"] [TAG=Xu TAGDEF="Function unknown"]</t>
  </si>
  <si>
    <t>Uncharacterized protein n=1 Tax=Roseobacter phage RDJL Phi 1 TaxID=562742 RepID=F4YXM4_9CAUD</t>
  </si>
  <si>
    <t>DNAUV-16.786-275_20</t>
  </si>
  <si>
    <t>Uncharacterized protein n=1 Tax=Pseudorhodobacter sp. PARRP1 TaxID=2015560 RepID=A0A257GJU3_9RHOB</t>
  </si>
  <si>
    <t>DNAUV-16.786-275_27</t>
  </si>
  <si>
    <t>VOG18029 [FUNC="REFSEQ hypothetical protein"] [TAG=Xu TAGDEF="Function unknown"]</t>
  </si>
  <si>
    <t>Uncharacterized protein n=1 Tax=Roseobacter phage RDJL Phi 1 TaxID=562742 RepID=F4YXQ0_9CAUD</t>
  </si>
  <si>
    <t>DNAUV-16.786-275_34</t>
  </si>
  <si>
    <t>Uncharacterized protein n=1 Tax=Novosphingobium sp. EMRT-2 TaxID=2571749 RepID=A0A4D7DCT3_9SPHN</t>
  </si>
  <si>
    <t>DNAUV-16.786-275_64</t>
  </si>
  <si>
    <t>Terminase small subunit n=1 Tax=Xanthomonas phage vB_Xar_IVIA-DoCa5 TaxID=2975532 RepID=A0A9X9JMX6_9CAUD</t>
  </si>
  <si>
    <t>DNAUV-16.786-275_8</t>
  </si>
  <si>
    <t>Uncharacterized protein n=1 Tax=Magnetospirillum sp. ME-1 TaxID=1639348 RepID=A0A1W6CMD7_9PROT</t>
  </si>
  <si>
    <t>DNAUV-16.853-829_25</t>
  </si>
  <si>
    <t>Phage tail lysozyme domain-containing protein n=1 Tax=Mesorhizobium sp. L2C066B000 TaxID=1287105 RepID=X6I4S6_9HYPH</t>
  </si>
  <si>
    <t>DNAUV-16.853-829_27</t>
  </si>
  <si>
    <t>DNA-directed DNA polymerase n=1 Tax=Enterobacteria phage PR3 TaxID=318594 RepID=Q3T518_9VIRU</t>
  </si>
  <si>
    <t>DNAUV-16.853-829_30</t>
  </si>
  <si>
    <t>VOG36146 [FUNC="REFSEQ hypothetical protein"] [TAG=Xu TAGDEF="Function unknown"]</t>
  </si>
  <si>
    <t>Uncharacterized protein n=1 Tax=Bradyrhizobium lablabi TaxID=722472 RepID=A0A0R3MR98_9BRAD</t>
  </si>
  <si>
    <t>DNAUV-16.853-829_34</t>
  </si>
  <si>
    <t>Uncharacterized protein n=1 Tax=Hartmannibacter diazotrophicus TaxID=1482074 RepID=A0A2C9D5T5_9HYPH</t>
  </si>
  <si>
    <t>DNAUV-16.853-829_36</t>
  </si>
  <si>
    <t>DNAUV-16.853-829_37</t>
  </si>
  <si>
    <t>VOG04529 [FUNC="sp|P22535|CAPSD_BPPRD Major capsid protein P3"] [TAG=Xs TAGDEF="Virus structure"]</t>
  </si>
  <si>
    <t>Major capsid protein P3 n=2 Tax=Enterobacteria phage PRD1 TaxID=10658 RepID=CAPSD_BPPRD</t>
  </si>
  <si>
    <t>DNAUV-16.853-829_38</t>
  </si>
  <si>
    <t>VOG17127 [FUNC="sp|P27389|VP18_BPPRD Protein P18"] [TAG=Xp TAGDEF="Virus protein with function beneficial for the virus"]</t>
  </si>
  <si>
    <t>Uncharacterized protein n=1 Tax=Gluconobacter phage GC1 TaxID=2047788 RepID=A0A2I5AR74_9VIRU</t>
  </si>
  <si>
    <t>DNAUV-16.853-829_43</t>
  </si>
  <si>
    <t>Phage tail lysozyme domain-containing protein n=1 Tax=Mesorhizobium sp. 131-3-5 TaxID=2744520 RepID=A0A7R7BR41_9HYPH</t>
  </si>
  <si>
    <t>DNAUV-16.929-17_1</t>
  </si>
  <si>
    <t>Primosomal protein n=1 Tax=Marine Group I thaumarchaeote TaxID=2511932 RepID=A0A7K4MQU9_9ARCH</t>
  </si>
  <si>
    <t>DNAUV-16.929-17_10</t>
  </si>
  <si>
    <t>Phage protein n=2 Tax=Enterococcus malodoratus ATCC 43197 TaxID=1158601 RepID=R2RAJ9_9ENTE</t>
  </si>
  <si>
    <t>DNAUV-16.929-17_11</t>
  </si>
  <si>
    <t>Recombination endonuclease subunit n=1 Tax=Stenotrophomonas phage vB_SmaS-DLP_6 TaxID=1651816 RepID=A0A142EZP0_9CAUD</t>
  </si>
  <si>
    <t>DNAUV-16.929-17_12</t>
  </si>
  <si>
    <t>Recombination endonuclease n=1 Tax=Stenotrophomonas phage vB_SmaS-DLP_6 TaxID=1651816 RepID=A0A142EZM2_9CAUD</t>
  </si>
  <si>
    <t>DNAUV-16.929-17_15</t>
  </si>
  <si>
    <t>MotA/TolQ/ExbB proton channel family protein n=1 Tax=Marine Group I thaumarchaeote TaxID=2511932 RepID=A0A7K4MWS1_9ARCH</t>
  </si>
  <si>
    <t>DNAUV-16.929-17_16</t>
  </si>
  <si>
    <t>VOG26081 [FUNC="REFSEQ hypothetical protein"] [TAG=Xu TAGDEF="Function unknown"]</t>
  </si>
  <si>
    <t>Biopolymer transporter ExbD n=1 Tax=Thiothrix nivea (strain ATCC 35100 / DSM 5205 / JP2) TaxID=870187 RepID=A0A656HHN3_THINJ</t>
  </si>
  <si>
    <t>DNAUV-16.929-17_18</t>
  </si>
  <si>
    <t>DNAUV-16.929-17_2</t>
  </si>
  <si>
    <t>Prohead assembly (Scaffolding) protein n=1 Tax=Synechococcus phage S-B05 TaxID=2484637 RepID=A0A4Y5P0P5_9CAUD</t>
  </si>
  <si>
    <t>DNAUV-16.929-17_22</t>
  </si>
  <si>
    <t>GIY-YIG catalytic domain-containing endonuclease n=1 Tax=Sinorhizobium phage phiN3 TaxID=1647405 RepID=A0A0F6YP98_9CAUD</t>
  </si>
  <si>
    <t>DNAUV-16.929-17_3</t>
  </si>
  <si>
    <t>DNAUV-16.929-17_4</t>
  </si>
  <si>
    <t>Hef n=1 Tax=Campylobacter virus IBB35 TaxID=1006972 RepID=H6SU53_9CAUD</t>
  </si>
  <si>
    <t>DNAUV-16.929-17_5</t>
  </si>
  <si>
    <t>Phage tail protein n=1 Tax=Marine Group I thaumarchaeote TaxID=2511932 RepID=A0A7K4MS63_9ARCH</t>
  </si>
  <si>
    <t>DNAUV-16.929-17_6</t>
  </si>
  <si>
    <t>Uncharacterized protein n=1 Tax=Synechococcus sp. CPC35 TaxID=2024880 RepID=A0A2D4YUM0_9SYNE</t>
  </si>
  <si>
    <t>DNAUV-16.929-17_7</t>
  </si>
  <si>
    <t>DNAUV-16.929-17_9</t>
  </si>
  <si>
    <t>RNA polymerase sigma-like factor n=1 Tax=Synechococcus phage S-CAM7 TaxID=1883368 RepID=A0A1D8KUI2_9CAUD</t>
  </si>
  <si>
    <t>DNAUV-17.618-285_14</t>
  </si>
  <si>
    <t>Single-stranded DNA-binding protein n=1 Tax=Pseudomonas phage vB_PsaM_M1 TaxID=2995601 RepID=A0A9E8JXM6_9CAUD</t>
  </si>
  <si>
    <t>DNAUV-17.618-285_15</t>
  </si>
  <si>
    <t>Exodeoxyribonuclease n=1 Tax=Myoviridae sp. ctThM1 TaxID=2656730 RepID=A0A5Q2W8Y7_9CAUD</t>
  </si>
  <si>
    <t>DNAUV-17.618-285_17</t>
  </si>
  <si>
    <t>Homing endonuclease HNH n=1 Tax=Pseudomonas phage phiPMW TaxID=1815582 RepID=A0A1S5R1T3_9CAUD</t>
  </si>
  <si>
    <t>DNAUV-17.618-285_18</t>
  </si>
  <si>
    <t>DNAUV-17.618-285_19</t>
  </si>
  <si>
    <t>DNAUV-17.618-285_21</t>
  </si>
  <si>
    <t>Phosphoribosyl-ATP pyrophosphohydrolase n=11 Tax=Phapecoctavirus TaxID=2733124 RepID=K7QJG9_9CAUD</t>
  </si>
  <si>
    <t>DNAUV-17.838-18_10</t>
  </si>
  <si>
    <t>Uncharacterized protein n=1 Tax=Synechococcus phage BUCT-ZZ01 TaxID=2951202 RepID=A0A9E7NR26_9CAUD</t>
  </si>
  <si>
    <t>DNAUV-17.838-18_12</t>
  </si>
  <si>
    <t>HNH nuclease domain-containing protein n=1 Tax=Ralstonia phage RsoM2USA TaxID=2070027 RepID=A0A8D4KH71_9CAUD</t>
  </si>
  <si>
    <t>DNAUV-17.838-18_15</t>
  </si>
  <si>
    <t>Homing endonuclease n=1 Tax=Shigella phage SHFML-26 TaxID=1863009 RepID=A0A193H184_9CAUD</t>
  </si>
  <si>
    <t>DNAUV-17.838-18_19</t>
  </si>
  <si>
    <t>Uncharacterized protein n=1 Tax=Muricauda sp. TMED12 TaxID=1986608 RepID=A0A3R7SFU3_9FLAO</t>
  </si>
  <si>
    <t>DNAUV-17.838-18_20</t>
  </si>
  <si>
    <t>Loader of gp41 DNA helicase n=4 Tax=Emdodecavirus TaxID=1980937 RepID=S5MB15_9CAUD</t>
  </si>
  <si>
    <t>DNAUV-17.838-18_22</t>
  </si>
  <si>
    <t>DNAUV-17.838-18_23</t>
  </si>
  <si>
    <t>Uncharacterized protein n=1 Tax=Muricauda sp. TMED12 TaxID=1986608 RepID=A0A424LGJ8_9FLAO</t>
  </si>
  <si>
    <t>DNAUV-17.838-18_24</t>
  </si>
  <si>
    <t>Homing endonuclease n=1 Tax=Escherichia phage Bp7 TaxID=1052121 RepID=G3MUF5_9CAUD</t>
  </si>
  <si>
    <t>DNAUV-17.838-18_25</t>
  </si>
  <si>
    <t>RecA-like protein n=1 Tax=Sinorhizobium phage phiN3 TaxID=1647405 RepID=A0A0F6SIZ2_9CAUD</t>
  </si>
  <si>
    <t>DNAUV-17.838-18_26</t>
  </si>
  <si>
    <t>DnaB-like replicative helicase n=1 Tax=Stenotrophomonas phage vB_SmaS-DLP_6 TaxID=1651816 RepID=A0A142EZM9_9CAUD</t>
  </si>
  <si>
    <t>DNAUV-17.838-18_27</t>
  </si>
  <si>
    <t>DNAUV-17.838-18_28</t>
  </si>
  <si>
    <t>Uncharacterized protein n=1 Tax=Marine Group I thaumarchaeote TaxID=2511932 RepID=A0A7K4MWQ1_9ARCH</t>
  </si>
  <si>
    <t>DNAUV-17.838-18_29</t>
  </si>
  <si>
    <t>Dyp-type peroxidase n=1 Tax=Chryseotalea sp. WA131a TaxID=2824557 RepID=A0A977L7W6_9BACT</t>
  </si>
  <si>
    <t>DNAUV-17.838-18_4</t>
  </si>
  <si>
    <t>HNH nuclease domain-containing protein n=1 Tax=Vibrio phage vB_VmeM-32 TaxID=1775142 RepID=A0A0U4J6S7_9CAUD</t>
  </si>
  <si>
    <t>DNAUV-17.838-18_8</t>
  </si>
  <si>
    <t>VOG17504 [FUNC="REFSEQ hypothetical protein"] [TAG=Xu TAGDEF="Function unknown"]</t>
  </si>
  <si>
    <t>Holin of 3TMs, for gene-transfer release n=1 Tax=Lake Baikal phage Baikal-20-5m-C28 TaxID=2047876 RepID=A0A2H4N7F7_9CAUD</t>
  </si>
  <si>
    <t>DNAUV-18.095-1024_10</t>
  </si>
  <si>
    <t>Tail tubular protein A n=3 Tax=root TaxID=1 RepID=A0A076G574_9CAUD</t>
  </si>
  <si>
    <t>DNAUV-18.095-1024_12</t>
  </si>
  <si>
    <t>DNAUV-18.095-1024_14</t>
  </si>
  <si>
    <t>DNAUV-18.095-1024_2</t>
  </si>
  <si>
    <t>VOG02134 [FUNC="REFSEQ hypothetical protein"] [TAG=Xu TAGDEF="Function unknown"]</t>
  </si>
  <si>
    <t>HNH endonuclease n=1 Tax=Vibrio phage 1.293.O._10N.261.52.E1 TaxID=1881284 RepID=A0A2I7S7B1_9CAUD</t>
  </si>
  <si>
    <t>DNAUV-18.095-1024_4</t>
  </si>
  <si>
    <t>DNAUV-18.095-1024_6</t>
  </si>
  <si>
    <t>DNAUV-18.095-1024_7</t>
  </si>
  <si>
    <t>Scaffold protein n=1 Tax=Salinivibrio phage CW02 TaxID=1161935 RepID=H9D1H3_9CAUD</t>
  </si>
  <si>
    <t>DNAUV-18.095-1024_8</t>
  </si>
  <si>
    <t>DNAUV-18.095-1024_9</t>
  </si>
  <si>
    <t>Uncharacterized protein n=2 Tax=unclassified Zobellviridae TaxID=2853025 RepID=A0A2I7QW31_9CAUD</t>
  </si>
  <si>
    <t>DNAUV-18.244-111_1</t>
  </si>
  <si>
    <t>Terminase large subunit n=1 Tax=Sinorhizobium phage phiN3 TaxID=1647405 RepID=A0A0F6YPB3_9CAUD</t>
  </si>
  <si>
    <t>DNAUV-18.244-111_10</t>
  </si>
  <si>
    <t>Precursor of major head subunit n=3 Tax=Emdodecavirus TaxID=1980937 RepID=S5MV15_9CAUD</t>
  </si>
  <si>
    <t>DNAUV-18.244-111_11</t>
  </si>
  <si>
    <t>Tail tube protein n=1 Tax=Synechococcus phage S-SCSM1 TaxID=2588487 RepID=A0A6M2ZHI7_9CAUD</t>
  </si>
  <si>
    <t>DNAUV-18.244-111_12</t>
  </si>
  <si>
    <t>DNAUV-18.244-111_13</t>
  </si>
  <si>
    <t>DNAUV-18.244-111_14</t>
  </si>
  <si>
    <t>RNA polymerase sigma-like factor n=1 Tax=Stenotrophomonas phage vB_SmaS-DLP_6 TaxID=1651816 RepID=A0A142EZT1_9CAUD</t>
  </si>
  <si>
    <t>DNAUV-18.244-111_15</t>
  </si>
  <si>
    <t>DNAUV-18.244-111_16</t>
  </si>
  <si>
    <t>DNAUV-18.244-111_18</t>
  </si>
  <si>
    <t>Uncharacterized protein n=1 Tax=Lake Baikal phage Baikal-20-5m-C28 TaxID=2047876 RepID=A0A2H4N7V9_9CAUD</t>
  </si>
  <si>
    <t>DNAUV-18.244-111_4</t>
  </si>
  <si>
    <t>Tail tube protein n=1 Tax=Stenotrophomonas phage vB_SmaS-DLP_6 TaxID=1651816 RepID=A0A142EZV4_9CAUD</t>
  </si>
  <si>
    <t>DNAUV-18.244-111_5</t>
  </si>
  <si>
    <t>Portal protein n=1 Tax=Stenotrophomonas phage vB_SmaS-DLP_6 TaxID=1651816 RepID=A0A142EZM5_9CAUD</t>
  </si>
  <si>
    <t>DNAUV-18.244-111_7</t>
  </si>
  <si>
    <t>Prohead assembly (Scaffolding) protein n=1 Tax=Synechococcus phage S-WAM1 TaxID=1815521 RepID=A0A1D8KSF2_9CAUD</t>
  </si>
  <si>
    <t>DNAUV-18.244-111_8</t>
  </si>
  <si>
    <t>Prohead assembly (Scaffolding) protein n=1 Tax=Synechococcus phage S-T4 TaxID=2268578 RepID=A0A385EH20_9CAUD</t>
  </si>
  <si>
    <t>DNAUV-18.755-351_18</t>
  </si>
  <si>
    <t>DNAUV-19.264-18_1</t>
  </si>
  <si>
    <t>DNAUV-19.264-18_11</t>
  </si>
  <si>
    <t>Phage protein n=1 Tax=Celeribacter phage P12053L TaxID=1197951 RepID=I6R0Y2_9CAUD</t>
  </si>
  <si>
    <t>DNAUV-19.264-18_13</t>
  </si>
  <si>
    <t>Putative homing endonuclease n=1 Tax=Salmonella phage pSe_SNUABM_01 TaxID=2656520 RepID=A0A6B9KFK6_9CAUD</t>
  </si>
  <si>
    <t>DNAUV-19.264-18_14</t>
  </si>
  <si>
    <t>DNAUV-19.264-18_15</t>
  </si>
  <si>
    <t>Nuclease associated modular domain 3 protein n=1 Tax=Vibrio phage 1.081.O._10N.286.52.C2 TaxID=2070722 RepID=A0A2I7QXE8_9CAUD</t>
  </si>
  <si>
    <t>DNAUV-19.264-18_18</t>
  </si>
  <si>
    <t>Uncharacterized protein n=1 Tax=Celeribacter phage P12053L TaxID=1197951 RepID=I6S6G5_9CAUD</t>
  </si>
  <si>
    <t>DNAUV-19.264-18_19</t>
  </si>
  <si>
    <t>DNAUV-19.264-18_20</t>
  </si>
  <si>
    <t>DNAUV-19.264-18_21</t>
  </si>
  <si>
    <t>Uncharacterized protein n=2 Tax=Kaohsiungvirus TaxID=2731674 RepID=A0A067YIY8_9CAUD</t>
  </si>
  <si>
    <t>DNAUV-19.264-18_26</t>
  </si>
  <si>
    <t>Uncharacterized protein n=4 Tax=Emdodecavirus TaxID=1980937 RepID=S5MD71_9CAUD</t>
  </si>
  <si>
    <t>DNAUV-19.264-18_27</t>
  </si>
  <si>
    <t>DNAUV-19.264-18_9</t>
  </si>
  <si>
    <t>3'-5' exoribonuclease Rv2179c-like domain-containing protein n=1 Tax=Acidovorax sp. SCN 65-108 TaxID=1660085 RepID=A0A1E3Z0G3_9BURK</t>
  </si>
  <si>
    <t>DNAUV-19.443-61_10</t>
  </si>
  <si>
    <t>Neck protein n=1 Tax=Synechococcus sp. CPC35 TaxID=2024880 RepID=A0A2D4YUJ9_9SYNE</t>
  </si>
  <si>
    <t>DNAUV-19.443-61_11</t>
  </si>
  <si>
    <t>Tail sheath stabilizer and completion protein n=1 Tax=Pusillimonas sp. (ex Stolz et al. 2005) TaxID=1979962 RepID=A0A2D7XDI2_9BURK</t>
  </si>
  <si>
    <t>DNAUV-19.443-61_12</t>
  </si>
  <si>
    <t>Terminase n=2 Tax=Bacteria TaxID=2 RepID=A0A2D7XDG2_9BURK</t>
  </si>
  <si>
    <t>DNAUV-19.443-61_13</t>
  </si>
  <si>
    <t>DNAUV-19.443-61_15</t>
  </si>
  <si>
    <t>Phage tail protein n=1 Tax=Muricauda sp. TMED12 TaxID=1986608 RepID=A0A3R7T3W4_9FLAO</t>
  </si>
  <si>
    <t>DNAUV-19.443-61_16</t>
  </si>
  <si>
    <t>Portal protein n=1 Tax=Lake Baikal phage Baikal-20-5m-C28 TaxID=2047876 RepID=A0A2H4N7M5_9CAUD</t>
  </si>
  <si>
    <t>DNAUV-19.443-61_17</t>
  </si>
  <si>
    <t>Primosomal protein n=1 Tax=Muricauda sp. TMED12 TaxID=1986608 RepID=A0A424LGR2_9FLAO</t>
  </si>
  <si>
    <t>DNAUV-19.443-61_18</t>
  </si>
  <si>
    <t>DNAUV-19.443-61_19</t>
  </si>
  <si>
    <t>ATP-binding protein n=1 Tax=Muricauda sp. TMED12 TaxID=1986608 RepID=A0A3R7RW80_9FLAO</t>
  </si>
  <si>
    <t>DNAUV-19.443-61_20</t>
  </si>
  <si>
    <t>sp|P13331|TTTP_BPT4 Tail tube terminator protein OS=Enterobacteria phage T4 OX=10665 GN=3 PE=1 SV=3</t>
  </si>
  <si>
    <t>Phage tail protein n=1 Tax=Muricauda sp. TMED12 TaxID=1986608 RepID=A0A424LGT3_9FLAO</t>
  </si>
  <si>
    <t>DNAUV-19.443-61_21</t>
  </si>
  <si>
    <t>Uncharacterized protein n=1 Tax=Lake Baikal phage Baikal-20-5m-C28 TaxID=2047876 RepID=A0A2H4N7M9_9CAUD</t>
  </si>
  <si>
    <t>DNAUV-19.443-61_22</t>
  </si>
  <si>
    <t>Phosphoribosyltransferase n=1 Tax=Marine Group I thaumarchaeote TaxID=2511932 RepID=A0A7K4MPA8_9ARCH</t>
  </si>
  <si>
    <t>DNAUV-19.443-61_23</t>
  </si>
  <si>
    <t>DNAUV-19.443-61_25</t>
  </si>
  <si>
    <t>Sigma factor for late transcription n=1 Tax=Muricauda sp. TMED12 TaxID=1986608 RepID=A0A424LGL9_9FLAO</t>
  </si>
  <si>
    <t>DNAUV-19.443-61_26</t>
  </si>
  <si>
    <t>Calcineurin-like phosphoesterase domain-containing protein n=1 Tax=Synechococcus sp. TMED187 TaxID=1986595 RepID=A0A1Z9KRL4_9SYNE</t>
  </si>
  <si>
    <t>DNAUV-19.985-108_10</t>
  </si>
  <si>
    <t>Peptidase S74 domain-containing protein n=1 Tax=Stenotrophomonas phage vB_SmaS-DLP_6 TaxID=1651816 RepID=A0A142EZP4_9CAUD</t>
  </si>
  <si>
    <t>DNAUV-19.985-108_11</t>
  </si>
  <si>
    <t>DNAUV-19.985-108_19</t>
  </si>
  <si>
    <t>DNAUV-19.985-108_5</t>
  </si>
  <si>
    <t>DNAUV-19.985-108_6</t>
  </si>
  <si>
    <t>Phage tail protein n=1 Tax=Mesorhizobium sp. M6A.T.Ca.TU.002.02.2.1 TaxID=2496789 RepID=A0A3S1DBQ8_9HYPH</t>
  </si>
  <si>
    <t>DNAUV-19.985-108_7</t>
  </si>
  <si>
    <t>Baseplate wedge subunit protein n=1 Tax=Stenotrophomonas phage vB_SmaS-DLP_6 TaxID=1651816 RepID=A0A142EZM1_9CAUD</t>
  </si>
  <si>
    <t>DNAUV-19.985-108_9</t>
  </si>
  <si>
    <t>DNAUV-2.000-1197_1</t>
  </si>
  <si>
    <t>DNAUV-2.000-1197_2</t>
  </si>
  <si>
    <t>DNAUV-2.004-12_3</t>
  </si>
  <si>
    <t>VOG05346 [FUNC="REFSEQ hypothetical protein"] [TAG=Xu TAGDEF="Function unknown"]</t>
  </si>
  <si>
    <t>Uncharacterized protein n=2 Tax=root TaxID=1 RepID=A0A088FAU7_9CAUD</t>
  </si>
  <si>
    <t>DNAUV-2.004-12_4</t>
  </si>
  <si>
    <t>VOG00796 [FUNC="sp|P68661|YBCO_ECOLI Putative nuclease YbcO"] [TAG=Xu TAGDEF="Function unknown"]</t>
  </si>
  <si>
    <t>Uncharacterized protein n=1 Tax=Sulfitobacter sp. HI0023 TaxID=1822225 RepID=A0A166UAK6_9RHOB</t>
  </si>
  <si>
    <t>DNAUV-2.005-15_2</t>
  </si>
  <si>
    <t>VOG05779 [FUNC="REFSEQ hypothetical protein"] [TAG=Xu TAGDEF="Function unknown"]</t>
  </si>
  <si>
    <t>Uncharacterized protein n=1 Tax=Edwardsiella phage KF-1 TaxID=1244856 RepID=K4PWR0_9CAUD</t>
  </si>
  <si>
    <t>DNAUV-2.009-128_2</t>
  </si>
  <si>
    <t>DNAUV-2.009-128_3</t>
  </si>
  <si>
    <t>sp|Q38419|TEV3_BPR03 Intron-associated endonuclease 3 OS=Enterobacteria phage RB3 OX=31533 GN=ITEVIIIR PE=4 SV=1</t>
  </si>
  <si>
    <t>HNH nuclease domain-containing protein n=2 Tax=Salmonella phage S16 TaxID=1087482 RepID=M1EAS1_BPS16</t>
  </si>
  <si>
    <t>DNAUV-2.009-128_4</t>
  </si>
  <si>
    <t>DNAUV-2.010-102_2</t>
  </si>
  <si>
    <t>Gp12 n=2 Tax=Tangaroavirus tv951510a TaxID=2733962 RepID=M1PKU1_9CAUD</t>
  </si>
  <si>
    <t>DNAUV-2.010-677_2</t>
  </si>
  <si>
    <t>Lipoprotein n=1 Tax=Polaribacter phage P12002S TaxID=1647387 RepID=A0A0F7IKL3_9CAUD</t>
  </si>
  <si>
    <t>DNAUV-2.013-7.8_1</t>
  </si>
  <si>
    <t>Baseplate wedge subunit n=1 Tax=Marine Group I thaumarchaeote TaxID=2511932 RepID=A0A7K4MQ37_9ARCH</t>
  </si>
  <si>
    <t>DNAUV-2.013-7.8_2</t>
  </si>
  <si>
    <t>DNAUV-2.014-20_3</t>
  </si>
  <si>
    <t>DNAUV-2.014-20_4</t>
  </si>
  <si>
    <t>Holin n=1 Tax=Alteromonas phage vB_AcoS-R7M TaxID=2729541 RepID=A0A6M3YN64_9CAUD</t>
  </si>
  <si>
    <t>DNAUV-2.014-20_5</t>
  </si>
  <si>
    <t>VOG04335 [FUNC="REFSEQ hypothetical protein"] [TAG=Xu TAGDEF="Function unknown"]</t>
  </si>
  <si>
    <t>Uncharacterized protein n=1 Tax=Paracoccus phage vB_PmaS-R3 TaxID=2494563 RepID=A0A0B5A0D7_9CAUD</t>
  </si>
  <si>
    <t>DNAUV-2.016-17_2</t>
  </si>
  <si>
    <t>VOG06733 [FUNC="REFSEQ hypothetical protein"] [TAG=Xu TAGDEF="Function unknown"]</t>
  </si>
  <si>
    <t>DNAUV-2.017-18_3</t>
  </si>
  <si>
    <t>Uncharacterized protein n=1 Tax=Mesonia sp. HuA40 TaxID=2602761 RepID=A0A5C8LCK6_9FLAO</t>
  </si>
  <si>
    <t>DNAUV-2.020-18_3</t>
  </si>
  <si>
    <t>VOG19640 [FUNC="REFSEQ hypothetical protein"] [TAG=Xu TAGDEF="Function unknown"]</t>
  </si>
  <si>
    <t>DUF1295 domain-containing protein n=1 Tax=Kaustia mangrovi TaxID=2593653 RepID=A0A7S8C7M7_9HYPH</t>
  </si>
  <si>
    <t>DNAUV-2.022-13_1</t>
  </si>
  <si>
    <t>Uncharacterized protein n=1 Tax=Sulfurimonas sediminis TaxID=2590020 RepID=A0A7M1AYD6_9BACT</t>
  </si>
  <si>
    <t>DNAUV-2.027-21_2</t>
  </si>
  <si>
    <t>DUF551 domain-containing protein n=2 Tax=Limnoglobus roseus TaxID=2598579 RepID=A0A5C1ALB0_9BACT</t>
  </si>
  <si>
    <t>DNAUV-2.032-101_3</t>
  </si>
  <si>
    <t>Nuclease associated modular domain-containing protein n=1 Tax=Fibrella sp. ES10-3-2-2 TaxID=1834519 RepID=A0A1W6E0T9_9BACT</t>
  </si>
  <si>
    <t>DNAUV-2.035-232_4</t>
  </si>
  <si>
    <t>DNAUV-2.035-232_5</t>
  </si>
  <si>
    <t>Uncharacterized protein n=1 Tax=Podoviridae sp. ctDWo9 TaxID=2656708 RepID=A0A5Q2W9G3_9CAUD</t>
  </si>
  <si>
    <t>DNAUV-2.036-97_4</t>
  </si>
  <si>
    <t>DNAUV-2.038-66_3</t>
  </si>
  <si>
    <t>VOG02258 [FUNC="sp|Q6QGE8|DIT_BPT5 Distal tail protein pb9"] [TAG=Xh TAGDEF="Virus protein with function beneficial for the host"]</t>
  </si>
  <si>
    <t>Uncharacterized protein n=1 Tax=Vineibacter terrae TaxID=2586908 RepID=A0A5C8P8X4_9HYPH</t>
  </si>
  <si>
    <t>DNAUV-2.038-66_4</t>
  </si>
  <si>
    <t>Putative tail structural protein n=1 Tax=Roseobacter phage CRP-7 TaxID=2559286 RepID=A0A646QWU1_9CAUD</t>
  </si>
  <si>
    <t>DNAUV-2.043-299_1</t>
  </si>
  <si>
    <t>Uncharacterized protein n=1 Tax=Muricauda hymeniacidonis TaxID=2517819 RepID=A0A4Q8QER5_9FLAO</t>
  </si>
  <si>
    <t>DNAUV-2.045-111_1</t>
  </si>
  <si>
    <t>Uncharacterized protein n=1 Tax=Vibrio phage vB_VmeM-32 TaxID=1775142 RepID=A0A0U4JUU7_9CAUD</t>
  </si>
  <si>
    <t>DNAUV-2.045-111_2</t>
  </si>
  <si>
    <t>Replicative DNA helicase n=1 Tax=Spiribacter salilacus TaxID=2664894 RepID=A0A6N7QQ95_9GAMM</t>
  </si>
  <si>
    <t>DNAUV-2.047-23_2</t>
  </si>
  <si>
    <t>Uncharacterized protein n=1 Tax=Mesorhizobium sp. NZP2234 TaxID=2483402 RepID=A0A6M7VKB0_9HYPH</t>
  </si>
  <si>
    <t>DNAUV-2.047-23_4</t>
  </si>
  <si>
    <t>Uncharacterized protein n=1 Tax=Coxiella sp. DG_40 TaxID=1703354 RepID=A0A0S7XSP1_9COXI</t>
  </si>
  <si>
    <t>DNAUV-2.047-79_2</t>
  </si>
  <si>
    <t>DNAUV-2.049-11_1</t>
  </si>
  <si>
    <t>Tail tubular protein B n=1 Tax=Celeribacter phage P12053L TaxID=1197951 RepID=I6S6J6_9CAUD</t>
  </si>
  <si>
    <t>DNAUV-2.049-11_2</t>
  </si>
  <si>
    <t>Putative structural protein n=1 Tax=Roseobacter phage CRP-4 TaxID=2559283 RepID=A0A646QW73_9CAUD</t>
  </si>
  <si>
    <t>DNAUV-2.049-11_3</t>
  </si>
  <si>
    <t>DNAUV-2.049-14_5</t>
  </si>
  <si>
    <t>VOG02796 [FUNC="REFSEQ nucleotide kinase"] [TAG=Xu TAGDEF="Function unknown"]</t>
  </si>
  <si>
    <t>Nucleotide modification associated domain-containing protein n=1 Tax=Roseobacter phage CRP-6 TaxID=2559285 RepID=A0A646QWZ2_9CAUD</t>
  </si>
  <si>
    <t>DNAUV-2.050-18_1</t>
  </si>
  <si>
    <t>DNAUV-2.050-18_2</t>
  </si>
  <si>
    <t>DNAUV-2.052-13_1</t>
  </si>
  <si>
    <t>Coil containing protein n=1 Tax=Vibrio phage 1.079.O._10N.286.45.E9 TaxID=1881314 RepID=A0A2I7QW78_9CAUD</t>
  </si>
  <si>
    <t>DNAUV-2.052-13_2</t>
  </si>
  <si>
    <t>sp|Q9T1S1|EXLYS_BPAPS Peptidoglycan hydrolase gp27 OS=Acyrthosiphon pisum secondary endosymbiont phage 1 OX=2682836 GN=27 PE=3 SV=1</t>
  </si>
  <si>
    <t>DNA stabilization protein n=1 Tax=Aeromonas phage 4_4512 TaxID=2588516 RepID=A0A5B9N632_9CAUD</t>
  </si>
  <si>
    <t>DNAUV-2.052-13_4</t>
  </si>
  <si>
    <t>Conserved hypothetical phage protein n=1 Tax=Pseudoalteromonas phage H105/1 TaxID=877240 RepID=E1AC11_9CAUD</t>
  </si>
  <si>
    <t>DNAUV-2.053-375_4</t>
  </si>
  <si>
    <t>Endonuclease n=1 Tax=Roseobacter phage CRP-4 TaxID=2559283 RepID=A0A646QW39_9CAUD</t>
  </si>
  <si>
    <t>DNAUV-2.054-10_1</t>
  </si>
  <si>
    <t>Major capsid protein n=1 Tax=Apis mellifera associated microvirus 52 TaxID=2494783 RepID=A0A3S8UU80_9VIRU</t>
  </si>
  <si>
    <t>DNAUV-2.054-22_1</t>
  </si>
  <si>
    <t>DNA maturase B n=1 Tax=Nitrospira sp. SG-bin2 TaxID=1827377 RepID=A0A1W9GID2_9BACT</t>
  </si>
  <si>
    <t>DNAUV-2.054-22_4</t>
  </si>
  <si>
    <t>Uncharacterized protein n=1 Tax=Ruegeria phage vB_RpoS-V16 TaxID=2218618 RepID=A0A2Z4QHY6_9CAUD</t>
  </si>
  <si>
    <t>DNAUV-2.054-6.8_2</t>
  </si>
  <si>
    <t>DUF2829 domain-containing protein n=1 Tax=Pseudomonas phage Skulduggery TaxID=2006671 RepID=A0A1Y0T2L3_9CAUD</t>
  </si>
  <si>
    <t>DNAUV-2.055-8.6_1</t>
  </si>
  <si>
    <t>VOG06586 [FUNC="REFSEQ hypothetical protein"] [TAG=Xu TAGDEF="Function unknown"]</t>
  </si>
  <si>
    <t>DNA polymerase n=1 Tax=Aeromonas phage L9-6 TaxID=1932905 RepID=A0A240F2W5_9CAUD</t>
  </si>
  <si>
    <t>DNAUV-2.055-8.6_2</t>
  </si>
  <si>
    <t>EMP1 protein (Fragment) n=1 Tax=Plasmodium falciparum TaxID=5833 RepID=A0A5P1A2A4_PLAFA</t>
  </si>
  <si>
    <t>DNAUV-2.055-8.6_3</t>
  </si>
  <si>
    <t>Amino acid:DNA transferase domain-containing protein n=1 Tax=Lake Baikal phage Baikal-20-5m-C28 TaxID=2047876 RepID=A0A2H4N7Q1_9CAUD</t>
  </si>
  <si>
    <t>DNAUV-2.058-28_1</t>
  </si>
  <si>
    <t>VOG22317 [FUNC="REFSEQ DNA ligase"] [TAG=Xu TAGDEF="Function unknown"]</t>
  </si>
  <si>
    <t>Uncharacterized protein n=1 Tax=Synechococcus virus S-ESS1 TaxID=1964565 RepID=A0A1V0DX67_9CAUD</t>
  </si>
  <si>
    <t>DNAUV-2.058-28_2</t>
  </si>
  <si>
    <t>DNAUV-2.059-7.9_2</t>
  </si>
  <si>
    <t>DNAUV-2.059-7.9_3</t>
  </si>
  <si>
    <t>N4 gp53-like protein n=1 Tax=Sulfitobacter phage EE36phi1 TaxID=490913 RepID=C4NTE3_9CAUD</t>
  </si>
  <si>
    <t>DNAUV-2.059-7.9_4</t>
  </si>
  <si>
    <t>DNAUV-2.060-11_5</t>
  </si>
  <si>
    <t>Uncharacterized protein n=1 Tax=Ruegeria phage vB_RpoS-V10 TaxID=2218616 RepID=A0A2Z4QGQ3_9CAUD</t>
  </si>
  <si>
    <t>DNAUV-2.060-11_7</t>
  </si>
  <si>
    <t>VOG25754 [FUNC="REFSEQ hypothetical protein"] [TAG=Xu TAGDEF="Function unknown"]</t>
  </si>
  <si>
    <t>Uncharacterized protein n=1 Tax=Citreimonas salinaria TaxID=321339 RepID=A0A1H3LMV5_9RHOB</t>
  </si>
  <si>
    <t>DNAUV-2.062-14_6</t>
  </si>
  <si>
    <t>Uncharacterized protein n=1 Tax=Roseibium sp. RKSG952 TaxID=2529384 RepID=A0A6N7ZTH0_9HYPH</t>
  </si>
  <si>
    <t>DNAUV-2.062-228_5</t>
  </si>
  <si>
    <t>sp|P26747|CAPSD_BPP22 Major capsid protein OS=Salmonella phage P22 OX=10754 GN=5 PE=1 SV=2</t>
  </si>
  <si>
    <t>Coat protein n=1 Tax=Vibrio phage 1.275.O._10N.286.54.E11 TaxID=1881276 RepID=A0A2I7S3I5_9CAUD</t>
  </si>
  <si>
    <t>DNAUV-2.068-11_6</t>
  </si>
  <si>
    <t>Putative tail tubular B n=1 Tax=Pelagibacter phage HTVC203P TaxID=2796523 RepID=A0A7T3PHT2_9CAUD</t>
  </si>
  <si>
    <t>DNAUV-2.068-11_7</t>
  </si>
  <si>
    <t>Tail tube B n=1 Tax=Pelagibacter phage Skadi-1 EXVC101P TaxID=2971099 RepID=A0A9E7R068_9CAUD</t>
  </si>
  <si>
    <t>DNAUV-2.068-243_1</t>
  </si>
  <si>
    <t>DNAUV-2.068-243_2</t>
  </si>
  <si>
    <t>Structural protein n=2 Tax=Cellulophaga phage phi12:1 TaxID=1327976 RepID=R9ZXP1_9CAUD</t>
  </si>
  <si>
    <t>DNAUV-2.068-6.0_1</t>
  </si>
  <si>
    <t>HNH nuclease domain-containing protein n=1 Tax=Vibrio phage helene 12B3 TaxID=573173 RepID=M4M8Y9_9CAUD</t>
  </si>
  <si>
    <t>DNAUV-2.069-72_1</t>
  </si>
  <si>
    <t>DNAUV-2.069-72_2</t>
  </si>
  <si>
    <t>DNAUV-2.072-105_1</t>
  </si>
  <si>
    <t>DNAUV-2.073-24_1</t>
  </si>
  <si>
    <t>VOG36700 [FUNC="REFSEQ amidase"] [TAG=Xu TAGDEF="Function unknown"]</t>
  </si>
  <si>
    <t>KilA n=2 Tax=unclassified Caudoviricetes TaxID=2788787 RepID=A0A2I7R6Y5_9CAUD</t>
  </si>
  <si>
    <t>DNAUV-2.074-10_8</t>
  </si>
  <si>
    <t>Dephospho-CoA kinase n=1 Tax=Clostridium isatidis TaxID=182773 RepID=A0A343JA86_9CLOT</t>
  </si>
  <si>
    <t>DNAUV-2.078-9.4_2</t>
  </si>
  <si>
    <t>sp|P39261|Y05F_BPT4 Uncharacterized 36.7 kDa protein in nrdC-mobD intergenic region OS=Enterobacteria phage T4 OX=10665 GN=y05F PE=4 SV=2</t>
  </si>
  <si>
    <t>VOG01156 [FUNC="sp|P39261|Y05F_BPT4 Uncharacterized 36.7 kDa protein in nrdC-mobD intergenic region"] [TAG=Xu TAGDEF="Function unknown"]</t>
  </si>
  <si>
    <t>AAA+ ATPase domain-containing protein n=1 Tax=Xanthomonas phage BUDD TaxID=2961708 RepID=A0A9E7MZG1_9CAUD</t>
  </si>
  <si>
    <t>DNAUV-2.078-9.4_3</t>
  </si>
  <si>
    <t>Uncharacterized protein n=1 Tax=Myoviridae sp. ctn8H20 TaxID=2825169 RepID=A0A8S5QES5_9CAUD</t>
  </si>
  <si>
    <t>DNAUV-2.079-102_3</t>
  </si>
  <si>
    <t>Homing endonuclease n=3 Tax=Viruses TaxID=10239 RepID=A0A9E7U3E8_9CAUD</t>
  </si>
  <si>
    <t>DNAUV-2.081-146_2</t>
  </si>
  <si>
    <t>DNAUV-2.081-146_3</t>
  </si>
  <si>
    <t>VOG00192 [FUNC="sp|O64220|VG26_BPMD2 Minor tail protein Gp26"] [TAG=Xu TAGDEF="Function unknown"]</t>
  </si>
  <si>
    <t>Structural protein n=2 Tax=Cellulophaga phage phiST TaxID=756282 RepID=M4SNC0_9CAUD</t>
  </si>
  <si>
    <t>DNAUV-2.089-27_3</t>
  </si>
  <si>
    <t>Uncharacterized protein n=1 Tax=Puniceispirillum phage HMO-2011 TaxID=948071 RepID=S4S2J9_9CAUD</t>
  </si>
  <si>
    <t>DNAUV-2.089-27_5</t>
  </si>
  <si>
    <t>DNAUV-2.091-68_1</t>
  </si>
  <si>
    <t>N-acetyltransferase domain-containing protein n=1 Tax=Syntrophorhabdus sp. PtaB.Bin184 TaxID=1811701 RepID=A0A1V4WYG7_9BACT</t>
  </si>
  <si>
    <t>DNAUV-2.091-68_2</t>
  </si>
  <si>
    <t>Peptidase S74 domain-containing protein n=1 Tax=Vibrio phage 1.275.O._10N.286.54.E11 TaxID=1881276 RepID=A0A2I7S3I0_9CAUD</t>
  </si>
  <si>
    <t>DNAUV-2.092-13_3</t>
  </si>
  <si>
    <t>Tail fiber protein n=1 Tax=Acinetobacter phage ABPH49 TaxID=2282400 RepID=A0A346FID9_9CAUD</t>
  </si>
  <si>
    <t>DNAUV-2.098-12_4</t>
  </si>
  <si>
    <t>Uncharacterized protein gp76 n=1 Tax=EBPR siphovirus 2 TaxID=1048521 RepID=F8TV96_9CAUD</t>
  </si>
  <si>
    <t>DNAUV-2.099-16_4</t>
  </si>
  <si>
    <t>DNAUV-2.099-16_6</t>
  </si>
  <si>
    <t>Peptidase S74 domain-containing protein n=1 Tax=Sinorhizobium fredii (strain NBRC 101917 / NGR234) TaxID=394 RepID=C3MAT4_SINFN</t>
  </si>
  <si>
    <t>DNAUV-2.100-7.4_3</t>
  </si>
  <si>
    <t>Major capsid protein n=1 Tax=Anabaena phage A-4L TaxID=1357732 RepID=A0A059PY92_9CAUD</t>
  </si>
  <si>
    <t>DNAUV-2.110-106_1</t>
  </si>
  <si>
    <t>Putative tail protein n=5 Tax=unclassified Caudoviricetes TaxID=2788787 RepID=M1PXN9_9CAUD</t>
  </si>
  <si>
    <t>DNAUV-2.110-106_2</t>
  </si>
  <si>
    <t>VOG28464 [FUNC="REFSEQ hypothetical protein"] [TAG=Xu TAGDEF="Function unknown"]</t>
  </si>
  <si>
    <t>Uncharacterized protein n=1 Tax=Muricauda nanhaiensis TaxID=2292706 RepID=A0A371JL87_9FLAO</t>
  </si>
  <si>
    <t>DNAUV-2.116-198_1</t>
  </si>
  <si>
    <t>DNAUV-2.116-198_2</t>
  </si>
  <si>
    <t>AAA domain-containing protein n=1 Tax=Lake Baikal phage Baikal-20-5m-C28 TaxID=2047876 RepID=A0A2H4N7M7_9CAUD</t>
  </si>
  <si>
    <t>DNAUV-2.119-6.2_3</t>
  </si>
  <si>
    <t>RNA polymerase 1 n=1 Tax=Alteromonas phage vB_AemP_PT15-A5 TaxID=2981567 RepID=A0A9X9JS05_9CAUD</t>
  </si>
  <si>
    <t>DNAUV-2.126-68_4</t>
  </si>
  <si>
    <t>VOG02585 [FUNC="REFSEQ hypothetical protein"] [TAG=Xu TAGDEF="Function unknown"]</t>
  </si>
  <si>
    <t>HNH endonuclease n=6 Tax=Flaumdravirus TaxID=2560133 RepID=A0A142IE41_9CAUD</t>
  </si>
  <si>
    <t>DNAUV-2.127-11_2</t>
  </si>
  <si>
    <t>DNAUV-2.128-18_2</t>
  </si>
  <si>
    <t>Peptidase S74 domain-containing protein n=1 Tax=Synechococcus phage S-EIVl TaxID=1468179 RepID=A0A0C4K5Y2_9VIRU</t>
  </si>
  <si>
    <t>DNAUV-2.128-18_3</t>
  </si>
  <si>
    <t>Tail fiber protein n=1 Tax=Roseobacter phage CRP-7 TaxID=2559286 RepID=A0A646QWS9_9CAUD</t>
  </si>
  <si>
    <t>DNAUV-2.129-12_2</t>
  </si>
  <si>
    <t>Nucleotide pyrophosphohydrolase n=2 Tax=unclassified Caudoviricetes TaxID=2788787 RepID=A0A2Z4QGG6_9CAUD</t>
  </si>
  <si>
    <t>DNAUV-2.130-11_3</t>
  </si>
  <si>
    <t>Uncharacterized protein n=1 Tax=Brevundimonas phage vB_BgoS-BabaJaga TaxID=2948593 RepID=A0A9E7MSI2_9CAUD</t>
  </si>
  <si>
    <t>DNAUV-2.130-11_6</t>
  </si>
  <si>
    <t>VOG00321 [FUNC="sp|Q05292|VG77_BPML5 Gene 77 protein"] [TAG=Xu TAGDEF="Function unknown"]</t>
  </si>
  <si>
    <t>DUF2786 domain-containing protein n=1 Tax=Ralstonia phage RP13 TaxID=2743402 RepID=A0A6J4EHP1_9CAUD</t>
  </si>
  <si>
    <t>DNAUV-2.130-16_2</t>
  </si>
  <si>
    <t>TMhelix containing protein n=1 Tax=Vibrio phage 1.187.O._10N.286.49.F1 TaxID=1881434 RepID=A0A2I7RIA1_9CAUD</t>
  </si>
  <si>
    <t>DNAUV-2.130-7.5_3</t>
  </si>
  <si>
    <t>DNAUV-2.131-8.9_3</t>
  </si>
  <si>
    <t>VOG25619 [FUNC="REFSEQ hypothetical protein"] [TAG=Xu TAGDEF="Function unknown"]</t>
  </si>
  <si>
    <t>HNH endonuclease n=1 Tax=Arthrobacter phage Eileen TaxID=2419956 RepID=A0A3G2KFW1_9CAUD</t>
  </si>
  <si>
    <t>DNAUV-2.133-17_2</t>
  </si>
  <si>
    <t>Putative HNHc superfamily protein n=1 Tax=Citrobacter phage CVT22 TaxID=1622234 RepID=A0A0R5ZWN9_9CAUD</t>
  </si>
  <si>
    <t>DNAUV-2.133-17_4</t>
  </si>
  <si>
    <t>Pectate lyase superfamily protein domain-containing protein n=1 Tax=Paenibacillus hemerocallicola TaxID=1172614 RepID=A0A5C4T7F7_9BACL</t>
  </si>
  <si>
    <t>DNAUV-2.137-35_6</t>
  </si>
  <si>
    <t>Bacteriophage Mu GpT domain-containing protein (Fragment) n=1 Tax=Pusillimonas sp. (ex Stolz et al. 2005) TaxID=1979962 RepID=A0A2D7XEG3_9BURK</t>
  </si>
  <si>
    <t>DNAUV-2.137-35_7</t>
  </si>
  <si>
    <t>sp|Q5UPQ5|YL763_MIMIV Uncharacterized protein L763 OS=Acanthamoeba polyphaga mimivirus OX=212035 GN=MIMI_L763 PE=4 SV=1</t>
  </si>
  <si>
    <t>Hef-like homing endonuclease n=1 Tax=Caulobacter phage RW TaxID=2591034 RepID=A0A514AAZ4_9CAUD</t>
  </si>
  <si>
    <t>DNAUV-2.137-35_8</t>
  </si>
  <si>
    <t>DNAUV-2.139-350_2</t>
  </si>
  <si>
    <t>DNAUV-2.140-10_1</t>
  </si>
  <si>
    <t>Tape measure protein n=1 Tax=Alteromonas sp. RKMC-009 TaxID=2267264 RepID=A0A385MVX8_9ALTE</t>
  </si>
  <si>
    <t>DNAUV-2.140-10_2</t>
  </si>
  <si>
    <t>sp|A0A0H5AXT3|CAPSD_BPK21 Major capsid protein OS=Pseudomonas phage KPP21 OX=1678082 PE=1 SV=1</t>
  </si>
  <si>
    <t>Major capsid protein n=1 Tax=Vibrio phage 1.097.O._10N.286.49.B3 TaxID=1881383 RepID=A0A2I7R0K7_9CAUD</t>
  </si>
  <si>
    <t>DNAUV-2.140-18_5</t>
  </si>
  <si>
    <t>DNAUV-2.140-316_10</t>
  </si>
  <si>
    <t>Putative tail fiber n=1 Tax=Pelagibacter phage HTVC204P TaxID=2796524 RepID=A0A7T3U791_9CAUD</t>
  </si>
  <si>
    <t>DNAUV-2.140-316_9</t>
  </si>
  <si>
    <t>Large polyvalent protein associated domain-containing protein n=1 Tax=Azospirillum brasilense TaxID=192 RepID=A0A560AFU6_AZOBR</t>
  </si>
  <si>
    <t>DNAUV-2.142-25_2</t>
  </si>
  <si>
    <t>sp|Q858H1|PORTL_BPE15 Portal protein OS=Salmonella phage epsilon15 OX=215158 PE=3 SV=1</t>
  </si>
  <si>
    <t>Head-tail connector n=1 Tax=Pelagibacter phage HTVC034P TaxID=2796520 RepID=A0A7T3PHB3_9CAUD</t>
  </si>
  <si>
    <t>DNAUV-2.152-11_4</t>
  </si>
  <si>
    <t>Portal protein n=2 Tax=unclassified Septimatrevirus TaxID=2234106 RepID=A0A0S0N885_9CAUD</t>
  </si>
  <si>
    <t>DNAUV-2.153-15_2</t>
  </si>
  <si>
    <t>DnaB-like replicative helicase n=1 Tax=Synechococcus phage S-CAM7 TaxID=1883368 RepID=A0A1D8KUV3_9CAUD</t>
  </si>
  <si>
    <t>DNAUV-2.156-19_3</t>
  </si>
  <si>
    <t>VOG34839 [FUNC="REFSEQ hypothetical protein"] [TAG=Xu TAGDEF="Function unknown"]</t>
  </si>
  <si>
    <t>Uncharacterized protein n=2 Tax=Ripduovirus RP12 TaxID=2560700 RepID=A0A1L7N0Z9_9CAUD</t>
  </si>
  <si>
    <t>DNAUV-2.159-14_2</t>
  </si>
  <si>
    <t>Holliday junction nuclease RuvC n=1 Tax=Vibrio phage vB_VchM_Kuja TaxID=2686437 RepID=A0A6B9J7N1_9CAUD</t>
  </si>
  <si>
    <t>DNAUV-2.159-14_3</t>
  </si>
  <si>
    <t>Single-stranded DNA-binding protein n=1 Tax=Synechococcus phage ACG-2014h TaxID=1340810 RepID=V5UU43_9CAUD</t>
  </si>
  <si>
    <t>DNAUV-2.159-14_4</t>
  </si>
  <si>
    <t>DNA primase subunit n=1 Tax=Aeromonas phage Asfd_1 TaxID=2562462 RepID=A0A4D6BG93_9CAUD</t>
  </si>
  <si>
    <t>DNAUV-2.159-15_2</t>
  </si>
  <si>
    <t>TMhelix containing protein n=2 Tax=unclassified Caudoviricetes TaxID=2788787 RepID=A0A9P0YEN1_9CAUD</t>
  </si>
  <si>
    <t>DNAUV-2.159-15_3</t>
  </si>
  <si>
    <t>VOG09696 [FUNC="REFSEQ hypothetical protein"] [TAG=Xu TAGDEF="Function unknown"]</t>
  </si>
  <si>
    <t>TMhelix containing protein n=2 Tax=unclassified Caudoviricetes TaxID=2788787 RepID=A0A9P0VLJ2_9CAUD</t>
  </si>
  <si>
    <t>DNAUV-2.159-15_4</t>
  </si>
  <si>
    <t>TMhelix containing protein n=1 Tax=Vibrio phage 1.121.O._10N.286.46.C4 TaxID=2070726 RepID=A0A2I7R6L8_9CAUD</t>
  </si>
  <si>
    <t>DNAUV-2.161-9.0_10</t>
  </si>
  <si>
    <t>Holin n=1 Tax=Rhizobium glycinendophyticum TaxID=2589807 RepID=A0A504U5Z5_9HYPH</t>
  </si>
  <si>
    <t>DNAUV-2.161-9.0_6</t>
  </si>
  <si>
    <t>VOG17202 [FUNC="REFSEQ peptidase"] [TAG=Xu TAGDEF="Function unknown"]</t>
  </si>
  <si>
    <t>Tail fiber protein n=1 Tax=Prochlorococcus phage P-SCSP1c TaxID=2914491 RepID=A0A9E6YLC3_9CAUD</t>
  </si>
  <si>
    <t>DNAUV-2.161-9.0_9</t>
  </si>
  <si>
    <t>DUF11 domain-containing protein n=1 Tax=Streptomyces finlayi TaxID=67296 RepID=A0A918WSJ2_9ACTN</t>
  </si>
  <si>
    <t>DNAUV-2.163-257_2</t>
  </si>
  <si>
    <t>sp|P26746|EXLYS_BPP22 Peptidoglycan hydrolase gp4 OS=Salmonella phage P22 OX=10754 GN=4 PE=1 SV=1</t>
  </si>
  <si>
    <t>Coil containing protein n=1 Tax=Vibrio phage 1.275.O._10N.286.54.E11 TaxID=1881276 RepID=A0A2I7S3G9_9CAUD</t>
  </si>
  <si>
    <t>DNAUV-2.163-257_3</t>
  </si>
  <si>
    <t>sp|P26749|VG10_BPP22 Packaged DNA stabilization protein gp10 OS=Salmonella phage P22 OX=10754 GN=10 PE=1 SV=3</t>
  </si>
  <si>
    <t>Stabilization protein n=1 Tax=Vibrio phage 1.275.O._10N.286.54.E11 TaxID=1881276 RepID=A0A2I7S3I1_9CAUD</t>
  </si>
  <si>
    <t>DNAUV-2.164-138_1</t>
  </si>
  <si>
    <t>VRR-NUC domain protein n=1 Tax=Nonlabens phage P12024L TaxID=1168479 RepID=I6R9R2_9CAUD</t>
  </si>
  <si>
    <t>DNAUV-2.164-138_3</t>
  </si>
  <si>
    <t>Uncharacterized protein n=1 Tax=Rhodocytophaga rosea TaxID=2704465 RepID=A0A6C0GC12_9BACT</t>
  </si>
  <si>
    <t>DNAUV-2.166-13_2</t>
  </si>
  <si>
    <t>Uncharacterized protein n=1 Tax=Methanosarcina virus MetMV TaxID=2488574 RepID=A0A5K7NKT6_9VIRU</t>
  </si>
  <si>
    <t>DNAUV-2.169-12_5</t>
  </si>
  <si>
    <t>Uncharacterized protein n=1 Tax=Ruegeria phage DSS3-P1 TaxID=1555208 RepID=G8DCT5_9CAUD</t>
  </si>
  <si>
    <t>DNAUV-2.169-12_9</t>
  </si>
  <si>
    <t>VOG03022 [FUNC="REFSEQ hypothetical protein"] [TAG=Xu TAGDEF="Function unknown"]</t>
  </si>
  <si>
    <t>Uncharacterized protein n=1 Tax=Kouleothrix aurantiaca TaxID=186479 RepID=A0A0P9DBC0_9CHLR</t>
  </si>
  <si>
    <t>DNAUV-2.169-96_4</t>
  </si>
  <si>
    <t>DNAUV-2.170-25_1</t>
  </si>
  <si>
    <t>Uncharacterized protein n=1 Tax=Pelagibacter phage HTVC008M TaxID=1283076 RepID=M1IDJ3_9CAUD</t>
  </si>
  <si>
    <t>DNAUV-2.170-25_2</t>
  </si>
  <si>
    <t>Phage protein n=7 Tax=Slopekvirus TaxID=1985328 RepID=A0A1G4GQI6_9CAUD</t>
  </si>
  <si>
    <t>DNAUV-2.170-25_3</t>
  </si>
  <si>
    <t>DNAUV-2.175-9.2_1</t>
  </si>
  <si>
    <t>DUF2399 domain-containing protein n=5 Tax=unclassified Caudoviricetes TaxID=2788787 RepID=S0A1U5_9CAUD</t>
  </si>
  <si>
    <t>DNAUV-2.175-9.2_2</t>
  </si>
  <si>
    <t>VOG26684 [FUNC="REFSEQ DNA topoisomerase"] [TAG=Xu TAGDEF="Function unknown"]</t>
  </si>
  <si>
    <t>DNAUV-2.176-159_1</t>
  </si>
  <si>
    <t>Uncharacterized protein n=1 Tax=Salinimicrobium profundisediminis TaxID=2994553 RepID=A0A9X3I276_9FLAO</t>
  </si>
  <si>
    <t>DNAUV-2.176-159_2</t>
  </si>
  <si>
    <t>VOG30996 [FUNC="REFSEQ hypothetical protein"] [TAG=Xu TAGDEF="Function unknown"]</t>
  </si>
  <si>
    <t>Cyclic-phosphate processing Receiver domain-containing protein n=5 Tax=Lightbulbvirus TaxID=1918522 RepID=S0A021_9CAUD</t>
  </si>
  <si>
    <t>DNAUV-2.176-159_4</t>
  </si>
  <si>
    <t>Uncharacterized protein n=1 Tax=Virus NIOZ-UU157 TaxID=2763269 RepID=A0A7S9STE5_9VIRU</t>
  </si>
  <si>
    <t>DNAUV-2.176-159_5</t>
  </si>
  <si>
    <t>Uncharacterized protein n=1 Tax=Galbibacter marinus TaxID=555500 RepID=K2PND4_9FLAO</t>
  </si>
  <si>
    <t>DNAUV-2.177-33_3</t>
  </si>
  <si>
    <t>NUMOD4 motif-containing HNH endonuclease n=1 Tax=Pinibacter aurantiacus TaxID=2851599 RepID=A0A9E2SAH2_9BACT</t>
  </si>
  <si>
    <t>DNAUV-2.178-12_4</t>
  </si>
  <si>
    <t>Poly(A) polymerase n=1 Tax=Albimonas pacifica TaxID=1114924 RepID=A0A1I3LQK1_9RHOB</t>
  </si>
  <si>
    <t>DNAUV-2.183-7.9_1</t>
  </si>
  <si>
    <t>Putative major tail structural protein n=1 Tax=Pseudomonas phage PaMx74 TaxID=1175663 RepID=A0A0S0MV10_9CAUD</t>
  </si>
  <si>
    <t>DNAUV-2.183-7.9_2</t>
  </si>
  <si>
    <t>VOG02436 [FUNC="REFSEQ hypothetical protein"] [TAG=Xu TAGDEF="Function unknown"]</t>
  </si>
  <si>
    <t>Tail assembly chaperone n=1 Tax=Stenotrophomonas phage vB_Sm_QDWS359 TaxID=2943841 RepID=A0A9E7IW13_9CAUD</t>
  </si>
  <si>
    <t>DNAUV-2.183-7.9_3</t>
  </si>
  <si>
    <t>Virion structural protein n=1 Tax=Pseudomonas phage PaMx11 TaxID=1175657 RepID=A0A0S0N7X0_BPPAM</t>
  </si>
  <si>
    <t>DNAUV-2.184-29_5</t>
  </si>
  <si>
    <t>DNAUV-2.188-12_2</t>
  </si>
  <si>
    <t>DNAUV-2.188-12_4</t>
  </si>
  <si>
    <t>HNH endonuclease n=3 Tax=Obolenskvirus AbC62 TaxID=1915206 RepID=A0A0D4DBF8_9CAUD</t>
  </si>
  <si>
    <t>DNAUV-2.190-38_5</t>
  </si>
  <si>
    <t>DNAUV-2.190-38_6</t>
  </si>
  <si>
    <t>DNAUV-2.191-19_1</t>
  </si>
  <si>
    <t>VOG07299 [FUNC="REFSEQ hypothetical protein"] [TAG=Xu TAGDEF="Function unknown"]</t>
  </si>
  <si>
    <t>DNAUV-2.193-74_5</t>
  </si>
  <si>
    <t>DNAUV-2.193-74_6</t>
  </si>
  <si>
    <t>DNAUV-2.196-18_1</t>
  </si>
  <si>
    <t>VOG02167 [FUNC="REFSEQ hypothetical protein"] [TAG=Xu TAGDEF="Function unknown"]</t>
  </si>
  <si>
    <t>Uncharacterized protein n=2 Tax=Salacisavirus pssm2 TaxID=2734140 RepID=Q58MG2_BPPRM</t>
  </si>
  <si>
    <t>DNAUV-2.196-18_3</t>
  </si>
  <si>
    <t>Intron associated endonuclease n=1 Tax=Siphoviridae sp. ctTC45 TaxID=2827573 RepID=A0A8S5LQE2_9CAUD</t>
  </si>
  <si>
    <t>DNAUV-2.196-18_4</t>
  </si>
  <si>
    <t>DNAUV-2.198-13_3</t>
  </si>
  <si>
    <t>VOG00130 [FUNC="REFSEQ hypothetical protein"] [TAG=Xu TAGDEF="Function unknown"]</t>
  </si>
  <si>
    <t>Uncharacterized protein n=1 Tax=Salicola phage CGphi29 TaxID=754067 RepID=M4QPU9_9CAUD</t>
  </si>
  <si>
    <t>DNAUV-2.199-16_4</t>
  </si>
  <si>
    <t>DNA (Cytosine-5)-methyltransferase 1 n=1 Tax=Spirosoma oryzae TaxID=1469603 RepID=A0A2T0S8Q1_9BACT</t>
  </si>
  <si>
    <t>DNAUV-2.202-178_3</t>
  </si>
  <si>
    <t>DNAUV-2.202-178_4</t>
  </si>
  <si>
    <t>sp|P09753|YCX1_CHLMO Uncharacterized 38.5 kDa protein in psbA intron 1 OS=Chlamydomonas moewusii OX=3054 PE=4 SV=1</t>
  </si>
  <si>
    <t>Homing endonuclease n=1 Tax=Synechococcus phage S-H34 TaxID=2718942 RepID=A0A6G8R6X5_9CAUD</t>
  </si>
  <si>
    <t>DNAUV-2.202-24_1</t>
  </si>
  <si>
    <t>Uncharacterized protein n=1 Tax=Legionella pneumophila TaxID=446 RepID=A0A140AYP0_LEGPN</t>
  </si>
  <si>
    <t>DNAUV-2.202-24_2</t>
  </si>
  <si>
    <t>DNAUV-2.202-24_4</t>
  </si>
  <si>
    <t>DNAUV-2.203-105_6</t>
  </si>
  <si>
    <t>DNAUV-2.203-105_7</t>
  </si>
  <si>
    <t>DNAUV-2.203-105_8</t>
  </si>
  <si>
    <t>DNAUV-2.204-1471_1</t>
  </si>
  <si>
    <t>Uncharacterized protein n=2 Tax=root TaxID=1 RepID=A0A831QQT9_9FLAO</t>
  </si>
  <si>
    <t>DNAUV-2.204-1471_2</t>
  </si>
  <si>
    <t>HK97 gp10 family phage protein n=1 Tax=Costertonia aggregata TaxID=343403 RepID=A0A7H9ARE2_9FLAO</t>
  </si>
  <si>
    <t>DNAUV-2.205-24_3</t>
  </si>
  <si>
    <t>DUF4406 domain-containing protein n=1 Tax=Pseudomonas sp. gcc21 TaxID=2726989 RepID=A0A7Z2V1Y5_9PSED</t>
  </si>
  <si>
    <t>DNAUV-2.206-35_2</t>
  </si>
  <si>
    <t>Tail fiber protein n=1 Tax=Roseobacter phage CRP-5 TaxID=2559284 RepID=A0A646QWD6_9CAUD</t>
  </si>
  <si>
    <t>DNAUV-2.206-35_3</t>
  </si>
  <si>
    <t>DNAUV-2.209-12-V2_2</t>
  </si>
  <si>
    <t>Exonuclease n=1 Tax=Muricauda sp. TMED12 TaxID=1986608 RepID=A0A3S5JBV4_9FLAO</t>
  </si>
  <si>
    <t>DNAUV-2.209-15_2</t>
  </si>
  <si>
    <t>DNAUV-2.209-35_3</t>
  </si>
  <si>
    <t>Tail fiber protein n=1 Tax=Alteromonas australica TaxID=589873 RepID=A0A350P3G7_9ALTE</t>
  </si>
  <si>
    <t>DNAUV-2.209-35_5</t>
  </si>
  <si>
    <t>VOG35547 [FUNC="REFSEQ hypothetical protein"] [TAG=Xu TAGDEF="Function unknown"]</t>
  </si>
  <si>
    <t>Tail fiber assembly protein n=1 Tax=Myoviridae sp. ctu2j3 TaxID=2825197 RepID=A0A8S5UIE3_9CAUD</t>
  </si>
  <si>
    <t>DNAUV-2.209-35_6</t>
  </si>
  <si>
    <t>DUF1353 domain-containing protein n=1 Tax=Phaeobacter inhibens TaxID=221822 RepID=A0A135IJN5_9RHOB</t>
  </si>
  <si>
    <t>DNAUV-2.211-11-V2_3</t>
  </si>
  <si>
    <t>Methyl-accepting transducer domain-containing protein n=2 Tax=Siovirus germanense TaxID=2845497 RepID=A0A3G2YRC4_9CAUD</t>
  </si>
  <si>
    <t>DNAUV-2.211-31_1</t>
  </si>
  <si>
    <t>VOG31359 [FUNC="REFSEQ hypothetical protein"] [TAG=Xu TAGDEF="Function unknown"]</t>
  </si>
  <si>
    <t>Recombinase zinc beta ribbon domain-containing protein n=1 Tax=Xanthomonas phage XacN1 TaxID=2042251 RepID=A0A292GJ43_9CAUD</t>
  </si>
  <si>
    <t>DNAUV-2.211-31_2</t>
  </si>
  <si>
    <t>VOG16742 [FUNC="REFSEQ hypothetical protein"] [TAG=Xu TAGDEF="Function unknown"]</t>
  </si>
  <si>
    <t>Coil containing protein n=1 Tax=Vibrio phage 1.101.O._10N.261.45.C6 TaxID=2070725 RepID=A0A2I7R1H4_9CAUD</t>
  </si>
  <si>
    <t>DNAUV-2.213-34_1</t>
  </si>
  <si>
    <t>DNAUV-2.218-29_1</t>
  </si>
  <si>
    <t>YadA domain-containing structural protein n=1 Tax=Cyanophage S-TIM4 TaxID=1048189 RepID=A0A345AWG1_9CAUD</t>
  </si>
  <si>
    <t>DNAUV-2.218-29_2</t>
  </si>
  <si>
    <t>Phage fiber protein n=1 Tax=Lauvirus lau218 TaxID=1465639 RepID=A0A060BS47_9CAUD</t>
  </si>
  <si>
    <t>DNAUV-2.219-168_3</t>
  </si>
  <si>
    <t>DNAUV-2.219-168_4</t>
  </si>
  <si>
    <t>VOG13978 [FUNC="REFSEQ hypothetical protein"] [TAG=Xu TAGDEF="Function unknown"]</t>
  </si>
  <si>
    <t>Uncharacterized protein n=1 Tax=Caulobacter phage CcrPW TaxID=2283271 RepID=A0A385EB27_9CAUD</t>
  </si>
  <si>
    <t>DNAUV-2.219-2259_7</t>
  </si>
  <si>
    <t>VOG06039 [FUNC="REFSEQ hypothetical protein"] [TAG=Xu TAGDEF="Function unknown"]</t>
  </si>
  <si>
    <t>Large polyvalent protein-associated domain-containing protein n=1 Tax=Brevundimonas phage vB_BpoS-Leszy TaxID=2948602 RepID=A0A9E7MRN2_9CAUD</t>
  </si>
  <si>
    <t>DNAUV-2.225-123_1</t>
  </si>
  <si>
    <t>DNAUV-2.225-123_3</t>
  </si>
  <si>
    <t>sp|Q5UQY6|YR892_MIMIV Uncharacterized protein R892 OS=Acanthamoeba polyphaga mimivirus OX=212035 GN=MIMI_R892 PE=4 SV=1</t>
  </si>
  <si>
    <t>DNAUV-2.227-18_1</t>
  </si>
  <si>
    <t>Putative DNA primase subunit n=1 Tax=Synechococcus phage S-B43 TaxID=2484638 RepID=A0A514AB83_9CAUD</t>
  </si>
  <si>
    <t>DNAUV-2.230-48_2</t>
  </si>
  <si>
    <t>HNH homing endonuclease n=1 Tax=Polaribacter phage P12002L TaxID=1647386 RepID=A0A0F7IJT3_9CAUD</t>
  </si>
  <si>
    <t>DNAUV-2.242-6.6_8</t>
  </si>
  <si>
    <t>VOG01773 [FUNC="REFSEQ hypothetical protein"] [TAG=Xu TAGDEF="Function unknown"]</t>
  </si>
  <si>
    <t>Uncharacterized protein n=1 Tax=Zunongwangia profunda TaxID=398743 RepID=A0A3D5IYP1_9FLAO</t>
  </si>
  <si>
    <t>DNAUV-2.242-6.6_9</t>
  </si>
  <si>
    <t>VOG32129 [FUNC="REFSEQ hypothetical protein"] [TAG=Xu TAGDEF="Function unknown"]</t>
  </si>
  <si>
    <t>Uncharacterized protein n=1 Tax=phage 023Pt_psg01 TaxID=2945965 RepID=A0A9E7LGK4_9CAUD</t>
  </si>
  <si>
    <t>DNAUV-2.244-255_5</t>
  </si>
  <si>
    <t>DNAUV-2.245-335_6</t>
  </si>
  <si>
    <t>DNAUV-2.245-335_9</t>
  </si>
  <si>
    <t>sp|P08794|MOM_BPD10 Methylcarbamoylase mom OS=Escherichia phage D108 OX=665033 GN=mom PE=2 SV=2</t>
  </si>
  <si>
    <t>DNA modification protein Mom-like protein n=1 Tax=Proteus phage pPM_01 TaxID=1567485 RepID=A0A0B4SKN4_9CAUD</t>
  </si>
  <si>
    <t>DNAUV-2.248-16_2</t>
  </si>
  <si>
    <t>VOG00414 [FUNC="REFSEQ HNH endonuclease"] [TAG=Xu TAGDEF="Function unknown"]</t>
  </si>
  <si>
    <t>HNH nuclease domain-containing protein n=1 Tax=Pseudoalteromonas atlantica (strain T6c / ATCC BAA-1087) TaxID=3042615 RepID=A0A9J9B7P7_PSEA6</t>
  </si>
  <si>
    <t>DNAUV-2.248-16_3</t>
  </si>
  <si>
    <t>VOG00491 [FUNC="sp|P07719|V17_BPT3 Gene 1.7 protein"] [TAG=Xh TAGDEF="Virus protein with function beneficial for the host"]</t>
  </si>
  <si>
    <t>Putative transcription termination/antitermination protein n=1 Tax=Pseudoalteromonas virus vB_PspP-H6/1 TaxID=1852626 RepID=A0A191ZDI1_9CAUD</t>
  </si>
  <si>
    <t>DNAUV-2.252-24_6</t>
  </si>
  <si>
    <t>Uncharacterized protein n=1 Tax=Marinicauda algicola TaxID=2029849 RepID=A0A4S2GWY7_9PROT</t>
  </si>
  <si>
    <t>DNAUV-2.253-19-V2_4</t>
  </si>
  <si>
    <t>DNAUV-2.254-115_1</t>
  </si>
  <si>
    <t>Bacteriophage Mu GpT domain-containing protein n=1 Tax=Pusillimonas sp. (ex Stolz et al. 2005) TaxID=1979962 RepID=A0A2D7XB59_9BURK</t>
  </si>
  <si>
    <t>DNAUV-2.254-115_3</t>
  </si>
  <si>
    <t>Uncharacterized protein n=1 Tax=Xipdecavirus OP1 TaxID=329254 RepID=Q2NPH5_9CAUD</t>
  </si>
  <si>
    <t>DNAUV-2.254-14-V2_4</t>
  </si>
  <si>
    <t>VOG05114 [FUNC="REFSEQ hypothetical protein"] [TAG=Xu TAGDEF="Function unknown"]</t>
  </si>
  <si>
    <t>Uncharacterized protein n=1 Tax=Paracoccus phage vB_PmaS-R3 TaxID=2494563 RepID=A0A0B5A5Z4_9CAUD</t>
  </si>
  <si>
    <t>DNAUV-2.256-8.1_4</t>
  </si>
  <si>
    <t>Ig-like domain-containing protein n=1 Tax=Serratia phage SMP TaxID=2982904 RepID=A0A9E8G770_9CAUD</t>
  </si>
  <si>
    <t>DNAUV-2.256-8.1_6</t>
  </si>
  <si>
    <t>VOG04688 [FUNC="REFSEQ hypothetical protein"] [TAG=Xu TAGDEF="Function unknown"]</t>
  </si>
  <si>
    <t>Nucleotide modification associated domain-containing protein n=1 Tax=Bordetella phage FP1 TaxID=1916125 RepID=A0A2D0W9I2_9CAUD</t>
  </si>
  <si>
    <t>DNAUV-2.256-8.1_7</t>
  </si>
  <si>
    <t>VOG09246 [FUNC="REFSEQ hypothetical protein"] [TAG=Xu TAGDEF="Function unknown"]</t>
  </si>
  <si>
    <t>Uncharacterized protein n=1 Tax=Escherichia phage FEC19 TaxID=2315486 RepID=A0A386KJ79_9CAUD</t>
  </si>
  <si>
    <t>DNAUV-2.256-8.1_8</t>
  </si>
  <si>
    <t>Galactopyranose n=1 Tax=Serratia phage vB_SmaM_Hera TaxID=2777369 RepID=A0A7T3N967_9CAUD</t>
  </si>
  <si>
    <t>DNAUV-2.258-474_3</t>
  </si>
  <si>
    <t>DNAUV-2.260-234_4</t>
  </si>
  <si>
    <t>sp|P23208|TERS_BPT5 Probable terminase, small subunit OS=Escherichia phage T5 OX=2695836 GN=T5.156 PE=2 SV=2</t>
  </si>
  <si>
    <t>VOG06521 [FUNC="sp|P23208|TERS_BPT5 Probable terminase, small subunit"] [TAG=Xh TAGDEF="Virus protein with function beneficial for the host"]</t>
  </si>
  <si>
    <t>Terminase small subunit n=1 Tax=Serratia phage vB_SmaM-Kamaji TaxID=2943833 RepID=A0A9E7E6Y3_9CAUD</t>
  </si>
  <si>
    <t>DNAUV-2.260-234_8</t>
  </si>
  <si>
    <t>DNA (Cytosine-5)-methyltransferase 1 n=1 Tax=Neorhizobium sp. S3-V5DH TaxID=2485166 RepID=A0A4R3X532_9HYPH</t>
  </si>
  <si>
    <t>DNAUV-2.261-108_3</t>
  </si>
  <si>
    <t>DNAUV-2.261-13-V2_1</t>
  </si>
  <si>
    <t>Capsid protein n=1 Tax=Virus NIOZ-UU157 TaxID=2763269 RepID=A0A7S9STT0_9VIRU</t>
  </si>
  <si>
    <t>DNAUV-2.261-13-V2_2</t>
  </si>
  <si>
    <t>VOG19012 [FUNC="REFSEQ hypothetical protein"] [TAG=Xu TAGDEF="Function unknown"]</t>
  </si>
  <si>
    <t>Uncharacterized protein n=1 Tax=Virus NIOZ-UU157 TaxID=2763269 RepID=A0A7S9XDU3_9VIRU</t>
  </si>
  <si>
    <t>DNAUV-2.261-159_1</t>
  </si>
  <si>
    <t>DNAUV-2.267-29_4</t>
  </si>
  <si>
    <t>VOG00492 [FUNC="REFSEQ tail fiber protein"] [TAG=Xu TAGDEF="Function unknown"]</t>
  </si>
  <si>
    <t>DNAUV-2.267-29_6</t>
  </si>
  <si>
    <t>DNAUV-2.267-29_7</t>
  </si>
  <si>
    <t>Uncharacterized protein n=1 Tax=Puniceispirillum phage HMO-2011 TaxID=948071 RepID=S4S2K5_9CAUD</t>
  </si>
  <si>
    <t>DNAUV-2.270-20_3</t>
  </si>
  <si>
    <t>Terminase small subunit n=1 Tax=Oxalobacter aliiformigenes TaxID=2946593 RepID=A0A9E9NRN2_9BURK</t>
  </si>
  <si>
    <t>DNAUV-2.270-20_4</t>
  </si>
  <si>
    <t>Virion structural protein n=1 Tax=Methylophilales phage HIM624-A TaxID=889949 RepID=H6BJ44_9CAUD</t>
  </si>
  <si>
    <t>DNAUV-2.272-11_1</t>
  </si>
  <si>
    <t>VOG03736 [FUNC="REFSEQ DNA helicase"] [TAG=Xu TAGDEF="Function unknown"]</t>
  </si>
  <si>
    <t>DUF3987 domain-containing protein n=2 Tax=Roufvirus pIS4A TaxID=1982371 RepID=R9TRL8_9CAUD</t>
  </si>
  <si>
    <t>DNAUV-2.272-9.2_1</t>
  </si>
  <si>
    <t>VOG03428 [FUNC="REFSEQ internal virion protein"] [TAG=Xu TAGDEF="Function unknown"]</t>
  </si>
  <si>
    <t>Phage protein n=1 Tax=Pseudomonas phage GP100 TaxID=2055238 RepID=A0A2P9FIA1_9CAUD</t>
  </si>
  <si>
    <t>DNAUV-2.272-9.2_2</t>
  </si>
  <si>
    <t>Streptococcal hemagglutinin protein n=1 Tax=Pseudomonas phage vB_PaeP_FBPa8 TaxID=2969617 RepID=A0A9E7TXG1_9CAUD</t>
  </si>
  <si>
    <t>DNAUV-2.280-9.8_3</t>
  </si>
  <si>
    <t>DNAUV-2.283-397_1</t>
  </si>
  <si>
    <t>DNAUV-2.283-397_2</t>
  </si>
  <si>
    <t>DNAUV-2.283-397_4</t>
  </si>
  <si>
    <t>WD-40 repeat protein n=1 Tax=Aurantimicrobium minutum TaxID=708131 RepID=A0A173LXM2_9MICO</t>
  </si>
  <si>
    <t>DNAUV-2.283-88_10</t>
  </si>
  <si>
    <t>Uncharacterized protein n=1 Tax=Paracoccus haematequi TaxID=2491866 RepID=A0A447IJ91_9RHOB</t>
  </si>
  <si>
    <t>DNAUV-2.283-88_11</t>
  </si>
  <si>
    <t>DNAUV-2.283-88_8</t>
  </si>
  <si>
    <t>Type III restriction endonuclease n=32 Tax=Perisivirus TaxID=1984798 RepID=A0A0H4INM3_9CAUD</t>
  </si>
  <si>
    <t>DNAUV-2.287-42_1</t>
  </si>
  <si>
    <t>DNAUV-2.287-42_2</t>
  </si>
  <si>
    <t>DNAUV-2.289-9.0_1</t>
  </si>
  <si>
    <t>VOG01723 [FUNC="REFSEQ hypothetical protein"] [TAG=Xu TAGDEF="Function unknown"]</t>
  </si>
  <si>
    <t>Uncharacterized protein n=1 Tax=Sulfitobacter phage phiCB2047-B TaxID=754046 RepID=M4PRR0_9CAUD</t>
  </si>
  <si>
    <t>DNAUV-2.289-9.0_5</t>
  </si>
  <si>
    <t>VOG00497 [FUNC="sp|P15234|YLF1_BPN4 Uncharacterized protein Gp1"] [TAG=Xu TAGDEF="Function unknown"]</t>
  </si>
  <si>
    <t>Uncharacterized protein n=4 Tax=Aorunvirus V12 TaxID=2846074 RepID=A0A2Z4QFX9_9CAUD</t>
  </si>
  <si>
    <t>DNAUV-2.293-12_2</t>
  </si>
  <si>
    <t>Uncharacterized protein n=1 Tax=Herelleviridae sp. cttEB8 TaxID=2825832 RepID=A0A8S5P596_9CAUD</t>
  </si>
  <si>
    <t>DNAUV-2.293-13_6</t>
  </si>
  <si>
    <t>VOG04544 [FUNC="REFSEQ terminase small subunit"] [TAG=Xu TAGDEF="Function unknown"]</t>
  </si>
  <si>
    <t>Uncharacterized protein n=1 Tax=Pseudomonas phage BUCT-PX-5 TaxID=2982892 RepID=A0A9X9P111_9CAUD</t>
  </si>
  <si>
    <t>DNAUV-2.296-7.2_2</t>
  </si>
  <si>
    <t>VOG04126 [FUNC="REFSEQ hypothetical protein"] [TAG=Xu TAGDEF="Function unknown"]</t>
  </si>
  <si>
    <t>Uncharacterized protein n=1 Tax=Vibrio phage 1.170.O._10N.261.52.C3 TaxID=1881390 RepID=A0A2I7RF02_9CAUD</t>
  </si>
  <si>
    <t>DNAUV-2.296-7.2_4</t>
  </si>
  <si>
    <t>Uncharacterized protein n=1 Tax=Variovorax paradoxus TaxID=34073 RepID=A0A2W5QHK6_VARPD</t>
  </si>
  <si>
    <t>DNAUV-2.300-13_8</t>
  </si>
  <si>
    <t>sp|Q05265|VG55_BPML5 Gene 55 protein OS=Mycobacterium phage L5 OX=31757 GN=55 PE=4 SV=1</t>
  </si>
  <si>
    <t>DUF6378 domain-containing protein n=1 Tax=Octadecabacter Antarctic DB virus 2 TaxID=2945129 RepID=A0A9E7E513_9VIRU</t>
  </si>
  <si>
    <t>DNAUV-2.301-208_5</t>
  </si>
  <si>
    <t>DNAUV-2.301-233_11</t>
  </si>
  <si>
    <t>sp|Q38167|DMP_BPT5 5'-deoxynucleotidase OS=Escherichia phage T5 OX=2695836 GN=dmp PE=1 SV=2</t>
  </si>
  <si>
    <t>VOG00884 [FUNC="sp|Q38167|DMP_BPT5 5'-deoxynucleotidase"] [TAG=Xh TAGDEF="Virus protein with function beneficial for the host"]</t>
  </si>
  <si>
    <t>Deoxynucleoside-5'-monophosphatase n=1 Tax=Vibrio phage vB_ValS_X1 TaxID=2736341 RepID=A0A6M9Z7A3_9CAUD</t>
  </si>
  <si>
    <t>DNAUV-2.306-13_3</t>
  </si>
  <si>
    <t>Internal virion protein n=1 Tax=Dunaliella viridis virus SI2 TaxID=754069 RepID=M4Q3D8_9CAUD</t>
  </si>
  <si>
    <t>DNAUV-2.306-13_7</t>
  </si>
  <si>
    <t>VOG01785 [FUNC="REFSEQ tail fiber protein"] [TAG=Xu TAGDEF="Function unknown"]</t>
  </si>
  <si>
    <t>Tail fiber protein n=1 Tax=Dunaliella viridis virus SI2 TaxID=754069 RepID=M4Q4N6_9CAUD</t>
  </si>
  <si>
    <t>DNAUV-2.308-28_2</t>
  </si>
  <si>
    <t>DNAUV-2.308-28_3</t>
  </si>
  <si>
    <t>DNAUV-2.309-12_5</t>
  </si>
  <si>
    <t>Calcineurin-like phosphoesterase domain-containing protein n=2 Tax=Maioricimonas rarisocia TaxID=2528026 RepID=A0A517ZB26_9PLAN</t>
  </si>
  <si>
    <t>DNAUV-2.311-181_1</t>
  </si>
  <si>
    <t>Terminase small subunit n=1 Tax=Roseobacter phage CRP-5 TaxID=2559284 RepID=A0A646QWE8_9CAUD</t>
  </si>
  <si>
    <t>DNAUV-2.311-181_2</t>
  </si>
  <si>
    <t>Uncharacterized protein n=1 Tax=Roseovarius sp. A46 TaxID=2109331 RepID=A0A4Q1ZS82_9RHOB</t>
  </si>
  <si>
    <t>DNAUV-2.312-11_3</t>
  </si>
  <si>
    <t>RNA ligase domain-containing protein n=1 Tax=Rhizobium phage V1VFA-S TaxID=2763532 RepID=A0A7G7WWT2_9CAUD</t>
  </si>
  <si>
    <t>DNAUV-2.312-25_1</t>
  </si>
  <si>
    <t>Erf family protein n=1 Tax=Treponema vincentii F0403 TaxID=1125702 RepID=S3LQ30_9SPIR</t>
  </si>
  <si>
    <t>DNAUV-2.312-25_2</t>
  </si>
  <si>
    <t>DNAUV-2.312-25_3</t>
  </si>
  <si>
    <t>DUF3127 domain-containing protein n=1 Tax=Cellulophaga phage phi19:3 TaxID=1327971 RepID=R9ZYM3_9CAUD</t>
  </si>
  <si>
    <t>DNAUV-2.314-182_6</t>
  </si>
  <si>
    <t>DNAUV-2.315-7.7_1</t>
  </si>
  <si>
    <t>Type III restriction endonuclease n=1 Tax=Phage DP-2017a TaxID=1955560 RepID=A0A1Q1PVI0_9VIRU</t>
  </si>
  <si>
    <t>DNAUV-2.315-7.7_3</t>
  </si>
  <si>
    <t>VOG00946 [FUNC="REFSEQ DNA helicase"] [TAG=Xu TAGDEF="Function unknown"]</t>
  </si>
  <si>
    <t>DEAD/DEAH box helicase n=1 Tax=Azospirillum sp. Sh1 TaxID=2607285 RepID=A0A5A9EU97_9PROT</t>
  </si>
  <si>
    <t>DNAUV-2.317-8.2_2</t>
  </si>
  <si>
    <t>DNA primase n=1 Tax=Pelagibacter phage HTVC008M TaxID=1283076 RepID=M1I7Z4_9CAUD</t>
  </si>
  <si>
    <t>DNAUV-2.317-8.2_4</t>
  </si>
  <si>
    <t>DNA helicase n=1 Tax=Myoviridae sp. ctA4D8 TaxID=2823535 RepID=A0A8S5L6I0_9CAUD</t>
  </si>
  <si>
    <t>DNAUV-2.324-6.2_2</t>
  </si>
  <si>
    <t>DNAUV-2.324-6.2_3</t>
  </si>
  <si>
    <t>Neck protein n=1 Tax=Pusillimonas sp. (ex Stolz et al. 2005) TaxID=1979962 RepID=A0A2D7XIA5_9BURK</t>
  </si>
  <si>
    <t>DNAUV-2.324-6.2_4</t>
  </si>
  <si>
    <t>DNAUV-2.324-9.5_4</t>
  </si>
  <si>
    <t>Coil containing protein n=1 Tax=Vibrio phage ICP2_2006_A TaxID=979534 RepID=F1D0W5_9CAUD</t>
  </si>
  <si>
    <t>DNAUV-2.325-109_3</t>
  </si>
  <si>
    <t>Hypothetical phage protein (Fragment) n=1 Tax=Salmonella phage Vi06 TaxID=866889 RepID=E1XUA1_9CAUD</t>
  </si>
  <si>
    <t>DNAUV-2.325-109_5</t>
  </si>
  <si>
    <t>DNAUV-2.330-7.8_1</t>
  </si>
  <si>
    <t>DNAUV-2.330-7.8_2</t>
  </si>
  <si>
    <t>Putative acetyltransferase n=1 Tax=Pelagibacter phage HTVC028P TaxID=2796519 RepID=A0A7T3PH64_9CAUD</t>
  </si>
  <si>
    <t>DNAUV-2.330-7.8_3</t>
  </si>
  <si>
    <t>Uncharacterized protein n=1 Tax=Pusillimonas sp. (ex Stolz et al. 2005) TaxID=1979962 RepID=A0A2D7XAT5_9BURK</t>
  </si>
  <si>
    <t>DNAUV-2.332-267_10</t>
  </si>
  <si>
    <t>Uncharacterized protein n=1 Tax=Tepidimonas sediminis TaxID=2588941 RepID=A0A554WPW0_9BURK</t>
  </si>
  <si>
    <t>DNAUV-2.332-267_2</t>
  </si>
  <si>
    <t>Uncharacterized protein n=1 Tax=Thermobrachium celere DSM 8682 TaxID=941824 RepID=R7RQ88_9CLOT</t>
  </si>
  <si>
    <t>DNAUV-2.332-267_6</t>
  </si>
  <si>
    <t>DNAUV-2.334-34_2</t>
  </si>
  <si>
    <t>sp|P13299|TEV1_BPT4 Intron-associated endonuclease 1 OS=Enterobacteria phage T4 OX=10665 GN=ITEVIR PE=1 SV=2</t>
  </si>
  <si>
    <t>GIY-YIG domain-containing protein n=1 Tax=Bacillus phage Bobb TaxID=1527469 RepID=A0A076G735_9CAUD</t>
  </si>
  <si>
    <t>DNAUV-2.335-9.3_1</t>
  </si>
  <si>
    <t>Tail fiber protein n=1 Tax=Vibrio phage CKB-S1 TaxID=1903259 RepID=A0A1E1GE36_9CAUD</t>
  </si>
  <si>
    <t>DNAUV-2.335-9.3_2</t>
  </si>
  <si>
    <t>Coil containing protein n=1 Tax=Vibrio phage 1.275.O._10N.286.54.E11 TaxID=1881276 RepID=A0A2I7S3I3_9CAUD</t>
  </si>
  <si>
    <t>DNAUV-2.344-54_3</t>
  </si>
  <si>
    <t>Uncharacterized protein n=1 Tax=Roseomonas acroporae TaxID=2937791 RepID=A0A9X1Y7A5_9PROT</t>
  </si>
  <si>
    <t>DNAUV-2.344-54_5</t>
  </si>
  <si>
    <t>VRR-NUC domain-containing protein n=1 Tax=Hymenobacter wooponensis TaxID=1525360 RepID=A0A4Z0MUP9_9BACT</t>
  </si>
  <si>
    <t>DNAUV-2.344-54_6</t>
  </si>
  <si>
    <t>HNH homing endonuclease n=2 Tax=Incheonvirus TaxID=2976977 RepID=A0A0F7ILJ3_9CAUD</t>
  </si>
  <si>
    <t>DNAUV-2.348-31_1</t>
  </si>
  <si>
    <t>Uncharacterized protein n=1 Tax=Calothrix sp. SM1_7_51 TaxID=2720462 RepID=A0A968NMA4_9CYAN</t>
  </si>
  <si>
    <t>DNAUV-2.348-31_3</t>
  </si>
  <si>
    <t>Uncharacterized protein n=1 Tax=Costertonia aggregata TaxID=343403 RepID=A0A7H9ARK0_9FLAO</t>
  </si>
  <si>
    <t>DNAUV-2.349-13_1</t>
  </si>
  <si>
    <t>VOG31018 [FUNC="REFSEQ gp264"] [TAG=Xu TAGDEF="Function unknown"]</t>
  </si>
  <si>
    <t>Gp264 n=1 Tax=Sphingomonas phage PAU TaxID=1150991 RepID=H9NCE1_9CAUD</t>
  </si>
  <si>
    <t>DNAUV-2.350-1109_1</t>
  </si>
  <si>
    <t>Baseplate wedge tail fiber connector n=1 Tax=Synechococcus phage S-CAM22 TaxID=1883365 RepID=A0A1D8KQM2_9CAUD</t>
  </si>
  <si>
    <t>DNAUV-2.350-1109_2</t>
  </si>
  <si>
    <t>Tail fiber assembly protein n=1 Tax=Methylophilales phage MEP301 TaxID=2806696 RepID=A0A894JXN6_9CAUD</t>
  </si>
  <si>
    <t>DNAUV-2.353-70_8</t>
  </si>
  <si>
    <t>VOG15576 [FUNC="REFSEQ hypothetical protein"] [TAG=Xu TAGDEF="Function unknown"]</t>
  </si>
  <si>
    <t>Uncharacterized protein n=1 Tax=Ruegeria phage vB_RpoS-V16 TaxID=2218618 RepID=A0A2Z4QGS2_9CAUD</t>
  </si>
  <si>
    <t>DNAUV-2.353-70_9</t>
  </si>
  <si>
    <t>DNAUV-2.357-33_1</t>
  </si>
  <si>
    <t>DNAUV-2.358-75_1</t>
  </si>
  <si>
    <t>Putative structural protein n=1 Tax=Roseobacter phage CRP-5 TaxID=2559284 RepID=A0A646QWC5_9CAUD</t>
  </si>
  <si>
    <t>DNAUV-2.360-24_2</t>
  </si>
  <si>
    <t>DNAUV-2.360-24_3</t>
  </si>
  <si>
    <t>Uncharacterized protein n=2 Tax=Nitrososphaera viennensis TaxID=1034015 RepID=A0A060HSB2_9ARCH</t>
  </si>
  <si>
    <t>DNAUV-2.360-727_1</t>
  </si>
  <si>
    <t>sp|P15032|RECE_ECOLI Exodeoxyribonuclease 8 OS=Escherichia coli (strain K12) OX=83333 GN=recE PE=1 SV=3</t>
  </si>
  <si>
    <t>Putative exodeoxyribonuclease 8 PDDEXK-like domain-containing protein n=1 Tax=Pseudomonas phage PPpW-3 TaxID=1279082 RepID=V5YTC9_9CAUD</t>
  </si>
  <si>
    <t>DNAUV-2.360-727_2</t>
  </si>
  <si>
    <t>DNAUV-2.360-727_3</t>
  </si>
  <si>
    <t>PROTEIN/RNA Complex.7A n=1 Tax=Siphoviridae sp. ct9Y44 TaxID=2826176 RepID=A0A8S5LYI2_9CAUD</t>
  </si>
  <si>
    <t>DNAUV-2.360-89_1</t>
  </si>
  <si>
    <t>VOG03256 [FUNC="REFSEQ DNA polymerase/primase"] [TAG=Xu TAGDEF="Function unknown"]</t>
  </si>
  <si>
    <t>Bifunctional DNA primase/polymerase n=2 Tax=Callevirus TaxID=2948648 RepID=R9ZY60_9CAUD</t>
  </si>
  <si>
    <t>DNAUV-2.362-9.1_1</t>
  </si>
  <si>
    <t>PD-(D/E)XK endonuclease-like domain-containing protein n=1 Tax=Salmonella phage FSL SP-076 TaxID=1173762 RepID=S4TT57_9CAUD</t>
  </si>
  <si>
    <t>DNAUV-2.362-9.1_2</t>
  </si>
  <si>
    <t>DNA primase n=1 Tax=Vibrio virus vB_VspP_SBP1 TaxID=2500581 RepID=A0A3T0IIK3_9CAUD</t>
  </si>
  <si>
    <t>DNAUV-2.369-369_3</t>
  </si>
  <si>
    <t>Uncharacterized protein n=1 Tax=Paracoccus homiensis TaxID=364199 RepID=A0A1I0GZR1_9RHOB</t>
  </si>
  <si>
    <t>DNAUV-2.372-17_3</t>
  </si>
  <si>
    <t>Uncharacterized protein n=1 Tax=Pseudomonas phage phiPMW TaxID=1815582 RepID=A0A1S5R1M7_9CAUD</t>
  </si>
  <si>
    <t>DNAUV-2.374-16_2</t>
  </si>
  <si>
    <t>Putative exodeoxyribonuclease 8 n=1 Tax=Vibrio phage 1.197.A._10N.286.54.F2 TaxID=1881256 RepID=A0A2I7RM42_9CAUD</t>
  </si>
  <si>
    <t>DNAUV-2.374-16_3</t>
  </si>
  <si>
    <t>VOG30725 [FUNC="REFSEQ hypothetical protein"] [TAG=Xu TAGDEF="Function unknown"]</t>
  </si>
  <si>
    <t>Uncharacterized protein n=3 Tax=unclassified Sphingomonas TaxID=196159 RepID=A0A0Q4FNS6_9SPHN</t>
  </si>
  <si>
    <t>DNAUV-2.374-56_5</t>
  </si>
  <si>
    <t>Uncharacterized protein n=1 Tax=Vibrio phage RYC TaxID=1653734 RepID=A0A1E1GDX7_9CAUD</t>
  </si>
  <si>
    <t>DNAUV-2.381-12_5</t>
  </si>
  <si>
    <t>DNAUV-2.382-128_2</t>
  </si>
  <si>
    <t>Phage capsid protein n=1 Tax=Nonlabens phage P12024S TaxID=1168478 RepID=I6RT38_9CAUD</t>
  </si>
  <si>
    <t>DNAUV-2.382-128_3</t>
  </si>
  <si>
    <t>DNAUV-2.382-128_4</t>
  </si>
  <si>
    <t>DNAUV-2.382-128_5</t>
  </si>
  <si>
    <t>DNAUV-2.382-42_4</t>
  </si>
  <si>
    <t>DNAUV-2.384-17_4</t>
  </si>
  <si>
    <t>Putative tail fiber protein n=1 Tax=Pelagibacter phage Lederberg EXVC029P TaxID=2759213 RepID=A0A7S6IL94_9CAUD</t>
  </si>
  <si>
    <t>DNAUV-2.387-10_1</t>
  </si>
  <si>
    <t>Uncharacterized protein orf29T n=1 Tax=Vibrio phage VP16T TaxID=238892 RepID=Q6VT52_9CAUD</t>
  </si>
  <si>
    <t>DNAUV-2.387-10_3</t>
  </si>
  <si>
    <t>DNAUV-2.388-214_5</t>
  </si>
  <si>
    <t>DNAUV-2.403-908_1</t>
  </si>
  <si>
    <t>DNAUV-2.403-908_2</t>
  </si>
  <si>
    <t>Uncharacterized protein n=1 Tax=Roseobacter phage CRP-9 TaxID=2813174 RepID=A0A8E5BE96_9CAUD</t>
  </si>
  <si>
    <t>DNAUV-2.408-331_5</t>
  </si>
  <si>
    <t>Uncharacterized protein (Fragment) n=1 Tax=Rhodobacter kunshanensis TaxID=2583234 RepID=A0A6M1U3A4_9RHOB</t>
  </si>
  <si>
    <t>DNAUV-2.410-211_1</t>
  </si>
  <si>
    <t>Putative integration and excision endonuclease VII n=1 Tax=Synechococcus phage S-H68 TaxID=2545436 RepID=A0A482IAS2_9CAUD</t>
  </si>
  <si>
    <t>DNAUV-2.414-11_2</t>
  </si>
  <si>
    <t>Glycolate dehydrogenase n=1 Tax=Xanthomonas phage FoX5 TaxID=2723901 RepID=A0A858NNY0_9CAUD</t>
  </si>
  <si>
    <t>DNAUV-2.414-11_4</t>
  </si>
  <si>
    <t>Uncharacterized protein n=2 Tax=Bradyrhizobium erythrophlei TaxID=1437360 RepID=A0A1M5T7M9_9BRAD</t>
  </si>
  <si>
    <t>DNAUV-2.414-11_5</t>
  </si>
  <si>
    <t>DNAUV-2.414-18_2</t>
  </si>
  <si>
    <t>Uncharacterized protein n=1 Tax=Bdellovibrio phage phi1422 TaxID=1127515 RepID=H9C0K7_9CAUD</t>
  </si>
  <si>
    <t>DNAUV-2.414-18_4</t>
  </si>
  <si>
    <t>Phosphoadenosine phosphosulfate reductase n=1 Tax=Bdellovibrio phage phi1422 TaxID=1127515 RepID=H9C0L1_9CAUD</t>
  </si>
  <si>
    <t>DNAUV-2.416-11_1</t>
  </si>
  <si>
    <t>DNA binding HTH domain-containing protein n=1 Tax=Sphingobium phage Lacusarx TaxID=1980139 RepID=A0A1W6DX19_9CAUD</t>
  </si>
  <si>
    <t>DNAUV-2.416-11_2</t>
  </si>
  <si>
    <t>DNAUV-2.416-11_3</t>
  </si>
  <si>
    <t>Deoxynucleotide monophosphate kinase n=1 Tax=Marinobacter phage PS6 TaxID=2041342 RepID=A0A2D1GMH7_9CAUD</t>
  </si>
  <si>
    <t>DNAUV-2.416-11_4</t>
  </si>
  <si>
    <t>VOG00379 [FUNC="sp|P0DOK7|SPAN2_BPP21 Spanin, outer lipoprotein subunit"] [TAG=Xh TAGDEF="Virus protein with function beneficial for the host"]</t>
  </si>
  <si>
    <t>Uncharacterized protein n=1 Tax=Achromobacter phage vB_AxyP_19-32_Axy10 TaxID=2591041 RepID=A0A514CU16_9CAUD</t>
  </si>
  <si>
    <t>DNAUV-2.416-11_5</t>
  </si>
  <si>
    <t>VOG05655 [FUNC="REFSEQ Rz-like spanin"] [TAG=Xu TAGDEF="Function unknown"]</t>
  </si>
  <si>
    <t>Uncharacterized protein n=1 Tax=Achromobacter phage JWDelta TaxID=1416008 RepID=V9SI75_9CAUD</t>
  </si>
  <si>
    <t>DNAUV-2.416-11_6</t>
  </si>
  <si>
    <t>Portal protein n=1 Tax=Erwinia phage Ea9-2 TaxID=1429767 RepID=W6B150_9CAUD</t>
  </si>
  <si>
    <t>DNAUV-2.418-372_1</t>
  </si>
  <si>
    <t>DNAUV-2.418-372_2</t>
  </si>
  <si>
    <t>DNAUV-2.418-372_3</t>
  </si>
  <si>
    <t>DNAUV-2.426-11_4</t>
  </si>
  <si>
    <t>Uncharacterized protein (Fragment) n=1 Tax=Marine Group I thaumarchaeote TaxID=2511932 RepID=A0A7K4MQM9_9ARCH</t>
  </si>
  <si>
    <t>DNAUV-2.429-10-V2_1</t>
  </si>
  <si>
    <t>Probable RuBisCO transcriptional regulator n=1 Tax=Symbiodinium necroappetens TaxID=1628268 RepID=A0A812QJC3_9DINO</t>
  </si>
  <si>
    <t>DNAUV-2.432-33_1</t>
  </si>
  <si>
    <t>VOG01089 [FUNC="REFSEQ hypothetical protein"] [TAG=Xu TAGDEF="Function unknown"]</t>
  </si>
  <si>
    <t>Phage protein n=1 Tax=Pseudomonas phage PAJU2 TaxID=504346 RepID=B5WZW5_BPPAJ</t>
  </si>
  <si>
    <t>DNAUV-2.433-9.6_1</t>
  </si>
  <si>
    <t>DnaB-like replicative helicase n=1 Tax=Myoviridae sp. ctgsk7 TaxID=2825151 RepID=A0A8S5PYQ1_9CAUD</t>
  </si>
  <si>
    <t>DNAUV-2.433-9.6_4</t>
  </si>
  <si>
    <t>Recombination-related endonuclease n=1 Tax=Cyanophage S-RIM32 TaxID=1278479 RepID=A0A127KM30_9CAUD</t>
  </si>
  <si>
    <t>DNAUV-2.434-510_2</t>
  </si>
  <si>
    <t>Uncharacterized protein n=1 Tax=Roseobacter phage CRP-2 TaxID=2559281 RepID=A0A646QVM5_9CAUD</t>
  </si>
  <si>
    <t>DNAUV-2.434-8.4_3</t>
  </si>
  <si>
    <t>DNAUV-2.434-8.4_5</t>
  </si>
  <si>
    <t>DNAUV-2.441-30_4</t>
  </si>
  <si>
    <t>DNAUV-2.441-30_9</t>
  </si>
  <si>
    <t>HTH protein n=1 Tax=Pontimonas phage phiPsal1 TaxID=2079347 RepID=A0A2K9VGU0_9CAUD</t>
  </si>
  <si>
    <t>DNAUV-2.442-13_5</t>
  </si>
  <si>
    <t>DNAUV-2.443-880_3</t>
  </si>
  <si>
    <t>Putative tail structural protein n=1 Tax=Roseobacter phage CRP-6 TaxID=2559285 RepID=A0A646QWK3_9CAUD</t>
  </si>
  <si>
    <t>DNAUV-2.443-880_5</t>
  </si>
  <si>
    <t>VOG02693 [FUNC="REFSEQ hypothetical protein"] [TAG=Xu TAGDEF="Function unknown"]</t>
  </si>
  <si>
    <t>Tail fiber protein n=1 Tax=Stenotrophomonas phage vB_SmaS-DLP_6 TaxID=1651816 RepID=A0A142EZL1_9CAUD</t>
  </si>
  <si>
    <t>DNAUV-2.447-104_3</t>
  </si>
  <si>
    <t>DNAUV-2.451-9.1_4</t>
  </si>
  <si>
    <t>VOG36184 [FUNC="REFSEQ hypothetical protein"] [TAG=Xu TAGDEF="Function unknown"]</t>
  </si>
  <si>
    <t>Tail fiber protein n=1 Tax=Virus NIOZ-UU157 TaxID=2763269 RepID=A0A7S9STM8_9VIRU</t>
  </si>
  <si>
    <t>DNAUV-2.453-287_1</t>
  </si>
  <si>
    <t>DNAUV-2.455-12_1</t>
  </si>
  <si>
    <t>DNAUV-2.455-12_2</t>
  </si>
  <si>
    <t>Large terminase protein n=1 Tax=Virus NIOZ-UU157 TaxID=2763269 RepID=A0A7S9XDS1_9VIRU</t>
  </si>
  <si>
    <t>DNAUV-2.462-13_2</t>
  </si>
  <si>
    <t>VRR-NUC domain protein n=1 Tax=Vibrio phage 1.210.O._10N.222.52.C2 TaxID=1881406 RepID=A0A2I7RPW3_9CAUD</t>
  </si>
  <si>
    <t>DNAUV-2.462-13_5</t>
  </si>
  <si>
    <t>Putative exodeoxyribonuclease 8 PDDEXK-like domain-containing protein n=1 Tax=Salmonella phage Segz_1 TaxID=2419756 RepID=A0A411BAQ0_9CAUD</t>
  </si>
  <si>
    <t>DNAUV-2.472-22_3</t>
  </si>
  <si>
    <t>DNA-directed DNA polymerase n=1 Tax=Gluconobacter phage GC1 TaxID=2047788 RepID=A0A2I5AR55_9VIRU</t>
  </si>
  <si>
    <t>DNAUV-2.472-28_2</t>
  </si>
  <si>
    <t>Putative tail tube protein n=1 Tax=Alteromonas phage XX1924 TaxID=2664192 RepID=A0A6B9J0N0_9CAUD</t>
  </si>
  <si>
    <t>DNAUV-2.472-28_3</t>
  </si>
  <si>
    <t>Phage tail protein n=1 Tax=Bordetella genomosp. 7 TaxID=1416805 RepID=A0A261RRE2_9BORD</t>
  </si>
  <si>
    <t>DNAUV-2.474-11_11</t>
  </si>
  <si>
    <t>Uncharacterized protein n=1 Tax=Roseobacter phage RDJL Phi 2 TaxID=1682380 RepID=A0A0K0PWS0_9CAUD</t>
  </si>
  <si>
    <t>DNAUV-2.474-11_13</t>
  </si>
  <si>
    <t>Tail chaperonin n=1 Tax=Ruegeria phage Tedan TaxID=2759200 RepID=A0A7G9V0P9_9CAUD</t>
  </si>
  <si>
    <t>DNAUV-2.474-11_2</t>
  </si>
  <si>
    <t>Uncharacterized protein n=1 Tax=Pseudomonas phage vB_PaeS_S218 TaxID=2034345 RepID=A0A2K8HRU5_9CAUD</t>
  </si>
  <si>
    <t>DNAUV-2.474-11_5</t>
  </si>
  <si>
    <t>DNAUV-2.479-15_1</t>
  </si>
  <si>
    <t>DNAUV-2.481-13-V2_16</t>
  </si>
  <si>
    <t>DUF4055 domain-containing protein n=1 Tax=Bordetella trematum TaxID=123899 RepID=A0A157SPI2_9BORD</t>
  </si>
  <si>
    <t>DNAUV-2.481-303_1</t>
  </si>
  <si>
    <t>VOC domain-containing protein n=1 Tax=Aphanizomenon flos-aquae WA102 TaxID=1710896 RepID=A0A1B7X589_APHFL</t>
  </si>
  <si>
    <t>DNAUV-2.481-9.1_1</t>
  </si>
  <si>
    <t>Phosphodiesterase n=1 Tax=Bacteriophage Phi NF-1 TaxID=2900273 RepID=A0A976MG03_9CAUD</t>
  </si>
  <si>
    <t>DNAUV-2.481-9.1_2</t>
  </si>
  <si>
    <t>DNAUV-2.481-9.1_3</t>
  </si>
  <si>
    <t>Lipoprotein n=1 Tax=Streptomyces phage Muntaha TaxID=2713269 RepID=A0A6G8R427_9CAUD</t>
  </si>
  <si>
    <t>DNAUV-2.488-16_4</t>
  </si>
  <si>
    <t>DNAUV-2.489-11_3</t>
  </si>
  <si>
    <t>DNAUV-2.489-11_4</t>
  </si>
  <si>
    <t>DNAUV-2.491-15_1</t>
  </si>
  <si>
    <t>DUF3102 domain-containing protein n=1 Tax=Aliiroseovarius halocynthiae TaxID=985055 RepID=A0A545SR90_9RHOB</t>
  </si>
  <si>
    <t>DNAUV-2.492-135_3</t>
  </si>
  <si>
    <t>Lipoprotein n=2 Tax=Roseovarius Plymouth podovirus 1 TaxID=926474 RepID=E3PZ80_9CAUD</t>
  </si>
  <si>
    <t>DNAUV-2.492-135_4</t>
  </si>
  <si>
    <t>Neck protein n=1 Tax=Vibrio phage 1.081.O._10N.286.52.C2 TaxID=2070722 RepID=A0A2I7QX96_9CAUD</t>
  </si>
  <si>
    <t>DNAUV-2.492-16_10</t>
  </si>
  <si>
    <t>VRR-NUC domain-containing protein n=1 Tax=Edwardsiella phage MSW-3 TaxID=1264700 RepID=L0MY07_9CAUD</t>
  </si>
  <si>
    <t>DNAUV-2.493-181_10</t>
  </si>
  <si>
    <t>VOG32880 [FUNC="REFSEQ fiber Ig/hemolysin"] [TAG=Xu TAGDEF="Function unknown"]</t>
  </si>
  <si>
    <t>Uncharacterized protein n=1 Tax=Synechococcus phage S-B68 TaxID=2545437 RepID=A0A482IFS5_9CAUD</t>
  </si>
  <si>
    <t>DNAUV-2.493-181_7</t>
  </si>
  <si>
    <t>VOG13220 [FUNC="REFSEQ hypothetical protein"] [TAG=Xu TAGDEF="Function unknown"]</t>
  </si>
  <si>
    <t>Uncharacterized protein n=2 Tax=Sanyabayvirus DS1410Ws06 TaxID=2844087 RepID=A0A191VYR2_9CAUD</t>
  </si>
  <si>
    <t>DNAUV-2.493-181_9</t>
  </si>
  <si>
    <t>Uncharacterized protein n=1 Tax=Synechococcus phage S-H34 TaxID=2718942 RepID=A0A6G8R6W2_9CAUD</t>
  </si>
  <si>
    <t>DNAUV-2.494-35_2</t>
  </si>
  <si>
    <t>Putative acetyltransferase n=1 Tax=Listeria phage vB_Liva_VAfA18 TaxID=2712945 RepID=A0A858EBQ2_9CAUD</t>
  </si>
  <si>
    <t>DNAUV-2.495-287_1</t>
  </si>
  <si>
    <t>Uncharacterized protein n=1 Tax=Caulobacter phage Seuss TaxID=1675601 RepID=A0A0K1LMB0_9CAUD</t>
  </si>
  <si>
    <t>DNAUV-2.497-8.7_5</t>
  </si>
  <si>
    <t>Tail fiber domain-containing protein n=1 Tax=Aquimarina sp. MMG016 TaxID=2822690 RepID=A0A941CDM2_9FLAO</t>
  </si>
  <si>
    <t>DNAUV-2.509-16_5</t>
  </si>
  <si>
    <t>VOG13755 [FUNC="REFSEQ hypothetical protein"] [TAG=Xu TAGDEF="Function unknown"]</t>
  </si>
  <si>
    <t>Uncharacterized protein n=2 Tax=unclassified Gyeongsanvirus TaxID=2759399 RepID=A0A5P8D3Y7_9CAUD</t>
  </si>
  <si>
    <t>DNAUV-2.509-16_6</t>
  </si>
  <si>
    <t>Uncharacterized protein n=2 Tax=Rhizobium rosettiformans TaxID=1368430 RepID=A0A4S8PTD5_9HYPH</t>
  </si>
  <si>
    <t>DNAUV-2.509-18_1</t>
  </si>
  <si>
    <t>DNAUV-2.511-423_1</t>
  </si>
  <si>
    <t>DNAUV-2.511-423_2</t>
  </si>
  <si>
    <t>DNAUV-2.511-423_3</t>
  </si>
  <si>
    <t>DNAUV-2.511-423_4</t>
  </si>
  <si>
    <t>Uncharacterized protein (Fragment) n=1 Tax=Alteromonas australica TaxID=589873 RepID=A0A350P5M4_9ALTE</t>
  </si>
  <si>
    <t>DNAUV-2.514-711_3</t>
  </si>
  <si>
    <t>Srd putative anti-sigma factor n=1 Tax=Synechococcus phage S-CBS4 TaxID=756275 RepID=H2BCV1_9CAUD</t>
  </si>
  <si>
    <t>DNAUV-2.517-264_10</t>
  </si>
  <si>
    <t>DNAUV-2.517-264_5</t>
  </si>
  <si>
    <t>57R n=1 Tax=Xanthomonas phage Xp10 TaxID=2907956 RepID=Q7Y5F9_9CAUD</t>
  </si>
  <si>
    <t>DNAUV-2.517-264_6</t>
  </si>
  <si>
    <t>Uncharacterized protein n=1 Tax=Sphingomonas laterariae TaxID=861865 RepID=A0A239KED7_9SPHN</t>
  </si>
  <si>
    <t>DNAUV-2.520-57_2</t>
  </si>
  <si>
    <t>DNAUV-2.524-15_2</t>
  </si>
  <si>
    <t>Terminase small subunit n=1 Tax=Luteimonas cucumeris TaxID=985012 RepID=A0A562LB07_9GAMM</t>
  </si>
  <si>
    <t>DNAUV-2.526-444_7</t>
  </si>
  <si>
    <t>DNAUV-2.530-178_3</t>
  </si>
  <si>
    <t>Major capsid protein n=1 Tax=Roseobacter phage CRP-5 TaxID=2559284 RepID=A0A646QXL5_9CAUD</t>
  </si>
  <si>
    <t>DNAUV-2.530-178_4</t>
  </si>
  <si>
    <t>DNAUV-2.530-178_6</t>
  </si>
  <si>
    <t>VOG30494 [FUNC="REFSEQ hypothetical protein"] [TAG=Xu TAGDEF="Function unknown"]</t>
  </si>
  <si>
    <t>CBM-cenC domain-containing protein n=1 Tax=Roseobacter phage CRP-4 TaxID=2559283 RepID=A0A646QW76_9CAUD</t>
  </si>
  <si>
    <t>DNAUV-2.530-178_7</t>
  </si>
  <si>
    <t>DNAUV-2.530-178_8</t>
  </si>
  <si>
    <t>DNAUV-2.531-140_1</t>
  </si>
  <si>
    <t>sp|Q6QGE0|COMPL_BPT5 Tail completion protein p143 OS=Escherichia phage T5 OX=2695836 GN=ORF136 PE=2 SV=1</t>
  </si>
  <si>
    <t>VOG09259 [FUNC="sp|Q6QGE0|COMPL_BPT5 Tail completion protein p143"] [TAG=Xh TAGDEF="Virus protein with function beneficial for the host"]</t>
  </si>
  <si>
    <t>Tail completion protein n=1 Tax=Vibrio phage phi 3 TaxID=1589298 RepID=A0A0B5H918_9CAUD</t>
  </si>
  <si>
    <t>DNAUV-2.531-140_2</t>
  </si>
  <si>
    <t>sp|Q6QGE1|TTTP_BPT5 Tail tube terminator protein p142 OS=Escherichia phage T5 OX=2695836 GN=ORF135 PE=1 SV=1</t>
  </si>
  <si>
    <t>VOG36297 [FUNC="sp|Q6QGE1|TTTP_BPT5 Tail tube terminator protein p142"] [TAG=Xh TAGDEF="Virus protein with function beneficial for the host"]</t>
  </si>
  <si>
    <t>Tail terminator protein n=1 Tax=Vibrio phage KIT04 TaxID=2508207 RepID=A0A679DNT0_9CAUD</t>
  </si>
  <si>
    <t>DNAUV-2.531-140_3</t>
  </si>
  <si>
    <t>sp|Q6QGE2|TUBE_BPT5 Tail tube protein pb6 OS=Escherichia phage T5 OX=2695836 GN=N4 PE=1 SV=1</t>
  </si>
  <si>
    <t>VOG02015 [FUNC="sp|Q6QGE2|TUBE_BPT5 Tail tube protein pb6"] [TAG=Xh TAGDEF="Virus protein with function beneficial for the host"]</t>
  </si>
  <si>
    <t>Major tail protein n=1 Tax=Vibrio phage VspSw_1 TaxID=2484249 RepID=A0A411BKZ0_9CAUD</t>
  </si>
  <si>
    <t>DNAUV-2.531-183_1</t>
  </si>
  <si>
    <t>PD-(D/E)XK nuclease superfamily protein n=1 Tax=Achromobacter phage 83-24 TaxID=1589747 RepID=A0A0B5A5C9_9CAUD</t>
  </si>
  <si>
    <t>DNAUV-2.531-183_4</t>
  </si>
  <si>
    <t>DUF2815 family protein n=1 Tax=Achromobacter phage vB_AxyS_19-32_Axy14 TaxID=2591050 RepID=A0A514CUU3_9CAUD</t>
  </si>
  <si>
    <t>DNAUV-2.533-44_3</t>
  </si>
  <si>
    <t>Tail fiber protein n=1 Tax=Aminobacter ciceronei TaxID=150723 RepID=A0A7W3Q4M9_9HYPH</t>
  </si>
  <si>
    <t>DNAUV-2.533-44_5</t>
  </si>
  <si>
    <t>DNAUV-2.533-44_6</t>
  </si>
  <si>
    <t>DNAUV-2.535-22_1</t>
  </si>
  <si>
    <t>DNAUV-2.536-11_4</t>
  </si>
  <si>
    <t>ERF family protein n=4 Tax=root TaxID=1 RepID=Q9MC70_BPD3</t>
  </si>
  <si>
    <t>DNAUV-2.538-13_5</t>
  </si>
  <si>
    <t>DNAUV-2.538-13_7</t>
  </si>
  <si>
    <t>Minor tail protein n=1 Tax=Streptomyces phage Wentworth TaxID=2126735 RepID=A0A2P1N0L6_9CAUD</t>
  </si>
  <si>
    <t>DNAUV-2.541-9.9_1</t>
  </si>
  <si>
    <t>Tail tape measure protein n=1 Tax=Verrucomicrobia phage P8625 TaxID=1636271 RepID=A0A0E3JPC4_9CAUD</t>
  </si>
  <si>
    <t>DNAUV-2.543-7.8_2</t>
  </si>
  <si>
    <t>Coil containing protein n=1 Tax=Vibrio phage LP.2 TaxID=2500151 RepID=A0A3Q9R5V2_9CAUD</t>
  </si>
  <si>
    <t>DNAUV-2.544-154_4</t>
  </si>
  <si>
    <t>DNAUV-2.544-16_1</t>
  </si>
  <si>
    <t>Baseplate wedge subunit n=1 Tax=Stenotrophomonas phage vB_SmaS-DLP_6 TaxID=1651816 RepID=A0A142EZV6_9CAUD</t>
  </si>
  <si>
    <t>DNAUV-2.544-16_3</t>
  </si>
  <si>
    <t>DNAUV-2.552-42_1</t>
  </si>
  <si>
    <t>Uncharacterized protein n=4 Tax=Eneladusvirus BF TaxID=2560751 RepID=A0A7L8ZM20_9CAUD</t>
  </si>
  <si>
    <t>DNAUV-2.554-139_12</t>
  </si>
  <si>
    <t>DNAUV-2.554-139_2</t>
  </si>
  <si>
    <t>DNAUV-2.554-139_3</t>
  </si>
  <si>
    <t>DNAUV-2.557-3816_1</t>
  </si>
  <si>
    <t>VOG05674 [FUNC="REFSEQ hypothetical protein"] [TAG=Xu TAGDEF="Function unknown"]</t>
  </si>
  <si>
    <t>Holin n=1 Tax=Leeuwenhoekiella marinoflava TaxID=988 RepID=A0A4Q0PQB4_9FLAO</t>
  </si>
  <si>
    <t>DNAUV-2.557-3816_4</t>
  </si>
  <si>
    <t>DNAUV-2.559-13-V2_4</t>
  </si>
  <si>
    <t>dATP/dGTP diphosphohydrolase N-terminal domain-containing protein n=1 Tax=Maritalea myrionectae TaxID=454601 RepID=A0A2R4MDZ1_9HYPH</t>
  </si>
  <si>
    <t>DNAUV-2.560-61_1</t>
  </si>
  <si>
    <t>DNAUV-2.560-61_2</t>
  </si>
  <si>
    <t>DNAUV-2.571-13_2</t>
  </si>
  <si>
    <t>Endonuclease n=1 Tax=EBPR podovirus 2 TaxID=1048516 RepID=F8TUU9_9CAUD</t>
  </si>
  <si>
    <t>DNAUV-2.573-1075_1</t>
  </si>
  <si>
    <t>Uncharacterized protein n=1 Tax=Salmonella phage vB_SenS_BPS4 TaxID=2801549 RepID=A0A7T8IUS6_9CAUD</t>
  </si>
  <si>
    <t>DNAUV-2.573-1075_8</t>
  </si>
  <si>
    <t>DNAUV-2.573-91_1</t>
  </si>
  <si>
    <t>DNAUV-2.573-91_3</t>
  </si>
  <si>
    <t>DNAUV-2.575-27_4</t>
  </si>
  <si>
    <t>DNAUV-2.578-441_5</t>
  </si>
  <si>
    <t>DNAUV-2.585-12_1</t>
  </si>
  <si>
    <t>N4 gp59 protein n=1 Tax=Sulfitobacter phage EE36phi1 TaxID=490913 RepID=C4NTE9_9CAUD</t>
  </si>
  <si>
    <t>DNAUV-2.585-12_2</t>
  </si>
  <si>
    <t>Terminase small subunit n=2 Tax=Baltimorevirus DFL12 TaxID=2169868 RepID=A0A023NHH5_9CAUD</t>
  </si>
  <si>
    <t>DNAUV-2.585-12_4</t>
  </si>
  <si>
    <t>Tape measure protein n=1 Tax=Dinoroseobacter phage DFL12phi1 TaxID=1477404 RepID=A0A023NGT6_9CAUD</t>
  </si>
  <si>
    <t>DNAUV-2.586-10_10</t>
  </si>
  <si>
    <t>Calcineurin-like phosphoesterase domain-containing protein n=1 Tax=Achromobacter phage vB_AxyP_19-32_Axy21 TaxID=2591045 RepID=A0A514CVS5_9CAUD</t>
  </si>
  <si>
    <t>DNAUV-2.588-123_2</t>
  </si>
  <si>
    <t>DNAUV-2.588-123_5</t>
  </si>
  <si>
    <t>DNAUV-2.589-13076_2</t>
  </si>
  <si>
    <t>DNAUV-2.589-13076_3</t>
  </si>
  <si>
    <t>Uncharacterized protein n=1 Tax=Nonlabens phage P12024L TaxID=1168479 RepID=I6RTA0_9CAUD</t>
  </si>
  <si>
    <t>DNAUV-2.589-89_2</t>
  </si>
  <si>
    <t>DNAUV-2.589-89_3</t>
  </si>
  <si>
    <t>DNAUV-2.589-89_4</t>
  </si>
  <si>
    <t>DNAUV-2.591-15_2</t>
  </si>
  <si>
    <t>VOG02124 [FUNC="REFSEQ hypothetical protein"] [TAG=Xu TAGDEF="Function unknown"]</t>
  </si>
  <si>
    <t>HTH cro/C1-type domain-containing protein n=2 Tax=Fibrobacter sp. UWB1 TaxID=1964355 RepID=A0A254SR28_9BACT</t>
  </si>
  <si>
    <t>DNAUV-2.591-15_3</t>
  </si>
  <si>
    <t>Recombination endonuclease VII n=1 Tax=Vibrio phage vB_VhaM_VH-8 TaxID=2660693 RepID=A0A5Q2W6H2_9CAUD</t>
  </si>
  <si>
    <t>DNAUV-2.591-15_4</t>
  </si>
  <si>
    <t>sp|P04892|ERF_BPP22 Essential recombination function protein OS=Salmonella phage P22 OX=10754 GN=erf PE=4 SV=2</t>
  </si>
  <si>
    <t>DNA single-strand annealing protein, ERF superfamily n=1 Tax=Campylobacter sp. RM6914 TaxID=1032243 RepID=A0A6G5R068_9BACT</t>
  </si>
  <si>
    <t>DNAUV-2.593-11_2</t>
  </si>
  <si>
    <t>VOG11302 [FUNC="REFSEQ hypothetical protein"] [TAG=Xu TAGDEF="Function unknown"]</t>
  </si>
  <si>
    <t>Uncharacterized protein n=1 Tax=Burkholderia phage BcepNazgul TaxID=242861 RepID=Q6UYF4_9CAUD</t>
  </si>
  <si>
    <t>DNAUV-2.593-11_3</t>
  </si>
  <si>
    <t>Uncharacterized protein n=1 Tax=Caulobacter phage Sansa TaxID=1675600 RepID=A0A0K1LLY7_9CAUD</t>
  </si>
  <si>
    <t>DNAUV-2.594-36_3</t>
  </si>
  <si>
    <t>DNAUV-2.608-13_1</t>
  </si>
  <si>
    <t>Bacteriophage P22, Gp10, DNA-stabilising n=1 Tax=Rhodoferax phage P26218 TaxID=1636270 RepID=A0A0E3JSB2_9CAUD</t>
  </si>
  <si>
    <t>DNAUV-2.608-13_3</t>
  </si>
  <si>
    <t>DNA transfer protein p32 n=1 Tax=Acinetobacter indicus TaxID=756892 RepID=A0A7H8VF84_9GAMM</t>
  </si>
  <si>
    <t>DNAUV-2.609-11_2</t>
  </si>
  <si>
    <t>DNAUV-2.609-11_3</t>
  </si>
  <si>
    <t>Prohead core scaffold protein n=1 Tax=Synechococcus phage S-CAM9 TaxID=1883369 RepID=A0A1D8KPF7_9CAUD</t>
  </si>
  <si>
    <t>DNAUV-2.609-11_4</t>
  </si>
  <si>
    <t>sp|Q38055|CAPSH_BPT6 Major capsid protein (Fragment) OS=Enterobacteria phage T6 OX=10666 GN=23 PE=3 SV=1</t>
  </si>
  <si>
    <t>Major capsid protein n=1 Tax=Ochrobactrum phage vB_OspM_OC TaxID=2712956 RepID=A0A6G6XWF5_9CAUD</t>
  </si>
  <si>
    <t>DNAUV-2.613-13_1</t>
  </si>
  <si>
    <t>DNAUV-2.613-13_2</t>
  </si>
  <si>
    <t>DNAUV-2.615-1035_7</t>
  </si>
  <si>
    <t>DNAUV-2.615-1035_8</t>
  </si>
  <si>
    <t>DNAUV-2.615-1035_9</t>
  </si>
  <si>
    <t>DNAUV-2.615-11_1</t>
  </si>
  <si>
    <t>F5/8 type C domain-containing protein n=1 Tax=Alteromonas phage PB15 TaxID=1913113 RepID=A0A1J0GWF1_9CAUD</t>
  </si>
  <si>
    <t>DNAUV-2.615-11_2</t>
  </si>
  <si>
    <t>PE family protein n=1 Tax=Alteromonas phage PB15 TaxID=1913113 RepID=A0A1J0GWF4_9CAUD</t>
  </si>
  <si>
    <t>DNAUV-2.615-11_3</t>
  </si>
  <si>
    <t>DNAUV-2.615-44_1</t>
  </si>
  <si>
    <t>Uncharacterized protein n=2 Tax=root TaxID=1 RepID=A0A831QT14_9FLAO</t>
  </si>
  <si>
    <t>DNAUV-2.615-44_2</t>
  </si>
  <si>
    <t>Phage tail tape measure protein n=1 Tax=Costertonia aggregata TaxID=343403 RepID=A0A7H9ARP2_9FLAO</t>
  </si>
  <si>
    <t>DNAUV-2.615-7.0_2</t>
  </si>
  <si>
    <t>Uncharacterized protein n=1 Tax=Xanthomonas phage Xoo-sp13 TaxID=2591401 RepID=A0A7D0GQ86_9CAUD</t>
  </si>
  <si>
    <t>DNAUV-2.615-7.0_4</t>
  </si>
  <si>
    <t>DNAUV-2.615-7.0_5</t>
  </si>
  <si>
    <t>Glycosyltransferase sugar-binding region containing DXD motif-containing protein n=1 Tax=Sphingopyxis flava TaxID=1507287 RepID=A0A1T4ZWM6_9SPHN</t>
  </si>
  <si>
    <t>DNAUV-2.618-126_6</t>
  </si>
  <si>
    <t>Sugar-phospahte nucleotidyltransferase n=1 Tax=Pedobacter sp. BS3 TaxID=2567937 RepID=A0A5D8YNE9_9SPHI</t>
  </si>
  <si>
    <t>DNAUV-2.618-59_8</t>
  </si>
  <si>
    <t>DNAUV-2.626-11_1</t>
  </si>
  <si>
    <t>DUF4373 domain-containing protein n=1 Tax=Mesonia sp. K4-1 TaxID=2602760 RepID=A0A5C8LMW7_9FLAO</t>
  </si>
  <si>
    <t>DNAUV-2.630-35_4</t>
  </si>
  <si>
    <t>Uncharacterized protein n=1 Tax=Roseobacter phage CRP-1 TaxID=2559280 RepID=A0A646QVL2_9CAUD</t>
  </si>
  <si>
    <t>DNAUV-2.630-7.2_1</t>
  </si>
  <si>
    <t>Uncharacterized protein n=1 Tax=Pseudoalteromonas phage Maelstrom TaxID=2065202 RepID=A0A2H5BG43_9CAUD</t>
  </si>
  <si>
    <t>DNAUV-2.630-7.2_2</t>
  </si>
  <si>
    <t>VOG03676 [FUNC="REFSEQ hypothetical protein"] [TAG=Xu TAGDEF="Function unknown"]</t>
  </si>
  <si>
    <t>Uncharacterized protein n=2 Tax=root TaxID=1 RepID=A0A0A7AR03_9CAUD</t>
  </si>
  <si>
    <t>DNAUV-2.631-110_2</t>
  </si>
  <si>
    <t>Uncharacterized protein n=1 Tax=Enterobacter sp. R1(2018) TaxID=2447891 RepID=A0A495AEU9_9ENTR</t>
  </si>
  <si>
    <t>DNAUV-2.631-110_3</t>
  </si>
  <si>
    <t>VOG34247 [FUNC="REFSEQ hypothetical protein"] [TAG=Xu TAGDEF="Function unknown"]</t>
  </si>
  <si>
    <t>Phage protein n=1 Tax=Leptospira phage LE3 TaxID=2041382 RepID=A0A343LE76_9CAUD</t>
  </si>
  <si>
    <t>DNAUV-2.631-110_4</t>
  </si>
  <si>
    <t>DNAUV-2.639-28_8</t>
  </si>
  <si>
    <t>DNAUV-2.641-7768_3</t>
  </si>
  <si>
    <t>Uncharacterized protein n=1 Tax=Mucilaginibacter pineti TaxID=1391627 RepID=A0A1G7ILD3_9SPHI</t>
  </si>
  <si>
    <t>DNAUV-2.644-248_6</t>
  </si>
  <si>
    <t>Uncharacterized protein n=1 Tax=Shewanella phage SppYZU01 TaxID=1965372 RepID=A0A1V0DYE6_9CAUD</t>
  </si>
  <si>
    <t>DNAUV-2.644-248_7</t>
  </si>
  <si>
    <t>DNAUV-2.646-17_10</t>
  </si>
  <si>
    <t>DNAUV-2.646-17_5</t>
  </si>
  <si>
    <t>DNAUV-2.646-17_6</t>
  </si>
  <si>
    <t>DNAUV-2.646-17_9</t>
  </si>
  <si>
    <t>DNAUV-2.648-195_4</t>
  </si>
  <si>
    <t>DNAUV-2.649-17_2</t>
  </si>
  <si>
    <t>YprB ribonuclease H-like domain-containing protein n=2 Tax=unclassified Caudoviricetes TaxID=2788787 RepID=M4MH19_9CAUD</t>
  </si>
  <si>
    <t>DNAUV-2.651-23_1</t>
  </si>
  <si>
    <t>Uncharacterized protein n=1 Tax=Variovorax paradoxus TaxID=34073 RepID=A0A2W5QM14_VARPD</t>
  </si>
  <si>
    <t>DNAUV-2.651-23_3</t>
  </si>
  <si>
    <t>VOG22025 [FUNC="REFSEQ amidoligase enzyme"] [TAG=Xu TAGDEF="Function unknown"]</t>
  </si>
  <si>
    <t>Putative amidoligase n=2 Tax=unclassified Paundecimvirus TaxID=2852667 RepID=A0A8F2DCV9_9CAUD</t>
  </si>
  <si>
    <t>DNAUV-2.658-12_4</t>
  </si>
  <si>
    <t>Endonuclease n=1 Tax=Klebsiella phage SBP TaxID=2973661 RepID=A0A9X9JTY7_9CAUD</t>
  </si>
  <si>
    <t>DNAUV-2.661-11_3</t>
  </si>
  <si>
    <t>Uncharacterized protein n=5 Tax=Gammaproteobacteria TaxID=1236 RepID=A0A0F5ZQG3_STEMA</t>
  </si>
  <si>
    <t>DNAUV-2.661-212_4</t>
  </si>
  <si>
    <t>Methyltransferase n=1 Tax=Pseudoalteromonas phage H103 TaxID=1636200 RepID=A0A0K0MDE6_9CAUD</t>
  </si>
  <si>
    <t>DNAUV-2.676-184_2</t>
  </si>
  <si>
    <t>DNAUV-2.680-8.6_1</t>
  </si>
  <si>
    <t>DNAUV-2.680-8.6_3</t>
  </si>
  <si>
    <t>DNAUV-2.681-25_3</t>
  </si>
  <si>
    <t>DUF1353 domain-containing protein n=1 Tax=Abyssibacter profundi TaxID=2182787 RepID=A0A363UL28_9GAMM</t>
  </si>
  <si>
    <t>DNAUV-2.683-16_2</t>
  </si>
  <si>
    <t>Peptidase S74 domain-containing protein n=1 Tax=Pelagibacter phage HTVC008M TaxID=1283076 RepID=M1HLR9_9CAUD</t>
  </si>
  <si>
    <t>DNAUV-2.690-26_4</t>
  </si>
  <si>
    <t>Uncharacterized protein gp51 n=1 Tax=EBPR podovirus 1 TaxID=1048515 RepID=F8TUJ8_9CAUD</t>
  </si>
  <si>
    <t>DNAUV-2.694-44_4</t>
  </si>
  <si>
    <t>HNH homing endonuclease n=1 Tax=Yersinia phage vB_YenM_TG1 TaxID=1589265 RepID=A0A0B4ZXJ9_9CAUD</t>
  </si>
  <si>
    <t>DNAUV-2.695-12_1</t>
  </si>
  <si>
    <t>DNAUV-2.695-12_2</t>
  </si>
  <si>
    <t>DNAUV-2.699-1272_1</t>
  </si>
  <si>
    <t>DNAUV-2.699-17_1</t>
  </si>
  <si>
    <t>Bacteriophage T5 Orf172 DNA-binding domain-containing protein n=1 Tax=Vibrio phage 1.168.O._10N.261.52.A10 TaxID=1881212 RepID=A0A2I7RED5_9CAUD</t>
  </si>
  <si>
    <t>DNAUV-2.699-17_2</t>
  </si>
  <si>
    <t>VOG13014 [FUNC="REFSEQ hypothetical protein"] [TAG=Xu TAGDEF="Function unknown"]</t>
  </si>
  <si>
    <t>Uncharacterized protein n=1 Tax=Cellulosilyticum sp. WCF-2 TaxID=2497860 RepID=A0A5B9YDA5_9FIRM</t>
  </si>
  <si>
    <t>DNAUV-2.701-743_2</t>
  </si>
  <si>
    <t>Uncharacterized protein n=1 Tax=Stenotrophomonas phage vB_SmaS_BUCT548 TaxID=2712941 RepID=A0A7D2HHT9_9CAUD</t>
  </si>
  <si>
    <t>DNAUV-2.701-743_3</t>
  </si>
  <si>
    <t>Uncharacterized protein n=1 Tax=Pseudo-nitzschia multiseries DNA virus TaxID=2364897 RepID=A0A678W4R9_9VIRU</t>
  </si>
  <si>
    <t>DNAUV-2.702-35_2</t>
  </si>
  <si>
    <t>DNAUV-2.702-35_3</t>
  </si>
  <si>
    <t>DNAUV-2.705-103_12</t>
  </si>
  <si>
    <t>DNAUV-2.706-19_2</t>
  </si>
  <si>
    <t>Peptidase C39 domain-containing protein n=1 Tax=Acidovorax phage ACP17 TaxID=2010329 RepID=A0A218M3C1_9CAUD</t>
  </si>
  <si>
    <t>DNAUV-2.708-49_2</t>
  </si>
  <si>
    <t>Uncharacterized protein n=1 Tax=Algicella marina TaxID=2683284 RepID=A0A6P1SY86_9RHOB</t>
  </si>
  <si>
    <t>DNAUV-2.721-72_2</t>
  </si>
  <si>
    <t>VOG28698 [FUNC="REFSEQ hypothetical protein"] [TAG=Xu TAGDEF="Function unknown"]</t>
  </si>
  <si>
    <t>Uncharacterized protein n=1 Tax=Arcticibacter pallidicorallinus TaxID=1259464 RepID=A0A2T0U0Z0_9SPHI</t>
  </si>
  <si>
    <t>DNAUV-2.728-7.8_3</t>
  </si>
  <si>
    <t>Uncharacterized protein n=1 Tax=Erwinia phage Fifi067 TaxID=2996065 RepID=A0A9E9C058_9CAUD</t>
  </si>
  <si>
    <t>DNAUV-2.728-7.8_4</t>
  </si>
  <si>
    <t>Uncharacterized protein n=2 Tax=Dongdastvirus TaxID=2842653 RepID=A0A514CUG3_9CAUD</t>
  </si>
  <si>
    <t>DNAUV-2.733-14_6</t>
  </si>
  <si>
    <t>DNA-binding protein n=1 Tax=Desulfovibrio sulfodismutans TaxID=63561 RepID=A0A7K3NMH2_9BACT</t>
  </si>
  <si>
    <t>DNAUV-2.733-28_12</t>
  </si>
  <si>
    <t>Uncharacterized protein n=1 Tax=Enterovirga sp. DB1703 TaxID=2730920 RepID=A0A849IM41_9HYPH</t>
  </si>
  <si>
    <t>DNAUV-2.733-28_13</t>
  </si>
  <si>
    <t>VRR-NUC domain-containing protein n=1 Tax=Burkholderia sp. 8Y TaxID=2653133 RepID=A0A653P4U2_9BURK</t>
  </si>
  <si>
    <t>DNAUV-2.733-28_7</t>
  </si>
  <si>
    <t>VOG17470 [FUNC="REFSEQ exonuclease"] [TAG=Xu TAGDEF="Function unknown"]</t>
  </si>
  <si>
    <t>Uncharacterized protein n=2 Tax=Pseudosulfitobacter pseudonitzschiae TaxID=1402135 RepID=A0A9Q2MT82_9RHOB</t>
  </si>
  <si>
    <t>DNAUV-2.733-28_8</t>
  </si>
  <si>
    <t>Single-stranded DNA-binding protein n=1 Tax=Paracoccus sulfuroxidans TaxID=384678 RepID=A0A562NKN8_9RHOB</t>
  </si>
  <si>
    <t>DNAUV-2.741-11_5</t>
  </si>
  <si>
    <t>DNAUV-2.744-424_1</t>
  </si>
  <si>
    <t>DNAUV-2.748-11_2</t>
  </si>
  <si>
    <t>VOG00010 [FUNC="REFSEQ 2OG-Fe(II) oxygenase"] [TAG=Xu TAGDEF="Function unknown"]</t>
  </si>
  <si>
    <t>Fe2OG dioxygenase domain-containing protein n=2 Tax=unclassified Kyanoviridae TaxID=2960609 RepID=A0A4Y5P1E0_9CAUD</t>
  </si>
  <si>
    <t>DNAUV-2.748-800_2</t>
  </si>
  <si>
    <t>Acetyltransferase n=1 Tax=Bacillus phage Riggi TaxID=2884426 RepID=U5PWN7_9CAUD</t>
  </si>
  <si>
    <t>DNAUV-2.748-800_3</t>
  </si>
  <si>
    <t>HNH endonuclease n=1 Tax=Cupriavidus gilardii TaxID=82541 RepID=A0A849B8L8_9BURK</t>
  </si>
  <si>
    <t>DNAUV-2.748-800_6</t>
  </si>
  <si>
    <t>DNAUV-2.750-13_3</t>
  </si>
  <si>
    <t>Phage-related protein n=4 Tax=Bordetella bronchiseptica TaxID=518 RepID=A0A0C6NZB9_BORBO</t>
  </si>
  <si>
    <t>DNAUV-2.750-13_6</t>
  </si>
  <si>
    <t>Uncharacterized protein n=2 Tax=Hyphomonas adhaerens TaxID=81029 RepID=A0A3B9GUG6_9PROT</t>
  </si>
  <si>
    <t>DNAUV-2.750-13_7</t>
  </si>
  <si>
    <t>Putative tail fiber n=1 Tax=Pelagibacter phage HTVC010P TaxID=1283077 RepID=M1I7L2_9CAUD</t>
  </si>
  <si>
    <t>DNAUV-2.753-140_3</t>
  </si>
  <si>
    <t>Nuclease associated modular domain 3 protein n=1 Tax=Vibrio phage 1.246.O._10N.261.54.E10 TaxID=1881413 RepID=A0A2I7RWP4_9CAUD</t>
  </si>
  <si>
    <t>DNAUV-2.753-140_5</t>
  </si>
  <si>
    <t>DUF3310 domain-containing protein n=1 Tax=Synechococcus sp. TMED187 TaxID=1986595 RepID=A0A1Z9KZ35_9SYNE</t>
  </si>
  <si>
    <t>DNAUV-2.759-19_2</t>
  </si>
  <si>
    <t>VOG14051 [FUNC="REFSEQ hypothetical protein"] [TAG=Xu TAGDEF="Function unknown"]</t>
  </si>
  <si>
    <t>Antirestriction protein n=1 Tax=Microcystis virus Ma-LMM01 TaxID=340435 RepID=A0A7S2_9CAUD</t>
  </si>
  <si>
    <t>DNAUV-2.761-1269_1</t>
  </si>
  <si>
    <t>Cro/Cl family transcriptional regulator n=1 Tax=Salicola phage CGphi29 TaxID=754067 RepID=M4R204_9CAUD</t>
  </si>
  <si>
    <t>DNAUV-2.761-1269_2</t>
  </si>
  <si>
    <t>VOG04929 [FUNC="REFSEQ hypothetical protein"] [TAG=Xu TAGDEF="Function unknown"]</t>
  </si>
  <si>
    <t>ParB-like nuclease domain-containing protein n=1 Tax=Actinopolyspora righensis TaxID=995060 RepID=A0A1I7AL99_9ACTN</t>
  </si>
  <si>
    <t>DNAUV-2.761-1269_3</t>
  </si>
  <si>
    <t>DNAUV-2.761-1269_4</t>
  </si>
  <si>
    <t>VOG04715 [FUNC="REFSEQ hypothetical protein"] [TAG=Xu TAGDEF="Function unknown"]</t>
  </si>
  <si>
    <t>Uncharacterized protein n=1 Tax=Salicola phage CGphi29 TaxID=754067 RepID=M4QTR6_9CAUD</t>
  </si>
  <si>
    <t>DNAUV-2.761-1269_5</t>
  </si>
  <si>
    <t>Putative single stranded DNA annealing protein n=1 Tax=Idiomarinaceae phage 1N2-2 TaxID=1536592 RepID=A0A088F739_9CAUD</t>
  </si>
  <si>
    <t>DNAUV-2.765-21_2</t>
  </si>
  <si>
    <t>HNH endonuclease n=1 Tax=Bradyrhizobium uaiense TaxID=2594946 RepID=A0A6P1B8G9_9BRAD</t>
  </si>
  <si>
    <t>DNAUV-2.766-14-V2_1</t>
  </si>
  <si>
    <t>VOG09975 [FUNC="REFSEQ hypothetical protein"] [TAG=Xu TAGDEF="Function unknown"]</t>
  </si>
  <si>
    <t>PepSY domain-containing protein n=1 Tax=Roseobacter phage RDJL Phi 1 TaxID=562742 RepID=F4YXP2_9CAUD</t>
  </si>
  <si>
    <t>DNAUV-2.774-12_2</t>
  </si>
  <si>
    <t>Uncharacterized protein n=1 Tax=Ruegeria phage vB_RpoS-V10 TaxID=2218616 RepID=A0A2Z4QGE7_9CAUD</t>
  </si>
  <si>
    <t>DNAUV-2.774-12_3</t>
  </si>
  <si>
    <t>Uncharacterized protein n=1 Tax=Bacteriophage DSS3_MAL1 TaxID=2664194 RepID=A0A7S5FQW7_9CAUD</t>
  </si>
  <si>
    <t>DNAUV-2.775-59_4</t>
  </si>
  <si>
    <t>DNAUV-2.775-59_6</t>
  </si>
  <si>
    <t>DNAUV-2.775-62_5</t>
  </si>
  <si>
    <t>Uncharacterized protein n=1 Tax=Synechococcus phage Bellamy TaxID=2023996 RepID=A0A222YVH7_9CAUD</t>
  </si>
  <si>
    <t>DNAUV-2.775-62_7</t>
  </si>
  <si>
    <t>DNAUV-2.775-62_9</t>
  </si>
  <si>
    <t>DNAUV-2.776-16_2</t>
  </si>
  <si>
    <t>DNAUV-2.776-16_3</t>
  </si>
  <si>
    <t>DNAUV-2.776-16_5</t>
  </si>
  <si>
    <t>DNAUV-2.776-16_6</t>
  </si>
  <si>
    <t>Phosphoribosylaminoimidazole synthetase n=1 Tax=Synechococcus phage ACG-2014f TaxID=1493511 RepID=A0A0E3HMG5_9CAUD</t>
  </si>
  <si>
    <t>DNAUV-2.781-87_1</t>
  </si>
  <si>
    <t>DNAUV-2.781-87_2</t>
  </si>
  <si>
    <t>DNAUV-2.781-87_3</t>
  </si>
  <si>
    <t>DUF3127 domain-containing protein n=1 Tax=Nonlabens phage P12024L TaxID=1168479 RepID=I6R165_9CAUD</t>
  </si>
  <si>
    <t>DNAUV-2.781-87_4</t>
  </si>
  <si>
    <t>DNAUV-2.783-11_8</t>
  </si>
  <si>
    <t>Uncharacterized protein n=1 Tax=Roseobacter phage DSS3P8 TaxID=1735562 RepID=A0A1B0V7M7_9CAUD</t>
  </si>
  <si>
    <t>DNAUV-2.787-19_1</t>
  </si>
  <si>
    <t>Amidoligase n=1 Tax=Pseudomonas phage GP100 TaxID=2055238 RepID=A0A2P9FIF4_9CAUD</t>
  </si>
  <si>
    <t>DNAUV-2.787-19_2</t>
  </si>
  <si>
    <t>DNAUV-2.788-87_3</t>
  </si>
  <si>
    <t>DNAUV-2.791-15_3</t>
  </si>
  <si>
    <t>DNAUV-2.791-184_2</t>
  </si>
  <si>
    <t>DNAUV-2.791-184_3</t>
  </si>
  <si>
    <t>sp|Q9XJP3|FIBER_BPSFV Tail spike protein OS=Shigella phage Sf6 OX=10761 PE=1 SV=2</t>
  </si>
  <si>
    <t>VOG00294 [FUNC="sp|Q9XJP3|FIBER_BPSFV Tail spike protein"] [TAG=Xh TAGDEF="Virus protein with function beneficial for the host"]</t>
  </si>
  <si>
    <t>Phage head-binding domain-containing protein n=1 Tax=Pseudomonas marvdashtae TaxID=2745500 RepID=A0A923FM71_9PSED</t>
  </si>
  <si>
    <t>DNAUV-2.792-291_3</t>
  </si>
  <si>
    <t>VOG00505 [FUNC="REFSEQ hypothetical protein"] [TAG=Xu TAGDEF="Function unknown"]</t>
  </si>
  <si>
    <t>Uncharacterized protein n=1 Tax=Halomonas sulfidaeris TaxID=115553 RepID=A0A455U6D8_9GAMM</t>
  </si>
  <si>
    <t>DNAUV-2.798-17_3</t>
  </si>
  <si>
    <t>Transposase and inactivated derivatives n=1 Tax=Moraxella ovis TaxID=29433 RepID=A0A378PJ53_9GAMM</t>
  </si>
  <si>
    <t>DNAUV-2.798-17_7</t>
  </si>
  <si>
    <t>DNAUV-2.801-189_4</t>
  </si>
  <si>
    <t>sp|P03775|OCR_BPT7 Protein Ocr OS=Escherichia phage T7 OX=10760 GN=0.3 PE=1 SV=1</t>
  </si>
  <si>
    <t>DNA mimic ocr n=1 Tax=Legionella maceachernii TaxID=466 RepID=A0A0W0WBS9_9GAMM</t>
  </si>
  <si>
    <t>DNAUV-2.805-12_2</t>
  </si>
  <si>
    <t>Head completion nuclease n=1 Tax=Lake Baikal phage Baikal-20-5m-C28 TaxID=2047876 RepID=A0A2H4N7G0_9CAUD</t>
  </si>
  <si>
    <t>DNAUV-2.805-12_3</t>
  </si>
  <si>
    <t>DNAUV-2.805-12_4</t>
  </si>
  <si>
    <t>DNAUV-2.807-32_1</t>
  </si>
  <si>
    <t>VOG30551 [FUNC="REFSEQ hypothetical protein"] [TAG=Xu TAGDEF="Function unknown"]</t>
  </si>
  <si>
    <t>Restriction endonuclease n=1 Tax=Vibrio phage 1.187.O._10N.286.49.F1 TaxID=1881434 RepID=A0A2I7RI53_9CAUD</t>
  </si>
  <si>
    <t>DNAUV-2.807-32_2</t>
  </si>
  <si>
    <t>VOG21202 [FUNC="REFSEQ hypothetical protein"] [TAG=Xu TAGDEF="Function unknown"]</t>
  </si>
  <si>
    <t>Coil containing protein n=1 Tax=Vibrio phage 1.187.O._10N.286.49.F1 TaxID=1881434 RepID=A0A2I7RI59_9CAUD</t>
  </si>
  <si>
    <t>DNAUV-2.807-32_3</t>
  </si>
  <si>
    <t>Coil containing protein n=1 Tax=Vibrio phage 1.187.O._10N.286.49.F1 TaxID=1881434 RepID=A0A2I7RI57_9CAUD</t>
  </si>
  <si>
    <t>DNAUV-2.807-39_2</t>
  </si>
  <si>
    <t>Major tropism determinant N-terminal domain-containing protein n=1 Tax=Pusillimonas sp. (ex Stolz et al. 2005) TaxID=1979962 RepID=A0A2D7XAR2_9BURK</t>
  </si>
  <si>
    <t>DNAUV-2.807-39_3</t>
  </si>
  <si>
    <t>DNAUV-2.813-485_7</t>
  </si>
  <si>
    <t>VOG00166 [FUNC="REFSEQ homing endonuclease"] [TAG=Xu TAGDEF="Function unknown"]</t>
  </si>
  <si>
    <t>DNAUV-2.816-92_1</t>
  </si>
  <si>
    <t>sp|Q9XJQ4|NING_BPP21 Protein ninG OS=Enterobacteria phage P21 OX=10711 GN=ninG PE=3 SV=1</t>
  </si>
  <si>
    <t>NinG protein n=1 Tax=Breznakibacter xylanolyticus TaxID=990 RepID=A0A2W7NDR5_9BACT</t>
  </si>
  <si>
    <t>DNAUV-2.816-92_4</t>
  </si>
  <si>
    <t>Uncharacterized protein n=1 Tax=Cellulophaga phage phi19:1 TaxID=1327970 RepID=R9ZW47_9CAUD</t>
  </si>
  <si>
    <t>DNAUV-2.817-10_2</t>
  </si>
  <si>
    <t>Uncharacterized protein n=2 Tax=Nekkelsvirus TaxID=2948836 RepID=A0A8E4UXE4_9CAUD</t>
  </si>
  <si>
    <t>DNAUV-2.818-29_8</t>
  </si>
  <si>
    <t>F5/8 type C domain-containing protein n=1 Tax=Pelagibius litoralis TaxID=374515 RepID=A0A967C748_9HYPH</t>
  </si>
  <si>
    <t>DNAUV-2.819-26_4</t>
  </si>
  <si>
    <t>Uncharacterized protein n=1 Tax=Verrucomicrobia phage P8625 TaxID=1636271 RepID=A0A0E3JS88_9CAUD</t>
  </si>
  <si>
    <t>DNAUV-2.819-26_7</t>
  </si>
  <si>
    <t>Uncharacterized protein n=2 Tax=unclassified Methylibium TaxID=2633235 RepID=W7W7J1_9BURK</t>
  </si>
  <si>
    <t>DNAUV-2.821-198_4</t>
  </si>
  <si>
    <t>Uncharacterized protein n=1 Tax=Cyanophage KBS-S-2A TaxID=889953 RepID=M4SS55_9CAUD</t>
  </si>
  <si>
    <t>DNAUV-2.822-12_2</t>
  </si>
  <si>
    <t>VOG02629 [FUNC="REFSEQ major head protein"] [TAG=Xu TAGDEF="Function unknown"]</t>
  </si>
  <si>
    <t>Major capsid protein n=1 Tax=Pseudomonas phage AN14 TaxID=1868597 RepID=A0A1B0Z088_9CAUD</t>
  </si>
  <si>
    <t>DNAUV-2.822-12_5</t>
  </si>
  <si>
    <t>VOG21160 [FUNC="REFSEQ hypothetical protein"] [TAG=Xu TAGDEF="Function unknown"]</t>
  </si>
  <si>
    <t>Uncharacterized protein n=1 Tax=Bordetella phage CN1 TaxID=1916123 RepID=A0A2D0W9V2_9CAUD</t>
  </si>
  <si>
    <t>DNAUV-2.823-15_2</t>
  </si>
  <si>
    <t>DNAUV-2.835-12_2</t>
  </si>
  <si>
    <t>Right handed beta helix domain-containing protein n=1 Tax=Nitrospira sp. WS238 TaxID=2039812 RepID=A0A967DV39_9BACT</t>
  </si>
  <si>
    <t>DNAUV-2.835-12_3</t>
  </si>
  <si>
    <t>Virion structural protein n=1 Tax=Cyanophage S-TIM54 TaxID=1137744 RepID=A0A9X9P369_9CAUD</t>
  </si>
  <si>
    <t>DNAUV-2.835-12_4</t>
  </si>
  <si>
    <t>Putative tail fiber protein n=1 Tax=Roseobacter phage CRP-6 TaxID=2559285 RepID=A0A646QWK4_9CAUD</t>
  </si>
  <si>
    <t>DNAUV-2.841-16_1</t>
  </si>
  <si>
    <t>LamG-like jellyroll fold domain-containing protein n=2 Tax=Mycolicibacter kumamotonensis TaxID=354243 RepID=A0A1X0DY46_9MYCO</t>
  </si>
  <si>
    <t>DNAUV-2.841-16_4</t>
  </si>
  <si>
    <t>DNAUV-2.849-14_2</t>
  </si>
  <si>
    <t>sp|O48499|D14_BPT5 Protein D14 OS=Escherichia phage T5 OX=2695836 GN=D14 PE=2 SV=1</t>
  </si>
  <si>
    <t>Holliday junction resolvase n=1 Tax=Ackermannviridae sp. ctUml7 TaxID=2825753 RepID=A0A8S5V9M7_9CAUD</t>
  </si>
  <si>
    <t>DNAUV-2.849-19_2</t>
  </si>
  <si>
    <t>DNAUV-2.857-222_2</t>
  </si>
  <si>
    <t>DNAUV-2.857-222_6</t>
  </si>
  <si>
    <t>Nuclease-associated modular DNA-binding 1 domain-containing protein n=2 Tax=Phaeobacter sp. 11ANDIMAR09 TaxID=1225647 RepID=A0A0P6S0B5_9RHOB</t>
  </si>
  <si>
    <t>DNAUV-2.862-95_1</t>
  </si>
  <si>
    <t>Putative injection protein n=1 Tax=Rhizobium phage RHph_Y1_10 TaxID=2509570 RepID=A0A7S5UT57_9CAUD</t>
  </si>
  <si>
    <t>DNAUV-2.865-10_1</t>
  </si>
  <si>
    <t>Uncharacterized protein n=2 Tax=Lightbulbvirus Cba172 TaxID=1918525 RepID=R9ZX40_9CAUD</t>
  </si>
  <si>
    <t>DNAUV-2.865-10_2</t>
  </si>
  <si>
    <t>DUF3575 domain-containing protein n=1 Tax=Aestuariibaculum marinum TaxID=2683592 RepID=A0A8J6PNV2_9FLAO</t>
  </si>
  <si>
    <t>DNAUV-2.865-10_4</t>
  </si>
  <si>
    <t>sp|P32270|DDA_BPT4 ATP-dependent DNA helicase dda OS=Enterobacteria phage T4 OX=10665 GN=dda PE=1 SV=2</t>
  </si>
  <si>
    <t>Helicase n=2 Tax=Francisella tularensis subsp. tularensis TaxID=119856 RepID=Q5NIE0_FRATT</t>
  </si>
  <si>
    <t>DNAUV-2.866-12_1</t>
  </si>
  <si>
    <t>Uncharacterized protein n=1 Tax=Virus NIOZ-UU157 TaxID=2763269 RepID=A0A7S9SU42_9VIRU</t>
  </si>
  <si>
    <t>DNAUV-2.866-12_2</t>
  </si>
  <si>
    <t>VOG04439 [FUNC="REFSEQ baseplate wedge subunit"] [TAG=Xu TAGDEF="Function unknown"]</t>
  </si>
  <si>
    <t>Baseplate wedge protein gp6 n=1 Tax=Virus NIOZ-UU157 TaxID=2763269 RepID=A0A7S9SS74_9VIRU</t>
  </si>
  <si>
    <t>DNAUV-2.870-12_1</t>
  </si>
  <si>
    <t>Putative ATP-dependent helicase n=1 Tax=Vibrio phage vB_VpaS_MAR10 TaxID=1229755 RepID=K7R2H9_9CAUD</t>
  </si>
  <si>
    <t>DNAUV-2.870-12_3</t>
  </si>
  <si>
    <t>SNF2-related protein n=1 Tax=Thermus phage phiLo TaxID=2301536 RepID=A0A3S7URW0_9CAUD</t>
  </si>
  <si>
    <t>DNAUV-2.873-21_1</t>
  </si>
  <si>
    <t>Putative tail fiber n=1 Tax=Pelagibacter phage HTVC100P TaxID=2796522 RepID=A0A7T3U753_9CAUD</t>
  </si>
  <si>
    <t>DNAUV-2.874-202_5</t>
  </si>
  <si>
    <t>DNAUV-2.874-202_6</t>
  </si>
  <si>
    <t>DNAUV-2.875-14_4</t>
  </si>
  <si>
    <t>Uncharacterized protein n=1 Tax=Micavibrio aeruginosavorus (strain ARL-13) TaxID=856793 RepID=G2KMZ8_MICAA</t>
  </si>
  <si>
    <t>DNAUV-2.875-14_7</t>
  </si>
  <si>
    <t>DNAUV-2.876-6.9_5</t>
  </si>
  <si>
    <t>Uncharacterized protein n=1 Tax=Vibrio phage VvAW1 TaxID=1168281 RepID=I3PUZ3_9CAUD</t>
  </si>
  <si>
    <t>DNAUV-2.881-22_11</t>
  </si>
  <si>
    <t>Uncharacterized protein n=1 Tax=Salipiger marinus TaxID=555512 RepID=A0A1G8PTA8_9RHOB</t>
  </si>
  <si>
    <t>DNAUV-2.881-22_14</t>
  </si>
  <si>
    <t>Uncharacterized protein n=1 Tax=Roseobacter sp. HKCCD8822 TaxID=2690528 RepID=A0A972G064_9RHOB</t>
  </si>
  <si>
    <t>DNAUV-2.881-22_7</t>
  </si>
  <si>
    <t>Coil containing protein n=1 Tax=Vibrio phage 1.132.O._10N.222.49.F8 TaxID=1881201 RepID=A0A2I7R7Z0_9CAUD</t>
  </si>
  <si>
    <t>DNAUV-2.881-22_8</t>
  </si>
  <si>
    <t>DNAUV-2.892-541_17</t>
  </si>
  <si>
    <t>DNAUV-2.894-11_1</t>
  </si>
  <si>
    <t>DNAUV-2.894-11_3</t>
  </si>
  <si>
    <t>Uncharacterized protein n=1 Tax=Pseudoalteromonas virus vB_PspP-H6/1 TaxID=1852626 RepID=A0A191ZDF0_9CAUD</t>
  </si>
  <si>
    <t>DNAUV-2.897-128_2</t>
  </si>
  <si>
    <t>VOG15331 [FUNC="REFSEQ minor tail protein"] [TAG=Xu TAGDEF="Function unknown"]</t>
  </si>
  <si>
    <t>DNAUV-2.897-128_4</t>
  </si>
  <si>
    <t>VOG03039 [FUNC="REFSEQ hypothetical protein"] [TAG=Xu TAGDEF="Function unknown"]</t>
  </si>
  <si>
    <t>Uncharacterized protein n=1 Tax=Brucella oryzae TaxID=335286 RepID=A0A2S7IW22_9HYPH</t>
  </si>
  <si>
    <t>DNAUV-2.898-11_2</t>
  </si>
  <si>
    <t>Uncharacterized protein n=1 Tax=Paraburkholderia phenazinium TaxID=60549 RepID=A0A1G7ZSU2_9BURK</t>
  </si>
  <si>
    <t>DNAUV-2.898-11_4</t>
  </si>
  <si>
    <t>VOG26667 [FUNC="REFSEQ hypothetical protein"] [TAG=Xu TAGDEF="Function unknown"]</t>
  </si>
  <si>
    <t>Uncharacterized protein n=1 Tax=Ideonella livida TaxID=2707176 RepID=A0A7C9PEJ0_9BURK</t>
  </si>
  <si>
    <t>DNAUV-2.907-13_10</t>
  </si>
  <si>
    <t>DNAUV-2.909-11_4</t>
  </si>
  <si>
    <t>VOG00591 [FUNC="REFSEQ DUF550 domain-containing protein"] [TAG=Xu TAGDEF="Function unknown"]</t>
  </si>
  <si>
    <t>dATP/dGTP diphosphohydrolase MazZ domain-containing protein n=1 Tax=Kiloniella spongiae TaxID=1489064 RepID=A0A0H2MFX1_9PROT</t>
  </si>
  <si>
    <t>DNAUV-2.909-11_6</t>
  </si>
  <si>
    <t>Exonuclease n=3 Tax=Ahtivirus sagseatwo TaxID=2734079 RepID=E3SJQ0_9CAUD</t>
  </si>
  <si>
    <t>DNAUV-2.920-20_2</t>
  </si>
  <si>
    <t>Pectin lyase fold/virulence factor n=1 Tax=Vibrio phage 1.115.B._10N.222.49.B11 TaxID=1881197 RepID=A0A2I7R4J5_9CAUD</t>
  </si>
  <si>
    <t>DNAUV-2.920-20_5</t>
  </si>
  <si>
    <t>Sialate O-acetylesterase domain-containing protein n=1 Tax=Wenxinia marina DSM 24838 TaxID=1123501 RepID=A0A0D0P868_9RHOB</t>
  </si>
  <si>
    <t>DNAUV-2.921-10_1</t>
  </si>
  <si>
    <t>VOG00831 [FUNC="REFSEQ hypothetical protein"] [TAG=Xu TAGDEF="Function unknown"]</t>
  </si>
  <si>
    <t>Uncharacterized protein n=4 Tax=Bacteroidaceae TaxID=815 RepID=A0A6I1BI90_PHOVU</t>
  </si>
  <si>
    <t>DNAUV-2.921-10_3</t>
  </si>
  <si>
    <t>DNAUV-2.927-15_8</t>
  </si>
  <si>
    <t>VOG24054 [FUNC="REFSEQ hypothetical protein"] [TAG=Xu TAGDEF="Function unknown"]</t>
  </si>
  <si>
    <t>Uncharacterized protein (Fragment) n=1 Tax=Tetraselmis chuii TaxID=63592 RepID=A0A7S1T4T0_9CHLO</t>
  </si>
  <si>
    <t>DNAUV-2.929-14_2</t>
  </si>
  <si>
    <t>Outer membrane protein n=2 Tax=Shandvirus TaxID=2948904 RepID=A0A1Z1LWN5_9CAUD</t>
  </si>
  <si>
    <t>DNAUV-2.934-17_5</t>
  </si>
  <si>
    <t>Portal protein n=1 Tax=Agaricicola taiwanensis TaxID=591372 RepID=A0A8J2VRE9_9RHOB</t>
  </si>
  <si>
    <t>DNAUV-2.934-17_7</t>
  </si>
  <si>
    <t>VOG05510 [FUNC="REFSEQ head scaffolding protein"] [TAG=Xu TAGDEF="Function unknown"]</t>
  </si>
  <si>
    <t>Scaffold protein n=1 Tax=EBPR podovirus 1 TaxID=1048515 RepID=F8TUN8_9CAUD</t>
  </si>
  <si>
    <t>DNAUV-2.939-16_4</t>
  </si>
  <si>
    <t>Baseplate tail tube cap n=1 Tax=Ochrobactrum phage vB_OspM_OC TaxID=2712956 RepID=A0A6G6XWN4_9CAUD</t>
  </si>
  <si>
    <t>DNAUV-2.939-16_6</t>
  </si>
  <si>
    <t>Head completion protein n=1 Tax=Synechococcus phage S-CREM1 TaxID=2982919 RepID=A0A9X9JPS3_9CAUD</t>
  </si>
  <si>
    <t>DNAUV-2.944-318_3</t>
  </si>
  <si>
    <t>DNAUV-2.948-371_2</t>
  </si>
  <si>
    <t>DNAUV-2.948-371_3</t>
  </si>
  <si>
    <t>DNAUV-2.948-371_4</t>
  </si>
  <si>
    <t>DNAUV-2.954-15_1</t>
  </si>
  <si>
    <t>Head completion nuclease n=4 Tax=Emdodecavirus TaxID=1980937 RepID=S5MV71_9CAUD</t>
  </si>
  <si>
    <t>DNAUV-2.954-15_2</t>
  </si>
  <si>
    <t>DNAUV-2.954-15_3</t>
  </si>
  <si>
    <t>Tail tube monomer n=4 Tax=Emdodecavirus TaxID=1980937 RepID=S5MV73_9CAUD</t>
  </si>
  <si>
    <t>DNAUV-2.954-15_4</t>
  </si>
  <si>
    <t>Baseplate hub subunit n=1 Tax=Synechococcus phage ACG-2014d TaxID=1493509 RepID=A0A0E3ENJ4_9CAUD</t>
  </si>
  <si>
    <t>DNAUV-2.955-25_4</t>
  </si>
  <si>
    <t>Uncharacterized protein n=1 Tax=Caulobacter phage CcrColossus TaxID=1211640 RepID=K4JRF8_9CAUD</t>
  </si>
  <si>
    <t>DNAUV-2.957-13_1</t>
  </si>
  <si>
    <t>DNA-binding protein n=1 Tax=Pseudomonas phage vB_PsaM_M1 TaxID=2995601 RepID=A0A9E8G188_9CAUD</t>
  </si>
  <si>
    <t>DNAUV-2.957-13_2</t>
  </si>
  <si>
    <t>Exodeoxyribonuclease n=1 Tax=Vibrio phage helene 12B3 TaxID=573173 RepID=M4MH26_9CAUD</t>
  </si>
  <si>
    <t>DNAUV-2.962-203_6</t>
  </si>
  <si>
    <t>DNAUV-2.963-1699_1</t>
  </si>
  <si>
    <t>Uncharacterized protein n=1 Tax=Caulobacter phage Cr30 TaxID=1357714 RepID=A0A067XQQ8_9CAUD</t>
  </si>
  <si>
    <t>DNAUV-2.963-6.8_4</t>
  </si>
  <si>
    <t>Holliday junction resolvase n=1 Tax=Synechococcus phage S-WAM1 TaxID=1815521 RepID=A0A1D8KSU7_9CAUD</t>
  </si>
  <si>
    <t>DNAUV-2.965-25_3</t>
  </si>
  <si>
    <t>Minor tail protein (Fragment) n=1 Tax=Hot spring virus BHS1 TaxID=2024351 RepID=A0A2U7PIE3_9VIRU</t>
  </si>
  <si>
    <t>DNAUV-2.965-25_4</t>
  </si>
  <si>
    <t>Uncharacterized protein n=1 Tax=Streptomyces sp. CC53 TaxID=1906740 RepID=A0A1S2K166_9ACTN</t>
  </si>
  <si>
    <t>DNAUV-2.968-10_4</t>
  </si>
  <si>
    <t>VOG30448 [FUNC="REFSEQ hypothetical protein"] [TAG=Xu TAGDEF="Function unknown"]</t>
  </si>
  <si>
    <t>N4 gp2-like protein n=2 Tax=Roseovarius Plymouth podovirus 1 TaxID=926474 RepID=E3PZ62_9CAUD</t>
  </si>
  <si>
    <t>DNAUV-2.968-10_7</t>
  </si>
  <si>
    <t>DNAUV-2.979-124_6</t>
  </si>
  <si>
    <t>DNAUV-2.979-124_8</t>
  </si>
  <si>
    <t>DNAUV-2.979-124_9</t>
  </si>
  <si>
    <t>DNAUV-2.983-128_3</t>
  </si>
  <si>
    <t>VOG04651 [FUNC="REFSEQ hypothetical protein"] [TAG=Xu TAGDEF="Function unknown"]</t>
  </si>
  <si>
    <t>Uncharacterized protein n=1 Tax=Celeribacter phage P12053L TaxID=1197951 RepID=I6RSZ5_9CAUD</t>
  </si>
  <si>
    <t>DNAUV-2.983-128_4</t>
  </si>
  <si>
    <t>DNAUV-2.983-128_8</t>
  </si>
  <si>
    <t>Uncharacterized protein n=1 Tax=Marine Group I thaumarchaeote TaxID=2511932 RepID=A0A7K4MWA0_9ARCH</t>
  </si>
  <si>
    <t>DNAUV-2.985-16_3</t>
  </si>
  <si>
    <t>Putative portal protein n=1 Tax=Roseobacter phage CRP-9 TaxID=2813174 RepID=A0A8E5F631_9CAUD</t>
  </si>
  <si>
    <t>DNAUV-2.985-16_5</t>
  </si>
  <si>
    <t>DNAUV-2.985-16_6</t>
  </si>
  <si>
    <t>DNAUV-2.987-14_3</t>
  </si>
  <si>
    <t>VOG01464 [FUNC="REFSEQ hypothetical protein"] [TAG=Xu TAGDEF="Function unknown"]</t>
  </si>
  <si>
    <t>Uncharacterized protein n=1 Tax=Siphoviridae sp. gcode 4 TaxID=2838368 RepID=A0A8S5RU13_9CAUD</t>
  </si>
  <si>
    <t>DNAUV-2.987-14_4</t>
  </si>
  <si>
    <t>DNAUV-2.992-15-V3_2</t>
  </si>
  <si>
    <t>DnaB-like replicative helicase n=1 Tax=Synechococcus phage S-WAM1 TaxID=1815521 RepID=A0A1D8KSG6_9CAUD</t>
  </si>
  <si>
    <t>DNAUV-2.992-15-V3_6</t>
  </si>
  <si>
    <t>DNAUV-2.992-15-V3_7</t>
  </si>
  <si>
    <t>VOG27827 [FUNC="REFSEQ hypothetical protein"] [TAG=Xu TAGDEF="Function unknown"]</t>
  </si>
  <si>
    <t>Tail fiber protein n=1 Tax=Microcystis wesenbergii Mw_MB_S_20031200_S109D TaxID=2486241 RepID=A0A552LG03_9CHRO</t>
  </si>
  <si>
    <t>DNAUV-2.992-19_3</t>
  </si>
  <si>
    <t>DNAUV-2.992-19_4</t>
  </si>
  <si>
    <t>Uncharacterized protein n=1 Tax=Freshwater phage uvFW-CGR-AMD-COM-C440 TaxID=1838154 RepID=A0A1B0XU77_9CAUD</t>
  </si>
  <si>
    <t>DNAUV-2.992-19_5</t>
  </si>
  <si>
    <t>DNAUV-2.992-19_6</t>
  </si>
  <si>
    <t>Uncharacterized protein n=1 Tax=Roseobacter phage CRP-13 TaxID=2813173 RepID=A0A8E5F7J1_9CAUD</t>
  </si>
  <si>
    <t>DNAUV-2.993-152_14</t>
  </si>
  <si>
    <t>Major capsid protein n=1 Tax=Freshwater phage uvFW-CGR-AMD-COM-C449 TaxID=1838155 RepID=A0A1B0XU84_9CAUD</t>
  </si>
  <si>
    <t>DNAUV-2.993-152_19</t>
  </si>
  <si>
    <t>Uncharacterized protein n=1 Tax=Desulfobulbus sp. Tol-SR TaxID=1536652 RepID=A0A0A2HZR2_9BACT</t>
  </si>
  <si>
    <t>DNAUV-2.993-17_2</t>
  </si>
  <si>
    <t>YopX protein domain-containing protein n=1 Tax=Bacillus sp. FJAT-27225 TaxID=1743144 RepID=A0A1B9AKV2_9BACI</t>
  </si>
  <si>
    <t>DNAUV-2.993-17_4</t>
  </si>
  <si>
    <t>DUF2213 domain-containing protein n=1 Tax=Vibrio phage pYD21-A TaxID=754049 RepID=M4Q3K1_9CAUD</t>
  </si>
  <si>
    <t>DNAUV-20.101-21_13</t>
  </si>
  <si>
    <t>Recombination and repair protein n=1 Tax=Myoviridae sp. ctn8H20 TaxID=2825169 RepID=A0A8S5QGP3_9CAUD</t>
  </si>
  <si>
    <t>DNAUV-20.101-21_15</t>
  </si>
  <si>
    <t>DNAUV-20.101-21_3</t>
  </si>
  <si>
    <t>Uncharacterized protein n=1 Tax=Campylobacter lanienae NCTC 13004 TaxID=1031753 RepID=A0A1X9SPW7_9BACT</t>
  </si>
  <si>
    <t>DNAUV-20.101-21_6</t>
  </si>
  <si>
    <t>VOG08326 [FUNC="REFSEQ hypothetical protein"] [TAG=Xu TAGDEF="Function unknown"]</t>
  </si>
  <si>
    <t>Uncharacterized protein n=1 Tax=Synechococcus phage S-SCSM1 TaxID=2588487 RepID=A0A6M2ZHF9_9CAUD</t>
  </si>
  <si>
    <t>DNAUV-20.225-38_1</t>
  </si>
  <si>
    <t>Uncharacterized protein n=1 Tax=Leisingera methylohalidivorans DSM 14336 TaxID=999552 RepID=V9VZY6_9RHOB</t>
  </si>
  <si>
    <t>DNAUV-20.225-38_12</t>
  </si>
  <si>
    <t>Uncharacterized protein gp22 n=1 Tax=EBPR podovirus 2 TaxID=1048516 RepID=F8TUS1_9CAUD</t>
  </si>
  <si>
    <t>DNAUV-20.225-38_13</t>
  </si>
  <si>
    <t>Uncharacterized protein n=4 Tax=root TaxID=1 RepID=A0A088F6W5_9CAUD</t>
  </si>
  <si>
    <t>DNAUV-20.225-38_15</t>
  </si>
  <si>
    <t>VOG14053 [FUNC="REFSEQ tail protein"] [TAG=Xu TAGDEF="Function unknown"]</t>
  </si>
  <si>
    <t>Uncharacterized protein gp24 n=1 Tax=EBPR podovirus 2 TaxID=1048516 RepID=F8TUS3_9CAUD</t>
  </si>
  <si>
    <t>DNAUV-20.225-38_19</t>
  </si>
  <si>
    <t>Uncharacterized protein gp25 n=1 Tax=EBPR podovirus 2 TaxID=1048516 RepID=F8TUS4_9CAUD</t>
  </si>
  <si>
    <t>DNAUV-20.225-38_22</t>
  </si>
  <si>
    <t>Uncharacterized protein gp27 n=1 Tax=EBPR podovirus 2 TaxID=1048516 RepID=F8TUS6_9CAUD</t>
  </si>
  <si>
    <t>DNAUV-20.225-38_28</t>
  </si>
  <si>
    <t>VOG07660 [FUNC="REFSEQ hypothetical protein"] [TAG=Xu TAGDEF="Function unknown"]</t>
  </si>
  <si>
    <t>DdrB-like domain-containing protein n=1 Tax=Limimaricola cinnabarinus TaxID=1125964 RepID=A0A2G1MFQ0_9RHOB</t>
  </si>
  <si>
    <t>DNAUV-20.225-38_29</t>
  </si>
  <si>
    <t>Tail fiber protein n=1 Tax=Ensifer sp. M14 TaxID=2203782 RepID=A0A395LAQ0_9HYPH</t>
  </si>
  <si>
    <t>DNAUV-20.225-38_3</t>
  </si>
  <si>
    <t>VOG02812 [FUNC="REFSEQ hypothetical protein"] [TAG=Xu TAGDEF="Function unknown"]</t>
  </si>
  <si>
    <t>DUF5681 domain-containing protein n=1 Tax=Mesorhizobium sp. M1A.F.Ca.IN.020.04.1.1 TaxID=2496761 RepID=A0A8B3L8C8_9HYPH</t>
  </si>
  <si>
    <t>DNAUV-20.225-38_5</t>
  </si>
  <si>
    <t>Portal protein n=4 Tax=root TaxID=1 RepID=M4QR05_9CAUD</t>
  </si>
  <si>
    <t>DNAUV-20.225-38_6</t>
  </si>
  <si>
    <t>Portal protein n=1 Tax=Sulfitobacter phage phiGT1 TaxID=2745703 RepID=A0A7D5DV77_9CAUD</t>
  </si>
  <si>
    <t>DNAUV-20.225-38_7</t>
  </si>
  <si>
    <t>Scaffolding protein n=4 Tax=root TaxID=1 RepID=M4QZ86_9CAUD</t>
  </si>
  <si>
    <t>DNAUV-20.225-38_9</t>
  </si>
  <si>
    <t>Head protein n=1 Tax=EBPR podovirus 2 TaxID=1048516 RepID=F8TUR9_9CAUD</t>
  </si>
  <si>
    <t>DNAUV-20.430-24_1</t>
  </si>
  <si>
    <t>Head-closure protein n=1 Tax=Vibrio phage 1.101.O._10N.261.45.C6 TaxID=2070725 RepID=A0A2I7R1L5_9CAUD</t>
  </si>
  <si>
    <t>DNAUV-20.430-24_10</t>
  </si>
  <si>
    <t>VOG00248 [FUNC="sp|Q9P9T2|Y1581_XYLFA Uncharacterized protein XF_1581/XF_1686"] [TAG=Xu TAGDEF="Function unknown"]</t>
  </si>
  <si>
    <t>Head-closure protein n=1 Tax=Vibrio phage 1.121.O._10N.286.46.C4 TaxID=2070726 RepID=A0A2I7R600_9CAUD</t>
  </si>
  <si>
    <t>DNAUV-20.430-24_11</t>
  </si>
  <si>
    <t>VOG24331 [FUNC="REFSEQ hypothetical protein"] [TAG=Xu TAGDEF="Function unknown"]</t>
  </si>
  <si>
    <t>Baseplate protein J-like domain-containing protein n=1 Tax=Vibrio phage 11895-B1 TaxID=754075 RepID=M4QQW5_9CAUD</t>
  </si>
  <si>
    <t>DNAUV-20.430-24_12</t>
  </si>
  <si>
    <t>VOG04357 [FUNC="REFSEQ tail sheath"] [TAG=Xu TAGDEF="Function unknown"]</t>
  </si>
  <si>
    <t>Tail sheath protein n=1 Tax=Vibrio phage 1.193.O._10N.286.52.C6 TaxID=1881436 RepID=A0A2I7RKW5_9CAUD</t>
  </si>
  <si>
    <t>DNAUV-20.430-24_14</t>
  </si>
  <si>
    <t>GIY-YIG nuclease family protein n=4 Tax=unclassified Caudoviricetes TaxID=2788787 RepID=A0A385IH96_9CAUD</t>
  </si>
  <si>
    <t>DNAUV-20.430-24_15</t>
  </si>
  <si>
    <t>Meiotically up-regulated protein 113 n=1 Tax=Vibrio phage 1.187.O._10N.286.49.F1 TaxID=1881434 RepID=A0A2I7RIM0_9CAUD</t>
  </si>
  <si>
    <t>DNAUV-20.430-24_19</t>
  </si>
  <si>
    <t>Zinc ribbon domain-containing protein n=1 Tax=Isoalcanivorax pacificus W11-5 TaxID=391936 RepID=A0A0B4XKM4_9GAMM</t>
  </si>
  <si>
    <t>DNAUV-20.430-24_2</t>
  </si>
  <si>
    <t>Uncharacterized protein n=1 Tax=Vibrio phage 1.101.O._10N.261.45.C6 TaxID=2070725 RepID=A0A2I7R1K8_9CAUD</t>
  </si>
  <si>
    <t>DNAUV-20.430-24_20</t>
  </si>
  <si>
    <t>sp|Q6QGE6|ENDO2_BPT5 Putative endonuclease OS=Escherichia phage T5 OX=2695836 GN=T5.141 PE=2 SV=1</t>
  </si>
  <si>
    <t>Uncharacterized protein n=1 Tax=Vibrio phage 1.193.O._10N.286.52.C6 TaxID=1881436 RepID=A0A2I7RKM4_9CAUD</t>
  </si>
  <si>
    <t>DNAUV-20.430-24_22</t>
  </si>
  <si>
    <t>VOG20664 [FUNC="REFSEQ hypothetical protein"] [TAG=Xu TAGDEF="Function unknown"]</t>
  </si>
  <si>
    <t>Coil containing protein n=1 Tax=Vibrio phage 1.161.O._10N.261.48.C5 TaxID=1881340 RepID=A0A2I7RCT2_9CAUD</t>
  </si>
  <si>
    <t>DNAUV-20.430-24_24</t>
  </si>
  <si>
    <t>VOG09275 [FUNC="REFSEQ hypothetical protein"] [TAG=Xu TAGDEF="Function unknown"]</t>
  </si>
  <si>
    <t>DNA polymerase n=1 Tax=Shewanella sp. phage 1/40 TaxID=1458860 RepID=A0A088C4Y9_9CAUD</t>
  </si>
  <si>
    <t>DNAUV-20.430-24_25</t>
  </si>
  <si>
    <t>VOG28009 [FUNC="REFSEQ hypothetical protein"] [TAG=Xu TAGDEF="Function unknown"]</t>
  </si>
  <si>
    <t>Uncharacterized protein n=1 Tax=Vibrio phage eugene 12A10 TaxID=573172 RepID=R9UB33_9CAUD</t>
  </si>
  <si>
    <t>DNAUV-20.430-24_26</t>
  </si>
  <si>
    <t>VOG18077 [FUNC="REFSEQ hypothetical protein"] [TAG=Xu TAGDEF="Function unknown"]</t>
  </si>
  <si>
    <t>Coil containing protein n=1 Tax=Vibrio phage 1.161.O._10N.261.48.C5 TaxID=1881340 RepID=A0A2I7RCV6_9CAUD</t>
  </si>
  <si>
    <t>DNAUV-20.430-24_3</t>
  </si>
  <si>
    <t>Head completion adaptor n=1 Tax=Vibrio phage 424E50-1 TaxID=2963198 RepID=A0A9P0VER2_9CAUD</t>
  </si>
  <si>
    <t>DNAUV-20.430-24_30</t>
  </si>
  <si>
    <t>Coil containing protein n=1 Tax=Vibrio phage 1.121.O._10N.286.46.C4 TaxID=2070726 RepID=A0A2I7R681_9CAUD</t>
  </si>
  <si>
    <t>DNAUV-20.430-24_31</t>
  </si>
  <si>
    <t>Trimeric autotransporter adhesin YadA-like C-terminal membrane anchor domain-containing protein n=1 Tax=Vibrio phage RYC TaxID=1653734 RepID=A0A1E1GDV8_9CAUD</t>
  </si>
  <si>
    <t>DNAUV-20.430-24_4</t>
  </si>
  <si>
    <t>Tail fiber protein n=1 Tax=Vibrio phage vB_VchM_Kuja TaxID=2686437 RepID=A0A6B9JB13_9CAUD</t>
  </si>
  <si>
    <t>DNAUV-20.430-24_9</t>
  </si>
  <si>
    <t>VOG02596 [FUNC="REFSEQ tail completion or Neck1 protein"] [TAG=Xu TAGDEF="Function unknown"]</t>
  </si>
  <si>
    <t>Coil containing protein n=2 Tax=unclassified Caudoviricetes TaxID=2788787 RepID=A0A9P0VJC9_9CAUD</t>
  </si>
  <si>
    <t>DNAUV-20.842-60_4</t>
  </si>
  <si>
    <t>DNAUV-20.871-258_13</t>
  </si>
  <si>
    <t>Uncharacterized protein n=1 Tax=Leisingera sp. ANG-M7 TaxID=1577902 RepID=A0A0C1IG67_9RHOB</t>
  </si>
  <si>
    <t>DNAUV-20.871-258_14</t>
  </si>
  <si>
    <t>Uncharacterized protein n=1 Tax=Marinobacter sp. Hex_13 TaxID=1795866 RepID=A0A837WTD2_9GAMM</t>
  </si>
  <si>
    <t>DNAUV-20.871-258_18</t>
  </si>
  <si>
    <t>DNAUV-20.871-258_20</t>
  </si>
  <si>
    <t>DNAUV-20.871-258_32</t>
  </si>
  <si>
    <t>VOG26603 [FUNC="REFSEQ hypothetical protein"] [TAG=Xu TAGDEF="Function unknown"]</t>
  </si>
  <si>
    <t>Uncharacterized protein n=1 Tax=Dinoroseobacter phage vB_DshS-R5C TaxID=1965368 RepID=A0A1V0DYE1_9CAUD</t>
  </si>
  <si>
    <t>DNAUV-20.871-258_35</t>
  </si>
  <si>
    <t>DNAUV-20.871-258_36</t>
  </si>
  <si>
    <t>DNAUV-20.871-258_38</t>
  </si>
  <si>
    <t>DNAUV-20.871-258_40</t>
  </si>
  <si>
    <t>DNAUV-20.871-258_6</t>
  </si>
  <si>
    <t>DNAUV-20.871-258_7</t>
  </si>
  <si>
    <t>HNH endonuclease n=1 Tax=Acidovorax sp. HMWF018 TaxID=2056855 RepID=A0A2R7P8R5_9BURK</t>
  </si>
  <si>
    <t>DNAUV-20.871-258_8</t>
  </si>
  <si>
    <t>DNAUV-20.871-258_9</t>
  </si>
  <si>
    <t>DNAUV-21.362-14_17</t>
  </si>
  <si>
    <t>NinG recombination protein n=1 Tax=Podoviridae sp. ct8Lf7 TaxID=2827723 RepID=A0A8S5S016_9CAUD</t>
  </si>
  <si>
    <t>DNAUV-21.362-14_19</t>
  </si>
  <si>
    <t>Seg-like homing endonuclease protein n=1 Tax=Rhizobium phage RHph_I1_18 TaxID=2509726 RepID=A0A7S5R3Q7_9CAUD</t>
  </si>
  <si>
    <t>DNAUV-21.362-14_2</t>
  </si>
  <si>
    <t>VOG17692 [FUNC="REFSEQ hypothetical protein"] [TAG=Xu TAGDEF="Function unknown"]</t>
  </si>
  <si>
    <t>Uncharacterized protein n=1 Tax=Mesorhizobium sp. DCY119 TaxID=2108445 RepID=A0A3A3HF20_9HYPH</t>
  </si>
  <si>
    <t>DNAUV-21.362-14_20</t>
  </si>
  <si>
    <t>DNAUV-21.362-14_21</t>
  </si>
  <si>
    <t>DUF4326 domain-containing protein n=1 Tax=Rhizobium sp. MHM7A TaxID=2583233 RepID=A0A5R9P270_9HYPH</t>
  </si>
  <si>
    <t>DNAUV-21.362-14_7</t>
  </si>
  <si>
    <t>Uncharacterized protein n=1 Tax=Coraliomargarita sp. TMED73 TaxID=1986604 RepID=A0A424R7X4_9BACT</t>
  </si>
  <si>
    <t>DNAUV-22.071-221_1</t>
  </si>
  <si>
    <t>DUF2815 family protein n=1 Tax=Pseudomonas phage phiH2 TaxID=2981578 RepID=A0A977TNV0_9CAUD</t>
  </si>
  <si>
    <t>DNAUV-22.071-221_12</t>
  </si>
  <si>
    <t>VOG15243 [FUNC="REFSEQ hypothetical protein"] [TAG=Xu TAGDEF="Function unknown"]</t>
  </si>
  <si>
    <t>Uncharacterized protein n=1 Tax=Roseobacter phage RDJL Phi 2 TaxID=1682380 RepID=A0A0K0PWN2_9CAUD</t>
  </si>
  <si>
    <t>DNAUV-22.071-221_16</t>
  </si>
  <si>
    <t>VOG32610 [FUNC="REFSEQ hypothetical protein"] [TAG=Xu TAGDEF="Function unknown"]</t>
  </si>
  <si>
    <t>HTH iclR-type domain-containing protein n=1 Tax=Xanthomonas phage Mallos TaxID=2939131 RepID=A0A9E7E231_9CAUD</t>
  </si>
  <si>
    <t>DNAUV-22.071-221_21</t>
  </si>
  <si>
    <t>Uncharacterized protein n=1 Tax=Rhizobium phage RHph_Y68 TaxID=2509787 RepID=A0A7S5URS8_9CAUD</t>
  </si>
  <si>
    <t>DNAUV-22.071-221_26</t>
  </si>
  <si>
    <t>Uncharacterized protein n=1 Tax=Ruegeria phage Tedan TaxID=2759200 RepID=A0A7G9V0H4_9CAUD</t>
  </si>
  <si>
    <t>DNAUV-22.071-221_27</t>
  </si>
  <si>
    <t>VOG23790 [FUNC="REFSEQ hypothetical protein"] [TAG=Xu TAGDEF="Function unknown"]</t>
  </si>
  <si>
    <t>HIRAN domain-containing protein n=1 Tax=Xanthomonas phage Xoo-sp2 TaxID=1852622 RepID=A0A1X9IAI8_9CAUD</t>
  </si>
  <si>
    <t>DNAUV-22.071-221_31</t>
  </si>
  <si>
    <t>Endonuclease V n=1 Tax=Sinirhodobacter populi TaxID=2306993 RepID=A0A443JVS0_9RHOB</t>
  </si>
  <si>
    <t>DNAUV-22.071-221_4</t>
  </si>
  <si>
    <t>VOG31232 [FUNC="REFSEQ hypothetical protein"] [TAG=Xu TAGDEF="Function unknown"]</t>
  </si>
  <si>
    <t>Uncharacterized protein n=4 Tax=unclassified Caudoviricetes TaxID=2788787 RepID=A0A7S5RH27_9CAUD</t>
  </si>
  <si>
    <t>DNAUV-22.071-221_50</t>
  </si>
  <si>
    <t>DUF2570 domain-containing protein n=1 Tax=Rhizobium indicum TaxID=2583231 RepID=A0A6M8WR43_9HYPH</t>
  </si>
  <si>
    <t>DNAUV-22.071-221_51</t>
  </si>
  <si>
    <t>DNAUV-22.071-221_54</t>
  </si>
  <si>
    <t>DNAUV-22.071-221_55</t>
  </si>
  <si>
    <t>Uncharacterized protein n=1 Tax=Rubellimicrobium thermophilum DSM 16684 TaxID=1123069 RepID=S9R0J3_9RHOB</t>
  </si>
  <si>
    <t>DNAUV-22.127-23_15</t>
  </si>
  <si>
    <t>Uncharacterized protein n=2 Tax=Clostridium sp. AF50-3 TaxID=2293021 RepID=A0A415ZKI9_9CLOT</t>
  </si>
  <si>
    <t>DNAUV-22.127-23_17</t>
  </si>
  <si>
    <t>DUF3987 domain-containing protein n=1 Tax=Podoviridae sp. ctKoA10 TaxID=2656709 RepID=A0A5Q2W8M9_9CAUD</t>
  </si>
  <si>
    <t>DNAUV-22.127-23_2</t>
  </si>
  <si>
    <t>DNAUV-22.127-23_21</t>
  </si>
  <si>
    <t>dATP/dGTP diphosphohydrolase N-terminal domain-containing protein n=1 Tax=Marinomonas phage P12026 TaxID=1176423 RepID=I6S776_9CAUD</t>
  </si>
  <si>
    <t>DNAUV-22.127-23_23</t>
  </si>
  <si>
    <t>Uncharacterized protein n=1 Tax=Acinetobacter phage nACB2 TaxID=3015925 RepID=A0A9E9LZN2_9CAUD</t>
  </si>
  <si>
    <t>DNAUV-22.127-23_27</t>
  </si>
  <si>
    <t>Uncharacterized protein n=1 Tax=Vibrio algicola TaxID=2662262 RepID=A0A5Q0TIF7_9VIBR</t>
  </si>
  <si>
    <t>DNAUV-22.127-23_29</t>
  </si>
  <si>
    <t>VRR-NUC domain-containing protein n=1 Tax=Xanthomonas phage vB_XveM_DIBBI TaxID=1129194 RepID=I3PGW7_9CAUD</t>
  </si>
  <si>
    <t>DNAUV-22.127-23_3</t>
  </si>
  <si>
    <t>DNAUV-22.127-23_32</t>
  </si>
  <si>
    <t>Nucleic acid-binding, OB-fold protein n=1 Tax=Vibrio phage 1.178.O._10N.286.45.E12 TaxID=1881253 RepID=A0A2I7RGY4_9CAUD</t>
  </si>
  <si>
    <t>DNAUV-22.127-23_33</t>
  </si>
  <si>
    <t>Molecular chaperone DnaJ n=1 Tax=Alishewanella sp. WH16-1 TaxID=1651088 RepID=A0A0T5PNT5_9ALTE</t>
  </si>
  <si>
    <t>DNAUV-22.127-23_4</t>
  </si>
  <si>
    <t>Phage protein n=1 Tax=Marinomonas phage P12026 TaxID=1176423 RepID=I6R9Z2_9CAUD</t>
  </si>
  <si>
    <t>DNAUV-22.127-23_5</t>
  </si>
  <si>
    <t>Tail fiber protein n=1 Tax=Marinomonas phage P12026 TaxID=1176423 RepID=I6S770_9CAUD</t>
  </si>
  <si>
    <t>DNAUV-22.127-23_7</t>
  </si>
  <si>
    <t>Uncharacterized protein n=1 Tax=Marinomonas hwangdonensis TaxID=1053647 RepID=A0A3M8QDD5_9GAMM</t>
  </si>
  <si>
    <t>DNAUV-22.841-583_1</t>
  </si>
  <si>
    <t>DNAUV-22.841-583_10</t>
  </si>
  <si>
    <t>Structural protein n=1 Tax=Podoviridae sp. ctrTa16 TaxID=2656715 RepID=A0A5Q2W6M7_9CAUD</t>
  </si>
  <si>
    <t>DNAUV-22.841-583_11</t>
  </si>
  <si>
    <t>Structural protein n=1 Tax=Cellulophaga phage phi46:3 TaxID=1327985 RepID=S0A0F4_9CAUD</t>
  </si>
  <si>
    <t>DNAUV-22.841-583_12</t>
  </si>
  <si>
    <t>Uncharacterized protein n=1 Tax=Pusillimonas sp. (ex Stolz et al. 2005) TaxID=1979962 RepID=A0A2D7XES7_9BURK</t>
  </si>
  <si>
    <t>DNAUV-22.841-583_13</t>
  </si>
  <si>
    <t>Uncharacterized protein n=1 Tax=Pusillimonas sp. (ex Stolz et al. 2005) TaxID=1979962 RepID=A0A2D7XER9_9BURK</t>
  </si>
  <si>
    <t>DNAUV-22.841-583_14</t>
  </si>
  <si>
    <t>Large polyvalent protein associated domain-containing protein n=1 Tax=Muricauda nanhaiensis TaxID=2292706 RepID=A0A371JKS8_9FLAO</t>
  </si>
  <si>
    <t>DNAUV-22.841-583_2</t>
  </si>
  <si>
    <t>DNAUV-22.841-583_3</t>
  </si>
  <si>
    <t>DNAUV-22.841-583_4</t>
  </si>
  <si>
    <t>TspB protein n=1 Tax=Podoviridae sp. ctrTa16 TaxID=2656715 RepID=A0A5Q2WA01_9CAUD</t>
  </si>
  <si>
    <t>DNAUV-22.841-583_5</t>
  </si>
  <si>
    <t>Structural protein n=1 Tax=Podoviridae sp. ctrTa16 TaxID=2656715 RepID=A0A5Q2W8T6_9CAUD</t>
  </si>
  <si>
    <t>DNAUV-22.841-583_6</t>
  </si>
  <si>
    <t>Uncharacterized protein n=1 Tax=Podoviridae sp. ctrTa16 TaxID=2656715 RepID=A0A5Q2W8Y2_9CAUD</t>
  </si>
  <si>
    <t>DNAUV-22.841-583_8</t>
  </si>
  <si>
    <t>Structural protein n=1 Tax=Podoviridae sp. ctrTa16 TaxID=2656715 RepID=A0A5Q2W999_9CAUD</t>
  </si>
  <si>
    <t>DNAUV-22.841-583_9</t>
  </si>
  <si>
    <t>VOG16842 [FUNC="REFSEQ virion structural protein"] [TAG=Xu TAGDEF="Function unknown"]</t>
  </si>
  <si>
    <t>Uncharacterized protein n=1 Tax=Podoviridae sp. ctrTa16 TaxID=2656715 RepID=A0A5Q2W9F9_9CAUD</t>
  </si>
  <si>
    <t>DNAUV-22.957-353_1</t>
  </si>
  <si>
    <t>Homing endonuclease n=1 Tax=Salmonella phage ST-3 TaxID=2663323 RepID=A0A5Q2F9K9_9CAUD</t>
  </si>
  <si>
    <t>DNAUV-22.957-353_10</t>
  </si>
  <si>
    <t>DNAUV-22.957-353_13</t>
  </si>
  <si>
    <t>DNA cytosine methyltransferase n=1 Tax=Alkalihalobacillus trypoxylicola TaxID=519424 RepID=A0A161P9E9_9BACI</t>
  </si>
  <si>
    <t>DNAUV-22.957-353_14</t>
  </si>
  <si>
    <t>DNAUV-22.957-353_15</t>
  </si>
  <si>
    <t>Endonuclease VII n=1 Tax=Pseudomonas phage PhL_UNISO_PA-DSM_ph0034 TaxID=2812900 RepID=A0A9E6Q9L4_9CAUD</t>
  </si>
  <si>
    <t>DNAUV-22.957-353_17</t>
  </si>
  <si>
    <t>DNAUV-22.957-353_19</t>
  </si>
  <si>
    <t>HNH endonuclease n=1 Tax=Escherichia phage ECBP2 TaxID=1604355 RepID=J9RVU2_9CAUD</t>
  </si>
  <si>
    <t>DNAUV-22.957-353_21</t>
  </si>
  <si>
    <t>Endodeoxyribonuclease n=1 Tax=Pyruvatibacter mobilis TaxID=1712261 RepID=A0A845Q7W6_9HYPH</t>
  </si>
  <si>
    <t>DNAUV-22.957-353_24</t>
  </si>
  <si>
    <t>DNAUV-22.957-353_25</t>
  </si>
  <si>
    <t>DNAUV-22.957-353_29</t>
  </si>
  <si>
    <t>sp|P16010|SEGC_BPT4 Putative endonuclease segC OS=Enterobacteria phage T4 OX=10665 GN=segC PE=4 SV=3</t>
  </si>
  <si>
    <t>GIY-YIG nuclease family protein n=1 Tax=Ruminococcus sp. AM42-11 TaxID=2292372 RepID=A0A417CMR2_9FIRM</t>
  </si>
  <si>
    <t>DNAUV-22.957-353_32</t>
  </si>
  <si>
    <t>DNAUV-22.957-353_42</t>
  </si>
  <si>
    <t>DNAUV-22.957-353_6</t>
  </si>
  <si>
    <t>Uncharacterized protein n=1 Tax=Gemmobacter caeni TaxID=589035 RepID=A0A2T6B844_9RHOB</t>
  </si>
  <si>
    <t>DNAUV-23.114-30_31</t>
  </si>
  <si>
    <t>Ligase n=1 Tax=Erwinia phage Pecta TaxID=2851070 RepID=A0A9E6T3E2_9CAUD</t>
  </si>
  <si>
    <t>DNAUV-23.114-30_34</t>
  </si>
  <si>
    <t>Amidoligase enzyme n=1 Tax=Podoviridae sp. ctbj_2 TaxID=2675442 RepID=A0A345MKW9_9CAUD</t>
  </si>
  <si>
    <t>DNAUV-23.114-30_36</t>
  </si>
  <si>
    <t>DNAUV-23.114-30_43</t>
  </si>
  <si>
    <t>Single-stranded DNA-binding protein n=2 Tax=unclassified Caudoviricetes TaxID=2788787 RepID=A0A7S5RD65_9CAUD</t>
  </si>
  <si>
    <t>DNAUV-23.114-30_44</t>
  </si>
  <si>
    <t>DNAUV-23.114-30_45</t>
  </si>
  <si>
    <t>Endonuclease n=1 Tax=Synechococcus T7-like phage S-TIP37 TaxID=1332145 RepID=A0A345AY95_9CAUD</t>
  </si>
  <si>
    <t>DNAUV-23.114-30_46</t>
  </si>
  <si>
    <t>DNAUV-23.114-30_47</t>
  </si>
  <si>
    <t>dATP/dGTP diphosphohydrolase N-terminal domain-containing protein n=1 Tax=Brucella anthropi TaxID=529 RepID=A0A8I0TAB7_BRUAN</t>
  </si>
  <si>
    <t>DNAUV-23.114-30_50</t>
  </si>
  <si>
    <t>HNH nuclease domain-containing protein n=1 Tax=Marinobacter sp. THAF39 TaxID=2587857 RepID=A0A5P9EL16_9GAMM</t>
  </si>
  <si>
    <t>DNAUV-23.323-23_47</t>
  </si>
  <si>
    <t>DNAUV-23.323-23_48</t>
  </si>
  <si>
    <t>DNAUV-23.323-23_5</t>
  </si>
  <si>
    <t>VOG16692 [FUNC="REFSEQ hypothetical protein"] [TAG=Xu TAGDEF="Function unknown"]</t>
  </si>
  <si>
    <t>Uncharacterized protein n=1 Tax=Brevirhabdus pacifica TaxID=1267768 RepID=A0A1U7DF90_9RHOB</t>
  </si>
  <si>
    <t>DNAUV-23.323-23_51</t>
  </si>
  <si>
    <t>Head protein n=4 Tax=root TaxID=1 RepID=A0A088FAT7_9CAUD</t>
  </si>
  <si>
    <t>DNAUV-23.323-23_52</t>
  </si>
  <si>
    <t>DNAUV-23.323-23_54</t>
  </si>
  <si>
    <t>Uncharacterized protein gp23 n=1 Tax=EBPR podovirus 2 TaxID=1048516 RepID=F8TUS2_9CAUD</t>
  </si>
  <si>
    <t>DNAUV-23.323-23_55</t>
  </si>
  <si>
    <t>DNAUV-23.323-23_58</t>
  </si>
  <si>
    <t>Uncharacterized protein n=2 Tax=root TaxID=1 RepID=A0A088F6U1_9CAUD</t>
  </si>
  <si>
    <t>DNAUV-23.323-23_61</t>
  </si>
  <si>
    <t>Peptidase S74 domain-containing protein n=1 Tax=Sulfitobacter phage pCB2047-A TaxID=754045 RepID=M4QPE4_9CAUD</t>
  </si>
  <si>
    <t>DNAUV-23.323-23_63</t>
  </si>
  <si>
    <t>DNAUV-23.323-23_65</t>
  </si>
  <si>
    <t>VOG05537 [FUNC="sp|Q01076|GP20_BPP22 Internal virion protein gp20"] [TAG=Xh TAGDEF="Virus protein with function beneficial for the host"]</t>
  </si>
  <si>
    <t>Uncharacterized protein n=1 Tax=Vibrio nigripulchritudo TaxID=28173 RepID=U4JXW8_9VIBR</t>
  </si>
  <si>
    <t>DNAUV-23.323-23_67</t>
  </si>
  <si>
    <t>VOG33027 [FUNC="REFSEQ major head protein"] [TAG=Xu TAGDEF="Function unknown"]</t>
  </si>
  <si>
    <t>Uncharacterized protein n=2 Tax=root TaxID=1 RepID=A0A088FAS9_9CAUD</t>
  </si>
  <si>
    <t>DNAUV-23.323-23_70</t>
  </si>
  <si>
    <t>ADDz_ATRX-domain containing protein n=2 Tax=root TaxID=1 RepID=A0A088F817_9CAUD</t>
  </si>
  <si>
    <t>DNAUV-23.323-23_71</t>
  </si>
  <si>
    <t>Tail fiber protein n=1 Tax=Thioclava dalianensis TaxID=1185766 RepID=A0A074T9G0_9RHOB</t>
  </si>
  <si>
    <t>DNAUV-23.323-23_72</t>
  </si>
  <si>
    <t>Uncharacterized protein n=1 Tax=Rhodovulum kholense TaxID=453584 RepID=A0A8E2VIB6_9RHOB</t>
  </si>
  <si>
    <t>DNAUV-23.323-23_78</t>
  </si>
  <si>
    <t>Uncharacterized protein n=1 Tax=Roseovarius sp. THAF27 TaxID=2587850 RepID=A0A5P9GZP1_9RHOB</t>
  </si>
  <si>
    <t>DNAUV-23.323-23_79</t>
  </si>
  <si>
    <t>sp|P0DW61|TAD1_CLOM2 Thoeris anti-defense 1 OS=Clostridioides mangenotii (strain LM2) OX=1392497 GN=tad1 PE=1 SV=1</t>
  </si>
  <si>
    <t>VOG17533 [FUNC="sp|P0DW57|TAD1_BPPSB Thoeris anti-defense 1"] [TAG=Xu TAGDEF="Function unknown"]</t>
  </si>
  <si>
    <t>Phage protein n=1 Tax=Comamonas testosteroni TaxID=285 RepID=A0A1Y1J237_COMTE</t>
  </si>
  <si>
    <t>DNAUV-23.723-492_30</t>
  </si>
  <si>
    <t>Nucleotide modification associated domain-containing protein n=1 Tax=Geoglobus acetivorans TaxID=565033 RepID=A0A0A7GD10_GEOAI</t>
  </si>
  <si>
    <t>DNAUV-23.723-492_38</t>
  </si>
  <si>
    <t>DNA polymerase I n=2 Tax=Zicotriavirus TaxID=2843161 RepID=A0A1L2C993_9CAUD</t>
  </si>
  <si>
    <t>DNAUV-23.723-492_4</t>
  </si>
  <si>
    <t>Uncharacterized protein n=1 Tax=Solirubrobacter ginsenosidimutans TaxID=490573 RepID=A0A9X3N3B6_9ACTN</t>
  </si>
  <si>
    <t>DNAUV-23.723-492_40</t>
  </si>
  <si>
    <t>Endonuclease V n=1 Tax=Roseobacter phage RDJL Phi 1 TaxID=562742 RepID=F4YXR7_9CAUD</t>
  </si>
  <si>
    <t>DNAUV-23.723-492_44</t>
  </si>
  <si>
    <t>Calcineurin-like phosphoesterase domain-containing protein n=3 Tax=Burkholderia TaxID=32008 RepID=A0A7U4SSF3_9BURK</t>
  </si>
  <si>
    <t>DNAUV-24.214-21_10</t>
  </si>
  <si>
    <t>DNAUV-24.214-21_11</t>
  </si>
  <si>
    <t>DNAUV-24.214-21_12</t>
  </si>
  <si>
    <t>DNAUV-24.214-21_13</t>
  </si>
  <si>
    <t>DNAUV-24.214-21_14</t>
  </si>
  <si>
    <t>DNAUV-24.214-21_16</t>
  </si>
  <si>
    <t>DNA polymerase n=1 Tax=Lake Baikal phage Baikal-20-5m-C28 TaxID=2047876 RepID=A0A2H4N7Q2_9CAUD</t>
  </si>
  <si>
    <t>DNAUV-24.214-21_19</t>
  </si>
  <si>
    <t>DNA-directed DNA polymerase n=11 Tax=Cyanophage S-RIM50 TaxID=687803 RepID=A0A127KLX4_9CAUD</t>
  </si>
  <si>
    <t>DNAUV-24.214-21_20</t>
  </si>
  <si>
    <t>DNAUV-24.214-21_28</t>
  </si>
  <si>
    <t>Uncharacterized protein n=1 Tax=Prevotella lacticifex TaxID=2854755 RepID=A0A9R1CXT6_9BACT</t>
  </si>
  <si>
    <t>DNAUV-24.214-21_29</t>
  </si>
  <si>
    <t>DNAUV-24.214-21_34</t>
  </si>
  <si>
    <t>sp|P13329|MOBB_BPT4 Probable mobile endonuclease B OS=Enterobacteria phage T4 OX=10665 GN=mobB PE=4 SV=1</t>
  </si>
  <si>
    <t>HNH endonuclease n=1 Tax=Erwinia phage Cronus TaxID=2163633 RepID=A0A2S1GMI1_9CAUD</t>
  </si>
  <si>
    <t>DNAUV-24.214-21_35</t>
  </si>
  <si>
    <t>DNAUV-24.214-21_8</t>
  </si>
  <si>
    <t>DNAUV-24.214-21_9</t>
  </si>
  <si>
    <t>Recombination mediator protein UvsY n=1 Tax=Marine Group I thaumarchaeote TaxID=2511932 RepID=A0A7K4MQ88_9ARCH</t>
  </si>
  <si>
    <t>DNAUV-24.246-33_31</t>
  </si>
  <si>
    <t>VOG37497 [FUNC="REFSEQ hypothetical protein"] [TAG=Xu TAGDEF="Function unknown"]</t>
  </si>
  <si>
    <t>Parallel beta-helix repeat-containing protein n=1 Tax=Caballeronia sordidicola TaxID=196367 RepID=A0A158EZ14_9BURK</t>
  </si>
  <si>
    <t>DNAUV-24.246-33_32</t>
  </si>
  <si>
    <t>Phage protein n=1 Tax=Vibrio phage 464E53-1 TaxID=2963203 RepID=A0A9P0VKU3_9CAUD</t>
  </si>
  <si>
    <t>DNAUV-24.246-33_33</t>
  </si>
  <si>
    <t>HNH nuclease domain-containing protein n=1 Tax=Marinobacter similis TaxID=1420916 RepID=W5YKY5_9GAMM</t>
  </si>
  <si>
    <t>DNAUV-24.246-33_37</t>
  </si>
  <si>
    <t>DNAUV-24.246-33_38</t>
  </si>
  <si>
    <t>Scaffolding protein n=1 Tax=Methylophilales phage HIM624-A TaxID=889949 RepID=H6BJ55_9CAUD</t>
  </si>
  <si>
    <t>DNAUV-24.246-33_39</t>
  </si>
  <si>
    <t>DNAUV-24.246-33_40</t>
  </si>
  <si>
    <t>DNAUV-24.246-33_43</t>
  </si>
  <si>
    <t>DNAUV-24.246-33_45</t>
  </si>
  <si>
    <t>Head completion adaptor n=1 Tax=Vibrio phage 464E53-1 TaxID=2963203 RepID=A0A9P0VDN4_9CAUD</t>
  </si>
  <si>
    <t>DNAUV-24.246-33_48</t>
  </si>
  <si>
    <t>DNAUV-24.246-33_49</t>
  </si>
  <si>
    <t>N-acetyltransferase domain-containing protein n=1 Tax=Pseudomonas lundensis TaxID=86185 RepID=A0A266N869_9PSED</t>
  </si>
  <si>
    <t>DNAUV-24.246-33_50</t>
  </si>
  <si>
    <t>VOG06788 [FUNC="REFSEQ hypothetical protein"] [TAG=Xu TAGDEF="Function unknown"]</t>
  </si>
  <si>
    <t>Internal virion protein B n=5 Tax=Icepovirus TaxID=2842751 RepID=A0A076G4A3_9CAUD</t>
  </si>
  <si>
    <t>DNAUV-24.246-33_55</t>
  </si>
  <si>
    <t>Large polyvalent protein associated domain-containing protein n=1 Tax=Bradyrhizobium erythrophlei TaxID=1437360 RepID=A0A1M5T7A5_9BRAD</t>
  </si>
  <si>
    <t>DNAUV-24.309-205_27</t>
  </si>
  <si>
    <t>Uncharacterized protein n=1 Tax=Thalassotalea agarivorans TaxID=349064 RepID=A0A1I0BJM1_THASX</t>
  </si>
  <si>
    <t>DNAUV-24.309-205_28</t>
  </si>
  <si>
    <t>D2 protein n=2 Tax=unclassified Epseptimavirus TaxID=2738138 RepID=A0A8A6RSC7_9CAUD</t>
  </si>
  <si>
    <t>DNAUV-24.309-205_29</t>
  </si>
  <si>
    <t>VOG24477 [FUNC="REFSEQ DNA binding protein"] [TAG=Xu TAGDEF="Function unknown"]</t>
  </si>
  <si>
    <t>Putative D3 protein n=1 Tax=Salmonella phage oldekolle TaxID=2713308 RepID=A0A6G8RD54_9CAUD</t>
  </si>
  <si>
    <t>DNAUV-24.309-205_30</t>
  </si>
  <si>
    <t>Transcriptional coactivator p15 (PC4) C-terminal domain-containing protein n=1 Tax=Vibrio phage VspSw_1 TaxID=2484249 RepID=A0A411BKF0_9CAUD</t>
  </si>
  <si>
    <t>DNAUV-24.309-205_34</t>
  </si>
  <si>
    <t>DNAUV-24.309-205_42</t>
  </si>
  <si>
    <t>VOG10507 [FUNC="REFSEQ hypothetical protein"] [TAG=Xu TAGDEF="Function unknown"]</t>
  </si>
  <si>
    <t>Uncharacterized protein n=1 Tax=Klebsiella phage AmPh_EK80 TaxID=2653643 RepID=A0A5P8PKX2_9CAUD</t>
  </si>
  <si>
    <t>DNAUV-24.309-205_43</t>
  </si>
  <si>
    <t>D11 protein n=1 Tax=Vibrio phage vB_VpS_PG07 TaxID=2301664 RepID=A0A385E4M3_9CAUD</t>
  </si>
  <si>
    <t>DNAUV-24.309-205_44</t>
  </si>
  <si>
    <t>Putative recombination endonuclease subunit D12 n=1 Tax=Vibrio phage Ceto TaxID=2570300 RepID=A0A2H5BGD7_9CAUD</t>
  </si>
  <si>
    <t>DNAUV-24.309-205_47</t>
  </si>
  <si>
    <t>D14 protein n=1 Tax=Salmonella phage vB_SalS_ABTNLsp9 TaxID=2789812 RepID=A0A7S9XDM8_9CAUD</t>
  </si>
  <si>
    <t>DNAUV-24.407-29_11</t>
  </si>
  <si>
    <t>Phage protein n=1 Tax=virus sp. ctML55 TaxID=2827627 RepID=A0A8S5RI79_9VIRU</t>
  </si>
  <si>
    <t>DNAUV-24.407-29_18</t>
  </si>
  <si>
    <t>Uncharacterized protein n=1 Tax=Richelia sp. RM2_1_2 TaxID=2720436 RepID=A0A969MM90_9NOST</t>
  </si>
  <si>
    <t>DNAUV-24.407-29_19</t>
  </si>
  <si>
    <t>Terminase large subunit n=1 Tax=Podoviridae sp. ctU7u6 TaxID=2825252 RepID=A0A8S5P8V7_9CAUD</t>
  </si>
  <si>
    <t>DNAUV-24.407-29_20</t>
  </si>
  <si>
    <t>Portal protein n=1 Tax=Podoviridae sp. ctU7u6 TaxID=2825252 RepID=A0A8S5P9N8_9CAUD</t>
  </si>
  <si>
    <t>DNAUV-24.407-29_21</t>
  </si>
  <si>
    <t>VOG31412 [FUNC="REFSEQ hypothetical protein"] [TAG=Xu TAGDEF="Function unknown"]</t>
  </si>
  <si>
    <t>Regulatory protein n=1 Tax=Podoviridae sp. ctU7u6 TaxID=2825252 RepID=A0A8S5P9N2_9CAUD</t>
  </si>
  <si>
    <t>DNAUV-24.407-29_22</t>
  </si>
  <si>
    <t>Uncharacterized protein n=1 Tax=Hydrotalea sp. AMD TaxID=2501297 RepID=A0A4Q0AWU4_9BACT</t>
  </si>
  <si>
    <t>DNAUV-24.407-29_23</t>
  </si>
  <si>
    <t>DUF1738 domain-containing protein n=1 Tax=Hydrotalea sp. AMD TaxID=2501297 RepID=A0A4V1J8V9_9BACT</t>
  </si>
  <si>
    <t>DNAUV-24.407-29_24</t>
  </si>
  <si>
    <t>Uncharacterized protein n=1 Tax=Podoviridae sp. ctQyH19 TaxID=2825249 RepID=A0A8S5UR32_9CAUD</t>
  </si>
  <si>
    <t>DNAUV-24.553-87_1</t>
  </si>
  <si>
    <t>Calcineurin-like phosphoesterase domain-containing protein n=1 Tax=Gemmata sp. SH-PL17 TaxID=1630693 RepID=A0A142X8R2_9BACT</t>
  </si>
  <si>
    <t>DNAUV-24.553-87_10</t>
  </si>
  <si>
    <t>DNAUV-24.553-87_11</t>
  </si>
  <si>
    <t>DNAUV-24.553-87_12</t>
  </si>
  <si>
    <t>DNAUV-24.553-87_13</t>
  </si>
  <si>
    <t>DNAUV-24.553-87_14</t>
  </si>
  <si>
    <t>Tail assembly chaperone n=1 Tax=Chitinophaga pinensis (strain ATCC 43595 / DSM 2588 / LMG 13176 / NBRC 15968 / NCIMB 11800 / UQM 2034) TaxID=485918 RepID=A0A979G601_CHIPD</t>
  </si>
  <si>
    <t>DNAUV-24.553-87_15</t>
  </si>
  <si>
    <t>VOG02991 [FUNC="REFSEQ hypothetical protein"] [TAG=Xu TAGDEF="Function unknown"]</t>
  </si>
  <si>
    <t>Uncharacterized protein n=1 Tax=Cellulophaga phage phi10:1 TaxID=1327981 RepID=R9ZZ86_9CAUD</t>
  </si>
  <si>
    <t>DNAUV-24.553-87_17</t>
  </si>
  <si>
    <t>DNAUV-24.553-87_18</t>
  </si>
  <si>
    <t>DNAUV-24.553-87_2</t>
  </si>
  <si>
    <t>Terminase small subunit n=1 Tax=Olleya phage Harreka_1 TaxID=2745673 RepID=A0A8E4ZES0_9CAUD</t>
  </si>
  <si>
    <t>DNAUV-24.553-87_21</t>
  </si>
  <si>
    <t>VOG01822 [FUNC="REFSEQ hypothetical protein"] [TAG=Xu TAGDEF="Function unknown"]</t>
  </si>
  <si>
    <t>LamG domain-containing protein n=1 Tax=Bradyrhizobium sp. LVM 105 TaxID=2341115 RepID=A0A5E8VFG8_9BRAD</t>
  </si>
  <si>
    <t>DNAUV-24.553-87_22</t>
  </si>
  <si>
    <t>Holin n=1 Tax=Tenacibaculum litoreum TaxID=321269 RepID=A0A427SJX0_9FLAO</t>
  </si>
  <si>
    <t>DNAUV-24.553-87_23</t>
  </si>
  <si>
    <t>Peptidase M15C domain-containing protein n=1 Tax=Polaribacter phage P12002S TaxID=1647387 RepID=A0A0F7IJZ9_9CAUD</t>
  </si>
  <si>
    <t>DNAUV-24.553-87_24</t>
  </si>
  <si>
    <t>DNAUV-24.553-87_25</t>
  </si>
  <si>
    <t>Lipoprotein n=1 Tax=Polaribacter haliotis TaxID=1888915 RepID=A0A7L8AF76_9FLAO</t>
  </si>
  <si>
    <t>DNAUV-24.553-87_33</t>
  </si>
  <si>
    <t>VOG18108 [FUNC="REFSEQ hypothetical protein"] [TAG=Xu TAGDEF="Function unknown"]</t>
  </si>
  <si>
    <t>Uncharacterized protein n=1 Tax=Cellulophaga phage phi10:1 TaxID=1327981 RepID=S0A1I9_9CAUD</t>
  </si>
  <si>
    <t>DNAUV-24.553-87_34</t>
  </si>
  <si>
    <t>YqaJ recombinase family protein n=1 Tax=Tenacibaculum maritimum TaxID=107401 RepID=A0A5S9RIP1_9FLAO</t>
  </si>
  <si>
    <t>DNAUV-24.553-87_5</t>
  </si>
  <si>
    <t>DNAUV-24.553-87_7</t>
  </si>
  <si>
    <t>Phage prohead protease protein n=1 Tax=Cellulophaga phage phi10:1 TaxID=1327981 RepID=S0A1Q4_9CAUD</t>
  </si>
  <si>
    <t>DNAUV-24.553-87_9</t>
  </si>
  <si>
    <t>DNAUV-24.776-121_23</t>
  </si>
  <si>
    <t>Uncharacterized protein n=1 Tax=Klebsiella pneumoniae TaxID=573 RepID=A0A2X1QBK2_KLEPN</t>
  </si>
  <si>
    <t>DNAUV-24.776-121_25</t>
  </si>
  <si>
    <t>DNAUV-24.776-121_26</t>
  </si>
  <si>
    <t>DNAUV-24.776-121_33</t>
  </si>
  <si>
    <t>DNAUV-24.776-121_38</t>
  </si>
  <si>
    <t>DNAUV-24.776-121_45</t>
  </si>
  <si>
    <t>Uncharacterized protein n=1 Tax=Burkholderia ubonensis TaxID=101571 RepID=A0A106QCD8_9BURK</t>
  </si>
  <si>
    <t>DNAUV-24.776-121_46</t>
  </si>
  <si>
    <t>DNAUV-24.776-121_47</t>
  </si>
  <si>
    <t>DNAUV-24.776-121_50</t>
  </si>
  <si>
    <t>DNAUV-24.776-121_51</t>
  </si>
  <si>
    <t>Phage protein n=1 Tax=Acidovorax sp. SD340 TaxID=1690268 RepID=A0A0Q0TEM1_9BURK</t>
  </si>
  <si>
    <t>DNAUV-24.776-121_52</t>
  </si>
  <si>
    <t>DNAUV-24.776-121_56</t>
  </si>
  <si>
    <t>DNA-directed DNA polymerase n=1 Tax=Synechococcus phage S-SM2 TaxID=444860 RepID=E3SJ44_9CAUD</t>
  </si>
  <si>
    <t>DNAUV-24.776-121_57</t>
  </si>
  <si>
    <t>DNAUV-26.213-146_16</t>
  </si>
  <si>
    <t>DNAUV-26.213-146_20</t>
  </si>
  <si>
    <t>Putative endonuclease SegE GIY-YIG domain-containing protein n=1 Tax=Spirosoma terrae TaxID=1968276 RepID=A0A6L9LB34_9BACT</t>
  </si>
  <si>
    <t>DNAUV-26.213-146_22</t>
  </si>
  <si>
    <t>PD-(D/E)XK endonuclease-like domain-containing protein n=1 Tax=Robiginitalea biformata (strain ATCC BAA-864 / HTCC2501 / KCTC 12146) TaxID=313596 RepID=A4CPW1_ROBBH</t>
  </si>
  <si>
    <t>DNAUV-26.213-146_23</t>
  </si>
  <si>
    <t>Zeta toxin domain-containing protein n=1 Tax=Ralstonia phage RsoM2USA TaxID=2070027 RepID=A0A8D4GME8_9CAUD</t>
  </si>
  <si>
    <t>DNAUV-26.213-146_24</t>
  </si>
  <si>
    <t>Uncharacterized protein n=2 Tax=Heterosigma akashiwo TaxID=2829 RepID=A0A7S3XQ39_HETAK</t>
  </si>
  <si>
    <t>DNAUV-26.213-146_26</t>
  </si>
  <si>
    <t>VOG21928 [FUNC="REFSEQ hypothetical protein"] [TAG=Xu TAGDEF="Function unknown"]</t>
  </si>
  <si>
    <t>Uncharacterized protein n=1 Tax=CrAss-like virus sp. ctt4r3 TaxID=2823619 RepID=A0A8S5L779_9CAUD</t>
  </si>
  <si>
    <t>DNAUV-26.213-146_28</t>
  </si>
  <si>
    <t>High potential iron-sulfur protein n=1 Tax=Freshwater phage uvFW-CGR-AMD-COM-C203 TaxID=1838151 RepID=A0A1B0XTQ0_9CAUD</t>
  </si>
  <si>
    <t>DNAUV-26.213-146_7</t>
  </si>
  <si>
    <t>Uncharacterized protein n=1 Tax=Wuchereria bancrofti TaxID=6293 RepID=A0A3P7DKQ6_WUCBA</t>
  </si>
  <si>
    <t>DNAUV-26.770-92_11</t>
  </si>
  <si>
    <t>DNAUV-26.770-92_18</t>
  </si>
  <si>
    <t>DNAUV-26.770-92_20</t>
  </si>
  <si>
    <t>DNAUV-26.770-92_25</t>
  </si>
  <si>
    <t>DUF6378 domain-containing protein n=1 Tax=Gordonia phage TinaLin TaxID=2797324 RepID=A0A7T7GTG4_9CAUD</t>
  </si>
  <si>
    <t>DNAUV-26.770-92_45</t>
  </si>
  <si>
    <t>Ubiquitin-activating enzyme E1 FCCH domain-containing protein n=1 Tax=Alteromonas australica TaxID=589873 RepID=A0A350P8S0_9ALTE</t>
  </si>
  <si>
    <t>DNAUV-26.770-92_46</t>
  </si>
  <si>
    <t>Uncharacterized protein n=1 Tax=Pusillimonas sp. (ex Stolz et al. 2005) TaxID=1979962 RepID=A0A2D7XES2_9BURK</t>
  </si>
  <si>
    <t>DNAUV-26.770-92_49</t>
  </si>
  <si>
    <t>Uncharacterized protein n=1 Tax=Pusillimonas sp. (ex Stolz et al. 2005) TaxID=1979962 RepID=A0A2D7XCD6_9BURK</t>
  </si>
  <si>
    <t>DNAUV-26.770-92_51</t>
  </si>
  <si>
    <t>Uncharacterized protein n=1 Tax=Paracoccus versutus TaxID=34007 RepID=A0A3D9XRR5_PARVE</t>
  </si>
  <si>
    <t>DNAUV-26.770-92_52</t>
  </si>
  <si>
    <t>Large polyvalent protein associated domain-containing protein (Fragment) n=1 Tax=Alteromonas australica TaxID=589873 RepID=A0A350P8P0_9ALTE</t>
  </si>
  <si>
    <t>DNAUV-26.770-92_78</t>
  </si>
  <si>
    <t>Terminase small subunit n=1 Tax=phage 023Pt_psg01 TaxID=2945965 RepID=A0A9E7IDS7_9CAUD</t>
  </si>
  <si>
    <t>DNAUV-26.770-92_9</t>
  </si>
  <si>
    <t>DNAUV-28.498-30_11</t>
  </si>
  <si>
    <t>Uncharacterized protein n=1 Tax=Pedobacter sp. AK013 TaxID=2723071 RepID=A0A841LE05_9SPHI</t>
  </si>
  <si>
    <t>DNAUV-28.498-30_12</t>
  </si>
  <si>
    <t>VOG19127 [FUNC="REFSEQ hypothetical protein"] [TAG=Xu TAGDEF="Function unknown"]</t>
  </si>
  <si>
    <t>Uncharacterized protein n=1 Tax=Caldibacillus debilis GB1 TaxID=1339248 RepID=A0A420VDV5_9BACI</t>
  </si>
  <si>
    <t>DNAUV-28.498-30_13</t>
  </si>
  <si>
    <t>VOG31456 [FUNC="REFSEQ hypothetical protein"] [TAG=Xu TAGDEF="Function unknown"]</t>
  </si>
  <si>
    <t>CopG family transcriptional regulator n=1 Tax=Polaribacter phage P12002S TaxID=1647387 RepID=A0A0F7ILK0_9CAUD</t>
  </si>
  <si>
    <t>DNAUV-28.498-30_14</t>
  </si>
  <si>
    <t>VOG35623 [FUNC="REFSEQ hypothetical protein"] [TAG=Xu TAGDEF="Function unknown"]</t>
  </si>
  <si>
    <t>Uncharacterized protein n=2 Tax=Baltivirus TaxID=2946816 RepID=R9ZZJ3_9CAUD</t>
  </si>
  <si>
    <t>DNAUV-28.498-30_20</t>
  </si>
  <si>
    <t>Helicase ATP-binding domain-containing protein n=1 Tax=Pusillimonas sp. (ex Stolz et al. 2005) TaxID=1979962 RepID=A0A2D7XHM3_9BURK</t>
  </si>
  <si>
    <t>DNAUV-28.498-30_21</t>
  </si>
  <si>
    <t>VRR-NUC domain-containing protein n=1 Tax=Bacteroides fragilis TaxID=817 RepID=A0A0I9SDG8_BACFG</t>
  </si>
  <si>
    <t>DNAUV-28.498-30_23</t>
  </si>
  <si>
    <t>Uncharacterized protein n=1 Tax=Tenacibaculum sp. Bg11-29 TaxID=2058306 RepID=A0A2N1F921_9FLAO</t>
  </si>
  <si>
    <t>DNAUV-28.498-30_24</t>
  </si>
  <si>
    <t>Peptidase S74 domain-containing protein n=1 Tax=Winogradskyella ouciana TaxID=2608631 RepID=A0A7K1G9T8_9FLAO</t>
  </si>
  <si>
    <t>DNAUV-28.498-30_26</t>
  </si>
  <si>
    <t>DUF5675 domain-containing protein n=1 Tax=Leeuwenhoekiella polynyae TaxID=1550906 RepID=A0A4Q0PFJ9_9FLAO</t>
  </si>
  <si>
    <t>DNAUV-28.498-30_29</t>
  </si>
  <si>
    <t>Chaperonin Cpn10 n=3 Tax=Callevirus TaxID=2948648 RepID=A0A8E5EB07_9CAUD</t>
  </si>
  <si>
    <t>DNAUV-28.498-30_30</t>
  </si>
  <si>
    <t>Terminase n=2 Tax=Callevirus TaxID=2948648 RepID=S0A023_9CAUD</t>
  </si>
  <si>
    <t>DNAUV-28.498-30_31</t>
  </si>
  <si>
    <t>Portal protein n=3 Tax=Callevirus TaxID=2948648 RepID=A0A8E5E823_9CAUD</t>
  </si>
  <si>
    <t>DNAUV-28.498-30_32</t>
  </si>
  <si>
    <t>Structural protein n=3 Tax=Callevirus TaxID=2948648 RepID=A0A8E5EAC3_9CAUD</t>
  </si>
  <si>
    <t>DNAUV-28.498-30_33</t>
  </si>
  <si>
    <t>Structural protein n=2 Tax=Callevirus TaxID=2948648 RepID=S0A1Q7_9CAUD</t>
  </si>
  <si>
    <t>DNAUV-28.498-30_34</t>
  </si>
  <si>
    <t>Uncharacterized protein n=3 Tax=Callevirus TaxID=2948648 RepID=A0A8E4ZBL3_9CAUD</t>
  </si>
  <si>
    <t>DNAUV-28.498-30_35</t>
  </si>
  <si>
    <t>DNAUV-28.498-30_36</t>
  </si>
  <si>
    <t>Structural protein n=3 Tax=Callevirus TaxID=2948648 RepID=A0A8E4ZKX5_9CAUD</t>
  </si>
  <si>
    <t>DNAUV-28.498-30_37</t>
  </si>
  <si>
    <t>DNAUV-28.498-30_38</t>
  </si>
  <si>
    <t>DNAUV-28.498-30_8</t>
  </si>
  <si>
    <t>VOG02133 [FUNC="REFSEQ hypothetical protein"] [TAG=Xu TAGDEF="Function unknown"]</t>
  </si>
  <si>
    <t>Structural protein n=2 Tax=Callevirus TaxID=2948648 RepID=S0A014_9CAUD</t>
  </si>
  <si>
    <t>DNAUV-28.787-28_10</t>
  </si>
  <si>
    <t>Uncharacterized protein n=1 Tax=Vibrio phage RYC TaxID=1653734 RepID=A0A1E1GEA4_9CAUD</t>
  </si>
  <si>
    <t>DNAUV-28.787-28_12</t>
  </si>
  <si>
    <t>Coil containing protein n=1 Tax=Vibrio phage helene 12B3 TaxID=573173 RepID=M4MH44_9CAUD</t>
  </si>
  <si>
    <t>DNAUV-28.787-28_13</t>
  </si>
  <si>
    <t>Uncharacterized protein n=2 Tax=unclassified Caudoviricetes TaxID=2788787 RepID=M4MCE9_9CAUD</t>
  </si>
  <si>
    <t>DNAUV-28.787-28_14</t>
  </si>
  <si>
    <t>VOG07277 [FUNC="REFSEQ hypothetical protein"] [TAG=Xu TAGDEF="Function unknown"]</t>
  </si>
  <si>
    <t>Uncharacterized protein n=1 Tax=Vibrio phage 501E54-1 TaxID=2963209 RepID=A0A9P0VIE9_9CAUD</t>
  </si>
  <si>
    <t>DNAUV-28.787-28_16</t>
  </si>
  <si>
    <t>VOG21612 [FUNC="REFSEQ hypothetical protein"] [TAG=Xu TAGDEF="Function unknown"]</t>
  </si>
  <si>
    <t>Coil containing protein n=1 Tax=Vibrio phage 1.084.O._10N.261.49.F5 TaxID=2070724 RepID=A0A2I7QY11_9CAUD</t>
  </si>
  <si>
    <t>DNAUV-28.787-28_17</t>
  </si>
  <si>
    <t>Coil containing protein n=1 Tax=Vibrio phage 1.187.O._10N.286.49.F1 TaxID=1881434 RepID=A0A2I7RII0_9CAUD</t>
  </si>
  <si>
    <t>DNAUV-28.787-28_19</t>
  </si>
  <si>
    <t>DNAUV-28.787-28_2</t>
  </si>
  <si>
    <t>VOG18097 [FUNC="REFSEQ hypothetical protein"] [TAG=Xu TAGDEF="Function unknown"]</t>
  </si>
  <si>
    <t>Uncharacterized protein ORF119 n=7 Tax=unclassified Caudoviricetes TaxID=2788787 RepID=F1D1E2_9CAUD</t>
  </si>
  <si>
    <t>DNAUV-28.787-28_20</t>
  </si>
  <si>
    <t>TMhelix containing protein n=1 Tax=Vibrio phage 1.121.O._10N.286.46.C4 TaxID=2070726 RepID=A0A2I7R6L0_9CAUD</t>
  </si>
  <si>
    <t>DNAUV-28.787-28_21</t>
  </si>
  <si>
    <t>DNAUV-28.787-28_23</t>
  </si>
  <si>
    <t>VOG07284 [FUNC="REFSEQ hypothetical protein"] [TAG=Xu TAGDEF="Function unknown"]</t>
  </si>
  <si>
    <t>Coil containing protein n=1 Tax=Vibrio phage 1.161.O._10N.261.48.C5 TaxID=1881340 RepID=A0A2I7RDD6_9CAUD</t>
  </si>
  <si>
    <t>DNAUV-28.787-28_24</t>
  </si>
  <si>
    <t>Hef-like homing endonuclease n=1 Tax=Salmonella phage vB_SenS_Sasha TaxID=1913114 RepID=A0A1P8DTL0_9CAUD</t>
  </si>
  <si>
    <t>DNAUV-28.787-28_26</t>
  </si>
  <si>
    <t>Portal protein n=1 Tax=Vibrio phage helene 12B3 TaxID=573173 RepID=M4MBU1_9CAUD</t>
  </si>
  <si>
    <t>DNAUV-28.787-28_27</t>
  </si>
  <si>
    <t>Uncharacterized protein n=1 Tax=Vibrio phage 11895-B1 TaxID=754075 RepID=M4R320_9CAUD</t>
  </si>
  <si>
    <t>DNAUV-28.787-28_28</t>
  </si>
  <si>
    <t>VOG21118 [FUNC="REFSEQ hypothetical protein"] [TAG=Xu TAGDEF="Function unknown"]</t>
  </si>
  <si>
    <t>Tail tube protein n=1 Tax=Shewanella sp. phage 1/4 TaxID=1458859 RepID=A0A088C336_9CAUD</t>
  </si>
  <si>
    <t>DNAUV-28.787-28_29</t>
  </si>
  <si>
    <t>Phage-like element PBSX protein XkdF domain-containing protein n=1 Tax=Shewanella sp. phage 1/40 TaxID=1458860 RepID=A0A088C4X8_9CAUD</t>
  </si>
  <si>
    <t>DNAUV-28.787-28_30</t>
  </si>
  <si>
    <t>Uncharacterized protein ORF124 n=4 Tax=unclassified Caudoviricetes TaxID=2788787 RepID=F1D1E7_9CAUD</t>
  </si>
  <si>
    <t>DNAUV-28.787-28_31</t>
  </si>
  <si>
    <t>VOG03053 [FUNC="REFSEQ head decoration"] [TAG=Xu TAGDEF="Function unknown"]</t>
  </si>
  <si>
    <t>Head decoration protein n=1 Tax=Shewanella sp. phage 1/4 TaxID=1458859 RepID=A0A088C3C7_9CAUD</t>
  </si>
  <si>
    <t>DNAUV-28.787-28_32</t>
  </si>
  <si>
    <t>Major head protein n=3 Tax=unclassified Caudoviricetes TaxID=2788787 RepID=A0A2D0Z202_9CAUD</t>
  </si>
  <si>
    <t>DNAUV-28.787-28_33</t>
  </si>
  <si>
    <t>VOG01837 [FUNC="REFSEQ hypothetical protein"] [TAG=Xu TAGDEF="Function unknown"]</t>
  </si>
  <si>
    <t>Uncharacterized protein n=1 Tax=Vibrio phage JSF6 TaxID=1983615 RepID=A0A2D0YNZ8_9CAUD</t>
  </si>
  <si>
    <t>DNAUV-28.787-28_34</t>
  </si>
  <si>
    <t>VOG18650 [FUNC="REFSEQ hypothetical protein"] [TAG=Xu TAGDEF="Function unknown"]</t>
  </si>
  <si>
    <t>Uncharacterized protein n=1 Tax=Shewanella sp. phage 1/4 TaxID=1458859 RepID=A0A088C349_9CAUD</t>
  </si>
  <si>
    <t>DNAUV-28.787-28_4</t>
  </si>
  <si>
    <t>Bacteriophage T5 Orf172 DNA-binding domain-containing protein n=1 Tax=Vibrio phage 11895-B1 TaxID=754075 RepID=M4QUS6_9CAUD</t>
  </si>
  <si>
    <t>DNAUV-28.787-28_8</t>
  </si>
  <si>
    <t>VOG31357 [FUNC="REFSEQ hypothetical protein"] [TAG=Xu TAGDEF="Function unknown"]</t>
  </si>
  <si>
    <t>Uncharacterized protein n=1 Tax=Vibrio phage helene 12B3 TaxID=573173 RepID=M4MGI1_9CAUD</t>
  </si>
  <si>
    <t>DNAUV-29.464-218_26</t>
  </si>
  <si>
    <t>DNAUV-29.464-218_27</t>
  </si>
  <si>
    <t>Uncharacterized protein n=1 Tax=Skermanella aerolata TaxID=393310 RepID=A0A512E0J3_9PROT</t>
  </si>
  <si>
    <t>DNAUV-29.464-218_28</t>
  </si>
  <si>
    <t>Terminase small subunit n=1 Tax=Roseobacter phage CRP-9 TaxID=2813174 RepID=A0A8E5F7G6_9CAUD</t>
  </si>
  <si>
    <t>DNAUV-29.464-218_29</t>
  </si>
  <si>
    <t>Helix-turn-helix DNA binding domain protein n=1 Tax=Roseobacter phage CRP-1 TaxID=2559280 RepID=A0A646QVL3_9CAUD</t>
  </si>
  <si>
    <t>DNAUV-29.464-218_30</t>
  </si>
  <si>
    <t>DNAUV-29.464-218_33</t>
  </si>
  <si>
    <t>DNAUV-29.464-218_34</t>
  </si>
  <si>
    <t>Uncharacterized protein n=1 Tax=Roseobacter phage CRP-13 TaxID=2813173 RepID=A0A8E5BFV2_9CAUD</t>
  </si>
  <si>
    <t>DNAUV-29.464-218_35</t>
  </si>
  <si>
    <t>DNAUV-29.464-218_37</t>
  </si>
  <si>
    <t>DNAUV-29.464-218_38</t>
  </si>
  <si>
    <t>DNAUV-29.464-218_39</t>
  </si>
  <si>
    <t>DNAUV-29.464-218_40</t>
  </si>
  <si>
    <t>Putative structural protein n=1 Tax=Roseobacter phage CRP-1 TaxID=2559280 RepID=A0A646QVK1_9CAUD</t>
  </si>
  <si>
    <t>DNAUV-29.464-218_41</t>
  </si>
  <si>
    <t>DNAUV-29.464-218_43</t>
  </si>
  <si>
    <t>DNAUV-29.464-218_44</t>
  </si>
  <si>
    <t>DNAUV-29.464-218_45</t>
  </si>
  <si>
    <t>DNAUV-29.464-218_47</t>
  </si>
  <si>
    <t>DNAUV-29.591-37_11</t>
  </si>
  <si>
    <t>Portal protein n=1 Tax=Vibrio phage eugene 12A10 TaxID=573172 RepID=R9U8B7_9CAUD</t>
  </si>
  <si>
    <t>DNAUV-29.591-37_12</t>
  </si>
  <si>
    <t>sp|P54326|XKDF_BACSU Phage-like element PBSX protein XkdF OS=Bacillus subtilis (strain 168) OX=224308 GN=xkdF PE=4 SV=2</t>
  </si>
  <si>
    <t>Putative serine protease n=1 Tax=Vibrio phage 1.193.O._10N.286.52.C6 TaxID=1881436 RepID=A0A2I7RKU5_9CAUD</t>
  </si>
  <si>
    <t>DNAUV-29.591-37_13</t>
  </si>
  <si>
    <t>Coil containing protein n=1 Tax=Vibrio phage 1.193.O._10N.286.52.C6 TaxID=1881436 RepID=A0A2I7RKT5_9CAUD</t>
  </si>
  <si>
    <t>DNAUV-29.591-37_14</t>
  </si>
  <si>
    <t>Head-closure protein n=1 Tax=Vibrio phage 1.193.O._10N.286.52.C6 TaxID=1881436 RepID=A0A2I7RKV0_9CAUD</t>
  </si>
  <si>
    <t>DNAUV-29.591-37_15</t>
  </si>
  <si>
    <t>sp|Q6KGI8|CAPSD_BPFO1 Major capsid protein OS=Salmonella phage Felix O1 (isolate Felix O1-VT1) OX=1283336 GN=gene 58 PE=3 SV=1</t>
  </si>
  <si>
    <t>Major capsid protein n=2 Tax=unclassified Caudoviricetes TaxID=2788787 RepID=M4MAF4_9CAUD</t>
  </si>
  <si>
    <t>DNAUV-29.591-37_16</t>
  </si>
  <si>
    <t>Coil containing protein n=1 Tax=Vibrio phage 1.161.O._10N.261.48.C5 TaxID=1881340 RepID=A0A2I7RCS9_9CAUD</t>
  </si>
  <si>
    <t>DNAUV-29.591-37_17</t>
  </si>
  <si>
    <t>DNAUV-29.591-37_2</t>
  </si>
  <si>
    <t>Coil containing protein n=1 Tax=Vibrio phage 1.161.O._10N.261.48.C5 TaxID=1881340 RepID=A0A2I7RDE6_9CAUD</t>
  </si>
  <si>
    <t>DNAUV-29.591-37_22</t>
  </si>
  <si>
    <t>VOG18679 [FUNC="REFSEQ hypothetical protein"] [TAG=Xu TAGDEF="Function unknown"]</t>
  </si>
  <si>
    <t>Uncharacterized protein n=1 Tax=Vibrio phage 1.193.O._10N.286.52.C6 TaxID=1881436 RepID=A0A2I7RKU1_9CAUD</t>
  </si>
  <si>
    <t>DNAUV-29.591-37_30</t>
  </si>
  <si>
    <t>VOG03535 [FUNC="REFSEQ hypothetical protein"] [TAG=Xu TAGDEF="Function unknown"]</t>
  </si>
  <si>
    <t>Uncharacterized protein n=1 Tax=Vibrio phage eugene 12A10 TaxID=573172 RepID=R9U7E5_9CAUD</t>
  </si>
  <si>
    <t>DNAUV-29.591-37_32</t>
  </si>
  <si>
    <t>VOG02819 [FUNC="REFSEQ hypothetical protein"] [TAG=Xu TAGDEF="Function unknown"]</t>
  </si>
  <si>
    <t>Coil containing protein n=1 Tax=Vibrio phage 1.161.O._10N.261.48.C5 TaxID=1881340 RepID=A0A2I7RDD9_9CAUD</t>
  </si>
  <si>
    <t>DNAUV-29.591-37_4</t>
  </si>
  <si>
    <t>DNA recombination-mediator protein A n=1 Tax=Vibrio phage 1.063.O._10N.261.45.C7 TaxID=1881308 RepID=A0A2I7QU10_9CAUD</t>
  </si>
  <si>
    <t>DNAUV-29.591-37_5</t>
  </si>
  <si>
    <t>VOG35079 [FUNC="REFSEQ hypothetical protein"] [TAG=Xu TAGDEF="Function unknown"]</t>
  </si>
  <si>
    <t>TMhelix containing protein n=1 Tax=Vibrio phage 1.193.O._10N.286.52.C6 TaxID=1881436 RepID=A0A2I7RKT9_9CAUD</t>
  </si>
  <si>
    <t>DNAUV-29.591-37_6</t>
  </si>
  <si>
    <t>TMhelix containing protein n=1 Tax=Vibrio phage 1.161.O._10N.261.48.C5 TaxID=1881340 RepID=A0A2I7RDE8_9CAUD</t>
  </si>
  <si>
    <t>DNAUV-29.591-37_7</t>
  </si>
  <si>
    <t>Holin of 3TMs, for gene-transfer release n=1 Tax=Vibrio phage helene 12B3 TaxID=573173 RepID=M4MAZ7_9CAUD</t>
  </si>
  <si>
    <t>DNAUV-29.591-37_8</t>
  </si>
  <si>
    <t>DNAUV-3.005-191_2</t>
  </si>
  <si>
    <t>Glycosyltransferase family 1 protein n=1 Tax=Dictyoglomus turgidum TaxID=513050 RepID=A0A7C3WV05_9BACT</t>
  </si>
  <si>
    <t>DNAUV-3.020-503_1</t>
  </si>
  <si>
    <t>DNAUV-3.025-6.8_3</t>
  </si>
  <si>
    <t>HNH endonuclease n=1 Tax=Deep-sea thermophilic phage D6E TaxID=749413 RepID=E5DV63_9CAUD</t>
  </si>
  <si>
    <t>DNAUV-3.025-6.8_5</t>
  </si>
  <si>
    <t>DNAUV-3.028-224_3</t>
  </si>
  <si>
    <t>Helix-turn-helix domain of resolvase n=1 Tax=Parageobacillus thermantarcticus TaxID=186116 RepID=A0A1I0TSJ1_9BACI</t>
  </si>
  <si>
    <t>DNAUV-3.029-25_1</t>
  </si>
  <si>
    <t>DNAUV-3.034-258_12</t>
  </si>
  <si>
    <t>Uncharacterized protein n=1 Tax=Cronobacter phage vB_CsaM_GAP32 TaxID=1141136 RepID=K4FB01_9CAUD</t>
  </si>
  <si>
    <t>DNAUV-3.034-258_5</t>
  </si>
  <si>
    <t>DNAUV-3.036-11_2</t>
  </si>
  <si>
    <t>DNAUV-3.036-11_4</t>
  </si>
  <si>
    <t>sp|Q9CXC3|MGME1_MOUSE Mitochondrial genome maintenance exonuclease 1 OS=Mus musculus OX=10090 GN=Mgme1 PE=2 SV=1</t>
  </si>
  <si>
    <t>Exonuclease n=1 Tax=Coraliomargarita sp. TMED73 TaxID=1986604 RepID=A0A424R818_9BACT</t>
  </si>
  <si>
    <t>DNAUV-3.036-11_5</t>
  </si>
  <si>
    <t>Uncharacterized protein n=1 Tax=Croceicoccus naphthovorans TaxID=1348774 RepID=A0A7W6GWG0_9SPHN</t>
  </si>
  <si>
    <t>DNAUV-3.036-11_6</t>
  </si>
  <si>
    <t>DNAUV-3.037-16_5</t>
  </si>
  <si>
    <t>DNAUV-3.037-16_6</t>
  </si>
  <si>
    <t>DNAUV-3.045-11_5</t>
  </si>
  <si>
    <t>Phage head-tail adapter protein n=1 Tax=Pusillimonas sp. (ex Stolz et al. 2005) TaxID=1979962 RepID=A0A2D7XGH6_9BURK</t>
  </si>
  <si>
    <t>DNAUV-3.045-11_6</t>
  </si>
  <si>
    <t>DNAUV-3.045-11_7</t>
  </si>
  <si>
    <t>DNAUV-3.045-18_2</t>
  </si>
  <si>
    <t>DNAUV-3.045-18_3</t>
  </si>
  <si>
    <t>DNAUV-3.045-18_5</t>
  </si>
  <si>
    <t>Baseplate hub subunit n=1 Tax=Synechococcus phage S-SM2 TaxID=444860 RepID=E3SIQ6_9CAUD</t>
  </si>
  <si>
    <t>DNAUV-3.045-30_3</t>
  </si>
  <si>
    <t>DNAUV-3.045-30_4</t>
  </si>
  <si>
    <t>DNAUV-3.046-11_2</t>
  </si>
  <si>
    <t>DUF1565 domain-containing protein n=1 Tax=Phaeovulum veldkampii DSM 11550 TaxID=1185920 RepID=A0A2T4JFQ3_9RHOB</t>
  </si>
  <si>
    <t>DNAUV-3.046-11_6</t>
  </si>
  <si>
    <t>Uncharacterized protein n=1 Tax=Synechococcus phage S-SRM01 TaxID=2781608 RepID=A0A879R1V0_9CAUD</t>
  </si>
  <si>
    <t>DNAUV-3.049-24_1</t>
  </si>
  <si>
    <t>VOG05651 [FUNC="REFSEQ hypothetical protein"] [TAG=Xu TAGDEF="Function unknown"]</t>
  </si>
  <si>
    <t>DNAUV-3.049-24_3</t>
  </si>
  <si>
    <t>DNAUV-3.049-88_1</t>
  </si>
  <si>
    <t>Lytic transglycosylase domain-containing protein n=1 Tax=Paraburkholderia silviterrae TaxID=2528715 RepID=A0A4R5MF25_9BURK</t>
  </si>
  <si>
    <t>DNAUV-3.049-88_2</t>
  </si>
  <si>
    <t>DNAUV-3.051-251_11</t>
  </si>
  <si>
    <t>VOG03054 [FUNC="REFSEQ tail fiber protein"] [TAG=Xu TAGDEF="Function unknown"]</t>
  </si>
  <si>
    <t>Phage protein n=2 Tax=Bordetella TaxID=517 RepID=K0MDJ2_BORPB</t>
  </si>
  <si>
    <t>DNAUV-3.051-251_7</t>
  </si>
  <si>
    <t>DNAUV-3.051-251_9</t>
  </si>
  <si>
    <t>Major capsid protein GpE n=1 Tax=Brucella endophytica TaxID=1963359 RepID=A0A916WHJ3_9HYPH</t>
  </si>
  <si>
    <t>DNAUV-3.064-451_12</t>
  </si>
  <si>
    <t>DUF4376 domain-containing protein n=1 Tax=Sulfitobacter sp. HI0027 TaxID=1822226 RepID=A0A341ENU6_9RHOB</t>
  </si>
  <si>
    <t>DNAUV-3.064-451_8</t>
  </si>
  <si>
    <t>Uncharacterized protein n=1 Tax=Bradyrhizobium frederickii TaxID=2560054 RepID=A0A4Y9NUP9_9BRAD</t>
  </si>
  <si>
    <t>DNAUV-3.076-128_1</t>
  </si>
  <si>
    <t>Uncharacterized protein n=1 Tax=Synechococcus phage S-T4 TaxID=2268578 RepID=A0A385EHV6_9CAUD</t>
  </si>
  <si>
    <t>DNAUV-3.076-128_4</t>
  </si>
  <si>
    <t>RepB-like DNA primase domain-containing protein n=1 Tax=Muricauda sp. TMED12 TaxID=1986608 RepID=A0A424LPM2_9FLAO</t>
  </si>
  <si>
    <t>DNAUV-3.097-133_2</t>
  </si>
  <si>
    <t>DNAUV-3.097-133_3</t>
  </si>
  <si>
    <t>DNAUV-3.100-57_1</t>
  </si>
  <si>
    <t>DNAUV-3.100-57_2</t>
  </si>
  <si>
    <t>Virion structural protein n=1 Tax=Synechococcus phage SynMITS9220M01 TaxID=2736186 RepID=A0A6M5C7X2_9CAUD</t>
  </si>
  <si>
    <t>DNAUV-3.104-96_12</t>
  </si>
  <si>
    <t>DUF2188 domain-containing protein n=1 Tax=Paracoccus kondratievae TaxID=135740 RepID=A0A5P8JDL6_9RHOB</t>
  </si>
  <si>
    <t>DNAUV-3.104-96_16</t>
  </si>
  <si>
    <t>DNAUV-3.105-53_2</t>
  </si>
  <si>
    <t>DNAUV-3.106-21_2</t>
  </si>
  <si>
    <t>Scaffolding protein n=1 Tax=Methylophilales phage HIM624-A TaxID=889949 RepID=H6BJ48_9CAUD</t>
  </si>
  <si>
    <t>DNAUV-3.106-21_3</t>
  </si>
  <si>
    <t>Major capsid protein n=1 Tax=Octadecabacter Antarctic DB virus 2 TaxID=2945129 RepID=A0A9E7E4I2_9VIRU</t>
  </si>
  <si>
    <t>DNAUV-3.110-12_7</t>
  </si>
  <si>
    <t>VOG21080 [FUNC="REFSEQ hypothetical protein"] [TAG=Xu TAGDEF="Function unknown"]</t>
  </si>
  <si>
    <t>Uncharacterized protein n=1 Tax=Pseudomonas phage nickie TaxID=2048977 RepID=A0A2H4P788_9CAUD</t>
  </si>
  <si>
    <t>DNAUV-3.110-12_8</t>
  </si>
  <si>
    <t>DUF3168 domain-containing protein n=1 Tax=Sphingopyxis flava TaxID=1507287 RepID=A0A1T5CU58_9SPHN</t>
  </si>
  <si>
    <t>DNAUV-3.116-19_4</t>
  </si>
  <si>
    <t>VOG00927 [FUNC="REFSEQ hypothetical protein"] [TAG=Xu TAGDEF="Function unknown"]</t>
  </si>
  <si>
    <t>Phage protein n=1 Tax=Vibrio phage phi50-12 TaxID=2654972 RepID=A0A5P8PRA8_9CAUD</t>
  </si>
  <si>
    <t>DNAUV-3.116-19_5</t>
  </si>
  <si>
    <t>sp|Q9QSK3|VF030_IIV6 Uncharacterized protein 030L OS=Invertebrate iridescent virus 6 OX=176652 GN=IIV6-030L PE=3 SV=1</t>
  </si>
  <si>
    <t>Helicase n=3 Tax=unclassified Caudoviricetes TaxID=2788787 RepID=F1D2S8_9CAUD</t>
  </si>
  <si>
    <t>DNAUV-3.138-11_2</t>
  </si>
  <si>
    <t>Endonuclease VII n=1 Tax=Shigella phage ESh4 TaxID=2950783 RepID=A0A8X8M5H6_9CAUD</t>
  </si>
  <si>
    <t>DNAUV-3.138-11_5</t>
  </si>
  <si>
    <t>Nuclease n=1 Tax=Siphoviridae sp. ctg2r17 TaxID=2825601 RepID=A0A8S5P1E0_9CAUD</t>
  </si>
  <si>
    <t>DNAUV-3.141-14_13</t>
  </si>
  <si>
    <t>Uncharacterized protein n=1 Tax=Vibrio phage R01 TaxID=2283098 RepID=A0A345MCX0_9CAUD</t>
  </si>
  <si>
    <t>DNAUV-3.142-14_1</t>
  </si>
  <si>
    <t>Uncharacterized protein n=1 Tax=Synechococcus phage S-B05 TaxID=2484637 RepID=A0A4Y5P0W0_9CAUD</t>
  </si>
  <si>
    <t>DNAUV-3.142-14_2</t>
  </si>
  <si>
    <t>Rho termination factor N-terminal domain-containing protein n=2 Tax=unclassified Synechococcus TaxID=2626047 RepID=A0A7T1MGX9_9SYNE</t>
  </si>
  <si>
    <t>DNAUV-3.142-14_3</t>
  </si>
  <si>
    <t>DNAUV-3.142-14_4</t>
  </si>
  <si>
    <t>Uncharacterized protein n=1 Tax=Pelagibacter phage HTVC008M TaxID=1283076 RepID=M1IPE1_9CAUD</t>
  </si>
  <si>
    <t>DNAUV-3.142-14_5</t>
  </si>
  <si>
    <t>DUF106 domain-containing protein n=1 Tax=Muricauda sp. TMED12 TaxID=1986608 RepID=A0A424LPT9_9FLAO</t>
  </si>
  <si>
    <t>DNAUV-3.145-73_3</t>
  </si>
  <si>
    <t>DNAUV-3.159-13_9</t>
  </si>
  <si>
    <t>DNAUV-3.163-38_1</t>
  </si>
  <si>
    <t>DNAUV-3.163-38_5</t>
  </si>
  <si>
    <t>DUF4376 domain-containing protein n=1 Tax=Oricola thermophila TaxID=2742145 RepID=A0A6N1VI91_9HYPH</t>
  </si>
  <si>
    <t>DNAUV-3.165-56_2</t>
  </si>
  <si>
    <t>DNAUV-3.169-11_12</t>
  </si>
  <si>
    <t>Nucleotide modification associated domain-containing protein n=1 Tax=Bacillus phage Mgbh1 TaxID=1796993 RepID=A0A142F1S9_9CAUD</t>
  </si>
  <si>
    <t>DNAUV-3.180-12_5</t>
  </si>
  <si>
    <t>Putative scaffolding protein n=1 Tax=Pseudoalteromonas virus vB_PspP-H6/1 TaxID=1852626 RepID=A0A191ZDD8_9CAUD</t>
  </si>
  <si>
    <t>DNAUV-3.180-12_6</t>
  </si>
  <si>
    <t>DNAUV-3.182-14_6</t>
  </si>
  <si>
    <t>Capsid and scaffold protein n=1 Tax=Bacteriophage DSS3_MAL1 TaxID=2664194 RepID=A0A7S5KQH7_9CAUD</t>
  </si>
  <si>
    <t>DNAUV-3.182-14_7</t>
  </si>
  <si>
    <t>Capsid family protein n=1 Tax=Bacteriophage DSS3_MAL1 TaxID=2664194 RepID=A0A7S5KQA0_9CAUD</t>
  </si>
  <si>
    <t>DNAUV-3.182-14_8</t>
  </si>
  <si>
    <t>Uncharacterized protein n=1 Tax=Bacteriophage DSS3_MAL1 TaxID=2664194 RepID=A0A7S5KQE2_9CAUD</t>
  </si>
  <si>
    <t>DNAUV-3.185-61_5</t>
  </si>
  <si>
    <t>Phage protein inside capsid D n=2 Tax=Kayfunavirus TaxID=2732686 RepID=W6PE69_9CAUD</t>
  </si>
  <si>
    <t>DNAUV-3.191-11_2</t>
  </si>
  <si>
    <t>DNAUV-3.191-11_3</t>
  </si>
  <si>
    <t>DNAUV-3.191-827_1</t>
  </si>
  <si>
    <t>Triple helix repeat-containing collagen n=1 Tax=Synechococcus phage S-CBS2 TaxID=753084 RepID=F4YCN3_9CAUD</t>
  </si>
  <si>
    <t>DNAUV-3.191-827_3</t>
  </si>
  <si>
    <t>Uncharacterized protein n=2 Tax=Solemya elarraichensis gill symbiont TaxID=1918949 RepID=A0A1T2KYW0_9GAMM</t>
  </si>
  <si>
    <t>DNAUV-3.201-27_11</t>
  </si>
  <si>
    <t>DNAUV-3.210-12_4</t>
  </si>
  <si>
    <t>AAA family ATPase n=32 Tax=Perisivirus TaxID=1984798 RepID=H2EI93_9CAUD</t>
  </si>
  <si>
    <t>DNAUV-3.210-12_8</t>
  </si>
  <si>
    <t>DNAUV-3.215-68_7</t>
  </si>
  <si>
    <t>Long tail fiber protein Gp37 n=1 Tax=Vibrio phage nt-1 TaxID=115992 RepID=R9TIZ5_9CAUD</t>
  </si>
  <si>
    <t>DNAUV-3.216-14_20</t>
  </si>
  <si>
    <t>DNAUV-3.227-175_1</t>
  </si>
  <si>
    <t>Uncharacterized protein n=1 Tax=Nonlabens tegetincola TaxID=323273 RepID=A0A090Q521_9FLAO</t>
  </si>
  <si>
    <t>DNAUV-3.227-175_2</t>
  </si>
  <si>
    <t>VOG28219 [FUNC="REFSEQ hypothetical protein"] [TAG=Xu TAGDEF="Function unknown"]</t>
  </si>
  <si>
    <t>Phage protein n=2 Tax=Pachyviridae TaxID=2946166 RepID=R9ZZI9_9CAUD</t>
  </si>
  <si>
    <t>DNAUV-3.227-175_3</t>
  </si>
  <si>
    <t>DNAUV-3.229-25_10</t>
  </si>
  <si>
    <t>DNAUV-3.229-25_5</t>
  </si>
  <si>
    <t>Minor tail protein n=5 Tax=Likavirus TaxID=1982880 RepID=A0A9E7LSX1_9CAUD</t>
  </si>
  <si>
    <t>DNAUV-3.229-25_8</t>
  </si>
  <si>
    <t>DNAUV-3.237-32_3</t>
  </si>
  <si>
    <t>Uncharacterized protein n=1 Tax=Rhodoferax sediminis TaxID=2509614 RepID=A0A515ERL6_9BURK</t>
  </si>
  <si>
    <t>DNAUV-3.238-117_1</t>
  </si>
  <si>
    <t>VRR-NUC domain protein n=1 Tax=Nonlabens phage P12024S TaxID=1168478 RepID=I6RT69_9CAUD</t>
  </si>
  <si>
    <t>DNAUV-3.238-117_2</t>
  </si>
  <si>
    <t>YopX protein domain-containing protein n=1 Tax=Mobilitalea sibirica TaxID=1462919 RepID=A0A8J7HE68_9FIRM</t>
  </si>
  <si>
    <t>DNAUV-3.238-117_4</t>
  </si>
  <si>
    <t>YopX protein domain-containing protein n=1 Tax=Nonlabens sp. YIK11 TaxID=1453349 RepID=A0A0Q1HJ69_9FLAO</t>
  </si>
  <si>
    <t>DNAUV-3.238-117_5</t>
  </si>
  <si>
    <t>VOG18368 [FUNC="REFSEQ hypothetical protein"] [TAG=Xu TAGDEF="Function unknown"]</t>
  </si>
  <si>
    <t>Uncharacterized protein n=1 Tax=Nonlabens phage P12024S TaxID=1168478 RepID=I6R131_9CAUD</t>
  </si>
  <si>
    <t>DNAUV-3.238-12_4</t>
  </si>
  <si>
    <t>Uncharacterized protein n=1 Tax=Zunongwangia profunda TaxID=398743 RepID=A0A3D5IVG1_9FLAO</t>
  </si>
  <si>
    <t>DNAUV-3.238-12_6</t>
  </si>
  <si>
    <t>Uncharacterized protein n=1 Tax=Magnetospirillum sp. ME-1 TaxID=1639348 RepID=A0A1W6CMN2_9PROT</t>
  </si>
  <si>
    <t>DNAUV-3.238-12_8</t>
  </si>
  <si>
    <t>DNAUV-3.239-34_3</t>
  </si>
  <si>
    <t>Large polyvalent protein associated domain-containing protein n=1 Tax=Xanthomonas citri phage CP2 TaxID=1188795 RepID=K7ZRM7_9CAUD</t>
  </si>
  <si>
    <t>DNAUV-3.242-187_5</t>
  </si>
  <si>
    <t>DNAUV-3.246-10_1</t>
  </si>
  <si>
    <t>DNAUV-3.246-10_2</t>
  </si>
  <si>
    <t>DNAUV-3.246-10_4</t>
  </si>
  <si>
    <t>DNAUV-3.247-9.6_1</t>
  </si>
  <si>
    <t>Uncharacterized protein n=1 Tax=Pseudomonas phage Zuri TaxID=2604899 RepID=A0A5C1K523_9CAUD</t>
  </si>
  <si>
    <t>DNAUV-3.247-9.6_2</t>
  </si>
  <si>
    <t>DUF3987 domain-containing protein n=2 Tax=unclassified Mesorhizobium TaxID=325217 RepID=A0A3S9ELL7_9HYPH</t>
  </si>
  <si>
    <t>DNAUV-3.247-9.6_3</t>
  </si>
  <si>
    <t>DNA primase n=1 Tax=Sinorhizobium phage ort11 TaxID=2599764 RepID=A0A5C2H8Y6_9CAUD</t>
  </si>
  <si>
    <t>DNAUV-3.253-13_10</t>
  </si>
  <si>
    <t>Adenine-specific DNA methylase, N12 class n=1 Tax=Methylomagnum ishizawai TaxID=1760988 RepID=A0A1Y6CWK4_9GAMM</t>
  </si>
  <si>
    <t>DNAUV-3.253-13_12</t>
  </si>
  <si>
    <t>N12 class adenine-specific DNA methylase n=1 Tax=Rhizobium skierniewicense TaxID=984260 RepID=A0A7W6G2G3_9HYPH</t>
  </si>
  <si>
    <t>DNAUV-3.253-13_6</t>
  </si>
  <si>
    <t>Uncharacterized protein n=1 Tax=Pseudomonas phage Itty13 TaxID=2805750 RepID=A0A889IQH4_9CAUD</t>
  </si>
  <si>
    <t>DNAUV-3.264-36_2</t>
  </si>
  <si>
    <t>DNAUV-3.264-36_3</t>
  </si>
  <si>
    <t>DNAUV-3.267-14_2</t>
  </si>
  <si>
    <t>Uncharacterized protein n=1 Tax=Bradyrhizobium sp. Y-H1 TaxID=2485167 RepID=A0A4R3U696_9BRAD</t>
  </si>
  <si>
    <t>DNAUV-3.267-14_7</t>
  </si>
  <si>
    <t>Uncharacterized protein n=6 Tax=Bacillus TaxID=1386 RepID=A0A169E1C2_BACTI</t>
  </si>
  <si>
    <t>DNAUV-3.268-9.2_5</t>
  </si>
  <si>
    <t>Ig-like domain-containing protein n=1 Tax=Sphingopyxis bauzanensis TaxID=651663 RepID=A0A246JRS9_9SPHN</t>
  </si>
  <si>
    <t>DNAUV-3.268-9.2_7</t>
  </si>
  <si>
    <t>DNAUV-3.268-9.2_9</t>
  </si>
  <si>
    <t>VOG04940 [FUNC="REFSEQ hypothetical protein"] [TAG=Xu TAGDEF="Function unknown"]</t>
  </si>
  <si>
    <t>Uncharacterized protein n=1 Tax=Carboxylicivirga sediminis TaxID=2006564 RepID=A0A941IX95_9BACT</t>
  </si>
  <si>
    <t>DNAUV-3.269-81_1</t>
  </si>
  <si>
    <t>Major tropism determinant N-terminal domain-containing protein n=1 Tax=Synechococcus phage S-H25 TaxID=2718941 RepID=A0A6G8R6W8_9CAUD</t>
  </si>
  <si>
    <t>DNAUV-3.269-81_3</t>
  </si>
  <si>
    <t>DNAUV-3.271-2045_3</t>
  </si>
  <si>
    <t>DUF1376 domain-containing protein n=2 Tax=Muricauda nanhaiensis TaxID=2292706 RepID=A0A371JL61_9FLAO</t>
  </si>
  <si>
    <t>DNAUV-3.273-35_2</t>
  </si>
  <si>
    <t>Ribonuclease H-like domain protein n=1 Tax=Vibrio phage 1.187.O._10N.286.49.F1 TaxID=1881434 RepID=A0A2I7RI89_9CAUD</t>
  </si>
  <si>
    <t>DNAUV-3.274-85_5</t>
  </si>
  <si>
    <t>DNAUV-3.278-11_1</t>
  </si>
  <si>
    <t>DNAUV-3.278-11_6</t>
  </si>
  <si>
    <t>DNA polymerase family A n=2 Tax=Pseudorhodobacter antarcticus TaxID=1077947 RepID=A0A1H8IJL6_9RHOB</t>
  </si>
  <si>
    <t>DNAUV-3.278-13_5</t>
  </si>
  <si>
    <t>VOG04824 [FUNC="REFSEQ hydrolase"] [TAG=Xu TAGDEF="Function unknown"]</t>
  </si>
  <si>
    <t>DUF4406 domain-containing protein n=1 Tax=Spirosoma sp. 48-14 TaxID=1895854 RepID=A0A1Q3WPI9_9BACT</t>
  </si>
  <si>
    <t>DNAUV-3.292-52_11</t>
  </si>
  <si>
    <t>ATP-binding protein n=1 Tax=Bradyrhizobium yuanmingense TaxID=108015 RepID=A0A1C3XHK8_9BRAD</t>
  </si>
  <si>
    <t>DNAUV-3.292-52_6</t>
  </si>
  <si>
    <t>Uncharacterized protein n=1 Tax=Paracoccus limosus TaxID=913252 RepID=A0A844H1C1_9RHOB</t>
  </si>
  <si>
    <t>DNAUV-3.293-14_2</t>
  </si>
  <si>
    <t>DNAUV-3.305-98_2</t>
  </si>
  <si>
    <t>VOG01203 [FUNC="REFSEQ hypothetical protein"] [TAG=Xu TAGDEF="Function unknown"]</t>
  </si>
  <si>
    <t>DUF3892 domain-containing protein n=1 Tax=Lewinella sp. W8 TaxID=2528208 RepID=A0A7H5F1U3_9BACT</t>
  </si>
  <si>
    <t>DNAUV-3.305-98_5</t>
  </si>
  <si>
    <t>DNAUV-3.309-8.3_2</t>
  </si>
  <si>
    <t>Uncharacterized protein n=1 Tax=Diaporthe ampelina TaxID=1214573 RepID=A0A0G2HUY5_9PEZI</t>
  </si>
  <si>
    <t>DNAUV-3.309-8.3_4</t>
  </si>
  <si>
    <t>D2 protein n=1 Tax=Bacteriophage Eos TaxID=2662137 RepID=A0A5Q2UAU7_9CAUD</t>
  </si>
  <si>
    <t>DNAUV-3.309-8.3_5</t>
  </si>
  <si>
    <t>D3 protein n=2 Tax=Shenzhenvirus TaxID=2732038 RepID=A0A2R4ALR3_9CAUD</t>
  </si>
  <si>
    <t>DNAUV-3.309-8.3_7</t>
  </si>
  <si>
    <t>Collagen-like protein n=2 Tax=Lentihominibacter hominis TaxID=2763645 RepID=A0A926E536_9FIRM</t>
  </si>
  <si>
    <t>DNAUV-3.317-28_4</t>
  </si>
  <si>
    <t>DNAUV-3.317-28_5</t>
  </si>
  <si>
    <t>ArdA-like antirestriction protein n=1 Tax=Streptomyces phage Saftant TaxID=2601693 RepID=A0A5J6D8E1_9CAUD</t>
  </si>
  <si>
    <t>DNAUV-3.319-13651_5</t>
  </si>
  <si>
    <t>Peptidase S74 domain-containing protein n=1 Tax=Cyanophage P-SSP2 TaxID=444876 RepID=E3SQN9_9CAUD</t>
  </si>
  <si>
    <t>DNAUV-3.328-13_4</t>
  </si>
  <si>
    <t>sp|P15235|YLF2_BPN4 Uncharacterized protein Gp2 OS=Enterobacteria phage N4 OX=2886925 PE=4 SV=2</t>
  </si>
  <si>
    <t>RNA polymerase RNAP1 subunit A n=1 Tax=Escherichia phage PGN829.1 TaxID=2315696 RepID=A0A385II54_9CAUD</t>
  </si>
  <si>
    <t>DNAUV-3.328-335_8</t>
  </si>
  <si>
    <t>DNAUV-3.330-229_4</t>
  </si>
  <si>
    <t>DNAUV-3.331-20_5</t>
  </si>
  <si>
    <t>DNAUV-3.331-20_6</t>
  </si>
  <si>
    <t>DNAUV-3.331-20_7</t>
  </si>
  <si>
    <t>DNAUV-3.334-12_4</t>
  </si>
  <si>
    <t>YadA domain-containing structural protein n=1 Tax=Synechococcus phage S-SSM5 TaxID=445685 RepID=E3SKE1_9CAUD</t>
  </si>
  <si>
    <t>DNAUV-3.337-77_6</t>
  </si>
  <si>
    <t>DNAUV-3.342-162_15</t>
  </si>
  <si>
    <t>Terminase large subunit n=1 Tax=Cyanophage P-RSM6 TaxID=929832 RepID=M4SKM3_9CAUD</t>
  </si>
  <si>
    <t>DNAUV-3.344-16_2</t>
  </si>
  <si>
    <t>VOG00802 [FUNC="REFSEQ tail protein"] [TAG=Xu TAGDEF="Function unknown"]</t>
  </si>
  <si>
    <t>Peptidase G2 IMC autoproteolytic cleavage domain-containing protein n=1 Tax=Microvirga mediterraneensis TaxID=2754695 RepID=A0A838BVP7_9HYPH</t>
  </si>
  <si>
    <t>DNAUV-3.344-16_3</t>
  </si>
  <si>
    <t>VOG06159 [FUNC="REFSEQ tail fiber protein"] [TAG=Xu TAGDEF="Function unknown"]</t>
  </si>
  <si>
    <t>Putative tail fiber protein n=1 Tax=Mesorhizobium phage vB_MloP_Lo5R7ANS TaxID=1527771 RepID=A0A076YL75_9CAUD</t>
  </si>
  <si>
    <t>DNAUV-3.344-16_4</t>
  </si>
  <si>
    <t>Tail fiber protein n=4 Tax=unclassified Caudoviricetes TaxID=2788787 RepID=A0A7S5RII5_9CAUD</t>
  </si>
  <si>
    <t>DNAUV-3.368-21_3</t>
  </si>
  <si>
    <t>DNAUV-3.368-21_4</t>
  </si>
  <si>
    <t>DNAUV-3.370-39_5</t>
  </si>
  <si>
    <t>Uncharacterized protein n=1 Tax=Denitromonas halophilus TaxID=1629404 RepID=A0A557QR24_9RHOO</t>
  </si>
  <si>
    <t>DNAUV-3.372-27_5</t>
  </si>
  <si>
    <t>DNAUV-3.372-27_7</t>
  </si>
  <si>
    <t>Putative calcineurin-like phosphoesterase n=1 Tax=Synechococcus phage S-CBWM1 TaxID=2053653 RepID=A0A3G1L3H8_9CAUD</t>
  </si>
  <si>
    <t>DNAUV-3.381-38_4</t>
  </si>
  <si>
    <t>Uncharacterized protein n=1 Tax=Roseobacter phage CRP-1 TaxID=2559280 RepID=A0A646QWI8_9CAUD</t>
  </si>
  <si>
    <t>DNAUV-3.390-12_1</t>
  </si>
  <si>
    <t>Phage-like element PBSX protein XkdF domain-containing protein n=1 Tax=Ruegeria phage Tedan TaxID=2759200 RepID=A0A7G9V0N6_9CAUD</t>
  </si>
  <si>
    <t>DNAUV-3.390-12_3</t>
  </si>
  <si>
    <t>Large polyvalent protein-associated domain-containing protein n=1 Tax=Ruegeria phage Tedan TaxID=2759200 RepID=A0A7G9V0N7_9CAUD</t>
  </si>
  <si>
    <t>DNAUV-3.390-12_4</t>
  </si>
  <si>
    <t>VOG04873 [FUNC="REFSEQ hypothetical protein"] [TAG=Xu TAGDEF="Function unknown"]</t>
  </si>
  <si>
    <t>Uncharacterized protein n=1 Tax=Roseobacter phage RDJL Phi 1 TaxID=562742 RepID=F4YXT3_9CAUD</t>
  </si>
  <si>
    <t>DNAUV-3.390-12_5</t>
  </si>
  <si>
    <t>DUF2190 domain-containing protein n=1 Tax=Ruegeria phage Tedan TaxID=2759200 RepID=A0A7G9V0N8_9CAUD</t>
  </si>
  <si>
    <t>DNAUV-3.390-12_6</t>
  </si>
  <si>
    <t>Major capsid protein n=1 Tax=Ruegeria phage Tedan TaxID=2759200 RepID=A0A7G9V0N9_9CAUD</t>
  </si>
  <si>
    <t>DNAUV-3.395-114_5</t>
  </si>
  <si>
    <t>HNH endonuclease n=1 Tax=Gordonia phage Kabocha TaxID=2998889 RepID=A0A9E8S2E2_9CAUD</t>
  </si>
  <si>
    <t>DNAUV-3.396-1079_2</t>
  </si>
  <si>
    <t>Uncharacterized protein n=1 Tax=Pontimonas phage phiPsal1 TaxID=2079347 RepID=A0A2K9VGP7_9CAUD</t>
  </si>
  <si>
    <t>DNAUV-3.396-1079_5</t>
  </si>
  <si>
    <t>DNAUV-3.396-1079_6</t>
  </si>
  <si>
    <t>DNAUV-3.399-228_7</t>
  </si>
  <si>
    <t>DNAUV-3.401-363_1</t>
  </si>
  <si>
    <t>Tail fiber domain-containing protein n=1 Tax=Rhodocytophaga rosea TaxID=2704465 RepID=A0A6C0GK79_9BACT</t>
  </si>
  <si>
    <t>DNAUV-3.404-10_6</t>
  </si>
  <si>
    <t>D11 protein n=1 Tax=Yersinia phage phiR2-01 TaxID=1206557 RepID=I7LH16_9CAUD</t>
  </si>
  <si>
    <t>DNAUV-3.407-104_2</t>
  </si>
  <si>
    <t>VOG05426 [FUNC="REFSEQ minor head protein"] [TAG=Xu TAGDEF="Function unknown"]</t>
  </si>
  <si>
    <t>Uncharacterized protein n=1 Tax=Kocuria tytonis TaxID=2054280 RepID=A0A495A6F8_9MICC</t>
  </si>
  <si>
    <t>DNAUV-3.407-104_8</t>
  </si>
  <si>
    <t>Uncharacterized protein n=1 Tax=Siphoviridae sp. ctBCr48 TaxID=2827802 RepID=A0A8S5SH54_9CAUD</t>
  </si>
  <si>
    <t>DNAUV-3.409-167_5</t>
  </si>
  <si>
    <t>DNAUV-3.409-167_8</t>
  </si>
  <si>
    <t>DNAUV-3.425-59_10</t>
  </si>
  <si>
    <t>VOG30580 [FUNC="REFSEQ hypothetical protein"] [TAG=Xu TAGDEF="Function unknown"]</t>
  </si>
  <si>
    <t>Uncharacterized protein n=1 Tax=Podoviridae sp. ctUS21 TaxID=2826557 RepID=A0A8S5MPT9_9CAUD</t>
  </si>
  <si>
    <t>DNAUV-3.425-59_11</t>
  </si>
  <si>
    <t>DNAUV-3.433-11_1</t>
  </si>
  <si>
    <t>VOG27379 [FUNC="REFSEQ hypothetical protein"] [TAG=Xu TAGDEF="Function unknown"]</t>
  </si>
  <si>
    <t>Coil containing protein (Fragment) n=2 Tax=unclassified Caudoviricetes TaxID=2788787 RepID=A0A2I7QV06_9CAUD</t>
  </si>
  <si>
    <t>DNAUV-3.433-11_4</t>
  </si>
  <si>
    <t>Portal protein n=1 Tax=Vibrio phage 1.036.O._10N.286.45.C3 TaxID=1881296 RepID=A0A2I7QQ25_9CAUD</t>
  </si>
  <si>
    <t>DNAUV-3.445-14_2</t>
  </si>
  <si>
    <t>DNAUV-3.445-14_5</t>
  </si>
  <si>
    <t>Uncharacterized protein n=1 Tax=Rhizobium sp. Root149 TaxID=1736473 RepID=A0A0Q7XKQ0_9HYPH</t>
  </si>
  <si>
    <t>DNAUV-3.446-14_4</t>
  </si>
  <si>
    <t>DNAUV-3.446-14_5</t>
  </si>
  <si>
    <t>Uncharacterized protein n=1 Tax=Escherichia coli O157 typing phage 14 TaxID=1508676 RepID=A0A0F6R9A3_9CAUD</t>
  </si>
  <si>
    <t>DNAUV-3.449-62_3</t>
  </si>
  <si>
    <t>Uncharacterized protein n=1 Tax=Olleya phage Harreka_1 TaxID=2745673 RepID=A0A8E5EAS7_9CAUD</t>
  </si>
  <si>
    <t>DNAUV-3.451-212_2</t>
  </si>
  <si>
    <t>DNAUV-3.451-212_6</t>
  </si>
  <si>
    <t>DNA-packaging protein gp3 n=1 Tax=Arachidicoccus rhizosphaerae TaxID=551991 RepID=A0A1H3W5T9_9BACT</t>
  </si>
  <si>
    <t>DNAUV-3.452-23_2</t>
  </si>
  <si>
    <t>DNAUV-3.452-23_3</t>
  </si>
  <si>
    <t>Homolog to phage protein T7-7.7 n=1 Tax=Halomonas elongata (strain ATCC 33173 / DSM 2581 / NBRC 15536 / NCIMB 2198 / 1H9) TaxID=768066 RepID=E1VAF3_HALED</t>
  </si>
  <si>
    <t>DNAUV-3.452-31_1</t>
  </si>
  <si>
    <t>DNAUV-3.452-31_2</t>
  </si>
  <si>
    <t>DNAUV-3.452-31_4</t>
  </si>
  <si>
    <t>DNAUV-3.452-31_5</t>
  </si>
  <si>
    <t>VrlC protein n=1 Tax=Pelagibacter phage HTVC008M TaxID=1283076 RepID=M1IDC7_9CAUD</t>
  </si>
  <si>
    <t>DNAUV-3.453-18_7</t>
  </si>
  <si>
    <t>Baseplate wedge protein n=1 Tax=Stenotrophomonas phage vB_SmaS-DLP_6 TaxID=1651816 RepID=A0A142EZM0_9CAUD</t>
  </si>
  <si>
    <t>DNAUV-3.453-18_8</t>
  </si>
  <si>
    <t>DNAUV-3.454-12_1</t>
  </si>
  <si>
    <t>Uncharacterized protein n=1 Tax=Salicola phage CGphi29 TaxID=754067 RepID=M4QPT3_9CAUD</t>
  </si>
  <si>
    <t>DNAUV-3.454-12_3</t>
  </si>
  <si>
    <t>Putative VRR-nuclease n=1 Tax=Idiomarinaceae phage 1N2-2 TaxID=1536592 RepID=A0A088F897_9CAUD</t>
  </si>
  <si>
    <t>DNAUV-3.460-27_1</t>
  </si>
  <si>
    <t>Uncharacterized protein n=1 Tax=Virus NIOZ-UU157 TaxID=2763269 RepID=A0A7S9STY3_9VIRU</t>
  </si>
  <si>
    <t>DNAUV-3.460-27_4</t>
  </si>
  <si>
    <t>Uncharacterized protein n=1 Tax=Pusillimonas sp. (ex Stolz et al. 2005) TaxID=1979962 RepID=A0A2D7XFR5_9BURK</t>
  </si>
  <si>
    <t>DNAUV-3.465-13_1</t>
  </si>
  <si>
    <t>Portal protein n=1 Tax=Vibrio phage 1.275.O._10N.286.54.E11 TaxID=1881276 RepID=A0A2I7S3F8_9CAUD</t>
  </si>
  <si>
    <t>DNAUV-3.465-13_3</t>
  </si>
  <si>
    <t>Coil containing protein n=1 Tax=Vibrio phage 199E37-1 TaxID=2963176 RepID=A0A9P0VCS0_9CAUD</t>
  </si>
  <si>
    <t>DNAUV-3.465-13_4</t>
  </si>
  <si>
    <t>Capsid protein n=1 Tax=Aeromonas phage V46 TaxID=2653964 RepID=A0A5P9K342_9VIRU</t>
  </si>
  <si>
    <t>DNAUV-3.468-9.3_1</t>
  </si>
  <si>
    <t>DNAUV-3.468-9.3_2</t>
  </si>
  <si>
    <t>VOG01514 [FUNC="REFSEQ virion structural protein"] [TAG=Xu TAGDEF="Function unknown"]</t>
  </si>
  <si>
    <t>DNAUV-3.468-9.3_3</t>
  </si>
  <si>
    <t>Baseplate wedge subunit and tail pin n=1 Tax=Cyanophage P-TIM40 TaxID=1589733 RepID=A0A0C5AIR4_9CAUD</t>
  </si>
  <si>
    <t>DNAUV-3.469-11_4</t>
  </si>
  <si>
    <t>VRR-NUC domain-containing protein n=1 Tax=Pseudomonas phage vB_Pae_PS9N TaxID=1542091 RepID=A0A0K0L965_9CAUD</t>
  </si>
  <si>
    <t>DNAUV-3.469-9.2_2</t>
  </si>
  <si>
    <t>DNAUV-3.469-9.2_3</t>
  </si>
  <si>
    <t>Phage protein n=1 Tax=Trabulsiella guamensis ATCC 49490 TaxID=1005994 RepID=A0A084ZUB9_9ENTR</t>
  </si>
  <si>
    <t>DNAUV-3.472-272_17</t>
  </si>
  <si>
    <t>DNAUV-3.472-272_18</t>
  </si>
  <si>
    <t>DNAUV-3.472-272_7</t>
  </si>
  <si>
    <t>VOG16516 [FUNC="REFSEQ hypothetical protein"] [TAG=Xu TAGDEF="Function unknown"]</t>
  </si>
  <si>
    <t>DksA C4-type domain-containing protein n=1 Tax=Pontibaca methylaminivorans TaxID=515897 RepID=A0A1R3W954_9RHOB</t>
  </si>
  <si>
    <t>DNAUV-3.473-43_2</t>
  </si>
  <si>
    <t>VOG01891 [FUNC="REFSEQ hypothetical protein"] [TAG=Xu TAGDEF="Function unknown"]</t>
  </si>
  <si>
    <t>Uncharacterized protein n=1 Tax=Xanthomonas phage vB_Xar_IVIA-DoCa2 TaxID=2970491 RepID=A0A976SGX2_9CAUD</t>
  </si>
  <si>
    <t>DNAUV-3.473-43_5</t>
  </si>
  <si>
    <t>Uncharacterized protein n=1 Tax=Pseudoalteromonas sp. MEBiC 03485 TaxID=2571103 RepID=A0A4Q6J6Y3_9GAMM</t>
  </si>
  <si>
    <t>DNAUV-3.474-19_1</t>
  </si>
  <si>
    <t>Transcriptional regulator n=1 Tax=Bacteriophage DSS3_MAL1 TaxID=2664194 RepID=A0A7S5KS00_9CAUD</t>
  </si>
  <si>
    <t>DNAUV-3.474-19_4</t>
  </si>
  <si>
    <t>VOG01234 [FUNC="REFSEQ hypothetical protein"] [TAG=Xu TAGDEF="Function unknown"]</t>
  </si>
  <si>
    <t>YubB ferredoxin-like domain-containing protein n=1 Tax=Ruegeria phage vB_RpoS-V10 TaxID=2218616 RepID=A0A2Z4QHC4_9CAUD</t>
  </si>
  <si>
    <t>DNAUV-3.478-16_1</t>
  </si>
  <si>
    <t>VOG04941 [FUNC="REFSEQ tail fiber protein"] [TAG=Xu TAGDEF="Function unknown"]</t>
  </si>
  <si>
    <t>DNAUV-3.478-16_2</t>
  </si>
  <si>
    <t>DNAUV-3.478-16_3</t>
  </si>
  <si>
    <t>DNAUV-3.478-16_4</t>
  </si>
  <si>
    <t>DNAUV-3.478-16_6</t>
  </si>
  <si>
    <t>DNAUV-3.485-587_2</t>
  </si>
  <si>
    <t>DNAUV-3.485-587_3</t>
  </si>
  <si>
    <t>VOG01573 [FUNC="REFSEQ hypothetical protein"] [TAG=Xu TAGDEF="Function unknown"]</t>
  </si>
  <si>
    <t>Uncharacterized protein n=1 Tax=Olleya phage Harreka_1 TaxID=2745673 RepID=A0A8E4ZF94_9CAUD</t>
  </si>
  <si>
    <t>DNAUV-3.485-587_4</t>
  </si>
  <si>
    <t>Chromosome segregation ATPase n=1 Tax=Zunongwangia atlantica 22II14-10F7 TaxID=1185767 RepID=A0A1Y1T4K9_9FLAO</t>
  </si>
  <si>
    <t>DNAUV-3.499-15_1</t>
  </si>
  <si>
    <t>Putative terminase small subunit n=1 Tax=Pseudoalteromonas phage vB_PspS-H40/1 TaxID=1856120 RepID=A0A173H0W1_9CAUD</t>
  </si>
  <si>
    <t>DNAUV-3.503-677_1</t>
  </si>
  <si>
    <t>Uncharacterized protein n=1 Tax=Ligilactobacillus acidipiscis TaxID=89059 RepID=A0A921K1Y8_9LACO</t>
  </si>
  <si>
    <t>DNAUV-3.503-677_6</t>
  </si>
  <si>
    <t>DNAUV-3.503-677_7</t>
  </si>
  <si>
    <t>Uncharacterized protein n=1 Tax=Enterobacter cloacae TaxID=550 RepID=A0A377LYJ7_ENTCL</t>
  </si>
  <si>
    <t>DNAUV-3.505-19_1</t>
  </si>
  <si>
    <t>Virion structural protein n=1 Tax=Cyanophage S-RIM12 TaxID=1278402 RepID=A0A1D7SZ65_9CAUD</t>
  </si>
  <si>
    <t>DNAUV-3.505-56_2</t>
  </si>
  <si>
    <t>DNAUV-3.505-56_4</t>
  </si>
  <si>
    <t>DNAUV-3.508-18_3</t>
  </si>
  <si>
    <t>DNA topoisomerase (ATP-hydrolyzing) n=3 Tax=Angelvirus TaxID=2946800 RepID=E5DPT7_9CAUD</t>
  </si>
  <si>
    <t>DNAUV-3.518-23_5</t>
  </si>
  <si>
    <t>DNAUV-3.519-26_2</t>
  </si>
  <si>
    <t>VOG16771 [FUNC="REFSEQ hypothetical protein"] [TAG=Xu TAGDEF="Function unknown"]</t>
  </si>
  <si>
    <t>Uncharacterized protein n=1 Tax=Salinivibrio phage CW02 TaxID=1161935 RepID=H9D1I2_9CAUD</t>
  </si>
  <si>
    <t>DNAUV-3.519-26_3</t>
  </si>
  <si>
    <t>Uncharacterized protein n=1 Tax=Aeromonas phage vB_AceP_PAc TaxID=2996154 RepID=A0A9E9P4X3_9CAUD</t>
  </si>
  <si>
    <t>DNAUV-3.519-26_5</t>
  </si>
  <si>
    <t>Putative glyceraldehyde-3-phosphate dehydrogenase n=1 Tax=Ahrensia sp. R2A130 TaxID=744979 RepID=E0MRM5_9HYPH</t>
  </si>
  <si>
    <t>DNAUV-3.519-26_7</t>
  </si>
  <si>
    <t>DNAUV-3.540-430_1</t>
  </si>
  <si>
    <t>Uncharacterized protein gp36 n=1 Tax=EBPR podovirus 2 TaxID=1048516 RepID=F8TUT5_9CAUD</t>
  </si>
  <si>
    <t>DNAUV-3.540-430_11</t>
  </si>
  <si>
    <t>Uncharacterized protein n=1 Tax=Bosea vaviloviae TaxID=1526658 RepID=A0A0N1F313_9HYPH</t>
  </si>
  <si>
    <t>DNAUV-3.540-430_12</t>
  </si>
  <si>
    <t>Uncharacterized protein n=1 Tax=Phage MedPE-SWcel-C56 TaxID=1871314 RepID=A0A1B1IY10_9CAUD</t>
  </si>
  <si>
    <t>DNAUV-3.540-430_2</t>
  </si>
  <si>
    <t>Uncharacterized protein gp37 n=1 Tax=EBPR podovirus 2 TaxID=1048516 RepID=F8TUT6_9CAUD</t>
  </si>
  <si>
    <t>DNAUV-3.545-223_2</t>
  </si>
  <si>
    <t>sp|Q9T1T1|VP17_BPAPS Putative protein p17 OS=Acyrthosiphon pisum secondary endosymbiont phage 1 OX=2682836 GN=17 PE=4 SV=1</t>
  </si>
  <si>
    <t>Terminase small subunit n=1 Tax=Pseudoalteromonas phage H103 TaxID=1636200 RepID=A0A0K0MD41_9CAUD</t>
  </si>
  <si>
    <t>DNAUV-3.548-13_4</t>
  </si>
  <si>
    <t>Putative DnaT-like domain-containing protein n=1 Tax=Phaeobacter phage MD18 TaxID=2723761 RepID=A0A6H1Z515_9CAUD</t>
  </si>
  <si>
    <t>DNAUV-3.548-13_5</t>
  </si>
  <si>
    <t>Head-tail joining protein n=2 Tax=unclassified Caudoviricetes TaxID=2788787 RepID=A0A2Z4QH56_9CAUD</t>
  </si>
  <si>
    <t>DNAUV-3.548-13_6</t>
  </si>
  <si>
    <t>Phage protein, HK97 gp10 family n=1 Tax=Gemmobacter aquatilis TaxID=933059 RepID=A0A1H8C9K6_9RHOB</t>
  </si>
  <si>
    <t>DNAUV-3.548-13_7</t>
  </si>
  <si>
    <t>DUF3168 domain-containing protein n=1 Tax=Ruegeria phage vB_RpoS-V10 TaxID=2218616 RepID=A0A2Z4QGU1_9CAUD</t>
  </si>
  <si>
    <t>DNAUV-3.554-23_4</t>
  </si>
  <si>
    <t>DUF5824 domain-containing protein n=1 Tax=Pelagibacter phage HTVC008M TaxID=1283076 RepID=M1ICW4_9CAUD</t>
  </si>
  <si>
    <t>DNAUV-3.554-23_5</t>
  </si>
  <si>
    <t>VOG09295 [FUNC="REFSEQ hypothetical protein"] [TAG=Xu TAGDEF="Function unknown"]</t>
  </si>
  <si>
    <t>Uncharacterized protein n=1 Tax=Synechococcus phage S-SRM01 TaxID=2781608 RepID=A0A879R3C3_9CAUD</t>
  </si>
  <si>
    <t>DNAUV-3.554-23_6</t>
  </si>
  <si>
    <t>Uncharacterized protein n=1 Tax=Stenotrophomonas phage vB_SmaS-DLP_6 TaxID=1651816 RepID=A0A142EZZ2_9CAUD</t>
  </si>
  <si>
    <t>DNAUV-3.554-23_7</t>
  </si>
  <si>
    <t>Uncharacterized protein n=1 Tax=Marine Group I thaumarchaeote TaxID=2511932 RepID=A0A7K4MWR2_9ARCH</t>
  </si>
  <si>
    <t>DNAUV-3.560-62_1</t>
  </si>
  <si>
    <t>VOG27981 [FUNC="REFSEQ hypothetical protein"] [TAG=Xu TAGDEF="Function unknown"]</t>
  </si>
  <si>
    <t>Uncharacterized protein n=1 Tax=Clostridium sp. AM45-5 TaxID=2292306 RepID=A0A3R6SN60_9CLOT</t>
  </si>
  <si>
    <t>DNAUV-3.569-14_1</t>
  </si>
  <si>
    <t>sp|P11334|REP_SPV4 Replication-associated protein ORF2 OS=Spiroplasma virus 4 OX=2928746 GN=ORF2 PE=3 SV=1</t>
  </si>
  <si>
    <t>Replication protein n=2 Tax=unclassified Microviridae TaxID=117574 RepID=A0A2U7P5Q5_9VIRU</t>
  </si>
  <si>
    <t>DNAUV-3.569-14_6</t>
  </si>
  <si>
    <t>Capsid protein n=2 Tax=unclassified Microviridae TaxID=117574 RepID=A0A2U7NPL8_9VIRU</t>
  </si>
  <si>
    <t>DNAUV-3.586-13_2</t>
  </si>
  <si>
    <t>Effector-associated domain-containing protein n=2 Tax=unclassified Calothrix TaxID=2619626 RepID=A0A2H2YJM0_9CYAN</t>
  </si>
  <si>
    <t>DNAUV-3.590-16_2</t>
  </si>
  <si>
    <t>Uncharacterized protein n=1 Tax=Klebsiella phage vB_KpnP_Klyazma TaxID=2972439 RepID=A0A976SN19_9CAUD</t>
  </si>
  <si>
    <t>DNAUV-3.603-11_11</t>
  </si>
  <si>
    <t>sp|P0DTK6|GLYDT_BPPM6 Glycinyltransferase OS=Pseudomonas phage M6 OX=2911432 PE=1 SV=1</t>
  </si>
  <si>
    <t>Amino acid:DNA transferase domain-containing protein n=1 Tax=Rhizobium phage RHph_TM26 TaxID=2509758 RepID=A0A7S5R7U4_9CAUD</t>
  </si>
  <si>
    <t>DNAUV-3.603-11_14</t>
  </si>
  <si>
    <t>Uncharacterized protein n=1 Tax=Mesorhizobium sp. M2E.F.Ca.ET.166.01.1.1 TaxID=2500523 RepID=A0A4S0VF64_9HYPH</t>
  </si>
  <si>
    <t>DNAUV-3.603-11_15</t>
  </si>
  <si>
    <t>sp|P0DTK5|HMUDK_BPPM6 5-hmdU DNA kinase OS=Pseudomonas phage M6 OX=2911432 PE=1 SV=1</t>
  </si>
  <si>
    <t>P-loop NTPase domain-containing protein n=1 Tax=Rhizobium phage RHph_TM26 TaxID=2509758 RepID=A0A7S5UQA0_9CAUD</t>
  </si>
  <si>
    <t>DNAUV-3.603-11_18</t>
  </si>
  <si>
    <t>sp|F8WQ30|HMUDK_BPS10 5-hmdU DNA kinase OS=Bacillus phage SP10 OX=941058 PE=1 SV=1</t>
  </si>
  <si>
    <t>VOG05935 [FUNC="sp|F8WQ30|HMUDK_BPS10 5-hmdU DNA kinase"] [TAG=Xh TAGDEF="Virus protein with function beneficial for the host"]</t>
  </si>
  <si>
    <t>AGPT-Pplase1 n=1 Tax=Pseudanabaena phage Pam3 TaxID=2936519 RepID=A0A9E7DT47_9CAUD</t>
  </si>
  <si>
    <t>DNAUV-3.603-11_19</t>
  </si>
  <si>
    <t>Nmad5 n=1 Tax=Pseudanabaena phage Pam3 TaxID=2936519 RepID=A0A9E7DT85_9CAUD</t>
  </si>
  <si>
    <t>DNAUV-3.603-11_21</t>
  </si>
  <si>
    <t>DNAUV-3.616-8.3_13</t>
  </si>
  <si>
    <t>DNA binding HTH domain-containing protein n=1 Tax=Tritonibacter litoralis TaxID=2662264 RepID=A0A843YK94_9RHOB</t>
  </si>
  <si>
    <t>DNAUV-3.616-8.3_14</t>
  </si>
  <si>
    <t>A1 protein n=1 Tax=Acidisoma cellulosilyticum TaxID=2802395 RepID=A0A963Z3C2_9PROT</t>
  </si>
  <si>
    <t>DNAUV-3.624-689_4</t>
  </si>
  <si>
    <t>DNAUV-3.634-57_3</t>
  </si>
  <si>
    <t>DNAUV-3.636-994_1</t>
  </si>
  <si>
    <t>DNAUV-3.636-994_2</t>
  </si>
  <si>
    <t>DNAUV-3.651-525_2</t>
  </si>
  <si>
    <t>DUF2815 family protein n=1 Tax=Pseudoalteromonas phage PHS21 TaxID=1955235 RepID=A0A223SED7_9CAUD</t>
  </si>
  <si>
    <t>DNAUV-3.651-525_4</t>
  </si>
  <si>
    <t>DNAUV-3.661-17_17</t>
  </si>
  <si>
    <t>Uncharacterized protein n=1 Tax=Sinorhizobium phage HMSP1-Susan TaxID=2049306 RepID=A0A2D2W1U0_9CAUD</t>
  </si>
  <si>
    <t>DNAUV-3.663-12_1</t>
  </si>
  <si>
    <t>Ig-like domain-containing protein n=1 Tax=Pusillimonas sp. (ex Stolz et al. 2005) TaxID=1979962 RepID=A0A2D7XC15_9BURK</t>
  </si>
  <si>
    <t>DNAUV-3.663-12_2</t>
  </si>
  <si>
    <t>Uncharacterized protein n=1 Tax=Pusillimonas sp. (ex Stolz et al. 2005) TaxID=1979962 RepID=A0A2D7XC60_9BURK</t>
  </si>
  <si>
    <t>DNAUV-3.668-10_1</t>
  </si>
  <si>
    <t>Terminase large subunit n=1 Tax=Siphoviridae sp. ct7UA22 TaxID=2656718 RepID=A0A5Q2W5X5_9CAUD</t>
  </si>
  <si>
    <t>DNAUV-3.668-10_2</t>
  </si>
  <si>
    <t>Portal protein n=1 Tax=Vibrio phage vB_VspS_VS-ABTNL-3 TaxID=2026084 RepID=A0A2D1A928_9CAUD</t>
  </si>
  <si>
    <t>DNAUV-3.668-10_6</t>
  </si>
  <si>
    <t>Putative major capsid protein n=1 Tax=Vibrio phage vB_VspS_VS-ABTNL-3 TaxID=2026084 RepID=A0A2D0ZXF9_9CAUD</t>
  </si>
  <si>
    <t>DNAUV-3.679-35_19</t>
  </si>
  <si>
    <t>PD-(D/E)XK endonuclease-like domain-containing protein n=1 Tax=Caulobacter phage CcrColossus TaxID=1211640 RepID=K4JUK6_9CAUD</t>
  </si>
  <si>
    <t>DNAUV-3.683-885_10</t>
  </si>
  <si>
    <t>DNAUV-3.683-885_7</t>
  </si>
  <si>
    <t>DNAUV-3.683-885_8</t>
  </si>
  <si>
    <t>DUF2190 domain-containing protein n=1 Tax=Deinococcus peraridilitoris (strain DSM 19664 / LMG 22246 / CIP 109416 / KR-200) TaxID=937777 RepID=L0A1V1_DEIPD</t>
  </si>
  <si>
    <t>DNAUV-3.683-885_9</t>
  </si>
  <si>
    <t>DNAUV-3.685-26_1</t>
  </si>
  <si>
    <t>DNAUV-3.685-26_6</t>
  </si>
  <si>
    <t>DNAUV-3.693-13_1</t>
  </si>
  <si>
    <t>Uncharacterized protein orf13T n=1 Tax=Vibrio phage VP16T TaxID=238892 RepID=Q6VT68_9CAUD</t>
  </si>
  <si>
    <t>DNAUV-3.693-13_2</t>
  </si>
  <si>
    <t>DNAUV-3.698-9.6_2</t>
  </si>
  <si>
    <t>VOG24099 [FUNC="REFSEQ hypothetical protein"] [TAG=Xu TAGDEF="Function unknown"]</t>
  </si>
  <si>
    <t>Uncharacterized protein n=1 Tax=Bacteroides fragilis CAG:558 TaxID=1263047 RepID=R5RAD8_9BACE</t>
  </si>
  <si>
    <t>DNAUV-3.698-9.6_3</t>
  </si>
  <si>
    <t>N-terminal domain of galactosyltransferase n=1 Tax=Chitinophaga filiformis TaxID=104663 RepID=A0A1G7LQG2_CHIFI</t>
  </si>
  <si>
    <t>DNAUV-3.698-9.6_4</t>
  </si>
  <si>
    <t>sp|Q8VIB3|SIA10_MOUSE Type 2 lactosamine alpha-2,3-sialyltransferase OS=Mus musculus OX=10090 GN=St3gal6 PE=2 SV=3</t>
  </si>
  <si>
    <t>St3 beta-galactoside alpha--sialyltransferase 2-like n=1 Tax=Tetraselmis sp. GSL018 TaxID=582737 RepID=A0A061RII4_9CHLO</t>
  </si>
  <si>
    <t>DNAUV-3.698-9.6_5</t>
  </si>
  <si>
    <t>DNAUV-3.698-9.6_6</t>
  </si>
  <si>
    <t>Tail tape measure protein n=3 Tax=root TaxID=1 RepID=A0A831QPZ4_9FLAO</t>
  </si>
  <si>
    <t>DNAUV-3.728-8.8_5</t>
  </si>
  <si>
    <t>Putative DNA ligase n=1 Tax=Vibrio phage vB_ValP_VA-RY-3 TaxID=2831177 RepID=A0A8E5UYL4_9CAUD</t>
  </si>
  <si>
    <t>DNAUV-3.728-8.8_6</t>
  </si>
  <si>
    <t>DNA ligase n=1 Tax=Xanthomonas phage Xp15 TaxID=322855 RepID=Q52PP4_9CAUD</t>
  </si>
  <si>
    <t>DNAUV-3.730-211_10</t>
  </si>
  <si>
    <t>Uncharacterized protein n=1 Tax=Vibrio sp. HI00D65 TaxID=1822216 RepID=A0A168GMI8_9VIBR</t>
  </si>
  <si>
    <t>DNAUV-3.730-211_13</t>
  </si>
  <si>
    <t>DNAUV-3.733-19_2</t>
  </si>
  <si>
    <t>DNA modification protein Mom-like protein n=3 Tax=Pecentumvirus TaxID=1857844 RepID=A0A059T6X8_9CAUD</t>
  </si>
  <si>
    <t>DNAUV-3.733-19_3</t>
  </si>
  <si>
    <t>Uncharacterized protein n=1 Tax=Aphanizomenon flos-aquae WA102 TaxID=1710896 RepID=A0A1B7X3H6_APHFL</t>
  </si>
  <si>
    <t>DNAUV-3.736-106_7</t>
  </si>
  <si>
    <t>DNAUV-3.740-206_11</t>
  </si>
  <si>
    <t>DNAUV-3.740-206_7</t>
  </si>
  <si>
    <t>Rad50/SbcC-type AAA domain-containing protein n=1 Tax=Muricauda sp. TMED12 TaxID=1986608 RepID=A0A424LGQ2_9FLAO</t>
  </si>
  <si>
    <t>DNAUV-3.740-206_8</t>
  </si>
  <si>
    <t>Sliding clamp C-terminal domain-containing protein n=1 Tax=Muricauda sp. TMED12 TaxID=1986608 RepID=A0A424LGJ5_9FLAO</t>
  </si>
  <si>
    <t>DNAUV-3.754-23_2</t>
  </si>
  <si>
    <t>SGNH hydrolase-type esterase domain-containing protein n=1 Tax=Pseudopedobacter saltans TaxID=151895 RepID=A0A2W5ERC5_9SPHI</t>
  </si>
  <si>
    <t>DNAUV-3.754-23_3</t>
  </si>
  <si>
    <t>DNAUV-3.754-23_4</t>
  </si>
  <si>
    <t>DNAUV-3.754-23_5</t>
  </si>
  <si>
    <t>DNAUV-3.754-23_6</t>
  </si>
  <si>
    <t>DNAUV-3.759-521_2</t>
  </si>
  <si>
    <t>DNAUV-3.768-12-V2_1</t>
  </si>
  <si>
    <t>DNAUV-3.768-12-V2_2</t>
  </si>
  <si>
    <t>Cell wall surface anchor family protein n=1 Tax=Alteromonas phage PB15 TaxID=1913113 RepID=A0A1J0GWF9_9CAUD</t>
  </si>
  <si>
    <t>DNAUV-3.768-12-V2_3</t>
  </si>
  <si>
    <t>VOG20427 [FUNC="REFSEQ hypothetical protein"] [TAG=Xu TAGDEF="Function unknown"]</t>
  </si>
  <si>
    <t>Uncharacterized protein n=2 Tax=Comamonas TaxID=283 RepID=A0A1Y1IZK7_COMTE</t>
  </si>
  <si>
    <t>DNAUV-3.768-12-V2_4</t>
  </si>
  <si>
    <t>DNAUV-3.773-156_10</t>
  </si>
  <si>
    <t>Portal protein n=1 Tax=Alteromonas australica TaxID=589873 RepID=A0A350P844_9ALTE</t>
  </si>
  <si>
    <t>DNAUV-3.784-13_1</t>
  </si>
  <si>
    <t>VOG29744 [FUNC="REFSEQ hypothetical protein"] [TAG=Xu TAGDEF="Function unknown"]</t>
  </si>
  <si>
    <t>Nucleoside triphosphate pyrophosphohydrolase n=1 Tax=Ochrobactrum phage vB_OspP_OH TaxID=2712957 RepID=A0A6G6XXZ2_9CAUD</t>
  </si>
  <si>
    <t>DNAUV-3.784-13_7</t>
  </si>
  <si>
    <t>VOG11776 [FUNC="REFSEQ hypothetical protein"] [TAG=Xu TAGDEF="Function unknown"]</t>
  </si>
  <si>
    <t>Uncharacterized protein n=1 Tax=Burkholderia aenigmatica TaxID=2015348 RepID=A0A6J5JLA7_9BURK</t>
  </si>
  <si>
    <t>DNAUV-3.786-348_6</t>
  </si>
  <si>
    <t>DNAUV-3.786-348_7</t>
  </si>
  <si>
    <t>DNAUV-3.798-15_4</t>
  </si>
  <si>
    <t>DUF1822 family protein n=1 Tax=Microcystis aeruginosa Ma_OC_H_19870700_S124 TaxID=2486262 RepID=A0A552A9S7_MICAE</t>
  </si>
  <si>
    <t>DNAUV-3.799-157_11</t>
  </si>
  <si>
    <t>Uncharacterized protein n=1 Tax=Streptomyces sp. MP131-18 TaxID=1857892 RepID=A0A1V2RD31_9ACTN</t>
  </si>
  <si>
    <t>DNAUV-3.799-157_13</t>
  </si>
  <si>
    <t>VOG05728 [FUNC="REFSEQ hypothetical protein"] [TAG=Xu TAGDEF="Function unknown"]</t>
  </si>
  <si>
    <t>Uncharacterized protein n=1 Tax=Freshwater phage uvFW-CGR-AMD-COM-C449 TaxID=1838155 RepID=A0A1B0XU50_9CAUD</t>
  </si>
  <si>
    <t>DNAUV-3.799-157_5</t>
  </si>
  <si>
    <t>Major capsid protein n=1 Tax=Freshwater phage uvFW-CGR-AMD-COM-C429 TaxID=1838153 RepID=A0A1B0XTZ3_9CAUD</t>
  </si>
  <si>
    <t>DNAUV-3.804-223_8</t>
  </si>
  <si>
    <t>DNAUV-3.804-223_9</t>
  </si>
  <si>
    <t>DNAUV-3.806-21_4</t>
  </si>
  <si>
    <t>DNAUV-3.809-46_1</t>
  </si>
  <si>
    <t>Uncharacterized protein n=1 Tax=Bradyrhizobium diazoefficiens TaxID=1355477 RepID=A0A810CVW3_9BRAD</t>
  </si>
  <si>
    <t>DNAUV-3.809-46_2</t>
  </si>
  <si>
    <t>Uncharacterized protein n=1 Tax=Verrucomicrobia phage P8625 TaxID=1636271 RepID=A0A0E3M0X5_9CAUD</t>
  </si>
  <si>
    <t>DNAUV-3.811-9.4_2</t>
  </si>
  <si>
    <t>DNAUV-3.811-9.4_5</t>
  </si>
  <si>
    <t>N-acetylmuramoyl-L-alanine amidase n=1 Tax=Prevotella sp. tc2-28 TaxID=1761888 RepID=A0A1H4F6N5_9BACT</t>
  </si>
  <si>
    <t>DNAUV-3.811-9.4_6</t>
  </si>
  <si>
    <t>DNAUV-3.813-14_6</t>
  </si>
  <si>
    <t>N-acetyltransferase domain-containing protein n=1 Tax=Limibacillus halophilus TaxID=1579333 RepID=A0A839SX76_9HYPH</t>
  </si>
  <si>
    <t>DNAUV-3.815-34_6</t>
  </si>
  <si>
    <t>Tail fiber protein n=1 Tax=Cyanophage SS120-1 TaxID=616674 RepID=M1UAC7_9CAUD</t>
  </si>
  <si>
    <t>DNAUV-3.815-34_9</t>
  </si>
  <si>
    <t>DNAUV-3.816-231_8</t>
  </si>
  <si>
    <t>DNAUV-3.817-9.7_1</t>
  </si>
  <si>
    <t>Terminase small subunit n=1 Tax=Phaeobacter phage MD18 TaxID=2723761 RepID=A0A6H1Z652_9CAUD</t>
  </si>
  <si>
    <t>DNAUV-3.823-21_2</t>
  </si>
  <si>
    <t>DNAUV-3.823-21_4</t>
  </si>
  <si>
    <t>DNAUV-3.823-21_5</t>
  </si>
  <si>
    <t>DNAUV-3.823-21_6</t>
  </si>
  <si>
    <t>DNAUV-3.823-59_3</t>
  </si>
  <si>
    <t>Putative DnaT-like domain-containing protein n=1 Tax=Serratia phage Scapp TaxID=2282409 RepID=A0A345L6Q0_9CAUD</t>
  </si>
  <si>
    <t>DNAUV-3.823-59_4</t>
  </si>
  <si>
    <t>sp|P28064|PSB8_RAT Proteasome subunit beta type-8 OS=Rattus norvegicus OX=10116 GN=Psmb8 PE=1 SV=3</t>
  </si>
  <si>
    <t>Uncharacterized protein n=1 Tax=Shewanella sp. phage 3/49 TaxID=1458863 RepID=A0A088C464_9CAUD</t>
  </si>
  <si>
    <t>DNAUV-3.823-59_5</t>
  </si>
  <si>
    <t>DNAUV-3.823-59_6</t>
  </si>
  <si>
    <t>DNAUV-3.823-59_7</t>
  </si>
  <si>
    <t>HK97 gp10 family phage protein n=1 Tax=Salicola phage CGphi29 TaxID=754067 RepID=M4QSD5_9CAUD</t>
  </si>
  <si>
    <t>DNAUV-3.823-59_8</t>
  </si>
  <si>
    <t>Uncharacterized protein n=1 Tax=Xanthomonas floridensis TaxID=1843580 RepID=A0A1A9MDJ0_9XANT</t>
  </si>
  <si>
    <t>DNAUV-3.826-450_7</t>
  </si>
  <si>
    <t>Uncharacterized protein n=1 Tax=Caulobacter phage Ccr2 TaxID=1959736 RepID=A0A1V0EBG7_9CAUD</t>
  </si>
  <si>
    <t>DNAUV-3.826-450_9</t>
  </si>
  <si>
    <t>Uncharacterized protein n=1 Tax=Synechococcus phage ACG-2014d TaxID=1493509 RepID=A0A0E3EMT4_9CAUD</t>
  </si>
  <si>
    <t>DNAUV-3.829-9.8_2</t>
  </si>
  <si>
    <t>Peptidase M15 n=1 Tax=Micavibrio aeruginosavorus TaxID=349221 RepID=A0A2W5MY54_9BACT</t>
  </si>
  <si>
    <t>DNAUV-3.831-59_11</t>
  </si>
  <si>
    <t>Uncharacterized protein n=1 Tax=Ostreococcus sp. 'lucimarinus' TaxID=242159 RepID=A0A7R9T4E9_9CHLO</t>
  </si>
  <si>
    <t>DNAUV-3.831-59_12</t>
  </si>
  <si>
    <t>DNAUV-3.831-59_15</t>
  </si>
  <si>
    <t>DNAUV-3.831-59_16</t>
  </si>
  <si>
    <t>DNAUV-3.831-59_17</t>
  </si>
  <si>
    <t>DUF4376 domain-containing protein n=1 Tax=Yoonia tamlensis TaxID=390270 RepID=A0A1I6GE41_9RHOB</t>
  </si>
  <si>
    <t>DNAUV-3.848-1494_5</t>
  </si>
  <si>
    <t>DNAUV-3.848-1494_6</t>
  </si>
  <si>
    <t>DNAUV-3.853-13_4</t>
  </si>
  <si>
    <t>DNAUV-3.853-13_5</t>
  </si>
  <si>
    <t>VOG04987 [FUNC="REFSEQ hypothetical protein"] [TAG=Xu TAGDEF="Function unknown"]</t>
  </si>
  <si>
    <t>Uncharacterized protein n=3 Tax=Insectihabitans xujianqingii TaxID=2738837 RepID=A0A9D7FZU8_9GAMM</t>
  </si>
  <si>
    <t>DNAUV-3.853-13_6</t>
  </si>
  <si>
    <t>Permuted papain-like amidase enzyme, YaeF/YiiX, C92 family n=1 Tax=Marinobacter nauticus TaxID=2743 RepID=A0A455W6T7_MARNT</t>
  </si>
  <si>
    <t>DNAUV-3.855-13_1</t>
  </si>
  <si>
    <t>DNAUV-3.855-13_3</t>
  </si>
  <si>
    <t>Uncharacterized protein n=1 Tax=Bacteriophage DSS3_MAL1 TaxID=2664194 RepID=A0A7S5FRU3_9CAUD</t>
  </si>
  <si>
    <t>DNAUV-3.864-14_2</t>
  </si>
  <si>
    <t>Phage ssDNA-binding protein n=2 Tax=Lauvirus lau218 TaxID=1465639 RepID=A0A060BRP1_9CAUD</t>
  </si>
  <si>
    <t>DNAUV-3.864-14_3</t>
  </si>
  <si>
    <t>Holliday junction resolvase n=2 Tax=Eubacteriales TaxID=186802 RepID=A0A2N5PKH2_RUMGN</t>
  </si>
  <si>
    <t>DNAUV-3.864-14_4</t>
  </si>
  <si>
    <t>Helix-turn-helix domain-containing protein n=2 Tax=Brucella tritici TaxID=94626 RepID=A0A833FM03_9HYPH</t>
  </si>
  <si>
    <t>DNAUV-3.866-17_2</t>
  </si>
  <si>
    <t>DNAUV-3.872-71_4</t>
  </si>
  <si>
    <t>VOG31883 [FUNC="REFSEQ hypothetical protein"] [TAG=Xu TAGDEF="Function unknown"]</t>
  </si>
  <si>
    <t>Phage protein n=1 Tax=Nonlabens phage P12024S TaxID=1168478 RepID=I6S2C1_9CAUD</t>
  </si>
  <si>
    <t>DNAUV-3.875-16_13</t>
  </si>
  <si>
    <t>VOG01825 [FUNC="REFSEQ putative tail fiber"] [TAG=Xu TAGDEF="Function unknown"]</t>
  </si>
  <si>
    <t>Putative tail fiber n=1 Tax=Salinivibrio phage CW02 TaxID=1161935 RepID=H9D1F9_9CAUD</t>
  </si>
  <si>
    <t>DNAUV-3.875-27_4</t>
  </si>
  <si>
    <t>DNAUV-3.875-27_5</t>
  </si>
  <si>
    <t>DNAUV-3.881-10_6</t>
  </si>
  <si>
    <t>DNAUV-3.881-10_7</t>
  </si>
  <si>
    <t>N4 v-RNAP-like protein n=1 Tax=Sulfitobacter phage EE36phi1 TaxID=490913 RepID=C4NTE0_9CAUD</t>
  </si>
  <si>
    <t>DNAUV-3.883-10_3</t>
  </si>
  <si>
    <t>RNA polymerase 2 n=1 Tax=Alteromonas phage vB_AemP_PT15-A5 TaxID=2981567 RepID=A0A9X9JQW0_9CAUD</t>
  </si>
  <si>
    <t>DNAUV-3.890-10_6</t>
  </si>
  <si>
    <t>Polyketide cyclase n=3 Tax=Pseudomonadaceae TaxID=135621 RepID=A0A087FAU0_9PSED</t>
  </si>
  <si>
    <t>DNAUV-3.890-10_7</t>
  </si>
  <si>
    <t>Uncharacterized protein n=1 Tax=Synechococcus phage BUCT-ZZ01 TaxID=2951202 RepID=A0A9E7NQN8_9CAUD</t>
  </si>
  <si>
    <t>DNAUV-3.890-10_9</t>
  </si>
  <si>
    <t>DNAUV-3.896-76_10</t>
  </si>
  <si>
    <t>N-acetyltransferase gcn5: GCN5-related N-acetyltransferase n=1 Tax=Gemmata massiliana TaxID=1210884 RepID=A0A6P2CVP7_9BACT</t>
  </si>
  <si>
    <t>DNAUV-3.896-76_5</t>
  </si>
  <si>
    <t>DNAUV-3.896-76_6</t>
  </si>
  <si>
    <t>DNAUV-3.896-76_8</t>
  </si>
  <si>
    <t>DNAUV-3.897-15_2</t>
  </si>
  <si>
    <t>DUF4406 domain-containing protein n=1 Tax=Roseovarius sp. 217 phage 1 TaxID=874471 RepID=E3PZC8_9CAUD</t>
  </si>
  <si>
    <t>DNAUV-3.897-15_3</t>
  </si>
  <si>
    <t>VOG37540 [FUNC="REFSEQ hypothetical protein"] [TAG=Xu TAGDEF="Function unknown"]</t>
  </si>
  <si>
    <t>Uncharacterized protein n=1 Tax=Roseovarius sp. 217 phage 1 TaxID=874471 RepID=E3PZC9_9CAUD</t>
  </si>
  <si>
    <t>DNAUV-3.897-15_6</t>
  </si>
  <si>
    <t>DNAUV-3.899-84_2</t>
  </si>
  <si>
    <t>DNAUV-3.902-48_4</t>
  </si>
  <si>
    <t>Holin (3TMs family) n=1 Tax=Varunaivibrio sulfuroxidans TaxID=1773489 RepID=A0A4V2UND4_9PROT</t>
  </si>
  <si>
    <t>DNAUV-3.914-119_2</t>
  </si>
  <si>
    <t>DNAUV-3.914-119_5</t>
  </si>
  <si>
    <t>DNAUV-3.916-565_7</t>
  </si>
  <si>
    <t>DNAUV-3.916-565_8</t>
  </si>
  <si>
    <t>Bacteriophage lambda head decoration protein D n=1 Tax=Allonocardiopsis opalescens TaxID=1144618 RepID=A0A2T0PPL5_9ACTN</t>
  </si>
  <si>
    <t>DNAUV-3.919-10_1</t>
  </si>
  <si>
    <t>VOG17781 [FUNC="REFSEQ hypothetical protein"] [TAG=Xu TAGDEF="Function unknown"]</t>
  </si>
  <si>
    <t>Uncharacterized protein n=1 Tax=Myoviridae sp. ctBDS4 TaxID=2823537 RepID=A0A8S5LEJ4_9CAUD</t>
  </si>
  <si>
    <t>DNAUV-3.919-10_3</t>
  </si>
  <si>
    <t>DNAUV-3.925-19_7</t>
  </si>
  <si>
    <t>Putative tail fiber n=1 Tax=Pelagibacter phage HTVC035P TaxID=2796521 RepID=A0A7T3PHF1_9CAUD</t>
  </si>
  <si>
    <t>DNAUV-3.931-273_4</t>
  </si>
  <si>
    <t>Uncharacterized protein n=1 Tax=Herbaspirillum sp. SJZ107 TaxID=2572881 RepID=A0A542MAA2_9BURK</t>
  </si>
  <si>
    <t>DNAUV-3.939-149_2</t>
  </si>
  <si>
    <t>Replication initiator protein n=1 Tax=Apis mellifera associated microvirus 29 TaxID=2494757 RepID=A0A3Q8U5G9_9VIRU</t>
  </si>
  <si>
    <t>DNAUV-3.939-149_3</t>
  </si>
  <si>
    <t>Major capsid protein n=1 Tax=Apis mellifera associated microvirus 29 TaxID=2494757 RepID=A0A3Q8U516_9VIRU</t>
  </si>
  <si>
    <t>DNAUV-3.939-149_4</t>
  </si>
  <si>
    <t>sp|Q9G055|H_BPPHM Minor spike protein H OS=Bdellovibrio phage phiMH2K OX=145579 GN=ORF2 PE=3 SV=1</t>
  </si>
  <si>
    <t>VOG07192 [FUNC="sp|Q9G055|H_BPPHM Minor spike protein H"] [TAG=Xp TAGDEF="Virus protein with function beneficial for the virus"]</t>
  </si>
  <si>
    <t>DNA pilot protein n=2 Tax=Apis mellifera associated microvirus 24 TaxID=2494752 RepID=A0A3Q8U5J8_9VIRU</t>
  </si>
  <si>
    <t>DNAUV-3.939-149_5</t>
  </si>
  <si>
    <t>VOG22096 [FUNC="sp|P19194|B_BPCHP Internal scaffolding protein VP3"] [TAG=Xs TAGDEF="Virus structure"]</t>
  </si>
  <si>
    <t>Internal scaffolding protein n=1 Tax=Apis mellifera associated microvirus 29 TaxID=2494757 RepID=A0A3Q8U0G9_9VIRU</t>
  </si>
  <si>
    <t>DNAUV-3.942-14_13</t>
  </si>
  <si>
    <t>Uncharacterized protein n=1 Tax=Pelagibius litoralis TaxID=374515 RepID=A0A967F3F1_9HYPH</t>
  </si>
  <si>
    <t>DNAUV-3.942-14_17</t>
  </si>
  <si>
    <t>DNAUV-3.942-14_19</t>
  </si>
  <si>
    <t>Uncharacterized protein n=1 Tax=Pelagibius litoralis TaxID=374515 RepID=A0A967F3L9_9HYPH</t>
  </si>
  <si>
    <t>DNAUV-3.946-3390_2</t>
  </si>
  <si>
    <t>DNAUV-3.948-87_5</t>
  </si>
  <si>
    <t>Putative major capsid protein n=1 Tax=Eel River basin pequenovirus TaxID=1609634 RepID=A0A0C5AG00_9VIRU</t>
  </si>
  <si>
    <t>DNAUV-3.950-1302_5</t>
  </si>
  <si>
    <t>DNAUV-3.950-1302_6</t>
  </si>
  <si>
    <t>Putative DNA methylase protein n=1 Tax=Rhizobium phage RHph_I3_11 TaxID=2509731 RepID=A0A7S5UV19_9CAUD</t>
  </si>
  <si>
    <t>DNAUV-3.950-1302_9</t>
  </si>
  <si>
    <t>VRR-NUC domain-containing protein n=1 Tax=Spiribacter salinus TaxID=1335746 RepID=A0A540VFG9_9GAMM</t>
  </si>
  <si>
    <t>DNAUV-3.952-366_1</t>
  </si>
  <si>
    <t>Uncharacterized protein n=1 Tax=Cellulophaga phage phi19:1 TaxID=1327970 RepID=R9ZYE7_9CAUD</t>
  </si>
  <si>
    <t>DNAUV-3.953-10_1</t>
  </si>
  <si>
    <t>DUF2800 domain-containing protein n=1 Tax=Pseudomonas phage MR14 TaxID=2711178 RepID=A0A6M3TDT0_9CAUD</t>
  </si>
  <si>
    <t>DNAUV-3.953-10_2</t>
  </si>
  <si>
    <t>Uncharacterized protein n=1 Tax=Stenotrophomonas phage B2 TaxID=2936871 RepID=A0A9E7IEW0_9CAUD</t>
  </si>
  <si>
    <t>DNAUV-3.953-20_10</t>
  </si>
  <si>
    <t>Amidoligase enzyme n=1 Tax=Erwinia phage Pecta TaxID=2851070 RepID=A0A9E6N829_9CAUD</t>
  </si>
  <si>
    <t>DNAUV-3.953-20_8</t>
  </si>
  <si>
    <t>COOH.NH2 ligase-type 2 n=1 Tax=Salinivibrio phage CW02 TaxID=1161935 RepID=H9D1C9_9CAUD</t>
  </si>
  <si>
    <t>DNAUV-3.953-20_9</t>
  </si>
  <si>
    <t>Uncharacterized protein n=1 Tax=Klebsiella phage vB_KpnP_Klyazma TaxID=2972439 RepID=A0A976XL06_9CAUD</t>
  </si>
  <si>
    <t>DNAUV-3.954-103_2</t>
  </si>
  <si>
    <t>DNAUV-3.954-103_3</t>
  </si>
  <si>
    <t>DNAUV-3.954-103_4</t>
  </si>
  <si>
    <t>DNAUV-3.960-9.2_6</t>
  </si>
  <si>
    <t>DNAUV-3.960-9.2_7</t>
  </si>
  <si>
    <t>VOG30083 [FUNC="REFSEQ hypothetical protein"] [TAG=Xu TAGDEF="Function unknown"]</t>
  </si>
  <si>
    <t>Antirestriction protein n=1 Tax=Bacteriophage DSS3_VP1 TaxID=2664196 RepID=A0A7S5FRB8_9CAUD</t>
  </si>
  <si>
    <t>DNAUV-3.960-9.2_9</t>
  </si>
  <si>
    <t>HNH endonuclease n=1 Tax=Pseudomonas phage BUCT566 TaxID=2829367 RepID=A0A8T8JFH1_9CAUD</t>
  </si>
  <si>
    <t>DNAUV-3.965-9.1_10</t>
  </si>
  <si>
    <t>VOG00225 [FUNC="sp|O64207|PORTL_BPMD2 Portal protein"] [TAG=Xp TAGDEF="Virus protein with function beneficial for the virus"]</t>
  </si>
  <si>
    <t>Portal protein n=1 Tax=Streptomyces phage BRock TaxID=1913591 RepID=A0A1J0GW65_9CAUD</t>
  </si>
  <si>
    <t>DNAUV-3.965-9.1_8</t>
  </si>
  <si>
    <t>Putative terminase large subunit n=1 Tax=Bacillus phage BCD7 TaxID=1136534 RepID=J9PUM4_9CAUD</t>
  </si>
  <si>
    <t>DNAUV-3.971-13_1</t>
  </si>
  <si>
    <t>DNAUV-3.971-13_2</t>
  </si>
  <si>
    <t>DNAUV-3.976-9.8_5</t>
  </si>
  <si>
    <t>DNAUV-3.976-9.8_6</t>
  </si>
  <si>
    <t>DNAUV-3.976-9.8_7</t>
  </si>
  <si>
    <t>DNAUV-3.976-9.8_8</t>
  </si>
  <si>
    <t>DNAUV-3.978-37_2</t>
  </si>
  <si>
    <t>Uncharacterized protein n=1 Tax=Fragilariopsis cylindrus CCMP1102 TaxID=635003 RepID=A0A1E7EM07_9STRA</t>
  </si>
  <si>
    <t>DNAUV-3.978-37_3</t>
  </si>
  <si>
    <t>Collagen-like protein n=1 Tax=Virus NIOZ-UU157 TaxID=2763269 RepID=A0A7S9SU36_9VIRU</t>
  </si>
  <si>
    <t>DNAUV-3.978-37_4</t>
  </si>
  <si>
    <t>DNAUV-3.978-37_5</t>
  </si>
  <si>
    <t>Uncharacterized protein n=1 Tax=Richelia sp. RM2_1_2 TaxID=2720436 RepID=A0A969SU27_9NOST</t>
  </si>
  <si>
    <t>DNAUV-3.981-15_2</t>
  </si>
  <si>
    <t>Uncharacterized protein n=1 Tax=Klebsiella phage vB_KvM-Eowyn TaxID=2762819 RepID=A0A7R8R5J5_9CAUD</t>
  </si>
  <si>
    <t>DNAUV-3.983-12_4</t>
  </si>
  <si>
    <t>Major capsid protein n=1 Tax=Vibrio phage H188 TaxID=1673892 RepID=A0A0K1LK08_9CAUD</t>
  </si>
  <si>
    <t>DNAUV-3.983-12_6</t>
  </si>
  <si>
    <t>Uncharacterized protein n=1 Tax=Shewanella phage SFCi1 TaxID=1852599 RepID=A0A1B0Z1H7_9CAUD</t>
  </si>
  <si>
    <t>DNAUV-3.983-12_7</t>
  </si>
  <si>
    <t>DNAUV-3.994-19_8</t>
  </si>
  <si>
    <t>sp|Q01529|DPOM_PODAS Probable DNA polymerase OS=Podospora anserina OX=2587412 PE=3 SV=1</t>
  </si>
  <si>
    <t>DNA-directed DNA polymerase n=1 Tax=Methanosarcina spherical virus TaxID=2035535 RepID=A0A290GRR9_9VIRU</t>
  </si>
  <si>
    <t>DNAUV-31.997-76_24</t>
  </si>
  <si>
    <t>Major capsid protein n=1 Tax=Caudovirales sp. gcode 4 TaxID=2838363 RepID=A0A8S5RTT2_9CAUD</t>
  </si>
  <si>
    <t>DNAUV-31.997-76_26</t>
  </si>
  <si>
    <t>Phage tail protein n=1 Tax=Dictyoglomus turgidum TaxID=513050 RepID=A0A7C3WL87_9BACT</t>
  </si>
  <si>
    <t>DNAUV-33.599-56_11</t>
  </si>
  <si>
    <t>DNAUV-33.599-56_12</t>
  </si>
  <si>
    <t>DNAUV-33.599-56_13</t>
  </si>
  <si>
    <t>Uncharacterized protein n=1 Tax=Rhizobium phage RL38J1 TaxID=2663232 RepID=A0A6B9J125_9CAUD</t>
  </si>
  <si>
    <t>DNAUV-33.599-56_14</t>
  </si>
  <si>
    <t>DNAUV-33.599-56_18</t>
  </si>
  <si>
    <t>DNAUV-33.599-56_2</t>
  </si>
  <si>
    <t>Uncharacterized protein n=1 Tax=Diaphorobacter aerolatus TaxID=1288495 RepID=A0A7H0GLE1_9BURK</t>
  </si>
  <si>
    <t>DNAUV-33.599-56_21</t>
  </si>
  <si>
    <t>DNAUV-33.599-56_22</t>
  </si>
  <si>
    <t>DNAUV-33.599-56_23</t>
  </si>
  <si>
    <t>DNAUV-33.599-56_24</t>
  </si>
  <si>
    <t>Baseplate wedge tail fiber connector n=3 Tax=Ronodorvirus ssm4 TaxID=2845939 RepID=Q58LL7_BPPRS</t>
  </si>
  <si>
    <t>DNAUV-33.599-56_25</t>
  </si>
  <si>
    <t>DNAUV-33.599-56_26</t>
  </si>
  <si>
    <t>DNAUV-33.599-56_27</t>
  </si>
  <si>
    <t>Uncharacterized protein n=1 Tax=Lake Baikal phage Baikal-20-5m-C28 TaxID=2047876 RepID=A0A2H4N7J3_9CAUD</t>
  </si>
  <si>
    <t>DNAUV-33.599-56_29</t>
  </si>
  <si>
    <t>DNAUV-33.599-56_3</t>
  </si>
  <si>
    <t>Uncharacterized protein n=1 Tax=Prochlorococcus phage P-HM1 TaxID=445700 RepID=E3SMP0_9CAUD</t>
  </si>
  <si>
    <t>DNAUV-33.599-56_4</t>
  </si>
  <si>
    <t>DNAUV-33.599-56_40</t>
  </si>
  <si>
    <t>DNAUV-33.599-56_41</t>
  </si>
  <si>
    <t>DNA end protector protein n=1 Tax=Muricauda sp. TMED12 TaxID=1986608 RepID=A0A424LPL1_9FLAO</t>
  </si>
  <si>
    <t>DNAUV-33.599-56_42</t>
  </si>
  <si>
    <t>Tail tube protein n=1 Tax=Lake Baikal phage Baikal-20-5m-C28 TaxID=2047876 RepID=A0A2H4N7G4_9CAUD</t>
  </si>
  <si>
    <t>DNAUV-33.599-56_43</t>
  </si>
  <si>
    <t>Baseplate hub subunit n=1 Tax=Lake Baikal phage Baikal-20-5m-C28 TaxID=2047876 RepID=A0A2H4N7G2_9CAUD</t>
  </si>
  <si>
    <t>DNAUV-33.599-56_44</t>
  </si>
  <si>
    <t>Tape measure protein n=1 Tax=Lake Baikal phage Baikal-20-5m-C28 TaxID=2047876 RepID=A0A2H4N7F3_9CAUD</t>
  </si>
  <si>
    <t>DNAUV-33.599-56_5</t>
  </si>
  <si>
    <t>Prophage MuMc02, structural protein P5 family protein n=2 Tax=Prevotella sp. DNF00663 TaxID=1384078 RepID=A0A134C1I0_9BACT</t>
  </si>
  <si>
    <t>DNAUV-33.599-56_8</t>
  </si>
  <si>
    <t>Single-stranded DNA-binding protein n=1 Tax=Lake Baikal phage Baikal-20-5m-C28 TaxID=2047876 RepID=A0A2H4N825_9CAUD</t>
  </si>
  <si>
    <t>DNAUV-33.721-35_1</t>
  </si>
  <si>
    <t>DNAUV-33.721-35_10</t>
  </si>
  <si>
    <t>VOG01563 [FUNC="sp|D6RRG7|ORF10_BPKPP Structural protein ORF10"] [TAG=Xs TAGDEF="Virus structure"]</t>
  </si>
  <si>
    <t>Major tail protein n=1 Tax=Vibrio phage 1.187.O._10N.286.49.F1 TaxID=1881434 RepID=A0A2I7RIL9_9CAUD</t>
  </si>
  <si>
    <t>DNAUV-33.721-35_11</t>
  </si>
  <si>
    <t>VOG00176 [FUNC="sp|Q87CA2|Y1186_XYLFT Uncharacterized protein PD_1186"] [TAG=Xu TAGDEF="Function unknown"]</t>
  </si>
  <si>
    <t>Coil containing protein n=1 Tax=Vibrio phage 1.187.O._10N.286.49.F1 TaxID=1881434 RepID=A0A2I7RIL1_9CAUD</t>
  </si>
  <si>
    <t>DNAUV-33.721-35_12</t>
  </si>
  <si>
    <t>VOG37982 [FUNC="REFSEQ hypothetical protein"] [TAG=Xu TAGDEF="Function unknown"]</t>
  </si>
  <si>
    <t>Uncharacterized protein n=2 Tax=unclassified Caudoviricetes TaxID=2788787 RepID=M4MGN0_9CAUD</t>
  </si>
  <si>
    <t>DNAUV-33.721-35_14</t>
  </si>
  <si>
    <t>VOG01041 [FUNC="REFSEQ hypothetical protein"] [TAG=Xu TAGDEF="Function unknown"]</t>
  </si>
  <si>
    <t>Tail tube protein n=1 Tax=Vibrio phage 1.161.O._10N.261.48.C5 TaxID=1881340 RepID=A0A2I7RD18_9CAUD</t>
  </si>
  <si>
    <t>DNAUV-33.721-35_15</t>
  </si>
  <si>
    <t>VOG00286 [FUNC="REFSEQ virion structural protein"] [TAG=Xu TAGDEF="Function unknown"]</t>
  </si>
  <si>
    <t>Head-closure protein n=1 Tax=Vibrio phage 1.161.O._10N.261.48.C5 TaxID=1881340 RepID=A0A2I7RCY6_9CAUD</t>
  </si>
  <si>
    <t>DNAUV-33.721-35_16</t>
  </si>
  <si>
    <t>Tail protein n=1 Tax=Vibrio phage eugene 12A10 TaxID=573172 RepID=R9UB45_9CAUD</t>
  </si>
  <si>
    <t>DNAUV-33.721-35_17</t>
  </si>
  <si>
    <t>Phage protein Gp138 N-terminal domain-containing protein n=1 Tax=Vibrio phage eugene 12A10 TaxID=573172 RepID=R9U7A8_9CAUD</t>
  </si>
  <si>
    <t>DNAUV-33.721-35_18</t>
  </si>
  <si>
    <t>Head-closure protein n=1 Tax=Vibrio phage 1.161.O._10N.261.48.C5 TaxID=1881340 RepID=A0A2I7RCY0_9CAUD</t>
  </si>
  <si>
    <t>DNAUV-33.721-35_2</t>
  </si>
  <si>
    <t>Uncharacterized protein n=1 Tax=Vibrio phage 1.161.O._10N.261.48.C5 TaxID=1881340 RepID=A0A2I7RCW8_9CAUD</t>
  </si>
  <si>
    <t>DNAUV-33.721-35_20</t>
  </si>
  <si>
    <t>Neck protein n=1 Tax=Vibrio phage 1.161.O._10N.261.48.C5 TaxID=1881340 RepID=A0A2I7RCW2_9CAUD</t>
  </si>
  <si>
    <t>DNAUV-33.721-35_21</t>
  </si>
  <si>
    <t>Head-closure protein n=1 Tax=Vibrio phage 1.161.O._10N.261.48.C5 TaxID=1881340 RepID=A0A2I7RD09_9CAUD</t>
  </si>
  <si>
    <t>DNAUV-33.721-35_22</t>
  </si>
  <si>
    <t>Putative tail fiber protein n=1 Tax=Vibrio phage VMJ710 TaxID=2595040 RepID=A0A7D5HKA1_9CAUD</t>
  </si>
  <si>
    <t>DNAUV-33.721-35_28</t>
  </si>
  <si>
    <t>VOG00871 [FUNC="REFSEQ hypothetical protein"] [TAG=Xu TAGDEF="Function unknown"]</t>
  </si>
  <si>
    <t>Uncharacterized protein n=1 Tax=Vibrio phage eugene 12A10 TaxID=573172 RepID=R9U7E0_9CAUD</t>
  </si>
  <si>
    <t>DNAUV-33.721-35_3</t>
  </si>
  <si>
    <t>Head completion adaptor n=1 Tax=Vibrio phage 1.161.O._10N.261.48.C5 TaxID=1881340 RepID=A0A2I7RCW0_9CAUD</t>
  </si>
  <si>
    <t>DNAUV-33.721-35_31</t>
  </si>
  <si>
    <t>VOG05223 [FUNC="REFSEQ hypothetical protein"] [TAG=Xu TAGDEF="Function unknown"]</t>
  </si>
  <si>
    <t>Uncharacterized protein n=1 Tax=Vibrio phage 1.284.A._10N.286.55.A5 TaxID=1881279 RepID=A0A2I7S668_9CAUD</t>
  </si>
  <si>
    <t>DNAUV-33.721-35_32</t>
  </si>
  <si>
    <t>Single-stranded DNA-binding protein n=1 Tax=Vibrio phage 1.187.O._10N.286.49.F1 TaxID=1881434 RepID=A0A2I7RIN4_9CAUD</t>
  </si>
  <si>
    <t>DNAUV-33.721-35_33</t>
  </si>
  <si>
    <t>Site-specific integrase n=1 Tax=Vibrio anguillarum TaxID=55601 RepID=A0A7Y4EVE8_VIBAN</t>
  </si>
  <si>
    <t>DNAUV-33.721-35_34</t>
  </si>
  <si>
    <t>DUF4406 domain-containing protein n=2 Tax=Escherichia coli TaxID=562 RepID=A0A8E2KRT7_ECOLX</t>
  </si>
  <si>
    <t>DNAUV-33.721-35_35</t>
  </si>
  <si>
    <t>VOG01165 [FUNC="REFSEQ hypothetical protein"] [TAG=Xu TAGDEF="Function unknown"]</t>
  </si>
  <si>
    <t>Uncharacterized protein n=1 Tax=Enterobacter cloacae TaxID=550 RepID=A0A4Q4A048_ENTCL</t>
  </si>
  <si>
    <t>DNAUV-33.721-35_4</t>
  </si>
  <si>
    <t>Uncharacterized protein n=1 Tax=Vibrio phage 1.161.O._10N.261.48.C5 TaxID=1881340 RepID=A0A2I7RCW5_9CAUD</t>
  </si>
  <si>
    <t>DNAUV-33.721-35_44</t>
  </si>
  <si>
    <t>VOG07371 [FUNC="REFSEQ hypothetical protein"] [TAG=Xu TAGDEF="Function unknown"]</t>
  </si>
  <si>
    <t>TMhelix containing protein n=1 Tax=Vibrio phage 1.193.O._10N.286.52.C6 TaxID=1881436 RepID=A0A2I7RKV4_9CAUD</t>
  </si>
  <si>
    <t>DNAUV-33.721-35_45</t>
  </si>
  <si>
    <t>DNA polymerase n=1 Tax=Vibrio phage eugene 12A10 TaxID=573172 RepID=R9U786_9CAUD</t>
  </si>
  <si>
    <t>DNAUV-33.721-35_47</t>
  </si>
  <si>
    <t>DNAUV-33.721-35_6</t>
  </si>
  <si>
    <t>Coil containing protein n=1 Tax=Vibrio phage 1.161.O._10N.261.48.C5 TaxID=1881340 RepID=A0A2I7RCX7_9CAUD</t>
  </si>
  <si>
    <t>DNAUV-33.721-35_7</t>
  </si>
  <si>
    <t>Head-closure protein n=1 Tax=Vibrio phage 1.161.O._10N.261.48.C5 TaxID=1881340 RepID=A0A2I7RCV9_9CAUD</t>
  </si>
  <si>
    <t>DNAUV-33.721-35_8</t>
  </si>
  <si>
    <t>Uncharacterized protein n=1 Tax=Vibrio phage 1.161.O._10N.261.48.C5 TaxID=1881340 RepID=A0A2I7RCY9_9CAUD</t>
  </si>
  <si>
    <t>DNAUV-33.721-35_9</t>
  </si>
  <si>
    <t>Tail sheath protein n=1 Tax=Vibrio phage eugene 12A10 TaxID=573172 RepID=R9UBC4_9CAUD</t>
  </si>
  <si>
    <t>DNAUV-34.277-41_1</t>
  </si>
  <si>
    <t>Coil containing protein n=1 Tax=Vibrio phage vB_VpaM_R16F TaxID=2996088 RepID=A0A9E8K5D7_9CAUD</t>
  </si>
  <si>
    <t>DNAUV-34.277-41_11</t>
  </si>
  <si>
    <t>Coil containing protein n=1 Tax=Vibrio phage 1.193.O._10N.286.52.C6 TaxID=1881436 RepID=A0A2I7RKK2_9CAUD</t>
  </si>
  <si>
    <t>DNAUV-34.277-41_12</t>
  </si>
  <si>
    <t>Meiotically up-regulated protein 113 n=1 Tax=Vibrio phage 1.193.O._10N.286.52.C6 TaxID=1881436 RepID=A0A2I7RKK5_9CAUD</t>
  </si>
  <si>
    <t>DNAUV-34.277-41_13</t>
  </si>
  <si>
    <t>DNAUV-34.277-41_17</t>
  </si>
  <si>
    <t>Coil containing protein n=1 Tax=Vibrio phage 1.187.O._10N.286.49.F1 TaxID=1881434 RepID=A0A2I7RI75_9CAUD</t>
  </si>
  <si>
    <t>DNAUV-34.277-41_20</t>
  </si>
  <si>
    <t>VOG03528 [FUNC="REFSEQ hypothetical protein"] [TAG=Xu TAGDEF="Function unknown"]</t>
  </si>
  <si>
    <t>Coil containing protein n=1 Tax=Vibrio phage 1.193.O._10N.286.52.C6 TaxID=1881436 RepID=A0A2I7RKI8_9CAUD</t>
  </si>
  <si>
    <t>DNAUV-34.277-41_23</t>
  </si>
  <si>
    <t>Nucleophile aminohydrolase n=1 Tax=Vibrio phage qdvp001 TaxID=1003177 RepID=A0A0S1WEN5_9CAUD</t>
  </si>
  <si>
    <t>DNAUV-34.277-41_27</t>
  </si>
  <si>
    <t>Uncharacterized protein n=1 Tax=Vibrio phage 11895-B1 TaxID=754075 RepID=M4QR11_9CAUD</t>
  </si>
  <si>
    <t>DNAUV-34.277-41_28</t>
  </si>
  <si>
    <t>DNAUV-34.277-41_29</t>
  </si>
  <si>
    <t>VOG38096 [FUNC="REFSEQ hypothetical protein"] [TAG=Xu TAGDEF="Function unknown"]</t>
  </si>
  <si>
    <t>TMhelix containing protein n=1 Tax=Vibrio phage 1.161.O._10N.261.48.C5 TaxID=1881340 RepID=A0A2I7RD62_9CAUD</t>
  </si>
  <si>
    <t>DNAUV-34.277-41_3</t>
  </si>
  <si>
    <t>P-loop containing nucleoside triphosphatehydrolase n=1 Tax=Vibrio phage 501E54-1 TaxID=2963209 RepID=A0A9P0VKK5_9CAUD</t>
  </si>
  <si>
    <t>DNAUV-34.277-41_31</t>
  </si>
  <si>
    <t>Uncharacterized protein n=1 Tax=Pseudoalteromonas phage PH357 TaxID=1913046 RepID=A0A1W5PTQ3_9CAUD</t>
  </si>
  <si>
    <t>DNAUV-34.277-41_32</t>
  </si>
  <si>
    <t>Uncharacterized protein n=1 Tax=Vibrio algivorus TaxID=1667024 RepID=A0A557NZB6_9VIBR</t>
  </si>
  <si>
    <t>DNAUV-34.277-41_34</t>
  </si>
  <si>
    <t>Winged helix-turn-helix DNA-binding domain protein n=1 Tax=Vibrio phage 1.193.O._10N.286.52.C6 TaxID=1881436 RepID=A0A2I7RL56_9CAUD</t>
  </si>
  <si>
    <t>DNAUV-34.277-41_4</t>
  </si>
  <si>
    <t>DNAUV-34.277-41_5</t>
  </si>
  <si>
    <t>NTP pyrophosphohydrolase-like domain n=1 Tax=Vibrio phage 1.193.O._10N.286.52.C6 TaxID=1881436 RepID=A0A2I7RKM1_9CAUD</t>
  </si>
  <si>
    <t>DNAUV-34.277-41_7</t>
  </si>
  <si>
    <t>VOG25490 [FUNC="REFSEQ hypothetical protein"] [TAG=Xu TAGDEF="Function unknown"]</t>
  </si>
  <si>
    <t>Coil containing protein n=1 Tax=Vibrio phage 1.193.O._10N.286.52.C6 TaxID=1881436 RepID=A0A2I7RKL3_9CAUD</t>
  </si>
  <si>
    <t>DNAUV-34.277-41_8</t>
  </si>
  <si>
    <t>Exodeoxyribonuclease n=22 Tax=root TaxID=1 RepID=A0A2D0YTA3_9CAUD</t>
  </si>
  <si>
    <t>DNAUV-34.277-41_9</t>
  </si>
  <si>
    <t>HNH endonuclease n=1 Tax=Vibrio phage 1.193.O._10N.286.52.C6 TaxID=1881436 RepID=A0A2I7RKK7_9CAUD</t>
  </si>
  <si>
    <t>DNAUV-34.354-18_2</t>
  </si>
  <si>
    <t>DNAUV-34.354-18_21</t>
  </si>
  <si>
    <t>Uncharacterized protein n=1 Tax=Sinorhizobium phage phiN3 TaxID=1647405 RepID=A0A0F6WCW2_9CAUD</t>
  </si>
  <si>
    <t>DNAUV-34.354-18_25</t>
  </si>
  <si>
    <t>Uncharacterized protein n=1 Tax=Caulobacter phage Cr30 TaxID=1357714 RepID=A0A067XR23_9CAUD</t>
  </si>
  <si>
    <t>DNAUV-34.354-18_26</t>
  </si>
  <si>
    <t>Uncharacterized protein n=1 Tax=Pelagibacter phage Mosig EXVC030M TaxID=2759214 RepID=A0A7S6ILL1_9CAUD</t>
  </si>
  <si>
    <t>DNAUV-34.354-18_27</t>
  </si>
  <si>
    <t>VOG27904 [FUNC="REFSEQ transcriptional regulator"] [TAG=Xu TAGDEF="Function unknown"]</t>
  </si>
  <si>
    <t>Uncharacterized protein n=1 Tax=Pelagibacter phage Mosig EXVC030M TaxID=2759214 RepID=A0A7S6IP25_9CAUD</t>
  </si>
  <si>
    <t>DNAUV-34.354-18_29</t>
  </si>
  <si>
    <t>DNAUV-34.354-18_34</t>
  </si>
  <si>
    <t>DNAUV-34.354-18_36</t>
  </si>
  <si>
    <t>Uncharacterized protein n=1 Tax=Marine Group I thaumarchaeote TaxID=2511932 RepID=A0A7K4MX37_9ARCH</t>
  </si>
  <si>
    <t>DNAUV-34.354-18_37</t>
  </si>
  <si>
    <t>DNAUV-34.354-18_38</t>
  </si>
  <si>
    <t>RecA-like protein n=1 Tax=Pelagibacter phage HTVC008M TaxID=1283076 RepID=M1HLX1_9CAUD</t>
  </si>
  <si>
    <t>DNAUV-34.354-18_39</t>
  </si>
  <si>
    <t>DNAUV-34.354-18_40</t>
  </si>
  <si>
    <t>DnaB-like replicative helicase n=1 Tax=Pelagibacter phage HTVC008M TaxID=1283076 RepID=M1ICV9_9CAUD</t>
  </si>
  <si>
    <t>DNAUV-34.354-18_41</t>
  </si>
  <si>
    <t>VOG00578 [FUNC="REFSEQ hypothetical protein"] [TAG=Xu TAGDEF="Function unknown"]</t>
  </si>
  <si>
    <t>Uncharacterized protein n=5 Tax=Hadassahvirus TaxID=2842716 RepID=A0A6B9SWD1_9CAUD</t>
  </si>
  <si>
    <t>DNAUV-34.354-18_42</t>
  </si>
  <si>
    <t>Nucleotidyltransferase n=1 Tax=Acidovorax phage ACP17 TaxID=2010329 RepID=A0A218M395_9CAUD</t>
  </si>
  <si>
    <t>DNAUV-34.354-18_44</t>
  </si>
  <si>
    <t>VOG29083 [FUNC="REFSEQ hypothetical protein"] [TAG=Xu TAGDEF="Function unknown"]</t>
  </si>
  <si>
    <t>Uncharacterized protein n=3 Tax=Emdodecavirus TaxID=1980937 RepID=S5MD99_9CAUD</t>
  </si>
  <si>
    <t>DNAUV-34.354-18_45</t>
  </si>
  <si>
    <t>HNH nuclease domain-containing protein n=2 Tax=Otagovirus TaxID=2560197 RepID=A0A9E6KRG0_9CAUD</t>
  </si>
  <si>
    <t>DNAUV-34.354-18_47</t>
  </si>
  <si>
    <t>DNAUV-34.354-18_48</t>
  </si>
  <si>
    <t>VOG20646 [FUNC="REFSEQ hypothetical protein"] [TAG=Xu TAGDEF="Function unknown"]</t>
  </si>
  <si>
    <t>Nucleotidyl transferase AbiEii/AbiGii toxin family protein n=2 Tax=Sphingomonas sp. SRS2 TaxID=133190 RepID=A0A0F5PBS0_9SPHN</t>
  </si>
  <si>
    <t>DNAUV-34.354-18_49</t>
  </si>
  <si>
    <t>sp|P52283|T2C1_PBCVI Type II restriction enzyme CviJI OS=Paramecium bursaria Chlorella virus IL3A OX=46019 GN=CVJIR PE=1 SV=2</t>
  </si>
  <si>
    <t>VOG03823 [FUNC="REFSEQ hypothetical protein"] [TAG=Xu TAGDEF="Function unknown"]</t>
  </si>
  <si>
    <t>Uncharacterized protein n=1 Tax=Synechococcus phage S-CAM3 TaxID=1883366 RepID=A0A1D8KJU2_9CAUD</t>
  </si>
  <si>
    <t>DNAUV-34.354-18_50</t>
  </si>
  <si>
    <t>DNAUV-34.354-18_51</t>
  </si>
  <si>
    <t>Putative endonuclease n=1 Tax=Methylophilales phage MEP301 TaxID=2806696 RepID=A0A8B6T3U9_9CAUD</t>
  </si>
  <si>
    <t>DNAUV-34.354-18_53</t>
  </si>
  <si>
    <t>Zeta toxin domain-containing protein n=3 Tax=Ceceduovirus TaxID=2842588 RepID=A0A411BC20_9CAUD</t>
  </si>
  <si>
    <t>DNAUV-34.354-18_54</t>
  </si>
  <si>
    <t>Cytitidyltransferase n=1 Tax=Stenotrophomonas phage vB_SmaS-DLP_6 TaxID=1651816 RepID=A0A142EZL7_9CAUD</t>
  </si>
  <si>
    <t>DNAUV-34.354-18_55</t>
  </si>
  <si>
    <t>Possible cytitidyltransferase n=1 Tax=Prochlorococcus phage P-HM2 TaxID=445696 RepID=E3ST14_9CAUD</t>
  </si>
  <si>
    <t>DNAUV-34.354-18_59</t>
  </si>
  <si>
    <t>DNAUV-34.354-18_60</t>
  </si>
  <si>
    <t>Uncharacterized protein n=1 Tax=Ochrobactrum phage vB_OspM_OC TaxID=2712956 RepID=A0A6G6XXI9_9CAUD</t>
  </si>
  <si>
    <t>DNAUV-34.723-630_152</t>
  </si>
  <si>
    <t>Large polyvalent protein associated domain-containing protein n=1 Tax=Roseivivax marinus TaxID=1379903 RepID=W4HDW9_9RHOB</t>
  </si>
  <si>
    <t>DNAUV-34.723-630_154</t>
  </si>
  <si>
    <t>Uncharacterized protein n=1 Tax=Dunaliella viridis virus SI2 TaxID=754069 RepID=M4Q4Q0_9CAUD</t>
  </si>
  <si>
    <t>DNAUV-34.723-630_156</t>
  </si>
  <si>
    <t>Uncharacterized protein n=1 Tax=Dunaliella viridis virus SI2 TaxID=754069 RepID=M4Q3F1_9CAUD</t>
  </si>
  <si>
    <t>DNAUV-34.723-630_158</t>
  </si>
  <si>
    <t>Putative exodeoxyribonuclease 8 PDDEXK-like domain-containing protein n=1 Tax=Dunaliella viridis virus SI2 TaxID=754069 RepID=M4QBX2_9CAUD</t>
  </si>
  <si>
    <t>DNAUV-34.723-630_162</t>
  </si>
  <si>
    <t>ERF family protein n=1 Tax=Dunaliella viridis virus SI2 TaxID=754069 RepID=M4Q0X4_9CAUD</t>
  </si>
  <si>
    <t>DNAUV-34.723-630_165</t>
  </si>
  <si>
    <t>Restriction alleviation protein, Lar family n=1 Tax=Spiribacter salinus TaxID=1335746 RepID=A0A540VIW4_9GAMM</t>
  </si>
  <si>
    <t>DNAUV-34.723-630_2</t>
  </si>
  <si>
    <t>DNAUV-34.723-630_27</t>
  </si>
  <si>
    <t>Uncharacterized protein n=1 Tax=Dunaliella viridis virus SI2 TaxID=754069 RepID=M4QBX6_9CAUD</t>
  </si>
  <si>
    <t>DNAUV-34.723-630_29</t>
  </si>
  <si>
    <t>Terminase small subunit n=1 Tax=Dunaliella viridis virus SI2 TaxID=754069 RepID=M4Q0Y4_9CAUD</t>
  </si>
  <si>
    <t>DNAUV-34.723-630_3</t>
  </si>
  <si>
    <t>Uncharacterized protein n=1 Tax=Phormidium sp. SL48-SHIP TaxID=2518363 RepID=A0A522X8D2_9CYAN</t>
  </si>
  <si>
    <t>DNAUV-34.723-630_35</t>
  </si>
  <si>
    <t>DNAUV-34.723-630_36</t>
  </si>
  <si>
    <t>Transposase n=2 Tax=root TaxID=1 RepID=A0A1B0T6H6_9CAUD</t>
  </si>
  <si>
    <t>DNAUV-34.723-630_38</t>
  </si>
  <si>
    <t>Uncharacterized protein n=1 Tax=Dunaliella viridis virus SI2 TaxID=754069 RepID=M4Q114_9CAUD</t>
  </si>
  <si>
    <t>DNAUV-34.723-630_43</t>
  </si>
  <si>
    <t>VOG04704 [FUNC="REFSEQ hypothetical protein"] [TAG=Xu TAGDEF="Function unknown"]</t>
  </si>
  <si>
    <t>Uncharacterized protein n=2 Tax=unclassified Otagovirus TaxID=2570374 RepID=A0A7S7YBS3_9CAUD</t>
  </si>
  <si>
    <t>DNAUV-34.723-630_45</t>
  </si>
  <si>
    <t>Uncharacterized protein n=1 Tax=Dunaliella viridis virus SI2 TaxID=754069 RepID=M4Q3H2_9CAUD</t>
  </si>
  <si>
    <t>DNAUV-34.723-630_46</t>
  </si>
  <si>
    <t>GNAT family N-acetyltransferase n=1 Tax=Dunaliella viridis virus SI2 TaxID=754069 RepID=M4Q4S2_9CAUD</t>
  </si>
  <si>
    <t>DNAUV-34.723-630_47</t>
  </si>
  <si>
    <t>Uncharacterized protein n=1 Tax=Dunaliella viridis virus SI2 TaxID=754069 RepID=M4Q0Z7_9CAUD</t>
  </si>
  <si>
    <t>DNAUV-34.723-630_5</t>
  </si>
  <si>
    <t>Holin n=1 Tax=Loktanella sp. 3ANDIMAR09 TaxID=1225657 RepID=A0A0Q2YVH4_9RHOB</t>
  </si>
  <si>
    <t>DNAUV-34.723-630_53</t>
  </si>
  <si>
    <t>Portal protein n=1 Tax=Dunaliella viridis virus SI2 TaxID=754069 RepID=M4Q123_9CAUD</t>
  </si>
  <si>
    <t>DNAUV-34.723-630_54</t>
  </si>
  <si>
    <t>Uncharacterized protein n=1 Tax=Dunaliella viridis virus SI2 TaxID=754069 RepID=M4QBZ4_9CAUD</t>
  </si>
  <si>
    <t>DNAUV-34.723-630_55</t>
  </si>
  <si>
    <t>Uncharacterized protein n=1 Tax=Dunaliella viridis virus SI2 TaxID=754069 RepID=M4Q3H7_9CAUD</t>
  </si>
  <si>
    <t>DNAUV-34.723-630_59</t>
  </si>
  <si>
    <t>Capsid assembly protein (Fragment) n=1 Tax=Dunaliella viridis virus SI2 TaxID=754069 RepID=M4Q0V6_9CAUD</t>
  </si>
  <si>
    <t>DNAUV-34.723-630_60</t>
  </si>
  <si>
    <t>Capsid protein n=1 Tax=Dunaliella viridis virus SI2 TaxID=754069 RepID=M4Q0Y1_9CAUD</t>
  </si>
  <si>
    <t>DNAUV-34.723-630_64</t>
  </si>
  <si>
    <t>Portal protein n=1 Tax=Dunaliella viridis virus SI2 TaxID=754069 RepID=M4Q3D4_9CAUD</t>
  </si>
  <si>
    <t>DNAUV-34.723-630_72</t>
  </si>
  <si>
    <t>Tail protein n=1 Tax=Dunaliella viridis virus SI2 TaxID=754069 RepID=M4Q4N1_9CAUD</t>
  </si>
  <si>
    <t>DNAUV-34.723-630_74</t>
  </si>
  <si>
    <t>Minor capsid protein n=1 Tax=Dunaliella viridis virus SI2 TaxID=754069 RepID=M4Q0W2_9CAUD</t>
  </si>
  <si>
    <t>DNAUV-34.723-630_79</t>
  </si>
  <si>
    <t>Uncharacterized protein n=1 Tax=Dunaliella viridis virus SI2 TaxID=754069 RepID=M4Q0Y5_9CAUD</t>
  </si>
  <si>
    <t>DNAUV-34.723-630_8</t>
  </si>
  <si>
    <t>DUF2570 domain-containing protein n=1 Tax=Oceaniovalibus sp. ACAM 378 TaxID=2599923 RepID=A0A5D0RTE9_9RHOB</t>
  </si>
  <si>
    <t>DNAUV-34.723-630_86</t>
  </si>
  <si>
    <t>DNAUV-34.723-630_91</t>
  </si>
  <si>
    <t>DNAUV-34.723-630_92</t>
  </si>
  <si>
    <t>DNAUV-34.761-382_1</t>
  </si>
  <si>
    <t>DUF551 domain-containing protein n=1 Tax=Pseudomonas sp. Root9 TaxID=1736604 RepID=A0A0Q8YZP0_9PSED</t>
  </si>
  <si>
    <t>DNAUV-34.761-382_11</t>
  </si>
  <si>
    <t>VOG01766 [FUNC="REFSEQ hypothetical protein"] [TAG=Xu TAGDEF="Function unknown"]</t>
  </si>
  <si>
    <t>Uncharacterized protein n=1 Tax=Vibrio phage Vp_R1 TaxID=2059867 RepID=A0A2H5BQ45_9CAUD</t>
  </si>
  <si>
    <t>DNAUV-34.761-382_13</t>
  </si>
  <si>
    <t>Uncharacterized protein n=1 Tax=Alteromonas phage vB_AmeM_PT11-V22 TaxID=2704031 RepID=A0A6C0R0P1_9CAUD</t>
  </si>
  <si>
    <t>DNAUV-34.761-382_15</t>
  </si>
  <si>
    <t>VOG30288 [FUNC="REFSEQ hypothetical protein"] [TAG=Xu TAGDEF="Function unknown"]</t>
  </si>
  <si>
    <t>Uncharacterized protein n=1 Tax=Vibrio phage 496E54-1 TaxID=2963208 RepID=A0A9P0YAR5_9CAUD</t>
  </si>
  <si>
    <t>DNAUV-34.761-382_20</t>
  </si>
  <si>
    <t>Uncharacterized protein n=1 Tax=Thalassomonas viridans TaxID=137584 RepID=A0A0D8D9U4_9GAMM</t>
  </si>
  <si>
    <t>DNAUV-34.761-382_21</t>
  </si>
  <si>
    <t>Uncharacterized protein n=1 Tax=Thalassotalea piscium TaxID=1230533 RepID=A0A7X0TTG7_9GAMM</t>
  </si>
  <si>
    <t>DNAUV-34.761-382_22</t>
  </si>
  <si>
    <t>Uncharacterized protein n=1 Tax=Ferrimonas marina TaxID=299255 RepID=A0A1M5U1G5_9GAMM</t>
  </si>
  <si>
    <t>DNAUV-34.761-382_24</t>
  </si>
  <si>
    <t>Uncharacterized protein n=1 Tax=Pseudoalteromonas phage C7 TaxID=2510494 RepID=A0A411CW01_9CAUD</t>
  </si>
  <si>
    <t>DNAUV-34.761-382_27</t>
  </si>
  <si>
    <t>VOG02582 [FUNC="REFSEQ membrane protein"] [TAG=Xu TAGDEF="Function unknown"]</t>
  </si>
  <si>
    <t>Signal-peptide domain-containing protein n=1 Tax=Shigella phage SP18 TaxID=645664 RepID=E3SFI9_BPSP8</t>
  </si>
  <si>
    <t>DNAUV-34.761-382_28</t>
  </si>
  <si>
    <t>VOG31670 [FUNC="REFSEQ hypothetical protein"] [TAG=Xu TAGDEF="Function unknown"]</t>
  </si>
  <si>
    <t>Uncharacterized protein n=1 Tax=Vibrio phage 1.101.O._10N.261.45.C6 TaxID=2070725 RepID=A0A2I7R1R8_9CAUD</t>
  </si>
  <si>
    <t>DNAUV-34.761-382_32</t>
  </si>
  <si>
    <t>Helix-turn-helix domain-containing protein n=1 Tax=Marinobacter adhaerens TaxID=1033846 RepID=A0A352IYK1_9GAMM</t>
  </si>
  <si>
    <t>DNAUV-34.761-382_33</t>
  </si>
  <si>
    <t>Uncharacterized protein n=1 Tax=Shewanella sp. phage 1/4 TaxID=1458859 RepID=A0A088C3K8_9CAUD</t>
  </si>
  <si>
    <t>DNAUV-34.761-382_34</t>
  </si>
  <si>
    <t>VOG08289 [FUNC="REFSEQ hypothetical protein"] [TAG=Xu TAGDEF="Function unknown"]</t>
  </si>
  <si>
    <t>SprT-like domain-containing protein n=1 Tax=Halioglobus sp. HI00S01 TaxID=1822214 RepID=A0A166HCH9_9GAMM</t>
  </si>
  <si>
    <t>DNAUV-34.761-382_38</t>
  </si>
  <si>
    <t>VOG12230 [FUNC="REFSEQ hypothetical protein"] [TAG=Xu TAGDEF="Function unknown"]</t>
  </si>
  <si>
    <t>Uncharacterized protein n=1 Tax=Xenorhabdus bovienii TaxID=40576 RepID=A0A0B6X3Q8_XENBV</t>
  </si>
  <si>
    <t>DNAUV-34.761-382_40</t>
  </si>
  <si>
    <t>VOG18166 [FUNC="REFSEQ hypothetical protein"] [TAG=Xu TAGDEF="Function unknown"]</t>
  </si>
  <si>
    <t>Uncharacterized protein n=1 Tax=Pseudoalteromonas phage J2-1 TaxID=2023998 RepID=A0A2D1GN04_9CAUD</t>
  </si>
  <si>
    <t>DNAUV-34.761-382_41</t>
  </si>
  <si>
    <t>DUF4304 domain-containing protein n=1 Tax=Pseudomonas phage ventosus TaxID=2048980 RepID=A0A2H4P803_9CAUD</t>
  </si>
  <si>
    <t>DNAUV-34.761-382_42</t>
  </si>
  <si>
    <t>Uncharacterized protein n=1 Tax=Pseudoalteromonas phage H101 TaxID=1654919 RepID=A0A0H4IRS7_9CAUD</t>
  </si>
  <si>
    <t>DNAUV-34.761-382_7</t>
  </si>
  <si>
    <t>VOG01437 [FUNC="REFSEQ hypothetical protein"] [TAG=Xu TAGDEF="Function unknown"]</t>
  </si>
  <si>
    <t>Uncharacterized protein n=1 Tax=Stenotrophomonas phage vB_SmaS-DLP_2 TaxID=1642663 RepID=A0A0M3MWW5_9CAUD</t>
  </si>
  <si>
    <t>DNAUV-34.761-382_9</t>
  </si>
  <si>
    <t>DUF4326 domain-containing protein n=1 Tax=Achromobacter phage vB_AxyP_19-32_Axy11 TaxID=2591042 RepID=A0A514CUA5_9CAUD</t>
  </si>
  <si>
    <t>DNAUV-35.210-45_103</t>
  </si>
  <si>
    <t>DNAUV-35.210-45_104</t>
  </si>
  <si>
    <t>DNAUV-35.210-45_105</t>
  </si>
  <si>
    <t>DNAUV-35.210-45_106</t>
  </si>
  <si>
    <t>DNAUV-35.210-45_108</t>
  </si>
  <si>
    <t>DNAUV-35.210-45_110</t>
  </si>
  <si>
    <t>DNAUV-35.210-45_113</t>
  </si>
  <si>
    <t>DNAUV-35.210-45_116</t>
  </si>
  <si>
    <t>DNAUV-35.210-45_117</t>
  </si>
  <si>
    <t>DNAUV-35.210-45_122</t>
  </si>
  <si>
    <t>DNAUV-35.210-45_123</t>
  </si>
  <si>
    <t>DUF2793 domain-containing protein n=3 Tax=Pararhodobacter aggregans TaxID=404875 RepID=A0A2T7US03_9RHOB</t>
  </si>
  <si>
    <t>DNAUV-35.210-45_124</t>
  </si>
  <si>
    <t>Uncharacterized protein n=1 Tax=Shimia haliotis TaxID=1280847 RepID=A0A1I4C7F6_9RHOB</t>
  </si>
  <si>
    <t>DNAUV-35.210-45_126</t>
  </si>
  <si>
    <t>Uncharacterized protein n=1 Tax=Thioclava sp. DLFJ4-1 TaxID=1915313 RepID=A0A1T2B2G3_9RHOB</t>
  </si>
  <si>
    <t>DNAUV-35.210-45_55</t>
  </si>
  <si>
    <t>DNAUV-35.210-45_56</t>
  </si>
  <si>
    <t>DNAUV-35.210-45_57</t>
  </si>
  <si>
    <t>DNAUV-35.210-45_58</t>
  </si>
  <si>
    <t>DNAUV-35.210-45_60</t>
  </si>
  <si>
    <t>DNAUV-35.210-45_65</t>
  </si>
  <si>
    <t>Putative acyltransferase n=1 Tax=Rhodovulum sulfidophilum TaxID=35806 RepID=A0A0D6B8Y4_RHOSU</t>
  </si>
  <si>
    <t>DNAUV-35.210-45_86</t>
  </si>
  <si>
    <t>DNAUV-35.210-45_91</t>
  </si>
  <si>
    <t>DNAUV-35.210-45_95</t>
  </si>
  <si>
    <t>Holliday junction resolvase n=1 Tax=Pseudomonas phage phiPsa397 TaxID=1460367 RepID=A0A7G9V3C2_9CAUD</t>
  </si>
  <si>
    <t>DNAUV-35.210-45_97</t>
  </si>
  <si>
    <t>DNAUV-35.210-45_98</t>
  </si>
  <si>
    <t>DNAUV-35.223-36_62</t>
  </si>
  <si>
    <t>DNAUV-35.223-36_64</t>
  </si>
  <si>
    <t>DNAUV-35.223-36_66</t>
  </si>
  <si>
    <t>DNAUV-35.223-36_67</t>
  </si>
  <si>
    <t>DNAUV-35.223-36_71</t>
  </si>
  <si>
    <t>DNAUV-35.223-36_72</t>
  </si>
  <si>
    <t>DNAUV-35.223-36_73</t>
  </si>
  <si>
    <t>DNAUV-35.223-36_75</t>
  </si>
  <si>
    <t>VOG00794 [FUNC="REFSEQ tail fiber assembly"] [TAG=Xu TAGDEF="Function unknown"]</t>
  </si>
  <si>
    <t>Minor tail protein n=1 Tax=Arthrobacter phage Makai TaxID=2652409 RepID=A0A5P8D8S2_9CAUD</t>
  </si>
  <si>
    <t>DNAUV-35.223-36_77</t>
  </si>
  <si>
    <t>DNAUV-35.223-36_79</t>
  </si>
  <si>
    <t>DNAUV-35.223-36_80</t>
  </si>
  <si>
    <t>DNAUV-35.223-36_82</t>
  </si>
  <si>
    <t>HNH nuclease domain-containing protein n=1 Tax=Burkholderia multivorans TaxID=87883 RepID=A0A8B3VMT0_9BURK</t>
  </si>
  <si>
    <t>DNAUV-35.223-36_83</t>
  </si>
  <si>
    <t>DNAUV-35.223-36_84</t>
  </si>
  <si>
    <t>DNAUV-35.223-36_85</t>
  </si>
  <si>
    <t>DNAUV-35.223-36_86</t>
  </si>
  <si>
    <t>DNAUV-35.223-36_88</t>
  </si>
  <si>
    <t>DNAUV-35.223-36_89</t>
  </si>
  <si>
    <t>DNAUV-35.223-36_92</t>
  </si>
  <si>
    <t>DNAUV-35.223-36_94</t>
  </si>
  <si>
    <t>DNAUV-35.223-36_95</t>
  </si>
  <si>
    <t>DNAUV-35.223-36_99</t>
  </si>
  <si>
    <t>DNAUV-35.226-432_3</t>
  </si>
  <si>
    <t>HTH cro/C1-type domain-containing protein n=1 Tax=Capnocytophaga endodontalis TaxID=2708117 RepID=A0A1Z4BQ34_9FLAO</t>
  </si>
  <si>
    <t>DNAUV-35.226-432_32</t>
  </si>
  <si>
    <t>HNH nuclease domain-containing protein n=1 Tax=Mucilaginibacter rubeus TaxID=2027860 RepID=A0A364WM39_9SPHI</t>
  </si>
  <si>
    <t>DNAUV-35.226-432_4</t>
  </si>
  <si>
    <t>Short C-terminal domain-containing protein n=1 Tax=Psychroflexus halocasei TaxID=908615 RepID=A0A1H4E2B9_9FLAO</t>
  </si>
  <si>
    <t>DNAUV-35.226-432_41</t>
  </si>
  <si>
    <t>Structural protein n=1 Tax=Cellulophaga phage phi39:1 TaxID=1327993 RepID=S0A0N7_9CAUD</t>
  </si>
  <si>
    <t>DNAUV-35.226-432_42</t>
  </si>
  <si>
    <t>Structural protein n=1 Tax=Cellulophaga phage phi39:1 TaxID=1327993 RepID=S0A2V3_9CAUD</t>
  </si>
  <si>
    <t>DNAUV-35.226-432_43</t>
  </si>
  <si>
    <t>Structural protein n=1 Tax=Cellulophaga phage phi39:1 TaxID=1327993 RepID=S0A176_9CAUD</t>
  </si>
  <si>
    <t>DNAUV-35.226-432_44</t>
  </si>
  <si>
    <t>Structural protein n=1 Tax=Cellulophaga phage phi39:1 TaxID=1327993 RepID=S0A3Y3_9CAUD</t>
  </si>
  <si>
    <t>DNAUV-35.226-432_45</t>
  </si>
  <si>
    <t>Structural protein n=1 Tax=Cellulophaga phage phi39:1 TaxID=1327993 RepID=S0A4H2_9CAUD</t>
  </si>
  <si>
    <t>DNAUV-35.226-432_47</t>
  </si>
  <si>
    <t>Uncharacterized protein n=1 Tax=Cellulophaga phage phi39:1 TaxID=1327993 RepID=S0A2V5_9CAUD</t>
  </si>
  <si>
    <t>DNAUV-35.226-432_54</t>
  </si>
  <si>
    <t>Structural protein n=1 Tax=Cellulophaga phage phi39:1 TaxID=1327993 RepID=S0A0P5_9CAUD</t>
  </si>
  <si>
    <t>DNAUV-35.226-432_55</t>
  </si>
  <si>
    <t>Minor tail protein n=1 Tax=Gordonia phage Ashertheman TaxID=2301692 RepID=A0A385DW51_9CAUD</t>
  </si>
  <si>
    <t>DNAUV-35.226-432_60</t>
  </si>
  <si>
    <t>Peptidase M15C domain-containing protein n=1 Tax=Muricauda sp. ARW1Y1 TaxID=2663843 RepID=A0A853DAP5_9FLAO</t>
  </si>
  <si>
    <t>DNAUV-35.226-432_61</t>
  </si>
  <si>
    <t>Uncharacterized protein n=1 Tax=Robiginitalea biformata (strain ATCC BAA-864 / HTCC2501 / KCTC 12146) TaxID=313596 RepID=A4CP43_ROBBH</t>
  </si>
  <si>
    <t>DNAUV-35.226-432_63</t>
  </si>
  <si>
    <t>Uncharacterized protein n=1 Tax=Cellulophaga phage phi39:1 TaxID=1327993 RepID=S0A4I4_9CAUD</t>
  </si>
  <si>
    <t>DNAUV-36.652-126_1</t>
  </si>
  <si>
    <t>DNAUV-36.652-126_2</t>
  </si>
  <si>
    <t>DNAUV-36.652-126_29</t>
  </si>
  <si>
    <t>Uncharacterized protein n=1 Tax=Rhizobium fredii TaxID=380 RepID=A0A2A6LSP1_RHIFR</t>
  </si>
  <si>
    <t>DNAUV-36.652-126_3</t>
  </si>
  <si>
    <t>Tail tube protein n=1 Tax=Stenotrophomonas phage vB_SmaS-DLP_6 TaxID=1651816 RepID=A0A142EZQ8_9CAUD</t>
  </si>
  <si>
    <t>DNAUV-36.652-126_30</t>
  </si>
  <si>
    <t>Uncharacterized protein n=1 Tax=Tenacibaculum phage pT24 TaxID=1880590 RepID=A0A1B4XWI7_9CAUD</t>
  </si>
  <si>
    <t>DNAUV-36.652-126_34</t>
  </si>
  <si>
    <t>DNAUV-36.652-126_37</t>
  </si>
  <si>
    <t>Uncharacterized protein n=1 Tax=Bradyrhizobium diazoefficiens TaxID=1355477 RepID=A0A809YCL0_9BRAD</t>
  </si>
  <si>
    <t>DNAUV-36.652-126_38</t>
  </si>
  <si>
    <t>Endonuclease n=1 Tax=Escherichia phage EcWhh-1 TaxID=2419743 RepID=A0A411BEW9_9CAUD</t>
  </si>
  <si>
    <t>DNAUV-36.652-126_4</t>
  </si>
  <si>
    <t>Baseplate protein n=1 Tax=Synechococcus phage S-CREM1 TaxID=2982919 RepID=A0A9X9JNC0_9CAUD</t>
  </si>
  <si>
    <t>DNAUV-36.652-126_40</t>
  </si>
  <si>
    <t>DNAUV-36.652-126_46</t>
  </si>
  <si>
    <t>VOG32481 [FUNC="REFSEQ hypothetical protein"] [TAG=Xu TAGDEF="Function unknown"]</t>
  </si>
  <si>
    <t>YopX protein domain-containing protein n=1 Tax=Stenotrophomonas phage vB_SmaS-DLP_6 TaxID=1651816 RepID=A0A142EZY9_9CAUD</t>
  </si>
  <si>
    <t>DNAUV-36.652-126_47</t>
  </si>
  <si>
    <t>DNAUV-36.652-126_49</t>
  </si>
  <si>
    <t>AAA+ ATPase domain-containing protein n=3 Tax=unclassified Caudoviricetes TaxID=2788787 RepID=A0A915VH66_9CAUD</t>
  </si>
  <si>
    <t>DNAUV-36.652-126_50</t>
  </si>
  <si>
    <t>DNAUV-36.652-126_52</t>
  </si>
  <si>
    <t>DNAUV-36.652-126_55</t>
  </si>
  <si>
    <t>VOG19700 [FUNC="REFSEQ hypothetical protein"] [TAG=Xu TAGDEF="Function unknown"]</t>
  </si>
  <si>
    <t>Uncharacterized protein n=1 Tax=Ruegeria phage Tedan TaxID=2759200 RepID=A0A7G9V0N1_9CAUD</t>
  </si>
  <si>
    <t>DNAUV-36.652-126_57</t>
  </si>
  <si>
    <t>DNAUV-36.652-126_58</t>
  </si>
  <si>
    <t>VOG09277 [FUNC="REFSEQ hypothetical protein"] [TAG=Xu TAGDEF="Function unknown"]</t>
  </si>
  <si>
    <t>Minor tail protein n=3 Tax=Karimacvirus TaxID=2843400 RepID=A0A385UIN7_9CAUD</t>
  </si>
  <si>
    <t>DNAUV-36.652-126_63</t>
  </si>
  <si>
    <t>DNAUV-36.652-126_65</t>
  </si>
  <si>
    <t>Uncharacterized protein n=1 Tax=Lake Baikal phage Baikal-20-5m-C28 TaxID=2047876 RepID=A0A2H4N830_9CAUD</t>
  </si>
  <si>
    <t>DNAUV-36.652-126_68</t>
  </si>
  <si>
    <t>HNH endonuclease n=1 Tax=Nocardioides albidus TaxID=1517589 RepID=A0A5C4VXC8_9ACTN</t>
  </si>
  <si>
    <t>DNAUV-36.652-126_69</t>
  </si>
  <si>
    <t>DNA helicase loader n=1 Tax=Stenotrophomonas phage vB_SmaS-DLP_6 TaxID=1651816 RepID=A0A142EZT5_9CAUD</t>
  </si>
  <si>
    <t>DNAUV-36.652-126_70</t>
  </si>
  <si>
    <t>DNAUV-36.663-167_102</t>
  </si>
  <si>
    <t>DNAUV-36.663-167_106</t>
  </si>
  <si>
    <t>DNAUV-36.663-167_112</t>
  </si>
  <si>
    <t>DNAUV-36.663-167_123</t>
  </si>
  <si>
    <t>DNAUV-36.663-167_130</t>
  </si>
  <si>
    <t>DNAUV-36.663-167_135</t>
  </si>
  <si>
    <t>DNAUV-36.663-167_139</t>
  </si>
  <si>
    <t>DNAUV-36.663-167_159</t>
  </si>
  <si>
    <t>Uncharacterized protein n=1 Tax=Paracoccus liaowanqingii TaxID=2560053 RepID=A0A4V1BIT5_9RHOB</t>
  </si>
  <si>
    <t>DNAUV-36.663-167_160</t>
  </si>
  <si>
    <t>DNAUV-36.663-167_161</t>
  </si>
  <si>
    <t>DNAUV-36.663-167_167</t>
  </si>
  <si>
    <t>Uncharacterized protein n=1 Tax=Devosia elaeis TaxID=1770058 RepID=A0A178I102_9HYPH</t>
  </si>
  <si>
    <t>DNAUV-36.663-167_171</t>
  </si>
  <si>
    <t>DUF1983 domain-containing protein n=1 Tax=Hyphomicrobium sp. 32-62-53 TaxID=1970390 RepID=A0A258L6Z3_9HYPH</t>
  </si>
  <si>
    <t>DNAUV-36.663-167_176</t>
  </si>
  <si>
    <t>LamG domain-containing protein n=1 Tax=Ferruginivarius sediminum TaxID=2661937 RepID=A0A369TBG6_9PROT</t>
  </si>
  <si>
    <t>DNAUV-36.663-167_188</t>
  </si>
  <si>
    <t>DNAUV-36.663-167_195</t>
  </si>
  <si>
    <t>DNAUV-36.663-167_196</t>
  </si>
  <si>
    <t>DNAUV-36.663-167_35</t>
  </si>
  <si>
    <t>HNH nuclease domain-containing protein n=1 Tax=Sulfitobacter sp. EhC04 TaxID=1849168 RepID=A0A196P9N4_9RHOB</t>
  </si>
  <si>
    <t>DNAUV-36.663-167_36</t>
  </si>
  <si>
    <t>Nucleic acid-binding protein n=1 Tax=Erythrobacter phage vB_EliS_R6L TaxID=1913119 RepID=A0A1P8VVD3_9CAUD</t>
  </si>
  <si>
    <t>DNAUV-36.663-167_37</t>
  </si>
  <si>
    <t>DNAUV-36.663-167_41</t>
  </si>
  <si>
    <t>Nucleoside 2-deoxyribosyltransferase n=1 Tax=Mesorhizobium sp. B2-3-2 TaxID=2589961 RepID=A0A503X4C7_9HYPH</t>
  </si>
  <si>
    <t>DNAUV-36.663-167_45</t>
  </si>
  <si>
    <t>Uncharacterized protein n=1 Tax=Pseudorhodobacter sp. E13 TaxID=2487931 RepID=A0A433S8C5_9RHOB</t>
  </si>
  <si>
    <t>DNAUV-36.663-167_99</t>
  </si>
  <si>
    <t>DNAUV-37.297-108_11</t>
  </si>
  <si>
    <t>Endonuclease n=1 Tax=Roseobacter phage CRP-4 TaxID=2559283 RepID=A0A646QW42_9CAUD</t>
  </si>
  <si>
    <t>DNAUV-37.297-108_12</t>
  </si>
  <si>
    <t>Calcineurin-like phosphoesterase domain-containing protein n=1 Tax=Roseobacter phage CRP-6 TaxID=2559285 RepID=A0A646QX10_9CAUD</t>
  </si>
  <si>
    <t>DNAUV-37.297-108_15</t>
  </si>
  <si>
    <t>sp|P39420|Y01B_BPT4 Uncharacterized 29.0 kDa protein in dda-modA intergenic region OS=Enterobacteria phage T4 OX=10665 GN=y01B PE=4 SV=1</t>
  </si>
  <si>
    <t>Postulated decoy of host sigma factor protein n=1 Tax=Rhizobium phage RHph_N3_13 TaxID=2509745 RepID=A0A7S5USY1_9CAUD</t>
  </si>
  <si>
    <t>DNAUV-37.297-108_3</t>
  </si>
  <si>
    <t>DNAUV-37.297-108_32</t>
  </si>
  <si>
    <t>DNAUV-37.297-108_33</t>
  </si>
  <si>
    <t>Uncharacterized protein n=1 Tax=Roseobacter phage CRP-4 TaxID=2559283 RepID=A0A646QW80_9CAUD</t>
  </si>
  <si>
    <t>DNAUV-37.297-108_34</t>
  </si>
  <si>
    <t>DNAUV-37.297-108_35</t>
  </si>
  <si>
    <t>DNAUV-37.297-108_36</t>
  </si>
  <si>
    <t>DNAUV-37.297-108_37</t>
  </si>
  <si>
    <t>DNAUV-37.297-108_38</t>
  </si>
  <si>
    <t>VOG06938 [FUNC="REFSEQ hypothetical protein"] [TAG=Xu TAGDEF="Function unknown"]</t>
  </si>
  <si>
    <t>Uncharacterized protein n=1 Tax=Roseobacter phage CRP-4 TaxID=2559283 RepID=A0A646QXF3_9CAUD</t>
  </si>
  <si>
    <t>DNAUV-37.297-108_40</t>
  </si>
  <si>
    <t>DNAUV-37.297-108_41</t>
  </si>
  <si>
    <t>DNAUV-37.297-108_42</t>
  </si>
  <si>
    <t>DNAUV-37.297-108_43</t>
  </si>
  <si>
    <t>DNAUV-37.297-108_46</t>
  </si>
  <si>
    <t>Uncharacterized protein n=1 Tax=Chelativorans sp. (strain BNC1) TaxID=266779 RepID=Q11LS6_CHESB</t>
  </si>
  <si>
    <t>DNAUV-37.297-108_48</t>
  </si>
  <si>
    <t>DNAUV-37.297-108_49</t>
  </si>
  <si>
    <t>DNAUV-37.297-108_5</t>
  </si>
  <si>
    <t>Uncharacterized protein n=1 Tax=Roseobacter phage CRP-5 TaxID=2559284 RepID=A0A646QWB0_9CAUD</t>
  </si>
  <si>
    <t>DNAUV-37.297-108_6</t>
  </si>
  <si>
    <t>DNAUV-37.637-38_4</t>
  </si>
  <si>
    <t>DNAUV-37.637-38_7</t>
  </si>
  <si>
    <t>DNAUV-38.183-831_11</t>
  </si>
  <si>
    <t>Uncharacterized protein n=1 Tax=Humidesulfovibrio mexicanus TaxID=147047 RepID=A0A239AY23_9BACT</t>
  </si>
  <si>
    <t>DNAUV-38.183-831_12</t>
  </si>
  <si>
    <t>5'(3')-deoxyribonucleotidase n=1 Tax=Sodaliphilus pleomorphus TaxID=2606626 RepID=A0A6L5XA25_9BACT</t>
  </si>
  <si>
    <t>DNAUV-38.183-831_14</t>
  </si>
  <si>
    <t>VOG28211 [FUNC="REFSEQ hypothetical protein"] [TAG=Xu TAGDEF="Function unknown"]</t>
  </si>
  <si>
    <t>Bacteriophage protein n=1 Tax=Sideroxydans lithotrophicus (strain ES-1) TaxID=580332 RepID=D5CT78_SIDLE</t>
  </si>
  <si>
    <t>DNAUV-38.183-831_15</t>
  </si>
  <si>
    <t>DNA cytosine methyltransferase n=1 Tax=Subdoligranulum variabile TaxID=214851 RepID=A0A2V2F767_9FIRM</t>
  </si>
  <si>
    <t>DNAUV-38.183-831_2</t>
  </si>
  <si>
    <t>Uncharacterized protein n=1 Tax=Clostridium scatologenes TaxID=1548 RepID=A0A0E3K3W3_CLOSL</t>
  </si>
  <si>
    <t>DNAUV-38.183-831_26</t>
  </si>
  <si>
    <t>ExsB n=1 Tax=Saccharomonospora phage PIS 136 TaxID=182851 RepID=I4AZE8_9CAUD</t>
  </si>
  <si>
    <t>DNAUV-38.183-831_27</t>
  </si>
  <si>
    <t>Uncharacterized protein n=1 Tax=Siphoviridae sp. ctnpt50 TaxID=2827941 RepID=A0A8S5SD82_9CAUD</t>
  </si>
  <si>
    <t>DNAUV-38.183-831_28</t>
  </si>
  <si>
    <t>VOG00228 [FUNC="sp|P59193|YFDT_SHIFL Uncharacterized protein YfdT"] [TAG=Xu TAGDEF="Function unknown"]</t>
  </si>
  <si>
    <t>Uncharacterized protein n=1 Tax=Stutzerimonas stutzeri CCUG 29243 TaxID=1196835 RepID=I4CRA9_STUST</t>
  </si>
  <si>
    <t>DNAUV-38.183-831_29</t>
  </si>
  <si>
    <t>sp|P16937|TERS_BPLP7 Terminase, small subunit OS=Enterobacteria phage LP7 OX=10750 GN=3 PE=3 SV=1</t>
  </si>
  <si>
    <t>Terminase small subunit n=1 Tax=Shinella sp. DD12 TaxID=1410620 RepID=A0A021X897_9HYPH</t>
  </si>
  <si>
    <t>DNAUV-38.183-831_33</t>
  </si>
  <si>
    <t>Phage protein n=1 Tax=Yersinia phage fEV-1 TaxID=2077277 RepID=A0A2P9HXL3_9CAUD</t>
  </si>
  <si>
    <t>DNAUV-38.183-831_34</t>
  </si>
  <si>
    <t>Phage protein n=1 Tax=Yersinia phage fEV-1 TaxID=2077277 RepID=A0A2P9HXH6_9CAUD</t>
  </si>
  <si>
    <t>DNAUV-38.183-831_36</t>
  </si>
  <si>
    <t>Major capsid protein n=1 Tax=Yersinia phage fEV-1 TaxID=2077277 RepID=A0A2P9HXI1_9CAUD</t>
  </si>
  <si>
    <t>DNAUV-38.183-831_38</t>
  </si>
  <si>
    <t>DUF4054 domain-containing protein n=1 Tax=Yersinia phage fEV-1 TaxID=2077277 RepID=A0A2P9HXI7_9CAUD</t>
  </si>
  <si>
    <t>DNAUV-38.183-831_39</t>
  </si>
  <si>
    <t>Phage protein n=1 Tax=Yersinia phage fEV-1 TaxID=2077277 RepID=A0A2P9HXJ3_9CAUD</t>
  </si>
  <si>
    <t>DNAUV-38.183-831_40</t>
  </si>
  <si>
    <t>Phage protein n=1 Tax=Yersinia phage fEV-1 TaxID=2077277 RepID=A0A2P9HY65_9CAUD</t>
  </si>
  <si>
    <t>DNAUV-38.183-831_41</t>
  </si>
  <si>
    <t>Tail-completion protein n=1 Tax=Vibrio phage XM1 TaxID=2748688 RepID=A0A7D7EX63_9CAUD</t>
  </si>
  <si>
    <t>DNAUV-38.183-831_42</t>
  </si>
  <si>
    <t>Phage-related protein n=1 Tax=Yersinia phage fEV-1 TaxID=2077277 RepID=A0A2P9HXQ6_9CAUD</t>
  </si>
  <si>
    <t>DNAUV-38.183-831_43</t>
  </si>
  <si>
    <t>Phage protein n=1 Tax=Yersinia phage fEV-1 TaxID=2077277 RepID=A0A2P9HXY3_9CAUD</t>
  </si>
  <si>
    <t>DNAUV-38.183-831_44</t>
  </si>
  <si>
    <t>Uncharacterized protein n=1 Tax=Yersinia enterocolitica TaxID=630 RepID=A0A9P1V904_YEREN</t>
  </si>
  <si>
    <t>DNAUV-38.183-831_45</t>
  </si>
  <si>
    <t>TMhelix containing protein n=1 Tax=Vibrio phage 1.052.A._10N.286.46.C3 TaxID=2070717 RepID=A0A2I7QS75_9CAUD</t>
  </si>
  <si>
    <t>DNAUV-38.183-831_46</t>
  </si>
  <si>
    <t>Uncharacterized protein n=1 Tax=Yersinia phage fEV-1 TaxID=2077277 RepID=A0A2P9HXI6_9CAUD</t>
  </si>
  <si>
    <t>DNAUV-38.183-831_47</t>
  </si>
  <si>
    <t>Uncharacterized protein n=5 Tax=Enterobacteriaceae TaxID=543 RepID=A0A5U9I4K2_SALET</t>
  </si>
  <si>
    <t>DNAUV-38.183-831_48</t>
  </si>
  <si>
    <t>Phage protein n=1 Tax=Yersinia phage fEV-1 TaxID=2077277 RepID=A0A2P9HXK2_9CAUD</t>
  </si>
  <si>
    <t>DNAUV-38.183-831_50</t>
  </si>
  <si>
    <t>Phage-related protein n=1 Tax=Yersinia phage fEV-1 TaxID=2077277 RepID=A0A2P9HXJ5_9CAUD</t>
  </si>
  <si>
    <t>DNAUV-38.183-831_52</t>
  </si>
  <si>
    <t>DUF2612 domain-containing protein n=1 Tax=Pantoea alhagi TaxID=1891675 RepID=A0A1W6B8C5_9GAMM</t>
  </si>
  <si>
    <t>DNAUV-38.183-831_54</t>
  </si>
  <si>
    <t>CheW-like domain-containing protein n=2 Tax=unclassified Kyanoviridae TaxID=2960609 RepID=A0A650EX23_9CAUD</t>
  </si>
  <si>
    <t>DNAUV-38.183-831_7</t>
  </si>
  <si>
    <t>VOG09044 [FUNC="REFSEQ Mu Gam-like end protection"] [TAG=Xu TAGDEF="Function unknown"]</t>
  </si>
  <si>
    <t>Siphovirus Gp157 n=1 Tax=Aerococcus viridans TaxID=1377 RepID=A0A2N6UFX9_9LACT</t>
  </si>
  <si>
    <t>DNAUV-38.183-831_9</t>
  </si>
  <si>
    <t>Chromosome partition protein Smc n=1 Tax=Aquicella siphonis TaxID=254247 RepID=A0A5E4PHS0_9COXI</t>
  </si>
  <si>
    <t>DNAUV-38.512-299_10</t>
  </si>
  <si>
    <t>VRR-NUC domain-containing protein n=1 Tax=Vibrio phage P23 TaxID=2488664 RepID=A0A3G8F5D1_9CAUD</t>
  </si>
  <si>
    <t>DNAUV-38.512-299_11</t>
  </si>
  <si>
    <t>Coil containing protein n=1 Tax=Vibrio phage 1.181.O._10N.286.46.C9 TaxID=1881433 RepID=A0A2I7RHB7_9CAUD</t>
  </si>
  <si>
    <t>DNAUV-38.512-299_14</t>
  </si>
  <si>
    <t>sp|Q38156|DAM_BPT1 DNA N-6-adenine-methyltransferase OS=Escherichia phage T1 OX=2492962 GN=M.T1 PE=1 SV=2</t>
  </si>
  <si>
    <t>Phage N-6-adenine-methyltransferase, partial n=1 Tax=Vibrio phage 242E40-1 TaxID=2963182 RepID=A0A9P0YFI3_9CAUD</t>
  </si>
  <si>
    <t>DNAUV-38.512-299_15</t>
  </si>
  <si>
    <t>dATP/dGTP diphosphohydrolase N-terminal domain-containing protein n=1 Tax=Vibrio phage phiV208 TaxID=2723906 RepID=A0A6H0X555_9CAUD</t>
  </si>
  <si>
    <t>DNAUV-38.512-299_18</t>
  </si>
  <si>
    <t>Coil containing protein n=1 Tax=Vibrio phage jenny 12G5 TaxID=573176 RepID=R9U9A2_9CAUD</t>
  </si>
  <si>
    <t>DNAUV-38.512-299_19</t>
  </si>
  <si>
    <t>Uncharacterized protein n=1 Tax=Vibrio phage 1.137.O._10N.261.46.B5 TaxID=1881335 RepID=A0A2I7R8T7_9CAUD</t>
  </si>
  <si>
    <t>DNAUV-38.512-299_3</t>
  </si>
  <si>
    <t>DUF3987 domain-containing protein n=1 Tax=Vibrio phage pYD38-B TaxID=929835 RepID=R9TRK2_9CAUD</t>
  </si>
  <si>
    <t>DNAUV-38.512-299_30</t>
  </si>
  <si>
    <t>Phage gp6-like head-tail connector protein n=1 Tax=Escherichia coli TaxID=562 RepID=A0A9Q5YA14_ECOLX</t>
  </si>
  <si>
    <t>DNAUV-38.512-299_32</t>
  </si>
  <si>
    <t>HK97 gp10 family phage protein n=1 Tax=Aeromonas caviae TaxID=648 RepID=A0A7H9F4T3_AERCA</t>
  </si>
  <si>
    <t>DNAUV-38.512-299_34</t>
  </si>
  <si>
    <t>Tail fiber protein n=1 Tax=Vibrio phage 393E50-1 TaxID=2963191 RepID=A0A9P0YAI3_9CAUD</t>
  </si>
  <si>
    <t>DNAUV-38.512-299_35</t>
  </si>
  <si>
    <t>VOG26566 [FUNC="REFSEQ major tail protein"] [TAG=Xu TAGDEF="Function unknown"]</t>
  </si>
  <si>
    <t>Uncharacterized protein n=1 Tax=Aeromonas caviae TaxID=648 RepID=A0A9X2N300_AERCA</t>
  </si>
  <si>
    <t>DNAUV-38.512-299_36</t>
  </si>
  <si>
    <t>VOG03950 [FUNC="REFSEQ tail protein"] [TAG=Xu TAGDEF="Function unknown"]</t>
  </si>
  <si>
    <t>Uncharacterized protein n=2 Tax=Aeromonas TaxID=642 RepID=A0A9X2MW31_AERCA</t>
  </si>
  <si>
    <t>DNAUV-38.512-299_38</t>
  </si>
  <si>
    <t>Distal tail protein n=1 Tax=Escherichia phage vB_EcoM_PD328 TaxID=2972468 RepID=A0A9E7U033_9CAUD</t>
  </si>
  <si>
    <t>DNAUV-38.512-299_39</t>
  </si>
  <si>
    <t>VOG00447 [FUNC="REFSEQ hypothetical protein"] [TAG=Xu TAGDEF="Function unknown"]</t>
  </si>
  <si>
    <t>Uncharacterized protein n=3 Tax=Nonagvirus TaxID=1921117 RepID=A0A0E3M3B2_9CAUD</t>
  </si>
  <si>
    <t>DNAUV-38.512-299_41</t>
  </si>
  <si>
    <t>Uncharacterized protein n=1 Tax=Alteromonas phage XX1924 TaxID=2664192 RepID=A0A6B9J0E7_9CAUD</t>
  </si>
  <si>
    <t>DNAUV-38.512-299_42</t>
  </si>
  <si>
    <t>Prophage PSSB64-02 n=1 Tax=Pseudomonas luteola TaxID=47886 RepID=A0A5P2SEU8_PSELU</t>
  </si>
  <si>
    <t>DNAUV-38.512-299_44</t>
  </si>
  <si>
    <t>Tail fiber protein n=1 Tax=Vibrio phage pVco-5 TaxID=1965485 RepID=A0A1W6JV14_9CAUD</t>
  </si>
  <si>
    <t>DNAUV-38.512-299_7</t>
  </si>
  <si>
    <t>Coil containing protein n=1 Tax=Vibrio phage 1.289.A._10N.286.55.E8 TaxID=1881282 RepID=A0A2I7S6Z5_9CAUD</t>
  </si>
  <si>
    <t>DNAUV-38.512-299_8</t>
  </si>
  <si>
    <t>Coil containing protein n=1 Tax=Vibrio phage 1.291.O._10N.286.55.F6 TaxID=1881283 RepID=A0A2I7S783_9CAUD</t>
  </si>
  <si>
    <t>DNAUV-38.512-299_9</t>
  </si>
  <si>
    <t>Nucleic acid-binding, OB-fold protein n=1 Tax=Vibrio phage 1.060.A._10N.261.48.B5 TaxID=1881449 RepID=A0A2I7QT15_9CAUD</t>
  </si>
  <si>
    <t>DNAUV-38.940-21_4</t>
  </si>
  <si>
    <t>Phage protein n=1 Tax=Vibrio phage 468E53-1 TaxID=2963205 RepID=A0A9P0VLZ0_9CAUD</t>
  </si>
  <si>
    <t>DNAUV-38.940-21_49</t>
  </si>
  <si>
    <t>Fibronectin type-III domain-containing protein n=1 Tax=Paracoccus sp. Arc7-R13 TaxID=2500532 RepID=A0A3Q9TEY6_9RHOB</t>
  </si>
  <si>
    <t>DNAUV-38.940-21_51</t>
  </si>
  <si>
    <t>DNAUV-38.940-21_54</t>
  </si>
  <si>
    <t>Putative portal protein n=2 Tax=unclassified Paundecimvirus TaxID=2852667 RepID=A0A8F2IGZ7_9CAUD</t>
  </si>
  <si>
    <t>DNAUV-38.940-21_55</t>
  </si>
  <si>
    <t>Coil containing protein n=2 Tax=unclassified Zobellviridae TaxID=2853025 RepID=A0A2I7RTK2_9CAUD</t>
  </si>
  <si>
    <t>DNAUV-38.940-21_56</t>
  </si>
  <si>
    <t>Major capsid protein n=2 Tax=root TaxID=1 RepID=A0A2W5S5H1_VARPD</t>
  </si>
  <si>
    <t>DNAUV-38.940-21_57</t>
  </si>
  <si>
    <t>VOG17025 [FUNC="REFSEQ hypothetical protein"] [TAG=Xu TAGDEF="Function unknown"]</t>
  </si>
  <si>
    <t>Major tail protein n=2 Tax=root TaxID=1 RepID=A0A076GBC4_9CAUD</t>
  </si>
  <si>
    <t>DNAUV-38.940-21_58</t>
  </si>
  <si>
    <t>CBM-cenC domain-containing protein n=1 Tax=Lentibacter virus vB_LenP_ICBM2 TaxID=2301529 RepID=A0A3G2YRR7_9CAUD</t>
  </si>
  <si>
    <t>DNAUV-38.940-21_59</t>
  </si>
  <si>
    <t>Phage protein n=1 Tax=Pseudomonas phage GP100 TaxID=2055238 RepID=A0A2P9FIK7_9CAUD</t>
  </si>
  <si>
    <t>DNAUV-38.940-21_60</t>
  </si>
  <si>
    <t>Uncharacterized protein n=1 Tax=Pseudomonas phage GP100 TaxID=2055238 RepID=A0A2P9FIK3_9CAUD</t>
  </si>
  <si>
    <t>DNAUV-38.940-21_64</t>
  </si>
  <si>
    <t>DNAUV-38.940-21_68</t>
  </si>
  <si>
    <t>Holin n=1 Tax=Devosia sp. 66-22 TaxID=1895753 RepID=A0A1M3KL23_9HYPH</t>
  </si>
  <si>
    <t>DNAUV-38.940-21_7</t>
  </si>
  <si>
    <t>HNH endonuclease n=2 Tax=unclassified Zobellviridae TaxID=2853025 RepID=A0A2I7RTG7_9CAUD</t>
  </si>
  <si>
    <t>DNAUV-38.940-21_70</t>
  </si>
  <si>
    <t>Uncharacterized protein n=1 Tax=Hoeflea prorocentri TaxID=1922333 RepID=A0A9X3UHK9_9HYPH</t>
  </si>
  <si>
    <t>DNAUV-38.940-21_71</t>
  </si>
  <si>
    <t>DUF4376 domain-containing protein n=1 Tax=Zongyanglinia huanghaiensis TaxID=2682100 RepID=A0A6L6WHS6_9RHOB</t>
  </si>
  <si>
    <t>DNAUV-38.940-21_72</t>
  </si>
  <si>
    <t>Bacteriophage spanin2 family protein n=1 Tax=Parasedimentitalea sp. QS115 TaxID=2997337 RepID=A0A9Y2P5N1_9RHOB</t>
  </si>
  <si>
    <t>DNAUV-38.940-21_76</t>
  </si>
  <si>
    <t>DNAUV-38.940-21_8</t>
  </si>
  <si>
    <t>VOG32969 [FUNC="REFSEQ hypothetical protein"] [TAG=Xu TAGDEF="Function unknown"]</t>
  </si>
  <si>
    <t>Phage protein n=1 Tax=Citrobacter phage CVT22 TaxID=1622234 RepID=A0A0R6CN23_9CAUD</t>
  </si>
  <si>
    <t>DNAUV-38.940-21_9</t>
  </si>
  <si>
    <t>dATP/dGTP diphosphohydrolase N-terminal domain-containing protein n=1 Tax=Kaustia mangrovi TaxID=2593653 RepID=A0A7S8C4Y0_9HYPH</t>
  </si>
  <si>
    <t>DNAUV-4.006-346_1</t>
  </si>
  <si>
    <t>VOG04907 [FUNC="REFSEQ membrane protein"] [TAG=Xu TAGDEF="Function unknown"]</t>
  </si>
  <si>
    <t>DUF3307 domain-containing protein n=1 Tax=Aeromonas phage Ah1 TaxID=2053701 RepID=A0A2H4YFG4_9CAUD</t>
  </si>
  <si>
    <t>DNAUV-4.006-346_2</t>
  </si>
  <si>
    <t>Phage portal protein, SPP1 Gp6-like n=1 Tax=Propionispira arboris TaxID=84035 RepID=A0A1H6Y8Y8_9FIRM</t>
  </si>
  <si>
    <t>DNAUV-4.012-22_4</t>
  </si>
  <si>
    <t>DNAUV-4.014-276_11</t>
  </si>
  <si>
    <t>sp|Q9PCT9|Y1666_XYLFA Uncharacterized protein XF_1666 OS=Xylella fastidiosa (strain 9a5c) OX=160492 GN=XF_1666 PE=3 SV=1</t>
  </si>
  <si>
    <t>Endodeoxyribonuclease RusA n=1 Tax=Ruegeria sp. (strain TM1040) TaxID=292414 RepID=Q1GG05_RUEST</t>
  </si>
  <si>
    <t>DNAUV-4.030-12_3</t>
  </si>
  <si>
    <t>VOG09190 [FUNC="REFSEQ hypothetical protein"] [TAG=Xu TAGDEF="Function unknown"]</t>
  </si>
  <si>
    <t>Uncharacterized protein n=5 Tax=Bradyrhizobium TaxID=374 RepID=A0A4Y3ZLR2_BRAEL</t>
  </si>
  <si>
    <t>DNAUV-4.043-11_2</t>
  </si>
  <si>
    <t>ERF family protein n=1 Tax=Tetrasphaera phage TJE1 TaxID=981335 RepID=G4W985_9CAUD</t>
  </si>
  <si>
    <t>DNAUV-4.046-282_3</t>
  </si>
  <si>
    <t>Transglycosylase SLT domain-containing protein n=1 Tax=Ruegeria phage 45A6 TaxID=1851646 RepID=A0A1X9HWA0_9CAUD</t>
  </si>
  <si>
    <t>DNAUV-4.046-282_4</t>
  </si>
  <si>
    <t>DNAUV-4.046-282_6</t>
  </si>
  <si>
    <t>Internal virion protein n=1 Tax=Roseobacter phage CRP-13 TaxID=2813173 RepID=A0A8E5BF22_9CAUD</t>
  </si>
  <si>
    <t>DNAUV-4.050-15_1</t>
  </si>
  <si>
    <t>Uncharacterized protein n=1 Tax=Dishui Lake large algae virus 1 TaxID=2704073 RepID=A0A6G6XPX0_9VIRU</t>
  </si>
  <si>
    <t>DNAUV-4.050-15_2</t>
  </si>
  <si>
    <t>DNAUV-4.050-15_3</t>
  </si>
  <si>
    <t>DNAUV-4.056-3961_2</t>
  </si>
  <si>
    <t>VOG34125 [FUNC="REFSEQ hypothetical protein"] [TAG=Xu TAGDEF="Function unknown"]</t>
  </si>
  <si>
    <t>Uncharacterized protein n=1 Tax=Pricia antarctica TaxID=641691 RepID=A0A831QTA8_9FLAO</t>
  </si>
  <si>
    <t>DNAUV-4.056-3961_3</t>
  </si>
  <si>
    <t>DNAUV-4.056-3961_4</t>
  </si>
  <si>
    <t>DNAUV-4.056-3961_5</t>
  </si>
  <si>
    <t>Uncharacterized protein n=1 Tax=Costertonia aggregata TaxID=343403 RepID=A0A7H9ARK4_9FLAO</t>
  </si>
  <si>
    <t>DNAUV-4.073-13_1</t>
  </si>
  <si>
    <t>Phage portal protein n=1 Tax=Bacillus canaveralius TaxID=1403243 RepID=A0A2N5GPP9_9BACI</t>
  </si>
  <si>
    <t>DNAUV-4.073-13_7</t>
  </si>
  <si>
    <t>Capsid protein n=1 Tax=Arthronema virus TR020 TaxID=2736280 RepID=A0A7G3WH52_9CAUD</t>
  </si>
  <si>
    <t>DNAUV-4.073-13_8</t>
  </si>
  <si>
    <t>Uncharacterized protein n=1 Tax=Marseillevirus LCMAC103 TaxID=2506604 RepID=A0A481YW85_9VIRU</t>
  </si>
  <si>
    <t>DNAUV-4.073-41_1</t>
  </si>
  <si>
    <t>sp|P19192|CAPSD_BPCHP Capsid protein VP1 OS=Chlamydia phage 1 OX=2003327 GN=ORF1 PE=1 SV=2</t>
  </si>
  <si>
    <t>Major capsid protein n=1 Tax=Blackfly microvirus SF02 TaxID=2576452 RepID=A0A4P8PKZ2_9VIRU</t>
  </si>
  <si>
    <t>DNAUV-4.073-41_3</t>
  </si>
  <si>
    <t>VOG07233 [FUNC="REFSEQ DNA pilot protein VP2"] [TAG=Xu TAGDEF="Function unknown"]</t>
  </si>
  <si>
    <t>DNA pilot protein n=1 Tax=Apis mellifera associated microvirus 36 TaxID=2494765 RepID=A0A3Q8U647_9VIRU</t>
  </si>
  <si>
    <t>DNAUV-4.073-41_5</t>
  </si>
  <si>
    <t>sp|P19189|REP_BPCHP Replication-associated protein ORF4 OS=Chlamydia phage 1 OX=2003327 GN=ORF4 PE=3 SV=1</t>
  </si>
  <si>
    <t>Replication initiator protein n=1 Tax=Blackfly microvirus SF02 TaxID=2576452 RepID=A0A4V1F5H2_9VIRU</t>
  </si>
  <si>
    <t>DNAUV-4.073-41_6</t>
  </si>
  <si>
    <t>Major capsid protein n=1 Tax=Apis mellifera associated microvirus 36 TaxID=2494765 RepID=A0A3Q8U6I3_9VIRU</t>
  </si>
  <si>
    <t>DNAUV-4.087-17_1</t>
  </si>
  <si>
    <t>Uncharacterized protein n=1 Tax=Maribacter arcticus TaxID=561365 RepID=A0A1T5AK17_9FLAO</t>
  </si>
  <si>
    <t>DNAUV-4.087-17_3</t>
  </si>
  <si>
    <t>Uncharacterized protein n=1 Tax=Pseudomonas phage phiPMW TaxID=1815582 RepID=A0A1S5R166_9CAUD</t>
  </si>
  <si>
    <t>DNAUV-4.087-405_6</t>
  </si>
  <si>
    <t>DUF6378 domain-containing protein n=1 Tax=Oerskovia douganii TaxID=2762210 RepID=A0A9D5YZ08_9CELL</t>
  </si>
  <si>
    <t>DNAUV-4.104-138_1</t>
  </si>
  <si>
    <t>VOG22955 [FUNC="REFSEQ hypothetical protein"] [TAG=Xu TAGDEF="Function unknown"]</t>
  </si>
  <si>
    <t>Uncharacterized protein n=1 Tax=Stenotrophomonas phage vB_SmaS-DLP_6 TaxID=1651816 RepID=A0A142EZQ4_9CAUD</t>
  </si>
  <si>
    <t>DNAUV-4.104-138_2</t>
  </si>
  <si>
    <t>Tail fiber protein n=1 Tax=Acinetobacter phage phiAC-1 TaxID=1229760 RepID=K4HZA1_9CAUD</t>
  </si>
  <si>
    <t>DNAUV-4.104-138_3</t>
  </si>
  <si>
    <t>DNAUV-4.104-138_5</t>
  </si>
  <si>
    <t>DNAUV-4.117-32_1</t>
  </si>
  <si>
    <t>Major capsid protein n=2 Tax=unclassified Caudoviricetes TaxID=2788787 RepID=A0A2I7R6V5_9CAUD</t>
  </si>
  <si>
    <t>DNAUV-4.117-32_2</t>
  </si>
  <si>
    <t>Uncharacterized protein n=1 Tax=Iodobacter phage PhiPLPE TaxID=551895 RepID=B5AX50_9CAUD</t>
  </si>
  <si>
    <t>DNAUV-4.122-13_3</t>
  </si>
  <si>
    <t>HNH endonuclease n=1 Tax=Enterococcus phage 113 TaxID=2835638 RepID=A0A8E7FYQ9_9CAUD</t>
  </si>
  <si>
    <t>DNAUV-4.129-43_1</t>
  </si>
  <si>
    <t>VOG00120 [FUNC="sp|D3WAC1|TERL_BPLP2 Terminase large subunit"] [TAG=Xr TAGDEF="Virus replication"]</t>
  </si>
  <si>
    <t>Terminase n=2 Tax=unclassified Kyanoviridae TaxID=2960609 RepID=A0A650EWN1_9CAUD</t>
  </si>
  <si>
    <t>DNAUV-4.129-43_2</t>
  </si>
  <si>
    <t>Terminase large subunit n=1 Tax=Vibrio phage VP-1 TaxID=2234088 RepID=A0A4P2THA0_9CAUD</t>
  </si>
  <si>
    <t>DNAUV-4.129-43_3</t>
  </si>
  <si>
    <t>Terminase large subunit n=2 Tax=Greenvirus TaxID=2948729 RepID=M1TUP1_9CAUD</t>
  </si>
  <si>
    <t>DNAUV-4.129-43_4</t>
  </si>
  <si>
    <t>DNAUV-4.132-11_1</t>
  </si>
  <si>
    <t>DNAUV-4.132-11_5</t>
  </si>
  <si>
    <t>DNAUV-4.132-11_6</t>
  </si>
  <si>
    <t>Uncharacterized protein n=1 Tax=Synechococcus phage S-SRM01 TaxID=2781608 RepID=A0A879R1T8_9CAUD</t>
  </si>
  <si>
    <t>DNAUV-4.132-11_7</t>
  </si>
  <si>
    <t>DNAUV-4.132-9.0_7</t>
  </si>
  <si>
    <t>Uncharacterized protein n=1 Tax=Alteromonas phage PB15 TaxID=1913113 RepID=A0A1J0GWD8_9CAUD</t>
  </si>
  <si>
    <t>DNAUV-4.132-9.0_8</t>
  </si>
  <si>
    <t>VRR-NUC domain-containing protein n=1 Tax=Alteromonas phage XX1924 TaxID=2664192 RepID=A0A6B9J1H5_9CAUD</t>
  </si>
  <si>
    <t>DNAUV-4.162-14_2</t>
  </si>
  <si>
    <t>DNAUV-4.162-14_3</t>
  </si>
  <si>
    <t>DNAUV-4.162-14_5</t>
  </si>
  <si>
    <t>DNAUV-4.162-14_6</t>
  </si>
  <si>
    <t>DNAUV-4.162-14_7</t>
  </si>
  <si>
    <t>DNA primase subunit n=1 Tax=Synechococcus phage S-SM2 TaxID=444860 RepID=E3SJ62_9CAUD</t>
  </si>
  <si>
    <t>DNAUV-4.172-45_2</t>
  </si>
  <si>
    <t>Glycosyltransferase n=1 Tax=Ralstonia phage phiRSL1 TaxID=1980924 RepID=B2ZYE0_9CAUD</t>
  </si>
  <si>
    <t>DNAUV-4.172-45_3</t>
  </si>
  <si>
    <t>DNAUV-4.172-45_4</t>
  </si>
  <si>
    <t>Uncharacterized protein n=3 Tax=unclassified Caudoviricetes TaxID=2788787 RepID=A0A915VGT1_9CAUD</t>
  </si>
  <si>
    <t>DNAUV-4.172-45_5</t>
  </si>
  <si>
    <t>DNAUV-4.175-10_1</t>
  </si>
  <si>
    <t>DNAUV-4.175-10_3</t>
  </si>
  <si>
    <t>DNAUV-4.175-10_5</t>
  </si>
  <si>
    <t>DNAUV-4.187-200_17</t>
  </si>
  <si>
    <t>DNAUV-4.194-11475_2</t>
  </si>
  <si>
    <t>DNAUV-4.194-11475_3</t>
  </si>
  <si>
    <t>DNAUV-4.194-11475_4</t>
  </si>
  <si>
    <t>Uncharacterized protein n=1 Tax=Pseudoalteromonas phage RIO-1 TaxID=1316739 RepID=R4JE29_9CAUD</t>
  </si>
  <si>
    <t>DNAUV-4.203-16_1</t>
  </si>
  <si>
    <t>DNAUV-4.203-16_4</t>
  </si>
  <si>
    <t>DUF1983 domain-containing protein n=1 Tax=Parasedimentitalea marina TaxID=2483033 RepID=A0A3T0N1Q2_9RHOB</t>
  </si>
  <si>
    <t>DNAUV-4.203-16_6</t>
  </si>
  <si>
    <t>Uncharacterized protein n=1 Tax=Pseudohongiella spirulinae TaxID=1249552 RepID=A0A0S2KED0_9GAMM</t>
  </si>
  <si>
    <t>DNAUV-4.204-116_2</t>
  </si>
  <si>
    <t>Transcriptional regulator n=1 Tax=Nitrosomonas sp. (strain Is79A3) TaxID=261292 RepID=F8GEK1_NITSI</t>
  </si>
  <si>
    <t>DNAUV-4.204-116_4</t>
  </si>
  <si>
    <t>DNAUV-4.204-116_6</t>
  </si>
  <si>
    <t>DNAUV-4.206-49_1</t>
  </si>
  <si>
    <t>Major capsid protein n=1 Tax=Microviridae sp. ctITQ3 TaxID=2656696 RepID=A0A5Q2WAW1_9VIRU</t>
  </si>
  <si>
    <t>DNAUV-4.206-49_2</t>
  </si>
  <si>
    <t>DNA pilot protein n=1 Tax=Blackfly microvirus SF02 TaxID=2576452 RepID=A0A4V1F5H9_9VIRU</t>
  </si>
  <si>
    <t>DNAUV-4.206-49_3</t>
  </si>
  <si>
    <t>sp|Q9G053|B_BPPHM Internal scaffolding protein VP3 OS=Bdellovibrio phage phiMH2K OX=145579 GN=ORF3 PE=3 SV=1</t>
  </si>
  <si>
    <t>DNAUV-4.206-49_5</t>
  </si>
  <si>
    <t>DNAUV-4.206-49_6</t>
  </si>
  <si>
    <t>Major capsid protein (Fragment) n=1 Tax=Sulfurovum sp. FS06-10 TaxID=1539064 RepID=A0A0C2YT55_9BACT</t>
  </si>
  <si>
    <t>DNAUV-4.214-18_8</t>
  </si>
  <si>
    <t>DUF2493 domain-containing protein n=1 Tax=Gordonia rubripertincta TaxID=36822 RepID=A0A7D7Z7R2_GORRU</t>
  </si>
  <si>
    <t>DNAUV-4.216-20_3</t>
  </si>
  <si>
    <t>Carrier domain-containing protein n=1 Tax=Paraglaciecola Antarctic JLT virus 2 TaxID=2945131 RepID=A0A9E7E4U8_9VIRU</t>
  </si>
  <si>
    <t>DNAUV-4.216-20_5</t>
  </si>
  <si>
    <t>Winged helix-turn-helix DNA-binding domain protein n=1 Tax=Vibrio phage 1.170.O._10N.261.52.C3 TaxID=1881390 RepID=A0A2I7REX3_9CAUD</t>
  </si>
  <si>
    <t>DNAUV-4.220-119_4</t>
  </si>
  <si>
    <t>DNAUV-4.220-119_7</t>
  </si>
  <si>
    <t>DNAUV-4.227-15-V2_2</t>
  </si>
  <si>
    <t>Uncharacterized protein n=1 Tax=Bowmanella sp. JS7-9 TaxID=1605368 RepID=A0A4Q9XLH4_9ALTE</t>
  </si>
  <si>
    <t>DNAUV-4.235-73_2</t>
  </si>
  <si>
    <t>DNAUV-4.235-73_3</t>
  </si>
  <si>
    <t>sp|P19193|H_BPCHP Minor spike protein H OS=Chlamydia phage 1 OX=2003327 GN=ORF2 PE=1 SV=2</t>
  </si>
  <si>
    <t>DNA pilot protein n=1 Tax=Apis mellifera associated microvirus 30 TaxID=2494759 RepID=A0A3Q8U5C3_9VIRU</t>
  </si>
  <si>
    <t>DNAUV-4.235-73_4</t>
  </si>
  <si>
    <t>DNAUV-4.235-73_5</t>
  </si>
  <si>
    <t>DNAUV-4.235-73_6</t>
  </si>
  <si>
    <t>sp|Q9G052|C_BPPHM Protein VP5 OS=Bdellovibrio phage phiMH2K OX=145579 GN=ORF5 PE=3 SV=1</t>
  </si>
  <si>
    <t>VOG25876 [FUNC="sp|Q9G052|C_BPPHM Protein VP5"] [TAG=Xu TAGDEF="Function unknown"]</t>
  </si>
  <si>
    <t>Nonstructural protein n=1 Tax=Apis mellifera associated microvirus 29 TaxID=2494757 RepID=A0A3Q8U5F4_9VIRU</t>
  </si>
  <si>
    <t>DNAUV-4.235-73_7</t>
  </si>
  <si>
    <t>DNAUV-4.236-14_1</t>
  </si>
  <si>
    <t>Tail assembly chaperone n=1 Tax=Rhodovulum marinum TaxID=320662 RepID=A0A4R2Q580_9RHOB</t>
  </si>
  <si>
    <t>DNAUV-4.236-14_4</t>
  </si>
  <si>
    <t>F5/8 type C domain protein n=1 Tax=Roseovarius sp. THAF27 TaxID=2587850 RepID=A0A5P9GZQ0_9RHOB</t>
  </si>
  <si>
    <t>DNAUV-4.236-14_5</t>
  </si>
  <si>
    <t>DNAUV-4.236-14_6</t>
  </si>
  <si>
    <t>Tip attachment protein J domain-containing protein n=1 Tax=Roseovarius sp. THAF27 TaxID=2587850 RepID=A0A5P9H2A4_9RHOB</t>
  </si>
  <si>
    <t>DNAUV-4.245-9.3_3</t>
  </si>
  <si>
    <t>Phage ABA sandwich domain-containing protein n=3 Tax=Lightbulbvirus Cba41 TaxID=1918524 RepID=S0A214_9CAUD</t>
  </si>
  <si>
    <t>DNAUV-4.245-9.3_4</t>
  </si>
  <si>
    <t>Phage ABA sandwich domain-containing protein n=1 Tax=Phocaeicola vulgatus TaxID=821 RepID=A0A7K0JCN4_PHOVU</t>
  </si>
  <si>
    <t>DNAUV-4.255-152_7</t>
  </si>
  <si>
    <t>DNAUV-4.255-152_8</t>
  </si>
  <si>
    <t>DNAUV-4.258-10_11</t>
  </si>
  <si>
    <t>Putative terminase large subunit n=1 Tax=Pseudomonas phage PaMx11 TaxID=1175657 RepID=A0A0S0N2B2_BPPAM</t>
  </si>
  <si>
    <t>DNAUV-4.258-10_13</t>
  </si>
  <si>
    <t>Structural protein n=1 Tax=Bordetella phage FP1 TaxID=1916125 RepID=A0A2D0W9L8_9CAUD</t>
  </si>
  <si>
    <t>DNAUV-4.258-10_20</t>
  </si>
  <si>
    <t>Structural phage protein n=1 Tax=Pseudomonas phage YuA TaxID=462590 RepID=A9J585_BPPYU</t>
  </si>
  <si>
    <t>DNAUV-4.258-125_4</t>
  </si>
  <si>
    <t>DNAUV-4.258-125_5</t>
  </si>
  <si>
    <t>DNAUV-4.264-36_2</t>
  </si>
  <si>
    <t>Uncharacterized protein n=1 Tax=Calothrix sp. NIES-4101 TaxID=2005461 RepID=A0A1Z4RAD8_9CYAN</t>
  </si>
  <si>
    <t>DNAUV-4.264-36_3</t>
  </si>
  <si>
    <t>Phage tail protein n=1 Tax=Alteromonas australica TaxID=589873 RepID=A0A350P8S1_9ALTE</t>
  </si>
  <si>
    <t>DNAUV-4.264-36_5</t>
  </si>
  <si>
    <t>DNAUV-4.264-36_6</t>
  </si>
  <si>
    <t>DNAUV-4.264-36_7</t>
  </si>
  <si>
    <t>Lipoprotein n=1 Tax=Roseobacter phage CRP-9 TaxID=2813174 RepID=A0A8E5B9E0_9CAUD</t>
  </si>
  <si>
    <t>DNAUV-4.271-15_2</t>
  </si>
  <si>
    <t>GIY-YIG endonuclease n=1 Tax=Bacillus phage Izhevsk TaxID=2724322 RepID=A0A6H0X621_9CAUD</t>
  </si>
  <si>
    <t>DNAUV-4.271-15_5</t>
  </si>
  <si>
    <t>DNAUV-4.271-15_7</t>
  </si>
  <si>
    <t>sp|Q01743|LOADS_BPR69 Sliding-clamp-loader small subunit OS=Escherichia phage RB69 OX=12353 GN=62 PE=3 SV=2</t>
  </si>
  <si>
    <t>DNA polymerase n=1 Tax=Synechococcus sp. TMED187 TaxID=1986595 RepID=A0A1Z9KZ68_9SYNE</t>
  </si>
  <si>
    <t>DNAUV-4.271-15_8</t>
  </si>
  <si>
    <t>Translation repressor protein n=1 Tax=Lake Baikal phage Baikal-20-5m-C28 TaxID=2047876 RepID=A0A2H4N7P7_9CAUD</t>
  </si>
  <si>
    <t>DNAUV-4.279-19_1</t>
  </si>
  <si>
    <t>VOG01906 [FUNC="REFSEQ hypothetical protein"] [TAG=Xu TAGDEF="Function unknown"]</t>
  </si>
  <si>
    <t>Ribosomal L37ae protein family n=1 Tax=Myoviridae sp. ctgXL3 TaxID=2826681 RepID=A0A8S5QQX7_9CAUD</t>
  </si>
  <si>
    <t>DNAUV-4.304-85_16</t>
  </si>
  <si>
    <t>DNAUV-4.304-85_17</t>
  </si>
  <si>
    <t>DNAUV-4.304-85_3</t>
  </si>
  <si>
    <t>NB-ARC domain-containing protein (Fragment) n=1 Tax=Nymphaea colorata TaxID=210225 RepID=A0A5K1HYC3_9MAGN</t>
  </si>
  <si>
    <t>DNAUV-4.304-85_6</t>
  </si>
  <si>
    <t>Uncharacterized protein n=1 Tax=Roseovarius sp. THAF27 TaxID=2587850 RepID=A0A5P9GZM1_9RHOB</t>
  </si>
  <si>
    <t>DNAUV-4.304-85_7</t>
  </si>
  <si>
    <t>Endodeoxyribonuclease RalR n=1 Tax=Xenorhabdus miraniensis TaxID=351674 RepID=A0A2D0JJS6_9GAMM</t>
  </si>
  <si>
    <t>DNAUV-4.312-12_2</t>
  </si>
  <si>
    <t>Major capsid protein n=1 Tax=robinz microvirus RP_160 TaxID=2886497 RepID=A0A8K1PI92_9VIRU</t>
  </si>
  <si>
    <t>DNAUV-4.312-12_3</t>
  </si>
  <si>
    <t>sp|P11336|H_SPV4 Minor spike protein H OS=Spiroplasma virus 4 OX=2928746 GN=ORF4 PE=3 SV=1</t>
  </si>
  <si>
    <t>DNA pilot protein n=1 Tax=Blackfly microvirus SF02 TaxID=2576452 RepID=A0A4P8PKZ6_9VIRU</t>
  </si>
  <si>
    <t>DNAUV-4.312-12_4</t>
  </si>
  <si>
    <t>Scaffold protein n=1 Tax=Microviridae sp. ct05d3 TaxID=2824982 RepID=A0A8S5V188_9VIRU</t>
  </si>
  <si>
    <t>DNAUV-4.312-12_6</t>
  </si>
  <si>
    <t>Putative replication initiation protein n=1 Tax=Eel River basin pequenovirus TaxID=1609634 RepID=A0A0C5ACV1_9VIRU</t>
  </si>
  <si>
    <t>DNAUV-4.315-290_4</t>
  </si>
  <si>
    <t>VOG05234 [FUNC="REFSEQ hypothetical protein"] [TAG=Xu TAGDEF="Function unknown"]</t>
  </si>
  <si>
    <t>Uncharacterized protein n=1 Tax=Croceibacter phage P2559Y TaxID=1327037 RepID=W8CQR3_9CAUD</t>
  </si>
  <si>
    <t>DNAUV-4.315-290_5</t>
  </si>
  <si>
    <t>HTH cro/C1-type domain-containing protein n=1 Tax=Croceibacter phage P2559Y TaxID=1327037 RepID=W8CQN8_9CAUD</t>
  </si>
  <si>
    <t>DNAUV-4.315-290_7</t>
  </si>
  <si>
    <t>DUF2815 family protein n=1 Tax=Croceibacter phage P2559Y TaxID=1327037 RepID=W8CPL2_9CAUD</t>
  </si>
  <si>
    <t>DNAUV-4.322-25_1</t>
  </si>
  <si>
    <t>sp|Q7TWJ2|WHIB3_MYCBO Redox-responsive transcriptional regulator WhiB3 OS=Mycobacterium bovis (strain ATCC BAA-935 / AF2122/97) OX=233413 GN=whiB3 PE=3 SV=1</t>
  </si>
  <si>
    <t>Differentiation transcription factor n=1 Tax=Pontimonas phage phiPsal1 TaxID=2079347 RepID=A0A2K9VGV6_9CAUD</t>
  </si>
  <si>
    <t>DNAUV-4.322-25_2</t>
  </si>
  <si>
    <t>DNAUV-4.322-25_3</t>
  </si>
  <si>
    <t>DNAUV-4.322-25_5</t>
  </si>
  <si>
    <t>Uncharacterized protein n=1 Tax=Pontimonas phage phiPsal1 TaxID=2079347 RepID=A0A2K9VGV0_9CAUD</t>
  </si>
  <si>
    <t>DNAUV-4.325-20_1</t>
  </si>
  <si>
    <t>DNAUV-4.325-20_2</t>
  </si>
  <si>
    <t>DNAUV-4.325-20_3</t>
  </si>
  <si>
    <t>Baseplate wedge tail fiber connector n=1 Tax=Synechococcus phage S-CAM8 TaxID=754038 RepID=A0A1D8KMY7_9CAUD</t>
  </si>
  <si>
    <t>DNAUV-4.325-20_4</t>
  </si>
  <si>
    <t>Phage tail assembly chaperone protein n=1 Tax=Roseospirillum parvum TaxID=83401 RepID=A0A1G7U6I0_9PROT</t>
  </si>
  <si>
    <t>DNAUV-4.325-20_6</t>
  </si>
  <si>
    <t>Tail fiber-like protein n=1 Tax=Prochlorococcus phage P-GSP1 TaxID=382262 RepID=M1UAN4_9CAUD</t>
  </si>
  <si>
    <t>DNAUV-4.325-20_7</t>
  </si>
  <si>
    <t>Uncharacterized protein n=1 Tax=Xanthomarina gelatinilytica TaxID=1137281 RepID=A0A3D6BPU2_9FLAO</t>
  </si>
  <si>
    <t>DNAUV-4.326-307_1</t>
  </si>
  <si>
    <t>Uncharacterized protein n=1 Tax=Pseudomonas phage TC6 TaxID=2060947 RepID=A0A2H5BQB6_9CAUD</t>
  </si>
  <si>
    <t>DNAUV-4.329-139_6</t>
  </si>
  <si>
    <t>DNAUV-4.329-139_7</t>
  </si>
  <si>
    <t>DNAUV-4.329-139_8</t>
  </si>
  <si>
    <t>DNAUV-4.329-139_9</t>
  </si>
  <si>
    <t>DNAUV-4.350-11_5</t>
  </si>
  <si>
    <t>Terminase large subunit n=1 Tax=Salinibacter phage M8CRM-1 TaxID=2681612 RepID=A0A2I6UGS5_9CAUD</t>
  </si>
  <si>
    <t>DNAUV-4.356-213_12</t>
  </si>
  <si>
    <t>DNAUV-4.356-213_14</t>
  </si>
  <si>
    <t>DNAUV-4.356-213_18</t>
  </si>
  <si>
    <t>Phage gp6-like head-tail connector protein (Fragment) n=1 Tax=Pusillimonas sp. (ex Stolz et al. 2005) TaxID=1979962 RepID=A0A2D7XHC8_9BURK</t>
  </si>
  <si>
    <t>DNAUV-4.356-49_10</t>
  </si>
  <si>
    <t>DNAUV-4.370-17_1</t>
  </si>
  <si>
    <t>Uncharacterized protein n=1 Tax=Lentibacter phage vB_LenP_ICBM3 TaxID=2301530 RepID=A0A3G2YRV2_9CAUD</t>
  </si>
  <si>
    <t>DNAUV-4.370-17_3</t>
  </si>
  <si>
    <t>DNAUV-4.370-17_4</t>
  </si>
  <si>
    <t>Uncharacterized protein n=1 Tax=Pseudosulfitobacter pseudonitzschiae TaxID=1402135 RepID=A0A9Q2NGE2_9RHOB</t>
  </si>
  <si>
    <t>DNAUV-4.379-32_10</t>
  </si>
  <si>
    <t>Metallophosphatase domain-containing protein n=1 Tax=Ochrobactrum phage vB_OspM_OC TaxID=2712956 RepID=A0A6G6XXJ9_9CAUD</t>
  </si>
  <si>
    <t>DNAUV-4.379-32_4</t>
  </si>
  <si>
    <t>VOG08720 [FUNC="REFSEQ hypothetical protein"] [TAG=Xu TAGDEF="Function unknown"]</t>
  </si>
  <si>
    <t>Uncharacterized protein n=2 Tax=unclassified Caudoviricetes TaxID=2788787 RepID=A0A7S5RB13_9CAUD</t>
  </si>
  <si>
    <t>DNAUV-4.379-32_9</t>
  </si>
  <si>
    <t>DNAUV-4.379-418_1</t>
  </si>
  <si>
    <t>DNAUV-4.379-418_10</t>
  </si>
  <si>
    <t>Uncharacterized protein n=1 Tax=Rhizobium sp. LCM 4573 TaxID=1848291 RepID=A0A1S1TDS0_9HYPH</t>
  </si>
  <si>
    <t>DNAUV-4.379-418_3</t>
  </si>
  <si>
    <t>DNAUV-4.379-418_9</t>
  </si>
  <si>
    <t>HD/PDEase domain-containing protein n=2 Tax=Pseudosulfitobacter pseudonitzschiae TaxID=1402135 RepID=A0A073IUJ1_9RHOB</t>
  </si>
  <si>
    <t>DNAUV-4.394-368_28</t>
  </si>
  <si>
    <t>Uncharacterized protein n=1 Tax=Swingsia samuiensis TaxID=1293412 RepID=A0A4Y6UIN3_9PROT</t>
  </si>
  <si>
    <t>DNAUV-4.411-15_1</t>
  </si>
  <si>
    <t>Replication initiation protein n=1 Tax=Tortoise microvirus 90 TaxID=2583199 RepID=A0A4P8WA58_9VIRU</t>
  </si>
  <si>
    <t>DNAUV-4.411-15_2</t>
  </si>
  <si>
    <t>Internal scaffolding protein n=1 Tax=Tortoise microvirus 32 TaxID=2583135 RepID=A0A4P8W9F5_9VIRU</t>
  </si>
  <si>
    <t>DNAUV-4.411-15_3</t>
  </si>
  <si>
    <t>DNA pilot protein n=1 Tax=Tortoise microvirus 86 TaxID=2583194 RepID=A0A4P8WA49_9VIRU</t>
  </si>
  <si>
    <t>DNAUV-4.411-15_4</t>
  </si>
  <si>
    <t>Major capsid protein n=1 Tax=Antarctic microvirus COCH21_V_SP_13 TaxID=2664230 RepID=A0A5Q2EYN0_9VIRU</t>
  </si>
  <si>
    <t>DNAUV-4.412-143_10</t>
  </si>
  <si>
    <t>DNAUV-4.412-143_6</t>
  </si>
  <si>
    <t>DNAUV-4.412-143_7</t>
  </si>
  <si>
    <t>DNAUV-4.412-143_8</t>
  </si>
  <si>
    <t>DNAUV-4.427-233_6</t>
  </si>
  <si>
    <t>DNAUV-4.427-233_7</t>
  </si>
  <si>
    <t>DNAUV-4.427-233_9</t>
  </si>
  <si>
    <t>DNAUV-4.429-31_3</t>
  </si>
  <si>
    <t>DNAUV-4.429-31_5</t>
  </si>
  <si>
    <t>DNAUV-4.432-18_1</t>
  </si>
  <si>
    <t>Tail tape measure protein n=2 Tax=Kryptosalinivirus M8CC19 TaxID=2560720 RepID=A0A2I6UGC4_9CAUD</t>
  </si>
  <si>
    <t>DNAUV-4.432-18_2</t>
  </si>
  <si>
    <t>VOG13332 [FUNC="REFSEQ hypothetical protein"] [TAG=Xu TAGDEF="Function unknown"]</t>
  </si>
  <si>
    <t>IPT/TIG domain-containing protein n=1 Tax=Hymenobacter sp. CRA2 TaxID=1955620 RepID=A0A1S9AYX0_9BACT</t>
  </si>
  <si>
    <t>DNAUV-4.433-14_1</t>
  </si>
  <si>
    <t>Putative primase-helicase n=1 Tax=Idiomarinaceae phage 1N2-2 TaxID=1536592 RepID=A0A088F8A2_9CAUD</t>
  </si>
  <si>
    <t>DNAUV-4.433-14_4</t>
  </si>
  <si>
    <t>Uncharacterized protein n=1 Tax=Actinomadura sp. KC216 TaxID=2530370 RepID=A0A4R4M6Y7_9ACTN</t>
  </si>
  <si>
    <t>DNAUV-4.462-1084_8</t>
  </si>
  <si>
    <t>DNAUV-4.472-24_3</t>
  </si>
  <si>
    <t>Uncharacterized protein n=1 Tax=Stenotrophomonas phage vB_SmaS-DLP_6 TaxID=1651816 RepID=A0A142EZY5_9CAUD</t>
  </si>
  <si>
    <t>DNAUV-4.472-24_5</t>
  </si>
  <si>
    <t>DNAUV-4.472-24_6</t>
  </si>
  <si>
    <t>Single-stranded DNA-binding protein n=1 Tax=Synechococcus phage S-WAM2 TaxID=1815522 RepID=A0A1D8KSR4_9CAUD</t>
  </si>
  <si>
    <t>DNAUV-4.488-64_17</t>
  </si>
  <si>
    <t>Stabilization protein n=1 Tax=Methylophilales phage Venkman EXVC282S TaxID=2727865 RepID=A0A7S5Y917_9CAUD</t>
  </si>
  <si>
    <t>DNAUV-4.492-19_11</t>
  </si>
  <si>
    <t>VOG36848 [FUNC="REFSEQ hypothetical protein"] [TAG=Xu TAGDEF="Function unknown"]</t>
  </si>
  <si>
    <t>Uncharacterized protein n=1 Tax=Pseudoalteromonas phage H101 TaxID=1654919 RepID=A0A0H4J272_9CAUD</t>
  </si>
  <si>
    <t>DNAUV-4.492-19_12</t>
  </si>
  <si>
    <t>Calcineurin-like phosphoesterase superfamily domain protein n=1 Tax=Thalassoglobus polymorphus TaxID=2527994 RepID=A0A517QH06_9PLAN</t>
  </si>
  <si>
    <t>DNAUV-4.492-19_7</t>
  </si>
  <si>
    <t>VOG05760 [FUNC="REFSEQ hypothetical protein"] [TAG=Xu TAGDEF="Function unknown"]</t>
  </si>
  <si>
    <t>DUF4258 domain-containing protein n=1 Tax=Anaerobutyricum hallii TaxID=39488 RepID=A0A173XGG1_9FIRM</t>
  </si>
  <si>
    <t>DNAUV-4.494-68_2</t>
  </si>
  <si>
    <t>DNAUV-4.503-286_1</t>
  </si>
  <si>
    <t>Major capsid protein n=1 Tax=robinz microvirus RP_172 TaxID=2886501 RepID=A0A8K1UFS9_9VIRU</t>
  </si>
  <si>
    <t>DNAUV-4.503-286_6</t>
  </si>
  <si>
    <t>DNA pilot protein n=1 Tax=Tortoise microvirus 92 TaxID=2583201 RepID=A0A4P8W797_9VIRU</t>
  </si>
  <si>
    <t>DNAUV-4.503-286_8</t>
  </si>
  <si>
    <t>DNAUV-4.503-286_9</t>
  </si>
  <si>
    <t>Major capsid protein n=1 Tax=Apis mellifera associated microvirus 44 TaxID=2494774 RepID=A0A3S8UTM7_9VIRU</t>
  </si>
  <si>
    <t>DNAUV-4.514-67_5</t>
  </si>
  <si>
    <t>Tail fiber protein n=1 Tax=Rhizobium cellulosilyticum TaxID=393664 RepID=A0A7W6S637_9HYPH</t>
  </si>
  <si>
    <t>DNAUV-4.538-15_1</t>
  </si>
  <si>
    <t>VOG01094 [FUNC="REFSEQ hypothetical protein"] [TAG=Xu TAGDEF="Function unknown"]</t>
  </si>
  <si>
    <t>Uncharacterized protein n=1 Tax=Klebsiella phage vB_KpnS_MK54 TaxID=2783667 RepID=A0A8G1MLQ9_9CAUD</t>
  </si>
  <si>
    <t>DNAUV-4.538-15_7</t>
  </si>
  <si>
    <t>Uncharacterized protein n=1 Tax=Hymenobacter telluris TaxID=2816474 RepID=A0A939EX37_9BACT</t>
  </si>
  <si>
    <t>DNAUV-4.538-757_13</t>
  </si>
  <si>
    <t>Putative Mte8-like protein n=1 Tax=Escherichia phage K1G TaxID=698486 RepID=D2XJ99_9CAUD</t>
  </si>
  <si>
    <t>DNAUV-4.545-14_1</t>
  </si>
  <si>
    <t>VOG29828 [FUNC="REFSEQ hypothetical protein"] [TAG=Xu TAGDEF="Function unknown"]</t>
  </si>
  <si>
    <t>Uncharacterized protein n=1 Tax=Vibrio phage 1.210.O._10N.222.52.C2 TaxID=1881406 RepID=A0A2I7RPT6_9CAUD</t>
  </si>
  <si>
    <t>DNAUV-4.545-14_2</t>
  </si>
  <si>
    <t>VOG23951 [FUNC="REFSEQ hypothetical protein"] [TAG=Xu TAGDEF="Function unknown"]</t>
  </si>
  <si>
    <t>Phage protein n=1 Tax=Escherichia coli HVH 70 (4-2963531) TaxID=1281011 RepID=A0A8E0J1Z9_ECOLX</t>
  </si>
  <si>
    <t>DNAUV-4.552-13_1</t>
  </si>
  <si>
    <t>Putative tail assembly protein n=1 Tax=Alteromonas phage PB15 TaxID=1913113 RepID=A0A1J0GWA0_9CAUD</t>
  </si>
  <si>
    <t>DNAUV-4.552-13_2</t>
  </si>
  <si>
    <t>DUF3168 domain-containing protein n=1 Tax=Alteromonas phage PB15 TaxID=1913113 RepID=A0A1J0GW96_9CAUD</t>
  </si>
  <si>
    <t>DNAUV-4.552-13_4</t>
  </si>
  <si>
    <t>Tail assembly chaperone n=1 Tax=Alteromonas phage PB15 TaxID=1913113 RepID=A0A1J0GW95_9CAUD</t>
  </si>
  <si>
    <t>DNAUV-4.552-13_7</t>
  </si>
  <si>
    <t>Uncharacterized protein n=1 Tax=Alteromonas phage XX1924 TaxID=2664192 RepID=A0A6B9IZP9_9CAUD</t>
  </si>
  <si>
    <t>DNAUV-4.559-22_10</t>
  </si>
  <si>
    <t>Resolvase n=1 Tax=Aurantimonas phage AmM-1 TaxID=1503929 RepID=A0A0A8ILD0_9CAUD</t>
  </si>
  <si>
    <t>DNAUV-4.559-22_13</t>
  </si>
  <si>
    <t>Uncharacterized protein n=1 Tax=Thalassoglobus polymorphus TaxID=2527994 RepID=A0A517QQM0_9PLAN</t>
  </si>
  <si>
    <t>DNAUV-4.559-22_6</t>
  </si>
  <si>
    <t>Uncharacterized protein n=1 Tax=Paracoccus haematequi TaxID=2491866 RepID=A0A3S4GLP3_9RHOB</t>
  </si>
  <si>
    <t>DNAUV-4.559-22_7</t>
  </si>
  <si>
    <t>Uncharacterized protein n=1 Tax=Sulfitobacter sp. HI0027 TaxID=1822226 RepID=A0A341EI56_9RHOB</t>
  </si>
  <si>
    <t>DNAUV-4.564-12_13</t>
  </si>
  <si>
    <t>DUF4055 domain-containing protein n=1 Tax=Campylobacter concisus TaxID=199 RepID=A0A7S9RBP4_9BACT</t>
  </si>
  <si>
    <t>DNAUV-4.564-12_18</t>
  </si>
  <si>
    <t>Head scaffolding protein n=3 Tax=Mardecavirus TaxID=1921696 RepID=A0A9E8A9Z9_9CAUD</t>
  </si>
  <si>
    <t>DNAUV-4.564-12_19</t>
  </si>
  <si>
    <t>Coat protein n=3 Tax=unclassified Mardecavirus TaxID=2315167 RepID=A0A343UT69_9CAUD</t>
  </si>
  <si>
    <t>DNAUV-4.564-12_20</t>
  </si>
  <si>
    <t>P22 coat protein-gene protein 5 n=1 Tax=Oceanidesulfovibrio marinus TaxID=370038 RepID=A0A6P1ZLJ1_9BACT</t>
  </si>
  <si>
    <t>DNAUV-4.565-49_2</t>
  </si>
  <si>
    <t>DNAUV-4.565-49_3</t>
  </si>
  <si>
    <t>Methyltransferase n=1 Tax=Leisingera methylohalidivorans DSM 14336 TaxID=999552 RepID=V9VRY9_9RHOB</t>
  </si>
  <si>
    <t>DNAUV-4.565-49_4</t>
  </si>
  <si>
    <t>VOG12440 [FUNC="REFSEQ putative cytoplasmic protein"] [TAG=Xu TAGDEF="Function unknown"]</t>
  </si>
  <si>
    <t>DUF4338 domain-containing protein n=1 Tax=Marine Group I thaumarchaeote TaxID=2511932 RepID=A0A7K4MRL3_9ARCH</t>
  </si>
  <si>
    <t>DNAUV-4.575-12_3</t>
  </si>
  <si>
    <t>Bacteriophage tail tape measure N-terminal domain-containing protein n=1 Tax=Pseudomonas phage KP1 TaxID=2562463 RepID=A0A6G5QAJ1_9CAUD</t>
  </si>
  <si>
    <t>DNAUV-4.575-12_5</t>
  </si>
  <si>
    <t>Tail assembly structural protein n=1 Tax=Pseudomonas phage vB_PaeS_SCUT-S3 TaxID=2382122 RepID=A0A3Q8KTT8_9CAUD</t>
  </si>
  <si>
    <t>DNAUV-4.591-12_20</t>
  </si>
  <si>
    <t>Caudovirus prohead protease n=1 Tax=Polystyrenella longa TaxID=2528007 RepID=A0A518CQQ7_9PLAN</t>
  </si>
  <si>
    <t>DNAUV-4.595-108_2</t>
  </si>
  <si>
    <t>DNAUV-4.595-108_3</t>
  </si>
  <si>
    <t>DNAUV-4.595-108_6</t>
  </si>
  <si>
    <t>DNAUV-4.599-11_11</t>
  </si>
  <si>
    <t>DNAUV-4.599-11_12</t>
  </si>
  <si>
    <t>Uncharacterized protein n=1 Tax=Pseudomonas phage vB_PaeP_FBPa8 TaxID=2969617 RepID=A0A9E7U2G7_9CAUD</t>
  </si>
  <si>
    <t>DNAUV-4.599-11_14</t>
  </si>
  <si>
    <t>COOH.NH2 ligase-type 2 n=1 Tax=Podoviridae sp. ctbj_2 TaxID=2675442 RepID=A0A345MKY0_9CAUD</t>
  </si>
  <si>
    <t>DNAUV-4.599-11_15</t>
  </si>
  <si>
    <t>Uncharacterized protein n=1 Tax=Citrobacter phage CVT22 TaxID=1622234 RepID=A0A0R6BQ80_9CAUD</t>
  </si>
  <si>
    <t>DNAUV-4.605-763_2</t>
  </si>
  <si>
    <t>DNAUV-4.606-12_10</t>
  </si>
  <si>
    <t>RNase H n=1 Tax=Mameliella alba TaxID=561184 RepID=A0A0B3RWL3_9RHOB</t>
  </si>
  <si>
    <t>DNAUV-4.606-12_7</t>
  </si>
  <si>
    <t>DNAUV-4.606-12_8</t>
  </si>
  <si>
    <t>Putative ssDNA annealing protein n=1 Tax=Idiomarinaceae phage Phi1M2-2 TaxID=1527515 RepID=A0A088F793_9CAUD</t>
  </si>
  <si>
    <t>DNAUV-4.606-12_9</t>
  </si>
  <si>
    <t>DNAUV-4.621-36_1</t>
  </si>
  <si>
    <t>DNAUV-4.626-123_1</t>
  </si>
  <si>
    <t>Putative COOH-NH2 ligase n=2 Tax=unclassified Paundecimvirus TaxID=2852667 RepID=A0A8F2DD55_9CAUD</t>
  </si>
  <si>
    <t>DNAUV-4.626-123_2</t>
  </si>
  <si>
    <t>Uncharacterized protein n=2 Tax=root TaxID=1 RepID=A0A2W5QSY6_VARPD</t>
  </si>
  <si>
    <t>DNAUV-4.626-123_3</t>
  </si>
  <si>
    <t>DNAUV-4.663-398_1</t>
  </si>
  <si>
    <t>Uncharacterized protein n=2 Tax=unclassified Caudoviricetes TaxID=2788787 RepID=A0A9E7M7I3_9CAUD</t>
  </si>
  <si>
    <t>DNAUV-4.663-398_10</t>
  </si>
  <si>
    <t>Prohead core protein n=1 Tax=Muricauda sp. TMED12 TaxID=1986608 RepID=A0A3R7SAM0_9FLAO</t>
  </si>
  <si>
    <t>DNAUV-4.663-398_11</t>
  </si>
  <si>
    <t>DNAUV-4.663-398_8</t>
  </si>
  <si>
    <t>DNAUV-4.663-398_9</t>
  </si>
  <si>
    <t>DNAUV-4.676-73_1</t>
  </si>
  <si>
    <t>DNAUV-4.676-73_3</t>
  </si>
  <si>
    <t>DNAUV-4.676-73_4</t>
  </si>
  <si>
    <t>DNAUV-4.676-73_5</t>
  </si>
  <si>
    <t>DNAUV-4.676-73_6</t>
  </si>
  <si>
    <t>DNAUV-4.686-1106_10</t>
  </si>
  <si>
    <t>DNAUV-4.686-1106_13</t>
  </si>
  <si>
    <t>DNAUV-4.686-1106_14</t>
  </si>
  <si>
    <t>DNAUV-4.718-19_3</t>
  </si>
  <si>
    <t>DNAUV-4.718-19_5</t>
  </si>
  <si>
    <t>Putative amidoligase n=1 Tax=Citrobacter phage CVT22 TaxID=1622234 RepID=A0A0R6CMM8_9CAUD</t>
  </si>
  <si>
    <t>DNAUV-4.725-110_1</t>
  </si>
  <si>
    <t>DNAUV-4.727-22_10</t>
  </si>
  <si>
    <t>Uncharacterized protein n=1 Tax=Pseudorhodobacter antarcticus TaxID=1077947 RepID=A0A1H8IIM8_9RHOB</t>
  </si>
  <si>
    <t>DNAUV-4.727-22_16</t>
  </si>
  <si>
    <t>Holin n=1 Tax=Phage MedPE-SWcel-C56 TaxID=1871314 RepID=A0A1B1IY48_9CAUD</t>
  </si>
  <si>
    <t>DNAUV-4.727-22_8</t>
  </si>
  <si>
    <t>Phage terminase-like protein, large subunit, contains N-terminal HTH domain n=1 Tax=Pseudorhodobacter antarcticus TaxID=1077947 RepID=A0A1H8IH94_9RHOB</t>
  </si>
  <si>
    <t>DNAUV-4.733-16_10</t>
  </si>
  <si>
    <t>HNH endonuclease n=1 Tax=Aliiruegeria lutimaris TaxID=571298 RepID=A0A1G9ESW9_9RHOB</t>
  </si>
  <si>
    <t>DNAUV-4.733-16_13</t>
  </si>
  <si>
    <t>Tip attachment protein J domain-containing protein n=1 Tax=Ruegeria phage 45A6 TaxID=1851646 RepID=A0A1X9HVS6_9CAUD</t>
  </si>
  <si>
    <t>DNAUV-4.733-16_17</t>
  </si>
  <si>
    <t>VOG05042 [FUNC="REFSEQ hypothetical protein"] [TAG=Xu TAGDEF="Function unknown"]</t>
  </si>
  <si>
    <t>Peptidase S74 domain-containing protein n=1 Tax=Ruegeria phage 45A6 TaxID=1851646 RepID=A0A1X9HWB7_9CAUD</t>
  </si>
  <si>
    <t>DNAUV-4.740-18_4</t>
  </si>
  <si>
    <t>Lysin containing a beta/gamma crystallin motif n=1 Tax=Octadecabacter Antarctic BD virus 1 TaxID=2945128 RepID=A0A9E7J6Y9_9VIRU</t>
  </si>
  <si>
    <t>DNAUV-4.743-11_4</t>
  </si>
  <si>
    <t>DNAUV-4.744-30_11</t>
  </si>
  <si>
    <t>DNAUV-4.744-30_12</t>
  </si>
  <si>
    <t>Putative packaging ATPase n=7 Tax=Autolykiviridae TaxID=2184034 RepID=A0A2I7S890_9VIRU</t>
  </si>
  <si>
    <t>DNAUV-4.744-30_5</t>
  </si>
  <si>
    <t>DNAUV-4.744-30_6</t>
  </si>
  <si>
    <t>DNAUV-4.744-8.1_2</t>
  </si>
  <si>
    <t>Uncharacterized protein n=1 Tax=Alteromonas pelagimontana TaxID=1858656 RepID=A0A6M4MBV4_9ALTE</t>
  </si>
  <si>
    <t>DNAUV-4.744-8.1_3</t>
  </si>
  <si>
    <t>VRR-NUC domain protein n=1 Tax=Vibrio phage 1.232.O._10N.261.51.E11 TaxID=1881454 RepID=A0A2I7RT13_9CAUD</t>
  </si>
  <si>
    <t>DNAUV-4.744-8.1_6</t>
  </si>
  <si>
    <t>DUF6378 domain-containing protein n=1 Tax=Stutzerimonas stutzeri KOS6 TaxID=1218352 RepID=A0A061JN03_STUST</t>
  </si>
  <si>
    <t>DNAUV-4.745-245_1</t>
  </si>
  <si>
    <t>DNAUV-4.745-245_2</t>
  </si>
  <si>
    <t>Virion structural protein n=1 Tax=Pseudomonas phage TC6 TaxID=2060947 RepID=A0A2H5BQF0_9CAUD</t>
  </si>
  <si>
    <t>DNAUV-4.745-245_3</t>
  </si>
  <si>
    <t>DNAUV-4.772-16_12</t>
  </si>
  <si>
    <t>DnaQ-like exonuclease n=1 Tax=Streptomyces phage Ibantik TaxID=2182397 RepID=A0A2U8UNE8_9CAUD</t>
  </si>
  <si>
    <t>DNAUV-4.772-16_8</t>
  </si>
  <si>
    <t>Large polyvalent protein associated domain-containing protein n=1 Tax=Pueribacillus theae TaxID=2171751 RepID=A0A2U1K103_9BACI</t>
  </si>
  <si>
    <t>DNAUV-4.776-12_2</t>
  </si>
  <si>
    <t>Uncharacterized protein n=5 Tax=Septimatrevirus TaxID=1921544 RepID=A0A3Q8KTW7_9CAUD</t>
  </si>
  <si>
    <t>DNAUV-4.776-12_3</t>
  </si>
  <si>
    <t>Recombinase n=1 Tax=Rhodobacter phage RcSpartan TaxID=1662331 RepID=A0A0K1LL44_9CAUD</t>
  </si>
  <si>
    <t>DNAUV-4.776-12_4</t>
  </si>
  <si>
    <t>Single-stranded DNA-binding protein n=1 Tax=Stenotrophomonas phage vB_SmaS-DLP_1 TaxID=1642588 RepID=A0A0M3WM34_9CAUD</t>
  </si>
  <si>
    <t>DNAUV-4.776-12_6</t>
  </si>
  <si>
    <t>VOG01425 [FUNC="REFSEQ hypothetical protein"] [TAG=Xu TAGDEF="Function unknown"]</t>
  </si>
  <si>
    <t>Uncharacterized protein n=3 Tax=unclassified Septimatrevirus TaxID=2234106 RepID=A0A976SGP5_9CAUD</t>
  </si>
  <si>
    <t>DNAUV-4.776-12_7</t>
  </si>
  <si>
    <t>Exonuclease n=1 Tax=Pseudomonas phage vB_PaeS_C1 TaxID=2099649 RepID=A0A2P1CA57_9CAUD</t>
  </si>
  <si>
    <t>DNAUV-4.788-191_4</t>
  </si>
  <si>
    <t>HNH nuclease domain-containing protein n=1 Tax=Escherichia phage vB_EcoM_FB TaxID=2750847 RepID=A0A7D5FNB2_9CAUD</t>
  </si>
  <si>
    <t>DNAUV-4.788-191_5</t>
  </si>
  <si>
    <t>DNA primase n=1 Tax=Muricauda sp. TMED12 TaxID=1986608 RepID=A0A424LPU8_9FLAO</t>
  </si>
  <si>
    <t>DNAUV-4.788-191_6</t>
  </si>
  <si>
    <t>DnaB-like replicative helicase n=1 Tax=Lake Baikal phage Baikal-20-5m-C28 TaxID=2047876 RepID=A0A2H4N7R6_9CAUD</t>
  </si>
  <si>
    <t>DNAUV-4.788-191_8</t>
  </si>
  <si>
    <t>DNAUV-4.788-191_9</t>
  </si>
  <si>
    <t>DNAUV-4.792-15_12</t>
  </si>
  <si>
    <t>VOG29749 [FUNC="REFSEQ hypothetical protein"] [TAG=Xu TAGDEF="Function unknown"]</t>
  </si>
  <si>
    <t>Uncharacterized protein n=2 Tax=unclassified Caudoviricetes TaxID=2788787 RepID=V9QLA1_9CAUD</t>
  </si>
  <si>
    <t>DNAUV-4.792-15_13</t>
  </si>
  <si>
    <t>Bacteriophage lambda Replication protein O N-terminal domain-containing protein n=1 Tax=Leisingera sp. ANG1 TaxID=1002340 RepID=A0A0B4EBS2_9RHOB</t>
  </si>
  <si>
    <t>DNAUV-4.799-18_2</t>
  </si>
  <si>
    <t>Glycosyltransferase 2-like domain-containing protein n=2 Tax=unclassified Caudoviricetes TaxID=2788787 RepID=M4QST4_9CAUD</t>
  </si>
  <si>
    <t>DNAUV-4.799-18_3</t>
  </si>
  <si>
    <t>DNAUV-4.799-18_5</t>
  </si>
  <si>
    <t>Uncharacterized protein n=1 Tax=Vogesella indigofera TaxID=45465 RepID=A0A495BIQ5_VOGIN</t>
  </si>
  <si>
    <t>DNAUV-4.799-18_7</t>
  </si>
  <si>
    <t>Phage head protein n=1 Tax=Massilia oculi TaxID=945844 RepID=A0A2S2DDI6_9BURK</t>
  </si>
  <si>
    <t>DNAUV-4.800-614_3</t>
  </si>
  <si>
    <t>DNAUV-4.800-614_4</t>
  </si>
  <si>
    <t>DNAUV-4.807-32_2</t>
  </si>
  <si>
    <t>Major capsid protein n=1 Tax=Emiliania huxleyi virus PS401 TaxID=754068 RepID=G8DH59_9PHYC</t>
  </si>
  <si>
    <t>DNAUV-4.807-32_3</t>
  </si>
  <si>
    <t>Uncharacterized protein n=1 Tax=Emiliania huxleyi virus PS401 TaxID=754068 RepID=G8DH60_9PHYC</t>
  </si>
  <si>
    <t>DNAUV-4.807-32_5</t>
  </si>
  <si>
    <t>Uncharacterized protein n=1 Tax=Roseobacter phage CRP-5 TaxID=2559284 RepID=A0A646QWD0_9CAUD</t>
  </si>
  <si>
    <t>DNAUV-4.832-145_10</t>
  </si>
  <si>
    <t>LamG-like jellyroll fold domain-containing protein n=1 Tax=Alteromonas australica TaxID=589873 RepID=A0A350P509_9ALTE</t>
  </si>
  <si>
    <t>DNAUV-4.832-145_9</t>
  </si>
  <si>
    <t>DNAUV-4.834-14_17</t>
  </si>
  <si>
    <t>Uncharacterized protein n=1 Tax=Sulfitobacter sp. D7 TaxID=1968541 RepID=A0A386TAV9_9RHOB</t>
  </si>
  <si>
    <t>DNAUV-4.834-14_18</t>
  </si>
  <si>
    <t>sp|Q8GWA2|MOC1_ARATH Holliday junction resolvase MOC1, chloroplastic OS=Arabidopsis thaliana OX=3702 GN=MOC1 PE=1 SV=1</t>
  </si>
  <si>
    <t>RuvC-like resolvase n=1 Tax=Rhodobacter phage RcXuper TaxID=2973496 RepID=A0A976XLI8_9CAUD</t>
  </si>
  <si>
    <t>DNAUV-4.834-14_9</t>
  </si>
  <si>
    <t>Collagen-like protein n=1 Tax=Oceanomicrobium pacificus TaxID=2692916 RepID=A0A6B0TPU7_9RHOB</t>
  </si>
  <si>
    <t>DNAUV-4.836-99_2</t>
  </si>
  <si>
    <t>Uncharacterized protein n=2 Tax=Paraburkholderia phenazinium TaxID=60549 RepID=A0A1G7ZNF2_9BURK</t>
  </si>
  <si>
    <t>DNAUV-4.836-99_3</t>
  </si>
  <si>
    <t>Phage protein n=2 Tax=Clostridium botulinum TaxID=1491 RepID=A0A0D1AET8_CLOBO</t>
  </si>
  <si>
    <t>DNAUV-4.839-80_21</t>
  </si>
  <si>
    <t>Uncharacterized protein n=1 Tax=Vibrio phage pYD21-A TaxID=754049 RepID=M4Q179_9CAUD</t>
  </si>
  <si>
    <t>DNAUV-4.841-1604_1</t>
  </si>
  <si>
    <t>Peptidase M15A C-terminal domain-containing protein n=2 Tax=Methylocaldum marinum TaxID=1432792 RepID=A0A286P3R9_9GAMM</t>
  </si>
  <si>
    <t>DNAUV-4.841-1604_2</t>
  </si>
  <si>
    <t>Putative replication initiation protein n=1 Tax=Eel River basin pequenovirus TaxID=1609634 RepID=A0A0C5ANC1_9VIRU</t>
  </si>
  <si>
    <t>DNAUV-4.841-1604_3</t>
  </si>
  <si>
    <t>Nonstructural protein n=1 Tax=Apis mellifera associated microvirus 15 TaxID=2494742 RepID=A0A3S8UU86_9VIRU</t>
  </si>
  <si>
    <t>DNAUV-4.841-1604_4</t>
  </si>
  <si>
    <t>Putative major capsid protein n=1 Tax=Eel River basin pequenovirus TaxID=1609634 RepID=A0A0C5AG05_9VIRU</t>
  </si>
  <si>
    <t>DNAUV-4.841-1604_5</t>
  </si>
  <si>
    <t>DNA pilot protein n=1 Tax=Apis mellifera associated microvirus 7 TaxID=2494794 RepID=A0A3S8UTL2_9VIRU</t>
  </si>
  <si>
    <t>DNAUV-4.841-1604_6</t>
  </si>
  <si>
    <t>Putative minor capsid protein n=1 Tax=Eel River basin pequenovirus TaxID=1609634 RepID=A0A0C5AG31_9VIRU</t>
  </si>
  <si>
    <t>DNAUV-4.844-227_5</t>
  </si>
  <si>
    <t>DNAUV-4.886-90_4</t>
  </si>
  <si>
    <t>VOG33910 [FUNC="REFSEQ hypothetical protein"] [TAG=Xu TAGDEF="Function unknown"]</t>
  </si>
  <si>
    <t>Uncharacterized protein n=1 Tax=Nonlabens phage P12024S TaxID=1168478 RepID=I6RT64_9CAUD</t>
  </si>
  <si>
    <t>DNAUV-4.902-111_3</t>
  </si>
  <si>
    <t>VOG28365 [FUNC="REFSEQ hypothetical protein"] [TAG=Xu TAGDEF="Function unknown"]</t>
  </si>
  <si>
    <t>Uncharacterized protein n=2 Tax=Fodinibius roseus TaxID=1194090 RepID=A0A1M5C7X5_9BACT</t>
  </si>
  <si>
    <t>DNAUV-4.905-235_13</t>
  </si>
  <si>
    <t>DNAUV-4.905-235_15</t>
  </si>
  <si>
    <t>LamG-like jellyroll fold domain-containing protein n=1 Tax=Sphingomonas sp. SRS2 TaxID=133190 RepID=A0A0F5P8D4_9SPHN</t>
  </si>
  <si>
    <t>DNAUV-4.908-4412_9</t>
  </si>
  <si>
    <t>DNAUV-4.943-72_1</t>
  </si>
  <si>
    <t>VOG06851 [FUNC="REFSEQ hypothetical protein"] [TAG=Xu TAGDEF="Function unknown"]</t>
  </si>
  <si>
    <t>Phage protein n=1 Tax=Nonlabens phage P12024S TaxID=1168478 RepID=I6R9N2_9CAUD</t>
  </si>
  <si>
    <t>DNAUV-4.943-72_3</t>
  </si>
  <si>
    <t>Uncharacterized protein n=1 Tax=Nonlabens phage P12024S TaxID=1168478 RepID=I6R9M9_9CAUD</t>
  </si>
  <si>
    <t>DNAUV-4.943-72_4</t>
  </si>
  <si>
    <t>DNAUV-4.943-72_5</t>
  </si>
  <si>
    <t>Uncharacterized protein n=1 Tax=Nonlabens phage P12024S TaxID=1168478 RepID=I6RT78_9CAUD</t>
  </si>
  <si>
    <t>DNAUV-4.943-72_6</t>
  </si>
  <si>
    <t>Uncharacterized protein n=1 Tax=Nonlabens phage P12024L TaxID=1168479 RepID=I6S6V4_9CAUD</t>
  </si>
  <si>
    <t>DNAUV-4.958-200_4</t>
  </si>
  <si>
    <t>DNAUV-4.958-200_6</t>
  </si>
  <si>
    <t>DNAUV-4.958-200_7</t>
  </si>
  <si>
    <t>DNAUV-4.958-200_8</t>
  </si>
  <si>
    <t>DNAUV-4.962-164_4</t>
  </si>
  <si>
    <t>Putative tail fiber n=1 Tax=Pelagibacter phage HTVC024P TaxID=2796518 RepID=A0A7T3U6T6_9CAUD</t>
  </si>
  <si>
    <t>DNAUV-4.962-164_7</t>
  </si>
  <si>
    <t>Uncharacterized protein n=2 Tax=Rhodobacterales TaxID=204455 RepID=A0A239JIV5_9RHOB</t>
  </si>
  <si>
    <t>DNAUV-4.962-164_9</t>
  </si>
  <si>
    <t>Uncharacterized protein n=1 Tax=Caudovirales sp. ctOwN3 TaxID=2656725 RepID=A0A5Q2W7H0_9CAUD</t>
  </si>
  <si>
    <t>DNAUV-4.965-18_7</t>
  </si>
  <si>
    <t>Phage major tail protein, phi13 family n=1 Tax=Thermoflavimicrobium dichotomicum TaxID=46223 RepID=A0A1I3UKM0_9BACL</t>
  </si>
  <si>
    <t>DNAUV-4.975-17_18</t>
  </si>
  <si>
    <t>DNAUV-4.975-17_22</t>
  </si>
  <si>
    <t>DNAUV-40.486-52_1</t>
  </si>
  <si>
    <t>DNAUV-40.486-52_15</t>
  </si>
  <si>
    <t>DUF2746 domain-containing protein n=1 Tax=Muricauda sp. TMED12 TaxID=1986608 RepID=A0A424LXR3_9FLAO</t>
  </si>
  <si>
    <t>DNAUV-40.486-52_2</t>
  </si>
  <si>
    <t>DNAUV-40.486-52_27</t>
  </si>
  <si>
    <t>VRR-NUC domain-containing protein n=1 Tax=Ammoniphilus oxalaticus TaxID=66863 RepID=A0A419SQM8_9BACL</t>
  </si>
  <si>
    <t>DNAUV-40.486-52_3</t>
  </si>
  <si>
    <t>DNAUV-40.486-52_31</t>
  </si>
  <si>
    <t>Terminase small subunit n=2 Tax=unclassified Caudoviricetes TaxID=2788787 RepID=A0A6G9L8J9_9CAUD</t>
  </si>
  <si>
    <t>DNAUV-40.486-52_33</t>
  </si>
  <si>
    <t>DNAUV-40.486-52_34</t>
  </si>
  <si>
    <t>VOG04902 [FUNC="REFSEQ hypothetical protein"] [TAG=Xu TAGDEF="Function unknown"]</t>
  </si>
  <si>
    <t>Uncharacterized protein n=1 Tax=Pseudarthrobacter siccitolerans TaxID=861266 RepID=A0A024GXF6_9MICC</t>
  </si>
  <si>
    <t>DNAUV-40.486-52_38</t>
  </si>
  <si>
    <t>Helicase/nuclease n=1 Tax=Octadecabacter Antarctic BD virus 1 TaxID=2945128 RepID=A0A9E7E6H0_9VIRU</t>
  </si>
  <si>
    <t>DNAUV-40.486-52_39</t>
  </si>
  <si>
    <t>Uncharacterized protein n=1 Tax=Octadecabacter Antarctic BD virus 1 TaxID=2945128 RepID=A0A9E7J7W3_9VIRU</t>
  </si>
  <si>
    <t>DNAUV-40.486-52_4</t>
  </si>
  <si>
    <t>DNAUV-40.486-52_42</t>
  </si>
  <si>
    <t>Transcription termination-antitermination domain-containing protein n=1 Tax=Alteromonas phage vB_AmeM_PT11-V22 TaxID=2704031 RepID=A0A6C0R1M4_9CAUD</t>
  </si>
  <si>
    <t>DNAUV-40.486-52_43</t>
  </si>
  <si>
    <t>Uncharacterized protein n=1 Tax=Alteromonas phage P24 TaxID=2500137 RepID=A0A3Q9R546_9CAUD</t>
  </si>
  <si>
    <t>DNAUV-40.486-52_5</t>
  </si>
  <si>
    <t>DNAUV-40.486-52_6</t>
  </si>
  <si>
    <t>DNAUV-40.486-52_8</t>
  </si>
  <si>
    <t>DNAUV-40.486-52_9</t>
  </si>
  <si>
    <t>DNAUV-40.559-174_18</t>
  </si>
  <si>
    <t>Deoxynucleoside-5'-monophosphatase n=1 Tax=Aeromonas phage Akh-2 TaxID=2500821 RepID=A0A4Y1PWI4_9CAUD</t>
  </si>
  <si>
    <t>DNAUV-40.559-174_30</t>
  </si>
  <si>
    <t>Uncharacterized protein n=1 Tax=Roseibium alexandrii TaxID=388408 RepID=A0A0M6ZWE7_9HYPH</t>
  </si>
  <si>
    <t>DNAUV-40.559-174_31</t>
  </si>
  <si>
    <t>VOG08028 [FUNC="REFSEQ hypothetical protein"] [TAG=Xu TAGDEF="Function unknown"]</t>
  </si>
  <si>
    <t>Uncharacterized protein n=5 Tax=root TaxID=1 RepID=R9RGS7_9CAUD</t>
  </si>
  <si>
    <t>DNAUV-40.559-174_33</t>
  </si>
  <si>
    <t>Uncharacterized protein n=1 Tax=Roseomonas sp. SG15 TaxID=2820811 RepID=A0A940MQL7_9PROT</t>
  </si>
  <si>
    <t>DNAUV-40.559-174_41</t>
  </si>
  <si>
    <t>Terminase small subunit n=2 Tax=Jesfedecavirus TaxID=2560156 RepID=A0A2D0YLX1_9CAUD</t>
  </si>
  <si>
    <t>DNAUV-40.559-174_46</t>
  </si>
  <si>
    <t>RNA polymerase sigma factor, sigma-70 family n=1 Tax=Priestia megaterium Q3 TaxID=1452722 RepID=A0A806TFI4_PRIMG</t>
  </si>
  <si>
    <t>DNAUV-40.559-174_47</t>
  </si>
  <si>
    <t>DNAUV-40.559-174_50</t>
  </si>
  <si>
    <t>DNAUV-40.559-174_52</t>
  </si>
  <si>
    <t>Tail terminator protein n=1 Tax=Vibrio phage vB_VorS-PVo5 TaxID=1689660 RepID=A0A0N9BAA6_9CAUD</t>
  </si>
  <si>
    <t>DNAUV-40.559-174_53</t>
  </si>
  <si>
    <t>Major tail protein n=2 Tax=Pogseptimavirus TaxID=2732037 RepID=A0A385E7P1_9CAUD</t>
  </si>
  <si>
    <t>DNAUV-40.559-174_54</t>
  </si>
  <si>
    <t>VOG01699 [FUNC="REFSEQ tail length tape measure protein"] [TAG=Xu TAGDEF="Function unknown"]</t>
  </si>
  <si>
    <t>Tail assembly chaperone n=17 Tax=Thalassavirus TaxID=2948922 RepID=A0A6M4ES20_9CAUD</t>
  </si>
  <si>
    <t>DNAUV-40.559-174_55</t>
  </si>
  <si>
    <t>Tape measure chaperone n=1 Tax=Vibrio phage Ceto TaxID=2570300 RepID=A0A2H5BGD2_9CAUD</t>
  </si>
  <si>
    <t>DNAUV-40.559-174_56</t>
  </si>
  <si>
    <t>DNAUV-40.559-174_63</t>
  </si>
  <si>
    <t>VOG28083 [FUNC="REFSEQ tail protein"] [TAG=Xu TAGDEF="Function unknown"]</t>
  </si>
  <si>
    <t>Uncharacterized protein n=1 Tax=Bacillus phage Deep Blue TaxID=1792245 RepID=A0A140HLZ8_9CAUD</t>
  </si>
  <si>
    <t>DNAUV-41.172-78_11</t>
  </si>
  <si>
    <t>Right handed beta helix domain-containing protein n=1 Tax=Magnetospira sp. (strain QH-2) TaxID=1288970 RepID=W6K7P8_MAGSQ</t>
  </si>
  <si>
    <t>DNAUV-41.172-78_16</t>
  </si>
  <si>
    <t>Uncharacterized protein n=1 Tax=Aphanizomenon flos-aquae WA102 TaxID=1710896 RepID=A0A1B7WVT7_APHFL</t>
  </si>
  <si>
    <t>DNAUV-41.172-78_17</t>
  </si>
  <si>
    <t>Uncharacterized protein n=1 Tax=Aphanizomenon flos-aquae WA102 TaxID=1710896 RepID=A0A1B7WW03_APHFL</t>
  </si>
  <si>
    <t>DNAUV-41.172-78_2</t>
  </si>
  <si>
    <t>lysozyme n=1 Tax=Oxytricha trifallax TaxID=1172189 RepID=J9ISW0_9SPIT</t>
  </si>
  <si>
    <t>DNAUV-41.172-78_20</t>
  </si>
  <si>
    <t>Uncharacterized protein n=1 Tax=Roseovarius sp. THAF27 TaxID=2587850 RepID=A0A5P9GUF5_9RHOB</t>
  </si>
  <si>
    <t>DNAUV-41.172-78_5</t>
  </si>
  <si>
    <t>Portal protein n=1 Tax=Aphanizomenon flos-aquae WA102 TaxID=1710896 RepID=A0A1B7WX43_APHFL</t>
  </si>
  <si>
    <t>DNAUV-41.172-78_50</t>
  </si>
  <si>
    <t>DNAUV-41.172-78_51</t>
  </si>
  <si>
    <t>DNAUV-41.172-78_53</t>
  </si>
  <si>
    <t>Amidoligase enzyme n=2 Tax=root TaxID=1 RepID=A0A976XKQ4_9CAUD</t>
  </si>
  <si>
    <t>DNAUV-41.172-78_59</t>
  </si>
  <si>
    <t>VOG35399 [FUNC="REFSEQ hypothetical protein"] [TAG=Xu TAGDEF="Function unknown"]</t>
  </si>
  <si>
    <t>Uncharacterized protein n=1 Tax=Streptomyces sp. SID8499 TaxID=2706106 RepID=A0A6B3EC88_9ACTN</t>
  </si>
  <si>
    <t>DNAUV-41.172-78_6</t>
  </si>
  <si>
    <t>Uncharacterized protein n=1 Tax=Aphanizomenon flos-aquae WA102 TaxID=1710896 RepID=A0A1B7WVW7_APHFL</t>
  </si>
  <si>
    <t>DNAUV-41.172-78_60</t>
  </si>
  <si>
    <t>Coil containing protein n=1 Tax=Vibrio phage 1.253.O._10N.286.45.B12 TaxID=1881270 RepID=A0A2I7RY10_9CAUD</t>
  </si>
  <si>
    <t>DNAUV-41.172-78_62</t>
  </si>
  <si>
    <t>Endonuclease VII n=1 Tax=Pseudoalteromonas phage RIO-1 TaxID=1316739 RepID=R4JKI3_9CAUD</t>
  </si>
  <si>
    <t>DNAUV-41.172-78_65</t>
  </si>
  <si>
    <t>Hydrolase n=1 Tax=Gordonia phage Gudmit TaxID=2686225 RepID=A0A6B9L6N7_9CAUD</t>
  </si>
  <si>
    <t>DNAUV-41.172-78_66</t>
  </si>
  <si>
    <t>DNAUV-41.172-78_7</t>
  </si>
  <si>
    <t>Major capsid protein n=1 Tax=Leptolyngbya phage LPP-2 st. SPI TaxID=2996053 RepID=A0A9Y1GT93_9CAUD</t>
  </si>
  <si>
    <t>DNAUV-41.172-78_9</t>
  </si>
  <si>
    <t>Uncharacterized protein n=1 Tax=Sinosporangium album TaxID=504805 RepID=A0A1G8KB60_9ACTN</t>
  </si>
  <si>
    <t>DNAUV-41.618-136_1</t>
  </si>
  <si>
    <t>Uncharacterized protein n=1 Tax=Vibrio phage VPMS1 TaxID=1233488 RepID=S4T816_9CAUD</t>
  </si>
  <si>
    <t>DNAUV-41.618-136_10</t>
  </si>
  <si>
    <t>Uncharacterized protein n=1 Tax=Marivibrio halodurans TaxID=2039722 RepID=A0A8J7SKK2_9PROT</t>
  </si>
  <si>
    <t>DNAUV-41.618-136_15</t>
  </si>
  <si>
    <t>VOG26147 [FUNC="REFSEQ nucleotide pyrophosphohydrolase"] [TAG=Xu TAGDEF="Function unknown"]</t>
  </si>
  <si>
    <t>Uncharacterized protein n=3 Tax=Kafunavirus KF1 TaxID=1982588 RepID=K4PWU0_9CAUD</t>
  </si>
  <si>
    <t>DNAUV-41.618-136_18</t>
  </si>
  <si>
    <t>Uncharacterized protein n=1 Tax=Magnetospirillum molischianum DSM 120 TaxID=1150626 RepID=H8FP65_MAGML</t>
  </si>
  <si>
    <t>DNAUV-41.618-136_3</t>
  </si>
  <si>
    <t>Pyrimidine dimer DNA glycosylase/endonuclease n=1 Tax=Xanthomonas phage BUDD TaxID=2961708 RepID=A0A9E7N084_9CAUD</t>
  </si>
  <si>
    <t>DNAUV-41.618-136_33</t>
  </si>
  <si>
    <t>VOG23583 [FUNC="REFSEQ hypothetical protein"] [TAG=Xu TAGDEF="Function unknown"]</t>
  </si>
  <si>
    <t>Scaffold protein n=3 Tax=Kafunavirus KF1 TaxID=1982588 RepID=K4Q373_9CAUD</t>
  </si>
  <si>
    <t>DNAUV-41.618-136_34</t>
  </si>
  <si>
    <t>VOG01149 [FUNC="sp|C0HJH8|CAPSD_BPKP2 Major capsid protein"] [TAG=Xs TAGDEF="Virus structure"]</t>
  </si>
  <si>
    <t>Major capsid protein n=1 Tax=Pseudoalteromonas phage PH1 TaxID=1874540 RepID=A0A1B2ANQ4_9CAUD</t>
  </si>
  <si>
    <t>DNAUV-41.618-136_36</t>
  </si>
  <si>
    <t>VOG02685 [FUNC="REFSEQ virion structural protein"] [TAG=Xu TAGDEF="Function unknown"]</t>
  </si>
  <si>
    <t>Uncharacterized protein n=1 Tax=Vibrio phage VPMS1 TaxID=1233488 RepID=S4T7Z3_9CAUD</t>
  </si>
  <si>
    <t>DNAUV-41.618-136_38</t>
  </si>
  <si>
    <t>Tail tubular protein B n=1 Tax=Pseudoalteromonas phage PH1 TaxID=1874540 RepID=A0A1B2ANQ1_9CAUD</t>
  </si>
  <si>
    <t>DNAUV-41.618-136_40</t>
  </si>
  <si>
    <t>VOG24486 [FUNC="REFSEQ DNA ejection"] [TAG=Xu TAGDEF="Function unknown"]</t>
  </si>
  <si>
    <t>Uncharacterized protein n=2 Tax=Edwardsiella phage KF-1 TaxID=1244856 RepID=K4PXG3_9CAUD</t>
  </si>
  <si>
    <t>DNAUV-41.618-136_42</t>
  </si>
  <si>
    <t>Portal protein n=2 Tax=Kafunavirus KF1 TaxID=1982588 RepID=K4PW82_9CAUD</t>
  </si>
  <si>
    <t>DNAUV-41.618-136_43</t>
  </si>
  <si>
    <t>VOG11988 [FUNC="REFSEQ hypothetical protein"] [TAG=Xu TAGDEF="Function unknown"]</t>
  </si>
  <si>
    <t>Uncharacterized protein n=1 Tax=Vibrio phage VPMS1 TaxID=1233488 RepID=S4T7Z9_9CAUD</t>
  </si>
  <si>
    <t>DNAUV-41.618-136_48</t>
  </si>
  <si>
    <t>Uncharacterized protein n=1 Tax=Micavibrio aeruginosavorus TaxID=349221 RepID=A0A2W5FR74_9BACT</t>
  </si>
  <si>
    <t>DNAUV-41.618-136_9</t>
  </si>
  <si>
    <t>Single-stranded DNA-binding protein n=3 Tax=Kafunavirus KF1 TaxID=1982588 RepID=K4Q368_9CAUD</t>
  </si>
  <si>
    <t>DNAUV-42.055-32_11</t>
  </si>
  <si>
    <t>Uncharacterized protein n=1 Tax=Vibrio phage 1.275.O._10N.286.54.E11 TaxID=1881276 RepID=A0A2I7S3J0_9CAUD</t>
  </si>
  <si>
    <t>DNAUV-42.055-32_12</t>
  </si>
  <si>
    <t>DNAUV-42.055-32_13</t>
  </si>
  <si>
    <t>Coil containing protein n=1 Tax=Vibrio phage 1.275.O._10N.286.54.E11 TaxID=1881276 RepID=A0A2I7S3J4_9CAUD</t>
  </si>
  <si>
    <t>DNAUV-42.055-32_14</t>
  </si>
  <si>
    <t>Coil containing protein n=2 Tax=unclassified Caudoviricetes TaxID=2788787 RepID=A0A2I7R6W9_9CAUD</t>
  </si>
  <si>
    <t>DNAUV-42.055-32_17</t>
  </si>
  <si>
    <t>Major capsid protein n=1 Tax=Vibrio phage 1.013.O._10N.286.54.F9 TaxID=1881244 RepID=A0A2I7QK48_9CAUD</t>
  </si>
  <si>
    <t>DNAUV-42.055-32_18</t>
  </si>
  <si>
    <t>Coil containing protein n=1 Tax=Vibrio phage 1.214.O._10N.222.54.F11 TaxID=1881264 RepID=A0A2I7RQE9_9CAUD</t>
  </si>
  <si>
    <t>DNAUV-42.055-32_19</t>
  </si>
  <si>
    <t>Uncharacterized protein n=1 Tax=Vibrio phage 1.013.O._10N.286.54.F9 TaxID=1881244 RepID=A0A2I7QK34_9CAUD</t>
  </si>
  <si>
    <t>DNAUV-42.055-32_2</t>
  </si>
  <si>
    <t>TMhelix containing protein n=1 Tax=Vibrio phage 1.214.O._10N.222.54.F11 TaxID=1881264 RepID=A0A2I7RQC2_9CAUD</t>
  </si>
  <si>
    <t>DNAUV-42.055-32_20</t>
  </si>
  <si>
    <t>Uncharacterized protein n=2 Tax=unclassified Caudoviricetes TaxID=2788787 RepID=A0A2I7RWZ7_9CAUD</t>
  </si>
  <si>
    <t>DNAUV-42.055-32_21</t>
  </si>
  <si>
    <t>VOG19989 [FUNC="REFSEQ hypothetical protein"] [TAG=Xu TAGDEF="Function unknown"]</t>
  </si>
  <si>
    <t>Uncharacterized protein n=1 Tax=Vibrio phage 1.191.O._10N.286.52.B4 TaxID=1881435 RepID=A0A2I7RKC3_9CAUD</t>
  </si>
  <si>
    <t>DNAUV-42.055-32_23</t>
  </si>
  <si>
    <t>Head completion adaptor n=1 Tax=Vibrio phage 1.214.O._10N.222.54.F11 TaxID=1881264 RepID=A0A2I7RQD3_9CAUD</t>
  </si>
  <si>
    <t>DNAUV-42.055-32_24</t>
  </si>
  <si>
    <t>VOG02230 [FUNC="sp|O64214|VG20_BPMD2 Gene 20 protein"] [TAG=Xu TAGDEF="Function unknown"]</t>
  </si>
  <si>
    <t>Head-closure protein n=2 Tax=unclassified Caudoviricetes TaxID=2788787 RepID=A0A2I7R6W7_9CAUD</t>
  </si>
  <si>
    <t>DNAUV-42.055-32_25</t>
  </si>
  <si>
    <t>Neck protein n=2 Tax=unclassified Caudoviricetes TaxID=2788787 RepID=A0A2I7R6W4_9CAUD</t>
  </si>
  <si>
    <t>DNAUV-42.055-32_26</t>
  </si>
  <si>
    <t>Tail-completion protein n=2 Tax=unclassified Caudoviricetes TaxID=2788787 RepID=A0A2I7RWZ8_9CAUD</t>
  </si>
  <si>
    <t>DNAUV-42.055-32_28</t>
  </si>
  <si>
    <t>Uncharacterized protein n=2 Tax=unclassified Caudoviricetes TaxID=2788787 RepID=A0A2I7R6V3_9CAUD</t>
  </si>
  <si>
    <t>DNAUV-42.055-32_29</t>
  </si>
  <si>
    <t>Coil containing protein n=2 Tax=unclassified Caudoviricetes TaxID=2788787 RepID=A0A2I7RX04_9CAUD</t>
  </si>
  <si>
    <t>DNAUV-42.055-32_31</t>
  </si>
  <si>
    <t>VOG00293 [FUNC="REFSEQ hypothetical protein"] [TAG=Xu TAGDEF="Function unknown"]</t>
  </si>
  <si>
    <t>Tail-completion protein n=2 Tax=unclassified Caudoviricetes TaxID=2788787 RepID=A0A2I7QK45_9CAUD</t>
  </si>
  <si>
    <t>DNAUV-42.055-32_32</t>
  </si>
  <si>
    <t>VOG00948 [FUNC="REFSEQ minor tail protein"] [TAG=Xu TAGDEF="Function unknown"]</t>
  </si>
  <si>
    <t>Tail tube protein n=2 Tax=unclassified Caudoviricetes TaxID=2788787 RepID=A0A2I7RWY6_9CAUD</t>
  </si>
  <si>
    <t>DNAUV-42.055-32_35</t>
  </si>
  <si>
    <t>VOG05421 [FUNC="REFSEQ tail fiber protein"] [TAG=Xu TAGDEF="Function unknown"]</t>
  </si>
  <si>
    <t>SGNH hydrolase-type esterase domain-containing protein n=1 Tax=Geobacter sp. SVR TaxID=2495594 RepID=A0A6F9X0U9_9BACT</t>
  </si>
  <si>
    <t>DNAUV-42.055-32_37</t>
  </si>
  <si>
    <t>Coil containing protein n=2 Tax=unclassified Caudoviricetes TaxID=2788787 RepID=A0A2I7S8H0_9CAUD</t>
  </si>
  <si>
    <t>DNAUV-42.055-32_38</t>
  </si>
  <si>
    <t>Protein ninG n=1 Tax=Vibrio phage 1.151.O._10N.222.46.B1 TaxID=1881430 RepID=A0A2I7RB72_9CAUD</t>
  </si>
  <si>
    <t>DNAUV-42.055-32_39</t>
  </si>
  <si>
    <t>Coil containing protein n=1 Tax=Vibrio phage 1.275.O._10N.286.54.E11 TaxID=1881276 RepID=A0A2I7S3K5_9CAUD</t>
  </si>
  <si>
    <t>DNAUV-42.055-32_42</t>
  </si>
  <si>
    <t>Heat shock protein DnaJ n=1 Tax=Vibrio phage 1.275.O._10N.286.54.E11 TaxID=1881276 RepID=A0A2I7S3J7_9CAUD</t>
  </si>
  <si>
    <t>DNAUV-42.055-32_43</t>
  </si>
  <si>
    <t>Uncharacterized protein n=1 Tax=Vibrio phage 1.275.O._10N.286.54.E11 TaxID=1881276 RepID=A0A2I7S3J5_9CAUD</t>
  </si>
  <si>
    <t>DNAUV-42.055-32_45</t>
  </si>
  <si>
    <t>Coil containing protein n=1 Tax=Vibrio phage 1.275.O._10N.286.54.E11 TaxID=1881276 RepID=A0A2I7S3K1_9CAUD</t>
  </si>
  <si>
    <t>DNAUV-42.055-32_46</t>
  </si>
  <si>
    <t>VOG24287 [FUNC="REFSEQ hypothetical protein"] [TAG=Xu TAGDEF="Function unknown"]</t>
  </si>
  <si>
    <t>Coil containing protein n=1 Tax=Vibrio phage 1.214.O._10N.222.54.F11 TaxID=1881264 RepID=A0A2I7RQI4_9CAUD</t>
  </si>
  <si>
    <t>DNAUV-42.055-32_47</t>
  </si>
  <si>
    <t>VOG05230 [FUNC="REFSEQ hypothetical protein"] [TAG=Xu TAGDEF="Function unknown"]</t>
  </si>
  <si>
    <t>Coil containing protein n=2 Tax=unclassified Caudoviricetes TaxID=2788787 RepID=A0A2I7RM97_9CAUD</t>
  </si>
  <si>
    <t>DNAUV-42.055-32_48</t>
  </si>
  <si>
    <t>Coil containing protein n=1 Tax=Vibrio phage 1.232.O._10N.261.51.E11 TaxID=1881454 RepID=A0A2I7RT18_9CAUD</t>
  </si>
  <si>
    <t>DNAUV-42.055-32_49</t>
  </si>
  <si>
    <t>TMhelix containing protein n=1 Tax=Vibrio phage 142E35-1 TaxID=2963170 RepID=A0A9P0VP89_9CAUD</t>
  </si>
  <si>
    <t>DNAUV-42.055-32_50</t>
  </si>
  <si>
    <t>Coil containing protein n=5 Tax=unclassified Caudoviricetes TaxID=2788787 RepID=A0A2I7R6Z7_9CAUD</t>
  </si>
  <si>
    <t>DNAUV-42.055-32_51</t>
  </si>
  <si>
    <t>Winged helix-turn-helix DNA-binding domain protein n=2 Tax=unclassified Caudoviricetes TaxID=2788787 RepID=A0A2I7RX34_9CAUD</t>
  </si>
  <si>
    <t>DNAUV-42.055-32_52</t>
  </si>
  <si>
    <t>Carbon storage regulator n=3 Tax=unclassified Caudoviricetes TaxID=2788787 RepID=A0A2I7QK84_9CAUD</t>
  </si>
  <si>
    <t>DNAUV-42.055-32_53</t>
  </si>
  <si>
    <t>VOG13919 [FUNC="REFSEQ hypothetical protein"] [TAG=Xu TAGDEF="Function unknown"]</t>
  </si>
  <si>
    <t>Uncharacterized protein n=1 Tax=Vibrio phage 193E37-1 TaxID=2963175 RepID=A0A9P0VM81_9CAUD</t>
  </si>
  <si>
    <t>DNAUV-42.055-32_54</t>
  </si>
  <si>
    <t>DNA-packaging protein (Fragment) n=1 Tax=Vibrio phage 1.214.O._10N.222.54.F11 TaxID=1881264 RepID=A0A2I7RQC3_9CAUD</t>
  </si>
  <si>
    <t>DNAUV-42.055-32_58</t>
  </si>
  <si>
    <t>Coil containing protein n=2 Tax=unclassified Caudoviricetes TaxID=2788787 RepID=A0A2I7R6U4_9CAUD</t>
  </si>
  <si>
    <t>DNAUV-42.055-32_59</t>
  </si>
  <si>
    <t>VOG15884 [FUNC="REFSEQ head decoration"] [TAG=Xu TAGDEF="Function unknown"]</t>
  </si>
  <si>
    <t>Head-closure protein n=2 Tax=unclassified Caudoviricetes TaxID=2788787 RepID=A0A2I7RWX1_9CAUD</t>
  </si>
  <si>
    <t>DNAUV-42.055-32_60</t>
  </si>
  <si>
    <t>DNAUV-42.055-32_7</t>
  </si>
  <si>
    <t>Hedgehog signaling/DD-peptidase zinc-binding domain protein n=1 Tax=Vibrio phage 1.275.O._10N.286.54.E11 TaxID=1881276 RepID=A0A2I7S3J9_9CAUD</t>
  </si>
  <si>
    <t>DNAUV-42.055-32_8</t>
  </si>
  <si>
    <t>VOG05379 [FUNC="REFSEQ hypothetical protein"] [TAG=Xu TAGDEF="Function unknown"]</t>
  </si>
  <si>
    <t>Uncharacterized protein n=1 Tax=Vibrio virus vB_VspP_SBP1 TaxID=2500581 RepID=A0A3T0IIJ8_9CAUD</t>
  </si>
  <si>
    <t>DNAUV-42.184-72_11</t>
  </si>
  <si>
    <t>DNAUV-42.184-72_13</t>
  </si>
  <si>
    <t>GIY-YIG domain-containing protein n=1 Tax=Muricauda sp. TMED12 TaxID=1986608 RepID=A0A3R7U3B3_9FLAO</t>
  </si>
  <si>
    <t>DNAUV-42.184-72_25</t>
  </si>
  <si>
    <t>VOG00631 [FUNC="REFSEQ hypothetical protein"] [TAG=Xu TAGDEF="Function unknown"]</t>
  </si>
  <si>
    <t>Uncharacterized protein n=1 Tax=Aestuariicella hydrocarbonica TaxID=1470433 RepID=A0A9E5JU95_9GAMM</t>
  </si>
  <si>
    <t>DNAUV-42.184-72_27</t>
  </si>
  <si>
    <t>Coil containing protein n=1 Tax=Vibrio phage 1.076.O._10N.286.51.B7 TaxID=2070720 RepID=A0A2I7QVW3_9CAUD</t>
  </si>
  <si>
    <t>DNAUV-42.184-72_28</t>
  </si>
  <si>
    <t>Uncharacterized protein n=1 Tax=Pseudoalteromonas phage H103 TaxID=1636200 RepID=A0A0K0MDD6_9CAUD</t>
  </si>
  <si>
    <t>DNAUV-42.184-72_29</t>
  </si>
  <si>
    <t>DNAUV-42.184-72_31</t>
  </si>
  <si>
    <t>Gp11 n=1 Tax=Tatumella citrea TaxID=53336 RepID=A0A1Y0LKI6_TATCI</t>
  </si>
  <si>
    <t>DNAUV-42.184-72_32</t>
  </si>
  <si>
    <t>Uncharacterized protein n=1 Tax=Alteromonas phage XX1924 TaxID=2664192 RepID=A0A6B9J1J9_9CAUD</t>
  </si>
  <si>
    <t>DNAUV-42.184-72_33</t>
  </si>
  <si>
    <t>HK97 gp10 family phage protein n=1 Tax=Alteromonas phage XX1924 TaxID=2664192 RepID=A0A6B9J0B9_9CAUD</t>
  </si>
  <si>
    <t>DNAUV-42.184-72_34</t>
  </si>
  <si>
    <t>Tail protein n=1 Tax=Alteromonas phage XX1924 TaxID=2664192 RepID=A0A6B9IZP8_9CAUD</t>
  </si>
  <si>
    <t>DNAUV-42.184-72_35</t>
  </si>
  <si>
    <t>DNAUV-42.184-72_36</t>
  </si>
  <si>
    <t>Gene transfer agent family protein n=1 Tax=Bordetella genomosp. 7 TaxID=1416805 RepID=A0A261QYW8_9BORD</t>
  </si>
  <si>
    <t>DNAUV-42.184-72_38</t>
  </si>
  <si>
    <t>DNAUV-42.184-72_39</t>
  </si>
  <si>
    <t>DNAUV-42.184-72_42</t>
  </si>
  <si>
    <t>Uncharacterized protein n=1 Tax=Colwellia psychrerythraea TaxID=28229 RepID=A0A099KFL5_COLPS</t>
  </si>
  <si>
    <t>DNAUV-42.184-72_45</t>
  </si>
  <si>
    <t>Metallo-dependent phosphatase-like protein n=1 Tax=Vibrio phage 191E37-1 TaxID=2963174 RepID=A0A9P0VPK1_9CAUD</t>
  </si>
  <si>
    <t>DNAUV-42.184-72_46</t>
  </si>
  <si>
    <t>DUF5675 domain-containing protein n=1 Tax=Alteromonas sp. RKMC-009 TaxID=2267264 RepID=A0A385MUW4_9ALTE</t>
  </si>
  <si>
    <t>DNAUV-42.184-72_47</t>
  </si>
  <si>
    <t>Uncharacterized protein n=1 Tax=Magnetovibrio blakemorei TaxID=28181 RepID=A0A1E5Q442_9PROT</t>
  </si>
  <si>
    <t>DNAUV-42.184-72_57</t>
  </si>
  <si>
    <t>DNAUV-42.184-72_59</t>
  </si>
  <si>
    <t>Uncharacterized protein n=1 Tax=Alteromonas phage vB_AmeM_PT11-V22 TaxID=2704031 RepID=A0A6C0R0I2_9CAUD</t>
  </si>
  <si>
    <t>DNAUV-42.184-72_60</t>
  </si>
  <si>
    <t>Phage protein (N4 Gp49/phage Sf6 gene 66) family n=1 Tax=Methylophaga thiooxydans DMS010 TaxID=637616 RepID=C0N488_9GAMM</t>
  </si>
  <si>
    <t>DNAUV-42.184-72_62</t>
  </si>
  <si>
    <t>LamG domain-containing protein n=1 Tax=Sedimenticola selenatireducens TaxID=191960 RepID=A0A557S0F1_9GAMM</t>
  </si>
  <si>
    <t>DNAUV-42.184-72_63</t>
  </si>
  <si>
    <t>Uncharacterized protein n=1 Tax=Rhizobium fredii TaxID=380 RepID=A0A2A6LXG2_RHIFR</t>
  </si>
  <si>
    <t>DNAUV-42.184-72_66</t>
  </si>
  <si>
    <t>DNAUV-42.184-72_69</t>
  </si>
  <si>
    <t>DNAUV-42.184-72_7</t>
  </si>
  <si>
    <t>DNAUV-42.184-72_8</t>
  </si>
  <si>
    <t>DNAUV-42.404-84_100</t>
  </si>
  <si>
    <t>Phage tail protein n=1 Tax=Alteromonas sp. KUL42 TaxID=2480797 RepID=A0A4P6B414_9ALTE</t>
  </si>
  <si>
    <t>DNAUV-42.404-84_101</t>
  </si>
  <si>
    <t>DUF1833 domain-containing protein n=1 Tax=Alteromonas sp. KUL42 TaxID=2480797 RepID=A0A4Q8TXJ7_9ALTE</t>
  </si>
  <si>
    <t>DNAUV-42.404-84_102</t>
  </si>
  <si>
    <t>LRAT domain-containing protein n=1 Tax=Alteromonas sp. KUL42 TaxID=2480797 RepID=A0A4Q8TXS5_9ALTE</t>
  </si>
  <si>
    <t>DNAUV-42.404-84_41</t>
  </si>
  <si>
    <t>Tail assembly chaperone n=1 Tax=Paracoccus phage vB_PmaS-R3 TaxID=2494563 RepID=A0A0B5A5Y7_9CAUD</t>
  </si>
  <si>
    <t>DNAUV-42.404-84_42</t>
  </si>
  <si>
    <t>ATPase AAA n=1 Tax=Paracoccus phage vB_PmaS-R3 TaxID=2494563 RepID=A0A0B5A2H4_9CAUD</t>
  </si>
  <si>
    <t>DNAUV-42.404-84_44</t>
  </si>
  <si>
    <t>Single-stranded DNA-binding protein n=1 Tax=Paracoccus phage vB_PmaS-R3 TaxID=2494563 RepID=A0A0B5A0B7_9CAUD</t>
  </si>
  <si>
    <t>DNAUV-42.404-84_45</t>
  </si>
  <si>
    <t>Uncharacterized protein n=1 Tax=Paracoccus phage vB_PmaS-R3 TaxID=2494563 RepID=A0A0B5A7I3_9CAUD</t>
  </si>
  <si>
    <t>DNAUV-42.404-84_47</t>
  </si>
  <si>
    <t>Exonuclease n=1 Tax=Paracoccus phage vB_PmaS-R3 TaxID=2494563 RepID=A0A0B5A5Y3_9CAUD</t>
  </si>
  <si>
    <t>DNAUV-42.404-84_49</t>
  </si>
  <si>
    <t>DNA polymerase III beta subunit n=1 Tax=Paracoccus phage vB_PmaS-R3 TaxID=2494563 RepID=A0A0B5A0B3_9CAUD</t>
  </si>
  <si>
    <t>DNAUV-42.404-84_65</t>
  </si>
  <si>
    <t>DNAUV-42.404-84_69</t>
  </si>
  <si>
    <t>DUF2399 domain-containing protein n=2 Tax=Streptomycetaceae TaxID=2062 RepID=F8JWV5_STREN</t>
  </si>
  <si>
    <t>DNAUV-42.404-84_70</t>
  </si>
  <si>
    <t>Putative cysteine synthase n=1 Tax=Paracoccus phage vB_PmaS-R3 TaxID=2494563 RepID=A0A0B5A2I1_9CAUD</t>
  </si>
  <si>
    <t>DNAUV-42.404-84_71</t>
  </si>
  <si>
    <t>Uncharacterized protein n=1 Tax=Paracoccus sp. SMMA_5_TC TaxID=2654280 RepID=A0A7X2TJL0_9RHOB</t>
  </si>
  <si>
    <t>DNAUV-42.404-84_72</t>
  </si>
  <si>
    <t>Vsr endonuclease n=1 Tax=Paracoccus phage vB_PmaS-R3 TaxID=2494563 RepID=A0A0B5A593_9CAUD</t>
  </si>
  <si>
    <t>DNAUV-42.404-84_73</t>
  </si>
  <si>
    <t>VOG24591 [FUNC="REFSEQ hypothetical protein"] [TAG=Xu TAGDEF="Function unknown"]</t>
  </si>
  <si>
    <t>Uncharacterized protein n=1 Tax=Paracoccus phage vB_PmaS-R3 TaxID=2494563 RepID=A0A0B5A7J3_9CAUD</t>
  </si>
  <si>
    <t>DNAUV-42.404-84_74</t>
  </si>
  <si>
    <t>VOG37769 [FUNC="REFSEQ hypothetical protein"] [TAG=Xu TAGDEF="Function unknown"]</t>
  </si>
  <si>
    <t>Uncharacterized protein n=1 Tax=Rhodobacter phage RcSpartan TaxID=1662331 RepID=A0A0K1LM41_9CAUD</t>
  </si>
  <si>
    <t>DNAUV-42.404-84_76</t>
  </si>
  <si>
    <t>VOG33239 [FUNC="REFSEQ hypothetical protein"] [TAG=Xu TAGDEF="Function unknown"]</t>
  </si>
  <si>
    <t>Uncharacterized protein n=1 Tax=Paracoccus phage vB_PmaS-R3 TaxID=2494563 RepID=A0A0B5A0D6_9CAUD</t>
  </si>
  <si>
    <t>DNAUV-42.404-84_79</t>
  </si>
  <si>
    <t>DNAUV-42.404-84_81</t>
  </si>
  <si>
    <t>DNAUV-42.404-84_82</t>
  </si>
  <si>
    <t>Small terminase subunit n=1 Tax=Burkholderia phage vB_BceS_KL1 TaxID=1132026 RepID=I6NQU0_9CAUD</t>
  </si>
  <si>
    <t>DNAUV-42.404-84_85</t>
  </si>
  <si>
    <t>Portal protein n=1 Tax=Paracoccus phage vB_PmaS-R3 TaxID=2494563 RepID=A0A0B5A606_9CAUD</t>
  </si>
  <si>
    <t>DNAUV-42.404-84_87</t>
  </si>
  <si>
    <t>Scaffold protein n=1 Tax=Paracoccus phage vB_PmaS-R3 TaxID=2494563 RepID=A0A0B5A0E2_9CAUD</t>
  </si>
  <si>
    <t>DNAUV-42.404-84_89</t>
  </si>
  <si>
    <t>VOG12676 [FUNC="REFSEQ hypothetical protein"] [TAG=Xu TAGDEF="Function unknown"]</t>
  </si>
  <si>
    <t>Uncharacterized protein n=1 Tax=Paracoccus phage vB_PmaS-R3 TaxID=2494563 RepID=A0A0B5A5A9_9CAUD</t>
  </si>
  <si>
    <t>DNAUV-42.404-84_90</t>
  </si>
  <si>
    <t>Putative DnaT-like domain-containing protein n=1 Tax=Paracoccus phage vB_PmaS-R3 TaxID=2494563 RepID=A0A0B5A608_9CAUD</t>
  </si>
  <si>
    <t>DNAUV-42.404-84_91</t>
  </si>
  <si>
    <t>Head-tail joining protein n=1 Tax=Paracoccus phage vB_PmaS-R3 TaxID=2494563 RepID=A0A0B5A7K1_9CAUD</t>
  </si>
  <si>
    <t>DNAUV-42.404-84_92</t>
  </si>
  <si>
    <t>Minor tail protein n=1 Tax=Paracoccus phage vB_PmaS-R3 TaxID=2494563 RepID=A0A0B5A0E7_9CAUD</t>
  </si>
  <si>
    <t>DNAUV-42.404-84_93</t>
  </si>
  <si>
    <t>Major tail tube protein n=1 Tax=Paracoccus phage vB_PmaS-R3 TaxID=2494563 RepID=A0A0B5A2J8_9CAUD</t>
  </si>
  <si>
    <t>DNAUV-42.404-84_94</t>
  </si>
  <si>
    <t>Tail protein n=1 Tax=Paracoccus phage vB_PmaS-R3 TaxID=2494563 RepID=A0A0B5A5B3_9CAUD</t>
  </si>
  <si>
    <t>DNAUV-42.404-84_96</t>
  </si>
  <si>
    <t>Tail chaperonin n=1 Tax=Paracoccus phage vB_PmaS-R3 TaxID=2494563 RepID=A0A0B5A613_9CAUD</t>
  </si>
  <si>
    <t>DNAUV-42.404-84_97</t>
  </si>
  <si>
    <t>Tail completion protein n=1 Tax=Pseudomonas phage KP1 TaxID=2562463 RepID=A0A6G5QAG9_9CAUD</t>
  </si>
  <si>
    <t>DNAUV-43.228-64_1</t>
  </si>
  <si>
    <t>Terminase small subunit n=1 Tax=Pseudodesulfovibrio sp. JC047 TaxID=2683199 RepID=A0A6L9M419_9BACT</t>
  </si>
  <si>
    <t>DNAUV-43.228-64_14</t>
  </si>
  <si>
    <t>VOG36922 [FUNC="REFSEQ major tail protein"] [TAG=Xu TAGDEF="Function unknown"]</t>
  </si>
  <si>
    <t>Phage major tail protein 2 n=1 Tax=Methylobrevis pamukkalensis TaxID=1439726 RepID=A0A1E3GZT5_9HYPH</t>
  </si>
  <si>
    <t>DNAUV-43.228-64_19</t>
  </si>
  <si>
    <t>Uncharacterized protein n=1 Tax=Phocaeicola vulgatus TaxID=821 RepID=A0A7Y0YQ64_PHOVU</t>
  </si>
  <si>
    <t>DNAUV-43.228-64_27</t>
  </si>
  <si>
    <t>Uncharacterized protein n=1 Tax=Skeletonema virus LDF-2015a TaxID=1769778 RepID=A0A1B1IHW3_9VIRU</t>
  </si>
  <si>
    <t>DNAUV-43.228-64_31</t>
  </si>
  <si>
    <t>VRR-NUC domain-containing protein n=1 Tax=Edwardsiella phage PEi21 TaxID=1325372 RepID=N0DUB8_9CAUD</t>
  </si>
  <si>
    <t>DNAUV-43.228-64_36</t>
  </si>
  <si>
    <t>Uncharacterized protein n=1 Tax=Gymnodinialimonas phycosphaerae TaxID=2841589 RepID=A0A975TZU8_9RHOB</t>
  </si>
  <si>
    <t>DNAUV-43.228-64_43</t>
  </si>
  <si>
    <t>Uncharacterized protein n=1 Tax=Pseudodesulfovibrio sp. JC047 TaxID=2683199 RepID=A0A6L9M2K5_9BACT</t>
  </si>
  <si>
    <t>DNAUV-43.228-64_44</t>
  </si>
  <si>
    <t>Uncharacterized protein n=1 Tax=Xylella phage Salvo TaxID=1415147 RepID=V5Q7S7_9CAUD</t>
  </si>
  <si>
    <t>DNAUV-43.228-64_46</t>
  </si>
  <si>
    <t>VOG05389 [FUNC="REFSEQ hypothetical protein"] [TAG=Xu TAGDEF="Function unknown"]</t>
  </si>
  <si>
    <t>Uncharacterized protein n=1 Tax=Myoviridae sp. ctsK93 TaxID=2825190 RepID=A0A8S5PL42_9CAUD</t>
  </si>
  <si>
    <t>DNAUV-43.228-64_59</t>
  </si>
  <si>
    <t>DNAUV-43.228-64_62</t>
  </si>
  <si>
    <t>Uncharacterized protein n=1 Tax=Sinorhizobium phage HMSP1-Susan TaxID=2049306 RepID=A0A2D2W1T6_9CAUD</t>
  </si>
  <si>
    <t>DNAUV-43.228-64_66</t>
  </si>
  <si>
    <t>VOG02696 [FUNC="REFSEQ hypothetical protein"] [TAG=Xu TAGDEF="Function unknown"]</t>
  </si>
  <si>
    <t>Uncharacterized protein n=1 Tax=Klebsiella phage Seifer TaxID=2315475 RepID=A0A3B8DHY9_9CAUD</t>
  </si>
  <si>
    <t>DNAUV-43.228-64_8</t>
  </si>
  <si>
    <t>Uncharacterized protein n=1 Tax=Pseudovibrio sp. W74 TaxID=1735584 RepID=A0A165R292_9HYPH</t>
  </si>
  <si>
    <t>DNAUV-43.274-68_101</t>
  </si>
  <si>
    <t>Head stabilization/decoration protein n=1 Tax=Shewanella phage SppYZU01 TaxID=1965372 RepID=A0A1V0DYI2_9CAUD</t>
  </si>
  <si>
    <t>DNAUV-43.274-68_103</t>
  </si>
  <si>
    <t>DNAUV-43.274-68_104</t>
  </si>
  <si>
    <t>Uncharacterized protein n=1 Tax=Shewanella phage SppYZU01 TaxID=1965372 RepID=A0A1V0DYI1_9CAUD</t>
  </si>
  <si>
    <t>DNAUV-43.274-68_105</t>
  </si>
  <si>
    <t>DNAUV-43.274-68_106</t>
  </si>
  <si>
    <t>DNAUV-43.274-68_109</t>
  </si>
  <si>
    <t>DNAUV-43.274-68_111</t>
  </si>
  <si>
    <t>DNAUV-43.274-68_117</t>
  </si>
  <si>
    <t>DNAUV-43.274-68_118</t>
  </si>
  <si>
    <t>VOG03322 [FUNC="REFSEQ virion structural protein"] [TAG=Xu TAGDEF="Function unknown"]</t>
  </si>
  <si>
    <t>Structural protein n=1 Tax=Vibrio phage CKB-S1 TaxID=1903259 RepID=A0A1E1GE27_9CAUD</t>
  </si>
  <si>
    <t>DNAUV-43.274-68_122</t>
  </si>
  <si>
    <t>Uncharacterized protein n=1 Tax=Fibrobacter sp. UWR4 TaxID=1896218 RepID=A0A316BG96_9BACT</t>
  </si>
  <si>
    <t>DNAUV-43.274-68_123</t>
  </si>
  <si>
    <t>DNAUV-43.274-68_130</t>
  </si>
  <si>
    <t>Tail protein n=1 Tax=Aeromonas phage Aer_P220 TaxID=2951227 RepID=A0A9E7NND2_9CAUD</t>
  </si>
  <si>
    <t>DNAUV-43.274-68_133</t>
  </si>
  <si>
    <t>TMhelix containing protein n=1 Tax=Muricauda sp. TMED12 TaxID=1986608 RepID=A0A3R7TUA9_9FLAO</t>
  </si>
  <si>
    <t>DNAUV-43.274-68_134</t>
  </si>
  <si>
    <t>VOG12542 [FUNC="REFSEQ hypothetical protein"] [TAG=Xu TAGDEF="Function unknown"]</t>
  </si>
  <si>
    <t>Holin n=2 Tax=unclassified Caudoviricetes TaxID=2788787 RepID=H9C0H4_BPCPT</t>
  </si>
  <si>
    <t>DNAUV-43.274-68_151</t>
  </si>
  <si>
    <t>DNAUV-43.274-68_158</t>
  </si>
  <si>
    <t>Uncharacterized protein n=1 Tax=Shewanella phage SppYZU01 TaxID=1965372 RepID=A0A1V0DYJ1_9CAUD</t>
  </si>
  <si>
    <t>DNAUV-43.274-68_161</t>
  </si>
  <si>
    <t>DUF1778 domain-containing protein n=1 Tax=Alkalilimnicola sp. S0819 TaxID=2613922 RepID=A0A833IS99_9GAMM</t>
  </si>
  <si>
    <t>DNAUV-43.274-68_165</t>
  </si>
  <si>
    <t>VOG21334 [FUNC="REFSEQ hypothetical protein"] [TAG=Xu TAGDEF="Function unknown"]</t>
  </si>
  <si>
    <t>Uncharacterized protein n=1 Tax=Aeromonas phage CC2 TaxID=1204516 RepID=I6WLV1_9CAUD</t>
  </si>
  <si>
    <t>DNAUV-43.274-68_167</t>
  </si>
  <si>
    <t>DNAUV-43.274-68_24</t>
  </si>
  <si>
    <t>DNAUV-43.274-68_27</t>
  </si>
  <si>
    <t>DNAUV-43.274-68_29</t>
  </si>
  <si>
    <t>DNAUV-43.274-68_33</t>
  </si>
  <si>
    <t>Uncharacterized protein n=1 Tax=Hydrogenovibrio crunogenus (strain DSM 25203 / XCL-2) TaxID=317025 RepID=Q31HX0_HYDCU</t>
  </si>
  <si>
    <t>DNAUV-43.274-68_94</t>
  </si>
  <si>
    <t>DNAUV-43.492-339_10</t>
  </si>
  <si>
    <t>HNH endonuclease n=1 Tax=Cellulosimicrobium phage DS1 TaxID=2812903 RepID=A0A898KB93_9CAUD</t>
  </si>
  <si>
    <t>DNAUV-43.492-339_13</t>
  </si>
  <si>
    <t>RNA polymerase binding protein n=1 Tax=Cellulosimicrobium phage DS1 TaxID=2812903 RepID=A0A898KCI8_9CAUD</t>
  </si>
  <si>
    <t>DNAUV-43.492-339_19</t>
  </si>
  <si>
    <t>RecA-like recombination protein n=1 Tax=Cellulosimicrobium phage DS1 TaxID=2812903 RepID=A0A898KB85_9CAUD</t>
  </si>
  <si>
    <t>DNAUV-43.492-339_4</t>
  </si>
  <si>
    <t>Uncharacterized protein n=1 Tax=Siphoviridae sp. ctnpt50 TaxID=2827941 RepID=A0A8S5SE91_9CAUD</t>
  </si>
  <si>
    <t>DNAUV-43.492-339_59</t>
  </si>
  <si>
    <t>DNAUV-43.492-339_61</t>
  </si>
  <si>
    <t>VOG36141 [FUNC="REFSEQ hypothetical protein"] [TAG=Xu TAGDEF="Function unknown"]</t>
  </si>
  <si>
    <t>Tail assembly chaperone n=1 Tax=Arthrobacter phage Jasmine TaxID=1772302 RepID=A0A0U4K014_9CAUD</t>
  </si>
  <si>
    <t>DNAUV-43.492-339_63</t>
  </si>
  <si>
    <t>DNAUV-43.492-339_68</t>
  </si>
  <si>
    <t>DNAUV-43.492-339_69</t>
  </si>
  <si>
    <t>Uncharacterized protein n=1 Tax=Aphanizomenon flos-aquae WA102 TaxID=1710896 RepID=A0A1B7WYX5_APHFL</t>
  </si>
  <si>
    <t>DNAUV-43.492-339_7</t>
  </si>
  <si>
    <t>DNAUV-43.492-339_71</t>
  </si>
  <si>
    <t>DNAUV-43.492-339_72</t>
  </si>
  <si>
    <t>DNAUV-43.492-339_74</t>
  </si>
  <si>
    <t>VOG32716 [FUNC="REFSEQ hypothetical protein"] [TAG=Xu TAGDEF="Function unknown"]</t>
  </si>
  <si>
    <t>Uncharacterized protein n=1 Tax=Cellulosimicrobium phage DS1 TaxID=2812903 RepID=A0A898KBW1_9CAUD</t>
  </si>
  <si>
    <t>DNAUV-43.492-339_79</t>
  </si>
  <si>
    <t>VOG04505 [FUNC="REFSEQ portal protein"] [TAG=Xu TAGDEF="Function unknown"]</t>
  </si>
  <si>
    <t>Portal protein n=1 Tax=Cellulosimicrobium phage DS1 TaxID=2812903 RepID=A0A898KBA9_9CAUD</t>
  </si>
  <si>
    <t>DNAUV-43.492-339_81</t>
  </si>
  <si>
    <t>VOG35342 [FUNC="REFSEQ major head protein"] [TAG=Xu TAGDEF="Function unknown"]</t>
  </si>
  <si>
    <t>Uncharacterized protein n=1 Tax=Cellulosimicrobium phage DS1 TaxID=2812903 RepID=A0A898KAQ4_9CAUD</t>
  </si>
  <si>
    <t>DNAUV-43.492-339_82</t>
  </si>
  <si>
    <t>Uncharacterized protein n=1 Tax=Streptomyces sp. Tu 2975 TaxID=2676871 RepID=A0A6G9FN94_9ACTN</t>
  </si>
  <si>
    <t>DNAUV-43.492-339_84</t>
  </si>
  <si>
    <t>VOG36138 [FUNC="REFSEQ hypothetical protein"] [TAG=Xu TAGDEF="Function unknown"]</t>
  </si>
  <si>
    <t>Uncharacterized protein n=1 Tax=Cellulosimicrobium phage DS1 TaxID=2812903 RepID=A0A898KAL5_9CAUD</t>
  </si>
  <si>
    <t>DNAUV-43.492-339_85</t>
  </si>
  <si>
    <t>Tail tubular protein A n=1 Tax=Cellulosimicrobium phage DS1 TaxID=2812903 RepID=A0A898KBC4_9CAUD</t>
  </si>
  <si>
    <t>DNAUV-43.492-339_86</t>
  </si>
  <si>
    <t>VOG23015 [FUNC="REFSEQ hypothetical protein"] [TAG=Xu TAGDEF="Function unknown"]</t>
  </si>
  <si>
    <t>Uncharacterized protein n=1 Tax=Cellulosimicrobium phage DS1 TaxID=2812903 RepID=A0A898K933_9CAUD</t>
  </si>
  <si>
    <t>DNAUV-43.492-339_91</t>
  </si>
  <si>
    <t>VOG25153 [FUNC="REFSEQ hypothetical protein"] [TAG=Xu TAGDEF="Function unknown"]</t>
  </si>
  <si>
    <t>Large polyvalent protein associated domain-containing protein n=1 Tax=Cellulosimicrobium phage DS1 TaxID=2812903 RepID=A0A898KB75_9CAUD</t>
  </si>
  <si>
    <t>DNAUV-43.621-123_16</t>
  </si>
  <si>
    <t>Uncharacterized protein (Fragment) n=1 Tax=Bacillus cereus HuA3-9 TaxID=1053205 RepID=R8D6T7_BACCE</t>
  </si>
  <si>
    <t>DNAUV-43.621-123_2</t>
  </si>
  <si>
    <t>DNAUV-43.621-123_23</t>
  </si>
  <si>
    <t>DUF1996 domain-containing protein n=1 Tax=Cognatiyoonia sediminum TaxID=1508389 RepID=A0A1M5QQS1_9RHOB</t>
  </si>
  <si>
    <t>DNAUV-43.621-123_25</t>
  </si>
  <si>
    <t>Uncharacterized protein n=1 Tax=Zavarzinia compransoris TaxID=1264899 RepID=A0A317DZ76_9PROT</t>
  </si>
  <si>
    <t>DNAUV-43.621-123_37</t>
  </si>
  <si>
    <t>Uncharacterized protein n=1 Tax=Vibrio sp. 10N.286.49.C2 TaxID=1880856 RepID=A0A2N7D8H4_9VIBR</t>
  </si>
  <si>
    <t>DNAUV-43.621-123_39</t>
  </si>
  <si>
    <t>PAS domain-containing protein n=2 Tax=unclassified Dolichocephalovirinae TaxID=2788884 RepID=A0A9E7STJ1_9CAUD</t>
  </si>
  <si>
    <t>DNAUV-43.621-123_4</t>
  </si>
  <si>
    <t>Virion structural protein n=1 Tax=Synechococcus phage S-CBS4 TaxID=756275 RepID=R9TG40_9CAUD</t>
  </si>
  <si>
    <t>DNAUV-43.621-123_40</t>
  </si>
  <si>
    <t>VOG32626 [FUNC="REFSEQ gp32"] [TAG=Xu TAGDEF="Function unknown"]</t>
  </si>
  <si>
    <t>dATP/dGTP diphosphohydrolase N-terminal domain-containing protein n=2 Tax=Marinobacter sp. X15-166B TaxID=1897620 RepID=A0A1E7PXZ1_9GAMM</t>
  </si>
  <si>
    <t>DNAUV-43.621-123_41</t>
  </si>
  <si>
    <t>D2 protein n=1 Tax=Vibrio phage vB_ValS_X1 TaxID=2736341 RepID=A0A6M9Z618_9CAUD</t>
  </si>
  <si>
    <t>DNAUV-43.621-123_42</t>
  </si>
  <si>
    <t>D3 protein n=1 Tax=Klebsiella phage vB_KpnS_FZ41 TaxID=2530030 RepID=A0A4D6T3X3_9CAUD</t>
  </si>
  <si>
    <t>DNAUV-43.621-123_43</t>
  </si>
  <si>
    <t>Auto-transporter adhesin head GIN domain-containing protein n=1 Tax=Delftia tsuruhatensis TaxID=180282 RepID=A0A072T1F6_9BURK</t>
  </si>
  <si>
    <t>DNAUV-43.621-123_44</t>
  </si>
  <si>
    <t>Collagen-like triple helix repeat-containing protein n=1 Tax=Bacillus sp. DU-106 TaxID=2080759 RepID=A0A9X7LCH5_9BACI</t>
  </si>
  <si>
    <t>DNAUV-43.621-123_47</t>
  </si>
  <si>
    <t>DNAUV-43.621-123_48</t>
  </si>
  <si>
    <t>VOG05568 [FUNC="REFSEQ hypothetical protein"] [TAG=Xu TAGDEF="Function unknown"]</t>
  </si>
  <si>
    <t>Ig-like domain-containing protein n=1 Tax=Mesorhizobium phage Cp1R7A-A1 TaxID=2723894 RepID=A0A6H0QXS9_9CAUD</t>
  </si>
  <si>
    <t>DNAUV-43.621-123_49</t>
  </si>
  <si>
    <t>VOG33931 [FUNC="REFSEQ hypothetical protein"] [TAG=Xu TAGDEF="Function unknown"]</t>
  </si>
  <si>
    <t>DUF4376 domain-containing protein n=2 Tax=unclassified Mesorhizobium TaxID=325217 RepID=A0A4V3NA59_9HYPH</t>
  </si>
  <si>
    <t>DNAUV-43.621-123_51</t>
  </si>
  <si>
    <t>Transcriptional coactivator p15 n=1 Tax=Vibrio phage vB_ValS_X1 TaxID=2736341 RepID=A0A6M9Z7I1_9CAUD</t>
  </si>
  <si>
    <t>DNAUV-43.621-123_53</t>
  </si>
  <si>
    <t>GIY-YIG nuclease family protein n=1 Tax=Acinetobacter nosocomialis TaxID=106654 RepID=A0A5Q0RSI3_ACINO</t>
  </si>
  <si>
    <t>DNAUV-43.621-123_57</t>
  </si>
  <si>
    <t>DNAUV-43.621-123_66</t>
  </si>
  <si>
    <t>DNAUV-43.621-123_67</t>
  </si>
  <si>
    <t>Putative recombination endonuclease subunit D12 n=1 Tax=Vibrio phage KIT04 TaxID=2508207 RepID=A0A679DMK7_9CAUD</t>
  </si>
  <si>
    <t>DNAUV-43.621-123_69</t>
  </si>
  <si>
    <t>D14 protein n=1 Tax=Bacteriophage Eos TaxID=2662137 RepID=A0A5Q2UAB8_9CAUD</t>
  </si>
  <si>
    <t>DNAUV-43.621-123_74</t>
  </si>
  <si>
    <t>Capsular biosynthesis protein n=1 Tax=Halorubrum terrestre TaxID=267368 RepID=A0A6B1IAQ3_9EURY</t>
  </si>
  <si>
    <t>DNAUV-43.803-72_10</t>
  </si>
  <si>
    <t>Uncharacterized protein n=1 Tax=Pseudoalteromonas virus vB_PspP-H6/1 TaxID=1852626 RepID=A0A191ZDJ4_9CAUD</t>
  </si>
  <si>
    <t>DNAUV-43.803-72_16</t>
  </si>
  <si>
    <t>DNAUV-43.803-72_17</t>
  </si>
  <si>
    <t>DNAUV-43.803-72_18</t>
  </si>
  <si>
    <t>DNAUV-43.803-72_2</t>
  </si>
  <si>
    <t>Putative HTH-type transcriptional regulator n=1 Tax=Pseudoalteromonas virus vB_PspP-H6/1 TaxID=1852626 RepID=A0A191ZDH0_9CAUD</t>
  </si>
  <si>
    <t>DNAUV-43.803-72_20</t>
  </si>
  <si>
    <t>Uncharacterized protein n=1 Tax=Azotobacter chroococcum TaxID=353 RepID=A0A4R1PXG1_9GAMM</t>
  </si>
  <si>
    <t>DNAUV-43.803-72_22</t>
  </si>
  <si>
    <t>Uncharacterized protein n=1 Tax=Halomonas populi TaxID=2498858 RepID=A0A3S1E9Q9_9GAMM</t>
  </si>
  <si>
    <t>DNAUV-43.803-72_23</t>
  </si>
  <si>
    <t>DNAUV-43.803-72_24</t>
  </si>
  <si>
    <t>DNAUV-43.803-72_25</t>
  </si>
  <si>
    <t>DNAUV-43.803-72_26</t>
  </si>
  <si>
    <t>DNAUV-43.803-72_27</t>
  </si>
  <si>
    <t>DNAUV-43.803-72_29</t>
  </si>
  <si>
    <t>DNAUV-43.803-72_30</t>
  </si>
  <si>
    <t>DNAUV-43.803-72_31</t>
  </si>
  <si>
    <t>DNAUV-43.803-72_32</t>
  </si>
  <si>
    <t>DNAUV-43.803-72_34</t>
  </si>
  <si>
    <t>DNAUV-43.803-72_35</t>
  </si>
  <si>
    <t>VOG13787 [FUNC="REFSEQ hypothetical protein"] [TAG=Xu TAGDEF="Function unknown"]</t>
  </si>
  <si>
    <t>TMhelix containing protein n=1 Tax=Pseudoalteromonas virus vB_PspP-H6/1 TaxID=1852626 RepID=A0A191ZDF4_9CAUD</t>
  </si>
  <si>
    <t>DNAUV-43.803-72_42</t>
  </si>
  <si>
    <t>DNAUV-43.803-72_44</t>
  </si>
  <si>
    <t>Putative endonuclease protein n=1 Tax=Salmonella phage vB_SalS-LPSTLL TaxID=2686282 RepID=A0A8E3UYJ3_9CAUD</t>
  </si>
  <si>
    <t>DNAUV-43.803-72_46</t>
  </si>
  <si>
    <t>Exodeoxyribonuclease 8 domain-containing protein n=1 Tax=Pseudoalteromonas phage TW1 TaxID=1366055 RepID=S5M3Z7_9CAUD</t>
  </si>
  <si>
    <t>DNAUV-43.803-72_47</t>
  </si>
  <si>
    <t>Uncharacterized protein n=1 Tax=Burkholderia contaminans TaxID=488447 RepID=A0A2S5DR46_9BURK</t>
  </si>
  <si>
    <t>DNAUV-43.803-72_48</t>
  </si>
  <si>
    <t>VOG05542 [FUNC="REFSEQ Holliday junction resolvase"] [TAG=Xu TAGDEF="Function unknown"]</t>
  </si>
  <si>
    <t>Uncharacterized protein n=1 Tax=Marinomonas phage P12026 TaxID=1176423 RepID=I6S2X8_9CAUD</t>
  </si>
  <si>
    <t>DNAUV-43.803-72_49</t>
  </si>
  <si>
    <t>VOG15765 [FUNC="REFSEQ hypothetical protein"] [TAG=Xu TAGDEF="Function unknown"]</t>
  </si>
  <si>
    <t>Single-stranded DNA-binding protein n=1 Tax=Pseudoalteromonas virus vB_PspP-H6/1 TaxID=1852626 RepID=A0A191ZDF7_9CAUD</t>
  </si>
  <si>
    <t>DNAUV-43.803-72_5</t>
  </si>
  <si>
    <t>DNAUV-43.803-72_51</t>
  </si>
  <si>
    <t>Putative intron-encoded HNH endonuclease n=1 Tax=Siphoviridae sp. ctdc_1 TaxID=2675441 RepID=A0A345MLE9_9CAUD</t>
  </si>
  <si>
    <t>DNAUV-43.803-72_60</t>
  </si>
  <si>
    <t>Transmembrane protein n=1 Tax=Alteromonas phage PB15 TaxID=1913113 RepID=A0A1J0GW86_9CAUD</t>
  </si>
  <si>
    <t>DNAUV-43.803-72_64</t>
  </si>
  <si>
    <t>Putative YopX protein n=1 Tax=Pseudoalteromonas virus vB_PspP-H6/1 TaxID=1852626 RepID=A0A191ZDH8_9CAUD</t>
  </si>
  <si>
    <t>DNAUV-43.803-72_7</t>
  </si>
  <si>
    <t>VOG17064 [FUNC="REFSEQ hypothetical protein"] [TAG=Xu TAGDEF="Function unknown"]</t>
  </si>
  <si>
    <t>Uncharacterized protein n=1 Tax=Alteromonas phage vB_AmeP_PT11-V19 TaxID=2996182 RepID=A0A9E9C3P7_9CAUD</t>
  </si>
  <si>
    <t>DNAUV-43.803-72_8</t>
  </si>
  <si>
    <t>DNAUV-44.091-1296_10</t>
  </si>
  <si>
    <t>Uncharacterized protein n=1 Tax=Roseibaca ekhonensis TaxID=254356 RepID=A0A3B0MDU3_9RHOB</t>
  </si>
  <si>
    <t>DNAUV-44.091-1296_2</t>
  </si>
  <si>
    <t>DNAUV-44.091-1296_42</t>
  </si>
  <si>
    <t>Uncharacterized protein n=1 Tax=Caulobacter phage CcrBL10 TaxID=2283269 RepID=A0A385E8N7_9CAUD</t>
  </si>
  <si>
    <t>DNAUV-44.091-1296_46</t>
  </si>
  <si>
    <t>Uncharacterized protein n=1 Tax=Pseudomonas phage vB_PaeS_SCH_Ab26 TaxID=1476390 RepID=A0A060RFM8_9CAUD</t>
  </si>
  <si>
    <t>DNAUV-44.091-1296_47</t>
  </si>
  <si>
    <t>Recombinase n=1 Tax=Xanthomonas phage XAJ2 TaxID=1775249 RepID=A0A1I9L2G3_9CAUD</t>
  </si>
  <si>
    <t>DNAUV-44.091-1296_48</t>
  </si>
  <si>
    <t>DUF669 domain-containing protein n=1 Tax=Tepidimonas taiwanensis TaxID=307486 RepID=A0A554XAY1_9BURK</t>
  </si>
  <si>
    <t>DNAUV-44.091-1296_5</t>
  </si>
  <si>
    <t>DNA polymerase III subunit n=1 Tax=Escherichia phage Halfdan TaxID=2234092 RepID=A0A2Z5H3D4_9CAUD</t>
  </si>
  <si>
    <t>DNAUV-44.091-1296_54</t>
  </si>
  <si>
    <t>Uncharacterized protein n=3 Tax=Vibrio harveyi group TaxID=717610 RepID=A0A7H5D1B4_VIBPH</t>
  </si>
  <si>
    <t>DNAUV-44.091-1296_55</t>
  </si>
  <si>
    <t>Integrase n=1 Tax=Adonisia turfae CCMR0082 TaxID=2304604 RepID=A0A6M0SD03_9CYAN</t>
  </si>
  <si>
    <t>DNAUV-44.091-1296_56</t>
  </si>
  <si>
    <t>Vsr endonuclease n=1 Tax=Burkholderia phage vB_BceS_KL1 TaxID=1132026 RepID=I6NQV1_9CAUD</t>
  </si>
  <si>
    <t>DNAUV-44.091-1296_57</t>
  </si>
  <si>
    <t>Tail fiber protein n=1 Tax=Sphingomonas phage Lucius TaxID=2686313 RepID=A0A6M3T899_9CAUD</t>
  </si>
  <si>
    <t>DNAUV-44.091-1296_61</t>
  </si>
  <si>
    <t>Holin n=1 Tax=Pseudomonas phage vB_PaeS_SCUT-S3 TaxID=2382122 RepID=A0A3Q8KUG5_9CAUD</t>
  </si>
  <si>
    <t>DNAUV-44.091-1296_62</t>
  </si>
  <si>
    <t>Putative small terminase n=1 Tax=Xanthomonas phage XAJ2 TaxID=1775249 RepID=A0A1I9L2D4_9CAUD</t>
  </si>
  <si>
    <t>DNAUV-44.091-1296_64</t>
  </si>
  <si>
    <t>DNAUV-44.091-1296_66</t>
  </si>
  <si>
    <t>Scaffold protein n=2 Tax=unclassified Septimatrevirus TaxID=2234106 RepID=A0A6G9LM28_9CAUD</t>
  </si>
  <si>
    <t>DNAUV-44.091-1296_68</t>
  </si>
  <si>
    <t>Uncharacterized protein n=1 Tax=Rhodobacter phage RcSpartan TaxID=1662331 RepID=A0A0K1LLZ1_9CAUD</t>
  </si>
  <si>
    <t>DNAUV-44.091-1296_70</t>
  </si>
  <si>
    <t>Putative DnaT-like domain-containing protein n=2 Tax=unclassified Septimatrevirus TaxID=2234106 RepID=A0A6G9LMZ7_9CAUD</t>
  </si>
  <si>
    <t>DNAUV-44.091-1296_71</t>
  </si>
  <si>
    <t>Head-tail joining protein n=1 Tax=Stenotrophomonas phage vB_SmaS-DLP_1 TaxID=1642588 RepID=A0A0M3WLR2_9CAUD</t>
  </si>
  <si>
    <t>DNAUV-44.091-1296_73</t>
  </si>
  <si>
    <t>Minor tail protein n=1 Tax=Pseudomonas phage vB_PaeS_C1 TaxID=2099649 RepID=A0A2P1CB36_9CAUD</t>
  </si>
  <si>
    <t>DNAUV-44.091-1296_74</t>
  </si>
  <si>
    <t>Major tail structural protein n=1 Tax=Pseudomonas phage PaMx42 TaxID=1175662 RepID=A0A0S0N7P7_9CAUD</t>
  </si>
  <si>
    <t>DNAUV-44.091-1296_75</t>
  </si>
  <si>
    <t>DNAUV-44.091-1296_76</t>
  </si>
  <si>
    <t>Uncharacterized protein n=1 Tax=Pseudomonas phage KP1 TaxID=2562463 RepID=A0A6G5QAM5_9CAUD</t>
  </si>
  <si>
    <t>DNAUV-44.091-1296_77</t>
  </si>
  <si>
    <t>Tail completion protein n=1 Tax=Xanthomonas phage Pfeifenkraut TaxID=2939132 RepID=A0A9E7E346_9CAUD</t>
  </si>
  <si>
    <t>DNAUV-44.645-4509_10</t>
  </si>
  <si>
    <t>Uncharacterized protein n=1 Tax=Aeromonas veronii TaxID=654 RepID=A0A653KZL9_AERVE</t>
  </si>
  <si>
    <t>DNAUV-44.645-4509_14</t>
  </si>
  <si>
    <t>VRR-NUC domain-containing protein n=1 Tax=Vibrio phage MZH0603 TaxID=2664193 RepID=A0A650ER34_9CAUD</t>
  </si>
  <si>
    <t>DNAUV-44.645-4509_15</t>
  </si>
  <si>
    <t>DNA binding HTH domain-containing protein n=1 Tax=Marinobacter salarius TaxID=1420917 RepID=A0A1W6K989_9GAMM</t>
  </si>
  <si>
    <t>DNAUV-44.645-4509_16</t>
  </si>
  <si>
    <t>P-loop containing nucleoside triphosphate hydrolase n=1 Tax=Vibrio phage 1.070.O._10N.261.45.B2 TaxID=2070719 RepID=A0A2I7QUX5_9CAUD</t>
  </si>
  <si>
    <t>DNAUV-44.645-4509_3</t>
  </si>
  <si>
    <t>DNAUV-44.645-4509_40</t>
  </si>
  <si>
    <t>Terminase small subunit n=1 Tax=Vibrio phage 1.185.O._10N.286.49.C2 TaxID=1881392 RepID=A0A2I7RHR6_9CAUD</t>
  </si>
  <si>
    <t>DNAUV-44.645-4509_42</t>
  </si>
  <si>
    <t>Uncharacterized protein n=1 Tax=Vibrio phage MZH0603 TaxID=2664193 RepID=A0A650ER51_9CAUD</t>
  </si>
  <si>
    <t>DNAUV-44.645-4509_43</t>
  </si>
  <si>
    <t>Head to tail connecting protein n=1 Tax=Vibrio phage 1.185.O._10N.286.49.C2 TaxID=1881392 RepID=A0A2I7RHT8_9CAUD</t>
  </si>
  <si>
    <t>DNAUV-44.645-4509_44</t>
  </si>
  <si>
    <t>Peptidase n=1 Tax=Vibrio phage MZH0603 TaxID=2664193 RepID=A0A650EQT7_9CAUD</t>
  </si>
  <si>
    <t>DNAUV-44.645-4509_45</t>
  </si>
  <si>
    <t>Major capsid protein n=1 Tax=Vibrio phage MZH0603 TaxID=2664193 RepID=A0A650ERK6_9CAUD</t>
  </si>
  <si>
    <t>DNAUV-44.645-4509_46</t>
  </si>
  <si>
    <t>VOG04598 [FUNC="REFSEQ hypothetical protein"] [TAG=Xu TAGDEF="Function unknown"]</t>
  </si>
  <si>
    <t>Major tail protein n=1 Tax=Vibrio phage 1.185.O._10N.286.49.C2 TaxID=1881392 RepID=A0A2I7RHV3_9CAUD</t>
  </si>
  <si>
    <t>DNAUV-44.645-4509_48</t>
  </si>
  <si>
    <t>Head completion adaptor n=1 Tax=Vibrio phage MZH0603 TaxID=2664193 RepID=A0A650EQN2_9CAUD</t>
  </si>
  <si>
    <t>DNAUV-44.645-4509_51</t>
  </si>
  <si>
    <t>Acyl-CoA N-acyltransferase n=3 Tax=unclassified Caudoviricetes TaxID=2788787 RepID=A0A2I7QL04_9CAUD</t>
  </si>
  <si>
    <t>DNAUV-44.645-4509_52</t>
  </si>
  <si>
    <t>Coil containing protein n=3 Tax=unclassified Caudoviricetes TaxID=2788787 RepID=A0A2I7QL14_9CAUD</t>
  </si>
  <si>
    <t>DNAUV-44.645-4509_53</t>
  </si>
  <si>
    <t>Coil containing protein n=1 Tax=Vibrio phage 1.185.O._10N.286.49.C2 TaxID=1881392 RepID=A0A2I7RHT1_9CAUD</t>
  </si>
  <si>
    <t>DNAUV-44.645-4509_56</t>
  </si>
  <si>
    <t>VOG00165 [FUNC="REFSEQ Rz-like spanin"] [TAG=Xu TAGDEF="Function unknown"]</t>
  </si>
  <si>
    <t>Uncharacterized protein n=1 Tax=Pseudogulbenkiania sp. (strain NH8B) TaxID=748280 RepID=G2IZN4_PSEUL</t>
  </si>
  <si>
    <t>DNAUV-44.645-4509_6</t>
  </si>
  <si>
    <t>Coil containing protein n=1 Tax=Vibrio phage 1.185.O._10N.286.49.C2 TaxID=1881392 RepID=A0A2I7RHU7_9CAUD</t>
  </si>
  <si>
    <t>DNAUV-44.645-4509_7</t>
  </si>
  <si>
    <t>Coil containing protein n=1 Tax=Vibrio phage MZH0603 TaxID=2664193 RepID=A0A650ERZ5_9CAUD</t>
  </si>
  <si>
    <t>DNAUV-44.645-4509_9</t>
  </si>
  <si>
    <t>Uncharacterized protein n=3 Tax=unclassified Caudoviricetes TaxID=2788787 RepID=A0A2I7QL27_9CAUD</t>
  </si>
  <si>
    <t>DNAUV-46.098-673_15</t>
  </si>
  <si>
    <t>Putative phage capsid protein n=1 Tax=Croceibacter phage P2559S TaxID=1176422 RepID=I6R9T0_9CAUD</t>
  </si>
  <si>
    <t>DNAUV-46.098-673_17</t>
  </si>
  <si>
    <t>Putative capsid associated protein n=1 Tax=Croceibacter phage P2559Y TaxID=1327037 RepID=W8CQQ4_9CAUD</t>
  </si>
  <si>
    <t>DNAUV-46.098-673_19</t>
  </si>
  <si>
    <t>DNAUV-46.098-673_20</t>
  </si>
  <si>
    <t>DNAUV-46.098-673_21</t>
  </si>
  <si>
    <t>DNAUV-46.098-673_22</t>
  </si>
  <si>
    <t>Uncharacterized protein n=1 Tax=Siphoviridae sp. ctHMI2 TaxID=2826231 RepID=A0A8S5MJU8_9CAUD</t>
  </si>
  <si>
    <t>DNAUV-46.098-673_23</t>
  </si>
  <si>
    <t>VOG16623 [FUNC="REFSEQ virion structural protein"] [TAG=Xu TAGDEF="Function unknown"]</t>
  </si>
  <si>
    <t>Uncharacterized protein n=1 Tax=Siphoviridae sp. ctzr51 TaxID=2825751 RepID=A0A8S5UN49_9CAUD</t>
  </si>
  <si>
    <t>DNAUV-46.098-673_24</t>
  </si>
  <si>
    <t>DNAUV-46.098-673_25</t>
  </si>
  <si>
    <t>Uncharacterized protein n=1 Tax=Pedobacter agri TaxID=454586 RepID=A0A9X3I912_9SPHI</t>
  </si>
  <si>
    <t>DNAUV-46.098-673_27</t>
  </si>
  <si>
    <t>Uncharacterized protein n=1 Tax=Pedobacter sp. ok626 TaxID=1761882 RepID=A0A1G9ICQ1_9SPHI</t>
  </si>
  <si>
    <t>DNAUV-46.098-673_38</t>
  </si>
  <si>
    <t>Single-stranded DNA-binding protein n=1 Tax=Phocaeicola plebeius TaxID=310297 RepID=A0A3E4WFH4_9BACT</t>
  </si>
  <si>
    <t>DNAUV-46.098-673_39</t>
  </si>
  <si>
    <t>YqaJ viral recombinase domain-containing protein n=1 Tax=Dysgonomonas sp. 37-18 TaxID=1895907 RepID=A0A1M3LAG7_9BACT</t>
  </si>
  <si>
    <t>DNAUV-46.098-673_41</t>
  </si>
  <si>
    <t>VOG07438 [FUNC="REFSEQ hypothetical protein"] [TAG=Xu TAGDEF="Function unknown"]</t>
  </si>
  <si>
    <t>Uncharacterized protein n=1 Tax=Croceibacter phage P2559S TaxID=1176422 RepID=I6RTP3_9CAUD</t>
  </si>
  <si>
    <t>DNAUV-46.098-673_42</t>
  </si>
  <si>
    <t>Endodeoxyribonuclease RusA n=1 Tax=Myoviridae sp. ctP6q2 TaxID=2825096 RepID=A0A8S5UUH5_9CAUD</t>
  </si>
  <si>
    <t>DNAUV-46.098-673_45</t>
  </si>
  <si>
    <t>YopX protein domain-containing protein n=1 Tax=Campylobacter estrildidarum TaxID=2510189 RepID=A0A4V6DX16_9BACT</t>
  </si>
  <si>
    <t>DNAUV-46.098-673_46</t>
  </si>
  <si>
    <t>Uncharacterized protein n=1 Tax=Croceibacter phage P2559S TaxID=1176422 RepID=I6S748_9CAUD</t>
  </si>
  <si>
    <t>DNAUV-46.098-673_47</t>
  </si>
  <si>
    <t>DUF2399 domain-containing protein n=5 Tax=Bacteroidaceae TaxID=815 RepID=A0A412VJH2_PHOVU</t>
  </si>
  <si>
    <t>DNAUV-46.098-673_48</t>
  </si>
  <si>
    <t>VOG05229 [FUNC="REFSEQ hypothetical protein"] [TAG=Xu TAGDEF="Function unknown"]</t>
  </si>
  <si>
    <t>Uncharacterized protein n=1 Tax=Croceibacter phage P2559S TaxID=1176422 RepID=I6S2V1_9CAUD</t>
  </si>
  <si>
    <t>DNAUV-46.098-673_49</t>
  </si>
  <si>
    <t>HNH nuclease domain-containing protein n=1 Tax=Myroides odoratus TaxID=256 RepID=A0A378RN42_MYROD</t>
  </si>
  <si>
    <t>DNAUV-46.098-673_50</t>
  </si>
  <si>
    <t>Uncharacterized protein n=1 Tax=Croceibacter phage P2559S TaxID=1176422 RepID=I6R1G5_9CAUD</t>
  </si>
  <si>
    <t>DNAUV-46.098-673_51</t>
  </si>
  <si>
    <t>VOG10784 [FUNC="REFSEQ hypothetical protein"] [TAG=Xu TAGDEF="Function unknown"]</t>
  </si>
  <si>
    <t>ASCH domain-containing protein n=1 Tax=Croceibacter phage P2559S TaxID=1176422 RepID=I6RTQ6_9CAUD</t>
  </si>
  <si>
    <t>DNAUV-46.098-673_52</t>
  </si>
  <si>
    <t>VOG01361 [FUNC="REFSEQ hypothetical protein"] [TAG=Xu TAGDEF="Function unknown"]</t>
  </si>
  <si>
    <t>DNA methylase N-4/N-6 domain-containing protein n=1 Tax=Croceibacter phage P2559S TaxID=1176422 RepID=I6R9Y1_9CAUD</t>
  </si>
  <si>
    <t>DNAUV-46.098-673_53</t>
  </si>
  <si>
    <t>DNAUV-46.098-673_55</t>
  </si>
  <si>
    <t>LNS2 (Lipin/Ned1/Smp2) n=1 Tax=Myoviridae sp. ct5xZ3 TaxID=2827601 RepID=A0A8S5RRR7_9CAUD</t>
  </si>
  <si>
    <t>DNAUV-46.098-673_58</t>
  </si>
  <si>
    <t>DNAUV-46.098-673_61</t>
  </si>
  <si>
    <t>BCTnown n=1 Tax=Vibrio cyclitrophicus TaxID=47951 RepID=A0A7Z1MIQ7_9VIBR</t>
  </si>
  <si>
    <t>DNAUV-46.098-673_65</t>
  </si>
  <si>
    <t>Phage/plasmid-like protein (TIGR03299 family) n=1 Tax=Chitinophaga skermanii TaxID=331697 RepID=A0A327PY55_9BACT</t>
  </si>
  <si>
    <t>DNAUV-46.098-673_66</t>
  </si>
  <si>
    <t>VOG28242 [FUNC="REFSEQ major head protein"] [TAG=Xu TAGDEF="Function unknown"]</t>
  </si>
  <si>
    <t>Putative tail protein n=1 Tax=Croceibacter phage P2559S TaxID=1176422 RepID=I6S2L8_9CAUD</t>
  </si>
  <si>
    <t>DNAUV-46.666-73_18</t>
  </si>
  <si>
    <t>Uncharacterized protein n=1 Tax=Vibrio phage vB_VspS_VS-ABTNL-3 TaxID=2026084 RepID=A0A2D0ZP93_9CAUD</t>
  </si>
  <si>
    <t>DNAUV-46.666-73_20</t>
  </si>
  <si>
    <t>Uncharacterized protein n=1 Tax=Vibrio phage vB_VspS_VS-ABTNL-3 TaxID=2026084 RepID=A0A2D1A3V9_9CAUD</t>
  </si>
  <si>
    <t>DNAUV-46.666-73_21</t>
  </si>
  <si>
    <t>TMhelix containing protein n=2 Tax=unclassified Caudoviricetes TaxID=2788787 RepID=A0A9P0YG58_9CAUD</t>
  </si>
  <si>
    <t>DNAUV-46.666-73_22</t>
  </si>
  <si>
    <t>Peptidase M15C domain-containing protein n=1 Tax=Vibrio phage pYD21-A TaxID=754049 RepID=M4QC08_9CAUD</t>
  </si>
  <si>
    <t>DNAUV-46.666-73_26</t>
  </si>
  <si>
    <t>Putative RNA polymerase n=1 Tax=Vibrio phage vB_VspS_VS-ABTNL-3 TaxID=2026084 RepID=A0A2D1AFL5_9CAUD</t>
  </si>
  <si>
    <t>DNAUV-46.666-73_27</t>
  </si>
  <si>
    <t>Putative endonuclease I n=1 Tax=Vibrio phage vB_VspS_VS-ABTNL-3 TaxID=2026084 RepID=A0A2D0ZPS7_9CAUD</t>
  </si>
  <si>
    <t>DNAUV-46.666-73_30</t>
  </si>
  <si>
    <t>DNAUV-46.666-73_32</t>
  </si>
  <si>
    <t>Uncharacterized protein n=1 Tax=Vibrio phage vB_VspS_VS-ABTNL-3 TaxID=2026084 RepID=A0A2D1A3S0_9CAUD</t>
  </si>
  <si>
    <t>DNAUV-46.666-73_34</t>
  </si>
  <si>
    <t>sp|A0A1C8HSP0|CAPSD_BPPP4 Major capsid protein OS=Pseudomonas phage PaMx41 OX=1815976 GN=PaMx41_ORF11 PE=1 SV=1</t>
  </si>
  <si>
    <t>VOG33446 [FUNC="REFSEQ major head protein"] [TAG=Xu TAGDEF="Function unknown"]</t>
  </si>
  <si>
    <t>DNAUV-46.666-73_36</t>
  </si>
  <si>
    <t>VOG19879 [FUNC="REFSEQ hypothetical protein"] [TAG=Xu TAGDEF="Function unknown"]</t>
  </si>
  <si>
    <t>Uncharacterized protein n=1 Tax=Vibrio phage vB_VspS_VS-ABTNL-3 TaxID=2026084 RepID=A0A2D1A5W9_9CAUD</t>
  </si>
  <si>
    <t>DNAUV-46.666-73_37</t>
  </si>
  <si>
    <t>Tail tubular protein A n=1 Tax=Vibrio phage vB_VspS_VS-ABTNL-3 TaxID=2026084 RepID=A0A2D1AFM2_9CAUD</t>
  </si>
  <si>
    <t>DNAUV-46.666-73_38</t>
  </si>
  <si>
    <t>Putative tail fiber protein n=1 Tax=Vibrio phage vB_VspS_VS-ABTNL-3 TaxID=2026084 RepID=A0A2D0ZPT7_9CAUD</t>
  </si>
  <si>
    <t>DNAUV-46.666-73_39</t>
  </si>
  <si>
    <t>DNAUV-46.666-73_40</t>
  </si>
  <si>
    <t>VOG03025 [FUNC="REFSEQ YomR-like protein"] [TAG=Xu TAGDEF="Function unknown"]</t>
  </si>
  <si>
    <t>DNAUV-46.666-73_41</t>
  </si>
  <si>
    <t>Putative partical protein n=1 Tax=Vibrio phage vB_VspS_VS-ABTNL-3 TaxID=2026084 RepID=A0A2D1A940_9CAUD</t>
  </si>
  <si>
    <t>DNAUV-46.666-73_42</t>
  </si>
  <si>
    <t>Uncharacterized protein n=1 Tax=Vibrio phage vB_VspS_VS-ABTNL-3 TaxID=2026084 RepID=A0A2D0ZP65_9CAUD</t>
  </si>
  <si>
    <t>DNAUV-46.666-73_43</t>
  </si>
  <si>
    <t>N-acetyltransferase domain-containing protein n=1 Tax=Vibrio phage vB_VspS_VS-ABTNL-3 TaxID=2026084 RepID=A0A2D1A3T1_9CAUD</t>
  </si>
  <si>
    <t>DNAUV-46.666-73_44</t>
  </si>
  <si>
    <t>Putative DNA injection protein n=1 Tax=Vibrio phage vB_VspS_VS-ABTNL-3 TaxID=2026084 RepID=A0A2D0ZXG5_9CAUD</t>
  </si>
  <si>
    <t>DNAUV-46.666-73_47</t>
  </si>
  <si>
    <t>Putative amino acid-binding protein n=1 Tax=Vibrio phage vB_VspS_VS-ABTNL-3 TaxID=2026084 RepID=A0A2D1AF90_9CAUD</t>
  </si>
  <si>
    <t>DNAUV-46.666-73_63</t>
  </si>
  <si>
    <t>Uncharacterized protein n=1 Tax=Vibrio phage vB_VspS_VS-ABTNL-3 TaxID=2026084 RepID=A0A2D0ZXH5_9CAUD</t>
  </si>
  <si>
    <t>DNAUV-46.666-73_65</t>
  </si>
  <si>
    <t>Uncharacterized protein n=1 Tax=Vibrio phage vB_VspS_VS-ABTNL-3 TaxID=2026084 RepID=A0A2D1A963_9CAUD</t>
  </si>
  <si>
    <t>DNAUV-46.666-73_67</t>
  </si>
  <si>
    <t>PD-(D/E)XK endonuclease-like domain-containing protein n=1 Tax=Vibrio phage vB_VspS_VS-ABTNL-3 TaxID=2026084 RepID=A0A2D0ZP74_9CAUD</t>
  </si>
  <si>
    <t>DNAUV-46.666-73_69</t>
  </si>
  <si>
    <t>Uncharacterized protein n=1 Tax=Vibrio phage vB_VspS_VS-ABTNL-3 TaxID=2026084 RepID=A0A2D1AFP5_9CAUD</t>
  </si>
  <si>
    <t>DNAUV-46.666-73_71</t>
  </si>
  <si>
    <t>Putative DNA helicase n=1 Tax=Vibrio phage vB_VspS_VS-ABTNL-3 TaxID=2026084 RepID=A0A2D1A5Y9_9CAUD</t>
  </si>
  <si>
    <t>DNAUV-46.666-73_73</t>
  </si>
  <si>
    <t>Uncharacterized protein n=1 Tax=Vibrio phage vB_VspS_VS-ABTNL-3 TaxID=2026084 RepID=A0A2D0ZXH1_9CAUD</t>
  </si>
  <si>
    <t>DNAUV-46.666-73_81</t>
  </si>
  <si>
    <t>DUF3987 domain-containing protein n=1 Tax=Vibrio phage vB_VspS_VS-ABTNL-3 TaxID=2026084 RepID=A0A2D1AFN5_9CAUD</t>
  </si>
  <si>
    <t>DNAUV-48.475-181_111</t>
  </si>
  <si>
    <t>Uncharacterized protein n=1 Tax=Pseudacidovorax sp. RU35E TaxID=1907403 RepID=A0A1N6PAU3_9BURK</t>
  </si>
  <si>
    <t>DNAUV-48.475-181_118</t>
  </si>
  <si>
    <t>Exodeoxyribonuclease 8 n=1 Tax=Siphoviridae sp. ct6bb17 TaxID=2825345 RepID=A0A8S5NY12_9CAUD</t>
  </si>
  <si>
    <t>DNAUV-48.475-181_119</t>
  </si>
  <si>
    <t>Uncharacterized protein n=1 Tax=Pelagibius litoralis TaxID=374515 RepID=A0A967KC12_9HYPH</t>
  </si>
  <si>
    <t>DNAUV-48.475-181_15</t>
  </si>
  <si>
    <t>DUF1353 domain-containing protein n=1 Tax=Shewanella piezotolerans (strain WP3 / JCM 13877) TaxID=225849 RepID=B8CPT5_SHEPW</t>
  </si>
  <si>
    <t>DNAUV-48.475-181_17</t>
  </si>
  <si>
    <t>sp|P51715|DAM_BPHC1 DNA N-6-adenine-methyltransferase OS=Haemophilus phage HP1 (strain HP1c1) OX=1289570 PE=1 SV=1</t>
  </si>
  <si>
    <t>Phage N-6-adenine-methyltransferase n=1 Tax=Atlantibacter subterranea TaxID=255519 RepID=A0A3R9EFE5_9ENTR</t>
  </si>
  <si>
    <t>DNAUV-48.475-181_22</t>
  </si>
  <si>
    <t>VRR-NUC domain-containing protein n=1 Tax=Synechococcus phage S-H1 TaxID=2488632 RepID=A0A3G6VAB6_9CAUD</t>
  </si>
  <si>
    <t>DNAUV-48.475-181_33</t>
  </si>
  <si>
    <t>DNAUV-48.475-181_34</t>
  </si>
  <si>
    <t>DNAUV-48.475-181_39</t>
  </si>
  <si>
    <t>Head decoration protein n=1 Tax=Shewanella phage SFCi1 TaxID=1852599 RepID=A0A1B0Z1G4_9CAUD</t>
  </si>
  <si>
    <t>DNAUV-48.475-181_42</t>
  </si>
  <si>
    <t>Major capsid protein n=1 Tax=Vibrio phage 1.223.O._10N.261.48.A9 TaxID=1881350 RepID=A0A2I7RRN9_9CAUD</t>
  </si>
  <si>
    <t>DNAUV-48.475-181_44</t>
  </si>
  <si>
    <t>DNAUV-48.475-181_46</t>
  </si>
  <si>
    <t>DNAUV-48.475-181_49</t>
  </si>
  <si>
    <t>DNAUV-48.475-181_50</t>
  </si>
  <si>
    <t>DNAUV-48.475-181_55</t>
  </si>
  <si>
    <t>DNAUV-48.475-181_56</t>
  </si>
  <si>
    <t>TIGR04388 family protein n=1 Tax=Leptospira idonii TaxID=1193500 RepID=A0A4R9M4B8_9LEPT</t>
  </si>
  <si>
    <t>DNAUV-48.475-181_57</t>
  </si>
  <si>
    <t>DNAUV-48.475-181_59</t>
  </si>
  <si>
    <t>Putative tail-fiber protein n=1 Tax=Vibrio phage VP16T TaxID=238892 RepID=Q6VT57_9CAUD</t>
  </si>
  <si>
    <t>DNAUV-48.475-181_60</t>
  </si>
  <si>
    <t>Uncharacterized protein orf23T n=1 Tax=Vibrio phage VP16T TaxID=238892 RepID=Q6VT58_9CAUD</t>
  </si>
  <si>
    <t>DNAUV-48.475-181_62</t>
  </si>
  <si>
    <t>Minor tail protein n=1 Tax=Gordonia phage Ohgeesy TaxID=2762412 RepID=A0A7G8LG85_9CAUD</t>
  </si>
  <si>
    <t>DNAUV-48.671-99_10</t>
  </si>
  <si>
    <t>Major capsid protein n=2 Tax=Incheonvirus TaxID=2976977 RepID=A0A0F7IN85_9CAUD</t>
  </si>
  <si>
    <t>DNAUV-48.671-99_11</t>
  </si>
  <si>
    <t>DNA-binding protein n=2 Tax=Incheonvirus TaxID=2976977 RepID=A0A0F7IJN6_9CAUD</t>
  </si>
  <si>
    <t>DNAUV-48.671-99_12</t>
  </si>
  <si>
    <t>DNAUV-48.671-99_13</t>
  </si>
  <si>
    <t>DNAUV-48.671-99_14</t>
  </si>
  <si>
    <t>DNAUV-48.671-99_15</t>
  </si>
  <si>
    <t>VOG37364 [FUNC="REFSEQ hypothetical protein"] [TAG=Xu TAGDEF="Function unknown"]</t>
  </si>
  <si>
    <t>Uncharacterized protein n=1 Tax=Polaribacter phage P12002S TaxID=1647387 RepID=A0A0F7DD24_9CAUD</t>
  </si>
  <si>
    <t>DNAUV-48.671-99_17</t>
  </si>
  <si>
    <t>Structural protein n=1 Tax=Cellulophaga phage phi19:1 TaxID=1327970 RepID=R9ZYH6_9CAUD</t>
  </si>
  <si>
    <t>DNAUV-48.671-99_18</t>
  </si>
  <si>
    <t>DNAUV-48.671-99_19</t>
  </si>
  <si>
    <t>Structural protein n=5 Tax=unclassified Caudoviricetes TaxID=2788787 RepID=M1PXR5_9CAUD</t>
  </si>
  <si>
    <t>DNAUV-48.671-99_21</t>
  </si>
  <si>
    <t>Uncharacterized protein n=1 Tax=Maribacter sp. 4U21 TaxID=1889779 RepID=A0A2G5KHD0_9FLAO</t>
  </si>
  <si>
    <t>DNAUV-48.671-99_24</t>
  </si>
  <si>
    <t>VOG25241 [FUNC="REFSEQ hypothetical protein"] [TAG=Xu TAGDEF="Function unknown"]</t>
  </si>
  <si>
    <t>Uncharacterized protein n=1 Tax=Robiginitalea biformata (strain ATCC BAA-864 / HTCC2501 / KCTC 12146) TaxID=313596 RepID=A4CP48_ROBBH</t>
  </si>
  <si>
    <t>DNAUV-48.671-99_27</t>
  </si>
  <si>
    <t>MAM protein n=1 Tax=Meridianimaribacter sp. CL38 TaxID=2213021 RepID=A0A4V2KEK7_9FLAO</t>
  </si>
  <si>
    <t>DNAUV-48.671-99_29</t>
  </si>
  <si>
    <t>Uncharacterized protein n=1 Tax=Robiginitalea biformata (strain ATCC BAA-864 / HTCC2501 / KCTC 12146) TaxID=313596 RepID=A4CKQ4_ROBBH</t>
  </si>
  <si>
    <t>DNAUV-48.671-99_3</t>
  </si>
  <si>
    <t>DNAUV-48.671-99_39</t>
  </si>
  <si>
    <t>Uncharacterized protein n=1 Tax=Siphoviridae sp. ctpLW14 TaxID=2826464 RepID=A0A8S5NA83_9CAUD</t>
  </si>
  <si>
    <t>DNAUV-48.671-99_50</t>
  </si>
  <si>
    <t>VOG16884 [FUNC="REFSEQ hypothetical protein"] [TAG=Xu TAGDEF="Function unknown"]</t>
  </si>
  <si>
    <t>Magnesium and cobalt transport protein CorA n=1 Tax=Xanthomarina gelatinilytica TaxID=1137281 RepID=A0A3D6BLM2_9FLAO</t>
  </si>
  <si>
    <t>DNAUV-48.671-99_53</t>
  </si>
  <si>
    <t>HTH psq-type domain-containing protein n=1 Tax=Aeribacillus pallidus TaxID=33936 RepID=A0A165XLQ7_9BACI</t>
  </si>
  <si>
    <t>DNAUV-48.671-99_55</t>
  </si>
  <si>
    <t>Uncharacterized protein n=1 Tax=Chitinophaga pinensis (strain ATCC 43595 / DSM 2588 / LMG 13176 / NBRC 15968 / NCIMB 11800 / UQM 2034) TaxID=485918 RepID=A0A979GSC1_CHIPD</t>
  </si>
  <si>
    <t>DNAUV-48.671-99_56</t>
  </si>
  <si>
    <t>DNAUV-48.671-99_57</t>
  </si>
  <si>
    <t>Uncharacterized protein n=1 Tax=Myroides marinus TaxID=703342 RepID=A0A165R043_9FLAO</t>
  </si>
  <si>
    <t>DNAUV-48.671-99_58</t>
  </si>
  <si>
    <t>VOG22618 [FUNC="REFSEQ hypothetical protein"] [TAG=Xu TAGDEF="Function unknown"]</t>
  </si>
  <si>
    <t>Uncharacterized protein n=1 Tax=Nonlabens phage P12024S TaxID=1168478 RepID=I6RT89_9CAUD</t>
  </si>
  <si>
    <t>DNAUV-48.671-99_59</t>
  </si>
  <si>
    <t>sp|O48427|NING_BPH19 Protein ninG OS=Enterobacteria phage H19B OX=69932 GN=ninG PE=3 SV=1</t>
  </si>
  <si>
    <t>Recombination protein NinG n=1 Tax=Formosa sp. Hel1_33_131 TaxID=1336794 RepID=A0A1D7XZJ7_9FLAO</t>
  </si>
  <si>
    <t>DNAUV-48.671-99_60</t>
  </si>
  <si>
    <t>MarR family protein n=1 Tax=Aquimarina intermedia TaxID=350814 RepID=A0A5S5BWY1_9FLAO</t>
  </si>
  <si>
    <t>DNAUV-48.671-99_61</t>
  </si>
  <si>
    <t>Uncharacterized protein n=1 Tax=Olleya phage Harreka_1 TaxID=2745673 RepID=A0A8E4ZLR2_9CAUD</t>
  </si>
  <si>
    <t>DNAUV-48.671-99_62</t>
  </si>
  <si>
    <t>Endonuclease n=1 Tax=Anaerosacchariphilus polymeriproducens TaxID=1812858 RepID=A0A371AQS8_9FIRM</t>
  </si>
  <si>
    <t>DNAUV-48.671-99_63</t>
  </si>
  <si>
    <t>DNAUV-48.671-99_64</t>
  </si>
  <si>
    <t>VOG16485 [FUNC="REFSEQ hypothetical protein"] [TAG=Xu TAGDEF="Function unknown"]</t>
  </si>
  <si>
    <t>Uncharacterized protein n=1 Tax=Cellulophaga phage phi18:3 TaxID=1327983 RepID=S0A216_9CAUD</t>
  </si>
  <si>
    <t>DNAUV-48.671-99_7</t>
  </si>
  <si>
    <t>Phage portal protein n=2 Tax=Incheonvirus TaxID=2976977 RepID=A0A0F7IKJ8_9CAUD</t>
  </si>
  <si>
    <t>DNAUV-48.671-99_9</t>
  </si>
  <si>
    <t>VOG10872 [FUNC="REFSEQ hypothetical protein"] [TAG=Xu TAGDEF="Function unknown"]</t>
  </si>
  <si>
    <t>Phage protein n=2 Tax=Robiginitalea TaxID=252306 RepID=A4CP63_ROBBH</t>
  </si>
  <si>
    <t>DNAUV-48.934-1423_11</t>
  </si>
  <si>
    <t>YqaJ-like viral recombinase domain-containing protein n=1 Tax=Alteromonas phage XX1924 TaxID=2664192 RepID=A0A6B9J4T7_9CAUD</t>
  </si>
  <si>
    <t>DNAUV-48.934-1423_15</t>
  </si>
  <si>
    <t>Uncharacterized protein n=1 Tax=Rhizobium phage RHph_Y65 TaxID=2509785 RepID=A0A7S5RIC8_9CAUD</t>
  </si>
  <si>
    <t>DNAUV-48.934-1423_2</t>
  </si>
  <si>
    <t>Putative endonuclease n=2 Tax=Coccolithovirus TaxID=346673 RepID=Q4A2Q2_EHV8U</t>
  </si>
  <si>
    <t>DNAUV-48.934-1423_35</t>
  </si>
  <si>
    <t>VOG36002 [FUNC="REFSEQ hypothetical protein"] [TAG=Xu TAGDEF="Function unknown"]</t>
  </si>
  <si>
    <t>Cysteine-rich CPCC n=1 Tax=Tsukamurella tyrosinosolvens TaxID=57704 RepID=A0A1H4UF85_TSUTY</t>
  </si>
  <si>
    <t>DNAUV-48.934-1423_38</t>
  </si>
  <si>
    <t>DUF3987 domain-containing protein n=1 Tax=Cronobacter phage vB_CsaP_Ss1 TaxID=1498011 RepID=A0A096XUW1_9CAUD</t>
  </si>
  <si>
    <t>DNAUV-48.934-1423_4</t>
  </si>
  <si>
    <t>VOG01656 [FUNC="REFSEQ hypothetical protein"] [TAG=Xu TAGDEF="Function unknown"]</t>
  </si>
  <si>
    <t>Uncharacterized protein n=2 Tax=unclassified Queuovirinae TaxID=2853007 RepID=A0A9X9HSF0_9CAUD</t>
  </si>
  <si>
    <t>DNAUV-48.934-1423_41</t>
  </si>
  <si>
    <t>VOG02911 [FUNC="REFSEQ hypothetical protein"] [TAG=Xu TAGDEF="Function unknown"]</t>
  </si>
  <si>
    <t>Baseplate hub protein n=1 Tax=Phage vB_KsaM-C1 TaxID=2961711 RepID=A0A9E7SQC3_9CAUD</t>
  </si>
  <si>
    <t>DNAUV-48.934-1423_43</t>
  </si>
  <si>
    <t>Endonuclease n=3 Tax=unclassified Queuovirinae TaxID=2853007 RepID=A0A6B7K6B5_9CAUD</t>
  </si>
  <si>
    <t>DNAUV-48.934-1423_45</t>
  </si>
  <si>
    <t>Uncharacterized protein n=2 Tax=unclassified Queuovirinae TaxID=2853007 RepID=A0A9X9HS81_9CAUD</t>
  </si>
  <si>
    <t>DNAUV-48.934-1423_46</t>
  </si>
  <si>
    <t>DUF4055 domain-containing protein n=1 Tax=Bradyrhizobium sp. Leo121 TaxID=1571195 RepID=A0A4Q7G3D5_9BRAD</t>
  </si>
  <si>
    <t>DNAUV-48.934-1423_47</t>
  </si>
  <si>
    <t>Phage head morphogenesis domain-containing protein n=1 Tax=Loktanella sp. 3ANDIMAR09 TaxID=1225657 RepID=A0A0Q2Y0Z1_9RHOB</t>
  </si>
  <si>
    <t>DNAUV-48.934-1423_48</t>
  </si>
  <si>
    <t>VOG04556 [FUNC="REFSEQ hypothetical protein"] [TAG=Xu TAGDEF="Function unknown"]</t>
  </si>
  <si>
    <t>Phage protein n=1 Tax=Jejubacter calystegiae TaxID=2579935 RepID=A0A4P8YLR8_9ENTR</t>
  </si>
  <si>
    <t>DNAUV-48.934-1423_49</t>
  </si>
  <si>
    <t>P22 coat-protein 5 family protein n=1 Tax=Desulfovibrio fairfieldensis TaxID=44742 RepID=A0A0X8JIL2_9BACT</t>
  </si>
  <si>
    <t>DNAUV-48.934-1423_51</t>
  </si>
  <si>
    <t>Phage head-tail adaptor, putative, SPP1 family n=1 Tax=Thermoactinomyces sp. DSM 45892 TaxID=1882753 RepID=A0A1H3I5Y2_9BACL</t>
  </si>
  <si>
    <t>DNAUV-48.934-1423_52</t>
  </si>
  <si>
    <t>DNAUV-48.934-1423_55</t>
  </si>
  <si>
    <t>DUF3277 family protein n=1 Tax=Pseudomonas arsenicoxydans TaxID=702115 RepID=A0A502HNS4_9PSED</t>
  </si>
  <si>
    <t>DNAUV-48.934-1423_65</t>
  </si>
  <si>
    <t>Tail fiber protein n=1 Tax=Vibrio phage 1.101.O._10N.261.45.C6 TaxID=2070725 RepID=A0A2I7R1R7_9CAUD</t>
  </si>
  <si>
    <t>DNAUV-48.934-1423_66</t>
  </si>
  <si>
    <t>Uncharacterized protein n=1 Tax=Vibrio phage 1.052.A._10N.286.46.C3 TaxID=2070717 RepID=A0A2I7QS84_9CAUD</t>
  </si>
  <si>
    <t>DNAUV-48.934-1423_67</t>
  </si>
  <si>
    <t>Tail fiber protein n=1 Tax=Rhodoferax phage P26218 TaxID=1636270 RepID=A0A0E3JSA8_9CAUD</t>
  </si>
  <si>
    <t>DNAUV-48.934-1423_68</t>
  </si>
  <si>
    <t>Holin of 3TMs, for gene-transfer release n=1 Tax=Humidesulfovibrio mexicanus TaxID=147047 RepID=A0A239AWG2_9BACT</t>
  </si>
  <si>
    <t>DNAUV-48.934-1423_8</t>
  </si>
  <si>
    <t>Phage nucleotide-binding protein n=1 Tax=Tepidimonas taiwanensis TaxID=307486 RepID=A0A554XB28_9BURK</t>
  </si>
  <si>
    <t>DNAUV-48.934-1423_9</t>
  </si>
  <si>
    <t>DUF669 domain-containing protein n=2 Tax=Porphyrobacter sp. LM 6 TaxID=1896196 RepID=A0A1D7NJP0_9SPHN</t>
  </si>
  <si>
    <t>DNAUV-5.045-610_12</t>
  </si>
  <si>
    <t>DNAUV-5.045-610_8</t>
  </si>
  <si>
    <t>DNAUV-5.055-156_20</t>
  </si>
  <si>
    <t>Uncharacterized protein n=1 Tax=Roseobacter phage CRP-2 TaxID=2559281 RepID=A0A646QWG5_9CAUD</t>
  </si>
  <si>
    <t>DNAUV-5.055-156_21</t>
  </si>
  <si>
    <t>Uncharacterized protein n=1 Tax=Gammaproteobacteria virus GOV_bin_2604 TaxID=2562602 RepID=A0A4D6BIB5_9CAUD</t>
  </si>
  <si>
    <t>DNAUV-5.088-11_4</t>
  </si>
  <si>
    <t>DNAUV-5.088-11_9</t>
  </si>
  <si>
    <t>Putative exonuclease n=1 Tax=Erwinia phage phiEaP8 TaxID=2178928 RepID=A0A3G1QTM6_9CAUD</t>
  </si>
  <si>
    <t>DNAUV-5.092-27_2</t>
  </si>
  <si>
    <t>Uncharacterized protein n=2 Tax=root TaxID=1 RepID=A0A1B1P731_9CAUD</t>
  </si>
  <si>
    <t>DNAUV-5.102-23_11</t>
  </si>
  <si>
    <t>DNAUV-5.102-23_12</t>
  </si>
  <si>
    <t>DNAUV-5.102-23_9</t>
  </si>
  <si>
    <t>DNAUV-5.120-119_12</t>
  </si>
  <si>
    <t>VRR-NUC domain protein n=1 Tax=Cellulophaga phage phi46:1 TaxID=1327974 RepID=S0A0V1_9CAUD</t>
  </si>
  <si>
    <t>DNAUV-5.120-119_8</t>
  </si>
  <si>
    <t>Bacteriophage T5 Orf172 DNA-binding domain-containing protein n=1 Tax=Phaeodactylibacter xiamenensis TaxID=1524460 RepID=A0A098S9V2_9BACT</t>
  </si>
  <si>
    <t>DNAUV-5.132-105_11</t>
  </si>
  <si>
    <t>DNAUV-5.132-105_16</t>
  </si>
  <si>
    <t>DNAUV-5.146-200_1</t>
  </si>
  <si>
    <t>DNAUV-5.146-200_2</t>
  </si>
  <si>
    <t>Uncharacterized protein n=1 Tax=Lacinutrix sp. WUR7 TaxID=2653681 RepID=A0A974YVU7_9FLAO</t>
  </si>
  <si>
    <t>DNAUV-5.146-200_3</t>
  </si>
  <si>
    <t>Tail tape measure protein n=1 Tax=Nonlabens phage P12024S TaxID=1168478 RepID=I6S6P8_9CAUD</t>
  </si>
  <si>
    <t>DNAUV-5.151-166_17</t>
  </si>
  <si>
    <t>Phage tail protein n=2 Tax=Alkalilimnicola ehrlichii TaxID=351052 RepID=A0A3E0WS18_9GAMM</t>
  </si>
  <si>
    <t>DNAUV-5.164-153_15</t>
  </si>
  <si>
    <t>AP2 domain-containing protein n=3 Tax=unclassified Mesorhizobium TaxID=325217 RepID=A0A5F2HX60_9HYPH</t>
  </si>
  <si>
    <t>DNAUV-5.164-153_3</t>
  </si>
  <si>
    <t>DNAUV-5.164-153_4</t>
  </si>
  <si>
    <t>DNAUV-5.164-153_9</t>
  </si>
  <si>
    <t>Uncharacterized protein n=1 Tax=Asticcacaulis excentricus TaxID=78587 RepID=A0A3G9G6N4_9CAUL</t>
  </si>
  <si>
    <t>DNAUV-5.170-14_10</t>
  </si>
  <si>
    <t>Endonuclease n=1 Tax=Paraglaciecola Antarctic GD virus 1 TaxID=2945130 RepID=A0A9E7J6V1_9VIRU</t>
  </si>
  <si>
    <t>DNAUV-5.170-14_6</t>
  </si>
  <si>
    <t>Uncharacterized protein n=1 Tax=Tenacibaculum phage pT24 TaxID=1880590 RepID=A0A1B4XWE1_9CAUD</t>
  </si>
  <si>
    <t>DNAUV-5.170-14_7</t>
  </si>
  <si>
    <t>VOG30265 [FUNC="REFSEQ hypothetical protein"] [TAG=Xu TAGDEF="Function unknown"]</t>
  </si>
  <si>
    <t>Cupin n=1 Tax=Tenacibaculum phage pT24 TaxID=1880590 RepID=A0A1B4XWE7_9CAUD</t>
  </si>
  <si>
    <t>DNAUV-5.176-80_3</t>
  </si>
  <si>
    <t>DNAUV-5.176-80_4</t>
  </si>
  <si>
    <t>Phosphoadenosine phosphosulphate reductase domain-containing protein n=1 Tax=Kosakonia quasisacchari TaxID=2529380 RepID=A0A4R0HIU0_9ENTR</t>
  </si>
  <si>
    <t>DNAUV-5.176-80_5</t>
  </si>
  <si>
    <t>SAM-dependent methyltransferase n=1 Tax=Mesorhizobium wenxiniae TaxID=2014805 RepID=A0A271KE96_9HYPH</t>
  </si>
  <si>
    <t>DNAUV-5.176-80_6</t>
  </si>
  <si>
    <t>Uncharacterized protein n=1 Tax=Roseobacter phage CRP-2 TaxID=2559281 RepID=A0A646QVQ2_9CAUD</t>
  </si>
  <si>
    <t>DNAUV-5.178-43_2</t>
  </si>
  <si>
    <t>VOG35572 [FUNC="REFSEQ hypothetical protein"] [TAG=Xu TAGDEF="Function unknown"]</t>
  </si>
  <si>
    <t>Coil containing protein n=1 Tax=Vibrio phage 1.161.O._10N.261.48.C5 TaxID=1881340 RepID=A0A2I7RD57_9CAUD</t>
  </si>
  <si>
    <t>DNAUV-5.178-43_4</t>
  </si>
  <si>
    <t>DNAUV-5.178-43_5</t>
  </si>
  <si>
    <t>TMhelix containing protein n=1 Tax=Vibrio phage 1.187.O._10N.286.49.F1 TaxID=1881434 RepID=A0A2I7RIS8_9CAUD</t>
  </si>
  <si>
    <t>DNAUV-5.187-100_15</t>
  </si>
  <si>
    <t>DNAUV-5.187-100_16</t>
  </si>
  <si>
    <t>VOG07976 [FUNC="REFSEQ hypothetical protein"] [TAG=Xu TAGDEF="Function unknown"]</t>
  </si>
  <si>
    <t>GIY-YIG nuclease family protein n=2 Tax=Sarumanvirus TaxID=2843450 RepID=A0A482MLK5_9CAUD</t>
  </si>
  <si>
    <t>DNAUV-5.187-100_22</t>
  </si>
  <si>
    <t>VOG05240 [FUNC="REFSEQ hypothetical protein"] [TAG=Xu TAGDEF="Function unknown"]</t>
  </si>
  <si>
    <t>Uncharacterized protein n=1 Tax=Klebsiella phage N1M2 TaxID=2664939 RepID=A0A6B7ZFH3_9CAUD</t>
  </si>
  <si>
    <t>DNAUV-5.190-12_2</t>
  </si>
  <si>
    <t>DNAUV-5.190-86_9</t>
  </si>
  <si>
    <t>DNAUV-5.200-20_4</t>
  </si>
  <si>
    <t>Uncharacterized protein n=1 Tax=Virus NIOZ-UU157 TaxID=2763269 RepID=A0A7S9STD4_9VIRU</t>
  </si>
  <si>
    <t>DNAUV-5.200-20_5</t>
  </si>
  <si>
    <t>Endonuclease n=1 Tax=Virus NIOZ-UU157 TaxID=2763269 RepID=A0A7S9XGL8_9VIRU</t>
  </si>
  <si>
    <t>DNAUV-5.218-135_1</t>
  </si>
  <si>
    <t>DNAUV-5.218-135_3</t>
  </si>
  <si>
    <t>Uncharacterized protein n=1 Tax=Bordetella phage vB_BbrP_BB8 TaxID=2587820 RepID=A0A4Y5TNX6_9CAUD</t>
  </si>
  <si>
    <t>DNAUV-5.218-135_6</t>
  </si>
  <si>
    <t>DNAUV-5.235-14_11</t>
  </si>
  <si>
    <t>VOG28020 [FUNC="REFSEQ HNH endonuclease"] [TAG=Xu TAGDEF="Function unknown"]</t>
  </si>
  <si>
    <t>Homing endonuclease LAGLIDADG domain-containing protein n=2 Tax=Tolypothrix sp. NIES-4075 TaxID=2005459 RepID=A0A218QHU4_9CYAN</t>
  </si>
  <si>
    <t>DNAUV-5.235-14_8</t>
  </si>
  <si>
    <t>DNAUV-5.260-14_11</t>
  </si>
  <si>
    <t>Cupin n=1 Tax=Roseivivax isoporae LMG 25204 TaxID=1449351 RepID=X7F1I6_9RHOB</t>
  </si>
  <si>
    <t>DNAUV-5.260-14_13</t>
  </si>
  <si>
    <t>VOG00479 [FUNC="REFSEQ hypothetical protein"] [TAG=Xu TAGDEF="Function unknown"]</t>
  </si>
  <si>
    <t>Holliday junction resolvase n=1 Tax=Bacteriophage DSS3_MAL1 TaxID=2664194 RepID=A0A7S5FT79_9CAUD</t>
  </si>
  <si>
    <t>DNAUV-5.260-14_17</t>
  </si>
  <si>
    <t>Uncharacterized protein n=1 Tax=Phaeobacter phage MD18 TaxID=2723761 RepID=A0A6H1Z5H4_9CAUD</t>
  </si>
  <si>
    <t>DNAUV-5.260-14_18</t>
  </si>
  <si>
    <t>Ribonucleoside-triphosphate reductase n=3 Tax=Emdodecavirus TaxID=1980937 RepID=S5MBP4_9CAUD</t>
  </si>
  <si>
    <t>DNAUV-5.269-158_10</t>
  </si>
  <si>
    <t>DNAUV-5.269-158_11</t>
  </si>
  <si>
    <t>DNAUV-5.269-158_16</t>
  </si>
  <si>
    <t>DNAUV-5.269-158_9</t>
  </si>
  <si>
    <t>DNAUV-5.271-16_11</t>
  </si>
  <si>
    <t>Uncharacterized protein n=1 Tax=Pusillimonas sp. (ex Stolz et al. 2005) TaxID=1979962 RepID=A0A2D7XCK5_9BURK</t>
  </si>
  <si>
    <t>DNAUV-5.271-16_5</t>
  </si>
  <si>
    <t>DNAUV-5.271-16_7</t>
  </si>
  <si>
    <t>DNAUV-5.271-16_8</t>
  </si>
  <si>
    <t>Endonuclease VII n=1 Tax=Klebsiella phage vB_KpnS_ZX4 TaxID=2820395 RepID=A0A8A6C9M7_9CAUD</t>
  </si>
  <si>
    <t>DNAUV-5.276-1364_2</t>
  </si>
  <si>
    <t>DNAUV-5.276-1364_5</t>
  </si>
  <si>
    <t>Methyltransferase domain protein n=1 Tax=Podoviridae sp. ctrTa16 TaxID=2656715 RepID=A0A5Q2W6N8_9CAUD</t>
  </si>
  <si>
    <t>DNAUV-5.308-10_7</t>
  </si>
  <si>
    <t>VRR-NUC domain-containing protein n=1 Tax=Synechococcus phage S-CAM8 TaxID=754038 RepID=G8EY39_9CAUD</t>
  </si>
  <si>
    <t>DNAUV-5.320-300_16</t>
  </si>
  <si>
    <t>DNAUV-5.320-300_17</t>
  </si>
  <si>
    <t>DNAUV-5.321-136_10</t>
  </si>
  <si>
    <t>DNAUV-5.321-136_11</t>
  </si>
  <si>
    <t>DNAUV-5.321-136_14</t>
  </si>
  <si>
    <t>DNAUV-5.321-136_15</t>
  </si>
  <si>
    <t>DNAUV-5.321-136_16</t>
  </si>
  <si>
    <t>Tail fiber protein n=1 Tax=Vibrio phage Vc1 TaxID=1480731 RepID=X2L0C2_9CAUD</t>
  </si>
  <si>
    <t>DNAUV-5.321-136_18</t>
  </si>
  <si>
    <t>DNAUV-5.321-136_20</t>
  </si>
  <si>
    <t>DNAUV-5.324-17_1</t>
  </si>
  <si>
    <t>VOG01135 [FUNC="REFSEQ hypothetical protein"] [TAG=Xu TAGDEF="Function unknown"]</t>
  </si>
  <si>
    <t>Putative conserved protein n=1 Tax=Rhizobium favelukesii TaxID=348824 RepID=W6RBG3_9HYPH</t>
  </si>
  <si>
    <t>DNAUV-5.324-17_2</t>
  </si>
  <si>
    <t>DNAUV-5.324-17_3</t>
  </si>
  <si>
    <t>Ubiquitin-activating enzyme E1 FCCH domain-containing protein n=1 Tax=Pusillimonas sp. (ex Stolz et al. 2005) TaxID=1979962 RepID=A0A2D7XCM5_9BURK</t>
  </si>
  <si>
    <t>DNAUV-5.324-17_4</t>
  </si>
  <si>
    <t>DNAUV-5.324-17_5</t>
  </si>
  <si>
    <t>Uncharacterized protein n=1 Tax=Aminobacter sp. MSH1 TaxID=374606 RepID=A0A2S0XED7_9HYPH</t>
  </si>
  <si>
    <t>DNAUV-5.343-12_3</t>
  </si>
  <si>
    <t>DNA modification protein n=1 Tax=Listeria phage LP-031 TaxID=2590049 RepID=A0A514U7E2_9CAUD</t>
  </si>
  <si>
    <t>DNAUV-5.343-12_7</t>
  </si>
  <si>
    <t>DNAUV-5.343-12_8</t>
  </si>
  <si>
    <t>DNAUV-5.343-12_9</t>
  </si>
  <si>
    <t>DNAUV-5.349-13_5</t>
  </si>
  <si>
    <t>Uncharacterized protein n=1 Tax=Aquitalea sp. USM4 TaxID=1590041 RepID=A0A4P6TQK2_9NEIS</t>
  </si>
  <si>
    <t>DNAUV-5.384-113_15</t>
  </si>
  <si>
    <t>DNAUV-5.384-113_16</t>
  </si>
  <si>
    <t>DNAUV-5.390-384_8</t>
  </si>
  <si>
    <t>DNAUV-5.414-14_12</t>
  </si>
  <si>
    <t>RecA-like DNA recombinase n=1 Tax=Gordonia phage GMA2 TaxID=1647283 RepID=A0A0K0N6N5_9CAUD</t>
  </si>
  <si>
    <t>DNAUV-5.427-16_1</t>
  </si>
  <si>
    <t>DNAUV-5.427-16_2</t>
  </si>
  <si>
    <t>DNAUV-5.427-16_3</t>
  </si>
  <si>
    <t>Holin n=1 Tax=Pelagibacter phage Mosig EXVC030M TaxID=2759214 RepID=A0A7S6ILP2_9CAUD</t>
  </si>
  <si>
    <t>DNAUV-5.427-16_4</t>
  </si>
  <si>
    <t>VOG03657 [FUNC="REFSEQ hypothetical protein"] [TAG=Xu TAGDEF="Function unknown"]</t>
  </si>
  <si>
    <t>Uncharacterized protein n=2 Tax=Synechococcus phage S-CAM7 TaxID=1883368 RepID=A0A7D5FNF4_9CAUD</t>
  </si>
  <si>
    <t>DNAUV-5.427-16_5</t>
  </si>
  <si>
    <t>DNA primase n=3 Tax=Emdodecavirus TaxID=1980937 RepID=S5MQF2_9CAUD</t>
  </si>
  <si>
    <t>DNAUV-5.427-16_8</t>
  </si>
  <si>
    <t>DNAUV-5.434-17_1</t>
  </si>
  <si>
    <t>DNAUV-5.434-17_10</t>
  </si>
  <si>
    <t>DNAUV-5.434-17_5</t>
  </si>
  <si>
    <t>DNAUV-5.435-284_10</t>
  </si>
  <si>
    <t>DNAUV-5.435-284_11</t>
  </si>
  <si>
    <t>HNH endonuclease n=1 Tax=Bacteriophage DSS3_MAL1 TaxID=2664194 RepID=A0A7S5FT63_9CAUD</t>
  </si>
  <si>
    <t>DNAUV-5.435-284_12</t>
  </si>
  <si>
    <t>DNAUV-5.435-284_13</t>
  </si>
  <si>
    <t>Major capsid protein n=1 Tax=Roseobacter phage CRP-4 TaxID=2559283 RepID=A0A646QW65_9CAUD</t>
  </si>
  <si>
    <t>DNAUV-5.450-206_1</t>
  </si>
  <si>
    <t>DNAUV-5.450-206_5</t>
  </si>
  <si>
    <t>DNAUV-5.468-24_1</t>
  </si>
  <si>
    <t>Nuclease-associated modular DNA-binding 1 domain-containing protein n=1 Tax=Falsihalocynthiibacter arcticus TaxID=1579316 RepID=A0A126UVR7_9RHOB</t>
  </si>
  <si>
    <t>DNAUV-5.468-24_16</t>
  </si>
  <si>
    <t>DNAUV-5.468-24_19</t>
  </si>
  <si>
    <t>DNAUV-5.468-24_21</t>
  </si>
  <si>
    <t>DNAUV-5.468-24_3</t>
  </si>
  <si>
    <t>Endodeoxyribonuclease RusA n=1 Tax=Pseudoxanthomonas suwonensis (strain 11-1) TaxID=743721 RepID=E6WS53_PSEUU</t>
  </si>
  <si>
    <t>DNAUV-5.512-54_4</t>
  </si>
  <si>
    <t>DNAUV-5.512-54_6</t>
  </si>
  <si>
    <t>DNAUV-5.512-54_7</t>
  </si>
  <si>
    <t>DNA modification protein n=4 Tax=Efquatrovirus TaxID=2560124 RepID=A0A7S6KD72_9CAUD</t>
  </si>
  <si>
    <t>DNAUV-5.512-54_9</t>
  </si>
  <si>
    <t>Uncharacterized protein n=1 Tax=Muricauda sp. TMED12 TaxID=1986608 RepID=A0A3R7SVY2_9FLAO</t>
  </si>
  <si>
    <t>DNAUV-5.518-23_1</t>
  </si>
  <si>
    <t>Peptidyl-tRNA hydrolase n=1 Tax=Myoviridae sp. ctNQV2 TaxID=2827683 RepID=A0A8S5RZP1_9CAUD</t>
  </si>
  <si>
    <t>DNAUV-5.518-23_3</t>
  </si>
  <si>
    <t>DNAUV-5.518-23_5</t>
  </si>
  <si>
    <t>DNAUV-5.521-60_2</t>
  </si>
  <si>
    <t>DNAUV-5.521-60_4</t>
  </si>
  <si>
    <t>DNAUV-5.521-60_5</t>
  </si>
  <si>
    <t>DNAUV-5.521-60_6</t>
  </si>
  <si>
    <t>DNAUV-5.521-60_7</t>
  </si>
  <si>
    <t>Uncharacterized protein n=1 Tax=Muricauda sp. TMED12 TaxID=1986608 RepID=A0A424LPT4_9FLAO</t>
  </si>
  <si>
    <t>DNAUV-5.536-17_1</t>
  </si>
  <si>
    <t>DNAUV-5.550-13_1</t>
  </si>
  <si>
    <t>DNAUV-5.550-13_10</t>
  </si>
  <si>
    <t>Major tail tube protein n=1 Tax=Pseudomonas phage vB_PaeS_SCUT-S3 TaxID=2382122 RepID=A0A3S8G5Y4_9CAUD</t>
  </si>
  <si>
    <t>DNAUV-5.550-13_4</t>
  </si>
  <si>
    <t>VOG30782 [FUNC="REFSEQ hypothetical protein"] [TAG=Xu TAGDEF="Function unknown"]</t>
  </si>
  <si>
    <t>Uncharacterized protein n=1 Tax=Escherichia phage Halfdan TaxID=2234092 RepID=A0A2Z5H3B5_9CAUD</t>
  </si>
  <si>
    <t>DNAUV-5.550-13_6</t>
  </si>
  <si>
    <t>VOG08435 [FUNC="REFSEQ hypothetical protein"] [TAG=Xu TAGDEF="Function unknown"]</t>
  </si>
  <si>
    <t>Tail fiber protein n=1 Tax=Shewanella phage SppYZU01 TaxID=1965372 RepID=A0A1V0DYE4_9CAUD</t>
  </si>
  <si>
    <t>DNAUV-5.550-13_7</t>
  </si>
  <si>
    <t>Uncharacterized protein n=1 Tax=Xanthomonas phage vB_Xar_IVIA-DoCa11 TaxID=2975530 RepID=A0A9X9JRH3_9CAUD</t>
  </si>
  <si>
    <t>DNAUV-5.550-13_8</t>
  </si>
  <si>
    <t>Virion protein n=1 Tax=Pseudomonas phage vB_PaeS_SCH_Ab26 TaxID=1476390 RepID=A0A060RIP3_9CAUD</t>
  </si>
  <si>
    <t>DNAUV-5.550-13_9</t>
  </si>
  <si>
    <t>Minor tail protein n=1 Tax=Pseudomonas phage KP1 TaxID=2562463 RepID=A0A6G5QAF8_9CAUD</t>
  </si>
  <si>
    <t>DNAUV-5.551-98_7</t>
  </si>
  <si>
    <t>DNAUV-5.552-69_4</t>
  </si>
  <si>
    <t>DNAUV-5.552-69_5</t>
  </si>
  <si>
    <t>DNAUV-5.552-69_6</t>
  </si>
  <si>
    <t>DNAUV-5.565-203_4</t>
  </si>
  <si>
    <t>Uncharacterized protein n=1 Tax=Bradyrhizobium erythrophlei TaxID=1437360 RepID=A0A1M5TAQ2_9BRAD</t>
  </si>
  <si>
    <t>DNAUV-5.565-203_5</t>
  </si>
  <si>
    <t>DNAUV-5.565-203_6</t>
  </si>
  <si>
    <t>Endonuclease n=3 Tax=unclassified Felixounavirus TaxID=2569974 RepID=S4TPF0_9CAUD</t>
  </si>
  <si>
    <t>DNAUV-5.565-203_7</t>
  </si>
  <si>
    <t>DNAUV-5.565-203_9</t>
  </si>
  <si>
    <t>DNAUV-5.581-100_2</t>
  </si>
  <si>
    <t>DNAUV-5.581-100_3</t>
  </si>
  <si>
    <t>Uncharacterized protein n=1 Tax=Lake Baikal phage Baikal-20-5m-C28 TaxID=2047876 RepID=A0A2H4N7R5_9CAUD</t>
  </si>
  <si>
    <t>DNAUV-5.581-100_4</t>
  </si>
  <si>
    <t>Uncharacterized protein n=1 Tax=Lake Baikal phage Baikal-20-5m-C28 TaxID=2047876 RepID=A0A2H4N7S5_9CAUD</t>
  </si>
  <si>
    <t>DNAUV-5.609-20_1</t>
  </si>
  <si>
    <t>Uncharacterized protein n=1 Tax=Pusillimonas sp. (ex Stolz et al. 2005) TaxID=1979962 RepID=A0A2D7XEK3_9BURK</t>
  </si>
  <si>
    <t>DNAUV-5.609-20_2</t>
  </si>
  <si>
    <t>DNAUV-5.609-20_3</t>
  </si>
  <si>
    <t>Uncharacterized protein n=1 Tax=Pusillimonas sp. (ex Stolz et al. 2005) TaxID=1979962 RepID=A0A2D7XE27_9BURK</t>
  </si>
  <si>
    <t>DNAUV-5.609-20_4</t>
  </si>
  <si>
    <t>DNAUV-5.613-17_10</t>
  </si>
  <si>
    <t>DNAUV-5.613-17_11</t>
  </si>
  <si>
    <t>DNAUV-5.613-17_5</t>
  </si>
  <si>
    <t>DNAUV-5.613-17_9</t>
  </si>
  <si>
    <t>DNAUV-5.622-87_11</t>
  </si>
  <si>
    <t>DNA-binding protein n=2 Tax=Rhizobium rosettiformans TaxID=1368430 RepID=A0A4S8Q310_9HYPH</t>
  </si>
  <si>
    <t>DNAUV-5.622-87_13</t>
  </si>
  <si>
    <t>Proliferating cell nuclear antigen n=1 Tax=Parascedosporium putredinis TaxID=1442378 RepID=A0A9P1H6C5_9PEZI</t>
  </si>
  <si>
    <t>DNAUV-5.622-87_2</t>
  </si>
  <si>
    <t>Uncharacterized protein n=2 Tax=Rhizobium rosettiformans TaxID=1368430 RepID=A0A4S8PZ16_9HYPH</t>
  </si>
  <si>
    <t>DNAUV-5.622-87_3</t>
  </si>
  <si>
    <t>Helix-turn-helix domain-containing protein n=2 Tax=Rhizobium rosettiformans TaxID=1368430 RepID=A0A4S8Q364_9HYPH</t>
  </si>
  <si>
    <t>DNAUV-5.634-66_2</t>
  </si>
  <si>
    <t>Fibronectin type-III domain-containing protein (Fragment) n=1 Tax=Maricaulis maris TaxID=74318 RepID=A0A495D1N9_9PROT</t>
  </si>
  <si>
    <t>DNAUV-5.634-66_6</t>
  </si>
  <si>
    <t>DNAUV-5.638-31_1</t>
  </si>
  <si>
    <t>Uncharacterized protein n=1 Tax=Thalassobius litoralis TaxID=1010611 RepID=A0A521FCG7_9RHOB</t>
  </si>
  <si>
    <t>DNAUV-5.638-31_2</t>
  </si>
  <si>
    <t>BppU N-terminal domain-containing protein n=1 Tax=Roseobacter phage CRP-6 TaxID=2559285 RepID=A0A646QWL2_9CAUD</t>
  </si>
  <si>
    <t>DNAUV-5.638-31_3</t>
  </si>
  <si>
    <t>DNAUV-5.647-111_1</t>
  </si>
  <si>
    <t>DNAUV-5.647-111_3</t>
  </si>
  <si>
    <t>DNAUV-5.647-111_4</t>
  </si>
  <si>
    <t>VOG20204 [FUNC="REFSEQ hypothetical protein"] [TAG=Xu TAGDEF="Function unknown"]</t>
  </si>
  <si>
    <t>Uncharacterized protein n=1 Tax=Yoonia vestfoldensis TaxID=245188 RepID=A0A1Y0EHM2_9RHOB</t>
  </si>
  <si>
    <t>DNAUV-5.647-111_5</t>
  </si>
  <si>
    <t>DNAUV-5.648-962_2</t>
  </si>
  <si>
    <t>Uncharacterized protein n=1 Tax=Marine Group I thaumarchaeote TaxID=2511932 RepID=A0A7K4MWN5_9ARCH</t>
  </si>
  <si>
    <t>DNAUV-5.648-962_4</t>
  </si>
  <si>
    <t>DNAUV-5.654-32_11</t>
  </si>
  <si>
    <t>DNAUV-5.671-18_11</t>
  </si>
  <si>
    <t>DNAUV-5.671-18_12</t>
  </si>
  <si>
    <t>Gp29 n=1 Tax=Siovirus americense TaxID=136084 RepID=Q9G0F5_9CAUD</t>
  </si>
  <si>
    <t>DNAUV-5.671-18_13</t>
  </si>
  <si>
    <t>DNAUV-5.671-18_14</t>
  </si>
  <si>
    <t>DNAUV-5.671-18_7</t>
  </si>
  <si>
    <t>DNAUV-5.671-18_8</t>
  </si>
  <si>
    <t>DNAUV-5.671-18_9</t>
  </si>
  <si>
    <t>DNAUV-5.675-86_1</t>
  </si>
  <si>
    <t>Endonuclease VII n=1 Tax=Yersinia phage YpP-G TaxID=1176764 RepID=I6Q9Z6_9CAUD</t>
  </si>
  <si>
    <t>DNAUV-5.675-86_11</t>
  </si>
  <si>
    <t>DNAUV-5.675-86_12</t>
  </si>
  <si>
    <t>DNAUV-5.675-86_13</t>
  </si>
  <si>
    <t>Constituent protein n=1 Tax=Rhizobium phage RHph_I3_11 TaxID=2509731 RepID=A0A7S5UUP3_9CAUD</t>
  </si>
  <si>
    <t>DNAUV-5.675-86_9</t>
  </si>
  <si>
    <t>Uncharacterized protein n=1 Tax=Rhizobium sp. BK376 TaxID=2512149 RepID=A0A4R3FZT9_9HYPH</t>
  </si>
  <si>
    <t>DNAUV-5.700-17_11</t>
  </si>
  <si>
    <t>Uncharacterized protein n=1 Tax=Jiella avicenniae TaxID=2907202 RepID=A0A9X1NX78_9HYPH</t>
  </si>
  <si>
    <t>DNAUV-5.700-17_12</t>
  </si>
  <si>
    <t>Uncharacterized protein n=1 Tax=Rubricella aquisinus TaxID=2028108 RepID=A0A840WMG4_9RHOB</t>
  </si>
  <si>
    <t>DNAUV-5.700-17_15</t>
  </si>
  <si>
    <t>Uncharacterized protein n=1 Tax=Falsigemmobacter faecalis TaxID=2488730 RepID=A0A3P3DAP6_9RHOB</t>
  </si>
  <si>
    <t>DNAUV-5.700-17_17</t>
  </si>
  <si>
    <t>Right handed beta helix domain-containing protein n=2 Tax=Maritimibacter TaxID=404235 RepID=A3VJX7_9RHOB</t>
  </si>
  <si>
    <t>DNAUV-5.707-13_10</t>
  </si>
  <si>
    <t>Gp097 n=1 Tax=Erwinia phage vB_EamP-S6 TaxID=1051675 RepID=G0YQI9_9CAUD</t>
  </si>
  <si>
    <t>DNAUV-5.707-13_7</t>
  </si>
  <si>
    <t>Uncharacterized protein n=1 Tax=Ochrobactrum phage vB_OspM_OC TaxID=2712956 RepID=A0A6G6XXU0_9CAUD</t>
  </si>
  <si>
    <t>DNAUV-5.707-13_8</t>
  </si>
  <si>
    <t>VOG26800 [FUNC="REFSEQ hypothetical protein"] [TAG=Xu TAGDEF="Function unknown"]</t>
  </si>
  <si>
    <t>Uncharacterized protein n=1 Tax=Sinorhizobium phage ort11 TaxID=2599764 RepID=A0A5C2H3S8_9CAUD</t>
  </si>
  <si>
    <t>DNAUV-5.733-15_3</t>
  </si>
  <si>
    <t>Uncharacterized protein n=1 Tax=Bacteroides phage BF698P3 TaxID=2968559 RepID=A0A9Y1HRD5_9CAUD</t>
  </si>
  <si>
    <t>DNAUV-5.733-15_5</t>
  </si>
  <si>
    <t>DNAUV-5.748-14_1</t>
  </si>
  <si>
    <t>DNAUV-5.748-14_2</t>
  </si>
  <si>
    <t>DNAUV-5.748-14_4</t>
  </si>
  <si>
    <t>Baseplate wedge protein n=1 Tax=Caulobacter phage Cr30 TaxID=1357714 RepID=A0A067XQF5_9CAUD</t>
  </si>
  <si>
    <t>DNAUV-5.773-16_10</t>
  </si>
  <si>
    <t>DNAUV-5.777-19_10</t>
  </si>
  <si>
    <t>Neck protein n=1 Tax=Phycisphaera sp. TMED151 TaxID=1986610 RepID=A0A1Z9H837_9BACT</t>
  </si>
  <si>
    <t>DNAUV-5.777-19_11</t>
  </si>
  <si>
    <t>Proximal tail sheath stabilization protein n=1 Tax=Stenotrophomonas phage vB_SmaS-DLP_6 TaxID=1651816 RepID=A0A142EZR3_9CAUD</t>
  </si>
  <si>
    <t>DNAUV-5.777-19_12</t>
  </si>
  <si>
    <t>Terminase DNA packaging enzyme small subunit n=1 Tax=Synechococcus phage SynMITS9220M01 TaxID=2736186 RepID=A0A6M5C9P4_9CAUD</t>
  </si>
  <si>
    <t>DNAUV-5.777-19_5</t>
  </si>
  <si>
    <t>VlrC protein n=1 Tax=Stenotrophomonas phage vB_SmaS-DLP_6 TaxID=1651816 RepID=A0A142EZM4_9CAUD</t>
  </si>
  <si>
    <t>DNAUV-5.777-19_8</t>
  </si>
  <si>
    <t>DNAUV-5.777-19_9</t>
  </si>
  <si>
    <t>Putative homing endonuclease n=1 Tax=Sinorhizobium phage phiM12 TaxID=1357423 RepID=S5MBW4_9CAUD</t>
  </si>
  <si>
    <t>DNAUV-5.787-380_7</t>
  </si>
  <si>
    <t>DNAUV-5.795-300_8</t>
  </si>
  <si>
    <t>DNAUV-5.797-16_11</t>
  </si>
  <si>
    <t>Viral coat protein P2 N-terminal domain-containing protein n=1 Tax=Oceanibaculum indicum TaxID=526216 RepID=A0A420WPY9_9PROT</t>
  </si>
  <si>
    <t>DNAUV-5.797-16_3</t>
  </si>
  <si>
    <t>DNAUV-5.797-16_4</t>
  </si>
  <si>
    <t>VOG19053 [FUNC="REFSEQ hypothetical protein"] [TAG=Xu TAGDEF="Function unknown"]</t>
  </si>
  <si>
    <t>Phage protein n=1 Tax=Salmonella phage Stp1 TaxID=1971233 RepID=A0A240FFQ7_9CAUD</t>
  </si>
  <si>
    <t>DNAUV-5.797-16_9</t>
  </si>
  <si>
    <t>Zona occludens toxin N-terminal domain-containing protein n=1 Tax=Coraliomargarita sinensis TaxID=2174842 RepID=A0A317ZN41_9BACT</t>
  </si>
  <si>
    <t>DNAUV-5.801-14_5</t>
  </si>
  <si>
    <t>ATPase n=2 Tax=unclassified Caudoviricetes TaxID=2788787 RepID=A0A1J0GWC4_9CAUD</t>
  </si>
  <si>
    <t>DNAUV-5.801-14_6</t>
  </si>
  <si>
    <t>Uncharacterized protein n=1 Tax=Alteromonas phage PB15 TaxID=1913113 RepID=A0A1J0GWD4_9CAUD</t>
  </si>
  <si>
    <t>DNAUV-5.801-14_7</t>
  </si>
  <si>
    <t>Multimodular transpeptidase-transglycosylase n=1 Tax=Alteromonas phage XX1924 TaxID=2664192 RepID=A0A6B9IZT1_9CAUD</t>
  </si>
  <si>
    <t>DNAUV-5.801-14_9</t>
  </si>
  <si>
    <t>YqaJ-like viral recombinase domain-containing protein n=1 Tax=Alteromonas phage PB15 TaxID=1913113 RepID=A0A1J0GWD5_9CAUD</t>
  </si>
  <si>
    <t>DNAUV-5.846-426_7</t>
  </si>
  <si>
    <t>Uncharacterized protein n=1 Tax=Alteromonas australica TaxID=589873 RepID=A0A350P510_9ALTE</t>
  </si>
  <si>
    <t>DNAUV-5.846-426_9</t>
  </si>
  <si>
    <t>DNAUV-5.865-1025_6</t>
  </si>
  <si>
    <t>DNAUV-5.865-1025_9</t>
  </si>
  <si>
    <t>Nucleotide modification associated domain-containing protein n=1 Tax=Roseobacter phage CRP-5 TaxID=2559284 RepID=A0A646QWA7_9CAUD</t>
  </si>
  <si>
    <t>DNAUV-5.875-27_2</t>
  </si>
  <si>
    <t>DNAUV-5.875-27_3</t>
  </si>
  <si>
    <t>DNAUV-5.875-27_6</t>
  </si>
  <si>
    <t>DNAUV-5.875-27_8</t>
  </si>
  <si>
    <t>DUF190 domain-containing protein n=1 Tax=Marinobacter sp. F3R11 TaxID=2267231 RepID=A0A366WL01_9GAMM</t>
  </si>
  <si>
    <t>DNAUV-5.879-30_2</t>
  </si>
  <si>
    <t>DNAUV-5.879-30_4</t>
  </si>
  <si>
    <t>DNAUV-5.879-30_5</t>
  </si>
  <si>
    <t>DNAUV-5.879-30_6</t>
  </si>
  <si>
    <t>EF-hand domain-containing protein n=1 Tax=Lake Baikal phage Baikal-20-5m-C28 TaxID=2047876 RepID=A0A2H4N7T5_9CAUD</t>
  </si>
  <si>
    <t>DNAUV-5.897-20_5</t>
  </si>
  <si>
    <t>Uncharacterized protein n=1 Tax=Spartinivicinus marinus TaxID=2994442 RepID=A0A853I712_9GAMM</t>
  </si>
  <si>
    <t>DNAUV-5.897-20_7</t>
  </si>
  <si>
    <t>VOG01325 [FUNC="REFSEQ tail assembly chaperone"] [TAG=Xu TAGDEF="Function unknown"]</t>
  </si>
  <si>
    <t>Tail assembly protein n=1 Tax=Pseudomonas phage vB_PaeS_SCUT-S3 TaxID=2382122 RepID=A0A3Q8L4I0_9CAUD</t>
  </si>
  <si>
    <t>DNAUV-5.949-12_1</t>
  </si>
  <si>
    <t>DNAUV-5.949-12_2</t>
  </si>
  <si>
    <t>DNAUV-5.949-12_3</t>
  </si>
  <si>
    <t>Tail sheath protein n=1 Tax=Myoviridae sp. ctA4D8 TaxID=2823535 RepID=A0A8S5L6G7_9CAUD</t>
  </si>
  <si>
    <t>DNAUV-5.949-12_4</t>
  </si>
  <si>
    <t>DNAUV-5.949-12_6</t>
  </si>
  <si>
    <t>Major capsid protein n=1 Tax=Virus NIOZ-UU157 TaxID=2763269 RepID=A0A7S9STU5_9VIRU</t>
  </si>
  <si>
    <t>DNAUV-5.949-12_7</t>
  </si>
  <si>
    <t>VOG34516 [FUNC="REFSEQ hypothetical protein"] [TAG=Xu TAGDEF="Function unknown"]</t>
  </si>
  <si>
    <t>Uncharacterized protein n=1 Tax=Virus NIOZ-UU157 TaxID=2763269 RepID=A0A7S9STX2_9VIRU</t>
  </si>
  <si>
    <t>DNAUV-5.952-108_10</t>
  </si>
  <si>
    <t>DNAUV-5.952-108_17</t>
  </si>
  <si>
    <t>Uncharacterized protein n=1 Tax=Flavilitoribacter nigricans (strain ATCC 23147 / DSM 23189 / NBRC 102662 / NCIMB 1420 / SS-2) TaxID=1122177 RepID=A0A2D0NEP2_FLAN2</t>
  </si>
  <si>
    <t>DNAUV-5.961-15_1</t>
  </si>
  <si>
    <t>DNAUV-5.961-15_5</t>
  </si>
  <si>
    <t>Recombinase n=1 Tax=Vibrio phage 1.193.O._10N.286.52.C6 TaxID=1881436 RepID=A0A2I7RL36_9CAUD</t>
  </si>
  <si>
    <t>DNAUV-5.972-15_10</t>
  </si>
  <si>
    <t>DNAUV-5.972-15_8</t>
  </si>
  <si>
    <t>DNAUV-5.975-24_3</t>
  </si>
  <si>
    <t>DNAUV-5.975-24_6</t>
  </si>
  <si>
    <t>Coil containing protein n=1 Tax=Vibrio phage 1.063.O._10N.261.45.C7 TaxID=1881308 RepID=A0A2I7QTH3_9CAUD</t>
  </si>
  <si>
    <t>DNAUV-5.980-260_18</t>
  </si>
  <si>
    <t>Uncharacterized protein n=2 Tax=Sanyabayvirus DS1410Ws06 TaxID=2844087 RepID=A0A191VYU7_9CAUD</t>
  </si>
  <si>
    <t>DNAUV-5.980-260_5</t>
  </si>
  <si>
    <t>Uncharacterized protein n=1 Tax=Roseivivax jejudonensis TaxID=1529041 RepID=A0A1X7AB10_9RHOB</t>
  </si>
  <si>
    <t>DNAUV-5.980-260_6</t>
  </si>
  <si>
    <t>Uncharacterized protein n=1 Tax=Sinirhodobacter populi TaxID=2306993 RepID=A0A443K7U9_9RHOB</t>
  </si>
  <si>
    <t>DNAUV-5.981-12_2</t>
  </si>
  <si>
    <t>VOG09540 [FUNC="REFSEQ hypothetical protein"] [TAG=Xu TAGDEF="Function unknown"]</t>
  </si>
  <si>
    <t>Tail protein n=1 Tax=Tenacibaculum phage Gundel_1 TaxID=2745672 RepID=A0A8E4ZDJ6_9CAUD</t>
  </si>
  <si>
    <t>DNAUV-5.981-12_3</t>
  </si>
  <si>
    <t>Uncharacterized protein n=1 Tax=Vibrio phage pVco-5 TaxID=1965485 RepID=A0A1W6JUX2_9CAUD</t>
  </si>
  <si>
    <t>DNAUV-5.981-12_4</t>
  </si>
  <si>
    <t>Coil containing protein n=4 Tax=unclassified Caudoviricetes TaxID=2788787 RepID=A0A2I7R5R0_9CAUD</t>
  </si>
  <si>
    <t>DNAUV-5.988-20_3</t>
  </si>
  <si>
    <t>DNA primase subunit n=1 Tax=Synechococcus phage S-RIM2 TaxID=687800 RepID=A0A1D7RNN5_9CAUD</t>
  </si>
  <si>
    <t>DNAUV-5.988-20_5</t>
  </si>
  <si>
    <t>UvsW RNA-DNA and DNA-DNA helicase ATPase n=1 Tax=Vibrio phage nt-1 TaxID=115992 RepID=R9TE86_9CAUD</t>
  </si>
  <si>
    <t>DNAUV-5.997-503_13</t>
  </si>
  <si>
    <t>DNAUV-5.997-503_6</t>
  </si>
  <si>
    <t>DNAUV-50.039-64_10</t>
  </si>
  <si>
    <t>DNAUV-50.039-64_14</t>
  </si>
  <si>
    <t>DNAUV-50.039-64_17</t>
  </si>
  <si>
    <t>DNAUV-50.039-64_18</t>
  </si>
  <si>
    <t>DNAUV-50.039-64_19</t>
  </si>
  <si>
    <t>DNAUV-50.039-64_20</t>
  </si>
  <si>
    <t>DNAUV-50.039-64_36</t>
  </si>
  <si>
    <t>DNAUV-50.039-64_37</t>
  </si>
  <si>
    <t>DNAUV-50.039-64_38</t>
  </si>
  <si>
    <t>DNAUV-50.039-64_40</t>
  </si>
  <si>
    <t>Tail assembly chaperone protein n=1 Tax=Lentibacter virus vB_LenP_ICBM2 TaxID=2301529 RepID=A0A3G2YRW1_9CAUD</t>
  </si>
  <si>
    <t>DNAUV-50.039-64_41</t>
  </si>
  <si>
    <t>DNAUV-50.039-64_43</t>
  </si>
  <si>
    <t>DNAUV-50.039-64_44</t>
  </si>
  <si>
    <t>DNAUV-50.039-64_47</t>
  </si>
  <si>
    <t>DNAUV-50.039-64_48</t>
  </si>
  <si>
    <t>DNAUV-50.039-64_51</t>
  </si>
  <si>
    <t>DNAUV-50.039-64_6</t>
  </si>
  <si>
    <t>DNAUV-50.039-64_61</t>
  </si>
  <si>
    <t>DNAUV-50.039-64_62</t>
  </si>
  <si>
    <t>Uncharacterized protein n=1 Tax=Roseobacter phage CRP-1 TaxID=2559280 RepID=A0A646QVM0_9CAUD</t>
  </si>
  <si>
    <t>DNAUV-50.039-64_63</t>
  </si>
  <si>
    <t>DNAUV-50.039-64_64</t>
  </si>
  <si>
    <t>VOG35174 [FUNC="REFSEQ hypothetical protein"] [TAG=Xu TAGDEF="Function unknown"]</t>
  </si>
  <si>
    <t>Uncharacterized protein n=1 Tax=Puniceispirillum phage HMO-2011 TaxID=948071 RepID=S4S2M9_9CAUD</t>
  </si>
  <si>
    <t>DNAUV-50.039-64_65</t>
  </si>
  <si>
    <t>DNAUV-50.039-64_66</t>
  </si>
  <si>
    <t>DNAUV-50.039-64_67</t>
  </si>
  <si>
    <t>DNAUV-50.039-64_70</t>
  </si>
  <si>
    <t>DNAUV-50.039-64_71</t>
  </si>
  <si>
    <t>DNAUV-50.039-64_74</t>
  </si>
  <si>
    <t>DNAUV-50.039-64_76</t>
  </si>
  <si>
    <t>DNAUV-50.039-64_8</t>
  </si>
  <si>
    <t>DNAUV-51.550-178_11</t>
  </si>
  <si>
    <t>VOG02798 [FUNC="REFSEQ hypothetical protein"] [TAG=Xu TAGDEF="Function unknown"]</t>
  </si>
  <si>
    <t>Uncharacterized protein n=5 Tax=unclassified Caudoviricetes TaxID=2788787 RepID=M1PL11_9CAUD</t>
  </si>
  <si>
    <t>DNAUV-51.550-178_13</t>
  </si>
  <si>
    <t>Permease n=2 Tax=Oceanospirillum linum TaxID=966 RepID=A0A1T1H9N6_OCELI</t>
  </si>
  <si>
    <t>DNAUV-51.550-178_16</t>
  </si>
  <si>
    <t>AAA domain protein n=1 Tax=Siphoviridae sp. ct3r22 TaxID=2825325 RepID=A0A8S5V119_9CAUD</t>
  </si>
  <si>
    <t>DNAUV-51.550-178_19</t>
  </si>
  <si>
    <t>VOG01666 [FUNC="sp|Q8QL48|Y306_SIRV1 Uncharacterized protein 306"] [TAG=Xu TAGDEF="Function unknown"]</t>
  </si>
  <si>
    <t>Uncharacterized protein n=1 Tax=Dictyoglomus turgidum TaxID=513050 RepID=A0A7C3WRE7_9BACT</t>
  </si>
  <si>
    <t>DNAUV-51.550-178_25</t>
  </si>
  <si>
    <t>Uncharacterized protein n=3 Tax=unclassified Caudoviricetes TaxID=2788787 RepID=S0A1S8_9CAUD</t>
  </si>
  <si>
    <t>DNAUV-51.550-178_26</t>
  </si>
  <si>
    <t>Uncharacterized protein n=5 Tax=unclassified Caudoviricetes TaxID=2788787 RepID=M1PRP9_9CAUD</t>
  </si>
  <si>
    <t>DNAUV-51.550-178_27</t>
  </si>
  <si>
    <t>Exonuclease n=4 Tax=unclassified Caudoviricetes TaxID=2788787 RepID=M1PL06_9CAUD</t>
  </si>
  <si>
    <t>DNAUV-51.550-178_30</t>
  </si>
  <si>
    <t>Uncharacterized protein n=1 Tax=Pedobacter agri TaxID=454586 RepID=A0A9X3DI55_9SPHI</t>
  </si>
  <si>
    <t>DNAUV-51.550-178_31</t>
  </si>
  <si>
    <t>Endonuclease n=5 Tax=unclassified Caudoviricetes TaxID=2788787 RepID=M1Q6Z9_9CAUD</t>
  </si>
  <si>
    <t>DNAUV-51.550-178_32</t>
  </si>
  <si>
    <t>Uncharacterized protein n=5 Tax=unclassified Caudoviricetes TaxID=2788787 RepID=M1PRQ4_9CAUD</t>
  </si>
  <si>
    <t>DNAUV-51.550-178_36</t>
  </si>
  <si>
    <t>VOG25530 [FUNC="REFSEQ hypothetical protein"] [TAG=Xu TAGDEF="Function unknown"]</t>
  </si>
  <si>
    <t>DUF4200 domain-containing protein n=5 Tax=unclassified Caudoviricetes TaxID=2788787 RepID=M4PZD7_9CAUD</t>
  </si>
  <si>
    <t>DNAUV-51.550-178_39</t>
  </si>
  <si>
    <t>VOG15734 [FUNC="REFSEQ hypothetical protein"] [TAG=Xu TAGDEF="Function unknown"]</t>
  </si>
  <si>
    <t>Structural protein n=5 Tax=unclassified Caudoviricetes TaxID=2788787 RepID=M1PXS0_9CAUD</t>
  </si>
  <si>
    <t>DNAUV-51.550-178_41</t>
  </si>
  <si>
    <t>Uncharacterized protein n=1 Tax=Leeuwenhoekiella polynyae TaxID=1550906 RepID=A0A4Q0PFN8_9FLAO</t>
  </si>
  <si>
    <t>DNAUV-51.550-178_42</t>
  </si>
  <si>
    <t>Uncharacterized protein n=1 Tax=Gillisia sp. Hel1_33_143 TaxID=1336796 RepID=A0A1H1PMM3_9FLAO</t>
  </si>
  <si>
    <t>DNAUV-51.550-178_43</t>
  </si>
  <si>
    <t>VOG07401 [FUNC="REFSEQ hypothetical protein"] [TAG=Xu TAGDEF="Function unknown"]</t>
  </si>
  <si>
    <t>Uncharacterized protein n=1 Tax=Nonlabens phage P12024L TaxID=1168479 RepID=I6S2G9_9CAUD</t>
  </si>
  <si>
    <t>DNAUV-51.550-178_44</t>
  </si>
  <si>
    <t>Uncharacterized protein n=1 Tax=Polaribacter reichenbachii TaxID=996801 RepID=A0A1B8U7E6_9FLAO</t>
  </si>
  <si>
    <t>DNAUV-51.550-178_45</t>
  </si>
  <si>
    <t>Peptidoglycan L-alanyl-D-glutamate endopeptidase CwlK n=2 Tax=Aquimarina intermedia TaxID=350814 RepID=A0A5S5BZ35_9FLAO</t>
  </si>
  <si>
    <t>DNAUV-51.550-178_49</t>
  </si>
  <si>
    <t>VOG25367 [FUNC="REFSEQ head decoration"] [TAG=Xu TAGDEF="Function unknown"]</t>
  </si>
  <si>
    <t>Structural protein n=5 Tax=unclassified Caudoviricetes TaxID=2788787 RepID=M1PRS1_9CAUD</t>
  </si>
  <si>
    <t>DNAUV-51.550-178_50</t>
  </si>
  <si>
    <t>Major capsid protein n=1 Tax=Cellulophaga phage phiSM TaxID=756280 RepID=M4PZE9_9CAUD</t>
  </si>
  <si>
    <t>DNAUV-51.550-178_52</t>
  </si>
  <si>
    <t>VOG23263 [FUNC="REFSEQ head closure Hc1"] [TAG=Xu TAGDEF="Function unknown"]</t>
  </si>
  <si>
    <t>Structural protein n=5 Tax=unclassified Caudoviricetes TaxID=2788787 RepID=M1NXM5_9CAUD</t>
  </si>
  <si>
    <t>DNAUV-51.550-178_53</t>
  </si>
  <si>
    <t>VOG19040 [FUNC="REFSEQ hypothetical protein"] [TAG=Xu TAGDEF="Function unknown"]</t>
  </si>
  <si>
    <t>Structural protein n=5 Tax=unclassified Caudoviricetes TaxID=2788787 RepID=M1PL26_9CAUD</t>
  </si>
  <si>
    <t>DNAUV-51.550-178_55</t>
  </si>
  <si>
    <t>VOG20438 [FUNC="REFSEQ tail tube protein"] [TAG=Xu TAGDEF="Function unknown"]</t>
  </si>
  <si>
    <t>Structural protein n=1 Tax=Cellulophaga phage phiSM TaxID=756280 RepID=S0A145_9CAUD</t>
  </si>
  <si>
    <t>DNAUV-51.550-178_56</t>
  </si>
  <si>
    <t>VOG25375 [FUNC="REFSEQ hypothetical protein"] [TAG=Xu TAGDEF="Function unknown"]</t>
  </si>
  <si>
    <t>Phage protein n=5 Tax=unclassified Caudoviricetes TaxID=2788787 RepID=M1PXP6_9CAUD</t>
  </si>
  <si>
    <t>DNAUV-51.550-178_58</t>
  </si>
  <si>
    <t>VOG36751 [FUNC="REFSEQ baseplate wedge subunit"] [TAG=Xu TAGDEF="Function unknown"]</t>
  </si>
  <si>
    <t>Structural protein n=5 Tax=unclassified Caudoviricetes TaxID=2788787 RepID=M1PRR3_9CAUD</t>
  </si>
  <si>
    <t>DNAUV-51.550-178_60</t>
  </si>
  <si>
    <t>DNAUV-51.550-178_61</t>
  </si>
  <si>
    <t>DNAUV-51.550-178_62</t>
  </si>
  <si>
    <t>VOG21652 [FUNC="REFSEQ hypothetical protein"] [TAG=Xu TAGDEF="Function unknown"]</t>
  </si>
  <si>
    <t>Uncharacterized protein n=1 Tax=Muricauda nanhaiensis TaxID=2292706 RepID=A0A371JL97_9FLAO</t>
  </si>
  <si>
    <t>DNAUV-51.550-178_63</t>
  </si>
  <si>
    <t>Structural protein n=7 Tax=unclassified Caudoviricetes TaxID=2788787 RepID=M1PRQ9_9CAUD</t>
  </si>
  <si>
    <t>DNAUV-51.550-178_64</t>
  </si>
  <si>
    <t>Structural protein n=5 Tax=unclassified Caudoviricetes TaxID=2788787 RepID=M1Q705_9CAUD</t>
  </si>
  <si>
    <t>DNAUV-51.550-178_65</t>
  </si>
  <si>
    <t>Putative tail protein n=5 Tax=unclassified Caudoviricetes TaxID=2788787 RepID=M1PXN4_9CAUD</t>
  </si>
  <si>
    <t>DNAUV-51.550-178_66</t>
  </si>
  <si>
    <t>VOG27091 [FUNC="REFSEQ hypothetical protein"] [TAG=Xu TAGDEF="Function unknown"]</t>
  </si>
  <si>
    <t>Uncharacterized protein n=1 Tax=Muricauda nanhaiensis TaxID=2292706 RepID=A0A371JLC8_9FLAO</t>
  </si>
  <si>
    <t>DNAUV-51.550-178_7</t>
  </si>
  <si>
    <t>Uncharacterized protein n=3 Tax=unclassified Caudoviricetes TaxID=2788787 RepID=S0A0Q0_9CAUD</t>
  </si>
  <si>
    <t>DNAUV-51.550-178_9</t>
  </si>
  <si>
    <t>Prohead core protein n=4 Tax=unclassified Caudoviricetes TaxID=2788787 RepID=S0A4M1_9CAUD</t>
  </si>
  <si>
    <t>DNAUV-56.054-300_11</t>
  </si>
  <si>
    <t>DNAUV-56.054-300_15</t>
  </si>
  <si>
    <t>VOG31138 [FUNC="REFSEQ hypothetical protein"] [TAG=Xu TAGDEF="Function unknown"]</t>
  </si>
  <si>
    <t>Uncharacterized protein n=1 Tax=Vibrio phage douglas 12A4 TaxID=573171 RepID=M4M9K0_9CAUD</t>
  </si>
  <si>
    <t>DNAUV-56.054-300_18</t>
  </si>
  <si>
    <t>DUF3310 domain-containing protein n=1 Tax=Halomonas phage QHHSV-1 TaxID=1913108 RepID=A0A1J0GUZ8_9CAUD</t>
  </si>
  <si>
    <t>DNAUV-56.054-300_19</t>
  </si>
  <si>
    <t>DNAUV-56.054-300_2</t>
  </si>
  <si>
    <t>VOG29879 [FUNC="REFSEQ hypothetical protein"] [TAG=Xu TAGDEF="Function unknown"]</t>
  </si>
  <si>
    <t>Uncharacterized protein n=1 Tax=Vibrio phage vB_VpS_PG07 TaxID=2301664 RepID=A0A385E766_9CAUD</t>
  </si>
  <si>
    <t>DNAUV-56.054-300_24</t>
  </si>
  <si>
    <t>VOG01192 [FUNC="REFSEQ hypothetical protein"] [TAG=Xu TAGDEF="Function unknown"]</t>
  </si>
  <si>
    <t>Large polyvalent protein associated domain-containing protein n=1 Tax=Vibrio phage 277E43-1 TaxID=2963185 RepID=A0A9P0VH76_9CAUD</t>
  </si>
  <si>
    <t>DNAUV-56.054-300_40</t>
  </si>
  <si>
    <t>sp|P18060|SEGE_BPT4 Putative endonuclease segE OS=Enterobacteria phage T4 OX=10665 GN=segE PE=4 SV=2</t>
  </si>
  <si>
    <t>Homing endonuclease n=1 Tax=Aeromonas phage 50AhydR13PP TaxID=2163978 RepID=A0A2S1PDW1_9CAUD</t>
  </si>
  <si>
    <t>DNAUV-56.054-300_41</t>
  </si>
  <si>
    <t>Homing endonuclease n=2 Tax=Limestonevirus limestone TaxID=1091052 RepID=A0A248H600_9CAUD</t>
  </si>
  <si>
    <t>DNAUV-56.054-300_46</t>
  </si>
  <si>
    <t>Phage-like element PBSX protein XkdF domain-containing protein n=1 Tax=Vibrio phage qdvp001 TaxID=1003177 RepID=A0A0S1WET8_9CAUD</t>
  </si>
  <si>
    <t>DNAUV-56.054-300_47</t>
  </si>
  <si>
    <t>Capsid and scaffold protein n=1 Tax=Klebsiella phage vB_KpM_FBKp34 TaxID=2801835 RepID=A0A7U0GAR4_9CAUD</t>
  </si>
  <si>
    <t>DNAUV-56.054-300_49</t>
  </si>
  <si>
    <t>Major capsid protein n=1 Tax=Alteromonas phage vB_AmeM_PT11-V22 TaxID=2704031 RepID=A0A6C0R0F3_9CAUD</t>
  </si>
  <si>
    <t>DNAUV-56.054-300_5</t>
  </si>
  <si>
    <t>Nucleotide modification associated domain-containing protein n=1 Tax=Vibrio phage pVco-5 TaxID=1965485 RepID=A0A1W6JV12_9CAUD</t>
  </si>
  <si>
    <t>DNAUV-56.054-300_51</t>
  </si>
  <si>
    <t>Mu-like prophage protein gpG n=1 Tax=Canicola haemoglobinophilus TaxID=733 RepID=A0A1V4B235_9PAST</t>
  </si>
  <si>
    <t>DNAUV-56.054-300_52</t>
  </si>
  <si>
    <t>Phage protein n=1 Tax=Escherichia phage phiSUSP1 TaxID=1718606 RepID=A0A0N9SLD6_9CAUD</t>
  </si>
  <si>
    <t>DNAUV-56.054-300_54</t>
  </si>
  <si>
    <t>Putative structural protein n=1 Tax=Escherichia phage HY02 TaxID=1527531 RepID=A0A0H3UCS7_9CAUD</t>
  </si>
  <si>
    <t>DNAUV-56.054-300_55</t>
  </si>
  <si>
    <t>DUF3277 family protein n=54 Tax=Felixounavirus TaxID=1198140 RepID=A0A0F6TJF4_9CAUD</t>
  </si>
  <si>
    <t>DNAUV-56.054-300_59</t>
  </si>
  <si>
    <t>Putative tail tape measure protein n=1 Tax=Pseudoalteromonas phage PH357 TaxID=1913046 RepID=A0A1W5PTX3_9CAUD</t>
  </si>
  <si>
    <t>DNAUV-56.054-300_6</t>
  </si>
  <si>
    <t>Single-stranded DNA-binding protein n=1 Tax=Pseudomonas phage KPP10 TaxID=582345 RepID=D6RRK5_BPKPP</t>
  </si>
  <si>
    <t>DNAUV-56.054-300_60</t>
  </si>
  <si>
    <t>HNH nuclease n=1 Tax=Vibrio phage 1.187.O._10N.286.49.F1 TaxID=1881434 RepID=A0A2I7RIL8_9CAUD</t>
  </si>
  <si>
    <t>DNAUV-56.054-300_61</t>
  </si>
  <si>
    <t>Tail tape measure protein n=1 Tax=Alteromonas phage vB_AmeM_PT11-V22 TaxID=2704031 RepID=A0A6C0R0J8_9CAUD</t>
  </si>
  <si>
    <t>DNAUV-56.054-300_63</t>
  </si>
  <si>
    <t>Gp032 n=2 Tax=Kolesnikvirus TaxID=1985293 RepID=G0YPL4_9CAUD</t>
  </si>
  <si>
    <t>DNAUV-56.054-300_64</t>
  </si>
  <si>
    <t>Tail protein n=1 Tax=Salmonella phage S19cd TaxID=2834971 RepID=A0A8E7EZ99_9CAUD</t>
  </si>
  <si>
    <t>DNAUV-56.054-300_66</t>
  </si>
  <si>
    <t>Putative tail lysozyme n=1 Tax=Pseudomonas phage phiK7A1 TaxID=2759194 RepID=A0A7H0XFT3_9CAUD</t>
  </si>
  <si>
    <t>DNAUV-56.054-300_69</t>
  </si>
  <si>
    <t>Tail fiber assembly protein n=1 Tax=Endozoicomonas montiporae CL-33 TaxID=570277 RepID=A0A142BD05_9GAMM</t>
  </si>
  <si>
    <t>DNAUV-56.054-300_7</t>
  </si>
  <si>
    <t>VOG03409 [FUNC="REFSEQ hypothetical protein"] [TAG=Xu TAGDEF="Function unknown"]</t>
  </si>
  <si>
    <t>Uncharacterized protein 207 n=3 Tax=Seunavirus TaxID=1914851 RepID=G3BM73_9CAUD</t>
  </si>
  <si>
    <t>DNAUV-56.054-300_70</t>
  </si>
  <si>
    <t>DNAUV-56.054-300_75</t>
  </si>
  <si>
    <t>sp|P39503|SPAN2_BPT4 Spanin, outer lipoprotein subunit OS=Enterobacteria phage T4 OX=10665 GN=y13J PE=3 SV=3</t>
  </si>
  <si>
    <t>VOG00384 [FUNC="sp|P39503|SPAN2_BPT4 Spanin, outer lipoprotein subunit"] [TAG=Xh TAGDEF="Virus protein with function beneficial for the host"]</t>
  </si>
  <si>
    <t>Outer membrane lipoprotein n=1 Tax=Providencia phage PSTRCR_127 TaxID=2800827 RepID=A0A7T6ZM13_9CAUD</t>
  </si>
  <si>
    <t>DNAUV-56.054-300_76</t>
  </si>
  <si>
    <t>Uncharacterized protein n=1 Tax=Solidesulfovibrio magneticus (strain ATCC 700980 / DSM 13731 / RS-1) TaxID=573370 RepID=C4XHQ6_SOLM1</t>
  </si>
  <si>
    <t>DNAUV-56.054-300_78</t>
  </si>
  <si>
    <t>LamG domain-containing protein n=1 Tax=Sedimenticola selenatireducens TaxID=191960 RepID=A0A557SCK9_9GAMM</t>
  </si>
  <si>
    <t>DNAUV-56.054-300_79</t>
  </si>
  <si>
    <t>Uncharacterized protein n=1 Tax=Caldisericum exile TaxID=693075 RepID=A0A7C4U1X6_9BACT</t>
  </si>
  <si>
    <t>DNAUV-56.054-300_8</t>
  </si>
  <si>
    <t>Exonuclease n=5 Tax=Justusliebigvirus TaxID=2948775 RepID=A0A386KJN8_9CAUD</t>
  </si>
  <si>
    <t>DNAUV-56.054-300_9</t>
  </si>
  <si>
    <t>HNH endonuclease n=1 Tax=Alteromonas phage vB_AmeM_PT11-V22 TaxID=2704031 RepID=A0A6C0R0R0_9CAUD</t>
  </si>
  <si>
    <t>DNAUV-57.114-48_10</t>
  </si>
  <si>
    <t>DNAUV-57.114-48_101</t>
  </si>
  <si>
    <t>DNAUV-57.114-48_102</t>
  </si>
  <si>
    <t>DNAUV-57.114-48_105</t>
  </si>
  <si>
    <t>DNAUV-57.114-48_14</t>
  </si>
  <si>
    <t>DUF3310 domain-containing protein n=1 Tax=Roseobacter phage CRP-4 TaxID=2559283 RepID=A0A646QW40_9CAUD</t>
  </si>
  <si>
    <t>DNAUV-57.114-48_46</t>
  </si>
  <si>
    <t>DNAUV-57.114-48_47</t>
  </si>
  <si>
    <t>C2H2-type domain-containing protein n=1 Tax=Sphingobium sp. AP50 TaxID=1884369 RepID=A0A1H7DMT5_9SPHN</t>
  </si>
  <si>
    <t>DNAUV-57.114-48_5</t>
  </si>
  <si>
    <t>DNAUV-57.114-48_52</t>
  </si>
  <si>
    <t>DNAUV-57.114-48_56</t>
  </si>
  <si>
    <t>Lipoprotein n=1 Tax=Salipiger thiooxidans TaxID=282683 RepID=A0A1G7IRX7_9RHOB</t>
  </si>
  <si>
    <t>DNAUV-57.114-48_7</t>
  </si>
  <si>
    <t>DNAUV-57.114-48_75</t>
  </si>
  <si>
    <t>DNAUV-57.114-48_76</t>
  </si>
  <si>
    <t>Uncharacterized protein n=1 Tax=Cronobacter phage vB_CsaP_009 TaxID=2699738 RepID=A0A679FE34_9CAUD</t>
  </si>
  <si>
    <t>DNAUV-57.114-48_79</t>
  </si>
  <si>
    <t>DNAUV-57.114-48_8</t>
  </si>
  <si>
    <t>DNAUV-57.114-48_81</t>
  </si>
  <si>
    <t>Uncharacterized protein n=1 Tax=Cereibacter sphaeroides f. sp. denitrificans TaxID=39723 RepID=A0A7Z6QZV9_CERSP</t>
  </si>
  <si>
    <t>DNAUV-57.114-48_83</t>
  </si>
  <si>
    <t>DNAUV-57.114-48_84</t>
  </si>
  <si>
    <t>DNAUV-57.114-48_85</t>
  </si>
  <si>
    <t>DNAUV-57.114-48_86</t>
  </si>
  <si>
    <t>Uncharacterized protein n=1 Tax=Roseobacter phage CRP-13 TaxID=2813173 RepID=A0A8E5F9P7_9CAUD</t>
  </si>
  <si>
    <t>DNAUV-57.114-48_87</t>
  </si>
  <si>
    <t>DNAUV-57.114-48_89</t>
  </si>
  <si>
    <t>DNAUV-57.114-48_90</t>
  </si>
  <si>
    <t>DNAUV-57.114-48_92</t>
  </si>
  <si>
    <t>DNAUV-57.114-48_94</t>
  </si>
  <si>
    <t>DNAUV-57.114-48_95</t>
  </si>
  <si>
    <t>DNAUV-57.114-48_96</t>
  </si>
  <si>
    <t>DNAUV-57.114-48_97</t>
  </si>
  <si>
    <t>DNAUV-59.689-63_108</t>
  </si>
  <si>
    <t>DUF805 domain-containing protein n=1 Tax=Ruegeria sp. ANG-R TaxID=1577903 RepID=A0A0C1GT21_9RHOB</t>
  </si>
  <si>
    <t>DNAUV-59.689-63_110</t>
  </si>
  <si>
    <t>Uncharacterized protein n=1 Tax=Roseibium aggregatum TaxID=187304 RepID=A0A926NX81_9HYPH</t>
  </si>
  <si>
    <t>DNAUV-59.689-63_111</t>
  </si>
  <si>
    <t>Uncharacterized protein n=1 Tax=Rubricella aquisinus TaxID=2028108 RepID=A0A840X4Y1_9RHOB</t>
  </si>
  <si>
    <t>DNAUV-59.689-63_113</t>
  </si>
  <si>
    <t>VOG18996 [FUNC="REFSEQ hypothetical protein"] [TAG=Xu TAGDEF="Function unknown"]</t>
  </si>
  <si>
    <t>Uncharacterized protein n=5 Tax=unclassified Casjensviridae TaxID=2960002 RepID=G8DCW2_9CAUD</t>
  </si>
  <si>
    <t>DNAUV-59.689-63_12</t>
  </si>
  <si>
    <t>VOG15005 [FUNC="REFSEQ hypothetical protein"] [TAG=Xu TAGDEF="Function unknown"]</t>
  </si>
  <si>
    <t>Uncharacterized protein n=6 Tax=unclassified Casjensviridae TaxID=2960002 RepID=G8DCQ9_9CAUD</t>
  </si>
  <si>
    <t>DNAUV-59.689-63_127</t>
  </si>
  <si>
    <t>Uncharacterized protein n=1 Tax=Erythrobacter sp. EC-HK427 TaxID=2038396 RepID=A0A5E7Y4F6_9SPHN</t>
  </si>
  <si>
    <t>DNAUV-59.689-63_129</t>
  </si>
  <si>
    <t>VOG09728 [FUNC="REFSEQ hypothetical protein"] [TAG=Xu TAGDEF="Function unknown"]</t>
  </si>
  <si>
    <t>Uncharacterized protein n=4 Tax=unclassified Casjensviridae TaxID=2960002 RepID=G8DCT3_9CAUD</t>
  </si>
  <si>
    <t>DNAUV-59.689-63_130</t>
  </si>
  <si>
    <t>VOG02592 [FUNC="REFSEQ hypothetical protein"] [TAG=Xu TAGDEF="Function unknown"]</t>
  </si>
  <si>
    <t>Phage protein n=1 Tax=Rhizobium phage RHph_I4 TaxID=2509735 RepID=A0A7S5V0Y8_9CAUD</t>
  </si>
  <si>
    <t>DNAUV-59.689-63_131</t>
  </si>
  <si>
    <t>DNAUV-59.689-63_134</t>
  </si>
  <si>
    <t>Uncharacterized protein n=1 Tax=Parashewanella curva TaxID=2338552 RepID=A0A3L8Q017_9GAMM</t>
  </si>
  <si>
    <t>DNAUV-59.689-63_136</t>
  </si>
  <si>
    <t>VOG05469 [FUNC="REFSEQ hypothetical protein"] [TAG=Xu TAGDEF="Function unknown"]</t>
  </si>
  <si>
    <t>Uncharacterized protein n=1 Tax=Falsochrobactrum shanghaiense TaxID=2201899 RepID=A0A316J695_9HYPH</t>
  </si>
  <si>
    <t>DNAUV-59.689-63_138</t>
  </si>
  <si>
    <t>Uncharacterized protein n=1 Tax=Mesorhizobium sp. WSM3866 TaxID=422271 RepID=A0A2A3B8U0_9HYPH</t>
  </si>
  <si>
    <t>DNAUV-59.689-63_153</t>
  </si>
  <si>
    <t>Uncharacterized protein n=1 Tax=Pseudaminobacter manganicus TaxID=1873176 RepID=A0A1V8RP65_9HYPH</t>
  </si>
  <si>
    <t>DNAUV-59.689-63_155</t>
  </si>
  <si>
    <t>DNAUV-59.689-63_17</t>
  </si>
  <si>
    <t>DUF2815 family protein n=5 Tax=unclassified Casjensviridae TaxID=2960002 RepID=A0A097EW30_9CAUD</t>
  </si>
  <si>
    <t>DNAUV-59.689-63_197</t>
  </si>
  <si>
    <t>VOG34892 [FUNC="REFSEQ hypothetical protein"] [TAG=Xu TAGDEF="Function unknown"]</t>
  </si>
  <si>
    <t>Uncharacterized protein n=1 Tax=Ruegeria phage vB_RpoS-V16 TaxID=2218618 RepID=A0A2Z4QGU8_9CAUD</t>
  </si>
  <si>
    <t>DNAUV-59.689-63_198</t>
  </si>
  <si>
    <t>VOG09612 [FUNC="REFSEQ hypothetical protein"] [TAG=Xu TAGDEF="Function unknown"]</t>
  </si>
  <si>
    <t>Uncharacterized protein n=4 Tax=unclassified Casjensviridae TaxID=2960002 RepID=G8DCS8_9CAUD</t>
  </si>
  <si>
    <t>DNAUV-59.689-63_210</t>
  </si>
  <si>
    <t>VOG22743 [FUNC="REFSEQ hypothetical protein"] [TAG=Xu TAGDEF="Function unknown"]</t>
  </si>
  <si>
    <t>Uncharacterized protein n=1 Tax=Ruegeria phage vB_RpoS-V16 TaxID=2218618 RepID=A0A2Z4QGV0_9CAUD</t>
  </si>
  <si>
    <t>DNAUV-59.689-63_228</t>
  </si>
  <si>
    <t>Uncharacterized protein n=1 Tax=Synechococcus virus S-ESS1 TaxID=1964565 RepID=A0A1V0DX70_9CAUD</t>
  </si>
  <si>
    <t>DNAUV-59.689-63_26</t>
  </si>
  <si>
    <t>HNH nuclease domain-containing protein n=1 Tax=Erwinia sp. OLSSP12 TaxID=1912096 RepID=A0A2G8EDV3_9GAMM</t>
  </si>
  <si>
    <t>DNAUV-59.689-63_27</t>
  </si>
  <si>
    <t>VOG07556 [FUNC="REFSEQ hypothetical protein"] [TAG=Xu TAGDEF="Function unknown"]</t>
  </si>
  <si>
    <t>Uncharacterized protein n=4 Tax=unclassified Casjensviridae TaxID=2960002 RepID=G8DCQ2_9CAUD</t>
  </si>
  <si>
    <t>DNAUV-59.689-63_300</t>
  </si>
  <si>
    <t>VOG08844 [FUNC="REFSEQ hypothetical protein"] [TAG=Xu TAGDEF="Function unknown"]</t>
  </si>
  <si>
    <t>XRE family transcriptional regulator n=6 Tax=unclassified Casjensviridae TaxID=2960002 RepID=G8DCR0_9CAUD</t>
  </si>
  <si>
    <t>DNAUV-59.689-63_38</t>
  </si>
  <si>
    <t>VOG00598 [FUNC="sp|P03707|TERS_LAMBD Terminase small subunit"] [TAG=Xh TAGDEF="Virus protein with function beneficial for the host"]</t>
  </si>
  <si>
    <t>Putative terminase small subunit n=4 Tax=unclassified Casjensviridae TaxID=2960002 RepID=G8DCP5_9CAUD</t>
  </si>
  <si>
    <t>DNAUV-59.689-63_39</t>
  </si>
  <si>
    <t>VOG00083 [FUNC="REFSEQ nucleotidyltransferase"] [TAG=Xu TAGDEF="Function unknown"]</t>
  </si>
  <si>
    <t>Poly A polymerase head domain-containing protein n=1 Tax=Pseudorhodobacter antarcticus TaxID=1077947 RepID=A0A1H8IHW4_9RHOB</t>
  </si>
  <si>
    <t>DNAUV-59.689-63_40</t>
  </si>
  <si>
    <t>VOG06470 [FUNC="REFSEQ hypothetical protein"] [TAG=Xu TAGDEF="Function unknown"]</t>
  </si>
  <si>
    <t>Uncharacterized protein n=1 Tax=Burkholderia cenocepacia TaxID=95486 RepID=A0A3N8XZ65_9BURK</t>
  </si>
  <si>
    <t>DNAUV-59.689-63_41</t>
  </si>
  <si>
    <t>Sulfatase-like hydrolase/transferase n=1 Tax=Nocardioides panacis TaxID=2849501 RepID=A0A975T3W9_9ACTN</t>
  </si>
  <si>
    <t>DNAUV-59.689-63_55</t>
  </si>
  <si>
    <t>VOG01419 [FUNC="sp|O64321|DECO7_BPN15 Putative decoration protein"] [TAG=Xh TAGDEF="Virus protein with function beneficial for the host"]</t>
  </si>
  <si>
    <t>Head decoration protein n=1 Tax=Ruegeria phage vB_RpoS-V16 TaxID=2218618 RepID=A0A2Z4QIA3_9CAUD</t>
  </si>
  <si>
    <t>DNAUV-59.689-63_59</t>
  </si>
  <si>
    <t>sp|P68650|CAPSD_BPP21 Major capsid protein OS=Enterobacteria phage P21 OX=10711 GN=E PE=3 SV=1</t>
  </si>
  <si>
    <t>Major capsid protein n=1 Tax=Ruegeria phage vB_RpoS-V16 TaxID=2218618 RepID=A0A2Z4QGX2_9CAUD</t>
  </si>
  <si>
    <t>DNAUV-59.689-63_62</t>
  </si>
  <si>
    <t>VOG36613 [FUNC="REFSEQ hypothetical protein"] [TAG=Xu TAGDEF="Function unknown"]</t>
  </si>
  <si>
    <t>Uncharacterized protein n=5 Tax=unclassified Casjensviridae TaxID=2960002 RepID=G8DCN7_9CAUD</t>
  </si>
  <si>
    <t>DNAUV-59.689-63_63</t>
  </si>
  <si>
    <t>VOG00507 [FUNC="sp|O64325|COMPL_BPN15 Tail completion protein"] [TAG=Xh TAGDEF="Virus protein with function beneficial for the host"]</t>
  </si>
  <si>
    <t>Phage tail protein n=1 Tax=Novosphingobium aureum TaxID=2792964 RepID=A0A931HD34_9SPHN</t>
  </si>
  <si>
    <t>DNAUV-59.689-63_66</t>
  </si>
  <si>
    <t>VOG14976 [FUNC="REFSEQ tail terminator"] [TAG=Xu TAGDEF="Function unknown"]</t>
  </si>
  <si>
    <t>Tail terminator n=1 Tax=Ruegeria phage vB_RpoS-V16 TaxID=2218618 RepID=A0A2Z4QI18_9CAUD</t>
  </si>
  <si>
    <t>DNAUV-59.689-63_71</t>
  </si>
  <si>
    <t>Tail protein n=1 Tax=Ruegeria phage vB_RpoS-V16 TaxID=2218618 RepID=A0A2Z4QHK7_9CAUD</t>
  </si>
  <si>
    <t>DNAUV-59.689-63_72</t>
  </si>
  <si>
    <t>Tail protein n=4 Tax=unclassified Casjensviridae TaxID=2960002 RepID=A0A097EVY4_9CAUD</t>
  </si>
  <si>
    <t>DNAUV-59.689-63_83</t>
  </si>
  <si>
    <t>Uncharacterized protein n=4 Tax=unclassified Casjensviridae TaxID=2960002 RepID=G8DCS2_9CAUD</t>
  </si>
  <si>
    <t>DNAUV-59.689-63_99</t>
  </si>
  <si>
    <t>DUF2793 domain-containing protein n=1 Tax=Pseudotabrizicola algicola TaxID=2709381 RepID=A0A6B3RHD9_9RHOB</t>
  </si>
  <si>
    <t>DNAUV-6.006-11_2</t>
  </si>
  <si>
    <t>DNAUV-6.006-11_4</t>
  </si>
  <si>
    <t>DNAUV-6.013-13_4</t>
  </si>
  <si>
    <t>DNA primase (Fragment) n=1 Tax=Synechococcus sp. XM-24 TaxID=1979185 RepID=A0A316JHL5_9SYNE</t>
  </si>
  <si>
    <t>DNAUV-6.013-13_5</t>
  </si>
  <si>
    <t>DNAUV-6.016-15_17</t>
  </si>
  <si>
    <t>VOG01076 [FUNC="REFSEQ hypothetical protein"] [TAG=Xu TAGDEF="Function unknown"]</t>
  </si>
  <si>
    <t>Uncharacterized protein n=1 Tax=Symmachiella macrocystis TaxID=2527985 RepID=A0A5C6BQZ4_9PLAN</t>
  </si>
  <si>
    <t>DNAUV-6.016-15_6</t>
  </si>
  <si>
    <t>Crossover junction endodeoxyribonuclease RuvC n=1 Tax=Mariprofundus micogutta TaxID=1921010 RepID=A0A1L8CM45_9PROT</t>
  </si>
  <si>
    <t>DNAUV-6.016-15_8</t>
  </si>
  <si>
    <t>Putative recombination endonuclease n=1 Tax=Vibrio phage R01 TaxID=2283098 RepID=A0A345MCW5_9CAUD</t>
  </si>
  <si>
    <t>DNAUV-6.021-103_1</t>
  </si>
  <si>
    <t>Major tropism determinant N-terminal domain-containing protein n=1 Tax=Roseovarius gahaiensis TaxID=2716691 RepID=A0A967BAV1_9RHOB</t>
  </si>
  <si>
    <t>DNAUV-6.021-103_10</t>
  </si>
  <si>
    <t>Terminase large subunit n=1 Tax=Synechococcus phage S-H25 TaxID=2718941 RepID=A0A6G8R750_9CAUD</t>
  </si>
  <si>
    <t>DNAUV-6.021-103_3</t>
  </si>
  <si>
    <t>DNAUV-6.021-103_4</t>
  </si>
  <si>
    <t>DNAUV-6.021-103_5</t>
  </si>
  <si>
    <t>DNAUV-6.021-103_6</t>
  </si>
  <si>
    <t>DNAUV-6.021-103_7</t>
  </si>
  <si>
    <t>Neck protein n=1 Tax=Stenotrophomonas phage vB_SmaS-DLP_6 TaxID=1651816 RepID=A0A142EZR8_9CAUD</t>
  </si>
  <si>
    <t>DNAUV-6.021-103_8</t>
  </si>
  <si>
    <t>DNAUV-6.021-103_9</t>
  </si>
  <si>
    <t>Terminase DNA packaging enzyme small subunit n=1 Tax=Prochlorococcus phage P-SSM3 TaxID=536453 RepID=R9S7D8_9CAUD</t>
  </si>
  <si>
    <t>DNAUV-6.021-220_10</t>
  </si>
  <si>
    <t>DNAUV-6.021-220_13</t>
  </si>
  <si>
    <t>Tail fiber-like protein n=1 Tax=Synechococcus phage S-SKS1 TaxID=754042 RepID=M4QRR6_9CAUD</t>
  </si>
  <si>
    <t>DNAUV-6.021-220_14</t>
  </si>
  <si>
    <t>DNAUV-6.021-220_17</t>
  </si>
  <si>
    <t>DNAUV-6.021-220_18</t>
  </si>
  <si>
    <t>DNAUV-6.021-220_22</t>
  </si>
  <si>
    <t>DNAUV-6.022-21_1</t>
  </si>
  <si>
    <t>DNAUV-6.022-21_3</t>
  </si>
  <si>
    <t>VOG24244 [FUNC="REFSEQ hypothetical protein"] [TAG=Xu TAGDEF="Function unknown"]</t>
  </si>
  <si>
    <t>RNA polymerase sigma-70 region 2 domain-containing protein n=1 Tax=Hymenobacter sp. APR13 TaxID=1356852 RepID=A0A076HP85_9BACT</t>
  </si>
  <si>
    <t>DNAUV-6.022-21_4</t>
  </si>
  <si>
    <t>Head completion nuclease n=1 Tax=Synechococcus phage S-SRM01 TaxID=2781608 RepID=A0A879R1Z1_9CAUD</t>
  </si>
  <si>
    <t>DNAUV-6.022-21_5</t>
  </si>
  <si>
    <t>Gp139 n=1 Tax=Sphingomonas phage PAU TaxID=1150991 RepID=H9NC16_9CAUD</t>
  </si>
  <si>
    <t>DNAUV-6.022-21_6</t>
  </si>
  <si>
    <t>Capsid assembly protein n=1 Tax=Myoviridae sp. ctn8H20 TaxID=2825169 RepID=A0A8S5QFX0_9CAUD</t>
  </si>
  <si>
    <t>DNAUV-6.022-21_8</t>
  </si>
  <si>
    <t>Prohead core protein serine protease n=1 Tax=Myoviridae sp. ctuim2 TaxID=2827717 RepID=A0A8S5SCR3_9CAUD</t>
  </si>
  <si>
    <t>DNAUV-6.035-13_8</t>
  </si>
  <si>
    <t>Uncharacterized protein n=1 Tax=Parapedobacter composti TaxID=623281 RepID=A0A1I1G746_9SPHI</t>
  </si>
  <si>
    <t>DNAUV-6.046-175_14</t>
  </si>
  <si>
    <t>Uncharacterized protein n=1 Tax=Xanthomonas oryzae pv. oryzae TaxID=64187 RepID=A0A4P6YM48_XANOO</t>
  </si>
  <si>
    <t>DNAUV-6.046-175_6</t>
  </si>
  <si>
    <t>DNAUV-6.046-175_7</t>
  </si>
  <si>
    <t>Uncharacterized protein n=2 Tax=Tardibacter chloracetimidivorans TaxID=1921510 RepID=A0A1L3ZY37_9SPHN</t>
  </si>
  <si>
    <t>DNAUV-6.049-15_14</t>
  </si>
  <si>
    <t>Uncharacterized protein n=1 Tax=Aeromonas veronii TaxID=654 RepID=A0A653L1P9_AERVE</t>
  </si>
  <si>
    <t>DNAUV-6.049-15_20</t>
  </si>
  <si>
    <t>Uncharacterized protein n=1 Tax=Siphoviridae sp. ctiOl67 TaxID=2825622 RepID=A0A8S5QJG5_9CAUD</t>
  </si>
  <si>
    <t>DNAUV-6.049-15_26</t>
  </si>
  <si>
    <t>Beta clamp protein n=1 Tax=Vibrio phage R01 TaxID=2283098 RepID=A0A345MCX6_9CAUD</t>
  </si>
  <si>
    <t>DNAUV-6.067-32_11</t>
  </si>
  <si>
    <t>DNAUV-6.067-32_14</t>
  </si>
  <si>
    <t>DNAUV-6.097-23_1</t>
  </si>
  <si>
    <t>DNAUV-6.097-23_2</t>
  </si>
  <si>
    <t>DNAUV-6.097-23_3</t>
  </si>
  <si>
    <t>DNAUV-6.097-23_4</t>
  </si>
  <si>
    <t>VOG02177 [FUNC="sp|Q02TE1|Y807_PSEAB Putative prophage major tail sheath protein"] [TAG=Xh TAGDEF="Virus protein with function beneficial for the host"]</t>
  </si>
  <si>
    <t>DNAUV-6.097-23_5</t>
  </si>
  <si>
    <t>DNAUV-6.125-18_1</t>
  </si>
  <si>
    <t>DNAUV-6.125-18_6</t>
  </si>
  <si>
    <t>DNAUV-6.129-734_1</t>
  </si>
  <si>
    <t>Phage tail protein n=1 Tax=Azospirillum sp. TSH20 TaxID=652754 RepID=A0A2U1X3J7_9PROT</t>
  </si>
  <si>
    <t>DNAUV-6.129-734_5</t>
  </si>
  <si>
    <t>Tail fiber-like protein n=1 Tax=Synechococcus phage ACG-2014h TaxID=1340810 RepID=V5UTB4_9CAUD</t>
  </si>
  <si>
    <t>DNAUV-6.129-734_9</t>
  </si>
  <si>
    <t>Uncharacterized protein n=1 Tax=Azospirillum sp. TSH20 TaxID=652754 RepID=A0A2U1X3C8_9PROT</t>
  </si>
  <si>
    <t>DNAUV-6.176-14_10</t>
  </si>
  <si>
    <t>Uncharacterized protein n=1 Tax=Muricauda nanhaiensis TaxID=2292706 RepID=A0A371JLA3_9FLAO</t>
  </si>
  <si>
    <t>DNAUV-6.176-14_4</t>
  </si>
  <si>
    <t>Structural protein n=1 Tax=Cellulophaga phage phi19:1 TaxID=1327970 RepID=R9ZZK2_9CAUD</t>
  </si>
  <si>
    <t>DNAUV-6.176-14_6</t>
  </si>
  <si>
    <t>Structural protein n=1 Tax=Cellulophaga phage phi19:1 TaxID=1327970 RepID=R9ZWB5_9CAUD</t>
  </si>
  <si>
    <t>DNAUV-6.176-14_7</t>
  </si>
  <si>
    <t>Uncharacterized protein n=1 Tax=Robiginitalea biformata (strain ATCC BAA-864 / HTCC2501 / KCTC 12146) TaxID=313596 RepID=A4CP51_ROBBH</t>
  </si>
  <si>
    <t>DNAUV-6.176-14_8</t>
  </si>
  <si>
    <t>LamG domain-containing protein n=2 Tax=Maribacter sp. ACAM166 TaxID=2508996 RepID=A0A5R9AQH2_9FLAO</t>
  </si>
  <si>
    <t>DNAUV-6.177-13_6</t>
  </si>
  <si>
    <t>Replicative primase/helicase n=1 Tax=Pseudomonas phage KP1 TaxID=2562463 RepID=A0A6G5QAJ2_9CAUD</t>
  </si>
  <si>
    <t>DNAUV-6.177-13_9</t>
  </si>
  <si>
    <t>VOG04853 [FUNC="REFSEQ hypothetical protein"] [TAG=Xu TAGDEF="Function unknown"]</t>
  </si>
  <si>
    <t>Uncharacterized protein n=3 Tax=unclassified Septimatrevirus TaxID=2234106 RepID=A0A5B9N5I5_9CAUD</t>
  </si>
  <si>
    <t>DNAUV-6.177-18_2</t>
  </si>
  <si>
    <t>Tail fiber protein n=1 Tax=Roseobacter phage CRP-4 TaxID=2559283 RepID=A0A646QW74_9CAUD</t>
  </si>
  <si>
    <t>DNAUV-6.177-18_3</t>
  </si>
  <si>
    <t>DNAUV-6.177-18_4</t>
  </si>
  <si>
    <t>Tail fiber n=2 Tax=unclassified Pelagivirus TaxID=2749216 RepID=A0A7S5Y9J4_9CAUD</t>
  </si>
  <si>
    <t>DNAUV-6.177-18_5</t>
  </si>
  <si>
    <t>sp|D1L2X0|DPOL1_BPK32 Depolymerase 1, capsule K3-specific OS=Klebsiella phage KP32 OX=674082 GN=37 PE=1 SV=1</t>
  </si>
  <si>
    <t>Putative structural protein n=1 Tax=Roseobacter phage CRP-5 TaxID=2559284 RepID=A0A646QWE9_9CAUD</t>
  </si>
  <si>
    <t>DNAUV-6.177-18_6</t>
  </si>
  <si>
    <t>Uncharacterized protein n=1 Tax=Pusillimonas sp. (ex Stolz et al. 2005) TaxID=1979962 RepID=A0A2D7XCJ3_9BURK</t>
  </si>
  <si>
    <t>DNAUV-6.177-18_7</t>
  </si>
  <si>
    <t>Putative DNA endonuclease VII n=1 Tax=Klebsiella phage Kp_Pokalde_002 TaxID=2736260 RepID=A0A7D3UIR9_9CAUD</t>
  </si>
  <si>
    <t>DNAUV-6.194-1210_1</t>
  </si>
  <si>
    <t>DNAUV-6.194-1210_2</t>
  </si>
  <si>
    <t>Stabilization protein n=1 Tax=Podoviridae sp. ctrTa16 TaxID=2656715 RepID=A0A5Q2W8U3_9CAUD</t>
  </si>
  <si>
    <t>DNAUV-6.194-1210_3</t>
  </si>
  <si>
    <t>Phage tail tape measure protein n=1 Tax=Pusillimonas sp. (ex Stolz et al. 2005) TaxID=1979962 RepID=A0A2D7XBQ8_9BURK</t>
  </si>
  <si>
    <t>DNAUV-6.196-413_23</t>
  </si>
  <si>
    <t>Portal protein n=1 Tax=Azospirillum sp. TSH20 TaxID=652754 RepID=A0A2U1X3L0_9PROT</t>
  </si>
  <si>
    <t>DNAUV-6.196-413_24</t>
  </si>
  <si>
    <t>Uncharacterized protein n=1 Tax=Pusillimonas sp. (ex Stolz et al. 2005) TaxID=1979962 RepID=A0A2D7XB77_9BURK</t>
  </si>
  <si>
    <t>DNAUV-6.196-413_26</t>
  </si>
  <si>
    <t>DUF5872 domain-containing protein n=1 Tax=Roseobacter phage CRP-7 TaxID=2559286 RepID=A0A646QWS1_9CAUD</t>
  </si>
  <si>
    <t>DNAUV-6.196-413_27</t>
  </si>
  <si>
    <t>Coil containing protein n=2 Tax=unclassified Caudoviricetes TaxID=2788787 RepID=A0A2I7QWF5_9CAUD</t>
  </si>
  <si>
    <t>DNAUV-6.215-42_10</t>
  </si>
  <si>
    <t>sp|P03642|CAPSD_BPG4 Capsid protein F OS=Escherichia phage G4 OX=10843 GN=F PE=1 SV=3</t>
  </si>
  <si>
    <t>Putative major capsid protein n=1 Tax=Eel River basin pequenovirus TaxID=1609634 RepID=A0A0C5ANB7_9VIRU</t>
  </si>
  <si>
    <t>DNAUV-6.215-42_12</t>
  </si>
  <si>
    <t>Uncharacterized protein (Fragment) n=1 Tax=Planctomyces bekefii TaxID=1653850 RepID=A0A5C6M0K4_9PLAN</t>
  </si>
  <si>
    <t>DNAUV-6.215-42_14</t>
  </si>
  <si>
    <t>sp|P25243|VGA_BPAL3 A protein OS=Escherichia phage alpha3 OX=10849 GN=A PE=4 SV=2</t>
  </si>
  <si>
    <t>VOG06543 [FUNC="sp|P03631|REPA_BPPHS Replication-associated protein A"] [TAG=Xh TAGDEF="Virus protein with function beneficial for the host"]</t>
  </si>
  <si>
    <t>Putative replication initiation protein n=1 Tax=Eel River basin pequenovirus TaxID=1609634 RepID=A0A0C5AFY1_9VIRU</t>
  </si>
  <si>
    <t>DNAUV-6.215-42_17</t>
  </si>
  <si>
    <t>VOG37575 [FUNC="sp|P03638|SCAFD_BPG4 External scaffolding protein D"] [TAG=Xs TAGDEF="Virus structure"]</t>
  </si>
  <si>
    <t>External scaffolding protein D n=1 Tax=Eel River basin pequenovirus TaxID=1609634 RepID=A0A0C5ANA2_9VIRU</t>
  </si>
  <si>
    <t>DNAUV-6.248-60_3</t>
  </si>
  <si>
    <t>DNAUV-6.248-60_5</t>
  </si>
  <si>
    <t>DNAUV-6.248-60_6</t>
  </si>
  <si>
    <t>DNAUV-6.248-60_8</t>
  </si>
  <si>
    <t>DNAUV-6.290-15_12</t>
  </si>
  <si>
    <t>DNAUV-6.317-19_11</t>
  </si>
  <si>
    <t>Prolyl 4-hydroxylase alpha subunit Fe(2+) 2OG dioxygenase domain-containing protein n=1 Tax=Muricauda sp. TMED12 TaxID=1986608 RepID=A0A424LPJ9_9FLAO</t>
  </si>
  <si>
    <t>DNAUV-6.317-19_12</t>
  </si>
  <si>
    <t>Nucleotide-diphospho-sugar transferase domain-containing protein n=1 Tax=Muricauda sp. TMED12 TaxID=1986608 RepID=A0A424LPM5_9FLAO</t>
  </si>
  <si>
    <t>DNAUV-6.317-19_7</t>
  </si>
  <si>
    <t>DNAUV-6.317-19_8</t>
  </si>
  <si>
    <t>DNAUV-6.324-16_2</t>
  </si>
  <si>
    <t>Baseplate tail tube cap n=4 Tax=Emdodecavirus TaxID=1980937 RepID=S5MPM9_9CAUD</t>
  </si>
  <si>
    <t>DNAUV-6.324-16_3</t>
  </si>
  <si>
    <t>DNAUV-6.324-16_5</t>
  </si>
  <si>
    <t>Baseplate hub n=3 Tax=Emdodecavirus TaxID=1980937 RepID=S5MAX6_9CAUD</t>
  </si>
  <si>
    <t>DNAUV-6.332-3826_1</t>
  </si>
  <si>
    <t>Phage portal protein n=1 Tax=Pusillimonas sp. (ex Stolz et al. 2005) TaxID=1979962 RepID=A0A2D7XCP0_9BURK</t>
  </si>
  <si>
    <t>DNAUV-6.332-3826_2</t>
  </si>
  <si>
    <t>DUF1320 domain-containing protein n=1 Tax=Xanthomarina gelatinilytica TaxID=1137281 RepID=A0A3D6BNR0_9FLAO</t>
  </si>
  <si>
    <t>DNAUV-6.332-3826_3</t>
  </si>
  <si>
    <t>DNAUV-6.332-3826_4</t>
  </si>
  <si>
    <t>DNAUV-6.332-3826_5</t>
  </si>
  <si>
    <t>Uncharacterized protein n=1 Tax=Eilatimonas milleporae TaxID=911205 RepID=A0A3M0CQY6_9PROT</t>
  </si>
  <si>
    <t>DNAUV-6.332-3826_6</t>
  </si>
  <si>
    <t>Uncharacterized protein n=1 Tax=Synechococcus phage S-CAM8 TaxID=754038 RepID=G8EY20_9CAUD</t>
  </si>
  <si>
    <t>DNAUV-6.332-3826_8</t>
  </si>
  <si>
    <t>DNAUV-6.343-14_10</t>
  </si>
  <si>
    <t>Translation repressor protein n=1 Tax=Synechococcus phage S-CAM1 TaxID=754037 RepID=M4QIW5_9CAUD</t>
  </si>
  <si>
    <t>DNAUV-6.343-14_12</t>
  </si>
  <si>
    <t>Uncharacterized protein n=1 Tax=Roseovarius pacificus TaxID=337701 RepID=A0A1M6Y5Q3_9RHOB</t>
  </si>
  <si>
    <t>DNAUV-6.343-14_4</t>
  </si>
  <si>
    <t>VOG01064 [FUNC="sp|O34939|YDIO_BACSU Type II methyltransferase M1.BsuMI"] [TAG=Xh TAGDEF="Virus protein with function beneficial for the host"]</t>
  </si>
  <si>
    <t>DNA (cytosine-5-)-methyltransferase n=1 Tax=Victivallis vadensis TaxID=172901 RepID=A0A2U1B6K6_9BACT</t>
  </si>
  <si>
    <t>DNAUV-6.343-14_7</t>
  </si>
  <si>
    <t>Sliding clamp n=1 Tax=Synechococcus phage S-CAM9 TaxID=1883369 RepID=A0A1D8KNX7_9CAUD</t>
  </si>
  <si>
    <t>DNAUV-6.343-14_8</t>
  </si>
  <si>
    <t>DNAUV-6.343-14_9</t>
  </si>
  <si>
    <t>Clamp loader subunit n=1 Tax=Synechococcus phage ACG-2014d TaxID=1493509 RepID=A0A0E3HB39_9CAUD</t>
  </si>
  <si>
    <t>DNAUV-6.355-99_11</t>
  </si>
  <si>
    <t>DNAUV-6.355-99_14</t>
  </si>
  <si>
    <t>DNAUV-6.355-99_18</t>
  </si>
  <si>
    <t>DNAUV-6.355-99_19</t>
  </si>
  <si>
    <t>DNAUV-6.355-99_21</t>
  </si>
  <si>
    <t>DNAUV-6.355-99_7</t>
  </si>
  <si>
    <t>DNAUV-6.355-99_8</t>
  </si>
  <si>
    <t>DNAUV-6.358-16_2</t>
  </si>
  <si>
    <t>Nuclease SbcCD subunit D n=1 Tax=Lactobacillus phage SAC12B TaxID=2510941 RepID=A0A4Y5FFN7_9CAUD</t>
  </si>
  <si>
    <t>DNAUV-6.369-49_13</t>
  </si>
  <si>
    <t>Uncharacterized protein n=1 Tax=Moraxella equi TaxID=60442 RepID=A0A378QPX7_9GAMM</t>
  </si>
  <si>
    <t>DNAUV-6.418-16_8</t>
  </si>
  <si>
    <t>Uncharacterized protein n=1 Tax=Freshwater phage uvFW-CGR-AMD-COM-C455 TaxID=1838156 RepID=A0A1B0XUG6_9CAUD</t>
  </si>
  <si>
    <t>DNAUV-6.426-20_6</t>
  </si>
  <si>
    <t>Putative internal virion protein n=1 Tax=Mesorhizobium phage vB_MloP_Lo5R7ANS TaxID=1527771 RepID=A0A076YQK7_9CAUD</t>
  </si>
  <si>
    <t>DNAUV-6.426-20_7</t>
  </si>
  <si>
    <t>sp|A0A7S6R613|DEPOL_BPK51 Depolymerase, capsule KL64-specific OS=Klebsiella phage P510 OX=2777229 GN=ORF38 PE=3 SV=1</t>
  </si>
  <si>
    <t>Phage T7 tail fibre protein n=1 Tax=Chelatococcus sambhunathii TaxID=363953 RepID=A0A0K6HJA9_9HYPH</t>
  </si>
  <si>
    <t>DNAUV-6.447-17_1</t>
  </si>
  <si>
    <t>DNAUV-6.447-17_2</t>
  </si>
  <si>
    <t>DNAUV-6.455-14_2</t>
  </si>
  <si>
    <t>Minor tail protein n=1 Tax=Arthrobacter phage StevieBAY TaxID=2725609 RepID=A0A6M3T526_9CAUD</t>
  </si>
  <si>
    <t>DNAUV-6.455-14_3</t>
  </si>
  <si>
    <t>KilA n=1 Tax=Vibrio phage 242E40-1 TaxID=2963182 RepID=A0A9P0VLZ8_9CAUD</t>
  </si>
  <si>
    <t>DNAUV-6.455-14_5</t>
  </si>
  <si>
    <t>Uncharacterized protein n=1 Tax=Halomonas eurihalina TaxID=42566 RepID=A0A5D9DAP3_HALER</t>
  </si>
  <si>
    <t>DNAUV-6.455-14_7</t>
  </si>
  <si>
    <t>HK97 gp10 family phage protein n=2 Tax=Escherichia coli TaxID=562 RepID=D8A275_ECOMS</t>
  </si>
  <si>
    <t>DNAUV-6.461-17_5</t>
  </si>
  <si>
    <t>DNAUV-6.461-17_7</t>
  </si>
  <si>
    <t>DNAUV-6.461-17_8</t>
  </si>
  <si>
    <t>DNAUV-6.475-429_2</t>
  </si>
  <si>
    <t>DNAUV-6.475-429_3</t>
  </si>
  <si>
    <t>Transposase n=1 Tax=Tenacibaculum finnmarkense genomovar ulcerans TaxID=2781388 RepID=A0A2I2MAH6_9FLAO</t>
  </si>
  <si>
    <t>DNAUV-6.475-429_4</t>
  </si>
  <si>
    <t>DNAUV-6.475-429_5</t>
  </si>
  <si>
    <t>DNAUV-6.475-429_6</t>
  </si>
  <si>
    <t>Uncharacterized protein n=1 Tax=Bacteroides stercorirosoris TaxID=871324 RepID=A0A1M6ESE9_9BACE</t>
  </si>
  <si>
    <t>DNAUV-6.475-429_7</t>
  </si>
  <si>
    <t>DNAUV-6.475-429_8</t>
  </si>
  <si>
    <t>DNAUV-6.475-429_9</t>
  </si>
  <si>
    <t>DUF3310 domain-containing protein n=1 Tax=Nonlabens phage P12024S TaxID=1168478 RepID=I6RT60_9CAUD</t>
  </si>
  <si>
    <t>DNAUV-6.479-21_12</t>
  </si>
  <si>
    <t>Uncharacterized protein n=1 Tax=Anabaena phage A-4L TaxID=1357732 RepID=A0A059PY86_9CAUD</t>
  </si>
  <si>
    <t>DNAUV-6.502-141_10</t>
  </si>
  <si>
    <t>DNAUV-6.502-141_4</t>
  </si>
  <si>
    <t>DNAUV-6.502-141_5</t>
  </si>
  <si>
    <t>DNAUV-6.502-141_8</t>
  </si>
  <si>
    <t>DNAUV-6.502-141_9</t>
  </si>
  <si>
    <t>DNAUV-6.502-63_2</t>
  </si>
  <si>
    <t>DNAUV-6.502-63_3</t>
  </si>
  <si>
    <t>Sliding clamp n=1 Tax=Lake Baikal phage Baikal-20-5m-C28 TaxID=2047876 RepID=A0A2H4N7P0_9CAUD</t>
  </si>
  <si>
    <t>DNAUV-6.502-63_4</t>
  </si>
  <si>
    <t>DNAUV-6.502-63_7</t>
  </si>
  <si>
    <t>DNA polymerase n=1 Tax=Muricauda sp. TMED12 TaxID=1986608 RepID=A0A3R7T2R2_9FLAO</t>
  </si>
  <si>
    <t>DNAUV-6.502-63_8</t>
  </si>
  <si>
    <t>DNAUV-6.532-1161_12</t>
  </si>
  <si>
    <t>DNAUV-6.532-1161_3</t>
  </si>
  <si>
    <t>DNAUV-6.532-1161_4</t>
  </si>
  <si>
    <t>VOG22725 [FUNC="REFSEQ hypothetical protein"] [TAG=Xu TAGDEF="Function unknown"]</t>
  </si>
  <si>
    <t>Uncharacterized protein n=3 Tax=Yuavirus TaxID=1299429 RepID=A0A0N9ERU6_9CAUD</t>
  </si>
  <si>
    <t>DNAUV-6.532-1161_5</t>
  </si>
  <si>
    <t>VOG02684 [FUNC="REFSEQ hypothetical protein"] [TAG=Xu TAGDEF="Function unknown"]</t>
  </si>
  <si>
    <t>Uncharacterized protein n=3 Tax=Bacteroides TaxID=816 RepID=A0A416VK40_9BACE</t>
  </si>
  <si>
    <t>DNAUV-6.532-1161_9</t>
  </si>
  <si>
    <t>Uncharacterized protein n=1 Tax=Alteromonas phage vB_AmeM_PT11-V22 TaxID=2704031 RepID=A0A6C0R225_9CAUD</t>
  </si>
  <si>
    <t>DNAUV-6.533-15_1</t>
  </si>
  <si>
    <t>DNAUV-6.533-15_2</t>
  </si>
  <si>
    <t>N-acetyltransferase domain-containing protein n=2 Tax=Paracoccus versutus TaxID=34007 RepID=A0A3D9XP67_PARVE</t>
  </si>
  <si>
    <t>DNAUV-6.533-15_3</t>
  </si>
  <si>
    <t>DNAUV-6.547-120_7</t>
  </si>
  <si>
    <t>Uncharacterized protein n=1 Tax=Podoviridae sp. ctDWo9 TaxID=2656708 RepID=A0A5Q2WBF4_9CAUD</t>
  </si>
  <si>
    <t>DNAUV-6.556-14_1</t>
  </si>
  <si>
    <t>DNAUV-6.556-14_4</t>
  </si>
  <si>
    <t>Uncharacterized protein n=1 Tax=Caulobacter phage Sansa TaxID=1675600 RepID=A0A0K1LM03_9CAUD</t>
  </si>
  <si>
    <t>DNAUV-6.565-602_20</t>
  </si>
  <si>
    <t>VOG04586 [FUNC="REFSEQ hypothetical protein"] [TAG=Xu TAGDEF="Function unknown"]</t>
  </si>
  <si>
    <t>Uncharacterized protein n=1 Tax=Roseicitreum antarcticum TaxID=564137 RepID=A0A1H3EUQ8_9RHOB</t>
  </si>
  <si>
    <t>DNAUV-6.565-602_8</t>
  </si>
  <si>
    <t>DNAUV-6.566-186_11</t>
  </si>
  <si>
    <t>DNAUV-6.566-186_3</t>
  </si>
  <si>
    <t>DNAUV-6.566-186_4</t>
  </si>
  <si>
    <t>DNAUV-6.566-186_5</t>
  </si>
  <si>
    <t>DNAUV-6.566-186_8</t>
  </si>
  <si>
    <t>Putative terminase n=1 Tax=Vibrio phage Va1 TaxID=2508852 RepID=A0A410T6L6_9CAUD</t>
  </si>
  <si>
    <t>DNAUV-6.566-186_9</t>
  </si>
  <si>
    <t>DNAUV-6.574-13_2</t>
  </si>
  <si>
    <t>Internal virion protein n=1 Tax=Kaustia mangrovi TaxID=2593653 RepID=A0A7S8C809_9HYPH</t>
  </si>
  <si>
    <t>DNAUV-6.574-13_3</t>
  </si>
  <si>
    <t>sp|A0A068Q6B2|ANCHR_BPKNT Anchor protein OS=Klebsiella phage NTUH-K2044-K1-1 OX=1194091 PE=4 SV=1</t>
  </si>
  <si>
    <t>Tail fiber protein n=1 Tax=Rhizobium phage RHph_TM34 TaxID=2509556 RepID=A0A7S5USH0_9CAUD</t>
  </si>
  <si>
    <t>DNAUV-6.574-13_5</t>
  </si>
  <si>
    <t>VOG00501 [FUNC="sp|P03693|TERS_BPT7 Terminase, small subunit gp18"] [TAG=Xr TAGDEF="Virus replication"]</t>
  </si>
  <si>
    <t>Putative DNA maturase A n=1 Tax=Pseudomonas phage LKA1 TaxID=386793 RepID=Q0E5W4_9CAUD</t>
  </si>
  <si>
    <t>DNAUV-6.574-13_6</t>
  </si>
  <si>
    <t>Terminase large subunit protein n=2 Tax=unclassified Cuernavacavirus TaxID=2749214 RepID=A0A7S5R4E5_9CAUD</t>
  </si>
  <si>
    <t>DNAUV-6.588-589_14</t>
  </si>
  <si>
    <t>DNAUV-6.588-589_16</t>
  </si>
  <si>
    <t>DNAUV-6.598-32_2</t>
  </si>
  <si>
    <t>Antitermination protein n=1 Tax=Marinobacter sp. C18 TaxID=1772288 RepID=A0A1Q8G4V4_9GAMM</t>
  </si>
  <si>
    <t>DNAUV-6.598-32_4</t>
  </si>
  <si>
    <t>Tail fiber protein n=1 Tax=Ruegeria phage vB_RpoS-V10 TaxID=2218616 RepID=A0A2Z4QGY9_9CAUD</t>
  </si>
  <si>
    <t>DNAUV-6.598-32_6</t>
  </si>
  <si>
    <t>Holin of 3TMs, for gene-transfer release n=1 Tax=Alteromonas australica TaxID=589873 RepID=A0A350P704_9ALTE</t>
  </si>
  <si>
    <t>DNAUV-6.598-32_9</t>
  </si>
  <si>
    <t>Collagen-like protein n=1 Tax=Bradyrhizobium cytisi TaxID=515489 RepID=A0A5S4WZL4_9BRAD</t>
  </si>
  <si>
    <t>DNAUV-6.604-1139_10</t>
  </si>
  <si>
    <t>DNAUV-6.604-1139_11</t>
  </si>
  <si>
    <t>DNAUV-6.604-1139_14</t>
  </si>
  <si>
    <t>DNAUV-6.604-1139_15</t>
  </si>
  <si>
    <t>DNAUV-6.604-1139_16</t>
  </si>
  <si>
    <t>HNH endonuclease n=1 Tax=Galactobacter caseinivorans TaxID=2676123 RepID=A0A496PMT6_9MICC</t>
  </si>
  <si>
    <t>DNAUV-6.604-1139_18</t>
  </si>
  <si>
    <t>Uncharacterized protein n=1 Tax=Pontimonas phage phiPsal1 TaxID=2079347 RepID=A0A2K9VGV5_9CAUD</t>
  </si>
  <si>
    <t>DNAUV-6.629-57_5</t>
  </si>
  <si>
    <t>DNAUV-6.629-57_7</t>
  </si>
  <si>
    <t>sp|Q6QGP4|DNMK_BPT5 Deoxynucleoside-5'-monophosphate kinase OS=Escherichia phage T5 OX=2695836 GN=dnk PE=1 SV=1</t>
  </si>
  <si>
    <t>Deoxynucleoside monophosphate kinase n=1 Tax=Streptomyces phage Wakanda TaxID=2713267 RepID=A0A6G8R1K5_9CAUD</t>
  </si>
  <si>
    <t>DNAUV-6.655-66_2</t>
  </si>
  <si>
    <t>DNAUV-6.655-66_4</t>
  </si>
  <si>
    <t>DNAUV-6.667-237_10</t>
  </si>
  <si>
    <t>HNH endonuclease n=1 Tax=Clostridium botulinum TaxID=1491 RepID=A0A846I5Y6_CLOBO</t>
  </si>
  <si>
    <t>DNAUV-6.667-237_11</t>
  </si>
  <si>
    <t>DNAUV-6.667-237_12</t>
  </si>
  <si>
    <t>DNAUV-6.667-237_5</t>
  </si>
  <si>
    <t>DNAUV-6.667-237_6</t>
  </si>
  <si>
    <t>DNAUV-6.667-237_7</t>
  </si>
  <si>
    <t>DNAUV-6.667-237_9</t>
  </si>
  <si>
    <t>DNAUV-6.684-19_2</t>
  </si>
  <si>
    <t>DNAUV-6.684-19_3</t>
  </si>
  <si>
    <t>DNAUV-6.684-19_4</t>
  </si>
  <si>
    <t>Major capsid protein n=1 Tax=Virus NIOZ-UU157 TaxID=2763269 RepID=A0A7S9SS34_9VIRU</t>
  </si>
  <si>
    <t>DNAUV-6.684-19_5</t>
  </si>
  <si>
    <t>DNAUV-6.684-19_6</t>
  </si>
  <si>
    <t>EF-hand domain-containing protein n=1 Tax=Pusillimonas sp. (ex Stolz et al. 2005) TaxID=1979962 RepID=A0A2D7XCU2_9BURK</t>
  </si>
  <si>
    <t>DNAUV-6.702-23_2</t>
  </si>
  <si>
    <t>Glycosyltransferase n=1 Tax=Richelia sp. RM2_1_2 TaxID=2720436 RepID=A0A969MML9_9NOST</t>
  </si>
  <si>
    <t>DNAUV-6.702-23_4</t>
  </si>
  <si>
    <t>GP-PDE domain-containing protein n=1 Tax=Acanthocystis turfacea Chlorella virus MN0810.1 TaxID=1278272 RepID=M1HZE8_9PHYC</t>
  </si>
  <si>
    <t>DNAUV-6.721-81_1</t>
  </si>
  <si>
    <t>DUF3127 domain-containing protein n=1 Tax=Cellulophaga phage phi13:2 TaxID=1328030 RepID=S0A5N2_9CAUD</t>
  </si>
  <si>
    <t>DNAUV-6.721-81_4</t>
  </si>
  <si>
    <t>DNA replication/modification protein n=2 Tax=unclassified Caeruleovirus TaxID=2233868 RepID=A0A3S6R5K0_9CAUD</t>
  </si>
  <si>
    <t>DNAUV-6.721-81_5</t>
  </si>
  <si>
    <t>Replication protein n=1 Tax=Olleya phage Harreka_1 TaxID=2745673 RepID=A0A8E4ZC20_9CAUD</t>
  </si>
  <si>
    <t>DNAUV-6.721-81_6</t>
  </si>
  <si>
    <t>DNAUV-6.814-25_3</t>
  </si>
  <si>
    <t>Phage protein n=1 Tax=Aeromonas phage 2L372X TaxID=2588515 RepID=A0A5B9NC31_9CAUD</t>
  </si>
  <si>
    <t>DNAUV-6.814-25_7</t>
  </si>
  <si>
    <t>Uncharacterized protein n=1 Tax=Shewanella sp. phage 1/40 TaxID=1458860 RepID=A0A088C4L3_9CAUD</t>
  </si>
  <si>
    <t>DNAUV-6.814-25_8</t>
  </si>
  <si>
    <t>VOG29549 [FUNC="REFSEQ hypothetical protein"] [TAG=Xu TAGDEF="Function unknown"]</t>
  </si>
  <si>
    <t>Tail fiber protein n=1 Tax=Vibrio phage 501E54-1 TaxID=2963209 RepID=A0A9P0YCU2_9CAUD</t>
  </si>
  <si>
    <t>DNAUV-6.814-25_9</t>
  </si>
  <si>
    <t>VOG06452 [FUNC="REFSEQ hypothetical protein"] [TAG=Xu TAGDEF="Function unknown"]</t>
  </si>
  <si>
    <t>Coil containing protein n=1 Tax=Vibrio phage 501E54-1 TaxID=2963209 RepID=A0A9P0VIA6_9CAUD</t>
  </si>
  <si>
    <t>DNAUV-6.824-277_3</t>
  </si>
  <si>
    <t>VOG32494 [FUNC="REFSEQ hypothetical protein"] [TAG=Xu TAGDEF="Function unknown"]</t>
  </si>
  <si>
    <t>DNAUV-6.824-277_5</t>
  </si>
  <si>
    <t>DNAUV-6.824-277_7</t>
  </si>
  <si>
    <t>Major capsid protein n=1 Tax=Shewanella phage SFCi1 TaxID=1852599 RepID=A0A1B0Z1G7_9CAUD</t>
  </si>
  <si>
    <t>DNAUV-6.832-14_5</t>
  </si>
  <si>
    <t>DUF3310 domain-containing protein n=1 Tax=Brucella rhizosphaerae TaxID=571254 RepID=A0A256FL31_9HYPH</t>
  </si>
  <si>
    <t>DNAUV-6.832-14_6</t>
  </si>
  <si>
    <t>sp|P03728|PORTL_BPT7 Portal protein OS=Escherichia phage T7 OX=10760 GN=8 PE=1 SV=1</t>
  </si>
  <si>
    <t>Putative head-to-tail joining protein n=4 Tax=unclassified Autographiviridae TaxID=2731990 RepID=A0A7S6C650_9CAUD</t>
  </si>
  <si>
    <t>DNAUV-6.833-1509_10</t>
  </si>
  <si>
    <t>DNAUV-6.833-1509_11</t>
  </si>
  <si>
    <t>DNAUV-6.833-1509_12</t>
  </si>
  <si>
    <t>DNAUV-6.833-1509_7</t>
  </si>
  <si>
    <t>DNAUV-6.833-1509_8</t>
  </si>
  <si>
    <t>DNAUV-6.833-1509_9</t>
  </si>
  <si>
    <t>DNAUV-6.835-159_3</t>
  </si>
  <si>
    <t>DNAUV-6.835-159_4</t>
  </si>
  <si>
    <t>DNAUV-6.835-159_5</t>
  </si>
  <si>
    <t>DNAUV-6.835-159_6</t>
  </si>
  <si>
    <t>DNAUV-6.835-159_7</t>
  </si>
  <si>
    <t>DNAUV-6.901-30_1</t>
  </si>
  <si>
    <t>VOG03121 [FUNC="REFSEQ hypothetical protein"] [TAG=Xu TAGDEF="Function unknown"]</t>
  </si>
  <si>
    <t>Uncharacterized protein n=1 Tax=Vibrio phage VH2_2019 TaxID=2686309 RepID=A0A6B9STY2_9CAUD</t>
  </si>
  <si>
    <t>DNAUV-6.901-30_11</t>
  </si>
  <si>
    <t>Uncharacterized protein n=1 Tax=Acetivibrio ethanolgignens TaxID=290052 RepID=A0A0V8QEZ1_9FIRM</t>
  </si>
  <si>
    <t>DNAUV-6.901-30_3</t>
  </si>
  <si>
    <t>Uncharacterized protein n=2 Tax=unclassified Caudoviricetes TaxID=2788787 RepID=V9QJQ7_9CAUD</t>
  </si>
  <si>
    <t>DNAUV-6.901-30_9</t>
  </si>
  <si>
    <t>Hypothetical phage protein n=1 Tax=Burkholderia cenocepacia (strain ATCC BAA-245 / DSM 16553 / LMG 16656 / NCTC 13227 / J2315 / CF5610) TaxID=216591 RepID=B4EFQ1_BURCJ</t>
  </si>
  <si>
    <t>DNAUV-6.906-24_10</t>
  </si>
  <si>
    <t>VOG10014 [FUNC="REFSEQ structural protein"] [TAG=Xu TAGDEF="Function unknown"]</t>
  </si>
  <si>
    <t>DNAUV-6.906-24_6</t>
  </si>
  <si>
    <t>Structural protein n=3 Tax=Callevirus TaxID=2948648 RepID=A0A8E4ZI80_9CAUD</t>
  </si>
  <si>
    <t>DNAUV-6.909-137_3</t>
  </si>
  <si>
    <t>HNH nuclease n=1 Tax=Vibrio phage 2.275.O._10N.286.54.E11 TaxID=1881285 RepID=A0A2I7SAS3_9CAUD</t>
  </si>
  <si>
    <t>DNAUV-6.909-137_4</t>
  </si>
  <si>
    <t>DNAUV-6.909-137_5</t>
  </si>
  <si>
    <t>Baseplate wedge subunit protein n=1 Tax=Caulobacter phage Cr30 TaxID=1357714 RepID=A0A067XR07_9CAUD</t>
  </si>
  <si>
    <t>DNAUV-6.909-137_7</t>
  </si>
  <si>
    <t>Putative baseplate hub subunit and tail lysozyme n=1 Tax=Sinorhizobium phage phiM9 TaxID=1636182 RepID=A0A0F6R509_9CAUD</t>
  </si>
  <si>
    <t>DNAUV-6.950-43_1</t>
  </si>
  <si>
    <t>Phage stabilisation protein n=1 Tax=Pelagibius litoralis TaxID=374515 RepID=A0A967EWQ1_9HYPH</t>
  </si>
  <si>
    <t>DNAUV-6.950-43_2</t>
  </si>
  <si>
    <t>DNAUV-6.950-43_3</t>
  </si>
  <si>
    <t>VOG02040 [FUNC="REFSEQ short tail fiber protein"] [TAG=Xu TAGDEF="Function unknown"]</t>
  </si>
  <si>
    <t>Putative short tail fiber protein n=1 Tax=Alteromonas phage vB_AmeP_R8W TaxID=2774152 RepID=A0A8E4RFY9_9CAUD</t>
  </si>
  <si>
    <t>DNAUV-6.950-43_4</t>
  </si>
  <si>
    <t>VOG01738 [FUNC="sp|Q01074|GP7_BPP22 Internal virion protein gp7"] [TAG=Xh TAGDEF="Virus protein with function beneficial for the host"]</t>
  </si>
  <si>
    <t>Uncharacterized protein n=1 Tax=Albimonas pacifica TaxID=1114924 RepID=A0A1I3LIA9_9RHOB</t>
  </si>
  <si>
    <t>DNAUV-6.950-43_6</t>
  </si>
  <si>
    <t>DNAUV-6.956-35_2</t>
  </si>
  <si>
    <t>Uncharacterized protein n=1 Tax=Tenacibaculum phage JQ TaxID=2712935 RepID=A0A6G6XU32_9CAUD</t>
  </si>
  <si>
    <t>DNAUV-6.963-18_1</t>
  </si>
  <si>
    <t>DNAUV-62.938-22_10</t>
  </si>
  <si>
    <t>Group I intron endonuclease n=1 Tax=Clostridium perfringens TaxID=1502 RepID=A0A921KGB5_CLOPF</t>
  </si>
  <si>
    <t>DNAUV-62.938-22_11</t>
  </si>
  <si>
    <t>Deoxynucleotide monophosphate kinase n=1 Tax=Inquilinus limosus MP06 TaxID=1398085 RepID=A0A0A0DGJ1_9PROT</t>
  </si>
  <si>
    <t>DNAUV-62.938-22_16</t>
  </si>
  <si>
    <t>Putative recombination endonuclease n=1 Tax=Pelagibacter phage Mosig EXVC030M TaxID=2759214 RepID=A0A7S6ILF5_9CAUD</t>
  </si>
  <si>
    <t>DNAUV-62.938-22_18</t>
  </si>
  <si>
    <t>NUMOD3 domain-containing DNA-binding protein n=1 Tax=Bacillus cereus TaxID=1396 RepID=A0A9X0KD94_BACCE</t>
  </si>
  <si>
    <t>DNAUV-62.938-22_28</t>
  </si>
  <si>
    <t>GIY-YIG domain-containing protein n=1 Tax=Virgibacillus profundi TaxID=2024555 RepID=A0A2A2IEW9_9BACI</t>
  </si>
  <si>
    <t>DNAUV-62.938-22_29</t>
  </si>
  <si>
    <t>Phage head morphogenesis domain-containing protein n=1 Tax=Bacillus phage YungSlug TaxID=2736257 RepID=A0A7D3UIB8_9CAUD</t>
  </si>
  <si>
    <t>DNAUV-62.938-22_34</t>
  </si>
  <si>
    <t>Exonuclease n=1 Tax=Myoviridae sp. ctgXL3 TaxID=2826681 RepID=A0A8S5QRS0_9CAUD</t>
  </si>
  <si>
    <t>DNAUV-62.938-22_35</t>
  </si>
  <si>
    <t>HNH endonuclease n=1 Tax=Streptomyces phage EGole TaxID=2517973 RepID=A0A482JE05_9CAUD</t>
  </si>
  <si>
    <t>DNAUV-62.938-22_38</t>
  </si>
  <si>
    <t>DNAUV-62.938-22_39</t>
  </si>
  <si>
    <t>Gp86 n=2 Tax=Klumppvirus TaxID=2948786 RepID=D9J0N3_9CAUD</t>
  </si>
  <si>
    <t>DNAUV-62.938-22_43</t>
  </si>
  <si>
    <t>DNAUV-62.938-22_46</t>
  </si>
  <si>
    <t>Uncharacterized protein n=1 Tax=Lake Baikal phage Baikal-20-5m-C28 TaxID=2047876 RepID=A0A2H4N7R3_9CAUD</t>
  </si>
  <si>
    <t>DNAUV-62.938-22_47</t>
  </si>
  <si>
    <t>Tryptophan synthase beta chain-like PALP domain-containing protein n=1 Tax=Thalassospira sp. MCCC 1A01428 TaxID=1470575 RepID=A0A1X4N6G0_9PROT</t>
  </si>
  <si>
    <t>DNAUV-62.938-22_48</t>
  </si>
  <si>
    <t>Endonuclease VII n=1 Tax=Escherichia phage vB_EcoM_VR7 TaxID=700939 RepID=E5FIC0_9CAUD</t>
  </si>
  <si>
    <t>DNAUV-62.938-22_50</t>
  </si>
  <si>
    <t>Uncharacterized protein n=1 Tax=Caudovirales sp. ctOwN3 TaxID=2656725 RepID=A0A5Q2W8C2_9CAUD</t>
  </si>
  <si>
    <t>DNAUV-62.938-22_57</t>
  </si>
  <si>
    <t>VOG31447 [FUNC="REFSEQ hypothetical protein"] [TAG=Xu TAGDEF="Function unknown"]</t>
  </si>
  <si>
    <t>Uncharacterized protein n=1 Tax=Tenacibaculum phage pT24 TaxID=1880590 RepID=A0A1B4XWX4_9CAUD</t>
  </si>
  <si>
    <t>DNAUV-62.938-22_61</t>
  </si>
  <si>
    <t>VOG19796 [FUNC="REFSEQ tail fiber protein"] [TAG=Xu TAGDEF="Function unknown"]</t>
  </si>
  <si>
    <t>Neck protein n=1 Tax=Lysinibacillus phage vB_LfM_LysYB2 TaxID=2995279 RepID=A0A9E8MC93_9CAUD</t>
  </si>
  <si>
    <t>DNAUV-62.938-22_65</t>
  </si>
  <si>
    <t>Uncharacterized protein n=2 Tax=Okubovirus camphawk TaxID=1986015 RepID=U5PT68_9CAUD</t>
  </si>
  <si>
    <t>DNAUV-62.938-22_73</t>
  </si>
  <si>
    <t>Gram-positive signal peptide protein YSIRK family n=1 Tax=Clostridium sp. CAG:678 TaxID=1262831 RepID=R5L896_9CLOT</t>
  </si>
  <si>
    <t>DNAUV-62.938-22_78</t>
  </si>
  <si>
    <t>VOG31875 [FUNC="REFSEQ hypothetical protein"] [TAG=Xu TAGDEF="Function unknown"]</t>
  </si>
  <si>
    <t>Uncharacterized protein n=1 Tax=Pseudomonas phage ventosus TaxID=2048980 RepID=A0A2H4P7T3_9CAUD</t>
  </si>
  <si>
    <t>DNAUV-62.938-22_8</t>
  </si>
  <si>
    <t>CHC2 zinc finger n=1 Tax=Caloramator quimbayensis TaxID=1147123 RepID=A0A1T4YDM9_9CLOT</t>
  </si>
  <si>
    <t>DNAUV-62.938-22_90</t>
  </si>
  <si>
    <t>Homing endonuclease n=1 Tax=Escherichia phage vB_EcoM_WL-3 TaxID=2776769 RepID=A0A7M1ID49_9CAUD</t>
  </si>
  <si>
    <t>DNAUV-63.154-214_100</t>
  </si>
  <si>
    <t>DNAUV-63.154-214_14</t>
  </si>
  <si>
    <t>Terminase small subunit n=1 Tax=Roseobacter phage CRP-13 TaxID=2813173 RepID=A0A8E5F813_9CAUD</t>
  </si>
  <si>
    <t>DNAUV-63.154-214_15</t>
  </si>
  <si>
    <t>DNAUV-63.154-214_18</t>
  </si>
  <si>
    <t>DNAUV-63.154-214_19</t>
  </si>
  <si>
    <t>DNAUV-63.154-214_20</t>
  </si>
  <si>
    <t>Uncharacterized protein n=1 Tax=Roseobacter phage CRP-13 TaxID=2813173 RepID=A0A8E5BEU9_9CAUD</t>
  </si>
  <si>
    <t>DNAUV-63.154-214_21</t>
  </si>
  <si>
    <t>DNAUV-63.154-214_22</t>
  </si>
  <si>
    <t>Uncharacterized protein n=1 Tax=Rhizobium phage RHph_I3_11 TaxID=2509731 RepID=A0A7S5R8F9_9CAUD</t>
  </si>
  <si>
    <t>DNAUV-63.154-214_23</t>
  </si>
  <si>
    <t>DNAUV-63.154-214_24</t>
  </si>
  <si>
    <t>DNAUV-63.154-214_27</t>
  </si>
  <si>
    <t>DNAUV-63.154-214_29</t>
  </si>
  <si>
    <t>DUF1353 domain-containing protein n=1 Tax=Pelagimonas phthalicica TaxID=1037362 RepID=A0A238JFG9_9RHOB</t>
  </si>
  <si>
    <t>DNAUV-63.154-214_30</t>
  </si>
  <si>
    <t>DNAUV-63.154-214_32</t>
  </si>
  <si>
    <t>Uncharacterized protein n=1 Tax=Roseobacter phage CRP-13 TaxID=2813173 RepID=A0A8E5BEU1_9CAUD</t>
  </si>
  <si>
    <t>DNAUV-63.154-214_34</t>
  </si>
  <si>
    <t>DNAUV-63.154-214_5</t>
  </si>
  <si>
    <t>DNAUV-63.154-214_61</t>
  </si>
  <si>
    <t>DNAUV-63.154-214_64</t>
  </si>
  <si>
    <t>HAD family hydrolase n=1 Tax=Gemmobacter caeni TaxID=589035 RepID=A0A2T6B8N7_9RHOB</t>
  </si>
  <si>
    <t>DNAUV-63.154-214_7</t>
  </si>
  <si>
    <t>DNAUV-63.154-214_71</t>
  </si>
  <si>
    <t>Amidoligase enzyme n=1 Tax=Bradyrhizobium erythrophlei TaxID=1437360 RepID=A0A1M5TAC9_9BRAD</t>
  </si>
  <si>
    <t>DNAUV-63.154-214_72</t>
  </si>
  <si>
    <t>Glutamine amidotransferases class-II n=1 Tax=Bradyrhizobium erythrophlei TaxID=1437360 RepID=A0A1M5TA99_9BRAD</t>
  </si>
  <si>
    <t>DNAUV-63.154-214_75</t>
  </si>
  <si>
    <t>VOG00496 [FUNC="REFSEQ hypothetical protein"] [TAG=Xu TAGDEF="Function unknown"]</t>
  </si>
  <si>
    <t>Peptidase S74 domain-containing protein n=1 Tax=Alteromonas phage vB_AmeM_PT11-V22 TaxID=2704031 RepID=A0A6C0R1L9_9CAUD</t>
  </si>
  <si>
    <t>DNAUV-63.154-214_77</t>
  </si>
  <si>
    <t>DNAUV-63.154-214_8</t>
  </si>
  <si>
    <t>DNAUV-63.154-214_80</t>
  </si>
  <si>
    <t>DNAUV-63.154-214_83</t>
  </si>
  <si>
    <t>DNAUV-63.154-214_87</t>
  </si>
  <si>
    <t>Uncharacterized protein n=1 Tax=Brucella tritici TaxID=94626 RepID=A0A7X6J9Q4_9HYPH</t>
  </si>
  <si>
    <t>DNAUV-63.154-214_88</t>
  </si>
  <si>
    <t>DNAUV-63.154-214_9</t>
  </si>
  <si>
    <t>Uncharacterized protein n=1 Tax=Nitrosovibrio sp. Nv4 TaxID=1945880 RepID=A0A286C4I0_9PROT</t>
  </si>
  <si>
    <t>DNAUV-63.154-214_90</t>
  </si>
  <si>
    <t>DNAUV-63.154-214_91</t>
  </si>
  <si>
    <t>DNAUV-63.154-214_94</t>
  </si>
  <si>
    <t>DNAUV-64.562-41_1</t>
  </si>
  <si>
    <t>Putative structural protein n=1 Tax=Sphingomonas phage vB_StuS_MMDA13 TaxID=2686378 RepID=A0A7G3PLS5_9CAUD</t>
  </si>
  <si>
    <t>DNAUV-64.562-41_10</t>
  </si>
  <si>
    <t>Gp10 n=1 Tax=Alphaproteobacteria phage PhiJL001 TaxID=2681607 RepID=Q5DN95_9CAUD</t>
  </si>
  <si>
    <t>DNAUV-64.562-41_11</t>
  </si>
  <si>
    <t>Gp11 n=1 Tax=Alphaproteobacteria phage PhiJL001 TaxID=2681607 RepID=Q5DN94_9CAUD</t>
  </si>
  <si>
    <t>DNAUV-64.562-41_14</t>
  </si>
  <si>
    <t>Putative UvrD helicase n=1 Tax=Pseudomonas phage PaMx11 TaxID=1175657 RepID=A0A0S0N5C8_BPPAM</t>
  </si>
  <si>
    <t>DNAUV-64.562-41_16</t>
  </si>
  <si>
    <t>3'-5' exoribonuclease Rv2179c-like domain-containing protein n=1 Tax=Rhizobium sp. Root482 TaxID=1736543 RepID=A0A0T1XRG8_9HYPH</t>
  </si>
  <si>
    <t>DNAUV-64.562-41_17</t>
  </si>
  <si>
    <t>VOG06900 [FUNC="REFSEQ hypothetical protein"] [TAG=Xu TAGDEF="Function unknown"]</t>
  </si>
  <si>
    <t>Gp18 n=1 Tax=Alphaproteobacteria phage PhiJL001 TaxID=2681607 RepID=Q5DN87_9CAUD</t>
  </si>
  <si>
    <t>DNAUV-64.562-41_19</t>
  </si>
  <si>
    <t>Gp19 n=1 Tax=Alphaproteobacteria phage PhiJL001 TaxID=2681607 RepID=Q5DN86_9CAUD</t>
  </si>
  <si>
    <t>DNAUV-64.562-41_20</t>
  </si>
  <si>
    <t>Glucosyl transferase n=1 Tax=Alphaproteobacteria phage PhiJL001 TaxID=2681607 RepID=Q5DN83_9CAUD</t>
  </si>
  <si>
    <t>DNAUV-64.562-41_21</t>
  </si>
  <si>
    <t>Nucleotide modification associated domain-containing protein n=1 Tax=Shinella sp. JR1-6 TaxID=2527671 RepID=A0A4Q8MAV2_9HYPH</t>
  </si>
  <si>
    <t>DNAUV-64.562-41_23</t>
  </si>
  <si>
    <t>Gp25 n=1 Tax=Alphaproteobacteria phage PhiJL001 TaxID=2681607 RepID=Q5DN80_9CAUD</t>
  </si>
  <si>
    <t>DNAUV-64.562-41_24</t>
  </si>
  <si>
    <t>Gp26 n=1 Tax=Alphaproteobacteria phage PhiJL001 TaxID=2681607 RepID=Q5DN79_9CAUD</t>
  </si>
  <si>
    <t>DNAUV-64.562-41_27</t>
  </si>
  <si>
    <t>Gp31 n=1 Tax=Alphaproteobacteria phage PhiJL001 TaxID=2681607 RepID=Q5DN74_9CAUD</t>
  </si>
  <si>
    <t>DNAUV-64.562-41_28</t>
  </si>
  <si>
    <t>Repressor n=1 Tax=Alphaproteobacteria phage PhiJL001 TaxID=2681607 RepID=Q5DN73_9CAUD</t>
  </si>
  <si>
    <t>DNAUV-64.562-41_32</t>
  </si>
  <si>
    <t>Holliday junction resolvase n=2 Tax=Rheinheimera mesophila TaxID=1547515 RepID=A0A3P3QMV2_9GAMM</t>
  </si>
  <si>
    <t>DNAUV-64.562-41_39</t>
  </si>
  <si>
    <t>Uncharacterized protein n=1 Tax=Rickettsia endosymbiont of Culicoides newsteadi TaxID=1961830 RepID=A0A261DBA9_9RICK</t>
  </si>
  <si>
    <t>DNAUV-64.562-41_40</t>
  </si>
  <si>
    <t>VOG00098 [FUNC="sp|Q5UQC1|YL232_MIMIV Putative serine/threonine-protein kinase L232"] [TAG=Xh TAGDEF="Virus protein with function beneficial for the host"]</t>
  </si>
  <si>
    <t>Uncharacterized protein n=1 Tax=Cupriavidus taiwanensis TaxID=164546 RepID=A0A375GWH3_9BURK</t>
  </si>
  <si>
    <t>DNAUV-64.562-41_49</t>
  </si>
  <si>
    <t>Uncharacterized protein n=1 Tax=Roseimicrobium gellanilyticum TaxID=748857 RepID=A0A366H6N0_9BACT</t>
  </si>
  <si>
    <t>DNAUV-64.562-41_5</t>
  </si>
  <si>
    <t>Uncharacterized protein n=1 Tax=Roseobacter phage RDJL Phi 1 TaxID=562742 RepID=F4YXL1_9CAUD</t>
  </si>
  <si>
    <t>DNAUV-64.562-41_52</t>
  </si>
  <si>
    <t>PH domain-containing protein n=1 Tax=Chelatococcus caeni TaxID=1348468 RepID=A0A840BYF2_9HYPH</t>
  </si>
  <si>
    <t>DNAUV-64.562-41_53</t>
  </si>
  <si>
    <t>Uncharacterized protein n=1 Tax=Ralstonia phage RSP15 TaxID=1785960 RepID=A0A0X8WP99_9CAUD</t>
  </si>
  <si>
    <t>DNAUV-64.562-41_55</t>
  </si>
  <si>
    <t>Gp58 n=1 Tax=Alphaproteobacteria phage PhiJL001 TaxID=2681607 RepID=Q5DN47_9CAUD</t>
  </si>
  <si>
    <t>DNAUV-64.562-41_57</t>
  </si>
  <si>
    <t>DNAUV-64.562-41_59</t>
  </si>
  <si>
    <t>DNAUV-64.562-41_6</t>
  </si>
  <si>
    <t>Uncharacterized protein n=2 Tax=unclassified Bosavirus TaxID=2970907 RepID=A0A9X9JMY5_9CAUD</t>
  </si>
  <si>
    <t>DNAUV-64.562-41_60</t>
  </si>
  <si>
    <t>Coat protein n=1 Tax=Alphaproteobacteria phage PhiJL001 TaxID=2681607 RepID=Q5DN38_9CAUD</t>
  </si>
  <si>
    <t>DNAUV-64.562-41_61</t>
  </si>
  <si>
    <t>VOG29058 [FUNC="REFSEQ hypothetical protein"] [TAG=Xu TAGDEF="Function unknown"]</t>
  </si>
  <si>
    <t>DUF5801 domain-containing protein n=1 Tax=Sphingomonas phage vB_StuS_MMDA13 TaxID=2686378 RepID=A0A7G3PHE3_9CAUD</t>
  </si>
  <si>
    <t>DNAUV-64.562-41_62</t>
  </si>
  <si>
    <t>Uncharacterized protein n=1 Tax=Alteromonas phage vB_AcoS-R7M TaxID=2729541 RepID=A0A6M3YN58_9CAUD</t>
  </si>
  <si>
    <t>DNAUV-64.562-41_64</t>
  </si>
  <si>
    <t>Gp75 n=1 Tax=Alphaproteobacteria phage PhiJL001 TaxID=2681607 RepID=Q5DN30_9CAUD</t>
  </si>
  <si>
    <t>DNAUV-64.562-41_65</t>
  </si>
  <si>
    <t>Gp76 n=1 Tax=Alphaproteobacteria phage PhiJL001 TaxID=2681607 RepID=Q5DN29_9CAUD</t>
  </si>
  <si>
    <t>DNAUV-64.562-41_66</t>
  </si>
  <si>
    <t>DNAUV-64.562-41_67</t>
  </si>
  <si>
    <t>Gp78 n=1 Tax=Alphaproteobacteria phage PhiJL001 TaxID=2681607 RepID=Q5DN27_9CAUD</t>
  </si>
  <si>
    <t>DNAUV-64.562-41_68</t>
  </si>
  <si>
    <t>Gp80 n=1 Tax=Alphaproteobacteria phage PhiJL001 TaxID=2681607 RepID=Q5DN25_9CAUD</t>
  </si>
  <si>
    <t>DNAUV-64.562-41_69</t>
  </si>
  <si>
    <t>Tail assembly chaperone n=6 Tax=Caudoviricetes TaxID=2731619 RepID=A0A5B9N958_9CAUD</t>
  </si>
  <si>
    <t>DNAUV-64.562-41_7</t>
  </si>
  <si>
    <t>Gp05 n=1 Tax=Alphaproteobacteria phage PhiJL001 TaxID=2681607 RepID=Q5DNA0_9CAUD</t>
  </si>
  <si>
    <t>DNAUV-64.562-41_70</t>
  </si>
  <si>
    <t>Gp81 n=1 Tax=Alphaproteobacteria phage PhiJL001 TaxID=2681607 RepID=Q5DN24_9CAUD</t>
  </si>
  <si>
    <t>DNAUV-64.562-41_72</t>
  </si>
  <si>
    <t>VOG02387 [FUNC="REFSEQ structural protein"] [TAG=Xu TAGDEF="Function unknown"]</t>
  </si>
  <si>
    <t>Virion structural protein n=1 Tax=Brevundimonas phage vB_BgoS-Fanboy TaxID=2948595 RepID=A0A9E7MTK4_9CAUD</t>
  </si>
  <si>
    <t>DNAUV-64.562-41_73</t>
  </si>
  <si>
    <t>Uncharacterized protein n=1 Tax=Brevundimonas phage vB_BpoS-Leszy TaxID=2948602 RepID=A0A9E7SJZ9_9CAUD</t>
  </si>
  <si>
    <t>DNAUV-64.562-41_74</t>
  </si>
  <si>
    <t>Virion structural protein n=1 Tax=Burkholderia phage vB_BceS_KL1 TaxID=1132026 RepID=I6NQU4_9CAUD</t>
  </si>
  <si>
    <t>DNAUV-64.562-41_9</t>
  </si>
  <si>
    <t>VOG29558 [FUNC="REFSEQ hypothetical protein"] [TAG=Xu TAGDEF="Function unknown"]</t>
  </si>
  <si>
    <t>Gp08 n=1 Tax=Alphaproteobacteria phage PhiJL001 TaxID=2681607 RepID=Q5DN97_9CAUD</t>
  </si>
  <si>
    <t>DNAUV-64.565-409_10</t>
  </si>
  <si>
    <t>VOG00806 [FUNC="sp|P37135|YAF1_BACLI Uncharacterized 11.0 kDa protein in cwlL 5'region"] [TAG=Xu TAGDEF="Function unknown"]</t>
  </si>
  <si>
    <t>DUF1640 domain-containing protein n=1 Tax=Dinoroseobacter phage vB_DshS-R5C TaxID=1965368 RepID=A0A1V0DYA1_9CAUD</t>
  </si>
  <si>
    <t>DNAUV-64.565-409_101</t>
  </si>
  <si>
    <t>Uncharacterized protein n=1 Tax=Vibrio phage PH669 TaxID=2800823 RepID=A0A7T6ZN37_9CAUD</t>
  </si>
  <si>
    <t>DNAUV-64.565-409_103</t>
  </si>
  <si>
    <t>Putative DnaT-like domain-containing protein n=1 Tax=Pseudomonas virus PBPA162 TaxID=2588096 RepID=A0A4Y5TPA3_9CAUD</t>
  </si>
  <si>
    <t>DNAUV-64.565-409_104</t>
  </si>
  <si>
    <t>Structural protein n=1 Tax=Pseudomonas phage JG054 TaxID=1970800 RepID=A0A2H4GY40_9CAUD</t>
  </si>
  <si>
    <t>DNAUV-64.565-409_105</t>
  </si>
  <si>
    <t>DNAUV-64.565-409_106</t>
  </si>
  <si>
    <t>DNAUV-64.565-409_107</t>
  </si>
  <si>
    <t>DNAUV-64.565-409_108</t>
  </si>
  <si>
    <t>Tail protein n=2 Tax=Burkholderia phage vB_BceS_KL1 TaxID=1132026 RepID=I6NQ53_9CAUD</t>
  </si>
  <si>
    <t>DNAUV-64.565-409_11</t>
  </si>
  <si>
    <t>Uncharacterized protein n=2 Tax=Jannaschia helgolandensis TaxID=188906 RepID=A0A1H7NU43_9RHOB</t>
  </si>
  <si>
    <t>DNAUV-64.565-409_13</t>
  </si>
  <si>
    <t>Peptidase M15C domain-containing protein n=1 Tax=Novosphingobium sp. KN65.2 TaxID=1478134 RepID=A0A158SPS1_9SPHN</t>
  </si>
  <si>
    <t>DNAUV-64.565-409_17</t>
  </si>
  <si>
    <t>Single-stranded DNA-binding protein n=2 Tax=Abidjanvirus TaxID=1982095 RepID=A0A0A1IV41_9CAUD</t>
  </si>
  <si>
    <t>DNAUV-64.565-409_18</t>
  </si>
  <si>
    <t>Uncharacterized protein n=6 Tax=root TaxID=1 RepID=I6WC65_9CAUD</t>
  </si>
  <si>
    <t>DNAUV-64.565-409_2</t>
  </si>
  <si>
    <t>Tail assembly structural protein n=1 Tax=Erythrobacter phage vB_EliS_R6L TaxID=1913119 RepID=A0A1P8VVN1_9CAUD</t>
  </si>
  <si>
    <t>DNAUV-64.565-409_20</t>
  </si>
  <si>
    <t>Uncharacterized protein n=1 Tax=Pseudomonas phage ZC01 TaxID=1622114 RepID=A0A1L2C902_9CAUD</t>
  </si>
  <si>
    <t>DNAUV-64.565-409_22</t>
  </si>
  <si>
    <t>ATP-binding protein n=1 Tax=Roseibium aquae TaxID=1323746 RepID=A0A916T7B9_9HYPH</t>
  </si>
  <si>
    <t>DNAUV-64.565-409_28</t>
  </si>
  <si>
    <t>VOG03218 [FUNC="REFSEQ hypothetical protein"] [TAG=Xu TAGDEF="Function unknown"]</t>
  </si>
  <si>
    <t>Uncharacterized protein (Fragment) n=1 Tax=Zostera marina TaxID=29655 RepID=A0A0K9NLY0_ZOSMR</t>
  </si>
  <si>
    <t>DNAUV-64.565-409_29</t>
  </si>
  <si>
    <t>5-hmdU DNA kinase helical domain-containing protein (Fragment) n=1 Tax=Zostera marina TaxID=29655 RepID=A0A0K9NME9_ZOSMR</t>
  </si>
  <si>
    <t>DNAUV-64.565-409_37</t>
  </si>
  <si>
    <t>DNAUV-64.565-409_39</t>
  </si>
  <si>
    <t>DUF3310 domain-containing protein n=2 Tax=unclassified Caudoviricetes TaxID=2788787 RepID=A0A7S5V0H5_9CAUD</t>
  </si>
  <si>
    <t>DNAUV-64.565-409_46</t>
  </si>
  <si>
    <t>Endonuclease n=1 Tax=Pseudomonas phage vB_PaeS_PAO1_Ab18 TaxID=1548905 RepID=A0A0A1IWL0_9CAUD</t>
  </si>
  <si>
    <t>DNAUV-64.565-409_5</t>
  </si>
  <si>
    <t>VOG13908 [FUNC="REFSEQ hypothetical protein"] [TAG=Xu TAGDEF="Function unknown"]</t>
  </si>
  <si>
    <t>Tail fiber protein n=1 Tax=Sphingomonas phage Kharn TaxID=2686312 RepID=A0A6M3TC47_9CAUD</t>
  </si>
  <si>
    <t>DNAUV-64.565-409_55</t>
  </si>
  <si>
    <t>VOG20414 [FUNC="REFSEQ hypothetical protein"] [TAG=Xu TAGDEF="Function unknown"]</t>
  </si>
  <si>
    <t>Uncharacterized protein n=1 Tax=Aquibium oceanicum TaxID=1670800 RepID=A0A1L3SXW3_9HYPH</t>
  </si>
  <si>
    <t>DNAUV-64.565-409_56</t>
  </si>
  <si>
    <t>Uncharacterized protein n=1 Tax=Rhizobium phage RHph_Y1_11 TaxID=2509770 RepID=A0A7S5RK78_9CAUD</t>
  </si>
  <si>
    <t>DNAUV-64.565-409_57</t>
  </si>
  <si>
    <t>DUF2786 domain-containing protein n=1 Tax=Pseudoroseomonas aestuarii TaxID=568898 RepID=A0A2U1V3E9_9PROT</t>
  </si>
  <si>
    <t>DNAUV-64.565-409_61</t>
  </si>
  <si>
    <t>DNAUV-64.565-409_63</t>
  </si>
  <si>
    <t>Opacity protein n=1 Tax=Paracoccus solventivorans TaxID=53463 RepID=A0A832PJU6_9RHOB</t>
  </si>
  <si>
    <t>DNAUV-64.565-409_64</t>
  </si>
  <si>
    <t>Nucleotidyl transferase AbiEii/AbiGii toxin family protein n=2 Tax=root TaxID=1 RepID=A0A088FAU5_9CAUD</t>
  </si>
  <si>
    <t>DNAUV-64.565-409_66</t>
  </si>
  <si>
    <t>DNAUV-64.565-409_73</t>
  </si>
  <si>
    <t>VOG04516 [FUNC="REFSEQ hypothetical protein"] [TAG=Xu TAGDEF="Function unknown"]</t>
  </si>
  <si>
    <t>Uncharacterized protein n=1 Tax=Vibrio phage vB_VhaP_PG11 TaxID=2996149 RepID=A0A9E9B752_9CAUD</t>
  </si>
  <si>
    <t>DNAUV-64.565-409_8</t>
  </si>
  <si>
    <t>p-loop NTPase superfamily protein n=1 Tax=Dinoroseobacter phage vB_DshS-R5C TaxID=1965368 RepID=A0A1V0DY96_9CAUD</t>
  </si>
  <si>
    <t>DNAUV-64.565-409_82</t>
  </si>
  <si>
    <t>DNAUV-64.565-409_84</t>
  </si>
  <si>
    <t>Dynein-related subfamily AAA family protein n=1 Tax=Rhodovulum bhavnagarense TaxID=992286 RepID=A0A4R2R8V7_9RHOB</t>
  </si>
  <si>
    <t>DNAUV-64.565-409_89</t>
  </si>
  <si>
    <t>DNAUV-64.565-409_9</t>
  </si>
  <si>
    <t>Secreted protein n=2 Tax=Rhizobium TaxID=379 RepID=W6RHQ3_9HYPH</t>
  </si>
  <si>
    <t>DNAUV-64.565-409_90</t>
  </si>
  <si>
    <t>Uncharacterized protein n=1 Tax=Methyloligella halotolerans TaxID=1177755 RepID=A0A1E2RZR5_9HYPH</t>
  </si>
  <si>
    <t>DNAUV-64.565-409_94</t>
  </si>
  <si>
    <t>Portal n=1 Tax=Siphoviridae sp. ctJ7x27 TaxID=2827835 RepID=A0A8S5S4L3_9CAUD</t>
  </si>
  <si>
    <t>DNAUV-64.565-409_96</t>
  </si>
  <si>
    <t>DNAUV-64.565-409_98</t>
  </si>
  <si>
    <t>Major head protein n=1 Tax=Pseudomonas phage PaMx25 TaxID=1175654 RepID=A0A0S0N2Q7_9CAUD</t>
  </si>
  <si>
    <t>DNAUV-68.024-31_1</t>
  </si>
  <si>
    <t>DNAUV-68.024-31_100</t>
  </si>
  <si>
    <t>YadA-like C-terminal region n=1 Tax=Pseudovibrio sp. Tun.PSC04-5.I4 TaxID=1798213 RepID=A0A1H0YY62_9HYPH</t>
  </si>
  <si>
    <t>DNAUV-68.024-31_101</t>
  </si>
  <si>
    <t>Uncharacterized protein n=1 Tax=Muricauda sp. TMED12 TaxID=1986608 RepID=A0A3S5JBX8_9FLAO</t>
  </si>
  <si>
    <t>DNAUV-68.024-31_103</t>
  </si>
  <si>
    <t>Caudovirales tail fiber assembly protein n=1 Tax=Pseudodesulfovibrio hydrargyri TaxID=2125990 RepID=A0A1J5N5Z8_9BACT</t>
  </si>
  <si>
    <t>DNAUV-68.024-31_105</t>
  </si>
  <si>
    <t>Uncharacterized protein n=2 Tax=unclassified Pelagivirus TaxID=2749216 RepID=A0A7S5Y9I8_9CAUD</t>
  </si>
  <si>
    <t>DNAUV-68.024-31_106</t>
  </si>
  <si>
    <t>DNAUV-68.024-31_107</t>
  </si>
  <si>
    <t>DNAUV-68.024-31_108</t>
  </si>
  <si>
    <t>DNAUV-68.024-31_109</t>
  </si>
  <si>
    <t>DNAUV-68.024-31_110</t>
  </si>
  <si>
    <t>DNAUV-68.024-31_113</t>
  </si>
  <si>
    <t>DNAUV-68.024-31_114</t>
  </si>
  <si>
    <t>DNAUV-68.024-31_115</t>
  </si>
  <si>
    <t>Prohead core scaffold and protease n=1 Tax=Lake Baikal phage Baikal-20-5m-C28 TaxID=2047876 RepID=A0A2H4N7M8_9CAUD</t>
  </si>
  <si>
    <t>DNAUV-68.024-31_116</t>
  </si>
  <si>
    <t>DNAUV-68.024-31_118</t>
  </si>
  <si>
    <t>DNAUV-68.024-31_27</t>
  </si>
  <si>
    <t>Head completion protein n=1 Tax=Muricauda sp. TMED12 TaxID=1986608 RepID=A0A424LPQ5_9FLAO</t>
  </si>
  <si>
    <t>DNAUV-68.024-31_29</t>
  </si>
  <si>
    <t>DNAUV-68.024-31_3</t>
  </si>
  <si>
    <t>Uncharacterized protein n=1 Tax=Cinqassovirus aeh1 TaxID=227470 RepID=Q76YK5_9CAUD</t>
  </si>
  <si>
    <t>DNAUV-68.024-31_30</t>
  </si>
  <si>
    <t>sp|O29651|Y604_ARCFU Uncharacterized protein AF_0604 OS=Archaeoglobus fulgidus (strain ATCC 49558 / DSM 4304 / JCM 9628 / NBRC 100126 / VC-16) OX=224325 GN=AF_0604 PE=4 SV=1</t>
  </si>
  <si>
    <t>Sulfotransferase n=1 Tax=Pukyongia salina TaxID=2094025 RepID=A0A2S0HXU7_9FLAO</t>
  </si>
  <si>
    <t>DNAUV-68.024-31_32</t>
  </si>
  <si>
    <t>DNAUV-68.024-31_33</t>
  </si>
  <si>
    <t>DNAUV-68.024-31_34</t>
  </si>
  <si>
    <t>Baseplate hub assembly chaperone n=1 Tax=Synechococcus phage S-T4 TaxID=2268578 RepID=A0A385EF72_9CAUD</t>
  </si>
  <si>
    <t>DNAUV-68.024-31_48</t>
  </si>
  <si>
    <t>DNAUV-68.024-31_49</t>
  </si>
  <si>
    <t>Gp13 n=1 Tax=Siovirus americense TaxID=136084 RepID=Q9G0H2_9CAUD</t>
  </si>
  <si>
    <t>DNAUV-68.024-31_53</t>
  </si>
  <si>
    <t>DNAUV-68.024-31_54</t>
  </si>
  <si>
    <t>DNAUV-68.024-31_55</t>
  </si>
  <si>
    <t>DEAD/DEAH box helicase n=1 Tax=Muricauda sp. TMED12 TaxID=1986608 RepID=A0A424LGL7_9FLAO</t>
  </si>
  <si>
    <t>DNAUV-68.024-31_57</t>
  </si>
  <si>
    <t>DNAUV-68.024-31_58</t>
  </si>
  <si>
    <t>DNAUV-68.024-31_60</t>
  </si>
  <si>
    <t>DNAUV-68.024-31_61</t>
  </si>
  <si>
    <t>DNAUV-68.024-31_63</t>
  </si>
  <si>
    <t>DNAUV-68.024-31_64</t>
  </si>
  <si>
    <t>DNAUV-68.024-31_65</t>
  </si>
  <si>
    <t>DNAUV-68.024-31_67</t>
  </si>
  <si>
    <t>DUF2693 domain-containing protein n=1 Tax=Lake Baikal phage Baikal-20-5m-C28 TaxID=2047876 RepID=A0A2H4N829_9CAUD</t>
  </si>
  <si>
    <t>DNAUV-68.024-31_69</t>
  </si>
  <si>
    <t>Uncharacterized protein n=1 Tax=Myoviridae sp. ctThM1 TaxID=2656730 RepID=A0A5Q2W857_9CAUD</t>
  </si>
  <si>
    <t>DNAUV-68.024-31_72</t>
  </si>
  <si>
    <t>DNAUV-68.024-31_75</t>
  </si>
  <si>
    <t>DNAUV-68.024-31_76</t>
  </si>
  <si>
    <t>Single-stranded DNA-binding protein n=1 Tax=Muricauda sp. TMED12 TaxID=1986608 RepID=A0A424LPP4_9FLAO</t>
  </si>
  <si>
    <t>DNAUV-68.024-31_83</t>
  </si>
  <si>
    <t>DNAUV-68.024-31_84</t>
  </si>
  <si>
    <t>DNAUV-68.024-31_85</t>
  </si>
  <si>
    <t>Tail protein n=1 Tax=Lake Baikal phage Baikal-20-5m-C28 TaxID=2047876 RepID=A0A2H4N7G1_9CAUD</t>
  </si>
  <si>
    <t>DNAUV-68.024-31_86</t>
  </si>
  <si>
    <t>DNAUV-68.024-31_91</t>
  </si>
  <si>
    <t>DNAUV-68.024-31_92</t>
  </si>
  <si>
    <t>Baseplate protein J-like domain-containing protein n=1 Tax=Muricauda sp. TMED12 TaxID=1986608 RepID=A0A424LPN6_9FLAO</t>
  </si>
  <si>
    <t>DNAUV-68.024-31_93</t>
  </si>
  <si>
    <t>Baseplate wedge subunit and tail pin n=2 Tax=Ormenosvirus TaxID=2948849 RepID=Q0QZC6_BPSYS</t>
  </si>
  <si>
    <t>DNAUV-68.024-31_94</t>
  </si>
  <si>
    <t>DNAUV-68.024-31_99</t>
  </si>
  <si>
    <t>DNAUV-7.066-2192_10</t>
  </si>
  <si>
    <t>Uncharacterized protein n=1 Tax=Tenacibaculum phage Larrie TaxID=2968246 RepID=A0A9X9JBR0_9CAUD</t>
  </si>
  <si>
    <t>DNAUV-7.066-2192_4</t>
  </si>
  <si>
    <t>DNAUV-7.066-2192_5</t>
  </si>
  <si>
    <t>DNAUV-7.066-2192_6</t>
  </si>
  <si>
    <t>DNAUV-7.066-2192_7</t>
  </si>
  <si>
    <t>DNAUV-7.066-2192_8</t>
  </si>
  <si>
    <t>DNAUV-7.076-482_5</t>
  </si>
  <si>
    <t>Phage protein n=1 Tax=Polaribacter phage P12002S TaxID=1647387 RepID=A0A0F7DD26_9CAUD</t>
  </si>
  <si>
    <t>DNAUV-7.076-482_7</t>
  </si>
  <si>
    <t>DNAUV-7.076-482_8</t>
  </si>
  <si>
    <t>Uncharacterized protein n=1 Tax=Tamlana fucoidanivorans TaxID=2583814 RepID=A0A5C4SDL7_9FLAO</t>
  </si>
  <si>
    <t>DNAUV-7.103-19_1</t>
  </si>
  <si>
    <t>DNAUV-7.103-19_2</t>
  </si>
  <si>
    <t>DNAUV-7.103-19_3</t>
  </si>
  <si>
    <t>DNAUV-7.103-19_4</t>
  </si>
  <si>
    <t>Baseplate hub subunit n=1 Tax=Synechococcus phage Bellamy TaxID=2023996 RepID=A0A222YVF8_9CAUD</t>
  </si>
  <si>
    <t>DNAUV-7.103-19_6</t>
  </si>
  <si>
    <t>Uncharacterized protein n=1 Tax=Roseobacter phage CRP-2 TaxID=2559281 RepID=A0A646QVT2_9CAUD</t>
  </si>
  <si>
    <t>DNAUV-7.111-19_10</t>
  </si>
  <si>
    <t>DNAUV-7.111-19_15</t>
  </si>
  <si>
    <t>Uncharacterized protein n=1 Tax=Sinorhizobium phage phiM12 TaxID=1357423 RepID=S5MPI5_9CAUD</t>
  </si>
  <si>
    <t>DNAUV-7.111-19_4</t>
  </si>
  <si>
    <t>DNAUV-7.111-19_5</t>
  </si>
  <si>
    <t>DNAUV-7.111-19_8</t>
  </si>
  <si>
    <t>DNAUV-7.111-19_9</t>
  </si>
  <si>
    <t>Prohead core scaffold protein n=1 Tax=Synechococcus phage S-SRM01 TaxID=2781608 RepID=A0A879R1W8_9CAUD</t>
  </si>
  <si>
    <t>DNAUV-7.116-13_14</t>
  </si>
  <si>
    <t>Putative DNA polymerase I n=1 Tax=Pseudomonas phage PaMx41 TaxID=1815976 RepID=A0A1C8HTG1_9CAUD</t>
  </si>
  <si>
    <t>DNAUV-7.148-65_1</t>
  </si>
  <si>
    <t>sp|Q3UN70|MRFL_MOUSE Myelin regulatory factor-like protein OS=Mus musculus OX=10090 GN=Myrfl PE=2 SV=1</t>
  </si>
  <si>
    <t>VOG00835 [FUNC="REFSEQ tail fiber protein"] [TAG=Xu TAGDEF="Function unknown"]</t>
  </si>
  <si>
    <t>Peptidase S74 domain-containing protein n=2 Tax=Pseudolabrys taiwanensis TaxID=331696 RepID=A0A345ZXC8_9HYPH</t>
  </si>
  <si>
    <t>DNAUV-7.148-65_6</t>
  </si>
  <si>
    <t>DNAUV-7.148-65_7</t>
  </si>
  <si>
    <t>DNAUV-7.193-31-V2_11</t>
  </si>
  <si>
    <t>HNH endonuclease n=1 Tax=Acinetobacter phage LZ35 TaxID=1792222 RepID=A0A190XCC8_9CAUD</t>
  </si>
  <si>
    <t>DNAUV-7.193-31-V2_3</t>
  </si>
  <si>
    <t>Uncharacterized protein n=1 Tax=Sulfitobacter phage NYA-2014a TaxID=1526550 RepID=A0A088F6Z0_9CAUD</t>
  </si>
  <si>
    <t>DNAUV-7.193-31-V2_4</t>
  </si>
  <si>
    <t>Uncharacterized protein n=1 Tax=Sphingobium sp. MI1205 TaxID=407020 RepID=A0A126RAL3_9SPHN</t>
  </si>
  <si>
    <t>DNAUV-7.193-31-V2_7</t>
  </si>
  <si>
    <t>Uncharacterized protein n=1 Tax=Kaustia mangrovi TaxID=2593653 RepID=A0A7S8C5W5_9HYPH</t>
  </si>
  <si>
    <t>DNAUV-7.232-25_1</t>
  </si>
  <si>
    <t>DNAUV-7.232-25_2</t>
  </si>
  <si>
    <t>Tail assembly chaperone n=1 Tax=Vibrio phage 11895-B1 TaxID=754075 RepID=M4QTC7_9CAUD</t>
  </si>
  <si>
    <t>DNAUV-7.232-25_3</t>
  </si>
  <si>
    <t>Uncharacterized protein n=1 Tax=Vibrio phage 11895-B1 TaxID=754075 RepID=M4R2Z3_9CAUD</t>
  </si>
  <si>
    <t>DNAUV-7.232-25_5</t>
  </si>
  <si>
    <t>Uncharacterized protein n=1 Tax=Vibrio phage 11895-B1 TaxID=754075 RepID=M4QTC3_9CAUD</t>
  </si>
  <si>
    <t>DNAUV-7.232-25_6</t>
  </si>
  <si>
    <t>Uncharacterized protein n=1 Tax=Vibrio phage 11895-B1 TaxID=754075 RepID=M4R2Y9_9CAUD</t>
  </si>
  <si>
    <t>DNAUV-7.232-25_7</t>
  </si>
  <si>
    <t>Tail protein n=1 Tax=Vibrio phage 11895-B1 TaxID=754075 RepID=M4QQV6_9CAUD</t>
  </si>
  <si>
    <t>DNAUV-7.232-25_8</t>
  </si>
  <si>
    <t>DNAUV-7.232-25_9</t>
  </si>
  <si>
    <t>VOG01562 [FUNC="REFSEQ hypothetical protein"] [TAG=Xu TAGDEF="Function unknown"]</t>
  </si>
  <si>
    <t>Uncharacterized protein n=1 Tax=Vibrio phage 11895-B1 TaxID=754075 RepID=M4QUP6_9CAUD</t>
  </si>
  <si>
    <t>DNAUV-7.242-34_2</t>
  </si>
  <si>
    <t>Gliding motility-associated C-terminal domain-containing protein (Fragment) n=1 Tax=Ekhidna lutea TaxID=447679 RepID=A0A239KTH0_EKHLU</t>
  </si>
  <si>
    <t>DNAUV-7.242-34_3</t>
  </si>
  <si>
    <t>Tail fiber protein n=1 Tax=Vipivirus canadense TaxID=194802 RepID=Q8LT49_9CAUD</t>
  </si>
  <si>
    <t>DNAUV-7.242-34_5</t>
  </si>
  <si>
    <t>Concanavalin A-like lectin/glucanase superfamily protein n=1 Tax=Sulfuritortus calidifontis TaxID=1914471 RepID=A0A4R3JYB9_9PROT</t>
  </si>
  <si>
    <t>DNAUV-7.242-34_7</t>
  </si>
  <si>
    <t>Peptidase M15C domain-containing protein n=1 Tax=Polaribacter phage P12002L TaxID=1647386 RepID=A0A0F7DD09_9CAUD</t>
  </si>
  <si>
    <t>DNAUV-7.251-124_10</t>
  </si>
  <si>
    <t>Uncharacterized protein n=1 Tax=Salipiger marinus TaxID=555512 RepID=A0A1G8RWE4_9RHOB</t>
  </si>
  <si>
    <t>DNAUV-7.251-124_14</t>
  </si>
  <si>
    <t>Uncharacterized protein n=1 Tax=Albimonas donghaensis TaxID=356660 RepID=A0A1H2VRA9_9RHOB</t>
  </si>
  <si>
    <t>DNAUV-7.251-124_19</t>
  </si>
  <si>
    <t>DNAUV-7.253-326_17</t>
  </si>
  <si>
    <t>DNAUV-7.253-326_18</t>
  </si>
  <si>
    <t>DNAUV-7.253-326_20</t>
  </si>
  <si>
    <t>DNAUV-7.255-110_11</t>
  </si>
  <si>
    <t>Phage protein n=1 Tax=Salipiger mucosus DSM 16094 TaxID=1123237 RepID=S9QDS7_9RHOB</t>
  </si>
  <si>
    <t>DNAUV-7.255-110_2</t>
  </si>
  <si>
    <t>DNAUV-7.255-110_3</t>
  </si>
  <si>
    <t>VOG27389 [FUNC="REFSEQ structural protein"] [TAG=Xu TAGDEF="Function unknown"]</t>
  </si>
  <si>
    <t>Phage structural protein n=1 Tax=Pseudoalteromonas phage H105/1 TaxID=877240 RepID=E1AC27_9CAUD</t>
  </si>
  <si>
    <t>DNAUV-7.255-110_5</t>
  </si>
  <si>
    <t>M15 family metallopeptidase n=1 Tax=Prosthecochloris sp. SCSIO W1101 TaxID=2992242 RepID=A0A9E8ENX0_9CHLB</t>
  </si>
  <si>
    <t>DNAUV-7.259-20_2</t>
  </si>
  <si>
    <t>sp|P26744|PORTL_BPP22 Portal protein OS=Salmonella phage P22 OX=10754 GN=1 PE=1 SV=2</t>
  </si>
  <si>
    <t>DNAUV-7.259-20_4</t>
  </si>
  <si>
    <t>Coat protein n=1 Tax=Salmonella enterica TaxID=28901 RepID=A0A402UWL9_SALER</t>
  </si>
  <si>
    <t>DNAUV-7.259-20_7</t>
  </si>
  <si>
    <t>DNAUV-7.259-20_8</t>
  </si>
  <si>
    <t>Uncharacterized protein n=2 Tax=Vibrio harveyi group TaxID=717610 RepID=A0A5Q2UPA7_9VIBR</t>
  </si>
  <si>
    <t>DNAUV-7.289-190_10</t>
  </si>
  <si>
    <t>DNAUV-7.289-190_19</t>
  </si>
  <si>
    <t>DNAUV-7.289-190_23</t>
  </si>
  <si>
    <t>DNAUV-7.289-190_24</t>
  </si>
  <si>
    <t>Uncharacterized protein n=2 Tax=Rubrobacter marinus TaxID=2653852 RepID=A0A6G8PZE5_9ACTN</t>
  </si>
  <si>
    <t>DNAUV-7.327-58_1</t>
  </si>
  <si>
    <t>DNAUV-7.327-58_10</t>
  </si>
  <si>
    <t>DNAUV-7.327-58_2</t>
  </si>
  <si>
    <t>DNAUV-7.327-58_3</t>
  </si>
  <si>
    <t>DNAUV-7.358-33_1</t>
  </si>
  <si>
    <t>Deoxynucleotide monophosphate kinase n=1 Tax=Vibrio phage S4-7 TaxID=1873905 RepID=A0A1C9LX09_9CAUD</t>
  </si>
  <si>
    <t>DNAUV-7.358-33_3</t>
  </si>
  <si>
    <t>DNAUV-7.358-33_4</t>
  </si>
  <si>
    <t>VOG34381 [FUNC="REFSEQ hypothetical protein"] [TAG=Xu TAGDEF="Function unknown"]</t>
  </si>
  <si>
    <t>Uncharacterized protein n=1 Tax=Pseudoalteromonas phage J2-1 TaxID=2023998 RepID=A0A223LHW7_9CAUD</t>
  </si>
  <si>
    <t>DNAUV-7.358-33_5</t>
  </si>
  <si>
    <t>Putative exonuclease n=1 Tax=Vibrio phage 1.193.O._10N.286.52.C6 TaxID=1881436 RepID=A0A2I7RKL9_9CAUD</t>
  </si>
  <si>
    <t>DNAUV-7.358-33_6</t>
  </si>
  <si>
    <t>Exonuclease n=1 Tax=Vibrio phage 424E50-1 TaxID=2963198 RepID=A0A9P0YEE0_9CAUD</t>
  </si>
  <si>
    <t>DNAUV-7.358-33_7</t>
  </si>
  <si>
    <t>VOG27559 [FUNC="REFSEQ hypothetical protein"] [TAG=Xu TAGDEF="Function unknown"]</t>
  </si>
  <si>
    <t>Uncharacterized protein n=1 Tax=Vibrio phage 424E50-1 TaxID=2963198 RepID=A0A9P0VMU8_9CAUD</t>
  </si>
  <si>
    <t>DNAUV-7.358-33_8</t>
  </si>
  <si>
    <t>C2H2-type domain-containing protein n=2 Tax=unclassified Caudoviricetes TaxID=2788787 RepID=M4MAV3_9CAUD</t>
  </si>
  <si>
    <t>DNAUV-7.368-81_1</t>
  </si>
  <si>
    <t>Dual primase/helicase n=1 Tax=Roseobacter phage CRP-9 TaxID=2813174 RepID=A0A8E5BFQ1_9CAUD</t>
  </si>
  <si>
    <t>DNAUV-7.368-81_5</t>
  </si>
  <si>
    <t>Uncharacterized protein n=1 Tax=Ensifer sp. LCM 4579 TaxID=1848292 RepID=A0A1S1SLK5_9HYPH</t>
  </si>
  <si>
    <t>DNAUV-7.368-81_9</t>
  </si>
  <si>
    <t>PD-(D/E)XK endonuclease-like domain-containing protein n=1 Tax=Roseobacter phage CRP-9 TaxID=2813174 RepID=A0A8E5F622_9CAUD</t>
  </si>
  <si>
    <t>DNAUV-7.373-19_1</t>
  </si>
  <si>
    <t>DNAUV-7.373-19_5</t>
  </si>
  <si>
    <t>Uncharacterized protein n=1 Tax=Nitratireductor arenosus TaxID=2682096 RepID=A0A844QN70_9HYPH</t>
  </si>
  <si>
    <t>DNAUV-7.373-19_9</t>
  </si>
  <si>
    <t>HNH endonuclease n=1 Tax=Spirosoma sp. KUDC1026 TaxID=2745947 RepID=A0A8U0M9G4_9BACT</t>
  </si>
  <si>
    <t>DNAUV-7.382-59_18</t>
  </si>
  <si>
    <t>DNAUV-7.382-59_19</t>
  </si>
  <si>
    <t>SsDNA-binding protein n=1 Tax=Enterobacteria phage PR772 TaxID=261665 RepID=Q6EDV4_9VIRU</t>
  </si>
  <si>
    <t>DNAUV-7.382-59_4</t>
  </si>
  <si>
    <t>DNAUV-7.382-59_5</t>
  </si>
  <si>
    <t>DNAUV-7.382-59_6</t>
  </si>
  <si>
    <t>DNAUV-7.407-171_4</t>
  </si>
  <si>
    <t>DNAUV-7.407-171_5</t>
  </si>
  <si>
    <t>DNAUV-7.407-171_8</t>
  </si>
  <si>
    <t>DNAUV-7.407-171_9</t>
  </si>
  <si>
    <t>DNAUV-7.430-346_12</t>
  </si>
  <si>
    <t>DNAUV-7.430-346_14</t>
  </si>
  <si>
    <t>DNAUV-7.430-346_9</t>
  </si>
  <si>
    <t>DNAUV-7.476-13_12</t>
  </si>
  <si>
    <t>DNAUV-7.476-13_2</t>
  </si>
  <si>
    <t>Major tropism determinant N-terminal domain-containing protein n=1 Tax=Synechococcus phage S-B43 TaxID=2484638 RepID=A0A3G3M5R0_9CAUD</t>
  </si>
  <si>
    <t>DNAUV-7.476-13_3</t>
  </si>
  <si>
    <t>Uncharacterized protein n=1 Tax=Alteraurantiacibacter buctensis TaxID=1503981 RepID=A0A844Z2E5_9SPHN</t>
  </si>
  <si>
    <t>DNAUV-7.476-13_4</t>
  </si>
  <si>
    <t>Staphylococcus aureus surface protein A n=1 Tax=Magnetospirillum gryphiswaldense (strain DSM 6361 / JCM 21280 / NBRC 15271 / MSR-1) TaxID=431944 RepID=V6EW06_MAGGM</t>
  </si>
  <si>
    <t>DNAUV-7.476-13_5</t>
  </si>
  <si>
    <t>Right handed beta helix domain-containing protein n=1 Tax=Maritimibacter sp. 55A14 TaxID=2174844 RepID=A0A2U2CM14_9RHOB</t>
  </si>
  <si>
    <t>DNAUV-7.476-13_6</t>
  </si>
  <si>
    <t>DNAUV-7.476-13_7</t>
  </si>
  <si>
    <t>DNAUV-7.476-13_8</t>
  </si>
  <si>
    <t>DNAUV-7.544-40_1</t>
  </si>
  <si>
    <t>Uncharacterized protein n=1 Tax=Pontibacter mucosus TaxID=1649266 RepID=A0A2T5YD25_9BACT</t>
  </si>
  <si>
    <t>DNAUV-7.544-40_10</t>
  </si>
  <si>
    <t>Uncharacterized protein n=1 Tax=Nonlabens phage P12024L TaxID=1168479 RepID=I6RTD6_9CAUD</t>
  </si>
  <si>
    <t>DNAUV-7.544-40_12</t>
  </si>
  <si>
    <t>DNAUV-7.544-40_13</t>
  </si>
  <si>
    <t>DNAUV-7.544-40_14</t>
  </si>
  <si>
    <t>DNAUV-7.544-40_4</t>
  </si>
  <si>
    <t>DNAUV-7.544-40_5</t>
  </si>
  <si>
    <t>YopX protein domain-containing protein n=1 Tax=Streptococcus vicugnae TaxID=2740579 RepID=A0A4R5G5M9_9STRE</t>
  </si>
  <si>
    <t>DNAUV-7.544-40_7</t>
  </si>
  <si>
    <t>Uncharacterized protein n=1 Tax=Elizabethkingia anophelis TaxID=1117645 RepID=A0A7Z7LU38_9FLAO</t>
  </si>
  <si>
    <t>DNAUV-7.544-40_9</t>
  </si>
  <si>
    <t>DNAUV-7.580-14_1</t>
  </si>
  <si>
    <t>DNAUV-7.580-14_10</t>
  </si>
  <si>
    <t>Ribonuclease H-like domain protein n=1 Tax=Vibrio phage 177E37-1 TaxID=2963173 RepID=A0A9P0YB55_9CAUD</t>
  </si>
  <si>
    <t>DNAUV-7.580-14_2</t>
  </si>
  <si>
    <t>DNAUV-7.580-14_3</t>
  </si>
  <si>
    <t>Putative amidoligase n=1 Tax=Pseudomonas phage TC6 TaxID=2060947 RepID=A0A2H5BQE9_9CAUD</t>
  </si>
  <si>
    <t>DNAUV-7.580-18_12</t>
  </si>
  <si>
    <t>DNAUV-7.580-18_3</t>
  </si>
  <si>
    <t>DNAUV-7.580-18_4</t>
  </si>
  <si>
    <t>DNAUV-7.580-18_5</t>
  </si>
  <si>
    <t>Phage tail protein n=1 Tax=Acrocarpospora phusangensis TaxID=1070424 RepID=A0A919QHD8_9ACTN</t>
  </si>
  <si>
    <t>DNAUV-7.580-18_7</t>
  </si>
  <si>
    <t>DNAUV-7.594-31_1</t>
  </si>
  <si>
    <t>DNAUV-7.594-31_10</t>
  </si>
  <si>
    <t>Coil containing protein n=1 Tax=Vibrio phage 1.193.O._10N.286.52.C6 TaxID=1881436 RepID=A0A2I7RL15_9CAUD</t>
  </si>
  <si>
    <t>DNAUV-7.594-31_11</t>
  </si>
  <si>
    <t>VOG18228 [FUNC="REFSEQ hypothetical protein"] [TAG=Xu TAGDEF="Function unknown"]</t>
  </si>
  <si>
    <t>Uncharacterized protein n=1 Tax=Vibrio phage helene 12B3 TaxID=573173 RepID=M4MAL7_9CAUD</t>
  </si>
  <si>
    <t>DNAUV-7.594-31_13</t>
  </si>
  <si>
    <t>VOG25291 [FUNC="REFSEQ hypothetical protein"] [TAG=Xu TAGDEF="Function unknown"]</t>
  </si>
  <si>
    <t>Uncharacterized protein n=1 Tax=Vibrio phage qdvp001 TaxID=1003177 RepID=A0A0S1WF42_9CAUD</t>
  </si>
  <si>
    <t>DNAUV-7.594-31_2</t>
  </si>
  <si>
    <t>Coil containing protein n=1 Tax=Vibrio phage 1.187.O._10N.286.49.F1 TaxID=1881434 RepID=A0A2I7RIR2_9CAUD</t>
  </si>
  <si>
    <t>DNAUV-7.594-31_3</t>
  </si>
  <si>
    <t>Transposase IS204/IS1001/IS1096/IS1165 DDE domain-containing protein n=1 Tax=Vibrio phage 249E41-1 TaxID=2963183 RepID=A0A9P0Y9Z3_9CAUD</t>
  </si>
  <si>
    <t>DNAUV-7.594-31_9</t>
  </si>
  <si>
    <t>Coil containing protein n=1 Tax=Vibrio phage 501E54-1 TaxID=2963209 RepID=A0A9P0VS45_9CAUD</t>
  </si>
  <si>
    <t>DNAUV-7.606-32_1</t>
  </si>
  <si>
    <t>RNA polymerase sigma-like factor n=1 Tax=Synechococcus phage S-CRM01 TaxID=1026955 RepID=F5B3S0_9CAUD</t>
  </si>
  <si>
    <t>DNAUV-7.606-32_10</t>
  </si>
  <si>
    <t>DNAUV-7.606-32_2</t>
  </si>
  <si>
    <t>DNAUV-7.606-32_3</t>
  </si>
  <si>
    <t>DNAUV-7.606-32_5</t>
  </si>
  <si>
    <t>DUF3310 domain-containing protein n=1 Tax=Rhizobium phage RHph_I1_18 TaxID=2509726 RepID=A0A7S5UVF1_9CAUD</t>
  </si>
  <si>
    <t>DNAUV-7.606-32_8</t>
  </si>
  <si>
    <t>Sliding clamp n=1 Tax=Synechococcus phage SynMITS9220M01 TaxID=2736186 RepID=A0A6M5CDJ1_9CAUD</t>
  </si>
  <si>
    <t>DNAUV-7.606-32_9</t>
  </si>
  <si>
    <t>DNAUV-7.616-50_11</t>
  </si>
  <si>
    <t>Uncharacterized protein n=1 Tax=Celeribacter phage P12053L TaxID=1197951 RepID=I6S278_9CAUD</t>
  </si>
  <si>
    <t>DNAUV-7.616-50_4</t>
  </si>
  <si>
    <t>Uncharacterized protein n=1 Tax=Brevundimonas phage vB_BgoS-Bajun TaxID=2948594 RepID=A0A9E7N4M0_9CAUD</t>
  </si>
  <si>
    <t>DNAUV-7.616-50_5</t>
  </si>
  <si>
    <t>DNAUV-7.616-50_6</t>
  </si>
  <si>
    <t>DNAUV-7.618-9.9_3</t>
  </si>
  <si>
    <t>Putative COOH-NH2 ligase n=1 Tax=Pseudomonas phage TC6 TaxID=2060947 RepID=A0A2H5BQJ1_9CAUD</t>
  </si>
  <si>
    <t>DNAUV-7.618-9.9_4</t>
  </si>
  <si>
    <t>Phage protein n=1 Tax=Pseudomonas phage GP100 TaxID=2055238 RepID=A0A2R8FGA5_9CAUD</t>
  </si>
  <si>
    <t>DNAUV-7.618-9.9_5</t>
  </si>
  <si>
    <t>DNAUV-7.618-9.9_9</t>
  </si>
  <si>
    <t>DNAUV-7.645-232_27</t>
  </si>
  <si>
    <t>Uncharacterized protein n=1 Tax=Pseudomonas nitroreducens TaxID=46680 RepID=A0A6G6IYG9_PSENT</t>
  </si>
  <si>
    <t>DNAUV-7.645-232_28</t>
  </si>
  <si>
    <t>ATP-binding protein n=1 Tax=Luteibacter yeojuensis TaxID=345309 RepID=A0A7X5QS15_9GAMM</t>
  </si>
  <si>
    <t>DNAUV-7.645-232_29</t>
  </si>
  <si>
    <t>DUF669 domain-containing protein n=1 Tax=Stieleria maiorica TaxID=2795974 RepID=A0A5B9MMZ9_9BACT</t>
  </si>
  <si>
    <t>DNAUV-7.726-37_27</t>
  </si>
  <si>
    <t>Uncharacterized protein n=1 Tax=Shewanella phage SppYZU01 TaxID=1965372 RepID=A0A1V0DYC8_9CAUD</t>
  </si>
  <si>
    <t>DNAUV-7.726-37_36</t>
  </si>
  <si>
    <t>DNAUV-7.726-37_39</t>
  </si>
  <si>
    <t>DNAUV-7.828-820_10</t>
  </si>
  <si>
    <t>DNAUV-7.828-820_11</t>
  </si>
  <si>
    <t>DNAUV-7.828-820_19</t>
  </si>
  <si>
    <t>DNAUV-7.828-820_24</t>
  </si>
  <si>
    <t>DNA-packaging protein n=1 Tax=Pluralibacter gergoviae TaxID=61647 RepID=A0A0J5NRQ7_PLUGE</t>
  </si>
  <si>
    <t>DNAUV-7.883-22_4</t>
  </si>
  <si>
    <t>VOG02213 [FUNC="REFSEQ endonuclease"] [TAG=Xu TAGDEF="Function unknown"]</t>
  </si>
  <si>
    <t>Uncharacterized protein n=1 Tax=Roseobacter phage CRP-7 TaxID=2559286 RepID=A0A646QWS3_9CAUD</t>
  </si>
  <si>
    <t>DNAUV-7.884-127_1</t>
  </si>
  <si>
    <t>Tail fiber-like protein n=1 Tax=Synechococcus phage SynMITS9220M01 TaxID=2736186 RepID=A0A6M5CBF5_9CAUD</t>
  </si>
  <si>
    <t>DNAUV-7.884-127_10</t>
  </si>
  <si>
    <t>DNAUV-7.884-127_14</t>
  </si>
  <si>
    <t>DNAUV-7.884-127_3</t>
  </si>
  <si>
    <t>Tail fiber n=1 Tax=Pelagibacter phage HTVC201P TaxID=2283024 RepID=A0A4Y1NU71_9CAUD</t>
  </si>
  <si>
    <t>DNAUV-7.884-127_4</t>
  </si>
  <si>
    <t>DNAUV-7.884-127_5</t>
  </si>
  <si>
    <t>DNAUV-7.884-127_6</t>
  </si>
  <si>
    <t>Tail fiber protein n=1 Tax=Aminobacter aminovorans TaxID=83263 RepID=A0A380WLS5_AMIAI</t>
  </si>
  <si>
    <t>DNAUV-7.884-127_7</t>
  </si>
  <si>
    <t>Uncharacterized protein n=1 Tax=Aminobacter aminovorans TaxID=83263 RepID=A0A142MA17_AMIAI</t>
  </si>
  <si>
    <t>DNAUV-7.884-127_8</t>
  </si>
  <si>
    <t>DNAUV-7.884-127_9</t>
  </si>
  <si>
    <t>DNAUV-7.922-14_21</t>
  </si>
  <si>
    <t>VOG05254 [FUNC="REFSEQ hypothetical protein"] [TAG=Xu TAGDEF="Function unknown"]</t>
  </si>
  <si>
    <t>Uncharacterized protein n=1 Tax=Ensifer sp. LC54 TaxID=1873715 RepID=A0A1C0SX51_9HYPH</t>
  </si>
  <si>
    <t>DNAUV-7.922-14_25</t>
  </si>
  <si>
    <t>VOG00499 [FUNC="REFSEQ hypothetical protein"] [TAG=Xu TAGDEF="Function unknown"]</t>
  </si>
  <si>
    <t>DNAUV-7.932-20_10</t>
  </si>
  <si>
    <t>Tail connector/sheath protein n=1 Tax=Ochrobactrum phage vB_OspM_OC TaxID=2712956 RepID=A0A6G6XWK3_9CAUD</t>
  </si>
  <si>
    <t>DNAUV-7.932-20_2</t>
  </si>
  <si>
    <t>DNAUV-7.932-20_3</t>
  </si>
  <si>
    <t>HNH DNAse-like protein n=3 Tax=Emdodecavirus TaxID=1980937 RepID=S5MV63_9CAUD</t>
  </si>
  <si>
    <t>DNAUV-7.932-20_4</t>
  </si>
  <si>
    <t>Neck protein n=1 Tax=Ochrobactrum phage vB_OspM_OC TaxID=2712956 RepID=A0A6G6XXE8_9CAUD</t>
  </si>
  <si>
    <t>DNAUV-7.932-20_5</t>
  </si>
  <si>
    <t>DNAUV-7.932-20_6</t>
  </si>
  <si>
    <t>Proximal tail sheath stabilization n=1 Tax=Pelagibacter phage HTVC008M TaxID=1283076 RepID=M1ICQ7_9CAUD</t>
  </si>
  <si>
    <t>DNAUV-7.932-20_7</t>
  </si>
  <si>
    <t>DNAUV-7.932-20_8</t>
  </si>
  <si>
    <t>Small terminase subunit n=1 Tax=Stenotrophomonas phage vB_SmaS-DLP_6 TaxID=1651816 RepID=A0A142EZW1_9CAUD</t>
  </si>
  <si>
    <t>DNAUV-7.932-20_9</t>
  </si>
  <si>
    <t>Terminase n=2 Tax=Marine Group I thaumarchaeote TaxID=2511932 RepID=A0A7K4MYD4_9ARCH</t>
  </si>
  <si>
    <t>DNAUV-7.969-16_1</t>
  </si>
  <si>
    <t>DNA polymerase n=1 Tax=Marine Group I thaumarchaeote TaxID=2511932 RepID=A0A7K4MSI0_9ARCH</t>
  </si>
  <si>
    <t>DNAUV-7.969-16_10</t>
  </si>
  <si>
    <t>Glycosyl transferase family 1 n=1 Tax=Acidianus hospitalis TaxID=563177 RepID=A0A2T9X4H6_9CREN</t>
  </si>
  <si>
    <t>DNAUV-7.969-16_11</t>
  </si>
  <si>
    <t>DNAUV-7.969-16_12</t>
  </si>
  <si>
    <t>DNA (cytosine-5-)-methyltransferase (Fragment) n=1 Tax=Xanthomarina gelatinilytica TaxID=1137281 RepID=A0A3D6BT22_9FLAO</t>
  </si>
  <si>
    <t>DNAUV-7.969-16_2</t>
  </si>
  <si>
    <t>Pyrophosphatase n=1 Tax=Synechococcus sp. TMED187 TaxID=1986595 RepID=A0A1Z9KYS4_9SYNE</t>
  </si>
  <si>
    <t>DNAUV-7.969-16_4</t>
  </si>
  <si>
    <t>DNAUV-7.969-16_9</t>
  </si>
  <si>
    <t>DNAUV-72.439-197_1</t>
  </si>
  <si>
    <t>Uncharacterized protein n=1 Tax=Pseudoduganella lutea TaxID=321985 RepID=A0A4P6L5F7_9BURK</t>
  </si>
  <si>
    <t>DNAUV-72.439-197_10</t>
  </si>
  <si>
    <t>DNA-directed RNA polymerase n=1 Tax=Sinorhizobium phage ort11 TaxID=2599764 RepID=A0A5C2H2X6_9CAUD</t>
  </si>
  <si>
    <t>DNAUV-72.439-197_109</t>
  </si>
  <si>
    <t>Gp099 n=1 Tax=Erwinia phage vB_EamP-S6 TaxID=1051675 RepID=G0YQJ1_9CAUD</t>
  </si>
  <si>
    <t>DNAUV-72.439-197_111</t>
  </si>
  <si>
    <t>Calcineurin-like phosphoesterase domain-containing protein n=4 Tax=root TaxID=1 RepID=A0A8E2V3M9_9RHOB</t>
  </si>
  <si>
    <t>DNAUV-72.439-197_112</t>
  </si>
  <si>
    <t>DNAUV-72.439-197_115</t>
  </si>
  <si>
    <t>DNAUV-72.439-197_117</t>
  </si>
  <si>
    <t>DUF1983 domain-containing protein n=1 Tax=Marivita cryptomonadis TaxID=505252 RepID=A0A9Q2P1F3_9RHOB</t>
  </si>
  <si>
    <t>DNAUV-72.439-197_118</t>
  </si>
  <si>
    <t>VOG05819 [FUNC="REFSEQ hypothetical protein"] [TAG=Xu TAGDEF="Function unknown"]</t>
  </si>
  <si>
    <t>Phage tail protein n=1 Tax=Pararhodobacter marinus TaxID=2184063 RepID=A0A2U2CAI9_9RHOB</t>
  </si>
  <si>
    <t>DNAUV-72.439-197_120</t>
  </si>
  <si>
    <t>Uncharacterized protein n=1 Tax=Pseudosulfitobacter pseudonitzschiae TaxID=1402135 RepID=A0A073IUI6_9RHOB</t>
  </si>
  <si>
    <t>DNAUV-72.439-197_123</t>
  </si>
  <si>
    <t>DUF4376 domain-containing protein n=1 Tax=Marivita cryptomonadis TaxID=505252 RepID=A0A9Q2NVZ9_9RHOB</t>
  </si>
  <si>
    <t>DNAUV-72.439-197_124</t>
  </si>
  <si>
    <t>Uncharacterized protein n=1 Tax=Marivita cryptomonadis TaxID=505252 RepID=A0A9Q2NT16_9RHOB</t>
  </si>
  <si>
    <t>DNAUV-72.439-197_127</t>
  </si>
  <si>
    <t>VOG29675 [FUNC="REFSEQ hypothetical protein"] [TAG=Xu TAGDEF="Function unknown"]</t>
  </si>
  <si>
    <t>Lipoprotein n=1 Tax=Sulfitobacter phage EE36phi1 TaxID=490913 RepID=C4NTF0_9CAUD</t>
  </si>
  <si>
    <t>DNAUV-72.439-197_131</t>
  </si>
  <si>
    <t>Portal protein n=1 Tax=Achromobacter phage JWAlpha TaxID=1416009 RepID=V9VFA4_9CAUD</t>
  </si>
  <si>
    <t>DNAUV-72.439-197_132</t>
  </si>
  <si>
    <t>Uncharacterized protein n=1 Tax=Alteromonas sp. Nap_26 TaxID=1795869 RepID=A0A136I119_9ALTE</t>
  </si>
  <si>
    <t>DNAUV-72.439-197_134</t>
  </si>
  <si>
    <t>Tape measure protein n=1 Tax=Brucella anthropi TaxID=529 RepID=A0A8I0TCX1_BRUAN</t>
  </si>
  <si>
    <t>DNAUV-72.439-197_135</t>
  </si>
  <si>
    <t>Major coat protein n=1 Tax=Sinorhizobium phage ort11 TaxID=2599764 RepID=A0A5C2H7B3_9CAUD</t>
  </si>
  <si>
    <t>DNAUV-72.439-197_136</t>
  </si>
  <si>
    <t>Gp55 n=2 Tax=Enquatrovirus N4 TaxID=10752 RepID=Q859Q4_BPN4</t>
  </si>
  <si>
    <t>DNAUV-72.439-197_137</t>
  </si>
  <si>
    <t>Gp083 n=1 Tax=Erwinia phage vB_EamP-S6 TaxID=1051675 RepID=G0YQH5_9CAUD</t>
  </si>
  <si>
    <t>DNAUV-72.439-197_139</t>
  </si>
  <si>
    <t>N4 gp53-like protein n=4 Tax=Aorunvirus V12 TaxID=2846074 RepID=A0A2Z4QFG1_9CAUD</t>
  </si>
  <si>
    <t>DNAUV-72.439-197_140</t>
  </si>
  <si>
    <t>16.5 kDa protein n=2 Tax=Inbricusvirus inbricus TaxID=2845970 RepID=A0A514CUP5_9CAUD</t>
  </si>
  <si>
    <t>DNAUV-72.439-197_142</t>
  </si>
  <si>
    <t>Cell wall hydrolase SleB domain-containing protein n=1 Tax=Roseobacter phage RD-1410W1-01 TaxID=1815984 RepID=A0A191VYL4_9CAUD</t>
  </si>
  <si>
    <t>DNAUV-72.439-197_144</t>
  </si>
  <si>
    <t>Virion RNA polymerase n=1 Tax=Sinorhizobium phage ort11 TaxID=2599764 RepID=A0A5C2H3R5_9CAUD</t>
  </si>
  <si>
    <t>DNAUV-72.439-197_178</t>
  </si>
  <si>
    <t>DNAUV-72.439-197_179</t>
  </si>
  <si>
    <t>DNAUV-72.439-197_21</t>
  </si>
  <si>
    <t>VOG00775 [FUNC="REFSEQ hypothetical protein"] [TAG=Xu TAGDEF="Function unknown"]</t>
  </si>
  <si>
    <t>Uncharacterized protein n=1 Tax=Variovorax sp. B4 TaxID=2021405 RepID=A0A2J7VIC6_9BURK</t>
  </si>
  <si>
    <t>DNAUV-72.439-197_24</t>
  </si>
  <si>
    <t>Uncharacterized protein n=1 Tax=Gemmobacter lutimaris TaxID=2306023 RepID=A0A398BTS3_9RHOB</t>
  </si>
  <si>
    <t>DNAUV-72.439-197_25</t>
  </si>
  <si>
    <t>Uncharacterized protein n=1 Tax=Bacteriophage DSS3_VP1 TaxID=2664196 RepID=A0A7S5FRE8_9CAUD</t>
  </si>
  <si>
    <t>DNAUV-72.439-197_3</t>
  </si>
  <si>
    <t>RNA polymerase RNAP1 subunit A protein n=1 Tax=Rhizobium phage RHph_N38 TaxID=2509750 RepID=A0A7S5RDG9_9CAUD</t>
  </si>
  <si>
    <t>DNAUV-72.439-197_38</t>
  </si>
  <si>
    <t>VOG00306 [FUNC="REFSEQ hypothetical protein"] [TAG=Xu TAGDEF="Function unknown"]</t>
  </si>
  <si>
    <t>Uncharacterized protein n=1 Tax=Brucella anthropi TaxID=529 RepID=A0A8I0NAM1_BRUAN</t>
  </si>
  <si>
    <t>DNAUV-72.439-197_4</t>
  </si>
  <si>
    <t>RNA polymerase 1 n=1 Tax=Erwinia phage phiEaP8 TaxID=2178928 RepID=A0A3G1QTQ5_9CAUD</t>
  </si>
  <si>
    <t>DNAUV-72.439-197_43</t>
  </si>
  <si>
    <t>Uncharacterized protein n=1 Tax=Podoviridae sp. ctda_1 TaxID=2675448 RepID=A0A345MKZ9_9CAUD</t>
  </si>
  <si>
    <t>DNAUV-72.439-197_44</t>
  </si>
  <si>
    <t>DNAUV-72.439-197_45</t>
  </si>
  <si>
    <t>Bacterial DNA recombination protein n=1 Tax=Erwinia phage Fifi067 TaxID=2996065 RepID=A0A9E8YVU4_9CAUD</t>
  </si>
  <si>
    <t>DNAUV-72.439-197_46</t>
  </si>
  <si>
    <t>DNA repair protein n=1 Tax=Pseudomonas phage Zuri TaxID=2604899 RepID=A0A5C1K6Y4_9CAUD</t>
  </si>
  <si>
    <t>DNAUV-72.439-197_47</t>
  </si>
  <si>
    <t>Uncharacterized protein n=2 Tax=Rhizobium rosettiformans TaxID=1368430 RepID=A0A4S8PET8_9HYPH</t>
  </si>
  <si>
    <t>DNAUV-72.439-197_48</t>
  </si>
  <si>
    <t>Uncharacterized protein n=1 Tax=Achromobacter phage vB_AxyP_19-32_Axy22 TaxID=2591046 RepID=A0A514CVX0_9CAUD</t>
  </si>
  <si>
    <t>DNAUV-72.439-197_5</t>
  </si>
  <si>
    <t>Uncharacterized protein n=1 Tax=Caulobacter phage Cd1 TaxID=718008 RepID=F1ADP1_9CAUD</t>
  </si>
  <si>
    <t>DNAUV-72.439-197_51</t>
  </si>
  <si>
    <t>Uncharacterized protein n=1 Tax=Roseobacter phage DSS3P8 TaxID=1735562 RepID=A0A1B0UY41_9CAUD</t>
  </si>
  <si>
    <t>DNAUV-72.439-197_8</t>
  </si>
  <si>
    <t>DNAUV-72.439-197_9</t>
  </si>
  <si>
    <t>Phage protein n=1 Tax=Achromobacter phage JWAlpha TaxID=1416009 RepID=V9VEF5_9CAUD</t>
  </si>
  <si>
    <t>DNAUV-73.172-54_120</t>
  </si>
  <si>
    <t>DUF4406 domain-containing protein n=1 Tax=Sulfitobacter phage EE36phi1 TaxID=490913 RepID=C4NTG2_9CAUD</t>
  </si>
  <si>
    <t>DNAUV-73.172-54_121</t>
  </si>
  <si>
    <t>DNAUV-73.172-54_122</t>
  </si>
  <si>
    <t>DNAUV-73.172-54_123</t>
  </si>
  <si>
    <t>RNA polymerase subunit n=4 Tax=Aorunvirus V12 TaxID=2846074 RepID=A0A2Z4QGS9_9CAUD</t>
  </si>
  <si>
    <t>DNAUV-73.172-54_124</t>
  </si>
  <si>
    <t>VOG06990 [FUNC="REFSEQ hypothetical protein"] [TAG=Xu TAGDEF="Function unknown"]</t>
  </si>
  <si>
    <t>Uncharacterized protein n=1 Tax=Roseobacter phage RD-1410W1-01 TaxID=1815984 RepID=A0A191VYF9_9CAUD</t>
  </si>
  <si>
    <t>DNAUV-73.172-54_125</t>
  </si>
  <si>
    <t>DNAUV-73.172-54_126</t>
  </si>
  <si>
    <t>DNAUV-73.172-54_129</t>
  </si>
  <si>
    <t>DNAUV-73.172-54_132</t>
  </si>
  <si>
    <t>DNAUV-73.172-54_133</t>
  </si>
  <si>
    <t>Structural protein n=1 Tax=Roseovarius sp. 217 phage 1 TaxID=874471 RepID=E3PZ68_9CAUD</t>
  </si>
  <si>
    <t>DNAUV-73.172-54_137</t>
  </si>
  <si>
    <t>Exonuclease n=1 Tax=Dinoroseobacter phage DFL12phi1 TaxID=1477404 RepID=A0A023NHB8_9CAUD</t>
  </si>
  <si>
    <t>DNAUV-73.172-54_16</t>
  </si>
  <si>
    <t>Uncharacterized protein n=1 Tax=Defluviimonas denitrificans TaxID=404881 RepID=A0A2S8RWH6_9RHOB</t>
  </si>
  <si>
    <t>DNAUV-73.172-54_17</t>
  </si>
  <si>
    <t>N4 gp69-like protein n=2 Tax=Roseovarius Plymouth podovirus 1 TaxID=926474 RepID=E3PZC2_9CAUD</t>
  </si>
  <si>
    <t>DNAUV-73.172-54_20</t>
  </si>
  <si>
    <t>N4 gp67-like protein n=1 Tax=Sulfitobacter phage EE36phi1 TaxID=490913 RepID=C4NTF5_9CAUD</t>
  </si>
  <si>
    <t>DNAUV-73.172-54_21</t>
  </si>
  <si>
    <t>VOG04573 [FUNC="REFSEQ hypothetical protein"] [TAG=Xu TAGDEF="Function unknown"]</t>
  </si>
  <si>
    <t>Holin n=5 Tax=Aorunvirus V12 TaxID=2846074 RepID=C4NT75_9CAUD</t>
  </si>
  <si>
    <t>DNAUV-73.172-54_22</t>
  </si>
  <si>
    <t>VOG03463 [FUNC="REFSEQ hypothetical protein"] [TAG=Xu TAGDEF="Function unknown"]</t>
  </si>
  <si>
    <t>DUF1214 domain-containing protein n=2 Tax=Sanyabayvirus DS1410Ws06 TaxID=2844087 RepID=A0A191VYD6_9CAUD</t>
  </si>
  <si>
    <t>DNAUV-73.172-54_24</t>
  </si>
  <si>
    <t>VOG00259 [FUNC="sp|P10305|SPAN1_BPT3 Spanin, inner membrane subunit"] [TAG=Xh TAGDEF="Virus protein with function beneficial for the host"]</t>
  </si>
  <si>
    <t>Uncharacterized protein n=4 Tax=Aorunvirus V12 TaxID=2846074 RepID=A0A2Z4QFZ0_9CAUD</t>
  </si>
  <si>
    <t>DNAUV-73.172-54_26</t>
  </si>
  <si>
    <t>Structural protein, N4 gp59-like n=1 Tax=Roseovarius sp. 217 phage 1 TaxID=874471 RepID=E3PZB4_9CAUD</t>
  </si>
  <si>
    <t>DNAUV-73.172-54_27</t>
  </si>
  <si>
    <t>DNAUV-73.172-54_29</t>
  </si>
  <si>
    <t>N5 gp57-like protein n=1 Tax=Roseovarius sp. 217 phage 1 TaxID=874471 RepID=E3PZB2_9CAUD</t>
  </si>
  <si>
    <t>DNAUV-73.172-54_30</t>
  </si>
  <si>
    <t>DNAUV-73.172-54_31</t>
  </si>
  <si>
    <t>N4 gp55-like protein n=1 Tax=Roseovarius Plymouth podovirus 1 TaxID=926474 RepID=K4Q5A2_9CAUD</t>
  </si>
  <si>
    <t>DNAUV-73.172-54_32</t>
  </si>
  <si>
    <t>N4 gp54-like protein n=1 Tax=Sulfitobacter phage EE36phi1 TaxID=490913 RepID=C4NTE4_9CAUD</t>
  </si>
  <si>
    <t>DNAUV-73.172-54_33</t>
  </si>
  <si>
    <t>DNAUV-73.172-54_34</t>
  </si>
  <si>
    <t>Virion protein n=2 Tax=Sanyabayvirus DS1410Ws06 TaxID=2844087 RepID=A0A191VYS3_9CAUD</t>
  </si>
  <si>
    <t>DNAUV-73.172-54_37</t>
  </si>
  <si>
    <t>DNAUV-73.172-54_61</t>
  </si>
  <si>
    <t>Uncharacterized protein n=2 Tax=Tistlia TaxID=1321364 RepID=A0A1Y6C331_9HYPH</t>
  </si>
  <si>
    <t>DNAUV-73.172-54_71</t>
  </si>
  <si>
    <t>DNAUV-73.172-54_72</t>
  </si>
  <si>
    <t>DNAUV-73.172-54_73</t>
  </si>
  <si>
    <t>DNAUV-73.172-54_74</t>
  </si>
  <si>
    <t>DNAUV-73.172-54_75</t>
  </si>
  <si>
    <t>VOG05314 [FUNC="REFSEQ hypothetical protein"] [TAG=Xu TAGDEF="Function unknown"]</t>
  </si>
  <si>
    <t>Secreted protein n=4 Tax=Aorunvirus V12 TaxID=2846074 RepID=A0A2Z4QGQ0_9CAUD</t>
  </si>
  <si>
    <t>DNAUV-73.172-54_78</t>
  </si>
  <si>
    <t>Uncharacterized protein n=1 Tax=Roseovarius sp. 217 phage 1 TaxID=874471 RepID=E3PZ90_9CAUD</t>
  </si>
  <si>
    <t>DNAUV-73.172-54_79</t>
  </si>
  <si>
    <t>DNAUV-73.172-54_80</t>
  </si>
  <si>
    <t>DNAUV-73.172-54_82</t>
  </si>
  <si>
    <t>DNAUV-73.172-54_83</t>
  </si>
  <si>
    <t>N4 DNA helicase-like protein n=1 Tax=Roseovarius sp. 217 phage 1 TaxID=874471 RepID=E3PZ95_9CAUD</t>
  </si>
  <si>
    <t>DNAUV-73.172-54_84</t>
  </si>
  <si>
    <t>4Fe-4S ferredoxin-type domain-containing protein n=5 Tax=Aorunvirus V12 TaxID=2846074 RepID=C4NT53_9CAUD</t>
  </si>
  <si>
    <t>DNAUV-73.172-54_88</t>
  </si>
  <si>
    <t>DNAUV-73.172-54_89</t>
  </si>
  <si>
    <t>PD-(D/E)XK endonuclease-like domain-containing protein n=1 Tax=Dinoroseobacter phage DFL12phi1 TaxID=1477404 RepID=A0A023NHR5_9CAUD</t>
  </si>
  <si>
    <t>DNAUV-73.172-54_90</t>
  </si>
  <si>
    <t>DNAUV-73.172-54_91</t>
  </si>
  <si>
    <t>DNAUV-73.172-54_93</t>
  </si>
  <si>
    <t>N4 gp45-like protein n=2 Tax=Roseovarius Plymouth podovirus 1 TaxID=926474 RepID=E3PZA1_9CAUD</t>
  </si>
  <si>
    <t>DNAUV-73.172-54_94</t>
  </si>
  <si>
    <t>Uncharacterized protein n=1 Tax=Roseovarius Plymouth podovirus 1 TaxID=926474 RepID=K4Q527_9CAUD</t>
  </si>
  <si>
    <t>DNAUV-78.511-202_14</t>
  </si>
  <si>
    <t>DNAUV-78.511-202_15</t>
  </si>
  <si>
    <t>DNAUV-78.511-202_16</t>
  </si>
  <si>
    <t>Phage protein n=2 Tax=Peptoniphilus indolicus TaxID=33030 RepID=G4D5J2_9FIRM</t>
  </si>
  <si>
    <t>DNAUV-78.511-202_17</t>
  </si>
  <si>
    <t>DNAUV-78.511-202_19</t>
  </si>
  <si>
    <t>Single-stranded DNA-binding protein n=1 Tax=Cellulophaga phage phi14:2 TaxID=1327990 RepID=S0A011_9CAUD</t>
  </si>
  <si>
    <t>DNAUV-78.511-202_23</t>
  </si>
  <si>
    <t>VOG05998 [FUNC="REFSEQ hypothetical protein"] [TAG=Xu TAGDEF="Function unknown"]</t>
  </si>
  <si>
    <t>MPN family protein n=1 Tax=Podoviridae sp. ctQyH19 TaxID=2825249 RepID=A0A8S5UQQ0_9CAUD</t>
  </si>
  <si>
    <t>DNAUV-78.511-202_26</t>
  </si>
  <si>
    <t>Crossover junction endodeoxyribonuclease RusA n=1 Tax=Pseudoleptotrichia goodfellowii F0264 TaxID=596323 RepID=D0GNZ4_9FUSO</t>
  </si>
  <si>
    <t>DNAUV-78.511-202_27</t>
  </si>
  <si>
    <t>Exonuclease, PD-(D/E)XK superfamily n=1 Tax=Bacteroides phage crAss001 TaxID=2301731 RepID=A0A385DTB7_BPCA1</t>
  </si>
  <si>
    <t>DNAUV-78.511-202_4</t>
  </si>
  <si>
    <t>DNAUV-78.511-202_5</t>
  </si>
  <si>
    <t>GIY-YIG domain-containing protein n=1 Tax=Enterocloster clostridioformis TaxID=1531 RepID=A0A829WCB8_9FIRM</t>
  </si>
  <si>
    <t>DNAUV-78.511-202_50</t>
  </si>
  <si>
    <t>Terminase small subunit n=1 Tax=Siphoviridae sp. ctZiV25 TaxID=2825560 RepID=A0A8S5TXQ8_9CAUD</t>
  </si>
  <si>
    <t>DNAUV-78.511-202_52</t>
  </si>
  <si>
    <t>DNAUV-78.511-202_53</t>
  </si>
  <si>
    <t>Uncharacterized protein n=1 Tax=Polynucleobacter sp. 24-46-87 TaxID=1970423 RepID=A0A259DNG1_9BURK</t>
  </si>
  <si>
    <t>DNAUV-78.511-202_55</t>
  </si>
  <si>
    <t>Putative structural protein n=1 Tax=Azobacteroides phage ProJPt-Bp1 TaxID=1920526 RepID=A0A1V1FPP1_9CAUD</t>
  </si>
  <si>
    <t>DNAUV-78.511-202_56</t>
  </si>
  <si>
    <t>Uncharacterized protein n=1 Tax=CrAss-like virus sp. ctWDt29 TaxID=2825836 RepID=A0A8S5NUC4_9CAUD</t>
  </si>
  <si>
    <t>DNAUV-78.511-202_6</t>
  </si>
  <si>
    <t>DNAUV-78.511-202_63</t>
  </si>
  <si>
    <t>Uncharacterized protein n=1 Tax=Echinicola strongylocentroti TaxID=1795355 RepID=A0A2Z4IPE6_9BACT</t>
  </si>
  <si>
    <t>DNAUV-78.511-202_65</t>
  </si>
  <si>
    <t>Uncharacterized protein n=1 Tax=Epilithonimonas xixisoli TaxID=1476462 RepID=A0A4R8I538_9FLAO</t>
  </si>
  <si>
    <t>DNAUV-78.511-202_66</t>
  </si>
  <si>
    <t>DUF5675 domain-containing protein n=1 Tax=Methylogaea oryzae TaxID=1295382 RepID=A0A8D4VKY2_9GAMM</t>
  </si>
  <si>
    <t>DNAUV-78.511-202_71</t>
  </si>
  <si>
    <t>DNAUV-78.511-202_72</t>
  </si>
  <si>
    <t>DNAUV-78.511-202_73</t>
  </si>
  <si>
    <t>Uncharacterized protein n=1 Tax=Podoviridae sp. ctQyH19 TaxID=2825249 RepID=A0A8S5UR72_9CAUD</t>
  </si>
  <si>
    <t>DNAUV-78.511-202_74</t>
  </si>
  <si>
    <t>Stabilization protein n=1 Tax=Veillonella sp. CAG:933 TaxID=1262980 RepID=R5BMB7_9FIRM</t>
  </si>
  <si>
    <t>DNAUV-78.511-202_78</t>
  </si>
  <si>
    <t>VOG01904 [FUNC="REFSEQ hypothetical protein"] [TAG=Xu TAGDEF="Function unknown"]</t>
  </si>
  <si>
    <t>RNA polymerase n=1 Tax=Virus NIOZ-UU157 TaxID=2763269 RepID=A0A7S9XE14_9VIRU</t>
  </si>
  <si>
    <t>DNAUV-78.511-202_79</t>
  </si>
  <si>
    <t>Putative RNA-polymerase subunit n=1 Tax=Bacteroides phage crAss001 TaxID=2301731 RepID=A0A385DVN9_BPCA1</t>
  </si>
  <si>
    <t>DNAUV-78.511-202_9</t>
  </si>
  <si>
    <t>DNAUV-8.008-20_12</t>
  </si>
  <si>
    <t>VOG06344 [FUNC="REFSEQ hypothetical protein"] [TAG=Xu TAGDEF="Function unknown"]</t>
  </si>
  <si>
    <t>Uncharacterized protein n=1 Tax=Jeotgalibacillus malaysiensis TaxID=1508404 RepID=A0A0B5ASX9_9BACL</t>
  </si>
  <si>
    <t>DNAUV-8.008-20_2</t>
  </si>
  <si>
    <t>VOG16778 [FUNC="REFSEQ hypothetical protein"] [TAG=Xu TAGDEF="Function unknown"]</t>
  </si>
  <si>
    <t>Uncharacterized protein n=1 Tax=Cellulophaga phage phi17:1 TaxID=1327980 RepID=R9ZY99_9CAUD</t>
  </si>
  <si>
    <t>DNAUV-8.010-665_2</t>
  </si>
  <si>
    <t>DNAUV-8.010-665_3</t>
  </si>
  <si>
    <t>DNAUV-8.010-665_5</t>
  </si>
  <si>
    <t>DNAUV-8.010-665_6</t>
  </si>
  <si>
    <t>DNAUV-8.010-665_7</t>
  </si>
  <si>
    <t>DNAUV-8.010-665_8</t>
  </si>
  <si>
    <t>DNAUV-8.031-13_10</t>
  </si>
  <si>
    <t>Coil containing protein n=1 Tax=Vibrio phage 1.275.O._10N.286.54.E11 TaxID=1881276 RepID=A0A2I7S3N1_9CAUD</t>
  </si>
  <si>
    <t>DNAUV-8.031-13_11</t>
  </si>
  <si>
    <t>Collagen-like protein n=1 Tax=Orpheovirus IHUMI-LCC2 TaxID=2023057 RepID=A0A2I2L380_9PHYC</t>
  </si>
  <si>
    <t>DNAUV-8.031-13_9</t>
  </si>
  <si>
    <t>Cysteine peptidase n=1 Tax=Paenibacillus silvestris TaxID=2606219 RepID=A0A6L8UX57_9BACL</t>
  </si>
  <si>
    <t>DNAUV-8.035-135_10</t>
  </si>
  <si>
    <t>Tail assembly chaperone n=1 Tax=Vibrio phage AG74 TaxID=2736261 RepID=A0A6M9Z0G5_9CAUD</t>
  </si>
  <si>
    <t>DNAUV-8.035-135_11</t>
  </si>
  <si>
    <t>Uncharacterized protein n=2 Tax=Pogseptimavirus TaxID=2732037 RepID=A0A6M9Z7B2_9CAUD</t>
  </si>
  <si>
    <t>DNAUV-8.035-135_8</t>
  </si>
  <si>
    <t>DNAUV-8.035-135_9</t>
  </si>
  <si>
    <t>DNAUV-8.053-230_2</t>
  </si>
  <si>
    <t>HNH endonuclease n=1 Tax=Cellulophaga phage phi46:1 TaxID=1327974 RepID=R9ZZY2_9CAUD</t>
  </si>
  <si>
    <t>DNAUV-8.090-285_12</t>
  </si>
  <si>
    <t>Cell wall anchor protein n=2 Tax=Tamlana carrageenivorans TaxID=2069432 RepID=A0A2I7SKW3_9FLAO</t>
  </si>
  <si>
    <t>DNAUV-8.090-285_4</t>
  </si>
  <si>
    <t>Structural protein n=1 Tax=Cellulophaga phage phi46:1 TaxID=1327974 RepID=R9ZX26_9CAUD</t>
  </si>
  <si>
    <t>DNAUV-8.090-285_5</t>
  </si>
  <si>
    <t>DNAUV-8.090-285_7</t>
  </si>
  <si>
    <t>DNAUV-8.090-285_8</t>
  </si>
  <si>
    <t>Uncharacterized protein n=1 Tax=Costertonia aggregata TaxID=343403 RepID=A0A7H9ARF0_9FLAO</t>
  </si>
  <si>
    <t>DNAUV-8.090-285_9</t>
  </si>
  <si>
    <t>Uncharacterized protein n=1 Tax=Costertonia aggregata TaxID=343403 RepID=A0A7H9ARL2_9FLAO</t>
  </si>
  <si>
    <t>DNAUV-8.100-11_14</t>
  </si>
  <si>
    <t>Virion RNA polymerase n=1 Tax=Klebsiella phage KP8 TaxID=2099850 RepID=A0A2P1CCM7_9CAUD</t>
  </si>
  <si>
    <t>DNAUV-8.100-11_16</t>
  </si>
  <si>
    <t>Putative virion-associated RNA polymerase n=1 Tax=Achromobacter phage vB_AxyP_19-32_Axy22 TaxID=2591046 RepID=A0A514CVV1_9CAUD</t>
  </si>
  <si>
    <t>DNAUV-8.149-12_10</t>
  </si>
  <si>
    <t>Single-stranded DNA-binding protein n=1 Tax=Vibrio phage 1.161.O._10N.261.48.C5 TaxID=1881340 RepID=A0A2I7RD27_9CAUD</t>
  </si>
  <si>
    <t>DNAUV-8.149-12_7</t>
  </si>
  <si>
    <t>Uncharacterized protein n=1 Tax=Vibrio phage S4-7 TaxID=1873905 RepID=A0A1C9LX74_9CAUD</t>
  </si>
  <si>
    <t>DNAUV-8.149-12_8</t>
  </si>
  <si>
    <t>Cyclic-phosphate processing Receiver domain-containing protein n=1 Tax=Aeromonas phage AhSzw-1 TaxID=2138299 RepID=A0A2R4AM72_9CAUD</t>
  </si>
  <si>
    <t>DNAUV-8.149-12_9</t>
  </si>
  <si>
    <t>Rad50/SbcC-type AAA domain-containing protein n=1 Tax=Vibrio phage S4-7 TaxID=1873905 RepID=A0A1C9LWC7_9CAUD</t>
  </si>
  <si>
    <t>DNAUV-8.168-17_1</t>
  </si>
  <si>
    <t>Neck protein n=1 Tax=Bdellovibrio phage phi1422 TaxID=1127515 RepID=H9C0M6_9CAUD</t>
  </si>
  <si>
    <t>DNAUV-8.168-17_10</t>
  </si>
  <si>
    <t>Uncharacterized protein n=1 Tax=Bdellovibrio phage phi1422 TaxID=1127515 RepID=H9C0N6_9CAUD</t>
  </si>
  <si>
    <t>DNAUV-8.168-17_2</t>
  </si>
  <si>
    <t>Uncharacterized protein n=1 Tax=Bdellovibrio phage phi1422 TaxID=1127515 RepID=H9C0M7_9CAUD</t>
  </si>
  <si>
    <t>DNAUV-8.168-17_4</t>
  </si>
  <si>
    <t>DUF3383 domain-containing protein n=1 Tax=Ereboglobus luteus TaxID=1796921 RepID=A0A2U8E636_9BACT</t>
  </si>
  <si>
    <t>DNAUV-8.168-17_5</t>
  </si>
  <si>
    <t>Uncharacterized protein n=1 Tax=Bdellovibrio phage phi1422 TaxID=1127515 RepID=H9C0N0_9CAUD</t>
  </si>
  <si>
    <t>DNAUV-8.168-17_6</t>
  </si>
  <si>
    <t>Uncharacterized protein n=1 Tax=Bdellovibrio phage phi1422 TaxID=1127515 RepID=H9C0N1_9CAUD</t>
  </si>
  <si>
    <t>DNAUV-8.168-17_7</t>
  </si>
  <si>
    <t>Tail tape measure protein n=1 Tax=Bdellovibrio phage phi1422 TaxID=1127515 RepID=H9C0N3_9CAUD</t>
  </si>
  <si>
    <t>DNAUV-8.168-17_8</t>
  </si>
  <si>
    <t>Major capsid protein n=1 Tax=Bdellovibrio phage phi1422 TaxID=1127515 RepID=H9C0N4_9CAUD</t>
  </si>
  <si>
    <t>DNAUV-8.168-17_9</t>
  </si>
  <si>
    <t>Uncharacterized protein n=1 Tax=Bdellovibrio phage phi1422 TaxID=1127515 RepID=H9C0N5_9CAUD</t>
  </si>
  <si>
    <t>DNAUV-8.232-22_2</t>
  </si>
  <si>
    <t>DNAUV-8.232-22_3</t>
  </si>
  <si>
    <t>VOG26469 [FUNC="REFSEQ hypothetical protein"] [TAG=Xu TAGDEF="Function unknown"]</t>
  </si>
  <si>
    <t>Uncharacterized protein n=1 Tax=Vibrio phage 501E54-1 TaxID=2963209 RepID=A0A9P0VDD9_9CAUD</t>
  </si>
  <si>
    <t>DNAUV-8.232-22_4</t>
  </si>
  <si>
    <t>VOG00361 [FUNC="sp|O09496|FIBER_BPK5 Tail spike protein"] [TAG=Xp TAGDEF="Virus protein with function beneficial for the virus"]</t>
  </si>
  <si>
    <t>Peptidase S74 domain-containing protein n=1 Tax=Vibrio phage 501E54-1 TaxID=2963209 RepID=A0A9P0VIS3_9CAUD</t>
  </si>
  <si>
    <t>DNAUV-8.232-22_5</t>
  </si>
  <si>
    <t>Uncharacterized protein n=1 Tax=Vibrio phage 501E54-1 TaxID=2963209 RepID=A0A9P0Y8D5_9CAUD</t>
  </si>
  <si>
    <t>DNAUV-8.232-22_6</t>
  </si>
  <si>
    <t>DNAUV-8.232-22_7</t>
  </si>
  <si>
    <t>Uncharacterized protein n=1 Tax=Vibrio phage 501E54-1 TaxID=2963209 RepID=A0A9P0VJQ9_9CAUD</t>
  </si>
  <si>
    <t>DNAUV-8.274-31_2</t>
  </si>
  <si>
    <t>Uncharacterized protein n=1 Tax=Methylovorus glucosetrophus (strain SIP3-4) TaxID=582744 RepID=C6XDT4_METGS</t>
  </si>
  <si>
    <t>DNAUV-8.274-31_3</t>
  </si>
  <si>
    <t>VOG01898 [FUNC="REFSEQ internal virion protein"] [TAG=Xu TAGDEF="Function unknown"]</t>
  </si>
  <si>
    <t>Putative phage protein n=1 Tax=Azorhizobium caulinodans (strain ATCC 43989 / DSM 5975 / JCM 20966 / LMG 6465 / NBRC 14845 / NCIMB 13405 / ORS 571) TaxID=438753 RepID=A8IF60_AZOC5</t>
  </si>
  <si>
    <t>DNAUV-8.274-31_4</t>
  </si>
  <si>
    <t>Tail fiber protein n=1 Tax=Lactobacillus phage Silenus TaxID=2079434 RepID=A0A2P0ZL67_9CAUD</t>
  </si>
  <si>
    <t>DNAUV-8.290-65_10</t>
  </si>
  <si>
    <t>Zeta toxin domain-containing protein n=1 Tax=Yersinia phage JC221 TaxID=2654973 RepID=A0A5P8PGT4_9CAUD</t>
  </si>
  <si>
    <t>DNAUV-8.290-65_11</t>
  </si>
  <si>
    <t>DNAUV-8.290-65_12</t>
  </si>
  <si>
    <t>Uncharacterized protein n=1 Tax=Muricauda sp. TMED12 TaxID=1986608 RepID=A0A424LPT5_9FLAO</t>
  </si>
  <si>
    <t>DNAUV-8.290-65_14</t>
  </si>
  <si>
    <t>DNAUV-8.290-65_15</t>
  </si>
  <si>
    <t>DNAUV-8.290-65_16</t>
  </si>
  <si>
    <t>DNAUV-8.290-65_18</t>
  </si>
  <si>
    <t>Uncharacterized protein n=1 Tax=Paraglaciecola Antarctic GD virus 1 TaxID=2945130 RepID=A0A9E7J6P0_9VIRU</t>
  </si>
  <si>
    <t>DNAUV-8.290-65_19</t>
  </si>
  <si>
    <t>Putative endonuclease SegE GIY-YIG domain-containing protein n=1 Tax=Muricauda sp. TMED12 TaxID=1986608 RepID=A0A424LPP0_9FLAO</t>
  </si>
  <si>
    <t>DNAUV-8.290-65_20</t>
  </si>
  <si>
    <t>Uncharacterized protein n=1 Tax=Marine Group I thaumarchaeote TaxID=2511932 RepID=A0A7K4MWV8_9ARCH</t>
  </si>
  <si>
    <t>DNAUV-8.320-11_8</t>
  </si>
  <si>
    <t>DNAUV-8.320-11_9</t>
  </si>
  <si>
    <t>VOG29091 [FUNC="REFSEQ tail fiber protein"] [TAG=Xu TAGDEF="Function unknown"]</t>
  </si>
  <si>
    <t>Tail spike TSP1/Gp66 N-terminal domain-containing protein n=1 Tax=Aeromonas phage 2L372D TaxID=2588097 RepID=A0A4Y5TXB1_9CAUD</t>
  </si>
  <si>
    <t>DNAUV-8.322-33_11</t>
  </si>
  <si>
    <t>DNAUV-8.322-33_12</t>
  </si>
  <si>
    <t>DNAUV-8.322-33_4</t>
  </si>
  <si>
    <t>Uncharacterized protein n=1 Tax=Alteromonas phage PB15 TaxID=1913113 RepID=A0A1J0GWD6_9CAUD</t>
  </si>
  <si>
    <t>DNAUV-8.322-33_7</t>
  </si>
  <si>
    <t>Uncharacterized protein n=1 Tax=Pseudoalteromonas phage PHS21 TaxID=1955235 RepID=A0A2S1M565_9CAUD</t>
  </si>
  <si>
    <t>DNAUV-8.322-33_8</t>
  </si>
  <si>
    <t>VOG37369 [FUNC="REFSEQ DNA primase"] [TAG=Xu TAGDEF="Function unknown"]</t>
  </si>
  <si>
    <t>Primase C-terminal 2 domain-containing protein n=1 Tax=Pseudoalteromonas phage PHS21 TaxID=1955235 RepID=A0A1Q1PW63_9CAUD</t>
  </si>
  <si>
    <t>DNAUV-8.340-15_11</t>
  </si>
  <si>
    <t>Lipoprotein n=1 Tax=Marine Group I thaumarchaeote TaxID=2511932 RepID=A0A7K4MWQ2_9ARCH</t>
  </si>
  <si>
    <t>DNAUV-8.340-15_12</t>
  </si>
  <si>
    <t>DUF1640 domain-containing protein n=1 Tax=Pelagibacter phage HTVC008M TaxID=1283076 RepID=M1IDK7_9CAUD</t>
  </si>
  <si>
    <t>DNAUV-8.340-15_13</t>
  </si>
  <si>
    <t>DNAUV-8.340-15_17</t>
  </si>
  <si>
    <t>Hef-like homing endonuclease n=1 Tax=Escherichia phage ph0011 TaxID=2995639 RepID=A0A9E9AE35_9CAUD</t>
  </si>
  <si>
    <t>DNAUV-8.340-15_5</t>
  </si>
  <si>
    <t>VOG34372 [FUNC="REFSEQ head protein"] [TAG=Xu TAGDEF="Function unknown"]</t>
  </si>
  <si>
    <t>Virion structural protein n=1 Tax=Synechococcus phage S-CBM2 TaxID=351708 RepID=I3ULG1_9CAUD</t>
  </si>
  <si>
    <t>DNAUV-8.340-15_6</t>
  </si>
  <si>
    <t>DNAUV-8.340-15_7</t>
  </si>
  <si>
    <t>DNAUV-8.449-135_12</t>
  </si>
  <si>
    <t>DNA modification protein Mom-like protein n=1 Tax=Escherichia phage E21 TaxID=2663325 RepID=A0A5Q2F5K5_9CAUD</t>
  </si>
  <si>
    <t>DNAUV-8.457-19_10</t>
  </si>
  <si>
    <t>VOG34393 [FUNC="REFSEQ hypothetical protein"] [TAG=Xu TAGDEF="Function unknown"]</t>
  </si>
  <si>
    <t>Uncharacterized protein n=1 Tax=Prochlorococcus phage P-TIM68 TaxID=1542477 RepID=A0A0K0KVJ5_9CAUD</t>
  </si>
  <si>
    <t>DNAUV-8.457-19_4</t>
  </si>
  <si>
    <t>DNAUV-8.457-19_6</t>
  </si>
  <si>
    <t>Uncharacterized protein n=3 Tax=Emdodecavirus TaxID=1980937 RepID=S5MQF5_9CAUD</t>
  </si>
  <si>
    <t>DNAUV-8.457-19_7</t>
  </si>
  <si>
    <t>DUF6321 domain-containing protein n=1 Tax=Synechococcus phage S-H25 TaxID=2718941 RepID=A0A6G8R6X1_9CAUD</t>
  </si>
  <si>
    <t>DNAUV-8.457-19_8</t>
  </si>
  <si>
    <t>Uncharacterized protein n=1 Tax=Pelagibacter phage HTVC008M TaxID=1283076 RepID=M1IPD4_9CAUD</t>
  </si>
  <si>
    <t>DNAUV-8.457-19_9</t>
  </si>
  <si>
    <t>DNAUV-8.503-35_10</t>
  </si>
  <si>
    <t>DNAUV-8.503-35_3</t>
  </si>
  <si>
    <t>DNAUV-8.503-35_4</t>
  </si>
  <si>
    <t>DNAUV-8.503-35_5</t>
  </si>
  <si>
    <t>DNAUV-8.503-35_6</t>
  </si>
  <si>
    <t>Tail fiber protein n=1 Tax=Pseudoalteromonas phage C7 TaxID=2510494 RepID=A0A411CW38_9CAUD</t>
  </si>
  <si>
    <t>DNAUV-8.503-35_7</t>
  </si>
  <si>
    <t>DNAUV-8.503-35_8</t>
  </si>
  <si>
    <t>DNAUV-8.503-35_9</t>
  </si>
  <si>
    <t>DNAUV-8.508-392_15</t>
  </si>
  <si>
    <t>DNAUV-8.508-392_9</t>
  </si>
  <si>
    <t>Uncharacterized protein n=1 Tax=Rhizobium sp. NXC14 TaxID=1981173 RepID=A0A1W6PS33_9HYPH</t>
  </si>
  <si>
    <t>DNAUV-8.623-317_24</t>
  </si>
  <si>
    <t>DNAUV-8.623-317_27</t>
  </si>
  <si>
    <t>DNAUV-8.623-317_28</t>
  </si>
  <si>
    <t>DNAUV-8.623-317_31</t>
  </si>
  <si>
    <t>DNAUV-8.691-179_27</t>
  </si>
  <si>
    <t>DNAUV-8.691-179_41</t>
  </si>
  <si>
    <t>Large polyvalent protein associated domain-containing protein n=1 Tax=Freshwater phage uvFW-CGR-AMD-COM-C449 TaxID=1838155 RepID=A0A1B0XU68_9CAUD</t>
  </si>
  <si>
    <t>DNAUV-8.691-179_50</t>
  </si>
  <si>
    <t>VOG01158 [FUNC="REFSEQ endolysin"] [TAG=Xu TAGDEF="Function unknown"]</t>
  </si>
  <si>
    <t>Peptidoglycan-binding protein n=2 Tax=Egibacter rhizosphaerae TaxID=1670831 RepID=A0A411YL79_9ACTN</t>
  </si>
  <si>
    <t>DNAUV-8.723-20_4</t>
  </si>
  <si>
    <t>DNAUV-8.731-344_10</t>
  </si>
  <si>
    <t>DNAUV-8.731-344_11</t>
  </si>
  <si>
    <t>DNAUV-8.731-344_12</t>
  </si>
  <si>
    <t>Head completion adaptor n=2 Tax=unclassified Zobellviridae TaxID=2853025 RepID=A0A2I7RTG9_9CAUD</t>
  </si>
  <si>
    <t>DNAUV-8.731-344_13</t>
  </si>
  <si>
    <t>DNAUV-8.731-344_14</t>
  </si>
  <si>
    <t>Tail tubular protein B n=1 Tax=Pseudomonas phage vB_PaeP_FBPa8 TaxID=2969617 RepID=A0A9E7U2H6_9CAUD</t>
  </si>
  <si>
    <t>DNAUV-8.731-344_16</t>
  </si>
  <si>
    <t>VOG10628 [FUNC="REFSEQ hypothetical protein"] [TAG=Xu TAGDEF="Function unknown"]</t>
  </si>
  <si>
    <t>IVP-B n=1 Tax=Klebsiella phage vB_KpnP_Klyazma TaxID=2972439 RepID=A0A976SMZ0_9CAUD</t>
  </si>
  <si>
    <t>DNAUV-8.731-344_17</t>
  </si>
  <si>
    <t>DNAUV-8.731-344_6</t>
  </si>
  <si>
    <t>Portal (Connector) protein n=1 Tax=Pseudomonas phage IME180 TaxID=2041348 RepID=A0A291I969_9CAUD</t>
  </si>
  <si>
    <t>DNAUV-8.731-344_7</t>
  </si>
  <si>
    <t>VOG27673 [FUNC="REFSEQ hypothetical protein"] [TAG=Xu TAGDEF="Function unknown"]</t>
  </si>
  <si>
    <t>Uncharacterized protein n=1 Tax=Salinivibrio phage CW02 TaxID=1161935 RepID=H9D1H4_9CAUD</t>
  </si>
  <si>
    <t>DNAUV-8.731-344_8</t>
  </si>
  <si>
    <t>Putative scaffold protein n=1 Tax=Pseudomonas phage TC6 TaxID=2060947 RepID=A0A2H5BQA8_9CAUD</t>
  </si>
  <si>
    <t>DNAUV-8.731-344_9</t>
  </si>
  <si>
    <t>Major capsid protein n=3 Tax=unclassified Paundecimvirus TaxID=2852667 RepID=A0A291I979_9CAUD</t>
  </si>
  <si>
    <t>DNAUV-8.786-16_10</t>
  </si>
  <si>
    <t>VOG15052 [FUNC="REFSEQ hypothetical protein"] [TAG=Xu TAGDEF="Function unknown"]</t>
  </si>
  <si>
    <t>Uncharacterized protein n=1 Tax=Virus NIOZ-UU157 TaxID=2763269 RepID=A0A7S9STZ1_9VIRU</t>
  </si>
  <si>
    <t>DNAUV-8.786-16_11</t>
  </si>
  <si>
    <t>VOG15757 [FUNC="REFSEQ baseplate wedge subunit"] [TAG=Xu TAGDEF="Function unknown"]</t>
  </si>
  <si>
    <t>LysM domain-containing protein n=1 Tax=Virus NIOZ-UU157 TaxID=2763269 RepID=A0A7S9STY5_9VIRU</t>
  </si>
  <si>
    <t>DNAUV-8.786-16_12</t>
  </si>
  <si>
    <t>DNAUV-8.786-16_2</t>
  </si>
  <si>
    <t>DNAUV-8.786-16_9</t>
  </si>
  <si>
    <t>Uncharacterized protein n=1 Tax=Virus NIOZ-UU157 TaxID=2763269 RepID=A0A7S9STZ2_9VIRU</t>
  </si>
  <si>
    <t>DNAUV-8.796-355_29</t>
  </si>
  <si>
    <t>Phage protein n=1 Tax=Pseudo-nitzschia multiseries DNA virus TaxID=2364897 RepID=A0A678W9R8_9VIRU</t>
  </si>
  <si>
    <t>DNAUV-8.796-355_5</t>
  </si>
  <si>
    <t>DNAUV-8.856-17_1</t>
  </si>
  <si>
    <t>DNAUV-8.856-17_10</t>
  </si>
  <si>
    <t>Prohead assembly (Scaffolding) protein n=1 Tax=Synechococcus phage S-B68 TaxID=2545437 RepID=A0A482IGG0_9CAUD</t>
  </si>
  <si>
    <t>DNAUV-8.856-17_17</t>
  </si>
  <si>
    <t>DNAUV-8.856-17_5</t>
  </si>
  <si>
    <t>DNAUV-8.856-17_6</t>
  </si>
  <si>
    <t>Portal vertex protein n=1 Tax=Synechococcus phage S-CREM1 TaxID=2982919 RepID=A0A9X9NY21_9CAUD</t>
  </si>
  <si>
    <t>DNAUV-8.856-17_9</t>
  </si>
  <si>
    <t>Prohead core scaffold and protease n=1 Tax=Prochlorococcus phage P-SSM3 TaxID=536453 RepID=R9S5B5_9CAUD</t>
  </si>
  <si>
    <t>DNAUV-8.859-2624_1</t>
  </si>
  <si>
    <t>DNAUV-8.859-2624_10</t>
  </si>
  <si>
    <t>DNAUV-8.859-2624_2</t>
  </si>
  <si>
    <t>Phage-like element PBSX protein XkdF domain-containing protein n=1 Tax=Costertonia aggregata TaxID=343403 RepID=A0A7H9ARH1_9FLAO</t>
  </si>
  <si>
    <t>DNAUV-8.859-2624_3</t>
  </si>
  <si>
    <t>DNAUV-8.859-2624_4</t>
  </si>
  <si>
    <t>DNAUV-8.859-2624_5</t>
  </si>
  <si>
    <t>DNAUV-8.859-2624_6</t>
  </si>
  <si>
    <t>Phage major capsid protein n=1 Tax=Pusillimonas sp. (ex Stolz et al. 2005) TaxID=1979962 RepID=A0A2D7XIE2_9BURK</t>
  </si>
  <si>
    <t>DNAUV-8.859-2624_7</t>
  </si>
  <si>
    <t>Uncharacterized protein n=1 Tax=Pusillimonas sp. (ex Stolz et al. 2005) TaxID=1979962 RepID=A0A2D7XCM7_9BURK</t>
  </si>
  <si>
    <t>DNAUV-8.859-2624_9</t>
  </si>
  <si>
    <t>DNAUV-8.863-733_2</t>
  </si>
  <si>
    <t>DNAUV-8.863-733_5</t>
  </si>
  <si>
    <t>DNAUV-8.863-733_6</t>
  </si>
  <si>
    <t>Conjugal transfer protein TraO n=1 Tax=Polaribacter sp. WD7 TaxID=2269061 RepID=A0A395JRN3_9FLAO</t>
  </si>
  <si>
    <t>DNAUV-8.863-733_7</t>
  </si>
  <si>
    <t>Lipoprotein n=1 Tax=Phage f2b1 TaxID=2708592 RepID=A0A6C0RRW1_9CAUD</t>
  </si>
  <si>
    <t>DNAUV-8.877-17_16</t>
  </si>
  <si>
    <t>VOG36069 [FUNC="REFSEQ hypothetical protein"] [TAG=Xu TAGDEF="Function unknown"]</t>
  </si>
  <si>
    <t>Uncharacterized protein n=1 Tax=Trueperella pecoris TaxID=2733571 RepID=A0A7M1QUK1_9ACTO</t>
  </si>
  <si>
    <t>DNAUV-8.877-17_17</t>
  </si>
  <si>
    <t>VOG19551 [FUNC="REFSEQ hypothetical protein"] [TAG=Xu TAGDEF="Function unknown"]</t>
  </si>
  <si>
    <t>Uncharacterized protein n=1 Tax=Aquisalinus luteolus TaxID=1566827 RepID=A0A8J3A9G0_9PROT</t>
  </si>
  <si>
    <t>DNAUV-8.877-17_20</t>
  </si>
  <si>
    <t>Uncharacterized protein n=1 Tax=Novosphingobium endophyticum TaxID=1955250 RepID=A0A916TW87_9SPHN</t>
  </si>
  <si>
    <t>DNAUV-8.877-17_23</t>
  </si>
  <si>
    <t>Baseplate wedge protein n=1 Tax=Synechococcus phage S-WAM1 TaxID=1815521 RepID=A0A1D8KSA7_9CAUD</t>
  </si>
  <si>
    <t>DNAUV-8.944-24_10</t>
  </si>
  <si>
    <t>DNAUV-8.944-24_6</t>
  </si>
  <si>
    <t>DNAUV-80.863-259_10</t>
  </si>
  <si>
    <t>Structural protein n=2 Tax=Cellulophaga phage phiST TaxID=756282 RepID=M4SPV5_9CAUD</t>
  </si>
  <si>
    <t>DNAUV-80.863-259_105</t>
  </si>
  <si>
    <t>Uncharacterized protein n=1 Tax=Virus NIOZ-UU157 TaxID=2763269 RepID=A0A7S9SU48_9VIRU</t>
  </si>
  <si>
    <t>DNAUV-80.863-259_11</t>
  </si>
  <si>
    <t>DNAUV-80.863-259_13</t>
  </si>
  <si>
    <t>Structural protein n=3 Tax=Cellulophaga phage phiST TaxID=756282 RepID=M4SLB4_9CAUD</t>
  </si>
  <si>
    <t>DNAUV-80.863-259_14</t>
  </si>
  <si>
    <t>Structural protein n=3 Tax=Cellulophaga phage phiST TaxID=756282 RepID=M4SKA9_9CAUD</t>
  </si>
  <si>
    <t>DNAUV-80.863-259_15</t>
  </si>
  <si>
    <t>Uncharacterized protein n=1 Tax=Tenacibaculum phage Larrie TaxID=2968246 RepID=A0A9X9JAV2_9CAUD</t>
  </si>
  <si>
    <t>DNAUV-80.863-259_17</t>
  </si>
  <si>
    <t>DUF1353 domain-containing protein n=1 Tax=Riemerella anatipestifer TaxID=34085 RepID=A0A1S7DQZ1_RIEAN</t>
  </si>
  <si>
    <t>DNAUV-80.863-259_18</t>
  </si>
  <si>
    <t>Holin family protein n=1 Tax=Tenacibaculum phage Larrie TaxID=2968246 RepID=A0A9X9NSH1_9CAUD</t>
  </si>
  <si>
    <t>DNAUV-80.863-259_21</t>
  </si>
  <si>
    <t>VOG01620 [FUNC="REFSEQ hypothetical protein"] [TAG=Xu TAGDEF="Function unknown"]</t>
  </si>
  <si>
    <t>HNH endonuclease n=3 Tax=Cellulophaga phage phiST TaxID=756282 RepID=M4SPU6_9CAUD</t>
  </si>
  <si>
    <t>DNAUV-80.863-259_28</t>
  </si>
  <si>
    <t>VOG17563 [FUNC="REFSEQ hypothetical protein"] [TAG=Xu TAGDEF="Function unknown"]</t>
  </si>
  <si>
    <t>Queuine tRNA-ribosyltransferase catalytic subunit 1, Transglycosylase, TIM Barrel n=1 Tax=Myoviridae sp. ct4uh47 TaxID=2825032 RepID=A0A8S5V661_9CAUD</t>
  </si>
  <si>
    <t>DNAUV-80.863-259_29</t>
  </si>
  <si>
    <t>NadR/Ttd14 AAA domain-containing protein n=1 Tax=Niveispirillum lacus TaxID=1981099 RepID=A0A255YX09_9PROT</t>
  </si>
  <si>
    <t>DNAUV-80.863-259_3</t>
  </si>
  <si>
    <t>Uncharacterized protein n=1 Tax=Tenacibaculum phage Larrie TaxID=2968246 RepID=A0A9X9NSM8_9CAUD</t>
  </si>
  <si>
    <t>DNAUV-80.863-259_34</t>
  </si>
  <si>
    <t>DNA ligase n=3 Tax=Cellulophaga phage phiST TaxID=756282 RepID=M4SPT9_9CAUD</t>
  </si>
  <si>
    <t>DNAUV-80.863-259_36</t>
  </si>
  <si>
    <t>Uncharacterized protein n=3 Tax=Cellulophaga phage phiST TaxID=756282 RepID=M4T1T0_9CAUD</t>
  </si>
  <si>
    <t>DNAUV-80.863-259_37</t>
  </si>
  <si>
    <t>VOG15596 [FUNC="REFSEQ hypothetical protein"] [TAG=Xu TAGDEF="Function unknown"]</t>
  </si>
  <si>
    <t>Uncharacterized protein n=1 Tax=Cellulophaga phage phi13:1 TaxID=1327992 RepID=S0A126_9CAUD</t>
  </si>
  <si>
    <t>DNAUV-80.863-259_4</t>
  </si>
  <si>
    <t>Uncharacterized protein n=2 Tax=Bacteria TaxID=2 RepID=A0A0P8Y9H2_9RHOB</t>
  </si>
  <si>
    <t>DNAUV-80.863-259_45</t>
  </si>
  <si>
    <t>Holliday junction resolvase RuvC n=3 Tax=Cellulophaga phage phiST TaxID=756282 RepID=M4T1S3_9CAUD</t>
  </si>
  <si>
    <t>DNAUV-80.863-259_5</t>
  </si>
  <si>
    <t>DNAUV-80.863-259_55</t>
  </si>
  <si>
    <t>DNA binding protein n=3 Tax=Cellulophaga phage phiST TaxID=756282 RepID=M4SN91_9CAUD</t>
  </si>
  <si>
    <t>DNAUV-80.863-259_56</t>
  </si>
  <si>
    <t>A1-like protein n=5 Tax=Lightbulbvirus TaxID=1918522 RepID=S0A028_9CAUD</t>
  </si>
  <si>
    <t>DNAUV-80.863-259_57</t>
  </si>
  <si>
    <t>Uncharacterized protein n=1 Tax=Vibrio phage 193E37-1 TaxID=2963175 RepID=A0A9P0YC91_9CAUD</t>
  </si>
  <si>
    <t>DNAUV-80.863-259_59</t>
  </si>
  <si>
    <t>Uncharacterized protein n=1 Tax=Tenacibaculum phage Larrie TaxID=2968246 RepID=A0A9X9JD11_9CAUD</t>
  </si>
  <si>
    <t>DNAUV-80.863-259_6</t>
  </si>
  <si>
    <t>Structural protein n=1 Tax=Tenacibaculum phage Larrie TaxID=2968246 RepID=A0A9X9JAY7_9CAUD</t>
  </si>
  <si>
    <t>DNAUV-80.863-259_62</t>
  </si>
  <si>
    <t>Uncharacterized protein n=3 Tax=Cellulophaga phage phiST TaxID=756282 RepID=M4T1Q8_9CAUD</t>
  </si>
  <si>
    <t>DNAUV-80.863-259_67</t>
  </si>
  <si>
    <t>Uncharacterized protein n=1 Tax=Tenacibaculum phage Larrie TaxID=2968246 RepID=A0A9X9NSF6_9CAUD</t>
  </si>
  <si>
    <t>DNAUV-80.863-259_69</t>
  </si>
  <si>
    <t>Uncharacterized protein n=1 Tax=Tenacibaculum phage pT24 TaxID=1880590 RepID=A0A1B4XWN6_9CAUD</t>
  </si>
  <si>
    <t>DNAUV-80.863-259_7</t>
  </si>
  <si>
    <t>Virion structural protein n=3 Tax=Cellulophaga phage phiST TaxID=756282 RepID=M4SNC3_9CAUD</t>
  </si>
  <si>
    <t>DNAUV-80.863-259_71</t>
  </si>
  <si>
    <t>Uncharacterized protein n=1 Tax=Tenacibaculum phage Larrie TaxID=2968246 RepID=A0A9X9JAS5_9CAUD</t>
  </si>
  <si>
    <t>DNAUV-80.863-259_73</t>
  </si>
  <si>
    <t>Portal protein n=1 Tax=Tenacibaculum phage Larrie TaxID=2968246 RepID=A0A9X9NS76_9CAUD</t>
  </si>
  <si>
    <t>DNAUV-80.863-259_74</t>
  </si>
  <si>
    <t>Structural protein n=3 Tax=Cellulophaga phage phiST TaxID=756282 RepID=M4SK65_9CAUD</t>
  </si>
  <si>
    <t>DNAUV-80.863-259_75</t>
  </si>
  <si>
    <t>Uncharacterized protein n=1 Tax=Tenacibaculum phage Larrie TaxID=2968246 RepID=A0A9X9NS86_9CAUD</t>
  </si>
  <si>
    <t>DNAUV-80.863-259_9</t>
  </si>
  <si>
    <t>Structural protein n=3 Tax=Cellulophaga phage phiST TaxID=756282 RepID=M4SKB3_9CAUD</t>
  </si>
  <si>
    <t>DNAUV-85.908-43_10</t>
  </si>
  <si>
    <t>Uncharacterized protein n=1 Tax=Stutzerimonas stutzeri TaxID=316 RepID=A0A7U7ECS9_STUST</t>
  </si>
  <si>
    <t>DNAUV-85.908-43_101</t>
  </si>
  <si>
    <t>DNAUV-85.908-43_102</t>
  </si>
  <si>
    <t>Tail fibers protein n=2 Tax=unclassified Suspvirus TaxID=2555553 RepID=A0A411B9N7_9CAUD</t>
  </si>
  <si>
    <t>DNAUV-85.908-43_103</t>
  </si>
  <si>
    <t>Head-closure protein n=4 Tax=Mooglevirus TaxID=1985303 RepID=A0A482JKI4_9CAUD</t>
  </si>
  <si>
    <t>DNAUV-85.908-43_105</t>
  </si>
  <si>
    <t>Conserved structural protein n=1 Tax=Erwinia phage Roscha1 TaxID=2978979 RepID=A0A977KE02_9CAUD</t>
  </si>
  <si>
    <t>DNAUV-85.908-43_106</t>
  </si>
  <si>
    <t>DUF3277 domain-containing protein n=1 Tax=Phage NBSal004 TaxID=2712978 RepID=A0A6G8QZC8_9CAUD</t>
  </si>
  <si>
    <t>DNAUV-85.908-43_107</t>
  </si>
  <si>
    <t>Tape measure chaperone n=1 Tax=Alteromonas phage vB_AmeM_PT11-V22 TaxID=2704031 RepID=A0A6C0R0Q7_9CAUD</t>
  </si>
  <si>
    <t>DNAUV-85.908-43_11</t>
  </si>
  <si>
    <t>Uncharacterized protein n=1 Tax=Parabacteroides goldsteinii CL02T12C30 TaxID=999418 RepID=K6A155_9BACT</t>
  </si>
  <si>
    <t>DNAUV-85.908-43_110</t>
  </si>
  <si>
    <t>Uncharacterized protein n=110 Tax=Barbavirus TaxID=2733095 RepID=A0A7G9VRZ9_9CAUD</t>
  </si>
  <si>
    <t>DNAUV-85.908-43_111</t>
  </si>
  <si>
    <t>Phage protein n=1 Tax=Shigella phage Silverhawkium TaxID=2530185 RepID=A0A482JK78_9CAUD</t>
  </si>
  <si>
    <t>DNAUV-85.908-43_112</t>
  </si>
  <si>
    <t>Uncharacterized protein n=1 Tax=Pseudoalteromonas phage J2-1 TaxID=2023998 RepID=A0A223LHB9_9CAUD</t>
  </si>
  <si>
    <t>DNAUV-85.908-43_114</t>
  </si>
  <si>
    <t>DNAUV-85.908-43_116</t>
  </si>
  <si>
    <t>DNAUV-85.908-43_117</t>
  </si>
  <si>
    <t>VOG11903 [FUNC="REFSEQ hypothetical protein"] [TAG=Xu TAGDEF="Function unknown"]</t>
  </si>
  <si>
    <t>Peptidase S74 domain-containing protein n=1 Tax=Paenibacillus ginsengarvi TaxID=400777 RepID=A0A3B0C719_9BACL</t>
  </si>
  <si>
    <t>DNAUV-85.908-43_118</t>
  </si>
  <si>
    <t>Uncharacterized protein n=1 Tax=Gimesia aquarii TaxID=2527964 RepID=A0A517VRI7_9PLAN</t>
  </si>
  <si>
    <t>DNAUV-85.908-43_119</t>
  </si>
  <si>
    <t>sp|Q8CYC9|PFBA_STRR6 Plasmin and fibronectin-binding protein A OS=Streptococcus pneumoniae (strain ATCC BAA-255 / R6) OX=171101 GN=pfbA PE=1 SV=1</t>
  </si>
  <si>
    <t>Parallel beta-helix repeat (Two copies) n=1 Tax=Roseomonas rosea TaxID=198092 RepID=A0A1M6I9Q8_9PROT</t>
  </si>
  <si>
    <t>DNAUV-85.908-43_12</t>
  </si>
  <si>
    <t>Uncharacterized protein n=1 Tax=Bacillus sp. T33-2 TaxID=2054168 RepID=A0A2N5H4Z3_9BACI</t>
  </si>
  <si>
    <t>DNAUV-85.908-43_120</t>
  </si>
  <si>
    <t>VOG04429 [FUNC="REFSEQ hypothetical protein"] [TAG=Xu TAGDEF="Function unknown"]</t>
  </si>
  <si>
    <t>Uncharacterized protein n=1 Tax=Microvirga mediterraneensis TaxID=2754695 RepID=A0A838BNB5_9HYPH</t>
  </si>
  <si>
    <t>DNAUV-85.908-43_134</t>
  </si>
  <si>
    <t>Fe-S-cluster containining protein n=1 Tax=Microvirga lupini TaxID=420324 RepID=A0A7W4YVY9_9HYPH</t>
  </si>
  <si>
    <t>DNAUV-85.908-43_14</t>
  </si>
  <si>
    <t>Putative HNH endonuclease n=1 Tax=Acinetobacter phage BS46 TaxID=2606591 RepID=A0A5C2IC79_9CAUD</t>
  </si>
  <si>
    <t>DNAUV-85.908-43_16</t>
  </si>
  <si>
    <t>HAD-like domain protein n=1 Tax=Vibrio phage MZH0603 TaxID=2664193 RepID=A0A650ER29_9CAUD</t>
  </si>
  <si>
    <t>DNAUV-85.908-43_17</t>
  </si>
  <si>
    <t>5'(3')-deoxyribonucleotidase n=1 Tax=Aeromonas phage 2L372X TaxID=2588515 RepID=A0A5B9NAH8_9CAUD</t>
  </si>
  <si>
    <t>DNAUV-85.908-43_19</t>
  </si>
  <si>
    <t>AP2/ERF domain-containing protein n=1 Tax=Fischerella sp. NIES-4106 TaxID=2005456 RepID=A0A1Z4TWM8_9CYAN</t>
  </si>
  <si>
    <t>DNAUV-85.908-43_54</t>
  </si>
  <si>
    <t>Uncharacterized protein n=1 Tax=Cairina moschata domestica TaxID=1240228 RepID=A0A8C3BM15_CAIMO</t>
  </si>
  <si>
    <t>DNAUV-85.908-43_56</t>
  </si>
  <si>
    <t>YopX protein domain-containing protein n=1 Tax=Staphylococcus devriesei TaxID=586733 RepID=A0A2T4LBQ8_9STAP</t>
  </si>
  <si>
    <t>DNAUV-85.908-43_57</t>
  </si>
  <si>
    <t>Uncharacterized protein n=1 Tax=Vibrio phage 1.161.O._10N.261.48.C5 TaxID=1881340 RepID=A0A2I7RDF4_9CAUD</t>
  </si>
  <si>
    <t>DNAUV-85.908-43_64</t>
  </si>
  <si>
    <t>Uncharacterized protein n=1 Tax=Acidiferrobacter sp. SPIII_3 TaxID=1281578 RepID=A0A2Z3R076_9GAMM</t>
  </si>
  <si>
    <t>DNAUV-85.908-43_66</t>
  </si>
  <si>
    <t>Uncharacterized protein n=1 Tax=Bordetella phage FP1 TaxID=1916125 RepID=A0A2D0W9I4_9CAUD</t>
  </si>
  <si>
    <t>DNAUV-85.908-43_7</t>
  </si>
  <si>
    <t>DNAUV-85.908-43_71</t>
  </si>
  <si>
    <t>VOG27880 [FUNC="REFSEQ hypothetical protein"] [TAG=Xu TAGDEF="Function unknown"]</t>
  </si>
  <si>
    <t>Uncharacterized protein n=1 Tax=Vibrio phage VPMCC14 TaxID=2968382 RepID=A0A976XH20_9CAUD</t>
  </si>
  <si>
    <t>DNAUV-85.908-43_74</t>
  </si>
  <si>
    <t>Uncharacterized protein n=1 Tax=Pseudoalteromonas phage RIO-1 TaxID=1316739 RepID=R4JKH8_9CAUD</t>
  </si>
  <si>
    <t>DNAUV-85.908-43_76</t>
  </si>
  <si>
    <t>Nucleotidyltransferase n=1 Tax=Alteromonas phage vB_AmeM_PT11-V22 TaxID=2704031 RepID=A0A6C0R1Z9_9CAUD</t>
  </si>
  <si>
    <t>DNAUV-85.908-43_77</t>
  </si>
  <si>
    <t>DNAUV-85.908-43_78</t>
  </si>
  <si>
    <t>RNA ligase n=1 Tax=Blautia obeum TaxID=40520 RepID=A0A173ZXN3_9FIRM</t>
  </si>
  <si>
    <t>DNAUV-85.908-43_8</t>
  </si>
  <si>
    <t>DNAUV-85.908-43_81</t>
  </si>
  <si>
    <t>VOG02537 [FUNC="REFSEQ hypothetical protein"] [TAG=Xu TAGDEF="Function unknown"]</t>
  </si>
  <si>
    <t>Coil containing protein n=1 Tax=Vibrio phage 1.170.O._10N.261.52.C3 TaxID=1881390 RepID=A0A2I7RET2_9CAUD</t>
  </si>
  <si>
    <t>DNAUV-85.908-43_83</t>
  </si>
  <si>
    <t>Uncharacterized protein n=2 Tax=Pseudomonas TaxID=286 RepID=A0A9X8MHQ1_9PSED</t>
  </si>
  <si>
    <t>DNAUV-85.908-43_84</t>
  </si>
  <si>
    <t>DNAUV-85.908-43_86</t>
  </si>
  <si>
    <t>Lysophospholipase L1-like esterase n=1 Tax=Fluviicoccus keumensis TaxID=1435465 RepID=A0A4Q7ZBU5_9GAMM</t>
  </si>
  <si>
    <t>DNAUV-85.908-43_91</t>
  </si>
  <si>
    <t>HNH homing endonuclease n=1 Tax=Pseudoalteromonas phage H101 TaxID=1654919 RepID=A0A0H4J1Z4_9CAUD</t>
  </si>
  <si>
    <t>DNAUV-85.908-43_94</t>
  </si>
  <si>
    <t>DNAUV-85.908-43_96</t>
  </si>
  <si>
    <t>DNAUV-85.908-43_97</t>
  </si>
  <si>
    <t>DNAUV-85.908-43_98</t>
  </si>
  <si>
    <t>DNAUV-85.908-43_99</t>
  </si>
  <si>
    <t>DNAUV-9.007-689_14</t>
  </si>
  <si>
    <t>DNAUV-9.007-689_18</t>
  </si>
  <si>
    <t>DNAUV-9.007-689_19</t>
  </si>
  <si>
    <t>DNAUV-9.007-689_20</t>
  </si>
  <si>
    <t>DNAUV-9.007-689_21</t>
  </si>
  <si>
    <t>DNAUV-9.007-689_22</t>
  </si>
  <si>
    <t>DNAUV-9.007-689_24</t>
  </si>
  <si>
    <t>DNAUV-9.013-1827_18</t>
  </si>
  <si>
    <t>DNAUV-9.013-1827_20</t>
  </si>
  <si>
    <t>DNAUV-9.013-1827_21</t>
  </si>
  <si>
    <t>Uncharacterized protein n=1 Tax=Bordetella flabilis TaxID=463014 RepID=A0A193GAE4_9BORD</t>
  </si>
  <si>
    <t>DNAUV-9.013-1827_23</t>
  </si>
  <si>
    <t>Major capsid protein n=1 Tax=Sinorhizobium phage phiM5 TaxID=2005789 RepID=A0A1Y0T0F4_9CAUD</t>
  </si>
  <si>
    <t>DNAUV-9.013-1827_24</t>
  </si>
  <si>
    <t>DNAUV-9.013-1827_25</t>
  </si>
  <si>
    <t>HNH endonuclease n=1 Tax=Propionivibrio dicarboxylicus TaxID=83767 RepID=A0A1G8AQC8_9RHOO</t>
  </si>
  <si>
    <t>DNAUV-9.013-1827_26</t>
  </si>
  <si>
    <t>DNAUV-9.013-1827_29</t>
  </si>
  <si>
    <t>DNAUV-9.013-1827_8</t>
  </si>
  <si>
    <t>Capsid and scaffold protein n=1 Tax=Pseudomonas phage PaeP_Ls TaxID=2981566 RepID=A0A9X9NZL0_9CAUD</t>
  </si>
  <si>
    <t>DNAUV-9.016-726_10</t>
  </si>
  <si>
    <t>Portal n=1 Tax=Siphoviridae sp. ctrok7 TaxID=2826480 RepID=A0A8S5NEW1_9CAUD</t>
  </si>
  <si>
    <t>DNAUV-9.016-726_12</t>
  </si>
  <si>
    <t>Uncharacterized protein n=1 Tax=Parabacteroides phage PD482P1 TaxID=2968686 RepID=A0A9Y1HT16_9CAUD</t>
  </si>
  <si>
    <t>DNAUV-9.016-726_13</t>
  </si>
  <si>
    <t>Major capsid protein n=1 Tax=Siphoviridae sp. ctHMI2 TaxID=2826231 RepID=A0A8S5MJP1_9CAUD</t>
  </si>
  <si>
    <t>DNAUV-9.016-726_15</t>
  </si>
  <si>
    <t>DNAUV-9.016-726_9</t>
  </si>
  <si>
    <t>Putative tail protein n=1 Tax=Croceibacter phage P2559Y TaxID=1327037 RepID=W8CQM7_9CAUD</t>
  </si>
  <si>
    <t>DNAUV-9.059-543_10</t>
  </si>
  <si>
    <t>DNAUV-9.059-543_11</t>
  </si>
  <si>
    <t>DNAUV-9.059-543_12</t>
  </si>
  <si>
    <t>DNAUV-9.059-543_3</t>
  </si>
  <si>
    <t>DNAUV-9.059-543_5</t>
  </si>
  <si>
    <t>dUTPase-like domain-containing protein n=1 Tax=Parabacteroides sp. TM07-1AC TaxID=2292363 RepID=A0A417LMR1_9BACT</t>
  </si>
  <si>
    <t>DNAUV-9.059-543_6</t>
  </si>
  <si>
    <t>DNAUV-9.059-543_7</t>
  </si>
  <si>
    <t>DNAUV-9.059-543_9</t>
  </si>
  <si>
    <t>DNAUV-9.068-23_4</t>
  </si>
  <si>
    <t>DNAUV-9.068-23_7</t>
  </si>
  <si>
    <t>DUF6321 domain-containing protein n=1 Tax=Pusillimonas sp. (ex Stolz et al. 2005) TaxID=1979962 RepID=A0A2D7XB55_9BURK</t>
  </si>
  <si>
    <t>DNAUV-9.069-15_10</t>
  </si>
  <si>
    <t>Recombination endonuclease VII n=1 Tax=Spirosoma oryzae TaxID=1469603 RepID=A0A2T0SYC0_9BACT</t>
  </si>
  <si>
    <t>DNAUV-9.069-15_2</t>
  </si>
  <si>
    <t>DNAUV-9.069-15_3</t>
  </si>
  <si>
    <t>DNAUV-9.069-15_8</t>
  </si>
  <si>
    <t>DUF3310 domain-containing protein n=2 Tax=unclassified Caudoviricetes TaxID=2788787 RepID=A0A7S5R8S9_9CAUD</t>
  </si>
  <si>
    <t>DNAUV-9.153-49_1</t>
  </si>
  <si>
    <t>DNAUV-9.153-49_4</t>
  </si>
  <si>
    <t>Bacterial Ig domain-containing protein n=1 Tax=Macrococcus goetzii TaxID=1891097 RepID=A0A4R6CCZ5_9STAP</t>
  </si>
  <si>
    <t>DNAUV-9.183-44_19</t>
  </si>
  <si>
    <t>DNAUV-9.183-44_30</t>
  </si>
  <si>
    <t>DNAUV-9.183-44_31</t>
  </si>
  <si>
    <t>DNAUV-9.183-44_9</t>
  </si>
  <si>
    <t>VOG32343 [FUNC="REFSEQ hypothetical protein"] [TAG=Xu TAGDEF="Function unknown"]</t>
  </si>
  <si>
    <t>Uncharacterized protein n=1 Tax=Paracoccus sphaerophysae TaxID=690417 RepID=A0A099FA86_9RHOB</t>
  </si>
  <si>
    <t>DNAUV-9.187-98_18</t>
  </si>
  <si>
    <t>DNAUV-9.187-98_19</t>
  </si>
  <si>
    <t>DNAUV-9.187-98_34</t>
  </si>
  <si>
    <t>Cold shock protein n=1 Tax=Rubellimicrobium thermophilum DSM 16684 TaxID=1123069 RepID=S9SLR8_9RHOB</t>
  </si>
  <si>
    <t>DNAUV-9.188-19_1</t>
  </si>
  <si>
    <t>DNAUV-9.188-19_2</t>
  </si>
  <si>
    <t>DNAUV-9.188-19_3</t>
  </si>
  <si>
    <t>DNAUV-9.188-19_4</t>
  </si>
  <si>
    <t>DNAUV-9.188-19_5</t>
  </si>
  <si>
    <t>DNAUV-9.188-19_6</t>
  </si>
  <si>
    <t>DNAUV-9.188-19_7</t>
  </si>
  <si>
    <t>DNAUV-9.188-19_8</t>
  </si>
  <si>
    <t>DNAUV-9.244-15_16</t>
  </si>
  <si>
    <t>DNAUV-9.244-15_18</t>
  </si>
  <si>
    <t>DNAUV-9.244-15_20</t>
  </si>
  <si>
    <t>DNAUV-9.244-15_21</t>
  </si>
  <si>
    <t>DNAUV-9.244-15_30</t>
  </si>
  <si>
    <t>DNAUV-9.244-15_32</t>
  </si>
  <si>
    <t>Right handed beta helix domain-containing protein n=1 Tax=Sinorhizobium meliloti CCNWSX0020 TaxID=1107881 RepID=H0FY13_RHIML</t>
  </si>
  <si>
    <t>DNAUV-9.244-15_33</t>
  </si>
  <si>
    <t>DdrB-like domain-containing protein n=1 Tax=Variovorax paradoxus TaxID=34073 RepID=A0A2W5SSQ7_VARPD</t>
  </si>
  <si>
    <t>DNAUV-9.325-79_1</t>
  </si>
  <si>
    <t>DNAUV-9.325-79_10</t>
  </si>
  <si>
    <t>DNAUV-9.325-79_11</t>
  </si>
  <si>
    <t>DNAUV-9.325-79_13</t>
  </si>
  <si>
    <t>DNAUV-9.325-79_14</t>
  </si>
  <si>
    <t>DNAUV-9.325-79_16</t>
  </si>
  <si>
    <t>DNAUV-9.325-79_19</t>
  </si>
  <si>
    <t>DNAUV-9.325-79_20</t>
  </si>
  <si>
    <t>DNAUV-9.325-79_21</t>
  </si>
  <si>
    <t>DNAUV-9.325-79_22</t>
  </si>
  <si>
    <t>DNAUV-9.325-79_3</t>
  </si>
  <si>
    <t>Putative head decoration protein n=1 Tax=Myoviridae sp. ctTYJ16 TaxID=2825112 RepID=A0A8S5P7X7_9CAUD</t>
  </si>
  <si>
    <t>DNAUV-9.325-79_4</t>
  </si>
  <si>
    <t>DNAUV-9.325-79_6</t>
  </si>
  <si>
    <t>DNAUV-9.325-79_7</t>
  </si>
  <si>
    <t>Putative tail fiber protein n=1 Tax=Puniceispirillum phage HMO-2011 TaxID=948071 RepID=S4S2M4_9CAUD</t>
  </si>
  <si>
    <t>DNAUV-9.325-79_8</t>
  </si>
  <si>
    <t>MobE homing endonuclease n=1 Tax=Sinorhizobium phage phiN3 TaxID=1647405 RepID=A0A0F6WCJ7_9CAUD</t>
  </si>
  <si>
    <t>DNAUV-9.330-291_1</t>
  </si>
  <si>
    <t>DNAUV-9.330-291_15</t>
  </si>
  <si>
    <t>DNAUV-9.330-291_2</t>
  </si>
  <si>
    <t>DNAUV-9.330-291_5</t>
  </si>
  <si>
    <t>DNAUV-9.330-291_6</t>
  </si>
  <si>
    <t>DNAUV-9.330-291_7</t>
  </si>
  <si>
    <t>DNAUV-9.330-291_9</t>
  </si>
  <si>
    <t>DNAUV-9.387-31_1</t>
  </si>
  <si>
    <t>Uncharacterized protein n=1 Tax=Brucella pituitosa TaxID=571256 RepID=A0A643F581_9HYPH</t>
  </si>
  <si>
    <t>DNAUV-9.387-31_10</t>
  </si>
  <si>
    <t>Peptidase M15A C-terminal domain-containing protein n=1 Tax=Marinobacter salinus TaxID=1874317 RepID=A0A1D9GLW9_9GAMM</t>
  </si>
  <si>
    <t>DNAUV-9.387-31_9</t>
  </si>
  <si>
    <t>Calcium-binding protein n=1 Tax=Parvularcula marina TaxID=2292771 RepID=A0A371RGH9_9PROT</t>
  </si>
  <si>
    <t>DNAUV-9.429-95_20</t>
  </si>
  <si>
    <t>DNAUV-9.429-95_6</t>
  </si>
  <si>
    <t>DNAUV-9.609-18_11</t>
  </si>
  <si>
    <t>Tubular protein A n=1 Tax=Lentibacter virus vB_LenP_ICBM2 TaxID=2301529 RepID=A0A411MQN5_9CAUD</t>
  </si>
  <si>
    <t>DNAUV-9.609-18_15</t>
  </si>
  <si>
    <t>DNAUV-9.609-18_17</t>
  </si>
  <si>
    <t>DNAUV-9.609-18_7</t>
  </si>
  <si>
    <t>LamG domain-containing protein n=1 Tax=Shinella sp. JR1-6 TaxID=2527671 RepID=A0A4V2HGK7_9HYPH</t>
  </si>
  <si>
    <t>DNAUV-9.609-18_8</t>
  </si>
  <si>
    <t>Phage tail protein n=2 Tax=Rhizobium sp. NFR07 TaxID=1566262 RepID=A0A1I1BP51_9HYPH</t>
  </si>
  <si>
    <t>DNAUV-9.609-18_9</t>
  </si>
  <si>
    <t>DUF4157 domain-containing protein n=1 Tax=Cupriavidus neocaledonicus TaxID=1040979 RepID=A0A375H212_9BURK</t>
  </si>
  <si>
    <t>DNAUV-9.637-16_10</t>
  </si>
  <si>
    <t>Uncharacterized protein n=1 Tax=Richelia sp. RM2_1_2 TaxID=2720436 RepID=A0A969SMW1_9NOST</t>
  </si>
  <si>
    <t>DNAUV-9.637-16_11</t>
  </si>
  <si>
    <t>Uncharacterized protein n=1 Tax=Richelia sp. RM2_1_2 TaxID=2720436 RepID=A0A969SLS1_9NOST</t>
  </si>
  <si>
    <t>DNAUV-9.637-16_12</t>
  </si>
  <si>
    <t>Major capsid protein n=1 Tax=Richelia sp. RM2_1_2 TaxID=2720436 RepID=A0A969SMT8_9NOST</t>
  </si>
  <si>
    <t>DNAUV-9.637-16_5</t>
  </si>
  <si>
    <t>DNAUV-9.637-16_7</t>
  </si>
  <si>
    <t>F5/8 type C domain-containing protein n=1 Tax=Caulobacter phage Ccr5 TaxID=1959740 RepID=A0A1V0EBQ7_9CAUD</t>
  </si>
  <si>
    <t>DNAUV-9.697-307_14</t>
  </si>
  <si>
    <t>DNAUV-9.697-307_15</t>
  </si>
  <si>
    <t>DNAUV-9.697-307_16</t>
  </si>
  <si>
    <t>DNAUV-9.697-307_20</t>
  </si>
  <si>
    <t>DNAUV-9.697-307_25</t>
  </si>
  <si>
    <t>DNAUV-9.780-28_10</t>
  </si>
  <si>
    <t>Uncharacterized protein n=1 Tax=Tepidimonas taiwanensis TaxID=307486 RepID=A0A554WZV4_9BURK</t>
  </si>
  <si>
    <t>DNAUV-9.780-28_6</t>
  </si>
  <si>
    <t>DNAUV-9.780-28_7</t>
  </si>
  <si>
    <t>Uncharacterized protein n=1 Tax=Muricauda sp. TMED12 TaxID=1986608 RepID=A0A424LGR6_9FLAO</t>
  </si>
  <si>
    <t>DNAUV-9.780-28_8</t>
  </si>
  <si>
    <t>DNAUV-9.846-39_10</t>
  </si>
  <si>
    <t>DUF2815 family protein n=1 Tax=Cellulosilyticum sp. WCF-2 TaxID=2497860 RepID=A0A5B9YFJ8_9FIRM</t>
  </si>
  <si>
    <t>DNAUV-9.846-39_13</t>
  </si>
  <si>
    <t>Uncharacterized protein n=1 Tax=Bacteroides phage BF503P2 TaxID=2968554 RepID=A0A9Y1MSS4_9CAUD</t>
  </si>
  <si>
    <t>DNAUV-9.846-39_6</t>
  </si>
  <si>
    <t>DNAUV-9.911-12_10</t>
  </si>
  <si>
    <t>Phage tail protein n=1 Tax=Rhizobium sp. (strain CF080) TaxID=1144310 RepID=W6W4S2_RHIS8</t>
  </si>
  <si>
    <t>DNAUV-9.911-12_11</t>
  </si>
  <si>
    <t>Phage tail assembly chaperone n=1 Tax=Pontibaca salina TaxID=2795731 RepID=A0A934HRJ1_9RHOB</t>
  </si>
  <si>
    <t>DNAUV-9.911-12_12</t>
  </si>
  <si>
    <t>DNAUV-9.911-12_14</t>
  </si>
  <si>
    <t>DNAUV-9.911-12_16</t>
  </si>
  <si>
    <t>DNAUV-9.911-12_9</t>
  </si>
  <si>
    <t>Juil.NODE_11_length_5327_cov_4.496017_1</t>
  </si>
  <si>
    <t>Juil.NODE_11_length_5327_cov_4.496017_2</t>
  </si>
  <si>
    <t>Juil.NODE_11_length_5327_cov_4.496017_4</t>
  </si>
  <si>
    <t>Juil.NODE_11_length_5327_cov_4.496017_5</t>
  </si>
  <si>
    <t>Juil.NODE_11_length_5327_cov_4.496017_6</t>
  </si>
  <si>
    <t>Juil.NODE_15_length_4263_cov_5.604800_1</t>
  </si>
  <si>
    <t>Juil.NODE_15_length_4263_cov_5.604800_3</t>
  </si>
  <si>
    <t>Juil.NODE_15_length_4263_cov_5.604800_5</t>
  </si>
  <si>
    <t>Minor tail protein n=1 Tax=Roseobacter phage CRP-6 TaxID=2559285 RepID=A0A646QWL6_9CAUD</t>
  </si>
  <si>
    <t>Juil.NODE_17_length_4186_cov_6.955217_3</t>
  </si>
  <si>
    <t>Uncharacterized protein n=1 Tax=Flavilitoribacter nigricans (strain ATCC 23147 / DSM 23189 / NBRC 102662 / NCIMB 1420 / SS-2) TaxID=1122177 RepID=A0A2D0NEP3_FLAN2</t>
  </si>
  <si>
    <t>Juil.NODE_17_length_4186_cov_6.955217_5</t>
  </si>
  <si>
    <t>Juil.NODE_22_length_3540_cov_4.782496_1</t>
  </si>
  <si>
    <t>Juil.NODE_22_length_3540_cov_4.782496_3</t>
  </si>
  <si>
    <t>Juil.NODE_3_length_12354_cov_19.229368_12</t>
  </si>
  <si>
    <t>Uncharacterized protein n=1 Tax=Ruegeria phage Tedan TaxID=2759200 RepID=A0A7G9V0J9_9CAUD</t>
  </si>
  <si>
    <t>Juil.NODE_3_length_12354_cov_19.229368_14</t>
  </si>
  <si>
    <t>sp|Q8EUD7|RPOA_MALP2 DNA-directed RNA polymerase subunit alpha OS=Malacoplasma penetrans (strain HF-2) OX=272633 GN=rpoA PE=3 SV=1</t>
  </si>
  <si>
    <t>RNA polymerase alpha subunit C-terminal domain-containing protein n=2 Tax=unclassified Mesorhizobium TaxID=325217 RepID=A0A4S0VHI7_9HYPH</t>
  </si>
  <si>
    <t>Juil.NODE_3_length_12354_cov_19.229368_19</t>
  </si>
  <si>
    <t>Juil.NODE_3_length_12354_cov_19.229368_20</t>
  </si>
  <si>
    <t>Uncharacterized protein n=2 Tax=Sphingobium baderi TaxID=1332080 RepID=T0H287_9SPHN</t>
  </si>
  <si>
    <t>Juil.NODE_36_length_3024_cov_5.029303_1</t>
  </si>
  <si>
    <t>Juil.NODE_36_length_3024_cov_5.029303_6</t>
  </si>
  <si>
    <t>Juil.NODE_37_length_3006_cov_4.118943_2</t>
  </si>
  <si>
    <t>Juil.NODE_37_length_3006_cov_4.118943_3</t>
  </si>
  <si>
    <t>Juil.NODE_37_length_3006_cov_4.118943_5</t>
  </si>
  <si>
    <t>Juil.NODE_49_length_2610_cov_5.487280_1</t>
  </si>
  <si>
    <t>PAS domain-containing protein n=1 Tax=Roseobacter phage CRP-6 TaxID=2559285 RepID=A0A646QWJ2_9CAUD</t>
  </si>
  <si>
    <t>Juil.NODE_52_length_2506_cov_3.952264_2</t>
  </si>
  <si>
    <t>sp|P20324|SCAF_BPT3 Capsid assembly scaffolding protein OS=Enterobacteria phage T3 OX=10759 GN=9 PE=3 SV=1</t>
  </si>
  <si>
    <t>VOG00393 [FUNC="sp|P20324|SCAF_BPT3 Capsid assembly scaffolding protein"] [TAG=Xs TAGDEF="Virus structure"]</t>
  </si>
  <si>
    <t>Capsid assembly protein n=1 Tax=Rhizobium phage vB_RleA_TRX32-1 TaxID=2777321 RepID=A0A7T7GRW1_9CAUD</t>
  </si>
  <si>
    <t>Juil.NODE_52_length_2506_cov_3.952264_3</t>
  </si>
  <si>
    <t>sp|P19726|CAPSA_BPT7 Major capsid protein OS=Escherichia phage T7 OX=10760 GN=10 PE=1 SV=1</t>
  </si>
  <si>
    <t>Major capsid protein n=1 Tax=Desulfovibrio sp. 6_1_46AFAA TaxID=665942 RepID=G1UXG0_9BACT</t>
  </si>
  <si>
    <t>Juil.NODE_60_length_2346_cov_2.758621_3</t>
  </si>
  <si>
    <t>Phage tail assembly chaperone protein n=1 Tax=Cereibacter johrii TaxID=445629 RepID=A0A330H0M2_9RHOB</t>
  </si>
  <si>
    <t>Juil.NODE_60_length_2346_cov_2.758621_4</t>
  </si>
  <si>
    <t>Putative tail structural protein n=1 Tax=Roseobacter phage CRP-7 TaxID=2559286 RepID=A0A646QWN6_9CAUD</t>
  </si>
  <si>
    <t>Juil.NODE_61_length_2292_cov_5.665177_1</t>
  </si>
  <si>
    <t>Uncharacterized protein n=2 Tax=Dysgonomonas capnocytophagoides TaxID=45254 RepID=A0A4Y8KW00_9BACT</t>
  </si>
  <si>
    <t>Juil.NODE_61_length_2292_cov_5.665177_2</t>
  </si>
  <si>
    <t>Calcineurin-like phosphoesterase superfamily domain protein n=2 Tax=Nekkelsvirus TaxID=2948836 RepID=A0A8E4UXJ2_9CAUD</t>
  </si>
  <si>
    <t>Juil.NODE_63_length_2268_cov_6.439675_2</t>
  </si>
  <si>
    <t>Juil.NODE_64_length_2247_cov_2.964872_2</t>
  </si>
  <si>
    <t>Juil.NODE_71_length_2150_cov_3.641527_1</t>
  </si>
  <si>
    <t>Juil.NODE_71_length_2150_cov_3.641527_2</t>
  </si>
  <si>
    <t>Juil.NODE_72_length_2134_cov_4.537759_2</t>
  </si>
  <si>
    <t>Uncharacterized protein n=1 Tax=Xanthomonas phage XbC2 TaxID=2978503 RepID=A0A9X9P410_9CAUD</t>
  </si>
  <si>
    <t>Juil.NODE_9_length_5493_cov_6.911548_3</t>
  </si>
  <si>
    <t>Juil.NODE_9_length_5493_cov_6.911548_4</t>
  </si>
  <si>
    <t>Juil.NODE_9_length_5493_cov_6.911548_5</t>
  </si>
  <si>
    <t>Juil.NODE_9_length_5493_cov_6.911548_6</t>
  </si>
  <si>
    <t>Juil.NODE_9_length_5493_cov_6.911548_7</t>
  </si>
  <si>
    <t>Putative endolysin n=1 Tax=Roseobacter phage CRP-9 TaxID=2813174 RepID=A0A8E5F635_9CAUD</t>
  </si>
  <si>
    <t>Mai.NODE_1027_length_2271_cov_2.271661_1</t>
  </si>
  <si>
    <t>NUMOD4 domain-containing protein n=1 Tax=Escherichia phage UB TaxID=2268588 RepID=A0A2Z5H981_9CAUD</t>
  </si>
  <si>
    <t>Mai.NODE_1027_length_2271_cov_2.271661_2</t>
  </si>
  <si>
    <t>Uncharacterized protein n=1 Tax=Falsochrobactrum sp. TDYN1 TaxID=2706015 RepID=A0A949UUH5_9HYPH</t>
  </si>
  <si>
    <t>Mai.NODE_1029_length_2264_cov_4.637392_2</t>
  </si>
  <si>
    <t>Uncharacterized protein n=4 Tax=Mesorhizobium TaxID=68287 RepID=A0A3S9EIY1_9HYPH</t>
  </si>
  <si>
    <t>Mai.NODE_1033_length_2262_cov_3.103308_5</t>
  </si>
  <si>
    <t>Mai.NODE_1053_length_2226_cov_5.347766_2</t>
  </si>
  <si>
    <t>4Fe-4S ferredoxin-type domain-containing protein n=2 Tax=Sanyabayvirus DS1410Ws06 TaxID=2844087 RepID=A0A191VYR3_9CAUD</t>
  </si>
  <si>
    <t>Mai.NODE_1055_length_2225_cov_6.814747_2</t>
  </si>
  <si>
    <t>Mai.NODE_1061_length_2218_cov_7.141008_2</t>
  </si>
  <si>
    <t>Mai.NODE_1070_length_2208_cov_1.995820_4</t>
  </si>
  <si>
    <t>sp|C0HJH8|CAPSD_BPKP2 Major capsid protein OS=Pseudomonas phage KPP25 OX=1462608 GN=ORF017 PE=1 SV=2</t>
  </si>
  <si>
    <t>Major capsid protein n=1 Tax=Rhizobium phage RHph_Y1_10 TaxID=2509570 RepID=A0A7S5RA00_9CAUD</t>
  </si>
  <si>
    <t>Mai.NODE_1072_length_2205_cov_4.455349_1</t>
  </si>
  <si>
    <t>VOG15750 [FUNC="REFSEQ hypothetical protein"] [TAG=Xu TAGDEF="Function unknown"]</t>
  </si>
  <si>
    <t>Uncharacterized protein n=1 Tax=Sphingobium phage Lacusarx TaxID=1980139 RepID=A0A1W6DXB8_9CAUD</t>
  </si>
  <si>
    <t>Mai.NODE_1072_length_2205_cov_4.455349_3</t>
  </si>
  <si>
    <t>Uncharacterized protein n=1 Tax=Alteripontixanthobacter maritimus TaxID=2161824 RepID=A0A369Q4E3_9SPHN</t>
  </si>
  <si>
    <t>Mai.NODE_1076_length_2199_cov_15.528918_4</t>
  </si>
  <si>
    <t>Uncharacterized protein n=1 Tax=Caulobacter phage RW TaxID=2591034 RepID=A0A514AAX5_9CAUD</t>
  </si>
  <si>
    <t>Mai.NODE_1076_length_2199_cov_15.528918_5</t>
  </si>
  <si>
    <t>Tail fiber domain-containing protein n=1 Tax=Azospirillum sp. TSA2s TaxID=709810 RepID=A0A4V1DFI4_9PROT</t>
  </si>
  <si>
    <t>Mai.NODE_1081_length_2192_cov_7.808610_1</t>
  </si>
  <si>
    <t>DUF3127 domain-containing protein n=1 Tax=Cellulophaga phage phi10:1 TaxID=1327981 RepID=S0A1J4_9CAUD</t>
  </si>
  <si>
    <t>Mai.NODE_1081_length_2192_cov_7.808610_2</t>
  </si>
  <si>
    <t>DUF1376 domain-containing protein n=2 Tax=Nekkelsvirus TaxID=2948836 RepID=A0A8E4XZN1_9CAUD</t>
  </si>
  <si>
    <t>Mai.NODE_1082_length_2192_cov_4.933552_4</t>
  </si>
  <si>
    <t>Peptidase S74 domain-containing protein n=1 Tax=Paracoccus haematequi TaxID=2491866 RepID=A0A447IJ72_9RHOB</t>
  </si>
  <si>
    <t>Mai.NODE_1082_length_2192_cov_4.933552_5</t>
  </si>
  <si>
    <t>sp|P39783|XKDD_BACSU Phage-like element PBSX protein XkdD OS=Bacillus subtilis (strain 168) OX=224308 GN=xkdD PE=4 SV=2</t>
  </si>
  <si>
    <t>Uncharacterized protein n=1 Tax=Pseudomonas phage PS-1 TaxID=1573458 RepID=A0A0H5ARN4_9CAUD</t>
  </si>
  <si>
    <t>Mai.NODE_1089_length_2179_cov_4.400659_1</t>
  </si>
  <si>
    <t>Coil containing protein n=2 Tax=unclassified Caudoviricetes TaxID=2788787 RepID=A0A2I7R6Y3_9CAUD</t>
  </si>
  <si>
    <t>Mai.NODE_1099_length_2160_cov_3.775297_3</t>
  </si>
  <si>
    <t>Very-short-patch-repair endonuclease n=1 Tax=Micromonospora carbonacea TaxID=47853 RepID=A0A1C5A2D7_9ACTN</t>
  </si>
  <si>
    <t>Mai.NODE_1101_length_2155_cov_40.975714_1</t>
  </si>
  <si>
    <t>Uncharacterized protein n=1 Tax=Shewanella sp. phage 3/49 TaxID=1458863 RepID=A0A088C427_9CAUD</t>
  </si>
  <si>
    <t>Mai.NODE_1101_length_2155_cov_40.975714_3</t>
  </si>
  <si>
    <t>DUF1064 domain-containing protein n=1 Tax=Sphingomonas desiccabilis TaxID=429134 RepID=A0A4Q2IXG0_9SPHN</t>
  </si>
  <si>
    <t>Mai.NODE_1114_length_2145_cov_2.642584_2</t>
  </si>
  <si>
    <t>Mai.NODE_1135_length_2120_cov_3.249879_3</t>
  </si>
  <si>
    <t>DUF4055 domain-containing protein n=1 Tax=Synechococcus phage S-CBS4 TaxID=756275 RepID=R9TF43_9CAUD</t>
  </si>
  <si>
    <t>Mai.NODE_1135_length_2120_cov_3.249879_4</t>
  </si>
  <si>
    <t>Phage head morphogenesis domain-containing protein n=1 Tax=Leisingera sp. ANG-M1 TaxID=1577895 RepID=A0A0C1HFB7_9RHOB</t>
  </si>
  <si>
    <t>Mai.NODE_1155_length_2099_cov_11.670254_1</t>
  </si>
  <si>
    <t>Uncharacterized protein n=2 Tax=Mesorhizobium kowhaii TaxID=1300272 RepID=A0A2W7BTT1_9HYPH</t>
  </si>
  <si>
    <t>Mai.NODE_1155_length_2099_cov_11.670254_2</t>
  </si>
  <si>
    <t>Terminase small subunit n=1 Tax=Ralstonia phage GP4 TaxID=2282904 RepID=A0A345GTV7_9CAUD</t>
  </si>
  <si>
    <t>Mai.NODE_1157_length_2097_cov_3.357982_2</t>
  </si>
  <si>
    <t>VOG02703 [FUNC="REFSEQ hypothetical protein"] [TAG=Xu TAGDEF="Function unknown"]</t>
  </si>
  <si>
    <t>Mai.NODE_1181_length_2062_cov_3.628799_2</t>
  </si>
  <si>
    <t>Uncharacterized protein n=1 Tax=Phaeobacter phage MD18 TaxID=2723761 RepID=A0A6H1Z6F4_9CAUD</t>
  </si>
  <si>
    <t>Mai.NODE_1181_length_2062_cov_3.628799_3</t>
  </si>
  <si>
    <t>DUF1631 family protein n=1 Tax=Variovorax guangxiensis TaxID=1775474 RepID=A0A3S0ZG01_9BURK</t>
  </si>
  <si>
    <t>Mai.NODE_1192_length_2049_cov_4.548646_4</t>
  </si>
  <si>
    <t>Mai.NODE_1203_length_2032_cov_51.548306_5</t>
  </si>
  <si>
    <t>Uncharacterized protein n=1 Tax=Arthrobacter phage LilHuddy TaxID=2985308 RepID=A0A9X9K4X1_9CAUD</t>
  </si>
  <si>
    <t>Mai.NODE_1203_length_2032_cov_51.548306_7</t>
  </si>
  <si>
    <t>Mai.NODE_1214_length_2024_cov_3.386998_3</t>
  </si>
  <si>
    <t>Uncharacterized protein n=2 Tax=Eubacteriales TaxID=186802 RepID=R6QWX0_9CLOT</t>
  </si>
  <si>
    <t>Mai.NODE_1214_length_2024_cov_3.386998_4</t>
  </si>
  <si>
    <t>Coil containing protein n=1 Tax=Vibrio phage 1.168.O._10N.261.52.A10 TaxID=1881212 RepID=A0A2I7REB9_9CAUD</t>
  </si>
  <si>
    <t>Mai.NODE_1220_length_2017_cov_6.041284_2</t>
  </si>
  <si>
    <t>sp|O64256|VG64_BPMD2 Gene 64 protein OS=Mycobacterium phage D29 OX=28369 GN=64 PE=4 SV=1</t>
  </si>
  <si>
    <t>Uncharacterized protein n=1 Tax=Paenibacillus montaniterrae TaxID=429341 RepID=A0A920CWT3_9BACL</t>
  </si>
  <si>
    <t>Mai.NODE_1228_length_2010_cov_2.518670_2</t>
  </si>
  <si>
    <t>Mai.NODE_1229_length_2007_cov_22.942623_1</t>
  </si>
  <si>
    <t>VOG26922 [FUNC="REFSEQ DNA methyltransferase"] [TAG=Xu TAGDEF="Function unknown"]</t>
  </si>
  <si>
    <t>Uncharacterized protein n=1 Tax=Halomonas cupida TaxID=44933 RepID=A0A1M7KFC4_9GAMM</t>
  </si>
  <si>
    <t>Mai.NODE_140_length_10434_cov_4.998651_1</t>
  </si>
  <si>
    <t>Mai.NODE_140_length_10434_cov_4.998651_2</t>
  </si>
  <si>
    <t>Uncharacterized protein n=1 Tax=Croceibacter phage P2559Y TaxID=1327037 RepID=W8CQP7_9CAUD</t>
  </si>
  <si>
    <t>Mai.NODE_140_length_10434_cov_4.998651_3</t>
  </si>
  <si>
    <t>Phage protein n=1 Tax=Segetibacter aerophilus TaxID=670293 RepID=A0A512B9X8_9BACT</t>
  </si>
  <si>
    <t>Mai.NODE_140_length_10434_cov_4.998651_9</t>
  </si>
  <si>
    <t>Mai.NODE_147_length_9961_cov_24.236220_3</t>
  </si>
  <si>
    <t>Outer membrane protein n=1 Tax=Synechococcus phage S-CAM8 TaxID=754038 RepID=G8EXP4_9CAUD</t>
  </si>
  <si>
    <t>Mai.NODE_155_length_9651_cov_133.830971_5</t>
  </si>
  <si>
    <t>DnaA n=1 Tax=Podoviridae sp. ctviO18 TaxID=2656716 RepID=A0A5Q2W837_9CAUD</t>
  </si>
  <si>
    <t>Mai.NODE_155_length_9651_cov_133.830971_9</t>
  </si>
  <si>
    <t>Uncharacterized protein n=1 Tax=Cyanophage MaMV-DH01 TaxID=2888520 RepID=A0A977J5D3_9CAUD</t>
  </si>
  <si>
    <t>Mai.NODE_170_length_9238_cov_8.755091_4</t>
  </si>
  <si>
    <t>Mai.NODE_170_length_9238_cov_8.755091_6</t>
  </si>
  <si>
    <t>VOG05130 [FUNC="REFSEQ hypothetical protein"] [TAG=Xu TAGDEF="Function unknown"]</t>
  </si>
  <si>
    <t>DUF1351 domain-containing protein n=1 Tax=Carboxylicivirga sediminis TaxID=2006564 RepID=A0A941IVZ1_9BACT</t>
  </si>
  <si>
    <t>Mai.NODE_238_length_6951_cov_4.593677_2</t>
  </si>
  <si>
    <t>Uncharacterized protein n=1 Tax=Croceibacter phage P2559Y TaxID=1327037 RepID=W8CQ18_9CAUD</t>
  </si>
  <si>
    <t>Mai.NODE_238_length_6951_cov_4.593677_3</t>
  </si>
  <si>
    <t>Uncharacterized protein n=1 Tax=Rufibacter quisquiliarum TaxID=1549639 RepID=A0A839GX74_9BACT</t>
  </si>
  <si>
    <t>Mai.NODE_238_length_6951_cov_4.593677_6</t>
  </si>
  <si>
    <t>VOG06012 [FUNC="REFSEQ tail protein"] [TAG=Xu TAGDEF="Function unknown"]</t>
  </si>
  <si>
    <t>Tailspike protein/preneck appendage n=1 Tax=Bacteroides phage crAss001 TaxID=2301731 RepID=A0A385DT71_BPCA1</t>
  </si>
  <si>
    <t>Mai.NODE_242_length_6849_cov_4.604210_11</t>
  </si>
  <si>
    <t>HNH nuclease domain-containing protein n=1 Tax=Mesorhizobium sp. Root172 TaxID=1736481 RepID=A0A0Q8KE13_9HYPH</t>
  </si>
  <si>
    <t>Mai.NODE_242_length_6849_cov_4.604210_5</t>
  </si>
  <si>
    <t>ATPase n=11 Tax=Seuratvirus TaxID=1921553 RepID=A0A0A0RPD2_9CAUD</t>
  </si>
  <si>
    <t>Mai.NODE_242_length_6849_cov_4.604210_9</t>
  </si>
  <si>
    <t>VOG12971 [FUNC="REFSEQ hypothetical protein"] [TAG=Xu TAGDEF="Function unknown"]</t>
  </si>
  <si>
    <t>Gp31 protein n=2 Tax=root TaxID=1 RepID=D4HTX0_9CAUD</t>
  </si>
  <si>
    <t>Mai.NODE_247_length_6791_cov_4.760689_1</t>
  </si>
  <si>
    <t>YqaJ viral recombinase domain-containing protein n=1 Tax=Rhizobium phage RHph_I4 TaxID=2509735 RepID=A0A7S5RNB2_9CAUD</t>
  </si>
  <si>
    <t>Mai.NODE_247_length_6791_cov_4.760689_3</t>
  </si>
  <si>
    <t>Uncharacterized protein n=1 Tax=Luteibacter sp. SG786 TaxID=2587130 RepID=A0A9X5EI86_9GAMM</t>
  </si>
  <si>
    <t>Mai.NODE_285_length_6110_cov_6.752106_4</t>
  </si>
  <si>
    <t>Structural protein n=5 Tax=unclassified Caudoviricetes TaxID=2788787 RepID=M1Q714_9CAUD</t>
  </si>
  <si>
    <t>Mai.NODE_304_length_5671_cov_7.469729_2</t>
  </si>
  <si>
    <t>Large polyvalent protein associated domain-containing protein n=1 Tax=Podoviridae sp. ctg2L5 TaxID=2656712 RepID=A0A5Q2W588_9CAUD</t>
  </si>
  <si>
    <t>Mai.NODE_308_length_5653_cov_4.853876_5</t>
  </si>
  <si>
    <t>Mai.NODE_318_length_5574_cov_4.833303_5</t>
  </si>
  <si>
    <t>VOG13420 [FUNC="REFSEQ tail fiber protein"] [TAG=Xu TAGDEF="Function unknown"]</t>
  </si>
  <si>
    <t>Head decoration protein n=1 Tax=Mesorhizobium sp. J8 TaxID=2777475 RepID=A0A7R7E6H5_9HYPH</t>
  </si>
  <si>
    <t>Mai.NODE_336_length_5221_cov_6.011808_10</t>
  </si>
  <si>
    <t>VOG01877 [FUNC="REFSEQ internal virion protein"] [TAG=Xu TAGDEF="Function unknown"]</t>
  </si>
  <si>
    <t>Uncharacterized protein n=1 Tax=Pelagibius litoralis TaxID=374515 RepID=A0A967C4B6_9HYPH</t>
  </si>
  <si>
    <t>Mai.NODE_336_length_5221_cov_6.011808_5</t>
  </si>
  <si>
    <t>Mai.NODE_336_length_5221_cov_6.011808_7</t>
  </si>
  <si>
    <t>Mai.NODE_336_length_5221_cov_6.011808_8</t>
  </si>
  <si>
    <t>Mai.NODE_336_length_5221_cov_6.011808_9</t>
  </si>
  <si>
    <t>Mai.NODE_347_length_5056_cov_157.014797_10</t>
  </si>
  <si>
    <t>Metallophosphoesterase n=1 Tax=Schlesneria paludicola TaxID=360056 RepID=A0A7C4LL99_9PLAN</t>
  </si>
  <si>
    <t>Mai.NODE_347_length_5056_cov_157.014797_4</t>
  </si>
  <si>
    <t>Mai.NODE_347_length_5056_cov_157.014797_5</t>
  </si>
  <si>
    <t>Mai.NODE_347_length_5056_cov_157.014797_8</t>
  </si>
  <si>
    <t>sp|O34479|YOSQ_BACSU SPbeta prophage-derived putative HNH homing endonuclease YosQ OS=Bacillus subtilis (strain 168) OX=224308 GN=yosQ PE=4 SV=1</t>
  </si>
  <si>
    <t>Mai.NODE_367_length_4816_cov_100.873136_3</t>
  </si>
  <si>
    <t>Mai.NODE_367_length_4816_cov_100.873136_6</t>
  </si>
  <si>
    <t>DUF2612 domain-containing protein n=1 Tax=Puniceicoccus vermicola TaxID=388746 RepID=A0A7X1E409_9BACT</t>
  </si>
  <si>
    <t>Mai.NODE_406_length_4480_cov_4.207910_8</t>
  </si>
  <si>
    <t>LamG-like jellyroll fold domain-containing protein n=1 Tax=Verrucomicrobia phage P8625 TaxID=1636271 RepID=A0A0E3JI88_9CAUD</t>
  </si>
  <si>
    <t>Mai.NODE_412_length_4410_cov_5.075086_5</t>
  </si>
  <si>
    <t>Uncharacterized protein n=1 Tax=Azospirillum thermophilum TaxID=2202148 RepID=A0A2S2CKS1_9PROT</t>
  </si>
  <si>
    <t>Mai.NODE_417_length_4393_cov_4.582296_2</t>
  </si>
  <si>
    <t>DNA primase/helicase n=1 Tax=Bacillus phage SP10 TaxID=941058 RepID=F8WQ11_BPS10</t>
  </si>
  <si>
    <t>Mai.NODE_417_length_4393_cov_4.582296_3</t>
  </si>
  <si>
    <t>Phosphatidylglycerophosphatase A n=2 Tax=root TaxID=1 RepID=A0A831QJ98_9FLAO</t>
  </si>
  <si>
    <t>Mai.NODE_423_length_4328_cov_13.072783_2</t>
  </si>
  <si>
    <t>Uncharacterized protein n=1 Tax=Myoviridae sp. ctwVB15 TaxID=2825208 RepID=A0A8S5UNF3_9CAUD</t>
  </si>
  <si>
    <t>Mai.NODE_429_length_4288_cov_7.569100_4</t>
  </si>
  <si>
    <t>Uncharacterized protein n=1 Tax=Muricauda nanhaiensis TaxID=2292706 RepID=A0A371JNX1_9FLAO</t>
  </si>
  <si>
    <t>Mai.NODE_433_length_4257_cov_5.465017_1</t>
  </si>
  <si>
    <t>Site-specific DNA recombinase n=1 Tax=Nannocystis exedens TaxID=54 RepID=A0A1I2IH02_9BACT</t>
  </si>
  <si>
    <t>Mai.NODE_479_length_3982_cov_4.840845_1</t>
  </si>
  <si>
    <t>Phage portal protein n=2 Tax=unclassified Bacteroides TaxID=2646097 RepID=D7J1U6_9BACE</t>
  </si>
  <si>
    <t>Mai.NODE_479_length_3982_cov_4.840845_2</t>
  </si>
  <si>
    <t>VOG21962 [FUNC="REFSEQ structural protein"] [TAG=Xu TAGDEF="Function unknown"]</t>
  </si>
  <si>
    <t>Uncharacterized protein n=1 Tax=Olleya phage Harreka_1 TaxID=2745673 RepID=A0A8E4ZJ27_9CAUD</t>
  </si>
  <si>
    <t>Mai.NODE_479_length_3982_cov_4.840845_3</t>
  </si>
  <si>
    <t>Phage major capsid protein n=1 Tax=Empedobacter brevis TaxID=247 RepID=A0A6P1G3T9_9FLAO</t>
  </si>
  <si>
    <t>Mai.NODE_479_length_3982_cov_4.840845_4</t>
  </si>
  <si>
    <t>Structural protein n=1 Tax=Polaribacter phage Danklef_1 TaxID=2745646 RepID=A0A8E4ZFG5_9CAUD</t>
  </si>
  <si>
    <t>Mai.NODE_499_length_3863_cov_4.005252_5</t>
  </si>
  <si>
    <t>Uncharacterized protein n=1 Tax=Ruegeria phage 45A6 TaxID=1851646 RepID=A0A1X9HWM4_9CAUD</t>
  </si>
  <si>
    <t>Mai.NODE_516_length_3735_cov_357.217120_3</t>
  </si>
  <si>
    <t>ERF superfamily protein n=1 Tax=Vibrio phage 1.242.O._10N.261.54.B2 TaxID=1881235 RepID=A0A2I7RVB8_9CAUD</t>
  </si>
  <si>
    <t>Mai.NODE_516_length_3735_cov_357.217120_4</t>
  </si>
  <si>
    <t>Mai.NODE_524_length_3696_cov_3.079648_1</t>
  </si>
  <si>
    <t>Putative aminotransferase superfamily protein n=1 Tax=Sinorhizobium phage phiM6 TaxID=2301527 RepID=A0A346HWA0_9CAUD</t>
  </si>
  <si>
    <t>Mai.NODE_524_length_3696_cov_3.079648_2</t>
  </si>
  <si>
    <t>Uncharacterized protein n=1 Tax=Sinorhizobium phage phiM6 TaxID=2301527 RepID=A0A346HW99_9CAUD</t>
  </si>
  <si>
    <t>Mai.NODE_524_length_3696_cov_3.079648_3</t>
  </si>
  <si>
    <t>Amidoligase enzyme n=1 Tax=Rhodovulum sulfidophilum TaxID=35806 RepID=A0A2W5N132_RHOSU</t>
  </si>
  <si>
    <t>Mai.NODE_540_length_3620_cov_4.203086_3</t>
  </si>
  <si>
    <t>Resolvase n=1 Tax=Staphylococcus phage vB_SauM_LM12 TaxID=2070179 RepID=A0A2K9V4H3_9CAUD</t>
  </si>
  <si>
    <t>Mai.NODE_551_length_3573_cov_19.595509_6</t>
  </si>
  <si>
    <t>Uncharacterized protein n=1 Tax=Rhizobium sp. H41 TaxID=1510041 RepID=A0A098RK63_9HYPH</t>
  </si>
  <si>
    <t>Mai.NODE_552_length_3571_cov_22.388225_1</t>
  </si>
  <si>
    <t>Mai.NODE_554_length_3561_cov_4.155733_2</t>
  </si>
  <si>
    <t>Bacteriophage tail sheath protein n=1 Tax=Algoriphagus marincola HL-49 TaxID=1305737 RepID=A0A0P7X4R1_9BACT</t>
  </si>
  <si>
    <t>Mai.NODE_554_length_3561_cov_4.155733_4</t>
  </si>
  <si>
    <t>Mai.NODE_575_length_3505_cov_3.183478_3</t>
  </si>
  <si>
    <t>VOG03697 [FUNC="REFSEQ hypothetical protein"] [TAG=Xu TAGDEF="Function unknown"]</t>
  </si>
  <si>
    <t>Coiled-coil domain-containing protein n=3 Tax=unclassified Mardecavirus TaxID=2315167 RepID=A0A343UTA8_9CAUD</t>
  </si>
  <si>
    <t>Mai.NODE_575_length_3505_cov_3.183478_4</t>
  </si>
  <si>
    <t>Bacteriophage T4 Gp32 single-stranded DNA-binding domain-containing protein n=1 Tax=Vibrio phage vB_VpaS_HCMJ TaxID=2601627 RepID=A0A5C2IEG4_9CAUD</t>
  </si>
  <si>
    <t>Mai.NODE_576_length_3503_cov_17.456787_3</t>
  </si>
  <si>
    <t>VOG18671 [FUNC="REFSEQ hypothetical protein"] [TAG=Xu TAGDEF="Function unknown"]</t>
  </si>
  <si>
    <t>Endonuclease n=4 Tax=Shapirovirus cbk TaxID=1204537 RepID=K4JNN4_9CAUD</t>
  </si>
  <si>
    <t>Mai.NODE_580_length_3496_cov_5.572799_1</t>
  </si>
  <si>
    <t>Mai.NODE_580_length_3496_cov_5.572799_4</t>
  </si>
  <si>
    <t>Mai.NODE_580_length_3496_cov_5.572799_5</t>
  </si>
  <si>
    <t>Mai.NODE_583_length_3484_cov_13.392534_1</t>
  </si>
  <si>
    <t>DNA-binding protein n=1 Tax=Georhizobium profundi TaxID=2341112 RepID=A0A3S9B7E3_9HYPH</t>
  </si>
  <si>
    <t>Mai.NODE_594_length_3431_cov_3.930095_1</t>
  </si>
  <si>
    <t>Mai.NODE_597_length_3414_cov_4.090801_3</t>
  </si>
  <si>
    <t>Mai.NODE_604_length_3385_cov_4.188889_4</t>
  </si>
  <si>
    <t>SsDNA binding protein n=1 Tax=Lentibacter virus vB_LenP_ICBM2 TaxID=2301529 RepID=A0A3G2YRP5_9CAUD</t>
  </si>
  <si>
    <t>Mai.NODE_604_length_3385_cov_4.188889_5</t>
  </si>
  <si>
    <t>Mai.NODE_604_length_3385_cov_4.188889_6</t>
  </si>
  <si>
    <t>Mai.NODE_613_length_3342_cov_6.057499_1</t>
  </si>
  <si>
    <t>Large polyvalent protein associated domain-containing protein n=1 Tax=Mesorhizobium sp. LSHC420B00 TaxID=1287292 RepID=V7FHU5_9HYPH</t>
  </si>
  <si>
    <t>Mai.NODE_613_length_3342_cov_6.057499_3</t>
  </si>
  <si>
    <t>Mai.NODE_618_length_3333_cov_6.574131_1</t>
  </si>
  <si>
    <t>Mai.NODE_618_length_3333_cov_6.574131_2</t>
  </si>
  <si>
    <t>Phage-like element PBSX protein XkdF domain-containing protein n=1 Tax=Chitinophaga cymbidii TaxID=1096750 RepID=A0A512RIN2_9BACT</t>
  </si>
  <si>
    <t>Mai.NODE_62_length_23274_cov_154.731599_17</t>
  </si>
  <si>
    <t>Mai.NODE_62_length_23274_cov_154.731599_26</t>
  </si>
  <si>
    <t>Mai.NODE_62_length_23274_cov_154.731599_30</t>
  </si>
  <si>
    <t>Mai.NODE_62_length_23274_cov_154.731599_6</t>
  </si>
  <si>
    <t>Mai.NODE_637_length_3269_cov_95.570006_5</t>
  </si>
  <si>
    <t>VOG21062 [FUNC="REFSEQ hypothetical protein"] [TAG=Xu TAGDEF="Function unknown"]</t>
  </si>
  <si>
    <t>Uncharacterized protein gp74 n=1 Tax=EBPR siphovirus 2 TaxID=1048521 RepID=F8TV94_9CAUD</t>
  </si>
  <si>
    <t>Mai.NODE_637_length_3269_cov_95.570006_6</t>
  </si>
  <si>
    <t>LamG domain-containing protein n=1 Tax=Mesorhizobium sp. M1A.F.Ca.IN.022.07.1.1 TaxID=2496767 RepID=A0A5Q8CD47_9HYPH</t>
  </si>
  <si>
    <t>Mai.NODE_643_length_3249_cov_13.837195_2</t>
  </si>
  <si>
    <t>Mai.NODE_643_length_3249_cov_13.837195_3</t>
  </si>
  <si>
    <t>Mai.NODE_643_length_3249_cov_13.837195_4</t>
  </si>
  <si>
    <t>Mai.NODE_645_length_3242_cov_3.201443_2</t>
  </si>
  <si>
    <t>Uncharacterized protein n=1 Tax=Albimonas pacifica TaxID=1114924 RepID=A0A1I3FV33_9RHOB</t>
  </si>
  <si>
    <t>Mai.NODE_66_length_21551_cov_17.455759_12</t>
  </si>
  <si>
    <t>Tail tubular protein n=1 Tax=Siphoviridae sp. ct7Qv4 TaxID=2827786 RepID=A0A8S5SNQ1_9CAUD</t>
  </si>
  <si>
    <t>Mai.NODE_66_length_21551_cov_17.455759_13</t>
  </si>
  <si>
    <t>Stabilization protein n=1 Tax=Siphoviridae sp. ct7Qv4 TaxID=2827786 RepID=A0A8S5SMX4_9CAUD</t>
  </si>
  <si>
    <t>Mai.NODE_66_length_21551_cov_17.455759_16</t>
  </si>
  <si>
    <t>LPD22 domain-containing protein n=1 Tax=Brugia timori TaxID=42155 RepID=A0A0R3Q2Z1_9BILA</t>
  </si>
  <si>
    <t>Mai.NODE_66_length_21551_cov_17.455759_20</t>
  </si>
  <si>
    <t>Metallophosphoesterase n=1 Tax=Cellulophaga phage phi14:2 TaxID=1327990 RepID=S0A059_9CAUD</t>
  </si>
  <si>
    <t>Mai.NODE_66_length_21551_cov_17.455759_4</t>
  </si>
  <si>
    <t>Acetyltransferase n=1 Tax=Siphoviridae sp. ct7Qv4 TaxID=2827786 RepID=A0A8S5SNE4_9CAUD</t>
  </si>
  <si>
    <t>Mai.NODE_66_length_21551_cov_17.455759_5</t>
  </si>
  <si>
    <t>sp|Q7Y5P0|PORTL_BPSP6 Portal protein OS=Enterobacteria phage SP6 OX=2907955 GN=30 PE=3 SV=1</t>
  </si>
  <si>
    <t>Head to tail connecting protein n=1 Tax=Siphoviridae sp. ct7Qv4 TaxID=2827786 RepID=A0A8S5SML5_9CAUD</t>
  </si>
  <si>
    <t>Mai.NODE_66_length_21551_cov_17.455759_8</t>
  </si>
  <si>
    <t>Phage major capsid protein n=1 Tax=Planctomyces bekefii TaxID=1653850 RepID=A0A5C6M7L8_9PLAN</t>
  </si>
  <si>
    <t>Mai.NODE_66_length_21551_cov_17.455759_9</t>
  </si>
  <si>
    <t>Uncharacterized protein n=1 Tax=Siphoviridae sp. ct7Qv4 TaxID=2827786 RepID=A0A8S5SMN7_9CAUD</t>
  </si>
  <si>
    <t>Mai.NODE_675_length_3126_cov_5.570824_3</t>
  </si>
  <si>
    <t>Calcineurin-like phosphoesterase domain-containing protein n=1 Tax=Poriferisphaera corsica TaxID=2528020 RepID=A0A517YVK8_9BACT</t>
  </si>
  <si>
    <t>Mai.NODE_680_length_3105_cov_4.120984_3</t>
  </si>
  <si>
    <t>Coil containing protein n=1 Tax=Vibrio phage 1.264.O._10N.286.51.F2 TaxID=1881447 RepID=A0A2I7S0D2_9CAUD</t>
  </si>
  <si>
    <t>Mai.NODE_681_length_3097_cov_5.750822_3</t>
  </si>
  <si>
    <t>Mai.NODE_752_length_2865_cov_4.644840_1</t>
  </si>
  <si>
    <t>Mai.NODE_752_length_2865_cov_4.644840_2</t>
  </si>
  <si>
    <t>Mai.NODE_752_length_2865_cov_4.644840_3</t>
  </si>
  <si>
    <t>Minor tail protein n=1 Tax=Leptolyngbya boryana NIES-2135 TaxID=1973484 RepID=A0A1Z4JQC0_LEPBY</t>
  </si>
  <si>
    <t>Mai.NODE_752_length_2865_cov_4.644840_4</t>
  </si>
  <si>
    <t>Uncharacterized protein n=1 Tax=Nostoc punctiforme NIES-2108 TaxID=1356359 RepID=A0A367RDK0_NOSPU</t>
  </si>
  <si>
    <t>Mai.NODE_753_length_2863_cov_8.631766_1</t>
  </si>
  <si>
    <t>Mai.NODE_753_length_2863_cov_8.631766_2</t>
  </si>
  <si>
    <t>Mai.NODE_766_length_2815_cov_6.507246_1</t>
  </si>
  <si>
    <t>Uncharacterized protein n=1 Tax=Pelagibius litoralis TaxID=374515 RepID=A0A967F3E6_9HYPH</t>
  </si>
  <si>
    <t>Mai.NODE_766_length_2815_cov_6.507246_2</t>
  </si>
  <si>
    <t>Major capsid protein, N4-gp56 family n=1 Tax=Pelagibius litoralis TaxID=374515 RepID=A0A967F3X6_9HYPH</t>
  </si>
  <si>
    <t>Mai.NODE_779_length_2784_cov_3.198241_5</t>
  </si>
  <si>
    <t>Mai.NODE_807_length_2719_cov_4.787913_3</t>
  </si>
  <si>
    <t>Uncharacterized protein n=1 Tax=Paracoccus sp. SMMA_5_TC TaxID=2654280 RepID=A0A7X2TI79_9RHOB</t>
  </si>
  <si>
    <t>Mai.NODE_808_length_2716_cov_4.230740_4</t>
  </si>
  <si>
    <t>VOG17999 [FUNC="REFSEQ hypothetical protein"] [TAG=Xu TAGDEF="Function unknown"]</t>
  </si>
  <si>
    <t>Uncharacterized protein n=1 Tax=Gordonia jinhuaensis TaxID=1517702 RepID=A0A916SY47_9ACTN</t>
  </si>
  <si>
    <t>Mai.NODE_820_length_2687_cov_7.629939_6</t>
  </si>
  <si>
    <t>VOG08919 [FUNC="REFSEQ transposase"] [TAG=Xu TAGDEF="Function unknown"]</t>
  </si>
  <si>
    <t>Transposase n=2 Tax=Fromanvirus TaxID=186764 RepID=Q5J5F2_9CAUD</t>
  </si>
  <si>
    <t>Mai.NODE_837_length_2643_cov_6.101623_2</t>
  </si>
  <si>
    <t>RIIB protector from prophage-induced early lysis n=1 Tax=Acinetobacter phage vB_AbaM_PhT2 TaxID=2690230 RepID=A0A6B9SVP8_9CAUD</t>
  </si>
  <si>
    <t>Mai.NODE_837_length_2643_cov_6.101623_3</t>
  </si>
  <si>
    <t>CMP/dCMP-type deaminase domain-containing protein n=1 Tax=Richelia sp. RM2_1_2 TaxID=2720436 RepID=A0A969MLG7_9NOST</t>
  </si>
  <si>
    <t>Mai.NODE_844_length_2619_cov_4.427847_2</t>
  </si>
  <si>
    <t>Putative DNA helicase n=1 Tax=Siphoviridae sp. ctdEk19 TaxID=2656720 RepID=A0A5Q2W7S6_9CAUD</t>
  </si>
  <si>
    <t>Mai.NODE_863_length_2587_cov_5.518167_1</t>
  </si>
  <si>
    <t>VRR-NUC domain-containing protein n=1 Tax=Sulfitobacter phage pCB2047-C TaxID=754043 RepID=M4NUV2_9CAUD</t>
  </si>
  <si>
    <t>Mai.NODE_869_length_2581_cov_8.813143_1</t>
  </si>
  <si>
    <t>sp|P68652|NINB_BPP21 Protein ninB OS=Enterobacteria phage P21 OX=10711 GN=ninB PE=3 SV=1</t>
  </si>
  <si>
    <t>NinB family protein n=1 Tax=Sinorhizobium phage phiLM21 TaxID=1524882 RepID=A0A076GCY8_9CAUD</t>
  </si>
  <si>
    <t>Mai.NODE_869_length_2581_cov_8.813143_4</t>
  </si>
  <si>
    <t>Tyrosine-type recombinase/integrase n=1 Tax=Rhizobium daejeonense TaxID=240521 RepID=A0A6M1RXU7_9HYPH</t>
  </si>
  <si>
    <t>Mai.NODE_877_length_2567_cov_2.630971_3</t>
  </si>
  <si>
    <t>Mai.NODE_877_length_2567_cov_2.630971_6</t>
  </si>
  <si>
    <t>Uncharacterized protein n=1 Tax=Oceanicaulis sp. HTCC2633 TaxID=314254 RepID=A3UIV5_9PROT</t>
  </si>
  <si>
    <t>Mai.NODE_902_length_2500_cov_3.598773_5</t>
  </si>
  <si>
    <t>Mai.NODE_933_length_2432_cov_340.477493_1</t>
  </si>
  <si>
    <t>Scaffolding protein n=1 Tax=Aureimonas pseudogalii TaxID=1744844 RepID=A0A7W6H3I3_9HYPH</t>
  </si>
  <si>
    <t>Mai.NODE_933_length_2432_cov_340.477493_2</t>
  </si>
  <si>
    <t>Major capsid protein n=1 Tax=Rhizobium phage RHph_I1_23 TaxID=2509727 RepID=A0A7S5V2B5_9CAUD</t>
  </si>
  <si>
    <t>Mai.NODE_936_length_2429_cov_4.069082_2</t>
  </si>
  <si>
    <t>VOG07330 [FUNC="REFSEQ hypothetical protein"] [TAG=Xu TAGDEF="Function unknown"]</t>
  </si>
  <si>
    <t>Uncharacterized protein n=1 Tax=Siphoviridae sp. ctHMI2 TaxID=2826231 RepID=A0A8S5MJ71_9CAUD</t>
  </si>
  <si>
    <t>Mai.NODE_938_length_2423_cov_4.543497_5</t>
  </si>
  <si>
    <t>Uncharacterized protein n=1 Tax=Deinococcus phoenicis TaxID=1476583 RepID=A0A016QM66_9DEIO</t>
  </si>
  <si>
    <t>Mai.NODE_938_length_2423_cov_4.543497_6</t>
  </si>
  <si>
    <t>Single strand-annealing protein n=1 Tax=Octadecabacter Antarctic DB virus 2 TaxID=2945129 RepID=A0A9E7J7C6_9VIRU</t>
  </si>
  <si>
    <t>Mai.NODE_943_length_2410_cov_4.144798_1</t>
  </si>
  <si>
    <t>Uncharacterized protein n=2 Tax=Gluconacetobacter diazotrophicus TaxID=33996 RepID=A9H7C3_GLUDA</t>
  </si>
  <si>
    <t>Mai.NODE_943_length_2410_cov_4.144798_2</t>
  </si>
  <si>
    <t>Exo-alpha-sialidase n=1 Tax=Denitrobaculum tricleocarpae TaxID=2591009 RepID=A0A545TSX8_9PROT</t>
  </si>
  <si>
    <t>Mai.NODE_961_length_2372_cov_3.748813_2</t>
  </si>
  <si>
    <t>Uncharacterized protein n=1 Tax=Tenacibaculum phage Gundel_1 TaxID=2745672 RepID=A0A8E4ZDW8_9CAUD</t>
  </si>
  <si>
    <t>Mai.NODE_969_length_2355_cov_3.498261_6</t>
  </si>
  <si>
    <t>Bacteriophage Mu GpT domain-containing protein n=1 Tax=Caulobacter phage RW TaxID=2591034 RepID=A0A514AB00_9CAUD</t>
  </si>
  <si>
    <t>Mai.NODE_998_length_2317_cov_12.183024_1</t>
  </si>
  <si>
    <t>Uncharacterized protein n=1 Tax=Devosia pacifica TaxID=1335967 RepID=A0A918S6F3_9HYPH</t>
  </si>
  <si>
    <t>Oct.NODE_104_length_18061_cov_4.720593_10</t>
  </si>
  <si>
    <t>Oct.NODE_104_length_18061_cov_4.720593_13</t>
  </si>
  <si>
    <t>Oct.NODE_104_length_18061_cov_4.720593_2</t>
  </si>
  <si>
    <t>Oct.NODE_104_length_18061_cov_4.720593_21</t>
  </si>
  <si>
    <t>RNA polymerase RNAP1 subunit A n=1 Tax=Escherichia phage EC1-UPM TaxID=1258572 RepID=M9PIW2_9CAUD</t>
  </si>
  <si>
    <t>Oct.NODE_104_length_18061_cov_4.720593_22</t>
  </si>
  <si>
    <t>Oct.NODE_104_length_18061_cov_4.720593_23</t>
  </si>
  <si>
    <t>Oct.NODE_104_length_18061_cov_4.720593_25</t>
  </si>
  <si>
    <t>Oct.NODE_104_length_18061_cov_4.720593_26</t>
  </si>
  <si>
    <t>Oct.NODE_104_length_18061_cov_4.720593_3</t>
  </si>
  <si>
    <t>Oct.NODE_104_length_18061_cov_4.720593_4</t>
  </si>
  <si>
    <t>Oct.NODE_104_length_18061_cov_4.720593_6</t>
  </si>
  <si>
    <t>Oct.NODE_104_length_18061_cov_4.720593_7</t>
  </si>
  <si>
    <t>Oct.NODE_104_length_18061_cov_4.720593_8</t>
  </si>
  <si>
    <t>Oct.NODE_1042_length_3017_cov_5.475692_4</t>
  </si>
  <si>
    <t>Gp58 n=1 Tax=Burkholderia phage BcepB1A TaxID=279530 RepID=Q6IWS3_9CAUD</t>
  </si>
  <si>
    <t>Oct.NODE_1042_length_3017_cov_5.475692_6</t>
  </si>
  <si>
    <t>Oct.NODE_1042_length_3017_cov_5.475692_7</t>
  </si>
  <si>
    <t>Uncharacterized protein n=1 Tax=Ralstonia phage phiRSL1 TaxID=1980924 RepID=B2ZXU6_9CAUD</t>
  </si>
  <si>
    <t>Oct.NODE_1065_length_2995_cov_3.167347_3</t>
  </si>
  <si>
    <t>Oct.NODE_1074_length_2984_cov_5.247183_2</t>
  </si>
  <si>
    <t>Oct.NODE_108_length_17648_cov_6.645257_1</t>
  </si>
  <si>
    <t>Oct.NODE_108_length_17648_cov_6.645257_10</t>
  </si>
  <si>
    <t>Oct.NODE_108_length_17648_cov_6.645257_11</t>
  </si>
  <si>
    <t>Oct.NODE_108_length_17648_cov_6.645257_12</t>
  </si>
  <si>
    <t>Oct.NODE_108_length_17648_cov_6.645257_15</t>
  </si>
  <si>
    <t>Oct.NODE_108_length_17648_cov_6.645257_16</t>
  </si>
  <si>
    <t>Oct.NODE_108_length_17648_cov_6.645257_17</t>
  </si>
  <si>
    <t>Oct.NODE_108_length_17648_cov_6.645257_18</t>
  </si>
  <si>
    <t>Oct.NODE_108_length_17648_cov_6.645257_19</t>
  </si>
  <si>
    <t>Oct.NODE_108_length_17648_cov_6.645257_2</t>
  </si>
  <si>
    <t>Oct.NODE_108_length_17648_cov_6.645257_20</t>
  </si>
  <si>
    <t>Oct.NODE_108_length_17648_cov_6.645257_21</t>
  </si>
  <si>
    <t>Oct.NODE_108_length_17648_cov_6.645257_7</t>
  </si>
  <si>
    <t>Oct.NODE_1081_length_2974_cov_3.416581_2</t>
  </si>
  <si>
    <t>Uncharacterized protein n=1 Tax=Phaeobacter gallaeciensis DSM 26640 TaxID=1423144 RepID=V9WJF4_9RHOB</t>
  </si>
  <si>
    <t>Oct.NODE_1086_length_2965_cov_6.305842_2</t>
  </si>
  <si>
    <t>Chitin-binding type-3 domain-containing protein n=1 Tax=Xylophilus sp. Leaf220 TaxID=1735686 RepID=A0A0Q4H0N5_9BURK</t>
  </si>
  <si>
    <t>Oct.NODE_1096_length_2954_cov_2.932390_3</t>
  </si>
  <si>
    <t>Oct.NODE_1096_length_2954_cov_2.932390_4</t>
  </si>
  <si>
    <t>Oct.NODE_1134_length_2894_cov_32.028883_2</t>
  </si>
  <si>
    <t>Oct.NODE_1158_length_2858_cov_3.826258_6</t>
  </si>
  <si>
    <t>Oxidoreductase n=1 Tax=Paraburkholderia fungorum TaxID=134537 RepID=A0A1H1IJL4_9BURK</t>
  </si>
  <si>
    <t>Oct.NODE_1159_length_2856_cov_9.287754_1</t>
  </si>
  <si>
    <t>Oct.NODE_1159_length_2856_cov_9.287754_2</t>
  </si>
  <si>
    <t>Oct.NODE_1159_length_2856_cov_9.287754_4</t>
  </si>
  <si>
    <t>Oct.NODE_1177_length_2826_cov_3.725370_1</t>
  </si>
  <si>
    <t>Endonuclease n=1 Tax=Roseobacter phage CRP-5 TaxID=2559284 RepID=A0A646QWB1_9CAUD</t>
  </si>
  <si>
    <t>Oct.NODE_1177_length_2826_cov_3.725370_2</t>
  </si>
  <si>
    <t>Uncharacterized protein n=1 Tax=Roseobacter phage CRP-5 TaxID=2559284 RepID=A0A646QWS6_9CAUD</t>
  </si>
  <si>
    <t>Oct.NODE_1177_length_2826_cov_3.725370_4</t>
  </si>
  <si>
    <t>Oct.NODE_1180_length_2817_cov_3.602824_3</t>
  </si>
  <si>
    <t>Terminase small subunit n=1 Tax=Desulfohalobium retbaense (strain ATCC 49708 / DSM 5692 / JCM 16813 / HR100) TaxID=485915 RepID=C8X3A0_DESRD</t>
  </si>
  <si>
    <t>Oct.NODE_1185_length_2814_cov_7.513592_2</t>
  </si>
  <si>
    <t>VOG09644 [FUNC="REFSEQ hypothetical protein"] [TAG=Xu TAGDEF="Function unknown"]</t>
  </si>
  <si>
    <t>Uncharacterized protein n=2 Tax=Cellulophaga phage phi18:1 TaxID=1327982 RepID=S0A4N6_9CAUD</t>
  </si>
  <si>
    <t>Oct.NODE_1193_length_2810_cov_29.516515_3</t>
  </si>
  <si>
    <t>VOG00987 [FUNC="sp|Q5UQL9|YR423_MIMIV Uncharacterized protein R423"] [TAG=Xu TAGDEF="Function unknown"]</t>
  </si>
  <si>
    <t>Uncharacterized protein n=1 Tax=Bacillus phage vB_BceM_WH1 TaxID=2795294 RepID=A0A7R7J3F8_9CAUD</t>
  </si>
  <si>
    <t>Oct.NODE_12_length_43814_cov_20.924267_1</t>
  </si>
  <si>
    <t>Oct.NODE_12_length_43814_cov_20.924267_20</t>
  </si>
  <si>
    <t>Oct.NODE_12_length_43814_cov_20.924267_21</t>
  </si>
  <si>
    <t>Oct.NODE_12_length_43814_cov_20.924267_22</t>
  </si>
  <si>
    <t>Oct.NODE_12_length_43814_cov_20.924267_23</t>
  </si>
  <si>
    <t>Oct.NODE_12_length_43814_cov_20.924267_26</t>
  </si>
  <si>
    <t>AttH domain-containing protein n=1 Tax=Cellulomonas persica TaxID=76861 RepID=A0A510URR5_9CELL</t>
  </si>
  <si>
    <t>Oct.NODE_12_length_43814_cov_20.924267_27</t>
  </si>
  <si>
    <t>Oct.NODE_12_length_43814_cov_20.924267_28</t>
  </si>
  <si>
    <t>Putative terminase small subunit n=1 Tax=Escherichia phage Halfdan TaxID=2234092 RepID=A0A2Z5H3A4_9CAUD</t>
  </si>
  <si>
    <t>Oct.NODE_12_length_43814_cov_20.924267_3</t>
  </si>
  <si>
    <t>Uncharacterized protein n=2 Tax=Septimatrevirus TaxID=1921544 RepID=H6WU23_9CAUD</t>
  </si>
  <si>
    <t>Oct.NODE_12_length_43814_cov_20.924267_30</t>
  </si>
  <si>
    <t>Oct.NODE_12_length_43814_cov_20.924267_32</t>
  </si>
  <si>
    <t>Oct.NODE_12_length_43814_cov_20.924267_34</t>
  </si>
  <si>
    <t>Oct.NODE_12_length_43814_cov_20.924267_36</t>
  </si>
  <si>
    <t>Oct.NODE_12_length_43814_cov_20.924267_37</t>
  </si>
  <si>
    <t>Oct.NODE_12_length_43814_cov_20.924267_38</t>
  </si>
  <si>
    <t>Oct.NODE_12_length_43814_cov_20.924267_39</t>
  </si>
  <si>
    <t>Oct.NODE_12_length_43814_cov_20.924267_4</t>
  </si>
  <si>
    <t>Oct.NODE_12_length_43814_cov_20.924267_40</t>
  </si>
  <si>
    <t>Oct.NODE_12_length_43814_cov_20.924267_41</t>
  </si>
  <si>
    <t>Oct.NODE_12_length_43814_cov_20.924267_5</t>
  </si>
  <si>
    <t>SsDNA-binding protein n=1 Tax=Alteromonas phage vB_AcoS-R7M TaxID=2729541 RepID=A0A6M3YP80_9CAUD</t>
  </si>
  <si>
    <t>Oct.NODE_12_length_43814_cov_20.924267_6</t>
  </si>
  <si>
    <t>Oct.NODE_12_length_43814_cov_20.924267_8</t>
  </si>
  <si>
    <t>Oct.NODE_120_length_15339_cov_5.617051_11</t>
  </si>
  <si>
    <t>Oct.NODE_120_length_15339_cov_5.617051_12</t>
  </si>
  <si>
    <t>Oct.NODE_120_length_15339_cov_5.617051_13</t>
  </si>
  <si>
    <t>Oct.NODE_120_length_15339_cov_5.617051_14</t>
  </si>
  <si>
    <t>Oct.NODE_120_length_15339_cov_5.617051_15</t>
  </si>
  <si>
    <t>Oct.NODE_120_length_15339_cov_5.617051_16</t>
  </si>
  <si>
    <t>Uncharacterized protein n=1 Tax=Parabacteroides distasonis TaxID=823 RepID=A0A7K0GPP8_9BACT</t>
  </si>
  <si>
    <t>Oct.NODE_120_length_15339_cov_5.617051_18</t>
  </si>
  <si>
    <t>Oct.NODE_120_length_15339_cov_5.617051_19</t>
  </si>
  <si>
    <t>Oct.NODE_120_length_15339_cov_5.617051_20</t>
  </si>
  <si>
    <t>Oct.NODE_120_length_15339_cov_5.617051_22</t>
  </si>
  <si>
    <t>Oct.NODE_120_length_15339_cov_5.617051_7</t>
  </si>
  <si>
    <t>Oct.NODE_1221_length_2766_cov_30.631501_3</t>
  </si>
  <si>
    <t>Oct.NODE_1226_length_2764_cov_3.375046_3</t>
  </si>
  <si>
    <t>Head-tail connector n=1 Tax=Methylophilales phage MEP301 TaxID=2806696 RepID=A0A894JXP9_9CAUD</t>
  </si>
  <si>
    <t>Oct.NODE_124_length_14767_cov_18.698341_1</t>
  </si>
  <si>
    <t>Oct.NODE_124_length_14767_cov_18.698341_10</t>
  </si>
  <si>
    <t>Oct.NODE_124_length_14767_cov_18.698341_11</t>
  </si>
  <si>
    <t>Oct.NODE_124_length_14767_cov_18.698341_13</t>
  </si>
  <si>
    <t>Oct.NODE_124_length_14767_cov_18.698341_3</t>
  </si>
  <si>
    <t>HNH nuclease domain-containing protein n=5 Tax=root TaxID=1 RepID=R9RF98_9CAUD</t>
  </si>
  <si>
    <t>Oct.NODE_124_length_14767_cov_18.698341_8</t>
  </si>
  <si>
    <t>Oct.NODE_124_length_14767_cov_18.698341_9</t>
  </si>
  <si>
    <t>Oct.NODE_126_length_14630_cov_10.497976_11</t>
  </si>
  <si>
    <t>Bacteriophage Mu GpT domain-containing protein n=1 Tax=Pueribacillus theae TaxID=2171751 RepID=A0A2U1K0P3_9BACI</t>
  </si>
  <si>
    <t>Oct.NODE_126_length_14630_cov_10.497976_13</t>
  </si>
  <si>
    <t>Uncharacterized protein n=1 Tax=Devosia sp. A8/3-2 TaxID=2978393 RepID=A0A977X7V1_9HYPH</t>
  </si>
  <si>
    <t>Oct.NODE_126_length_14630_cov_10.497976_18</t>
  </si>
  <si>
    <t>Pectate lyase superfamily protein domain-containing protein n=1 Tax=Pseudomonas edaphica TaxID=2006980 RepID=A0A7Y8FTJ5_9PSED</t>
  </si>
  <si>
    <t>Oct.NODE_126_length_14630_cov_10.497976_5</t>
  </si>
  <si>
    <t>Oct.NODE_1287_length_2686_cov_6.437476_4</t>
  </si>
  <si>
    <t>Oct.NODE_1290_length_2685_cov_4.752852_2</t>
  </si>
  <si>
    <t>Oct.NODE_1326_length_2638_cov_25.454897_1</t>
  </si>
  <si>
    <t>Oct.NODE_1326_length_2638_cov_25.454897_2</t>
  </si>
  <si>
    <t>HNH nuclease domain-containing protein n=1 Tax=Rhodococcus sp. 15-2388-1-1a TaxID=2023142 RepID=A0A260S5A4_9NOCA</t>
  </si>
  <si>
    <t>Oct.NODE_133_length_14145_cov_13.486231_1</t>
  </si>
  <si>
    <t>Oct.NODE_133_length_14145_cov_13.486231_9</t>
  </si>
  <si>
    <t>Oct.NODE_1340_length_2617_cov_10.218970_3</t>
  </si>
  <si>
    <t>Oct.NODE_1340_length_2617_cov_10.218970_4</t>
  </si>
  <si>
    <t>Oct.NODE_1342_length_2616_cov_13.973448_4</t>
  </si>
  <si>
    <t>Uncharacterized protein n=1 Tax=Sinorhizobium phage AP-16-3 TaxID=2985443 RepID=A0A9X9P1I2_9CAUD</t>
  </si>
  <si>
    <t>Oct.NODE_1348_length_2608_cov_3.119859_2</t>
  </si>
  <si>
    <t>T4 RNA ligase 1-like N-terminal domain-containing protein n=1 Tax=Richelia sp. RM2_1_2 TaxID=2720436 RepID=A0A969SRQ3_9NOST</t>
  </si>
  <si>
    <t>Oct.NODE_1348_length_2608_cov_3.119859_3</t>
  </si>
  <si>
    <t>Putative homing endonuclease n=1 Tax=Proteus phage phiP4-3 TaxID=2065203 RepID=A0A2I6PF97_9CAUD</t>
  </si>
  <si>
    <t>Oct.NODE_1350_length_2605_cov_4.583137_1</t>
  </si>
  <si>
    <t>Oct.NODE_1350_length_2605_cov_4.583137_2</t>
  </si>
  <si>
    <t>Baseplate wedge subunit n=1 Tax=Ochrobactrum phage vB_OspM_OC TaxID=2712956 RepID=A0A6G6XWH6_9CAUD</t>
  </si>
  <si>
    <t>Oct.NODE_1358_length_2598_cov_4.305545_3</t>
  </si>
  <si>
    <t>Oct.NODE_1361_length_2596_cov_3.403384_1</t>
  </si>
  <si>
    <t>Uncharacterized protein n=1 Tax=Lentibacter virus vB_LenP_ICBM2 TaxID=2301529 RepID=A0A3G2YRQ8_9CAUD</t>
  </si>
  <si>
    <t>Oct.NODE_1361_length_2596_cov_3.403384_3</t>
  </si>
  <si>
    <t>Oct.NODE_1361_length_2596_cov_3.403384_4</t>
  </si>
  <si>
    <t>Oct.NODE_138_length_13955_cov_5.438777_1</t>
  </si>
  <si>
    <t>Tail tubular protein B n=1 Tax=Pelagibacter phage HTVC025P TaxID=2259657 RepID=A0A4Y1NU56_9CAUD</t>
  </si>
  <si>
    <t>Oct.NODE_138_length_13955_cov_5.438777_3</t>
  </si>
  <si>
    <t>N-acetyltransferase n=1 Tax=Klebsiella pneumoniae TaxID=573 RepID=A0A377Y6B0_KLEPN</t>
  </si>
  <si>
    <t>Oct.NODE_138_length_13955_cov_5.438777_5</t>
  </si>
  <si>
    <t>Oct.NODE_138_length_13955_cov_5.438777_6</t>
  </si>
  <si>
    <t>Internal virion protein n=1 Tax=Caulobacter phage Lullwater TaxID=2024607 RepID=A0A291LBA4_9CAUD</t>
  </si>
  <si>
    <t>Oct.NODE_138_length_13955_cov_5.438777_7</t>
  </si>
  <si>
    <t>Tail fiber n=1 Tax=Pelagibacter phage HTVC025P TaxID=2259657 RepID=A0A4Y1NU61_9CAUD</t>
  </si>
  <si>
    <t>Oct.NODE_138_length_13955_cov_5.438777_8</t>
  </si>
  <si>
    <t>PA14 domain-containing protein n=1 Tax=Bathycoccus sp. RCC716 virus 1 TaxID=2530038 RepID=A0A7S6NY19_9PHYC</t>
  </si>
  <si>
    <t>Oct.NODE_1383_length_2573_cov_4.255759_3</t>
  </si>
  <si>
    <t>Oct.NODE_1383_length_2573_cov_4.255759_4</t>
  </si>
  <si>
    <t>Oct.NODE_1383_length_2573_cov_4.255759_5</t>
  </si>
  <si>
    <t>Oct.NODE_1403_length_2531_cov_5.228191_4</t>
  </si>
  <si>
    <t>Oct.NODE_1408_length_2526_cov_17.187778_2</t>
  </si>
  <si>
    <t>RND family efflux transporter MFP subunit protein n=1 Tax=Klebsiella phage KN3-1 TaxID=2282630 RepID=A0A3S5IBH9_BPK31</t>
  </si>
  <si>
    <t>Oct.NODE_1414_length_2516_cov_4.604632_1</t>
  </si>
  <si>
    <t>Phosphoesterase n=2 Tax=unclassified Bonnellvirus TaxID=2748050 RepID=A0A6B9WWT9_9CAUD</t>
  </si>
  <si>
    <t>Oct.NODE_143_length_13573_cov_6.327859_5</t>
  </si>
  <si>
    <t>Uncharacterized protein n=1 Tax=Roseivirga spongicola TaxID=333140 RepID=A0A150XDT9_9BACT</t>
  </si>
  <si>
    <t>Oct.NODE_143_length_13573_cov_6.327859_8</t>
  </si>
  <si>
    <t>Oct.NODE_1449_length_2481_cov_4.838005_1</t>
  </si>
  <si>
    <t>Oct.NODE_1451_length_2477_cov_5.330718_2</t>
  </si>
  <si>
    <t>Uncharacterized protein n=1 Tax=Sinirhodobacter populi TaxID=2306993 RepID=A0A443J708_9RHOB</t>
  </si>
  <si>
    <t>Oct.NODE_1455_length_2475_cov_2.053719_4</t>
  </si>
  <si>
    <t>Oct.NODE_146_length_12909_cov_13.241403_11</t>
  </si>
  <si>
    <t>Oct.NODE_146_length_12909_cov_13.241403_13</t>
  </si>
  <si>
    <t>Oct.NODE_146_length_12909_cov_13.241403_3</t>
  </si>
  <si>
    <t>Oct.NODE_146_length_12909_cov_13.241403_5</t>
  </si>
  <si>
    <t>Oct.NODE_1475_length_2442_cov_4.285295_3</t>
  </si>
  <si>
    <t>Putative zinc-ribbon-containing protein n=1 Tax=Tokyovirus A1 TaxID=1826170 RepID=A0A146JJ01_9VIRU</t>
  </si>
  <si>
    <t>Oct.NODE_1475_length_2442_cov_4.285295_4</t>
  </si>
  <si>
    <t>Oct.NODE_1475_length_2442_cov_4.285295_6</t>
  </si>
  <si>
    <t>VOG35920 [FUNC="REFSEQ hypothetical protein"] [TAG=Xu TAGDEF="Function unknown"]</t>
  </si>
  <si>
    <t>Holin n=1 Tax=Pelagibacter phage Mosig EXVC030M TaxID=2759214 RepID=A0A7S6ILL7_9CAUD</t>
  </si>
  <si>
    <t>Oct.NODE_1480_length_2438_cov_3.281997_2</t>
  </si>
  <si>
    <t>Uncharacterized protein n=1 Tax=Rhizobium phage RHph_I1_18 TaxID=2509726 RepID=A0A7S5R449_9CAUD</t>
  </si>
  <si>
    <t>Oct.NODE_1480_length_2438_cov_3.281997_3</t>
  </si>
  <si>
    <t>Uncharacterized protein n=1 Tax=Podoviridae sp. ctQNx1 TaxID=2656711 RepID=A0A5Q2W8W2_9CAUD</t>
  </si>
  <si>
    <t>Oct.NODE_1485_length_2436_cov_3.341453_1</t>
  </si>
  <si>
    <t>Oct.NODE_1485_length_2436_cov_3.341453_2</t>
  </si>
  <si>
    <t>Oct.NODE_1506_length_2411_cov_2.969864_3</t>
  </si>
  <si>
    <t>Oct.NODE_1512_length_2404_cov_1.783312_1</t>
  </si>
  <si>
    <t>Oct.NODE_1512_length_2404_cov_1.783312_2</t>
  </si>
  <si>
    <t>Oct.NODE_1512_length_2404_cov_1.783312_3</t>
  </si>
  <si>
    <t>Oct.NODE_1512_length_2404_cov_1.783312_4</t>
  </si>
  <si>
    <t>Oct.NODE_1512_length_2404_cov_1.783312_5</t>
  </si>
  <si>
    <t>Oct.NODE_1525_length_2396_cov_3.319949_1</t>
  </si>
  <si>
    <t>Winged helix-turn-helix domain-containing protein n=1 Tax=Paraburkholderia antibiotica TaxID=2728839 RepID=A0A7Y0A1S8_9BURK</t>
  </si>
  <si>
    <t>Oct.NODE_1527_length_2394_cov_2.855494_2</t>
  </si>
  <si>
    <t>HNH endonuclease n=1 Tax=Bacteriophage DSS3_VP1 TaxID=2664196 RepID=A0A7S5KRQ1_9CAUD</t>
  </si>
  <si>
    <t>Oct.NODE_1527_length_2394_cov_2.855494_6</t>
  </si>
  <si>
    <t>SAM-dependent methyltransferase n=1 Tax=Haematobacter missouriensis TaxID=366616 RepID=A0A212AQN7_9RHOB</t>
  </si>
  <si>
    <t>Oct.NODE_153_length_12323_cov_15.965683_6</t>
  </si>
  <si>
    <t>Oct.NODE_153_length_12323_cov_15.965683_7</t>
  </si>
  <si>
    <t>Oct.NODE_1544_length_2375_cov_5.509483_2</t>
  </si>
  <si>
    <t>Uncharacterized protein n=1 Tax=Sphingomonas melonis TaxID=152682 RepID=A0A7Y9FKE8_9SPHN</t>
  </si>
  <si>
    <t>Oct.NODE_1559_length_2364_cov_6.619749_3</t>
  </si>
  <si>
    <t>Oct.NODE_157_length_12199_cov_36.904974_13</t>
  </si>
  <si>
    <t>Oct.NODE_1573_length_2346_cov_15.811436_2</t>
  </si>
  <si>
    <t>Oct.NODE_165_length_11404_cov_3.438805_10</t>
  </si>
  <si>
    <t>Oct.NODE_1650_length_2269_cov_4.662150_1</t>
  </si>
  <si>
    <t>Oct.NODE_1650_length_2269_cov_4.662150_2</t>
  </si>
  <si>
    <t>Oct.NODE_1650_length_2269_cov_4.662150_3</t>
  </si>
  <si>
    <t>Oct.NODE_166_length_11400_cov_102.056148_1</t>
  </si>
  <si>
    <t>Oct.NODE_166_length_11400_cov_102.056148_10</t>
  </si>
  <si>
    <t>Uncharacterized protein n=1 Tax=Gammaproteobacteria virus GOV_bin_2604 TaxID=2562602 RepID=A0A4D6BIC8_9CAUD</t>
  </si>
  <si>
    <t>Oct.NODE_166_length_11400_cov_102.056148_11</t>
  </si>
  <si>
    <t>Uncharacterized protein n=1 Tax=Burkholderia sp. NRF60-BP8 TaxID=1637853 RepID=A0A807EEK1_9BURK</t>
  </si>
  <si>
    <t>Oct.NODE_166_length_11400_cov_102.056148_12</t>
  </si>
  <si>
    <t>Uncharacterized protein n=1 Tax=Pusillimonas sp. (ex Stolz et al. 2005) TaxID=1979962 RepID=A0A2D7XEM8_9BURK</t>
  </si>
  <si>
    <t>Oct.NODE_166_length_11400_cov_102.056148_2</t>
  </si>
  <si>
    <t>Oct.NODE_166_length_11400_cov_102.056148_3</t>
  </si>
  <si>
    <t>Uncharacterized protein (Fragment) n=1 Tax=Alteromonas australica TaxID=589873 RepID=A0A350P027_9ALTE</t>
  </si>
  <si>
    <t>Oct.NODE_166_length_11400_cov_102.056148_4</t>
  </si>
  <si>
    <t>Tail tubular protein A n=1 Tax=Gammaproteobacteria virus GOV_bin_2604 TaxID=2562602 RepID=A0A4D6BK56_9CAUD</t>
  </si>
  <si>
    <t>Oct.NODE_166_length_11400_cov_102.056148_5</t>
  </si>
  <si>
    <t>Uncharacterized protein n=1 Tax=Pusillimonas sp. (ex Stolz et al. 2005) TaxID=1979962 RepID=A0A2D7XEG7_9BURK</t>
  </si>
  <si>
    <t>Oct.NODE_166_length_11400_cov_102.056148_6</t>
  </si>
  <si>
    <t>Tail fiber protein n=1 Tax=Gammaproteobacteria virus GOV_bin_2604 TaxID=2562602 RepID=A0A4D6BGZ7_9CAUD</t>
  </si>
  <si>
    <t>Oct.NODE_166_length_11400_cov_102.056148_8</t>
  </si>
  <si>
    <t>Uncharacterized protein (Fragment) n=1 Tax=Alteromonas australica TaxID=589873 RepID=A0A350P702_9ALTE</t>
  </si>
  <si>
    <t>Oct.NODE_166_length_11400_cov_102.056148_9</t>
  </si>
  <si>
    <t>Oct.NODE_1681_length_2233_cov_6.598714_2</t>
  </si>
  <si>
    <t>Oct.NODE_1682_length_2232_cov_3.752871_2</t>
  </si>
  <si>
    <t>Oct.NODE_1682_length_2232_cov_3.752871_3</t>
  </si>
  <si>
    <t>Oct.NODE_1684_length_2230_cov_2.792644_2</t>
  </si>
  <si>
    <t>Oct.NODE_1688_length_2224_cov_3.194560_1</t>
  </si>
  <si>
    <t>Endonuclease domain-containing protein n=1 Tax=Hymenobacter cyanobacteriorum TaxID=2926463 RepID=A0A9X1VI70_9BACT</t>
  </si>
  <si>
    <t>Oct.NODE_1688_length_2224_cov_3.194560_3</t>
  </si>
  <si>
    <t>Oct.NODE_169_length_11288_cov_54.707825_13</t>
  </si>
  <si>
    <t>Oct.NODE_169_length_11288_cov_54.707825_14</t>
  </si>
  <si>
    <t>Thymidylate synthase n=1 Tax=Roseobacter phage RD-1410W1-01 TaxID=1815984 RepID=A0A191VYH8_9CAUD</t>
  </si>
  <si>
    <t>Oct.NODE_169_length_11288_cov_54.707825_18</t>
  </si>
  <si>
    <t>Oct.NODE_17_length_42127_cov_14.061823_1</t>
  </si>
  <si>
    <t>Uncharacterized protein n=1 Tax=Podoviridae sp. ctrTa16 TaxID=2656715 RepID=A0A5Q2WA14_9CAUD</t>
  </si>
  <si>
    <t>Oct.NODE_17_length_42127_cov_14.061823_12</t>
  </si>
  <si>
    <t>Putative exodeoxyribonuclease 8 PDDEXK-like domain-containing protein n=1 Tax=Richelia sp. RM2_1_2 TaxID=2720436 RepID=A0A969MS20_9NOST</t>
  </si>
  <si>
    <t>Oct.NODE_17_length_42127_cov_14.061823_29</t>
  </si>
  <si>
    <t>Oct.NODE_17_length_42127_cov_14.061823_30</t>
  </si>
  <si>
    <t>Putative capsid assembly protein n=1 Tax=Pelagibacter phage HTVC100P TaxID=2796522 RepID=A0A7T3PHK0_9CAUD</t>
  </si>
  <si>
    <t>Oct.NODE_17_length_42127_cov_14.061823_31</t>
  </si>
  <si>
    <t>Major capsid protein n=9 Tax=unclassified Caudoviricetes TaxID=2788787 RepID=A0A9E7R006_9CAUD</t>
  </si>
  <si>
    <t>Oct.NODE_17_length_42127_cov_14.061823_33</t>
  </si>
  <si>
    <t>Tail tubular protein A n=1 Tax=Pusillimonas sp. (ex Stolz et al. 2005) TaxID=1979962 RepID=A0A2D7XIC5_9BURK</t>
  </si>
  <si>
    <t>Oct.NODE_17_length_42127_cov_14.061823_34</t>
  </si>
  <si>
    <t>Oct.NODE_17_length_42127_cov_14.061823_38</t>
  </si>
  <si>
    <t>Uncharacterized protein n=1 Tax=Gluconacetobacter johannae TaxID=112140 RepID=A0A7W4J9G2_9PROT</t>
  </si>
  <si>
    <t>Oct.NODE_17_length_42127_cov_14.061823_39</t>
  </si>
  <si>
    <t>Structural protein n=1 Tax=Podoviridae sp. ctdb7 TaxID=2675443 RepID=A0A345BQW7_9CAUD</t>
  </si>
  <si>
    <t>Oct.NODE_17_length_42127_cov_14.061823_48</t>
  </si>
  <si>
    <t>Calcineurin-like phosphoesterase domain-containing protein n=2 Tax=Alkalilimnicola ehrlichii TaxID=351052 RepID=A0A3E0WQE7_9GAMM</t>
  </si>
  <si>
    <t>Oct.NODE_17_length_42127_cov_14.061823_49</t>
  </si>
  <si>
    <t>IrrE N-terminal-like domain-containing protein n=1 Tax=Salipaludibacillus agaradhaerens TaxID=76935 RepID=A0A9Q4B2M7_SALAG</t>
  </si>
  <si>
    <t>Oct.NODE_17_length_42127_cov_14.061823_54</t>
  </si>
  <si>
    <t>VOG00299 [FUNC="REFSEQ terminase small subunit"] [TAG=Xu TAGDEF="Function unknown"]</t>
  </si>
  <si>
    <t>Uncharacterized protein n=1 Tax=Bdellovibrio phage phi1422 TaxID=1127515 RepID=H9C0L7_9CAUD</t>
  </si>
  <si>
    <t>Oct.NODE_1706_length_2210_cov_3.193503_5</t>
  </si>
  <si>
    <t>Oct.NODE_1719_length_2200_cov_84.219580_1</t>
  </si>
  <si>
    <t>Putative T5 A1-like protein n=1 Tax=Myxococcus stipitatus (strain DSM 14675 / JCM 12634 / Mx s8) TaxID=1278073 RepID=L7U6L6_MYXSD</t>
  </si>
  <si>
    <t>Oct.NODE_1719_length_2200_cov_84.219580_2</t>
  </si>
  <si>
    <t>Uncharacterized protein n=1 Tax=Novosphingobium sp. KN65.2 TaxID=1478134 RepID=A0A158RWR1_9SPHN</t>
  </si>
  <si>
    <t>Oct.NODE_172_length_11061_cov_47.852535_11</t>
  </si>
  <si>
    <t>Oct.NODE_172_length_11061_cov_47.852535_12</t>
  </si>
  <si>
    <t>Oct.NODE_172_length_11061_cov_47.852535_14</t>
  </si>
  <si>
    <t>Oct.NODE_172_length_11061_cov_47.852535_18</t>
  </si>
  <si>
    <t>Uncharacterized protein n=1 Tax=Marinobacter pelagius TaxID=379482 RepID=A0A1I4T4U8_9GAMM</t>
  </si>
  <si>
    <t>Oct.NODE_172_length_11061_cov_47.852535_19</t>
  </si>
  <si>
    <t>HNH endonuclease n=1 Tax=Aeromonas phage 62AhydR11PP TaxID=2163963 RepID=A0A2S1PDM8_9CAUD</t>
  </si>
  <si>
    <t>Oct.NODE_172_length_11061_cov_47.852535_21</t>
  </si>
  <si>
    <t>Oct.NODE_172_length_11061_cov_47.852535_23</t>
  </si>
  <si>
    <t>Oct.NODE_172_length_11061_cov_47.852535_24</t>
  </si>
  <si>
    <t>Glycosyltransferase n=2 Tax=Roseovarius indicus TaxID=540747 RepID=A0A5P3ADE2_9RHOB</t>
  </si>
  <si>
    <t>Oct.NODE_172_length_11061_cov_47.852535_27</t>
  </si>
  <si>
    <t>Oct.NODE_172_length_11061_cov_47.852535_28</t>
  </si>
  <si>
    <t>Oct.NODE_172_length_11061_cov_47.852535_29</t>
  </si>
  <si>
    <t>Oct.NODE_1733_length_2185_cov_2.701878_1</t>
  </si>
  <si>
    <t>Uncharacterized protein n=1 Tax=Caulobacter phage CcrPW TaxID=2283271 RepID=A0A385EDQ7_9CAUD</t>
  </si>
  <si>
    <t>Oct.NODE_1733_length_2185_cov_2.701878_2</t>
  </si>
  <si>
    <t>DUF932 domain-containing protein n=1 Tax=Aeoliella straminimaris TaxID=2954799 RepID=A0A9X2FAG3_9BACT</t>
  </si>
  <si>
    <t>Oct.NODE_1736_length_2181_cov_10.680621_2</t>
  </si>
  <si>
    <t>Oct.NODE_1736_length_2181_cov_10.680621_3</t>
  </si>
  <si>
    <t>DUF1064 domain-containing protein n=1 Tax=Ruegeria phage 45A6 TaxID=1851646 RepID=A0A1X9HVJ6_9CAUD</t>
  </si>
  <si>
    <t>Oct.NODE_1740_length_2179_cov_9.368173_1</t>
  </si>
  <si>
    <t>Oct.NODE_1752_length_2168_cov_4.424988_1</t>
  </si>
  <si>
    <t>VOG30920 [FUNC="REFSEQ hypothetical protein"] [TAG=Xu TAGDEF="Function unknown"]</t>
  </si>
  <si>
    <t>DNA-binding protein n=1 Tax=Aminobacter phage Erebus TaxID=2686310 RepID=A0A6M3T9T9_9CAUD</t>
  </si>
  <si>
    <t>Oct.NODE_1753_length_2167_cov_3.564394_2</t>
  </si>
  <si>
    <t>Oct.NODE_1755_length_2164_cov_5.679943_1</t>
  </si>
  <si>
    <t>Oct.NODE_1755_length_2164_cov_5.679943_2</t>
  </si>
  <si>
    <t>Oct.NODE_1758_length_2164_cov_3.939308_1</t>
  </si>
  <si>
    <t>Oct.NODE_1758_length_2164_cov_3.939308_3</t>
  </si>
  <si>
    <t>Tail completion and sheath stabilizer protein n=1 Tax=Lake Baikal phage Baikal-20-5m-C28 TaxID=2047876 RepID=A0A2H4N7L6_9CAUD</t>
  </si>
  <si>
    <t>Oct.NODE_1760_length_2160_cov_4.801900_1</t>
  </si>
  <si>
    <t>Uncharacterized protein n=1 Tax=Rhodobacter kunshanensis TaxID=2583234 RepID=A0A6M1U310_9RHOB</t>
  </si>
  <si>
    <t>Oct.NODE_1762_length_2159_cov_5.081749_2</t>
  </si>
  <si>
    <t>Oct.NODE_1764_length_2158_cov_2.932477_2</t>
  </si>
  <si>
    <t>VOG00489 [FUNC="REFSEQ hypothetical protein"] [TAG=Xu TAGDEF="Function unknown"]</t>
  </si>
  <si>
    <t>Uncharacterized protein n=2 Tax=Colossusvirus TaxID=2733153 RepID=K4K5Z9_9CAUD</t>
  </si>
  <si>
    <t>Oct.NODE_1775_length_2150_cov_5.409547_1</t>
  </si>
  <si>
    <t>Major capsid protein n=1 Tax=Thiospirillum jenense TaxID=1653858 RepID=A0A839HBJ0_9GAMM</t>
  </si>
  <si>
    <t>Oct.NODE_1775_length_2150_cov_5.409547_3</t>
  </si>
  <si>
    <t>Oct.NODE_1778_length_2149_cov_3.065903_1</t>
  </si>
  <si>
    <t>Oct.NODE_1778_length_2149_cov_3.065903_2</t>
  </si>
  <si>
    <t>Phage tail protein n=1 Tax=Muricauda nanhaiensis TaxID=2292706 RepID=A0A371JL92_9FLAO</t>
  </si>
  <si>
    <t>Oct.NODE_181_length_10780_cov_6.015478_10</t>
  </si>
  <si>
    <t>Oct.NODE_181_length_10780_cov_6.015478_15</t>
  </si>
  <si>
    <t>Oct.NODE_181_length_10780_cov_6.015478_16</t>
  </si>
  <si>
    <t>Oct.NODE_181_length_10780_cov_6.015478_17</t>
  </si>
  <si>
    <t>DUF2190 domain-containing protein n=1 Tax=Rubellimicrobium sp. CFH 75288 TaxID=2697034 RepID=A0A964X0U4_9RHOB</t>
  </si>
  <si>
    <t>Oct.NODE_181_length_10780_cov_6.015478_18</t>
  </si>
  <si>
    <t>Capsid protein n=1 Tax=Rubellimicrobium sp. CFH 75288 TaxID=2697034 RepID=A0A964X122_9RHOB</t>
  </si>
  <si>
    <t>Oct.NODE_1832_length_2112_cov_7.246475_2</t>
  </si>
  <si>
    <t>Uncharacterized protein n=1 Tax=Yersinia mollaretii TaxID=33060 RepID=A0A2G4U9J8_YERMO</t>
  </si>
  <si>
    <t>Oct.NODE_1852_length_2092_cov_10.956799_2</t>
  </si>
  <si>
    <t>Oct.NODE_1854_length_2087_cov_41.862697_1</t>
  </si>
  <si>
    <t>Oct.NODE_1854_length_2087_cov_41.862697_2</t>
  </si>
  <si>
    <t>Oct.NODE_1854_length_2087_cov_41.862697_3</t>
  </si>
  <si>
    <t>Oct.NODE_1869_length_2080_cov_2.964444_1</t>
  </si>
  <si>
    <t>Oct.NODE_1869_length_2080_cov_2.964444_2</t>
  </si>
  <si>
    <t>Oct.NODE_1870_length_2079_cov_2.834486_2</t>
  </si>
  <si>
    <t>Structural protein 6 n=2 Tax=Audreyjarvisvirus TaxID=2843351 RepID=V9VEQ6_9CAUD</t>
  </si>
  <si>
    <t>Oct.NODE_1876_length_2072_cov_2.518592_1</t>
  </si>
  <si>
    <t>Oct.NODE_1876_length_2072_cov_2.518592_2</t>
  </si>
  <si>
    <t>Oct.NODE_1885_length_2066_cov_8.262556_3</t>
  </si>
  <si>
    <t>Oct.NODE_1885_length_2066_cov_8.262556_5</t>
  </si>
  <si>
    <t>Oct.NODE_191_length_10239_cov_19.502848_4</t>
  </si>
  <si>
    <t>Oct.NODE_1914_length_2038_cov_5.814927_2</t>
  </si>
  <si>
    <t>Uncharacterized protein n=1 Tax=Leisingera sp. ANG-M7 TaxID=1577902 RepID=A0A0C1J7F3_9RHOB</t>
  </si>
  <si>
    <t>Oct.NODE_1922_length_2030_cov_2.668861_2</t>
  </si>
  <si>
    <t>Oct.NODE_1941_length_2014_cov_3.232261_2</t>
  </si>
  <si>
    <t>Tail fiber protein n=3 Tax=unclassified Mesorhizobium TaxID=325217 RepID=A0A4R9Q563_9HYPH</t>
  </si>
  <si>
    <t>Oct.NODE_1941_length_2014_cov_3.232261_3</t>
  </si>
  <si>
    <t>Tailspike protein n=1 Tax=Serratia phage vB_SmaM_Hera TaxID=2777369 RepID=A0A7T3N992_9CAUD</t>
  </si>
  <si>
    <t>Oct.NODE_1948_length_2010_cov_37.236317_4</t>
  </si>
  <si>
    <t>Polymer-forming cytoskeletal n=1 Tax=Sphingorhabdus sp. SMR4y TaxID=2584094 RepID=A0A220W6R0_9SPHN</t>
  </si>
  <si>
    <t>Oct.NODE_1948_length_2010_cov_37.236317_5</t>
  </si>
  <si>
    <t>Oct.NODE_1959_length_2004_cov_26.268856_1</t>
  </si>
  <si>
    <t>Oct.NODE_1959_length_2004_cov_26.268856_2</t>
  </si>
  <si>
    <t>Uncharacterized protein n=2 Tax=Incheonvirus TaxID=2976977 RepID=A0A0F7IK18_9CAUD</t>
  </si>
  <si>
    <t>Oct.NODE_1959_length_2004_cov_26.268856_3</t>
  </si>
  <si>
    <t>DUF3127 domain-containing protein n=1 Tax=Pricia antarctica TaxID=641691 RepID=A0A1G6Y1V7_9FLAO</t>
  </si>
  <si>
    <t>Oct.NODE_1965_length_2000_cov_4.510026_1</t>
  </si>
  <si>
    <t>Oct.NODE_205_length_9701_cov_8.492328_11</t>
  </si>
  <si>
    <t>Oct.NODE_205_length_9701_cov_8.492328_12</t>
  </si>
  <si>
    <t>Phage protein, HK97 gp10 family n=1 Tax=Runella rosea TaxID=2259595 RepID=A0A344TC55_9BACT</t>
  </si>
  <si>
    <t>Oct.NODE_205_length_9701_cov_8.492328_13</t>
  </si>
  <si>
    <t>Tail tubular protein A n=1 Tax=Croceibacter phage P2559S TaxID=1176422 RepID=I6R1A5_9CAUD</t>
  </si>
  <si>
    <t>Oct.NODE_205_length_9701_cov_8.492328_14</t>
  </si>
  <si>
    <t>Uncharacterized protein n=1 Tax=Myoviridae sp. cts9u10 TaxID=2825187 RepID=A0A8S5NXJ1_9CAUD</t>
  </si>
  <si>
    <t>Oct.NODE_205_length_9701_cov_8.492328_15</t>
  </si>
  <si>
    <t>Uncharacterized protein n=1 Tax=Siphoviridae sp. ctHMI2 TaxID=2826231 RepID=A0A8S5MK47_9CAUD</t>
  </si>
  <si>
    <t>Oct.NODE_205_length_9701_cov_8.492328_17</t>
  </si>
  <si>
    <t>Oct.NODE_205_length_9701_cov_8.492328_6</t>
  </si>
  <si>
    <t>Major protein 3 n=1 Tax=Elizabethkingia phage TCUEAP2 TaxID=2894302 RepID=A0A9E7BUX7_9CAUD</t>
  </si>
  <si>
    <t>Oct.NODE_205_length_9701_cov_8.492328_8</t>
  </si>
  <si>
    <t>Oct.NODE_205_length_9701_cov_8.492328_9</t>
  </si>
  <si>
    <t>Oct.NODE_254_length_8067_cov_5.732651_1</t>
  </si>
  <si>
    <t>VOG26742 [FUNC="REFSEQ hypothetical protein"] [TAG=Xu TAGDEF="Function unknown"]</t>
  </si>
  <si>
    <t>Transcriptional regulator n=1 Tax=Podoviridae sp. ctrTa16 TaxID=2656715 RepID=A0A5Q2W7K7_9CAUD</t>
  </si>
  <si>
    <t>Oct.NODE_254_length_8067_cov_5.732651_10</t>
  </si>
  <si>
    <t>Uncharacterized protein n=1 Tax=Podoviridae sp. ctrTa16 TaxID=2656715 RepID=A0A5Q2W7Q1_9CAUD</t>
  </si>
  <si>
    <t>Oct.NODE_254_length_8067_cov_5.732651_2</t>
  </si>
  <si>
    <t>Uncharacterized protein n=1 Tax=Escherichia coli TaxID=562 RepID=A0A890DI01_ECOLX</t>
  </si>
  <si>
    <t>Oct.NODE_254_length_8067_cov_5.732651_7</t>
  </si>
  <si>
    <t>HNH endonuclease n=1 Tax=Marseillevirus LCMAC101 TaxID=2506602 RepID=A0A481YT51_9VIRU</t>
  </si>
  <si>
    <t>Oct.NODE_254_length_8067_cov_5.732651_8</t>
  </si>
  <si>
    <t>YopX protein domain-containing protein n=1 Tax=Roseivirga spongicola TaxID=333140 RepID=A0A150XCH9_9BACT</t>
  </si>
  <si>
    <t>Oct.NODE_254_length_8067_cov_5.732651_9</t>
  </si>
  <si>
    <t>Putative endonuclease segE n=5 Tax=Enterobacteria phage T4 TaxID=10665 RepID=SEGE_BPT4</t>
  </si>
  <si>
    <t>Oct.NODE_300_length_6951_cov_5.242314_10</t>
  </si>
  <si>
    <t>Oct.NODE_300_length_6951_cov_5.242314_11</t>
  </si>
  <si>
    <t>Oct.NODE_300_length_6951_cov_5.242314_12</t>
  </si>
  <si>
    <t>Oct.NODE_300_length_6951_cov_5.242314_13</t>
  </si>
  <si>
    <t>Oct.NODE_300_length_6951_cov_5.242314_14</t>
  </si>
  <si>
    <t>Oct.NODE_300_length_6951_cov_5.242314_16</t>
  </si>
  <si>
    <t>Oct.NODE_300_length_6951_cov_5.242314_17</t>
  </si>
  <si>
    <t>Oct.NODE_300_length_6951_cov_5.242314_18</t>
  </si>
  <si>
    <t>Oct.NODE_300_length_6951_cov_5.242314_7</t>
  </si>
  <si>
    <t>Oct.NODE_300_length_6951_cov_5.242314_8</t>
  </si>
  <si>
    <t>Oct.NODE_300_length_6951_cov_5.242314_9</t>
  </si>
  <si>
    <t>Oct.NODE_303_length_6944_cov_17.025258_11</t>
  </si>
  <si>
    <t>Oct.NODE_303_length_6944_cov_17.025258_8</t>
  </si>
  <si>
    <t>Oct.NODE_309_length_6839_cov_4.241303_4</t>
  </si>
  <si>
    <t>Oct.NODE_309_length_6839_cov_4.241303_7</t>
  </si>
  <si>
    <t>Oct.NODE_311_length_6834_cov_14.617495_1</t>
  </si>
  <si>
    <t>Oct.NODE_311_length_6834_cov_14.617495_2</t>
  </si>
  <si>
    <t>Oct.NODE_311_length_6834_cov_14.617495_3</t>
  </si>
  <si>
    <t>Oct.NODE_328_length_6539_cov_18.505706_2</t>
  </si>
  <si>
    <t>Oct.NODE_328_length_6539_cov_18.505706_4</t>
  </si>
  <si>
    <t>Oct.NODE_328_length_6539_cov_18.505706_5</t>
  </si>
  <si>
    <t>VOG05582 [FUNC="REFSEQ hypothetical protein"] [TAG=Xu TAGDEF="Function unknown"]</t>
  </si>
  <si>
    <t>Prophage tail endopeptidase domain-containing protein n=2 Tax=Blautia TaxID=572511 RepID=A0A7G5MSS2_9FIRM</t>
  </si>
  <si>
    <t>Oct.NODE_328_length_6539_cov_18.505706_7</t>
  </si>
  <si>
    <t>VOG16561 [FUNC="REFSEQ hypothetical protein"] [TAG=Xu TAGDEF="Function unknown"]</t>
  </si>
  <si>
    <t>Oct.NODE_33_length_37390_cov_21.424508_1</t>
  </si>
  <si>
    <t>Uncharacterized protein n=1 Tax=Chlorogloeopsis fritschii PCC 6912 TaxID=211165 RepID=A0A433N658_CHLFR</t>
  </si>
  <si>
    <t>Oct.NODE_33_length_37390_cov_21.424508_12</t>
  </si>
  <si>
    <t>DUF4043 family protein n=1 Tax=Chelatococcus reniformis TaxID=1494448 RepID=A0A916U4H6_9HYPH</t>
  </si>
  <si>
    <t>Oct.NODE_33_length_37390_cov_21.424508_13</t>
  </si>
  <si>
    <t>Uncharacterized protein n=1 Tax=Amaricoccus sp. HAR-UPW-R2A-40 TaxID=1985299 RepID=A0A2M9PH49_9RHOB</t>
  </si>
  <si>
    <t>Oct.NODE_33_length_37390_cov_21.424508_16</t>
  </si>
  <si>
    <t>Stabilization protein n=2 Tax=unclassified Caudoviricetes TaxID=2788787 RepID=A0A2I7RPY4_9CAUD</t>
  </si>
  <si>
    <t>Oct.NODE_33_length_37390_cov_21.424508_17</t>
  </si>
  <si>
    <t>YapH protein n=2 Tax=unclassified viruses TaxID=12429 RepID=A0A1X7C0H8_9VIRU</t>
  </si>
  <si>
    <t>Oct.NODE_33_length_37390_cov_21.424508_19</t>
  </si>
  <si>
    <t>DNA transfer protein p32 n=1 Tax=Pseudoxanthomonas sp. CF125 TaxID=1855303 RepID=A0A1H1AS40_9GAMM</t>
  </si>
  <si>
    <t>Oct.NODE_33_length_37390_cov_21.424508_21</t>
  </si>
  <si>
    <t>Uncharacterized protein n=1 Tax=Azospirillum argentinense TaxID=2970906 RepID=A0A060DLA2_9PROT</t>
  </si>
  <si>
    <t>Oct.NODE_33_length_37390_cov_21.424508_23</t>
  </si>
  <si>
    <t>SGNH/GDSL hydrolase family protein n=2 Tax=Bradyrhizobium barranii TaxID=2992140 RepID=A0A850IUD1_9BRAD</t>
  </si>
  <si>
    <t>Oct.NODE_33_length_37390_cov_21.424508_26</t>
  </si>
  <si>
    <t>Uncharacterized protein n=1 Tax=Vibrio phage pVco-14 TaxID=2781113 RepID=A0A7T7K792_9CAUD</t>
  </si>
  <si>
    <t>Oct.NODE_33_length_37390_cov_21.424508_29</t>
  </si>
  <si>
    <t>DUF2815 domain-containing protein n=1 Tax=Dehalobacter sp. TeCB1 TaxID=1843715 RepID=A0A1C2Y3H8_9FIRM</t>
  </si>
  <si>
    <t>Oct.NODE_33_length_37390_cov_21.424508_35</t>
  </si>
  <si>
    <t>Thymidylate kinase n=1 Tax=Pseudomonas phage PMBT14 TaxID=2059855 RepID=A0A2I6PI82_9CAUD</t>
  </si>
  <si>
    <t>Oct.NODE_33_length_37390_cov_21.424508_38</t>
  </si>
  <si>
    <t>Oct.NODE_33_length_37390_cov_21.424508_7</t>
  </si>
  <si>
    <t>DUF5681 domain-containing protein n=1 Tax=Sinorhizobium sp. BJ1 TaxID=2035455 RepID=A0A2A6P7W2_9HYPH</t>
  </si>
  <si>
    <t>Oct.NODE_33_length_37390_cov_21.424508_9</t>
  </si>
  <si>
    <t>Phage P22-like portal protein n=1 Tax=Achromobacter marplatensis TaxID=470868 RepID=A0A366F7N1_9BURK</t>
  </si>
  <si>
    <t>Oct.NODE_339_length_6347_cov_9.245073_4</t>
  </si>
  <si>
    <t>sp|A0A3T0ZBZ8|DEPOL_BPK41 Depolymerase, capsule KN4-specific OS=Klebsiella phage KN4-1 OX=2282631 PE=3 SV=1</t>
  </si>
  <si>
    <t>Tail fiber protein n=1 Tax=Caudovirales sp. ctVfb8 TaxID=2825766 RepID=A0A8S5V3M7_9CAUD</t>
  </si>
  <si>
    <t>Oct.NODE_350_length_6217_cov_7.766472_11</t>
  </si>
  <si>
    <t>Oct.NODE_350_length_6217_cov_7.766472_12</t>
  </si>
  <si>
    <t>Oct.NODE_350_length_6217_cov_7.766472_2</t>
  </si>
  <si>
    <t>IS110 family transposase n=1 Tax=Spiribacter salinus TaxID=1335746 RepID=A0A540VD16_9GAMM</t>
  </si>
  <si>
    <t>Oct.NODE_350_length_6217_cov_7.766472_5</t>
  </si>
  <si>
    <t>Oct.NODE_350_length_6217_cov_7.766472_6</t>
  </si>
  <si>
    <t>Oct.NODE_350_length_6217_cov_7.766472_8</t>
  </si>
  <si>
    <t>Oct.NODE_350_length_6217_cov_7.766472_9</t>
  </si>
  <si>
    <t>Glutamate 5-kinase n=1 Tax=Psychrobacter sp. JB193 TaxID=2024406 RepID=A0A2A2B7H3_9GAMM</t>
  </si>
  <si>
    <t>Oct.NODE_368_length_6063_cov_7.777796_1</t>
  </si>
  <si>
    <t>Oct.NODE_368_length_6063_cov_7.777796_3</t>
  </si>
  <si>
    <t>VOG35489 [FUNC="REFSEQ hypothetical protein"] [TAG=Xu TAGDEF="Function unknown"]</t>
  </si>
  <si>
    <t>Tail protein n=1 Tax=Croceibacter phage P2559S TaxID=1176422 RepID=I6R1A9_9CAUD</t>
  </si>
  <si>
    <t>Oct.NODE_368_length_6063_cov_7.777796_4</t>
  </si>
  <si>
    <t>Uncharacterized protein n=1 Tax=Croceibacter phage P2559Y TaxID=1327037 RepID=W8CPL0_9CAUD</t>
  </si>
  <si>
    <t>Oct.NODE_368_length_6063_cov_7.777796_6</t>
  </si>
  <si>
    <t>Gliding motility-associated-like protein n=2 Tax=Maribacter sp. MAR_2009_72 TaxID=1250050 RepID=A0A559NP07_9FLAO</t>
  </si>
  <si>
    <t>Oct.NODE_372_length_6018_cov_5.268154_5</t>
  </si>
  <si>
    <t>Packaged DNA stabilization protein gp10 n=1 Tax=Pseudomonas marvdashtae TaxID=2745500 RepID=A0A923JQR8_9PSED</t>
  </si>
  <si>
    <t>Oct.NODE_372_length_6018_cov_5.268154_7</t>
  </si>
  <si>
    <t>Tail fiber protein n=1 Tax=Synechococcus phage S-H34 TaxID=2718942 RepID=A0A6G8R698_9CAUD</t>
  </si>
  <si>
    <t>Oct.NODE_373_length_6013_cov_28.507217_3</t>
  </si>
  <si>
    <t>Oct.NODE_376_length_5988_cov_4.606101_1</t>
  </si>
  <si>
    <t>Scaffold protein n=2 Tax=root TaxID=1 RepID=A0A976XLD0_9CAUD</t>
  </si>
  <si>
    <t>Oct.NODE_376_length_5988_cov_4.606101_2</t>
  </si>
  <si>
    <t>Oct.NODE_376_length_5988_cov_4.606101_3</t>
  </si>
  <si>
    <t>Oct.NODE_376_length_5988_cov_4.606101_4</t>
  </si>
  <si>
    <t>Oct.NODE_376_length_5988_cov_4.606101_5</t>
  </si>
  <si>
    <t>Putative adaptor protein n=1 Tax=Citrobacter phage CVT22 TaxID=1622234 RepID=A0A0R6CQ63_9CAUD</t>
  </si>
  <si>
    <t>Oct.NODE_376_length_5988_cov_4.606101_6</t>
  </si>
  <si>
    <t>Oct.NODE_382_length_5950_cov_4.942324_10</t>
  </si>
  <si>
    <t>Oct.NODE_382_length_5950_cov_4.942324_11</t>
  </si>
  <si>
    <t>Oct.NODE_382_length_5950_cov_4.942324_6</t>
  </si>
  <si>
    <t>Oct.NODE_382_length_5950_cov_4.942324_8</t>
  </si>
  <si>
    <t>Oct.NODE_398_length_5775_cov_5.308566_1</t>
  </si>
  <si>
    <t>Gp87 n=1 Tax=Alphaproteobacteria phage PhiJL001 TaxID=2681607 RepID=Q5DN18_9CAUD</t>
  </si>
  <si>
    <t>Oct.NODE_405_length_5713_cov_27.266349_3</t>
  </si>
  <si>
    <t>CRISPR/Cas system-associated protein n=2 Tax=unclassified Caudoviricetes TaxID=2788787 RepID=A0A7S5UZQ0_9CAUD</t>
  </si>
  <si>
    <t>Oct.NODE_405_length_5713_cov_27.266349_4</t>
  </si>
  <si>
    <t>MazG nucleotide pyrophosphohydrolase domain-containing protein n=1 Tax=Duganella sp. OV458 TaxID=1855290 RepID=A0A1G8C8L7_9BURK</t>
  </si>
  <si>
    <t>Oct.NODE_405_length_5713_cov_27.266349_6</t>
  </si>
  <si>
    <t>Oct.NODE_431_length_5507_cov_6.212216_2</t>
  </si>
  <si>
    <t>Oct.NODE_431_length_5507_cov_6.212216_3</t>
  </si>
  <si>
    <t>Oct.NODE_441_length_5418_cov_5.945739_1</t>
  </si>
  <si>
    <t>Oct.NODE_441_length_5418_cov_5.945739_2</t>
  </si>
  <si>
    <t>DUF4376 domain-containing protein n=1 Tax=Comamonas thiooxydans TaxID=363952 RepID=A0A7U9A9B3_9BURK</t>
  </si>
  <si>
    <t>Oct.NODE_441_length_5418_cov_5.945739_3</t>
  </si>
  <si>
    <t>Phage protein n=1 Tax=Pseudomonas phage GP100 TaxID=2055238 RepID=A0A2P9FIK8_9CAUD</t>
  </si>
  <si>
    <t>Oct.NODE_441_length_5418_cov_5.945739_5</t>
  </si>
  <si>
    <t>Oct.NODE_443_length_5406_cov_21.525883_1</t>
  </si>
  <si>
    <t>Oct.NODE_443_length_5406_cov_21.525883_2</t>
  </si>
  <si>
    <t>Oct.NODE_443_length_5406_cov_21.525883_3</t>
  </si>
  <si>
    <t>Oct.NODE_443_length_5406_cov_21.525883_4</t>
  </si>
  <si>
    <t>Oct.NODE_457_length_5243_cov_4.956438_2</t>
  </si>
  <si>
    <t>Oct.NODE_457_length_5243_cov_4.956438_3</t>
  </si>
  <si>
    <t>Uncharacterized protein n=1 Tax=Roseobacter phage CRP-6 TaxID=2559285 RepID=A0A646QWI7_9CAUD</t>
  </si>
  <si>
    <t>Oct.NODE_458_length_5235_cov_67.917181_2</t>
  </si>
  <si>
    <t>Essential recombination function protein n=2 Tax=Cequinquevirus TaxID=1912760 RepID=A0A075KJF7_9CAUD</t>
  </si>
  <si>
    <t>Oct.NODE_459_length_5234_cov_18.622321_1</t>
  </si>
  <si>
    <t>Oct.NODE_459_length_5234_cov_18.622321_2</t>
  </si>
  <si>
    <t>Oct.NODE_459_length_5234_cov_18.622321_4</t>
  </si>
  <si>
    <t>Uncharacterized protein n=2 Tax=Delftia TaxID=80865 RepID=A0A7T3DEU8_9BURK</t>
  </si>
  <si>
    <t>Oct.NODE_463_length_5216_cov_47.007169_2</t>
  </si>
  <si>
    <t>Oct.NODE_493_length_5013_cov_24.733764_1</t>
  </si>
  <si>
    <t>Oct.NODE_493_length_5013_cov_24.733764_2</t>
  </si>
  <si>
    <t>Oct.NODE_493_length_5013_cov_24.733764_3</t>
  </si>
  <si>
    <t>Oct.NODE_493_length_5013_cov_24.733764_4</t>
  </si>
  <si>
    <t>Oct.NODE_509_length_4902_cov_5.296059_1</t>
  </si>
  <si>
    <t>Oct.NODE_509_length_4902_cov_5.296059_4</t>
  </si>
  <si>
    <t>Uncharacterized protein n=1 Tax=Pseudomonas phage O4 TaxID=1784982 RepID=A0A140IER6_9CAUD</t>
  </si>
  <si>
    <t>Oct.NODE_517_length_4869_cov_5.027005_1</t>
  </si>
  <si>
    <t>Oct.NODE_517_length_4869_cov_5.027005_2</t>
  </si>
  <si>
    <t>Oct.NODE_517_length_4869_cov_5.027005_4</t>
  </si>
  <si>
    <t>Oct.NODE_518_length_4867_cov_9.753325_1</t>
  </si>
  <si>
    <t>Oct.NODE_518_length_4867_cov_9.753325_2</t>
  </si>
  <si>
    <t>Oct.NODE_54_length_30916_cov_12.817180_13</t>
  </si>
  <si>
    <t>Oct.NODE_54_length_30916_cov_12.817180_14</t>
  </si>
  <si>
    <t>Oct.NODE_54_length_30916_cov_12.817180_17</t>
  </si>
  <si>
    <t>Oct.NODE_54_length_30916_cov_12.817180_18</t>
  </si>
  <si>
    <t>Oct.NODE_54_length_30916_cov_12.817180_19</t>
  </si>
  <si>
    <t>Oct.NODE_54_length_30916_cov_12.817180_2</t>
  </si>
  <si>
    <t>Uncharacterized protein n=1 Tax=Siphoviridae sp. ct2773 TaxID=2826275 RepID=A0A8S5QRB8_9CAUD</t>
  </si>
  <si>
    <t>Oct.NODE_54_length_30916_cov_12.817180_20</t>
  </si>
  <si>
    <t>Oct.NODE_54_length_30916_cov_12.817180_22</t>
  </si>
  <si>
    <t>Oct.NODE_54_length_30916_cov_12.817180_25</t>
  </si>
  <si>
    <t>Oct.NODE_54_length_30916_cov_12.817180_26</t>
  </si>
  <si>
    <t>Uncharacterized protein n=1 Tax=Sanguibacter inulinus TaxID=60922 RepID=A0A853ERF0_9MICO</t>
  </si>
  <si>
    <t>Oct.NODE_54_length_30916_cov_12.817180_27</t>
  </si>
  <si>
    <t>Oct.NODE_54_length_30916_cov_12.817180_35</t>
  </si>
  <si>
    <t>Oct.NODE_540_length_4739_cov_3.159906_1</t>
  </si>
  <si>
    <t>Oct.NODE_548_length_4711_cov_5.970790_6</t>
  </si>
  <si>
    <t>Oct.NODE_555_length_4668_cov_31.706482_10</t>
  </si>
  <si>
    <t>Oct.NODE_555_length_4668_cov_31.706482_3</t>
  </si>
  <si>
    <t>Oct.NODE_567_length_4596_cov_7.471042_10</t>
  </si>
  <si>
    <t>Oct.NODE_567_length_4596_cov_7.471042_11</t>
  </si>
  <si>
    <t>Uncharacterized protein n=1 Tax=Salmonella newport TaxID=108619 RepID=A0A5U9KYR0_SALNE</t>
  </si>
  <si>
    <t>Oct.NODE_567_length_4596_cov_7.471042_5</t>
  </si>
  <si>
    <t>Major capsid protein E n=1 Tax=Freshwater phage uvFW-CGR-AMD-COM-C203 TaxID=1838151 RepID=A0A1B0XTJ8_9CAUD</t>
  </si>
  <si>
    <t>Oct.NODE_567_length_4596_cov_7.471042_7</t>
  </si>
  <si>
    <t>Oct.NODE_574_length_4543_cov_48.328877_2</t>
  </si>
  <si>
    <t>Oct.NODE_578_length_4529_cov_8.021010_2</t>
  </si>
  <si>
    <t>Oct.NODE_578_length_4529_cov_8.021010_4</t>
  </si>
  <si>
    <t>Oct.NODE_578_length_4529_cov_8.021010_5</t>
  </si>
  <si>
    <t>Oct.NODE_582_length_4492_cov_3.960108_11</t>
  </si>
  <si>
    <t>Uncharacterized protein n=1 Tax=Synechococcus phage BUCT-ZZ01 TaxID=2951202 RepID=A0A9E7SZY9_9CAUD</t>
  </si>
  <si>
    <t>Oct.NODE_582_length_4492_cov_3.960108_9</t>
  </si>
  <si>
    <t>Uncharacterized protein n=1 Tax=Bradyrhizobium phage BDU-MI-1 TaxID=1983459 RepID=A0A1X9SGS4_9CAUD</t>
  </si>
  <si>
    <t>Oct.NODE_583_length_4490_cov_4.150846_1</t>
  </si>
  <si>
    <t>DNA polymerase I protein n=1 Tax=Rhizobium phage RHph_N3_19 TaxID=2509746 RepID=A0A7S5R8I4_9CAUD</t>
  </si>
  <si>
    <t>Oct.NODE_583_length_4490_cov_4.150846_3</t>
  </si>
  <si>
    <t>Oct.NODE_590_length_4460_cov_23.935982_4</t>
  </si>
  <si>
    <t>DCL family protein n=1 Tax=Rivularia sp. (in: cyanobacteria) TaxID=2047365 RepID=A0A949TNC4_9CYAN</t>
  </si>
  <si>
    <t>Oct.NODE_590_length_4460_cov_23.935982_5</t>
  </si>
  <si>
    <t>Oct.NODE_590_length_4460_cov_23.935982_6</t>
  </si>
  <si>
    <t>Oct.NODE_596_length_4436_cov_4.127368_7</t>
  </si>
  <si>
    <t>Oct.NODE_654_length_4169_cov_5.478610_3</t>
  </si>
  <si>
    <t>Oct.NODE_666_length_4131_cov_12.314524_2</t>
  </si>
  <si>
    <t>Oct.NODE_666_length_4131_cov_12.314524_4</t>
  </si>
  <si>
    <t>Oct.NODE_676_length_4081_cov_9.068554_1</t>
  </si>
  <si>
    <t>Oct.NODE_676_length_4081_cov_9.068554_2</t>
  </si>
  <si>
    <t>Oct.NODE_676_length_4081_cov_9.068554_3</t>
  </si>
  <si>
    <t>Oct.NODE_690_length_4033_cov_4.446456_1</t>
  </si>
  <si>
    <t>Oct.NODE_697_length_4009_cov_3.022762_5</t>
  </si>
  <si>
    <t>Structural protein n=1 Tax=Pantoea phage vB_PagM_AAM37 TaxID=2588093 RepID=A0A513ZYE5_9CAUD</t>
  </si>
  <si>
    <t>Oct.NODE_697_length_4009_cov_3.022762_6</t>
  </si>
  <si>
    <t>Uncharacterized protein n=1 Tax=Myoviridae sp. ct17M4 TaxID=2825016 RepID=A0A8S5TVF5_9CAUD</t>
  </si>
  <si>
    <t>Oct.NODE_697_length_4009_cov_3.022762_7</t>
  </si>
  <si>
    <t>Phage protein D n=1 Tax=[Haemophilus] felis TaxID=123822 RepID=A0A1T0B343_9PAST</t>
  </si>
  <si>
    <t>Oct.NODE_697_length_4009_cov_3.022762_9</t>
  </si>
  <si>
    <t>IraD/Gp25-like domain-containing protein n=1 Tax=Achromobacter veterisilvae TaxID=2069367 RepID=A0A446CHP7_9BURK</t>
  </si>
  <si>
    <t>Oct.NODE_715_length_3950_cov_11.532734_1</t>
  </si>
  <si>
    <t>Oct.NODE_719_length_3945_cov_12.092031_4</t>
  </si>
  <si>
    <t>Uncharacterized protein n=1 Tax=Sphingobium chlorophenolicum TaxID=46429 RepID=A0A081RCZ2_SPHCR</t>
  </si>
  <si>
    <t>Oct.NODE_719_length_3945_cov_12.092031_7</t>
  </si>
  <si>
    <t>Uncharacterized protein n=1 Tax=Roseobacter phage CRP-9 TaxID=2813174 RepID=A0A8E5BCV5_9CAUD</t>
  </si>
  <si>
    <t>Oct.NODE_728_length_3919_cov_55.502588_2</t>
  </si>
  <si>
    <t>Oct.NODE_728_length_3919_cov_55.502588_4</t>
  </si>
  <si>
    <t>Oct.NODE_728_length_3919_cov_55.502588_5</t>
  </si>
  <si>
    <t>Oct.NODE_728_length_3919_cov_55.502588_6</t>
  </si>
  <si>
    <t>Oct.NODE_728_length_3919_cov_55.502588_7</t>
  </si>
  <si>
    <t>Oct.NODE_731_length_3892_cov_3.792025_2</t>
  </si>
  <si>
    <t>Oct.NODE_731_length_3892_cov_3.792025_3</t>
  </si>
  <si>
    <t>Oct.NODE_750_length_3821_cov_26.646309_3</t>
  </si>
  <si>
    <t>Oct.NODE_750_length_3821_cov_26.646309_4</t>
  </si>
  <si>
    <t>Oct.NODE_773_length_3746_cov_3.753725_2</t>
  </si>
  <si>
    <t>Uncharacterized protein n=1 Tax=Rhodoferax fermentans TaxID=28066 RepID=A0A1T1APD4_RHOFE</t>
  </si>
  <si>
    <t>Oct.NODE_773_length_3746_cov_3.753725_3</t>
  </si>
  <si>
    <t>Uncharacterized protein n=1 Tax=Bradyrhizobium phage BDU-MI-1 TaxID=1983459 RepID=A0A1X9SGW1_9CAUD</t>
  </si>
  <si>
    <t>Oct.NODE_775_length_3735_cov_8.354348_2</t>
  </si>
  <si>
    <t>Oct.NODE_775_length_3735_cov_8.354348_5</t>
  </si>
  <si>
    <t>Oct.NODE_775_length_3735_cov_8.354348_6</t>
  </si>
  <si>
    <t>Portal n=1 Tax=Myoviridae sp. ctlRg1 TaxID=2826692 RepID=A0A8S5M6F6_9CAUD</t>
  </si>
  <si>
    <t>Oct.NODE_78_length_22629_cov_4.860991_11</t>
  </si>
  <si>
    <t>VOG04271 [FUNC="REFSEQ short tail fiber protein"] [TAG=Xu TAGDEF="Function unknown"]</t>
  </si>
  <si>
    <t>Conserved repeat domain protein n=1 Tax=Thiothrix nivea (strain ATCC 35100 / DSM 5205 / JP2) TaxID=870187 RepID=A0A656HEE8_THINJ</t>
  </si>
  <si>
    <t>Oct.NODE_78_length_22629_cov_4.860991_12</t>
  </si>
  <si>
    <t>VOG00172 [FUNC="REFSEQ virion structural protein"] [TAG=Xu TAGDEF="Function unknown"]</t>
  </si>
  <si>
    <t>Uncharacterized protein n=1 Tax=Aliikangiella coralliicola TaxID=2592383 RepID=A0A545U055_9GAMM</t>
  </si>
  <si>
    <t>Oct.NODE_78_length_22629_cov_4.860991_13</t>
  </si>
  <si>
    <t>Head-tail joining protein n=1 Tax=Salmonella phage ST-3 TaxID=2663323 RepID=A0A5Q2F7D2_9CAUD</t>
  </si>
  <si>
    <t>Oct.NODE_78_length_22629_cov_4.860991_14</t>
  </si>
  <si>
    <t>Uncharacterized protein n=1 Tax=Pseudoalteromonas phage H101 TaxID=1654919 RepID=A0A0H4ISS5_9CAUD</t>
  </si>
  <si>
    <t>Oct.NODE_78_length_22629_cov_4.860991_16</t>
  </si>
  <si>
    <t>TMhelix containing protein n=1 Tax=Vibrio phage 1.170.O._10N.261.52.C3 TaxID=1881390 RepID=A0A2I7RES0_9CAUD</t>
  </si>
  <si>
    <t>Oct.NODE_78_length_22629_cov_4.860991_17</t>
  </si>
  <si>
    <t>DUF3277 domain-containing protein n=1 Tax=Eikenella sp. HMSC073A11 TaxID=1739535 RepID=A0A1F0F447_9NEIS</t>
  </si>
  <si>
    <t>Oct.NODE_78_length_22629_cov_4.860991_22</t>
  </si>
  <si>
    <t>Uncharacterized protein n=1 Tax=Pseudoalteromonas phage J2-1 TaxID=2023998 RepID=A0A2D1GN94_9CAUD</t>
  </si>
  <si>
    <t>Oct.NODE_78_length_22629_cov_4.860991_5</t>
  </si>
  <si>
    <t>Oct.NODE_78_length_22629_cov_4.860991_7</t>
  </si>
  <si>
    <t>Oct.NODE_78_length_22629_cov_4.860991_8</t>
  </si>
  <si>
    <t>Uncharacterized protein n=1 Tax=Massilia oculi TaxID=945844 RepID=A0A2S2DDH3_9BURK</t>
  </si>
  <si>
    <t>Oct.NODE_78_length_22629_cov_4.860991_9</t>
  </si>
  <si>
    <t>Cadherin-like domain-containing protein n=2 Tax=Sulfidibacter corallicola TaxID=2818388 RepID=A0A8A4TIS1_SULCO</t>
  </si>
  <si>
    <t>Oct.NODE_783_length_3714_cov_9.905985_5</t>
  </si>
  <si>
    <t>Oct.NODE_785_length_3706_cov_7.256916_2</t>
  </si>
  <si>
    <t>Tail length tape measure protein n=1 Tax=Siphoviridae sp. ctOsn3 TaxID=2823577 RepID=A0A8S5LG69_9CAUD</t>
  </si>
  <si>
    <t>Oct.NODE_816_length_3589_cov_11.342388_2</t>
  </si>
  <si>
    <t>dATP/dGTP diphosphohydrolase N-terminal domain-containing protein n=1 Tax=Stenotrophomonas phage vB_SmaS-DLP_6 TaxID=1651816 RepID=A0A142EZY0_9CAUD</t>
  </si>
  <si>
    <t>Oct.NODE_84_length_21524_cov_20.230844_12</t>
  </si>
  <si>
    <t>Oct.NODE_84_length_21524_cov_20.230844_13</t>
  </si>
  <si>
    <t>N-acetyltransferase domain-containing protein n=1 Tax=Ketogulonicigenium robustum TaxID=92947 RepID=A0A1W6NZ54_9RHOB</t>
  </si>
  <si>
    <t>Oct.NODE_84_length_21524_cov_20.230844_14</t>
  </si>
  <si>
    <t>Oct.NODE_84_length_21524_cov_20.230844_15</t>
  </si>
  <si>
    <t>Oct.NODE_84_length_21524_cov_20.230844_3</t>
  </si>
  <si>
    <t>Oct.NODE_84_length_21524_cov_20.230844_5</t>
  </si>
  <si>
    <t>Portal (Connector) protein n=6 Tax=Icepovirus TaxID=2842751 RepID=A0A076G576_9CAUD</t>
  </si>
  <si>
    <t>Oct.NODE_84_length_21524_cov_20.230844_6</t>
  </si>
  <si>
    <t>Oct.NODE_84_length_21524_cov_20.230844_7</t>
  </si>
  <si>
    <t>Oct.NODE_84_length_21524_cov_20.230844_8</t>
  </si>
  <si>
    <t>Oct.NODE_84_length_21524_cov_20.230844_9</t>
  </si>
  <si>
    <t>Oct.NODE_843_length_3525_cov_47.200865_1</t>
  </si>
  <si>
    <t>Oct.NODE_847_length_3516_cov_5.212366_2</t>
  </si>
  <si>
    <t>Oct.NODE_860_length_3479_cov_5.491238_1</t>
  </si>
  <si>
    <t>Oct.NODE_860_length_3479_cov_5.491238_2</t>
  </si>
  <si>
    <t>Endonuclease VII n=1 Tax=Synechococcus phage S-B05 TaxID=2484637 RepID=A0A4Y5P1G0_9CAUD</t>
  </si>
  <si>
    <t>Oct.NODE_874_length_3418_cov_4.695213_1</t>
  </si>
  <si>
    <t>Oct.NODE_882_length_3396_cov_16.637534_3</t>
  </si>
  <si>
    <t>Oct.NODE_883_length_3389_cov_4.813437_2</t>
  </si>
  <si>
    <t>Oct.NODE_888_length_3379_cov_12.332732_1</t>
  </si>
  <si>
    <t>Internal virion protein A n=2 Tax=unclassified Fussvirus TaxID=2749257 RepID=A0A7S5Y934_9CAUD</t>
  </si>
  <si>
    <t>Oct.NODE_927_length_3271_cov_5.481965_5</t>
  </si>
  <si>
    <t>Oct.NODE_927_length_3271_cov_5.481965_6</t>
  </si>
  <si>
    <t>Oct.NODE_928_length_3270_cov_3.906065_6</t>
  </si>
  <si>
    <t>Minor tail protein n=1 Tax=Streptomyces phage RosePharie TaxID=2970488 RepID=A0A976SS33_9CAUD</t>
  </si>
  <si>
    <t>Oct.NODE_928_length_3270_cov_3.906065_7</t>
  </si>
  <si>
    <t>VOG18197 [FUNC="REFSEQ hypothetical protein"] [TAG=Xu TAGDEF="Function unknown"]</t>
  </si>
  <si>
    <t>Uncharacterized protein n=1 Tax=Egibacter rhizosphaerae TaxID=1670831 RepID=A0A411YDX3_9ACTN</t>
  </si>
  <si>
    <t>Oct.NODE_936_length_3247_cov_2.636278_5</t>
  </si>
  <si>
    <t>Oct.NODE_946_length_3224_cov_4.450615_2</t>
  </si>
  <si>
    <t>Oct.NODE_946_length_3224_cov_4.450615_3</t>
  </si>
  <si>
    <t>DNA transfer protein n=1 Tax=Podoviridae sp. ctKoA10 TaxID=2656709 RepID=A0A5Q2WAK0_9CAUD</t>
  </si>
  <si>
    <t>Oct.NODE_946_length_3224_cov_4.450615_4</t>
  </si>
  <si>
    <t>Oct.NODE_96_length_19348_cov_9.347069_1</t>
  </si>
  <si>
    <t>SprT-like family protein n=1 Tax=Algoriphagus antarcticus TaxID=238540 RepID=A0A3E0D2A4_9BACT</t>
  </si>
  <si>
    <t>Oct.NODE_96_length_19348_cov_9.347069_15</t>
  </si>
  <si>
    <t>C1q domain-containing protein n=1 Tax=Leptospira perdikensis TaxID=2484948 RepID=A0A4R9JC79_9LEPT</t>
  </si>
  <si>
    <t>Oct.NODE_96_length_19348_cov_9.347069_4</t>
  </si>
  <si>
    <t>Oct.NODE_96_length_19348_cov_9.347069_6</t>
  </si>
  <si>
    <t>Putative carbohydrate-binding module n=1 Tax=Synechococcus phage S-B05 TaxID=2484637 RepID=A0A4Y5P143_9CAUD</t>
  </si>
  <si>
    <t>Oct.NODE_962_length_3189_cov_3.640396_2</t>
  </si>
  <si>
    <t>Portal protein n=1 Tax=Rhizobium phage RHph_N2 TaxID=2509585 RepID=A0A7S5R9Z7_9CAUD</t>
  </si>
  <si>
    <t>Oct.NODE_962_length_3189_cov_3.640396_5</t>
  </si>
  <si>
    <t>sp|B0FIH3|CAPSD_BPE32 Major capsid protein OS=Escherichia phage Phieco32 OX=2679905 GN=phi32_11 PE=4 SV=1</t>
  </si>
  <si>
    <t>Head protein n=1 Tax=Vogesella indigofera TaxID=45465 RepID=A0A495BK11_VOGIN</t>
  </si>
  <si>
    <t>Oct.NODE_98_length_18794_cov_7.263194_19</t>
  </si>
  <si>
    <t>Oct.NODE_98_length_18794_cov_7.263194_2</t>
  </si>
  <si>
    <t>Oct.NODE_98_length_18794_cov_7.263194_6</t>
  </si>
  <si>
    <t>Oct.NODE_983_length_3135_cov_27.829870_1</t>
  </si>
  <si>
    <t>HNH nuclease domain-containing protein n=1 Tax=Synechococcus phage S-H1 TaxID=2488632 RepID=A0A3G6VAC3_9CAUD</t>
  </si>
  <si>
    <t>Oct.NODE_984_length_3133_cov_7.126056_1</t>
  </si>
  <si>
    <t>Oct.NODE_984_length_3133_cov_7.126056_2</t>
  </si>
  <si>
    <t>Oct.NODE_989_length_3128_cov_4.042629_4</t>
  </si>
  <si>
    <t>DNA cytosine methyltransferase n=7 Tax=Fernvirus TaxID=2843380 RepID=A0A345KQM6_9CAUD</t>
  </si>
  <si>
    <t>Oct.NODE_992_length_3118_cov_13.625857_1</t>
  </si>
  <si>
    <t>Uncharacterized protein n=1 Tax=Pusillimonas sp. (ex Stolz et al. 2005) TaxID=1979962 RepID=A0A2D7XAS1_9BURK</t>
  </si>
  <si>
    <t>Oct.NODE_992_length_3118_cov_13.625857_2</t>
  </si>
  <si>
    <t>Oct.NODE_992_length_3118_cov_13.625857_3</t>
  </si>
  <si>
    <t>Terminase large subunit n=1 Tax=Virus NIOZ-UU157 TaxID=2763269 RepID=A0A7S9SUE0_9VIRU</t>
  </si>
  <si>
    <t>Oct.NODE_993_length_3118_cov_4.537708_1</t>
  </si>
  <si>
    <t>Oct.NODE_993_length_3118_cov_4.537708_2</t>
  </si>
  <si>
    <t>Sept.NODE_1038_length_2269_cov_27.456640_1</t>
  </si>
  <si>
    <t>Sept.NODE_1038_length_2269_cov_27.456640_2</t>
  </si>
  <si>
    <t>Uncharacterized protein n=1 Tax=Thalassobius litoralis TaxID=1010611 RepID=A0A521FT98_9RHOB</t>
  </si>
  <si>
    <t>Sept.NODE_1038_length_2269_cov_27.456640_3</t>
  </si>
  <si>
    <t>Sept.NODE_104_length_13001_cov_9.114862_10</t>
  </si>
  <si>
    <t>HNH endonuclease n=1 Tax=Spiribacter salinus TaxID=1335746 RepID=A0A540V740_9GAMM</t>
  </si>
  <si>
    <t>Sept.NODE_104_length_13001_cov_9.114862_14</t>
  </si>
  <si>
    <t>Uncharacterized protein n=1 Tax=Ralstonia phage RsoP1EGY TaxID=2070026 RepID=A0A2R2ZGB8_9CAUD</t>
  </si>
  <si>
    <t>Sept.NODE_104_length_13001_cov_9.114862_19</t>
  </si>
  <si>
    <t>Head-tail connector protein n=1 Tax=Bordetella phage vB_BbrP_BB8 TaxID=2587820 RepID=A0A4Y5TNU6_9CAUD</t>
  </si>
  <si>
    <t>Sept.NODE_1071_length_2216_cov_4.825081_1</t>
  </si>
  <si>
    <t>Sept.NODE_1073_length_2215_cov_5.775000_1</t>
  </si>
  <si>
    <t>Sept.NODE_1078_length_2212_cov_3.619379_3</t>
  </si>
  <si>
    <t>Sept.NODE_1078_length_2212_cov_3.619379_4</t>
  </si>
  <si>
    <t>Sept.NODE_1102_length_2181_cov_33.964722_1</t>
  </si>
  <si>
    <t>Sept.NODE_1102_length_2181_cov_33.964722_2</t>
  </si>
  <si>
    <t>Sept.NODE_1102_length_2181_cov_33.964722_3</t>
  </si>
  <si>
    <t>Sept.NODE_1102_length_2181_cov_33.964722_4</t>
  </si>
  <si>
    <t>Sept.NODE_1106_length_2170_cov_18.304492_4</t>
  </si>
  <si>
    <t>DNA transfer protein n=1 Tax=Podoviridae sp. ctQNx1 TaxID=2656711 RepID=A0A5Q2W664_9CAUD</t>
  </si>
  <si>
    <t>Sept.NODE_1111_length_2166_cov_19.791094_1</t>
  </si>
  <si>
    <t>Tail fiber domain-containing protein n=1 Tax=Rhizobium phage RHph_I1_23 TaxID=2509727 RepID=A0A7S5RFP8_9CAUD</t>
  </si>
  <si>
    <t>Sept.NODE_1124_length_2145_cov_3.167943_1</t>
  </si>
  <si>
    <t>Sept.NODE_113_length_11702_cov_94.511891_20</t>
  </si>
  <si>
    <t>Sept.NODE_113_length_11702_cov_94.511891_21</t>
  </si>
  <si>
    <t>Sept.NODE_113_length_11702_cov_94.511891_22</t>
  </si>
  <si>
    <t>Sept.NODE_113_length_11702_cov_94.511891_9</t>
  </si>
  <si>
    <t>VOG00461 [FUNC="sp|O64201|VG05_BPMD2 Gene 5 protein"] [TAG=Xu TAGDEF="Function unknown"]</t>
  </si>
  <si>
    <t>Terminase small subunit n=1 Tax=Streptomyces sparsogenes DSM 40356 TaxID=1331668 RepID=A0A1R1S841_9ACTN</t>
  </si>
  <si>
    <t>Sept.NODE_114_length_11549_cov_14.463633_1</t>
  </si>
  <si>
    <t>Sept.NODE_114_length_11549_cov_14.463633_10</t>
  </si>
  <si>
    <t>Sept.NODE_114_length_11549_cov_14.463633_2</t>
  </si>
  <si>
    <t>Sept.NODE_114_length_11549_cov_14.463633_6</t>
  </si>
  <si>
    <t>Sept.NODE_114_length_11549_cov_14.463633_7</t>
  </si>
  <si>
    <t>Sept.NODE_114_length_11549_cov_14.463633_8</t>
  </si>
  <si>
    <t>Sept.NODE_1140_length_2127_cov_4.586873_2</t>
  </si>
  <si>
    <t>Uncharacterized protein n=1 Tax=Olea europaea subsp. europaea TaxID=158383 RepID=A0A8S0SF21_OLEEU</t>
  </si>
  <si>
    <t>Sept.NODE_1140_length_2127_cov_4.586873_3</t>
  </si>
  <si>
    <t>Uncharacterized protein n=1 Tax=Marivibrio halodurans TaxID=2039722 RepID=A0A8J7RYZ7_9PROT</t>
  </si>
  <si>
    <t>Sept.NODE_1162_length_2097_cov_5.296278_2</t>
  </si>
  <si>
    <t>Putative HNH endonuclease n=1 Tax=Roseobacter phage CRP-2 TaxID=2559281 RepID=A0A646QVP6_9CAUD</t>
  </si>
  <si>
    <t>Sept.NODE_1169_length_2090_cov_3.529238_1</t>
  </si>
  <si>
    <t>VOG02508 [FUNC="sp|P06023|GAM_BPMU Putative DNA ends protecting protein gam"] [TAG=Xh TAGDEF="Virus protein with function beneficial for the host"]</t>
  </si>
  <si>
    <t>Putative host-nuclease inhibitor protein n=1 Tax=Freshwater phage uvFW-CGR-AMD-COM-C203 TaxID=1838151 RepID=A0A1B0XTM6_9CAUD</t>
  </si>
  <si>
    <t>Sept.NODE_1169_length_2090_cov_3.529238_3</t>
  </si>
  <si>
    <t>DNA single strand annealing protein Erf n=1 Tax=Freshwater phage uvFW-CGR-AMD-COM-C203 TaxID=1838151 RepID=A0A1B0XTM7_9CAUD</t>
  </si>
  <si>
    <t>Sept.NODE_1169_length_2090_cov_3.529238_4</t>
  </si>
  <si>
    <t>Helix-turn-helix domain-containing protein n=7 Tax=Terrabacteria group TaxID=1783272 RepID=A0A2I1IQH2_9ACTO</t>
  </si>
  <si>
    <t>Sept.NODE_1182_length_2081_cov_4.782823_1</t>
  </si>
  <si>
    <t>Sept.NODE_1182_length_2081_cov_4.782823_2</t>
  </si>
  <si>
    <t>Sept.NODE_1221_length_2040_cov_4.848866_2</t>
  </si>
  <si>
    <t>Sept.NODE_1223_length_2035_cov_12.999495_1</t>
  </si>
  <si>
    <t>Restriction endonuclease n=1 Tax=Siphoviridae sp. ctxc31 TaxID=2826520 RepID=A0A8S5MMI1_9CAUD</t>
  </si>
  <si>
    <t>Sept.NODE_1223_length_2035_cov_12.999495_2</t>
  </si>
  <si>
    <t>Sept.NODE_1226_length_2028_cov_3.719716_1</t>
  </si>
  <si>
    <t>Sept.NODE_1241_length_2013_cov_4.327886_1</t>
  </si>
  <si>
    <t>VOG32891 [FUNC="REFSEQ hypothetical protein"] [TAG=Xu TAGDEF="Function unknown"]</t>
  </si>
  <si>
    <t>Minor tail protein n=1 Tax=Streptomyces sp. CB02130 TaxID=1703934 RepID=A0A1Q5FVQ0_9ACTN</t>
  </si>
  <si>
    <t>Sept.NODE_1241_length_2013_cov_4.327886_4</t>
  </si>
  <si>
    <t>Sept.NODE_1245_length_2006_cov_45.664787_2</t>
  </si>
  <si>
    <t>Sept.NODE_1248_length_2005_cov_4.048718_2</t>
  </si>
  <si>
    <t>Sept.NODE_1248_length_2005_cov_4.048718_3</t>
  </si>
  <si>
    <t>Sept.NODE_1250_length_2003_cov_4.890144_1</t>
  </si>
  <si>
    <t>Prophage tail length tape measure protein n=1 Tax=Pelagibius litoralis TaxID=374515 RepID=A0A967CAY3_9HYPH</t>
  </si>
  <si>
    <t>Sept.NODE_126_length_11052_cov_5.369283_2</t>
  </si>
  <si>
    <t>Sept.NODE_126_length_11052_cov_5.369283_3</t>
  </si>
  <si>
    <t>Sept.NODE_126_length_11052_cov_5.369283_4</t>
  </si>
  <si>
    <t>Sept.NODE_126_length_11052_cov_5.369283_6</t>
  </si>
  <si>
    <t>Sept.NODE_139_length_10378_cov_50.039427_2</t>
  </si>
  <si>
    <t>Sept.NODE_139_length_10378_cov_50.039427_3</t>
  </si>
  <si>
    <t>Sept.NODE_139_length_10378_cov_50.039427_4</t>
  </si>
  <si>
    <t>Sept.NODE_139_length_10378_cov_50.039427_6</t>
  </si>
  <si>
    <t>Sept.NODE_154_length_9333_cov_4.224402_5</t>
  </si>
  <si>
    <t>Sept.NODE_167_length_8580_cov_50.966921_1</t>
  </si>
  <si>
    <t>Sept.NODE_167_length_8580_cov_50.966921_2</t>
  </si>
  <si>
    <t>Sept.NODE_167_length_8580_cov_50.966921_3</t>
  </si>
  <si>
    <t>Sept.NODE_167_length_8580_cov_50.966921_5</t>
  </si>
  <si>
    <t>Sept.NODE_167_length_8580_cov_50.966921_6</t>
  </si>
  <si>
    <t>Sept.NODE_176_length_8063_cov_18.327173_2</t>
  </si>
  <si>
    <t>DNA or RNA helicase of superfamily II n=1 Tax=Thermocrinis Great Boiling Spring virus TaxID=2770617 RepID=A0A823A4F6_9VIRU</t>
  </si>
  <si>
    <t>Sept.NODE_176_length_8063_cov_18.327173_4</t>
  </si>
  <si>
    <t>VOG04627 [FUNC="REFSEQ hypothetical protein"] [TAG=Xu TAGDEF="Function unknown"]</t>
  </si>
  <si>
    <t>PD-(D/E)XK endonuclease-like domain-containing protein n=2 Tax=Callevirus TaxID=2948648 RepID=R9ZY39_9CAUD</t>
  </si>
  <si>
    <t>Sept.NODE_183_length_7901_cov_6.751338_11</t>
  </si>
  <si>
    <t>Head decoration protein n=1 Tax=Mesorhizobium sp. B2-8-9 TaxID=2589899 RepID=A0A502TQF9_9HYPH</t>
  </si>
  <si>
    <t>Sept.NODE_183_length_7901_cov_6.751338_12</t>
  </si>
  <si>
    <t>Uncharacterized protein n=1 Tax=Maricaulis maris TaxID=74318 RepID=A0A495DLT8_9PROT</t>
  </si>
  <si>
    <t>Sept.NODE_183_length_7901_cov_6.751338_8</t>
  </si>
  <si>
    <t>Tip attachment protein J domain-containing protein n=1 Tax=Oceanicaulis sp. HTCC2633 TaxID=314254 RepID=A3UIU9_9PROT</t>
  </si>
  <si>
    <t>Sept.NODE_184_length_7841_cov_4.225148_1</t>
  </si>
  <si>
    <t>Sept.NODE_184_length_7841_cov_4.225148_10</t>
  </si>
  <si>
    <t>sp|P04519|GSTA_BPT4 DNA alpha-glucosyltransferase OS=Enterobacteria phage T4 OX=10665 GN=agt PE=1 SV=1</t>
  </si>
  <si>
    <t>VOG08159 [FUNC="sp|P04519|GSTA_BPT4 DNA alpha-glucosyltransferase"] [TAG=Xh TAGDEF="Virus protein with function beneficial for the host"]</t>
  </si>
  <si>
    <t>DNA alpha-glucosyltransferase n=1 Tax=Erwinia phage Cronus TaxID=2163633 RepID=A0A2S1GM75_9CAUD</t>
  </si>
  <si>
    <t>Sept.NODE_184_length_7841_cov_4.225148_3</t>
  </si>
  <si>
    <t>DNA polymerase n=1 Tax=Pusillimonas sp. (ex Stolz et al. 2005) TaxID=1979962 RepID=A0A2D7XIB6_9BURK</t>
  </si>
  <si>
    <t>Sept.NODE_184_length_7841_cov_4.225148_4</t>
  </si>
  <si>
    <t>Sept.NODE_184_length_7841_cov_4.225148_5</t>
  </si>
  <si>
    <t>Sept.NODE_184_length_7841_cov_4.225148_7</t>
  </si>
  <si>
    <t>Sept.NODE_212_length_6860_cov_56.172079_1</t>
  </si>
  <si>
    <t>DNA-packaging protein (Fragment) n=1 Tax=Vibrio phage 1.076.O._10N.286.51.B7 TaxID=2070720 RepID=A0A2I7QVT4_9CAUD</t>
  </si>
  <si>
    <t>Sept.NODE_212_length_6860_cov_56.172079_2</t>
  </si>
  <si>
    <t>Putative endonuclease n=1 Tax=Pseudomonas phage MR14 TaxID=2711178 RepID=A0A6M3TDX8_9CAUD</t>
  </si>
  <si>
    <t>Sept.NODE_215_length_6821_cov_4.521726_3</t>
  </si>
  <si>
    <t>Sept.NODE_215_length_6821_cov_4.521726_5</t>
  </si>
  <si>
    <t>Sept.NODE_215_length_6821_cov_4.521726_6</t>
  </si>
  <si>
    <t>Sept.NODE_215_length_6821_cov_4.521726_8</t>
  </si>
  <si>
    <t>Sept.NODE_215_length_6821_cov_4.521726_9</t>
  </si>
  <si>
    <t>Sept.NODE_229_length_6523_cov_52.405690_2</t>
  </si>
  <si>
    <t>Sept.NODE_229_length_6523_cov_52.405690_5</t>
  </si>
  <si>
    <t>Sept.NODE_244_length_6323_cov_6.800893_12</t>
  </si>
  <si>
    <t>Major capsid protein n=1 Tax=Freshwater phage uvFW-CGR-AMD-COM-C493 TaxID=1838157 RepID=A0A1B0XUL7_9CAUD</t>
  </si>
  <si>
    <t>Sept.NODE_244_length_6323_cov_6.800893_13</t>
  </si>
  <si>
    <t>Sept.NODE_244_length_6323_cov_6.800893_8</t>
  </si>
  <si>
    <t>Sept.NODE_244_length_6323_cov_6.800893_9</t>
  </si>
  <si>
    <t>Tail assembly chaperone n=1 Tax=Streptomyces phage WRightOn TaxID=2053723 RepID=A0A2H4PI47_9CAUD</t>
  </si>
  <si>
    <t>Sept.NODE_250_length_6152_cov_30.397737_1</t>
  </si>
  <si>
    <t>Sept.NODE_250_length_6152_cov_30.397737_3</t>
  </si>
  <si>
    <t>Sept.NODE_250_length_6152_cov_30.397737_4</t>
  </si>
  <si>
    <t>Sept.NODE_250_length_6152_cov_30.397737_5</t>
  </si>
  <si>
    <t>Sept.NODE_253_length_6083_cov_195.376410_3</t>
  </si>
  <si>
    <t>Coil containing protein n=1 Tax=Vibrio phage 1.110.O._10N.261.52.C1 TaxID=1881195 RepID=A0A2I7R3H8_9CAUD</t>
  </si>
  <si>
    <t>Sept.NODE_255_length_6045_cov_48.327880_1</t>
  </si>
  <si>
    <t>Sept.NODE_255_length_6045_cov_48.327880_2</t>
  </si>
  <si>
    <t>Sept.NODE_255_length_6045_cov_48.327880_3</t>
  </si>
  <si>
    <t>Sept.NODE_255_length_6045_cov_48.327880_5</t>
  </si>
  <si>
    <t>Sept.NODE_265_length_5912_cov_87.377156_12</t>
  </si>
  <si>
    <t>VOG19854 [FUNC="REFSEQ tail protein"] [TAG=Xu TAGDEF="Function unknown"]</t>
  </si>
  <si>
    <t>Minor tail protein n=1 Tax=Arthrobacter phage KellEzio TaxID=1796995 RepID=A0A140G6C0_9CAUD</t>
  </si>
  <si>
    <t>Sept.NODE_265_length_5912_cov_87.377156_5</t>
  </si>
  <si>
    <t>Sept.NODE_265_length_5912_cov_87.377156_6</t>
  </si>
  <si>
    <t>Sept.NODE_267_length_5878_cov_62.707367_2</t>
  </si>
  <si>
    <t>dATP/dGTP diphosphohydrolase N-terminal domain-containing protein n=1 Tax=Synechococcus phage MRHenn-2013a TaxID=2791035 RepID=M1PJC3_9CAUD</t>
  </si>
  <si>
    <t>Sept.NODE_280_length_5543_cov_50.885751_4</t>
  </si>
  <si>
    <t>Sept.NODE_280_length_5543_cov_50.885751_5</t>
  </si>
  <si>
    <t>Sept.NODE_280_length_5543_cov_50.885751_6</t>
  </si>
  <si>
    <t>Sept.NODE_294_length_5368_cov_56.468850_8</t>
  </si>
  <si>
    <t>Uncharacterized protein n=1 Tax=Siphoviridae sp. ctE6L85 TaxID=2826202 RepID=A0A8S5QQT8_9CAUD</t>
  </si>
  <si>
    <t>Sept.NODE_295_length_5365_cov_6.617137_1</t>
  </si>
  <si>
    <t>Sept.NODE_295_length_5365_cov_6.617137_2</t>
  </si>
  <si>
    <t>Capsid assembly protein n=1 Tax=Methylophilales phage MEP301 TaxID=2806696 RepID=A0A8B6T3V5_9CAUD</t>
  </si>
  <si>
    <t>Sept.NODE_295_length_5365_cov_6.617137_3</t>
  </si>
  <si>
    <t>Major capsid protein n=1 Tax=Methylophilales phage MEP301 TaxID=2806696 RepID=A0A8B6T3V4_9CAUD</t>
  </si>
  <si>
    <t>Sept.NODE_295_length_5365_cov_6.617137_5</t>
  </si>
  <si>
    <t>Tail tubular protein A n=1 Tax=Methylophilales phage MEP301 TaxID=2806696 RepID=A0A894JZ19_9CAUD</t>
  </si>
  <si>
    <t>Sept.NODE_295_length_5365_cov_6.617137_6</t>
  </si>
  <si>
    <t>Putative tail tubular protein B n=1 Tax=Methylophilales phage MEP301 TaxID=2806696 RepID=A0A894JVI7_9CAUD</t>
  </si>
  <si>
    <t>Sept.NODE_296_length_5347_cov_8.580688_4</t>
  </si>
  <si>
    <t>VOG33458 [FUNC="REFSEQ portal protein"] [TAG=Xu TAGDEF="Function unknown"]</t>
  </si>
  <si>
    <t>Phage tail protein n=1 Tax=Mesorhizobium sp. Root552 TaxID=1736555 RepID=A0A0Q7VUV2_9HYPH</t>
  </si>
  <si>
    <t>Sept.NODE_301_length_5302_cov_38.608348_10</t>
  </si>
  <si>
    <t>Sept.NODE_301_length_5302_cov_38.608348_3</t>
  </si>
  <si>
    <t>Sept.NODE_301_length_5302_cov_38.608348_6</t>
  </si>
  <si>
    <t>Sept.NODE_301_length_5302_cov_38.608348_7</t>
  </si>
  <si>
    <t>Sept.NODE_301_length_5302_cov_38.608348_8</t>
  </si>
  <si>
    <t>Sept.NODE_309_length_5250_cov_136.076805_1</t>
  </si>
  <si>
    <t>Sept.NODE_309_length_5250_cov_136.076805_2</t>
  </si>
  <si>
    <t>DUF5872 domain-containing protein n=1 Tax=Gammaproteobacteria virus GOV_bin_2604 TaxID=2562602 RepID=A0A4D6BGS6_9CAUD</t>
  </si>
  <si>
    <t>Sept.NODE_309_length_5250_cov_136.076805_4</t>
  </si>
  <si>
    <t>Sept.NODE_309_length_5250_cov_136.076805_5</t>
  </si>
  <si>
    <t>Uncharacterized protein n=1 Tax=Gammaproteobacteria virus GOV_bin_2604 TaxID=2562602 RepID=A0A4D6BJE9_9CAUD</t>
  </si>
  <si>
    <t>Sept.NODE_309_length_5250_cov_136.076805_7</t>
  </si>
  <si>
    <t>Uncharacterized protein n=1 Tax=Pusillimonas sp. (ex Stolz et al. 2005) TaxID=1979962 RepID=A0A2D7XEH8_9BURK</t>
  </si>
  <si>
    <t>Sept.NODE_309_length_5250_cov_136.076805_8</t>
  </si>
  <si>
    <t>Sept.NODE_311_length_5209_cov_6.750873_1</t>
  </si>
  <si>
    <t>Sept.NODE_311_length_5209_cov_6.750873_2</t>
  </si>
  <si>
    <t>Sept.NODE_311_length_5209_cov_6.750873_3</t>
  </si>
  <si>
    <t>Sept.NODE_311_length_5209_cov_6.750873_4</t>
  </si>
  <si>
    <t>Sept.NODE_314_length_5194_cov_58.192450_1</t>
  </si>
  <si>
    <t>Sept.NODE_314_length_5194_cov_58.192450_3</t>
  </si>
  <si>
    <t>Sept.NODE_314_length_5194_cov_58.192450_4</t>
  </si>
  <si>
    <t>Sept.NODE_321_length_5146_cov_10.481241_2</t>
  </si>
  <si>
    <t>Head-tail connector protein n=1 Tax=Pelagibacter phage HTVC010P TaxID=1283077 RepID=M1INZ1_9CAUD</t>
  </si>
  <si>
    <t>Sept.NODE_321_length_5146_cov_10.481241_3</t>
  </si>
  <si>
    <t>Sept.NODE_321_length_5146_cov_10.481241_4</t>
  </si>
  <si>
    <t>Major capsid protein n=1 Tax=Pusillimonas sp. (ex Stolz et al. 2005) TaxID=1979962 RepID=A0A2D7XIF5_9BURK</t>
  </si>
  <si>
    <t>Sept.NODE_321_length_5146_cov_10.481241_5</t>
  </si>
  <si>
    <t>Sept.NODE_326_length_5098_cov_4.291295_2</t>
  </si>
  <si>
    <t>Sept.NODE_326_length_5098_cov_4.291295_3</t>
  </si>
  <si>
    <t>Sept.NODE_328_length_5063_cov_5.397764_1</t>
  </si>
  <si>
    <t>Sept.NODE_328_length_5063_cov_5.397764_2</t>
  </si>
  <si>
    <t>Sept.NODE_328_length_5063_cov_5.397764_4</t>
  </si>
  <si>
    <t>Sept.NODE_328_length_5063_cov_5.397764_5</t>
  </si>
  <si>
    <t>Clamp loader subunit n=1 Tax=Lake Baikal phage Baikal-20-5m-C28 TaxID=2047876 RepID=A0A2H4N7P8_9CAUD</t>
  </si>
  <si>
    <t>Sept.NODE_328_length_5063_cov_5.397764_6</t>
  </si>
  <si>
    <t>Sept.NODE_329_length_5057_cov_43.348461_1</t>
  </si>
  <si>
    <t>Sept.NODE_342_length_4909_cov_6.039143_7</t>
  </si>
  <si>
    <t>sp|Q9SZ06|EF109_ARATH Ethylene-responsive transcription factor ERF109 OS=Arabidopsis thaliana OX=3702 GN=ERF109 PE=1 SV=1</t>
  </si>
  <si>
    <t>HNH endonuclease n=1 Tax=Brucella intermedia TaxID=94625 RepID=A0A7Y7GML9_9HYPH</t>
  </si>
  <si>
    <t>Sept.NODE_342_length_4909_cov_6.039143_9</t>
  </si>
  <si>
    <t>Sept.NODE_349_length_4838_cov_17.350617_1</t>
  </si>
  <si>
    <t>Sept.NODE_349_length_4838_cov_17.350617_3</t>
  </si>
  <si>
    <t>Sept.NODE_349_length_4838_cov_17.350617_6</t>
  </si>
  <si>
    <t>Sept.NODE_358_length_4635_cov_3.001528_7</t>
  </si>
  <si>
    <t>Uncharacterized protein n=1 Tax=Podoviridae sp. cty5g4 TaxID=2656717 RepID=A0A5Q2WAJ8_9CAUD</t>
  </si>
  <si>
    <t>Sept.NODE_363_length_4577_cov_7.199027_6</t>
  </si>
  <si>
    <t>Sept.NODE_363_length_4577_cov_7.199027_7</t>
  </si>
  <si>
    <t>Sept.NODE_368_length_4519_cov_52.705421_1</t>
  </si>
  <si>
    <t>Sept.NODE_368_length_4519_cov_52.705421_2</t>
  </si>
  <si>
    <t>Sept.NODE_368_length_4519_cov_52.705421_3</t>
  </si>
  <si>
    <t>Sept.NODE_374_length_4493_cov_110.821992_10</t>
  </si>
  <si>
    <t>Sept.NODE_374_length_4493_cov_110.821992_7</t>
  </si>
  <si>
    <t>Sept.NODE_377_length_4468_cov_6.234081_4</t>
  </si>
  <si>
    <t>Sept.NODE_377_length_4468_cov_6.234081_6</t>
  </si>
  <si>
    <t>Sept.NODE_387_length_4353_cov_4.628664_2</t>
  </si>
  <si>
    <t>Sept.NODE_387_length_4353_cov_4.628664_3</t>
  </si>
  <si>
    <t>Sept.NODE_387_length_4353_cov_4.628664_5</t>
  </si>
  <si>
    <t>Sept.NODE_390_length_4343_cov_5.738340_2</t>
  </si>
  <si>
    <t>Phage head-tail joining protein n=2 Tax=Cellulophaga phage phi18:1 TaxID=1327982 RepID=S0A446_9CAUD</t>
  </si>
  <si>
    <t>Sept.NODE_390_length_4343_cov_5.738340_3</t>
  </si>
  <si>
    <t>Sept.NODE_398_length_4300_cov_5.742285_3</t>
  </si>
  <si>
    <t>Sept.NODE_398_length_4300_cov_5.742285_6</t>
  </si>
  <si>
    <t>Sept.NODE_399_length_4292_cov_8.695539_2</t>
  </si>
  <si>
    <t>Phage portal protein n=1 Tax=Azospirillum argentinense TaxID=2970906 RepID=A0A060DG29_9PROT</t>
  </si>
  <si>
    <t>Sept.NODE_416_length_4172_cov_5.474860_1</t>
  </si>
  <si>
    <t>Sept.NODE_425_length_4130_cov_204.285153_2</t>
  </si>
  <si>
    <t>Sept.NODE_431_length_4101_cov_4.268413_1</t>
  </si>
  <si>
    <t>Sept.NODE_431_length_4101_cov_4.268413_2</t>
  </si>
  <si>
    <t>Sept.NODE_431_length_4101_cov_4.268413_3</t>
  </si>
  <si>
    <t>Sept.NODE_431_length_4101_cov_4.268413_4</t>
  </si>
  <si>
    <t>Sept.NODE_434_length_4079_cov_4.062127_2</t>
  </si>
  <si>
    <t>ERF superfamily protein n=1 Tax=Podoviridae sp. ctKoA10 TaxID=2656709 RepID=A0A5Q2W7R6_9CAUD</t>
  </si>
  <si>
    <t>Sept.NODE_438_length_4045_cov_5.016291_1</t>
  </si>
  <si>
    <t>Uncharacterized protein n=1 Tax=Thalassobius litoralis TaxID=1010611 RepID=A0A521FTH9_9RHOB</t>
  </si>
  <si>
    <t>Sept.NODE_438_length_4045_cov_5.016291_3</t>
  </si>
  <si>
    <t>VOG33407 [FUNC="REFSEQ tail fiber protein"] [TAG=Xu TAGDEF="Function unknown"]</t>
  </si>
  <si>
    <t>Sept.NODE_450_length_3976_cov_14.713083_1</t>
  </si>
  <si>
    <t>Sept.NODE_450_length_3976_cov_14.713083_4</t>
  </si>
  <si>
    <t>Sept.NODE_456_length_3932_cov_4.919783_5</t>
  </si>
  <si>
    <t>Terminase n=1 Tax=Brevibacillus sp. SYP-B805 TaxID=1578199 RepID=A0A6M1TX22_9BACL</t>
  </si>
  <si>
    <t>Sept.NODE_456_length_3932_cov_4.919783_7</t>
  </si>
  <si>
    <t>VOG01527 [FUNC="sp|P25477|CAPSD_BPP2 Capsid proteins"] [TAG=Xh TAGDEF="Virus protein with function beneficial for the host"]</t>
  </si>
  <si>
    <t>XkdG n=1 Tax=Vibrio phage VH2_2019 TaxID=2686309 RepID=A0A6B9STZ1_9CAUD</t>
  </si>
  <si>
    <t>Sept.NODE_457_length_3928_cov_21.540150_2</t>
  </si>
  <si>
    <t>Sept.NODE_457_length_3928_cov_21.540150_3</t>
  </si>
  <si>
    <t>Sept.NODE_457_length_3928_cov_21.540150_5</t>
  </si>
  <si>
    <t>Sept.NODE_472_length_3823_cov_3.977176_2</t>
  </si>
  <si>
    <t>Head to tail connecting protein n=1 Tax=Podoviridae sp. ct2cs2 TaxID=2656707 RepID=A0A5Q2W7I8_9CAUD</t>
  </si>
  <si>
    <t>Sept.NODE_481_length_3768_cov_5.534069_2</t>
  </si>
  <si>
    <t>Sept.NODE_481_length_3768_cov_5.534069_3</t>
  </si>
  <si>
    <t>Uncharacterized protein n=1 Tax=Muricauda sp. TMED12 TaxID=1986608 RepID=A0A3R7VP13_9FLAO</t>
  </si>
  <si>
    <t>Sept.NODE_481_length_3768_cov_5.534069_4</t>
  </si>
  <si>
    <t>Sept.NODE_481_length_3768_cov_5.534069_6</t>
  </si>
  <si>
    <t>Sept.NODE_483_length_3762_cov_24.779336_2</t>
  </si>
  <si>
    <t>VOG05048 [FUNC="REFSEQ hypothetical protein"] [TAG=Xu TAGDEF="Function unknown"]</t>
  </si>
  <si>
    <t>Capsid assembly protein n=1 Tax=Burkholderia lata (strain ATCC 17760 / DSM 23089 / LMG 22485 / NCIMB 9086 / R18194 / 383) TaxID=482957 RepID=A0A6P2W8D2_BURL3</t>
  </si>
  <si>
    <t>Sept.NODE_483_length_3762_cov_24.779336_3</t>
  </si>
  <si>
    <t>Putative major capsid protein n=2 Tax=unclassified Caudoviricetes TaxID=2788787 RepID=A0A7D7FA62_9CAUD</t>
  </si>
  <si>
    <t>Sept.NODE_484_length_3759_cov_8.534017_3</t>
  </si>
  <si>
    <t>Uncharacterized protein n=1 Tax=Pelagibius litoralis TaxID=374515 RepID=A0A967EUV9_9HYPH</t>
  </si>
  <si>
    <t>Sept.NODE_484_length_3759_cov_8.534017_4</t>
  </si>
  <si>
    <t>Sept.NODE_484_length_3759_cov_8.534017_5</t>
  </si>
  <si>
    <t>Sept.NODE_484_length_3759_cov_8.534017_6</t>
  </si>
  <si>
    <t>Sept.NODE_489_length_3743_cov_6.157538_5</t>
  </si>
  <si>
    <t>Large polyvalent protein associated domain-containing protein n=1 Tax=Freshwater phage uvFW-CGR-AMD-COM-C493 TaxID=1838157 RepID=A0A1B0XUH6_9CAUD</t>
  </si>
  <si>
    <t>Sept.NODE_507_length_3660_cov_163.423578_4</t>
  </si>
  <si>
    <t>Sept.NODE_512_length_3644_cov_54.654500_1</t>
  </si>
  <si>
    <t>Sept.NODE_520_length_3599_cov_25.326749_6</t>
  </si>
  <si>
    <t>Sept.NODE_528_length_3560_cov_2.986305_5</t>
  </si>
  <si>
    <t>VRR-NUC domain-containing protein n=2 Tax=Paracoccus hibiscisoli TaxID=2023261 RepID=A0A4U0RCC9_9RHOB</t>
  </si>
  <si>
    <t>Sept.NODE_528_length_3560_cov_2.986305_6</t>
  </si>
  <si>
    <t>Sept.NODE_528_length_3560_cov_2.986305_7</t>
  </si>
  <si>
    <t>Sept.NODE_528_length_3560_cov_2.986305_8</t>
  </si>
  <si>
    <t>Sept.NODE_531_length_3550_cov_43.767096_1</t>
  </si>
  <si>
    <t>Sept.NODE_535_length_3542_cov_7.167192_1</t>
  </si>
  <si>
    <t>Sept.NODE_535_length_3542_cov_7.167192_2</t>
  </si>
  <si>
    <t>Sept.NODE_540_length_3528_cov_2.960265_1</t>
  </si>
  <si>
    <t>Sept.NODE_543_length_3512_cov_29.563784_3</t>
  </si>
  <si>
    <t>VRR-NUC domain-containing protein n=1 Tax=Bradyrhizobium zhanjiangense TaxID=1325107 RepID=A0A4Q0Q7M4_9BRAD</t>
  </si>
  <si>
    <t>Sept.NODE_543_length_3512_cov_29.563784_4</t>
  </si>
  <si>
    <t>VOG18287 [FUNC="REFSEQ hypothetical protein"] [TAG=Xu TAGDEF="Function unknown"]</t>
  </si>
  <si>
    <t>Uncharacterized protein n=1 Tax=Pseudomonas phage Itty13 TaxID=2805750 RepID=A0A889IR09_9CAUD</t>
  </si>
  <si>
    <t>Sept.NODE_555_length_3459_cov_5.765276_1</t>
  </si>
  <si>
    <t>Sept.NODE_555_length_3459_cov_5.765276_3</t>
  </si>
  <si>
    <t>Sept.NODE_555_length_3459_cov_5.765276_4</t>
  </si>
  <si>
    <t>Sept.NODE_556_length_3456_cov_5.386357_1</t>
  </si>
  <si>
    <t>Sept.NODE_556_length_3456_cov_5.386357_2</t>
  </si>
  <si>
    <t>Sept.NODE_556_length_3456_cov_5.386357_3</t>
  </si>
  <si>
    <t>Sept.NODE_564_length_3412_cov_32.277927_1</t>
  </si>
  <si>
    <t>Sept.NODE_564_length_3412_cov_32.277927_2</t>
  </si>
  <si>
    <t>Sept.NODE_564_length_3412_cov_32.277927_4</t>
  </si>
  <si>
    <t>Sept.NODE_569_length_3389_cov_4.134073_2</t>
  </si>
  <si>
    <t>Sept.NODE_569_length_3389_cov_4.134073_4</t>
  </si>
  <si>
    <t>Sept.NODE_569_length_3389_cov_4.134073_5</t>
  </si>
  <si>
    <t>Sept.NODE_584_length_3304_cov_5.498615_1</t>
  </si>
  <si>
    <t>Sept.NODE_591_length_3283_cov_4.514250_2</t>
  </si>
  <si>
    <t>Phage major capsid protein n=1 Tax=Thalassospira marina TaxID=2048283 RepID=A0A2N3KY48_9PROT</t>
  </si>
  <si>
    <t>Sept.NODE_591_length_3283_cov_4.514250_3</t>
  </si>
  <si>
    <t>Sept.NODE_591_length_3283_cov_4.514250_6</t>
  </si>
  <si>
    <t>Tail tubular protein n=1 Tax=Siphoviridae sp. ctdEk19 TaxID=2656720 RepID=A0A5Q2W912_9CAUD</t>
  </si>
  <si>
    <t>Sept.NODE_591_length_3283_cov_4.514250_7</t>
  </si>
  <si>
    <t>Stabilization protein n=1 Tax=Siphoviridae sp. ctdEk19 TaxID=2656720 RepID=A0A5Q2WA75_9CAUD</t>
  </si>
  <si>
    <t>Sept.NODE_611_length_3206_cov_5.492859_1</t>
  </si>
  <si>
    <t>Biopolymer transporter ExbD n=1 Tax=Hydrocarboniphaga effusa AP103 TaxID=1172194 RepID=I8TC41_9GAMM</t>
  </si>
  <si>
    <t>Sept.NODE_611_length_3206_cov_5.492859_3</t>
  </si>
  <si>
    <t>Sept.NODE_611_length_3206_cov_5.492859_5</t>
  </si>
  <si>
    <t>Virion structural protein n=1 Tax=Aeromonas phage Ah1 TaxID=2053701 RepID=A0A2H4YEM7_9CAUD</t>
  </si>
  <si>
    <t>Sept.NODE_628_length_3154_cov_47.408842_1</t>
  </si>
  <si>
    <t>Sept.NODE_628_length_3154_cov_47.408842_2</t>
  </si>
  <si>
    <t>Uncharacterized protein n=1 Tax=Roseobacter phage CRP-5 TaxID=2559284 RepID=A0A646QWD1_9CAUD</t>
  </si>
  <si>
    <t>Sept.NODE_628_length_3154_cov_47.408842_3</t>
  </si>
  <si>
    <t>Sept.NODE_649_length_3089_cov_3.683586_4</t>
  </si>
  <si>
    <t>Sept.NODE_649_length_3089_cov_3.683586_5</t>
  </si>
  <si>
    <t>Sept.NODE_651_length_3074_cov_6.214972_3</t>
  </si>
  <si>
    <t>VOG13586 [FUNC="REFSEQ hypothetical protein"] [TAG=Xu TAGDEF="Function unknown"]</t>
  </si>
  <si>
    <t>Resuscitation-promoting factor core lysozyme-like domain-containing protein n=1 Tax=Streptomyces phage TunaTartare TaxID=2848887 RepID=A0A8F2IW49_9CAUD</t>
  </si>
  <si>
    <t>Sept.NODE_652_length_3074_cov_4.121895_1</t>
  </si>
  <si>
    <t>Sept.NODE_659_length_3057_cov_5.261492_3</t>
  </si>
  <si>
    <t>Sept.NODE_659_length_3057_cov_5.261492_5</t>
  </si>
  <si>
    <t>Sept.NODE_664_length_3038_cov_4.305397_2</t>
  </si>
  <si>
    <t>Sept.NODE_664_length_3038_cov_4.305397_3</t>
  </si>
  <si>
    <t>Sept.NODE_68_length_19049_cov_12.264083_17</t>
  </si>
  <si>
    <t>Uncharacterized protein B618R n=1 Tax=Paramecium bursaria Chlorella virus NY2A TaxID=46021 RepID=A7IXE3_PBCVN</t>
  </si>
  <si>
    <t>Sept.NODE_68_length_19049_cov_12.264083_19</t>
  </si>
  <si>
    <t>Sept.NODE_68_length_19049_cov_12.264083_20</t>
  </si>
  <si>
    <t>Sept.NODE_68_length_19049_cov_12.264083_23</t>
  </si>
  <si>
    <t>Sept.NODE_68_length_19049_cov_12.264083_24</t>
  </si>
  <si>
    <t>Sept.NODE_68_length_19049_cov_12.264083_25</t>
  </si>
  <si>
    <t>Sept.NODE_68_length_19049_cov_12.264083_27</t>
  </si>
  <si>
    <t>Sept.NODE_68_length_19049_cov_12.264083_8</t>
  </si>
  <si>
    <t>Sept.NODE_682_length_3002_cov_5.957923_2</t>
  </si>
  <si>
    <t>Sept.NODE_682_length_3002_cov_5.957923_3</t>
  </si>
  <si>
    <t>Sept.NODE_682_length_3002_cov_5.957923_4</t>
  </si>
  <si>
    <t>Sept.NODE_684_length_3001_cov_4.527834_1</t>
  </si>
  <si>
    <t>Uncharacterized protein n=1 Tax=Roseobacter phage CRP-6 TaxID=2559285 RepID=A0A646QXU5_9CAUD</t>
  </si>
  <si>
    <t>Sept.NODE_689_length_2980_cov_3.704957_2</t>
  </si>
  <si>
    <t>VOG02794 [FUNC="REFSEQ hypothetical protein"] [TAG=Xu TAGDEF="Function unknown"]</t>
  </si>
  <si>
    <t>Uncharacterized protein n=1 Tax=Vibrio phage R01 TaxID=2283098 RepID=A0A345MCW0_9CAUD</t>
  </si>
  <si>
    <t>Sept.NODE_714_length_2901_cov_4.598384_1</t>
  </si>
  <si>
    <t>Sept.NODE_714_length_2901_cov_4.598384_2</t>
  </si>
  <si>
    <t>Sept.NODE_714_length_2901_cov_4.598384_3</t>
  </si>
  <si>
    <t>Sept.NODE_714_length_2901_cov_4.598384_4</t>
  </si>
  <si>
    <t>Sept.NODE_722_length_2874_cov_4.567222_1</t>
  </si>
  <si>
    <t>Sept.NODE_735_length_2841_cov_26.779612_3</t>
  </si>
  <si>
    <t>Sept.NODE_740_length_2832_cov_4.686712_3</t>
  </si>
  <si>
    <t>sp|P04415|DPOL_BPT4 DNA-directed DNA polymerase OS=Enterobacteria phage T4 OX=10665 GN=43 PE=1 SV=1</t>
  </si>
  <si>
    <t>Sept.NODE_754_length_2797_cov_5.327863_1</t>
  </si>
  <si>
    <t>Head-tail connector protein n=2 Tax=Neorhizobium galegae TaxID=399 RepID=A0A068SP65_NEOGA</t>
  </si>
  <si>
    <t>Sept.NODE_754_length_2797_cov_5.327863_2</t>
  </si>
  <si>
    <t>Capsid assembly protein n=1 Tax=Ralstonia phage RsoP1EGY TaxID=2070026 RepID=A0A2R2ZGC7_9CAUD</t>
  </si>
  <si>
    <t>Sept.NODE_756_length_2796_cov_3.668734_1</t>
  </si>
  <si>
    <t>Sept.NODE_757_length_2795_cov_5.954745_3</t>
  </si>
  <si>
    <t>DNA polymerase I n=1 Tax=Pirellulimonas nuda TaxID=2528009 RepID=A0A518DHK4_9BACT</t>
  </si>
  <si>
    <t>Sept.NODE_757_length_2795_cov_5.954745_4</t>
  </si>
  <si>
    <t>sp|Q5UR39|YL560_MIMIV Uncharacterized HNH endonuclease L560 OS=Acanthamoeba polyphaga mimivirus OX=212035 GN=MIMI_L560 PE=4 SV=1</t>
  </si>
  <si>
    <t>HNH endonuclease n=1 Tax=Escherichia phage Henu8 TaxID=2596677 RepID=A0A5B8RMB0_9CAUD</t>
  </si>
  <si>
    <t>Sept.NODE_757_length_2795_cov_5.954745_5</t>
  </si>
  <si>
    <t>YprB ribonuclease H-like domain-containing protein n=1 Tax=Synechococcus phage S-CBS4 TaxID=756275 RepID=R9TJ56_9CAUD</t>
  </si>
  <si>
    <t>Sept.NODE_76_length_16573_cov_22.332425_10</t>
  </si>
  <si>
    <t>Terminase small subunit n=1 Tax=Allonocardiopsis opalescens TaxID=1144618 RepID=A0A2T0PVM5_9ACTN</t>
  </si>
  <si>
    <t>Sept.NODE_76_length_16573_cov_22.332425_21</t>
  </si>
  <si>
    <t>Sept.NODE_76_length_16573_cov_22.332425_22</t>
  </si>
  <si>
    <t>Sept.NODE_76_length_16573_cov_22.332425_23</t>
  </si>
  <si>
    <t>Sept.NODE_763_length_2781_cov_2.961482_3</t>
  </si>
  <si>
    <t>Tip attachment protein J domain-containing protein n=1 Tax=Thiobacillus sp. 65-1402 TaxID=1895861 RepID=A0A1Q3WRH0_9PROT</t>
  </si>
  <si>
    <t>Sept.NODE_766_length_2774_cov_5.375506_1</t>
  </si>
  <si>
    <t>Sept.NODE_77_length_16458_cov_100.393830_1</t>
  </si>
  <si>
    <t>Sept.NODE_77_length_16458_cov_100.393830_10</t>
  </si>
  <si>
    <t>Fimbrial-type adhesion domain containing protein n=1 Tax=Podoviridae sp. ctDWo9 TaxID=2656708 RepID=A0A5Q2WB80_9CAUD</t>
  </si>
  <si>
    <t>Sept.NODE_77_length_16458_cov_100.393830_12</t>
  </si>
  <si>
    <t>Fibronectin type-III domain-containing protein (Fragment) n=1 Tax=Adhaeribacter soli TaxID=2607655 RepID=A0A5N1IKA0_9BACT</t>
  </si>
  <si>
    <t>Sept.NODE_77_length_16458_cov_100.393830_17</t>
  </si>
  <si>
    <t>Putative phosphodiesterase n=1 Tax=Actinoplanes campanulatus TaxID=113559 RepID=A0A7W5FI91_9ACTN</t>
  </si>
  <si>
    <t>Sept.NODE_77_length_16458_cov_100.393830_2</t>
  </si>
  <si>
    <t>Sept.NODE_77_length_16458_cov_100.393830_3</t>
  </si>
  <si>
    <t>Sept.NODE_77_length_16458_cov_100.393830_6</t>
  </si>
  <si>
    <t>Sept.NODE_77_length_16458_cov_100.393830_7</t>
  </si>
  <si>
    <t>Fibronectin type III domain-containing protein n=1 Tax=Kitasatospora sp. NA04385 TaxID=2742135 RepID=A0A7H8KZS9_9ACTN</t>
  </si>
  <si>
    <t>Sept.NODE_774_length_2751_cov_26.977745_1</t>
  </si>
  <si>
    <t>Sept.NODE_774_length_2751_cov_26.977745_2</t>
  </si>
  <si>
    <t>Sept.NODE_778_length_2739_cov_8.354694_4</t>
  </si>
  <si>
    <t>Sept.NODE_779_length_2736_cov_11.111526_2</t>
  </si>
  <si>
    <t>Sept.NODE_781_length_2729_cov_60.753927_2</t>
  </si>
  <si>
    <t>Sept.NODE_781_length_2729_cov_60.753927_4</t>
  </si>
  <si>
    <t>Uncharacterized protein n=1 Tax=Pusillimonas sp. (ex Stolz et al. 2005) TaxID=1979962 RepID=A0A2D7XBB4_9BURK</t>
  </si>
  <si>
    <t>Sept.NODE_787_length_2723_cov_49.754123_1</t>
  </si>
  <si>
    <t>Sept.NODE_794_length_2714_cov_3.050771_1</t>
  </si>
  <si>
    <t>VOG00149 [FUNC="sp|P14108|Y7K8_BPP22 Uncharacterized 7.8 kDa protein in ral-gp17 intergenic region"] [TAG=Xu TAGDEF="Function unknown"]</t>
  </si>
  <si>
    <t>DUF551 domain-containing protein n=2 Tax=unclassified Caudoviricetes TaxID=2788787 RepID=A0A6M3TE08_9CAUD</t>
  </si>
  <si>
    <t>Sept.NODE_798_length_2710_cov_3.985687_3</t>
  </si>
  <si>
    <t>Sept.NODE_800_length_2701_cov_2.975813_4</t>
  </si>
  <si>
    <t>Sept.NODE_800_length_2701_cov_2.975813_5</t>
  </si>
  <si>
    <t>Sept.NODE_800_length_2701_cov_2.975813_6</t>
  </si>
  <si>
    <t>Uncharacterized protein n=1 Tax=Ruegeria phage 45A6 TaxID=1851646 RepID=A0A1X9HW60_9CAUD</t>
  </si>
  <si>
    <t>Sept.NODE_800_length_2701_cov_2.975813_8</t>
  </si>
  <si>
    <t>Sept.NODE_812_length_2682_cov_5.116102_4</t>
  </si>
  <si>
    <t>Capsid maturation protease n=1 Tax=Arthrobacter phage Waltz TaxID=2047828 RepID=A0A2H4PCE6_9CAUD</t>
  </si>
  <si>
    <t>Sept.NODE_827_length_2646_cov_5.586646_4</t>
  </si>
  <si>
    <t>Helix-turn-helix domain protein n=1 Tax=Podoviridae sp. ctwJH20 TaxID=2827753 RepID=A0A8S5TBI0_9CAUD</t>
  </si>
  <si>
    <t>Sept.NODE_829_length_2641_cov_8.048724_3</t>
  </si>
  <si>
    <t>Sept.NODE_829_length_2641_cov_8.048724_4</t>
  </si>
  <si>
    <t>Sept.NODE_83_length_15924_cov_11.425043_1</t>
  </si>
  <si>
    <t>Sept.NODE_83_length_15924_cov_11.425043_10</t>
  </si>
  <si>
    <t>Sept.NODE_83_length_15924_cov_11.425043_12</t>
  </si>
  <si>
    <t>Sept.NODE_83_length_15924_cov_11.425043_13</t>
  </si>
  <si>
    <t>DUF6321 domain-containing protein n=1 Tax=Freshwater phage uvFW-CGR-AMD-COM-C493 TaxID=1838157 RepID=A0A1B0XUN8_9CAUD</t>
  </si>
  <si>
    <t>Sept.NODE_83_length_15924_cov_11.425043_14</t>
  </si>
  <si>
    <t>Resolvase HTH domain-containing protein n=5 Tax=unclassified Casjensviridae TaxID=2960002 RepID=G8DCT1_9CAUD</t>
  </si>
  <si>
    <t>Sept.NODE_83_length_15924_cov_11.425043_28</t>
  </si>
  <si>
    <t>Uncharacterized protein n=1 Tax=Umbelopsis vinacea TaxID=44442 RepID=A0A8H7U9L5_9FUNG</t>
  </si>
  <si>
    <t>Sept.NODE_83_length_15924_cov_11.425043_7</t>
  </si>
  <si>
    <t>Sept.NODE_83_length_15924_cov_11.425043_9</t>
  </si>
  <si>
    <t>Sept.NODE_842_length_2605_cov_5.732941_1</t>
  </si>
  <si>
    <t>sp|P13334|PORTL_BPT4 Portal protein OS=Enterobacteria phage T4 OX=10665 GN=20 PE=1 SV=2</t>
  </si>
  <si>
    <t>Portal protein n=1 Tax=Cyanophage S-BnM1 TaxID=65016 RepID=O36163_9CAUD</t>
  </si>
  <si>
    <t>Sept.NODE_844_length_2597_cov_3.423682_2</t>
  </si>
  <si>
    <t>Sept.NODE_851_length_2587_cov_19.943128_2</t>
  </si>
  <si>
    <t>Sept.NODE_864_length_2555_cov_2.343600_1</t>
  </si>
  <si>
    <t>Sept.NODE_864_length_2555_cov_2.343600_2</t>
  </si>
  <si>
    <t>Sept.NODE_871_length_2547_cov_39.919743_1</t>
  </si>
  <si>
    <t>Sept.NODE_872_length_2544_cov_7.447168_1</t>
  </si>
  <si>
    <t>Uncharacterized protein n=2 Tax=root TaxID=1 RepID=A0A088F721_9CAUD</t>
  </si>
  <si>
    <t>Sept.NODE_874_length_2542_cov_6.256936_2</t>
  </si>
  <si>
    <t>Sept.NODE_874_length_2542_cov_6.256936_5</t>
  </si>
  <si>
    <t>Sept.NODE_879_length_2526_cov_11.376366_5</t>
  </si>
  <si>
    <t>Uncharacterized protein n=1 Tax=Aminobacter anthyllidis TaxID=1035067 RepID=A0A9X1A7Q6_9HYPH</t>
  </si>
  <si>
    <t>Sept.NODE_884_length_2521_cov_4.802109_1</t>
  </si>
  <si>
    <t>Sept.NODE_884_length_2521_cov_4.802109_2</t>
  </si>
  <si>
    <t>Sept.NODE_885_length_2520_cov_9.545639_2</t>
  </si>
  <si>
    <t>Sept.NODE_885_length_2520_cov_9.545639_3</t>
  </si>
  <si>
    <t>Sept.NODE_899_length_2493_cov_14.631255_3</t>
  </si>
  <si>
    <t>Sept.NODE_902_length_2479_cov_283.641914_3</t>
  </si>
  <si>
    <t>Sept.NODE_902_length_2479_cov_283.641914_4</t>
  </si>
  <si>
    <t>Sept.NODE_903_length_2479_cov_24.719059_2</t>
  </si>
  <si>
    <t>Uncharacterized protein n=1 Tax=Roseovarius tolerans TaxID=74031 RepID=A0A0L6CQ55_9RHOB</t>
  </si>
  <si>
    <t>Sept.NODE_903_length_2479_cov_24.719059_4</t>
  </si>
  <si>
    <t>Sept.NODE_903_length_2479_cov_24.719059_5</t>
  </si>
  <si>
    <t>Terminase n=1 Tax=Sulfitobacter sp. SK011 TaxID=1389004 RepID=A0A345QD93_9RHOB</t>
  </si>
  <si>
    <t>Sept.NODE_906_length_2476_cov_4.225940_2</t>
  </si>
  <si>
    <t>Uncharacterized protein n=1 Tax=Micromonospora inyonensis TaxID=47866 RepID=A0A1C6R724_9ACTN</t>
  </si>
  <si>
    <t>Sept.NODE_906_length_2476_cov_4.225940_3</t>
  </si>
  <si>
    <t>Crossover junction endodeoxyribonuclease n=1 Tax=Freshwater phage uvFW-CGR-AMD-COM-C203 TaxID=1838151 RepID=A0A1B0XTN0_9CAUD</t>
  </si>
  <si>
    <t>Sept.NODE_907_length_2473_cov_50.272539_3</t>
  </si>
  <si>
    <t>Sept.NODE_917_length_2463_cov_139.291944_5</t>
  </si>
  <si>
    <t>Uncharacterized protein n=2 Tax=Nipunavirus TaxID=1982239 RepID=A0A2H4GY22_9CAUD</t>
  </si>
  <si>
    <t>Sept.NODE_935_length_2438_cov_13.607218_1</t>
  </si>
  <si>
    <t>Uncharacterized protein n=1 Tax=Phormidium sp. SL48-SHIP TaxID=2518363 RepID=A0A522X949_9CYAN</t>
  </si>
  <si>
    <t>Sept.NODE_946_length_2411_cov_7.276316_2</t>
  </si>
  <si>
    <t>Sept.NODE_947_length_2402_cov_20.125266_2</t>
  </si>
  <si>
    <t>VOG07301 [FUNC="REFSEQ exonuclease"] [TAG=Xu TAGDEF="Function unknown"]</t>
  </si>
  <si>
    <t>Uncharacterized protein n=1 Tax=Rhizobium phage RHph_I3_18 TaxID=2509732 RepID=A0A7S5RKP6_9CAUD</t>
  </si>
  <si>
    <t>Sept.NODE_949_length_2394_cov_4.150492_1</t>
  </si>
  <si>
    <t>Uncharacterized protein n=1 Tax=Rhizobium fredii TaxID=380 RepID=A0A2A6LYF7_RHIFR</t>
  </si>
  <si>
    <t>Sept.NODE_949_length_2394_cov_4.150492_2</t>
  </si>
  <si>
    <t>Uncharacterized protein n=1 Tax=Rhizobium phage RHph_N3_2 TaxID=2509747 RepID=A0A7S5UX17_9CAUD</t>
  </si>
  <si>
    <t>Sept.NODE_949_length_2394_cov_4.150492_3</t>
  </si>
  <si>
    <t>Uncharacterized protein n=1 Tax=Rhizobium phage RHph_I1_23 TaxID=2509727 RepID=A0A7S5RIX9_9CAUD</t>
  </si>
  <si>
    <t>Sept.NODE_949_length_2394_cov_4.150492_4</t>
  </si>
  <si>
    <t>Structural protein n=1 Tax=Rhizobium phage RHph_N3_2 TaxID=2509747 RepID=A0A7S5R896_9CAUD</t>
  </si>
  <si>
    <t>Sept.NODE_95_length_14511_cov_66.561151_1</t>
  </si>
  <si>
    <t>Sept.NODE_95_length_14511_cov_66.561151_10</t>
  </si>
  <si>
    <t>Sept.NODE_95_length_14511_cov_66.561151_3</t>
  </si>
  <si>
    <t>Sept.NODE_95_length_14511_cov_66.561151_4</t>
  </si>
  <si>
    <t>Sept.NODE_95_length_14511_cov_66.561151_6</t>
  </si>
  <si>
    <t>Sept.NODE_95_length_14511_cov_66.561151_7</t>
  </si>
  <si>
    <t>Sept.NODE_95_length_14511_cov_66.561151_8</t>
  </si>
  <si>
    <t>Sept.NODE_95_length_14511_cov_66.561151_9</t>
  </si>
  <si>
    <t>Sept.NODE_964_length_2378_cov_43.463194_4</t>
  </si>
  <si>
    <t>Sept.NODE_964_length_2378_cov_43.463194_5</t>
  </si>
  <si>
    <t>Sept.NODE_964_length_2378_cov_43.463194_6</t>
  </si>
  <si>
    <t>Sept.NODE_966_length_2376_cov_6.867729_6</t>
  </si>
  <si>
    <t>Sept.NODE_967_length_2367_cov_54.884083_2</t>
  </si>
  <si>
    <t>Uncharacterized protein n=1 Tax=Roseomonas genomospecies 6 TaxID=214106 RepID=A0A9W7NI93_9PROT</t>
  </si>
  <si>
    <t>Sept.NODE_967_length_2367_cov_54.884083_3</t>
  </si>
  <si>
    <t>Sept.NODE_97_length_14357_cov_113.549504_1</t>
  </si>
  <si>
    <t>Sept.NODE_97_length_14357_cov_113.549504_10</t>
  </si>
  <si>
    <t>Sept.NODE_97_length_14357_cov_113.549504_11</t>
  </si>
  <si>
    <t>Sept.NODE_97_length_14357_cov_113.549504_12</t>
  </si>
  <si>
    <t>Sept.NODE_97_length_14357_cov_113.549504_19</t>
  </si>
  <si>
    <t>Sept.NODE_97_length_14357_cov_113.549504_2</t>
  </si>
  <si>
    <t>Sept.NODE_97_length_14357_cov_113.549504_5</t>
  </si>
  <si>
    <t>Sept.NODE_970_length_2365_cov_7.964069_2</t>
  </si>
  <si>
    <t>Sept.NODE_973_length_2361_cov_20.424545_1</t>
  </si>
  <si>
    <t>Sept.NODE_973_length_2361_cov_20.424545_2</t>
  </si>
  <si>
    <t>Sept.NODE_982_length_2350_cov_3.810893_1</t>
  </si>
  <si>
    <t>Eukviruses</t>
  </si>
  <si>
    <t>Prokviruses</t>
  </si>
  <si>
    <t>NM</t>
  </si>
  <si>
    <t>Total</t>
  </si>
  <si>
    <t>D</t>
  </si>
  <si>
    <t>Cell cycle control, cell division, chromosome partitioning</t>
  </si>
  <si>
    <t>CP&amp;S : Cell cycle control, cell division, chromosome partitioning</t>
  </si>
  <si>
    <t>M</t>
  </si>
  <si>
    <t>Cell wall/membrane/envelope biogenesis</t>
  </si>
  <si>
    <t>CP&amp;S : Cell wall/membrane/envelope biogenesis</t>
  </si>
  <si>
    <t>N</t>
  </si>
  <si>
    <t>Cell motility</t>
  </si>
  <si>
    <t>CP&amp;S : Cell motility</t>
  </si>
  <si>
    <t>O</t>
  </si>
  <si>
    <t>Posttranslational modification, protein turnover, chaperones</t>
  </si>
  <si>
    <t>CP&amp;S : Posttranslational modification, protein turnover, chaperones</t>
  </si>
  <si>
    <t>T</t>
  </si>
  <si>
    <t>Signal transduction mechanisms</t>
  </si>
  <si>
    <t>CP&amp;S : Signal transduction mechanisms</t>
  </si>
  <si>
    <t>U</t>
  </si>
  <si>
    <t>Intracellular trafficking, secretion, and vesicular transport</t>
  </si>
  <si>
    <t>CP&amp;S : Intracellular trafficking, secretion, and vesicular transport</t>
  </si>
  <si>
    <t>V</t>
  </si>
  <si>
    <t>Defense mechanisms</t>
  </si>
  <si>
    <t>CP&amp;S : Defense mechanisms</t>
  </si>
  <si>
    <t>W</t>
  </si>
  <si>
    <t>Extracellular structures</t>
  </si>
  <si>
    <t>CP&amp;S : Extracellular structures</t>
  </si>
  <si>
    <t>Z</t>
  </si>
  <si>
    <t>Cytoskeleton</t>
  </si>
  <si>
    <t>CP&amp;S : Cytoskeleton</t>
  </si>
  <si>
    <t>A</t>
  </si>
  <si>
    <t>RNA processing and modification</t>
  </si>
  <si>
    <t>I : RNA processing and modification</t>
  </si>
  <si>
    <t>B</t>
  </si>
  <si>
    <t>Chromatin structure and dynamics</t>
  </si>
  <si>
    <t>I : Chromatin structure and dynamics</t>
  </si>
  <si>
    <t>J</t>
  </si>
  <si>
    <t>Translation, ribosomal structure and biogenesis</t>
  </si>
  <si>
    <t>I : Translation, ribosomal structure and biogenesis</t>
  </si>
  <si>
    <t>K</t>
  </si>
  <si>
    <t>Transcription</t>
  </si>
  <si>
    <t>I : Transcription</t>
  </si>
  <si>
    <t>L</t>
  </si>
  <si>
    <t>Replication, recombination and repair</t>
  </si>
  <si>
    <t>I : Replication, recombination and repair</t>
  </si>
  <si>
    <t>C</t>
  </si>
  <si>
    <t>Energy production and conversion</t>
  </si>
  <si>
    <t>M : Energy production and conversion</t>
  </si>
  <si>
    <t>E</t>
  </si>
  <si>
    <t>Amino acid transport and metabolism</t>
  </si>
  <si>
    <t>F</t>
  </si>
  <si>
    <t>Nucleotide transport and metabolism</t>
  </si>
  <si>
    <t>G</t>
  </si>
  <si>
    <t>Carbohydrate transport and metabolism</t>
  </si>
  <si>
    <t>H</t>
  </si>
  <si>
    <t>Coenzyme transport and metabolism</t>
  </si>
  <si>
    <t>I</t>
  </si>
  <si>
    <t>Lipid transport and metabolism</t>
  </si>
  <si>
    <t>P</t>
  </si>
  <si>
    <t>Inorganic ion transport and metabolism</t>
  </si>
  <si>
    <t>Q</t>
  </si>
  <si>
    <t>Secondary metabolites biosynthesis, transport and catabolism</t>
  </si>
  <si>
    <t>R</t>
  </si>
  <si>
    <t>General function prediction only</t>
  </si>
  <si>
    <t>Mobilome: prophages, transposons</t>
  </si>
  <si>
    <t>S</t>
  </si>
  <si>
    <t>Function unknown</t>
  </si>
  <si>
    <t>Virus replication</t>
  </si>
  <si>
    <t>Virus structure</t>
  </si>
  <si>
    <t>Xr</t>
  </si>
  <si>
    <t>Xs</t>
  </si>
  <si>
    <t>Viral evidence</t>
  </si>
  <si>
    <t>Protein function</t>
  </si>
  <si>
    <t>Sample</t>
  </si>
  <si>
    <t>Contig length</t>
  </si>
  <si>
    <t>VBM/M</t>
  </si>
  <si>
    <t>Hallmark viral genes on contig</t>
  </si>
  <si>
    <t>Cobalt transporter</t>
  </si>
  <si>
    <t>Sept. MV</t>
  </si>
  <si>
    <t>12,9 Kb</t>
  </si>
  <si>
    <t>4/6</t>
  </si>
  <si>
    <t>iron transporter</t>
  </si>
  <si>
    <t>39,1 Kb</t>
  </si>
  <si>
    <t>17/25</t>
  </si>
  <si>
    <t>VLTF3</t>
  </si>
  <si>
    <t>Calvin cycle protein CP12</t>
  </si>
  <si>
    <t>6,7 Kb</t>
  </si>
  <si>
    <t>4/8</t>
  </si>
  <si>
    <t>MCP</t>
  </si>
  <si>
    <t xml:space="preserve"> part of a redox-mediated metabolic switch, allowing organisms to respond to rapid changes in the external environment. CP12 can bind glyceraldehyde 3-phosphate dehydrogenase (GapDH) and phosphoribulokinase (PRK) in oxygenic phototrophs, thereby switching on and off the flux through the Calvin-Benson cycle (CBC) under light and dark conditions, respectively.</t>
  </si>
  <si>
    <t>Heme oxygenase 1</t>
  </si>
  <si>
    <t>14,2 Kb</t>
  </si>
  <si>
    <t>3/5</t>
  </si>
  <si>
    <t>ATPase</t>
  </si>
  <si>
    <t>Phycocyanobilin:ferredoxin oxidoreductase</t>
  </si>
  <si>
    <t>16,2 Kb</t>
  </si>
  <si>
    <t>Photosystem I assembly protein Ycf3</t>
  </si>
  <si>
    <t>11,5 Kb</t>
  </si>
  <si>
    <t>4/7</t>
  </si>
  <si>
    <t>Phosphatidylserine decarboxylase</t>
  </si>
  <si>
    <t>43,0Kb</t>
  </si>
  <si>
    <t>25/27</t>
  </si>
  <si>
    <t>MCP, VLTF3</t>
  </si>
  <si>
    <t>ASVNumber</t>
  </si>
  <si>
    <t>Date_161107</t>
  </si>
  <si>
    <t>Date_161115</t>
  </si>
  <si>
    <t>Date_161123</t>
  </si>
  <si>
    <t>Date_161129</t>
  </si>
  <si>
    <t>Date_161212</t>
  </si>
  <si>
    <t>Date_161216</t>
  </si>
  <si>
    <t>Date_161221</t>
  </si>
  <si>
    <t>Date_170105</t>
  </si>
  <si>
    <t>Date_170117</t>
  </si>
  <si>
    <t>Date_170125</t>
  </si>
  <si>
    <t>Date_170201</t>
  </si>
  <si>
    <t>Date_170208</t>
  </si>
  <si>
    <t>Date_170215</t>
  </si>
  <si>
    <t>Date_170222</t>
  </si>
  <si>
    <t>Date_170301</t>
  </si>
  <si>
    <t>Date_170308</t>
  </si>
  <si>
    <t>Date_170315</t>
  </si>
  <si>
    <t>Date_170322</t>
  </si>
  <si>
    <t>Date_170405</t>
  </si>
  <si>
    <t>Date_170412</t>
  </si>
  <si>
    <t>Date_170419</t>
  </si>
  <si>
    <t>Date_170426</t>
  </si>
  <si>
    <t>Date_170503</t>
  </si>
  <si>
    <t>Date_170505</t>
  </si>
  <si>
    <t>Date_170510</t>
  </si>
  <si>
    <t>Date_170517</t>
  </si>
  <si>
    <t>Date_170523</t>
  </si>
  <si>
    <t>Date_170607</t>
  </si>
  <si>
    <t>Date_170614</t>
  </si>
  <si>
    <t>Date_170621</t>
  </si>
  <si>
    <t>Date_170628</t>
  </si>
  <si>
    <t>Date_170913</t>
  </si>
  <si>
    <t>Date_170920</t>
  </si>
  <si>
    <t>Date_170929</t>
  </si>
  <si>
    <t>Date_171005</t>
  </si>
  <si>
    <t>Date_171011</t>
  </si>
  <si>
    <t>Date_171019</t>
  </si>
  <si>
    <t>Date_171025</t>
  </si>
  <si>
    <t>Date_171102</t>
  </si>
  <si>
    <t>Date_171108</t>
  </si>
  <si>
    <t>Date_171122</t>
  </si>
  <si>
    <t>Date_171206</t>
  </si>
  <si>
    <t>Date_171220</t>
  </si>
  <si>
    <t>Date_180103</t>
  </si>
  <si>
    <t>Date_180110</t>
  </si>
  <si>
    <t>Date_180117</t>
  </si>
  <si>
    <t>Date_180202</t>
  </si>
  <si>
    <t>Date_180403</t>
  </si>
  <si>
    <t>Date_180412</t>
  </si>
  <si>
    <t>Date_180427</t>
  </si>
  <si>
    <t>Date_180516</t>
  </si>
  <si>
    <t>Date_180524</t>
  </si>
  <si>
    <t>Date_180528</t>
  </si>
  <si>
    <t>Date_180824</t>
  </si>
  <si>
    <t>Date_180831</t>
  </si>
  <si>
    <t>Date_180904</t>
  </si>
  <si>
    <t>Date_180911</t>
  </si>
  <si>
    <t>Date_180918</t>
  </si>
  <si>
    <t>Date_180920</t>
  </si>
  <si>
    <t>Date_180925</t>
  </si>
  <si>
    <t>Date_181009</t>
  </si>
  <si>
    <t>Date_181018</t>
  </si>
  <si>
    <t>Date_181022</t>
  </si>
  <si>
    <t>asv0397</t>
  </si>
  <si>
    <t>asv0047</t>
  </si>
  <si>
    <t>asv0084</t>
  </si>
  <si>
    <t>asv0402</t>
  </si>
  <si>
    <t>asv0384</t>
  </si>
  <si>
    <t>asv0059</t>
  </si>
  <si>
    <t>asv0194</t>
  </si>
  <si>
    <t>asv0203</t>
  </si>
  <si>
    <t>asv0456</t>
  </si>
  <si>
    <t>asv0041</t>
  </si>
  <si>
    <t>asv0075</t>
  </si>
  <si>
    <t>asv0184</t>
  </si>
  <si>
    <t>asv0175</t>
  </si>
  <si>
    <t>asv0400</t>
  </si>
  <si>
    <t>asv0206</t>
  </si>
  <si>
    <t>asv0125</t>
  </si>
  <si>
    <t>asv0042</t>
  </si>
  <si>
    <t>asv0324</t>
  </si>
  <si>
    <t>asv0012</t>
  </si>
  <si>
    <t>asv0102</t>
  </si>
  <si>
    <t>asv0271</t>
  </si>
  <si>
    <t>asv0219</t>
  </si>
  <si>
    <t>asv0013</t>
  </si>
  <si>
    <t>asv0215</t>
  </si>
  <si>
    <t>asv0292</t>
  </si>
  <si>
    <t>asv0336</t>
  </si>
  <si>
    <t>asv0168</t>
  </si>
  <si>
    <t>asv0039</t>
  </si>
  <si>
    <t>asv0130</t>
  </si>
  <si>
    <t>asv0245</t>
  </si>
  <si>
    <t>asv0155</t>
  </si>
  <si>
    <t>asv0283</t>
  </si>
  <si>
    <t>asv0414</t>
  </si>
  <si>
    <t>asv0083</t>
  </si>
  <si>
    <t>asv0079</t>
  </si>
  <si>
    <t>asv0069</t>
  </si>
  <si>
    <t>asv0090</t>
  </si>
  <si>
    <t>asv0432</t>
  </si>
  <si>
    <t>asv0452</t>
  </si>
  <si>
    <t>asv0043</t>
  </si>
  <si>
    <t>asv0310</t>
  </si>
  <si>
    <t>asv0421</t>
  </si>
  <si>
    <t>asv0365</t>
  </si>
  <si>
    <t>asv0387</t>
  </si>
  <si>
    <t>asv0055</t>
  </si>
  <si>
    <t>asv0230</t>
  </si>
  <si>
    <t>asv0295</t>
  </si>
  <si>
    <t>asv0377</t>
  </si>
  <si>
    <t>asv0076</t>
  </si>
  <si>
    <t>asv0293</t>
  </si>
  <si>
    <t>asv0057</t>
  </si>
  <si>
    <t>asv0106</t>
  </si>
  <si>
    <t>asv0339</t>
  </si>
  <si>
    <t>asv0233</t>
  </si>
  <si>
    <t>asv0085</t>
  </si>
  <si>
    <t>asv0071</t>
  </si>
  <si>
    <t>asv0025</t>
  </si>
  <si>
    <t>asv0286</t>
  </si>
  <si>
    <t>asv0367</t>
  </si>
  <si>
    <t>asv0251</t>
  </si>
  <si>
    <t>asv0109</t>
  </si>
  <si>
    <t>asv0254</t>
  </si>
  <si>
    <t>asv0164</t>
  </si>
  <si>
    <t>asv0113</t>
  </si>
  <si>
    <t>asv0092</t>
  </si>
  <si>
    <t>asv0413</t>
  </si>
  <si>
    <t>asv0081</t>
  </si>
  <si>
    <t>asv0243</t>
  </si>
  <si>
    <t>asv0091</t>
  </si>
  <si>
    <t>asv0349</t>
  </si>
  <si>
    <t>asv0169</t>
  </si>
  <si>
    <t>asv0070</t>
  </si>
  <si>
    <t>asv0123</t>
  </si>
  <si>
    <t>asv0014</t>
  </si>
  <si>
    <t>asv0229</t>
  </si>
  <si>
    <t>asv0148</t>
  </si>
  <si>
    <t>asv0426</t>
  </si>
  <si>
    <t>asv0064</t>
  </si>
  <si>
    <t>asv0216</t>
  </si>
  <si>
    <t>asv0303</t>
  </si>
  <si>
    <t>asv0308</t>
  </si>
  <si>
    <t>asv0150</t>
  </si>
  <si>
    <t>asv0395</t>
  </si>
  <si>
    <t>asv0031</t>
  </si>
  <si>
    <t>asv0435</t>
  </si>
  <si>
    <t>asv0077</t>
  </si>
  <si>
    <t>asv0422</t>
  </si>
  <si>
    <t>asv0356</t>
  </si>
  <si>
    <t>asv0253</t>
  </si>
  <si>
    <t>asv0297</t>
  </si>
  <si>
    <t>asv0170</t>
  </si>
  <si>
    <t>asv0300</t>
  </si>
  <si>
    <t>asv0044</t>
  </si>
  <si>
    <t>asv0197</t>
  </si>
  <si>
    <t>asv0142</t>
  </si>
  <si>
    <t>asv0375</t>
  </si>
  <si>
    <t>asv0249</t>
  </si>
  <si>
    <t>asv0134</t>
  </si>
  <si>
    <t>asv0383</t>
  </si>
  <si>
    <t>asv0453</t>
  </si>
  <si>
    <t>asv0450</t>
  </si>
  <si>
    <t>asv0232</t>
  </si>
  <si>
    <t>asv0244</t>
  </si>
  <si>
    <t>asv0237</t>
  </si>
  <si>
    <t>asv0223</t>
  </si>
  <si>
    <t>asv0202</t>
  </si>
  <si>
    <t>asv0207</t>
  </si>
  <si>
    <t>asv0242</t>
  </si>
  <si>
    <t>asv0273</t>
  </si>
  <si>
    <t>asv0267</t>
  </si>
  <si>
    <t>asv0388</t>
  </si>
  <si>
    <t>asv0056</t>
  </si>
  <si>
    <t>asv0195</t>
  </si>
  <si>
    <t>asv0403</t>
  </si>
  <si>
    <t>asv0454</t>
  </si>
  <si>
    <t>asv0068</t>
  </si>
  <si>
    <t>asv0409</t>
  </si>
  <si>
    <t>asv0354</t>
  </si>
  <si>
    <t>asv0401</t>
  </si>
  <si>
    <t>asv0423</t>
  </si>
  <si>
    <t>asv0407</t>
  </si>
  <si>
    <t>asv0191</t>
  </si>
  <si>
    <t>asv0394</t>
  </si>
  <si>
    <t>asv0247</t>
  </si>
  <si>
    <t>asv0445</t>
  </si>
  <si>
    <t>asv0325</t>
  </si>
  <si>
    <t>asv0234</t>
  </si>
  <si>
    <t>asv0157</t>
  </si>
  <si>
    <t>asv0021</t>
  </si>
  <si>
    <t>asv0311</t>
  </si>
  <si>
    <t>asv0027</t>
  </si>
  <si>
    <t>asv0020</t>
  </si>
  <si>
    <t>asv0072</t>
  </si>
  <si>
    <t>asv0019</t>
  </si>
  <si>
    <t>asv0275</t>
  </si>
  <si>
    <t>asv0007</t>
  </si>
  <si>
    <t>asv0178</t>
  </si>
  <si>
    <t>asv0190</t>
  </si>
  <si>
    <t>asv0312</t>
  </si>
  <si>
    <t>asv0065</t>
  </si>
  <si>
    <t>asv0268</t>
  </si>
  <si>
    <t>asv0023</t>
  </si>
  <si>
    <t>asv0088</t>
  </si>
  <si>
    <t>asv0220</t>
  </si>
  <si>
    <t>asv0029</t>
  </si>
  <si>
    <t>asv0051</t>
  </si>
  <si>
    <t>asv0329</t>
  </si>
  <si>
    <t>asv0160</t>
  </si>
  <si>
    <t>asv0225</t>
  </si>
  <si>
    <t>asv0218</t>
  </si>
  <si>
    <t>asv0248</t>
  </si>
  <si>
    <t>asv0371</t>
  </si>
  <si>
    <t>asv0259</t>
  </si>
  <si>
    <t>asv0002</t>
  </si>
  <si>
    <t>asv0018</t>
  </si>
  <si>
    <t>asv0124</t>
  </si>
  <si>
    <t>asv0396</t>
  </si>
  <si>
    <t>asv0001</t>
  </si>
  <si>
    <t>asv0030</t>
  </si>
  <si>
    <t>asv0048</t>
  </si>
  <si>
    <t>asv0005</t>
  </si>
  <si>
    <t>asv0024</t>
  </si>
  <si>
    <t>asv0003</t>
  </si>
  <si>
    <t>asv0028</t>
  </si>
  <si>
    <t>asv0416</t>
  </si>
  <si>
    <t>asv0034</t>
  </si>
  <si>
    <t>asv0263</t>
  </si>
  <si>
    <t>asv0209</t>
  </si>
  <si>
    <t>asv0279</t>
  </si>
  <si>
    <t>asv0449</t>
  </si>
  <si>
    <t>asv0095</t>
  </si>
  <si>
    <t>asv0330</t>
  </si>
  <si>
    <t>asv0121</t>
  </si>
  <si>
    <t>asv0299</t>
  </si>
  <si>
    <t>asv0431</t>
  </si>
  <si>
    <t>asv0285</t>
  </si>
  <si>
    <t>asv0381</t>
  </si>
  <si>
    <t>asv0156</t>
  </si>
  <si>
    <t>asv0182</t>
  </si>
  <si>
    <t>asv0154</t>
  </si>
  <si>
    <t>asv0342</t>
  </si>
  <si>
    <t>asv0415</t>
  </si>
  <si>
    <t>asv0446</t>
  </si>
  <si>
    <t>asv0261</t>
  </si>
  <si>
    <t>asv0274</t>
  </si>
  <si>
    <t>asv0361</t>
  </si>
  <si>
    <t>asv0281</t>
  </si>
  <si>
    <t>asv0417</t>
  </si>
  <si>
    <t>asv0326</t>
  </si>
  <si>
    <t>asv0386</t>
  </si>
  <si>
    <t>asv0406</t>
  </si>
  <si>
    <t>asv0186</t>
  </si>
  <si>
    <t>asv0323</t>
  </si>
  <si>
    <t>asv0128</t>
  </si>
  <si>
    <t>asv0122</t>
  </si>
  <si>
    <t>asv0176</t>
  </si>
  <si>
    <t>asv0049</t>
  </si>
  <si>
    <t>asv0053</t>
  </si>
  <si>
    <t>asv0145</t>
  </si>
  <si>
    <t>asv0016</t>
  </si>
  <si>
    <t>asv0033</t>
  </si>
  <si>
    <t>asv0046</t>
  </si>
  <si>
    <t>asv0239</t>
  </si>
  <si>
    <t>asv0086</t>
  </si>
  <si>
    <t>asv0343</t>
  </si>
  <si>
    <t>asv0126</t>
  </si>
  <si>
    <t>asv0032</t>
  </si>
  <si>
    <t>asv0110</t>
  </si>
  <si>
    <t>asv0447</t>
  </si>
  <si>
    <t>asv0140</t>
  </si>
  <si>
    <t>asv0151</t>
  </si>
  <si>
    <t>asv0094</t>
  </si>
  <si>
    <t>asv0348</t>
  </si>
  <si>
    <t>asv0437</t>
  </si>
  <si>
    <t>asv0266</t>
  </si>
  <si>
    <t>asv0427</t>
  </si>
  <si>
    <t>asv0105</t>
  </si>
  <si>
    <t>asv0433</t>
  </si>
  <si>
    <t>asv0210</t>
  </si>
  <si>
    <t>asv0451</t>
  </si>
  <si>
    <t>asv0382</t>
  </si>
  <si>
    <t>asv0379</t>
  </si>
  <si>
    <t>asv0458</t>
  </si>
  <si>
    <t>asv0212</t>
  </si>
  <si>
    <t>asv0418</t>
  </si>
  <si>
    <t>asv0434</t>
  </si>
  <si>
    <t>asv0163</t>
  </si>
  <si>
    <t>asv0058</t>
  </si>
  <si>
    <t>asv0117</t>
  </si>
  <si>
    <t>asv0198</t>
  </si>
  <si>
    <t>asv0127</t>
  </si>
  <si>
    <t>asv0165</t>
  </si>
  <si>
    <t>asv0204</t>
  </si>
  <si>
    <t>asv0114</t>
  </si>
  <si>
    <t>asv0269</t>
  </si>
  <si>
    <t>asv0173</t>
  </si>
  <si>
    <t>asv0171</t>
  </si>
  <si>
    <t>asv0317</t>
  </si>
  <si>
    <t>asv0104</t>
  </si>
  <si>
    <t>asv0045</t>
  </si>
  <si>
    <t>asv0328</t>
  </si>
  <si>
    <t>asv0009</t>
  </si>
  <si>
    <t>asv0146</t>
  </si>
  <si>
    <t>asv0177</t>
  </si>
  <si>
    <t>asv0332</t>
  </si>
  <si>
    <t>asv0100</t>
  </si>
  <si>
    <t>asv0241</t>
  </si>
  <si>
    <t>asv0313</t>
  </si>
  <si>
    <t>asv0172</t>
  </si>
  <si>
    <t>asv0107</t>
  </si>
  <si>
    <t>asv0052</t>
  </si>
  <si>
    <t>asv0448</t>
  </si>
  <si>
    <t>asv0162</t>
  </si>
  <si>
    <t>asv0066</t>
  </si>
  <si>
    <t>asv0391</t>
  </si>
  <si>
    <t>asv0174</t>
  </si>
  <si>
    <t>asv0062</t>
  </si>
  <si>
    <t>asv0144</t>
  </si>
  <si>
    <t>asv0334</t>
  </si>
  <si>
    <t>asv0129</t>
  </si>
  <si>
    <t>asv0373</t>
  </si>
  <si>
    <t>asv0138</t>
  </si>
  <si>
    <t>asv0096</t>
  </si>
  <si>
    <t>asv0280</t>
  </si>
  <si>
    <t>asv0208</t>
  </si>
  <si>
    <t>asv0026</t>
  </si>
  <si>
    <t>asv0060</t>
  </si>
  <si>
    <t>asv0389</t>
  </si>
  <si>
    <t>asv0099</t>
  </si>
  <si>
    <t>asv0238</t>
  </si>
  <si>
    <t>asv0149</t>
  </si>
  <si>
    <t>asv0257</t>
  </si>
  <si>
    <t>asv0399</t>
  </si>
  <si>
    <t>asv0378</t>
  </si>
  <si>
    <t>asv0192</t>
  </si>
  <si>
    <t>asv0359</t>
  </si>
  <si>
    <t>asv0321</t>
  </si>
  <si>
    <t>asv0355</t>
  </si>
  <si>
    <t>asv0291</t>
  </si>
  <si>
    <t>asv0443</t>
  </si>
  <si>
    <t>asv0302</t>
  </si>
  <si>
    <t>asv0425</t>
  </si>
  <si>
    <t>asv0360</t>
  </si>
  <si>
    <t>asv0141</t>
  </si>
  <si>
    <t>asv0294</t>
  </si>
  <si>
    <t>asv0307</t>
  </si>
  <si>
    <t>asv0205</t>
  </si>
  <si>
    <t>asv0226</t>
  </si>
  <si>
    <t>asv0344</t>
  </si>
  <si>
    <t>asv0429</t>
  </si>
  <si>
    <t>asv0015</t>
  </si>
  <si>
    <t>asv0353</t>
  </si>
  <si>
    <t>asv0006</t>
  </si>
  <si>
    <t>asv0101</t>
  </si>
  <si>
    <t>asv0136</t>
  </si>
  <si>
    <t>asv0201</t>
  </si>
  <si>
    <t>asv0167</t>
  </si>
  <si>
    <t>asv0350</t>
  </si>
  <si>
    <t>asv0017</t>
  </si>
  <si>
    <t>asv0314</t>
  </si>
  <si>
    <t>asv0287</t>
  </si>
  <si>
    <t>asv0255</t>
  </si>
  <si>
    <t>asv0296</t>
  </si>
  <si>
    <t>asv0008</t>
  </si>
  <si>
    <t>asv0252</t>
  </si>
  <si>
    <t>asv0337</t>
  </si>
  <si>
    <t>asv0073</t>
  </si>
  <si>
    <t>asv0444</t>
  </si>
  <si>
    <t>asv0240</t>
  </si>
  <si>
    <t>asv0436</t>
  </si>
  <si>
    <t>asv0132</t>
  </si>
  <si>
    <t>asv0074</t>
  </si>
  <si>
    <t>asv0376</t>
  </si>
  <si>
    <t>asv0097</t>
  </si>
  <si>
    <t>asv0217</t>
  </si>
  <si>
    <t>asv0364</t>
  </si>
  <si>
    <t>asv0258</t>
  </si>
  <si>
    <t>asv0037</t>
  </si>
  <si>
    <t>asv0362</t>
  </si>
  <si>
    <t>asv0078</t>
  </si>
  <si>
    <t>asv0380</t>
  </si>
  <si>
    <t>asv0199</t>
  </si>
  <si>
    <t>asv0260</t>
  </si>
  <si>
    <t>asv0309</t>
  </si>
  <si>
    <t>asv0322</t>
  </si>
  <si>
    <t>asv0277</t>
  </si>
  <si>
    <t>asv0227</t>
  </si>
  <si>
    <t>asv0222</t>
  </si>
  <si>
    <t>asv0290</t>
  </si>
  <si>
    <t>asv0063</t>
  </si>
  <si>
    <t>asv0250</t>
  </si>
  <si>
    <t>asv0152</t>
  </si>
  <si>
    <t>asv0363</t>
  </si>
  <si>
    <t>asv0181</t>
  </si>
  <si>
    <t>asv0004</t>
  </si>
  <si>
    <t>asv0341</t>
  </si>
  <si>
    <t>asv0345</t>
  </si>
  <si>
    <t>asv0430</t>
  </si>
  <si>
    <t>asv0022</t>
  </si>
  <si>
    <t>asv0405</t>
  </si>
  <si>
    <t>asv0262</t>
  </si>
  <si>
    <t>asv0010</t>
  </si>
  <si>
    <t>asv0398</t>
  </si>
  <si>
    <t>asv0089</t>
  </si>
  <si>
    <t>asv0040</t>
  </si>
  <si>
    <t>asv0147</t>
  </si>
  <si>
    <t>asv0319</t>
  </si>
  <si>
    <t>asv0278</t>
  </si>
  <si>
    <t>asv0246</t>
  </si>
  <si>
    <t>asv0369</t>
  </si>
  <si>
    <t>asv0061</t>
  </si>
  <si>
    <t>asv0185</t>
  </si>
  <si>
    <t>asv0098</t>
  </si>
  <si>
    <t>asv0187</t>
  </si>
  <si>
    <t>asv0131</t>
  </si>
  <si>
    <t>asv0236</t>
  </si>
  <si>
    <t>asv0284</t>
  </si>
  <si>
    <t>asv0054</t>
  </si>
  <si>
    <t>asv0351</t>
  </si>
  <si>
    <t>asv0393</t>
  </si>
  <si>
    <t>asv0352</t>
  </si>
  <si>
    <t>asv0428</t>
  </si>
  <si>
    <t>asv0410</t>
  </si>
  <si>
    <t>asv0036</t>
  </si>
  <si>
    <t>asv0119</t>
  </si>
  <si>
    <t>asv0455</t>
  </si>
  <si>
    <t>asv0112</t>
  </si>
  <si>
    <t>asv0080</t>
  </si>
  <si>
    <t>asv0412</t>
  </si>
  <si>
    <t>asv0196</t>
  </si>
  <si>
    <t>asv0346</t>
  </si>
  <si>
    <t>asv0116</t>
  </si>
  <si>
    <t>asv0038</t>
  </si>
  <si>
    <t>asv0103</t>
  </si>
  <si>
    <t>asv0256</t>
  </si>
  <si>
    <t>asv0159</t>
  </si>
  <si>
    <t>asv0193</t>
  </si>
  <si>
    <t>asv0200</t>
  </si>
  <si>
    <t>asv0338</t>
  </si>
  <si>
    <t>asv0137</t>
  </si>
  <si>
    <t>asv0188</t>
  </si>
  <si>
    <t>asv0011</t>
  </si>
  <si>
    <t>asv0118</t>
  </si>
  <si>
    <t>asv0270</t>
  </si>
  <si>
    <t>asv0166</t>
  </si>
  <si>
    <t>asv0305</t>
  </si>
  <si>
    <t>asv0420</t>
  </si>
  <si>
    <t>asv0214</t>
  </si>
  <si>
    <t>asv0335</t>
  </si>
  <si>
    <t>asv0050</t>
  </si>
  <si>
    <t>asv0331</t>
  </si>
  <si>
    <t>asv0067</t>
  </si>
  <si>
    <t>asv0221</t>
  </si>
  <si>
    <t>asv0408</t>
  </si>
  <si>
    <t>asv0108</t>
  </si>
  <si>
    <t>asv0374</t>
  </si>
  <si>
    <t>asv0366</t>
  </si>
  <si>
    <t>asv0301</t>
  </si>
  <si>
    <t>asv0035</t>
  </si>
  <si>
    <t>asv0327</t>
  </si>
  <si>
    <t>asv0441</t>
  </si>
  <si>
    <t>asv0183</t>
  </si>
  <si>
    <t>asv0120</t>
  </si>
  <si>
    <t>asv0370</t>
  </si>
  <si>
    <t>asv0265</t>
  </si>
  <si>
    <t>asv0404</t>
  </si>
  <si>
    <t>asv0288</t>
  </si>
  <si>
    <t>asv0224</t>
  </si>
  <si>
    <t>asv0158</t>
  </si>
  <si>
    <t>asv0228</t>
  </si>
  <si>
    <t>asv0180</t>
  </si>
  <si>
    <t>asv0442</t>
  </si>
  <si>
    <t>Supergroup</t>
  </si>
  <si>
    <t>Division</t>
  </si>
  <si>
    <t>Class</t>
  </si>
  <si>
    <t>Order</t>
  </si>
  <si>
    <t>Family</t>
  </si>
  <si>
    <t>Genus</t>
  </si>
  <si>
    <t>Alveolata</t>
  </si>
  <si>
    <t>Alveolata;Chrompodellids</t>
  </si>
  <si>
    <t>Alveolata;Chrompodellids;Colpodellidea</t>
  </si>
  <si>
    <t>Alveolata;Chrompodellids;Colpodellidea;Colpodellida</t>
  </si>
  <si>
    <t>Alveolata;Chrompodellids;Colpodellidea;Colpodellida;Colpodellaceae</t>
  </si>
  <si>
    <t>Alveolata;Chrompodellids;Colpodellidea;Colpodellida;Colpodellaceae;Colpodellidae2</t>
  </si>
  <si>
    <t>Alveolata;Ciliophora</t>
  </si>
  <si>
    <t>Alveolata;Ciliophora;Colpodea</t>
  </si>
  <si>
    <t>Alveolata;Ciliophora;Colpodea;Colpodea_X</t>
  </si>
  <si>
    <t>Alveolata;Ciliophora;Colpodea;Colpodea_X;Cyrtolophosidida</t>
  </si>
  <si>
    <t>Alveolata;Ciliophora;Colpodea;Colpodea_X;Cyrtolophosidida;Aristerostoma</t>
  </si>
  <si>
    <t>Alveolata;Ciliophora;CONThreeP</t>
  </si>
  <si>
    <t>Alveolata;Ciliophora;CONThreeP;CONThreeP_X</t>
  </si>
  <si>
    <t>Alveolata;Ciliophora;CONThreeP;CONThreeP_X;Urotrichidae</t>
  </si>
  <si>
    <t>Alveolata;Ciliophora;CONThreeP;CONThreeP_X;Urotrichidae;Urotricha</t>
  </si>
  <si>
    <t>Alveolata;Ciliophora;Litostomatea</t>
  </si>
  <si>
    <t>Alveolata;Ciliophora;Litostomatea;Haptoria_2</t>
  </si>
  <si>
    <t>Alveolata;Ciliophora;Litostomatea;Haptoria_2;Haptoria_2_X</t>
  </si>
  <si>
    <t>Alveolata;Ciliophora;Litostomatea;Haptoria_2;Haptoria_2_X;Chaenea</t>
  </si>
  <si>
    <t>Alveolata;Ciliophora;Litostomatea;Haptoria_5</t>
  </si>
  <si>
    <t>Alveolata;Ciliophora;Litostomatea;Haptoria_5;Pleurostomatida</t>
  </si>
  <si>
    <t>Alveolata;Ciliophora;Litostomatea;Haptoria_5;Pleurostomatida;Pleurostomatida_X</t>
  </si>
  <si>
    <t>Alveolata;Ciliophora;Litostomatea;Haptoria_6</t>
  </si>
  <si>
    <t>Alveolata;Ciliophora;Litostomatea;Haptoria_6;Lacrymariidae</t>
  </si>
  <si>
    <t>Alveolata;Ciliophora;Litostomatea;Haptoria_6;Lacrymariidae;Lacrymaria</t>
  </si>
  <si>
    <t>Alveolata;Ciliophora;Litostomatea;Haptoria_6;Lacrymariidae;NA</t>
  </si>
  <si>
    <t>Alveolata;Ciliophora;Litostomatea;Haptoria_6;Lacrymariidae;Phialina</t>
  </si>
  <si>
    <t>Alveolata;Ciliophora;Litostomatea;Trichostomatia</t>
  </si>
  <si>
    <t>Alveolata;Ciliophora;Litostomatea;Trichostomatia;NA</t>
  </si>
  <si>
    <t>Alveolata;Ciliophora;Litostomatea;Trichostomatia;NA;NA</t>
  </si>
  <si>
    <t>Alveolata;Ciliophora;NA</t>
  </si>
  <si>
    <t>Alveolata;Ciliophora;NA;NA</t>
  </si>
  <si>
    <t>Alveolata;Ciliophora;NA;NA;NA</t>
  </si>
  <si>
    <t>Alveolata;Ciliophora;NA;NA;NA;NA</t>
  </si>
  <si>
    <t>Alveolata;Ciliophora;Oligohymenophorea</t>
  </si>
  <si>
    <t>Alveolata;Ciliophora;Oligohymenophorea;Oligohymenophorea_X</t>
  </si>
  <si>
    <t>Alveolata;Ciliophora;Oligohymenophorea;Oligohymenophorea_X;Oligohymenophorea_XX</t>
  </si>
  <si>
    <t>Alveolata;Ciliophora;Oligohymenophorea;Oligohymenophorea_X;Oligohymenophorea_XX;Cinetochilum</t>
  </si>
  <si>
    <t>Alveolata;Ciliophora;Oligohymenophorea;Peritrichia_2</t>
  </si>
  <si>
    <t>Alveolata;Ciliophora;Oligohymenophorea;Peritrichia_2;Sessilida</t>
  </si>
  <si>
    <t>Alveolata;Ciliophora;Oligohymenophorea;Peritrichia_2;Sessilida;Epistylis</t>
  </si>
  <si>
    <t>Alveolata;Ciliophora;Oligohymenophorea;Peritrichia_2;Sessilida;NA</t>
  </si>
  <si>
    <t>Alveolata;Ciliophora;Oligohymenophorea;Peritrichia_2;Sessilida;Sessilida_X</t>
  </si>
  <si>
    <t>Alveolata;Ciliophora;Oligohymenophorea;Peritrichia_2;Sessilida;Zoothamnium_1</t>
  </si>
  <si>
    <t>Alveolata;Ciliophora;Oligohymenophorea;Scuticociliatia_1</t>
  </si>
  <si>
    <t>Alveolata;Ciliophora;Oligohymenophorea;Scuticociliatia_1;Cohnilembidae</t>
  </si>
  <si>
    <t>Alveolata;Ciliophora;Oligohymenophorea;Scuticociliatia_1;Cohnilembidae;Cohnilembus</t>
  </si>
  <si>
    <t>Alveolata;Ciliophora;Oligohymenophorea;Scuticociliatia_1;Philasterida</t>
  </si>
  <si>
    <t>Alveolata;Ciliophora;Oligohymenophorea;Scuticociliatia_1;Philasterida;Entorhipidium</t>
  </si>
  <si>
    <t>Alveolata;Ciliophora;Oligohymenophorea;Scuticociliatia_1;Philasterida;Metanophrys</t>
  </si>
  <si>
    <t>Alveolata;Ciliophora;Oligohymenophorea;Scuticociliatia_1;Philasterida;Parauronema</t>
  </si>
  <si>
    <t>Alveolata;Ciliophora;Oligohymenophorea;Scuticociliatia_1;Philasterida;Porpostoma</t>
  </si>
  <si>
    <t>Alveolata;Ciliophora;Oligohymenophorea;Scuticociliatia_1;Philasterida;Uronema</t>
  </si>
  <si>
    <t>Alveolata;Ciliophora;Oligohymenophorea;Scuticociliatia_1;Pseudocohnilembidae</t>
  </si>
  <si>
    <t>Alveolata;Ciliophora;Oligohymenophorea;Scuticociliatia_1;Pseudocohnilembidae;Pseudocohnilembus</t>
  </si>
  <si>
    <t>Alveolata;Ciliophora;Phyllopharyngea</t>
  </si>
  <si>
    <t>Alveolata;Ciliophora;Phyllopharyngea;Cyrtophoria_4</t>
  </si>
  <si>
    <t>Alveolata;Ciliophora;Phyllopharyngea;Cyrtophoria_4;Chilodonellidae</t>
  </si>
  <si>
    <t>Alveolata;Ciliophora;Phyllopharyngea;Cyrtophoria_4;Chilodonellidae;Chilodonellidae_X</t>
  </si>
  <si>
    <t>Alveolata;Ciliophora;Phyllopharyngea;Cyrtophoria_4;Chilodonellidae;Pseudochilodonopsis</t>
  </si>
  <si>
    <t>Alveolata;Ciliophora;Phyllopharyngea;Cyrtophoria_7</t>
  </si>
  <si>
    <t>Alveolata;Ciliophora;Phyllopharyngea;Cyrtophoria_7;Hartmannulidae</t>
  </si>
  <si>
    <t>Alveolata;Ciliophora;Phyllopharyngea;Cyrtophoria_7;Hartmannulidae;Hartmannulidae_X</t>
  </si>
  <si>
    <t>Alveolata;Ciliophora;Phyllopharyngea;Cyrtophoria_7;Hartmannulidae;NA</t>
  </si>
  <si>
    <t>Alveolata;Ciliophora;Phyllopharyngea;Cyrtophoria_8</t>
  </si>
  <si>
    <t>Alveolata;Ciliophora;Phyllopharyngea;Cyrtophoria_8;Dysteriidae</t>
  </si>
  <si>
    <t>Alveolata;Ciliophora;Phyllopharyngea;Cyrtophoria_8;Dysteriidae;Dysteriidae_X</t>
  </si>
  <si>
    <t>Alveolata;Ciliophora;Phyllopharyngea;Cyrtophoria_8;Dysteriidae;Trochilia</t>
  </si>
  <si>
    <t>Alveolata;Ciliophora;Phyllopharyngea;Suctoria</t>
  </si>
  <si>
    <t>Alveolata;Ciliophora;Phyllopharyngea;Suctoria;Acinetidae_1</t>
  </si>
  <si>
    <t>Alveolata;Ciliophora;Phyllopharyngea;Suctoria;Acinetidae_1;Paracineta</t>
  </si>
  <si>
    <t>Alveolata;Ciliophora;Phyllopharyngea;Suctoria;Acinetidae_2</t>
  </si>
  <si>
    <t>Alveolata;Ciliophora;Phyllopharyngea;Suctoria;Acinetidae_2;Acineta_1</t>
  </si>
  <si>
    <t>Alveolata;Ciliophora;Phyllopharyngea;Suctoria;PHYLL_3</t>
  </si>
  <si>
    <t>Alveolata;Ciliophora;Phyllopharyngea;Suctoria;PHYLL_3;PHYLL_3_X</t>
  </si>
  <si>
    <t>Alveolata;Ciliophora;Phyllopharyngea;Suctoria;Suctoria_X</t>
  </si>
  <si>
    <t>Alveolata;Ciliophora;Phyllopharyngea;Suctoria;Suctoria_X;Suctoria_XX</t>
  </si>
  <si>
    <t>Alveolata;Ciliophora;Phyllopharyngea;Suctoria;Tokophryidae</t>
  </si>
  <si>
    <t>Alveolata;Ciliophora;Phyllopharyngea;Suctoria;Tokophryidae;Tokophrya</t>
  </si>
  <si>
    <t>Alveolata;Ciliophora;Plagiopylea</t>
  </si>
  <si>
    <t>Alveolata;Ciliophora;Plagiopylea;Plagiopylea_X</t>
  </si>
  <si>
    <t>Alveolata;Ciliophora;Plagiopylea;Plagiopylea_X;Trimyemidae</t>
  </si>
  <si>
    <t>Alveolata;Ciliophora;Plagiopylea;Plagiopylea_X;Trimyemidae;Trimyema</t>
  </si>
  <si>
    <t>Alveolata;Ciliophora;Spirotrichea</t>
  </si>
  <si>
    <t>Alveolata;Ciliophora;Spirotrichea;Choreotrichida</t>
  </si>
  <si>
    <t>Alveolata;Ciliophora;Spirotrichea;Choreotrichida;Strobilidiidae_A</t>
  </si>
  <si>
    <t>Alveolata;Ciliophora;Spirotrichea;Choreotrichida;Strobilidiidae_A;Rimostrombidium_A</t>
  </si>
  <si>
    <t>Alveolata;Ciliophora;Spirotrichea;Choreotrichida;Strobilidiidae_G</t>
  </si>
  <si>
    <t>Alveolata;Ciliophora;Spirotrichea;Choreotrichida;Strobilidiidae_G;Strobilidiidae_G_X</t>
  </si>
  <si>
    <t>Alveolata;Ciliophora;Spirotrichea;Euplotia</t>
  </si>
  <si>
    <t>Alveolata;Ciliophora;Spirotrichea;Euplotia;Aspidiscidae</t>
  </si>
  <si>
    <t>Alveolata;Ciliophora;Spirotrichea;Euplotia;Aspidiscidae;Aspidisca</t>
  </si>
  <si>
    <t>Alveolata;Ciliophora;Spirotrichea;Euplotia;Uronychiidae</t>
  </si>
  <si>
    <t>Alveolata;Ciliophora;Spirotrichea;Euplotia;Uronychiidae;Diophrys</t>
  </si>
  <si>
    <t>Alveolata;Ciliophora;Spirotrichea;Hypotrichia</t>
  </si>
  <si>
    <t>Alveolata;Ciliophora;Spirotrichea;Hypotrichia;Holostichidae</t>
  </si>
  <si>
    <t>Alveolata;Ciliophora;Spirotrichea;Hypotrichia;Holostichidae;Holosticha</t>
  </si>
  <si>
    <t>Alveolata;Ciliophora;Spirotrichea;Hypotrichia;Parabirojimidae</t>
  </si>
  <si>
    <t>Alveolata;Ciliophora;Spirotrichea;Hypotrichia;Parabirojimidae;Parabirojimia</t>
  </si>
  <si>
    <t>Alveolata;Ciliophora;Spirotrichea;Strombidiida</t>
  </si>
  <si>
    <t>Alveolata;Ciliophora;Spirotrichea;Strombidiida;Strombidiidae_B</t>
  </si>
  <si>
    <t>Alveolata;Ciliophora;Spirotrichea;Strombidiida;Strombidiidae_B;Strombidiidae_B_X</t>
  </si>
  <si>
    <t>Alveolata;Ciliophora;Spirotrichea;Strombidiida;Strombidiidae_E</t>
  </si>
  <si>
    <t>Alveolata;Ciliophora;Spirotrichea;Strombidiida;Strombidiidae_E;Strombidium_E</t>
  </si>
  <si>
    <t>Alveolata;Ciliophora;Spirotrichea;Strombidiida;Strombidiidae_K</t>
  </si>
  <si>
    <t>Alveolata;Ciliophora;Spirotrichea;Strombidiida;Strombidiidae_K;Strombidium_K</t>
  </si>
  <si>
    <t>Alveolata;Ciliophora;Spirotrichea;Strombidiida;Strombidiidae_N</t>
  </si>
  <si>
    <t>Alveolata;Ciliophora;Spirotrichea;Strombidiida;Strombidiidae_N;Strombidium_N</t>
  </si>
  <si>
    <t>Alveolata;Ciliophora;Spirotrichea;Strombidiida;Strombidiidae</t>
  </si>
  <si>
    <t>Alveolata;Ciliophora;Spirotrichea;Strombidiida;Strombidiidae;NA</t>
  </si>
  <si>
    <t>Alveolata;Ciliophora;Spirotrichea;Strombidiida;Strombidiidae;Omegastrombidium</t>
  </si>
  <si>
    <t>Alveolata;Ciliophora;Spirotrichea;Strombidiida;Strombidiidae;Varistrombidium</t>
  </si>
  <si>
    <t>Alveolata;Ciliophora;Spirotrichea;Tintinnida</t>
  </si>
  <si>
    <t>Alveolata;Ciliophora;Spirotrichea;Tintinnida;Eutintinnidae</t>
  </si>
  <si>
    <t>Alveolata;Ciliophora;Spirotrichea;Tintinnida;Eutintinnidae;Eutintinnus</t>
  </si>
  <si>
    <t>Alveolata;Ciliophora;Spirotrichea;Tintinnida;TIN_07</t>
  </si>
  <si>
    <t>Alveolata;Ciliophora;Spirotrichea;Tintinnida;TIN_07;Tintinnopsis_07</t>
  </si>
  <si>
    <t>Alveolata;Dinoflagellata</t>
  </si>
  <si>
    <t>Alveolata;Dinoflagellata;Dinophyceae</t>
  </si>
  <si>
    <t>Alveolata;Dinoflagellata;Dinophyceae;Gymnodiniales</t>
  </si>
  <si>
    <t>Alveolata;Dinoflagellata;Dinophyceae;Gymnodiniales;Gymnodiniaceae</t>
  </si>
  <si>
    <t>Alveolata;Dinoflagellata;Dinophyceae;Gymnodiniales;Gymnodiniaceae;Gymnodinium</t>
  </si>
  <si>
    <t>Alveolata;Dinoflagellata;Dinophyceae;Gymnodiniales;Gymnodiniaceae;Gyrodinium</t>
  </si>
  <si>
    <t>Alveolata;Dinoflagellata;Dinophyceae;Gymnodiniales;Gymnodiniaceae;Paragymnodinium</t>
  </si>
  <si>
    <t>Alveolata;Dinoflagellata;Dinophyceae;NA</t>
  </si>
  <si>
    <t>Alveolata;Dinoflagellata;Dinophyceae;NA;NA</t>
  </si>
  <si>
    <t>Alveolata;Dinoflagellata;Dinophyceae;NA;NA;NA</t>
  </si>
  <si>
    <t>Alveolata;Dinoflagellata;Dinophyceae;Peridiniales</t>
  </si>
  <si>
    <t>Alveolata;Dinoflagellata;Dinophyceae;Peridiniales;Crypthecodiniaceae</t>
  </si>
  <si>
    <t>Alveolata;Dinoflagellata;Dinophyceae;Peridiniales;Crypthecodiniaceae;Crypthecodinium</t>
  </si>
  <si>
    <t>Alveolata;Dinoflagellata;Dinophyceae;Peridiniales;Heterocapsaceae</t>
  </si>
  <si>
    <t>Alveolata;Dinoflagellata;Dinophyceae;Peridiniales;Heterocapsaceae;Heterocapsa</t>
  </si>
  <si>
    <t>Alveolata;Dinoflagellata;Dinophyceae;Peridiniales;NA</t>
  </si>
  <si>
    <t>Alveolata;Dinoflagellata;Dinophyceae;Peridiniales;NA;NA</t>
  </si>
  <si>
    <t>Alveolata;Dinoflagellata;Dinophyceae;Peridiniales;Thoracosphaeraceae</t>
  </si>
  <si>
    <t>Alveolata;Dinoflagellata;Dinophyceae;Peridiniales;Thoracosphaeraceae;Apocalathium</t>
  </si>
  <si>
    <t>Alveolata;Dinoflagellata;Dinophyceae;Peridiniales;Thoracosphaeraceae;Pentapharsodinium</t>
  </si>
  <si>
    <t>Alveolata;Dinoflagellata;Dinophyceae;Suessiales</t>
  </si>
  <si>
    <t>Alveolata;Dinoflagellata;Dinophyceae;Suessiales;Suessiaceae</t>
  </si>
  <si>
    <t>Alveolata;Dinoflagellata;Dinophyceae;Suessiales;Suessiaceae;Biecheleria</t>
  </si>
  <si>
    <t>Alveolata;Dinoflagellata;Dinophyceae;Suessiales;Suessiaceae;Protodinium</t>
  </si>
  <si>
    <t>Alveolata;Dinoflagellata;Syndiniales</t>
  </si>
  <si>
    <t>Alveolata;Dinoflagellata;Syndiniales;Dino-Group-II</t>
  </si>
  <si>
    <t>Alveolata;Dinoflagellata;Syndiniales;Dino-Group-II;Dino-Group-II-Clade-39</t>
  </si>
  <si>
    <t>Alveolata;Dinoflagellata;Syndiniales;Dino-Group-II;Dino-Group-II-Clade-39;Dino-Group-II-Clade-39_X</t>
  </si>
  <si>
    <t>Alveolata;NA</t>
  </si>
  <si>
    <t>Alveolata;NA;NA</t>
  </si>
  <si>
    <t>Alveolata;NA;NA;NA</t>
  </si>
  <si>
    <t>Alveolata;NA;NA;NA;NA</t>
  </si>
  <si>
    <t>Alveolata;NA;NA;NA;NA;NA</t>
  </si>
  <si>
    <t>Alveolata;Perkinsea</t>
  </si>
  <si>
    <t>Alveolata;Perkinsea;Perkinsida</t>
  </si>
  <si>
    <t>Alveolata;Perkinsea;Perkinsida;Perkinsida_X</t>
  </si>
  <si>
    <t>Alveolata;Perkinsea;Perkinsida;Perkinsida_X;Perkinsida_XX</t>
  </si>
  <si>
    <t>Alveolata;Perkinsea;Perkinsida;Perkinsida_X;Perkinsida_XX;Perkinsida_XXX</t>
  </si>
  <si>
    <t>Amoebozoa</t>
  </si>
  <si>
    <t>Amoebozoa;Breviatea</t>
  </si>
  <si>
    <t>Amoebozoa;Breviatea;Breviatea_X</t>
  </si>
  <si>
    <t>Amoebozoa;Breviatea;Breviatea_X;Breviatea_XX</t>
  </si>
  <si>
    <t>Amoebozoa;Breviatea;Breviatea_X;Breviatea_XX;Breviatea_XXX</t>
  </si>
  <si>
    <t>Amoebozoa;Breviatea;Breviatea_X;Breviatea_XX;Breviatea_XXX;Breviatea_XXXX</t>
  </si>
  <si>
    <t>Amoebozoa;Lobosa</t>
  </si>
  <si>
    <t>Amoebozoa;Lobosa;Discosea-Flabellinia</t>
  </si>
  <si>
    <t>Amoebozoa;Lobosa;Discosea-Flabellinia;Dactylopodida</t>
  </si>
  <si>
    <t>Amoebozoa;Lobosa;Discosea-Flabellinia;Dactylopodida;Vexilliferidae</t>
  </si>
  <si>
    <t>Amoebozoa;Lobosa;Discosea-Flabellinia;Dactylopodida;Vexilliferidae;Vexillifera</t>
  </si>
  <si>
    <t>Amoebozoa;Lobosa;Discosea-Flabellinia;Vannellida</t>
  </si>
  <si>
    <t>Amoebozoa;Lobosa;Discosea-Flabellinia;Vannellida;Vannellidae</t>
  </si>
  <si>
    <t>Amoebozoa;Lobosa;Discosea-Flabellinia;Vannellida;Vannellidae;Lingulamoeba</t>
  </si>
  <si>
    <t>Amoebozoa;Lobosa;Discosea-Longamoebia</t>
  </si>
  <si>
    <t>Amoebozoa;Lobosa;Discosea-Longamoebia;Dermamoebida</t>
  </si>
  <si>
    <t>Amoebozoa;Lobosa;Discosea-Longamoebia;Dermamoebida;Dermamoebidae</t>
  </si>
  <si>
    <t>Amoebozoa;Lobosa;Discosea-Longamoebia;Dermamoebida;Dermamoebidae;Dermamoebidae_X</t>
  </si>
  <si>
    <t>Amoebozoa;Lobosa;Discosea-Longamoebia;Dermamoebida;Mayorellidae</t>
  </si>
  <si>
    <t>Amoebozoa;Lobosa;Discosea-Longamoebia;Dermamoebida;Mayorellidae;Mayorella</t>
  </si>
  <si>
    <t>Amoebozoa;Lobosa;NA</t>
  </si>
  <si>
    <t>Amoebozoa;Lobosa;NA;NA</t>
  </si>
  <si>
    <t>Amoebozoa;Lobosa;NA;NA;NA</t>
  </si>
  <si>
    <t>Amoebozoa;Lobosa;NA;NA;NA;NA</t>
  </si>
  <si>
    <t>Amoebozoa;Lobosa;Tubulinea</t>
  </si>
  <si>
    <t>Amoebozoa;Lobosa;Tubulinea;Leptomyxida</t>
  </si>
  <si>
    <t>Amoebozoa;Lobosa;Tubulinea;Leptomyxida;Flabellulidae</t>
  </si>
  <si>
    <t>Amoebozoa;Lobosa;Tubulinea;Leptomyxida;Flabellulidae;Paraflabellula</t>
  </si>
  <si>
    <t>Amoebozoa;Lobosa;Tubulinea;Leptomyxida;Rhizamoeba-saxonica-lineage</t>
  </si>
  <si>
    <t>Amoebozoa;Lobosa;Tubulinea;Leptomyxida;Rhizamoeba-saxonica-lineage;Rhizamoeba</t>
  </si>
  <si>
    <t>Amoebozoa;NA</t>
  </si>
  <si>
    <t>Amoebozoa;NA;NA</t>
  </si>
  <si>
    <t>Amoebozoa;NA;NA;NA</t>
  </si>
  <si>
    <t>Amoebozoa;NA;NA;NA;NA</t>
  </si>
  <si>
    <t>Amoebozoa;NA;NA;NA;NA;NA</t>
  </si>
  <si>
    <t>Apusozoa</t>
  </si>
  <si>
    <t>Apusozoa;Apusomonadidae</t>
  </si>
  <si>
    <t>Apusozoa;Apusomonadidae;Apusomonadidae_Group-1</t>
  </si>
  <si>
    <t>Apusozoa;Apusomonadidae;Apusomonadidae_Group-1;Apusomonadidae_Group-1_X</t>
  </si>
  <si>
    <t>Apusozoa;Apusomonadidae;Apusomonadidae_Group-1;Apusomonadidae_Group-1_X;Apusomonadidae_Group-1_XX</t>
  </si>
  <si>
    <t>Apusozoa;Apusomonadidae;Apusomonadidae_Group-1;Apusomonadidae_Group-1_X;Apusomonadidae_Group-1_XX;Amastigomonas</t>
  </si>
  <si>
    <t>Apusozoa;Apusomonadidae;Apusomonadidae_Group-1;Apusomonadidae_Group-1_X;Apusomonadidae_Group-1_XX;Apusomonadidae_Group-1_XXX</t>
  </si>
  <si>
    <t>Apusozoa;Hilomonadea</t>
  </si>
  <si>
    <t>Apusozoa;Hilomonadea;Planomonadida</t>
  </si>
  <si>
    <t>Apusozoa;Hilomonadea;Planomonadida;Planomonadidae</t>
  </si>
  <si>
    <t>Apusozoa;Hilomonadea;Planomonadida;Planomonadidae;Planomonadidae_Group-1</t>
  </si>
  <si>
    <t>Apusozoa;Hilomonadea;Planomonadida;Planomonadidae;Planomonadidae_Group-1;Ancyromonas</t>
  </si>
  <si>
    <t>Apusozoa;Hilomonadea;Planomonadida;Planomonadidae;Planomonadidae_Group-1;Planomonadidae_Group-1_X</t>
  </si>
  <si>
    <t>Apusozoa;Hilomonadea;Planomonadida;Planomonadidae;Planomonadidae_Group-1;Planomonas</t>
  </si>
  <si>
    <t>Apusozoa;Hilomonadea;Planomonadida;Planomonadidae;Planomonadidae_X</t>
  </si>
  <si>
    <t>Apusozoa;Hilomonadea;Planomonadida;Planomonadidae;Planomonadidae_X;Micronuclearia</t>
  </si>
  <si>
    <t>Archaeplastida</t>
  </si>
  <si>
    <t>Archaeplastida;Chlorophyta</t>
  </si>
  <si>
    <t>Archaeplastida;Chlorophyta;Chlorodendrophyceae</t>
  </si>
  <si>
    <t>Archaeplastida;Chlorophyta;Chlorodendrophyceae;Chlorodendrales</t>
  </si>
  <si>
    <t>Archaeplastida;Chlorophyta;Chlorodendrophyceae;Chlorodendrales;Chlorodendraceae</t>
  </si>
  <si>
    <t>Archaeplastida;Chlorophyta;Chlorodendrophyceae;Chlorodendrales;Chlorodendraceae;Chlorodendrales_XX</t>
  </si>
  <si>
    <t>Archaeplastida;Chlorophyta;Chlorodendrophyceae;Chlorodendrales;Chlorodendraceae;NA</t>
  </si>
  <si>
    <t>Archaeplastida;Chlorophyta;Chlorodendrophyceae;Chlorodendrales;Chlorodendraceae;Tetraselmis</t>
  </si>
  <si>
    <t>Archaeplastida;Chlorophyta;Chlorophyceae</t>
  </si>
  <si>
    <t>Archaeplastida;Chlorophyta;Chlorophyceae;Chlamydomonadales</t>
  </si>
  <si>
    <t>Archaeplastida;Chlorophyta;Chlorophyceae;Chlamydomonadales;Chlamydomonadales_X</t>
  </si>
  <si>
    <t>Archaeplastida;Chlorophyta;Chlorophyceae;Chlamydomonadales;Chlamydomonadales_X;Borodinellopsis</t>
  </si>
  <si>
    <t>Archaeplastida;Chlorophyta;Chlorophyceae;Chlamydomonadales;Chlamydomonadales_X;Chlamydomonas</t>
  </si>
  <si>
    <t>Archaeplastida;Chlorophyta;Chlorophyceae;Chlamydomonadales;Chlamydomonadales_X;Dunaliella</t>
  </si>
  <si>
    <t>Archaeplastida;Chlorophyta;Chlorophyceae;Sphaeropleales</t>
  </si>
  <si>
    <t>Archaeplastida;Chlorophyta;Chlorophyceae;Sphaeropleales;Sphaeropleales_X</t>
  </si>
  <si>
    <t>Archaeplastida;Chlorophyta;Chlorophyceae;Sphaeropleales;Sphaeropleales_X;Desmodesmus</t>
  </si>
  <si>
    <t>Archaeplastida;Chlorophyta;Chlorophyceae;Sphaeropleales;Sphaeropleales_X;Scenedesmus</t>
  </si>
  <si>
    <t>Archaeplastida;Chlorophyta;Mamiellophyceae</t>
  </si>
  <si>
    <t>Archaeplastida;Chlorophyta;Mamiellophyceae;Mamiellales</t>
  </si>
  <si>
    <t>Archaeplastida;Chlorophyta;Mamiellophyceae;Mamiellales;Bathycoccaceae</t>
  </si>
  <si>
    <t>Archaeplastida;Chlorophyta;Mamiellophyceae;Mamiellales;Bathycoccaceae;Ostreococcus</t>
  </si>
  <si>
    <t>Archaeplastida;Chlorophyta;Mamiellophyceae;Mamiellales;Mamiellaceae</t>
  </si>
  <si>
    <t>Archaeplastida;Chlorophyta;Mamiellophyceae;Mamiellales;Mamiellaceae;Mantoniella</t>
  </si>
  <si>
    <t>Archaeplastida;Chlorophyta;Mamiellophyceae;Mamiellales;Mamiellaceae;Micromonas</t>
  </si>
  <si>
    <t>Archaeplastida;Chlorophyta;Pyramimonadophyceae</t>
  </si>
  <si>
    <t>Archaeplastida;Chlorophyta;Pyramimonadophyceae;Pyramimonadales</t>
  </si>
  <si>
    <t>Archaeplastida;Chlorophyta;Pyramimonadophyceae;Pyramimonadales;Pyramimonadaceae</t>
  </si>
  <si>
    <t>Archaeplastida;Chlorophyta;Pyramimonadophyceae;Pyramimonadales;Pyramimonadaceae;Pyramimonas</t>
  </si>
  <si>
    <t>Archaeplastida;Chlorophyta;Trebouxiophyceae</t>
  </si>
  <si>
    <t>Archaeplastida;Chlorophyta;Trebouxiophyceae;Chlorellales</t>
  </si>
  <si>
    <t>Archaeplastida;Chlorophyta;Trebouxiophyceae;Chlorellales;Chlorellales_X</t>
  </si>
  <si>
    <t>Archaeplastida;Chlorophyta;Trebouxiophyceae;Chlorellales;Chlorellales_X;Chlorella</t>
  </si>
  <si>
    <t>Archaeplastida;Chlorophyta;Trebouxiophyceae;Chlorellales;Chlorellales_X;Dictyosphaerium</t>
  </si>
  <si>
    <t>Archaeplastida;Chlorophyta;Trebouxiophyceae;Chlorellales;Chlorellales_X;NA</t>
  </si>
  <si>
    <t>Archaeplastida;Chlorophyta;Trebouxiophyceae;Chlorellales;Chlorellales_X;Picochlorum</t>
  </si>
  <si>
    <t>Archaeplastida;Chlorophyta;Trebouxiophyceae;Chlorellales;Chlorellales_X;Schizochlamydella</t>
  </si>
  <si>
    <t>Archaeplastida;Chlorophyta;Trebouxiophyceae;Microthamniales</t>
  </si>
  <si>
    <t>Archaeplastida;Chlorophyta;Trebouxiophyceae;Microthamniales;Microthamniales_X</t>
  </si>
  <si>
    <t>Archaeplastida;Chlorophyta;Trebouxiophyceae;Microthamniales;Microthamniales_X;Microthamniales_XX</t>
  </si>
  <si>
    <t>Archaeplastida;Chlorophyta;Ulvophyceae</t>
  </si>
  <si>
    <t>Archaeplastida;Chlorophyta;Ulvophyceae;NA</t>
  </si>
  <si>
    <t>Archaeplastida;Chlorophyta;Ulvophyceae;NA;NA</t>
  </si>
  <si>
    <t>Archaeplastida;Chlorophyta;Ulvophyceae;NA;NA;NA</t>
  </si>
  <si>
    <t>Archaeplastida;Chlorophyta;Ulvophyceae;Ulotrichales</t>
  </si>
  <si>
    <t>Archaeplastida;Chlorophyta;Ulvophyceae;Ulotrichales;Ulotrichales_X</t>
  </si>
  <si>
    <t>Archaeplastida;Chlorophyta;Ulvophyceae;Ulotrichales;Ulotrichales_X;NA</t>
  </si>
  <si>
    <t>Archaeplastida;Chlorophyta;Ulvophyceae;Ulvales-relatives</t>
  </si>
  <si>
    <t>Archaeplastida;Chlorophyta;Ulvophyceae;Ulvales-relatives;Ulvales-relatives_X</t>
  </si>
  <si>
    <t>Archaeplastida;Chlorophyta;Ulvophyceae;Ulvales-relatives;Ulvales-relatives_X;Desmochloris</t>
  </si>
  <si>
    <t>Archaeplastida;Chlorophyta;Ulvophyceae;Ulvales-relatives;Ulvales-relatives_X;NA</t>
  </si>
  <si>
    <t>Archaeplastida;Chlorophyta;Ulvophyceae;Ulvales-relatives;Ulvales-relatives_X;Ulva</t>
  </si>
  <si>
    <t>Archaeplastida;Chlorophyta;Ulvophyceae;Ulvales-relatives;Ulvales-relatives_X;Ulvales-relatives_XX</t>
  </si>
  <si>
    <t>Archaeplastida;Streptophyta</t>
  </si>
  <si>
    <t>Archaeplastida;Streptophyta;Embryophyceae</t>
  </si>
  <si>
    <t>Archaeplastida;Streptophyta;Embryophyceae;Embryophyceae_X</t>
  </si>
  <si>
    <t>Archaeplastida;Streptophyta;Embryophyceae;Embryophyceae_X;Embryophyceae_XX</t>
  </si>
  <si>
    <t>Archaeplastida;Streptophyta;Embryophyceae;Embryophyceae_X;Embryophyceae_XX;Brachypodium</t>
  </si>
  <si>
    <t>Archaeplastida;Streptophyta;Embryophyceae;Embryophyceae_X;Embryophyceae_XX;Brassica</t>
  </si>
  <si>
    <t>Archaeplastida;Streptophyta;Embryophyceae;Embryophyceae_X;Embryophyceae_XX;Broussonetia</t>
  </si>
  <si>
    <t>Archaeplastida;Streptophyta;Embryophyceae;Embryophyceae_X;Embryophyceae_XX;Cedrus</t>
  </si>
  <si>
    <t>Archaeplastida;Streptophyta;Embryophyceae;Embryophyceae_X;Embryophyceae_XX;Juniperus</t>
  </si>
  <si>
    <t>Archaeplastida;Streptophyta;Embryophyceae;Embryophyceae_X;Embryophyceae_XX;NA</t>
  </si>
  <si>
    <t>Archaeplastida;Streptophyta;Embryophyceae;Embryophyceae_X;Embryophyceae_XX;Pinus</t>
  </si>
  <si>
    <t>Archaeplastida;Streptophyta;Embryophyceae;Embryophyceae_X;Embryophyceae_XX;Plantago</t>
  </si>
  <si>
    <t>Archaeplastida;Streptophyta;Embryophyceae;Embryophyceae_X;Embryophyceae_XX;Taiwania</t>
  </si>
  <si>
    <t>Archaeplastida;Streptophyta;Embryophyceae;Embryophyceae_X;Embryophyceae_XX;Triticum</t>
  </si>
  <si>
    <t>Archaeplastida;Streptophyta;Embryophyceae;Embryophyceae_X;Embryophyceae_XX;Urtica</t>
  </si>
  <si>
    <t>Hacrobia</t>
  </si>
  <si>
    <t>Hacrobia;Centroheliozoa</t>
  </si>
  <si>
    <t>Hacrobia;Centroheliozoa;Centroheliozoa_X</t>
  </si>
  <si>
    <t>Hacrobia;Centroheliozoa;Centroheliozoa_X;Centroheliozoa_XX</t>
  </si>
  <si>
    <t>Hacrobia;Centroheliozoa;Centroheliozoa_X;Centroheliozoa_XX;Centroheliozoa_XXX</t>
  </si>
  <si>
    <t>Hacrobia;Centroheliozoa;Centroheliozoa_X;Centroheliozoa_XX;Centroheliozoa_XXX;Centroheliozoa_XXXX</t>
  </si>
  <si>
    <t>Hacrobia;Centroheliozoa;Centroheliozoa_X;NA</t>
  </si>
  <si>
    <t>Hacrobia;Centroheliozoa;Centroheliozoa_X;NA;NA</t>
  </si>
  <si>
    <t>Hacrobia;Centroheliozoa;Centroheliozoa_X;NA;NA;NA</t>
  </si>
  <si>
    <t>Hacrobia;Centroheliozoa;Centroheliozoa_X;Pterocystida</t>
  </si>
  <si>
    <t>Hacrobia;Centroheliozoa;Centroheliozoa_X;Pterocystida;NA</t>
  </si>
  <si>
    <t>Hacrobia;Centroheliozoa;Centroheliozoa_X;Pterocystida;NA;NA</t>
  </si>
  <si>
    <t>Hacrobia;Centroheliozoa;Centroheliozoa_X;Pterocystida;Pterocystida_X</t>
  </si>
  <si>
    <t>Hacrobia;Centroheliozoa;Centroheliozoa_X;Pterocystida;Pterocystida_X;Pterocystida_XX</t>
  </si>
  <si>
    <t>Hacrobia;Haptophyta</t>
  </si>
  <si>
    <t>Hacrobia;Haptophyta;Prymnesiophyceae</t>
  </si>
  <si>
    <t>Hacrobia;Haptophyta;Prymnesiophyceae;Isochrysidales</t>
  </si>
  <si>
    <t>Hacrobia;Haptophyta;Prymnesiophyceae;Isochrysidales;Isochrysidaceae</t>
  </si>
  <si>
    <t>Hacrobia;Haptophyta;Prymnesiophyceae;Isochrysidales;Isochrysidaceae;Isochrysis</t>
  </si>
  <si>
    <t>Hacrobia;Haptophyta;Prymnesiophyceae;Prymnesiales</t>
  </si>
  <si>
    <t>Hacrobia;Haptophyta;Prymnesiophyceae;Prymnesiales;Chrysochromulinaceae</t>
  </si>
  <si>
    <t>Hacrobia;Haptophyta;Prymnesiophyceae;Prymnesiales;Chrysochromulinaceae;Chrysochromulina</t>
  </si>
  <si>
    <t>Hacrobia;Haptophyta;Prymnesiophyceae;Prymnesiales;Prymnesiaceae</t>
  </si>
  <si>
    <t>Hacrobia;Haptophyta;Prymnesiophyceae;Prymnesiales;Prymnesiaceae;Haptolina</t>
  </si>
  <si>
    <t>Hacrobia;Haptophyta;Prymnesiophyceae;Prymnesiophyceae_X</t>
  </si>
  <si>
    <t>Hacrobia;Haptophyta;Prymnesiophyceae;Prymnesiophyceae_X;Braarudosphaeraceae</t>
  </si>
  <si>
    <t>Hacrobia;Haptophyta;Prymnesiophyceae;Prymnesiophyceae_X;Braarudosphaeraceae;Braarudosphaera</t>
  </si>
  <si>
    <t>Hacrobia;Katablepharidophyta</t>
  </si>
  <si>
    <t>Hacrobia;Katablepharidophyta;Katablepharidaceae</t>
  </si>
  <si>
    <t>Hacrobia;Katablepharidophyta;Katablepharidaceae;Katablepharidales</t>
  </si>
  <si>
    <t>Hacrobia;Katablepharidophyta;Katablepharidaceae;Katablepharidales;Katablepharidales_X</t>
  </si>
  <si>
    <t>Hacrobia;Katablepharidophyta;Katablepharidaceae;Katablepharidales;Katablepharidales_X;Katablepharidales_XX</t>
  </si>
  <si>
    <t>Hacrobia;NA</t>
  </si>
  <si>
    <t>Hacrobia;NA;NA</t>
  </si>
  <si>
    <t>Hacrobia;NA;NA;NA</t>
  </si>
  <si>
    <t>Hacrobia;NA;NA;NA;NA</t>
  </si>
  <si>
    <t>Hacrobia;NA;NA;NA;NA;NA</t>
  </si>
  <si>
    <t>NA</t>
  </si>
  <si>
    <t>NA;NA</t>
  </si>
  <si>
    <t>NA;NA;NA</t>
  </si>
  <si>
    <t>NA;NA;NA;NA</t>
  </si>
  <si>
    <t>NA;NA;NA;NA;NA</t>
  </si>
  <si>
    <t>NA;NA;NA;NA;NA;NA</t>
  </si>
  <si>
    <t>Opisthokonta</t>
  </si>
  <si>
    <t>Opisthokonta;Choanoflagellida</t>
  </si>
  <si>
    <t>Opisthokonta;Choanoflagellida;Choanoflagellatea</t>
  </si>
  <si>
    <t>Opisthokonta;Choanoflagellida;Choanoflagellatea;Acanthoecida</t>
  </si>
  <si>
    <t>Opisthokonta;Choanoflagellida;Choanoflagellatea;Acanthoecida;Stephanoecidae_Group_D</t>
  </si>
  <si>
    <t>Opisthokonta;Choanoflagellida;Choanoflagellatea;Acanthoecida;Stephanoecidae_Group_D;Stephanoecidae_Group_D_X</t>
  </si>
  <si>
    <t>Opisthokonta;Choanoflagellida;Choanoflagellatea;Acanthoecida;Stephanoecidae_Group_H</t>
  </si>
  <si>
    <t>Opisthokonta;Choanoflagellida;Choanoflagellatea;Acanthoecida;Stephanoecidae_Group_H;Stephanoeca_Group_H</t>
  </si>
  <si>
    <t>Opisthokonta;Choanoflagellida;Choanoflagellatea;Acanthoecida;Stephanoecidae_Group_I</t>
  </si>
  <si>
    <t>Opisthokonta;Choanoflagellida;Choanoflagellatea;Acanthoecida;Stephanoecidae_Group_I;Stephanoeca_Group_I</t>
  </si>
  <si>
    <t>Opisthokonta;Choanoflagellida;Choanoflagellatea;Choanoflagellatea_X</t>
  </si>
  <si>
    <t>Opisthokonta;Choanoflagellida;Choanoflagellatea;Choanoflagellatea_X;Choanoflagellatea_X_Group_L</t>
  </si>
  <si>
    <t>Opisthokonta;Choanoflagellida;Choanoflagellatea;Choanoflagellatea_X;Choanoflagellatea_X_Group_L;Choanoflagellatea_X_Group_L_X</t>
  </si>
  <si>
    <t>Opisthokonta;Choanoflagellida;Choanoflagellatea;Choanoflagellatea_X;Choanoflagellatea_XX</t>
  </si>
  <si>
    <t>Opisthokonta;Choanoflagellida;Choanoflagellatea;Choanoflagellatea_X;Choanoflagellatea_XX;Choanoflagellatea_XXX</t>
  </si>
  <si>
    <t>Opisthokonta;Choanoflagellida;Choanoflagellatea;Craspedida</t>
  </si>
  <si>
    <t>Opisthokonta;Choanoflagellida;Choanoflagellatea;Craspedida;Monosigidae_Group_A</t>
  </si>
  <si>
    <t>Opisthokonta;Choanoflagellida;Choanoflagellatea;Craspedida;Monosigidae_Group_A;Choanoeca</t>
  </si>
  <si>
    <t>Opisthokonta;Choanoflagellida;Choanoflagellatea;Craspedida;Monosigidae_Group_A;Codosiga</t>
  </si>
  <si>
    <t>Opisthokonta;Choanoflagellida;Choanoflagellatea;Craspedida;Monosigidae_Group_A;Monosigidae_Group_A_X</t>
  </si>
  <si>
    <t>Opisthokonta;Choanoflagellida;Choanoflagellatea;Craspedida;Monosigidae_Group_A;Salpingoeca_A</t>
  </si>
  <si>
    <t>Opisthokonta;Choanoflagellida;Choanoflagellatea;Craspedida;Monosigidae_Group_B</t>
  </si>
  <si>
    <t>Opisthokonta;Choanoflagellida;Choanoflagellatea;Craspedida;Monosigidae_Group_B;Monosigidae_Group_B_X</t>
  </si>
  <si>
    <t>Opisthokonta;Choanoflagellida;Choanoflagellatea;Craspedida;Monosigidae_Group_M</t>
  </si>
  <si>
    <t>Opisthokonta;Choanoflagellida;Choanoflagellatea;Craspedida;Monosigidae_Group_M;Monosigidae_Group_M_X</t>
  </si>
  <si>
    <t>Opisthokonta;Choanoflagellida;Choanoflagellatea;Craspedida;Monosigidae_Group_M;Salpingoeca_M</t>
  </si>
  <si>
    <t>Opisthokonta;Choanoflagellida;Choanoflagellatea;Craspedida;Salpingoecidae_Group_C2</t>
  </si>
  <si>
    <t>Opisthokonta;Choanoflagellida;Choanoflagellatea;Craspedida;Salpingoecidae_Group_C2;NA</t>
  </si>
  <si>
    <t>Opisthokonta;Choanoflagellida;Choanoflagellatea;Craspedida;Salpingoecidae_Group_C2;Salpingoecidae_Group_C2_X</t>
  </si>
  <si>
    <t>Opisthokonta;Choanoflagellida;Choanoflagellatea;NA</t>
  </si>
  <si>
    <t>Opisthokonta;Choanoflagellida;Choanoflagellatea;NA;NA</t>
  </si>
  <si>
    <t>Opisthokonta;Choanoflagellida;Choanoflagellatea;NA;NA;NA</t>
  </si>
  <si>
    <t>Opisthokonta;Fungi</t>
  </si>
  <si>
    <t>Opisthokonta;Fungi;Ascomycota</t>
  </si>
  <si>
    <t>Opisthokonta;Fungi;Ascomycota;Pezizomycotina</t>
  </si>
  <si>
    <t>Opisthokonta;Fungi;Ascomycota;Pezizomycotina;Dothideomycetes</t>
  </si>
  <si>
    <t>Opisthokonta;Fungi;Ascomycota;Pezizomycotina;Dothideomycetes;Alternaria</t>
  </si>
  <si>
    <t>Opisthokonta;Fungi;Ascomycota;Pezizomycotina;Dothideomycetes;Aureobasidium</t>
  </si>
  <si>
    <t>Opisthokonta;Fungi;Ascomycota;Pezizomycotina;Dothideomycetes;Chaetodiplodia</t>
  </si>
  <si>
    <t>Opisthokonta;Fungi;Ascomycota;Pezizomycotina;Dothideomycetes;Cladosporium</t>
  </si>
  <si>
    <t>Opisthokonta;Fungi;Ascomycota;Pezizomycotina;Dothideomycetes;Cochliobolus</t>
  </si>
  <si>
    <t>Opisthokonta;Fungi;Ascomycota;Pezizomycotina;Dothideomycetes;Kellermania</t>
  </si>
  <si>
    <t>Opisthokonta;Fungi;Ascomycota;Pezizomycotina;Dothideomycetes;NA</t>
  </si>
  <si>
    <t>Opisthokonta;Fungi;Ascomycota;Pezizomycotina;Eurotiomycetes</t>
  </si>
  <si>
    <t>Opisthokonta;Fungi;Ascomycota;Pezizomycotina;Eurotiomycetes;Aspergillus</t>
  </si>
  <si>
    <t>Opisthokonta;Fungi;Ascomycota;Pezizomycotina;Lecanoromycetes</t>
  </si>
  <si>
    <t>Opisthokonta;Fungi;Ascomycota;Pezizomycotina;Lecanoromycetes;Scoliciosporum</t>
  </si>
  <si>
    <t>Opisthokonta;Fungi;Ascomycota;Pezizomycotina;Leotiomycetes</t>
  </si>
  <si>
    <t>Opisthokonta;Fungi;Ascomycota;Pezizomycotina;Leotiomycetes;Sclerotinia</t>
  </si>
  <si>
    <t>Opisthokonta;Fungi;Ascomycota;Pezizomycotina;Sordariomycetes</t>
  </si>
  <si>
    <t>Opisthokonta;Fungi;Ascomycota;Pezizomycotina;Sordariomycetes;NA</t>
  </si>
  <si>
    <t>Opisthokonta;Fungi;Ascomycota;Saccharomycotina</t>
  </si>
  <si>
    <t>Opisthokonta;Fungi;Ascomycota;Saccharomycotina;Saccharomycetales</t>
  </si>
  <si>
    <t>Opisthokonta;Fungi;Ascomycota;Saccharomycotina;Saccharomycetales;Candida</t>
  </si>
  <si>
    <t>Opisthokonta;Fungi;Basidiomycota</t>
  </si>
  <si>
    <t>Opisthokonta;Fungi;Basidiomycota;Agaricomycotina</t>
  </si>
  <si>
    <t>Opisthokonta;Fungi;Basidiomycota;Agaricomycotina;Agaricomycetes</t>
  </si>
  <si>
    <t>Opisthokonta;Fungi;Basidiomycota;Agaricomycotina;Agaricomycetes;NA</t>
  </si>
  <si>
    <t>Opisthokonta;Fungi;Basidiomycota;Agaricomycotina;Agaricomycetes;Peniophorella</t>
  </si>
  <si>
    <t>Opisthokonta;Fungi;Basidiomycota;Agaricomycotina;Tremellomycetes</t>
  </si>
  <si>
    <t>Opisthokonta;Fungi;Basidiomycota;Agaricomycotina;Tremellomycetes;Tremellomycetes_X</t>
  </si>
  <si>
    <t>Opisthokonta;Fungi;Basidiomycota;Pucciniomycotina</t>
  </si>
  <si>
    <t>Opisthokonta;Fungi;Basidiomycota;Pucciniomycotina;Agaricostilbomycetes</t>
  </si>
  <si>
    <t>Opisthokonta;Fungi;Basidiomycota;Pucciniomycotina;Agaricostilbomycetes;Agaricostilbomycetes_X</t>
  </si>
  <si>
    <t>Opisthokonta;Fungi;Basidiomycota;Pucciniomycotina;Cystobasidiomycetes</t>
  </si>
  <si>
    <t>Opisthokonta;Fungi;Basidiomycota;Pucciniomycotina;Cystobasidiomycetes;Sporobolomyces</t>
  </si>
  <si>
    <t>Opisthokonta;Fungi;Basidiomycota;Ustilaginomycotina</t>
  </si>
  <si>
    <t>Opisthokonta;Fungi;Basidiomycota;Ustilaginomycotina;Exobasidiomycetes</t>
  </si>
  <si>
    <t>Opisthokonta;Fungi;Basidiomycota;Ustilaginomycotina;Exobasidiomycetes;Malassezia</t>
  </si>
  <si>
    <t>Opisthokonta;Fungi;Basidiomycota;Ustilaginomycotina;Ustilaginomycetes</t>
  </si>
  <si>
    <t>Opisthokonta;Fungi;Basidiomycota;Ustilaginomycotina;Ustilaginomycetes;Pseudozyma</t>
  </si>
  <si>
    <t>Opisthokonta;Fungi;Basidiomycota;Ustilaginomycotina;Ustilaginomycetes;Ustilago</t>
  </si>
  <si>
    <t>Opisthokonta;Fungi;Chytridiomycota</t>
  </si>
  <si>
    <t>Opisthokonta;Fungi;Chytridiomycota;Chytridiomycotina</t>
  </si>
  <si>
    <t>Opisthokonta;Fungi;Chytridiomycota;Chytridiomycotina;Chytridiomycetes</t>
  </si>
  <si>
    <t>Opisthokonta;Fungi;Chytridiomycota;Chytridiomycotina;Chytridiomycetes;Gromochytrium</t>
  </si>
  <si>
    <t>Opisthokonta;Fungi;Chytridiomycota;Chytridiomycotina;Chytridiomycetes;NA</t>
  </si>
  <si>
    <t>Opisthokonta;Fungi;Chytridiomycota;Chytridiomycotina;Chytridiomycetes;Spizellomyces</t>
  </si>
  <si>
    <t>Opisthokonta;Fungi;Chytridiomycota;Chytridiomycotina;Chytridiomycotina_X</t>
  </si>
  <si>
    <t>Opisthokonta;Fungi;Chytridiomycota;Chytridiomycotina;Chytridiomycotina_X;Chytridiomycotina_XX</t>
  </si>
  <si>
    <t>Opisthokonta;Fungi;Chytridiomycota;Chytridiomycotina;NA</t>
  </si>
  <si>
    <t>Opisthokonta;Fungi;Chytridiomycota;Chytridiomycotina;NA;NA</t>
  </si>
  <si>
    <t>Opisthokonta;Fungi;Cryptomycota</t>
  </si>
  <si>
    <t>Opisthokonta;Fungi;Cryptomycota;Cryptomycotina</t>
  </si>
  <si>
    <t>Opisthokonta;Fungi;Cryptomycota;Cryptomycotina;Cryptomycotina_X</t>
  </si>
  <si>
    <t>Opisthokonta;Fungi;Cryptomycota;Cryptomycotina;Cryptomycotina_X;Cryptomycotina_XX</t>
  </si>
  <si>
    <t>Opisthokonta;Fungi;NA</t>
  </si>
  <si>
    <t>Opisthokonta;Fungi;NA;NA</t>
  </si>
  <si>
    <t>Opisthokonta;Fungi;NA;NA;NA</t>
  </si>
  <si>
    <t>Opisthokonta;Fungi;NA;NA;NA;NA</t>
  </si>
  <si>
    <t>Opisthokonta;Mesomycetozoa</t>
  </si>
  <si>
    <t>Opisthokonta;Mesomycetozoa;Ichthyosporea</t>
  </si>
  <si>
    <t>Opisthokonta;Mesomycetozoa;Ichthyosporea;Ichthyosphonida</t>
  </si>
  <si>
    <t>Opisthokonta;Mesomycetozoa;Ichthyosporea;Ichthyosphonida;NA</t>
  </si>
  <si>
    <t>Opisthokonta;Mesomycetozoa;Ichthyosporea;Ichthyosphonida;NA;NA</t>
  </si>
  <si>
    <t>Opisthokonta;Mesomycetozoa;Ichthyosporea;Ichthyosphonida;Pseudoperkinsidae</t>
  </si>
  <si>
    <t>Opisthokonta;Mesomycetozoa;Ichthyosporea;Ichthyosphonida;Pseudoperkinsidae;Anurofeca</t>
  </si>
  <si>
    <t>Opisthokonta;Mesomycetozoa;Ichthyosporea;Rhynosporida</t>
  </si>
  <si>
    <t>Opisthokonta;Mesomycetozoa;Ichthyosporea;Rhynosporida;Rhynosporidae</t>
  </si>
  <si>
    <t>Opisthokonta;Mesomycetozoa;Ichthyosporea;Rhynosporida;Rhynosporidae;Rhynosporidae_X</t>
  </si>
  <si>
    <t>Opisthokonta;Mesomycetozoa;Nucleariidea</t>
  </si>
  <si>
    <t>Opisthokonta;Mesomycetozoa;Nucleariidea;Nucleariida</t>
  </si>
  <si>
    <t>Opisthokonta;Mesomycetozoa;Nucleariidea;Nucleariida;Nucleariida_X</t>
  </si>
  <si>
    <t>Opisthokonta;Mesomycetozoa;Nucleariidea;Nucleariida;Nucleariida_X;Nuclearia</t>
  </si>
  <si>
    <t>Opisthokonta;Metazoa</t>
  </si>
  <si>
    <t>Opisthokonta;Metazoa;Annelida</t>
  </si>
  <si>
    <t>Opisthokonta;Metazoa;Annelida;Annelida_X</t>
  </si>
  <si>
    <t>Opisthokonta;Metazoa;Annelida;Annelida_X;Annelida_XX</t>
  </si>
  <si>
    <t>Opisthokonta;Metazoa;Annelida;Annelida_X;Annelida_XX;NA</t>
  </si>
  <si>
    <t>Opisthokonta;Metazoa;Arthropoda</t>
  </si>
  <si>
    <t>Opisthokonta;Metazoa;Arthropoda;Chelicerata</t>
  </si>
  <si>
    <t>Opisthokonta;Metazoa;Arthropoda;Chelicerata;Arachnida</t>
  </si>
  <si>
    <t>Opisthokonta;Metazoa;Arthropoda;Chelicerata;Arachnida;Sancassania</t>
  </si>
  <si>
    <t>Opisthokonta;Metazoa;Arthropoda;Crustacea</t>
  </si>
  <si>
    <t>Opisthokonta;Metazoa;Arthropoda;Crustacea;Maxillopoda</t>
  </si>
  <si>
    <t>Opisthokonta;Metazoa;Arthropoda;Crustacea;Maxillopoda;Tisbe</t>
  </si>
  <si>
    <t>Opisthokonta;Metazoa;Cnidaria</t>
  </si>
  <si>
    <t>Opisthokonta;Metazoa;Cnidaria;Cnidaria_X</t>
  </si>
  <si>
    <t>Opisthokonta;Metazoa;Cnidaria;Cnidaria_X;Anthozoa</t>
  </si>
  <si>
    <t>Opisthokonta;Metazoa;Cnidaria;Cnidaria_X;Anthozoa;Tubastraea</t>
  </si>
  <si>
    <t>Opisthokonta;Metazoa;Craniata</t>
  </si>
  <si>
    <t>Opisthokonta;Metazoa;Craniata;Craniata_X</t>
  </si>
  <si>
    <t>Opisthokonta;Metazoa;Craniata;Craniata_X;Craniata_XX</t>
  </si>
  <si>
    <t>Opisthokonta;Metazoa;Craniata;Craniata_X;Craniata_XX;Capra</t>
  </si>
  <si>
    <t>Opisthokonta;Metazoa;Craniata;Craniata_X;Craniata_XX;Craniata_XXX</t>
  </si>
  <si>
    <t>Opisthokonta;Metazoa;Craniata;Craniata_X;Mammalia</t>
  </si>
  <si>
    <t>Opisthokonta;Metazoa;Craniata;Craniata_X;Mammalia;Homo</t>
  </si>
  <si>
    <t>Opisthokonta;Metazoa;Craniata;Craniata_X;Teleostei</t>
  </si>
  <si>
    <t>Opisthokonta;Metazoa;Craniata;Craniata_X;Teleostei;NA</t>
  </si>
  <si>
    <t>Opisthokonta;Metazoa;Craniata;Craniata_X;Teleostei;Salmo</t>
  </si>
  <si>
    <t>Opisthokonta;Metazoa;NA</t>
  </si>
  <si>
    <t>Opisthokonta;Metazoa;NA;NA</t>
  </si>
  <si>
    <t>Opisthokonta;Metazoa;NA;NA;NA</t>
  </si>
  <si>
    <t>Opisthokonta;Metazoa;NA;NA;NA;NA</t>
  </si>
  <si>
    <t>Opisthokonta;Metazoa;Nematoda</t>
  </si>
  <si>
    <t>Opisthokonta;Metazoa;Nematoda;Chromadorea</t>
  </si>
  <si>
    <t>Opisthokonta;Metazoa;Nematoda;Chromadorea;Haliplectoidea</t>
  </si>
  <si>
    <t>Opisthokonta;Metazoa;Nematoda;Chromadorea;Haliplectoidea;Rhabdolaimus</t>
  </si>
  <si>
    <t>Opisthokonta;Metazoa;Nematoda;Enoplea</t>
  </si>
  <si>
    <t>Opisthokonta;Metazoa;Nematoda;Enoplea;Enoplea_X</t>
  </si>
  <si>
    <t>Opisthokonta;Metazoa;Nematoda;Enoplea;Enoplea_X;Labronema</t>
  </si>
  <si>
    <t>Opisthokonta;Metazoa;Rotifera</t>
  </si>
  <si>
    <t>Opisthokonta;Metazoa;Rotifera;Rotifera_X</t>
  </si>
  <si>
    <t>Opisthokonta;Metazoa;Rotifera;Rotifera_X;Rotifera_XX</t>
  </si>
  <si>
    <t>Opisthokonta;Metazoa;Rotifera;Rotifera_X;Rotifera_XX;Brachionus</t>
  </si>
  <si>
    <t>Opisthokonta;Metazoa;Rotifera;Rotifera_X;Rotifera_XX;NA</t>
  </si>
  <si>
    <t>Opisthokonta;NA</t>
  </si>
  <si>
    <t>Opisthokonta;NA;NA</t>
  </si>
  <si>
    <t>Opisthokonta;NA;NA;NA</t>
  </si>
  <si>
    <t>Opisthokonta;NA;NA;NA;NA</t>
  </si>
  <si>
    <t>Opisthokonta;NA;NA;NA;NA;NA</t>
  </si>
  <si>
    <t>Rhizaria</t>
  </si>
  <si>
    <t>Rhizaria;Cercozoa</t>
  </si>
  <si>
    <t>Rhizaria;Cercozoa;Endomyxa</t>
  </si>
  <si>
    <t>Rhizaria;Cercozoa;Endomyxa;Vampyrellida</t>
  </si>
  <si>
    <t>Rhizaria;Cercozoa;Endomyxa;Vampyrellida;op14-lineage</t>
  </si>
  <si>
    <t>Rhizaria;Cercozoa;Endomyxa;Vampyrellida;op14-lineage;op14-lineage_X</t>
  </si>
  <si>
    <t>Rhizaria;Cercozoa;Filosa-Thecofilosea</t>
  </si>
  <si>
    <t>Rhizaria;Cercozoa;Filosa-Thecofilosea;Filosa-Thecofilosea_X</t>
  </si>
  <si>
    <t>Rhizaria;Cercozoa;Filosa-Thecofilosea;Filosa-Thecofilosea_X;Filosa-Thecofilosea_XX</t>
  </si>
  <si>
    <t>Rhizaria;Cercozoa;Filosa-Thecofilosea;Filosa-Thecofilosea_X;Filosa-Thecofilosea_XX;Filosa-Thecofilosea_XXX</t>
  </si>
  <si>
    <t>Stramenopiles</t>
  </si>
  <si>
    <t>Stramenopiles;NA</t>
  </si>
  <si>
    <t>Stramenopiles;NA;NA</t>
  </si>
  <si>
    <t>Stramenopiles;NA;NA;NA</t>
  </si>
  <si>
    <t>Stramenopiles;NA;NA;NA;NA</t>
  </si>
  <si>
    <t>Stramenopiles;NA;NA;NA;NA;NA</t>
  </si>
  <si>
    <t>Stramenopiles;Ochrophyta</t>
  </si>
  <si>
    <t>Stramenopiles;Ochrophyta;Bacillariophyta</t>
  </si>
  <si>
    <t>Stramenopiles;Ochrophyta;Bacillariophyta;Bacillariophyta_X</t>
  </si>
  <si>
    <t>Stramenopiles;Ochrophyta;Bacillariophyta;Bacillariophyta_X;Polar-centric-Mediophyceae</t>
  </si>
  <si>
    <t>Stramenopiles;Ochrophyta;Bacillariophyta;Bacillariophyta_X;Polar-centric-Mediophyceae;Skeletonema</t>
  </si>
  <si>
    <t>Stramenopiles;Ochrophyta;Bacillariophyta;Bacillariophyta_X;Raphid-pennate</t>
  </si>
  <si>
    <t>Stramenopiles;Ochrophyta;Bacillariophyta;Bacillariophyta_X;Raphid-pennate;Cylindrotheca</t>
  </si>
  <si>
    <t>Stramenopiles;Ochrophyta;Bacillariophyta;Bacillariophyta_X;Raphid-pennate;Cymbella</t>
  </si>
  <si>
    <t>Stramenopiles;Ochrophyta;Bacillariophyta;Bacillariophyta_X;Raphid-pennate;Nitzschia</t>
  </si>
  <si>
    <t>Stramenopiles;Ochrophyta;Bacillariophyta;Bacillariophyta_X;Raphid-pennate;Phaeodactylum</t>
  </si>
  <si>
    <t>Stramenopiles;Ochrophyta;Chrysophyceae</t>
  </si>
  <si>
    <t>Stramenopiles;Ochrophyta;Chrysophyceae;Chrysophyceae_X</t>
  </si>
  <si>
    <t>Stramenopiles;Ochrophyta;Chrysophyceae;Chrysophyceae_X;Chrysophyceae_Clade-C</t>
  </si>
  <si>
    <t>Stramenopiles;Ochrophyta;Chrysophyceae;Chrysophyceae_X;Chrysophyceae_Clade-C;Chrysophyceae_Clade-C_X</t>
  </si>
  <si>
    <t>Stramenopiles;Ochrophyta;Chrysophyceae;Chrysophyceae_X;Chrysophyceae_Clade-C;Spumella</t>
  </si>
  <si>
    <t>Stramenopiles;Ochrophyta;Chrysophyceae;Chrysophyceae_X;Chrysophyceae_Clade-F</t>
  </si>
  <si>
    <t>Stramenopiles;Ochrophyta;Chrysophyceae;Chrysophyceae_X;Chrysophyceae_Clade-F;Chrysophyceae_Clade-F_X</t>
  </si>
  <si>
    <t>Stramenopiles;Ochrophyta;Chrysophyceae;Chrysophyceae_X;Chrysophyceae_Clade-F;Clathromonas</t>
  </si>
  <si>
    <t>Stramenopiles;Ochrophyta;Chrysophyceae;Chrysophyceae_X;Chrysophyceae_Clade-F;NA</t>
  </si>
  <si>
    <t>Stramenopiles;Ochrophyta;Chrysophyceae;Chrysophyceae_X;Chrysophyceae_Clade-F;Paraphysomonas</t>
  </si>
  <si>
    <t>Stramenopiles;Ochrophyta;Chrysophyceae;Chrysophyceae_X;Chrysophyceae_Clade-H</t>
  </si>
  <si>
    <t>Stramenopiles;Ochrophyta;Chrysophyceae;Chrysophyceae_X;Chrysophyceae_Clade-H;Chrysophyceae_Clade-H_X</t>
  </si>
  <si>
    <t>Stramenopiles;Ochrophyta;Chrysophyceae;Chrysophyceae_X;Chrysophyceae_Clade-I</t>
  </si>
  <si>
    <t>Stramenopiles;Ochrophyta;Chrysophyceae;Chrysophyceae_X;Chrysophyceae_Clade-I;Chrysophyceae_Clade-I_X</t>
  </si>
  <si>
    <t>Stramenopiles;Ochrophyta;Chrysophyceae;Chrysophyceae_X;Chrysophyceae_XX</t>
  </si>
  <si>
    <t>Stramenopiles;Ochrophyta;Chrysophyceae;Chrysophyceae_X;Chrysophyceae_XX;Chrysophyceae_XXX</t>
  </si>
  <si>
    <t>Stramenopiles;Ochrophyta;Dictyochophyceae</t>
  </si>
  <si>
    <t>Stramenopiles;Ochrophyta;Dictyochophyceae;Dictyochophyceae_X</t>
  </si>
  <si>
    <t>Stramenopiles;Ochrophyta;Dictyochophyceae;Dictyochophyceae_X;Pedinellales</t>
  </si>
  <si>
    <t>Stramenopiles;Ochrophyta;Dictyochophyceae;Dictyochophyceae_X;Pedinellales;Pseudopedinella</t>
  </si>
  <si>
    <t>Stramenopiles;Ochrophyta;Eustigmatophyceae</t>
  </si>
  <si>
    <t>Stramenopiles;Ochrophyta;Eustigmatophyceae;Eustigmatophyceae_X</t>
  </si>
  <si>
    <t>Stramenopiles;Ochrophyta;Eustigmatophyceae;Eustigmatophyceae_X;Eustigmatophyceae_XX</t>
  </si>
  <si>
    <t>Stramenopiles;Ochrophyta;Eustigmatophyceae;Eustigmatophyceae_X;Eustigmatophyceae_XX;Nannochloropsis</t>
  </si>
  <si>
    <t>Stramenopiles;Ochrophyta;NA</t>
  </si>
  <si>
    <t>Stramenopiles;Ochrophyta;NA;NA</t>
  </si>
  <si>
    <t>Stramenopiles;Ochrophyta;NA;NA;NA</t>
  </si>
  <si>
    <t>Stramenopiles;Ochrophyta;NA;NA;NA;NA</t>
  </si>
  <si>
    <t>Stramenopiles;Ochrophyta;Synurophyceae</t>
  </si>
  <si>
    <t>Stramenopiles;Ochrophyta;Synurophyceae;Synurales</t>
  </si>
  <si>
    <t>Stramenopiles;Ochrophyta;Synurophyceae;Synurales;Synurales_X</t>
  </si>
  <si>
    <t>Stramenopiles;Ochrophyta;Synurophyceae;Synurales;Synurales_X;NA</t>
  </si>
  <si>
    <t>Stramenopiles;Opalozoa</t>
  </si>
  <si>
    <t>Stramenopiles;Opalozoa;Bicoecea</t>
  </si>
  <si>
    <t>Stramenopiles;Opalozoa;Bicoecea;Anoecales</t>
  </si>
  <si>
    <t>Stramenopiles;Opalozoa;Bicoecea;Anoecales;Anoecales_X</t>
  </si>
  <si>
    <t>Stramenopiles;Opalozoa;Bicoecea;Anoecales;Anoecales_X;Bilabrum</t>
  </si>
  <si>
    <t>Stramenopiles;Opalozoa;Bicoecea;Anoecales;Caecitellaceae</t>
  </si>
  <si>
    <t>Stramenopiles;Opalozoa;Bicoecea;Anoecales;Caecitellaceae;Caecitellus</t>
  </si>
  <si>
    <t>Stramenopiles;Opalozoa;Bicoecea;Anoecales;Cafeteriaceae</t>
  </si>
  <si>
    <t>Stramenopiles;Opalozoa;Bicoecea;Anoecales;Cafeteriaceae;Cafeteria</t>
  </si>
  <si>
    <t>Stramenopiles;Opalozoa;Bicoecea;Bicoecales</t>
  </si>
  <si>
    <t>Stramenopiles;Opalozoa;Bicoecea;Bicoecales;Bicoecaceae</t>
  </si>
  <si>
    <t>Stramenopiles;Opalozoa;Bicoecea;Bicoecales;Bicoecaceae;Bicoecaceae_X</t>
  </si>
  <si>
    <t>Stramenopiles;Opalozoa;MAST-12</t>
  </si>
  <si>
    <t>Stramenopiles;Opalozoa;MAST-12;MAST-12A</t>
  </si>
  <si>
    <t>Stramenopiles;Opalozoa;MAST-12;MAST-12A;MAST-12A_X</t>
  </si>
  <si>
    <t>Stramenopiles;Opalozoa;MAST-12;MAST-12A;MAST-12A_X;MAST-12A_XX</t>
  </si>
  <si>
    <t>Stramenopiles;Opalozoa;MAST-22</t>
  </si>
  <si>
    <t>Stramenopiles;Opalozoa;MAST-22;NA</t>
  </si>
  <si>
    <t>Stramenopiles;Opalozoa;MAST-22;NA;NA</t>
  </si>
  <si>
    <t>Stramenopiles;Opalozoa;MAST-22;NA;NA;NA</t>
  </si>
  <si>
    <t>Stramenopiles;Opalozoa;MAST-3</t>
  </si>
  <si>
    <t>Stramenopiles;Opalozoa;MAST-3;MAST-3J</t>
  </si>
  <si>
    <t>Stramenopiles;Opalozoa;MAST-3;MAST-3J;MAST-3J_X</t>
  </si>
  <si>
    <t>Stramenopiles;Opalozoa;MAST-3;MAST-3J;MAST-3J_X;MAST-3J_XX</t>
  </si>
  <si>
    <t>Stramenopiles;Sagenista</t>
  </si>
  <si>
    <t>Stramenopiles;Sagenista;Labyrinthulomycetes</t>
  </si>
  <si>
    <t>Stramenopiles;Sagenista;Labyrinthulomycetes;Labyrinthulida</t>
  </si>
  <si>
    <t>Stramenopiles;Sagenista;Labyrinthulomycetes;Labyrinthulida;Labyrinthulaceae</t>
  </si>
  <si>
    <t>Stramenopiles;Sagenista;Labyrinthulomycetes;Labyrinthulida;Labyrinthulaceae;Aplanochytrium</t>
  </si>
  <si>
    <t>Stramenopiles;Sagenista;Labyrinthulomycetes;Labyrinthulida;Labyrinthulaceae;Labyrinthula</t>
  </si>
  <si>
    <t>Stramenopiles;Sagenista;Labyrinthulomycetes;Labyrinthulida;Labyrinthulaceae;Labyrinthulaceae_X</t>
  </si>
  <si>
    <t>Stramenopiles;Sagenista;Labyrinthulomycetes;Oblongichytrida</t>
  </si>
  <si>
    <t>Stramenopiles;Sagenista;Labyrinthulomycetes;Oblongichytrida;Oblongichytridiaceae</t>
  </si>
  <si>
    <t>Stramenopiles;Sagenista;Labyrinthulomycetes;Oblongichytrida;Oblongichytridiaceae;Oblongichytrium</t>
  </si>
  <si>
    <t>Stramenopiles;Sagenista;Labyrinthulomycetes;Thraustochytrida</t>
  </si>
  <si>
    <t>Stramenopiles;Sagenista;Labyrinthulomycetes;Thraustochytrida;Thraustochytriaceae</t>
  </si>
  <si>
    <t>Stramenopiles;Sagenista;Labyrinthulomycetes;Thraustochytrida;Thraustochytriaceae;Thraustochytriaceae_HK10</t>
  </si>
  <si>
    <t>Stramenopiles;Sagenista;Labyrinthulomycetes;Thraustochytrida;Thraustochytriaceae;Thraustochytrium</t>
  </si>
  <si>
    <t>sample_id</t>
  </si>
  <si>
    <t>year</t>
  </si>
  <si>
    <t>month</t>
  </si>
  <si>
    <t>year_month</t>
  </si>
  <si>
    <t>November</t>
  </si>
  <si>
    <t>2016_11</t>
  </si>
  <si>
    <t>December</t>
  </si>
  <si>
    <t>2016_12</t>
  </si>
  <si>
    <t>January</t>
  </si>
  <si>
    <t>2017_01</t>
  </si>
  <si>
    <t>February</t>
  </si>
  <si>
    <t>2017_02</t>
  </si>
  <si>
    <t>March</t>
  </si>
  <si>
    <t>2017_03</t>
  </si>
  <si>
    <t>April</t>
  </si>
  <si>
    <t>2017_04</t>
  </si>
  <si>
    <t>May</t>
  </si>
  <si>
    <t>2017_05</t>
  </si>
  <si>
    <t>June</t>
  </si>
  <si>
    <t>2017_06</t>
  </si>
  <si>
    <t>September</t>
  </si>
  <si>
    <t>2017_09</t>
  </si>
  <si>
    <t>October</t>
  </si>
  <si>
    <t>2017_10</t>
  </si>
  <si>
    <t>2017_11</t>
  </si>
  <si>
    <t>2017_12</t>
  </si>
  <si>
    <t>2018_01</t>
  </si>
  <si>
    <t>2018_02</t>
  </si>
  <si>
    <t>2018_04</t>
  </si>
  <si>
    <t>2018_05</t>
  </si>
  <si>
    <t>August</t>
  </si>
  <si>
    <t>2018_08</t>
  </si>
  <si>
    <t>2018_09</t>
  </si>
  <si>
    <t>2018_10</t>
  </si>
  <si>
    <t>M1</t>
  </si>
  <si>
    <t>M2</t>
  </si>
  <si>
    <t>P1</t>
  </si>
  <si>
    <t>P2</t>
  </si>
  <si>
    <t>P3</t>
  </si>
  <si>
    <t>P4</t>
  </si>
  <si>
    <t>P5</t>
  </si>
  <si>
    <t>P6</t>
  </si>
  <si>
    <t>P8</t>
  </si>
  <si>
    <t>P14</t>
  </si>
  <si>
    <t>P15</t>
  </si>
  <si>
    <t>M3</t>
  </si>
  <si>
    <t>P9</t>
  </si>
  <si>
    <t>P10</t>
  </si>
  <si>
    <t>P11</t>
  </si>
  <si>
    <t>P12</t>
  </si>
  <si>
    <t>P13</t>
  </si>
  <si>
    <t>Tetraselmis_1</t>
  </si>
  <si>
    <t>Tetraselmis_2</t>
  </si>
  <si>
    <t>Tetraselmis_4</t>
  </si>
  <si>
    <t>Tetraselmis_5</t>
  </si>
  <si>
    <t>Tetraselmis_6</t>
  </si>
  <si>
    <t>Tetraselmis_7</t>
  </si>
  <si>
    <t>Tetraselmis_8</t>
  </si>
  <si>
    <t>Scenedesmus</t>
  </si>
  <si>
    <t>Chlorella</t>
  </si>
  <si>
    <t>Dictyosphaerium</t>
  </si>
  <si>
    <t>Chlorellales_1</t>
  </si>
  <si>
    <t>Chlorellales_3</t>
  </si>
  <si>
    <t>Picochlorum_1</t>
  </si>
  <si>
    <t>Picochlorum_2</t>
  </si>
  <si>
    <t>Picochlorum_3</t>
  </si>
  <si>
    <t>Schizochlamydella</t>
  </si>
  <si>
    <t>PLV1</t>
  </si>
  <si>
    <t>PLV2</t>
  </si>
  <si>
    <t>PLV3</t>
  </si>
  <si>
    <t>PLV4</t>
  </si>
  <si>
    <t>PLV5</t>
  </si>
  <si>
    <t>PLV6</t>
  </si>
  <si>
    <t>PLV7</t>
  </si>
  <si>
    <t>PLV8</t>
  </si>
  <si>
    <t>Picochlorum assembly ID</t>
  </si>
  <si>
    <t>strain name</t>
  </si>
  <si>
    <t>Viral region #</t>
  </si>
  <si>
    <t>Viral region length</t>
  </si>
  <si>
    <t>contig name</t>
  </si>
  <si>
    <t>Start coord</t>
  </si>
  <si>
    <t>End coord</t>
  </si>
  <si>
    <t>score</t>
  </si>
  <si>
    <t>Num viralhits</t>
  </si>
  <si>
    <t>Num ORFs</t>
  </si>
  <si>
    <t>NCLDV markers</t>
  </si>
  <si>
    <t>GCA_000876415</t>
  </si>
  <si>
    <t>Picochlorum sp. SENEW3</t>
  </si>
  <si>
    <t>JPID01000068.1</t>
  </si>
  <si>
    <t>JPID01000091.1</t>
  </si>
  <si>
    <t>JPID01000051.1</t>
  </si>
  <si>
    <t>JPID01000023.1</t>
  </si>
  <si>
    <t>GCA_002818215</t>
  </si>
  <si>
    <t>Picochlorum sp. 'soloecismus'</t>
  </si>
  <si>
    <t>PJAJ01000029.1</t>
  </si>
  <si>
    <t>RNAPS:1323.0</t>
  </si>
  <si>
    <t>PJAJ01000038.1</t>
  </si>
  <si>
    <t>PJAJ01000035.1</t>
  </si>
  <si>
    <t>PJAJ01000030.1</t>
  </si>
  <si>
    <t>RNAPL:909.1,RNAPL:375.7</t>
  </si>
  <si>
    <t>PJAJ01000024.1</t>
  </si>
  <si>
    <t>PJAJ01000022.1</t>
  </si>
  <si>
    <t>PJAJ01000008.1</t>
  </si>
  <si>
    <t>PJAJ01000020.1</t>
  </si>
  <si>
    <t>GCA_009650465</t>
  </si>
  <si>
    <t>Picochlorum sp. BH-2019</t>
  </si>
  <si>
    <t>WJEA01000021.1</t>
  </si>
  <si>
    <t>WJEA01000017.1</t>
  </si>
  <si>
    <t>WJEA01000015.1</t>
  </si>
  <si>
    <t>RNAPL:554.1,RNAPL:726.5</t>
  </si>
  <si>
    <t>WJEA01000019.1</t>
  </si>
  <si>
    <t>WJEA01000012.1</t>
  </si>
  <si>
    <t>WJEA01000023.1</t>
  </si>
  <si>
    <t>WJEA01000004.1</t>
  </si>
  <si>
    <t>WJEA01000005.1</t>
  </si>
  <si>
    <t>RNAPL:526.0</t>
  </si>
  <si>
    <t>WJEA01000010.1</t>
  </si>
  <si>
    <t>WJEA01000003.1</t>
  </si>
  <si>
    <t>WJEA01000014.1</t>
  </si>
  <si>
    <t>GCA_011316045</t>
  </si>
  <si>
    <t>Picochlorum costavermella</t>
  </si>
  <si>
    <t>WKLD01000032.1</t>
  </si>
  <si>
    <t>WKLD01000011.1</t>
  </si>
  <si>
    <t>WKLD01000041.1</t>
  </si>
  <si>
    <t>WKLD01000089.1</t>
  </si>
  <si>
    <t>WKLD01000126.1</t>
  </si>
  <si>
    <t>#                                                               --- full sequence ---- --- best 1 domain ---- --- domain number estimation ----</t>
  </si>
  <si>
    <t># target name        accession  query name           accession    E-value  score  bias   E-value  score  bias   exp reg clu  ov env dom rep inc description of target</t>
  </si>
  <si>
    <t>#------------------- ---------- -------------------- ---------- --------- ------ ----- --------- ------ -----   --- --- --- --- --- --- --- --- ---------------------</t>
  </si>
  <si>
    <t>WKLD01000003.1_1069</t>
  </si>
  <si>
    <t>-</t>
  </si>
  <si>
    <t>SFII</t>
  </si>
  <si>
    <t>#</t>
  </si>
  <si>
    <t>1069049 # 1071253 # 1 # ID=1_1069;partial=00;start_type=ATG;rbs_motif=GGA/GAG/AGG;rbs_spacer=5-10bp;gc_cont=0.468</t>
  </si>
  <si>
    <t>WKLD01000003.1_1124</t>
  </si>
  <si>
    <t>1136925 # 1139066 # -1 # ID=1_1124;partial=00;start_type=GTG;rbs_motif=None;rbs_spacer=None;gc_cont=0.464</t>
  </si>
  <si>
    <t>WKLD01000003.1_1159</t>
  </si>
  <si>
    <t>A32</t>
  </si>
  <si>
    <t>1174437 # 1176164 # -1 # ID=1_1159;partial=00;start_type=GTG;rbs_motif=GGA/GAG/AGG;rbs_spacer=5-10bp;gc_cont=0.442</t>
  </si>
  <si>
    <t>WKLD01000003.1_1172</t>
  </si>
  <si>
    <t>1186001 # 1188079 # 1 # ID=1_1172;partial=00;start_type=ATG;rbs_motif=None;rbs_spacer=None;gc_cont=0.463</t>
  </si>
  <si>
    <t>WKLD01000003.1_1286</t>
  </si>
  <si>
    <t>1311655 # 1314501 # -1 # ID=1_1286;partial=00;start_type=TTG;rbs_motif=None;rbs_spacer=None;gc_cont=0.480</t>
  </si>
  <si>
    <t>WKLD01000003.1_1513</t>
  </si>
  <si>
    <t>1566249 # 1570070 # -1 # ID=1_1513;partial=00;start_type=GTG;rbs_motif=AGGAG;rbs_spacer=3-4bp;gc_cont=0.468</t>
  </si>
  <si>
    <t>WKLD01000003.1_1552</t>
  </si>
  <si>
    <t>1612941 # 1614833 # 1 # ID=1_1552;partial=00;start_type=ATG;rbs_motif=None;rbs_spacer=None;gc_cont=0.501</t>
  </si>
  <si>
    <t>WKLD01000003.1_161</t>
  </si>
  <si>
    <t>165641 # 168313 # 1 # ID=1_161;partial=00;start_type=GTG;rbs_motif=GGA/GAG/AGG;rbs_spacer=5-10bp;gc_cont=0.452</t>
  </si>
  <si>
    <t>WKLD01000003.1_1639</t>
  </si>
  <si>
    <t>PolB</t>
  </si>
  <si>
    <t>1708279 # 1710723 # 1 # ID=1_1639;partial=00;start_type=ATG;rbs_motif=GGA/GAG/AGG;rbs_spacer=5-10bp;gc_cont=0.449</t>
  </si>
  <si>
    <t>WKLD01000003.1_27</t>
  </si>
  <si>
    <t>26237 # 28297 # 1 # ID=1_27;partial=00;start_type=GTG;rbs_motif=AGGAGG;rbs_spacer=11-12bp;gc_cont=0.500</t>
  </si>
  <si>
    <t>WKLD01000003.1_627</t>
  </si>
  <si>
    <t>649315 # 650520 # 1 # ID=1_627;partial=00;start_type=ATG;rbs_motif=None;rbs_spacer=None;gc_cont=0.473</t>
  </si>
  <si>
    <t>WKLD01000003.1_698</t>
  </si>
  <si>
    <t>715161 # 716408 # 1 # ID=1_698;partial=00;start_type=ATG;rbs_motif=None;rbs_spacer=None;gc_cont=0.478</t>
  </si>
  <si>
    <t>WKLD01000003.1_751</t>
  </si>
  <si>
    <t>759523 # 763062 # 1 # ID=1_751;partial=00;start_type=ATG;rbs_motif=None;rbs_spacer=None;gc_cont=0.465</t>
  </si>
  <si>
    <t>WKLD01000003.1_764</t>
  </si>
  <si>
    <t>781234 # 783000 # -1 # ID=1_764;partial=00;start_type=ATG;rbs_motif=None;rbs_spacer=None;gc_cont=0.462</t>
  </si>
  <si>
    <t>WKLD01000003.1_951</t>
  </si>
  <si>
    <t>977316 # 978470 # -1 # ID=1_951;partial=00;start_type=ATG;rbs_motif=4Base/6BMM;rbs_spacer=13-15bp;gc_cont=0.452</t>
  </si>
  <si>
    <t>WKLD01000004.1_115</t>
  </si>
  <si>
    <t>117576 # 119153 # 1 # ID=2_115;partial=00;start_type=ATG;rbs_motif=GGA/GAG/AGG;rbs_spacer=5-10bp;gc_cont=0.448</t>
  </si>
  <si>
    <t>WKLD01000004.1_195</t>
  </si>
  <si>
    <t>223774 # 224178 # 1 # ID=2_195;partial=00;start_type=GTG;rbs_motif=None;rbs_spacer=None;gc_cont=0.474</t>
  </si>
  <si>
    <t>WKLD01000004.1_196</t>
  </si>
  <si>
    <t>224166 # 229115 # 1 # ID=2_196;partial=00;start_type=GTG;rbs_motif=None;rbs_spacer=None;gc_cont=0.470</t>
  </si>
  <si>
    <t>WKLD01000004.1_229</t>
  </si>
  <si>
    <t>mRNAc</t>
  </si>
  <si>
    <t>260759 # 262627 # -1 # ID=2_229;partial=00;start_type=GTG;rbs_motif=4Base/6BMM;rbs_spacer=13-15bp;gc_cont=0.459</t>
  </si>
  <si>
    <t>WKLD01000004.1_241</t>
  </si>
  <si>
    <t>RNAPL</t>
  </si>
  <si>
    <t>277796 # 282910 # -1 # ID=2_241;partial=00;start_type=ATG;rbs_motif=GGAGG;rbs_spacer=5-10bp;gc_cont=0.483</t>
  </si>
  <si>
    <t>WKLD01000004.1_27</t>
  </si>
  <si>
    <t>32907 # 36938 # 1 # ID=2_27;partial=00;start_type=ATG;rbs_motif=None;rbs_spacer=None;gc_cont=0.463</t>
  </si>
  <si>
    <t>WKLD01000004.1_399</t>
  </si>
  <si>
    <t>461994 # 463070 # 1 # ID=2_399;partial=00;start_type=TTG;rbs_motif=None;rbs_spacer=None;gc_cont=0.492</t>
  </si>
  <si>
    <t>WKLD01000004.1_506</t>
  </si>
  <si>
    <t>565387 # 567039 # 1 # ID=2_506;partial=00;start_type=ATG;rbs_motif=AGxAG;rbs_spacer=5-10bp;gc_cont=0.457</t>
  </si>
  <si>
    <t>WKLD01000004.1_516</t>
  </si>
  <si>
    <t>575194 # 576930 # 1 # ID=2_516;partial=00;start_type=GTG;rbs_motif=None;rbs_spacer=None;gc_cont=0.478</t>
  </si>
  <si>
    <t>WKLD01000004.1_559</t>
  </si>
  <si>
    <t>620002 # 624054 # -1 # ID=2_559;partial=00;start_type=GTG;rbs_motif=GGAG/GAGG;rbs_spacer=5-10bp;gc_cont=0.486</t>
  </si>
  <si>
    <t>WKLD01000005.1_25</t>
  </si>
  <si>
    <t>29042 # 29953 # 1 # ID=3_25;partial=00;start_type=ATG;rbs_motif=None;rbs_spacer=None;gc_cont=0.325</t>
  </si>
  <si>
    <t>WKLD01000007.1_14</t>
  </si>
  <si>
    <t>17389 # 18525 # 1 # ID=5_14;partial=00;start_type=TTG;rbs_motif=TAA;rbs_spacer=15bp;gc_cont=0.347</t>
  </si>
  <si>
    <t>WKLD01000008.1_168</t>
  </si>
  <si>
    <t>164304 # 165659 # 1 # ID=6_168;partial=00;start_type=ATG;rbs_motif=GGAG/GAGG;rbs_spacer=5-10bp;gc_cont=0.475</t>
  </si>
  <si>
    <t>WKLD01000008.1_194</t>
  </si>
  <si>
    <t>197161 # 198636 # -1 # ID=6_194;partial=00;start_type=ATG;rbs_motif=GGAG/GAGG;rbs_spacer=5-10bp;gc_cont=0.516</t>
  </si>
  <si>
    <t>WKLD01000008.1_254</t>
  </si>
  <si>
    <t>270048 # 272300 # 1 # ID=6_254;partial=00;start_type=ATG;rbs_motif=GGA/GAG/AGG;rbs_spacer=5-10bp;gc_cont=0.492</t>
  </si>
  <si>
    <t>WKLD01000008.1_287</t>
  </si>
  <si>
    <t>312213 # 313721 # -1 # ID=6_287;partial=00;start_type=ATG;rbs_motif=None;rbs_spacer=None;gc_cont=0.505</t>
  </si>
  <si>
    <t>WKLD01000008.1_298</t>
  </si>
  <si>
    <t>324989 # 327493 # 1 # ID=6_298;partial=00;start_type=ATG;rbs_motif=None;rbs_spacer=None;gc_cont=0.450</t>
  </si>
  <si>
    <t>WKLD01000008.1_38</t>
  </si>
  <si>
    <t>31685 # 33994 # -1 # ID=6_38;partial=00;start_type=GTG;rbs_motif=None;rbs_spacer=None;gc_cont=0.422</t>
  </si>
  <si>
    <t>WKLD01000010.1_12</t>
  </si>
  <si>
    <t>11251 # 12969 # -1 # ID=8_12;partial=00;start_type=ATG;rbs_motif=None;rbs_spacer=None;gc_cont=0.341</t>
  </si>
  <si>
    <t>WKLD01000011.1_170</t>
  </si>
  <si>
    <t>211260 # 214175 # -1 # ID=9_170;partial=00;start_type=GTG;rbs_motif=None;rbs_spacer=None;gc_cont=0.447</t>
  </si>
  <si>
    <t>WKLD01000011.1_232</t>
  </si>
  <si>
    <t>281086 # 281676 # 1 # ID=9_232;partial=00;start_type=ATG;rbs_motif=None;rbs_spacer=None;gc_cont=0.452</t>
  </si>
  <si>
    <t>WKLD01000011.1_299</t>
  </si>
  <si>
    <t>340658 # 342142 # -1 # ID=9_299;partial=00;start_type=ATG;rbs_motif=GGA/GAG/AGG;rbs_spacer=5-10bp;gc_cont=0.442</t>
  </si>
  <si>
    <t>WKLD01000011.1_322</t>
  </si>
  <si>
    <t>364070 # 366577 # 1 # ID=9_322;partial=00;start_type=ATG;rbs_motif=None;rbs_spacer=None;gc_cont=0.447</t>
  </si>
  <si>
    <t>WKLD01000011.1_42</t>
  </si>
  <si>
    <t>45742 # 48708 # -1 # ID=9_42;partial=00;start_type=ATG;rbs_motif=None;rbs_spacer=None;gc_cont=0.496</t>
  </si>
  <si>
    <t>WKLD01000011.1_480</t>
  </si>
  <si>
    <t>524259 # 525098 # 1 # ID=9_480;partial=00;start_type=TTG;rbs_motif=GGAG/GAGG;rbs_spacer=5-10bp;gc_cont=0.520</t>
  </si>
  <si>
    <t>WKLD01000011.1_505</t>
  </si>
  <si>
    <t>RNR</t>
  </si>
  <si>
    <t>545705 # 546706 # 1 # ID=9_505;partial=00;start_type=ATG;rbs_motif=None;rbs_spacer=None;gc_cont=0.466</t>
  </si>
  <si>
    <t>WKLD01000012.1_31</t>
  </si>
  <si>
    <t>25577 # 27394 # -1 # ID=10_31;partial=00;start_type=ATG;rbs_motif=None;rbs_spacer=None;gc_cont=0.392</t>
  </si>
  <si>
    <t>WKLD01000013.1_288</t>
  </si>
  <si>
    <t>336738 # 338906 # -1 # ID=11_288;partial=00;start_type=ATG;rbs_motif=None;rbs_spacer=None;gc_cont=0.468</t>
  </si>
  <si>
    <t>WKLD01000014.1_3</t>
  </si>
  <si>
    <t>1952 # 2719 # -1 # ID=12_3;partial=00;start_type=ATG;rbs_motif=None;rbs_spacer=None;gc_cont=0.340</t>
  </si>
  <si>
    <t>WKLD01000017.1_276</t>
  </si>
  <si>
    <t>341239 # 342093 # -1 # ID=15_276;partial=00;start_type=GTG;rbs_motif=None;rbs_spacer=None;gc_cont=0.488</t>
  </si>
  <si>
    <t>WKLD01000017.1_67</t>
  </si>
  <si>
    <t>110722 # 112932 # -1 # ID=15_67;partial=00;start_type=GTG;rbs_motif=None;rbs_spacer=None;gc_cont=0.479</t>
  </si>
  <si>
    <t>WKLD01000018.1_18</t>
  </si>
  <si>
    <t>24393 # 28580 # 1 # ID=16_18;partial=00;start_type=ATG;rbs_motif=None;rbs_spacer=None;gc_cont=0.495</t>
  </si>
  <si>
    <t>WKLD01000018.1_28</t>
  </si>
  <si>
    <t>37548 # 38153 # 1 # ID=16_28;partial=00;start_type=ATG;rbs_motif=None;rbs_spacer=None;gc_cont=0.474</t>
  </si>
  <si>
    <t>WKLD01000018.1_30</t>
  </si>
  <si>
    <t>38598 # 43286 # 1 # ID=16_30;partial=00;start_type=GTG;rbs_motif=GGAG/GAGG;rbs_spacer=5-10bp;gc_cont=0.501</t>
  </si>
  <si>
    <t>WKLD01000019.1_4</t>
  </si>
  <si>
    <t>1764 # 2234 # -1 # ID=17_4;partial=00;start_type=GTG;rbs_motif=TAA;rbs_spacer=9bp;gc_cont=0.327</t>
  </si>
  <si>
    <t>WKLD01000020.1_127</t>
  </si>
  <si>
    <t>RNAPS</t>
  </si>
  <si>
    <t>160937 # 164419 # 1 # ID=18_127;partial=00;start_type=GTG;rbs_motif=None;rbs_spacer=None;gc_cont=0.472</t>
  </si>
  <si>
    <t>WKLD01000020.1_231</t>
  </si>
  <si>
    <t>268993 # 270432 # -1 # ID=18_231;partial=00;start_type=ATG;rbs_motif=None;rbs_spacer=None;gc_cont=0.499</t>
  </si>
  <si>
    <t>WKLD01000020.1_267</t>
  </si>
  <si>
    <t>297198 # 300437 # -1 # ID=18_267;partial=00;start_type=ATG;rbs_motif=GGA/GAG/AGG;rbs_spacer=5-10bp;gc_cont=0.466</t>
  </si>
  <si>
    <t>WKLD01000020.1_76</t>
  </si>
  <si>
    <t>99532 # 101352 # -1 # ID=18_76;partial=00;start_type=ATG;rbs_motif=None;rbs_spacer=None;gc_cont=0.482</t>
  </si>
  <si>
    <t>WKLD01000023.1_139</t>
  </si>
  <si>
    <t>166345 # 168009 # -1 # ID=21_139;partial=00;start_type=ATG;rbs_motif=AGxAGG/AGGxGG;rbs_spacer=5-10bp;gc_cont=0.485</t>
  </si>
  <si>
    <t>WKLD01000023.1_3</t>
  </si>
  <si>
    <t>4516 # 7113 # -1 # ID=21_3;partial=00;start_type=GTG;rbs_motif=GGAG/GAGG;rbs_spacer=5-10bp;gc_cont=0.508</t>
  </si>
  <si>
    <t>WKLD01000023.1_5</t>
  </si>
  <si>
    <t>7399 # 9240 # -1 # ID=21_5;partial=00;start_type=ATG;rbs_motif=None;rbs_spacer=None;gc_cont=0.495</t>
  </si>
  <si>
    <t>WKLD01000024.1_2</t>
  </si>
  <si>
    <t>431 # 5311 # -1 # ID=22_2;partial=00;start_type=ATG;rbs_motif=TAAA;rbs_spacer=14bp;gc_cont=0.308</t>
  </si>
  <si>
    <t>WKLD01000025.1_124</t>
  </si>
  <si>
    <t>122471 # 124231 # 1 # ID=23_124;partial=00;start_type=ATG;rbs_motif=GGA/GAG/AGG;rbs_spacer=5-10bp;gc_cont=0.491</t>
  </si>
  <si>
    <t>WKLD01000025.1_57</t>
  </si>
  <si>
    <t>49572 # 49850 # -1 # ID=23_57;partial=00;start_type=ATG;rbs_motif=GGA/GAG/AGG;rbs_spacer=5-10bp;gc_cont=0.462</t>
  </si>
  <si>
    <t>WKLD01000028.1_174</t>
  </si>
  <si>
    <t>175822 # 178170 # 1 # ID=26_174;partial=00;start_type=ATG;rbs_motif=GGAG/GAGG;rbs_spacer=5-10bp;gc_cont=0.465</t>
  </si>
  <si>
    <t>WKLD01000032.1_1037</t>
  </si>
  <si>
    <t>1167759 # 1171793 # 1 # ID=30_1037;partial=00;start_type=GTG;rbs_motif=None;rbs_spacer=None;gc_cont=0.478</t>
  </si>
  <si>
    <t>WKLD01000032.1_109</t>
  </si>
  <si>
    <t>113817 # 115490 # 1 # ID=30_109;partial=00;start_type=ATG;rbs_motif=None;rbs_spacer=None;gc_cont=0.443</t>
  </si>
  <si>
    <t>WKLD01000032.1_1223</t>
  </si>
  <si>
    <t>1394091 # 1397387 # -1 # ID=30_1223;partial=00;start_type=ATG;rbs_motif=GGA/GAG/AGG;rbs_spacer=5-10bp;gc_cont=0.487</t>
  </si>
  <si>
    <t>WKLD01000032.1_1232</t>
  </si>
  <si>
    <t>1406193 # 1408256 # 1 # ID=30_1232;partial=00;start_type=GTG;rbs_motif=GGAGG;rbs_spacer=5-10bp;gc_cont=0.472</t>
  </si>
  <si>
    <t>WKLD01000032.1_1233</t>
  </si>
  <si>
    <t>1408228 # 1409850 # 1 # ID=30_1233;partial=00;start_type=ATG;rbs_motif=None;rbs_spacer=None;gc_cont=0.479</t>
  </si>
  <si>
    <t>WKLD01000032.1_1238</t>
  </si>
  <si>
    <t>1415041 # 1416636 # 1 # ID=30_1238;partial=00;start_type=ATG;rbs_motif=AGGAGG;rbs_spacer=3-4bp;gc_cont=0.474</t>
  </si>
  <si>
    <t>WKLD01000032.1_1252</t>
  </si>
  <si>
    <t>1441850 # 1445722 # 1 # ID=30_1252;partial=00;start_type=ATG;rbs_motif=None;rbs_spacer=None;gc_cont=0.469</t>
  </si>
  <si>
    <t>WKLD01000032.1_1280</t>
  </si>
  <si>
    <t>1469056 # 1470804 # 1 # ID=30_1280;partial=00;start_type=ATG;rbs_motif=GGA/GAG/AGG;rbs_spacer=5-10bp;gc_cont=0.489</t>
  </si>
  <si>
    <t>WKLD01000032.1_235</t>
  </si>
  <si>
    <t>253124 # 255160 # -1 # ID=30_235;partial=00;start_type=ATG;rbs_motif=None;rbs_spacer=None;gc_cont=0.469</t>
  </si>
  <si>
    <t>WKLD01000032.1_252</t>
  </si>
  <si>
    <t>268590 # 269144 # 1 # ID=30_252;partial=00;start_type=GTG;rbs_motif=GGA/GAG/AGG;rbs_spacer=5-10bp;gc_cont=0.472</t>
  </si>
  <si>
    <t>WKLD01000032.1_270</t>
  </si>
  <si>
    <t>283745 # 288190 # 1 # ID=30_270;partial=00;start_type=ATG;rbs_motif=None;rbs_spacer=None;gc_cont=0.458</t>
  </si>
  <si>
    <t>WKLD01000032.1_307</t>
  </si>
  <si>
    <t>325682 # 327391 # 1 # ID=30_307;partial=00;start_type=ATG;rbs_motif=AGxAG;rbs_spacer=5-10bp;gc_cont=0.485</t>
  </si>
  <si>
    <t>WKLD01000032.1_321</t>
  </si>
  <si>
    <t>342873 # 344450 # -1 # ID=30_321;partial=00;start_type=ATG;rbs_motif=None;rbs_spacer=None;gc_cont=0.466</t>
  </si>
  <si>
    <t>WKLD01000032.1_35</t>
  </si>
  <si>
    <t>D5</t>
  </si>
  <si>
    <t>39396 # 41909 # 1 # ID=30_35;partial=00;start_type=ATG;rbs_motif=GGAG/GAGG;rbs_spacer=5-10bp;gc_cont=0.475</t>
  </si>
  <si>
    <t>WKLD01000032.1_480</t>
  </si>
  <si>
    <t>519620 # 521290 # 1 # ID=30_480;partial=00;start_type=TTG;rbs_motif=4Base/6BMM;rbs_spacer=13-15bp;gc_cont=0.461</t>
  </si>
  <si>
    <t>WKLD01000032.1_688</t>
  </si>
  <si>
    <t>752414 # 754699 # -1 # ID=30_688;partial=00;start_type=ATG;rbs_motif=None;rbs_spacer=None;gc_cont=0.460</t>
  </si>
  <si>
    <t>WKLD01000032.1_787</t>
  </si>
  <si>
    <t>877343 # 879922 # 1 # ID=30_787;partial=00;start_type=ATG;rbs_motif=None;rbs_spacer=None;gc_cont=0.449</t>
  </si>
  <si>
    <t>WKLD01000032.1_789</t>
  </si>
  <si>
    <t>880154 # 881812 # 1 # ID=30_789;partial=00;start_type=ATG;rbs_motif=None;rbs_spacer=None;gc_cont=0.453</t>
  </si>
  <si>
    <t>WKLD01000032.1_791</t>
  </si>
  <si>
    <t>882381 # 882857 # 1 # ID=30_791;partial=00;start_type=ATG;rbs_motif=None;rbs_spacer=None;gc_cont=0.451</t>
  </si>
  <si>
    <t>WKLD01000032.1_887</t>
  </si>
  <si>
    <t>990825 # 992888 # -1 # ID=30_887;partial=00;start_type=ATG;rbs_motif=None;rbs_spacer=None;gc_cont=0.465</t>
  </si>
  <si>
    <t>WKLD01000033.1_10</t>
  </si>
  <si>
    <t>11845 # 14073 # -1 # ID=31_10;partial=00;start_type=ATG;rbs_motif=None;rbs_spacer=None;gc_cont=0.307</t>
  </si>
  <si>
    <t>WKLD01000033.1_11</t>
  </si>
  <si>
    <t>14110 # 17715 # -1 # ID=31_11;partial=00;start_type=ATG;rbs_motif=None;rbs_spacer=None;gc_cont=0.311</t>
  </si>
  <si>
    <t>WKLD01000033.1_70</t>
  </si>
  <si>
    <t>65046 # 66491 # -1 # ID=31_70;partial=00;start_type=ATG;rbs_motif=None;rbs_spacer=None;gc_cont=0.350</t>
  </si>
  <si>
    <t>WKLD01000033.1_9</t>
  </si>
  <si>
    <t>8026 # 11814 # -1 # ID=31_9;partial=00;start_type=ATG;rbs_motif=None;rbs_spacer=None;gc_cont=0.280</t>
  </si>
  <si>
    <t>WKLD01000041.1_10</t>
  </si>
  <si>
    <t>15819 # 17711 # 1 # ID=39_10;partial=00;start_type=ATG;rbs_motif=GGA/GAG/AGG;rbs_spacer=5-10bp;gc_cont=0.502</t>
  </si>
  <si>
    <t>WKLD01000041.1_21</t>
  </si>
  <si>
    <t>42410 # 45154 # 1 # ID=39_21;partial=00;start_type=ATG;rbs_motif=GGAG/GAGG;rbs_spacer=5-10bp;gc_cont=0.442</t>
  </si>
  <si>
    <t>WKLD01000041.1_41</t>
  </si>
  <si>
    <t>77726 # 80161 # -1 # ID=39_41;partial=00;start_type=ATG;rbs_motif=None;rbs_spacer=None;gc_cont=0.465</t>
  </si>
  <si>
    <t>WKLD01000041.1_5</t>
  </si>
  <si>
    <t>4975 # 7410 # 1 # ID=39_5;partial=00;start_type=ATG;rbs_motif=None;rbs_spacer=None;gc_cont=0.466</t>
  </si>
  <si>
    <t>WKLD01000052.1_10</t>
  </si>
  <si>
    <t>8295 # 10940 # -1 # ID=50_10;partial=00;start_type=ATG;rbs_motif=None;rbs_spacer=None;gc_cont=0.508</t>
  </si>
  <si>
    <t>WKLD01000052.1_11</t>
  </si>
  <si>
    <t>10972 # 12099 # -1 # ID=50_11;partial=00;start_type=ATG;rbs_motif=None;rbs_spacer=None;gc_cont=0.476</t>
  </si>
  <si>
    <t>WKLD01000052.1_19</t>
  </si>
  <si>
    <t>19161 # 22025 # -1 # ID=50_19;partial=00;start_type=GTG;rbs_motif=3Base/5BMM;rbs_spacer=13-15bp;gc_cont=0.503</t>
  </si>
  <si>
    <t>WKLD01000052.1_20</t>
  </si>
  <si>
    <t>22009 # 22611 # -1 # ID=50_20;partial=00;start_type=ATG;rbs_motif=None;rbs_spacer=None;gc_cont=0.473</t>
  </si>
  <si>
    <t>WKLD01000058.1_54</t>
  </si>
  <si>
    <t>52839 # 54389 # 1 # ID=56_54;partial=00;start_type=ATG;rbs_motif=GGAG/GAGG;rbs_spacer=5-10bp;gc_cont=0.489</t>
  </si>
  <si>
    <t>WKLD01000058.1_69</t>
  </si>
  <si>
    <t>70668 # 72293 # -1 # ID=56_69;partial=00;start_type=ATG;rbs_motif=GGA/GAG/AGG;rbs_spacer=5-10bp;gc_cont=0.461</t>
  </si>
  <si>
    <t>WKLD01000066.1_157</t>
  </si>
  <si>
    <t>166985 # 168214 # -1 # ID=64_157;partial=00;start_type=ATG;rbs_motif=AAAA;rbs_spacer=9bp;gc_cont=0.463</t>
  </si>
  <si>
    <t>WKLD01000066.1_89</t>
  </si>
  <si>
    <t>85506 # 86273 # 1 # ID=64_89;partial=00;start_type=ATG;rbs_motif=TAA;rbs_spacer=4bp;gc_cont=0.423</t>
  </si>
  <si>
    <t>WKLD01000069.1_1023</t>
  </si>
  <si>
    <t>1146059 # 1148833 # 1 # ID=67_1023;partial=00;start_type=ATG;rbs_motif=None;rbs_spacer=None;gc_cont=0.428</t>
  </si>
  <si>
    <t>WKLD01000069.1_1063</t>
  </si>
  <si>
    <t>1185531 # 1186886 # -1 # ID=67_1063;partial=00;start_type=GTG;rbs_motif=GGA/GAG/AGG;rbs_spacer=5-10bp;gc_cont=0.445</t>
  </si>
  <si>
    <t>WKLD01000069.1_1064</t>
  </si>
  <si>
    <t>1186894 # 1188303 # -1 # ID=67_1064;partial=00;start_type=ATG;rbs_motif=None;rbs_spacer=None;gc_cont=0.474</t>
  </si>
  <si>
    <t>WKLD01000069.1_112</t>
  </si>
  <si>
    <t>130578 # 133595 # 1 # ID=67_112;partial=00;start_type=ATG;rbs_motif=None;rbs_spacer=None;gc_cont=0.493</t>
  </si>
  <si>
    <t>WKLD01000069.1_113</t>
  </si>
  <si>
    <t>133644 # 134960 # 1 # ID=67_113;partial=00;start_type=GTG;rbs_motif=None;rbs_spacer=None;gc_cont=0.529</t>
  </si>
  <si>
    <t>WKLD01000069.1_114</t>
  </si>
  <si>
    <t>135350 # 137425 # 1 # ID=67_114;partial=00;start_type=ATG;rbs_motif=GGA/GAG/AGG;rbs_spacer=5-10bp;gc_cont=0.498</t>
  </si>
  <si>
    <t>WKLD01000069.1_1141</t>
  </si>
  <si>
    <t>1285866 # 1288100 # 1 # ID=67_1141;partial=00;start_type=ATG;rbs_motif=GGA/GAG/AGG;rbs_spacer=5-10bp;gc_cont=0.475</t>
  </si>
  <si>
    <t>WKLD01000069.1_115</t>
  </si>
  <si>
    <t>137471 # 139384 # 1 # ID=67_115;partial=00;start_type=GTG;rbs_motif=GGA/GAG/AGG;rbs_spacer=5-10bp;gc_cont=0.507</t>
  </si>
  <si>
    <t>WKLD01000069.1_1253</t>
  </si>
  <si>
    <t>1415610 # 1417658 # -1 # ID=67_1253;partial=00;start_type=ATG;rbs_motif=GGA/GAG/AGG;rbs_spacer=5-10bp;gc_cont=0.491</t>
  </si>
  <si>
    <t>WKLD01000069.1_1279</t>
  </si>
  <si>
    <t>1447148 # 1449028 # -1 # ID=67_1279;partial=00;start_type=GTG;rbs_motif=GGAG/GAGG;rbs_spacer=5-10bp;gc_cont=0.524</t>
  </si>
  <si>
    <t>WKLD01000069.1_1293</t>
  </si>
  <si>
    <t>1462718 # 1464868 # 1 # ID=67_1293;partial=00;start_type=ATG;rbs_motif=GGA/GAG/AGG;rbs_spacer=5-10bp;gc_cont=0.456</t>
  </si>
  <si>
    <t>WKLD01000069.1_1320</t>
  </si>
  <si>
    <t>1493264 # 1494514 # -1 # ID=67_1320;partial=00;start_type=ATG;rbs_motif=GGA/GAG/AGG;rbs_spacer=5-10bp;gc_cont=0.484</t>
  </si>
  <si>
    <t>WKLD01000069.1_134</t>
  </si>
  <si>
    <t>158421 # 160421 # -1 # ID=67_134;partial=00;start_type=TTG;rbs_motif=GGA/GAG/AGG;rbs_spacer=5-10bp;gc_cont=0.467</t>
  </si>
  <si>
    <t>WKLD01000069.1_142</t>
  </si>
  <si>
    <t>168810 # 170189 # -1 # ID=67_142;partial=00;start_type=ATG;rbs_motif=None;rbs_spacer=None;gc_cont=0.471</t>
  </si>
  <si>
    <t>WKLD01000069.1_188</t>
  </si>
  <si>
    <t>229673 # 234292 # 1 # ID=67_188;partial=00;start_type=ATG;rbs_motif=GGA/GAG/AGG;rbs_spacer=5-10bp;gc_cont=0.454</t>
  </si>
  <si>
    <t>WKLD01000069.1_238</t>
  </si>
  <si>
    <t>295450 # 296310 # -1 # ID=67_238;partial=00;start_type=ATG;rbs_motif=None;rbs_spacer=None;gc_cont=0.470</t>
  </si>
  <si>
    <t>WKLD01000069.1_247</t>
  </si>
  <si>
    <t>307579 # 308850 # 1 # ID=67_247;partial=00;start_type=ATG;rbs_motif=GGA/GAG/AGG;rbs_spacer=5-10bp;gc_cont=0.502</t>
  </si>
  <si>
    <t>WKLD01000069.1_254</t>
  </si>
  <si>
    <t>315575 # 318109 # 1 # ID=67_254;partial=00;start_type=TTG;rbs_motif=GGA/GAG/AGG;rbs_spacer=5-10bp;gc_cont=0.474</t>
  </si>
  <si>
    <t>WKLD01000069.1_329</t>
  </si>
  <si>
    <t>401393 # 402472 # 1 # ID=67_329;partial=00;start_type=GTG;rbs_motif=GGA/GAG/AGG;rbs_spacer=5-10bp;gc_cont=0.467</t>
  </si>
  <si>
    <t>WKLD01000069.1_394</t>
  </si>
  <si>
    <t>469274 # 473743 # -1 # ID=67_394;partial=00;start_type=ATG;rbs_motif=GGxGG;rbs_spacer=5-10bp;gc_cont=0.461</t>
  </si>
  <si>
    <t>WKLD01000069.1_44</t>
  </si>
  <si>
    <t>44844 # 45122 # -1 # ID=67_44;partial=00;start_type=ATG;rbs_motif=None;rbs_spacer=None;gc_cont=0.466</t>
  </si>
  <si>
    <t>WKLD01000069.1_441</t>
  </si>
  <si>
    <t>522219 # 524228 # 1 # ID=67_441;partial=00;start_type=ATG;rbs_motif=None;rbs_spacer=None;gc_cont=0.466</t>
  </si>
  <si>
    <t>WKLD01000069.1_469</t>
  </si>
  <si>
    <t>556066 # 556752 # -1 # ID=67_469;partial=00;start_type=GTG;rbs_motif=GGAG/GAGG;rbs_spacer=5-10bp;gc_cont=0.461</t>
  </si>
  <si>
    <t>WKLD01000069.1_567</t>
  </si>
  <si>
    <t>652288 # 654798 # -1 # ID=67_567;partial=00;start_type=ATG;rbs_motif=GGxGG;rbs_spacer=3-4bp;gc_cont=0.450</t>
  </si>
  <si>
    <t>WKLD01000069.1_594</t>
  </si>
  <si>
    <t>687642 # 689228 # 1 # ID=67_594;partial=00;start_type=ATG;rbs_motif=GGAG/GAGG;rbs_spacer=5-10bp;gc_cont=0.452</t>
  </si>
  <si>
    <t>WKLD01000069.1_62</t>
  </si>
  <si>
    <t>63855 # 67730 # 1 # ID=67_62;partial=00;start_type=ATG;rbs_motif=None;rbs_spacer=None;gc_cont=0.467</t>
  </si>
  <si>
    <t>WKLD01000069.1_681</t>
  </si>
  <si>
    <t>788314 # 789105 # 1 # ID=67_681;partial=00;start_type=ATG;rbs_motif=None;rbs_spacer=None;gc_cont=0.442</t>
  </si>
  <si>
    <t>WKLD01000069.1_731</t>
  </si>
  <si>
    <t>847207 # 848418 # 1 # ID=67_731;partial=00;start_type=ATG;rbs_motif=GGA/GAG/AGG;rbs_spacer=5-10bp;gc_cont=0.435</t>
  </si>
  <si>
    <t>WKLD01000069.1_742</t>
  </si>
  <si>
    <t>860082 # 862049 # -1 # ID=67_742;partial=00;start_type=ATG;rbs_motif=None;rbs_spacer=None;gc_cont=0.467</t>
  </si>
  <si>
    <t>WKLD01000069.1_826</t>
  </si>
  <si>
    <t>943833 # 945038 # 1 # ID=67_826;partial=00;start_type=ATG;rbs_motif=GGA/GAG/AGG;rbs_spacer=5-10bp;gc_cont=0.475</t>
  </si>
  <si>
    <t>WKLD01000069.1_885</t>
  </si>
  <si>
    <t>999746 # 1001257 # 1 # ID=67_885;partial=00;start_type=ATG;rbs_motif=None;rbs_spacer=None;gc_cont=0.468</t>
  </si>
  <si>
    <t>WKLD01000069.1_962</t>
  </si>
  <si>
    <t>1095217 # 1096569 # 1 # ID=67_962;partial=00;start_type=ATG;rbs_motif=4Base/6BMM;rbs_spacer=13-15bp;gc_cont=0.494</t>
  </si>
  <si>
    <t>WKLD01000070.1_16</t>
  </si>
  <si>
    <t>19290 # 20933 # -1 # ID=68_16;partial=00;start_type=ATG;rbs_motif=AAAAAA;rbs_spacer=11bp;gc_cont=0.447</t>
  </si>
  <si>
    <t>WKLD01000089.1_101</t>
  </si>
  <si>
    <t>109136 # 109483 # 1 # ID=87_101;partial=00;start_type=GTG;rbs_motif=None;rbs_spacer=None;gc_cont=0.503</t>
  </si>
  <si>
    <t>WKLD01000089.1_207</t>
  </si>
  <si>
    <t>222956 # 224743 # 1 # ID=87_207;partial=00;start_type=ATG;rbs_motif=None;rbs_spacer=None;gc_cont=0.480</t>
  </si>
  <si>
    <t>WKLD01000089.1_266</t>
  </si>
  <si>
    <t>293565 # 295778 # -1 # ID=87_266;partial=00;start_type=ATG;rbs_motif=GGA/GAG/AGG;rbs_spacer=5-10bp;gc_cont=0.463</t>
  </si>
  <si>
    <t>WKLD01000089.1_495</t>
  </si>
  <si>
    <t>547937 # 551539 # 1 # ID=87_495;partial=00;start_type=ATG;rbs_motif=None;rbs_spacer=None;gc_cont=0.459</t>
  </si>
  <si>
    <t>WKLD01000089.1_497</t>
  </si>
  <si>
    <t>552673 # 554967 # 1 # ID=87_497;partial=00;start_type=GTG;rbs_motif=GGA/GAG/AGG;rbs_spacer=5-10bp;gc_cont=0.485</t>
  </si>
  <si>
    <t>WKLD01000089.1_599</t>
  </si>
  <si>
    <t>680210 # 681868 # 1 # ID=87_599;partial=00;start_type=ATG;rbs_motif=None;rbs_spacer=None;gc_cont=0.460</t>
  </si>
  <si>
    <t>WKLD01000089.1_850</t>
  </si>
  <si>
    <t>943421 # 945640 # -1 # ID=87_850;partial=00;start_type=GTG;rbs_motif=None;rbs_spacer=None;gc_cont=0.462</t>
  </si>
  <si>
    <t>WKLD01000089.1_852</t>
  </si>
  <si>
    <t>946284 # 947105 # -1 # ID=87_852;partial=00;start_type=ATG;rbs_motif=GGA/GAG/AGG;rbs_spacer=5-10bp;gc_cont=0.420</t>
  </si>
  <si>
    <t>WKLD01000096.1_2</t>
  </si>
  <si>
    <t>117 # 2420 # 1 # ID=94_2;partial=00;start_type=ATG;rbs_motif=GGAG/GAGG;rbs_spacer=5-10bp;gc_cont=0.635</t>
  </si>
  <si>
    <t>WKLD01000101.1_11</t>
  </si>
  <si>
    <t>9494 # 10828 # 1 # ID=99_11;partial=00;start_type=ATG;rbs_motif=None;rbs_spacer=None;gc_cont=0.457</t>
  </si>
  <si>
    <t>WKLD01000101.1_139</t>
  </si>
  <si>
    <t>138768 # 141074 # 1 # ID=99_139;partial=00;start_type=GTG;rbs_motif=GGxGG;rbs_spacer=5-10bp;gc_cont=0.456</t>
  </si>
  <si>
    <t>WKLD01000101.1_274</t>
  </si>
  <si>
    <t>297760 # 300018 # -1 # ID=99_274;partial=00;start_type=ATG;rbs_motif=None;rbs_spacer=None;gc_cont=0.439</t>
  </si>
  <si>
    <t>WKLD01000101.1_275</t>
  </si>
  <si>
    <t>300133 # 301098 # -1 # ID=99_275;partial=00;start_type=ATG;rbs_motif=4Base/6BMM;rbs_spacer=13-15bp;gc_cont=0.459</t>
  </si>
  <si>
    <t>WKLD01000101.1_361</t>
  </si>
  <si>
    <t>375624 # 376484 # -1 # ID=99_361;partial=00;start_type=ATG;rbs_motif=GGA/GAG/AGG;rbs_spacer=5-10bp;gc_cont=0.458</t>
  </si>
  <si>
    <t>WKLD01000101.1_415</t>
  </si>
  <si>
    <t>433975 # 434265 # 1 # ID=99_415;partial=00;start_type=ATG;rbs_motif=None;rbs_spacer=None;gc_cont=0.488</t>
  </si>
  <si>
    <t>WKLD01000101.1_456</t>
  </si>
  <si>
    <t>475585 # 476499 # -1 # ID=99_456;partial=00;start_type=ATG;rbs_motif=None;rbs_spacer=None;gc_cont=0.462</t>
  </si>
  <si>
    <t>WKLD01000101.1_522</t>
  </si>
  <si>
    <t>542950 # 545979 # -1 # ID=99_522;partial=00;start_type=ATG;rbs_motif=GGA/GAG/AGG;rbs_spacer=5-10bp;gc_cont=0.448</t>
  </si>
  <si>
    <t>WKLD01000101.1_523</t>
  </si>
  <si>
    <t>546073 # 547359 # -1 # ID=99_523;partial=00;start_type=ATG;rbs_motif=GGxGG;rbs_spacer=5-10bp;gc_cont=0.480</t>
  </si>
  <si>
    <t>WKLD01000101.1_576</t>
  </si>
  <si>
    <t>620783 # 622387 # 1 # ID=99_576;partial=00;start_type=ATG;rbs_motif=GGA/GAG/AGG;rbs_spacer=5-10bp;gc_cont=0.478</t>
  </si>
  <si>
    <t>WKLD01000112.1_174</t>
  </si>
  <si>
    <t>188118 # 188375 # -1 # ID=110_174;partial=00;start_type=ATG;rbs_motif=None;rbs_spacer=None;gc_cont=0.496</t>
  </si>
  <si>
    <t>WKLD01000112.1_458</t>
  </si>
  <si>
    <t>481617 # 482870 # -1 # ID=110_458;partial=00;start_type=ATG;rbs_motif=GGA/GAG/AGG;rbs_spacer=5-10bp;gc_cont=0.472</t>
  </si>
  <si>
    <t>WKLD01000112.1_551</t>
  </si>
  <si>
    <t>585367 # 587781 # -1 # ID=110_551;partial=00;start_type=ATG;rbs_motif=None;rbs_spacer=None;gc_cont=0.472</t>
  </si>
  <si>
    <t>WKLD01000112.1_570</t>
  </si>
  <si>
    <t>612074 # 613285 # -1 # ID=110_570;partial=00;start_type=ATG;rbs_motif=4Base/6BMM;rbs_spacer=13-15bp;gc_cont=0.512</t>
  </si>
  <si>
    <t>WKLD01000112.1_575</t>
  </si>
  <si>
    <t>616462 # 616662 # 1 # ID=110_575;partial=00;start_type=ATG;rbs_motif=GGA/GAG/AGG;rbs_spacer=5-10bp;gc_cont=0.473</t>
  </si>
  <si>
    <t>WKLD01000112.1_65</t>
  </si>
  <si>
    <t>77439 # 78101 # -1 # ID=110_65;partial=00;start_type=ATG;rbs_motif=4Base/6BMM;rbs_spacer=13-15bp;gc_cont=0.439</t>
  </si>
  <si>
    <t>WKLD01000122.1_136</t>
  </si>
  <si>
    <t>146065 # 148587 # 1 # ID=120_136;partial=00;start_type=ATG;rbs_motif=GGA/GAG/AGG;rbs_spacer=5-10bp;gc_cont=0.461</t>
  </si>
  <si>
    <t>WKLD01000122.1_296</t>
  </si>
  <si>
    <t>309729 # 312314 # 1 # ID=120_296;partial=00;start_type=ATG;rbs_motif=AGxAG;rbs_spacer=5-10bp;gc_cont=0.449</t>
  </si>
  <si>
    <t>WKLD01000122.1_297</t>
  </si>
  <si>
    <t>312347 # 314902 # 1 # ID=120_297;partial=00;start_type=TTG;rbs_motif=None;rbs_spacer=None;gc_cont=0.457</t>
  </si>
  <si>
    <t>WKLD01000122.1_304</t>
  </si>
  <si>
    <t>320627 # 322411 # -1 # ID=120_304;partial=00;start_type=GTG;rbs_motif=GGAG/GAGG;rbs_spacer=5-10bp;gc_cont=0.440</t>
  </si>
  <si>
    <t>WKLD01000122.1_515</t>
  </si>
  <si>
    <t>558362 # 558820 # -1 # ID=120_515;partial=00;start_type=ATG;rbs_motif=GGA/GAG/AGG;rbs_spacer=5-10bp;gc_cont=0.447</t>
  </si>
  <si>
    <t>WKLD01000122.1_53</t>
  </si>
  <si>
    <t>54311 # 56281 # -1 # ID=120_53;partial=00;start_type=ATG;rbs_motif=None;rbs_spacer=None;gc_cont=0.487</t>
  </si>
  <si>
    <t>WKLD01000125.1_160</t>
  </si>
  <si>
    <t>167749 # 170574 # -1 # ID=123_160;partial=00;start_type=GTG;rbs_motif=GGxGG;rbs_spacer=5-10bp;gc_cont=0.513</t>
  </si>
  <si>
    <t>WKLD01000125.1_434</t>
  </si>
  <si>
    <t>451669 # 454614 # -1 # ID=123_434;partial=00;start_type=ATG;rbs_motif=GGAG/GAGG;rbs_spacer=5-10bp;gc_cont=0.461</t>
  </si>
  <si>
    <t>WKLD01000125.1_492</t>
  </si>
  <si>
    <t>523118 # 523960 # -1 # ID=123_492;partial=00;start_type=ATG;rbs_motif=GGA/GAG/AGG;rbs_spacer=5-10bp;gc_cont=0.464</t>
  </si>
  <si>
    <t>WKLD01000126.1_116</t>
  </si>
  <si>
    <t>126118 # 129876 # 1 # ID=124_116;partial=00;start_type=ATG;rbs_motif=GGA/GAG/AGG;rbs_spacer=5-10bp;gc_cont=0.463</t>
  </si>
  <si>
    <t>WKLD01000126.1_131</t>
  </si>
  <si>
    <t>149711 # 150940 # -1 # ID=124_131;partial=00;start_type=ATG;rbs_motif=GGAG/GAGG;rbs_spacer=5-10bp;gc_cont=0.452</t>
  </si>
  <si>
    <t>WKLD01000126.1_209</t>
  </si>
  <si>
    <t>236882 # 238657 # -1 # ID=124_209;partial=00;start_type=ATG;rbs_motif=None;rbs_spacer=None;gc_cont=0.405</t>
  </si>
  <si>
    <t>WKLD01000126.1_263</t>
  </si>
  <si>
    <t>300808 # 302727 # -1 # ID=124_263;partial=00;start_type=ATG;rbs_motif=None;rbs_spacer=None;gc_cont=0.480</t>
  </si>
  <si>
    <t>WKLD01000126.1_287</t>
  </si>
  <si>
    <t>322602 # 322973 # -1 # ID=124_287;partial=00;start_type=ATG;rbs_motif=None;rbs_spacer=None;gc_cont=0.508</t>
  </si>
  <si>
    <t>WKLD01000126.1_294</t>
  </si>
  <si>
    <t>328150 # 329253 # -1 # ID=124_294;partial=00;start_type=GTG;rbs_motif=GGA/GAG/AGG;rbs_spacer=5-10bp;gc_cont=0.479</t>
  </si>
  <si>
    <t># Program:         hmmsearch</t>
  </si>
  <si>
    <t># Version:         3.3.2 (Nov 2020)</t>
  </si>
  <si>
    <t># Pipeline mode:   SEARCH</t>
  </si>
  <si>
    <t># Query file:      hmm/NCLDV_markers.hmm</t>
  </si>
  <si>
    <t># Target file:     second_pico_11-03-2022/second_pico_11-03-2022.faa</t>
  </si>
  <si>
    <t xml:space="preserve"># Option settings: hmmsearch --tblout second_pico_11-03-2022/second_pico_11-03-2022.markerout --cpu 8 hmm/NCLDV_markers.hmm second_pico_11-03-2022/second_pico_11-03-2022.faa </t>
  </si>
  <si>
    <t># Current dir:     /home/wilhelmlab/software/viralrecall</t>
  </si>
  <si>
    <t># Date:            Fri Mar 11 08:31:15 2022</t>
  </si>
  <si>
    <t># [ok]</t>
  </si>
  <si>
    <t>virus_target</t>
  </si>
  <si>
    <t>node_ORF_id</t>
  </si>
  <si>
    <t>gene_target</t>
  </si>
  <si>
    <t>primer_left_name</t>
  </si>
  <si>
    <t>primer_left_seq</t>
  </si>
  <si>
    <t>primer_right_name</t>
  </si>
  <si>
    <t>primer_right_seq</t>
  </si>
  <si>
    <t>primer_left_length</t>
  </si>
  <si>
    <t>primer_right_length</t>
  </si>
  <si>
    <t>Tm_left</t>
  </si>
  <si>
    <t>Tm_right</t>
  </si>
  <si>
    <t>primer_left_GC</t>
  </si>
  <si>
    <t>primer_right_GC</t>
  </si>
  <si>
    <t>product start</t>
  </si>
  <si>
    <t>product_stop</t>
  </si>
  <si>
    <t>product_size</t>
  </si>
  <si>
    <t>amplicon</t>
  </si>
  <si>
    <t>11.09.P2-8.706-30_4</t>
  </si>
  <si>
    <t>PALAECMCPPOL01LA</t>
  </si>
  <si>
    <t>TCGCTACCACCCTGCTCAAC</t>
  </si>
  <si>
    <t>PALAECMCPPOL01RA</t>
  </si>
  <si>
    <t>GCGTGGACCATTCTTGAGGC</t>
  </si>
  <si>
    <t>TCGCTACCACCCTGCTCAACCTGTTGACTGTGAAAATGGCGGGGCTGAAGCTTTCCTCGAACTGTCAAAAACCATCAATTCGTTAGGGGATTTCCAGTTTTCGCCAAACATTTCGCCTCAAGAATGGTCCACGC</t>
  </si>
  <si>
    <t>DNAUV-0.518-14-V4_1</t>
  </si>
  <si>
    <t>PALAECMCPPOL02LA</t>
  </si>
  <si>
    <t>CGACGTTGAGCTATGCTGCG</t>
  </si>
  <si>
    <t>PALAECMCPPOL02RA</t>
  </si>
  <si>
    <t>GGCGTGGTTGCTAAAGGTGG</t>
  </si>
  <si>
    <t>CGACGTTGAGCTATGCTGCGAAATCGTGAAGCTCGATGGTTCTGTGGCCAGCGCAATTTCACAGGCGAACGCTAGCGGTTACCGTATCCCAATGACCACCTTTAGCAACCACGCC</t>
  </si>
  <si>
    <t>DNAUV-14.341-4265_4</t>
  </si>
  <si>
    <t>PALAECMCPPOL03LA</t>
  </si>
  <si>
    <t>CCACCAGCACACGAAGGTTC</t>
  </si>
  <si>
    <t>PALAECMCPPOL03RA</t>
  </si>
  <si>
    <t>CTTCAAGCACCATACCGCCG</t>
  </si>
  <si>
    <t>CCACCAGCACACGAAGGTTCGACCACAACTGCTGTAAATTATGAATTCGATGTTGTATTTCCTATGCGTTTGGGTCAACACGGTGGTCATTCTTTGATCAAGCGTCTACGTATTTTGTACGGCGGTATGGTGCTTGAAG</t>
  </si>
  <si>
    <t>DNAUV-19.420-41_1</t>
  </si>
  <si>
    <t>PALAECMCPPOL04LB</t>
  </si>
  <si>
    <t>GAATCGAATGGGTGCCAGCC</t>
  </si>
  <si>
    <t>PALAECMCPPOL04RB</t>
  </si>
  <si>
    <t>TCCGTGCTGAGAGTCGCTTG</t>
  </si>
  <si>
    <t>GAATCGAATGGGTGCCAGCCAGTGGTGATAGTTCAGGTATTGCACCTGACGGCCGGTTCTCAGACGCTTTCATTCATTTACAGAACGCGTTCGCTACGGCAAGCGACTCTCAGCACGGA</t>
  </si>
  <si>
    <t>PALAECMCPPOL05LA</t>
  </si>
  <si>
    <t>TCTCCAAGCTGCCCAAGGAG</t>
  </si>
  <si>
    <t>PALAECMCPPOL05RA</t>
  </si>
  <si>
    <t>TGGTCCACAGGGTCTTCACG</t>
  </si>
  <si>
    <t>TCTCCAAGCTGCCCAAGGAGCTCACCTACGACTTCGAGTCGTTCGAGAACGTGTCCGCCACCATCCCGTCCGGGACGGCGAACGAGCACACCCTGGTGCCCTTTTCGCTCGCCAGCGTGAAGACCCTGTGGACCA</t>
  </si>
  <si>
    <t>DNAUV-9.061-758_4</t>
  </si>
  <si>
    <t>PALAECMCPPOL06LA</t>
  </si>
  <si>
    <t>ACCCTGCTCAGCCTGTTGAC</t>
  </si>
  <si>
    <t>PALAECMCPPOL06RA</t>
  </si>
  <si>
    <t>ACCCTGCTCAGCCTGTTGACTGTGAAAATGGTGGGGCTGAAGCTTTCCTCGAACTGTCAAAAACCATCAATTCATTAGGGGATTTCCAGTTTTCGCCAAACATTTCGCCTCAAGAATGGTCCACGC</t>
  </si>
  <si>
    <t>DNAUV-2.299-3405_1</t>
  </si>
  <si>
    <t>PALAECMCPPOL07LB</t>
  </si>
  <si>
    <t>TGACCTCACCCACAGCCAAG</t>
  </si>
  <si>
    <t>PALAECMCPPOL07RB</t>
  </si>
  <si>
    <t>CTTTGAGAGTGCTGGCTGCG</t>
  </si>
  <si>
    <t>TGACCTCACCCACAGCCAAGACTGTGTCAAATCGAGTGTGGCCCGAAGCCTCGGAACTTGCGTACCAGATCGGTGGTATCTTGTATCCCCAAGCCCCTCTGCGCTCCGTGGAGGAGTGCGCAGCCAGCACTCTCAAAG</t>
  </si>
  <si>
    <t>17.04.P1_hot-10.376-44_6</t>
  </si>
  <si>
    <t>PALAECMCPPOL09LA</t>
  </si>
  <si>
    <t>CGAAACCGACCCAGAAGTTCC</t>
  </si>
  <si>
    <t>PALAECMCPPOL09RA</t>
  </si>
  <si>
    <t>TCTACATCTGCAGCGACGGC</t>
  </si>
  <si>
    <t>CGAAACCGACCCAGAAGTTCCAACTCAATATACATTAGATTTAACAGGTGCTACTGCCGGTTCATATAGATTGGGATATGCTGGACAATATACAACAATTTTACCATATAATGCCGTCGCTGCAGATGTAGA</t>
  </si>
  <si>
    <t>node_ORF_ID</t>
  </si>
  <si>
    <t>17.04.P1_hot-10.778-27_13</t>
  </si>
  <si>
    <t>MCP_GV</t>
  </si>
  <si>
    <t>PALAECMCPGV01AL</t>
  </si>
  <si>
    <t>ACCATCGAGCTTCTTCACGATC</t>
  </si>
  <si>
    <t>PALAECMCPGV01AR</t>
  </si>
  <si>
    <t>CGCCTTGAAATCGACACCCG</t>
  </si>
  <si>
    <t>ACCATCGAGCTTCTTCACGATCTAAATATACATATTCTACTATTAAACTAAATGATACAGCATCACTTAATGAAATACGTGTACCACATTCTGGAGAATTTACAACTAAATCTTCTAATGGACGGGTGTCGATTTCAAGGCG</t>
  </si>
  <si>
    <t>17.04.P1_hot_2.614-47_1</t>
  </si>
  <si>
    <t>PALAECMCPGV02AL</t>
  </si>
  <si>
    <t>GATTTGCACGTTGCTGCTCG</t>
  </si>
  <si>
    <t>PALAECMCPGV02AR</t>
  </si>
  <si>
    <t>GTGGAAGCGCTGAACTAGGC</t>
  </si>
  <si>
    <t>GATTTGCACGTTGCTGCTCGTCACAATGCTAAAAAGAGTGTTGATATCTTAATCCCTCTTGATTTTTTCTTTACAAGACAGCCTAGTTCAGCGCTTCCAC</t>
  </si>
  <si>
    <t>M4</t>
  </si>
  <si>
    <t>05.07.P3-23.437-37_25</t>
  </si>
  <si>
    <t>PALAECMCPGV03AL</t>
  </si>
  <si>
    <t>GTCCCAGTCGGCTGATGTTG</t>
  </si>
  <si>
    <t>PALAECMCPGV03AR</t>
  </si>
  <si>
    <t>GGGTTGTGCAGCCTTATCAGTATC</t>
  </si>
  <si>
    <t>GTCCCAGTCGGCTGATGTTGCTCAGGTTTAAACGCAAAACTATACACATAAATGAAATTCCTTGGAACTCTCGTATGATACTGATAAGGCTGCACAACCC</t>
  </si>
  <si>
    <t>11.09.P3-6.419-50_2</t>
  </si>
  <si>
    <t>PALAECMCPGV04AL</t>
  </si>
  <si>
    <t>AAGGATTGCGGAGTGGAAGC</t>
  </si>
  <si>
    <t>PALAECMCPGV04AR</t>
  </si>
  <si>
    <t>ACTATCCCGTCCACCTTCAATTG</t>
  </si>
  <si>
    <t>AAGGATTGCGGAGTGGAAGCATAACATATACCGATAATACCCAACGCTATGAATATATCAATGGAATCGGTTATTATTTATTTCAGTTTATACAATTGAAGGTGGACGGGATAGT</t>
  </si>
  <si>
    <t>P7</t>
  </si>
  <si>
    <t>PALAECMCPGV05AL</t>
  </si>
  <si>
    <t>AGAACATCGTCCAACACCATTACC</t>
  </si>
  <si>
    <t>PALAECMCPGV05AR</t>
  </si>
  <si>
    <t>TCATGTGCACCAAAGATTTGTGG</t>
  </si>
  <si>
    <t>AGAACATCGTCCAACACCATTACCAAAAGAATTCAATTTTGGGAATATATGTCGTCTTGAAATTCCTCATCATTGTGATATGGCTGGTGATATGTATATAGAAATACATCTTCCACAAATCTTTGGTGCACATGA</t>
  </si>
  <si>
    <t>PALAECMCPGV06AL</t>
  </si>
  <si>
    <t>GCCCGGCCATTCAGGAATTG</t>
  </si>
  <si>
    <t>PALAECMCPGV06AR</t>
  </si>
  <si>
    <t>GACGGGCGCCTTTACCTTTG</t>
  </si>
  <si>
    <t>GCCCGGCCATTCAGGAATTGTAGCCAAGTATAGCCCAGGGCAAACACCTTGATCACCACATCCCGACGAGCTTCCTTGAGCTTGACGTAGAGCTCGGGGCGACGCACGTTCGCAAAGGTAAAGGCGCCCGTC</t>
  </si>
  <si>
    <t>11.09.P1-3.157-41_12</t>
  </si>
  <si>
    <t>PALAECMCPGV07AL</t>
  </si>
  <si>
    <t>TCCCGCTCTGGATTGTCCAC</t>
  </si>
  <si>
    <t>PALAECMCPGV07AR</t>
  </si>
  <si>
    <t>CGCCGGGAAGCACCATTTAC</t>
  </si>
  <si>
    <t>TCCCGCTCTGGATTGTCCACAAACACAAATTCACACACCAACGAACACGTGAGGGTTTCTGGCGGGGTGTTGCCCGCATACGAGGTGATGCAATTCTCGAACGATTCGGCCTCGATATCGATGTAAATGGTGCTTCCCGGCG</t>
  </si>
  <si>
    <t>11.09.P2-5.378-9.1_6</t>
  </si>
  <si>
    <t>PALAECMCPGV08AL</t>
  </si>
  <si>
    <t>GCCACGCCACCCAACATATC</t>
  </si>
  <si>
    <t>PALAECMCPGV08AR</t>
  </si>
  <si>
    <t>GTCAAATCGACGGCAGGTGC</t>
  </si>
  <si>
    <t>GCCACGCCACCCAACATATCACCCCGCCTGTCCAGAAGAATATTATTGGTTTGTCCTAGGGTAAAGGTTTGAAAGGATTCTTCCTTTTGTTCCACGGCACCTGCCGTCGATTTGAC</t>
  </si>
  <si>
    <t>PALAECMCPGV09AL</t>
  </si>
  <si>
    <t>TTCATGCCGATTGTCGCGAC</t>
  </si>
  <si>
    <t>PALAECMCPGV09AR</t>
  </si>
  <si>
    <t>TGTCCGTGGAGGGTCGTTTC</t>
  </si>
  <si>
    <t>TTCATGCCGATTGTCGCGACACCGGGGTCGTCCCTGTATTTGGAAATAGAAACGGAAGCATTTACAAACTGCGTGACATCGTACTCTGGAAACGACCCTCCACGGACA</t>
  </si>
  <si>
    <t>PALAECMCPGV10AL</t>
  </si>
  <si>
    <t>AGCGAGACCACCACCGTATC</t>
  </si>
  <si>
    <t>PALAECMCPGV10AR</t>
  </si>
  <si>
    <t>ATGCTTGTGGAAACGGTGCG</t>
  </si>
  <si>
    <t>AGCGAGACCACCACCGTATCGGTGGGAATGATTTGATTGAGTCCGTCGCCGCTAACGACGTCTCGAAAACTGTACCCCTCGGCATCGCGCACCGTTTCCACAAGCAT</t>
  </si>
  <si>
    <t>PALAECMCPGV11AL</t>
  </si>
  <si>
    <t>GAAACCGATTCTACGCGCCG</t>
  </si>
  <si>
    <t>PALAECMCPGV11AR</t>
  </si>
  <si>
    <t>AGGTTTGTCGAGACCCACGG</t>
  </si>
  <si>
    <t>GAAACCGATTCTACGCGCCGGGCGATTCGAGAGATGATTGGTGGCGACCAACCGCGACAACTCCAGATCAATCGAGAACATACGATTATTATTCCGCTCAAATTGTTCATGTCGAAACGCCGTGGGTCTCGACAAACCT</t>
  </si>
  <si>
    <t>11.09.P2-21.732-23_26</t>
  </si>
  <si>
    <t>PALAECMCPGV12AL</t>
  </si>
  <si>
    <t>TTGGGTTGCGTCTGCTTGTC</t>
  </si>
  <si>
    <t>PALAECMCPGV12AR</t>
  </si>
  <si>
    <t>TTCTTGATACCCGGGAGCGC</t>
  </si>
  <si>
    <t>TTGGGTTGCGTCTGCTTGTCCGGCATTATTGATATTCTGATTATCAAATCGCTGAACTTGTGTAATACAATATTCCAGAGGTTTAGATATAAATGTCGTGCGCTCCCGGGTATCAAGAA</t>
  </si>
  <si>
    <t>PALAECMCPGV13AL</t>
  </si>
  <si>
    <t>CCGTTGCAGTGGAAACCGTC</t>
  </si>
  <si>
    <t>PALAECMCPGV13AR</t>
  </si>
  <si>
    <t>CCCAATCCGCTCGCTATTCG</t>
  </si>
  <si>
    <t>CCGTTGCAGTGGAAACCGTCTGGTCAAGTTAATTTCAGTAAATTCGATAAAAAGGAACTCATTTTGAATACACCTGTTAGCGAAAATGACCGGAGAATAAATATATATGCGACAAACTATAATGTGTTACGAATAGCGAGCGGATTGGG</t>
  </si>
  <si>
    <t>11.09.P2-9.385-38_3</t>
  </si>
  <si>
    <t>PALAECMCPGV14AL</t>
  </si>
  <si>
    <t>CGTTCATTCAACTGTTCCTATGCG</t>
  </si>
  <si>
    <t>PALAECMCPGV14AR</t>
  </si>
  <si>
    <t>TCACTTGGTTCTTGTGTGGGTTC</t>
  </si>
  <si>
    <t>CGTTCATTCAACTGTTCCTATGCGGTATATTTATTGTATGCCTTTTTCTAATAATCCAGAAGAAAATCAACCATCAGGAACACTTAATATGTCATCTTTTACTGATGTTATTTTATCTATGAAATTAGAACCCACACAAGAACCAAGTGA</t>
  </si>
  <si>
    <t>PALAECMCPGV15AL</t>
  </si>
  <si>
    <t>ATCCACCGTCCTCATCAGCG</t>
  </si>
  <si>
    <t>PALAECMCPGV15AR</t>
  </si>
  <si>
    <t>TAATGCGGGCGGGACAGTAG</t>
  </si>
  <si>
    <t>ATCCACCGTCCTCATCAGCGCGAGTCCTACCGTATTACACCAACGAAGACTGACCACAGTCATGGAGTCTACCGACCATGACCCTACTGTCCCGCCCGCATTA</t>
  </si>
  <si>
    <t>PALAECMCPGV16AL</t>
  </si>
  <si>
    <t>CGGTCAGCACAACAGCACTC</t>
  </si>
  <si>
    <t>PALAECMCPGV16AR</t>
  </si>
  <si>
    <t>CGCGGTACCATCATTTCGCC</t>
  </si>
  <si>
    <t>CGGTCAGCACAACAGCACTCAATAAGTCTGCGGCTCGGGGAACTTTAACCACCATGCGATCATCGTTTTTGTGGCGTATACATGTCACGGTCCGGTGTTCAGTGGCGAAATGATGGTACCGCG</t>
  </si>
  <si>
    <t>PALAECMCPGV17AL</t>
  </si>
  <si>
    <t>ATGTGTGTGCGGTGTTGCTG</t>
  </si>
  <si>
    <t>PALAECMCPGV17AR</t>
  </si>
  <si>
    <t>CAATGGATCGCCGCCAATGG</t>
  </si>
  <si>
    <t>ATGTGTGTGCGGTGTTGCTGATAAACATACTGGGTTTCAGTGAAAAAGAACGGTGCTGCACCTGTTTGATCTGCAACTCTGTGGGCTCCATCCATTGGCGGCGATCCATTG</t>
  </si>
  <si>
    <t>PALAECMCPGV19AL</t>
  </si>
  <si>
    <t>TGATGGCCAAAGGTGTTCAGG</t>
  </si>
  <si>
    <t>PALAECMCPGV19AR</t>
  </si>
  <si>
    <t>ACGATGACCATATTTCGCTTCACC</t>
  </si>
  <si>
    <t>TGATGGCCAAAGGTGTTCAGGATACATATTTGACATCAAAACCACAATATAGTTTATTCAAACAAGCACATAAACGACATACAGCTTTTGCTCAACAATGGTCTGAAGAAACATTTTCAGGTGAAGCGAAATATGGTCATCGT</t>
  </si>
  <si>
    <t>PALAECMCPGV20AL</t>
  </si>
  <si>
    <t>GAAGCACAGCACAAGCCCTG</t>
  </si>
  <si>
    <t>PALAECMCPGV20AR</t>
  </si>
  <si>
    <t>TCCGTTCGACGTACGCCTTG</t>
  </si>
  <si>
    <t>GAAGCACAGCACAAGCCCTGCCGCTCATTGCCTTGTCATATTCCCCCGTGGAAATCGTGTTCCATTTTGCGTCTTCCATCCGAGGCATAGATACCACATTAGATCCCATGATCAAGGCGTACGTCGAACGGA</t>
  </si>
  <si>
    <t>11.09.P4-6.31-79.2_2</t>
  </si>
  <si>
    <t>PALAECMCPGV21AL</t>
  </si>
  <si>
    <t>CACCACCACACAGGCAACAC</t>
  </si>
  <si>
    <t>PALAECMCPGV21AR</t>
  </si>
  <si>
    <t>ACGACGCAAAGACACCATGC</t>
  </si>
  <si>
    <t>CACCACCACACAGGCAACACAAGACGTCAAACAACATTTATCCGTGGATTTACCATTGAATCATCCAACAAAATCCCTCATATTTGTCTTTGTTGATCCGAAACAGCATGGTGTCTTTGCGTCGT</t>
  </si>
  <si>
    <t xml:space="preserve">&gt;Acanthamoeba_polyphaga_mimivirus@YP_003987169.1 YP_003987169.1 hypothetical protein [Acanthamoeba polyphaga mimivirus] </t>
  </si>
  <si>
    <t>MSIKQEVFLSSGEGGIIQNNYNHSNNYNIYEHNIINEPNISVVVGRTGGGMTTVVQNIVD</t>
  </si>
  <si>
    <t>KIVTINNGDIEVIILTSNPKIYPNVDQCYSLSDIDLAHNYIISNPQNKKILVIDDFFKGV</t>
  </si>
  <si>
    <t>LRDKHTELIINHACLNLHIVLFVQCFVNFTPLIKNNLTYLFINNSVASSDIKSMYDRYLA</t>
  </si>
  <si>
    <t>PKINYRTFEKIMTRLETNRELSLVIVNNGLSDKLRIFESNFTLNPIYKYRCPNLQKQNKE</t>
  </si>
  <si>
    <t>PIDKQSRKKNIIREINDIKSKINDLSNYMDNLISELDDLFD</t>
  </si>
  <si>
    <t xml:space="preserve">&gt;Acanthamoeba_polyphaga_mimivirus@AKI80385.1 AKI80385.1 hypothetical protein [Acanthamoeba polyphaga mimivirus] </t>
  </si>
  <si>
    <t>MSIRQEVILSSGEGGIIQNNYNHSNYNHSNYNHSNNYNIYEHNIVNEPNISVVVGRNGGG</t>
  </si>
  <si>
    <t>MTTVIRNVIDKIVTINNGDIEVIILTSSPKNYPNVDRCYLLSDIDLAHNYIISNPQNKKI</t>
  </si>
  <si>
    <t>LVIDNFFKGVLRDKHTELIINHVCLNLHIVLFVQCFLHITSLIKNNLTYLFINNSIGSSD</t>
  </si>
  <si>
    <t>IKSMYDRYLAPKINYRIFEKSMAGLETNRELSLVIVNNGLSDKLRIFESNLTLNPIYKYR</t>
  </si>
  <si>
    <t>CPNLQKQNEEPVDKQSRKKNIIREINDIKSKINDLSNRMDDLISELDDLFD</t>
  </si>
  <si>
    <t xml:space="preserve">&gt;Megavirus_chiliensis@YP_004894831.1 YP_004894831.1 hypothetical protein MegaChil _gp0780 [Megavirus chiliensis] </t>
  </si>
  <si>
    <t>MEKNCVQHFLIPGGMRTCVEEYQLEKISIKPLTHNIINNIIAIVGRRGMGKTDVVNGLIN</t>
  </si>
  <si>
    <t>DILVKNFDIEFEILIVSSSNYNMELYKDAIHTPRYLNHIIKYCQDNPLVQKILIIDDYVK</t>
  </si>
  <si>
    <t>SYGSNLCDFFMNRKLLPNTTLIITTQILKNFIQNMRSNTDYFLFAKTDSKSDIKSVYDSF</t>
  </si>
  <si>
    <t>MSLSIDYHNFENIYNITTNNFNFFGINTLSKYPNNLISYKSNLDNNNNKNYKCIDVSKLS</t>
  </si>
  <si>
    <t>PIDNIKEKKRIIREINHIKSTLSDLMIKLDDLVIDLDQICGD</t>
  </si>
  <si>
    <t xml:space="preserve">&gt;Powai_lake_megavirus@ANB50872.1 ANB50872.1 hypothetical protein [Powai lake megavirus] </t>
  </si>
  <si>
    <t>MEKNCVQHFLIPGGMRTCVEEYQPEKISIEPLTNNIINNIVAIIGKRGTGKTNVVNSLIN</t>
  </si>
  <si>
    <t>DVLVKNSDIEFEILIVSPNPYNMELYKDAVHTPKYLNRIIKYCQDNPLVQKILIIDDYVK</t>
  </si>
  <si>
    <t>SYGSNLCDFFMNRKLLPNTTLIITSQILKNFTQNMRSNTDYFLFAKPDSKSDMKSIYDSF</t>
  </si>
  <si>
    <t>MSLGMNYRNFENIFDTTTNNFNFFGLSTSLKYPNNLTSYKSNLDNNNNKNYKCIDVSKLP</t>
  </si>
  <si>
    <t>QIDNIGEKKRIIREINHIKSTLSDLIIKLDDLIIDLDEICGD</t>
  </si>
  <si>
    <t xml:space="preserve">&gt;Mimivirus_sp._SH@AZL89882.1 AZL89882.1 hypothetical protein [Mimivirus sp. SH] </t>
  </si>
  <si>
    <t>METNCVQHFLVPGGMRTCVEEYQPENSLTKPLTNDIINKVIAVIGKRGMGKTNAVNSLTN</t>
  </si>
  <si>
    <t>DILVKHSDIEFEILIVSKSSYNMELYKDAIHAPEYLNRVIRYCQDNSLVQKILIIDDYKK</t>
  </si>
  <si>
    <t>SYSPYIYDFLMNRRLLPNTTLIMTSQILKNFTSDIRSNIDYFLFSKMPFKSDIKSIYDTF</t>
  </si>
  <si>
    <t>LGLEIDYRNFEKIFNNTTNNFSMFGINALEKYPNNLTFYKANLDNVNNKNYKCIDVSKLS</t>
  </si>
  <si>
    <t xml:space="preserve">&gt;Acanthamoeba_polyphaga_moumouvirus@YP_007354651.1 YP_007354651.1 hypothetical protein Moumou_00694 [Acanthamoeba polyphaga moumouvirus] </t>
  </si>
  <si>
    <t>MQSENGQHFLSLGKEGNCLIKQFNENLVNKLIGVIGPKGKGKTIFIKNLINDLLCKNNNI</t>
  </si>
  <si>
    <t>IFEIIIVSCKEKNSDYDYLEGKKYLTSQISDVCKYALNEKFNNHKIIIFDDCINLDMIND</t>
  </si>
  <si>
    <t>TLIFNNKYYNSTIIISNQVITKPYMINNLNYAFFTKTLTKSSIKSVYDRYVDNFMDYKTF</t>
  </si>
  <si>
    <t>ERIFMICTENYNLLAINNFESLNNSNKISFYKSRLQITTNNNYILPDIYELMPELINSGD</t>
  </si>
  <si>
    <t>IKTVKKKLIKQINEIKKIIIQQSNKLDELCLELDNLLGD</t>
  </si>
  <si>
    <t xml:space="preserve">&gt;Moumouvirus_australiensis@AVL95076.1 AVL95076.1 hypothetical protein mc_689 [Moumouvirus australiensis] </t>
  </si>
  <si>
    <t>MQTQDKQHFLSLGKEGNCLKQFNKNLVDKFIGVIGPAHKGKTTVIKNLVDNILTFNINSQ</t>
  </si>
  <si>
    <t>FEIIIVSRKKKDTDYNYLVGKIYNTSQIDDVCSYALNEQFRENKKIIIFEDYMTTDKIND</t>
  </si>
  <si>
    <t>LLIFNGRYHNLTIILSSQVITSIKPYIKDNLDYVFFTVTPLKSSIKSIFDRFYLCALEYK</t>
  </si>
  <si>
    <t>YFEQMFIDYTKNYNLFVVNNNISLNCDLDNLYDKISVYESKFEVSTSKNYILPDIYQLMP</t>
  </si>
  <si>
    <t>ELVNSGDIKIAKKKLIAQINEIKKNILEQSDKLDKICIELDNLLGD</t>
  </si>
  <si>
    <t xml:space="preserve">&gt;Moumouvirus_goulette@AGF85038.1 AGF85038.1 hypothetical protein glt_00229 [Moumouvirus goulette] </t>
  </si>
  <si>
    <t>MQTQTKQHFLSSGGESKCYLINEFKGNLVNKLIGIIGPKGRGKTTFIKNFIDDILTDNKD</t>
  </si>
  <si>
    <t>TNFEIIIVSCKPKDTDYDYLGGKIYNTSQISDVCKYALNEQFRENKKIIIFEDFINAHNI</t>
  </si>
  <si>
    <t>DDTLFLNHNYYNSTIILSSQTIINFKPYMRDNLTYAFFTNTPVKSSIKSIYDRFYLCDID</t>
  </si>
  <si>
    <t>YKFFEKIFTTCTENHKLLAIENGRTLINSSDNPNVFSYYEPILEITAKNNYTIPNIYELM</t>
  </si>
  <si>
    <t>PDLVDPKNKIQYKKKLIHQINEIKKNLIEQTEKMNELCLELDNLLGD</t>
  </si>
  <si>
    <t xml:space="preserve">&gt;Acanthamoeba_castellanii_medusavirus@BBI30442.1 BBI30442.1 VV A32-like virion packaging ATPase [Acanthamoeba castellanii medusavirus] </t>
  </si>
  <si>
    <t>MSFTIRPFKPESRRSGSVNFIVGPRCSGKKTLLRGLVDAKQYAEKLVISQTAPTREILGE</t>
  </si>
  <si>
    <t>FLGGQECTIDSYDEEAVRRVMHSTGGRKLLIFADVLRNTPHCDAIIEMVCTSRIADLDVY</t>
  </si>
  <si>
    <t>ITGQSVLVLSSITRANVDYVFALGTAFRDCRKALHRTYFGHLGTFKIFEQAFDACTSGRT</t>
  </si>
  <si>
    <t>DRGAMVLDIHAAHMGRGRKSVFCLTFGIEKA</t>
  </si>
  <si>
    <t xml:space="preserve">&gt;Acanthamoeba_castellanii_medusavirus@BBI30177.1 BBI30177.1 VV A32-like virion packaging ATPase [Acanthamoeba castellanii medusavirus] </t>
  </si>
  <si>
    <t>MEGDNTSTIIASRGTQLVPEWTRRDERPAGSRHIICGRRQTGKTTLLNDLLRVKACYNET</t>
  </si>
  <si>
    <t>LVFDPSPVERERLPAFISAEYIHESYDDSKVRELMEHAAEALKNGKNERRLLIVGGCTAQ</t>
  </si>
  <si>
    <t>LCKEGSLFELCCSSYRWNIDVYLVVDHLSGVLPSIRSNADYVFLMPTNSRDERQRYHRVF</t>
  </si>
  <si>
    <t>FGNIGCLYKTLDGAFDANARDYGAVVYDARTSSIAAYHARTDLTRTPWPTVEIHDSFNAD</t>
  </si>
  <si>
    <t>SRLPGALHIIAGGRASGKKMLLMSLLDVKEDDISAVVALWSDRDALEGYGVAPSRITDGY</t>
  </si>
  <si>
    <t>DDEQTRAILDDAIDAKRNGRNERRSVVFVDCFHGDANEMKKHAALLELCCTSHHCGVDVY</t>
  </si>
  <si>
    <t>IVVQDLRSVSPRIRSNADYVFLLRGHHREALRLAHRDYFDRDGSTFERFVEMVEVRTRDH</t>
  </si>
  <si>
    <t>GVVVFDRSASRTLRF</t>
  </si>
  <si>
    <t xml:space="preserve">&gt;Cafeteria_roenbergensis_virus_BV-PW1@YP_003969971.1 YP_003969971.1 putative VV A32-like packaging ATPase [Cafeteria roenbergensis virus BV-PW1] </t>
  </si>
  <si>
    <t>MSKDVGFGASRLRFKKFDLNEMCEHATIALIAKRASGKSVLVKEIMKKNASIPSSVVICK</t>
  </si>
  <si>
    <t>TEKLNRSYGKNIPDSYIYYDFDADILDRIFSRQKRLIADNEKRQAKKKTLKDDRVMLIMD</t>
  </si>
  <si>
    <t>DCMSDKKWVKDPTVLELFFNGRHYHISFILTMQYSKGIPPGMRSNLDYIFLLAEDFYSRR</t>
  </si>
  <si>
    <t>KSLYEDYAGMFPSFDVFQQVFTELTDNYGCMVINNRVHSKNIEDKVFWYKANVEDDFHMG</t>
  </si>
  <si>
    <t>GKHYNKFHDKFYDPKWDKKIPLFNFNKSKTRKNKLNLIVEKEK</t>
  </si>
  <si>
    <t xml:space="preserve">&gt;Faunusvirus_sp.@AYV79293.1 AYV79293.1 packaging ATPase [Faunusvirus sp.] </t>
  </si>
  <si>
    <t>MSKSFMAHGAVLQLEEFFLETMEPHPRIALIGKSGAGKSWVIRDIMYHLRDIAAGAVIAP</t>
  </si>
  <si>
    <t>TDVLNEFYNDFFPISYIHHEYKDNIIPSVLIRQRKILDKNKKRKKHGRKLLDPRAFFIMD</t>
  </si>
  <si>
    <t>DCMSSKHLWLKDPKMLSIFNEGRHYKLTFMLAMQYSLGIQPELRSNFDYIFLLGEDFTNN</t>
  </si>
  <si>
    <t>KKKLYDHYAGMFKTYDSFEQVFEQVTENFGVMVINNRIRTTDLTKKVFWFKAKPRAKFRI</t>
  </si>
  <si>
    <t>GSKNFNDFHVKYFDKKYDKKVPQYDPGNFSKRNTKPILVKKH</t>
  </si>
  <si>
    <t xml:space="preserve">&gt;Moumouvirus_goulette@AGF85374.1 AGF85374.1 packaging ATPase [Moumouvirus goulette] </t>
  </si>
  <si>
    <t>MNFNKFTFFEFRLEKMVIDPSIVMIAKRGSGKSFITRDIIYHYRHIPGGVVIAPTDKMNS</t>
  </si>
  <si>
    <t>FYKYFFPDLYIHYDIKETILTKILERQRKMIQKQKEKKKLGIRIDSSGILIMDDCLARKK</t>
  </si>
  <si>
    <t>SWAKDESIMEILMNGRHYKLTYILTMQTPLGITPDLRLNFDYVFLLKEDSAINLKKLYEN</t>
  </si>
  <si>
    <t>YASMFPNIYTFEKAFKKCTEDYKSMVIDNRKPSDSIQEKVFWFKAKERKFSFGSKRFKEI</t>
  </si>
  <si>
    <t>HKKYYDPQYMMKRSNLLDNALLLGKKRRNEVDIGINLK</t>
  </si>
  <si>
    <t xml:space="preserve">&gt;Megavirus_chiliensis@YP_004894504.1 YP_004894504.1 virion packaging ATPase [Megavirus chiliensis] </t>
  </si>
  <si>
    <t>MNFNKFTFFEFQLEKMVMDPSIVMIAKRGSGKSFITRDIIYHYRHIPGGVVIAPTDKMNS</t>
  </si>
  <si>
    <t>FYKYFFPDLYIHYDIKETILAKILKRQMLMIQKQKEKKKLGKKVDPSGILIMDDCLARKK</t>
  </si>
  <si>
    <t>SWSKDENIMEILMNGRHYKLTYILTMQTPLGITPDLRLNFDYVFLLKEDSAINMKKLYEN</t>
  </si>
  <si>
    <t>YASMFPSMFAFEKAFRKCTEDFKSMVIDNRKPSDSIQEKVFWFKAKERKFSFGSSRFKEI</t>
  </si>
  <si>
    <t>HKKYYDPNYLVKKTGLFNNDMLMARKRKNEIDLNINLK</t>
  </si>
  <si>
    <t xml:space="preserve">&gt;Tupanvirus_deep_ocean@AUL79479.1 AUL79479.1 A32-like packaging ATPase [Tupanvirus deep ocean] </t>
  </si>
  <si>
    <t>MNYNKFQILEFKLEKMVKDPSIVMIAKRGSGKSFITRDIIYHYRHLPGGVVIAPTDKMNS</t>
  </si>
  <si>
    <t>FYKYFFPDLYIHYDIKDTILKKILYRQTVMIEKEKEKRKLGKKVDPSGILIMDDCLARKK</t>
  </si>
  <si>
    <t>SWAKDESITEILMNGRHYRLTYILTMQTPLGITPDLRLNFDYVFLLKEDSTINKKKLWDN</t>
  </si>
  <si>
    <t>YASMFPSLPAFEKVFGKCTEDYRSMVIDNRKPSDNIQEKVFWFKAMDREFSFGSRKFKEL</t>
  </si>
  <si>
    <t>HKRYYDPSYLRKLNATKLGIDALVGRKRKNDVEIGVVLK</t>
  </si>
  <si>
    <t xml:space="preserve">&gt;Acanthamoeba_polyphaga_mimivirus@AKI80170.1 AKI80170.1 VV A32 virion packaging ATPase [Acanthamoeba polyphaga mimivirus] </t>
  </si>
  <si>
    <t>MNYNKFELMEFDLNKMVIDPSIVMIAKRGSGKSWIVRDVMYHYRHLPCGVVIAPTDRMNS</t>
  </si>
  <si>
    <t>FYKYFFPDLFIHYEITEAILKNILLRQQMIIDKQKQKKKQGLKIDPSGILIMDDCLSQKK</t>
  </si>
  <si>
    <t>NWSKIQEITEILMNGRHYRLTYILTMQTPLGLTPDLRLNFDYIFLLKDDTQVNKKKLYNN</t>
  </si>
  <si>
    <t>YAGMFPSQLAFEKVLAKCTESHKCMVIDNRKPADKIQDKVFWFKARDRKFSFGSREFKDM</t>
  </si>
  <si>
    <t>HKKYYNPEYGRDRYRKLMEGEDVLFGLKKNDTNLKVNLREIPTH</t>
  </si>
  <si>
    <t xml:space="preserve">&gt;Satyrvirus_sp.@AYV84990.1 AYV84990.1 A32-like packaging ATPase, partial [Satyrvirus sp.] </t>
  </si>
  <si>
    <t>PNPSIVMIARRGSGKSYIARDIIYHYRHLPAGIVIAPTDRMTGFYKKFFPDLFIHYDFKN</t>
  </si>
  <si>
    <t>NILEKILVRQRLMTMKQINKRKQGKKVDPCGILIMDDCLATKRTWAKDDNITEILMNGRH</t>
  </si>
  <si>
    <t>YNLTYILTMQAPLGIAPDLRFNFDYVFLLKEDSVITKKKLYDNYASMFSNLAMFEIVHSK</t>
  </si>
  <si>
    <t>CTENFCCMVIDNRKPSDKISEKVFWFRAKERNFKFGSREFRKFHKKYCNPFHADMKIPPM</t>
  </si>
  <si>
    <t>TNLNTLFRNTRKGDVDIKVEKMKSHRKKEITI</t>
  </si>
  <si>
    <t xml:space="preserve">&gt;Mimivirus_LCMiAC02@QBK88971.1 QBK88971.1 packaging ATPase [Mimivirus LCMiAC02] </t>
  </si>
  <si>
    <t>MKKISFDGTSLPIREFKLEYIVPNASICMIARRGSGKSILCKDILHHFKDILPGGVIIAP</t>
  </si>
  <si>
    <t>TDKMNEFYGRFFPRIYIHYEYKTEILDKLLKRQEIIIEKMKKKYSEGKRLNPRAFLIMDD</t>
  </si>
  <si>
    <t>CLASKGKWAKDPNINEVLMNGRHYQLMYILTMQFPLGIAPELRTNFDYVFLLADDTTNNQ</t>
  </si>
  <si>
    <t>KRIYEHYAGLFPSFNAFKQVFSELTKDYGVMVIVNRGKRETFHDKLFWYRAKIRTIDKIG</t>
  </si>
  <si>
    <t>DSQFNEFSKNNYDKEWKSKIAKFNAAKYFSDRKRRNIIIEKKHN</t>
  </si>
  <si>
    <t xml:space="preserve">&gt;Mimivirus_LCMiAC01@QBK88881.1 QBK88881.1 packaging ATPase [Mimivirus LCMiAC01] </t>
  </si>
  <si>
    <t>MPSSTKTVRLQGQSIPIREFKLEWMVPNASICMIAKRGGGKSYMVRAILKHYKNIPGGLI</t>
  </si>
  <si>
    <t>IAPTDRMSTFYSKFFPNSFIFYKYKSSIIEKIMGRQQLMIKKMKDKIKKGKKCNPRAFVV</t>
  </si>
  <si>
    <t>MDDCLSSRGAWMKDECIQKLFFEGRHYQIMYIFTMQFPLGIKPEMRCNFDYIFLFAEDFI</t>
  </si>
  <si>
    <t>SNQKRIHDHYAGMFPNFNAFKQVFAQLTKNYGCMVIVNRGARKGFLDKVFWYRAKNETIT</t>
  </si>
  <si>
    <t>KMGSNQFNNFHKNNYNKDWEENDGFDVEKYFDQKKKSNIVVDVIRGDKP</t>
  </si>
  <si>
    <t xml:space="preserve">&gt;Homavirus_sp.@AYV82013.1 AYV82013.1 packaging ATPase [Homavirus sp.] </t>
  </si>
  <si>
    <t>MSTKDVKIDGKGLPIREFKLKWLDANASICMIAKRGSGKSWVVRSILKYFSSIPGGTIIS</t>
  </si>
  <si>
    <t>PTDKMSSFYGDFFPDVYIHYEYKTELIEKLLDRQNIMVEKYKDKIKIKKKLDPRAIFVMD</t>
  </si>
  <si>
    <t>DCLADKGSWAKDQPILEIFMNGRHYKLMYILTMQFPLGIKPELRSNFDFIFLMYDDMFTN</t>
  </si>
  <si>
    <t>QKRIYEHYAGIFPSFDSFKQVFLELTADYGCMVLIRRGGQSSFLDKIFWYKAKNEKFDTI</t>
  </si>
  <si>
    <t>GCKQFNKFHKDNYDPKWKYKHRHMDIDNFLNNKQKPRIRVDKMISGDREYDKDRDRDRDR</t>
  </si>
  <si>
    <t>DRDRDRDRDRDNDRSYHRDYSDRSSDYSDRDRGRRS</t>
  </si>
  <si>
    <t xml:space="preserve">&gt;Indivirus_ILV1@ARF09858.1 ARF09858.1 packaging ATPase [Indivirus ILV1] </t>
  </si>
  <si>
    <t>MVAKEIQISGGKSMPIREFNLDWMCKNPSICMIAKRGSGKSWVCRAILKHFSHLPGGVII</t>
  </si>
  <si>
    <t>AKTERMSCFYGNFFPDSYIHYEYKSEILENLLFRQEQIIEKCKKRYSQGKKVDPRAFLLM</t>
  </si>
  <si>
    <t>DDCLASKGTWMNDQPILEVFYNGRHYQLLFILTMQFPLGIRPELRCNFDYIFLLAEDFYS</t>
  </si>
  <si>
    <t>NQKRLYDHYAGMFPSFDLFRQVFLQVTDDFGCMVIVNRGARKDILDKVFYYKAPNEDIGI</t>
  </si>
  <si>
    <t>IGCEQFKKFHSKNYNSNWKTEGKSFDMNNYVKKNKQSIVVNKITDDHGGNKNY</t>
  </si>
  <si>
    <t xml:space="preserve">&gt;Klosneuvirus_KNV1@ARF11165.1 ARF11165.1 packaging ATPase [Klosneuvirus KNV1] </t>
  </si>
  <si>
    <t>MVAKEIKILGGKSLPIRDFKLDWFCQNPSICMIAKRGSGKSWVCRAILKHFKNLPGGVII</t>
  </si>
  <si>
    <t>AKTEKMNCFYGNFFPETYIHYEYKGEIIDNMLNRQNIMIDKCVAKYKVGKKVDPRAFLVM</t>
  </si>
  <si>
    <t>DDCLASKGTWMNDQPILEVFYNGRHYQLLFILTMQFPLGIKPELRCNFDYIFLLSEDFFS</t>
  </si>
  <si>
    <t>NQKRIFDHYAGMFPSFDVFRSVFLQLTDNFGSMVIANRGPKKDLIDKVFHYKADNVNIGM</t>
  </si>
  <si>
    <t>IGCSQFINFHEKNYNPNWKQDSGNQVDLNKLIPGKKNKPNIVVSKVDNFN</t>
  </si>
  <si>
    <t xml:space="preserve">&gt;Harvfovirus_sp.@AYV80832.1 AYV80832.1 packaging ATPase [Harvfovirus sp.] </t>
  </si>
  <si>
    <t>MTIKDVKLNGEDTLPINEFKLECMCTNPSIVMIAKRGSGKSWVCRAILNHFRDIPVGLII</t>
  </si>
  <si>
    <t>APTDRMNCFYGNFFPESYIHYNYKSEIIQKLLHRQEIIIDKKRKKASQGHKLDARAFIVM</t>
  </si>
  <si>
    <t>DDCLSKKGTWMRDQPILELLYNGRHYEIMYILTMQYPLGITPELRGNFDYIFLLAEDFVS</t>
  </si>
  <si>
    <t>NLKRIYDHYAGMFPNFDSFRQSFAQLTEDYGCMVIANRGARKSFLEKVYWYRAPAIEEKT</t>
  </si>
  <si>
    <t>IGCKQFHKFHLLNFDHEWRAKRKMFDINEYCTKKKRDKVPLKIDKVGLDEYGEPIPKKIN</t>
  </si>
  <si>
    <t>YSRKVREDLTSR</t>
  </si>
  <si>
    <t xml:space="preserve">&gt;Hyperionvirus_sp.@AYV84219.1 AYV84219.1 packaging ATPase [Hyperionvirus sp.] </t>
  </si>
  <si>
    <t>MTIKDVKLNGDDRLPINEFKLELMCTNPSIVMIAKRGSGKSFVCRAILNHFRDIPVGLII</t>
  </si>
  <si>
    <t>APTDRMNCFYGNFFPDSYIHYTYKSEIIEKLLYRQEMIIDKKQRKAKQGFKLDARAFIVM</t>
  </si>
  <si>
    <t>DDCLSKKGTWMRDQPILELLYNGRHYEIMYILTMQHPLGITPELRGNFDYIFLLAEDFIS</t>
  </si>
  <si>
    <t>NLKRIYDHYAGMFPNFDSFRQGFSQLTDDYGCMVIANRGARKSFLEKVYWYKAPIINIGS</t>
  </si>
  <si>
    <t>IGCKQFNEFHDKNYDDKWRAKRKMFDINDYCNKKKRDKGSLKIEKVGVDEYGDPLPKKEK</t>
  </si>
  <si>
    <t>RAPADR</t>
  </si>
  <si>
    <t xml:space="preserve">&gt;Terrestrivirus_sp.@AYV75832.1 AYV75832.1 packaging ATPase [Terrestrivirus sp.] </t>
  </si>
  <si>
    <t>MTVKDVEIGGEGSLPISEFKLESMVVNPSIVMVAKRGSGKSVVCRAILKHFRDIPVGMII</t>
  </si>
  <si>
    <t>APTDRMNCFYGNFFPESYIHYTYKSEIIERLLARQEKIIDKKKRKEERGKSLDSRAFIVM</t>
  </si>
  <si>
    <t>DDCLSKKGTWMRDPPITELLYNGRHYEIMYILTMQYPLGITPELRGNFDYIFLLAEDFVS</t>
  </si>
  <si>
    <t>NLKRIYDHYAGMFPDFNSFRQTFVQLTADFGCMVISNRGARASFLEKIYWYKAPLEQSNL</t>
  </si>
  <si>
    <t>SIGCAQFRKYHEDNYDENWRSKRKGLDIAEYCNRKRKDRTELKVTKVEIDDDGKPIDKKR</t>
  </si>
  <si>
    <t>KTYKNNH</t>
  </si>
  <si>
    <t xml:space="preserve">&gt;Edafosvirus_sp.@AYV78256.1 AYV78256.1 packaging ATPase [Edafosvirus sp.] </t>
  </si>
  <si>
    <t>MAIKDINVNGGDTLPIQDFKLESMCRNPSIVMIAKRGCGKSWVCRAILKHFYDFPVGVII</t>
  </si>
  <si>
    <t>APTDKMSCFYGNFFPDLFIHYKYESKIIERLLYRQEMMIDKKKEKKKIKRKVDPRAFIVM</t>
  </si>
  <si>
    <t>DDCLSKKGTWMKDQPILELLFNGRHYELMYILTMQYPLGISPELRGNFDYIFLLAEDFHS</t>
  </si>
  <si>
    <t>NLKRIYDHYAGMFPTFDSFRQVFAQLTEDFGCMVVVNRGARKNFLEKVFWYKAPDIEIAN</t>
  </si>
  <si>
    <t>MGCQQFRDYHDRNYDKEWRKKQKKMDLTEYCLKKKKDRGTLKVNKVDGYQNDN</t>
  </si>
  <si>
    <t xml:space="preserve">&gt;Catovirus_CTV1@ARF09327.1 ARF09327.1 packaging ATPase [Catovirus CTV1] </t>
  </si>
  <si>
    <t>MLEININGQDRFPIQIFTLDQMVEHPAIVMVAKRGSGKSYVCRAIMHHFHKIPCGIIISR</t>
  </si>
  <si>
    <t>TERMNSFYGTFFPDLYIYYEYKTEVIERILSRQETMIIKKKKKLLEGKFVDSRSFIIMDD</t>
  </si>
  <si>
    <t>CLSQKGSWAKDPPIQELLFNGRHYHLMYILTMQFPLGISPELRINFDYIFLMAEDTISNL</t>
  </si>
  <si>
    <t>KRIYDHYAGCFPNFYAFKQIFTEMTKDFGCMVIVNRGARVNIFEKVFHYRAPNFNDYKND</t>
  </si>
  <si>
    <t>IKFGCEQFNTFFEKNYDPNWAEKKKSFNVEQYMDGKKKSKAELKIQLVDDNNDKKKKKIT</t>
  </si>
  <si>
    <t>SG</t>
  </si>
  <si>
    <t xml:space="preserve">&gt;Dasosvirus_sp.@AYV77429.1 AYV77429.1 packaging ATPase [Dasosvirus sp.] </t>
  </si>
  <si>
    <t>MDYENNDKIPIREFKLEDMVDNPSIIMIAKRGSGKSWVTKAIMYNQSDVPVGLVISPTEK</t>
  </si>
  <si>
    <t>DNPFFVDFFPDSYIYYKYDSKIIKKLLLRQKLILKKAREKKQEGKYLDPRLMVVMDDCLA</t>
  </si>
  <si>
    <t>SKGTWAKDPLVAELLFNGRHRYITYILTMQYPLGIAPELRSNFDYVFLLSEDYVSNLKRI</t>
  </si>
  <si>
    <t>YEHYAGMFPDFNSFRQVFKNLTEDFGAMVIKNRGSRTKLDDKIAFYKAPNLKNKPLKFGC</t>
  </si>
  <si>
    <t>GQFRKFHKENYNKEWEELAFNVDYDEYLFEKKKSKERIDVKKIYNDDVKERKFNFGQAYG</t>
  </si>
  <si>
    <t>QKY</t>
  </si>
  <si>
    <t xml:space="preserve">&gt;Bodo_saltans_virus@ATZ80593.1 ATZ80593.1 packaging ATPase [Bodo saltans virus] </t>
  </si>
  <si>
    <t>MANSKPVVKLDYKGESNTIPIKEFSLTEMVEHASIMMIAKRASGKSWVVRAILHHYSKTI</t>
  </si>
  <si>
    <t>PVGIVIAPTDRMNKFYSNFIPDSYVHYEFSGELVKRILQRQIFIIEKAKERAKIGKKTNT</t>
  </si>
  <si>
    <t>KAFIVMDDCLADKGNWAKDKMISELLFNGRHYEIMYILTMQYPLGIKPELRSNFDYIFLL</t>
  </si>
  <si>
    <t>ADDTYSNQKRLHEHYAGMFPNFEAFKQVFGQLTADFGCMVIINRGIRNNFLEKVMYYRAP</t>
  </si>
  <si>
    <t>DFSKCTSKLGGAQYKKFDNDNYDPKWILKNNMIAGNNIEDKFDKKKMKDNKLVVRRVKNG</t>
  </si>
  <si>
    <t>EK</t>
  </si>
  <si>
    <t xml:space="preserve">&gt;Mimivirus_LCMiAC02@QBK89233.1 QBK89233.1 packaging ATPase [Mimivirus LCMiAC02] </t>
  </si>
  <si>
    <t>MSLQLLEELINDKLNTIVNDKLNTIINDKLNTIANNKLLNIIANDKVNDIDDMSDANSIV</t>
  </si>
  <si>
    <t>TSVTTSVASSVADSNEFPYYCHLPGNNEPTIEDIWKTLPPSLTLPTDKSKGTKSVDFDGS</t>
  </si>
  <si>
    <t>SLPLALGRKSRSDCGIPIRQFKLDYIVPNAHICIIGKRGSGKSWLCRNIMHHVDNKDQEP</t>
  </si>
  <si>
    <t>KIIIAPTDRMNPFYKNNFKKALIYYQYNDKILKALLGRQEKSVKYSKIIKRQTYNPGAFL</t>
  </si>
  <si>
    <t>IMDDCLASKGKWAKAEIMRELLMNSRHYKLAYILTMQFPLGISPELRTNFDYIFLFADDF</t>
  </si>
  <si>
    <t>VNNQKRIYEHYGGMFPSFSAFKQVFNELTKDYGCMVIVNRGKRETFNDKVFWFKAKN</t>
  </si>
  <si>
    <t xml:space="preserve">&gt;Hokovirus_HKV1@ARF10841.1 ARF10841.1 packaging ATPase [Hokovirus HKV1] </t>
  </si>
  <si>
    <t>MSSKESEKTNKTKKAIKALCCGEATLPVKFFPIKKMVQYATILLIAKRGSGKSWIVRSLL</t>
  </si>
  <si>
    <t>YQFKDIPVGSIICPTDELTGFYGTLIPDLYVHYEYNSDFIKGIFTRQKSMIKKHADYVNR</t>
  </si>
  <si>
    <t>RLSVDPRAFLVMDDCLASRKEWVKDKWMREILMNGRHSKLMFILTMQNTLGVDPELREQF</t>
  </si>
  <si>
    <t>DYVFLLRCNKINEQRKIYEHFAGVFPSLQVFRQIYDSLTQDFGALVINNKSNSSNLLDNI</t>
  </si>
  <si>
    <t>FWYKADKPNKAIMVGNKQYVKYHNDNYNSKWNTVDKIIDLNKIDKKQTINITKKL</t>
  </si>
  <si>
    <t xml:space="preserve">&gt;Namao_virus@AXN90946.1 AXN90946.1 putative VV A32-like packaging ATPase [Namao virus] </t>
  </si>
  <si>
    <t>MNNKQNQSTQYNFNMFDLNSMFYDHDGITPYSPKICIIAPSGTGKSWIVRSILYHLKELD</t>
  </si>
  <si>
    <t>SAIVICPTDKMTKFYDSFVPSLYIHHQFDPDMIQKILDRQRKMIVRYQKKIQEDKNPALL</t>
  </si>
  <si>
    <t>NKDLRLIFVMDDCMSSRKQFVHLDSFNSLMYEGRHYQIIFIMTMQYCLSLPPDARNNFEY</t>
  </si>
  <si>
    <t>IFLLSEDKMQNRVRLYDNYAGMFPNQNIFNAVFDQITKDFKCMVINNRYKKDNNLENKIF</t>
  </si>
  <si>
    <t>WYKAVDHSPFTIGSTRYKSFAKKHFNSEYEEYYDNLLTKNYSPFVSVKLQKEEKSPETY</t>
  </si>
  <si>
    <t xml:space="preserve">&gt;Aureococcus_anophagefferens_virus@YP_009052240.1 YP_009052240.1 putative A32 virion packaging ATPase [Aureococcus anophagefferens virus] </t>
  </si>
  <si>
    <t>MKLQLKKFDMGSIAPDSVVVMIGKRNTGKSFLTKDLLSFHTQIPVGTVVSATEAANSFYS</t>
  </si>
  <si>
    <t>EMVPPVFIHNEYSEDIVQKVLIRQEKLIKKQKLNGYSSVNPNAFVIFDDCLYDSTWTKSK</t>
  </si>
  <si>
    <t>YVRSLFMNGRHFKILFIITMQYALGIPPNLRTNIDYVFILRENIIQNRKRLFECFAGMFP</t>
  </si>
  <si>
    <t>SFDAFCSIMDQCTNNYECLVIDNTSKSNKIEDCVFWYKANPHPPFKLCSQASWDFSNKNY</t>
  </si>
  <si>
    <t>KPPAIDEDDDEMWDPNQFKTKTNKPKINVSKYNEFF</t>
  </si>
  <si>
    <t xml:space="preserve">&gt;Tetraselmis_virus_1@AUF82278.1 AUF82278.1 putative VV A32-like virion packaging ATPase [Tetraselmis virus 1] </t>
  </si>
  <si>
    <t>MQIKLRKFDISSVRDDAVIIMLGKRNTGKSFLCKDLLSYHSDIPTGIVISGTESSNKFYG</t>
  </si>
  <si>
    <t>DIFPPLFIYDEYKPEIVANLIKRQKTVIRKNQQNSGPPVDPRTVFIMDDCLYDDSWTRDV</t>
  </si>
  <si>
    <t>NIRNIFMNGRHQKIMFLFTMQYPLGVPPVLRANIDYVFILREQIVSNRKRIYENYCGMLP</t>
  </si>
  <si>
    <t>SFDVFCSVLDQTTENYECLVVDNTVKSNRIEDQIFYYKAEEAPPFTIGSKQFWQENNERL</t>
  </si>
  <si>
    <t>GSDSDDEEPFDMKKTGKKNKIWLEVKKI</t>
  </si>
  <si>
    <t xml:space="preserve">&gt;Mimiviridae_sp._ChoanoV1@QDY52214.1 QDY52214.1 hypothetical protein 5_11 [Mimiviridae sp. ChoanoV1] </t>
  </si>
  <si>
    <t>MNLEIKKFDITSIKKDKVCVFIGKRETGKSFLVRDLLYYHQDIPIGTVISGTEAANCFYG</t>
  </si>
  <si>
    <t>NIVPGLFIHDKYTPEIVHNTLKRQKMVVKKMKHENDNYGSSAINPDAFLILDDCLYDNSW</t>
  </si>
  <si>
    <t>TRDTNIRSIFMNGRHYKMMFIITMQYALGIPPNLRTNIDYVFILRENYVSNRKRLYENFA</t>
  </si>
  <si>
    <t>GMFPSFEVFCQVMDQCTENFECLVVHNNAKSNKLEDQVYWYKADPHDEFRIGADEFWQHH</t>
  </si>
  <si>
    <t>SNNFNDDYDSDEEFTFNKRKGPTINVKKTFN</t>
  </si>
  <si>
    <t xml:space="preserve">&gt;Yellowstone_lake_mimivirus@YP_009174062.1 YP_009174062.1 putative VV A32-like packaging ATPase [Yellowstone lake mimivirus] </t>
  </si>
  <si>
    <t>MSLELKKFDMKSISFKPNDSKGPVIFLLGRRDTGKSFLVRDLLYYHQDIPIGTVISGTEE</t>
  </si>
  <si>
    <t>GNGFYGKMVPKLFIHNEYNTAIIENILKRQRSVLKQIKKEMETYKKSNIDPRTFVIMDDC</t>
  </si>
  <si>
    <t>LYDNTWSRDKIMRLLFLNGRHWKVILIVTMQYPLGVPPTLRTNIDYVFILRDNYIANRKR</t>
  </si>
  <si>
    <t>IYENYAGMFPTYESFAQVMDQCTENYECLVINNNVKSNKLQDQVFWYKAEAHNDFKLGSK</t>
  </si>
  <si>
    <t>EFWELSKGVQSDDEEEQYDPANTKKRGQGPKINVKKTKW</t>
  </si>
  <si>
    <t xml:space="preserve">&gt;Organic_Lake_phycodnavirus_2@ADX06273.1 ADX06273.1 putative VV A32-like packaging ATPase [Organic Lake phycodnavirus 2] </t>
  </si>
  <si>
    <t>MTLNLRKFDMKRITFLKNENKGPVVVLIGRRDTGKSFLVRDLLFHHVDIPIGTVISGTEA</t>
  </si>
  <si>
    <t>GNGFYSCHVPKLFIHDEYNTGIIENVLKRQKAVIKQVNKQIETYKKSSIDARAFVILDDC</t>
  </si>
  <si>
    <t>LYDNGWARDKMMRLLFMNGRHWKVMLIITMQYPLGIPPTLRTNIDYVFILREPYIANRKR</t>
  </si>
  <si>
    <t>IYENYAGMFPTFESFCQVMDQCTENYECLVIDNNVKSNQLQEQIFWYRAENHKDFKLGSK</t>
  </si>
  <si>
    <t>EFWELSKNLGSDEEDDVYNPGDYKSKKGPKINVKKTKW</t>
  </si>
  <si>
    <t xml:space="preserve">&gt;Phaeocystis_globosa_virus@YP_008052384.1 YP_008052384.1 VV A32-like packaging ATPase [Phaeocystis globosa virus] </t>
  </si>
  <si>
    <t>MTLELKKFEMNHISFKPDENKGPVIVLIGRRDTGKSYLVRDLLFYHQDIPIGTVISGTEA</t>
  </si>
  <si>
    <t>GNGFFGEHVPKLFIHNEYNASIIENILKRQKTVLKQIKKEQELYKKSTIDPRAFVILDDC</t>
  </si>
  <si>
    <t>LYDATWTRDKVMRLLFMNGRHWKMMLIITMQYPLGIPPNLRTNIDYVFLLREPYISNRKK</t>
  </si>
  <si>
    <t>IYENYAGMFPTFESFCQVMDQCTENYECLVINNNSKSNKLTEQIFWYKAAHHKPFRLGAK</t>
  </si>
  <si>
    <t>EFWEISASMNSDDEEEVYDPNTRKQKGPKINVKKTKW</t>
  </si>
  <si>
    <t xml:space="preserve">&gt;Chrysochromulina_ericina_virus@YP_009173380.1 YP_009173380.1 putative VV A32-like packaging ATPase [Chrysochromulina ericina virus] </t>
  </si>
  <si>
    <t>MTLQLKKFDMKQISFKPDENKGPVVVLIGRRDTGKSFLVRDLLYYHQDIPIGTVISGTEA</t>
  </si>
  <si>
    <t>GNGFYSSHVPKLFIHDEYNVVIIENILKRQKTVLKQIKKDIENYKKSSIDPRAFVILDDC</t>
  </si>
  <si>
    <t>LFDDRWTRDKMMRLLFMNGRHWKIMLIITMQYPLGIPPTLRTNIDYVFILREPYIANRKR</t>
  </si>
  <si>
    <t>IYENYAGMFPTFESFCQVMDQCTENFECLVINNNVKSNKLHEQIFWYKAESHKDFKLGSR</t>
  </si>
  <si>
    <t>EFWEISKNINSDDEDEVYDPNRGVRRQGQKINVKKNRW</t>
  </si>
  <si>
    <t xml:space="preserve">&gt;Phaeocystis_globosa_virus@YP_008052383.1 YP_008052383.1 VV A32-like packaging ATPase [Phaeocystis globosa virus] </t>
  </si>
  <si>
    <t>MTLKLKNFDMKSISFKTNENKAPTILLIGHRDTSKSYLVRDLLYYYQDIPVRTVISGTVS</t>
  </si>
  <si>
    <t>VNGFFGEHVPTFSIHNQYKASIIESILERQKTVLKQKKEEDLYKKSTIDPRALIVLDDCP</t>
  </si>
  <si>
    <t>YPSWSCDNVMRLLFMYGRNWKMMLIITMQYPLNISPIFRANIDYVFILREPNISNRKKIY</t>
  </si>
  <si>
    <t>ENYAGMFHTFESFCEIMDQCKENNECIVINNTSGSIQLSDLIFSFKLK</t>
  </si>
  <si>
    <t xml:space="preserve">&gt;Ostreococcus_lucimarinus_virus_OlV5@YP_007674806.1 YP_007674806.1 ATPase [Ostreococcus lucimarinus virus OlV5] </t>
  </si>
  <si>
    <t>MNLQLRKFKPETMSDDRVCVFIGKRNTGKSTLVKDIMYHKKHIPAGIVLSGTEEGNHFYG</t>
  </si>
  <si>
    <t>EFIPDLFVYGEYDRDAIERVISRQRKIIGTNGKNPYNGAFMLLDDCMYDSKFLKDTCIRQ</t>
  </si>
  <si>
    <t>CFMNGRHYNIFFMLTMQYVMDLPPALRANVDYVFILRENIIQNREKLYKSFFGIFPSFDM</t>
  </si>
  <si>
    <t>FSKVMDACTENYECLVLDNTVKSNKITDCVFWYKATVRKGFRVGSPNLWKLHKKMYNPKY</t>
  </si>
  <si>
    <t>LDQSEEDAKKATKKTHLKITKAK</t>
  </si>
  <si>
    <t xml:space="preserve">&gt;Micromonas_sp._RCC1109_virus_MpV1@YP_004061975.1 YP_004061975.1 hypothetical protein MpV1_092c [Micromonas sp. RCC1109 virus MpV1] </t>
  </si>
  <si>
    <t>MSKILVNKTRHYIRMNLQLRKFKPETISDDRVCVFIGKRNTGKSTLVKDIMFHKKHLPAG</t>
  </si>
  <si>
    <t>IVLSGTEEGNHFYSDFIPDLFIYGDYDRDAIERVMARQRKLVGNGKTNCGAFMLLDDCMY</t>
  </si>
  <si>
    <t>DSKFLKDTCIRQCFMNGRHWKIFFMLTMQYVMDLPPALRANVDYVFILRENIIQNREKLY</t>
  </si>
  <si>
    <t>KSFFGIFPSFDMFCKVMDACTENYECLVLDNTVKSNKIQDCVFWYKATIRKNFRVGGPDL</t>
  </si>
  <si>
    <t>WRLHKKMYNPRHLQQKEDDAKKATKKTNLKITKTK</t>
  </si>
  <si>
    <t xml:space="preserve">&gt;Micromonas_pusilla_virus_12T@YP_007676201.1 YP_007676201.1 hypothetical protein MPVG_00136 [Micromonas pusilla virus 12T] </t>
  </si>
  <si>
    <t>MNLQLRKFNPATMTDDRVCVFIGKRNTGKSTLVKDIMYHKKHLPTGIVLSGTEEGNHFYS</t>
  </si>
  <si>
    <t>EFIPDLFVYGDYDREAIERVMARQRKLVGAGKNNCGTFMLLDDCMYDSKFLKDTCIRQCF</t>
  </si>
  <si>
    <t>MNGRHWKIFFMLTMQYVMDLPPALRANVDYVFILRENIIQNREKLYKSFFGIFPSYDMFS</t>
  </si>
  <si>
    <t>KVMDACTENYECLVLDNTVRSNKIQDCVFWYKATLRKNFRVGGPELWAAHRKMYNPKYLS</t>
  </si>
  <si>
    <t>QQENDAKKATKKTALTITKKK</t>
  </si>
  <si>
    <t xml:space="preserve">&gt;Bathycoccus_sp._RCC1105_virus_BpV2@ADQ91246.1 ADQ91246.1 hypothetical protein BpV2_079c [Bathycoccus sp. RCC1105 virus BpV2] </t>
  </si>
  <si>
    <t>MNLQLRKFKPENMADDKVCVFIGKRNTGKSTLVTDILYHKKHLPAGIVLSATEEGNHYYQ</t>
  </si>
  <si>
    <t>QYIPDLFIYGDYDREAIERVMDRQKRLVGAGKKNCGAFLLLDDCMYDSKFMKDTCIRQCF</t>
  </si>
  <si>
    <t>MNGRHWKIFFMLTMQYCMDLPPALRANIDYIFILRENIIQNREKLFKNFFGIFPSFEMFN</t>
  </si>
  <si>
    <t>KVMDSCTENYECLVLDNTSKSNKIEDCVFWYKASLRKNFRVGAPEYWQTHKKMFNPKHGN</t>
  </si>
  <si>
    <t>VKVGDPNSVKKNTPFKVTKRK</t>
  </si>
  <si>
    <t xml:space="preserve">&gt;Dishui_lake_phycodnavirus_1@YP_009465797.1 YP_009465797.1 hypothetical protein DSLPV1_080 [Dishui lake phycodnavirus 1] </t>
  </si>
  <si>
    <t>MSMNLQLKRFNPKTMPDDAVCVFVGKRRTGKSQLLKDMMYHKRHIPAGVVLSGTEEGNSF</t>
  </si>
  <si>
    <t>FGAFVPDLFVYGDYDKEALERVVARQKAMIAKNKCQPAFVVLDDCMYNPSFLKDKIIRQC</t>
  </si>
  <si>
    <t>FMNGRHWKLWFALTLQYSMDLPPSLRANCDYVFVLRENVLSNRERLWKNFFGIVPSFDMF</t>
  </si>
  <si>
    <t>CKILDATTENYECLVLDNTSKSNKLTDCIFYYKADLRKNFRVGSPKFWNIHKKMYNPSHA</t>
  </si>
  <si>
    <t>VQEDPRKADKKTALKITKKK</t>
  </si>
  <si>
    <t xml:space="preserve">&gt;Yellowstone_lake_phycodnavirus_1@YP_009174839.1 YP_009174839.1 putative VV A32 virion packaging ATPase [Yellowstone lake phycodnavirus 1] </t>
  </si>
  <si>
    <t>MALQLRKFDPSTMADDKVCIFIGKRGTGKSTLVTDILWYKRHLPAGIAMSGTEEGNGYYK</t>
  </si>
  <si>
    <t>QFIPDIFVYGEYNKEAIEKLIERQKKLVSAGRASPVFLLMDDCMYDRAFMRDTCIRQLFM</t>
  </si>
  <si>
    <t>NGRHWKIFFMMTSQYVMDMTPMIRTNVDYVFALRDNVRQNRENLYKAFFGVFPTYDMFSQ</t>
  </si>
  <si>
    <t>VMDSCTENYECMVLDNTSKSNKITDCVFWYKAPIRKNFKVGGPALWQYHQRYYNPRHLTQ</t>
  </si>
  <si>
    <t>PAQQTPARGRGSQFVQVKKTK</t>
  </si>
  <si>
    <t xml:space="preserve">&gt;Yellowstone_lake_phycodnavirus_3@YP_009174374.1 YP_009174374.1 hypothetical protein [Yellowstone lake phycodnavirus 3] </t>
  </si>
  <si>
    <t>MHPVVQLRPAGYNQPTSLVSSQNLFRARRAPLDHCAPQASLNFVEKLKVPTMALQLRKFN</t>
  </si>
  <si>
    <t>PATMGDDKVCVFIGKRGTGKSTLVTDILWHKKHLPAGIAMSGTEEGNGYYKQFIPDIFVF</t>
  </si>
  <si>
    <t>GDYNKEAIEKLIERQKRLLSTGRCSPVFILMDDCMYDRSFMRDTCIRQLFMNGRHWKIFF</t>
  </si>
  <si>
    <t>MMTTQYCMDMTPMIRTNVDYVFALRDNVRQNRENLYKAFFGVFPTYDSFSQVMDACTENY</t>
  </si>
  <si>
    <t>ECLVLDNTSKSNKITDCVFWYKAPLRRGFRVGGPAFWQYHQRHYSARAAAQRAEVCAGPK</t>
  </si>
  <si>
    <t>RKGETVVIKKTR</t>
  </si>
  <si>
    <t xml:space="preserve">&gt;Yellowstone_lake_phycodnavirus_2@YP_009174479.1 YP_009174479.1 putative VV A32 virion packaging ATPase [Yellowstone lake phycodnavirus 2] </t>
  </si>
  <si>
    <t>MSVQLKRFDPTKMRNDRVCVFIGKRGTGKSTLVTDILWHKRAIPAGIAMSGTEDGNGHYK</t>
  </si>
  <si>
    <t>QFIPDLFVYGDYNKDAIEKIMERQRKIAARVGKEALPPVFILMDDCMYDRAFMRDTVMRS</t>
  </si>
  <si>
    <t>LFMNGRHWNIFFMMTTQYVMDMTPMIRSNTDYVFVLRDNVKQNRENLYKCFFGMFPNFDV</t>
  </si>
  <si>
    <t>FCQVMDACTENYECLVLDTTCKTNKIQDMVFWYKAPIRKNFKVGGPSFWQYHQRHYNPRH</t>
  </si>
  <si>
    <t>QTGPPPGTIARSRGAPTIVVKKSR</t>
  </si>
  <si>
    <t xml:space="preserve">&gt;Heterosigma_akashiwo_virus_01@YP_009507425.1 YP_009507425.1 VV A32 virion packagIng ATPase [Heterosigma akashiwo virus 01] </t>
  </si>
  <si>
    <t>MELQIKKFDNRSVVDKRRKFSSPIIVVIGKRNTGKSELIKNIMFCNSDIPSGIIISPTES</t>
  </si>
  <si>
    <t>GNSFYSDFCPGIFVHSQYDSELIKKIIKRQKKLIKKKGKHPSNDFFIILDDCMYDSKTIG</t>
  </si>
  <si>
    <t>RDINIREIFLNGRHYQIFLILSLQYVMDLPVSLRSNIDYVFCLRENNLQNVEKLYKSFFG</t>
  </si>
  <si>
    <t>IFPSKIFFNQAFSKITENYGSIVLDNTSRSNRIDECIFWFRATFPLPNFRIGNKKLWKMH</t>
  </si>
  <si>
    <t>DKYYEDVSDASEDEKESKAFDDIKTKTSQKLKTILTNKTK</t>
  </si>
  <si>
    <t xml:space="preserve">&gt;Acanthocystis_turfacea_Chlorella_virus_Can0610SP@AGE49510.1 AGE49510.1 hypothetical protein ATCVCan0610SP_506R [Acanthocystis turfacea Chlorella virus Can0610SP] </t>
  </si>
  <si>
    <t>MSISIREFDPTTISDGAIVGVVGRRGSGKSIIIKDLLYYKRHKLPCGLIMSGTEAGNGYF</t>
  </si>
  <si>
    <t>SKFVPEVFVFDDFDGPALDRLLERQKKAAKKGNMGKVFVVLDDLAFDSSIMKKPVMRYIF</t>
  </si>
  <si>
    <t>MNGRHLNIYLIFSSQYVADLGPPAIRANIDVLLVCREAIQANRFRLYNMFFGVFETFEDF</t>
  </si>
  <si>
    <t>NKVLNACTENYGVLVLDNTKISNNPEECVFHWKAKIRDDFKMGSHAFWKFSKSRVRKDDS</t>
  </si>
  <si>
    <t>DEEEDNNGVKLIKNRK</t>
  </si>
  <si>
    <t xml:space="preserve">&gt;Paramecium_bursaria_Chlorella_virus_CVM-1@AGE51933.1 AGE51933.1 hypothetical protein PBCVCVM1_701L [Paramecium bursaria Chlorella virus CVM-1] </t>
  </si>
  <si>
    <t>MSISIREFDPNTISNGAIVGVVGRRGSGKSVIIKDLLYYKRHVLPCGLVMSGTEAGNGYF</t>
  </si>
  <si>
    <t>SQFIPDIFVFDDFNGPALDKLLERQKKAAKKGNMGRVFVVLDDLAFDSSIMKKPVMRYIF</t>
  </si>
  <si>
    <t>MNGRHLNIFLIFSSQYVADLGPPAIRANIDVLLVCREAIQANRWRLYNMFFGCFESFEDF</t>
  </si>
  <si>
    <t>NKVLNACTENYGVMVLDNTKLSNSPTDCVFHWKAKMRDDFKMGSRVFWKFSKDKARTDDS</t>
  </si>
  <si>
    <t>DDDDNNGVKLVKGHK</t>
  </si>
  <si>
    <t xml:space="preserve">&gt;Paramecium_bursaria_Chlorella_virus_NE-JV-1@AGE56423.1 AGE56423.1 hypothetical protein PBCVNEJV1_765L [Paramecium bursaria Chlorella virus NE-JV-1] </t>
  </si>
  <si>
    <t>MSISIREFNPATISNGAIVGVVGRRGSGKSVIIKDLLYYKRNVLPIGLIFSGTEAGNGYF</t>
  </si>
  <si>
    <t>SQFVPEIFVFEDFNADALQKLVDRQKRAAKKGNLGRVFVVLDDLAFDSSIMKKPIMRFIF</t>
  </si>
  <si>
    <t>MNGRHLNIFLIFSSQYVSDLGPPAIRANIDVLFVCREAIQANRWRLYNMFFGCFETFEDF</t>
  </si>
  <si>
    <t>NKVLNACTENYGVLVLDNTKLSNDPSSCVFHFKAKMRDDFRMGSRSFWKFSKERARDDDG</t>
  </si>
  <si>
    <t>EEETDSGVKLLKGRR</t>
  </si>
  <si>
    <t xml:space="preserve">&gt;Paramecium_bursaria_Chlorella_virus_CvsA1@AGE52551.1 AGE52551.1 hypothetical protein PBCVCvsA1_437R [Paramecium bursaria Chlorella virus CvsA1] </t>
  </si>
  <si>
    <t>MSYSITQFDPKSIKDGAIVGVVGRRGSGKSVIIKDLLYYKRNALPIGLIMSGTEAGNGYF</t>
  </si>
  <si>
    <t>SSFVPEIFVYDDFNKDALEKLLERQKKAAKKGNMSKVFVVLDDLAFDTSIMKQPVMRYIF</t>
  </si>
  <si>
    <t>MNGRHLNIFLIFSSQYVADLGPPAIRANIDILLVCREAIQANRWRLYNMFFGCFESFEDF</t>
  </si>
  <si>
    <t>NKVLNACTENYGVLVLDNTKLSNDPQDCVFHFKASMRDNFKMGHRAFWKFSKERKRDDDS</t>
  </si>
  <si>
    <t>DDEADNGVRLIKSKDSKKR</t>
  </si>
  <si>
    <t xml:space="preserve">&gt;Pandoravirus_salinus@YP_008438616.1 YP_008438616.1 hypothetical protein psal_cds_1223 [Pandoravirus salinus] </t>
  </si>
  <si>
    <t>MNTASPSSSPIASPLPATRIPRDIVSLFAACANPNLVNLDADPKPVPADAPMPDETPRRD</t>
  </si>
  <si>
    <t>ADVSTDLRVAPESSSAAAVLPTPVDPLAHMLITQAKAMDDGAKRLLALAGSRISAAEFEQ</t>
  </si>
  <si>
    <t>ARAALGWPATVVAETPRPSAPTASVSRTVSVGADPNNVELRKFDRAAHKRGRINLVVGKR</t>
  </si>
  <si>
    <t>GTGKSVLLKDLLCSGGNQWDVVVGMSPTPESQDMLREMFPTSCVHDGYDGAVLERVVSTA</t>
  </si>
  <si>
    <t>RTLNHLGFRPRVLLVLDDCMFDHKILRSTVMRDLHMNGRCLGIDVYNVVQYVMDVPKAVR</t>
  </si>
  <si>
    <t>SQIDYVFALCEPQRAYRESLYRNFFGIFPTYEEFSAAFHACTENFGCIVVDSTARTNAVE</t>
  </si>
  <si>
    <t>DSVFWYRSAPNPPAVLLGSCAQWRLHHMFYKDPKHAMEAALGDPIPALTRLRLVD</t>
  </si>
  <si>
    <t xml:space="preserve">&gt;Pandoravirus_inopinatum@YP_009119120.1 YP_009119120.1 VV A32-like virion packaging ATPase [Pandoravirus inopinatum] </t>
  </si>
  <si>
    <t>MNIASPSSSPAASPPPAVRIPRDMIALFAACANPNLVDLNADPKPVPTDAPLPCETPRPG</t>
  </si>
  <si>
    <t>AEVAPAAGSAGAQESPSTADVSAPSAPIDPLVRTILTQAKALDDAAKSLLALAGSRTSAA</t>
  </si>
  <si>
    <t>EFERARVELGWPAVPIVETPRPLSSSPAASSPRTGGDGDSLVLHKFNHAAHKHGRINFVI</t>
  </si>
  <si>
    <t>GKRGTGKSVLLKDLLCSNGNQWDVVVGMSPTPESQAMLREMFPASCIHDEYDAAAVARIV</t>
  </si>
  <si>
    <t>STAHALRSAGFHPRILLVLDDCMFDTCILKSKEMRDVHMNSRHLGIEVYNVVSYVMDIPK</t>
  </si>
  <si>
    <t>AIRSQIDYVFALREPQRAYRENLYKNFFGIFPTYKEFSTVFNACTENFGCMVIDNTARTN</t>
  </si>
  <si>
    <t>AIEDTVFWYRASPNPSTMLLGSRAQWLLHHMFYKAPVHVLSDDDIIPALASRYTDRSRAL</t>
  </si>
  <si>
    <t>EAALGDPIPVLTRLRLVD</t>
  </si>
  <si>
    <t xml:space="preserve">&gt;Pandoravirus_quercus@YP_009483760.1 YP_009483760.1 hypothetical protein pqer_cds_1069 [Pandoravirus quercus] </t>
  </si>
  <si>
    <t>MNIASPSSSPAASPPPAVRIPRDMIALFAACANPNLVDLNADPKPVPADARLPCETPRHG</t>
  </si>
  <si>
    <t>AESSPSTGSTGAQESPSTADVPASSTPTDPLVRTILTQAKALDDAAKSLLALAGSRISAA</t>
  </si>
  <si>
    <t>EFERARAELGWPAVPIAETPRPSASSPAATNLRADRDGTDLALRKFNHAEHKHGRINLVV</t>
  </si>
  <si>
    <t>GKRGTGKSVLLKDLLCSNGNQWDVVVGMSPTPESQDMLREMFPASCIHDGYDAAVVGRIV</t>
  </si>
  <si>
    <t>SAAHAVCTAGFHPRILLVLDDCMFDSGILKSKEMRDIHMNSRHLGIELYNVVSYVMDIPK</t>
  </si>
  <si>
    <t>AIRSQIDYVFAMREPQRAYRENLYKNFFGIFPTYGEFTSAFDACTENFGCIVVDNTARFN</t>
  </si>
  <si>
    <t>AIEDAVFWYRGSPAPPTMLLGSRAQWLLHHMFYKDPKHAAEAALGDPIPALTRLRLVD</t>
  </si>
  <si>
    <t xml:space="preserve">&gt;Pandoravirus_dulcis@YP_008319878.1 YP_008319878.1 hypothetical protein pdul_cds_958 [Pandoravirus dulcis] </t>
  </si>
  <si>
    <t>MNTIATSPPSSSSPLNSPAPVERIPRGIVSLFAACANPSLVDLHADPKAVPADAPLPAPR</t>
  </si>
  <si>
    <t>QSTPPTPSTDSVAPAKSSTPEQGPAPSAPADTLAYSFLVQAKALDDSAKRLLALAGSHMD</t>
  </si>
  <si>
    <t>AAEFERARAALGWPAVPVETPRPPAAVAGSRHRECPSEALVLRKFDRALHKPSRVNLIVG</t>
  </si>
  <si>
    <t>KRGTGRSVLLKDLLCSKGNAWDVVVGMSPTPESRDMLREMFPASCVHDGYDSSIVERIVL</t>
  </si>
  <si>
    <t>TARTLCHVGFHPRVLLVLDDCMFDARVLKSTMMRDLHMNARHLGIEVYNTVQYVMDMPKA</t>
  </si>
  <si>
    <t>LRSEIDYVFALREPQHAYRENLYKNFFGIFPTYNEFSAAFDACTENYACMVVDSTAKTNA</t>
  </si>
  <si>
    <t>IEDSAFWYRGSPNPPTMLLGSRDQWRLHHMFYTDPKNAAEAALGDPIPALTRLHLVD</t>
  </si>
  <si>
    <t xml:space="preserve">&gt;Pandoravirus_salinus@YP_008436448.1 YP_008436448.1 hypothetical protein psal_cds_20 [Pandoravirus salinus] </t>
  </si>
  <si>
    <t>MDIIIHSSAPSKAKTSVPTPRIPRDIAALFAACAKPGTVDLNADPKPVPTGALLPCEGPS</t>
  </si>
  <si>
    <t>LPESADPDCTEQGKDGRMLHSPHVFDRSHGLPAFDRSTHRSGSNNLITGNRRSGKSTLLP</t>
  </si>
  <si>
    <t>NILCSNGNRWDVVVAMCPALESQDALRGMFPASCVHDKYDPAVINKIISTARALREAGFQ</t>
  </si>
  <si>
    <t>PRILLVLDDCMLDRQGLLSKEMQDLYMNSHYLGIEVYNVASSLIDISEALRWKVDYAFMM</t>
  </si>
  <si>
    <t>GESRWSFRVAAYKSFGAIFPTFEEFAAAIEACTKDFGCMVSDNSSVTGVVGDSISFYRGS</t>
  </si>
  <si>
    <t>VDPPIVPLGSHAQWLLHYMFYNEPERAAEVNLDDPIPALTRLGLID</t>
  </si>
  <si>
    <t xml:space="preserve">&gt;Pandoravirus_neocaledonia@YP_009482359.1 YP_009482359.1 hypothetical protein pneo_cds_749 [Pandoravirus neocaledonia] </t>
  </si>
  <si>
    <t>MDIIAPIRPTKMTPPAVRIPRDIAALFAACAVPGLVDLDADPKTVPTGALFPCEAAPSSA</t>
  </si>
  <si>
    <t>VTGPDCRKQAESGRARSGPREFDRSTHRSGSNNLITGNLRSGKTVLLKDLLCLDGNRWDV</t>
  </si>
  <si>
    <t>VVAMCPALESRDALRDMFPASCVHDKYDPVVINKIISTARALRETGFQPRVLLVLDDCML</t>
  </si>
  <si>
    <t>DRQCNHKEMRDLYLNSHYLGIEVYNVAPYAVDMAEALRFKVDYAFITHEPRQACRVALYK</t>
  </si>
  <si>
    <t>SFGTVFPTCEEFLTALDTCTDNFGCMVVDNARASSAIADRIFCDQGSLGSLGVPLGSHAQ</t>
  </si>
  <si>
    <t>WLLHYMFYKEPKHDAVEISLDDPIPTLTRLGLVD</t>
  </si>
  <si>
    <t xml:space="preserve">&gt;Pandoravirus_salinus@YP_008436434.1 YP_008436434.1 hypothetical protein psal_cds_12 [Pandoravirus salinus] </t>
  </si>
  <si>
    <t>MDIIAPFRPAKVVAPAVRIPRDIAALFAACAVPGLVDLDADPKIVPTGALFPCEAAPSSA</t>
  </si>
  <si>
    <t>VTDPECPKEGESGHARSGLRKFDRLTHRSGSNTLITGNLRSGKTVLLKDRLCSNGNRWDV</t>
  </si>
  <si>
    <t>AVAMCPAIESQDILRGMFPASCVHDKYDPAVINKIISTTRALREAGFQPRVLLVLDDCML</t>
  </si>
  <si>
    <t>DRQGTFKEMRDLYLNSHYLGIEVYNVAPYAVDMPEALRFKVDYAFITHEPRQACRVALYK</t>
  </si>
  <si>
    <t>SFGTVFPTCEEFSAALDTCTDNFGCMVVDNARATSAIAGRIFCDRGSLDSSAVPLGSHAQ</t>
  </si>
  <si>
    <t>WLLHYMFYKEPKHVAVETALDDPIPALTRLGLVD</t>
  </si>
  <si>
    <t xml:space="preserve">&gt;Pandoravirus_macleodensis@YP_009481487.1 YP_009481487.1 hypothetical protein pmac_cds_803 [Pandoravirus macleodensis] </t>
  </si>
  <si>
    <t>MQHTAPTTTANMAQTSADMIEEIPRSIAGLFASVAVPGDVDLKSPPRPVDADARMPIVEV</t>
  </si>
  <si>
    <t>ARDTKPPDAVGASAKTEMSDTQLVTIMAQAKAVSDASAKLIELMRGTFGEAQVDRVCRDM</t>
  </si>
  <si>
    <t>QWSPPTAAATTAPAPNMVDSGMGKNEINLRKFDVGTLKTGQVNMIVGKRGTGKTVLLRHL</t>
  </si>
  <si>
    <t>LTAGGNRWDFVVGMTPTPESYDVLVEMFPESCVYRDYDSEAIKRLLDTLRTLHAHNIRPR</t>
  </si>
  <si>
    <t>VLLVLDDCMHDNRIFKSGPMCDLYKCARVLDIEFYNVVQYVMDIPKTIRLQIDRVFAMRE</t>
  </si>
  <si>
    <t>PQRAYRENLYRRFFDIFSTYDGFSAAFDVCTENCGCIVVDSKAKTNAVEDSVFWHRGPAA</t>
  </si>
  <si>
    <t>PPAILLGSRAQWLLHHMFYRKAEKATAESALDVLMGALRSASLCETGRVRLVDN</t>
  </si>
  <si>
    <t xml:space="preserve">&gt;Pandoravirus_neocaledonia@YP_009482486.1 YP_009482486.1 hypothetical protein pneo_cds_876 [Pandoravirus neocaledonia] </t>
  </si>
  <si>
    <t>MQHYNTPMPMANATSRDAVLPEEIPKSIVALFASVAVKQNVDLQGTPHPVTPEARMPIDE</t>
  </si>
  <si>
    <t>VARDTAHLDAVAVDVSTEAVPVDTQQLATIVSQAKAMSDASVNLIEVMRRTFGHAQVDRV</t>
  </si>
  <si>
    <t>CRDMQWSPPNAGASVAPPRSASSPAVHGADQTTTELRKFKIGALKTGQTNMVVGKRGIGK</t>
  </si>
  <si>
    <t>TTLLRHLLTAGGNRWDFVVGMTPTSESYDALVDMFPESCVHSDFDTEVIKRLIETLRALN</t>
  </si>
  <si>
    <t>DASIRPRVLLVLDDCVFDNRIYQSEPMRDLYKYARSLNIEFYNVVQYVMDVPKAMRSQVD</t>
  </si>
  <si>
    <t>RVFALREPQRAYRESLYRGFFDVFSTCDAFSTAFDACTENYGCMVIDSTAETNADEDCVF</t>
  </si>
  <si>
    <t>WYRGPADPPAVLLGSRAQWLVHHMLWRKPERPVFESALDVLMGALCPAPLRATDRVRLID</t>
  </si>
  <si>
    <t xml:space="preserve">&gt;Pandoravirus_quercus@YP_009482967.1 YP_009482967.1 hypothetical protein pqer_cds_276 [Pandoravirus quercus] </t>
  </si>
  <si>
    <t>MAYEEDGDQPELNLRKFNWEAFKPDRVVMLVGKRGTGKSVLLRDLLSHLSVEYDAGVAMS</t>
  </si>
  <si>
    <t>PTPESQDMFREFMPDSCVFDEYSSEKIGEIVTKLRQFNHMGVYKRVFVLLDDCMFDASVL</t>
  </si>
  <si>
    <t>KSKQMRDIHMNGRHLKILFLNIVQYVMDVPKAIRSQIDYVFALREPQRAYRENLYKNFFG</t>
  </si>
  <si>
    <t>IFPTYEEFSAAFDACTENFGCIVVDSTARTNAIEDSVFWYRGSPNPPKFILGNRNFWKLH</t>
  </si>
  <si>
    <t>YMFYKAPVHALSDDDIIPALAHKYKASKPTEEPPADKEKERPRKSGKKRRRDAIVVKKRD</t>
  </si>
  <si>
    <t>VDGAIIIEDAPPVAAPPPPVTSTEAPSAGAPTPSGPIVPGGPMRPPAGGAPPSHHHGPPP</t>
  </si>
  <si>
    <t>PPSSHAPLPPPFDRRPPPPAVSGSMAGPPATGARPPPIAGSLPPRQNTPRPPFEFGPPRP</t>
  </si>
  <si>
    <t>PSAIMATAMRAPAPRPFPQ</t>
  </si>
  <si>
    <t xml:space="preserve">&gt;Pandoravirus_salinus@YP_008436942.1 YP_008436942.1 Pox A32 superfamily incomplete domain [Pandoravirus salinus] </t>
  </si>
  <si>
    <t>MAYEEDDDDRPQLNLRKFDWEKFKPDRVVMLVGKRGTGKSVLLRDLLSHLSVEYDAGVAM</t>
  </si>
  <si>
    <t>SPTPESQDMFREFMPDSCVYDEYSSEKIGEIVTKLREFNHVGVYKRVFVLLDDCMFDASV</t>
  </si>
  <si>
    <t>LKSKQMRDIHMNGRHLKILFLNIVQYVMDVPKAIRSQIDYVFALREPQRAYRENLYKNFF</t>
  </si>
  <si>
    <t>GIFPTYDEFAAAFDACTENFGCIVVDSTARTNAIEDSVFWYRGSPHPPKFILGNRNFWKL</t>
  </si>
  <si>
    <t>HYMFYEAPVHALSDDDIIPALAHKYKPSKPADEPPADKEKERPRKSGKKRRREAIVVKKR</t>
  </si>
  <si>
    <t>DVDGAIIIEDAPPATALPPPAAPTGAPSAGAPAPPGPVAIGSVRPLVGGGHQQQQQPQQQ</t>
  </si>
  <si>
    <t>HHLPPLSHAPPLDRRYPPPVSGGPMTGPAAAGARPPATAGSLAPRQSTPRPPFEFGPPRP</t>
  </si>
  <si>
    <t>PSAAMATAMRAPAPRPFPQ</t>
  </si>
  <si>
    <t xml:space="preserve">&gt;Pandoravirus_dulcis@YP_008319014.2 YP_008319014.2 hypothetical protein pdul_cds_334 [Pandoravirus dulcis] </t>
  </si>
  <si>
    <t>MAMAYDEDDDLPQLDLRKFNWKAFKPDRVVMLVGKRGTGKSVLLRDLLSHLSSEYDGGVA</t>
  </si>
  <si>
    <t>MSPTPESQDMFREFMPDSCVFDEYSSEKIGEIVTKLRQFNHMGVYKRVFVLLDDCMFDAS</t>
  </si>
  <si>
    <t>VLKSKQMRDIHMNGRHLKILFLNIVQYVMDVPKAIRSQIDYVFALREPQRAYRENLYKNF</t>
  </si>
  <si>
    <t>FGIFPTYDEFSAAFDACTENFGCIVVDSTARTNAIEDSVFWYRGSPDPPKFILGNRNFWK</t>
  </si>
  <si>
    <t>LHYMFYQAPVHALSDDDIPPALAHKFKPPKPEGEAAAPGREKERPRKSGKKRRRDAIVVK</t>
  </si>
  <si>
    <t>KRDVDGAVIIEDAPPTAASTNAASAGAVVPSCSGAGGAGLLPAPPPPHPQQHQSAPLSHV</t>
  </si>
  <si>
    <t>PSHAPPPDRRHPPFATGAPAPTARTPPPPAGPPRQSTPRPPFDFGPPRPPPSGLPVAMRP</t>
  </si>
  <si>
    <t>PAPRPFPQ</t>
  </si>
  <si>
    <t xml:space="preserve">&gt;Pandoravirus_neocaledonia@YP_009481848.1 YP_009481848.1 hypothetical protein pneo_cds_238 [Pandoravirus neocaledonia] </t>
  </si>
  <si>
    <t>MSAYEEDELPQLDLRKFDFNMFKPDRVVMLVGKRGTGKSVLLRDLLSHLSCEYDGGVAMS</t>
  </si>
  <si>
    <t>PTPESTDMFREFMPDSCVYEDYTSEKIAEIVLKLREFNGVGIYKRVFVLLDDCMFDSKIL</t>
  </si>
  <si>
    <t>KSIQMRDIHMNGRHLKILFLNIVQYVMDVPKAIRSQIDYVFALREPQRAYRENLYKNFFG</t>
  </si>
  <si>
    <t>IFPSYDEFSAAFDACTENYGCIVVDSTAKTNAVEDSVFWYRGSSSPPPFILGNRNFWKLH</t>
  </si>
  <si>
    <t>YMFYQKPVARLSDDDVIPGLAPLYKGTKGKDDSAKDKDKDRQRKSGKKRRRDALVVKKRD</t>
  </si>
  <si>
    <t>VDGTLIIEDAPAAGAPAAAPTAPAATAPVPSLPPTTTTTSSSSLSSSFATSLSTQHHAAA</t>
  </si>
  <si>
    <t>PAPNAPVNANNHNGLMGGGAPAAPRYPMNPAHATRPGATMAPMRPVVPPVGHRPLFEHAR</t>
  </si>
  <si>
    <t>PAARQP</t>
  </si>
  <si>
    <t xml:space="preserve">&gt;Invertebrate_iridovirus_22@YP_008357429.1 YP_008357429.1 ATPase 3 [Invertebrate iridovirus 22] </t>
  </si>
  <si>
    <t>MNEMQDNTITIRPLDLDLINPNPHNYTDSSQGGSKIFIIGKPGSGKSTLIKSLFYNKSQI</t>
  </si>
  <si>
    <t>IPVAVAMSGTESETGFYREFIPDPYIYDEYDPDVLSNFIIRQKGARQHMTNPWTMLIIDD</t>
  </si>
  <si>
    <t>CMDDPSVFNKPPQPGLFKNGRHWKMLYIVSLQYALDVKPHIRSNIDGVFIFRESNVAIRK</t>
  </si>
  <si>
    <t>RLYENYAGIIPSFNLFEQIMDNVTGDYTALYIQNATVTNDWKQCVFYYKAPIIENFKFGC</t>
  </si>
  <si>
    <t>QEYRGYAQKIKK</t>
  </si>
  <si>
    <t xml:space="preserve">&gt;Anopheles_minimus_irodovirus@YP_009021144.1 YP_009021144.1 ATpase 3 [Anopheles minimus irodovirus] </t>
  </si>
  <si>
    <t>MGDNTIQIKPLNLDLINPNPSNYADPNQGGSKIFIIGKPGSGKSTLIKSLFYNKSRIIPV</t>
  </si>
  <si>
    <t>AVAMSGTESETGFYKEFIPEAYIFEEYDPDFLSNFIIRQKGVRQHISNPWAILIIDDCMD</t>
  </si>
  <si>
    <t>DPTVFNKPPQPGLFKNGRHWKMLYVVSLQYALDVKPHIRSNVDGVFIFRESNVAIRKRLY</t>
  </si>
  <si>
    <t>ENYAGIIPSFSLFEQIMDSITGDYTALYIQNATNTNDWKECVFYYKAPLIEKFEFGCPEY</t>
  </si>
  <si>
    <t>KGYSRKILKNGRK</t>
  </si>
  <si>
    <t xml:space="preserve">&gt;Invertebrate_iridescent_virus_3@YP_654660.1 YP_654660.1 hypothetical protein MIV088R [Invertebrate iridescent virus 3] </t>
  </si>
  <si>
    <t>MIELQDETTIKIKPLDLDMINPNPANFMDPNQGGSKIFIIGKSGSGKSTLIRSLFYNKSQ</t>
  </si>
  <si>
    <t>IIPVAQAMSGTESETGFYRQFIPSAYIFDEYDSQALGNMIMRQKAARQYLANPWTMLIID</t>
  </si>
  <si>
    <t>DCMDETSVFNKTPQPALFKNGRHWKMLYLVALQYALDVKPGIRSNIDGVFIFRESNVAIR</t>
  </si>
  <si>
    <t>KRLYDNYAGIIPTFQLFEKIMDEITKDYTALYIHNVTTSNDWRDCVFYYKAPFENQHVDQ</t>
  </si>
  <si>
    <t>FKFGCCEYRGYGAKILKPHLK</t>
  </si>
  <si>
    <t xml:space="preserve">&gt;Diadromus_pulchellus_ascovirus_4a@YP_009640074.1 YP_009640074.1 unnamed protein product [Diadromus pulchellus ascovirus 4a] </t>
  </si>
  <si>
    <t>MEDEFVINEFHPEIIAPNKHNYRRVEQGGSKLVFIGKPGTGKSTLIRYIIYSKMDVIPVA</t>
  </si>
  <si>
    <t>VAMNGTEKSTGFYSEMFPPLFVYDEYRDDVVTEFIKRQDHAKKNFSNPWAMLVVDDCTDN</t>
  </si>
  <si>
    <t>KNVFKSENQQGLFKNGRHWKMLYILSLQYCIDLPPAMRTCVDGTFIFRETNEKNLKNLYD</t>
  </si>
  <si>
    <t>NFAGVFPSFGLFKTYMEQVTGDYTALYIDQQNQATKDWFDCVYFVKAPIVPEFKFGCKEY</t>
  </si>
  <si>
    <t>RAFAKDRTDKKFLVSPKEILEKIQEKYNEGANKMINRSADNESRTKLFDTADFSSF</t>
  </si>
  <si>
    <t xml:space="preserve">&gt;Invertebrate_iridescent_virus_6@NP_149538.1 NP_149538.1 075L [Invertebrate iridescent virus 6] </t>
  </si>
  <si>
    <t>MSDTQEYSIKPFDANLINPREDNFNTVGGSKIVVIGKAGTGKSTLIRYLLFLKRSIIPVG</t>
  </si>
  <si>
    <t>MVVSGTEDSNCFYSDIFPPLFIHDEYDEEIIKKFIKRQKYANEHISENPWAVLLLDDCTE</t>
  </si>
  <si>
    <t>DKKIFSSKWQQSLFKNGRHWKLLYILSLQHATDIPPAIRTNVDGVFIFRETNENNLKNIY</t>
  </si>
  <si>
    <t>LNYAGVIPKFEIFKAYMTQVTGDYTALYIDNSAQDNGEWYEHVYYWKVPQMDTRDMKFGC</t>
  </si>
  <si>
    <t>HEYIEFGKQRYNEKYSKN</t>
  </si>
  <si>
    <t xml:space="preserve">&gt;Armadillidium_vulgare_iridescent_virus@YP_009046714.1 YP_009046714.1 ATPase 3 [Armadillidium vulgare iridescent virus] </t>
  </si>
  <si>
    <t>MTDIQEYDIKPFYADLINPSESNYTTAGGSKIVVIGKAGTGKSTLIRYLLFLKRSIIPVG</t>
  </si>
  <si>
    <t>TIVSGTEESNSFYSKIVPSLFIHTEYNEKIITDFIKRQKYAREHIQENPWAFLLLDDCTE</t>
  </si>
  <si>
    <t>DKKIFSSKYQQALFKNGRHWKMFYILSLQHSTDIPPSIRTNVDGVFIFRETNENNLKNIY</t>
  </si>
  <si>
    <t>TNYAGVIPKFEIFKAYMSQVTGDYTALYIDNAAQDNGHWHEHVYYWKVPQMDANEMKLGC</t>
  </si>
  <si>
    <t>HEYIEFGKQRFDEKWATRN</t>
  </si>
  <si>
    <t xml:space="preserve">&gt;Singapore_grouper_iridovirus@YP_164229.1 YP_164229.1 ATPase [Singapore grouper iridovirus] </t>
  </si>
  <si>
    <t>MESTATINIREMKLSDLRPTEQSMKTDMGGTKLVVIGKPGSGKSTLIKALLEAKRALIPC</t>
  </si>
  <si>
    <t>AVVISGSEEANNFYKGLVPDLFIYHKFCPAIIDKIHKRQIKAKAELGSKKSWLLVIIDDC</t>
  </si>
  <si>
    <t>MDNAKMFNSKEVIALFKNGRHWNVFVVIANQYVMDLTPNLRSSVDGVFLFRENNTTYKDK</t>
  </si>
  <si>
    <t>MYLNFASVIPTKKTFYHVMEAVTQDYRCMYIDNTKAYENWQDSVYWYKAPFKTEVVPFGC</t>
  </si>
  <si>
    <t>KSYWQHAANKTGCGIPDCFDSVAVFGNLLLKKLPEDRGEQDDSRAQFEVEEAASTSSPRA</t>
  </si>
  <si>
    <t>AASPYSPDSADKMNAPDFLTYVY</t>
  </si>
  <si>
    <t xml:space="preserve">&gt;Frog_virus_3@API65213.1 API65213.1 AAA-ATPase [Frog virus 3] </t>
  </si>
  <si>
    <t>MEQVPIKEMRLSDLRPNNKSIDTDLGGTKLVVIGKPGSGKSTLIKALLDSKRHIIPCAVV</t>
  </si>
  <si>
    <t>ISGSEEANGFYKGVVPDLFIYHQFSPSIIDRIHRRQVKAKAEMGSKKSWLLVVIDDCMDN</t>
  </si>
  <si>
    <t>AKMFNDKEVRALFKNGRHWNVLVVIANQYVMDLTPDLRSSVDGVFLFRENNVTYRDKTYA</t>
  </si>
  <si>
    <t>NFASVVPKKLYPTVMETVCQNYRCMFIDNTKATDNWHDSVFWYKAPYSKSAVAPFGARSY</t>
  </si>
  <si>
    <t>WKYACSKTGEEMPAVFDNVKILGDLLLKELPEAGEALVTYGGKDGPSDNEDGPSDDEDGP</t>
  </si>
  <si>
    <t>SDNEDGPSDDEEGLRKDGVSEYYQSDLDD</t>
  </si>
  <si>
    <t xml:space="preserve">&gt;Lymphocystis_disease_virus_1@NP_078656.1 NP_078656.1 Virion assembly protein, NTPase [Lymphocystis disease virus 1] </t>
  </si>
  <si>
    <t>MDSVNINELDLDLIRPNTESMETDIGGMKLIIIGRPGSGKSVIIKSLIASKRYLIPAAIV</t>
  </si>
  <si>
    <t>ISGSEEANHFYKTIFPSCFIYNKFNISIIEKIHKRQITAKNILGKTSWLLLIIDDCMDDS</t>
  </si>
  <si>
    <t>KLFCEKTVMDLFKNGRHWNILVVVASQYVMDLKPVIRATIDGVFLLREPNMTYKEKMWLN</t>
  </si>
  <si>
    <t>FASIIPKKEFFILMEKITQDHTALYIDNTIINPAHWSDCVKYYKASLENIDELFGCEEYK</t>
  </si>
  <si>
    <t>AYCV</t>
  </si>
  <si>
    <t xml:space="preserve">&gt;Lymphocystis_disease_virus_-_isolate_China@YP_073620.1 YP_073620.1 hypothetical protein [Lymphocystis disease virus - isolate China] </t>
  </si>
  <si>
    <t>MESIEIKELDLNYVRPNSDSIETDIGGMKIIVIGRPGSGKSTLIKSLIASKRHLIPAAVV</t>
  </si>
  <si>
    <t>ISGSEEANHFYKNLFPECFVYNKFNLSLIDRIHKRQITAKNLLDKMSWLLLIIDDCMDDS</t>
  </si>
  <si>
    <t>KLFCDKMVMDLFKNGRHWNILVIVASQYVMDLKPVIRSTLDGVFLLREPNMSYKEKMWLN</t>
  </si>
  <si>
    <t>FASIIPKKYFFDLMEEITQDHTALYIDNTAINPSHWSDCVKYYKATIENVDEPFGCEEYK</t>
  </si>
  <si>
    <t>SYII</t>
  </si>
  <si>
    <t xml:space="preserve">&gt;Infectious_spleen_and_kidney_necrosis_virus@NP_612345.1 NP_612345.1 putative adenosine triphosphatase [Infectious spleen and kidney necrosis virus] </t>
  </si>
  <si>
    <t>MEIKELSLTELRPVKPDDEMGGMKLIVLGKPQRGKSVLIKSIIAAKRHIIPAAVVISGSE</t>
  </si>
  <si>
    <t>EANHFYSKLLPNCFVYNKFDADIITRVKQRQLALKNVDPEHSWLMLIFDDCMDNAKMFNH</t>
  </si>
  <si>
    <t>EAVMDLFKNGRHWNVLVIIASQYIMDLNASLRCCIDGVFLFTETSQTCVDKIYKQFGGNI</t>
  </si>
  <si>
    <t>PKQTFHTLMEKVTQDHTCLYIDNTTTRQKWEDMVRYYKAPLLTDADVGFGFKDYKAGVA</t>
  </si>
  <si>
    <t xml:space="preserve">&gt;Scale_drop_disease_virus@YP_009163796.1 YP_009163796.1 ORF_035L [Scale drop disease virus] </t>
  </si>
  <si>
    <t>MSVPVKELSMTEIRPRTHDDEIGGMKLVVLGKPGRGKSVLIKSIIASKRHLIPAAVVISG</t>
  </si>
  <si>
    <t>SEEANHFYSGLVPECYIYSKFDPDIITRVKKRQLELKHLDPKHSWLLLVIDDCMDNTKLF</t>
  </si>
  <si>
    <t>NNEVVADLFKNGRHWNLLVIIASQYIMDLKADLRCSIDGVFLFSESNLTSQEKIYKQFGG</t>
  </si>
  <si>
    <t>KIPKPQFMLLMEKVTLDYTCLYIDNASQTQHWTECVRYYKAPMLTNEDVNFGFADYKNSA</t>
  </si>
  <si>
    <t>IAVVE</t>
  </si>
  <si>
    <t xml:space="preserve">&gt;Cherax_quadricarinatus_iridovirus@YP_009552313.1 YP_009552313.1 032R [Cherax quadricarinatus iridovirus] </t>
  </si>
  <si>
    <t>MSEIIQIKELDINSIRPNVESMKTDIGGMKIAIIGKPSSGKSVLIKHLLYAKKHLIPVGM</t>
  </si>
  <si>
    <t>VISGSEDSNGFYSKIFPQLFIYEKYKKDVVKNFIERQKLSKKYHLPNSWSVLVMDDCMDD</t>
  </si>
  <si>
    <t>VKVFNDPLIQGLFKNGRHWNMLALFANQYVLDFKPAIRTNLDGIFIFREPNNSNREKIYK</t>
  </si>
  <si>
    <t>NFASVIPTFKIFCHLMDKLTVDYTSIYIKNQLNNTRNEEHWTNYVFYFKAQIVPDFTFGC</t>
  </si>
  <si>
    <t>DDYIRFSEDRIKEEED</t>
  </si>
  <si>
    <t xml:space="preserve">&gt;Marseillevirus_LCMAC202@QBK88088.1 QBK88088.1 packaging ATPase [Marseillevirus LCMAC202] </t>
  </si>
  <si>
    <t>MPNKNKHTKNEVDIHEFPIHEMKSNSKIVIIGKPATGKSTVIRDIVKAFRHIFPVAKVFS</t>
  </si>
  <si>
    <t>GTEENNHFYAQIFPELFIHSEYNEKEMEDFAKRQKLAMRNNPNNPKGLLIVDDCSDDPKF</t>
  </si>
  <si>
    <t>FHRPLFQKFYKNGRQWDMMFILALQYGMDIRPVIRTNIDYVFIFREPNERNRKALHENYA</t>
  </si>
  <si>
    <t>GIIGSYADFCDVMDQLTEDYTALVIDNRKQSNDLSDCVYYYKARLHDDFNFGSLEYCQWA</t>
  </si>
  <si>
    <t>NQRYNTQYVPPVL</t>
  </si>
  <si>
    <t xml:space="preserve">&gt;Marseillevirus_LCMAC201@QBK87213.1 QBK87213.1 packaging ATPase [Marseillevirus LCMAC201] </t>
  </si>
  <si>
    <t>MEPNSKIVIIGKPATGKSTLIRDIVKAYSHVFPVAKVFSGTEENNHFYSEIFPELYIHSE</t>
  </si>
  <si>
    <t>YDEKEMENFAKRQKLAMRNNPNNPKGLLIVDDCSDDPKFFHRPLFQKFYKNGRQWEMMFI</t>
  </si>
  <si>
    <t>LALQYGMDIRPVIRTNIDYVFIFREPNERNRKALYENYAGIIGNYSDFCDVMDQLTEDYT</t>
  </si>
  <si>
    <t>AVVIDNRKQSNDISECVKYYKARMHDDFKFGSQEFCQWAEQRYNTQYVPPVI</t>
  </si>
  <si>
    <t xml:space="preserve">&gt;Heliothis_virescens_ascovirus_3f@YP_009701580.1 YP_009701580.1 ATPase [Heliothis virescens ascovirus 3f] </t>
  </si>
  <si>
    <t>MSFIDVSSLYRVERSPTPEAREHYTLLNTPSATRQVSTQEPIVANVDNAEPVTEYSCTKV</t>
  </si>
  <si>
    <t>TTPVVGSSPSEAASSPIRIECSPLPEPGRMIDDSLIIPQFHPNLISPREDSYMDRNKGGS</t>
  </si>
  <si>
    <t>KIAFVGKPGTGKSVMMRYIMYTKRKMIPVAVVMSGTEGSNGFYSEVVPDTYIYNDCDQMA</t>
  </si>
  <si>
    <t>LENFKQRQLEAKKRCANPWALLVIDDCSTNKKNFTTKIQEDLFKNGRHYKMLYMVGVQYP</t>
  </si>
  <si>
    <t>KDLPLTLRTCLDGIFLFGTGNHDVRKRLWEFADDFPNKETFYQVFSQVTSVDHRCLYIDY</t>
  </si>
  <si>
    <t>QGGKGSWYNNIYWAMAPPPNETPKFRFGCLEYRMAARDRADKKKIAAQCAYDQINT</t>
  </si>
  <si>
    <t xml:space="preserve">&gt;Trichoplusia_ni_ascovirus_2c@YP_803318.1 YP_803318.1 hypothetical protein TNAV2c_gp095 [Trichoplusia ni ascovirus 2c] </t>
  </si>
  <si>
    <t>MASKYYMSSPPLSSSSSSSSCSSSVVEEYNESDSVKSVTLSSSPNPGTLIDNDIVIPQFH</t>
  </si>
  <si>
    <t>PNLIAPREDTFMDQNQGGSKCALIGKPNTGKSHFIRWLMYSKRKIFPSALVMSGTESCTG</t>
  </si>
  <si>
    <t>FYATMVPPLYIYNEYDQNALENFKKRQLLVRKSCSNPWTLLILDDCASSTKNFNGPIQQD</t>
  </si>
  <si>
    <t>LFKNGRHYKMLYLLGVQYPKDIPVTARSCFDGVFLFATGNSDVMKKLFEFAGDFPDKETF</t>
  </si>
  <si>
    <t>YKVFTEVTSVDHRALYIDYQNRNGKWFNNIYWAQAPHPKDIPDFKFGSAEYQAVAKDRVD</t>
  </si>
  <si>
    <t>FDRVRMQCSNIY</t>
  </si>
  <si>
    <t xml:space="preserve">&gt;Melbournevirus@YP_009094642.1 YP_009094642.1 conserved putative A32-like packaging ATPase [Melbournevirus] </t>
  </si>
  <si>
    <t>MPPRKKEGEDQKKFSIRPWDLPNSYPSASYIVTGPPGSGKSNFVRSFCYYMRHKYPVAKI</t>
  </si>
  <si>
    <t>VSGTETENQTFHENFPPLYISTKYEQNAELQYVARQRKAKTNKKCKNSSAIHIVDDCADD</t>
  </si>
  <si>
    <t>PKTLRSPLMTSFFKNGSRHWDGIFMLLTQAGLDAPPGVRKCASYYVLFYEASLVEREKLW</t>
  </si>
  <si>
    <t>RNFGSKLGNFKEFCDIMDQVCVDHACMVIDNRTQSKNIEDMLFWYRAPHPIPKFKFGCKQ</t>
  </si>
  <si>
    <t>YRKWSKERYNKNYEPPLI</t>
  </si>
  <si>
    <t xml:space="preserve">&gt;Marseillevirus_marseillevirus@YP_003406900.1 YP_003406900.1 A32-like packaging ATPase [Marseillevirus marseillevirus] </t>
  </si>
  <si>
    <t>MPPRKKESEGQKVLNIKPWDILNSYPSASYIVVGNPGSGKSNFSTSCAYYLRHRYPVAKI</t>
  </si>
  <si>
    <t>VSGTETENQTFHQYFPPLYISTKYDANAELNYVGRQRKAKRDKKCKNSAAMHIIDDCADD</t>
  </si>
  <si>
    <t>PKILRSPLMNSFFKNGSRHWDGIFMLLAQAGLDIGVCRKSASYFVLFYEASLVEREKLWR</t>
  </si>
  <si>
    <t>NFGSKLGTFKEFCDIMDQVCVDHACMVIDNRTQSKNIEDMLFWYRAPHPIPKFKFGCKQY</t>
  </si>
  <si>
    <t>RKWSKERYNKNYEPPLI</t>
  </si>
  <si>
    <t xml:space="preserve">&gt;Feldmannia_irregularis_virus_a@YP_009665688.1 YP_009665688.1 FirrV-1-A12 [Feldmannia irregularis virus a] </t>
  </si>
  <si>
    <t>MDERTIKLSAFNAKAACSKHFNAVVIGKKHTGKSTLIKDILYNVHKQKVPRICVFSGTEE</t>
  </si>
  <si>
    <t>SNGFYREFIPDLFIFDDSMVEEKLTQIVESQKKIGMQKQLGECGDDVDSRIVVVLDDVGY</t>
  </si>
  <si>
    <t>KKNTLKCEILRQIFMNGRHHQISLIVACQYCMDLAIDLRTNADYVFVLKQNNMNSIKNLH</t>
  </si>
  <si>
    <t>ETYFGSFEKKKDFQTVLEACTADYQCLVLDNTKPSTNTTDVCFWYKAKYGKEYKFGCPLL</t>
  </si>
  <si>
    <t>WEYHGRWYMSEKQRYQSQQKTKPSRSRTGTHQQQLVVHKATSGPAGNAAAGNAAAGTAGT</t>
  </si>
  <si>
    <t>AE</t>
  </si>
  <si>
    <t xml:space="preserve">&gt;Feldmannia_species_virus@YP_002154709.1 YP_002154709.1 putative VV A32 ATPase [Feldmannia species virus] </t>
  </si>
  <si>
    <t>MFKTHCYTLSHMAEKTIKLSAFNPRTACSTFFNAVVIGKKHTGKSTLIKDILYHLHKKKV</t>
  </si>
  <si>
    <t>PRMCVFSGTEESNGFYKEFVPGLFIYDDSDVENKLNEIVDSQKETAMQKQLGEASEDLDS</t>
  </si>
  <si>
    <t>RIAIVLDDVGYKKNILKSEIIRQIFMNGRHHQIYLVVACQYCMDVGQDLRTNADYVYVLK</t>
  </si>
  <si>
    <t>QNNMSSIKNLHETYFGTFEKKKDFQTVLEACTQDYQCLVLDNTKPSTMTTDVCFWFKAKY</t>
  </si>
  <si>
    <t>SRNFKFGCSQLWEYHDRWFMTEKQRYLNDKKEKVENVSSKKGNLVVQKSELD</t>
  </si>
  <si>
    <t xml:space="preserve">&gt;Ectocarpus_siliculosus_virus_1@NP_077511.1 NP_077511.1 EsV-1-26 [Ectocarpus siliculosus virus 1] </t>
  </si>
  <si>
    <t>MNNGAPTMASATGSINVNLKRFDCRAAMSVKCNAVVIGKRNTGKSVVIAELLYYLNKQKV</t>
  </si>
  <si>
    <t>PRACVFSATEESNRFFCRHIPDSFIFDEKNVELKLTEIVEQQKRLQLQKDIGEIDRDTDL</t>
  </si>
  <si>
    <t>RVAIVLDDMGYNRKVLTSQILTFIFMNGRHYDITLIVAIQHVMQLTPALRSNTDYVICLK</t>
  </si>
  <si>
    <t>EGNKNVMRNLYENFFGVFEKPVHFKNAFDACTKDFGCLILNNTVTSVLVNDTVNWYKATP</t>
  </si>
  <si>
    <t>NREFKFGSKEFWEYHDERYVSIQDRYLLEKRPAADTTMSSDGTFVIHKHV</t>
  </si>
  <si>
    <t xml:space="preserve">&gt;Acanthamoeba_castellanii_medusavirus@BBI30369.1 BBI30369.1 putative VV A32-like packaging ATPase [Acanthamoeba castellanii medusavirus] </t>
  </si>
  <si>
    <t>MSHQHNKRPGAYAEIPLPAFDLSRVAPDSVALFIGKRNTGKSVSMQFLAHHFRWIPRGIV</t>
  </si>
  <si>
    <t>CCPTDNTNPAWSEHMPRCFVYPEFNPEAVKRMMNDQIRLKRKLRREIWEREKRKMTKWEL</t>
  </si>
  <si>
    <t>PCAFVVLDDCGFDKRFRNDETVKELLLNGRHLNIFVMIALQYMMDVQPAMRTNADYIILT</t>
  </si>
  <si>
    <t>KEKSGVLREKIYKNWGSCVNSPKVFNQIMDQATQNYSCLVIDNKNNASSKISDSFAMFKA</t>
  </si>
  <si>
    <t>DKEVADSPFKMGDRKFWAFGHTAGITEDEMDNDEATQQAMEGDYDGCEDSDNGDYDAADI</t>
  </si>
  <si>
    <t>ERMERSMQNIGPKTKVKVRMIN</t>
  </si>
  <si>
    <t xml:space="preserve">&gt;Emiliania_huxleyi_virus_86@YP_293826.1 YP_293826.1 putative DNA-binding protein [Emiliania huxleyi virus 86] </t>
  </si>
  <si>
    <t>MDAVPITRYDFASQFPRHGTFAAIGRRACGKSRLILDVMYNLRDRFDLGIAFTTTTPMAE</t>
  </si>
  <si>
    <t>ALAEIMPRGCIFTEFNVDRIKTLLDEQELMMARKKPRSVFLLLDDCGFDTKSMNSAPMKE</t>
  </si>
  <si>
    <t>LFMNGRHKYITFLCALQTPMALKPDMRMQIDIVVALKENQVANRRRLHDAFFGVIPSWHD</t>
  </si>
  <si>
    <t>FERLFMAFTQNYGALLVDQTVQSTDLTRVIYHYKAQIDLPKFVCISRKYVKIWEQIKKSQ</t>
  </si>
  <si>
    <t>REVMMLKEKKIDEERKQKLVETAKQRGEKIRQVHTAVNARNGDPNAKIVLSSF</t>
  </si>
  <si>
    <t xml:space="preserve">&gt;Mollivirus_sibericum@YP_009165305.1 YP_009165305.1 VV A32-like virion packaging ATPase [Mollivirus sibericum] </t>
  </si>
  <si>
    <t>MNDSIDTPIVIDPFDFSKAKADRSWAFVGRKGSGKTSGMIYAAMMLYRLFDFVVALSPAS</t>
  </si>
  <si>
    <t>QTRDILAMFMPASCIHNDLPDKFLEELMTETGKLTAAGHEVRLLLMMDDLMYDSTVLNTK</t>
  </si>
  <si>
    <t>PAKQLYKMGRHHKITFFNAVQYVRDMAKNSRSQHDYIFAAGDTSPENMDALYEIFFSSKI</t>
  </si>
  <si>
    <t>RNRQDFDDLFTMITADYGMMVLDLTSTSDNIQDCIFRYQAPHPNTFHRVAVHIGGRSQWK</t>
  </si>
  <si>
    <t>MHYGFGLNDAKPKEISNPIPGLERKRKREQEALNKINNPEGQDGTTVAAPPATETDDNDF</t>
  </si>
  <si>
    <t>IPTPVTRPTKARRTTRAKPAGTTSGGRRRRTVVTPARKKVFVINKSGVTGASDSSANSAV</t>
  </si>
  <si>
    <t>QDNNNNEAPSQ</t>
  </si>
  <si>
    <t xml:space="preserve">&gt;Gaeavirus_sp.@AYV80123.1 AYV80123.1 packaging ATPase [Gaeavirus sp.] </t>
  </si>
  <si>
    <t>MDSPSTLPSTLPLKYLDLTDIRQDSTIVVIRSRTHEKLAKTMISNTLSHLYETKKIHDCV</t>
  </si>
  <si>
    <t>IISPTEQHDSAYKNIVSKVYRSYDTKIIREIVETQQNGYHYDKHVAIVLDNCISNSIFKN</t>
  </si>
  <si>
    <t>DSILTEILLHGRCYRITLIITMQYALELTSEIRNNIDYIFMAYDDIFSNMKKLYDYYSNK</t>
  </si>
  <si>
    <t>TFPSYDVFKEVFHRMNKNSEMMTIAASEFKHNVFYYKNTACKETTIPVMKLQFYENTEIQ</t>
  </si>
  <si>
    <t>ISQPAKSDSNSDNENPTYPINNNTERIMSKINKCNKLMLNIITNNVHHNHNNDMLNXXXX</t>
  </si>
  <si>
    <t>QYIHFRIHFHFHVFEYFCE</t>
  </si>
  <si>
    <t xml:space="preserve">&gt;African_swine_fever_virus_Georgia_2007/1@YP_009704031.1 YP_009704031.1 B354L [African swine fever virus Georgia 2007/1] </t>
  </si>
  <si>
    <t>MALTTHSGKLIPELQFKAHHFIDKTTVLYGPSKTGKTVYVKHIMKILQPHIEQILVVAPS</t>
  </si>
  <si>
    <t>EPSNRSYEGFVHPTLIHYRLWLADKQKKNDNKGAERFLEAIWQRQTMMSSIYSRVNNIDM</t>
  </si>
  <si>
    <t>LKTLYHKLPIDIQQKENKNIAKVECLKAEQTDQKKEEKITSLYQQLLKKIIIQNIHMYKN</t>
  </si>
  <si>
    <t>LCLTEDEKFTLNYINLNPRLLLILDDCAAELHPLFTKEIFKKFFYQNRHCFISMIICCQD</t>
  </si>
  <si>
    <t>DTDLPANLRKNAFVSIFTNASICMSNFSRQSNRYSKQDKEYVEEISHIVFKGYRKLVYIR</t>
  </si>
  <si>
    <t>EDEHRQHFYHSTVPLPTAFSFGSKALLKLCKAVYSKEVVIDKSNPYWSKFRLNF</t>
  </si>
  <si>
    <t xml:space="preserve">&gt;Pacmanvirus_A23@YP_009361543.1 YP_009361543.1 VV A32 virion packaging ATPase [Pacmanvirus A23] </t>
  </si>
  <si>
    <t>MSSLPEFDFNYKKFLDKSTVLFGESGTGKSTIIDDILFQIKPFVGQIIVFCPTDRNNKAY</t>
  </si>
  <si>
    <t>SGGRVPLPCIHDKITDEVLRDIWSRQSALTQVYKRANNPEILRKLFTRIQSRAGLSAIEE</t>
  </si>
  <si>
    <t>AKRKQREYEIEIKNEMDEGAAKCAIAEMDKDTKKLIELIYKHYINENRGKLTKMNLSKNE</t>
  </si>
  <si>
    <t>QYSLKYLNINPRLVIIFDDCSSQLNSLKKNKVIQDIFYQGRHVFITTLIAIQTDKVLDPE</t>
  </si>
  <si>
    <t>IKKNAFVSIFTEETCASSYFERKSNDLDKEAKNRARNASKMAFSPLPALKHQKLAWVRDE</t>
  </si>
  <si>
    <t>KRFYKLMATKHDDFRFGNPIIWNYCEQIQADLGEVSSDNKFMQDFID</t>
  </si>
  <si>
    <t xml:space="preserve">&gt;Faustovirus@AMN83767.1 AMN83767.1 hypothetical protein D5b_00345 [Faustovirus] </t>
  </si>
  <si>
    <t>MDDIFNNLNINQFATRSNGIVEECVLSATTFLDKSTNVYGGSGKGKSTIVKDILYNVNPF</t>
  </si>
  <si>
    <t>VNDIVVVNPTDKLNKDYSGNNNVPAPLVHDGLNDELIDNIFEKQEKRRIIYDISNKTEVL</t>
  </si>
  <si>
    <t>ESLFMEVCPPNARMFARTIDEKLEEHEHEILVGDADEILAKSKIDNLRTEYRELKNKVFK</t>
  </si>
  <si>
    <t>FYINRNIDTFARRKLTDEQQVAIKWLNINPRMVLVFDDVTPYLKKYAQHPKFKALYYQCR</t>
  </si>
  <si>
    <t>HYNITSITVAHNDSALARDGLRENAYNNVFADSESANNYIKHEEKSLGDYKNYMKKCVSE</t>
  </si>
  <si>
    <t>IFTDKYTKMLYERDERKVWKFRAKKRSNIRMGAPELWEFLERIKLSPRDEIKRILNM</t>
  </si>
  <si>
    <t xml:space="preserve">&gt;Kaumoebavirus@YP_009352595.1 YP_009352595.1 hypothetical protein BNJ_00184 [Kaumoebavirus] </t>
  </si>
  <si>
    <t>MSKKRPDKNPTLEAYDPGENATFQIPHMQKTSNEILHKTNVFYGLSGNGKSTLNIELMTW</t>
  </si>
  <si>
    <t>MKQDTPLVIVFSNSEESNEIYSKVVPPYLIFTELKREKLQHIWDRQQMASKIWKQCQNIQ</t>
  </si>
  <si>
    <t>VLASLFQRFASSHDKDEVKACEQAKSEVAKKLKAIYEADPSKKSEISIQIEKLESKHGEM</t>
  </si>
  <si>
    <t>LRARYKEIIRRERRNIIKNAASDTEREIATYLDFNPNLLLIIDDFSAELKSIMSDKRAND</t>
  </si>
  <si>
    <t>KNPIVHNMFYKGRHCKVTAFLNFQSDKDLLTELRMNAHNSFFCSSQSANSFFNKGNSTGF</t>
  </si>
  <si>
    <t>SNEQKKKATNAAKAVFTPKPGDDRTQYRKLVYLRMSNPQFQYVIADFHHGFRMGSQSLWD</t>
  </si>
  <si>
    <t>YAEKLSKYAEKNIMNTNNEFAKMFKI</t>
  </si>
  <si>
    <t>&gt;1704MEGAvirome_6-GSNBU_NODE_1235_length_4988_cov_34.246679_6 [2146 - 395] (REVERSE SENSE)</t>
  </si>
  <si>
    <t>KYTSQIINNKMSQLIKHPPQNDFPKDYYKGHFGVIGGTGSGKTYYTKYIIKEMVRRFKEKNILCEGKPAVFVLVSEISSS</t>
  </si>
  <si>
    <t>DWLNPEKNGKRLIPEGHVFTEWTQEIRDEIQEKCVKAGRGFIVFDDFKSKIDFHHDKSFNEMFRTFRHIRVQLLAIGHKP</t>
  </si>
  <si>
    <t>TDLPPLCTQNINHLLLFSTSDVQSIKKLADMYLGGNKQKLIKGLRNIEENGVVKINIKKGDLAIHKAPPPNVSGFSTTND</t>
  </si>
  <si>
    <t>DDDDQNDDDQDHDTPQNQEINGAKNIHSGNSNRAGRDYQDNSTNYNQNIVNLDQDVINNTFNEYRLRRERMKQEHQLDLD</t>
  </si>
  <si>
    <t>RIHYDQKISYEKSKEDVKNMLQDPLLSGKELYECCNKMNMILGRTDINSSNVFSGPDKEFMDIYYPHCGYTGKKYSVVNQ</t>
  </si>
  <si>
    <t>VGGGVLSLLTGDVSGMIKQGAGFMSNSKGNVDNTERLKKILINRRDDSLEELASDELIYTILCRIFGNVVYKHNTAKYLI</t>
  </si>
  <si>
    <t>NFIVKNKGLKLLNNLLGKGCAKNCNLLGKGCAKNRLSAADPHNHNTNNSLQYQISAEDIYRIHMGILFLNKDPQFKYFYE</t>
  </si>
  <si>
    <t>HKKPINELFPEITKATAQYISQTT</t>
  </si>
  <si>
    <t>&gt;1109MEGAvirome_7-GSNCB_NODE_221_length_9596_cov_10.958846_12 [5978 - 6811]</t>
  </si>
  <si>
    <t>SSRASTWCIPLAWRIFSPNQIWVPCMDGTLNIKKYDPTKAPEHMVVVAIAKRRSGKSFLIKDWLYHHRNRFFAGIVMSGT</t>
  </si>
  <si>
    <t>EEGNRFYEREVGIPPPFIYNDFDEQALQRLVDRQRAMTVDGTAKSVYVILDDLAFDRKVWSKPLIRQLLMNGRHWKISIY</t>
  </si>
  <si>
    <t>ISLQYFLEVSPAFRANIDIIVLLKDNLHREKLYKTFFQMLPNFGTFNQIMDACTTDYKALILDNSSNSTKINECLYWYKA</t>
  </si>
  <si>
    <t>KPRPPFRIGHSMFYEYTKDKQRKKKNSKKPTKVTLLPS</t>
  </si>
  <si>
    <t>&gt;1109MEGAvirome_7-GSNCB_NODE_246_length_9280_cov_20.413283_3 [2268 - 3167]</t>
  </si>
  <si>
    <t>MLSIDLIKPKNDFKHPTVKYPKVLPQHEFSMLIVAPKGSGKTNFICNLLLKQYKGYFNRVLVCSPTVDNDPKWDVVKDTK</t>
  </si>
  <si>
    <t>GVLAENKELKKIRENMPTNQKHKLPSLVKAPGKKESDDPENEKFQGYIPEEDFFINLDELPPKLRKQNDVIQSLRDEHGD</t>
  </si>
  <si>
    <t>KAKFIADRMLVILDDQAGMFKGGNTNNPMVNFVLRHRHYSSSVIIVTQAYKAIPKSIRTNCNALIAFEIANLGELKVVYE</t>
  </si>
  <si>
    <t>EWPESMREEEWMKVFDFCTREPFTFIYINNHFPKGQRIFKNFTHKIIDRHIQDGEDKGGD</t>
  </si>
  <si>
    <t>&gt;1109MEGAvirome_7-GSNCB_NODE_46_length_18335_cov_44.171820_18 [11330 - 12121]</t>
  </si>
  <si>
    <t>ISGHIMDAATLNIKKYDPKTAPQHMVVVAIAKRRSGKSFLIKDWLYNHKDRFFAGIVMSGTEEGNRFYEREVGIPPSFIY</t>
  </si>
  <si>
    <t>NDFDERALQRLVDRQRVMTIDGTAKSVYVILDDLAFDRKVWSKPLIRQLLMNGRHWRISVYISLQYFLEVSPAFRANIDI</t>
  </si>
  <si>
    <t>IVLLKDNLHREKLYKTFFQMLPNFGTFNQIMDACTADYRALILDNSSNSTKINDCIFWYKAKARPPFKIGHSMFYDYDKK</t>
  </si>
  <si>
    <t>KKDPKKDPKKDPTKKPKSVTLLKR</t>
  </si>
  <si>
    <t>&gt;1109MEGAvirome_7-GSNCB_NODE_611_length_5197_cov_44.042336_3 [4019 - 4795]</t>
  </si>
  <si>
    <t>WSQRNEGFEYKIEKKIPYRMQMTQISLKKFDPSKMQDCRIVCVIARRGSGKTTLIKDFMYHKRHLQAGIVVSGTEEGNKF</t>
  </si>
  <si>
    <t>YQSFVPDIFVYNEYHEGILQRVMDQQKALRKKDNQAPCFVCLDDCMYDKAQFKKKIVQQLFYNGRHYGIFCLISNQYAYD</t>
  </si>
  <si>
    <t>LSPALRSNIDYVCILKDNIRANRERLWKSFGGIFPTFEQFNCVMDRATNNYGCLVIDQTSHSNDISDVAFWYRANPNLNF</t>
  </si>
  <si>
    <t>KMGGSMMWKYHQSRYDSNY</t>
  </si>
  <si>
    <t>&gt;1109MEGAvirome_7-GSNCB_NODE_888_length_3874_cov_27.997618_3 [1700 - 2500]</t>
  </si>
  <si>
    <t>GHSIDMDSSGNLSIKRYDPMKCPEHAVITVIAKRRSGKSFLVRDWLYQHRKRFFAGIVMSGTEEGNHFYEDMGVPKSFIY</t>
  </si>
  <si>
    <t>NDFNESALSRLLDRQRKLTKQGKAQPVFVVMDDVAYDSKIFKLTSIRQLLLNGRHWKIQVYICLQYMLDVPPGIRANMDL</t>
  </si>
  <si>
    <t>IIVLKDNLHRDKLYKTFFQAVPSIAMFNSIMDACTADYKALVLDNASNSTDLSECVYWYKSKDRKPFRIGHKIFYDFNEK</t>
  </si>
  <si>
    <t>RAKTDNDDQESTSRSTAKKKKVIKLLK</t>
  </si>
  <si>
    <t>&gt;2310MEGAvirome_6-GSNCN_NODE_131_length_11082_cov_47.133521_1 [1 - 312]</t>
  </si>
  <si>
    <t>CKSIPPELRLNADYIFIMREPCIKERKKLHDEFGGIVPSFSAFSKIMDKCTDNYRCLVIDKTTSSNNIEDNVFFYKAHYP</t>
  </si>
  <si>
    <t>MKTFKAGCKELWDCHKKYYNSDNE</t>
  </si>
  <si>
    <t>&gt;2310MEGAvirome_8-GSNCO_NODE_1337_length_8165_cov_12.306196_10 [3005 - 2127] (REVERSE SENSE)</t>
  </si>
  <si>
    <t>LIFIVHMCTNYLYIYAYSLYMWSRAIKRHALSNEKNKICTKYKTPAKKNNPRTYCGNMKGKLNKSDTMTKKEKLLVKKLF</t>
  </si>
  <si>
    <t>VSFYRKLSGIDIAQDNGQFYLAEAMLGNSKTFHILKNTTGSYAHVYKRFMQYFYNVNGDSGQLTIFGKDIVPEATTIFTR</t>
  </si>
  <si>
    <t>YDSVTNEALDVILNQNHIQKKLVIIDCDPSTYKNLEKFKELIFNGRFHNVTLVMFSDNSLCFPPAIRANIDVIMTDLIST</t>
  </si>
  <si>
    <t>NILRKRFWQTYGSYVPDYETFSKLHVKYTKDKLDMMVISNSYSDKEKVTHYTF</t>
  </si>
  <si>
    <t>&gt;2310MEGAvirome_8-GSNCO_NODE_5041_length_2607_cov_3.393312_1 [948 - 1703]</t>
  </si>
  <si>
    <t>NYMIDIKPIKLKEYTSQQSKYEIAPSVPFRSVILGPSGSGKSILIQNLILNVYKDVFKRIYVFSPSFFVDATWRPVESYQ</t>
  </si>
  <si>
    <t>EETMNIKHSDKEKLYFDNYNSDDLENIINTQHKLIDYMKKNNYKKLFNILIVIDDFADDVQFCRHSKLLHSLFTRGRHNY</t>
  </si>
  <si>
    <t>ISTIVATQKFTAIHPIIRVNATELYVYRLRNNKDLETFLDEVSGSINKKTLLDIYRLATKDPYSFLFCNLVAKKVEDMFY</t>
  </si>
  <si>
    <t>QNFNHKIVISDI</t>
  </si>
  <si>
    <t>&gt;1704MEGAvirome_8-GSNCP_NODE_5189_length_4677_cov_3.177433_6 [1891 - 938] (REVERSE SENSE)</t>
  </si>
  <si>
    <t>VYMYREFYGLDQKPFSILPDPNYLYWGHSHSLAYSMLEYGVMNRAGFTVVTGEIGCGKTTLIRHLLDRLDEDFTVGLVSN</t>
  </si>
  <si>
    <t>IQDGDLLQWVLMAFGQTYEGKSHVGLHDELQQFLIREYAEGRRTILIVDEAQNLGPKLLEQLRLLSNINADNDQLLQLIL</t>
  </si>
  <si>
    <t>VGQPQLKGLLQAPELTQFAQRIASDFHLAPLTAEDIDAYIKHRLSIAGRDLPLFTMEACERLFEASRGIPRIINILADTC</t>
  </si>
  <si>
    <t>LVYGFARMAPEIDGGIVEEVIRDKQTHGIFDVAAPKGAEDTNRLPVQSKEEVEEEQPALVIHDKELAKLIAKKLGSLG</t>
  </si>
  <si>
    <t>&gt;1704MEGAvirome_8-GSNCP_NODE_666_length_18457_cov_9.504139_1 [2187 - 3035]</t>
  </si>
  <si>
    <t>LEMSIKQEVFLSSGEGGIIQNNYNHSNNYNIYEHNIINEPNISVVVGRTGGGMTTVVQNIVDKIVTINNGDIEVIILTSN</t>
  </si>
  <si>
    <t>PKIYPNVDQCYSLSDIDLAHNYIISNPQNKKILVIDDFFKGVLRDKHTELIINHACLNLHIVLFVQCFVNFTPLIKNNLT</t>
  </si>
  <si>
    <t>YLFINNSVASSDIKSMYDRYLAPKINYRTFEKIMTRLETNRELSLVIVNNGLSDKLRIFESNFTLNPIYKYRCPNLQKQN</t>
  </si>
  <si>
    <t>KEPIDKQSRKKNIIREINDIKSKINDLSNYMDNLISELDDLFD</t>
  </si>
  <si>
    <t>&gt;1704MEGAvirome_8-GSNCP_NODE_7610_length_3245_cov_1.876508_2 [1062 - 22] (REVERSE SENSE)</t>
  </si>
  <si>
    <t>FIKKLDLLLIKTMSDLTILPIKPLQEDNEIKFDPRFFDLNTGGCVLHVAPPKSGKSVLITNLILNPNFDLINKLDIVHIY</t>
  </si>
  <si>
    <t>SPTITAGDQSTRHLYEQMPGTIYKDYSDKHLQSILNQQLSFPKSQRPKIAIFFDDFITFPNLTKNSLVFKLATNYRHFNV</t>
  </si>
  <si>
    <t>KLIYLASQYYKAVPVSVRSCINYAIIGRNSNKKELDKMNEELGSVYDNQFLRLHKQATNDPYSFLYLRLYDNPSATAYKN</t>
  </si>
  <si>
    <t>FTTKIYTSKQNGQVDIDGDEFYDDDXXXXXXXXXXXXXXXXXXXXXXXXXXXXXXXLFNYLCFFFFFFFKLINTCLGSIF</t>
  </si>
  <si>
    <t>FFLSGTLSSSICFSSFFLLFITEYSSV</t>
  </si>
  <si>
    <t>&gt;1109MEGAvirome_6-GSNCC_NODE_140_length_14377_cov_6.267960_40 [12344 - 11472] (REVERSE SENSE)</t>
  </si>
  <si>
    <t>SRGASADIRQAEIRDNKMTMYARHVHTTPMVGTNAGTIAVKRFDPMTLPDHCTILVVAKRRSGKSVLVRDLLRRMRSKYY</t>
  </si>
  <si>
    <t>AAVVMSGTEISNHFYSEFVPNTFIYYHFDEAALERLIQNQRRMINKGQPKNVVVVLDDLGFDKKSFNRPVMRNLMMNGRH</t>
  </si>
  <si>
    <t>WRITLIMCLQYMLDISPSVRSQVDVFITLKENFFREKLYKTFFNFLPNLGTFNQIMDRTTENYGALILNNSSNSNDLSDI</t>
  </si>
  <si>
    <t>LFWYRASLPCKPFRLGDALFWKFDQKIGKNEDEDLELPRKKKTSSSVTLLK</t>
  </si>
  <si>
    <t>&gt;1109MEGAvirome_6-GSNCC_NODE_1544_length_2711_cov_33.738532_4 [1460 - 2230]</t>
  </si>
  <si>
    <t>DSSMDAATLNIKKYDPASAPEHMVVVTIAKRRSGKSFLIKDWLYHHRSRFFAGIVMSGTEEGNRFYEKEVGIPPSFIYND</t>
  </si>
  <si>
    <t>FDEQALQRLVDRQRAMTIDGTAKSVYVILDDLAFDRKVWSKPLIRQLLMNGRHWKISVYISLQYFLEVSPAFRANIDIIV</t>
  </si>
  <si>
    <t>LLKDNLHREKLYKTFFQMLPNFGTFNQIMDACTSDYKALILDNSSHSTKINDCIYWYKAKPRPPFKIGHSMFYEYHKKPR</t>
  </si>
  <si>
    <t>PTSKKKRSSTNRVALLK</t>
  </si>
  <si>
    <t>&gt;1109MEGAvirome_6-GSNCC_NODE_258_length_10536_cov_52.301791_37 [4759 - 3953] (REVERSE SENSE)</t>
  </si>
  <si>
    <t>HGSHRNMNAGTIAVKKFDPLSMPEHATILVVAKRRSGKSVLVRDLLRRMRSRYYAAMVMSGTEISNHFYSDFVPKTFIYY</t>
  </si>
  <si>
    <t>HLDEAALERLIQNQRRMINKGQPKNVVVVLDDLGFDKKSFNRPVMRNLMMNGRHWRITLIMCLQYMLDISPSVRSQVDVF</t>
  </si>
  <si>
    <t>ITLKENFFREKLYKTFFNFLPNLGTFNQIMDHCTENYGALILNNSSNSNDLQDILFWYRAQLSCKPFRLGDALFWKFDEK</t>
  </si>
  <si>
    <t>IGKDEDEDIRVCSSSRRKTGAVKPVKLLK</t>
  </si>
  <si>
    <t>&gt;1109MEGAvirome_6-GSNCC_NODE_262_length_10468_cov_20.500434_3 [1291 - 3768]</t>
  </si>
  <si>
    <t>VMSRAENFFKNIKENLFVDIPFNKYCLLPVFYKSRLLGYKREIFFEKRYLSMKPYTLGYYIRDYIKGSKVPETVEKQFKN</t>
  </si>
  <si>
    <t>ILGSTTDMICIPNDYKYNTKLDRLQVLNGILDRNQSCKFKKEDYNQELMFDIMFLAESIGISVEKKYITTTYSDMIEYYK</t>
  </si>
  <si>
    <t>NIPYRTSSSFDNLDDFSTDFINLQDDTEDNDETEYNNDNAIILLENLIDYGDRDNNENKKSKTTVLKKILFDKDYSDTSE</t>
  </si>
  <si>
    <t>ETQNYTLLNDFKICIGKNKSSNGIFYYRFTTEKVGIDKYYGFLLDGNHKFLLGNLIVTHNSGKCLKPGTGVMMSDGKIKT</t>
  </si>
  <si>
    <t>VETVEVGEKLMGDDGTPRTVLTTTSGKDTLYKITHNNGDNYTVNSEHVLSLKWNYEKILKDVSSINCFIVSWFDSCNLDM</t>
  </si>
  <si>
    <t>KTKLIRYTENNKLHKFILAKTFLKYVEQNIYVDVPVKTYLELPDYIKSNLVGYYANIIFPSKPLPEPNGDPKLVALNATP</t>
  </si>
  <si>
    <t>NNKPSLTYFINSQKIRRQLLDGFIANPYKNYFSREIRWLQRSLGYHTENCSFKIEKESECGEYYGFELDGNSRFVLENFV</t>
  </si>
  <si>
    <t>VTHNSWLVRDIFYHHRHIPTGVVFSGTEEASPFFGDFIPDCFIHSEYDPELIESIMNKQKKKIREAKMTGKSDTGKLPSN</t>
  </si>
  <si>
    <t>NVFIVLDDMLHDAQNWKKDKTIKNIFFNGRHFNFLFILTMQYPLGITPELRSNIDYVFIFNEPSVKNRKKIYDDYAGMIP</t>
  </si>
  <si>
    <t>SFDHFCNILDACTQNHECLVIKTSGNSTDLRDQIFWYKAESHNNFRVGHPKLWNFHKNNYNENYEEDAENIQEEIDRLKR</t>
  </si>
  <si>
    <t>KFAKTKKLKVIVSRQGDIVDYKQESE</t>
  </si>
  <si>
    <t>&gt;1109MEGAvirome_6-GSNCC_NODE_290_length_9990_cov_14.844063_9 [5038 - 4322] (REVERSE SENSE)</t>
  </si>
  <si>
    <t>TTLIKDFMYHKRHLQAGIVVSGTEEGNKFYQSFVPDIFVYNEYHEGILQRVMDQQKALRKKDNHAPCFVCLDDCMYDKAQ</t>
  </si>
  <si>
    <t>FKKKIVQQLFYNGRHYGIFCLISNQYAYDLSPALRSNIDYVCILKDNIRANRERLWKSFGGIFPTFEQFNCVMDRATNNY</t>
  </si>
  <si>
    <t>GCLVIDQTSHSNDISDVAFWYRANPNLNFKMGGSMMWKYHQSRYDSNYDENEANTKKETPKHKVSLQSKRSSTKNRKSN</t>
  </si>
  <si>
    <t>&gt;1109MEGAvirome_6-GSNCC_NODE_584_length_6153_cov_47.803731_13 [5715 - 4933] (REVERSE SENSE)</t>
  </si>
  <si>
    <t>ATMNAGTIAVKKFDPMTMPEHSTILVVAKRRSGKSVLVRDLLRRMRSRYYAGIIMSGTEISNHFYSEFVPKTFIYYHFDE</t>
  </si>
  <si>
    <t>AALERLIQNQRRMINKGQPKNVVVVLDDLGFDKKSFNRPVMRNLMMNGRHWRITLIMCLQYMLDISPSVRSQVDVFITLK</t>
  </si>
  <si>
    <t>ENFFREKLYKTFFNFLPNLATFNQIMDRCTENYGALILNNSSNSNDLSDILFWYRAQLPCKPFKLGDALFWKFDEKIGKN</t>
  </si>
  <si>
    <t>EDEDEIQPKKRKNASTVKLVK</t>
  </si>
  <si>
    <t>&gt;1109MEGAvirome_6-GSNCC_NODE_8_length_45306_cov_43.674416_82 [23626 - 22805] (REVERSE SENSE)</t>
  </si>
  <si>
    <t>SGRVLHKKAIGRMSTLSLKKFDISKTDDRRVFLIVGKRNTGKSILTADFLYHKRHIPMGVLMSSTEEATGFFQKVCGIPD</t>
  </si>
  <si>
    <t>TYIFSNWEPDIIDNIIAKQKKLAKSNKLRNCFIVLDDLAFNKSLFQSKQMRELIFNGRHYGILLIITAQYLMDLPTYFRS</t>
  </si>
  <si>
    <t>NVDYVITCRTPGVQDRERLWKNFFGAIPTFSMFQSIMQSTTEDYHCLVVDNTVQSNSLEDCIFWYKAPFRTATEKNFKIG</t>
  </si>
  <si>
    <t>CPAYHRYASTHAKKDEDDDTSMTKKPSIRVKKLH</t>
  </si>
  <si>
    <t>&gt;2310MEGAvirome_7-GSNCS_NODE_94_length_4048_cov_53.514040_2 [1582 - 3405]</t>
  </si>
  <si>
    <t>ISMRKKNPIRDLPHYLRVFQTYLGGRMYLIFALSFVAGMAEGVGVLMLLPLLQTLGASSGSEDAPAELGGISGFLNEILA</t>
  </si>
  <si>
    <t>RLGLQDATEAVLLIITAAFVFKGILTFGAMSFSAYLRGQLLKELKGRLFDAYSRMSYGYYASRDTGHFINVINEQTTRAL</t>
  </si>
  <si>
    <t>QSFNQLTLFATQGINALLYLGLAFIVAWRFGIMAFVVGVVLLAMFRTLSGYVRALSRNTATENGNLARLLIQTLQAFKYL</t>
  </si>
  <si>
    <t>TATGQTLGLKQTINGSISRLTDYQMRTGVAQGFTQAVREPLAVVFIMGIVLVQLVFLQQPLAPILVSILLFYRGLNSVLG</t>
  </si>
  <si>
    <t>MQSQWQSTLEFIGSMEIVNQEFTDQLRFTEPNGSVAISPIHKGVLMENINFSYDEHLGNVVRGVSLEIPVRTSVALVGES</t>
  </si>
  <si>
    <t>GSGKSTIADLLTLMLKPQTGQLLIDGIPGDQIELSSWRKQIGYVSQDTIIFNDTIANNISLWIGDVEDGGSLDERICEAA</t>
  </si>
  <si>
    <t>KQAHIAHFIETLPDGYDTLVGDRGVRLSGGQRQRLFIARELFRKPNLLILDEATSALDSESERAIQESIDELKGKVTVVI</t>
  </si>
  <si>
    <t>IAHRLSTIRNVDWVYVFNQGELVEQGEYAELRDADGSKFGKLVSMQTL</t>
  </si>
  <si>
    <t>&gt;1109MEGAvirome_8-GSNCH_NODE_1055_length_17564_cov_18.351537_9 [6775 - 7584]</t>
  </si>
  <si>
    <t>FFFRKYFRPRILRMQISLKKFDPSTIEDTRIVTIIAKRGTGKSFLVRDLLYHKRHISKGIAVSATEESNSFYGEFIPDLF</t>
  </si>
  <si>
    <t>IYNEFKLEILERLMDRQKILKKKGHKNEKAFLVLDDCMYNKAQWKQKKVVELFYNGRHYNIFTVLTNQWAYDLLPNLRSN</t>
  </si>
  <si>
    <t>IDIIFIGKDVVRQNRERLWKSFGGIFPTFNEFCVTLDTVTENYGWLVIDQTKNSNNLEDCAFWYRARERKFKMGGSEMWR</t>
  </si>
  <si>
    <t>FHQLKYDKDYDDPTKKKERTKPPSKVAMVK</t>
  </si>
  <si>
    <t>&gt;1109MEGAvirome_8-GSNCH_NODE_3430_length_6985_cov_3.660087_4 [3983 - 4795]</t>
  </si>
  <si>
    <t>FSILGNMGTLSLRKFDMAGTGDKRVFLIVGKRNSGKGQLTADVLFHKRHIPMGILMSSTEEATGFFQQTCGIPDTYIFGE</t>
  </si>
  <si>
    <t>WRPDVIDTIIAKQKKLAKQGKMREIFIVLDDLAFNKQLFLSKQMRELIFNGRHYSILLVITAQYLMDLPTYFRSNCDYVI</t>
  </si>
  <si>
    <t>TTRTPGVQDRERLWKNFFGVIPTFAAFQQVMTSTTEDYHCLVLDNTVQSNELEDNIFWYKAPLRGPNLKNFRVGCPAYHK</t>
  </si>
  <si>
    <t>FAVTRRKKDDDDDESGPSTSTKPKLKVKKIA</t>
  </si>
  <si>
    <t>&gt;1109MEGAvirome_5-GSNCG_NODE_2854_length_2613_cov_9.037297_3 [1549 - 2] (REVERSE SENSE)</t>
  </si>
  <si>
    <t>PMDEIEAIVERITFENAETGFVVAKLDFEGKIVAATGKLIGIAIGESIRAKGTWSSHPKHGKQFEVTSFEPALPAKSTAI</t>
  </si>
  <si>
    <t>EKYLASGLIKGIGKVYAGKIVAAFGEQALEIIEKSPSKLRRIGGIGPCRLKAIEQSWAEHRGLREVMVFLSSHNISPAYA</t>
  </si>
  <si>
    <t>HKIIRRYREKAVEILEENPYRLASEVAGIGFAKADAIARELGLGKDHPGRLAAGLLFCLDQAQSRGDTCAPKQELLESAS</t>
  </si>
  <si>
    <t>RLLDIEDLEPALSELVKSGKLIESEERIWADRLFQAEMGIADQIQRLRSSPCHLREFSAQKALSWLEENIPFSLAKEQKE</t>
  </si>
  <si>
    <t>ALVSAFTQKLLIITGGPGTGKSTIIEGILKVFSKLTKKIVLAAPTGKAAKRMAQVTRHHAQTIHGLLEFDFKGGGFKKNR</t>
  </si>
  <si>
    <t>SSPLTCDLMIVDEASMIDTGLMQSLLAALPSHAKLVLVGDTDQLPSVGPGNVLGDLIAAGVAPTVKLERIFRQAFRSRIV</t>
  </si>
  <si>
    <t>TSAHQVNKGQFPKLESKPEDDFFFIERSEPADITAE</t>
  </si>
  <si>
    <t>&gt;1109MEGAvirome_5-GSNCG_NODE_334_length_17186_cov_26.707799_19 [2960 - 2247] (REVERSE SENSE)</t>
  </si>
  <si>
    <t>GEKMIELKHIDAGYGKLPVLKDVTMTMKPNELVAIIGPNGAGKSTVIKSIYNIADVTGGKVFYNNQDISGIKTHELVQLG</t>
  </si>
  <si>
    <t>IGYVPQGKIVFQNLSVQENLEIGCHFINDKRLVKSRIKRVYKKFPILYEKRKHSADKLSGGQRQMLAIGRALMQDPKVLL</t>
  </si>
  <si>
    <t>MDEPTLGLSPLLQQELFQIISDLKNDGMCIIVVEQNAKLAIESADKTYLLETGEIILSGGKEILKDKKIKEVYLGGGN</t>
  </si>
  <si>
    <t>&gt;1109MEGAvirome_5-GSNCG_NODE_343_length_16951_cov_24.664689_24 [1844 - 984] (REVERSE SENSE)</t>
  </si>
  <si>
    <t>LKMDIREWSMDQIKLREKHCPRIVFIGKTDTGKTTLVKDFLYHNQDIPFVTVISTTERFNRNYTGIVPDMFIHNYNKDII</t>
  </si>
  <si>
    <t>KKYIERQEFITEKCESNPEYAEEDPRSILIFDDCLHKIRNWAYDEDIQSLFFVGRQINCCVVLTMQHPMGITPDLRTNVD</t>
  </si>
  <si>
    <t>YVFLGYESLHTNKKKLFDHYAGVFDDYGLFCAALDSCTENYGWLVIDHKVRSHKLEDKVFWYRAPEKPKKFRLCDDHFWE</t>
  </si>
  <si>
    <t>TPIKEQIVARDEHYITRRRDYHIRRLASREKEEKDVKEYNPTIPKRY</t>
  </si>
  <si>
    <t>&gt;1109MEGAvirome_5-GSNCG_NODE_355_length_16558_cov_19.337727_19 [5925 - 5092] (REVERSE SENSE)</t>
  </si>
  <si>
    <t>VMTLELNKFKMSDIVFSPDENKGPVIVLIGRRDTGKSFLVKDLLYYHQDIPVGAVISGTEAGNGFYGTIVPKIFIHEEYN</t>
  </si>
  <si>
    <t>TAIIENILKRQRSALKQIKKEEKYYGKRKTDPRTFVILDDCLYDNSWSRDKMMRLLFMNGRHWKIMLVITMQFPLGVPPN</t>
  </si>
  <si>
    <t>LRTNIDYVFILREPYLSNRKRIWENYAGMFPTLESFCQVMDQCTENFECLVINNNSKSNKLKDQIFWYKANSHSNFRLGS</t>
  </si>
  <si>
    <t>NEYWEISKQLASDDEDEEYDVNQSRRKNVTKINIKKKY</t>
  </si>
  <si>
    <t>&gt;1109MEGAvirome_5-GSNCG_NODE_451_length_14403_cov_20.830305_23 [11096 - 12091]</t>
  </si>
  <si>
    <t>MVSRMQNMSTTMEFKKFDPDVLRDKAWNASVIVGRRARGSTTLLKQLCAESKADVVLGFSAIGSAGDYGLPEAMLYNTLN</t>
  </si>
  <si>
    <t>WEAVECLMDIQSQCIKKGLRETSALVFFEEMEYTRDFYKNETFRRLMMNGRCLRISVIVTTQYLLDIPPPVRGNVDNWFL</t>
  </si>
  <si>
    <t>AGDNIVSNRQRLWKKAAGQFRTFKAFEAVFDGLTQDYGFLVSLQNVNSEKLVDTVRWFRADRAFVDRMPVRLCSPAFWKL</t>
  </si>
  <si>
    <t>TDELANKPAANGPRMDIAPPPGQLYEDLFPPPLSFPQPNPEAIFRIPPHASYPFYPPPPIGSNQATPAPPPPPAPIGQVK</t>
  </si>
  <si>
    <t>DPSSPCFNATTR</t>
  </si>
  <si>
    <t>&gt;1109MEGAvirome_5-GSNCG_NODE_451_length_14403_cov_20.830305_25 [11848 - 13161]</t>
  </si>
  <si>
    <t>WTAHGHCSTSRTVVRGLVSAPAELSAAEPGGHLPNSTSRLVPVLPAASYREQPSNTCAAAASRSNWPGEGSIVSLLQCND</t>
  </si>
  <si>
    <t>TLTFTVLFCHFFVCQMSKNMPKKHYGESETHLEFQKLKLTEIYPYSLIFLIGKRNTGKTVLIRDLCYNFYLHKLQEGESI</t>
  </si>
  <si>
    <t>DFALCFSPTEDTQGAFASFIPYCNIYPQYREDVVLQLMETQRALLKKNGHTKNCLIIIDDCAYDKKLFKSETMRLLCMNG</t>
  </si>
  <si>
    <t>RHLKIMLLLSVQYCMDIPTAVRGNIDLTLALRDNTYANKEKYYKNFFGQFKNLHQFIEAFDTLTNNYGAIVSINNSHSTN</t>
  </si>
  <si>
    <t>LEETIFWYRADPDSLPKKFRLGKPIFWQLSDICYKEEDDGAAKRPPVVMLEPARSEVARSEVVPSSRQQQEPHPFPQESS</t>
  </si>
  <si>
    <t>VSRRSTTRAGRPGTPARRDSSTMIRQNQPTLPGHIVIE</t>
  </si>
  <si>
    <t>&gt;1109MEGAvirome_5-GSNCG_NODE_46_length_37909_cov_49.927408_36 [9484 - 8642] (REVERSE SENSE)</t>
  </si>
  <si>
    <t>MAGMNLELKKFDMKNISFNPNENKGPVVVLIGRRDTGKSFLVRDLLYYHQDIPVGTVISGTEAGNGFFGSHVPKLFIHDE</t>
  </si>
  <si>
    <t>YNTAIIENILKRQKMVLKQVKKEKEAYGRSNIDPRAFVILDDCLYDNTWARDKVMRLLFMNGRHWKIMLVITMQYPLGVP</t>
  </si>
  <si>
    <t>PNLRTNIDYVFILREPYIANRKRIYENYAGMFPTFESFCQVMDQCTENYECLVINNNSKSNKLDEQIFWYKASSHGPFKL</t>
  </si>
  <si>
    <t>GAKEFWEMSKDLGSDDEEEVYDPNAVRKRGGPKINVKKSKW</t>
  </si>
  <si>
    <t>&gt;1109MEGAvirome_5-GSNCG_NODE_903_length_9314_cov_9.906823_1 [1718 - 2578]</t>
  </si>
  <si>
    <t>NIVDIMSAELELNKFDMKRISFKPNENKGPVVVLIGRRDTGKSYLVRDLLYYHQDIPIGTVISGTEAGNGFYGTHVPKLF</t>
  </si>
  <si>
    <t>IHDEYNTAIIENILKRQKTVLKQVKKEYENYKRSSIDPRAFVILDDCLYDATWTRDKMMRLLFMNGRHWKVMLIITMQYP</t>
  </si>
  <si>
    <t>LGIPPNLRTNIDYVFILREPYIANRKRIWENYAGMFPTFESFAQIMDQCTENYECLVIDNNAKSNRLQDQVFWYKAEPHG</t>
  </si>
  <si>
    <t>HFRLGSKEFWELSKDLESDDDEIEPYNPNNARKRSGPKINVKKKSKW</t>
  </si>
  <si>
    <t>&gt;1109MEGAvirome_5-GSNCG_NODE_9_length_63581_cov_34.903128_162 [34852 - 33749] (REVERSE SENSE)</t>
  </si>
  <si>
    <t>NYFFSHTKTMSRILIGRTQLSFGSVTDGVRMVIIGPSESGKTVTIRNILYRNRERWRLGIAFTDSDNTEKDYHTVFHPYM</t>
  </si>
  <si>
    <t>VRKFVQELPASKVREMKEAAAERDQKLPKGSHLYGVNSLTKLHKSLNAAQYVSDKESFPRSVIILDDVGDKKNTLRLPCI</t>
  </si>
  <si>
    <t>SDIFEKGRHHNTDVILVAQSHDDVPKKAFQNATIKVFCRGADSAYRDFMYQQMRGALPDFIMRKRNVKQEFSDLINTWWD</t>
  </si>
  <si>
    <t>KNPYKPIVWKADKPTRFYCFDPELGIPEFQILAADLVPEADRRYRIAEARRQKEAHEHINRLLGSARGGGGGRQHMDAER</t>
  </si>
  <si>
    <t>EKRGGGFVLVDSTFEERLPSTSTSRIPPEFQDDIDEEDEGEVEDDDDF</t>
  </si>
  <si>
    <t>K-----------------------------------------------------------</t>
  </si>
  <si>
    <t>------------------------------------------------------------</t>
  </si>
  <si>
    <t>GGIIQN---------------------------------------------------NYN</t>
  </si>
  <si>
    <t>HSNNYNI------------------------------YEHNIIN----------------</t>
  </si>
  <si>
    <t>------------------------------------------------EPNISVV-----</t>
  </si>
  <si>
    <t>---------------------------------------------VGRTG----------</t>
  </si>
  <si>
    <t>QNIVDKI---VTIN-N-G----DIEVIILTSNPKIYPN----------------------</t>
  </si>
  <si>
    <t>--------VDQ-----------------------------CYSL------SDI-------</t>
  </si>
  <si>
    <t>--------DL--AHNYIISNP---------------------------------------</t>
  </si>
  <si>
    <t>NLHIV-LFVQCFVNF-TPL-I-KNNL-TYLFINNSVASSDIKSMYD-RYLA-PKIN----</t>
  </si>
  <si>
    <t>-YRTFEKIMTRLET----------------------------------------------</t>
  </si>
  <si>
    <t>----------------------------NREL-----SLVIV---------NNGL-----</t>
  </si>
  <si>
    <t>------------------SDKLRIFESNFTLN--------PIYKY---------------</t>
  </si>
  <si>
    <t>-----RCPNLQ-KQNKEP--------I-----------DKQS------------------</t>
  </si>
  <si>
    <t>-----------RKKNIIR-EI----------------NDIKSKIN---------------</t>
  </si>
  <si>
    <t>-----------DLSNYMD------------------------------------------</t>
  </si>
  <si>
    <t>--------------NLIS------------------------------------------</t>
  </si>
  <si>
    <t>------------------------ELDDLFD-----------------------------</t>
  </si>
  <si>
    <t>-------</t>
  </si>
  <si>
    <t>R-----------------------------------------------------------</t>
  </si>
  <si>
    <t>GGIIQNNYNH-----------------------------------------SNYNHSNYN</t>
  </si>
  <si>
    <t>HSNNYNI------------------------------YEHNIVN----------------</t>
  </si>
  <si>
    <t>---------------------------------------------VGRNG----------</t>
  </si>
  <si>
    <t>RNVIDKI---VTIN-N-G----DIEVIILTSSPKNYPN----------------------</t>
  </si>
  <si>
    <t>--------VDR-----------------------------CYLL------SDI-------</t>
  </si>
  <si>
    <t>NLHIV-LFVQCFLHI-TSL-I-KNNL-TYLFINNSIGSSDIKSMYD-RYLA-PKIN----</t>
  </si>
  <si>
    <t>-YRIFEKSMAGLET----------------------------------------------</t>
  </si>
  <si>
    <t>------------------SDKLRIFESNLTLN--------PIYKY---------------</t>
  </si>
  <si>
    <t>-----RCPNLQ-KQNEEP--------V-----------DKQS------------------</t>
  </si>
  <si>
    <t>-----------DLSNRMD------------------------------------------</t>
  </si>
  <si>
    <t>--------------DLIS------------------------------------------</t>
  </si>
  <si>
    <t>V-----------------------------------------------------------</t>
  </si>
  <si>
    <t>RTCVEE---------------------------------------------------YQL</t>
  </si>
  <si>
    <t>EKISIKP------------------------------LTHNIIN----------------</t>
  </si>
  <si>
    <t>--------------------------------------------------NIIAI-----</t>
  </si>
  <si>
    <t>---------------------------------------------VGRRG----------</t>
  </si>
  <si>
    <t>NGLINDI---LVKNFD-I----EFEILIVS--SSNYNMEL--------Y-----------</t>
  </si>
  <si>
    <t>--------KDA-----------------------------IHTP------RYL-------</t>
  </si>
  <si>
    <t>--------NH--IIKYCQDNPL--------------------------------------</t>
  </si>
  <si>
    <t>NTTLI-ITTQILKNF-IQN-M-RSNT-DYFLFAKTDSKSDIKSVYD-SFMS-LSID----</t>
  </si>
  <si>
    <t>-YHNFENIYNITTN----------------------------------------------</t>
  </si>
  <si>
    <t>----------------------------NFN-------FFGI---------NTLSKY---</t>
  </si>
  <si>
    <t>------------------PNNLISYKSNLDNN--------NNKNY---------------</t>
  </si>
  <si>
    <t>-----KCIDVS-KLSPI---------------------DNIK------------------</t>
  </si>
  <si>
    <t>-----------EKKRIIR-EI----------------NHIKSTLS---------------</t>
  </si>
  <si>
    <t>-----------DLMIKLD------------------------------------------</t>
  </si>
  <si>
    <t>--------------DLVI------------------------------------------</t>
  </si>
  <si>
    <t>------------------------DLDQICGD----------------------------</t>
  </si>
  <si>
    <t>RTCVEE---------------------------------------------------YQP</t>
  </si>
  <si>
    <t>EKISIEP------------------------------LTNNIIN----------------</t>
  </si>
  <si>
    <t>--------------------------------------------------NIVAI-----</t>
  </si>
  <si>
    <t>---------------------------------------------IGKRG----------</t>
  </si>
  <si>
    <t>NSLINDV---LVKNSD-I----EFEILIVS--PNPYNMEL--------Y-----------</t>
  </si>
  <si>
    <t>--------KDA-----------------------------VHTP------KYL-------</t>
  </si>
  <si>
    <t>--------NR--IIKYCQDNPL--------------------------------------</t>
  </si>
  <si>
    <t>NTTLI-ITSQILKNF-TQN-M-RSNT-DYFLFAKPDSKSDMKSIYD-SFMS-LGMN----</t>
  </si>
  <si>
    <t>-YRNFENIFDTTTN----------------------------------------------</t>
  </si>
  <si>
    <t>----------------------------NFN-------FFGL---------STSLKY---</t>
  </si>
  <si>
    <t>------------------PNNLTSYKSNLDNN--------NNKNY---------------</t>
  </si>
  <si>
    <t>-----KCIDVS-KLPQI---------------------DNIG------------------</t>
  </si>
  <si>
    <t>-----------DLIIKLD------------------------------------------</t>
  </si>
  <si>
    <t>--------------DLII------------------------------------------</t>
  </si>
  <si>
    <t>------------------------DLDEICGD----------------------------</t>
  </si>
  <si>
    <t>ENSLTKP------------------------------LTNDIIN----------------</t>
  </si>
  <si>
    <t>--------------------------------------------------KVIAV-----</t>
  </si>
  <si>
    <t>NSLTNDI---LVKHSD-I----EFEILIVS--KSSYNMEL--------Y-----------</t>
  </si>
  <si>
    <t>--------KDA-----------------------------IHAP------EYL-------</t>
  </si>
  <si>
    <t>--------NR--VIRYCQDNSL--------------------------------------</t>
  </si>
  <si>
    <t>NTTLI-MTSQILKNF-TSD-I-RSNI-DYFLFSKMPFKSDIKSIYD-TFLG-LEID----</t>
  </si>
  <si>
    <t>-YRNFEKIFNNTTN----------------------------------------------</t>
  </si>
  <si>
    <t>----------------------------NFS-------MFGI---------NALEKY---</t>
  </si>
  <si>
    <t>------------------PNNLTFYKANLDNV--------NNKNY---------------</t>
  </si>
  <si>
    <t>G-----------------------------------------------------------</t>
  </si>
  <si>
    <t>GNC---------------------------------------------------------</t>
  </si>
  <si>
    <t>---LIKQ------------------------------FNENLVN----------------</t>
  </si>
  <si>
    <t>--------------------------------------------------KLIGV-----</t>
  </si>
  <si>
    <t>---------------------------------------------IGPKG----------</t>
  </si>
  <si>
    <t>KNLINDL---LCKNNN-I----IFEIIIVSCKEKNSDYDY--------L-----------</t>
  </si>
  <si>
    <t>--------EGK-----------------------------KYLT------SQI-------</t>
  </si>
  <si>
    <t>--------SD--VCKYALNEKF--------------------------------------</t>
  </si>
  <si>
    <t>NSTII-ISNQVIT---KPY-M-INNL-NYAFFTKTLTKSSIKSVYD-RYVD-NFMD----</t>
  </si>
  <si>
    <t>-YKTFERIFMICTE----------------------------------------------</t>
  </si>
  <si>
    <t>----------------------------NYN-------LLAI---------NNFESL---</t>
  </si>
  <si>
    <t>----------------NNSNKISFYKSRLQIT--------TNNNY---------------</t>
  </si>
  <si>
    <t>-----ILPDIY-ELMPEL--------I-N-------SGDIKT------------------</t>
  </si>
  <si>
    <t>-----------VKKKLIK-QI----------------NEIKKIII---------------</t>
  </si>
  <si>
    <t>-----------QQSNKLD------------------------------------------</t>
  </si>
  <si>
    <t>--------------ELCL------------------------------------------</t>
  </si>
  <si>
    <t>------------------------ELDNLLGD----------------------------</t>
  </si>
  <si>
    <t>----LKQ------------------------------FNKNLVD----------------</t>
  </si>
  <si>
    <t>--------------------------------------------------KFIGV-----</t>
  </si>
  <si>
    <t>---------------------------------------------IGPAH----------</t>
  </si>
  <si>
    <t>KNLVDNI---LTFNIN-S----QFEIIIVSRKKKDTDYNY--------L-----------</t>
  </si>
  <si>
    <t>--------VGK-----------------------------IYNT------SQI-------</t>
  </si>
  <si>
    <t>--------DD--VCSYALNEQF--------------------------------------</t>
  </si>
  <si>
    <t>NLTII-LSSQVITSI-KPY-I-KDNL-DYVFFTVTPLKSSIKSIFD-RFYL-CALE----</t>
  </si>
  <si>
    <t>-YKYFEQMFIDYTK----------------------------------------------</t>
  </si>
  <si>
    <t>DLD-------------NLYDKISVYESKFEVS--------TSKNY---------------</t>
  </si>
  <si>
    <t>-----ILPDIY-QLMPEL--------V-N-------SGDIKI------------------</t>
  </si>
  <si>
    <t>-----------AKKKLIA-QI----------------NEIKKNIL---------------</t>
  </si>
  <si>
    <t>-----------EQSDKLD------------------------------------------</t>
  </si>
  <si>
    <t>--------------KICI------------------------------------------</t>
  </si>
  <si>
    <t>SKC---------------------------------------------------------</t>
  </si>
  <si>
    <t>--YLINE------------------------------FKGNLVN----------------</t>
  </si>
  <si>
    <t>--------------------------------------------------KLIGI-----</t>
  </si>
  <si>
    <t>KNFIDDI---LTDNKD-T----NFEIIIVSCKPKDTDYDY--------L-----------</t>
  </si>
  <si>
    <t>--------GGK-----------------------------IYNT------SQI-------</t>
  </si>
  <si>
    <t>--------SD--VCKYALNEQF--------------------------------------</t>
  </si>
  <si>
    <t>NSTII-LSSQTIINF-KPY-M-RDNL-TYAFFTNTPVKSSIKSIYD-RFYL-CDID----</t>
  </si>
  <si>
    <t>-YKFFEKIFTTCTE----------------------------------------------</t>
  </si>
  <si>
    <t>SS--------------DNPNVFSYYEPILEIT--------AKNNY---------------</t>
  </si>
  <si>
    <t>-----TIPNIY-ELMPDL--------V-D-------PKNKIQ------------------</t>
  </si>
  <si>
    <t>-----------YKKKLIH-QI----------------NEIKKNLI---------------</t>
  </si>
  <si>
    <t>-----------EQTEKMN------------------------------------------</t>
  </si>
  <si>
    <t>MSFTIRP------------------------------FKPESR-----------------</t>
  </si>
  <si>
    <t>-----------------------------------------------RSGSVNFI-----</t>
  </si>
  <si>
    <t>---------------------------------------------VGPRC----------</t>
  </si>
  <si>
    <t>RGLVDAK-------Q--Y----AEKLVISQTAPTREILGE--------F-----------</t>
  </si>
  <si>
    <t>--------LGG----------------------------QECTI------DSY-------</t>
  </si>
  <si>
    <t>--------DEE-AVRRVM------------------------------------------</t>
  </si>
  <si>
    <t>DLDVY-ITGQSVLVL-SSI-T-RANV-DYVFALGTAFRDCRKALHR-TYFG-HLGT----</t>
  </si>
  <si>
    <t>-FKIFEQAFDACTSG---------------------------------------------</t>
  </si>
  <si>
    <t>--------------------------RTDRG-------AMVL---------DIHAAHMG-</t>
  </si>
  <si>
    <t>----------------R-------------------------------------------</t>
  </si>
  <si>
    <t>-----GRKS---------------------------------------------------</t>
  </si>
  <si>
    <t>-VFCL------------------------TFG--IEKA----------------------</t>
  </si>
  <si>
    <t>T-----------------------------------------------------------</t>
  </si>
  <si>
    <t>STIIASR----------G------------------------------------------</t>
  </si>
  <si>
    <t>-----------------TQLVPEWT-----------------------------------</t>
  </si>
  <si>
    <t>------------------------------------------RRDERPAGSRHII-----</t>
  </si>
  <si>
    <t>---------------------------------------------CGRRQ----------</t>
  </si>
  <si>
    <t>NDLLRVKAC--------Y----NETLVFDPSPVERERLPA--------F-----------</t>
  </si>
  <si>
    <t>--------ISA-----------------------------EYIH------ESY-------</t>
  </si>
  <si>
    <t>--------DDS-KVRELMEHAAEA------------------------------------</t>
  </si>
  <si>
    <t>---------------------------LKNG-----------------------------</t>
  </si>
  <si>
    <t>NIDVY-LVVDHLSGV-LPS-I-RSNA-DYVFLMPTNSRDERQRYHR-VFFG-NIGCL---</t>
  </si>
  <si>
    <t>-YKTLDGAFDANAR----------------------------------------------</t>
  </si>
  <si>
    <t>----------------------------DYG-------AVVY---------DARTSS---</t>
  </si>
  <si>
    <t>GGRASGKKMLL---------------M-S---LLDVKEDDISAVVA-----LW-------</t>
  </si>
  <si>
    <t>-----------SDRDALE-GYGVAPSRI----TDGYDDEQTRAILDDA------------</t>
  </si>
  <si>
    <t>----IDAKRNGRNERRSVVFV---DCF-----HGDANEMKKHAALL---ELC----C---</t>
  </si>
  <si>
    <t>-----TSHHCGVDVYIVVQDLRSVSPRIRSNADYVFLLRGHHREALRLAHR---------</t>
  </si>
  <si>
    <t>---------------------DYFDRDGSTFERFVEMVEVR-------------------</t>
  </si>
  <si>
    <t>-----------------TRDHG-VVVFDRSASRTLRF-----------------------</t>
  </si>
  <si>
    <t>-------------------------------------------------------M----</t>
  </si>
  <si>
    <t>---------SKDVGF---------------------------------------------</t>
  </si>
  <si>
    <t>SRLRFKK------------------------------FDLNEM-----------------</t>
  </si>
  <si>
    <t>-----------------------------------------------CEHATIAL-----</t>
  </si>
  <si>
    <t>---------------------------------------------IAKRA----------</t>
  </si>
  <si>
    <t>KEIMKKN-------AS-I----PSSVVICKTEKLNRSYGK--------N-----------</t>
  </si>
  <si>
    <t>--------IPD-----------------------------SYIY------YDF-------</t>
  </si>
  <si>
    <t>--------DAD-ILDRIFSRQKRL------------------------------------</t>
  </si>
  <si>
    <t>---------------------------IADNEKRQA------------------------</t>
  </si>
  <si>
    <t>K-KKTL-------KDDRVMLIMDDCMSDK-KWV-----------KDPTVLELFFNG-RHY</t>
  </si>
  <si>
    <t>HISFI-LTMQYSKGI-PPG-M-RSNL-DYIFLLAEDFYSRRKSLYE-DYAG-MFPS----</t>
  </si>
  <si>
    <t>-FDVFQQVFTELTD----------------------------------------------</t>
  </si>
  <si>
    <t>----------------------------NYG-------CMVI---------NNRVHS-K-</t>
  </si>
  <si>
    <t>----------------NIEDKVFWYKANV------------EDDF-----HM--------</t>
  </si>
  <si>
    <t>-----GGKHYN-KFHDKF--------Y-D-------PKWDKK------------------</t>
  </si>
  <si>
    <t>-------------IPLF---------------------NFNKS-----------------</t>
  </si>
  <si>
    <t>------------KTRK--------------------NKL---------------------</t>
  </si>
  <si>
    <t>--------------NLIV------------------------EK----------------</t>
  </si>
  <si>
    <t>--------EK--------------------------------------------------</t>
  </si>
  <si>
    <t>--------MSKSFMAH--------------------------------------------</t>
  </si>
  <si>
    <t>AVLQLEE------------------------------FFLETM-----------------</t>
  </si>
  <si>
    <t>-----------------------------------------------EPHPRIAL-----</t>
  </si>
  <si>
    <t>---------------------------------------------IGKSG----------</t>
  </si>
  <si>
    <t>RDIMYHL-------RD-I----AAGAVIAPTDVLNEFYND--------F-----------</t>
  </si>
  <si>
    <t>--------FPI-----------------------------SYIH------HEY-------</t>
  </si>
  <si>
    <t>--------KDN-IIPSVLIRQRKI------------------------------------</t>
  </si>
  <si>
    <t>---------------------------LDKNKKRKK------------------------</t>
  </si>
  <si>
    <t>H-GRKL-------LDPRAFFIMDDCMSSKHLWL-----------KDPKMLSIFNEG-RHY</t>
  </si>
  <si>
    <t>KLTFM-LAMQYSLGI-QPE-L-RSNF-DYIFLLGEDFTNNKKKLYD-HYAG-MFKT----</t>
  </si>
  <si>
    <t>-YDSFEQVFEQVTE----------------------------------------------</t>
  </si>
  <si>
    <t>----------------------------NFG-------VMVI---------NNRIRT-T-</t>
  </si>
  <si>
    <t>----------------DLTKKVFWFKAKP------------RAKF-----RI--------</t>
  </si>
  <si>
    <t>-----GSKNFN-DFHVKY--------F-D-------KKYDKK------------------</t>
  </si>
  <si>
    <t>-------------VPQY---------------------DPGNF-----------------</t>
  </si>
  <si>
    <t>-------------SKR--------------------NTK---------------------</t>
  </si>
  <si>
    <t>--------------PILV------------------------KK----------------</t>
  </si>
  <si>
    <t>---------------------------------------------H--------------</t>
  </si>
  <si>
    <t>NKFTFFE------------------------------FRLEKM-----------------</t>
  </si>
  <si>
    <t>-----------------------------------------------VIDPSIVM-----</t>
  </si>
  <si>
    <t>---------------------------------------------IAKRG----------</t>
  </si>
  <si>
    <t>RDIIYHY-------RH-I----PGGVVIAPTDKMNSFYKY--------F-----------</t>
  </si>
  <si>
    <t>--------FPD-----------------------------LYIH------YDI-------</t>
  </si>
  <si>
    <t>--------KET-ILTKILERQRKM------------------------------------</t>
  </si>
  <si>
    <t>---------------------------IQKQKEKKK------------------------</t>
  </si>
  <si>
    <t>L-GIR--------IDSSGILIMDDCLARKKSWA-----------KDESIMEILMNG-RHY</t>
  </si>
  <si>
    <t>KLTYI-LTMQTPLGI-TPD-L-RLNF-DYVFLLKEDSAINLKKLYE-NYAS-MFPN----</t>
  </si>
  <si>
    <t>-IYTFEKAFKKCTE----------------------------------------------</t>
  </si>
  <si>
    <t>----------------------------DYK-------SMVI---------DNRKPS-D-</t>
  </si>
  <si>
    <t>----------------SIQEKVFWFKAKE-------------RKF-----SF--------</t>
  </si>
  <si>
    <t>-----GSKRFK-EIHKKY--------Y-D-------PQYMMKR-----------------</t>
  </si>
  <si>
    <t>-------------SNLL---------------------DNALLLG---------------</t>
  </si>
  <si>
    <t>------------KKRR--------------------NEV---------------------</t>
  </si>
  <si>
    <t>--------------DIGIN-----------------------LK----------------</t>
  </si>
  <si>
    <t>NKFTFFE------------------------------FQLEKM-----------------</t>
  </si>
  <si>
    <t>-----------------------------------------------VMDPSIVM-----</t>
  </si>
  <si>
    <t>--------KET-ILAKILKRQMLM------------------------------------</t>
  </si>
  <si>
    <t>L-GKK--------VDPSGILIMDDCLARKKSWS-----------KDENIMEILMNG-RHY</t>
  </si>
  <si>
    <t>KLTYI-LTMQTPLGI-TPD-L-RLNF-DYVFLLKEDSAINMKKLYE-NYAS-MFPS----</t>
  </si>
  <si>
    <t>-MFAFEKAFRKCTE----------------------------------------------</t>
  </si>
  <si>
    <t>----------------------------DFK-------SMVI---------DNRKPS-D-</t>
  </si>
  <si>
    <t>-----GSSRFK-EIHKKY--------Y-D-------PNYLVKK-----------------</t>
  </si>
  <si>
    <t>-------------TGLF---------------------NNDMLMA---------------</t>
  </si>
  <si>
    <t>------------RKRK--------------------NEI---------------------</t>
  </si>
  <si>
    <t>--------------DLNIN-----------------------LK----------------</t>
  </si>
  <si>
    <t>NKFQILE------------------------------FKLEKM-----------------</t>
  </si>
  <si>
    <t>-----------------------------------------------VKDPSIVM-----</t>
  </si>
  <si>
    <t>RDIIYHY-------RH-L----PGGVVIAPTDKMNSFYKY--------F-----------</t>
  </si>
  <si>
    <t>--------KDT-ILKKILYRQTVM------------------------------------</t>
  </si>
  <si>
    <t>---------------------------IEKEKEKRK------------------------</t>
  </si>
  <si>
    <t>L-GKK--------VDPSGILIMDDCLARKKSWA-----------KDESITEILMNG-RHY</t>
  </si>
  <si>
    <t>RLTYI-LTMQTPLGI-TPD-L-RLNF-DYVFLLKEDSTINKKKLWD-NYAS-MFPS----</t>
  </si>
  <si>
    <t>-LPAFEKVFGKCTE----------------------------------------------</t>
  </si>
  <si>
    <t>----------------------------DYR-------SMVI---------DNRKPS-D-</t>
  </si>
  <si>
    <t>----------------NIQEKVFWFKAMD-------------REF-----SF--------</t>
  </si>
  <si>
    <t>-----GSRKFK-ELHKRY--------Y-D-------PSYLRKL-----------------</t>
  </si>
  <si>
    <t>------------NATKL---------------------GIDALVG---------------</t>
  </si>
  <si>
    <t>------------RKRK--------------------NDV---------------------</t>
  </si>
  <si>
    <t>--------------EIGVV-----------------------LK----------------</t>
  </si>
  <si>
    <t>NKFELME------------------------------FDLNKM-----------------</t>
  </si>
  <si>
    <t>RDVMYHY-------RH-L----PCGVVIAPTDRMNSFYKY--------F-----------</t>
  </si>
  <si>
    <t>--------FPD-----------------------------LFIH------YEI-------</t>
  </si>
  <si>
    <t>--------TEA-ILKNILLRQQMI------------------------------------</t>
  </si>
  <si>
    <t>---------------------------IDKQKQKKK------------------------</t>
  </si>
  <si>
    <t>Q-GLK--------IDPSGILIMDDCLSQKKNWS-----------KIQEITEILMNG-RHY</t>
  </si>
  <si>
    <t>RLTYI-LTMQTPLGL-TPD-L-RLNF-DYIFLLKDDTQVNKKKLYN-NYAG-MFPS----</t>
  </si>
  <si>
    <t>-QLAFEKVLAKCTE----------------------------------------------</t>
  </si>
  <si>
    <t>----------------------------SHK-------CMVI---------DNRKPA-D-</t>
  </si>
  <si>
    <t>----------------KIQDKVFWFKARD-------------RKF-----SF--------</t>
  </si>
  <si>
    <t>-----GSREFK-DMHKKY--------Y-N-------PEYGRDR-----------------</t>
  </si>
  <si>
    <t>------------YRKLM---------------------EGEDVLF---------------</t>
  </si>
  <si>
    <t>------------GLKK--------------------NDT---------------------</t>
  </si>
  <si>
    <t>--------------NLKVN-----------------------LREIPTH-----------</t>
  </si>
  <si>
    <t>------------------------------------------------PNPSIVM-----</t>
  </si>
  <si>
    <t>---------------------------------------------IARRG----------</t>
  </si>
  <si>
    <t>RDIIYHY-------RH-L----PAGIVIAPTDRMTGFYKK--------F-----------</t>
  </si>
  <si>
    <t>--------FPD-----------------------------LFIH------YDF-------</t>
  </si>
  <si>
    <t>--------KNN-ILEKILVRQRLM------------------------------------</t>
  </si>
  <si>
    <t>---------------------------TMKQINKRK------------------------</t>
  </si>
  <si>
    <t>Q-GKK--------VDPCGILIMDDCLATKRTWA-----------KDDNITEILMNG-RHY</t>
  </si>
  <si>
    <t>NLTYI-LTMQAPLGI-APD-L-RFNF-DYVFLLKEDSVITKKKLYD-NYAS-MFSN----</t>
  </si>
  <si>
    <t>-LAMFEIVHSKCTE----------------------------------------------</t>
  </si>
  <si>
    <t>----------------------------NFC-------CMVI---------DNRKPS-D-</t>
  </si>
  <si>
    <t>----------------KISEKVFWFRAKE-------------RNF-----KF--------</t>
  </si>
  <si>
    <t>-----GSREFR-KFHKKY--------C-N-------PFHADMK-----------------</t>
  </si>
  <si>
    <t>------------IPPMT---------------------NLNTLFR---------------</t>
  </si>
  <si>
    <t>------------NTRK--------------------GDV---------------------</t>
  </si>
  <si>
    <t>--------------DIKV------------------------EK-MKSHRKKEITI----</t>
  </si>
  <si>
    <t>---------MKKISFD--------------------------------------------</t>
  </si>
  <si>
    <t>TSLPIRE------------------------------FKLEYI-----------------</t>
  </si>
  <si>
    <t>-----------------------------------------------VPNASICM-----</t>
  </si>
  <si>
    <t>KDILHHF-------KD-IL---PGGVIIAPTDKMNEFYGR--------F-----------</t>
  </si>
  <si>
    <t>--------FPR-----------------------------IYIH------YEY-------</t>
  </si>
  <si>
    <t>--------KTE-ILDKLLKRQEII------------------------------------</t>
  </si>
  <si>
    <t>---------------------------IEKMKKKYS------------------------</t>
  </si>
  <si>
    <t>E-GKR--------LNPRAFLIMDDCLASKGKWA-----------KDPNINEVLMNG-RHY</t>
  </si>
  <si>
    <t>QLMYI-LTMQFPLGI-APE-L-RTNF-DYVFLLADDTTNNQKRIYE-HYAG-LFPS----</t>
  </si>
  <si>
    <t>-FNAFKQVFSELTK----------------------------------------------</t>
  </si>
  <si>
    <t>----------------------------DYG-------VMVI---------VNRGKR-E-</t>
  </si>
  <si>
    <t>----------------TFHDKLFWYRAKI------------RTID-----KI--------</t>
  </si>
  <si>
    <t>-----GDSQFN-EFSKNN--------Y-D-------KEWKSK------------------</t>
  </si>
  <si>
    <t>-------------IAKF---------------------NAAKYFS---------------</t>
  </si>
  <si>
    <t>------------DRKR--------------------RN----------------------</t>
  </si>
  <si>
    <t>---------------III------------------------EK-KHN------------</t>
  </si>
  <si>
    <t>-------------------------------------------------------MPS--</t>
  </si>
  <si>
    <t>--------STKTVRLQ--------------------------------------------</t>
  </si>
  <si>
    <t>QSIPIRE------------------------------FKLEWM-----------------</t>
  </si>
  <si>
    <t>RAILKHY-------KN-I----PGGLIIAPTDRMSTFYSK--------F-----------</t>
  </si>
  <si>
    <t>--------FPN-----------------------------SFIF------YKY-------</t>
  </si>
  <si>
    <t>--------KSS-IIEKIMGRQQLM------------------------------------</t>
  </si>
  <si>
    <t>---------------------------IKKMKDKIK------------------------</t>
  </si>
  <si>
    <t>K-GKK--------CNPRAFVVMDDCLSSRGAWM-----------KDECIQKLFFEG-RHY</t>
  </si>
  <si>
    <t>QIMYI-FTMQFPLGI-KPE-M-RCNF-DYIFLFAEDFISNQKRIHD-HYAG-MFPN----</t>
  </si>
  <si>
    <t>-FNAFKQVFAQLTK----------------------------------------------</t>
  </si>
  <si>
    <t>----------------------------NYG-------CMVI---------VNRGAR-K-</t>
  </si>
  <si>
    <t>----------------GFLDKVFWYRAKN------------ETIT-----KM--------</t>
  </si>
  <si>
    <t>-----GSNQFN-NFHKNN--------Y-N-------KDWEEN------------------</t>
  </si>
  <si>
    <t>--------------DGF---------------------DVEKYFD---------------</t>
  </si>
  <si>
    <t>------------QKKK--------------------SNI---------------------</t>
  </si>
  <si>
    <t>--------------VVDV---------------------------IRGDKP---------</t>
  </si>
  <si>
    <t>-------MSTKDVKID--------------------------------------------</t>
  </si>
  <si>
    <t>KGLPIRE------------------------------FKLKWL-----------------</t>
  </si>
  <si>
    <t>-----------------------------------------------DANASICM-----</t>
  </si>
  <si>
    <t>RSILKYF-------SS-I----PGGTIISPTDKMSSFYGD--------F-----------</t>
  </si>
  <si>
    <t>--------FPD-----------------------------VYIH------YEY-------</t>
  </si>
  <si>
    <t>--------KTE-LIEKLLDRQNIM------------------------------------</t>
  </si>
  <si>
    <t>---------------------------VEKYKDKIK------------------------</t>
  </si>
  <si>
    <t>I-KKK--------LDPRAIFVMDDCLADKGSWA-----------KDQPILEIFMNG-RHY</t>
  </si>
  <si>
    <t>KLMYI-LTMQFPLGI-KPE-L-RSNF-DFIFLMYDDMFTNQKRIYE-HYAG-IFPS----</t>
  </si>
  <si>
    <t>-FDSFKQVFLELTA----------------------------------------------</t>
  </si>
  <si>
    <t>----------------------------DYG-------CMVL---------IRRGGQ-S-</t>
  </si>
  <si>
    <t>----------------SFLDKIFWYKAKN------------EKFD-----TI--------</t>
  </si>
  <si>
    <t>-----GCKQFN-KFHKDN--------Y-D-------PKWKYK------------------</t>
  </si>
  <si>
    <t>-------------HRHM---------------------DIDNFLN---------------</t>
  </si>
  <si>
    <t>------------NKQK--------------------PR----------------------</t>
  </si>
  <si>
    <t>-------RDRDRDRDRDRDRDRDRDNDRSYHRDYSDRSS---------------------</t>
  </si>
  <si>
    <t>-----------------------------DYSDRDRG------------------RR---</t>
  </si>
  <si>
    <t>--------VAKEIQIS--------------------------------------------</t>
  </si>
  <si>
    <t>KSMPIRE------------------------------FNLDWM-----------------</t>
  </si>
  <si>
    <t>-----------------------------------------------CKNPSICM-----</t>
  </si>
  <si>
    <t>RAILKHF-------SH-L----PGGVIIAKTERMSCFYGN--------F-----------</t>
  </si>
  <si>
    <t>--------FPD-----------------------------SYIH------YEY-------</t>
  </si>
  <si>
    <t>--------KSE-ILENLLFRQEQI------------------------------------</t>
  </si>
  <si>
    <t>---------------------------IEKCKKRYS------------------------</t>
  </si>
  <si>
    <t>Q-GKK--------VDPRAFLLMDDCLASKGTWM-----------NDQPILEVFYNG-RHY</t>
  </si>
  <si>
    <t>QLLFI-LTMQFPLGI-RPE-L-RCNF-DYIFLLAEDFYSNQKRLYD-HYAG-MFPS----</t>
  </si>
  <si>
    <t>-FDLFRQVFLQVTD----------------------------------------------</t>
  </si>
  <si>
    <t>----------------------------DFG-------CMVI---------VNRGAR-K-</t>
  </si>
  <si>
    <t>----------------DILDKVFYYKAPN------------EDIG-----II--------</t>
  </si>
  <si>
    <t>-----GCEQFK-KFHSKN--------Y-N-------SNWKTE------------------</t>
  </si>
  <si>
    <t>-------------GKSF---------------------DMNNYV----------------</t>
  </si>
  <si>
    <t>--------------KK--------------------NKQ---------------------</t>
  </si>
  <si>
    <t>--------------SIVV------------------------NK-ITDDHG------G--</t>
  </si>
  <si>
    <t>--------------------------NKNY------------------------------</t>
  </si>
  <si>
    <t>--------VAKEIKIL--------------------------------------------</t>
  </si>
  <si>
    <t>KSLPIRD------------------------------FKLDWF-----------------</t>
  </si>
  <si>
    <t>-----------------------------------------------CQNPSICM-----</t>
  </si>
  <si>
    <t>RAILKHF-------KN-L----PGGVIIAKTEKMNCFYGN--------F-----------</t>
  </si>
  <si>
    <t>--------FPE-----------------------------TYIH------YEY-------</t>
  </si>
  <si>
    <t>--------KGE-IIDNMLNRQNIM------------------------------------</t>
  </si>
  <si>
    <t>---------------------------IDKCVAKYK------------------------</t>
  </si>
  <si>
    <t>V-GKK--------VDPRAFLVMDDCLASKGTWM-----------NDQPILEVFYNG-RHY</t>
  </si>
  <si>
    <t>QLLFI-LTMQFPLGI-KPE-L-RCNF-DYIFLLSEDFFSNQKRIFD-HYAG-MFPS----</t>
  </si>
  <si>
    <t>-FDVFRSVFLQLTD----------------------------------------------</t>
  </si>
  <si>
    <t>----------------------------NFG-------SMVI---------ANRGPK-K-</t>
  </si>
  <si>
    <t>----------------DLIDKVFHYKADN------------VNIG-----MI--------</t>
  </si>
  <si>
    <t>-----GCSQFI-NFHEKN--------Y-N-------PNWKQD------------------</t>
  </si>
  <si>
    <t>------------SGNQV---------------------DLNKLI----------------</t>
  </si>
  <si>
    <t>------------PGKK--------------------NKP---------------------</t>
  </si>
  <si>
    <t>--------------NIVV------------------------SK-VDNFN----------</t>
  </si>
  <si>
    <t>--------TIKDVKLN--------------------------------------------</t>
  </si>
  <si>
    <t>DTLPINE------------------------------FKLECM-----------------</t>
  </si>
  <si>
    <t>-----------------------------------------------CTNPSIVM-----</t>
  </si>
  <si>
    <t>RAILNHF-------RD-I----PVGLIIAPTDRMNCFYGN--------F-----------</t>
  </si>
  <si>
    <t>--------FPE-----------------------------SYIH------YNY-------</t>
  </si>
  <si>
    <t>--------KSE-IIQKLLHRQEII------------------------------------</t>
  </si>
  <si>
    <t>---------------------------IDKKRKKAS------------------------</t>
  </si>
  <si>
    <t>Q-GHK--------LDARAFIVMDDCLSKKGTWM-----------RDQPILELLYNG-RHY</t>
  </si>
  <si>
    <t>EIMYI-LTMQYPLGI-TPE-L-RGNF-DYIFLLAEDFVSNLKRIYD-HYAG-MFPN----</t>
  </si>
  <si>
    <t>-FDSFRQSFAQLTE----------------------------------------------</t>
  </si>
  <si>
    <t>----------------------------DYG-------CMVI---------ANRGAR-K-</t>
  </si>
  <si>
    <t>----------------SFLEKVYWYRAPA------------IEEK-----TI--------</t>
  </si>
  <si>
    <t>-----GCKQFH-KFHLLN--------F-D-------HEWRAK------------------</t>
  </si>
  <si>
    <t>-------------RKMF---------------------DINEYCT---------------</t>
  </si>
  <si>
    <t>------------KKKR--------------------DKV---------------------</t>
  </si>
  <si>
    <t>-------IPKK------------INYSRKVREDLTSR-----------------------</t>
  </si>
  <si>
    <t>DRLPINE------------------------------FKLELM-----------------</t>
  </si>
  <si>
    <t>--------FPD-----------------------------SYIH------YTY-------</t>
  </si>
  <si>
    <t>--------KSE-IIEKLLYRQEMI------------------------------------</t>
  </si>
  <si>
    <t>---------------------------IDKKQRKAK------------------------</t>
  </si>
  <si>
    <t>Q-GFK--------LDARAFIVMDDCLSKKGTWM-----------RDQPILELLYNG-RHY</t>
  </si>
  <si>
    <t>EIMYI-LTMQHPLGI-TPE-L-RGNF-DYIFLLAEDFISNLKRIYD-HYAG-MFPN----</t>
  </si>
  <si>
    <t>-FDSFRQGFSQLTD----------------------------------------------</t>
  </si>
  <si>
    <t>----------------SFLEKVYWYKAPI------------INIG-----SI--------</t>
  </si>
  <si>
    <t>-----GCKQFN-EFHDKN--------Y-D-------DKWRAK------------------</t>
  </si>
  <si>
    <t>-------------RKMF---------------------DINDYCN---------------</t>
  </si>
  <si>
    <t>------------KKKR--------------------DKG---------------------</t>
  </si>
  <si>
    <t>-------LPKK---------------EKRAPADR--------------------------</t>
  </si>
  <si>
    <t>--------TVKDVEIG--------------------------------------------</t>
  </si>
  <si>
    <t>GSLPISE------------------------------FKLESM-----------------</t>
  </si>
  <si>
    <t>-----------------------------------------------VVNPSIVM-----</t>
  </si>
  <si>
    <t>---------------------------------------------VAKRG----------</t>
  </si>
  <si>
    <t>RAILKHF-------RD-I----PVGMIIAPTDRMNCFYGN--------F-----------</t>
  </si>
  <si>
    <t>--------FPE-----------------------------SYIH------YTY-------</t>
  </si>
  <si>
    <t>--------KSE-IIERLLARQEKI------------------------------------</t>
  </si>
  <si>
    <t>---------------------------IDKKKRKEE------------------------</t>
  </si>
  <si>
    <t>R-GKS--------LDSRAFIVMDDCLSKKGTWM-----------RDPPITELLYNG-RHY</t>
  </si>
  <si>
    <t>EIMYI-LTMQYPLGI-TPE-L-RGNF-DYIFLLAEDFVSNLKRIYD-HYAG-MFPD----</t>
  </si>
  <si>
    <t>-FNSFRQTFVQLTA----------------------------------------------</t>
  </si>
  <si>
    <t>----------------------------DFG-------CMVI---------SNRGAR-A-</t>
  </si>
  <si>
    <t>----------------SFLEKIYWYKAPL------------EQSNL----SI--------</t>
  </si>
  <si>
    <t>-----GCAQFR-KYHEDN--------Y-D-------ENWRSK------------------</t>
  </si>
  <si>
    <t>-------------RKGL---------------------DIAEYCN---------------</t>
  </si>
  <si>
    <t>------------RKRK--------------------DRT---------------------</t>
  </si>
  <si>
    <t>-------IDKK---------------RKTYKNNH--------------------------</t>
  </si>
  <si>
    <t>--------AIKDINVN--------------------------------------------</t>
  </si>
  <si>
    <t>DTLPIQD------------------------------FKLESM-----------------</t>
  </si>
  <si>
    <t>-----------------------------------------------CRNPSIVM-----</t>
  </si>
  <si>
    <t>RAILKHF-------YD-F----PVGVIIAPTDKMSCFYGN--------F-----------</t>
  </si>
  <si>
    <t>--------FPD-----------------------------LFIH------YKY-------</t>
  </si>
  <si>
    <t>--------ESK-IIERLLYRQEMM------------------------------------</t>
  </si>
  <si>
    <t>---------------------------IDKKKEKKK------------------------</t>
  </si>
  <si>
    <t>I-KRK--------VDPRAFIVMDDCLSKKGTWM-----------KDQPILELLFNG-RHY</t>
  </si>
  <si>
    <t>ELMYI-LTMQYPLGI-SPE-L-RGNF-DYIFLLAEDFHSNLKRIYD-HYAG-MFPT----</t>
  </si>
  <si>
    <t>-FDSFRQVFAQLTE----------------------------------------------</t>
  </si>
  <si>
    <t>----------------------------DFG-------CMVV---------VNRGAR-K-</t>
  </si>
  <si>
    <t>----------------NFLEKVFWYKAPD------------IEIA-----NM--------</t>
  </si>
  <si>
    <t>-----GCQQFR-DYHDRN--------Y-D-------KEWRKK------------------</t>
  </si>
  <si>
    <t>-------------QKKM---------------------DLTEYCL---------------</t>
  </si>
  <si>
    <t>------------KKKK--------------------DRG---------------------</t>
  </si>
  <si>
    <t>--------------TLKV------------------------NK-VD-------------</t>
  </si>
  <si>
    <t>----------------------------GYQNDN--------------------------</t>
  </si>
  <si>
    <t>---------MLEININ--------------------------------------------</t>
  </si>
  <si>
    <t>DRFPIQI------------------------------FTLDQM-----------------</t>
  </si>
  <si>
    <t>-----------------------------------------------VEHPAIVM-----</t>
  </si>
  <si>
    <t>RAIMHHF-------HK-I----PCGIIISRTERMNSFYGT--------F-----------</t>
  </si>
  <si>
    <t>--------FPD-----------------------------LYIY------YEY-------</t>
  </si>
  <si>
    <t>--------KTE-VIERILSRQETM------------------------------------</t>
  </si>
  <si>
    <t>---------------------------IIKKKKKLL------------------------</t>
  </si>
  <si>
    <t>E-GKF--------VDSRSFIIMDDCLSQKGSWA-----------KDPPIQELLFNG-RHY</t>
  </si>
  <si>
    <t>HLMYI-LTMQFPLGI-SPE-L-RINF-DYIFLMAEDTISNLKRIYD-HYAG-CFPN----</t>
  </si>
  <si>
    <t>-FYAFKQIFTEMTK----------------------------------------------</t>
  </si>
  <si>
    <t>----------------------------DFG-------CMVI---------VNRGAR-V-</t>
  </si>
  <si>
    <t>----------------NIFEKVFHYRAPNFND--------YKNDI-----KF--------</t>
  </si>
  <si>
    <t>-----GCEQFN-TFFEKN--------Y-D-------PNWAEK------------------</t>
  </si>
  <si>
    <t>-------------KKSF---------------------NVEQYMD---------------</t>
  </si>
  <si>
    <t>------------GKKK--------------------SKA---------------------</t>
  </si>
  <si>
    <t>--------------ELKI------------------------QL-VDDNND---------</t>
  </si>
  <si>
    <t>------------------------KKKKKITSG---------------------------</t>
  </si>
  <si>
    <t>------------MDYE--------------------------------------------</t>
  </si>
  <si>
    <t>DKIPIRE------------------------------FKLEDM-----------------</t>
  </si>
  <si>
    <t>-----------------------------------------------VDNPSIIM-----</t>
  </si>
  <si>
    <t>KAIMYNQ-------SD-V----PVGLVISPTEKDNPFFVD--------F-----------</t>
  </si>
  <si>
    <t>--------FPD-----------------------------SYIY------YKY-------</t>
  </si>
  <si>
    <t>--------DSK-IIKKLLLRQKLI------------------------------------</t>
  </si>
  <si>
    <t>---------------------------LKKAREKKQ------------------------</t>
  </si>
  <si>
    <t>E-GKY--------LDPRLMVVMDDCLASKGTWA-----------KDPLVAELLFNG-RHR</t>
  </si>
  <si>
    <t>YITYI-LTMQYPLGI-APE-L-RSNF-DYVFLLSEDYVSNLKRIYE-HYAG-MFPD----</t>
  </si>
  <si>
    <t>-FNSFRQVFKNLTE----------------------------------------------</t>
  </si>
  <si>
    <t>----------------------------DFG-------AMVI---------KNRGSR-T-</t>
  </si>
  <si>
    <t>----------------KLDDKIAFYKAPNL----------KNKPL-----KF--------</t>
  </si>
  <si>
    <t>-----GCGQFR-KFHKEN--------Y-N-------KEWEEL------------------</t>
  </si>
  <si>
    <t>-------------AFNV---------------------DYDEYLF---------------</t>
  </si>
  <si>
    <t>------------EKKK--------------------SKE---------------------</t>
  </si>
  <si>
    <t>--------------RIDV------------------------KK-IYNDDV---------</t>
  </si>
  <si>
    <t>-------------------------KERKFNFGQAYGQKY--------------------</t>
  </si>
  <si>
    <t>PV----------------------------------------------------------</t>
  </si>
  <si>
    <t>------------VKLD--------------------------------------------</t>
  </si>
  <si>
    <t>NTIPIKE------------------------------FSLTEM-----------------</t>
  </si>
  <si>
    <t>-----------------------------------------------VEHASIMM-----</t>
  </si>
  <si>
    <t>RAILHHY-------SKTI----PVGIVIAPTDRMNKFYSN--------F-----------</t>
  </si>
  <si>
    <t>--------IPD-----------------------------SYVH------YEF-------</t>
  </si>
  <si>
    <t>--------SGE-LVKRILQRQIFI------------------------------------</t>
  </si>
  <si>
    <t>---------------------------IEKAKERAK------------------------</t>
  </si>
  <si>
    <t>I-GKK--------TNTKAFIVMDDCLADKGNWA-----------KDKMISELLFNG-RHY</t>
  </si>
  <si>
    <t>EIMYI-LTMQYPLGI-KPE-L-RSNF-DYIFLLADDTYSNQKRLHE-HYAG-MFPN----</t>
  </si>
  <si>
    <t>-FEAFKQVFGQLTA----------------------------------------------</t>
  </si>
  <si>
    <t>----------------------------DFG-------CMVI---------INRGIR-N-</t>
  </si>
  <si>
    <t>----------------NFLEKVMYYRAPDF----------SKCTS-----KL--------</t>
  </si>
  <si>
    <t>-----GGAQYK-KFDNDN--------Y-D-------PKWILK------------------</t>
  </si>
  <si>
    <t>-------------NNMIA------------------GNNIEDKFD---------------</t>
  </si>
  <si>
    <t>------------KKKM--------------------KDN---------------------</t>
  </si>
  <si>
    <t>--------------KLVV------------------------RR-VKNGEK---------</t>
  </si>
  <si>
    <t>MSLQLLEELINDKLNTIVNDKLNTIINDKLNTIANNKL---LNIIANDKVNDIDDMSDAN</t>
  </si>
  <si>
    <t>SIVT-SVTTSVASSVADSNEFPYYCHLPG-------------------------------</t>
  </si>
  <si>
    <t>TLPTDKSKGTKSVDFD---------------------------------GSSLPL-----</t>
  </si>
  <si>
    <t>CGIPIRQ------------------------------FKLDYI-----------------</t>
  </si>
  <si>
    <t>-----------------------------------------------VPNAHICI-----</t>
  </si>
  <si>
    <t>RNIMHHV-----DNKD-Q----EPKIIIAPTDRMNPFYKN--------N-----------</t>
  </si>
  <si>
    <t>--------FKK-----------------------------ALIY------YQY-------</t>
  </si>
  <si>
    <t>--------NDK-ILKALLGRQEKS------------------------------------</t>
  </si>
  <si>
    <t>---------------------------VKYSKII--------------------------</t>
  </si>
  <si>
    <t>K-RQT--------YNPGAFLIMDDCLASKGKWA-----------KAEIMRELLMNS-RHY</t>
  </si>
  <si>
    <t>KLAYI-LTMQFPLGI-SPE-L-RTNF-DYIFLFADDFVNNQKRIYE-HYGG-MFPS----</t>
  </si>
  <si>
    <t>-FSAFKQVFNELTK----------------------------------------------</t>
  </si>
  <si>
    <t>----------------------------DYG-------CMVI---------VNRGKR-E-</t>
  </si>
  <si>
    <t>----------------TFNDKVFWFKAKN-------------------------------</t>
  </si>
  <si>
    <t>S-----------------------------------------------------------</t>
  </si>
  <si>
    <t>---EKTNKTKKAIKAL--------------------------------------------</t>
  </si>
  <si>
    <t>----------------------------------C--C--------------------GE</t>
  </si>
  <si>
    <t>ATLPVKF------------------------------FPIKKM-----------------</t>
  </si>
  <si>
    <t>-----------------------------------------------VQYATILL-----</t>
  </si>
  <si>
    <t>RSLLYQF-------KD-I----PVGSIICPTDELTGFYGT--------L-----------</t>
  </si>
  <si>
    <t>--------IPD-----------------------------LYVH------YEY-------</t>
  </si>
  <si>
    <t>--------NSD-FIKGIFTRQKSM------------------------------------</t>
  </si>
  <si>
    <t>---------------------------IKKHADYVN------------------------</t>
  </si>
  <si>
    <t>R-RLS--------VDPRAFLVMDDCLASRKEWV-----------KDKWMREILMNG-RHS</t>
  </si>
  <si>
    <t>KLMFI-LTMQNTLGV-DPE-L-REQF-DYVFLLRCNKINEQRKIYE-HFAG-VFPS----</t>
  </si>
  <si>
    <t>-LQVFRQIYDSLTQ----------------------------------------------</t>
  </si>
  <si>
    <t>----------------------------DFG-------ALVI---------NNKSNS-S-</t>
  </si>
  <si>
    <t>----------------NLLDNIFWYKADKP-----------NKAI-----MV--------</t>
  </si>
  <si>
    <t>-----GNKQYV-KYHNDN--------Y-N-------SKWNTV------------------</t>
  </si>
  <si>
    <t>-------------DKII---------------------DLNKI-----------------</t>
  </si>
  <si>
    <t>------------DKKQ--------------------------------------------</t>
  </si>
  <si>
    <t>--------------TINIT-----------------------KK----------------</t>
  </si>
  <si>
    <t>N-----------------------------------------------------------</t>
  </si>
  <si>
    <t>TQYNFNM------------------------------FDLNSMF----------------</t>
  </si>
  <si>
    <t>--------------------------YDHDGI----------------------------</t>
  </si>
  <si>
    <t>----------------------------------------------TPYSPKICI-----</t>
  </si>
  <si>
    <t>---------------------------------------------IAPSG----------</t>
  </si>
  <si>
    <t>RSILYHL-------KE-L----DSAIVICPTDKMTKFYDS--------F-----------</t>
  </si>
  <si>
    <t>--------VPS-----------------------------LYIH------HQF-------</t>
  </si>
  <si>
    <t>--------DPD-MIQKILDRQRKM------------------------------------</t>
  </si>
  <si>
    <t>---------------------------IVRYQKKIQ------------------------</t>
  </si>
  <si>
    <t>E-DKNPAL---LNKDLRLIFVMDDCMSSRKQFV-----------HLDSFNSLMYEG-RHY</t>
  </si>
  <si>
    <t>QIIFI-MTMQYCLSL-PPD-A-RNNF-EYIFLLSEDKMQNRVRLYD-NYAG-MFPN----</t>
  </si>
  <si>
    <t>-QNIFNAVFDQITK----------------------------------------------</t>
  </si>
  <si>
    <t>----------------------------DFK-------CMVI---------NNRYKKDN-</t>
  </si>
  <si>
    <t>----------------NLENKIFWYKAVD------------HSPF-----TI--------</t>
  </si>
  <si>
    <t>-----GSTRYK-SFAKKH--------F-N-------SEYEEYYDNL-----LT-------</t>
  </si>
  <si>
    <t>-------------------------------------KNYSPFVSV--------------</t>
  </si>
  <si>
    <t>--------------KLQKE-----------------------EK----------------</t>
  </si>
  <si>
    <t>------------------------------SPETY-------------------------</t>
  </si>
  <si>
    <t>MKLQLKK------------------------------FDMGSI-----------------</t>
  </si>
  <si>
    <t>-----------------------------------------------APDSVVVM-----</t>
  </si>
  <si>
    <t>---------------------------------------------IGKRN----------</t>
  </si>
  <si>
    <t>KDLLSFH-------TQ-I----PVGTVVSATEAANSFYSE--------M-----------</t>
  </si>
  <si>
    <t>--------VPP-----------------------------VFIH------NEY-------</t>
  </si>
  <si>
    <t>--------SED-IVQKVLIRQEKL------------------------------------</t>
  </si>
  <si>
    <t>---------------------------IKKQKLN--------------------------</t>
  </si>
  <si>
    <t>G-YSS--------VNPNAFVIFDDCLYDS-TWT-----------KSKYVRSLFMNG-RHF</t>
  </si>
  <si>
    <t>KILFI-ITMQYALGI-PPN-L-RTNI-DYVFILRENIIQNRKRLFE-CFAG-MFPS----</t>
  </si>
  <si>
    <t>-FDAFCSIMDQCTN----------------------------------------------</t>
  </si>
  <si>
    <t>----------------------------NYE-------CLVI---------DNTSKS-N-</t>
  </si>
  <si>
    <t>----------------KIEDCVFWYKANP------------HPPF-----KL--------</t>
  </si>
  <si>
    <t>-----CSQASW-DFSNKN--------Y-KPPA----IDEDDD------------------</t>
  </si>
  <si>
    <t>--------------------------------------EMWDPNQ---------------</t>
  </si>
  <si>
    <t>------------FKTKT-------------------NKP---------------------</t>
  </si>
  <si>
    <t>--------------KINV------------------------SKYNEFF-----------</t>
  </si>
  <si>
    <t>MQIKLRK------------------------------FDISSV-----------------</t>
  </si>
  <si>
    <t>-----------------------------------------------RDDAVIIM-----</t>
  </si>
  <si>
    <t>---------------------------------------------LGKRN----------</t>
  </si>
  <si>
    <t>KDLLSYH-------SD-I----PTGIVISGTESSNKFYGD--------I-----------</t>
  </si>
  <si>
    <t>--------FPP-----------------------------LFIY------DEY-------</t>
  </si>
  <si>
    <t>--------KPE-IVANLIKRQKTV------------------------------------</t>
  </si>
  <si>
    <t>---------------------------IRKNQQN--------------------------</t>
  </si>
  <si>
    <t>S-GPP--------VDPRTVFIMDDCLYDD-SWT-----------RDVNIRNIFMNG-RHQ</t>
  </si>
  <si>
    <t>KIMFL-FTMQYPLGV-PPV-L-RANI-DYVFILREQIVSNRKRIYE-NYCG-MLPS----</t>
  </si>
  <si>
    <t>-FDVFCSVLDQTTE----------------------------------------------</t>
  </si>
  <si>
    <t>----------------------------NYE-------CLVV---------DNTVKS-N-</t>
  </si>
  <si>
    <t>----------------RIEDQIFYYKAEE------------APPF-----TI--------</t>
  </si>
  <si>
    <t>-----GSKQFW-QENNER--------L-G-------SDSDDE------------------</t>
  </si>
  <si>
    <t>--------------------------------------EPFDMKK---------------</t>
  </si>
  <si>
    <t>------------TGKK--------------------NKI---------------------</t>
  </si>
  <si>
    <t>--------------WLEV------------------------KK----I-----------</t>
  </si>
  <si>
    <t>MNLEIKK------------------------------FDITSI-----------------</t>
  </si>
  <si>
    <t>-----------------------------------------------KKDKVCVF-----</t>
  </si>
  <si>
    <t>---------------------------------------------IGKRE----------</t>
  </si>
  <si>
    <t>RDLLYYH-------QD-I----PIGTVISGTEAANCFYGN--------I-----------</t>
  </si>
  <si>
    <t>--------VPG-----------------------------LFIH------DKY-------</t>
  </si>
  <si>
    <t>--------TPE-IVHNTLKRQKMV------------------------------------</t>
  </si>
  <si>
    <t>G-SSA--------INPDAFLILDDCLYDN-SWT-----------RDTNIRSIFMNG-RHY</t>
  </si>
  <si>
    <t>KMMFI-ITMQYALGI-PPN-L-RTNI-DYVFILRENYVSNRKRLYE-NFAG-MFPS----</t>
  </si>
  <si>
    <t>-FEVFCQVMDQCTE----------------------------------------------</t>
  </si>
  <si>
    <t>----------------------------NFE-------CLVV---------HNNAKS-N-</t>
  </si>
  <si>
    <t>----------------KLEDQVYWYKADP------------HDEF-----RI--------</t>
  </si>
  <si>
    <t>-----GADEFW-QHHSNN--------F-N-------DDYDSD------------------</t>
  </si>
  <si>
    <t>--------------------------------------EEFTFNKR--------------</t>
  </si>
  <si>
    <t>------------------------------------KGP---------------------</t>
  </si>
  <si>
    <t>MSLELKK------------------------------FDMKSIS----------------</t>
  </si>
  <si>
    <t>------------------------------------------FKPNDSKGPVIFL-----</t>
  </si>
  <si>
    <t>---------------------------------------------LGRRD----------</t>
  </si>
  <si>
    <t>RDLLYYH-------QD-I----PIGTVISGTEEGNGFYGK--------M-----------</t>
  </si>
  <si>
    <t>--------VPK-----------------------------LFIH------NEY-------</t>
  </si>
  <si>
    <t>--------NTA-IIENILKRQRSV------------------------------------</t>
  </si>
  <si>
    <t>K-KSN--------IDPRTFVIMDDCLYDN-TWS-----------RDKIMRLLFLNG-RHW</t>
  </si>
  <si>
    <t>KVILI-VTMQYPLGV-PPT-L-RTNI-DYVFILRDNYIANRKRIYE-NYAG-MFPT----</t>
  </si>
  <si>
    <t>-YESFAQVMDQCTE----------------------------------------------</t>
  </si>
  <si>
    <t>----------------------------NYE-------CLVI---------NNNVKS-N-</t>
  </si>
  <si>
    <t>----------------KLQDQVFWYKAEA------------HNDF-----KL--------</t>
  </si>
  <si>
    <t>-----GSKEFW-ELSKGV--------Q-S-------DDEE--------------------</t>
  </si>
  <si>
    <t>--------------------------------------EQYDPAN---------------</t>
  </si>
  <si>
    <t>------------TKKRG-------------------QGP---------------------</t>
  </si>
  <si>
    <t>MTLNLRK------------------------------FDMKRIT----------------</t>
  </si>
  <si>
    <t>------------------------------------------FLKNENKGPVVVL-----</t>
  </si>
  <si>
    <t>---------------------------------------------IGRRD----------</t>
  </si>
  <si>
    <t>RDLLFHH-------VD-I----PIGTVISGTEAGNGFYSC--------H-----------</t>
  </si>
  <si>
    <t>--------VPK-----------------------------LFIH------DEY-------</t>
  </si>
  <si>
    <t>--------NTG-IIENVLKRQKAV------------------------------------</t>
  </si>
  <si>
    <t>K-KSS--------IDARAFVILDDCLYDN-GWA-----------RDKMMRLLFMNG-RHW</t>
  </si>
  <si>
    <t>KVMLI-ITMQYPLGI-PPT-L-RTNI-DYVFILREPYIANRKRIYE-NYAG-MFPT----</t>
  </si>
  <si>
    <t>-FESFCQVMDQCTE----------------------------------------------</t>
  </si>
  <si>
    <t>----------------------------NYE-------CLVI---------DNNVKS-N-</t>
  </si>
  <si>
    <t>----------------QLQEQIFWYRAEN------------HKDF-----KL--------</t>
  </si>
  <si>
    <t>-----GSKEFW-ELSKNL--------G-S-------DEED--------------------</t>
  </si>
  <si>
    <t>--------------------------------------DVYNPGD---------------</t>
  </si>
  <si>
    <t>------------YKSK--------------------KGP---------------------</t>
  </si>
  <si>
    <t>MTLELKK------------------------------FEMNHIS----------------</t>
  </si>
  <si>
    <t>------------------------------------------FKPDENKGPVIVL-----</t>
  </si>
  <si>
    <t>RDLLFYH-------QD-I----PIGTVISGTEAGNGFFGE--------H-----------</t>
  </si>
  <si>
    <t>--------NAS-IIENILKRQKTV------------------------------------</t>
  </si>
  <si>
    <t>K-KST--------IDPRAFVILDDCLYDA-TWT-----------RDKVMRLLFMNG-RHW</t>
  </si>
  <si>
    <t>KMMLI-ITMQYPLGI-PPN-L-RTNI-DYVFLLREPYISNRKKIYE-NYAG-MFPT----</t>
  </si>
  <si>
    <t>----------------------------NYE-------CLVI---------NNNSKS-N-</t>
  </si>
  <si>
    <t>----------------KLTEQIFWYKAAH------------HKPF-----RL--------</t>
  </si>
  <si>
    <t>-----GAKEFW-EISASM--------N-S-------DDEE--------------------</t>
  </si>
  <si>
    <t>--------------------------------------EVYDPN----------------</t>
  </si>
  <si>
    <t>------------TRKQ--------------------KGP---------------------</t>
  </si>
  <si>
    <t>MNLELKK------------------------------FDMKNIS----------------</t>
  </si>
  <si>
    <t>------------------------------------------FNPNENKGPVVVL-----</t>
  </si>
  <si>
    <t>RDLLYYH-------QD-I----PVGTVISGTEAGNGFFGS--------H-----------</t>
  </si>
  <si>
    <t>--------NTA-IIENILKRQKMV------------------------------------</t>
  </si>
  <si>
    <t>G-RSN--------IDPRAFVILDDCLYDN-TWA-----------RDKVMRLLFMNG-RHW</t>
  </si>
  <si>
    <t>KIMLV-ITMQYPLGV-PPN-L-RTNI-DYVFILREPYIANRKRIYE-NYAG-MFPT----</t>
  </si>
  <si>
    <t>----------------KLDEQIFWYKASS------------HGPF-----KL--------</t>
  </si>
  <si>
    <t>-----GAKEFW-EMSKDL--------G-S-------DDEE--------------------</t>
  </si>
  <si>
    <t>--------------------------------------EVYDPNA---------------</t>
  </si>
  <si>
    <t>------------VRKR--------------------GGP---------------------</t>
  </si>
  <si>
    <t>MTLQLKK------------------------------FDMKQIS----------------</t>
  </si>
  <si>
    <t>------------------------------------------FKPDENKGPVVVL-----</t>
  </si>
  <si>
    <t>RDLLYYH-------QD-I----PIGTVISGTEAGNGFYSS--------H-----------</t>
  </si>
  <si>
    <t>--------NVV-IIENILKRQKTV------------------------------------</t>
  </si>
  <si>
    <t>K-KSS--------IDPRAFVILDDCLFDD-RWT-----------RDKMMRLLFMNG-RHW</t>
  </si>
  <si>
    <t>KIMLI-ITMQYPLGI-PPT-L-RTNI-DYVFILREPYIANRKRIYE-NYAG-MFPT----</t>
  </si>
  <si>
    <t>----------------------------NFE-------CLVI---------NNNVKS-N-</t>
  </si>
  <si>
    <t>----------------KLHEQIFWYKAES------------HKDF-----KL--------</t>
  </si>
  <si>
    <t>-----GSREFW-EISKNI--------N-S-------DDED--------------------</t>
  </si>
  <si>
    <t>--------------------------------------EVYDPNR---------------</t>
  </si>
  <si>
    <t>------------GVRR--------------------QGQ---------------------</t>
  </si>
  <si>
    <t>AELELNK------------------------------FDMKRIS----------------</t>
  </si>
  <si>
    <t>------------------------------------------FKPNENKGPVVVL-----</t>
  </si>
  <si>
    <t>RDLLYYH-------QD-I----PIGTVISGTEAGNGFYGT--------H-----------</t>
  </si>
  <si>
    <t>--------NTA-IIENILKRQKTV------------------------------------</t>
  </si>
  <si>
    <t>K-RSS--------IDPRAFVILDDCLYDA-TWT-----------RDKMMRLLFMNG-RHW</t>
  </si>
  <si>
    <t>KVMLI-ITMQYPLGI-PPN-L-RTNI-DYVFILREPYIANRKRIWE-NYAG-MFPT----</t>
  </si>
  <si>
    <t>-FESFAQIMDQCTE----------------------------------------------</t>
  </si>
  <si>
    <t>----------------------------NYE-------CLVI---------DNNAKS-N-</t>
  </si>
  <si>
    <t>----------------RLQDQVFWYKAEP------------HGHF-----RL--------</t>
  </si>
  <si>
    <t>-----GSKEFW-ELSKDL--------E-S-------DDDEI-------------------</t>
  </si>
  <si>
    <t>--------------------------------------EPYNPNN---------------</t>
  </si>
  <si>
    <t>------------ARKR--------------------SGP---------------------</t>
  </si>
  <si>
    <t>MTLELNK------------------------------FKMSDIV----------------</t>
  </si>
  <si>
    <t>------------------------------------------FSPDENKGPVIVL-----</t>
  </si>
  <si>
    <t>KDLLYYH-------QD-I----PVGAVISGTEAGNGFYGT--------I-----------</t>
  </si>
  <si>
    <t>--------VPK-----------------------------IFIH------EEY-------</t>
  </si>
  <si>
    <t>--------NTA-IIENILKRQRSA------------------------------------</t>
  </si>
  <si>
    <t>G-KRK--------TDPRTFVILDDCLYDN-SWS-----------RDKMMRLLFMNG-RHW</t>
  </si>
  <si>
    <t>KIMLV-ITMQFPLGV-PPN-L-RTNI-DYVFILREPYLSNRKRIWE-NYAG-MFPT----</t>
  </si>
  <si>
    <t>-LESFCQVMDQCTE----------------------------------------------</t>
  </si>
  <si>
    <t>----------------------------NFE-------CLVI---------NNNSKS-N-</t>
  </si>
  <si>
    <t>----------------KLKDQIFWYKANS------------HSNF-----RL--------</t>
  </si>
  <si>
    <t>-----GSNEYW-EISKQL--------A-S-------DDED--------------------</t>
  </si>
  <si>
    <t>--------------------------------------EEYDVNQ---------------</t>
  </si>
  <si>
    <t>------------SRRK--------------------NVT---------------------</t>
  </si>
  <si>
    <t>MTLKLKN------------------------------FDMKSIS----------------</t>
  </si>
  <si>
    <t>------------------------------------------FKTNENKAPTILL-----</t>
  </si>
  <si>
    <t>---------------------------------------------IGHRD----------</t>
  </si>
  <si>
    <t>RDLLYYY-------QD-I----PVRTVISGTVSVNGFFGE--------H-----------</t>
  </si>
  <si>
    <t>--------VPT-----------------------------FSIH------NQY-------</t>
  </si>
  <si>
    <t>--------KAS-IIESILERQKTV------------------------------------</t>
  </si>
  <si>
    <t>K-KST--------IDPRALIVLDDCPYP--SWS-----------CDNVMRLLFMYG-RNW</t>
  </si>
  <si>
    <t>KMMLI-ITMQYPLNI-SPI-F-RANI-DYVFILREPNISNRKKIYE-NYAG-MFHT----</t>
  </si>
  <si>
    <t>-FESFCEIMDQCKE----------------------------------------------</t>
  </si>
  <si>
    <t>----------------------------NNE-------CIVI---------NNTSGS-I-</t>
  </si>
  <si>
    <t>----------------QLSDLIFSFKLK--------------------------------</t>
  </si>
  <si>
    <t>MNLQLRK------------------------------FKPETM-----------------</t>
  </si>
  <si>
    <t>-----------------------------------------------SDDRVCVF-----</t>
  </si>
  <si>
    <t>KDIMYHK-------KH-I----PAGIVLSGTEEGNHFYGE--------F-----------</t>
  </si>
  <si>
    <t>--------IPD-----------------------------LFVY------GEY-------</t>
  </si>
  <si>
    <t>--------DRD-AIERVISRQRKI------------------------------------</t>
  </si>
  <si>
    <t>---------------------------IGTNGKN--------------------------</t>
  </si>
  <si>
    <t>NIFFM-LTMQYVMDL-PPA-L-RANV-DYVFILRENIIQNREKLYK-SFFG-IFPS----</t>
  </si>
  <si>
    <t>-FDMFSKVMDACTE----------------------------------------------</t>
  </si>
  <si>
    <t>----------------------------NYE-------CLVL---------DNTVKS-N-</t>
  </si>
  <si>
    <t>----------------KITDCVFWYKATV------------RKGF-----RV--------</t>
  </si>
  <si>
    <t>-----GSPNLW-KLHKKM--------Y-N-------PKYLDQ------------------</t>
  </si>
  <si>
    <t>--------------------------------------SEEDAKK---------------</t>
  </si>
  <si>
    <t>------------ATKK--------------------THL---------------------</t>
  </si>
  <si>
    <t>--------------KITK------------------------AK----------------</t>
  </si>
  <si>
    <t>MNLQLRK------------------------------FKPETI-----------------</t>
  </si>
  <si>
    <t>KDIMFHK-------KH-L----PAGIVLSGTEEGNHFYSD--------F-----------</t>
  </si>
  <si>
    <t>--------IPD-----------------------------LFIY------GDY-------</t>
  </si>
  <si>
    <t>--------DRD-AIERVMARQRKL------------------------------------</t>
  </si>
  <si>
    <t>---------------------------VGNGKTN--------------------------</t>
  </si>
  <si>
    <t>KIFFM-LTMQYVMDL-PPA-L-RANV-DYVFILRENIIQNREKLYK-SFFG-IFPS----</t>
  </si>
  <si>
    <t>-FDMFCKVMDACTE----------------------------------------------</t>
  </si>
  <si>
    <t>----------------KIQDCVFWYKATI------------RKNF-----RV--------</t>
  </si>
  <si>
    <t>-----GGPDLW-RLHKKM--------Y-N-------PRHLQQ------------------</t>
  </si>
  <si>
    <t>--------------------------------------KEDDAKK---------------</t>
  </si>
  <si>
    <t>------------ATKK--------------------TNL---------------------</t>
  </si>
  <si>
    <t>--------------KITK------------------------TK----------------</t>
  </si>
  <si>
    <t>MNLQLRK------------------------------FNPATM-----------------</t>
  </si>
  <si>
    <t>-----------------------------------------------TDDRVCVF-----</t>
  </si>
  <si>
    <t>KDIMYHK-------KH-L----PTGIVLSGTEEGNHFYSE--------F-----------</t>
  </si>
  <si>
    <t>--------IPD-----------------------------LFVY------GDY-------</t>
  </si>
  <si>
    <t>--------DRE-AIERVMARQRKL------------------------------------</t>
  </si>
  <si>
    <t>---------------------------VGAGKNN--------------------------</t>
  </si>
  <si>
    <t>-YDMFSKVMDACTE----------------------------------------------</t>
  </si>
  <si>
    <t>----------------------------NYE-------CLVL---------DNTVRS-N-</t>
  </si>
  <si>
    <t>----------------KIQDCVFWYKATL------------RKNF-----RV--------</t>
  </si>
  <si>
    <t>-----GGPELW-AAHRKM--------Y-N-------PKYLSQ------------------</t>
  </si>
  <si>
    <t>--------------------------------------QENDAKK---------------</t>
  </si>
  <si>
    <t>------------ATKK--------------------TAL---------------------</t>
  </si>
  <si>
    <t>--------------TITK------------------------KK----------------</t>
  </si>
  <si>
    <t>MNLQLRK------------------------------FKPENM-----------------</t>
  </si>
  <si>
    <t>-----------------------------------------------ADDKVCVF-----</t>
  </si>
  <si>
    <t>TDILYHK-------KH-L----PAGIVLSATEEGNHYYQQ--------Y-----------</t>
  </si>
  <si>
    <t>--------DRE-AIERVMDRQKRL------------------------------------</t>
  </si>
  <si>
    <t>---------------------------VGAGKKN--------------------------</t>
  </si>
  <si>
    <t>KIFFM-LTMQYCMDL-PPA-L-RANI-DYIFILRENIIQNREKLFK-NFFG-IFPS----</t>
  </si>
  <si>
    <t>-FEMFNKVMDSCTE----------------------------------------------</t>
  </si>
  <si>
    <t>----------------------------NYE-------CLVL---------DNTSKS-N-</t>
  </si>
  <si>
    <t>----------------KIEDCVFWYKASL------------RKNF-----RV--------</t>
  </si>
  <si>
    <t>-----GAPEYW-QTHKKM--------F-N-------PKHGNV------------------</t>
  </si>
  <si>
    <t>--------------------------------------KVGDPNS---------------</t>
  </si>
  <si>
    <t>------------VKKN--------------------TPF---------------------</t>
  </si>
  <si>
    <t>--------------KVTK------------------------RK----------------</t>
  </si>
  <si>
    <t>MNLQLKR------------------------------FNPKTM-----------------</t>
  </si>
  <si>
    <t>-----------------------------------------------PDDAVCVF-----</t>
  </si>
  <si>
    <t>---------------------------------------------VGKRR----------</t>
  </si>
  <si>
    <t>KDMMYHK-------RH-I----PAGVVLSGTEEGNSFFGA--------F-----------</t>
  </si>
  <si>
    <t>--------VPD-----------------------------LFVY------GDY-------</t>
  </si>
  <si>
    <t>--------DKE-ALERVVARQKAM------------------------------------</t>
  </si>
  <si>
    <t>---------------------------IAKNKCQ--------------------------</t>
  </si>
  <si>
    <t>KLWFA-LTLQYSMDL-PPS-L-RANC-DYVFVLRENVLSNRERLWK-NFFG-IVPS----</t>
  </si>
  <si>
    <t>-FDMFCKILDATTE----------------------------------------------</t>
  </si>
  <si>
    <t>----------------KLTDCIFYYKADL------------RKNF-----RV--------</t>
  </si>
  <si>
    <t>-----GSPKFW-NIHKKM--------Y-N-------PSHAVQ------------------</t>
  </si>
  <si>
    <t>----------------------------------------EDPRK---------------</t>
  </si>
  <si>
    <t>------------ADKK--------------------TAL---------------------</t>
  </si>
  <si>
    <t>--------------KITK------------------------KK----------------</t>
  </si>
  <si>
    <t>MALQLRK------------------------------FDPSTM-----------------</t>
  </si>
  <si>
    <t>-----------------------------------------------ADDKVCIF-----</t>
  </si>
  <si>
    <t>TDILWYK-------RH-L----PAGIAMSGTEEGNGYYKQ--------F-----------</t>
  </si>
  <si>
    <t>--------IPD-----------------------------IFVY------GEY-------</t>
  </si>
  <si>
    <t>--------NKE-AIEKLIERQKKL------------------------------------</t>
  </si>
  <si>
    <t>---------------------------VSAGRAS--------------------------</t>
  </si>
  <si>
    <t>KIFFM-MTSQYVMDM-TPM-I-RTNV-DYVFALRDNVRQNRENLYK-AFFG-VFPT----</t>
  </si>
  <si>
    <t>-YDMFSQVMDSCTE----------------------------------------------</t>
  </si>
  <si>
    <t>----------------------------NYE-------CMVL---------DNTSKS-N-</t>
  </si>
  <si>
    <t>----------------KITDCVFWYKAPI------------RKNF-----KV--------</t>
  </si>
  <si>
    <t>-----GGPALW-QYHQRY--------Y-N-------PRHLTQ------------------</t>
  </si>
  <si>
    <t>--------------------------------------PAQQTPA---------------</t>
  </si>
  <si>
    <t>------------RGRG--------------------SQF---------------------</t>
  </si>
  <si>
    <t>--------------VQVKK-----------------------TK----------------</t>
  </si>
  <si>
    <t>QL----------------------------------------------------------</t>
  </si>
  <si>
    <t>------------RP----------------------------------------------</t>
  </si>
  <si>
    <t>----AGYNQPTSLVSS---------QNLFRA-----------------------------</t>
  </si>
  <si>
    <t>------------RR------------------------APLD------------------</t>
  </si>
  <si>
    <t>MALQLRK------------------------------FNPATM-----------------</t>
  </si>
  <si>
    <t>-----------------------------------------------GDDKVCVF-----</t>
  </si>
  <si>
    <t>TDILWHK-------KH-L----PAGIAMSGTEEGNGYYKQ--------F-----------</t>
  </si>
  <si>
    <t>--------IPD-----------------------------IFVF------GDY-------</t>
  </si>
  <si>
    <t>--------NKE-AIEKLIERQKRL------------------------------------</t>
  </si>
  <si>
    <t>---------------------------LSTGRCS--------------------------</t>
  </si>
  <si>
    <t>KIFFM-MTTQYCMDM-TPM-I-RTNV-DYVFALRDNVRQNRENLYK-AFFG-VFPT----</t>
  </si>
  <si>
    <t>-YDSFSQVMDACTE----------------------------------------------</t>
  </si>
  <si>
    <t>----------------KITDCVFWYKAPL------------RRGF-----RV--------</t>
  </si>
  <si>
    <t>-----GGPAFW-QYHQRH--------Y-S-------ARAAAQ------------------</t>
  </si>
  <si>
    <t>--------------------------------------RAEVCAG---------------</t>
  </si>
  <si>
    <t>------------PKRK--------------------GET---------------------</t>
  </si>
  <si>
    <t>--------------VVIKK-----------------------TR----------------</t>
  </si>
  <si>
    <t>MSVQLKR------------------------------FDPTKM-----------------</t>
  </si>
  <si>
    <t>-----------------------------------------------RNDRVCVF-----</t>
  </si>
  <si>
    <t>TDILWHK-------RA-I----PAGIAMSGTEDGNGHYKQ--------F-----------</t>
  </si>
  <si>
    <t>--------NKD-AIEKIMERQRKI------------------------------------</t>
  </si>
  <si>
    <t>---------------------------AARVGKE--------------------------</t>
  </si>
  <si>
    <t>NIFFM-MTTQYVMDM-TPM-I-RSNT-DYVFVLRDNVKQNRENLYK-CFFG-MFPN----</t>
  </si>
  <si>
    <t>-FDVFCQVMDACTE----------------------------------------------</t>
  </si>
  <si>
    <t>----------------------------NYE-------CLVL---------DTTCKT-N-</t>
  </si>
  <si>
    <t>----------------KIQDMVFWYKAPI------------RKNF-----KV--------</t>
  </si>
  <si>
    <t>-----GGPSFW-QYHQRH--------Y-N-------PRHQTG------------------</t>
  </si>
  <si>
    <t>--------------------------------------PPPGTIA---------------</t>
  </si>
  <si>
    <t>------------RSRG--------------------APT---------------------</t>
  </si>
  <si>
    <t>--------------IVVKK-----------------------SR----------------</t>
  </si>
  <si>
    <t>-----------CKSI-PPE-L-RLNA-DYIFIMREPCIKERKKLHD-EFGG-IVPS----</t>
  </si>
  <si>
    <t>-FSAFSKIMDKCTD----------------------------------------------</t>
  </si>
  <si>
    <t>----------------------------NYR-------CLVI---------DKTTSS-N-</t>
  </si>
  <si>
    <t>----------------NIEDNVFFYKAHYP-----------MKTF-----KA--------</t>
  </si>
  <si>
    <t>-----GCKELW-DCHKKY--------Y-N-------SDNE--------------------</t>
  </si>
  <si>
    <t>MELQIKK------------------------------FDNRSVV----------------</t>
  </si>
  <si>
    <t>------------------------------------------DKRRKFSSPIIVV-----</t>
  </si>
  <si>
    <t>KNIMFCN-------SD-I----PSGIIISPTESGNSFYSD--------F-----------</t>
  </si>
  <si>
    <t>--------CPG-----------------------------IFVH------SQY-------</t>
  </si>
  <si>
    <t>--------DSE-LIKKIIKRQKKL------------------------------------</t>
  </si>
  <si>
    <t>---------------------------IKKKGKH--------------------------</t>
  </si>
  <si>
    <t>QIFLI-LSLQYVMDL-PVS-L-RSNI-DYVFCLRENNLQNVEKLYK-SFFG-IFPS----</t>
  </si>
  <si>
    <t>-KIFFNQAFSKITE----------------------------------------------</t>
  </si>
  <si>
    <t>----------------------------NYG-------SIVL---------DNTSRS-N-</t>
  </si>
  <si>
    <t>----------------RIDECIFWFRATFP-----------LPNF-----RI--------</t>
  </si>
  <si>
    <t>-----GNKKLW-KMHDKY--------Y-E-------DVSDASEDE---------------</t>
  </si>
  <si>
    <t>-------------------------------------KESKAFDD---------------</t>
  </si>
  <si>
    <t>------------IKTKTS------------------QKL---------------------</t>
  </si>
  <si>
    <t>--------------KTILT-----------------------NK-------------TK-</t>
  </si>
  <si>
    <t>EGFE--------------------------------------YKIEKKI-----------</t>
  </si>
  <si>
    <t>TQISLKK------------------------------FDPSKM-----------------</t>
  </si>
  <si>
    <t>-----------------------------------------------QDCRIVCV-----</t>
  </si>
  <si>
    <t>KDFMYHK-------RH-L----QAGIVVSGTEEGNKFYQS--------F-----------</t>
  </si>
  <si>
    <t>--------VPD-----------------------------IFVY------NEY-------</t>
  </si>
  <si>
    <t>--------HEG-ILQRVMDQQKAL------------------------------------</t>
  </si>
  <si>
    <t>---------------------------RKKDNQA--------------------------</t>
  </si>
  <si>
    <t>GIFCL-ISNQYAYDL-SPA-L-RSNI-DYVCILKDNIRANRERLWK-SFGG-IFPT----</t>
  </si>
  <si>
    <t>-FEQFNCVMDRATN----------------------------------------------</t>
  </si>
  <si>
    <t>----------------------------NYG-------CLVI---------DQTSHS-N-</t>
  </si>
  <si>
    <t>----------------DISDVAFWYRANP------------NLNF-----KM--------</t>
  </si>
  <si>
    <t>-----GGSMMW-KYHQSR--------Y-D-------SNY---------------------</t>
  </si>
  <si>
    <t>---------------------------RKKDNHA--------------------------</t>
  </si>
  <si>
    <t>-----GGSMMW-KYHQSR--------Y-D-------SNYDENEA----------------</t>
  </si>
  <si>
    <t>------------NTKK--------------------ETPKH-------------------</t>
  </si>
  <si>
    <t>-------RKSN-------------------------------------------------</t>
  </si>
  <si>
    <t>------------------------------------------FFFRKYF-----------</t>
  </si>
  <si>
    <t>MQISLKK------------------------------FDPSTI-----------------</t>
  </si>
  <si>
    <t>-----------------------------------------------EDTRIVTI-----</t>
  </si>
  <si>
    <t>RDLLYHK-------RH-I----SKGIAVSATEESNSFYGE--------F-----------</t>
  </si>
  <si>
    <t>--------IPD-----------------------------LFIY------NEF-------</t>
  </si>
  <si>
    <t>--------KLE-ILERLMDRQKIL------------------------------------</t>
  </si>
  <si>
    <t>---------------------------KKKGH----------------------------</t>
  </si>
  <si>
    <t>NIFTV-LTNQWAYDL-LPN-L-RSNI-DIIFIGKDVVRQNRERLWK-SFGG-IFPT----</t>
  </si>
  <si>
    <t>-FNEFCVTLDTVTE----------------------------------------------</t>
  </si>
  <si>
    <t>----------------------------NYG-------WLVI---------DQTKNS-N-</t>
  </si>
  <si>
    <t>----------------NLEDCAFWYRARE-------------RKF-----KM--------</t>
  </si>
  <si>
    <t>-----GGSEMW-RFHQLK--------Y-D-------KDYD--------------------</t>
  </si>
  <si>
    <t>-----------------------------------------DPTK---------------</t>
  </si>
  <si>
    <t>------------KKER--------------------TKPPS-------------------</t>
  </si>
  <si>
    <t>--------------KVAM------------------------VK----------------</t>
  </si>
  <si>
    <t>V------------------------------------------------------MSRAE</t>
  </si>
  <si>
    <t>NFFK-NIKENLFVDIP----FNKYCLLPVFYKSRLLGYKREIFFEKRYL-----------</t>
  </si>
  <si>
    <t>KVPETVEKQFKNILGS--------------------TTDMICIPNDYKYNTKLDR-----</t>
  </si>
  <si>
    <t>QSCKFKK----------------EDYNQELM------FDIMFLAESIGISVEKKYI---T</t>
  </si>
  <si>
    <t>TTYSDMIEYYKNIPYRTSSSFDNLDDFSTDFINLQD------------------------</t>
  </si>
  <si>
    <t>YGDRDNNENKKSKTTVLKKILFDKDYSDTSEETQNYTLLNDFKICIGKNKSSNGIFYYRF</t>
  </si>
  <si>
    <t>TTEKVGIDKYYGFLLDGNHKFLLGNLIVTHNSGKCLKPGTGVMMSDGKIKTVETVEVGEK</t>
  </si>
  <si>
    <t>LMGDDGTPRTVLTTTSGKDTLYKITHNNGDNYTVNSEHVLSLKWNYEKILKDVSSINCFI</t>
  </si>
  <si>
    <t>VSWFDSCNLDMKTKLIRYTENNKLHKFILAKTFLKYVEQNIYVDVPVKTYLELPDYIKSN</t>
  </si>
  <si>
    <t>LVGYYANIIFPSKPLPEPNGDPKLVALNATPNNKPSLTYFINSQKIRRQLLDGFIANPYK</t>
  </si>
  <si>
    <t>NYFSREIRWLQRSLGYHTENCSFKIEKESECGEYYGFELDGNSRFVLENFVVTHNSW-LV</t>
  </si>
  <si>
    <t>RDIFYHH-------RH-I----PTGVVFSGTEEASPFFGD--------F-----------</t>
  </si>
  <si>
    <t>--------IPD-----------------------------CFIH------SEY-------</t>
  </si>
  <si>
    <t>--------DPE-LIESIMNKQKKK------------------------------------</t>
  </si>
  <si>
    <t>T-GKL--------PSNNVFIVLDDMLHDAQNWK-----------KDKTIKNIFFNG-RHF</t>
  </si>
  <si>
    <t>NFLFI-LTMQYPLGI-TPE-L-RSNI-DYVFIFNEPSVKNRKKIYD-DYAG-MIPS----</t>
  </si>
  <si>
    <t>-FDHFCNILDACTQ----------------------------------------------</t>
  </si>
  <si>
    <t>----------------------------NHE-------CLVI---------KTSGNS-T-</t>
  </si>
  <si>
    <t>----------------DLRDQIFWYKAES------------HNNF-----RV--------</t>
  </si>
  <si>
    <t>-----GHPKLW-NFHKNN--------Y-N-------ENYEEDAENI--------------</t>
  </si>
  <si>
    <t>-------------------------------------QEEIDRLKR--------------</t>
  </si>
  <si>
    <t>-----------KFAKT--------------------KKL---------------------</t>
  </si>
  <si>
    <t>--------------KVIV------------------------SR----------------</t>
  </si>
  <si>
    <t>--------QGD-------------IVDYKQESE---------------------------</t>
  </si>
  <si>
    <t>MSISIRE------------------------------FDPTTI-----------------</t>
  </si>
  <si>
    <t>-----------------------------------------------SDGAIVGV-----</t>
  </si>
  <si>
    <t>KDLLYYK-------RHKL----PCGLIMSGTEAGNGYFSK--------F-----------</t>
  </si>
  <si>
    <t>--------VPE-----------------------------VFVF------DDF-------</t>
  </si>
  <si>
    <t>--------DGP-ALDRLLERQKKA------------------------------------</t>
  </si>
  <si>
    <t>---------------------------AKKGNMG--------------------------</t>
  </si>
  <si>
    <t>NIYLI-FSSQYVADLGPPA-I-RANI-DVLLVCREAIQANRFRLYN-MFFG-VFET----</t>
  </si>
  <si>
    <t>-FEDFNKVLNACTE----------------------------------------------</t>
  </si>
  <si>
    <t>----------------------------NYG-------VLVL---------DNTKIS-N-</t>
  </si>
  <si>
    <t>----------------NPEECVFHWKAKI------------RDDF-----KM--------</t>
  </si>
  <si>
    <t>-----GSHAFW-KFSKSR--------V-R-------KDDSD-------------------</t>
  </si>
  <si>
    <t>--------------------------------------EEEDN-----------------</t>
  </si>
  <si>
    <t>------------------------------------NGV---------------------</t>
  </si>
  <si>
    <t>--------------KLIKN-----------------------RK----------------</t>
  </si>
  <si>
    <t>MSISIRE------------------------------FDPNTI-----------------</t>
  </si>
  <si>
    <t>-----------------------------------------------SNGAIVGV-----</t>
  </si>
  <si>
    <t>KDLLYYK-------RHVL----PCGLVMSGTEAGNGYFSQ--------F-----------</t>
  </si>
  <si>
    <t>--------IPD-----------------------------IFVF------DDF-------</t>
  </si>
  <si>
    <t>--------NGP-ALDKLLERQKKA------------------------------------</t>
  </si>
  <si>
    <t>NIFLI-FSSQYVADLGPPA-I-RANI-DVLLVCREAIQANRWRLYN-MFFG-CFES----</t>
  </si>
  <si>
    <t>----------------------------NYG-------VMVL---------DNTKLS-N-</t>
  </si>
  <si>
    <t>----------------SPTDCVFHWKAKM------------RDDF-----KM--------</t>
  </si>
  <si>
    <t>-----GSRVFW-KFSKDK--------A-R-------TDDSD-------------------</t>
  </si>
  <si>
    <t>--------------------------------------DDDN------------------</t>
  </si>
  <si>
    <t>--------------KLVKG-----------------------HK----------------</t>
  </si>
  <si>
    <t>MSISIRE------------------------------FNPATI-----------------</t>
  </si>
  <si>
    <t>KDLLYYK-------RNVL----PIGLIFSGTEAGNGYFSQ--------F-----------</t>
  </si>
  <si>
    <t>--------VPE-----------------------------IFVF------EDF-------</t>
  </si>
  <si>
    <t>--------NAD-ALQKLVDRQKRA------------------------------------</t>
  </si>
  <si>
    <t>---------------------------AKKGNLG--------------------------</t>
  </si>
  <si>
    <t>NIFLI-FSSQYVSDLGPPA-I-RANI-DVLFVCREAIQANRWRLYN-MFFG-CFET----</t>
  </si>
  <si>
    <t>----------------------------NYG-------VLVL---------DNTKLS-N-</t>
  </si>
  <si>
    <t>----------------DPSSCVFHFKAKM------------RDDF-----RM--------</t>
  </si>
  <si>
    <t>-----GSRSFW-KFSKER--------A-R-------DDDGE-------------------</t>
  </si>
  <si>
    <t>--------------------------------------EETD------------------</t>
  </si>
  <si>
    <t>------------------------------------SGV---------------------</t>
  </si>
  <si>
    <t>--------------KLLKG-----------------------RR----------------</t>
  </si>
  <si>
    <t>MSYSITQ------------------------------FDPKSI-----------------</t>
  </si>
  <si>
    <t>-----------------------------------------------KDGAIVGV-----</t>
  </si>
  <si>
    <t>KDLLYYK-------RNAL----PIGLIMSGTEAGNGYFSS--------F-----------</t>
  </si>
  <si>
    <t>--------VPE-----------------------------IFVY------DDF-------</t>
  </si>
  <si>
    <t>--------NKD-ALEKLLERQKKA------------------------------------</t>
  </si>
  <si>
    <t>---------------------------AKKGNMS--------------------------</t>
  </si>
  <si>
    <t>NIFLI-FSSQYVADLGPPA-I-RANI-DILLVCREAIQANRWRLYN-MFFG-CFES----</t>
  </si>
  <si>
    <t>----------------DPQDCVFHFKASM------------RDNF-----KM--------</t>
  </si>
  <si>
    <t>-----GHRAFW-KFSKER--------K-R-------DDDSD-------------------</t>
  </si>
  <si>
    <t>--------------------------------------DEAD------------------</t>
  </si>
  <si>
    <t>--------------RLIKS-----------------------KD-SKKR-----------</t>
  </si>
  <si>
    <t>----SGRVLHKKAIG---------------------------------------------</t>
  </si>
  <si>
    <t>STLSLKK------------------------------FDISKT-----------------</t>
  </si>
  <si>
    <t>-----------------------------------------------DDRRVFLI-----</t>
  </si>
  <si>
    <t>---------------------------------------------VGKRN----------</t>
  </si>
  <si>
    <t>ADFLYHK-------RH-I----PMGVLMSSTEEATGFFQK--------VC----------</t>
  </si>
  <si>
    <t>-------GIPD-----------------------------TYIF------SNW-------</t>
  </si>
  <si>
    <t>--------EPD-IIDNIIAKQKKL------------------------------------</t>
  </si>
  <si>
    <t>---------------------------AKSNKLR--------------------------</t>
  </si>
  <si>
    <t>GILLI-ITAQYLMDL-PTY-F-RSNV-DYVITCRTPGVQDRERLWK-NFFG-AIPT----</t>
  </si>
  <si>
    <t>-FSMFQSIMQSTTE----------------------------------------------</t>
  </si>
  <si>
    <t>----------------------------DYH-------CLVV---------DNTVQS-N-</t>
  </si>
  <si>
    <t>----------------SLEDCIFWYKAPFRTA--------TEKNF-----KI--------</t>
  </si>
  <si>
    <t>-----GCPAYH-RYASTH--------A-K-------KDEDD-------------------</t>
  </si>
  <si>
    <t>--------------------------------------DTSMT-----------------</t>
  </si>
  <si>
    <t>------------------------------------KKP---------------------</t>
  </si>
  <si>
    <t>--------------SIRV------------------------KK-LH-------------</t>
  </si>
  <si>
    <t>----------FSILG---------------------------------------------</t>
  </si>
  <si>
    <t>GTLSLRK------------------------------FDMAGT-----------------</t>
  </si>
  <si>
    <t>-----------------------------------------------GDKRVFLI-----</t>
  </si>
  <si>
    <t>ADVLFHK-------RH-I----PMGILMSSTEEATGFFQQ--------TC----------</t>
  </si>
  <si>
    <t>-------GIPD-----------------------------TYIF------GEW-------</t>
  </si>
  <si>
    <t>--------RPD-VIDTIIAKQKKL------------------------------------</t>
  </si>
  <si>
    <t>---------------------------AKQGKMR--------------------------</t>
  </si>
  <si>
    <t>SILLV-ITAQYLMDL-PTY-F-RSNC-DYVITTRTPGVQDRERLWK-NFFG-VIPT----</t>
  </si>
  <si>
    <t>-FAAFQQVMTSTTE----------------------------------------------</t>
  </si>
  <si>
    <t>----------------------------DYH-------CLVL---------DNTVQS-N-</t>
  </si>
  <si>
    <t>----------------ELEDNIFWYKAPLRGP--------NLKNF-----RV--------</t>
  </si>
  <si>
    <t>-----GCPAYH-KFAVTR--------R-K-------KDDDD-------------------</t>
  </si>
  <si>
    <t>--------------------------------------DESGP-----------------</t>
  </si>
  <si>
    <t>-------------STS--------------------TKP---------------------</t>
  </si>
  <si>
    <t>--------------KLKV------------------------KK-IA-------------</t>
  </si>
  <si>
    <t>------------------------------SSRASTWCIPLAWRIFSPNQIWVPCM----</t>
  </si>
  <si>
    <t>GTLNIKK------------------------------YDPTKA-----------------</t>
  </si>
  <si>
    <t>-----------------------------------------------PEHMVVVA-----</t>
  </si>
  <si>
    <t>---------------------------------------------IAKRR----------</t>
  </si>
  <si>
    <t>KDWLYHH-------RNRF----FAGIVMSGTEEGNRFYER--------EV----------</t>
  </si>
  <si>
    <t>-------GIPP-----------------------------PFIY------NDF-------</t>
  </si>
  <si>
    <t>--------DEQ-ALQRLVDRQRAM------------------------------------</t>
  </si>
  <si>
    <t>---------------------------TVDGTAK--------------------------</t>
  </si>
  <si>
    <t>KISIY-ISLQYFLEV-SPA-F-RANI-DIIVLLKDNL--HREKLYK-TFFQ-MLPN----</t>
  </si>
  <si>
    <t>-FGTFNQIMDACTT----------------------------------------------</t>
  </si>
  <si>
    <t>----------------------------DYK-------ALIL---------DNSSNS-T-</t>
  </si>
  <si>
    <t>----------------KINECLYWYKAKP------------RPPF-----RI--------</t>
  </si>
  <si>
    <t>-----GHSMFY-EYTKDK--------Q-R-------KKKNS-------------------</t>
  </si>
  <si>
    <t>-------------------------------------KKPTK------------------</t>
  </si>
  <si>
    <t>--------------------------------------V---------------------</t>
  </si>
  <si>
    <t>--------------TLLPS-----------------------------------------</t>
  </si>
  <si>
    <t>--------------------------------------------------ISGHIM----</t>
  </si>
  <si>
    <t>ATLNIKK------------------------------YDPKTA-----------------</t>
  </si>
  <si>
    <t>-----------------------------------------------PQHMVVVA-----</t>
  </si>
  <si>
    <t>KDWLYNH-------KDRF----FAGIVMSGTEEGNRFYER--------EV----------</t>
  </si>
  <si>
    <t>-------GIPP-----------------------------SFIY------NDF-------</t>
  </si>
  <si>
    <t>--------DER-ALQRLVDRQRVM------------------------------------</t>
  </si>
  <si>
    <t>---------------------------TIDGTAK--------------------------</t>
  </si>
  <si>
    <t>RISVY-ISLQYFLEV-SPA-F-RANI-DIIVLLKDNL--HREKLYK-TFFQ-MLPN----</t>
  </si>
  <si>
    <t>-FGTFNQIMDACTA----------------------------------------------</t>
  </si>
  <si>
    <t>----------------------------DYR-------ALIL---------DNSSNS-T-</t>
  </si>
  <si>
    <t>----------------KINDCIFWYKAKA------------RPPF-----KI--------</t>
  </si>
  <si>
    <t>-----GHSMFY-DYDKKK--------K-D-------PKKDPK------------------</t>
  </si>
  <si>
    <t>-------------------------------------KDPTKKP----------------</t>
  </si>
  <si>
    <t>------------------------------------KSV---------------------</t>
  </si>
  <si>
    <t>--------------TLLKR-----------------------------------------</t>
  </si>
  <si>
    <t>----------------------------------------------------DSSM----</t>
  </si>
  <si>
    <t>ATLNIKK------------------------------YDPASA-----------------</t>
  </si>
  <si>
    <t>-----------------------------------------------PEHMVVVT-----</t>
  </si>
  <si>
    <t>KDWLYHH-------RSRF----FAGIVMSGTEEGNRFYEK--------EV----------</t>
  </si>
  <si>
    <t>KISVY-ISLQYFLEV-SPA-F-RANI-DIIVLLKDNL--HREKLYK-TFFQ-MLPN----</t>
  </si>
  <si>
    <t>-FGTFNQIMDACTS----------------------------------------------</t>
  </si>
  <si>
    <t>----------------------------DYK-------ALIL---------DNSSHS-T-</t>
  </si>
  <si>
    <t>----------------KINDCIYWYKAKP------------RPPF-----KI--------</t>
  </si>
  <si>
    <t>-----GHSMFY-EYHKKP--------R-P-------TSKKK-------------------</t>
  </si>
  <si>
    <t>-------------------------------------RSSTNR-----------------</t>
  </si>
  <si>
    <t>--------------ALLK------------------------------------------</t>
  </si>
  <si>
    <t>--------------------------------------------------GHSIDM----</t>
  </si>
  <si>
    <t>GNLSIKR------------------------------YDPMKC-----------------</t>
  </si>
  <si>
    <t>-----------------------------------------------PEHAVITV-----</t>
  </si>
  <si>
    <t>RDWLYQH-------RKRF----FAGIVMSGTEEGNHFYED--------M-----------</t>
  </si>
  <si>
    <t>-------GVPK-----------------------------SFIY------NDF-------</t>
  </si>
  <si>
    <t>--------NES-ALSRLLDRQRKL------------------------------------</t>
  </si>
  <si>
    <t>---------------------------TKQGKAQ--------------------------</t>
  </si>
  <si>
    <t>KIQVY-ICLQYMLDV-PPG-I-RANM-DLIIVLKDNL--HRDKLYK-TFFQ-AVPS----</t>
  </si>
  <si>
    <t>-IAMFNSIMDACTA----------------------------------------------</t>
  </si>
  <si>
    <t>----------------------------DYK-------ALVL---------DNASNS-T-</t>
  </si>
  <si>
    <t>----------------DLSECVYWYKSKD------------RKPF-----RI--------</t>
  </si>
  <si>
    <t>-----GHKIFY-DFNEKR--------A-K-------TDNDDQ------------------</t>
  </si>
  <si>
    <t>--------------------------------------ESTSRST---------------</t>
  </si>
  <si>
    <t>------------AKKK--------------------KVI---------------------</t>
  </si>
  <si>
    <t>--------------KLLK------------------------------------------</t>
  </si>
  <si>
    <t>----------HTTP----------------------------------------------</t>
  </si>
  <si>
    <t>GTIAVKR------------------------------FDPMTL-----------------</t>
  </si>
  <si>
    <t>-----------------------------------------------PDHCTILV-----</t>
  </si>
  <si>
    <t>---------------------------------------------VAKRR----------</t>
  </si>
  <si>
    <t>RDLLRRM-------RSKY----YAAVVMSGTEISNHFYSE--------F-----------</t>
  </si>
  <si>
    <t>--------VPN-----------------------------TFIY------YHF-------</t>
  </si>
  <si>
    <t>--------DEA-ALERLIQNQRRM------------------------------------</t>
  </si>
  <si>
    <t>---------------------------INKGQPK--------------------------</t>
  </si>
  <si>
    <t>RITLI-MCLQYMLDI-SPS-V-RSQV-DVFITLKENF--FREKLYK-TFFN-FLPN----</t>
  </si>
  <si>
    <t>-LGTFNQIMDRTTE----------------------------------------------</t>
  </si>
  <si>
    <t>----------------------------NYG-------ALIL---------NNSSNS-N-</t>
  </si>
  <si>
    <t>----------------DLSDILFWYRASLP-----------CKPF-----RL--------</t>
  </si>
  <si>
    <t>-----GDALFW-KFDQKI--------G-K-------NEDEDLELP---------------</t>
  </si>
  <si>
    <t>------------RKKKTS------------------SSV---------------------</t>
  </si>
  <si>
    <t>--------------TLLK------------------------------------------</t>
  </si>
  <si>
    <t>-----------------------------------------------------ATM----</t>
  </si>
  <si>
    <t>GTIAVKK------------------------------FDPMTM-----------------</t>
  </si>
  <si>
    <t>-----------------------------------------------PEHSTILV-----</t>
  </si>
  <si>
    <t>RDLLRRM-------RSRY----YAGIIMSGTEISNHFYSE--------F-----------</t>
  </si>
  <si>
    <t>--------VPK-----------------------------TFIY------YHF-------</t>
  </si>
  <si>
    <t>-LATFNQIMDRCTE----------------------------------------------</t>
  </si>
  <si>
    <t>----------------DLSDILFWYRAQLP-----------CKPF-----KL--------</t>
  </si>
  <si>
    <t>-----GDALFW-KFDEKI--------G-K-------NEDEDEIQP---------------</t>
  </si>
  <si>
    <t>------------KKRKNA------------------STV---------------------</t>
  </si>
  <si>
    <t>--------------KLVK------------------------------------------</t>
  </si>
  <si>
    <t>-------------------------------------------------HGSHRNM----</t>
  </si>
  <si>
    <t>GTIAVKK------------------------------FDPLSM-----------------</t>
  </si>
  <si>
    <t>-----------------------------------------------PEHATILV-----</t>
  </si>
  <si>
    <t>RDLLRRM-------RSRY----YAAMVMSGTEISNHFYSD--------F-----------</t>
  </si>
  <si>
    <t>--------VPK-----------------------------TFIY------YHL-------</t>
  </si>
  <si>
    <t>-LGTFNQIMDHCTE----------------------------------------------</t>
  </si>
  <si>
    <t>----------------DLQDILFWYRAQLS-----------CKPF-----RL--------</t>
  </si>
  <si>
    <t>-----GDALFW-KFDEKI--------G-K-------DEDEDIRVCS--------------</t>
  </si>
  <si>
    <t>------------SSRRKTG---------------AVKPV---------------------</t>
  </si>
  <si>
    <t>-------------------------------------------------------MNTA-</t>
  </si>
  <si>
    <t>ASPLPATRIPRDIVSL------------FAACANPNLVNLDADPKPVPADAPMPD-ETPR</t>
  </si>
  <si>
    <t>RDADV-----------STDLRVAPESSSAAAVLP----TPVD-PLAHMLITQAKAMDDGA</t>
  </si>
  <si>
    <t>KRLLALAGSRISAAEFEQARAALGWPATVVAETP----RP---SAPTASVSRTVSVGADP</t>
  </si>
  <si>
    <t>NNVELRK------------------------------FDRAAH-----------------</t>
  </si>
  <si>
    <t>-----------------------------------------------KRGRINLV-----</t>
  </si>
  <si>
    <t>---------------------------------------------VGKRG----------</t>
  </si>
  <si>
    <t>KDLLCSG-------GNQW----DVVVGMSPTPESQDMLRE--------M-----------</t>
  </si>
  <si>
    <t>--------FPT-----------------------------SCVH------DGY-------</t>
  </si>
  <si>
    <t>--------DGA-VLERVVSTARTL------------------------------------</t>
  </si>
  <si>
    <t>N-HLG--------FRPRVLLVLDDCMFDH-KIL-----------RSTVMRDLHMNG-RCL</t>
  </si>
  <si>
    <t>GIDVY-NVVQYVMDV-PKA-V-RSQI-DYVFALCEPQRAYRESLYR-NFFG-IFPT----</t>
  </si>
  <si>
    <t>-YEEFSAAFHACTE----------------------------------------------</t>
  </si>
  <si>
    <t>----------------------------NFG-------CIVV---------DSTART-N-</t>
  </si>
  <si>
    <t>----------------AVEDSVFWYRSAPN-----------PPAV-----LL--------</t>
  </si>
  <si>
    <t>-----GSCAQW-RLHHMF--------Y-KD------PKH---------------------</t>
  </si>
  <si>
    <t>------------AMEAAL-G------------------DPIPALT---------------</t>
  </si>
  <si>
    <t>-------------------------------------------R-LRLV-----------</t>
  </si>
  <si>
    <t>--------------------------D---------------------------------</t>
  </si>
  <si>
    <t>-------------------------------------------------------MNIA-</t>
  </si>
  <si>
    <t>ASPPPAVRIPRDMIAL------------FAACANPNLVDLNADPKPVPTDAPLPC-ETPR</t>
  </si>
  <si>
    <t>PGAEV----------APAAGSAGAQESPSTADVSAPS-APID-PLVRTILTQAKALDDAA</t>
  </si>
  <si>
    <t>KSLLALAGSRTSAAEFERARVELGWPAVPIVETP----RPLS-SSPAAS---SPRTGGDG</t>
  </si>
  <si>
    <t>DSLVLHK------------------------------FNHAAH-----------------</t>
  </si>
  <si>
    <t>-----------------------------------------------KHGRINFV-----</t>
  </si>
  <si>
    <t>KDLLCSN-------GNQW----DVVVGMSPTPESQAMLRE--------M-----------</t>
  </si>
  <si>
    <t>--------FPA-----------------------------SCIH------DEY-------</t>
  </si>
  <si>
    <t>--------DAA-AVARIVSTAHAL------------------------------------</t>
  </si>
  <si>
    <t>R-SAG--------FHPRILLVLDDCMFDT-CIL-----------KSKEMRDVHMNS-RHL</t>
  </si>
  <si>
    <t>GIEVY-NVVSYVMDI-PKA-I-RSQI-DYVFALREPQRAYRENLYK-NFFG-IFPT----</t>
  </si>
  <si>
    <t>-YKEFSTVFNACTE----------------------------------------------</t>
  </si>
  <si>
    <t>----------------------------NFG-------CMVI---------DNTART-N-</t>
  </si>
  <si>
    <t>----------------AIEDTVFWYRASPN-----------PSTM-----LL--------</t>
  </si>
  <si>
    <t>-----GSRAQW-LLHHMF--------Y-KA------PVHVLSDDDIIPALASRYTD----</t>
  </si>
  <si>
    <t>---------RSRALEAAL-G------------------DPIPVLT---------------</t>
  </si>
  <si>
    <t>ASPPPAVRIPRDMIAL------------FAACANPNLVDLNADPKPVPADARLPC-ETPR</t>
  </si>
  <si>
    <t>HGAES----------SPSTGSTGAQESPSTADVPASS-TPTD-PLVRTILTQAKALDDAA</t>
  </si>
  <si>
    <t>KSLLALAGSRISAAEFERARAELGWPAVPIAETP----RPSA-SSPAAT---NLRADRDG</t>
  </si>
  <si>
    <t>TDLALRK------------------------------FNHAEH-----------------</t>
  </si>
  <si>
    <t>-----------------------------------------------KHGRINLV-----</t>
  </si>
  <si>
    <t>KDLLCSN-------GNQW----DVVVGMSPTPESQDMLRE--------M-----------</t>
  </si>
  <si>
    <t>--------FPA-----------------------------SCIH------DGY-------</t>
  </si>
  <si>
    <t>--------DAA-VVGRIVSAAHAV------------------------------------</t>
  </si>
  <si>
    <t>C-TAG--------FHPRILLVLDDCMFDS-GIL-----------KSKEMRDIHMNS-RHL</t>
  </si>
  <si>
    <t>GIELY-NVVSYVMDI-PKA-I-RSQI-DYVFAMREPQRAYRENLYK-NFFG-IFPT----</t>
  </si>
  <si>
    <t>-YGEFTSAFDACTE----------------------------------------------</t>
  </si>
  <si>
    <t>----------------------------NFG-------CIVV---------DNTARF-N-</t>
  </si>
  <si>
    <t>----------------AIEDAVFWYRGSPA-----------PPTM-----LL--------</t>
  </si>
  <si>
    <t>-----GSRAQW-LLHHMF--------Y-KD------PKH---------------------</t>
  </si>
  <si>
    <t>------------AAEAAL-G------------------DPIPALT---------------</t>
  </si>
  <si>
    <t>NSPAPVERIPRGIVSL------------FAACANPSLVDLHADPKAVPADAPLPA---PR</t>
  </si>
  <si>
    <t>QSTPP----------TPSTDSVAPAKSSTPEQGPAPS-APAD-TLAYSFLVQAKALDDSA</t>
  </si>
  <si>
    <t>KRLLALAGSHMDAAEFERARAALGWPAVPV-ETP----RP---PAAVAG---SRHRECPS</t>
  </si>
  <si>
    <t>EALVLRK------------------------------FDRALH-----------------</t>
  </si>
  <si>
    <t>-----------------------------------------------KPSRVNLI-----</t>
  </si>
  <si>
    <t>KDLLCSK-------GNAW----DVVVGMSPTPESRDMLRE--------M-----------</t>
  </si>
  <si>
    <t>--------FPA-----------------------------SCVH------DGY-------</t>
  </si>
  <si>
    <t>--------DSS-IVERIVLTARTL------------------------------------</t>
  </si>
  <si>
    <t>C-HVG--------FHPRVLLVLDDCMFDA-RVL-----------KSTMMRDLHMNA-RHL</t>
  </si>
  <si>
    <t>GIEVY-NTVQYVMDM-PKA-L-RSEI-DYVFALREPQHAYRENLYK-NFFG-IFPT----</t>
  </si>
  <si>
    <t>-YNEFSAAFDACTE----------------------------------------------</t>
  </si>
  <si>
    <t>----------------------------NYA-------CMVV---------DSTAKT-N-</t>
  </si>
  <si>
    <t>----------------AIEDSAFWYRGSPN-----------PPTM-----LL--------</t>
  </si>
  <si>
    <t>-----GSRDQW-RLHHMF--------Y-TD------PKN---------------------</t>
  </si>
  <si>
    <t>-------------------------------------------R-LHLV-----------</t>
  </si>
  <si>
    <t>H-----------------------------------------------------------</t>
  </si>
  <si>
    <t>KTSVPTPRIPRDIAAL------------FAACAKPGTVDLNADPKPVPTGALLPC-EGP-</t>
  </si>
  <si>
    <t>----------------SLPESADPDCTEQGKDG---------------------------</t>
  </si>
  <si>
    <t>RSHGLPA------------------------------FDRSTH-----------------</t>
  </si>
  <si>
    <t>-----------------------------------------------RSGSNNLI-----</t>
  </si>
  <si>
    <t>---------------------------------------------TGNRR----------</t>
  </si>
  <si>
    <t>PNILCSN-------GNRW----DVVVAMCPALESQDALRG--------M-----------</t>
  </si>
  <si>
    <t>--------FPA-----------------------------SCVH------DKY-------</t>
  </si>
  <si>
    <t>--------DPA-VINKIISTARAL------------------------------------</t>
  </si>
  <si>
    <t>R-EAG--------FQPRILLVLDDCMLDR-QGL-----------LSKEMQDLYMNS-HYL</t>
  </si>
  <si>
    <t>GIEVY-NVASSLIDI-SEA-L-RWKV-DYAFMMGESRWSFRVAAYK-SFGA-IFPT----</t>
  </si>
  <si>
    <t>-FEEFAAAIEACTK----------------------------------------------</t>
  </si>
  <si>
    <t>----------------------------DFG-------CMVS---------DNSSVT-G-</t>
  </si>
  <si>
    <t>----------------VVGDSISFYRGSVD-----------PPIV-----PL--------</t>
  </si>
  <si>
    <t>-----GSHAQW-LLHYMF--------Y-NE------PER---------------------</t>
  </si>
  <si>
    <t>------------AAEVNL-D------------------DPIPALT---------------</t>
  </si>
  <si>
    <t>-------------------------------------------R-LGLI-----------</t>
  </si>
  <si>
    <t>-------------------------------------------------------MDII-</t>
  </si>
  <si>
    <t>KMTPPAVRIPRDIAAL------------FAACAVPGLVDLDADPKTVPTGALFPC-EAA-</t>
  </si>
  <si>
    <t>----------------PSSAVTGPDCRKQAESG---------------------------</t>
  </si>
  <si>
    <t>-----------------------------------------------------------R</t>
  </si>
  <si>
    <t>ARSGPRE------------------------------FDRSTH-----------------</t>
  </si>
  <si>
    <t>---------------------------------------------TGNLR----------</t>
  </si>
  <si>
    <t>KDLLCLD-------GNRW----DVVVAMCPALESRDALRD--------M-----------</t>
  </si>
  <si>
    <t>--------DPV-VINKIISTARAL------------------------------------</t>
  </si>
  <si>
    <t>R-ETG--------FQPRVLLVLDDCMLDR-QC------------NHKEMRDLYLNS-HYL</t>
  </si>
  <si>
    <t>GIEVY-NVAPYAVDM-AEA-L-RFKV-DYAFITHEPRQACRVALYK-SFGT-VFPT----</t>
  </si>
  <si>
    <t>-CEEFLTALDTCTD----------------------------------------------</t>
  </si>
  <si>
    <t>----------------------------NFG-------CMVV---------DNARAS-S-</t>
  </si>
  <si>
    <t>----------------AIADRIFCDQGSLG-----------SLGV-----PL--------</t>
  </si>
  <si>
    <t>-----GSHAQW-LLHYMF--------Y-KE------PKHD--------------------</t>
  </si>
  <si>
    <t>------------AVEISL-D------------------DPIPTLT---------------</t>
  </si>
  <si>
    <t>-------------------------------------------R-LGLV-----------</t>
  </si>
  <si>
    <t>KVVAPAVRIPRDIAAL------------FAACAVPGLVDLDADPKIVPTGALFPC-EAA-</t>
  </si>
  <si>
    <t>----------------PSSAVTDPECPKEGESG---------------------------</t>
  </si>
  <si>
    <t>ARSGLRK------------------------------FDRLTH-----------------</t>
  </si>
  <si>
    <t>-----------------------------------------------RSGSNTLI-----</t>
  </si>
  <si>
    <t>KDRLCSN-------GNRW----DVAVAMCPAIESQDILRG--------M-----------</t>
  </si>
  <si>
    <t>--------DPA-VINKIISTTRAL------------------------------------</t>
  </si>
  <si>
    <t>R-EAG--------FQPRVLLVLDDCMLDR-QG------------TFKEMRDLYLNS-HYL</t>
  </si>
  <si>
    <t>GIEVY-NVAPYAVDM-PEA-L-RFKV-DYAFITHEPRQACRVALYK-SFGT-VFPT----</t>
  </si>
  <si>
    <t>-CEEFSAALDTCTD----------------------------------------------</t>
  </si>
  <si>
    <t>----------------------------NFG-------CMVV---------DNARAT-S-</t>
  </si>
  <si>
    <t>----------------AIAGRIFCDRGSLD-----------SSAV-----PL--------</t>
  </si>
  <si>
    <t>-----GSHAQW-LLHYMF--------Y-KE------PKHV--------------------</t>
  </si>
  <si>
    <t>------------AVETAL-D------------------DPIPALT---------------</t>
  </si>
  <si>
    <t>-------------------------------------------------------MQH--</t>
  </si>
  <si>
    <t>TSADMIEEIPRSIAGL------------FASVAVPGDVDLKSPPRPVDADARMPIVEVAR</t>
  </si>
  <si>
    <t>DT--------------KPPDAVGASAKTE-----------MSDTQLVTIMAQAKAVSDAS</t>
  </si>
  <si>
    <t>AKLIELMRGTFGEAQVDRVCRDMQW------SPP----TAAATTAP---APNMVDSGMGK</t>
  </si>
  <si>
    <t>NEINLRK------------------------------FDVGTL-----------------</t>
  </si>
  <si>
    <t>-----------------------------------------------KTGQVNMI-----</t>
  </si>
  <si>
    <t>RHLLTAG-------GNRW----DFVVGMTPTPESYDVLVE--------M-----------</t>
  </si>
  <si>
    <t>--------FPE-----------------------------SCVY------RDY-------</t>
  </si>
  <si>
    <t>--------DSE-AIKRLLDTLRTL------------------------------------</t>
  </si>
  <si>
    <t>H-AHN--------IRPRVLLVLDDCMHDN-RIF-----------KSGPMCDLYKCA-RVL</t>
  </si>
  <si>
    <t>DIEFY-NVVQYVMDI-PKT-I-RLQI-DRVFAMREPQRAYRENLYR-RFFD-IFST----</t>
  </si>
  <si>
    <t>-YDGFSAAFDVCTE----------------------------------------------</t>
  </si>
  <si>
    <t>----------------------------NCG-------CIVV---------DSKAKT-N-</t>
  </si>
  <si>
    <t>----------------AVEDSVFWHRGPAA-----------PPAI-----LL--------</t>
  </si>
  <si>
    <t>-----GSRAQW-LLHHMF--------Y-RK------AEKA--------------------</t>
  </si>
  <si>
    <t>------------TAESAL-D------------------VLMGALRS--------------</t>
  </si>
  <si>
    <t>--------------------------------------A---------------------</t>
  </si>
  <si>
    <t>--------------SLCET-----------------------GR-VRLV-----------</t>
  </si>
  <si>
    <t>--------------------------DN--------------------------------</t>
  </si>
  <si>
    <t>-------------------------------------------------------MQHY-</t>
  </si>
  <si>
    <t>RDAVLPEEIPKSIVAL------------FASVAVKQNVDLQGTPHPVTPEARMPIDEVAR</t>
  </si>
  <si>
    <t>DT--------------AHLDAVAVDVSTEA--------VPVDTQQLATIVSQAKAMSDAS</t>
  </si>
  <si>
    <t>VNLIEVMRRTFGHAQVDRVCRDMQW------SPP----NAGASVAPPRSASSPAVHGADQ</t>
  </si>
  <si>
    <t>TTTELRK------------------------------FKIGAL-----------------</t>
  </si>
  <si>
    <t>-----------------------------------------------KTGQTNMV-----</t>
  </si>
  <si>
    <t>RHLLTAG-------GNRW----DFVVGMTPTSESYDALVD--------M-----------</t>
  </si>
  <si>
    <t>--------FPE-----------------------------SCVH------SDF-------</t>
  </si>
  <si>
    <t>--------DTE-VIKRLIETLRAL------------------------------------</t>
  </si>
  <si>
    <t>N-DAS--------IRPRVLLVLDDCVFDN-RIY-----------QSEPMRDLYKYA-RSL</t>
  </si>
  <si>
    <t>NIEFY-NVVQYVMDV-PKA-M-RSQV-DRVFALREPQRAYRESLYR-GFFD-VFST----</t>
  </si>
  <si>
    <t>-CDAFSTAFDACTE----------------------------------------------</t>
  </si>
  <si>
    <t>----------------------------NYG-------CMVI---------DSTAET-N-</t>
  </si>
  <si>
    <t>----------------ADEDCVFWYRGPAD-----------PPAV-----LL--------</t>
  </si>
  <si>
    <t>-----GSRAQW-LVHHML--------W-RK------PERP--------------------</t>
  </si>
  <si>
    <t>------------VFESAL-D------------------VLMGALCP--------------</t>
  </si>
  <si>
    <t>--------------PLRAT-----------------------DR-VRLI-----------</t>
  </si>
  <si>
    <t>PELNLRK------------------------------FNWEAF-----------------</t>
  </si>
  <si>
    <t>-----------------------------------------------KPDRVVML-----</t>
  </si>
  <si>
    <t>RDLLSHL-------SVEY----DAGVAMSPTPESQDMFRE--------F-----------</t>
  </si>
  <si>
    <t>--------MPD-----------------------------SCVF------DEY-------</t>
  </si>
  <si>
    <t>--------SSE-KIGEIVTKLRQF------------------------------------</t>
  </si>
  <si>
    <t>N-HMG--------VYKRVFVLLDDCMFDA-SVL-----------KSKQMRDIHMNG-RHL</t>
  </si>
  <si>
    <t>KILFL-NIVQYVMDV-PKA-I-RSQI-DYVFALREPQRAYRENLYK-NFFG-IFPT----</t>
  </si>
  <si>
    <t>-YEEFSAAFDACTE----------------------------------------------</t>
  </si>
  <si>
    <t>----------------AIEDSVFWYRGSPN-----------PPKF-----IL--------</t>
  </si>
  <si>
    <t>-----GNRNFW-KLHYMF--------Y-KAPVH-ALSDDDIIPALA-----HKYKA----</t>
  </si>
  <si>
    <t>---------SKPTEEPPA-D-----------------KEKERPRKS--------------</t>
  </si>
  <si>
    <t>-----------GKKRRRD------------------------------------------</t>
  </si>
  <si>
    <t>--------------AIVVK-----------------------KRDVDGA-----------</t>
  </si>
  <si>
    <t>MRPPAGGA-----------------------PPSHHHGPPPPPSSHAP-LPPPFDRRPPP</t>
  </si>
  <si>
    <t>PAVSGSMAGPPATGAR-PPPIAGSLPPRQNTPRPPFEFGPPRP--PSAI---MATAMRAP</t>
  </si>
  <si>
    <t>APRPFPQ</t>
  </si>
  <si>
    <t>D-----------------------------------------------------------</t>
  </si>
  <si>
    <t>PQLNLRK------------------------------FDWEKF-----------------</t>
  </si>
  <si>
    <t>--------MPD-----------------------------SCVY------DEY-------</t>
  </si>
  <si>
    <t>--------SSE-KIGEIVTKLREF------------------------------------</t>
  </si>
  <si>
    <t>N-HVG--------VYKRVFVLLDDCMFDA-SVL-----------KSKQMRDIHMNG-RHL</t>
  </si>
  <si>
    <t>-YDEFAAAFDACTE----------------------------------------------</t>
  </si>
  <si>
    <t>----------------AIEDSVFWYRGSPH-----------PPKF-----IL--------</t>
  </si>
  <si>
    <t>-----GNRNFW-KLHYMF--------Y-EAPVH-ALSDDDIIPALA-----HKYKP----</t>
  </si>
  <si>
    <t>---------SKPADEPPA-D-----------------KEKERPRKS--------------</t>
  </si>
  <si>
    <t>-----------GKKRRRE------------------------------------------</t>
  </si>
  <si>
    <t>----------------------IIIEDAPPATALPPPAAPTGAPSAGAPAPPGPVAIGS-</t>
  </si>
  <si>
    <t>VRPLVGGGH-----------------QQQQQPQQQHH---LPPLSHAP----PLDRRYPP</t>
  </si>
  <si>
    <t>PVSGGPMTGPAAAGAR-PPATAGSLAPRQSTPRPPFEFGPPRP--PSAA---MATAMRAP</t>
  </si>
  <si>
    <t>MA-----------------------------------------------------MAYDE</t>
  </si>
  <si>
    <t>PQLDLRK------------------------------FNWKAF-----------------</t>
  </si>
  <si>
    <t>RDLLSHL-------SSEY----DGGVAMSPTPESQDMFRE--------F-----------</t>
  </si>
  <si>
    <t>-YDEFSAAFDACTE----------------------------------------------</t>
  </si>
  <si>
    <t>----------------AIEDSVFWYRGSPD-----------PPKF-----IL--------</t>
  </si>
  <si>
    <t>-----GNRNFW-KLHYMF--------Y-QAPVH-ALSDDDIPPALA-----HKFKP----</t>
  </si>
  <si>
    <t>---------PKPEGEAAAPG-----------------REKERPRKS--------------</t>
  </si>
  <si>
    <t>LLPAPPPPH----------------------PQQHQS----APLSHVPSHAPPPDRRHPP</t>
  </si>
  <si>
    <t>FA-----TGAPAPTARTPPPPAG--PPRQSTPRPPFDFGPPRP--PPSG---LPVAMRPP</t>
  </si>
  <si>
    <t>PQLDLRK------------------------------FDFNMF-----------------</t>
  </si>
  <si>
    <t>RDLLSHL-------SCEY----DGGVAMSPTPESTDMFRE--------F-----------</t>
  </si>
  <si>
    <t>--------MPD-----------------------------SCVY------EDY-------</t>
  </si>
  <si>
    <t>--------TSE-KIAEIVLKLREF------------------------------------</t>
  </si>
  <si>
    <t>N-GVG--------IYKRVFVLLDDCMFDS-KIL-----------KSIQMRDIHMNG-RHL</t>
  </si>
  <si>
    <t>KILFL-NIVQYVMDV-PKA-I-RSQI-DYVFALREPQRAYRENLYK-NFFG-IFPS----</t>
  </si>
  <si>
    <t>----------------------------NYG-------CIVV---------DSTAKT-N-</t>
  </si>
  <si>
    <t>----------------AVEDSVFWYRGSSS-----------PPPF-----IL--------</t>
  </si>
  <si>
    <t>-----GNRNFW-KLHYMF--------Y-QKPVA-RLSDDDVIPGLA-----PLYKG----</t>
  </si>
  <si>
    <t>---------TKGKDDSAK-D-----------------KDKDRQRKS--------------</t>
  </si>
  <si>
    <t>--------------ALVVK-----------------------KRDVDGT-----------</t>
  </si>
  <si>
    <t>----------------------LIIEDAPAAGAPAAAPT---APAATAPVPSLP------</t>
  </si>
  <si>
    <t>--PTTTTTSSSSLSSS----------FATSLSTQHHA---AAPAPNAPVNANNHN-----</t>
  </si>
  <si>
    <t>ARQP---</t>
  </si>
  <si>
    <t>M----------------------------------------------------NEM----</t>
  </si>
  <si>
    <t>NTITIRP------------------------------LDLDLIN----------------</t>
  </si>
  <si>
    <t>---------------------PNPHNYT--------------------------------</t>
  </si>
  <si>
    <t>--------------------------------------------DSSQGGSKIFI-----</t>
  </si>
  <si>
    <t>---------------------------------------------IGKPG----------</t>
  </si>
  <si>
    <t>KSLFYNK-------SQII----PVAVAMSGTESETGFYRE--------F-----------</t>
  </si>
  <si>
    <t>--------IPD-----------------------------PYIY------DEY-------</t>
  </si>
  <si>
    <t>--------DPD-VLSNFIIRQKGA------------------------------------</t>
  </si>
  <si>
    <t>R-QHM--------TNPWTMLIIDDCMDDP-SVF-----------NKPPQPGLFKNG-RHW</t>
  </si>
  <si>
    <t>KMLYI-VSLQYALDV-KPH-I-RSNI-DGVFIFRESNVAIRKRLYE-NYAG-IIPS----</t>
  </si>
  <si>
    <t>-FNLFEQIMDNVTG----------------------------------------------</t>
  </si>
  <si>
    <t>----------------------------DYT-------ALYI---------QNATVT-N-</t>
  </si>
  <si>
    <t>----------------DWKQCVFYYKAPI------------IENF-----KF--------</t>
  </si>
  <si>
    <t>-----GCQEYR-GYAQKI--------K-K-------------------------------</t>
  </si>
  <si>
    <t>NTIQIKP------------------------------LNLDLIN----------------</t>
  </si>
  <si>
    <t>---------------------PNPSNYA--------------------------------</t>
  </si>
  <si>
    <t>--------------------------------------------DPNQGGSKIFI-----</t>
  </si>
  <si>
    <t>KSLFYNK-------SRII----PVAVAMSGTESETGFYKE--------F-----------</t>
  </si>
  <si>
    <t>--------IPE-----------------------------AYIF------EEY-------</t>
  </si>
  <si>
    <t>--------DPD-FLSNFIIRQKGV------------------------------------</t>
  </si>
  <si>
    <t>R-QHI--------SNPWAILIIDDCMDDP-TVF-----------NKPPQPGLFKNG-RHW</t>
  </si>
  <si>
    <t>KMLYV-VSLQYALDV-KPH-I-RSNV-DGVFIFRESNVAIRKRLYE-NYAG-IIPS----</t>
  </si>
  <si>
    <t>-FSLFEQIMDSITG----------------------------------------------</t>
  </si>
  <si>
    <t>----------------------------DYT-------ALYI---------QNATNT-N-</t>
  </si>
  <si>
    <t>----------------DWKECVFYYKAPL------------IEKF-----EF--------</t>
  </si>
  <si>
    <t>-----GCPEYK-GYSRKI--------L-K-------NGRK--------------------</t>
  </si>
  <si>
    <t>TTIKIKP------------------------------LDLDMIN----------------</t>
  </si>
  <si>
    <t>---------------------PNPANFM--------------------------------</t>
  </si>
  <si>
    <t>RSLFYNK-------SQII----PVAQAMSGTESETGFYRQ--------F-----------</t>
  </si>
  <si>
    <t>--------IPS-----------------------------AYIF------DEY-------</t>
  </si>
  <si>
    <t>--------DSQ-ALGNMIMRQKAA------------------------------------</t>
  </si>
  <si>
    <t>R-QYL--------ANPWTMLIIDDCMDET-SVF-----------NKTPQPALFKNG-RHW</t>
  </si>
  <si>
    <t>KMLYL-VALQYALDV-KPG-I-RSNI-DGVFIFRESNVAIRKRLYD-NYAG-IIPT----</t>
  </si>
  <si>
    <t>-FQLFEKIMDEITK----------------------------------------------</t>
  </si>
  <si>
    <t>----------------------------DYT-------ALYI---------HNVTTS-N-</t>
  </si>
  <si>
    <t>----------------DWRDCVFYYKAPFENQ--------HVDQF-----KF--------</t>
  </si>
  <si>
    <t>-----GCCEYR-GYGAKI--------L-K-------PHLK--------------------</t>
  </si>
  <si>
    <t>DEFVINE------------------------------FHPEIIA----------------</t>
  </si>
  <si>
    <t>---------------------PNKHNYR--------------------------------</t>
  </si>
  <si>
    <t>--------------------------------------------RVEQGGSKLVF-----</t>
  </si>
  <si>
    <t>RYIIYSK-------MDVI----PVAVAMNGTEKSTGFYSE--------M-----------</t>
  </si>
  <si>
    <t>--------FPP-----------------------------LFVY------DEY-------</t>
  </si>
  <si>
    <t>--------RDD-VVTEFIKRQDHA------------------------------------</t>
  </si>
  <si>
    <t>K-KNF--------SNPWAMLVVDDCTDNK-NVF-----------KSENQQGLFKNG-RHW</t>
  </si>
  <si>
    <t>KMLYI-LSLQYCIDL-PPA-M-RTCV-DGTFIFRETNEKNLKNLYD-NFAG-VFPS----</t>
  </si>
  <si>
    <t>-FGLFKTYMEQVTG----------------------------------------------</t>
  </si>
  <si>
    <t>----------------------------DYT-------ALYI---------DQQNQATK-</t>
  </si>
  <si>
    <t>----------------DWFDCVYFVKAPI------------VPEF-----KF--------</t>
  </si>
  <si>
    <t>-----GCKEYR-AFAKDR--------T-D-------KKFLVSPKEI--------------</t>
  </si>
  <si>
    <t>---------LEKIQEKYN-------------------EGANKMINRSA------------</t>
  </si>
  <si>
    <t>-----------DNESR--------------------------------------------</t>
  </si>
  <si>
    <t>------------------------------------------TK----------------</t>
  </si>
  <si>
    <t>------------------------LFDTADFSS---------------------------</t>
  </si>
  <si>
    <t>-----------------F------------------------------------------</t>
  </si>
  <si>
    <t>-------------------------------------------------------MSD--</t>
  </si>
  <si>
    <t>QEYSIKP------------------------------FDANLIN----------------</t>
  </si>
  <si>
    <t>---------------------PREDNF---------------------------------</t>
  </si>
  <si>
    <t>---------------------------------------------NTVGGSKIVV-----</t>
  </si>
  <si>
    <t>---------------------------------------------IGKAG----------</t>
  </si>
  <si>
    <t>RYLLFLK-------RSII----PVGMVVSGTEDSNCFYSD--------I-----------</t>
  </si>
  <si>
    <t>--------FPP-----------------------------LFIH------DEY-------</t>
  </si>
  <si>
    <t>--------DEE-IIKKFIKRQKYA------------------------------------</t>
  </si>
  <si>
    <t>N-EHIS-------ENPWAVLLLDDCTEDK-KIF-----------SSKWQQSLFKNG-RHW</t>
  </si>
  <si>
    <t>KLLYI-LSLQHATDI-PPA-I-RTNV-DGVFIFRETNENNLKNIYL-NYAG-VIPK----</t>
  </si>
  <si>
    <t>-FEIFKAYMTQVTG----------------------------------------------</t>
  </si>
  <si>
    <t>----------------------------DYT-------ALYI---------DNSAQD-N-</t>
  </si>
  <si>
    <t>-----G----------EWYEHVYYWKVPQM----------DTRDM-----KF--------</t>
  </si>
  <si>
    <t>-----GCHEYI-EFGKQR--------Y-N-------EKYSKN------------------</t>
  </si>
  <si>
    <t>-------------------------------------------------------MTD--</t>
  </si>
  <si>
    <t>QEYDIKP------------------------------FYADLIN----------------</t>
  </si>
  <si>
    <t>---------------------PSESNY---------------------------------</t>
  </si>
  <si>
    <t>---------------------------------------------TTAGGSKIVV-----</t>
  </si>
  <si>
    <t>RYLLFLK-------RSII----PVGTIVSGTEESNSFYSK--------I-----------</t>
  </si>
  <si>
    <t>--------VPS-----------------------------LFIH------TEY-------</t>
  </si>
  <si>
    <t>--------NEK-IITDFIKRQKYA------------------------------------</t>
  </si>
  <si>
    <t>R-EHIQ-------ENPWAFLLLDDCTEDK-KIF-----------SSKYQQALFKNG-RHW</t>
  </si>
  <si>
    <t>KMFYI-LSLQHSTDI-PPS-I-RTNV-DGVFIFRETNENNLKNIYT-NYAG-VIPK----</t>
  </si>
  <si>
    <t>-FEIFKAYMSQVTG----------------------------------------------</t>
  </si>
  <si>
    <t>----------------------------DYT-------ALYI---------DNAAQD-N-</t>
  </si>
  <si>
    <t>-----G----------HWHEHVYYWKVPQM----------DANEM-----KL--------</t>
  </si>
  <si>
    <t>-----GCHEYI-EFGKQR--------F-D-------EKWATRN-----------------</t>
  </si>
  <si>
    <t>-------------------------------------------------------MES--</t>
  </si>
  <si>
    <t>ATINIRE------------------------------MKLSDLR----------------</t>
  </si>
  <si>
    <t>---------------------PTEQSM---------------------------------</t>
  </si>
  <si>
    <t>--------------------------------------------KTDMGGTKLVV-----</t>
  </si>
  <si>
    <t>KALLEAK-------RALI----PCAVVISGSEEANNFYKG--------L-----------</t>
  </si>
  <si>
    <t>--------VPD-----------------------------LFIY------HKF-------</t>
  </si>
  <si>
    <t>--------CPA-IIDKIHKRQIKA------------------------------------</t>
  </si>
  <si>
    <t>KAELGS-------KKSWLLVIIDDCMDNA-KMF-----------NSKEVIALFKNG-RHW</t>
  </si>
  <si>
    <t>NVFVV-IANQYVMDL-TPN-L-RSSV-DGVFLFRENNTTYKDKMYL-NFAS-VIPT----</t>
  </si>
  <si>
    <t>-KKTFYHVMEAVTQ----------------------------------------------</t>
  </si>
  <si>
    <t>----------------------------DYR-------CMYI---------DNTKAY-E-</t>
  </si>
  <si>
    <t>----------------NWQDSVYWYKAPFK-----------TEVV-----PF--------</t>
  </si>
  <si>
    <t>-----GCKSYW-QHAANK--------T-G-------CGIPDCFDSV-----AVFGN----</t>
  </si>
  <si>
    <t>-------LLLKKLPEDRG-EQDDSR----------AQFEVEEAAST--------------</t>
  </si>
  <si>
    <t>------------SSPRAAA---------------SPYSPDSA------------------</t>
  </si>
  <si>
    <t>------------------------------------------DK----------------</t>
  </si>
  <si>
    <t>-------------------------MNAPD------------------------------</t>
  </si>
  <si>
    <t>-----------------FLTYVY-------------------------------------</t>
  </si>
  <si>
    <t>EQVPIKE------------------------------MRLSDLR----------------</t>
  </si>
  <si>
    <t>---------------------PNNKSI---------------------------------</t>
  </si>
  <si>
    <t>--------------------------------------------DTDLGGTKLVV-----</t>
  </si>
  <si>
    <t>KALLDSK-------RHII----PCAVVISGSEEANGFYKG--------V-----------</t>
  </si>
  <si>
    <t>--------VPD-----------------------------LFIY------HQF-------</t>
  </si>
  <si>
    <t>--------SPS-IIDRIHRRQVKA------------------------------------</t>
  </si>
  <si>
    <t>KAEMGS-------KKSWLLVVIDDCMDNA-KMF-----------NDKEVRALFKNG-RHW</t>
  </si>
  <si>
    <t>NVLVV-IANQYVMDL-TPD-L-RSSV-DGVFLFRENNVTYRDKTYA-NFAS-VVP-----</t>
  </si>
  <si>
    <t>-KKLYPTVMETVCQ----------------------------------------------</t>
  </si>
  <si>
    <t>----------------------------NYR-------CMFI---------DNTKAT-D-</t>
  </si>
  <si>
    <t>----------------NWHDSVFWYKAPYS----------KSAVA-----PF--------</t>
  </si>
  <si>
    <t>-----GARSYW-KYACSK--------T-G-------EEMPAVFDNV-----KILGD----</t>
  </si>
  <si>
    <t>-------LLLKELP------------------------EAGEALVT--------------</t>
  </si>
  <si>
    <t>------------YGGKDGP---------------SDNEDGPS------------------</t>
  </si>
  <si>
    <t>------------------------------------------DD----------------</t>
  </si>
  <si>
    <t>-------------------------EDGPSDNEDGPSDDEEGLRKDG-------------</t>
  </si>
  <si>
    <t>-----------------VSEYYQ----------------------------SDLDD----</t>
  </si>
  <si>
    <t>-------------------------------------------------------MDS--</t>
  </si>
  <si>
    <t>--VNINE------------------------------LDLDLIR----------------</t>
  </si>
  <si>
    <t>---------------------PNTESM---------------------------------</t>
  </si>
  <si>
    <t>--------------------------------------------ETDIGGMKLII-----</t>
  </si>
  <si>
    <t>---------------------------------------------IGRPG----------</t>
  </si>
  <si>
    <t>KSLIASK-------RYLI----PAAIVISGSEEANHFYKT--------I-----------</t>
  </si>
  <si>
    <t>--------FPS-----------------------------CFIY------NKF-------</t>
  </si>
  <si>
    <t>--------NIS-IIEKIHKRQITA------------------------------------</t>
  </si>
  <si>
    <t>K-NILG-------KTSWLLLIIDDCMDDS-KLF-----------CEKTVMDLFKNG-RHW</t>
  </si>
  <si>
    <t>NILVV-VASQYVMDL-KPV-I-RATI-DGVFLLREPNMTYKEKMWL-NFAS-IIP-----</t>
  </si>
  <si>
    <t>-KKEFFILMEKITQ----------------------------------------------</t>
  </si>
  <si>
    <t>----------------------------DHT-------ALYI---------DNTIINPA-</t>
  </si>
  <si>
    <t>----------------HWSDCVKYYKASL-----------ENIDE-----LF--------</t>
  </si>
  <si>
    <t>-----GCEEYK-AYCV--------------------------------------------</t>
  </si>
  <si>
    <t>--IEIKE------------------------------LDLNYVR----------------</t>
  </si>
  <si>
    <t>---------------------PNSDSI---------------------------------</t>
  </si>
  <si>
    <t>--------------------------------------------ETDIGGMKIIV-----</t>
  </si>
  <si>
    <t>KSLIASK-------RHLI----PAAVVISGSEEANHFYKN--------L-----------</t>
  </si>
  <si>
    <t>--------FPE-----------------------------CFVY------NKF-------</t>
  </si>
  <si>
    <t>--------NLS-LIDRIHKRQITA------------------------------------</t>
  </si>
  <si>
    <t>K-NLLD-------KMSWLLLIIDDCMDDS-KLF-----------CDKMVMDLFKNG-RHW</t>
  </si>
  <si>
    <t>NILVI-VASQYVMDL-KPV-I-RSTL-DGVFLLREPNMSYKEKMWL-NFAS-IIP-----</t>
  </si>
  <si>
    <t>-KKYFFDLMEEITQ----------------------------------------------</t>
  </si>
  <si>
    <t>----------------------------DHT-------ALYI---------DNTAINPS-</t>
  </si>
  <si>
    <t>----------------HWSDCVKYYKATI-----------ENVDE-----PF--------</t>
  </si>
  <si>
    <t>-----GCEEYK-SYII--------------------------------------------</t>
  </si>
  <si>
    <t>--MEIKE------------------------------LSLTELR----------------</t>
  </si>
  <si>
    <t>---------------------PVKP-----------------------------------</t>
  </si>
  <si>
    <t>--------------------------------------------DDEMGGMKLIV-----</t>
  </si>
  <si>
    <t>---------------------------------------------LGKPQ----------</t>
  </si>
  <si>
    <t>KSIIAAK-------RHII----PAAVVISGSEEANHFYSK--------L-----------</t>
  </si>
  <si>
    <t>--------LPN-----------------------------CFVY------NKF-------</t>
  </si>
  <si>
    <t>--------DAD-IITRVKQRQLAL------------------------------------</t>
  </si>
  <si>
    <t>K-NVDP-------EHSWLMLIFDDCMDNA-KMF-----------NHEAVMDLFKNG-RHW</t>
  </si>
  <si>
    <t>NVLVI-IASQYIMDL-NAS-L-RCCI-DGVFLFTETSQTCVDKIYK-QFGG-NIP-----</t>
  </si>
  <si>
    <t>-KQTFHTLMEKVTQ----------------------------------------------</t>
  </si>
  <si>
    <t>----------------------------DHT-------CLYI---------DNTTTR-Q-</t>
  </si>
  <si>
    <t>----------------KWEDMVRYYKAPLL----------TDADV-----GF--------</t>
  </si>
  <si>
    <t>-----GFKDYK--AGVA-------------------------------------------</t>
  </si>
  <si>
    <t>-SVPVKE------------------------------LSMTEIR----------------</t>
  </si>
  <si>
    <t>---------------------PRTH-----------------------------------</t>
  </si>
  <si>
    <t>--------------------------------------------DDEIGGMKLVV-----</t>
  </si>
  <si>
    <t>---------------------------------------------LGKPG----------</t>
  </si>
  <si>
    <t>KSIIASK-------RHLI----PAAVVISGSEEANHFYSG--------L-----------</t>
  </si>
  <si>
    <t>--------VPE-----------------------------CYIY------SKF-------</t>
  </si>
  <si>
    <t>--------DPD-IITRVKKRQLEL------------------------------------</t>
  </si>
  <si>
    <t>K-HLDP-------KHSWLLLVIDDCMDNT-KLF-----------NNEVVADLFKNG-RHW</t>
  </si>
  <si>
    <t>NLLVI-IASQYIMDL-KAD-L-RCSI-DGVFLFSESNLTSQEKIYK-QFGG-KIP-----</t>
  </si>
  <si>
    <t>-KPQFMLLMEKVTL----------------------------------------------</t>
  </si>
  <si>
    <t>----------------------------DYT-------CLYI---------DNASQT-Q-</t>
  </si>
  <si>
    <t>----------------HWTECVRYYKAPML----------TNEDV-----NF--------</t>
  </si>
  <si>
    <t>-----GFADYK-NSAIAV--------V-E-------------------------------</t>
  </si>
  <si>
    <t>EIIQIKE------------------------------LDINSIR----------------</t>
  </si>
  <si>
    <t>---------------------PNVESM---------------------------------</t>
  </si>
  <si>
    <t>--------------------------------------------KTDIGGMKIAI-----</t>
  </si>
  <si>
    <t>---------------------------------------------IGKPS----------</t>
  </si>
  <si>
    <t>KHLLYAK-------KHLI----PVGMVISGSEDSNGFYSK--------I-----------</t>
  </si>
  <si>
    <t>--------FPQ-----------------------------LFIY------EKY-------</t>
  </si>
  <si>
    <t>--------KKD-VVKNFIERQKLS------------------------------------</t>
  </si>
  <si>
    <t>K-KYHL-------PNSWSVLVMDDCMDDV-KVF-----------NDPLIQGLFKNG-RHW</t>
  </si>
  <si>
    <t>NMLAL-FANQYVLDF-KPA-I-RTNL-DGIFIFREPNNSNREKIYK-NFAS-VIPT----</t>
  </si>
  <si>
    <t>-FKIFCHLMDKLTV----------------------------------------------</t>
  </si>
  <si>
    <t>----------------------------DYT-------SIYIK-----NQLNNTRNE-E-</t>
  </si>
  <si>
    <t>----------------HWTNYVFYFKAQI------------VPDF-----TF--------</t>
  </si>
  <si>
    <t>-----GCDDYI-RFSEDR--------I-K-------EEED--------------------</t>
  </si>
  <si>
    <t>NEVDIHE------------------------------FPIHEM-----------------</t>
  </si>
  <si>
    <t>-----------------------------------------------KSNSKIVI-----</t>
  </si>
  <si>
    <t>---------------------------------------------IGKPA----------</t>
  </si>
  <si>
    <t>RDIVKAF-------RHIF----PVAKVFSGTEENNHFYAQ--------I-----------</t>
  </si>
  <si>
    <t>--------FPE-----------------------------LFIH------SEY-------</t>
  </si>
  <si>
    <t>--------NEK-EMEDFAKRQKLA------------------------------------</t>
  </si>
  <si>
    <t>R-NNP--------NNPKGLLIVDDCSDDP-KFF-----------HRPLFQKFYKNG-RQW</t>
  </si>
  <si>
    <t>DMMFI-LALQYGMDI-RPV-I-RTNI-DYVFIFREPNERNRKALHE-NYAG-IIGS----</t>
  </si>
  <si>
    <t>-YADFCDVMDQLTE----------------------------------------------</t>
  </si>
  <si>
    <t>----------------------------DYT-------ALVI---------DNRKQS-N-</t>
  </si>
  <si>
    <t>----------------DLSDCVYYYKARL------------HDDF-----NF--------</t>
  </si>
  <si>
    <t>-----GSLEYC-QWANQR--------Y-N-------TQYVPP------------------</t>
  </si>
  <si>
    <t>--------------------VL--------------------------------------</t>
  </si>
  <si>
    <t>------------------------------------------M-----------------</t>
  </si>
  <si>
    <t>-----------------------------------------------EPNSKIVI-----</t>
  </si>
  <si>
    <t>RDIVKAY-------SHVF----PVAKVFSGTEENNHFYSE--------I-----------</t>
  </si>
  <si>
    <t>--------FPE-----------------------------LYIH------SEY-------</t>
  </si>
  <si>
    <t>--------DEK-EMENFAKRQKLA------------------------------------</t>
  </si>
  <si>
    <t>EMMFI-LALQYGMDI-RPV-I-RTNI-DYVFIFREPNERNRKALYE-NYAG-IIGN----</t>
  </si>
  <si>
    <t>-YSDFCDVMDQLTE----------------------------------------------</t>
  </si>
  <si>
    <t>----------------------------DYT-------AVVI---------DNRKQS-N-</t>
  </si>
  <si>
    <t>----------------DISECVKYYKARM------------HDDF-----KF--------</t>
  </si>
  <si>
    <t>-----GSQEFC-QWAEQR--------Y-N-------TQYVPP------------------</t>
  </si>
  <si>
    <t>--------------------VI--------------------------------------</t>
  </si>
  <si>
    <t>MSFIDVSSLYR--------------VERSPTPEAREHYTLL------NTPSATRQVSTQE</t>
  </si>
  <si>
    <t>PIVA-NV-----------------------------------------------------</t>
  </si>
  <si>
    <t>VGSSPSEAASSPI-----------------------RIECSPLPEP--------------</t>
  </si>
  <si>
    <t>DSLIIPQ------------------------------FHPNLIS----------------</t>
  </si>
  <si>
    <t>---------------------PREDSYM--------------------------------</t>
  </si>
  <si>
    <t>--------------------------------------------DRNKGGSKIAF-----</t>
  </si>
  <si>
    <t>---------------------------------------------VGKPG----------</t>
  </si>
  <si>
    <t>RYIMYTK-------RKMI----PVAVVMSGTEGSNGFYSE--------V-----------</t>
  </si>
  <si>
    <t>--------VPD-----------------------------TYIY------NDC-------</t>
  </si>
  <si>
    <t>--------DQM-ALENFKQRQLEA------------------------------------</t>
  </si>
  <si>
    <t>K-KRC--------ANPWALLVIDDCSTNK-KNF-----------TTKIQEDLFKNG-RHY</t>
  </si>
  <si>
    <t>KMLYM-VGVQYPKDL-PLT-L-RTCL-DGIFLFGTGNHDVRKRLWE--FAD-DFPN----</t>
  </si>
  <si>
    <t>-KETFYQVFSQVTSV---------------------------------------------</t>
  </si>
  <si>
    <t>----------------------------DHR-------CLYI---------DYQGGK-G-</t>
  </si>
  <si>
    <t>----------------SWYNNIYWAMAPPP-N--------ETPKF-----RF--------</t>
  </si>
  <si>
    <t>-----GCLEYR-MAARDR--------A-D-------KKKIAAQCAY--------------</t>
  </si>
  <si>
    <t>-------------------D----------------------------------------</t>
  </si>
  <si>
    <t>--------------QINT------------------------------------------</t>
  </si>
  <si>
    <t>Y-----------------------------------------------------------</t>
  </si>
  <si>
    <t>SSSSSSSSCSSSVVEE------------YNESDSVKSVTLSSSPNP--------------</t>
  </si>
  <si>
    <t>NDIVIPQ------------------------------FHPNLIA----------------</t>
  </si>
  <si>
    <t>---------------------PREDTFM--------------------------------</t>
  </si>
  <si>
    <t>--------------------------------------------DQNQGGSKCAL-----</t>
  </si>
  <si>
    <t>---------------------------------------------IGKPN----------</t>
  </si>
  <si>
    <t>RWLMYSK-------RKIF----PSALVMSGTESCTGFYAT--------M-----------</t>
  </si>
  <si>
    <t>--------VPP-----------------------------LYIY------NEY-------</t>
  </si>
  <si>
    <t>--------DQN-ALENFKKRQLLV------------------------------------</t>
  </si>
  <si>
    <t>R-KSC--------SNPWTLLILDDCASST-KNF-----------NGPIQQDLFKNG-RHY</t>
  </si>
  <si>
    <t>KMLYL-LGVQYPKDI-PVT-A-RSCF-DGVFLFATGNSDVMKKLFE--FAG-DFPD----</t>
  </si>
  <si>
    <t>-KETFYKVFTEVTSV---------------------------------------------</t>
  </si>
  <si>
    <t>----------------------------DHR-------ALYI---------DYQNRN-G-</t>
  </si>
  <si>
    <t>----------------KWFNNIYWAQAPHP-K--------DIPDF-----KF--------</t>
  </si>
  <si>
    <t>-----GSAEYQ-AVAKDR--------V-D-------FDRVRM------------------</t>
  </si>
  <si>
    <t>--------------------------------------QCSNI-----------------</t>
  </si>
  <si>
    <t>-----------------Y------------------------------------------</t>
  </si>
  <si>
    <t>KKFSIRP------------------------------WDLPNS-----------------</t>
  </si>
  <si>
    <t>-----------------------------------------------YPSASYIV-----</t>
  </si>
  <si>
    <t>---------------------------------------------TGPPG----------</t>
  </si>
  <si>
    <t>RSFCYYM-------RHKY----PVAKIVSGTETENQTFHE--------N-----------</t>
  </si>
  <si>
    <t>--------FPP-----------------------------LYIS------TKY-------</t>
  </si>
  <si>
    <t>--------EQN-AELQYVARQRKA------------------------------------</t>
  </si>
  <si>
    <t>KTNKKC-------KNSSAIHIVDDCADDP-KTL-----------RSPLMTSFFKNGSRHW</t>
  </si>
  <si>
    <t>DGIFM-LLTQAGLDA-PPG-V-RKCA-SYYVLFYEASLVEREKLWR-NFGS-KLGN----</t>
  </si>
  <si>
    <t>-FKEFCDIMDQVCV----------------------------------------------</t>
  </si>
  <si>
    <t>----------------------------DHA-------CMVI---------DNRTQS-K-</t>
  </si>
  <si>
    <t>----------------NIEDMLFWYRAPHP-----------IPKF-----KF--------</t>
  </si>
  <si>
    <t>-----GCKQYR-KWSKER--------Y-N-------KNYEPP------------------</t>
  </si>
  <si>
    <t>---------------LI-------------------------------------------</t>
  </si>
  <si>
    <t>KVLNIKP------------------------------WDILNS-----------------</t>
  </si>
  <si>
    <t>---------------------------------------------VGNPG----------</t>
  </si>
  <si>
    <t>TSCAYYL-------RHRY----PVAKIVSGTETENQTFHQ--------Y-----------</t>
  </si>
  <si>
    <t>--------DAN-AELNYVGRQRKA------------------------------------</t>
  </si>
  <si>
    <t>KRDKKC-------KNSAAMHIIDDCADDP-KIL-----------RSPLMNSFFKNGSRHW</t>
  </si>
  <si>
    <t>DGIFM-LLAQAGLDI---G-VCRKSA-SYFVLFYEASLVEREKLWR-NFGS-KLGT----</t>
  </si>
  <si>
    <t>RTIKLSA------------------------------FNAKAAC----------------</t>
  </si>
  <si>
    <t>-----------------------------------------------SKHFNAVV-----</t>
  </si>
  <si>
    <t>---------------------------------------------IGKKH----------</t>
  </si>
  <si>
    <t>KDILYNV------HKQKV----PRICVFSGTEESNGFYRE--------F-----------</t>
  </si>
  <si>
    <t>--------IPD-----------------------------LFIF------DDS-------</t>
  </si>
  <si>
    <t>--------MVEEKLTQIVESQKKI------------------------------------</t>
  </si>
  <si>
    <t>---------------------------GMQKQLG--------------------------</t>
  </si>
  <si>
    <t>ECGDD--------VDSRIVVVLDDVGYKK-NTL-----------KCEILRQIFMNG-RHH</t>
  </si>
  <si>
    <t>QISLI-VACQYCMDL-AID-L-RTNA-DYVFVLKQNNMNSIKNLHE-TYFG-SFEK----</t>
  </si>
  <si>
    <t>-KKDFQTVLEACTA----------------------------------------------</t>
  </si>
  <si>
    <t>----------------------------DYQ-------CLVL---------DNTKPS-T-</t>
  </si>
  <si>
    <t>----------------NTTDVCFWYKAKY------------GKEY-----KF--------</t>
  </si>
  <si>
    <t>-----GCPLLW-EYHGRW--------Y-M-------SEKQRYQSQ---------------</t>
  </si>
  <si>
    <t>------------QKTKP---------------------SRSRTGT---------------</t>
  </si>
  <si>
    <t>------------------------------------HQQ---------------------</t>
  </si>
  <si>
    <t>--------------QLVV------------------------HKATSGP-----------</t>
  </si>
  <si>
    <t>-------------------------AGNAAAGNAAAGTAG--------------------</t>
  </si>
  <si>
    <t>------------------------------TAE---------------------------</t>
  </si>
  <si>
    <t>C-----------------------------------------------------------</t>
  </si>
  <si>
    <t>KTIKLSA------------------------------FNPRTAC----------------</t>
  </si>
  <si>
    <t>-----------------------------------------------STFFNAVV-----</t>
  </si>
  <si>
    <t>KDILYHL------HKKKV----PRMCVFSGTEESNGFYKE--------F-----------</t>
  </si>
  <si>
    <t>--------VPG-----------------------------LFIY------DDS-------</t>
  </si>
  <si>
    <t>--------DVENKLNEIVDSQKET------------------------------------</t>
  </si>
  <si>
    <t>---------------------------AMQKQLG--------------------------</t>
  </si>
  <si>
    <t>EASED--------LDSRIAIVLDDVGYKK-NIL-----------KSEIIRQIFMNG-RHH</t>
  </si>
  <si>
    <t>QIYLV-VACQYCMDV-GQD-L-RTNA-DYVYVLKQNNMSSIKNLHE-TYFG-TFEK----</t>
  </si>
  <si>
    <t>-KKDFQTVLEACTQ----------------------------------------------</t>
  </si>
  <si>
    <t>----------------MTTDVCFWFKAKY------------SRNF-----KF--------</t>
  </si>
  <si>
    <t>-----GCSQLW-EYHDRW--------F-M-------TEKQRYLND---------------</t>
  </si>
  <si>
    <t>------------KKEK-----------------------VENVSS---------------</t>
  </si>
  <si>
    <t>------------------------------------KKG---------------------</t>
  </si>
  <si>
    <t>--------------NLVV------------------------QKSELD------------</t>
  </si>
  <si>
    <t>P-----------------------------------------------------------</t>
  </si>
  <si>
    <t>INVNLKR------------------------------FDCRAAM----------------</t>
  </si>
  <si>
    <t>-----------------------------------------------SVKCNAVV-----</t>
  </si>
  <si>
    <t>AELLYYL------NKQKV----PRACVFSATEESNRFFCR--------H-----------</t>
  </si>
  <si>
    <t>--------IPD-----------------------------SFIF------DEK-------</t>
  </si>
  <si>
    <t>--------NVELKLTEIVEQQKRL------------------------------------</t>
  </si>
  <si>
    <t>---------------------------QLQKDIG--------------------------</t>
  </si>
  <si>
    <t>EIDRD--------TDLRVAIVLDDMGYNR-KVL-----------TSQILTFIFMNG-RHY</t>
  </si>
  <si>
    <t>DITLI-VAIQHVMQL-TPA-L-RSNT-DYVICLKEGNKNVMRNLYE-NFFG-VFEK----</t>
  </si>
  <si>
    <t>-PVHFKNAFDACTK----------------------------------------------</t>
  </si>
  <si>
    <t>----------------------------DFG-------CLIL---------NNTVTS-V-</t>
  </si>
  <si>
    <t>----------------LVNDTVNWYKATP------------NREF-----KF--------</t>
  </si>
  <si>
    <t>-----GSKEFW-EYHDER--------Y-V-------SIQDRYLLE---------------</t>
  </si>
  <si>
    <t>------------KRPA-----------------------ADTTMS---------------</t>
  </si>
  <si>
    <t>------------------------------------SDG---------------------</t>
  </si>
  <si>
    <t>--------------TFVI------------------------HKHV--------------</t>
  </si>
  <si>
    <t>LKMDIRE------------------------------WSMDQIK----------------</t>
  </si>
  <si>
    <t>--------------------------------------------LREKHCPRIVF-----</t>
  </si>
  <si>
    <t>---------------------------------------------IGKTD----------</t>
  </si>
  <si>
    <t>KDFLYHN-------QD-I----PFVTVISTTERFNRNYTG--------I-----------</t>
  </si>
  <si>
    <t>--------VPD-----------------------------MFIH-------NY-------</t>
  </si>
  <si>
    <t>--------NKD-IIKKYIERQEFI------------------------------------</t>
  </si>
  <si>
    <t>---------------------------TEKCESNPE------------------------</t>
  </si>
  <si>
    <t>NCCVV-LTMQHPMGI-TPD-L-RTNV-DYVFLGYESLHTNKKKLFD-HYAG-VFDD----</t>
  </si>
  <si>
    <t>-YGLFCAALDSCTE----------------------------------------------</t>
  </si>
  <si>
    <t>----------------------------NYG-------WLVI---------DHKVRS-H-</t>
  </si>
  <si>
    <t>----------------KLEDKVFWYRAPEK-----------PKKF-----RL--------</t>
  </si>
  <si>
    <t>-----CDDHFW-ETPIKEQIVARDEHYIT-------RRRDYHIRRL--------------</t>
  </si>
  <si>
    <t>-----------ASREKEEKDV----------------KEYNPTIP---------------</t>
  </si>
  <si>
    <t>------------------------------------------KR----------------</t>
  </si>
  <si>
    <t>TVVR-----------------------GL-------------------------------</t>
  </si>
  <si>
    <t>SAAEPGGHLPNSTSRL------------V----------------PVLPAASYR--EQP-</t>
  </si>
  <si>
    <t>KNM------------------------------------------------PKKHYGESE</t>
  </si>
  <si>
    <t>THLEFQK------------------------------LKLTEI-----------------</t>
  </si>
  <si>
    <t>-----------------------------------------------YPYSLIFL-----</t>
  </si>
  <si>
    <t>RDLCYNFYLHKLQEGESI----DFALCFSPTEDTQGAFAS--------F-----------</t>
  </si>
  <si>
    <t>--------IPY-----------------------------CNIY------PQY-------</t>
  </si>
  <si>
    <t>--------RED-VVLQLMETQRAL------------------------------------</t>
  </si>
  <si>
    <t>---------------------------LKKNG----------------------------</t>
  </si>
  <si>
    <t>KIMLL-LSVQYCMDI-PTA-V-RGNI-DLTLALRDNTYANKEKYYK-NFFG-QFKN----</t>
  </si>
  <si>
    <t>-LHQFIEAFDTLTN----------------------------------------------</t>
  </si>
  <si>
    <t>----------------------------NYG-------AIVS---------INNSHS-T-</t>
  </si>
  <si>
    <t>----------------NLEETIFWYRADPD-S--------LPKKF-----RL--------</t>
  </si>
  <si>
    <t>EP---------ARSEVAR-S------------------EVVPSSRQQQEPHPFPQESSVS</t>
  </si>
  <si>
    <t>RRSTTRAGRPGTPARRDSSTMI------------RQNQPT--------------------</t>
  </si>
  <si>
    <t>-----------LPGHIVI------------------------E-----------------</t>
  </si>
  <si>
    <t>AEIPLPA------------------------------FDLSRV-----------------</t>
  </si>
  <si>
    <t>-----------------------------------------------APDSVALF-----</t>
  </si>
  <si>
    <t>QFLAHHF-------RW-I----PRGIVCCPTDNTNPAWSE--------H-----------</t>
  </si>
  <si>
    <t>--------MPR-----------------------------CFVY------PEF-------</t>
  </si>
  <si>
    <t>--------NPE-AVKRMMNDQIRL------------------------------------</t>
  </si>
  <si>
    <t>---------------------------KRKLRREIWE----------------------R</t>
  </si>
  <si>
    <t>E-KRKMTK---W-ELPCAFVVLDDCGFDK-RFR-----------NDETVKELLLNG-RHL</t>
  </si>
  <si>
    <t>NIFVM-IALQYMMDV-QPA-M-RTNA-DYIILTKEKSGVLREKIYK-NWGS-CVNS----</t>
  </si>
  <si>
    <t>-PKVFNQIMDQATQ----------------------------------------------</t>
  </si>
  <si>
    <t>----------------------------NYS-------CLVI---------DNKNNASS-</t>
  </si>
  <si>
    <t>----------------KISDSFAMFKADKE-V--------ADSPF-----KM--------</t>
  </si>
  <si>
    <t>-----GDRKFW-AFGHTA--------G--------ITEDEMDNDE---------------</t>
  </si>
  <si>
    <t>---AADIER---MERSM-------------------QNIGP-------------------</t>
  </si>
  <si>
    <t>--------------KTKVK-----------------------VRMIN-------------</t>
  </si>
  <si>
    <t>DAVPITR------------------------------YDFASQF----------------</t>
  </si>
  <si>
    <t>-----------------------------------------------PRHGTFAA-----</t>
  </si>
  <si>
    <t>---------------------------------------------IGRRA----------</t>
  </si>
  <si>
    <t>LDVMYNL-------RDRF----DLGIAFTTTTPMAEALAE--------I-----------</t>
  </si>
  <si>
    <t>--------MPR-----------------------------GCIF------TEF-------</t>
  </si>
  <si>
    <t>--------NVD-RIKTLLDEQELM------------------------------------</t>
  </si>
  <si>
    <t>---------------------------MARKKPR--------------------------</t>
  </si>
  <si>
    <t>YITFL-CALQTPMAL-KPD-M-RMQI-DIVVALKENQVANRRRLHD-AFFG-VIPS----</t>
  </si>
  <si>
    <t>-WHDFERLFMAFTQ----------------------------------------------</t>
  </si>
  <si>
    <t>----------------------------NYG-------ALLV---------DQTVQS-T-</t>
  </si>
  <si>
    <t>----------------DLTRVIYHYKAQID-----------LPKF-----VC--------</t>
  </si>
  <si>
    <t>-----ISRKYV-KIWEQI--------K-K-------SQREVM------------------</t>
  </si>
  <si>
    <t>-----------MLKEKKI-D-----------------EERKQKLVE--------------</t>
  </si>
  <si>
    <t>-----------TAKQRGE----------------KIRQV---------------------</t>
  </si>
  <si>
    <t>--------------HTAVN-----------------------AR----------------</t>
  </si>
  <si>
    <t>--------------------------NGDP------------------------------</t>
  </si>
  <si>
    <t>------------------------------NAKIVLSSF---------------------</t>
  </si>
  <si>
    <t>Q-----------------------------------------------------------</t>
  </si>
  <si>
    <t>TTMEFKK------------------------------FDPDVLR----------------</t>
  </si>
  <si>
    <t>----------------------------------------------DKAWNASVI-----</t>
  </si>
  <si>
    <t>---------------------------------------------VGRRA----------</t>
  </si>
  <si>
    <t>KQLCAES-------KA------DVVLGFSAIGSAGD------------Y-----------</t>
  </si>
  <si>
    <t>-------GLPE-----------------------------AMLY------NTL-------</t>
  </si>
  <si>
    <t>--------NWE-AVECLMDIQSQC------------------------------------</t>
  </si>
  <si>
    <t>---------------------------IKKGL----------------------------</t>
  </si>
  <si>
    <t>RISVI-VTTQYLLDI-PPP-V-RGNV-DNWFLAGDNIVSNRQRLWK-KAAG-QFRT----</t>
  </si>
  <si>
    <t>-FKAFEAVFDGLTQ----------------------------------------------</t>
  </si>
  <si>
    <t>----------------------------DYG-------FLVS---------LQNVNS-E-</t>
  </si>
  <si>
    <t>----------------KLVDTVRWFRADRAFV--------DRMPV-----RL--------</t>
  </si>
  <si>
    <t>PPLS----FPQPNPEAIF-RIPPHASYPFYPPPPIGSNQATPAPPPPPAPI---------</t>
  </si>
  <si>
    <t>----------GQVKDPSSP------CF---------NAT---------------------</t>
  </si>
  <si>
    <t>------------------------------------------TR----------------</t>
  </si>
  <si>
    <t>-------------------------------------------------------MND--</t>
  </si>
  <si>
    <t>TPIVIDP------------------------------FDFSKA-----------------</t>
  </si>
  <si>
    <t>-----------------------------------------------KADRSWAF-----</t>
  </si>
  <si>
    <t>---------------------------------------------VGRKG----------</t>
  </si>
  <si>
    <t>YAAMMLY-------RL-F----DFVVALSPASQTRDILAM--------F-----------</t>
  </si>
  <si>
    <t>--------MPA-----------------------------SCIH------NDL-------</t>
  </si>
  <si>
    <t>--------PDK-FLEELMTETGKL------------------------------------</t>
  </si>
  <si>
    <t>---------------------------TAAG-----------------------------</t>
  </si>
  <si>
    <t>KITFF-NAVQYVRDM-AKN-S-RSQH-DYIFAAGDTSPENMDALYE-IFFSSKIRN----</t>
  </si>
  <si>
    <t>-RQDFDDLFTMITA----------------------------------------------</t>
  </si>
  <si>
    <t>----------------------------DYG-------MMVL---------DLTSTS-D-</t>
  </si>
  <si>
    <t>----------------NIQDCIFRYQAPH------------PNTFH----RVAVH-----</t>
  </si>
  <si>
    <t>----IGGRSQW-KMHYGFGL--------N-----DAKPKEISNPIP-----GLERK----</t>
  </si>
  <si>
    <t>---PTPVTR-PTKARRTTR-----------------AKPAGTTSG---------------</t>
  </si>
  <si>
    <t>----------GRRRRTVVTPA---------------------RKKVFVINKSGVTG----</t>
  </si>
  <si>
    <t>------------------------ASDSSANSAVQDNNNNEA------------------</t>
  </si>
  <si>
    <t>-----------------------------------------------PSQ----------</t>
  </si>
  <si>
    <t>TL----------------------------------------------------------</t>
  </si>
  <si>
    <t>STLPLKY------------------------------LDLTDI-----------------</t>
  </si>
  <si>
    <t>-----------------------------------------------RQDSTIVV-----</t>
  </si>
  <si>
    <t>---------------------------------------------IRSRTHE--------</t>
  </si>
  <si>
    <t>SNTLSHLY----ETKK-I----HDCVIISPTEQHDSAYKN--------I-----------</t>
  </si>
  <si>
    <t>--------VSK-------------------------------VY------RSY-------</t>
  </si>
  <si>
    <t>--------DTK-IIREIVETQQNG------------------------------------</t>
  </si>
  <si>
    <t>H------------YDKHVAIVLDNCISNS-IFK-----------NDSILTEILLHG-RCY</t>
  </si>
  <si>
    <t>RITLI-ITMQYALEL-TSE-I-RNNI-DYIFMAYDDIFSNMKKLYD-YYSNKTFPS----</t>
  </si>
  <si>
    <t>-YDVFKEVFHRMNK----------------------------------------------</t>
  </si>
  <si>
    <t>----------------------------NSE-------MMTI-------------AA-S-</t>
  </si>
  <si>
    <t>----------------EFKHNVFYYKNTA------------CKET-----TIPV------</t>
  </si>
  <si>
    <t>-----MKLQFY-ENTEIQ--------I-SQPAK-SDSNSDNENPTY-----PI-------</t>
  </si>
  <si>
    <t>------------------------------------NNNTERIMS---------------</t>
  </si>
  <si>
    <t>------------KINKC-------------------NKL---------------------</t>
  </si>
  <si>
    <t>--------------MLNII-----------------------TNNVHHN-----------</t>
  </si>
  <si>
    <t>-------------------------HNNDMLNXXXXQYIH--------------------</t>
  </si>
  <si>
    <t>-----------------FRIHFHFHVFEYFCE----------------------------</t>
  </si>
  <si>
    <t>LSIDLIK--------------PKND------------FKHPTVK----------------</t>
  </si>
  <si>
    <t>----------------YPKVLP--------------------------------------</t>
  </si>
  <si>
    <t>-----------------------------------------------QHEFSMLI-----</t>
  </si>
  <si>
    <t>---------------------------------------------VAPKG----------</t>
  </si>
  <si>
    <t>CNLLLKQY------KGYF----NRVLVCSPTVDNDPKWDV--------VKDTKGVLAENK</t>
  </si>
  <si>
    <t>ELKKIRENMPTNQKHKLPSLVKAPGKKESDDPENEK--FQGYIPE-----EDF-----FI</t>
  </si>
  <si>
    <t>--------NLD-ELPPKLRKQNDV------------------------------------</t>
  </si>
  <si>
    <t>---------------------------IQSLRDE--------------------------</t>
  </si>
  <si>
    <t>HGDKAKF------IADRMLVILDDQAGMFKGGN-----------TNNPMVNFVLRH-RHY</t>
  </si>
  <si>
    <t>SSSVI-IVTQAYKAI-PKS-I-RTNC-NALIAFEIANLGELKVVYE-EWPE-SMRE----</t>
  </si>
  <si>
    <t>--EEWMKVFDFCTRE---------------------------------------------</t>
  </si>
  <si>
    <t>----------------------------PFT-------FIYI---------NNHFPK---</t>
  </si>
  <si>
    <t>-----GQRIFK-NFTHKI--------I---------------------------------</t>
  </si>
  <si>
    <t>----------------------------------------DRHIQ---------------</t>
  </si>
  <si>
    <t>-----------DGEDKGGD-----------------------------------------</t>
  </si>
  <si>
    <t>KPIKLKE------------------------------YTSQQSK----------------</t>
  </si>
  <si>
    <t>-----------------YEIAP--------------------------------------</t>
  </si>
  <si>
    <t>-----------------------------------------------SVPFRSVI-----</t>
  </si>
  <si>
    <t>---------------------------------------------LGPSG----------</t>
  </si>
  <si>
    <t>QNLILNVY------KDVF----KRIYVFSPSFFVDATWRP--------VESY--------</t>
  </si>
  <si>
    <t>--QEETMNIKH-------------SDKE------------KLYF------DNY-------</t>
  </si>
  <si>
    <t>--------NSD-DLENIINTQHKL------------------------------------</t>
  </si>
  <si>
    <t>---------------------------IDYMKKN--------------------------</t>
  </si>
  <si>
    <t>NYK----------KLFNILIVIDDFADDV-QFCR----------HSKLLHSLFTRG-RHN</t>
  </si>
  <si>
    <t>YISTI-VATQKFTAI-HPI-I-RVNA-TELYVYRLRNNKDLETFLD-EVSG-SINK----</t>
  </si>
  <si>
    <t>--KTLLDIYRLATKD---------------------------------------------</t>
  </si>
  <si>
    <t>----------------------------PYS-------FLFC---------NLVAKK---</t>
  </si>
  <si>
    <t>-----VEDMFYQNFNHKI--------VIS-------------------------------</t>
  </si>
  <si>
    <t>--------------------------------------DI--------------------</t>
  </si>
  <si>
    <t>---------------------------------FI-------------------------</t>
  </si>
  <si>
    <t>-----------------------------------KKLDLL-------------------</t>
  </si>
  <si>
    <t>TILPIKPLQ--------------EDNEIK--------FDPRFFD----------------</t>
  </si>
  <si>
    <t>-----------------------L------------------------------------</t>
  </si>
  <si>
    <t>-----------------------------------------------NTGGCVLH-----</t>
  </si>
  <si>
    <t>---------------------------------------------VAPPK----------</t>
  </si>
  <si>
    <t>TNLILNPNFDLINKLDIV--HIYSPTITAGDQSTRHLYEQ--------------------</t>
  </si>
  <si>
    <t>--------MPG------------------------------TIY------KDY-------</t>
  </si>
  <si>
    <t>--------SDK-HLQSILNQQLSF------------------------------------</t>
  </si>
  <si>
    <t>NVKLIYLASQYYKAV-PVS-V-RSCI-NYAIIGRNSNKKELDKMNE-ELGS-VYDN----</t>
  </si>
  <si>
    <t>---QFLRLHKQATND---------------------------------------------</t>
  </si>
  <si>
    <t>K---------------NFTTKIYTSKQNGQV-------------------DI--------</t>
  </si>
  <si>
    <t>XXXXXXXXXXXXXXXXLF-NYL--------------------------------------</t>
  </si>
  <si>
    <t>FFFF----------KLINTC-------------------------LGSI-----------</t>
  </si>
  <si>
    <t>----------------------FFFLSGTLSSSICFSS----------------------</t>
  </si>
  <si>
    <t>-----------------F-----FLLFITEYSSV--------------------------</t>
  </si>
  <si>
    <t>LYIY--------------------------------------------------------</t>
  </si>
  <si>
    <t>YSLYMWSRAIK-------------------------------------------------</t>
  </si>
  <si>
    <t>EKLLVKKLFVSFYRKLSG-IDIAQDNG--------QFYLAEAML----------------</t>
  </si>
  <si>
    <t>------------------------------------------------GNSKTFH-----</t>
  </si>
  <si>
    <t>---------------------------------------------ILKNT----------</t>
  </si>
  <si>
    <t>KRFMQYF-------YN----------VNGDSGQLTIFGKD--------I-----------</t>
  </si>
  <si>
    <t>--------VPE----------------------------ATTIF------TRY-------</t>
  </si>
  <si>
    <t>D-----SVTNE-ALDVILNQNHIQ------------------------------------</t>
  </si>
  <si>
    <t>--------------------------K---------------------------------</t>
  </si>
  <si>
    <t>K------------------LVIIDC--DPSTYK-----------NLEKFKELIFNG-RFH</t>
  </si>
  <si>
    <t>NVTLV-MFSDNSLCF-PPA-I-RANI-DVIMTDLISTNILRKRFWQ-TYGS-YVPD----</t>
  </si>
  <si>
    <t>-YETFSKLHVKYTK----------------------------------------------</t>
  </si>
  <si>
    <t>----------------------------DKL------DMMVI---------SNSYSD---</t>
  </si>
  <si>
    <t>------------------KEKVTHY-----------------------------------</t>
  </si>
  <si>
    <t>------------TF----------------------------------------------</t>
  </si>
  <si>
    <t>SRILIGRTQ----------------------------LSFGSV-----------------</t>
  </si>
  <si>
    <t>-------T----------------------------------------DGVRMVI-----</t>
  </si>
  <si>
    <t>---------------------------------------------IGPSE----------</t>
  </si>
  <si>
    <t>RNILYRN-------RERW----RLGIAFTDSDNTEKDYHT--------V--F-----HPY</t>
  </si>
  <si>
    <t>MVRKFVQELPASKVREM---------KEAAAERDQKLPKGSHLY------GVN-------</t>
  </si>
  <si>
    <t>--------SLT-KLHKSLNAAQYV------------------------------------</t>
  </si>
  <si>
    <t>S-DKE--------SFPRSVIILDDVGDKK-NTL-----------RLPCISDIFEKG-RHH</t>
  </si>
  <si>
    <t>NTDVI-LVAQSHDDV-PKK-A-FQNA-TIKVFCRGADSAYRDFMYQ-QMRG-ALPD----</t>
  </si>
  <si>
    <t>----FIMRKRNVKQ----------------------------------------------</t>
  </si>
  <si>
    <t>----------------------------EFS------------------DLINTWWD-K-</t>
  </si>
  <si>
    <t>----------------NPYKPIVW-KADK------------PTRFYCFDPEL--------</t>
  </si>
  <si>
    <t>-----GIPEFQ-ILAADL--------V---------PEADRRYRIA-----EA-------</t>
  </si>
  <si>
    <t>-----------RRQKEAH-E------------------HINRLLGSARGGGGGRQHMDA-</t>
  </si>
  <si>
    <t>-----------EREKRGGGFVLVDSTFEERLPSTSTSRIPPEFQ-----D----------</t>
  </si>
  <si>
    <t>--------------DIDEE-----------------------DE----------------</t>
  </si>
  <si>
    <t>---------------------GEVEDDDDF------------------------------</t>
  </si>
  <si>
    <t>-------------------------------------------------------MA---</t>
  </si>
  <si>
    <t>-------------------------------------LTTHSGK----------------</t>
  </si>
  <si>
    <t>-------------------LIPELQ-----------------------------------</t>
  </si>
  <si>
    <t>------------------------------------------FKAHHFIDKTTVL-----</t>
  </si>
  <si>
    <t>---------------------------------------------YGPSK----------</t>
  </si>
  <si>
    <t>KHIMKIL-------QPHI----EQILVVAPSEPSNRSYEG--------F-----------</t>
  </si>
  <si>
    <t>QKKNDNKGAER-FLEAIWQRQTMMSSIYSRVNNIDMLKTLYHKL----------PIDI-Q</t>
  </si>
  <si>
    <t>QKENKNIAKVECLKAE---------QTDQKKEEKITSLYQQLLKKIIIQNIHMYKNLCLT</t>
  </si>
  <si>
    <t>E-DEKFTL-NYINLNPRLLLILDDCAAELHPLF-----------TKEIFKKFFYQN-RHC</t>
  </si>
  <si>
    <t>FISMI-ICCQDDTDL-PAN-L-RKNAFVSIFTNASICMSNFSRQSN-RYSK---QD----</t>
  </si>
  <si>
    <t>-KEYVEEISHIVFK----------------------------------------------</t>
  </si>
  <si>
    <t>----------------------------GYR-------KLVY------------------</t>
  </si>
  <si>
    <t>------------I--REDEHRQHFYHSTVP----------LPTAF-----SF--------</t>
  </si>
  <si>
    <t>-----GSKALL-KLCKAV---YSKEVVID-------KSNPYW------------------</t>
  </si>
  <si>
    <t>------------------------------------------SK----------------</t>
  </si>
  <si>
    <t>-----------------FRLNF--------------------------------------</t>
  </si>
  <si>
    <t>E-----------------------------------------------------------</t>
  </si>
  <si>
    <t>-------------------------------------FDFNYKK----------------</t>
  </si>
  <si>
    <t>-----------------------------------------------FLDKSTVL-----</t>
  </si>
  <si>
    <t>---------------------------------------------FGESG----------</t>
  </si>
  <si>
    <t>DDILFQI-------KPFV----GQIIVFCPTDRNNKAYSG-------------G------</t>
  </si>
  <si>
    <t>-------RVPL-----------------------------PCIH------DKI-------</t>
  </si>
  <si>
    <t>RKQREYEIEIKNEMDEGAAK-----CAIAEMDKDTKKLIELIYKHYINENRGKLTKMNLS</t>
  </si>
  <si>
    <t>K-NEQYSL-KYLNINPRLVIIFDDCSSQLNSLK-----------KNKVIQDIFYQG-RHV</t>
  </si>
  <si>
    <t>FITTL-IAIQTDKVL-DPE-I-KKNAFVSIFTEETCASSYFERKSN-DLDK--------E</t>
  </si>
  <si>
    <t>AKNRARNASKMAFS------------------PLPAL-----------------------</t>
  </si>
  <si>
    <t>----------------------------KHQ-------KLAW------------------</t>
  </si>
  <si>
    <t>------------V---RDEKRFYKLMATK------------HDDF-----RF--------</t>
  </si>
  <si>
    <t>-----GNPIIW-NYCEQIQADLGE--V-S-------SDNKFM------------------</t>
  </si>
  <si>
    <t>------------------------------------------QDFID-------------</t>
  </si>
  <si>
    <t>-------------------------------------------------------MD---</t>
  </si>
  <si>
    <t>NNLNINQ------------------------------FATRSNG----------------</t>
  </si>
  <si>
    <t>-------------------IVEECV-----------------------------------</t>
  </si>
  <si>
    <t>------------------------------------------LSATTFLDKSTNV-----</t>
  </si>
  <si>
    <t>---------------------------------------------YGGSG----------</t>
  </si>
  <si>
    <t>KDILYNV-------NPFV----NDIVVVNPTDKLNKDYSG---------NN---------</t>
  </si>
  <si>
    <t>-------NVPA-----------------------------PLVH------DGL-------</t>
  </si>
  <si>
    <t>LEEHEHEILV-GDADEILAK-----SKIDNLRTEYRELKNKVFKFYINRNIDTFARRKLT</t>
  </si>
  <si>
    <t>D-EQQVAI-KWLNINPRMVLVFDDVTPYLKKYA-----------QHPKFKALYYQC-RHY</t>
  </si>
  <si>
    <t>NITSI-TVAHNDSAL-ARDGL-RENAYNNVFADSESANNYIKHEEK-SL-----------</t>
  </si>
  <si>
    <t>--GDYKNYMKKCVS------------------EIFTD-----------------------</t>
  </si>
  <si>
    <t>----------------------------KYT-------KMLY------------------</t>
  </si>
  <si>
    <t>------------E---RDERKVWKFRAKK------------RSNI-----RM--------</t>
  </si>
  <si>
    <t>-----GAPELW-EFLERIKL----------------SPRDEI------------------</t>
  </si>
  <si>
    <t>------------------------------------------KRILNM------------</t>
  </si>
  <si>
    <t>KNPTLEA------------------------------YDPGENAT---------------</t>
  </si>
  <si>
    <t>-----------------FQ-IPHMQ-----------------------------------</t>
  </si>
  <si>
    <t>------------------------------------------KTSNEILHKTNVF-----</t>
  </si>
  <si>
    <t>---------------------------------------------YGLSG----------</t>
  </si>
  <si>
    <t>IELMTWM-------KQDT----PLVIVFSNSEESNEIYSK--------V-----------</t>
  </si>
  <si>
    <t>--------VPP-----------------------------YLIF------TEL-------</t>
  </si>
  <si>
    <t>QAKSEVAKKLKAIYEADPSKKSEISIQIEKLESKHGEMLRARYKEIIRRERRNIIKNAAS</t>
  </si>
  <si>
    <t>D-TEREIA-TYLDFNPNLLLIIDDFSAELKSIMSDKRA----NDKNPIVHNMFYKG-RHC</t>
  </si>
  <si>
    <t>KVTAF-LNFQSDKDL-LTE-L-RMNAHNSFFCSSQSANSFFNKGNSTGFSN---EQ----</t>
  </si>
  <si>
    <t>-KKKATNAAKAVFT------------------PKPGDD----------------------</t>
  </si>
  <si>
    <t>--------------------------RTQYR-------KLVY------------------</t>
  </si>
  <si>
    <t>------------L--RMSNPQFQYVIADF------------HHGF-----RM--------</t>
  </si>
  <si>
    <t>-----GSQSLW-DYAEKLSK-YAEKNIMN-------TNNEFA------------------</t>
  </si>
  <si>
    <t>--------------KMFKI-----------------------------------------</t>
  </si>
  <si>
    <t>------K------------------------------YTSQIINNKM-------------</t>
  </si>
  <si>
    <t>---SQLIKH------------PPQNDFPKDY-----------------------------</t>
  </si>
  <si>
    <t>------------------------------------------------YKGHFGV-----</t>
  </si>
  <si>
    <t>---------------------------------------------IGGTG----------</t>
  </si>
  <si>
    <t>KYIIKEMVR-RFKEKNILCEGKPAVFVLVSEISSSDWLNPE--KNGKRL-----------</t>
  </si>
  <si>
    <t>--------IPE-----------------------------GHVF------TEW-------</t>
  </si>
  <si>
    <t>--------TQE-IRDEIQEKCVKA------------------------------------</t>
  </si>
  <si>
    <t>RVQLL-AIGHKPTDL-PPL-C-TQNI-NHLLLFSTSDVQSIKKLAD-MYLG---GN----</t>
  </si>
  <si>
    <t>QNQEINGAKNIHSGNSNRAGRDYQDNSTNYNQNIVNLDQDVI---------NNTFNEYRL</t>
  </si>
  <si>
    <t>RRERMKQEHQLDLDRIHYDQKISYEKSKED-----------VKNM--LQDPLL-------</t>
  </si>
  <si>
    <t>-----SGKELY-ECCNKMNMILGRTDI-NSSNVFSGPDKEFMDIYY-----PHCG-----</t>
  </si>
  <si>
    <t>--------YTGKKYSVVN-QVGGGVLSL-------LTGDVSGMIKQGAGFMSNSKGN---</t>
  </si>
  <si>
    <t>GNVVYKHNTAKYLINFIVK-----------------------NKGLKLLNNLLGKGCAKN</t>
  </si>
  <si>
    <t>CNLLGKGCAKNRL----SAAD---PHNHNTNNSLQYQISAED------------------</t>
  </si>
  <si>
    <t>----------------IYRIHM-GILFLNKDPQFKYFYEHKKPINEL---FPEITK----</t>
  </si>
  <si>
    <t>------------ATAQY-----------------------------------ISQT----</t>
  </si>
  <si>
    <t>IS-----------------------------------------------------MRKKN</t>
  </si>
  <si>
    <t>PIRDLPHYLRVFQTYLGG-R--MYLIFAL---SFVAGMA-E---------GVGVLMLLPL</t>
  </si>
  <si>
    <t>LQTLGASSGSEDAPAELGGISGFLNEILARLGLQDATEAVLLIITAAFVFKGILTFGAMS</t>
  </si>
  <si>
    <t>FSAYLRGQLLKELKGRLFDAYSRMSYGYYASRDTGHFINVIN--------------EQTT</t>
  </si>
  <si>
    <t>RALQSFNQLTLFATQGINALLYLGLAFIVAWRFGIMAFVVG-----VVLLAMFRTLSGYV</t>
  </si>
  <si>
    <t>RALSRNTATENG--NLARLLIQTLQ--------------------------AFKYLTATG</t>
  </si>
  <si>
    <t>QTLGLKQ-------TINGSISRLTDYQMR--TGVAQGFTQAVRE-------PLAVVFIMG</t>
  </si>
  <si>
    <t>IVLVQLV-------FLQQPLAPILVSILLFYRGLNSVLGMQSQWQSTLEFIGSMEIVNQE</t>
  </si>
  <si>
    <t>FTDQLRFTEPNGSVAISPIHKGVLMENINFSYDEHLGNVVRGVSLEIPVRTSVAL-----</t>
  </si>
  <si>
    <t>---------------------------------------------VGESG----------</t>
  </si>
  <si>
    <t>ADLLTLML------KP-----QTGQLLIDGIPGDQIELSS--WRKQIGY-----------</t>
  </si>
  <si>
    <t>--------EDGGSLDERICEAAKQ------------------------------------</t>
  </si>
  <si>
    <t>Q-RQRLFIAREL-FRKPNLLILDEATSAL------------DSESERAIQESIDE--LKG</t>
  </si>
  <si>
    <t>KVTVV-IIAHRLSTI--------RNV-DWVYVFNQG-----------ELVE---------</t>
  </si>
  <si>
    <t>-QGEYAELRDADGS----------------------------------------------</t>
  </si>
  <si>
    <t>----------------------------KFG-------KLVS----M-----------Q-</t>
  </si>
  <si>
    <t>--------------------------------------------------TL--------</t>
  </si>
  <si>
    <t>-------------------------------G----------------------------</t>
  </si>
  <si>
    <t>KMIELKH------------------------------IDAGYGK----------------</t>
  </si>
  <si>
    <t>--------------------LPVLKD----------------------------------</t>
  </si>
  <si>
    <t>------------------------------------------VTMTMKPNELVAI-----</t>
  </si>
  <si>
    <t>---------------------------------------------IGPNG----------</t>
  </si>
  <si>
    <t>KSIYNIA-------------DVTGGKVFYNNQDISGIKTHELVQLGIGY-----------</t>
  </si>
  <si>
    <t>--------NDKRLVKSRIKRVYKK------------------------------------</t>
  </si>
  <si>
    <t>Q-RQMLAIGRAL-MQDPKVLLMDEPTLGL-SPL-----------LQQELFQIISDL-KND</t>
  </si>
  <si>
    <t>GMCII-VVEQNAKLA-----IESADK---------------------TYLL---------</t>
  </si>
  <si>
    <t>----------------------------ETG-------EIIL----------------S-</t>
  </si>
  <si>
    <t>-----GGKEIL-------------------------KDKKIK------------------</t>
  </si>
  <si>
    <t>--------------EVYLGGGN--------------------------------------</t>
  </si>
  <si>
    <t>-------------------------------------LD---------------------</t>
  </si>
  <si>
    <t>HSLAYSM------------------------------LEYGVMN----------------</t>
  </si>
  <si>
    <t>------------------------------------------------RAGFTVV-----</t>
  </si>
  <si>
    <t>---------------------------------------------TGEIG----------</t>
  </si>
  <si>
    <t>RHLLDRL-------DE------DFTVGLVSNIQDGDLLQW--------V-----------</t>
  </si>
  <si>
    <t>--------LMA---------------------------F-GQTYEG----KSH-VGL---</t>
  </si>
  <si>
    <t>--------HDE--LQQFLIREYA-------------------------------------</t>
  </si>
  <si>
    <t>QLKGL-LQAPELTQF-AQR-I-ASDF-HLAPLTAEDIDAYIKHRL--SIAGRDLPLF---</t>
  </si>
  <si>
    <t>TMEACERLFEASRG----------------------------------------------</t>
  </si>
  <si>
    <t>----IPRIINI---------------LADT--------CLVYGFARMAPEIDGGIVE-E-</t>
  </si>
  <si>
    <t>------------VIRDKQTHGIFDVAAPKG-----------AEDTN----RLPVQ-----</t>
  </si>
  <si>
    <t>-----SKEEVE-EEQPAL--------V--------IHDKELA------------------</t>
  </si>
  <si>
    <t>--------------KLIA-------------------------KKLGSLG----------</t>
  </si>
  <si>
    <t>AIVE----RITFENAETG---------------FVVAK---LDFEGKIVAATGKLIGIAI</t>
  </si>
  <si>
    <t>GESIRAKGTWSSHP---------------KHGKQFEVTS----------FEPALPAKSTA</t>
  </si>
  <si>
    <t>IEKYLASGLIKGIGKV----YA----GKIVAAFGEQALEII---------------EKSP</t>
  </si>
  <si>
    <t>SKLRRIG--------GIGPCRLKAIEQSWAEHRGLREVMV--------FLSSHNISPAYA</t>
  </si>
  <si>
    <t>HKIIRR---------YREKAVEILE------ENPYRL---ASEVAG----IGFAKADAIA</t>
  </si>
  <si>
    <t>RELGLGK-----------------DHPGRLAAGLL--FCLDQAQSRGDTCAPK-------</t>
  </si>
  <si>
    <t>---QELLESASR-LLDIEDLEPALSELVKSGKLIES---EERIWADRL-FQAEMGIADQ-</t>
  </si>
  <si>
    <t>-IQRLRSSPCHLREFSAQKALSWLEENIPFS----LAKEQKEALVSAFTQKLLII-----</t>
  </si>
  <si>
    <t>---------------------------------------------TGGPG----------</t>
  </si>
  <si>
    <t>EGILKVF-------SKLT----KKIVLAAPTGKAAKRMAQ--------V-----------</t>
  </si>
  <si>
    <t>--------------------------------------------------TRH-------</t>
  </si>
  <si>
    <t>--------HAQ-TIHGLLEFDFKG------------------------------------</t>
  </si>
  <si>
    <t>-------------------------GGFKKNRSS--------------------------</t>
  </si>
  <si>
    <t>KLVLVGDTDQ------LPS-VGPGNVLGDLIAAGVAPTVKLERIFRQAFRSRIVTSAHQV</t>
  </si>
  <si>
    <t>NKGQFPKLESKPED----------------------------------------------</t>
  </si>
  <si>
    <t>------------------------------D-------FFFI---------ERSEPA---</t>
  </si>
  <si>
    <t>--------------DITAE-----------------------------------------</t>
  </si>
  <si>
    <t xml:space="preserve">&gt;Acanthamoeba_polyphaga_mimivirus@YP_003986825.1 YP_003986825.1 DNA polymerase [Acanthamoeba polyphaga mimivirus] </t>
  </si>
  <si>
    <t>MPSETIDSTKQFEFQISDWNSYHELDQEEEEKYVIQLFGRTEDDHDVCLKVTGYTPFFYV</t>
  </si>
  <si>
    <t>EIPKQWKQRQVDKFVEILKNKVQYHCKKNLDEDFDLSKSLIKYAMVKKHKFYNFRNKQLY</t>
  </si>
  <si>
    <t>NFLLLVFKSHTAMKEFSSILARPLEAKGLTNKPMLYQRYESNIEPHIRFMHINNLSSCGW</t>
  </si>
  <si>
    <t>ASIDKDKLKKIPEYSNCDYSFSVNWKDVKPSNNDDRMAPFKIMGYDIECVSCDQNFPQAE</t>
  </si>
  <si>
    <t>RPSDKIIQIGITMYRYGSMKCYEQHILTLKKCAPIEGVNVECYKKEKGLLRGFAKKIAEL</t>
  </si>
  <si>
    <t>RPDFKTGYNNFGFDDKYIYDRILRIDKREGKKQGVNINALKNKFMDEILRTIGKVNNNYL</t>
  </si>
  <si>
    <t>IENEGLDRIPIYTTVKDKKISSKASRFIQIRGGTYVENGNNLKYVQSPGITYFEVKNLSS</t>
  </si>
  <si>
    <t>SALGDNELKFIQIPGVLSIDMMKVIQRDHRLIGYKLDNVSANFITEKADKIIEMPHNQED</t>
  </si>
  <si>
    <t>SDSEKEDEDTDDKTYDVNIYTKSTKALEKDSYIQIMVNDGYSSSPLSEGAKYKVYDIQTI</t>
  </si>
  <si>
    <t>TEKKLNEKTNKEEIFVYQAIKTKICQKDIQQLRETIKNPLLGISWTFAKDDMHHTKINEY</t>
  </si>
  <si>
    <t>FEEGDPKKIRQIAKYCLKDCKLVNLLLAKLEIIVNSVGMAKVCHVPLSYLFLRGQGVKIF</t>
  </si>
  <si>
    <t>SLVSKKCREKNFLIPVLRRKSKDNEGDEDETYEGATVITPKPNVYLSPIGVLDYSSLYPN</t>
  </si>
  <si>
    <t>SMRERNLSQECYVDDSKYDNLPGYIYHDVEIILKDKKGKILRNIDGTPQKEYHRFAQEII</t>
  </si>
  <si>
    <t>TDEQINRELKDIFDKINTVFENNVAIIQNQKYFTEKNISELIDKHKNISDSKIEDIEFDE</t>
  </si>
  <si>
    <t>SLSDKRKNKLVDAEKDSLDKNIGFYQKIKSQIDKIKLDSKIEIDNLSKNLNEEEKSKQIN</t>
  </si>
  <si>
    <t>KMELNTKNLISKVFSKYLITEQQREELIVLEKERAKRSVNAEKAKVYNTVDGITVRYGIL</t>
  </si>
  <si>
    <t>PEILTELLNKRKETNGKLANEKDPFVKAILNALQLAFKVTANSLYGQTGAPTSPLYFIAI</t>
  </si>
  <si>
    <t>AACTTAIGRERLHYAKKTVEDNFPGSEVIYGDSVTGDTPIITRHQNGDINITTIEELGSK</t>
  </si>
  <si>
    <t>WKPYEIFKAHEKNSNRKFKQQSQYPTDSEVWTAKGWAKIKRVIRHKTVKKIYRVLTHTGC</t>
  </si>
  <si>
    <t>IDVTEDHSLLDPNQNIIKPINCQIGTELLHGFPESNNVYDNISEQEAYVWGFFMGDGSCG</t>
  </si>
  <si>
    <t>SYQTKNGIKYSWALNNQDLDVLNKCKKYLEETENIQFKILDTMKSSSVYKLVPIRKIKYM</t>
  </si>
  <si>
    <t>VNKYRKIFYDNKKYKLVPKEILNSTKDIKNSFLEGYYAADGSRKETENMGCRRCDIKGKI</t>
  </si>
  <si>
    <t>SAQCLFYLLKSLGYNVSINIRSDKNQIYRLTFSNKKQRKNPIAIKKIQLMNETSNDHDGD</t>
  </si>
  <si>
    <t>YVYDLETESGSFHAGVGEMIVKNTDSIFINFHIKDENGEEKTDKEALMKTIAKCQRAAKL</t>
  </si>
  <si>
    <t>INQNVPKPQSIVYEKTLHPFILVAKKKYVGLLFEKSPDKYFLKSMGIVLKRRDNAPIVKI</t>
  </si>
  <si>
    <t>VVGGIIDNILKNRDIDKAIEYTKIVLDKLMNGEYPMDKFIISKTLKSRYKKPSTIAHKVL</t>
  </si>
  <si>
    <t>ADRMAVRDPGNKPQINDRIPFVYIVKDMGKKKKKDILQGDLIEHPEYVIANNLKIDYLYY</t>
  </si>
  <si>
    <t>LEHQIINPASQILELMMDTKDVQKFFNKYIIDEQNKRKGAQSLTKWMDFSKLPKESGSKT</t>
  </si>
  <si>
    <t>AKKPYQSQKLQKTKSSNKSQIDPKYINLIKNKSRKHECQNMNKWISSTDKCTDDWEPIVE</t>
  </si>
  <si>
    <t xml:space="preserve">&gt;Megavirus_vitis@AVL93905.1 AVL93905.1 B-family DNA polymerase [Megavirus vitis] </t>
  </si>
  <si>
    <t>MVLINNSVDHKVLEFQITDWNSYHETDPEDEKKYVIQLFGRTEDDKDVCIKVTDFTPYFY</t>
  </si>
  <si>
    <t>VQIPISWKKKHVDKFVYYLKRKVSWTTNNNPNYACDLSNSLVNYKMVEKHNFYNFTKKKY</t>
  </si>
  <si>
    <t>FNFVMLVFKSQIAMREFSNVLARPLKTEGLTKEPMLYQRFESNIEPHIRCMHINNLSSCG</t>
  </si>
  <si>
    <t>WVTIDNKNLKNNSEYSNCDYSYSVQWKHIKPSSNDDRMAPLKIMGYDIECVSCDHNFPQA</t>
  </si>
  <si>
    <t>DRETDKIIQIGITMYRYGSMECYEQYILTLKKCARIKGTNVECYKTEKGLIRGWAKKISE</t>
  </si>
  <si>
    <t>IRPDFKGGYNNFGFDDKYIFDRINRIDREEADRQGISVNELENRFLDEILNIMGKVNNVY</t>
  </si>
  <si>
    <t>LIENEGVNKLTDDSNTRQHEGIRKSLTYFEIKNLSSSALGDNELKFFQVPGIISVDMMKV</t>
  </si>
  <si>
    <t>IQRDHRLIGYKLDNVSANFITQKALRCVETGKNNDDENLDISIYTESTKALEKDSYIQIM</t>
  </si>
  <si>
    <t>VDDGYSSSPLCEGAKYKVIDIDGITETVYDENEKKNVTYSYQAIKTKISQKDTEQLREVL</t>
  </si>
  <si>
    <t>TNKLLRVYWTFAKDDMHHTLINKYFNEGDPKKIRQIAKYCIKDCKLVNLLLAKLEIIVNS</t>
  </si>
  <si>
    <t>VGMAKVCHVPLSYLFLRGQGVKIFSLVSKKCREKNFLIPVLRRNKKDNDGDDDNTYEGAT</t>
  </si>
  <si>
    <t>VITPKPNVYLSPIGVLDYSSLYPNSMRERNLSPECYINDNKYDNLPGYIYHDVTIILKDK</t>
  </si>
  <si>
    <t>KGKIIRNLDGSPKKEHHRFAQELINDKQINTEMKDIFDKINKTMDNNIETILQQTYFTIK</t>
  </si>
  <si>
    <t>NIEDKIKKEKLITDSRIEDISFNDDFSTKKKAKLIETEKIEMKNRLKIYLEIDEKIKEIS</t>
  </si>
  <si>
    <t>IKKKLSIDNIDKSLDADQKSKEIGKIEKTYNENIKNVLEKYIISKEEREEMITMEREKAT</t>
  </si>
  <si>
    <t>KSMNDEKSKVYNIVDGKMVRYGILPEILTELLNKRKETNGRLAVEKDSFVKAILNALQLA</t>
  </si>
  <si>
    <t>FKVTANSLYGQTGAPTSPIFFIAIAASTTAIGRERLHYARKMVEDNFPGSEVIYGDSVTG</t>
  </si>
  <si>
    <t>DTPIMIKDKNNNINIVTIKELGEKWKPYDIFKSHEINSNRKYKQQADFNGEVWTSNGWAK</t>
  </si>
  <si>
    <t>IKRVIRHKTVKKLYRVLTNTGCIDVTEDHSLLDTNKNIIKPIDCKIGTELLHGFPEINNN</t>
  </si>
  <si>
    <t>HNKLSLEIYKELDITSELFDCMIESNKKWNNEKMKACFIGSEYRKQNKNISNEILNCSKK</t>
  </si>
  <si>
    <t>IKKYFLLGYLGNDKEYITNNKINAQMVYYLMKCLGYNIVIDLIESSYKLCIVDNINKPYC</t>
  </si>
  <si>
    <t>INKIIQLQDTSINGEYVYDLETESGTFHAGIGELIVKNTDSIFINFHIKDENGQERTDKE</t>
  </si>
  <si>
    <t>ALIQTIAKCQRAAKLINQNVPKPQSIVYEKTFHPFILVAKKKYVGLLFETNPNKYFLKSM</t>
  </si>
  <si>
    <t>GIVLKRRDNAPIVKIVVGGIIDYILKNRDIDKAVEYTRNVLSKLMNGEYPIDKFIISKTL</t>
  </si>
  <si>
    <t>KSKYKKPSTIAHKVLADRMAIRDPGNKPQINDRIPFVYVVKDMGNKKKKDILQGDLIEHP</t>
  </si>
  <si>
    <t>DYVIQNNMKIDYLYYLEHQIIKPATQILELMIDSRSVNKLFDEYKITEENKRKGRRSILE</t>
  </si>
  <si>
    <t>FVPDSKKKNVIMNGSKTTKLVLKSQKNRKIEPKYQNLPYIGNTRKLECKNLGNWMYGDNV</t>
  </si>
  <si>
    <t>KQSSIDDGELDL</t>
  </si>
  <si>
    <t xml:space="preserve">&gt;Moumouvirus_Monve@AEX62677.1 AEX62677.1 DNA polymerase [Moumouvirus Monve] </t>
  </si>
  <si>
    <t>MVENNSNVEKDVVEFQITDWNNYHELDSDDEDKYVIQLFGRTEDDKDVCIKVTDFTPYFY</t>
  </si>
  <si>
    <t>VEIPLNWKRNHVAKFIEILKRRVSWSTNNNPNYNYDLSNSLIKYKVIQKYNFYNFTNKKC</t>
  </si>
  <si>
    <t>FNFVMLFFKSHTAMKEFSNALARPLKTEGLTKDPMLYQRFESNIEPHIRFMHINNLSSCG</t>
  </si>
  <si>
    <t>WVTIDKSHLKENKEYSNCDHSYSVNWKYVKPADNDDRMAPLKIMGYDIECISCDHNFPQA</t>
  </si>
  <si>
    <t>ERETDKIIQIGITMYRYGSMECYEQHILTLKKCARIKGTNVECYKTEKGLLRGWARLISR</t>
  </si>
  <si>
    <t>IRPDFKAGYNNFGFDDKYIIDRINRIDQDEAKRQGITVDELENKFLDEILCIIGKVNNKY</t>
  </si>
  <si>
    <t>LMENEGLKKSLSYFEVKNLSSSALGDNELKFLQVPGILSVDMMKVIQRDHRLIGYKLDNV</t>
  </si>
  <si>
    <t>SANFITQKALRCVENEKSDEDQCELDISIYTESTKALESDSYIQIMVDDGYSSSPLCEGA</t>
  </si>
  <si>
    <t>KYKIHKIETVSETQFDEQEQKNKPYTFQAMKTKMSQKDVALLREVLQNKLLKVYWTFAKD</t>
  </si>
  <si>
    <t>DMHHTLINKYFNEGDPKKIRQIAKYCIKDCKLVNLLLAKLEIIVNSVGMAKVCHVPLSYL</t>
  </si>
  <si>
    <t>FLRGQGVKIFSLVSKKCREKNFLIPVLRKNKKDNNGDEDETYEGATVITPKPNVYLSPIG</t>
  </si>
  <si>
    <t>VLDYSSLYPNSMRERNLSPECYVNDPKYDNLPGYIYHDITIILKDKKGKILRNLDGTPKK</t>
  </si>
  <si>
    <t>EHHRFAQEIISDKQINIEMKDIFQKIKQNMEKNLKIIEDQLYFNLKNIEDKIKKEKEITE</t>
  </si>
  <si>
    <t>AKIEDISFNDNISSKEKTSLINKEKEKLKKKISKYTEIDGKIKEILLKEKISIENINKLL</t>
  </si>
  <si>
    <t>TVEEKEKETVLIKNTTKYAIEKILEKYPITNEEREELIKMEKERAEKEIASEKSKVYNIV</t>
  </si>
  <si>
    <t>NGKTVRYGILPEILTELLNKRKETNLRLAKEKDAFVKAILNALQLAFKVTANSLYGQTGA</t>
  </si>
  <si>
    <t>PTSPIYFIAIAASTTAIGRERLYYARKMVEDNFPGSEVIYGDSVTGDTPIIVKLPNSNDV</t>
  </si>
  <si>
    <t>EIKTIQELTTFWYEYDAFKAGDSNRKDKQQAILDYEVWTDKGWAKIKRVIRHQTKKSIYR</t>
  </si>
  <si>
    <t>VKTNNGVVDVTEDHSLLNTDKEIIKPLDCNPNTKLLHGFMETNNIYQNITPSQAYLLGLN</t>
  </si>
  <si>
    <t>FGKVDVYWDIINAQSIWDVINIITNATTKIKQEFIKGWKKQGFYNIENKVEAQFLYYVLK</t>
  </si>
  <si>
    <t>SLGHNVNIHMPITKEDIYRLSYGKNISNINKTTIQYLRETYDGEYVYDLETESGTFHAGI</t>
  </si>
  <si>
    <t>GEMIVKNTDSIFINFHIKDENGNERTDKEALIQTIAKCQRAAKLINQNVPKPQSIVYEKT</t>
  </si>
  <si>
    <t>FHPFILVAKKKYVGLLFEKNPDKYFLKSMGIVLKRRDNAPIVKIVVGGIIDHILKNRDIN</t>
  </si>
  <si>
    <t>GAVEYTRNVLSKLMKGEYPIDKFIISKTLKARYKKPSTIAHKVLADRMAIRDPGNKPQIN</t>
  </si>
  <si>
    <t>DRIPFVYIVKDMGKKKKKDILQGDLIEHPDYVIANDLKIDYLYYLEHQIINPATQILELM</t>
  </si>
  <si>
    <t>IDSKSVTKLFNEYIIEEENKRKGRRSIFDFVDKSKLKTISHGSKTTKIPLKSQKIKKDND</t>
  </si>
  <si>
    <t>KYENIRYIGTTRRLENKNLGIWMYGNEKTSQKSNIDDGELDL</t>
  </si>
  <si>
    <t xml:space="preserve">&gt;Satyrvirus_sp.@AYV85114.1 AYV85114.1 B-family DNA polymerase [Satyrvirus sp.] </t>
  </si>
  <si>
    <t>MSLEGNDKKHLKNVKNSPKQPTNTNTNTTNVENNLCFQLCDWNSYHEIDSYDEERYVIQL</t>
  </si>
  <si>
    <t>FGRTEDDKDVCLKVTGFTPFFYVEVPLWWKSVHVDKFINVLRDKISWRSNNNPNYDYDLS</t>
  </si>
  <si>
    <t>QSLVKYNLVQKYKWYNFSNKKYFNFVILVFKSHTAMKEYSNLLSRELEIRGLTKGPMFFQ</t>
  </si>
  <si>
    <t>RYESNIEPHIRFMHINNLLSCGWVRIDKSKIKENKEYSNCDHSYEVPWRNVISAEDINDT</t>
  </si>
  <si>
    <t>KIAPLKIMGYDIECISCDEQFPQATRKTDKIIQIGITMYRYGSMNCYNQQILTLKNCLPI</t>
  </si>
  <si>
    <t>ADAVVECYSTEKNLLKAYANKIAELKPDFKAGYNNFGFDDKYIFDRIMRIDQVRADKENI</t>
  </si>
  <si>
    <t>NFEVLENKFIDEILQIMGKVNNRHLVKYEEINRTIMNKYIYQTGSSYFGPSLTSFEIKNL</t>
  </si>
  <si>
    <t>SSAAMGDNELKFFKVPGIISIDMLKIIQREHSLLGYKLDNVSANFITESAIKFVEKETVD</t>
  </si>
  <si>
    <t>NKVRVDIYTQSTKALEKDSYIQIMINDGYSSSPLSEGAKYKVLDIETVSEKKFNEKENKE</t>
  </si>
  <si>
    <t>EIVKFQCIKTVINKNDIAELNEALKNPILKKYWTFAKDDMHYMLINKYFKEGNPKKIRQI</t>
  </si>
  <si>
    <t>AKYCIKDCKLVNLLLAKLEIIVNGMAMANVCHVPLSYLYLRGQGVKIFSLVSKKCREKNF</t>
  </si>
  <si>
    <t>LIPVLRKKDGITDDDETYEGATVITPKPGVYLSPIGVLDYSSLYPNSMRERNLSPECYVK</t>
  </si>
  <si>
    <t>DTQYDNLPGYIYHDVNIVSKDKKGRIIKNADATPQKQHNRFAQEIITDEQINTEMKDIFD</t>
  </si>
  <si>
    <t>RINKEKDDTIDKIKSKKYYSASDRKFKINLEKERSNKKIKEITENDELSDKSKNKLVSEE</t>
  </si>
  <si>
    <t>KETLDSKIKPFVDIDNRIAKEVERLEKIVKNETDLDLDLDLVNEEKEKSNKIVQEISEEI</t>
  </si>
  <si>
    <t>GIGNDDRKELIDSEIANAKKKIEIEKSKKYNFSQGHMVRYGILPEILTELLNKRKEVKNR</t>
  </si>
  <si>
    <t>LEVEKDQSTKDVLKGKELAFKVTANSVYGQTGAPTSPIYFIQIAASTTAIGRKRLHYAKK</t>
  </si>
  <si>
    <t>MVEENFNGAEVIYGDSVTGDTPIIYRDEYKNINITEIKELGNCWEPYEQFKYGESNITKK</t>
  </si>
  <si>
    <t>QQSMVNYEIWTSNGWAKIKRVIRHKTNKKIYRISTLTGCVDVTEDHSLLDKNKVIVKPDE</t>
  </si>
  <si>
    <t>CQKGMELLHGFMEPNNVYNNISNEEAYVWGVFMIMGTCDDNIWMLSKNSTKILKKCKEYL</t>
  </si>
  <si>
    <t>EEIENTKFEIQYTKEIYFKYNLVTTTNKCKYMFDKYKRLFYDSNERLIVPKEILNSSIEI</t>
  </si>
  <si>
    <t>KKSFLRGYFDNHKRYKTNNNFSHCDVEGFTIAQSLFYLLKCVGYDVTINPIYYINPIYYR</t>
  </si>
  <si>
    <t>SDIIRLIFSKEINRINKIAVRKNEFIGFSTDYLYDGHVGYVYDLETEDGTFHAGIGELVV</t>
  </si>
  <si>
    <t>KNTDSIFINFHVKDENGNEKTDTEALLKTIELSKAAAKIINDNVPKPQSIVYEKTLHPLI</t>
  </si>
  <si>
    <t>LVSKKKYVGLLFTEDPTKYSLKSMGIVLKRRDNAPIVKIVVGGIIDYILKSRDINKAVEY</t>
  </si>
  <si>
    <t>TKKVLRKLMDGEYPIDKFIISKTLKARYKKPSTIAHKVLADRMAIRDPGNKPQINDRIPF</t>
  </si>
  <si>
    <t>VYVVKDLGKKKKKDILQGDLIEHPEYVVNNGLKIDYLYYLEHQIINPAGQILELLIPGKE</t>
  </si>
  <si>
    <t>VAKLFGEFIIEEENKRKGRQSMEKWMDGPIPKNESKIEMIKQPNKTNEYSNLPFVGKTKK</t>
  </si>
  <si>
    <t>HECQDMSKWMDYSTIKCDKGKPTADPSSELIKELAKQSNKNEYSKLPFNEEIKRYKCQDM</t>
  </si>
  <si>
    <t>NKWLNGSEAKNVSDGWESDV</t>
  </si>
  <si>
    <t xml:space="preserve">&gt;Moumouvirus_ochan@AEY99267.1 AEY99267.1 DNA polymerase B [Moumouvirus ochan] </t>
  </si>
  <si>
    <t>MDGLNILLHMVENNSDSKKDVIEFQITDWNSYHEVDSEDEKKYVIQLFGRTEDDKDVCIK</t>
  </si>
  <si>
    <t>VTDFTPYFYVEIPLNWKKNHVNKFINILKRRVSWSTNNNPNYSYDLSKSLIKYKVVQKHN</t>
  </si>
  <si>
    <t>FYNFTNKKYFNYVMLIFKSHIAMKEFSNALARPLKTEGLTKDPMLYQRFESNIEPHIRFM</t>
  </si>
  <si>
    <t>HINNISSCGWVKIDKSHLKENKEYSNCDHSYSINWKYVKPSDNDDRMAPLKIMGYDIECI</t>
  </si>
  <si>
    <t>SCDHNFPQAERETDKIIQIGVTMYRYGSMECYEQHILTLKKCARIKGTNVECYKTEKGLL</t>
  </si>
  <si>
    <t>RGWARIISRIRPDFKAGYNNFGFDDKYILDRIKRIDREEAKRLGITVDELENRFLDEILT</t>
  </si>
  <si>
    <t>IIGKVNNKYLIEVEGVDKISDEYSNVKIFNRSNNIPKDKKKLKGKESNTINNDTEDIETN</t>
  </si>
  <si>
    <t>QYEGIRKSLTYFEIKNLSSSALGDNELKFLQVPGILSVDMMKVIQRDHRLIGYKLDNVSA</t>
  </si>
  <si>
    <t>NFITQKALRCVENEKTDEDQCELDISIYTESTKALESDSYIQIMVDDGYSSSPLCEGAKY</t>
  </si>
  <si>
    <t>KVHKIETVTETKHNEKENKDETFTFQAMKTKMSQKDVALLREVLQNKLLKIFWTFAKDDM</t>
  </si>
  <si>
    <t>HHTLINKYFNEGDPKKIRQIAKYCIKDCKLVNLLLAKLEIIVNSVGMAKVCHVPLSYLFL</t>
  </si>
  <si>
    <t>RGQGVKIFSLVSKKCREKNFLIPVLRKNKKDNNGDEDETYEGATVITPKPNVYLSPIGVL</t>
  </si>
  <si>
    <t>DYSSLYPNSMRERNLSPECYVNDPKYDNLPGYIYHDITIVLKDKKGKIMRNLDGTPKKEH</t>
  </si>
  <si>
    <t>HRFAQEIITEKQINKEMRDIFHKIQKNMEKNIKIIEDQSYITLKNIEDKIKKEKEITESK</t>
  </si>
  <si>
    <t>IEDISFNDDISSKEKDKLINKEKENLKKKILKFTEIDGKIKEVLLKEKISIENINKSLAI</t>
  </si>
  <si>
    <t>DEKEKEATMIKNITKNAIEKILEKYPITNEEREELIKMEKEKADKEITLEKSKVYNVVDG</t>
  </si>
  <si>
    <t>QTVRYGILPEILTELLNKRKETNLRLAKEKDAFVKAILNALQLAFKVTANSLYGQTGAPT</t>
  </si>
  <si>
    <t>SPIYFIAIAASTTAIGRERLYYARRMVEDNFPGAEVIYGDTDSIFINFHIKDENDNERTD</t>
  </si>
  <si>
    <t>KEALIQTIAKCQRAAKLINQNVPKPQSIVYEKTFHPFILVAKKKYVGLLFEKNPDKYFLK</t>
  </si>
  <si>
    <t>SMGIVLKRRDNAPIVKIVVGGIIDHILKNRDIDGAVEYTRNVLSKLMKGEYPIDKFIISK</t>
  </si>
  <si>
    <t>TLKARYKKPSTIAHKVLADRMAIRDPGNKPQINDRIPFVYIVKDMGKKKKKDILQGDLIE</t>
  </si>
  <si>
    <t>NPDYVISNGLKIDYLYYLEHQIINPATQILELMMDSKSVMKLFNEYIIEEDNKRKGRRSM</t>
  </si>
  <si>
    <t>FDFIDKSKMKTINYGSKTTKIQPKSQKISKDKYDNLRYIGTTRRLECKSMGIWMYNNQQS</t>
  </si>
  <si>
    <t>DQKSNIDDGELDL</t>
  </si>
  <si>
    <t xml:space="preserve">&gt;Mimivirus_sp._SH@AZL89277.1 AZL89277.1 B-family DNA polymerase [Mimivirus sp. SH] </t>
  </si>
  <si>
    <t>MVLINNSINDNKVFEFQITDWNSYHETDSEDEKKYVIQLFGRTEDDKDVCIKVTDFTPYF</t>
  </si>
  <si>
    <t>YVQVPTNWKKKHVDKFVYYLKRKVSWATNNNPNYAYDLSNSLVNYKMVEKHNFYNFTKKK</t>
  </si>
  <si>
    <t>YFNFVMLVFKSQIAMREFSNVLARPLKTEGLTKEPMLYQRFESNIEPHIRCMHINNLSSC</t>
  </si>
  <si>
    <t>GWVTIDNKNIKNNSEYSNCDYSYSVQWKHIKPSNNDDRMAPLKIMGYDIECVSCDHNFPQ</t>
  </si>
  <si>
    <t>AERETDKIIQIGITMYRYGSMECYEQHILTLKKCARIKGTNVECYKTEKGLIRGWAKKIS</t>
  </si>
  <si>
    <t>EIRPDFKGGYNNFGFDDKYIFDRINRIDREEAARQGISVNELDNRFLDEILNIMGKVNNI</t>
  </si>
  <si>
    <t>HLIENEGVNKLTDDTNTRQHEGIRKSLTYFEIKNLSSSALGDNELKFFQVPGIISVDMMK</t>
  </si>
  <si>
    <t>VIQRDHRLIGYKLDNVSANFITQKALRCVETGKNNDDDDLDISIYTESTKALEKDSYIQI</t>
  </si>
  <si>
    <t>MVDDGYSSSPLCEGAKYKVIDIDGITETVYDENDKKNVTYSYQAIKTKISQKDTEQLREV</t>
  </si>
  <si>
    <t>LTNKLLRVYWTFAKDDMHHTLINKYFNEGDPKKIRQIAKYCIKDCKLVNLLLAKLEIIVN</t>
  </si>
  <si>
    <t>SVGMAKVCHVPLSYLFLRGQGVKIFSLVSKKCREKNFLIPVLRRNKKDNDGDDDNTYEGA</t>
  </si>
  <si>
    <t>TVITPKPNVYLSPIGVLDYSSLYPNSMRERNLSPECYINDNKYDNLPGYLYHDVTIILKD</t>
  </si>
  <si>
    <t>KKGKIIRNLDGSPKKEHHRFAQELISDKQINTEMKDVFDKINKTMNNNIETILQQTYFTI</t>
  </si>
  <si>
    <t>KNIEDKIKKEKLITDSRIEDISFNDVFSTNKKAKLIETEKIEMKNRLKIYLEIDEKIKEI</t>
  </si>
  <si>
    <t>NLKKKLSIDNIDKSLNADEKSNEISRIEDTHNKNIKNVLEKYIISEKEREEMITMEREKA</t>
  </si>
  <si>
    <t>AKSMNDEKSKVYNIVDGKMVRYGILPEILTELLNKRKETNGRLAVEKDSFVKAILNALQL</t>
  </si>
  <si>
    <t>AFKVTANSLYGQTGAPTSPIFFIAIAASTTAIGRERLHYARKMVEDNFPGSEVIYGDTDS</t>
  </si>
  <si>
    <t>IFINFHIKDENGQERTDKEALIQTIAKCQRAAKLINQNVPKPQSIVYEKTFHPFILVAKK</t>
  </si>
  <si>
    <t>KYVGLLFETNPNKYFLKSMGIVLKRRDNAPIVKIVVGGIIDYILKNRDIDKAVEYTRNVL</t>
  </si>
  <si>
    <t>SKLMNGEYPIDKFIISKTLKSKYKKPSTIAHKVLADRMAIRDPGNKPQINDRIPFVYVVK</t>
  </si>
  <si>
    <t>DMGNKKKKDILQGDLIEHPDYVIQNNMKIDYLYYLEHQIIKPATQILELMIDSRSVNKLF</t>
  </si>
  <si>
    <t>DEYKITEENKRKGRRSILEFVPDSKKKNVIMNGSKTTKLVLKSQKNRKIEPKYQNLPYIG</t>
  </si>
  <si>
    <t>NTRKLECKNLGNWMYGDNAKQSSIDDGELDL</t>
  </si>
  <si>
    <t xml:space="preserve">&gt;Moumouvirus_australiensis@AVL94893.1 AVL94893.1 B-family DNA polymerase [Moumouvirus australiensis] </t>
  </si>
  <si>
    <t>MVENNLNAEKEVVEFQITDWNNYHEIDSEDEEKYVIQLFGRTEDDKDVCIKVTDFTPYFY</t>
  </si>
  <si>
    <t>VEIPINWKKKHVDKFIYILKRRVSWSTNNNPNYNYDLSNSLIKYKVVQKHNFYNFTNKKY</t>
  </si>
  <si>
    <t>FSYVMLIFKSHTAMKEFSNALARPLKTEGLTKDPMLYQRFESNIEPHIRFMHINNISSCG</t>
  </si>
  <si>
    <t>WVTIDKTRLKENKEYSNCDHSYSVNWKYVKPSDNDDRMAPLKIMGYDIECISCDHNFPQA</t>
  </si>
  <si>
    <t>ERETDKIIQIGITMYRYGSMQCYEEYILTLKKCARIKGATVLCYKTEKGLLRGWAKIISI</t>
  </si>
  <si>
    <t>IKPDFKAGYNNFGFDDKYIIDRINRIDQEEAKRQGITVDELENKFMDEILCIIGKVNNKY</t>
  </si>
  <si>
    <t>SANFITQKALRCVENEKQDENQCDLDISIYTESTKALESDSFIQIMVDDGYSSSPLCEGA</t>
  </si>
  <si>
    <t>KYKVHKIETVTETKFNDKENKDETFSFQAMKTKMSQKDVALLREVLQNKLLKVFWTFAKD</t>
  </si>
  <si>
    <t>FLRGQGVKIFSLVSKKCREKNFLIPVLRRNKKDNNGDEDETYEGATVITPKPNVYLSPIG</t>
  </si>
  <si>
    <t>VLDYSSLYPNSMRERNLSPECYVNDPKYDNLPGYIYHDITIVLKDKKGKILRNLDGTPKK</t>
  </si>
  <si>
    <t>EHHRFAQEIISDKQINIEMKDIFQKIKQNMEKNLKIIEDQLYFNLKNIEDKIKKEKELTE</t>
  </si>
  <si>
    <t>SKIEDISFNDEISSKEKTNLINKEKEKLKKKILKYTEIDDKIKEILLGEKISVENINKSL</t>
  </si>
  <si>
    <t>VPNEKEKELVKIKNETKNAIEKILEQYSITNEEREELINMEKERADKEIASEKSKVYNVV</t>
  </si>
  <si>
    <t>NGKTVRYGILPEILTELLNKRKETNLRLAREKEAFVKAILNALQLAFKVTANSLYGQTGA</t>
  </si>
  <si>
    <t>PTSPIYFIAIAASTTAIGRERLYYARKVVEDNFPGAEVIYGDTDSIFINFHIKDENGNER</t>
  </si>
  <si>
    <t>TDKEALIQTIAKCQRAAKLINQNVPKPQSIVYEKTFHPFILVAKKKYVGLLFEKNPDKYF</t>
  </si>
  <si>
    <t>LKSMGIVLKRRDNAPIVKIVVGGIIDHILKNRDIDGAVEYTRNVLSKLMKGEYPIDKFII</t>
  </si>
  <si>
    <t>SKTLKARYKKPSTIAHKVLADRMAIRDPGNKPQINDRIPFVYVVKDLGKKKKKDILQGDL</t>
  </si>
  <si>
    <t>IEHPDYVVANDLQIDYLYYLEHQIINPATQILELMIDSKSVTKLFNEYIIEEENKRKGRR</t>
  </si>
  <si>
    <t>SIFDFVDKSKLKTISHGSKTTKIPLKSQKIKTNDKYDNIRYIGTTRRLECKNLGIWMYGN</t>
  </si>
  <si>
    <t>EKSSHQSTIDDGELDL</t>
  </si>
  <si>
    <t xml:space="preserve">&gt;Tupanvirus_deep_ocean@AUL79186.1 AUL79186.1 B-family DNA polymerase [Tupanvirus deep ocean] </t>
  </si>
  <si>
    <t>MVSKKNGYTDKNKTKSPIKKETTTPDKKESKTNSPTKKETTNTLKKGSKTHSSTKKEVEA</t>
  </si>
  <si>
    <t>DIKLALKKSKTKSEEKPKDKIKSEEKPKDKIKSEEKPKDKVATDITNHTSKPGNLEFQIC</t>
  </si>
  <si>
    <t>DWNSYHEIDGNDEEKYVIQLFGRTEDDKDVCLKVTGFTPFFYVEVPTSWTTKQADKFVEI</t>
  </si>
  <si>
    <t>LKNKVSYCANNNPNYEYDLGQSLVRHALVQKYKFYNFANKKLFKFVMLVFKNHTAMREYA</t>
  </si>
  <si>
    <t>NILAKPLKATGLTKEPMLYQRYESNIEPHIRFMHINNLSSCGWVSIDKTKLKTNKEYSNC</t>
  </si>
  <si>
    <t>DHSYNVNWKEVKPSDNDDRMAPFKIMGYDIECTSCDHNFPQADRKPDKIIQIGVTMYRYG</t>
  </si>
  <si>
    <t>SMNCYEQHILTLKECAAIKGATVECYKTEKGLIRGWAKKVRDIRPDFKAGYNNFGFDDKY</t>
  </si>
  <si>
    <t>IFDRIARIDQEEADKQGISVEELENKFMDEILMIMGKVNNKYLIEAEGLKKSLTYFEIKN</t>
  </si>
  <si>
    <t>LSSSALGDNELKFVQVPGILSVDMMKIIQRDHRLVGYKLDNVSANFITEGATKFVEDGKV</t>
  </si>
  <si>
    <t>TDGRVKVNIYTRSTKALEKDSYIQIMVDDGYSSTPLSEGAKYKVFDIETVTEKKFNEKEN</t>
  </si>
  <si>
    <t>KEETVVYQCIKTEIGEKDVMDLREIILNPLLKVYWTFAKDDMHHTLINKYFKEGDPKRIR</t>
  </si>
  <si>
    <t>QIAKYCLKDCKLVNLLLAKLEIIVNSVGMAKVCHVPLSYLFLRGQGVKIFSLVSKKCREK</t>
  </si>
  <si>
    <t>NFLIPVLRRKKKDASGDEDETYEGATVITPKPDVYLSPIGVLDYSSLYPNSMRERNLSQE</t>
  </si>
  <si>
    <t>CYVNDSRYDNLPGYVYHDVYIVLKDKKGKILRNIDGTPQKEHHRFAQELITEEQINEELK</t>
  </si>
  <si>
    <t>DIFDKINADMNKNIEKIKQQLYFTDANRNDKIAKAKEVMDKKIKEINENKELSEKAKLKL</t>
  </si>
  <si>
    <t>IEKEKTNFKSNPFVDQDDRIKKEKEEFNKKCETIKDNSKYSEENKKELLDHENKKLEEII</t>
  </si>
  <si>
    <t>KNIIEEIELDDKDREELINAEKEKAKKKISDEKAKRYNVVNGKTVRYGILPEILTELLNK</t>
  </si>
  <si>
    <t>RKDTNGRLAQEKDPFKKAILNALQLAFKVTANSLYGQTGAPTSPIYFIAIAASTTAIGRE</t>
  </si>
  <si>
    <t>RLHYAKKMVEENFPGSEVIYGDTDSIFINFHLKDKNGNERTDKEALKETIELCQKAAKLI</t>
  </si>
  <si>
    <t>NDNVPKPQSIVYEKTLHPFILVAKKKYVGLLFEKDPNKYSLKSMGIVLKRRDNAPIVKIV</t>
  </si>
  <si>
    <t>VGGIIDHLLKNRDIDKAVEYTQQVLRKLMDGKYPIDKFIISKTLKARYKKPSTIAHKVLA</t>
  </si>
  <si>
    <t>DRMAERDPGNKPQINDRIPFVYIVKDMGKKKKKDILQGDLIEHPDFVIKNGLKIDYLYYL</t>
  </si>
  <si>
    <t>EHQIINPATQILELMMPTKKVDKMFREFIIEEENKRKRRQSMEKWMDYSTIKTNGSKTAK</t>
  </si>
  <si>
    <t>VPTKSLKKKSSIDEHDKTHEDLPFCGKGKKFENQNIEKWMDYSTVKTKEEQSKESSKQSV</t>
  </si>
  <si>
    <t>KGTTNDTDNKNNDSKNRKKPSQTMDRWIGDASSQTTNSDEWEPDF</t>
  </si>
  <si>
    <t xml:space="preserve">&gt;Tupanvirus_soda_lake@AUL77893.1 AUL77893.1 B-family DNA polymerase [Tupanvirus soda lake] </t>
  </si>
  <si>
    <t>MVSKKNGYTNKNNKSPIKEEKKSPNTKGSKTNSPRKKETDSPIKEGSKTNSPTKKEVESD</t>
  </si>
  <si>
    <t>IKLALKKTNSEEKPKDKAKDKITNDITNENTKNENLEFQICDWNSYHEIDGNDEEKYVIQ</t>
  </si>
  <si>
    <t>LFGRTEDDKDVCLKVTGFTPFFYVEVPTSWTTKQADKFVDILKNKVSYCANNNPNYEYDL</t>
  </si>
  <si>
    <t>SQSLVRHALVQKYKFYNFTNKKLFKFVMLVFKNHTAMREYANILAKPLKATGLTKEPMLY</t>
  </si>
  <si>
    <t>QRYESNIEPHIRFMHINNLSSCGWVSIDKTKLKTNKEYSNCDHSYHVNWKEVKPSDNDDR</t>
  </si>
  <si>
    <t>MAPFKIMGYDIECTSCDHNFPQAERKTDKIIQIGITMYRYGSMNCYEQHILTLKECAAIK</t>
  </si>
  <si>
    <t>GATVECYKTEKGLIRGWAKKVRDIRPDFKAGYNNFGFDDKYIFDRIARIDQEEADKQGVS</t>
  </si>
  <si>
    <t>VEELENKFMDEILMIMGKVNNKYLMEMEGLKKSLTYFEVKNLSSSALGDNELKFIQVPGI</t>
  </si>
  <si>
    <t>LSVDMMKIIQRDHRLVGYKLDNVSANFITEGATKFVEEDKVIDGKVKIKIYTKSTKALEK</t>
  </si>
  <si>
    <t>DSYIQIMVNDGYSSTPLSEGAKYKVFDIETITEKKFNEKEKKEETFVYQCIKTEIGEKDV</t>
  </si>
  <si>
    <t>MDLREIILNPLLKVYWTFAKDDMHHTLINKYFKEGDPKRIRQIAKYCLKDCKLVNLLLAK</t>
  </si>
  <si>
    <t>LEIIVNSVGMAKVCHVPLSYLFLRGQGVKIFSLVSKKCREKNFLIPVLRRKKKDASGDED</t>
  </si>
  <si>
    <t>ETYEGATVITPKPDVYLSPIGVLDYSSLYPNSMRERNLSQECYVNDPKYDNLPGYVYHDV</t>
  </si>
  <si>
    <t>YIVLKDKKGKILRNIDGTPQKEHHRFAQELITEEQMNEELKDIIAKINADTEKNIEKIKQ</t>
  </si>
  <si>
    <t>QKYFTESNRKEKIEKENAKLERNIKEINNNKELSEKEKTKAINKEKEKFNENVKHLFDLN</t>
  </si>
  <si>
    <t>DKINLNKALSEKRIKDIIANEKFTEEIEKKLIKEEQELFDENNKFLIEMMEIVVKQKEEF</t>
  </si>
  <si>
    <t>DKQIKIISDNKNLSDNDKSKKINEIKDKFIKDITTESKNIKLKSDEIEKLKVTLNAICGR</t>
  </si>
  <si>
    <t>IEVNADERNQFIEWEKEKAKKKIADEKAKKYNIVNGQTVRYGILPEILTELLNKRKETNG</t>
  </si>
  <si>
    <t>RLAQEKDSFKKAILNALQLAFKVTANSLYGQTGAPTSPIYFIAIAASTTAIGRERLHYAK</t>
  </si>
  <si>
    <t>KMVEENFPGSEVIYGDTDSIFINFHIKDEDGNDRTDKKALIKTIELAQQAAKLINDNVPK</t>
  </si>
  <si>
    <t>PQGIVYEKTLHPFILVAKKKYVGLLFEKDPNKYSLKSMGIVLKRRDNAPIVKIVVGGIID</t>
  </si>
  <si>
    <t>HLLKNRDIDKAVEYTQQVIRKLMDGKYPIDKFIISKTLKATYKKPSTIAHKVLADRMAER</t>
  </si>
  <si>
    <t>DPGNKPQINDRIPFVYIVKDMGKKKKKDILQGDLIEHPEFVIKNGLKIDYLYYLEHQIIN</t>
  </si>
  <si>
    <t>PATQILELMMPTKKVDKMFKEFIIEEENKRKRRQSIEKWVDTSKIKTVGSKTAKVPSTKS</t>
  </si>
  <si>
    <t>VNKRSSTNDHDNNHEDLPFCGKGKKFENQNMEKWMDYATIKEEQSKESSNKLANAAINNN</t>
  </si>
  <si>
    <t>NKDNNSKSKKKSTQTMDRWIGDASNRTTNSDEWEPDF</t>
  </si>
  <si>
    <t xml:space="preserve">&gt;Mimiviridae_sp._ChoanoV1@QDY51635.1 QDY51635.1 DNA polymerase family B [Mimiviridae sp. ChoanoV1] </t>
  </si>
  <si>
    <t>MNLRNSQQNKQLKNNKKEIKFQINDVKCYNEKLDDDSEDEDSDNLEYVMNMFGIDEENES</t>
  </si>
  <si>
    <t>ISVKITGFKPRFYVNIPNKWNNSKVKIFIDSIKKFVKKKFKDSLNNYKVIHRIKFRGFTN</t>
  </si>
  <si>
    <t>NEQLKFIKLTFNNTYAMRSFMYVFKRKLNIPSLTKKPKKYELYETNIEPFIRFCHIQDIK</t>
  </si>
  <si>
    <t>PSGWVKIQPKNYTVQKVKLTTCQKEITCKWKSVEADENTHIAPLITLSFDIECDSSHGDF</t>
  </si>
  <si>
    <t>PLAKKNYKKLAAELLDNVHKKLKKNDEDKELYSDLLSNENDERQEQVLKLVRLAFKDKEN</t>
  </si>
  <si>
    <t>IEEISKVYTKGVEKPSKKELLKLVPYLTKLLFIRIKREENNKELREAVDKTKKIWAEGSI</t>
  </si>
  <si>
    <t>SVLEDIAMEVCKETGISNQKILNRIITRDILVDKITGMLDQFLPPLEGDKVIQIGSTIHR</t>
  </si>
  <si>
    <t>YGEQECFLKHIVTLDTCNPIDGAVVVPCKTEKEVLIEWAKFVRELDPDIVTGYNIFGFDF</t>
  </si>
  <si>
    <t>KFIYERAEELNVIGNMGTLGRISNSELELEEKNLSSSALGDNILTYIKMEGRVCLDLLKV</t>
  </si>
  <si>
    <t>VQKDHKLPSYKLDSVAENFISGSIKEITGDKENFGNILKISGASDLNEGNYITIFMKNDK</t>
  </si>
  <si>
    <t>YQEGKKFNILKIDGDIIELNEEIDKSIIDKKASWRLAKDDIGPKDIFRLQKQDAEGRKLV</t>
  </si>
  <si>
    <t>AKYCIQDCALCNKLINKLSIISNNIGMANVCIVPLSYIFLRGQGVKIFSLVSKECRENNF</t>
  </si>
  <si>
    <t>LLPDLKKPKSEEEKEQEKRIKRYRNDDDSDEEEVDEGGYEGAIVLPPNPGIYLKEFVTVL</t>
  </si>
  <si>
    <t>DYSSLYPSSMISENLSHDTYVMEERFNNLPGFDYLDITHDVYEWIDPKIKSKGKKKIGQK</t>
  </si>
  <si>
    <t>NCRFVQFPNNKKGLIPQILQKLLKARKSTRKKILYKTVKDNKGNEFSGLYDEKDDIVSIK</t>
  </si>
  <si>
    <t>TVEGEKMEFKKQDIVYKKDTYNEFEKEVLDGLQLAYKITANSLYGQIGARTSQIYLKDIA</t>
  </si>
  <si>
    <t>ASTTATGRNLLYLAKEKTEERFEGAKIVYGDSVTNDTPLLLLNKITNQIEIKQIDDLSNE</t>
  </si>
  <si>
    <t>WISYDEFKKFDSNRREKQQCIIDNYQIYTSNGWSDIKRVIKHKTLKKIYRVLTHTGIVDV</t>
  </si>
  <si>
    <t>TEDHSLLDDKLEIKKPGEVSVGDKLYHNYPEFAKQDVELKSILDFIDDIGGKNVVLKKSF</t>
  </si>
  <si>
    <t>IYGFFYGDGSCGEYKCKSGIKYTFALNNKNLDNCLILQSLLSEIYENEFKILDTLKSSNV</t>
  </si>
  <si>
    <t>YKIVPNHNNIKGYVNEYRNKFYNKDNYKIIPQEILNASYEEKYSFFAGYYMADGYKCDKS</t>
  </si>
  <si>
    <t>KSKNIVFSNKGKIGSSMLFYLAKSIGLNVSINTRNDKRDIYKLTCTNKKLRKECNEIKKI</t>
  </si>
  <si>
    <t>DYLYTTEDYVYDIETETGNFNTGFELIVKNTDSIFINFNPKDKTGKLLEEKEGLKRSIEL</t>
  </si>
  <si>
    <t>GVEAEKYIQQFLKPPHKLEYEKTFWPFILFTKKRYIGDKYEFDLDKYKQTSMGIVLKRRD</t>
  </si>
  <si>
    <t>NAAIVKHVYGGIMNIIMKEKDIPKSIEFLKEELKKLIDGKFPMEMLQITKSIKSYYKNPE</t>
  </si>
  <si>
    <t>SIGHKVLADRIGEREPGNKPLPNDRIPYIYIQFPEKKGQRVLQGDKIEHPDFIKRNNLKP</t>
  </si>
  <si>
    <t>DYLFYITNQILKPVCQIYALILEDLKGYNHDSDYMNRLKCGLLNKHGEDKLLEKLTKKRN</t>
  </si>
  <si>
    <t>EMTADILFQDIIREATNKKKNIREITSWFKPV</t>
  </si>
  <si>
    <t xml:space="preserve">&gt;Megavirus_potager@CRK54680.1 CRK54680.1 B-family DNA polymerase, partial [Megavirus potager] </t>
  </si>
  <si>
    <t>MGKVNNVYLIENEGVNKLTDDSNTRQHEGIRKSLTYFEIKNLSSSALGDNELKFFQVPGI</t>
  </si>
  <si>
    <t>ISVDMMKVIQRDHRLIGYKLDNVSANFITQKALRCVETGKNNDDENLDISIYTESTKALE</t>
  </si>
  <si>
    <t>KDSYIQIMVDDGYSSSPLCEGAKYKVIDIDGITETVYDENEKKNVTYSYQAIKTKISQKD</t>
  </si>
  <si>
    <t>TEQLREVLTNKLLRVYWTFAKDDMHHTLINKYFNEGDPKKIRQIAKYCIKDCKLVNLLLA</t>
  </si>
  <si>
    <t>KLEIIVNSVGMAKVCHVPLSYLFLRGQGVKIFSLVSKKCREKNFLIPVLRRNKKDNDGDD</t>
  </si>
  <si>
    <t>DNTYEGATVITPKPNVYLSPIGVLDYSSLYPNSMRERNLSPECYINDNKKDCNVNKYCQW</t>
  </si>
  <si>
    <t>NSSKNICYLALKKRELVDFINQVTEEFVQNELKASEILRRGEYFVSDIVDYNVFTERPGE</t>
  </si>
  <si>
    <t>RIIMTSNVNLDRILSEIFGKENIPKIGKKRYKYDNIQNYEQMNIDNPLRDVNNWLVQNII</t>
  </si>
  <si>
    <t>DNNNTVFRVFANTYYWLVHPYSESNMRNLGYYSILQTNLSNYYKSQVIDWLLSSENEKDI</t>
  </si>
  <si>
    <t>QKIIPYMKYNRVTDFITKISMDVTMMTNCIVELYVLSKIYETIIYIHDVSYNIIYAIHPK</t>
  </si>
  <si>
    <t>NGVIYDYKKNKQSFDSSKYQNYKKILDIRFHYISKNI</t>
  </si>
  <si>
    <t xml:space="preserve">&gt;Chrysochromulina_ericina_virus@A7U6F1.1 A7U6F1.1 RecName: Full=DNA polymerase; Contains: RecName: Full=CeV01 dpo intein [Chrysochromulina ericina virus] </t>
  </si>
  <si>
    <t>MSQWQFKLFEFDIREELETDKNEFIPGRDTKRFIIQMYGIDENGKTACIFVKGFNPFFYV</t>
  </si>
  <si>
    <t>KVLDEWDNSKVTEFVAFVRKEMGAYFGDSLVSAKIVYRHKFYEFDNKKLYKFVQLKFTSI</t>
  </si>
  <si>
    <t>GAFNKCKNLWYNETKYGEDRKLKENGLEFLDTKTTLYEAQVPPLLRLFHIRQIKPSGWVA</t>
  </si>
  <si>
    <t>LKNGHYSQNRKQLTTCDYEFTVNYKNIYPINDERLEKICVPFKILSLDIEASSSHGDFPL</t>
  </si>
  <si>
    <t>ARKNYLKLATNIVDYLINNNIETCDKDLLSNLIKTGFSYRINKDIEKIYLKKSITEEELD</t>
  </si>
  <si>
    <t>ELIDNLVDIKPGKKENYIDIKDEDENSDSSDIENDGIVEEFTTKKRQKVTGTKNKDSNIL</t>
  </si>
  <si>
    <t>EIINDLTCNRNTRILELAKCFGQHNPNRDNKWEGKFPELEGDQVTIIGSTIRRNGEDKPY</t>
  </si>
  <si>
    <t>LQHAIVVNDCNSIDNVVIESYKTERDALLAWTNFVQRENPDIIIGYNHHGWDEGFMYDRS</t>
  </si>
  <si>
    <t>IELNCMTQFSKLSRFKNEKCIKEIFQGKNKPKKITIEESSTKLASGQFDLRYFKMSGRLQ</t>
  </si>
  <si>
    <t>IDFLNLFRREEQLPSYKLDYVAGHFIGDNIKKIEYDENCSILYSKNLTGLSKNDYIVIQE</t>
  </si>
  <si>
    <t>IGYSTDQYANGKKFKVLDIVDDKIILNDKITPDTNKILRWCLGKDDVGPQDIFRLTNEGP</t>
  </si>
  <si>
    <t>EGRAIVTKYCIKDCDLVQDLMRKNDTMTSYDEMSNLCWVPKSFLVTRGQGIKLTSYVAQK</t>
  </si>
  <si>
    <t>CREKNTLMPVIDKGIDGEGYEGAIVLEPKCNLYLKKPVACVDYSSLYPSSIISENISHDS</t>
  </si>
  <si>
    <t>KVWTKEYDLDDNLINETGEKDENGKFIYDELPEYDYIDITYDTFKWIRKTPKAAATKVKS</t>
  </si>
  <si>
    <t>GYKTCRYVQFQNNEKAILPSILDELLGARKSTKRQMKNETDPFMQNVLDKRQLSIKITAN</t>
  </si>
  <si>
    <t>SLYGQAGAKTSTFYDKDIAASTTATGRKLLIYAKELIEACYDNTIEETTNYGEVKCYGEY</t>
  </si>
  <si>
    <t>IYGDSVASYTPIYVRYNKSIIDICSVEELAEKYGNGWHLESPKEYCELNNIESWTENGWT</t>
  </si>
  <si>
    <t>ECHRVIRHRLAPYKKMVRILTHTGLVDVTDDHSLVKNTGEEISPKDVSIGTKLLHCTMSE</t>
  </si>
  <si>
    <t>NESNIESDISIDEARIMGFFFGDGSCGIYDCPSGHKASWALNNSNKELIEKYYNLCKSVY</t>
  </si>
  <si>
    <t>PEFEWKVYDTLNSSGVYKICFNKKSGSKSKIQFIEKYRSMLYNKKSKIIPSEIINGSIEL</t>
  </si>
  <si>
    <t>RKSFWEGLYDADGDKDKNGYTRIDQKSQISAAYICWLANSIGYKTSLNIRDDKTDIYRIT</t>
  </si>
  <si>
    <t>ATKNKQRRDGDKIKKIVNIQNSANIQNSANIQNSVNIQNSVNIQNSKDNQDYVYDLTTEN</t>
  </si>
  <si>
    <t>HHHFAAGIGNMIVHNTDSVFFTFNLKDLDSKEIVGKKALEITIELAKKAGWLATMFLKSP</t>
  </si>
  <si>
    <t>HDLEYEKTFLPFCLLSKKRYVGILYEEDPNKGKRKEMGLVLKRRDNCAQVKDVYGGAIDI</t>
  </si>
  <si>
    <t>LMKDQVVHKAVDFVKHSLQDVIDEKISQQKLIITKSLRSYYKNPKQIAHNVLAIRIGERD</t>
  </si>
  <si>
    <t>PGNKPKPGDRMEFIYIKNSDKKALQGDRIETPLFINENNIEIDYGFYITNQIMKPLQQLF</t>
  </si>
  <si>
    <t>ALVLEDMEDFVTKRGISMKSWKAEIDKLHEKWTEPDKFSKKYEELRCKEVKSILFDPYIK</t>
  </si>
  <si>
    <t>LLK</t>
  </si>
  <si>
    <t xml:space="preserve">&gt;Catovirus_CTV1@ARF09278.1 ARF09278.1 DNA polymerase family B elongation subunit [Catovirus CTV1] </t>
  </si>
  <si>
    <t>MKKDDMIFQILDWNYYQEENEDGKDYVIRLFGKTKQDKTIYVKAFGFTPYFYIQIDDKWK</t>
  </si>
  <si>
    <t>KDTVDKLVQILKDSVTIKGDNGWAKCENSFKGYIIEEKYKFRGFTNFKKFKFIKLIFRDL</t>
  </si>
  <si>
    <t>DSMRGWAGYLNKKKFYPGISSKAMKFPLFESNIEPFLRCMHIRNLDAVGWVKIESNKIIA</t>
  </si>
  <si>
    <t>LPNETCCDINISTKWNNLTRVEERTIMPFVIASFDLECTSEDGSFPQAERDGDQIIQIGT</t>
  </si>
  <si>
    <t>TFSRFGENECFYQHILTLGSCDPIEGAIVVSCKTEKELLIEWSKMIRKTNPDIITGYNIF</t>
  </si>
  <si>
    <t>GFDYKYLKNRAKKLGIEYQFSKLSRVNDECTQFKEKDLSSAALGKNIMTYYDMTGRINID</t>
  </si>
  <si>
    <t>LMKVVQRDYKLASYKLDYVASYFIKEDIISVSCDPGKNTTKILTKSRDGVKINQYITVNY</t>
  </si>
  <si>
    <t>NDGITENKHMSGKKFKIIDFIKEKVLEKDKNKGEIYVERDAIIVEGCIDTDIFGKGYKIF</t>
  </si>
  <si>
    <t>WCQAKDDVSAKDIFRLQKGTSKDRAIIAKYCLMDCALCNKLMAKLCVITNNVGMANVCHV</t>
  </si>
  <si>
    <t>PLSYIFYRGQGIKIFSLVAKKCREKEHLIPLLEKKKAMTDEEKKQYEKENTEEVQFEKFI</t>
  </si>
  <si>
    <t>KELNNKGLEDHNDETDDDENDSYEGATVFPPQKGVHFDPVPVLDYASLYPRSMILKNLSH</t>
  </si>
  <si>
    <t>EYLVMDDEKYGNLPGYRYHLTTYMVSKIVEDVDKKYPQASIIIFKDRLQKTIKKYKELKY</t>
  </si>
  <si>
    <t>VIEQVKKNNGDNVTSIYDIDKEGKKRFLVTEITINEKEFRLVNFETSKFAEKLDGTKGII</t>
  </si>
  <si>
    <t>PEILQGLLDAREHTKKLMEGESDKFKKSVLDGKQLAEKVTANSLYGQTGSPVSAIFMKEI</t>
  </si>
  <si>
    <t>AASTTATGKEHLEFSRDFLEGLYNNMINLALTDKKEYINLCKKEFSKISDNKFVQPKNGF</t>
  </si>
  <si>
    <t>VNREQFYDAFYNKVSKMLADHRTKINVIYGDSVTGETPILLKNPTTNKIVIKRIDELGTE</t>
  </si>
  <si>
    <t>WKNYNNYKSSDSNRYFRELLTILFKNKNVEKKRENFVPVSQWMYIKNNKYRYINDAYSNN</t>
  </si>
  <si>
    <t>TYLQVNLNNNKNMICDVEDIDIINCELKNISKMILNKIIKLFPKQIQAKLQKYEVNYINE</t>
  </si>
  <si>
    <t>NSLDNRKCNLSIDVDNQTIDKIIEDIENDQKDRYSKEQSTTNYLAYTDKGWAKINKIIRH</t>
  </si>
  <si>
    <t>KTTKKIYRILTTNSIVEVTCDHSLIDENGNYIMPKDCVIGKGLMQSYPHTNKLKYNDKYD</t>
  </si>
  <si>
    <t>KSIFTNKNYKECMKYYHYNKSHGFNITIDENNGIITLKRTKDNINNINKIVKIFDLGDIS</t>
  </si>
  <si>
    <t>TDRYVYDLETEHGRFHAGVGELIVTNTDSTFFKPQITNNKTGEIRKDFWSRECCIQLGIW</t>
  </si>
  <si>
    <t>ASITICILLNGPMQMAYEKVLHPFIILTKKRYVGNLYESDPNKFYTKSMGIVLKRRDNAP</t>
  </si>
  <si>
    <t>IVKVVVGGIVDQILNKQSSKGAVDFTKKVLKDILSSKYSIDKYIITKTLRGPGLNFNERM</t>
  </si>
  <si>
    <t>LESKKEKGERYYADRNTIVHAVLADRIADRDYGNRPQSNDRIEYVYRVVKGDVELQGDRV</t>
  </si>
  <si>
    <t>ETPEFIKENNLSIDHLFYITNQIMKPSIQFLELLIDEPEKIFESYIVREENRRKGQKTIK</t>
  </si>
  <si>
    <t>AFCGDIDNDNNEKNDVIDLNKEIDKHVIIEKKPKVRVVKSKKKNTKVKTSDFSNFEETDG</t>
  </si>
  <si>
    <t>GFKITD</t>
  </si>
  <si>
    <t xml:space="preserve">&gt;Ostreococcus_tauri_virus_1@YP_003213031.1 YP_003213031.1 hypothetical protein OTV1_208 [Ostreococcus tauri virus 1] </t>
  </si>
  <si>
    <t>MVVFQALTWESRDTDDEHLISIFGKTEEGKSVCLTTAFTPYFFIKLPEKIDAGKIRRIYN</t>
  </si>
  <si>
    <t>ILDEKCKDSLVAYSVMKSKDVWGFQNNEEFVFMKVNFKHLQARRLVDSFLRKPLDRTPEL</t>
  </si>
  <si>
    <t>FNIFGVRNVKVYESNLDPVLRLMHRTGIQSTGWLDTGDKCIRSHLARVDMDLFCNDWTTL</t>
  </si>
  <si>
    <t>KPVARDDIAPFVVASVDIECNSSTGKFPDADVTGDACFQIAISLCKFGSDEPYDKTCLCY</t>
  </si>
  <si>
    <t>KKTDPNLEGSTIRSYETEREMLEAFQKYLHTKDVDIITGWNIFGFDMEYIYKRAQVNRCH</t>
  </si>
  <si>
    <t>YEFFNLGKLRDTESELVIKKLSSSALGDNLLKLLPMPGRFIFDMFHEVKKGYKLDSYKLD</t>
  </si>
  <si>
    <t>NVSKLYLGDQKIDMAPKEMFARYREEDPVKLREVAEYCIKDTLLPHRLMKKLCTLLNMVE</t>
  </si>
  <si>
    <t>MAKATWVPANFLVERGQQIKVFSQLTKKARELGFMVPTIRYGAIPEEPYEGATVLEAQKG</t>
  </si>
  <si>
    <t>AYYTPITALDFEALYPSIMMAHNLCYSSYVMDEKRYGSVPGITYETFNIGDRTYKFAQDV</t>
  </si>
  <si>
    <t>PSLLPAILAELKQFRKQAKRDMAAATGFMKEVYNGKQLAYKVSMNSVYGFTGAGKGILPC</t>
  </si>
  <si>
    <t>VPIASTTTSKGRSMIEETKNYVEKNFPGAKVRYGDSVTPDTPLLIRENGEVKTTRIDSLV</t>
  </si>
  <si>
    <t>DLYEVRDDGKEIAEIDAEVWTECGFTPIKQIVRHKTTKNIHRVLTHTGIVDVTEDHSLLL</t>
  </si>
  <si>
    <t>KNKEMIKPSEVCLGTELLHGNSLEAFGETHTDVTPEEAKVMGFFFGDGSCGHYDGKYTWA</t>
  </si>
  <si>
    <t>LNNADMTFLEEMSELCPFETRVYDTIQSSGVYKLNAVGDVKSISVRYRSLFYNEHKEKVV</t>
  </si>
  <si>
    <t>PPCILGAPLHIVQSFWDGYYMADGDKDVHGYTRMDIKGKEGSMGMYILGRRLGYNVSMNT</t>
  </si>
  <si>
    <t>RTDKPDIFRQTWTTSSQRKNPIAIKKLELLGETEGYVYDLTTGSHHFHVGPGDLVVHNTD</t>
  </si>
  <si>
    <t>SVMVEFDVGDRKGEEAIAYSWEVGERAAEECSALFKKPNNLELEKVYWPYFLYSKKRYAA</t>
  </si>
  <si>
    <t>KLWTQGKDGKMHMDYIDIKGLQVVRRDNTPHVREVCKELLDVVLTSSDPGPPKELAKERA</t>
  </si>
  <si>
    <t>IELLSGDVPNDKLILSQGLSDTYKVGGKNVSVTSADSVNINQSHVQVVTKMRQRKPGSEP</t>
  </si>
  <si>
    <t>QSGDRVPYLLTKTQDPKAKAYEKAEDPKYVEEHGVPVDYHYYFLNKFLNPVCDLLDPLYE</t>
  </si>
  <si>
    <t>NVKEEIFGEIINRHKPPKPPKLPALSTMKKDDLIAECQRLGLEETGTLAILRARLKDARH</t>
  </si>
  <si>
    <t>GSVEDLFKNYELTQSKDESS</t>
  </si>
  <si>
    <t xml:space="preserve">&gt;Harvfovirus_sp.@AYV81261.1 AYV81261.1 DNA polymerase family B elongation subunit [Harvfovirus sp.] </t>
  </si>
  <si>
    <t>MDSGIDEQSVVVEFQILDWRSYHEENSFMMRLYGQTRDNKTVHVQVKKFTPYFYVEISKS</t>
  </si>
  <si>
    <t>WRQSQVDALIAAVRLRVFPKENSDQLKKYQIVSKYKFWGFTNYEKFNFLQLTFTNHDAMR</t>
  </si>
  <si>
    <t>SYERVFKKPISVRSISSKPIVCQLYESNIEPFLRFMHIRQLDAVGWVSISKYTVPEDKPT</t>
  </si>
  <si>
    <t>HCDFNYVTDWMNLNRVEDRTILPFTIASFDIECTSGDGTFPQANRDADQIIQIGTTFSRL</t>
  </si>
  <si>
    <t>GESECYFQHIITLGSCDPIPGAQVESYQTEQEVMLAWTRLIKETNPSIITGYNIVGFDLQ</t>
  </si>
  <si>
    <t>YLKDRSKKLGIFEAFSQLSRITNEISPFKETKLASSALGENILKYYEMSGRVIIDLMKVA</t>
  </si>
  <si>
    <t>QRDYKLESYKLDFVAAYFIKEEINKMIIKPDETLLETKSTYGLKEEQFITIYYYDGITNN</t>
  </si>
  <si>
    <t>KHMDGKKFQIKQLTKNSIVVRGEIDLSVMGGGFKVFWCQAKDDISPKDIFRLQRGSAQDR</t>
  </si>
  <si>
    <t>AIVAKYCLQDCVLCNKLIAKLSVIINNIGMANVCNVPLSYLFMRGQGVKIFSLVAKRCRE</t>
  </si>
  <si>
    <t>KDHLIPTFNKKYKSEEQKKKEEEEQEDKDKEQEKRFKRFIKNLNRREGDDNDVDDEEDEG</t>
  </si>
  <si>
    <t>GYEGAIVFPPTAGVHYEPIPVLDYASLYPKSMIEKNLSHECYVIDDAKFGNLHGYKYHII</t>
  </si>
  <si>
    <t>QYTTGTMNEPYERGKLKSLLDSYKNVKYHVENILNEKVQKHIKIFDKDHNMKKRNMITEI</t>
  </si>
  <si>
    <t>KVDRTNITITNYETSKFAEKCDGTKGIIPGILLDLLNARKKYKDEMEAEKDPFKKSVCDG</t>
  </si>
  <si>
    <t>LQLAYKVTANSLYGQTGSSVSAICMKQIAASTTATGREKLIYSKLFIETIYGQLINLALT</t>
  </si>
  <si>
    <t>DHDEYMEYCEELLKDVPDKKFKREKNGYKTKDEFVELFEKTMLVQLVGKKVDPVVIYGDS</t>
  </si>
  <si>
    <t>VTGDTPILLRKIVNKSYVIEIKAIETIANCWKPYEQFKSDKKGLSEKQHDDEIEYEVFSD</t>
  </si>
  <si>
    <t>KGWSKIKRVIRHKTDKKIYEVLTHTGCVRVTEDHSLLTEAGIQIKPKDCVISETTLLHAF</t>
  </si>
  <si>
    <t>PEREGDDSDKETIGEEKANVYGRNGDKIIPTSILNASQDEKMSFLEGYFSGKCWHNCYKT</t>
  </si>
  <si>
    <t>KSQINAMSMYYIFRTLGYNVSIEKDEQFRLYFSEDGYEKPENLVKDIRDCGVIDDYVYDL</t>
  </si>
  <si>
    <t>ETEAGHFHAGVGQMIVKNTDSVFFKPNIIDLITGEVGRDKKALEISIQLGIWASNTICLL</t>
  </si>
  <si>
    <t>LPDPQEQCYEKVMWPFMILTKKRYVGNLYETNPNKFYQKSMGIVLKRRDNAQIVKIVCGG</t>
  </si>
  <si>
    <t>IIDQVLNKLNPEGAVALVKTALKNILANKYPMDKFIITKTLAETYKFRERMVHAVLADRM</t>
  </si>
  <si>
    <t>ALRDPGNKPMPNDRIPFVYVITKGDVQLQGERVEHPDYVKANSLKLDYLFYITNQIQVPA</t>
  </si>
  <si>
    <t>IQFLELIIDNPAEIFKCYIMREENRREGRKPIKSYFSKDDSDPPDEPLDEDHLLLNAEET</t>
  </si>
  <si>
    <t>IEEANFQPKKKKQTRKKIRTHQPESVDETFTIEM</t>
  </si>
  <si>
    <t xml:space="preserve">&gt;Hyperionvirus_sp.@AYV84229.1 AYV84229.1 DNA polymerase family B elongation subunit [Hyperionvirus sp.] </t>
  </si>
  <si>
    <t>MDSCNEQTEMQLIDQTPVEFQILDWKNYQYADEGVHAAKPFMMRLYGQTRDNKTVHVLVK</t>
  </si>
  <si>
    <t>KFTPYFYIEINKSWRQVQIDALISAVKQRVFPKENADGLKSYTPVSKYKFWGFTNYEKFN</t>
  </si>
  <si>
    <t>FLQLTFTNHDVMRSFERVFKNPIAVRLISSQKITCQLFESNIEPFLRFMHIRQLDAVGWV</t>
  </si>
  <si>
    <t>SISKYAIPDPKPTQCDINLVTDWMHLNRVDDRTILPFSIASYDIECTSGDGTFPQATRDS</t>
  </si>
  <si>
    <t>DKIIQIGTTFSRLGESECYFQHIITLGTCDPIPGVTVESYETEQQVLLAWTRLIREQNPS</t>
  </si>
  <si>
    <t>IITGYNIVGFDFLYLRDRSKKLGIYEAFSQLSRITNEITPFKETKLASSALGENILRYYD</t>
  </si>
  <si>
    <t>MSGRVIIDLMKVAQRDFKLESYKLDFVAAYFIKEEINKMEVRKNETFIETKNTYGLKEEQ</t>
  </si>
  <si>
    <t>FVTIYYYDGITNNKHMDGHKFQIRQLGKNSIVLKGEVDVSIMGGGFKVFWCQAKDDISPK</t>
  </si>
  <si>
    <t>DIFRLQQGNSKDRAIIAKYCIQDCVLCNKLIAKLSVIINNIGMANVCNVPLSYLFMRGQG</t>
  </si>
  <si>
    <t>VKIFSLVAKKCREKDHLIPTFKKKYKPEGTADDKDPEKEDDKKFERFIKHLNGEDDDDDD</t>
  </si>
  <si>
    <t>DVGYEGAIVFTPKAKVHYEPIPVLDYASLYPKSMIEKNLSHECLVMNDGKFGNLPGYKYH</t>
  </si>
  <si>
    <t>VIQYTTGTIVEPYERKKLVSLLNSYKNPRFHQDNIVNGKVVKHIKIFDRDHNMIKRNLIA</t>
  </si>
  <si>
    <t>EIMVDRENITITNYETSKFAEKLDGTKGIIPGILMDLLGARSRYKKEMEKEADPFKKSVF</t>
  </si>
  <si>
    <t>DGLQLAYKVTANSLYGQTGSSVSPICMKQIAASTTATGREKLIYSKLFIETIYGKLINLA</t>
  </si>
  <si>
    <t>LTDHEEYIKYCEELFKDTPVKKFQKPGEGYNSKDEFVRSFEEIMKSQLVNKRVEPEVIYG</t>
  </si>
  <si>
    <t>DSVTGDTPILLRKDGEIEIKTIDTIGDRWESYSQFKIDQDGLSEKQQAGTEYEVWSDKGW</t>
  </si>
  <si>
    <t>SKIKRVIRHKTNKRLYEILTHTGYVKVTEDHSLLTDQGIQIKPKDCLVGKTALLHSFPEI</t>
  </si>
  <si>
    <t>ININNTLESIRVEKAYQYGLVFAGRDESGIPNWILNGSENERKSFLEGYYVANGGTGVHF</t>
  </si>
  <si>
    <t>DTKKQIDAMGMYYLLRSLGYSVSLIKIDEIFKLGYIKNIMTRPPNIVSEITDLGTVNDYV</t>
  </si>
  <si>
    <t>YDLETESGHFHAGVGQMIVKNTDSVFFKPNIIDLDTGESGKDKKALEISIQLGIWASNTI</t>
  </si>
  <si>
    <t>CLLLPDPQEQSYEKVMWPFMILTKKRYVGNLYERNPNKFYQKSMGIVLKRRDNAQIVKIV</t>
  </si>
  <si>
    <t>CGGIIDQVLNKLNPEGAVALVKNVLKQMLADKYPMDKYIITKTLAESYKFRDRMVHAVLA</t>
  </si>
  <si>
    <t>DRMALRDPGNKPMPNDRIPYVYVVTKGEVQLQGERVEHPDYVKANNLKLDYLFYITNQIQ</t>
  </si>
  <si>
    <t>VPATQFLALIISNPEDIFKGYVMREENRRIGRKPIKSYFSKSDSDDDDITTDPLVLDAEE</t>
  </si>
  <si>
    <t>MNEQTDYAPKKKKLQRKKIKNHQPENIDETFQIEL</t>
  </si>
  <si>
    <t xml:space="preserve">&gt;Mimivirus_LCMiAC01@QBK88617.1 QBK88617.1 DNA polymerase family B elongation subunit [Mimivirus LCMiAC01] </t>
  </si>
  <si>
    <t>MGKDKKSASRKKVKQNNNKTDIVFQIIDWNHFDEEVDGDDGESMSKFAVRLYGTTKDKKK</t>
  </si>
  <si>
    <t>IYVKVENFTPYFYIKIPKNWRKNKINIFINEIKRRVYYEYRDSLIKYDSVDKHDFYGFTN</t>
  </si>
  <si>
    <t>YKLFNFIRLIFCSYGGFLAYRRVLYKKIFNRSLAYKPTYYKMYEPNIEPMLRFMHIRNLE</t>
  </si>
  <si>
    <t>ACGWVRLPKGTYHHFSSNDKPSYNDINVFTNWTNLERVDNEEIAPFVIASYDIECTSGDG</t>
  </si>
  <si>
    <t>SFPQPRRDEDKVIQIGTTFNVYGNSECFYKHIITLNTCDPIDGVDVESYKTEREVLIAWT</t>
  </si>
  <si>
    <t>KLIRRMRPDIITGYNIFGFDYRYLEARSRKLGCASRFSKFGKLRNSHCKFREKELSSSAL</t>
  </si>
  <si>
    <t>GNNKLSYYEMNGIVQVDLMKVIQRDFKLSSYKLDNVASVFIRNSVKKMKMRKKKKKTIIT</t>
  </si>
  <si>
    <t>TGSTAGITVGRYVKILYNDGLSDNAYGKGYTKYKVINITNDTITIKGLLNSDIVMNNGSI</t>
  </si>
  <si>
    <t>ISLEDILDNANSKYDKYKVYWCQAKDDVKPADIFRMQKGTSADRAVIASYCVQDCVICNI</t>
  </si>
  <si>
    <t>IMEKLQVITNNIKMANVSNVPLSYIFLRGQGVKILSLVAKKCRERNHLIPYIRRKYKPKQ</t>
  </si>
  <si>
    <t>VKQNVDSDEYVDVDEVHFGNLLLNCKELGIIPTKKKKKKEKKIIIKNDEEEYDGYEGATV</t>
  </si>
  <si>
    <t>FRPQRKVHFNPIAVLDYGSLYPSSMIHRNISHECIVLYPEYENVPGYRYYDITFYNSDGT</t>
  </si>
  <si>
    <t>TTTRMYAKKLDGTMGIVPEILKDLLKTRSATKKAMAKETDPFKKKMLNGKQLALKITANS</t>
  </si>
  <si>
    <t>LYGQTGARTSAIYLRDIAASTTATGREMLHCARIFAEEIFPLIVLCVIEHKYGLFKKRLR</t>
  </si>
  <si>
    <t>MLFNKEIDKLLGKKTIARLKKAHYKDNNDPNDMSYLNKPTDYYYLRIFQERYTDLTDKDF</t>
  </si>
  <si>
    <t>ENEKLNHKNIKDFMKYLYRKIRKALGDKTIDPECVYGDTDSIFVDLRLRNTEGILITGRD</t>
  </si>
  <si>
    <t>ARTIAIKLSVLSGDLINFLLPSPQKLNYEKVLHPLIQLSKKRYVGNYYEYDPDHYFLKCM</t>
  </si>
  <si>
    <t>GIVLKRRDNAQIVKIVIGGIVREILENRSGKRAVEFTKQVLKDILSGKYPIDKFIITKTL</t>
  </si>
  <si>
    <t>RGNGLTKEECIEERMKSREERTYANRKSLAHVALADKMADRDPGNKPQSNDRIPFVYIET</t>
  </si>
  <si>
    <t>NKKKCLQGDRVENPNYVIEHGLKIDFLFYITNQIMKPAVQFLEKIVENAQKIFNTFITRE</t>
  </si>
  <si>
    <t>LNRRKGKRPINYYFKPRDKSDDVCENAESSLSGIAQILMNNMKKKKRRKTKKKKKIIDQR</t>
  </si>
  <si>
    <t>KSKEISSSFQLML</t>
  </si>
  <si>
    <t xml:space="preserve">&gt;Indivirus_ILV1@ARF09771.1 ARF09771.1 DNA polymerase family B elongation subunit [Indivirus ILV1] </t>
  </si>
  <si>
    <t>MSNNEDLVFQVTDWGTVHEDTDFGDDILKKYIIRIYGTTPDGKKVFVKVKNFAPYFYVAI</t>
  </si>
  <si>
    <t>PSFWNSQKQKAQILINTVKEEVKNKNPELVNSLKSWEIVDQCIFWKFTNYKKFPFIKLTF</t>
  </si>
  <si>
    <t>YSHDGFKAYERIFNKAIRNPLLTPKPQKYKLYESNIEPMFRCMHIRQLNSVGWIRIQAGK</t>
  </si>
  <si>
    <t>YNIFSQNGSPSNNDISIYTDWTQLEPVKEKGNAIVPMIIAAFDIECTSGDGTFPQAKRDD</t>
  </si>
  <si>
    <t>DKVIQIGTTFSKYGENECYYKHIITLGSCDPIEGADVESYDNEVAVLLAWTKLIQRMNPD</t>
  </si>
  <si>
    <t>VITGYNIFGFDFKYLEERSKKLGCHTSFSKLGRIKNEMSPFLDKTLASSALGKNELKYYA</t>
  </si>
  <si>
    <t>MQGRVQIDIMKVVQRDYRLGSYKLDNVASEFIKEMIKEIEIDEKKELSTIYTKGLYGLEI</t>
  </si>
  <si>
    <t>GRFIKMFYNDGLSDTYYNNEEKFEVTDIKLKAKMIGKDNYDSFIVKGIININDLGLDKYK</t>
  </si>
  <si>
    <t>VYWCQAKDDVSPQDIFRLQKGSSKDRAKIARYCLQDCILCNKLVNKLQILTNNIGMANVC</t>
  </si>
  <si>
    <t>HVPLAYIFLRGQGVKIFSLVSKKCRERNHLIPVIRKPYKDDKAPPNAKFKKHEEENEEDD</t>
  </si>
  <si>
    <t>EEGYEGATVFEPTVGVHFEPVAVLDYNSLYPNSMRHKNMSHETLISDAKYDNLQNYYYET</t>
  </si>
  <si>
    <t>ATYISKTDEQHTCRYARAKDGSVGILPEILTELLDARAETRRQQAKEENPFVWKILEGLQ</t>
  </si>
  <si>
    <t>LAYKLTANSLYGQCGAPTSPIFMKEIAASTTSTGREMLNASRIFVEVIFPILVRSILDND</t>
  </si>
  <si>
    <t>YNEFIKIIELLFQKKVEQLIGEENVNILKSIQNNEDCARYKYLDVFTKNRTVIDDKKFID</t>
  </si>
  <si>
    <t>KKLNHECKKDFTKWMYDKIKTLLTGKTISPKIIYGDTDSVFIKFGIANEGDDKFLTDSSS</t>
  </si>
  <si>
    <t>LAISIELASMCSKILAKILPVPHNMEYEKTFHPFIILTKKKYVGNKYESDPTKFYQASMG</t>
  </si>
  <si>
    <t>IVLKRRDNAPIVKIVVGGIIKSILNDKSIDKALSFAKKVLNDILSNRYSLDKFIITKTIK</t>
  </si>
  <si>
    <t>GNGLTKDERKIEEMKPKEERSYADRTRIVHAVLADRIADRDPGNKPMSNDRIPYAYILID</t>
  </si>
  <si>
    <t>HEVELQGDRVETPEYIITNKLKLDYLFYITNQIMKPSIQFLQHLTDSPKKIFQDCIIKET</t>
  </si>
  <si>
    <t>NRRTGKKPLNYYFKMIGETDFDEDPFDDNDDDNSDNSDESIHKLTCFDDGNIKVMPKQEP</t>
  </si>
  <si>
    <t>KKQIKKKIKQVNETKSVYDNKKGGFILDM</t>
  </si>
  <si>
    <t xml:space="preserve">&gt;Edafosvirus_sp.@AYV78446.1 AYV78446.1 DNA polymerase family B elongation subunit [Edafosvirus sp.] </t>
  </si>
  <si>
    <t>MANEDIVFQISSWDYYHEEVEEVKKYVIRLFGRTKDDQSVYVKVNGYTPYFYVEIPKKWR</t>
  </si>
  <si>
    <t>NNMIDLLIKTAKEKVWPAENKESLINYKIVEKHKFWGFTNYKKFNFVQLIFDSWDGLRSY</t>
  </si>
  <si>
    <t>ERVFNKHLLIKQLSPRPTKYKLYESNIEPILRCMHIRKLDACGWVQIPNGSYTILEDNEK</t>
  </si>
  <si>
    <t>PTHNDINISTKWTSLNRIEDKSILPFIIASYDIECTSEDGSFPKSDRAGDKITQIGTTFS</t>
  </si>
  <si>
    <t>KFGENDVYHQHLITLGSCDDIEGATVESYETEGEVLMAWVRLIKKMNPDIVTGWNIFGFD</t>
  </si>
  <si>
    <t>YQYLHDRSIFLGIQKKFSKLSRLTDESSKFEIKELASSALGKNILKYYNMTGRVQFDLMK</t>
  </si>
  <si>
    <t>VVQRDFKLSSYKLDYVASYFIREVIEKLEITKKTTTIHTKSTFGVKVGQYITINFDDGII</t>
  </si>
  <si>
    <t>EDKYMDGQKFQIEELTNKTITVGTVIDTSIMDKGYKVFWCQAKDDVSPAEIFALQKKGPA</t>
  </si>
  <si>
    <t>ERSKIGRYCLMDCVLVSKLVAKLQVLTNNIGMANVCHVPLSYLFFRGQGIKIFSLVSRKC</t>
  </si>
  <si>
    <t>REKNHLMPVLKKKFKNNNKDDNKKNDIKLDRLVSDLNKNKNDVLEDDSDDEGFEGATVFD</t>
  </si>
  <si>
    <t>PIKGVHFDPIPVLDYGSLYPSSMIHKNLSHECLVMDKEYDNLEGYKYHQITYNNNDGTTT</t>
  </si>
  <si>
    <t>TCRFAQKLDDTPGIIPEILSDLLSARSRTKDEMENEKDAFLKSILDGLQAAYKVTANSLY</t>
  </si>
  <si>
    <t>GQTGSSVSSIYMKDIAACTTSTGREMLLYSKNFIEIIFNIMISLALGQKVDIKKIIKKIN</t>
  </si>
  <si>
    <t>TDLQDEEKKKTYSEMFISELLPKLQKMVDKDITYEEYALIIMKNVPDKKFKSKDKPWQTK</t>
  </si>
  <si>
    <t>EEYIKNFKEVMNKILLNKKVSPEVIYGDSVTGDTPILLRKKINDKYEIVIKTIDTIGNLW</t>
  </si>
  <si>
    <t>KPYEQFKNDQAGLSEKQHDDNIEYEVWSDKGWSNIERVIKHKTNKKIYEVLTDIGCVRIT</t>
  </si>
  <si>
    <t>EDHSLLTDKGVQIKPTDCTIFKTALLHAFPEINNSEQDLVGIIQAREYGFSFGSASRSDQ</t>
  </si>
  <si>
    <t>DKIIPSCILNGSEKEKTAFLEGYCTANGTNRFDTKSQISAMNMYYLVRSLRYNVSINKRE</t>
  </si>
  <si>
    <t>EMFIVTYNNQIYRKEECVIKKIKEIGKFNDYVYDLETETGHFHAGVGQLIVKNTDSVFFR</t>
  </si>
  <si>
    <t>CGIVDLETGKKLKDKQALEIAIQLGLYASHTICLILPSVQKQSYEKTLWPFAIITKKRYV</t>
  </si>
  <si>
    <t>GNLYEQNPNKYKQKSMGIVLKRRDNAPIVKIVCGGIIDQILNKQSAKGAIEFTRKALKKI</t>
  </si>
  <si>
    <t>LSGKYPIEKFIITKTLKYVKSDNTEETDKIKEEEDEKQMKKDKKEFSFKPIKMDVEEKVE</t>
  </si>
  <si>
    <t>KVDKRTKDPNKPTNDYADRTRIVHAVLADRMAERDPGNKPLSNDRIPYVYIETDKPVDLQ</t>
  </si>
  <si>
    <t>GDRVEHPEYVIANNLKIDYLFYITNQIMKPAIQFLELLVENPNQIFEEYILREENRRKNM</t>
  </si>
  <si>
    <t>KPINYYIGGEKGKGKEMNDLDVQMDGVAEVFQAKEKEKKKNVKKNKIKTPKVKMESPKFN</t>
  </si>
  <si>
    <t>KNKNGFEL</t>
  </si>
  <si>
    <t xml:space="preserve">&gt;Barrevirus_sp.@AYV76861.1 AYV76861.1 DNA polymerase family B elongation subunit [Barrevirus sp.] </t>
  </si>
  <si>
    <t>MNVIKEVKQDKNDLEFQLTDWAQTSEDTEFAGETLKKFIIRLYGTTEDGKKVFVKVKNFT</t>
  </si>
  <si>
    <t>PYFYIGIPETWGSSESQKQKAKILISKVKEEVQKKNPDLLNSLKDYEIVSRCIFWKFTNY</t>
  </si>
  <si>
    <t>KKYQFIRLVFHSHEGFRAYERVFNRFIESPLLNPRRHKYKLYESNIEPMLRFMHIQQLKS</t>
  </si>
  <si>
    <t>CGFAKIKAGKYNEFLDQVNPSNNDISVYTDWKCIDPILDKGTTILPLIIAAFDIECTSGD</t>
  </si>
  <si>
    <t>GAFPQAKRDDDKVIQIATTFSRYGENECFYKHIITLGSCDKIEGVDVESYDNEVALLLAW</t>
  </si>
  <si>
    <t>TKLIQRMNPDIMTGYNIFGFDYKYLAERAQKLGCYTSFSKLGRIKDEPSQFIDKTLASSA</t>
  </si>
  <si>
    <t>LGKNELKYFAMQGRIQIDIMKVVQRDHRLGSYKLDNVASEFIKEIIKGVEVTTNKKKETQ</t>
  </si>
  <si>
    <t>TTIYTKNIYGLEVGRCIKIFFNDGLSDTYYNNEEKFKVIDIKLKAKDDMDSFTVSGLIEE</t>
  </si>
  <si>
    <t>SKLELDKYKVYWCQAKDDVSPQDIFRLQKGTSKDRALVGAYCVNDSVLCNKLMNKLQILT</t>
  </si>
  <si>
    <t>NNIGMANVCHVPLSYIFLRGQGIKIFSLVSKKCKERDHVIPVIRKPYNNNGQGPGPNQGL</t>
  </si>
  <si>
    <t>PPGLGPQSFPKTLPPNAKKKVVEIEEDEEGDDGYEGATVFEPDTGVHFEPVSVLDYNSLY</t>
  </si>
  <si>
    <t>PNAMRQKNMSHETLVEDSRYNNLPHYYYEDATYMSKTGEQTVCRFAKAKDGSVGILPEIL</t>
  </si>
  <si>
    <t>TELLDARAETRRIQAGEKNPFNWKILEGLQIAYKLTANSLYGQCGAPTSPLYLKSIAAAT</t>
  </si>
  <si>
    <t>TATGRENLNVSRIFIEVILPILVRSALANNYENFVKTCDLLFKKEIDTLIGKENVKKLKE</t>
  </si>
  <si>
    <t>IQNEEDCPRYKYLEVLTNVRTVLDDNNKKFIDKKLGHECKSDFTKWLFEKITKLMDKKTI</t>
  </si>
  <si>
    <t>KPKIIYGDTDSVFIKFGIANKEEPDKFLTDTIALTISIELAIMSSKILAKILPIPHNMEY</t>
  </si>
  <si>
    <t>EKTFHPFIILTKKKYVGNKYESDPTKWYQASMGIVLKRRDNSPIVKVVVGGIIKSILNDR</t>
  </si>
  <si>
    <t>SIAGALAFAKNVLNDILSDRYPLDKFIITKTIKGNGLSEDERKIESMKPKEERTYADRTK</t>
  </si>
  <si>
    <t>LVHTVLADRIADRDPGNKPMSNDRIPYAYIITDKPINLQGDRVESPEYIIANNLKLDYLF</t>
  </si>
  <si>
    <t>YITNQIMKPSIQFLKHLTEKPKEIFEKCIIKEMNRRHGKKPLNYYFNLLSGLNDDEEDDD</t>
  </si>
  <si>
    <t>DLDGSDDEDNEAKEEMDEYNKQYMNCFNDNLNKPKKAVTKKTVAKKTVAKKTVAKKTVVK</t>
  </si>
  <si>
    <t>KAVSKKKVKQVKETESVYDNKKHGFILDM</t>
  </si>
  <si>
    <t xml:space="preserve">&gt;Mimivirus_LCMiAC02@QBK88920.1 QBK88920.1 DNA polymerase family B elongation subunit [Mimivirus LCMiAC02] </t>
  </si>
  <si>
    <t>MRKNLKSKNLHETTNNKDLIFQILEWDKYEDEIENNDGELVTKFIIRLYGTTDDNKKIYI</t>
  </si>
  <si>
    <t>RVDKFPPYFFVNVPDDWTKHKVLIFVEELKNKVKNNRRFGVGQSESLFEHKIVKKKIFYG</t>
  </si>
  <si>
    <t>FTNYKDYKFVKLSFHSYLGYYAFRTILYWKIYNPILGNRAIIYDMYESNIEPMFRCMHEQ</t>
  </si>
  <si>
    <t>NLQASGWVKIPKKKYTLFMDHEKPSQNEINVYTDYENLCPMDGTQSSFDCTKISPLRILA</t>
  </si>
  <si>
    <t>FDIECSSEDGSFPQPQRDNDKVIQIGSTFNTYGNMKCYYKHIITLGTCDPIEGAVVESYE</t>
  </si>
  <si>
    <t>TEKEVLLAWPRLIQRMNPDIVTGYNTFGFDYRYLEARSQKLGCNSNFTKLGRILHTRSPF</t>
  </si>
  <si>
    <t>IKKDLSSAALGKNILTYYMMQGRVQIDLLGVMRSSHHKLSSYKLDNVASVFIRDNINDII</t>
  </si>
  <si>
    <t>IDDENGTSTIMTNNTIGLSTNRYIKIVYNDGLSDNSYKNTKFKVMELTDKSIKINEIVDK</t>
  </si>
  <si>
    <t>KAIGLRTNKVFWCQAKDDVKPHDIFRLQKGSSADRSIVARYCLQDCMLCNILLEKLQVIT</t>
  </si>
  <si>
    <t>NSIGMSNVCSIPLSYLFLRGQGVKILSLVSKECRERNHLIKVLKRKRKTKKIILDKNGKK</t>
  </si>
  <si>
    <t>VVKVEENDGYEGATVLRPHPGVHYSPITVLDYKSLYPSSMIHRNISHECLVLDQKYDNLP</t>
  </si>
  <si>
    <t>GVHYYEISFYNKDEDKTKVTRRYAKKYGTIGIIPEILKKLLAARDSIKDKMKNEKNPFKK</t>
  </si>
  <si>
    <t>KIFNGLQLAYKITANSLYGQTGAKTSAIYLRDVAASTTATGREMLNLARLFAEYIYPIII</t>
  </si>
  <si>
    <t>FPILQGDHQLYRKRAKLLFKKKIDELLGEKTIKKLKSIHYKDNNDPKNFDHLKYPSDYYY</t>
  </si>
  <si>
    <t>LRVFQERTKVLTNKEFINKKLGHKCMMDFLDYFYKEIQELFGDKTFDPFCVYGDTDSVFV</t>
  </si>
  <si>
    <t>DLRIKNKNNEILTNKSALKMAIKLGILCGDLINLLLPYPQKLNYEKTFHPWIQLAKKMYT</t>
  </si>
  <si>
    <t>GYLYEYSPDKFYLKNMGIVLKRRDNATIVKIVIGGIVHKILKYRSGIKAAEFTKQAIKDI</t>
  </si>
  <si>
    <t>LHGKYPMDKFIITKTLKGNALTKSERIKEAEKPKEERIYVDRTRQKHVVLADRMADRDPG</t>
  </si>
  <si>
    <t>NKPLSNDRIPFVYKIIENGNRRGILQGDRVEHPDYLIEHNLEIDYLFYITNQIMKPAIQF</t>
  </si>
  <si>
    <t>LDKVIKDPKKKIFDLYIIRELNRRMGKRPVKYYLLKSKSNNNYEKCDLVNSLKYTDNDNV</t>
  </si>
  <si>
    <t>FSFNGFNSFSNYSNNDKENKQKQKRKTKKKKKKKKEVSLVITSEIKNGRLSIY</t>
  </si>
  <si>
    <t xml:space="preserve">&gt;Bodo_saltans_virus@ATZ80752.1 ATZ80752.1 intein-containing DNA-dependent DNA polymerase family B precursor [Bodo saltans virus] </t>
  </si>
  <si>
    <t>MATCESNNFIFQVLDWDFTHKEVDEDKRYYVIQMFGKTKDQKTVYVEFTDFKPFFYIRIN</t>
  </si>
  <si>
    <t>PTWTNTVIQTLIEEIKKNMKKKMDEEDEDGNMKWKNVGDGLISTNVVEAEKFLGFTAGKK</t>
  </si>
  <si>
    <t>FKFLQLNFDDYEIMKKCEYACKRIYKLPMVKYVIKLEIFESNILPLIRFMHIRGLDAVGW</t>
  </si>
  <si>
    <t>VSIPIDKLISNTYQKSCCDINYRTKWNNVSKVDDVTISKFDILSFDIECTSTDGSFPQAD</t>
  </si>
  <si>
    <t>RDGDKVIQIGATFSRFGESECYKRYLLALNETDVVEDCEVQWYEKEEELLLAFTKLLRQT</t>
  </si>
  <si>
    <t>NPDIITGYNICGFDFLYLHKRAEYLSKKMQPSEGNKFLRSFEKMSRINNEVCEWKEAKLS</t>
  </si>
  <si>
    <t>SSALGDNILKYYKMTGRVIIDLMKVAQRDYKLSSYKLDYVAANFIKENIVNLLCDNAKSK</t>
  </si>
  <si>
    <t>DGKCEYKLETKNTFGLQNGNFITIIYSDGTGAIDEKYNEGEKFQIYNLQQKSFCIKGNID</t>
  </si>
  <si>
    <t>TSEFMGKGYKIFWSQVKDDIKARDIFKLFKQTPQDRAIIAKYCVMDCELCNKLMTKLQII</t>
  </si>
  <si>
    <t>TNNVGMANVCNVPLSYLFLRGQGVKIFSLVAKKCREKNFIIPVIQKKKIFENKDNDNKDK</t>
  </si>
  <si>
    <t>PQNQVYKKKLNDCDELDEKQLDKLVYELSNKTNKKNEEVGNDEEDEGYEGAIVFEPIAGV</t>
  </si>
  <si>
    <t>YLEPIPVLDFASLYPSAMILRNLSHEMFVNDPMYDNLHGYRYHTIWYKKNNGETVTCKFA</t>
  </si>
  <si>
    <t>EKRDGTKGIIPEILMYLLTTRKKYKKMMNDTSDPFIYSIYDGLQQAYKVTSNSLYGQTGG</t>
  </si>
  <si>
    <t>THSPICLKEIAASTTATGREMLQFSKYFIENIFSKTINLALSDKEQYYKLMNETFLYHPT</t>
  </si>
  <si>
    <t>SYVVKDNKNEDITIHVNTDEYDKINDKKFIKNSIGYEVSYEFPNEKKIIDELKAEKKSIS</t>
  </si>
  <si>
    <t>WENILTKMNYIDEWNKLIKWVNDVVFKLPIEQRHLIKNNLSKIGKITKKLNIVNIFDSID</t>
  </si>
  <si>
    <t>VSDDVLEYFKTNLTILIDNSGYDNKQQFFDKFYCFANELLEGYSIDAKIIYGDSVTGDTP</t>
  </si>
  <si>
    <t>LLLLNKKNEIVIKTVNSIGNVWKNDIYHDEKFIDDNIDYKVWTEKGWSKIKKVIKHRTNK</t>
  </si>
  <si>
    <t>KIYEVFTHSGCVKVTEDHSLLNKNGEMIKPTVCDIGTELLHSFPNIEKKYDDISYNDLQL</t>
  </si>
  <si>
    <t>YRMYHENEKFIIKSQIQAQHLYYLLSTFRLNGTKCENIRIEKQEDNYVIYKGNTEDTENK</t>
  </si>
  <si>
    <t>DKITSIQEVKYNEIDVYDLETENHHFQAGIGNIIVHNTDSVFFCSHIKNNETGELLKNKH</t>
  </si>
  <si>
    <t>ALYIGIRLGIWASICISTLLPAPMAQEYEKVLWPFIIQGKKRYVGNLYEKDPDHFKQKSM</t>
  </si>
  <si>
    <t>GIELKRRDNAPIVKTVSAGIIDQILNKLSPEGAFEFTKDILNKIIFKQFKIDKFIITKTL</t>
  </si>
  <si>
    <t>KGNALTKKEREEEQKKPKEQRVYVDRTRIVHAVLADRMADRDPGNRPLSNDRIPYAYIIT</t>
  </si>
  <si>
    <t>KFEPELQGDRVETPDYIVENNLELDFLFYITNQIMKPALKFLDLITTNAHGLFKEYIIRE</t>
  </si>
  <si>
    <t>ENRKNNILPITYYSKNNIEENVDEFIKNNVNDDIIIKKIKKKTQKKKSKKIEANTNTNSI</t>
  </si>
  <si>
    <t>KDSKSLLDGF</t>
  </si>
  <si>
    <t xml:space="preserve">&gt;unknown_phycodnavirus@ACJ70688.1 ACJ70688.1 DNA polymerase precursor, partial [unknown phycodnavirus] </t>
  </si>
  <si>
    <t>QSGAYYAPITALDFEGLYSSIMMAHNLCYSTLVLDEKYNNLPGITYERFGNHTFAQGVPS</t>
  </si>
  <si>
    <t>VLPNILSELKQFRKQAKKDMAASTGATKRMFNGKQLAYKISMNSVYGFTGASVGMLPCVA</t>
  </si>
  <si>
    <t>IASTVTMKGRNMIEETKNYVEKHFPGSKVRYGDSVTPDTPLLIRQDGIVKTCRIDSLVNA</t>
  </si>
  <si>
    <t>YEVRDDGKEVATIDAEVWTEKGFTPIHQIVRHKTTKRIHRVLTHTGVVDVTEDHSLLLED</t>
  </si>
  <si>
    <t>AKMITPKEVQLGTKLLHGSCVNAIIDGTSRVSVNEAKVMGFFFGDGSCGAYNGKYTWTLN</t>
  </si>
  <si>
    <t>NANIQYLDKMASLCPFETRIYATMESSGVYKLNAIGDVKTISLRYRSLFYNAAKEKVIPP</t>
  </si>
  <si>
    <t>CILNAPEEVVKAFVEGYYMADGDTRMDIKGKEGSMGMFILGKRLGYNVSINTRSDKPDIY</t>
  </si>
  <si>
    <t>RQTWTTYSQRKEPCAIKKLEFLEETDGYVYDLTTESHHFHVGPGELVVHNTDSVMVEFDV</t>
  </si>
  <si>
    <t>GERTGMEAIQYSWELGEQAAQACNALFKKPNNLELEKVYCPYFL</t>
  </si>
  <si>
    <t xml:space="preserve">&gt;unknown_phycodnavirus@ACJ70693.1 ACJ70693.1 DNA polymerase precursor, partial [unknown phycodnavirus] </t>
  </si>
  <si>
    <t>HKGAYYTPITALDFEALYPSIMMAHNLCYSTLVMDEYRYGNVPGITYESFKIGDKIYKFA</t>
  </si>
  <si>
    <t>QGVPSLLPAILLELKQFRKKAKKDMAAATGSMKEVYNGKQLAYKVSMNSVYGFTGAGKGI</t>
  </si>
  <si>
    <t>LPCVPIASTTTCRGRGMIEETKNYVEANFPGSKVRYGDSVTPDTPLLLRIKGEVKTCRID</t>
  </si>
  <si>
    <t>SLVESYEERDDGKEVAEIDAEVWTEKGFTPIQQIVRHKTTKNIHRVLTHTGVVDVTEDHS</t>
  </si>
  <si>
    <t>LLLENKQMIKPCEVSLGTNLLHGDCVYGLNWNDTTVSVNEAKVMGFFFGDGSCGHYGDKY</t>
  </si>
  <si>
    <t>TWALNNSNVDYLIEMQNLCPFETSIYDTIESSGVYKLNAKGDVKNICERYRSMFYNAHKE</t>
  </si>
  <si>
    <t>KIVPSCILNAPIEVVESFWEGYYMADGDKDVHGYTRMDIKGKEGSMGMFILGKRLNYNVS</t>
  </si>
  <si>
    <t>LNTRKDKPDVFRQTWTKSTQRKSPNAIKKLELVGETEGYVYDLTTESHHFHIGPGDLVVH</t>
  </si>
  <si>
    <t>NTDSVMVEFDVGERTGEEAVKYSWEVGERAAEECSALFKKPNNLELEKVYWPYFL</t>
  </si>
  <si>
    <t xml:space="preserve">&gt;Pithovirus_LCPAC304@QBK92039.1 QBK92039.1 DNA polymerase elongation subunit family B [Pithovirus LCPAC304] </t>
  </si>
  <si>
    <t>MASSPKVESDISDATLLTVFPYEWVVKDEYTDEGHIAIHVWCLDRDSKPYFLRIEDFPVT</t>
  </si>
  <si>
    <t>CYVELPTIVYGRPFQWNRIAAQKVVAYLNFRLNGAQDHAPIGHSLTFRKKTYYYLGEGLY</t>
  </si>
  <si>
    <t>PMLLLQFKSIQALNHCQNLLKYPLKTREYGTLRCHVWESKIPIVRKLLTGQHMSFSQWFT</t>
  </si>
  <si>
    <t>VQGDYVEESLRISTMDDEYVVDSRTMEPIPHEVCDGWRVYPRILAFDIECYSDNKRIFPS</t>
  </si>
  <si>
    <t>AWHATHVAYMISCIYQVYNHRSTRKRYAIILGPCAEIPSSRLENTEIIHVTTEYELVKAF</t>
  </si>
  <si>
    <t>GKLVLKTDPEIVTGYNIFGFDYKYLHERLTQKMYEWPMMGRLPDGKTVMDNNEWSSGAYG</t>
  </si>
  <si>
    <t>LNVIYDLKMDGRINIDLLPIIRRDYKLLKYTLDFVSNYFLGTRKHDITAPDMFWIYEQLN</t>
  </si>
  <si>
    <t>ESERDFKRLCTPETTPVLDEIVQTLEKLFEGCLDQTKTDVFDLYNKRHLLLAHYQTFLRG</t>
  </si>
  <si>
    <t>EEEDLESVCPFVALADVFDVLVEHNAFFEKYDIDKPFVLNAVLRYVLANILMTFVLLYCI</t>
  </si>
  <si>
    <t>QDSELVLDLMEELNIFLGLTQMSSVCGVTIVELFTRGQQIRCVSLLYDIAAHQNFVIDQA</t>
  </si>
  <si>
    <t>AKSGYQYTGGFVYPPVPGLHDNVLCWDFASLYPTIIMAHNIDYTTLVHKSIEHLVPDELC</t>
  </si>
  <si>
    <t>NIIIFEQEEAVLLEPLKEGDKPRTELVTKQYRFKFLNAEKTGHKGLLPQLEEKMVFERRA</t>
  </si>
  <si>
    <t>VRAKGKIEKDPIMREVYEQRQKALKVVCNSFYGFLGVRNGGKMPLMEAAMSVTGKARESI</t>
  </si>
  <si>
    <t>LKVSTYIEDTYGGTVVYGDSVTGDTPLLCREILSDGSTNIQIIVISQLYTGRWLHKGEKE</t>
  </si>
  <si>
    <t>YNADARRLEVWSDEGFTEIKHAMRHKTKKRIYRITTHTGVIKVTEDHSLLDKFGNEVKPS</t>
  </si>
  <si>
    <t>DVSCGDQLLTHALPSLPDDGKEIPDAWAWGIFYGDGSCGHYQCPSGVKYSWAINNQNLEY</t>
  </si>
  <si>
    <t>LEKAKGLLEKTHPKNHFKILDTMKSSNVYKLIGGGDAVGIVKKWRPLFYDPVSRYKKVPD</t>
  </si>
  <si>
    <t>ILWKASKASREAFYRGYYAADGDKDKNGYNRFDNKGQIGSAGLFFLSKSLGYKVSCNTRK</t>
  </si>
  <si>
    <t>DKLDIYRLTLTKNSQRKPPGIIKKIEDFGIVEDYVYDLETGNHHFSAGVGELVVHNTDSV</t>
  </si>
  <si>
    <t>MATLNITDPLEAIRMGKKLEKELTALFPPPMEMELEKVMRMLSLKKKRYVYATLDWDTGE</t>
  </si>
  <si>
    <t>LKLDTKDLHFIGVELARRDRPKWLTDLQLKVLIKIMHLRPFEETLDVVFEAIDKLLAEGV</t>
  </si>
  <si>
    <t>PYTDLITVKGLGASYKNKSAQMAVFAEDLKKLGKPAQPGSRLEYLVVEGDKNELQGHKMR</t>
  </si>
  <si>
    <t>LPETYLERKNTENEEKLDYMFYIKKLQNPIGQLLTVAYKDVIQKLTGEYFGIYARATTRH</t>
  </si>
  <si>
    <t>KYVGFNDPILLIYSAIMANNDHHFIQGAVKYKLHDEKRLYKGPTLIITPLEHIDSIHGE</t>
  </si>
  <si>
    <t xml:space="preserve">&gt;Dasosvirus_sp.@AYV77594.1 AYV77594.1 DNA polymerase family B elongation subunit [Dasosvirus sp.] </t>
  </si>
  <si>
    <t>MTFNSNNLNDYLTILNNPDAGTQLLSNKSDTILVPEKDQNNDNDQKTIQDSYANQNKDLE</t>
  </si>
  <si>
    <t>FQMIDIDFYHREDEDDDGNKFFNIMLFGKTREDKSVYVNIEGFTPYFYVEVDATWTSDQI</t>
  </si>
  <si>
    <t>HKIMADIKKKVWPKNNQDGLLSYKVIRAHQFYGFTNDENFSFLHLIFRCYDSMRAYARVF</t>
  </si>
  <si>
    <t>GEKQELLYISRFKKIEFKLYESDMNPILRFLHIKNLDPIGWFKIQKQYVRSIPINEQQGV</t>
  </si>
  <si>
    <t>TDINVCCNWKHVERIECSDIHRLKIVSVDIECTSEDGKFPQPERDGDKVIQIGMSYSYLG</t>
  </si>
  <si>
    <t>ETECYKKTILCLNKTSKIPDINVISFSDEKDLMLAFPKEIRENDPDIITGYNIFGFDFDY</t>
  </si>
  <si>
    <t>LKKRSDKLKIFTAFSRLSRIKNHVCRWIEGKLESSALGKNKLNYWHTPGRVCVDLMKIVQ</t>
  </si>
  <si>
    <t>RDYKLTSYSLDYVASYFIRDKITGYEYIKESDKEVIELQNMIKLTSDQNLDHDHEKSDDL</t>
  </si>
  <si>
    <t>YSSDEDKENLDDDVNIRKKTNVSNKKKILYTRLKVGSTFGVGIGDYIGIIYNDGPIDNKI</t>
  </si>
  <si>
    <t>GSKKKILYIQDKTIIVQGKVRVRPFLKRKFKVFWCQAKDDVEPKDIFRLWNKEDDDRAVV</t>
  </si>
  <si>
    <t>AKYCVKDCSLCNRLLAKLQVLPNSIGMGNVCCVPLSYLFLRGQSIKIYSLVAKQCREENY</t>
  </si>
  <si>
    <t>LIPLNTKKKKKKPDPNRELTKEEIEENKFQRFIRGLINDEEDKDDDDDDQGYEGATVYDP</t>
  </si>
  <si>
    <t>DSGVHYDPTIVGDYGSLYPSSMIEKNFSHNSIVLNPKYDNLPNYIYHSQTYNNSDGTTTT</t>
  </si>
  <si>
    <t>CRFAEKANGEKATIPRILQKLLLARKKYKKLKEIEKDPFKQAIWDGLQNAYKVTANSLYG</t>
  </si>
  <si>
    <t>QCGSTISPISMRAIAACTTALGRERLDLASTFVENGLVDIIRLIKQAVETKNDQEYLEYM</t>
  </si>
  <si>
    <t>RNLYKNVKNEKVKEDKKVMDVGVDGKETERIVKYNDKDEYFQYVKNEIYGLVGSYNVSPK</t>
  </si>
  <si>
    <t>CIYGDTDSVFYKLNLTTKEGTNFRDKEALRICIRMGIITSQILNYTLPAPQALEYEKVYW</t>
  </si>
  <si>
    <t>PFVILSKKRYVGNLYDFKPNSFYQKSMGLVTKRRDNADIVKIMVGGIIDQILNKRDPRGA</t>
  </si>
  <si>
    <t>VKFAQSTMMKIITGKYDIDKFIITKTLKDKTEYKDWTHNVHVVLADRMAQRDKGNKPQSN</t>
  </si>
  <si>
    <t>DRIPFVYVEVDERKIKLQGERVEHPKYIMENKLKIDYLFYITNQIMKPSIQFLDLIAYKP</t>
  </si>
  <si>
    <t>DQIFEMYIVREQNRKSGTEPIMKYFKDVDTSGPNQINIGLGNEMLSGDSLFGAKKPKVNR</t>
  </si>
  <si>
    <t>KRVTKRIVKKK</t>
  </si>
  <si>
    <t xml:space="preserve">&gt;Cafeteria_roenbergensis_virus_BV-PW1@YP_003970130.1 YP_003970130.1 putative DNA-dependent DNA polymerase family B precursor [Cafeteria roenbergensis virus BV-PW1] </t>
  </si>
  <si>
    <t>MASIEFQIYDYRETHQTFEDEDTEKEMMGEYIIQVFGRTQDGESVYAKLKDFHPRFYIKI</t>
  </si>
  <si>
    <t>PENWTNRHLKRMETFLKSKDNRKIWNKDRECLVSCSMVKRKKAYGFTNNKLYKFAVLTFT</t>
  </si>
  <si>
    <t>NYYACKKFASLFELNKVYIPGVTTKAITFKIYEANLTPMLRCFHIQDIPGCGWVRAENFI</t>
  </si>
  <si>
    <t>NIKTKNKESTCNYEIVLSYKDIKPIVKESNAPLRICSFDIECDSCDGMFPQANRPNDNII</t>
  </si>
  <si>
    <t>QIGCTYTLLGKSEPYRQYICTLNSCDNIEGATVESFDVESDLLLAWLEEIKNSDADILTG</t>
  </si>
  <si>
    <t>YNIFYFDEKYIMDRAKYLGIEIDIKYLSKLKTFRCPFKEQKLASSALGENLLRYFDTPGL</t>
  </si>
  <si>
    <t>VHIDLMKDVQKTYNLSSYKLDKVASNFIKGNVKEIKNISTKNKSPVNKFELICDQVNDLH</t>
  </si>
  <si>
    <t>QDDYIHLELMESFVSEDIGDKFKIIKLDIENKIITIKTKLDLIEECDFTRGKIYWSQAKD</t>
  </si>
  <si>
    <t>DVPPKEIFKMQHMGSKERCTVAKYCLKDCKLVNLLINKLEIVTKNIEMANVCYVPLSYLF</t>
  </si>
  <si>
    <t>VRGQGIKLFSLCLKEYRKHKFLFPVVKKPDVDLGSYEGAIVFDPIPKVSYQAHATKDFAS</t>
  </si>
  <si>
    <t>LYPSAIIQKNMSHETKVDNDEFDNIPGIEYFNAKFKDDTGNWQYRRFAKLPDEFGVVPTI</t>
  </si>
  <si>
    <t>LRTLLGERKAVKKLMKVEKDPFKYAILDAKQLALKVTANSLYGQLGAATSPVRDRDIAAC</t>
  </si>
  <si>
    <t>TTSTGREMLIYAKKYDEEILPWIINGLQKAYQTNDTDTIEYLYNKELKDPANEKLKEQIK</t>
  </si>
  <si>
    <t>DFCLKTNDYVFNPIIKYGDSVIGDTPLLLKNKFTNEILINKIKDLSSNWSNYHNGKESCE</t>
  </si>
  <si>
    <t>IDTYQTWTETGWTDIKRVIRHKLESNKKLLKIQTHNGEVIVTDEHSLLNKNGKTINAKNV</t>
  </si>
  <si>
    <t>KVGDNILHSFPSYINNIDNTNSINYHNKFYNKKMCNELAYILGCFMKYGLCDSSKKCFTI</t>
  </si>
  <si>
    <t>NNKDINLIESLKKMCENIFDEFKWKISSSSHLSDNIYKLVPFQNEIKLIDFIKYFTNKMY</t>
  </si>
  <si>
    <t>NNGEKKVPQCILNSSKEYIKIFLIGLYPEYKLENNQQFIYTCKNNEFSLGIYYLIKKLGY</t>
  </si>
  <si>
    <t>HVKLNSNDSSDSSDSIYTFEISHKLENNNNVITKITEWEHKETYVYDLTTENHHFHAGVG</t>
  </si>
  <si>
    <t>SIIVHNTDSIFSCYQYRENTSKISTENKLTLFQEIIKFGKELILPFIPREYQEEFDKLYT</t>
  </si>
  <si>
    <t>KYYGKIRNLKLNSNLKVKPEPTHFKIILPIHDRLKQFLKEYLEESYFPWLWTLHDIFTMD</t>
  </si>
  <si>
    <t>LSYLDYKQRNEIMEVKLFNHGFSQIEKMRLLPSIFSSADKYNLINQIRNFCKNTLKQYYL</t>
  </si>
  <si>
    <t>IPYWKFNSKTNKLEYRMDFRNKGDPIIDKRNLDKSIDMGIISGELIKKRLPFPHDLEYEK</t>
  </si>
  <si>
    <t>TFWPYLILTKKRYVGNKYEFDRNKYKLDYMGIVLKRRDNAPIVKEICNGIINKLIEHKDP</t>
  </si>
  <si>
    <t>EGAYHFLENSLNKMFNNEYNIKYFLTSKTLKMKESYADWKRIAHVVLSERIGERDPGNKP</t>
  </si>
  <si>
    <t>QAGDRISFAVVEVPPKKGMLQGERIETPDYIKENNLTIDYLFYLTNQIEKPALQFLKLAV</t>
  </si>
  <si>
    <t>PNVEKRLENLKIIRENEKKGYEDIYKYVNMNNMIDSCLSTNLYEL</t>
  </si>
  <si>
    <t xml:space="preserve">&gt;Cafeteria_roenbergensis_virus_BV-PW1@YP_003970183.1 YP_003970183.1 putative DNA-dependent DNA polymerase family B [Cafeteria roenbergensis virus BV-PW1] </t>
  </si>
  <si>
    <t>DFCLKTNDYVFNPIIKYGDTDSIFSCYQYRENTSKISTENKLTLFQEIIKFGKELILPFI</t>
  </si>
  <si>
    <t>PREYQEEFDKLYTKYYGKIRNLKLNSNLKVKPEPTHFKIILPIHDRLKQFLKEYLEESYF</t>
  </si>
  <si>
    <t>PWLWTLHDIFTMDLSYLDYKQRNEIMEVKLFNHGFSQIEKMRLLPSIFSSADKYNLINQI</t>
  </si>
  <si>
    <t>RNFCKNTLKQYYLIPYWKFNSKTNKLEYRMDFRNKGDPIIDKRNLDKSIDMGIISGELIK</t>
  </si>
  <si>
    <t>KRLPFPHDLEYEKTFWPYLILTKKRYVGNKYEFDRNKYKLDYMGIVLKRRDNAPIVKEIC</t>
  </si>
  <si>
    <t>NGIINKLIEHKDPEGAYHFLENSLNKMFNNEYNIKYFLTSKTLKMKESYADWKRIAHVVL</t>
  </si>
  <si>
    <t>SERIGERDPGNKPQAGDRISFAVVEVPPKKGMLQGERIETPDYIKENNLTIDYLFYLTNQ</t>
  </si>
  <si>
    <t>IEKPALQFLKLAVPNVEKRLENLKIIRENEKKGYEDIYKYVNMNNMIDSCLSTNLYEL</t>
  </si>
  <si>
    <t xml:space="preserve">&gt;Klosneuvirus_KNV1@ARF11832.1 ARF11832.1 DNA polymerase family B elongation subunit [Klosneuvirus KNV1] </t>
  </si>
  <si>
    <t>MKKNVLNNSKDLLFQISDWDYYHEEFDLDEATLKKYVIRLYGTTNDHKKIFVKVEDYTPY</t>
  </si>
  <si>
    <t>FYVKIPKDWKKQKVQVLLDYVKKEVEKNPKNADILNSLKEWDLIDRCVFKEFTNYKLFQF</t>
  </si>
  <si>
    <t>VRLVFHSYEGFRAYERIFNRRLLIHSLGMKPIKYELYESNIEPNLRFMHIRDLQAVGWVS</t>
  </si>
  <si>
    <t>IKGGKYNCFPKDKSPSNNDICIHTNWKNLDPVKDTSIVPLIIAAFDIECMSEDGSFPQPQ</t>
  </si>
  <si>
    <t>RDGDKIIQIGTTFSRYGEDECFYKHIITLGSCDKIEGADVESYENEVAVLLAWTKMMNRM</t>
  </si>
  <si>
    <t>NPDVVTGYNIFGFDYWYMHKRAKKFGCEKSFIKFNRLNNEETPYIKKDLSSAAMGQNKLK</t>
  </si>
  <si>
    <t>FYAMQGRIQVDLLKVVQKDYKLGSYKLDNVAAEFIKEAVVKVEMKDGLTTIFTKSTYGLE</t>
  </si>
  <si>
    <t>IGRYIKINYNDGLSDNSYKNEFKFKVIKVTKDTLTIEGILDGEALELTKYKVSWCQAKDD</t>
  </si>
  <si>
    <t>VGPHDIFRLQKGSSADRAIVAKYCLVDCILCNKLMNKLQVLTNNIGMANVCHVPLSYIFL</t>
  </si>
  <si>
    <t>RGQGIKIFSLVAKKCRERNHLMPVIKKPYKPKEGEVPKFPQKKMEEDEEEEDEGYEGATV</t>
  </si>
  <si>
    <t>FNPDTGVHYEPITVLDYNSLYPNSMRMKGLSQELLVKNPEYDNLPGYYYNSATYTNKDGS</t>
  </si>
  <si>
    <t>INTCKFAWPKDGKLGILPEILTELLNKRSEMRNLAEEEKDPFKKKVLDGLQLALKLSLKI</t>
  </si>
  <si>
    <t>VSAISK</t>
  </si>
  <si>
    <t xml:space="preserve">&gt;Terrestrivirus_sp.@AYV75920.1 AYV75920.1 DNA polymerase family B elongation subunit [Terrestrivirus sp.] </t>
  </si>
  <si>
    <t>MVLGYDIDKVINDEIKYVDLDAVAQKARTKKYASVYDDIKKENKNLSNNDNDVLFQILDW</t>
  </si>
  <si>
    <t>NPYHEDDDNGQKIYAIRLFGMTKDDRTICVNIKKYTPYFYVKIPENWRASMVDSLMTYVK</t>
  </si>
  <si>
    <t>KKVFPKENLEGLISCQTINKYDFYGFTNYTKFNFLQLTFKDHDSMRSYERVFKKPMKIFQ</t>
  </si>
  <si>
    <t>ISKDEFTLKLYESNIEPFLRCMHIRNLDSVGWVSIQAAKYKVTMDDPTLSDINIECAWTE</t>
  </si>
  <si>
    <t>LNRVDERSILPYRIAAFDIECKSGDGTFPQAYRDEDKIIQIGTTFSKFGENECYFQHIIT</t>
  </si>
  <si>
    <t>LGTCDEIPGITVESYETEQEVLIAWLKLITRTNPDIITGYNIFGFDFVYLKDRAKKLGIY</t>
  </si>
  <si>
    <t>DRFSKLTRIKNLNAEWKEKQLASAALGDNLLKYFDMSGRVLIDMMKVIQRDYKLEGYKLD</t>
  </si>
  <si>
    <t>YAASYFIKEQVQKLILKANDKQHVDPELFENFFDKTNTIKNDEDKDTTTIETKSTYGVKE</t>
  </si>
  <si>
    <t>DNYITIYYTDGIANNKHMDGKKFKIKELTKTSLTVYGIINDDIVGKGYKIYWCQAKDDIS</t>
  </si>
  <si>
    <t>PKDIFRLQKGTSKDRAIIARYCIMDCALCNKLMAKLQVLTNNIGMANVCNVPLSYLFMRG</t>
  </si>
  <si>
    <t>QGVKIYSLVSKKCREKQHLIPTLAKEFRDEAEEEEVKQEEKKIEKLIARLNGDDQEDDEE</t>
  </si>
  <si>
    <t>EEEEGYEGAIVFPPIPGVYYEPIPVLDYASLYPRSMIHKNLSHECFVIDDAKYGYLPGYN</t>
  </si>
  <si>
    <t>YNIIPYITKTIKQQYDRRLLRDLIKAYDNNDNFIIDELNVDPAKLRRHVIVYDKDHNSNK</t>
  </si>
  <si>
    <t>RYKIADIQADRDNIIMINYETDKFAEKQDGTKGIIPEILLELLAARSKYKKEMEKETDPF</t>
  </si>
  <si>
    <t>KKSILDGLQLAYKVTANSLYGQTGSSVSPIFMKSIAASTTATGREMLVYSKYFIENIYGK</t>
  </si>
  <si>
    <t>MINYALTDKDKFMEYCFETFKDAEDKKFKKTTKEKVKNPDGTETYVVVPEESWDNRQEFF</t>
  </si>
  <si>
    <t>EKFYDKMNVVFKGKSVSPYIVYGDTDSVFFSMLIKDNKTGEIGRDKNALVQCITAGQWAS</t>
  </si>
  <si>
    <t>HTICTLLPDYQEQAYEKVLWPFMIITKKRYVGNLYEDNPDKFYQKSMGIVLKRRDNAQIV</t>
  </si>
  <si>
    <t>KIVCGGIVDQILNKHDPMGAVKLLQRSLKDILSGKFQMDKYIITKTLRENYKDRTRIAHA</t>
  </si>
  <si>
    <t>ILADRMGLRDPGNKPMSNDRIPYAYVVTDHEVELQGDRIETPDYITSNNLKLDYLFYITN</t>
  </si>
  <si>
    <t>QIQKPATQFLELIIDNPKRLFESYIIREENRRKGVKPIKTYLEEINNKNDNTDDDINNEN</t>
  </si>
  <si>
    <t>ENENENDNISNDDNTSNKNKKRSRGKTLTKYKPTKEIVQLDSMSLDM</t>
  </si>
  <si>
    <t xml:space="preserve">&gt;Faunusvirus_sp.@AYV79324.1 AYV79324.1 DNA polymerase family B elongation subunit [Faunusvirus sp.] </t>
  </si>
  <si>
    <t>MNSDKSILFNVTDWREYVNTDEDDSDNDEDSPEEIENADDGSPQEDKKQLGKYTVELFGR</t>
  </si>
  <si>
    <t>TADDKSVHVTAKGFTPYFYVEVPDNWTETQAKYLVDSIWLPPEHKKCLIEYDMVKRHKFD</t>
  </si>
  <si>
    <t>GFTNNKLFNFVRLVFNSQEAMQRCGYMFSKPININRLKLKKMFKIYESKICPMFRCMHIK</t>
  </si>
  <si>
    <t>NLNSCGWINIKAGSYKQITRKTSTTNIQIITDWKNLEPHDDPTYAKLKILSFDIECISTE</t>
  </si>
  <si>
    <t>GFPMAKREADAIIMIGNTFGRSGSQECYKRVVFTLKQSASIPNTEIVYCATEDELLLKWR</t>
  </si>
  <si>
    <t>DFLCREDPDIITGYNIIAFDELYMRDRAKILNILDKFHYLGRMKEVKSDFIDKELSSSAL</t>
  </si>
  <si>
    <t>GVNKLKYFDMWGRVHIDLMKVIQRDHKLSSYKLDSVAEHFIKSDIKSCTINSDRTSTIVC</t>
  </si>
  <si>
    <t>KDVKYLNVDNFIKIDINRFKYMSGHKFKILKIEGNNVTIEGMLDLDFAKNKYKWGLVKDD</t>
  </si>
  <si>
    <t>LKISDMFKMYATGAPQDIKIIAEYCLQDAALCILLMAKLEILNNNMGMATVCSVPLSYIF</t>
  </si>
  <si>
    <t>FRGQGVKIHSLVAKKCRLENHIIPNIEIMRADITECVVNNKTTVLTCSSTKFFEVNGTIH</t>
  </si>
  <si>
    <t>IEVVNNKYKDGEQFKILKIDGNNITIEGVVNLKPTQYKCKIVKDDSYEGATVLKPETGWY</t>
  </si>
  <si>
    <t>EEPISVLDFGSLYPSSMIDMNMSQETLLTHIEKDPLTGTEKLAYDNLPDYVYRDIVYYGD</t>
  </si>
  <si>
    <t>EKKQIIQRFAKHKSGKLGIIPQILQTLLSEREKTRAIQKKESDPAKYAVLEGLQIAYKLT</t>
  </si>
  <si>
    <t>ANSLYGQMGASTSPIFKKEIAASTTARGRDMLEMAKKFVEVEFRKLLMEYIAATNADNKM</t>
  </si>
  <si>
    <t>IVEYLNKNNVQLTPKLVYTNTDIYDDFVKQYKIDTVANKSYKYTFDREITREFLRRSNFD</t>
  </si>
  <si>
    <t>ITPKIVYGDTDSNFILWSIRCKTTGDKLNDYRGLTIAIELGKLSGEFIKPRLPFPHKLNY</t>
  </si>
  <si>
    <t>EKTFWPFALLSKKRYVGNKYSNDILDFYQDFMGIVLKRRDNADIVKKIVGGIIDIMMDTK</t>
  </si>
  <si>
    <t>NAASVEHFVKSSLQDMFDGKYPIDDFVLSKTLKDKYANRASQAHVALADRRTVRDPGNKP</t>
  </si>
  <si>
    <t>NLNDRIPFVYIEVPEKRDRIRGTTKIKKVLQGDKVEDPDYIKEHHLNIDYIFYITNQIMN</t>
  </si>
  <si>
    <t>PALQLMELVLKNPEKIFNDFIARETVKKAQRLSDKLSISEWFEMAKTSKSSQDMEAAENE</t>
  </si>
  <si>
    <t>YRSPNIVRKAVKKNQLTIAL</t>
  </si>
  <si>
    <t xml:space="preserve">&gt;Pandoravirus_neocaledonia@YP_009481838.1 YP_009481838.1 DNA polymerase type-B [Pandoravirus neocaledonia] </t>
  </si>
  <si>
    <t>MTTNDAIAAVAATKTDATTTAATMATRPVQETGAAEPLVDLGARAKVMSNLFGIRETVTH</t>
  </si>
  <si>
    <t>VPQRLRVQLLDPLVRDASAIRGRRELEDAAQPVIHYHHGDHRESRRFDGILPDGTLMDVD</t>
  </si>
  <si>
    <t>VHKDAADQDNADADNDDGWQDEGERPGRVPPADTLLLLNGVDAEGRTVCVNVKGMRYCIY</t>
  </si>
  <si>
    <t>VQCPNTWGLTHMSALASAIEGYYAIPSGGVEYRQKRLHHMLGWEPMPNDPTRTKAHNYCV</t>
  </si>
  <si>
    <t>LGFGSARVMEWAANAIQRGGKLRARSPLTDRDMRMLRVYERRVDPVHKALERLGGLQPCS</t>
  </si>
  <si>
    <t>WFDVERWRVPGIYHTHAQIEVEVDARDIVPRPEIDAMAPVWKASWDVECYSHDGSFPRAD</t>
  </si>
  <si>
    <t>HPRECDHTICINTYFSQHRTDGRPPRVVQTSHHFGAVRVHRQADRVRDAVDDPRWGVFVM</t>
  </si>
  <si>
    <t>KPNSKASLDSDGLSGGVNDNGNVNGNGSDNGTMTNSVAAVATHEEESLVDRQVYVMQCAT</t>
  </si>
  <si>
    <t>ELEAIEGWRDLIVLDVQPSVVEGYNTDAFDFGWLGVRAQVCAGYGIRSRLFEAGVLIGEH</t>
  </si>
  <si>
    <t>TPMRRKDLDSAAKGSNTLNFIPMPGRILIDMYHIVKAEKRLESYTLDDVCRSIFPDDETL</t>
  </si>
  <si>
    <t>RKIDVPPEEIFRRYASGDPDERAVVVEYCARDCRLPLALEEHLMTLTGVVEMARITRTPL</t>
  </si>
  <si>
    <t>PLMLISGQQVKTWSQIVYEAHTMGYVVNLDESNAGGGRGGDGGAWLRGAYGVGARGVGDE</t>
  </si>
  <si>
    <t>WLPGVIAMASMRAGGGNADGHVVPDTAGKVTADKNGAAASKAADGTDGYVGATVLQPRAG</t>
  </si>
  <si>
    <t>YYVVPIVTLDYQSLYPSIMEANNLCPSTRVVSAEVRATLARYCREVQEPISEIRRSDGAV</t>
  </si>
  <si>
    <t>ADQDAALNRVFASRPDWVPGQFAAQVDAPGRPRTVAYREVRPTPSRVHVFVQHVQGVVPR</t>
  </si>
  <si>
    <t>ILTALKNQRKKVRADQKAYEKGTPLWAVYENRQLGIKITANCFPADDHEILTESGFMNYA</t>
  </si>
  <si>
    <t>AVVEHFEHNSRLSVACYVDGQLQYHDISKTDVISNTGTHRLVQFEANSSAREREVGNGVS</t>
  </si>
  <si>
    <t>LCCTDNHRIYARVGPTWGNRIWPRKGTESQEEAAPPFTIQSAGDIVAAGARDSSTVAQFA</t>
  </si>
  <si>
    <t>ATCAKGVALDESALPFVEALGLRTEDQVDAFIELYGYWLGDGWLDVSCKAIAFSPVKAGD</t>
  </si>
  <si>
    <t>SAYLAALFARLPLPMLTESTRGPGADGAFIAPEPPKAKQRARYATWTKPHCHYIYTTSWW</t>
  </si>
  <si>
    <t>RYFAEEYGHKYSGAGLECAMERALRCGSDLPARRRTATPKRGAPKASAPTPAVCTKSRSR</t>
  </si>
  <si>
    <t>AAIAERNRNAAGIDERICLSDQCALAGAWQPLEAAFTRRAPKRTGGKESYEGRCKRCMSE</t>
  </si>
  <si>
    <t>YTSKHRAAKRARLAERYDAMVAANTGKRRVTLDAEDVRSAKWMWYWVWRQLGRDRLRLLL</t>
  </si>
  <si>
    <t>RGLRMADGDTASGQRGGGAIYTSSQRFADEIVRVALHAGYTALIRARCAAGDVNGANQNG</t>
  </si>
  <si>
    <t>ALIVATAQNWVVNYSDFTREAQPKITIARETSTMTYHGTVWCVNVPVEPNLIIVRRIVHH</t>
  </si>
  <si>
    <t>KGVPVPSRALVVGNSVYGFLGAVKRGRMPCVEVSESVTCIGRDMIHATKAYVETHLDRYV</t>
  </si>
  <si>
    <t>RGLIDDPELVAAERRRAKERLDAAFASAGLGAVAVTDITLSESTGPTKDDRSEREKNRDA</t>
  </si>
  <si>
    <t>LLDALDKASLAPDAITGATVVYGDSVGADTPLLLRFDNKYIDYVRADQVDESLAGGDASA</t>
  </si>
  <si>
    <t>AARMWGAYQGDKEAFCPPRSIEVWTERGWTAVNRVIRHKAGKKMYRVLTHTGCVDVTEDH</t>
  </si>
  <si>
    <t>SLLDRHANKIKPTDVAVGSALLHADLPPYECPSPIFECRADASAKSATGSANTVVASSVA</t>
  </si>
  <si>
    <t>DNGAAVADDAAHAWALGMFFAEGSCNEYVRHDRDQYCWRIANKDMALLRIALAGLGGRYP</t>
  </si>
  <si>
    <t>DISFSIVGPYKDGMAYVVANGPGKMGLVANYRAAFYDPVHALKRVPTEILNANAKIKRAF</t>
  </si>
  <si>
    <t>IRGYFAGDGNKTDCGSRCDGRGKIGMAGIYYLLSTCGYSVSINTCGGPERDTYRVNFCDA</t>
  </si>
  <si>
    <t>ATPKRTQRKAPDTIKKIIPLDCDKSLGGNVYVYDLETANHHFAAGIGRLVVHNTDSVMIR</t>
  </si>
  <si>
    <t>FDGVPETREGVEVALQLGVAASDYITSKFPDQIVLDTEKAYWPYVLFRKKRYVGRMWTLE</t>
  </si>
  <si>
    <t>GKPPYIDAKGVEVKRRDNWAGMRKTYKACLDAMMERMDIDAVKDIVLRLVCDLKADRVSL</t>
  </si>
  <si>
    <t>DDYKISKSLKRDYSKCKSMPPHVVVRDKIRQRNPGSEPLAGNRVYFVITVDDRIKKKSAR</t>
  </si>
  <si>
    <t>AEDPAYVAANPTLARIDRLYYLESLANPFGALLEPCFTNPEQLFVDAAVFIANQQKGQAP</t>
  </si>
  <si>
    <t>ITQWLGKRSARSEPDGRDSEEAERARIAATVKRRCADKTYVPQAIAKQQKTEQRKAARNA</t>
  </si>
  <si>
    <t>PPPKTGPLSAFVRRARPPSS</t>
  </si>
  <si>
    <t xml:space="preserve">&gt;Klosneuvirus_KNV1@ARF11831.1 ARF11831.1 DNA polymerase family B elongation subunit [Klosneuvirus KNV1] </t>
  </si>
  <si>
    <t>MDEPYESFVEKINLMFNKQLDELIGEENIDILKEHIEGELFPRYDYLNVFKNNRAVINEN</t>
  </si>
  <si>
    <t>YFKFIDDDKKNPKYKNKTEFTKWIHSDIRKVMEGKNITPSIIYGDSILGNEVLTLLNDKN</t>
  </si>
  <si>
    <t>DIEFHRIDKLCDKWESYDNFKTDEYNEYFTNILNKLFKDKTDSNNSILMNETDYINGKIM</t>
  </si>
  <si>
    <t>GSIYTNNIRKNHEVSIGALGKIDGKRTKKQFYFSMYGNDTKALHEALKYRLKLNEELDLI</t>
  </si>
  <si>
    <t>KNKYRYMIDLDSNRYIEVQVNNNKIMLCDIDDIDIIEKYTWCINEKNYVVSNNVNSESWQ</t>
  </si>
  <si>
    <t>YHKLVLNKILNKLPNNIRNQIKDLTVDHMNRNTLDNRKQNLRLVNSKEQQWNQDIFKTNT</t>
  </si>
  <si>
    <t>SGTRGVYYRTNRKAWIANWLNLDGKRESKYFKNKQDAINERKTQEQIMETYFNDERKKLI</t>
  </si>
  <si>
    <t>DKLKQLLINDQKDRYDKEQSSANYKVWTDKGWSNINRVIRHKTYKRIFRIVTKTSIIDVT</t>
  </si>
  <si>
    <t>EDHSLIDKNGNYITPKTCTIGTELMYGINNFDTIEFVDIKSNKYDILAFSSDDKVECMRY</t>
  </si>
  <si>
    <t>YCYNKKLGYNILIDVNNDKFVLHRTNDVIENPNKIINIQQLNDVVDDYVYDLETEVGHFH</t>
  </si>
  <si>
    <t>AGIGEIIVKNTDSVFIKYNIKLNGEEETLKDKVALETSIKLGQLTSKLLFTILPLPQNML</t>
  </si>
  <si>
    <t>YEKTFHPYVILSKKRYVGNKYGSDPNKYYQDAMGITLKRRDNAPIVKIVVGGIVRSILND</t>
  </si>
  <si>
    <t>KSPEKAVAFAKETLKKILCNKYPMDKFIITKTLKGNALIESERVLEEMKPKEERTYSDRT</t>
  </si>
  <si>
    <t>RIVHAVLADRMADRDPGNKPLSNDRIPYAYIITKGNVELQGDRVEHPDYIIENKLPLDYL</t>
  </si>
  <si>
    <t>FYITNQIMKPSLQFLEHITENPDKIFETCIMKELNRREGKRPLTYYFNLLQEMKQNKDDV</t>
  </si>
  <si>
    <t>FGEDNEDDDDNDNDNDTDNDNDENKYESKFTFNFDLDDEISDQEEDSDTPKLGKKKIVKN</t>
  </si>
  <si>
    <t>KSTKNQANVPAKNQTKKRVLNHKPVYDENKGGFVVTL</t>
  </si>
  <si>
    <t xml:space="preserve">&gt;Pandoravirus_salinus@YP_009429988.1 YP_009429988.1 DNA polymerase type-B [Pandoravirus salinus] </t>
  </si>
  <si>
    <t>MAAATTTTTRGETEAAVRGQTMASCTAEAPKVDLGDRAKIMSNLFGVRETVTRVPARLRV</t>
  </si>
  <si>
    <t>QLLDPLVRDANGSRDRRQIEDAGRPVARYHHADHRESRQFDGILDDGTLIKAPGADDDAE</t>
  </si>
  <si>
    <t>GEPDDDDGWHDEGQRRERPPLVDTLLLLNGVDDEGRTVCVSVRGMRYAIYVLCPPSWGVA</t>
  </si>
  <si>
    <t>HMQALAATIEGYYGIRRGGVTYQQRPLHHMLGWEPETNDLTRTRRHNYCVLGFGSARVME</t>
  </si>
  <si>
    <t>WAANAIDGREAKLCRRLREPLNERDMRSLQVYERRVDPVHKALERLGGLQPCSWFDVQRW</t>
  </si>
  <si>
    <t>RIPDLYHTHAQIEVEADARDIVPRPEIDAMAPVWKASWDVECYSRDGSFPRADHPRGCDH</t>
  </si>
  <si>
    <t>TICINTYFSQHRTDGRPPRVVQTSHHFGAVRVHRPVDAERDRVDDPRQRAHWSVFEMNRA</t>
  </si>
  <si>
    <t>APADTMATETADAQQQQQQQEQQPRSHREVYVMQCATELEAIEGWRDLIVLDVQPSVVEG</t>
  </si>
  <si>
    <t>YNTDAFDFDWLGTRAQRCARYGVRSRLFEAGVLIGEHTPMRRKDLDSAAKGSNTLNFIPM</t>
  </si>
  <si>
    <t>PGRILIDMYHIVKAEKRLESYTLDDVCRSIFAKDESLRKIDVPPEEIFDHYASGDLDRRA</t>
  </si>
  <si>
    <t>VVVEYCARDCRLPLALEEHLMTLTGVVEMARITRTPLPLMLISGQQVKTWSQIVYEAHTM</t>
  </si>
  <si>
    <t>GYVVNAPEGRDRSGGGTRDWLRGAYGVGDHGVGDQWLPGVIAMASIRAGGGNADGHIMPQ</t>
  </si>
  <si>
    <t>DGGKVAGAADAEEGYAGATVLQPRAGYYDVPIVTLDYQSLYPSIMEANNLCPSTRVTAEP</t>
  </si>
  <si>
    <t>IHRELARHCREVREATSEVLRADGAGQDATALNRVFASRPDWLPGQFAVDTDRRGIQRTV</t>
  </si>
  <si>
    <t>AYREVTPAAGRTHVFVQHVQGVVPRILTALKNQRKRVRADQKAYEKGTALWGVYENRQLG</t>
  </si>
  <si>
    <t>IKITANCFPADDHEILTETGFMNYAAVTEHFKRHAHLSVACYVDGQLQYHDITEANVVAN</t>
  </si>
  <si>
    <t>TGDHRLVQFEAGSSTGKRATTNGVSLCCTDNHRIYARVGPTWGNRIWRRKGTESQESAAP</t>
  </si>
  <si>
    <t>PFTIQSAGDILDAGTRDPSTMVQFTAVCSKGVTLDGGDLPFVEALGLRTEDQVDAFVELY</t>
  </si>
  <si>
    <t>GYWLGDGWLDVSCQAIAFSPVKTADSAYLAALFARLPLPLLTKDTRGPGAIGAFVTPEPA</t>
  </si>
  <si>
    <t>GVKRRARYTAWTTPHRHYIYTPSWWRYFAEQYGHKYSGAALEHVIQGALRSGADLPARRP</t>
  </si>
  <si>
    <t>DAKPSTGKARTLASSTSMGGGRLSAACATRRNRINDGVAERVCYSDHCASAGVWQPLTTA</t>
  </si>
  <si>
    <t>FPRHSPKGSGKATYGGKCRKCVSARAYQNRIARRTQLAARYDAMFAANTGKRQTALGAEE</t>
  </si>
  <si>
    <t>VKSAKWMWSWVWRRLHPDRLRLLLRGLRMADGDMAGGDRGGGAIYTSSRRFAEEVVRVAM</t>
  </si>
  <si>
    <t>HAGYTAMIQPRCAAGDVTGLNQKGVPIVATAQNWVVNYSDFTREAQPKITVATQMSSAPY</t>
  </si>
  <si>
    <t>HGTVWCVNVPVEPHLIVVRRIVQRYGVSVPSRAVVVGNSVYGFLGAVKRGRMPCVEVSES</t>
  </si>
  <si>
    <t>VTCIGRDMINATKAYVETHLPRYVSGLLDDPALVAAAAERQRAKERLDASFASAGLGAVA</t>
  </si>
  <si>
    <t>VTDVALAQPALEPAAKDDRSEREKNRDALLDALTSASVKPGDITGATVVYGDSVGADTPL</t>
  </si>
  <si>
    <t>LLRFDGKHVDYVRADQVDGILARGDTSAAASLWSAYQGDKEAFCLARPVEVWTERGWTAV</t>
  </si>
  <si>
    <t>NRVIRHRAGKKMFRVLTHTGCVDVTEDHSLLDPNAEKVKPTEVSVGSALLHADLPTHECA</t>
  </si>
  <si>
    <t>TASLKSRVPMSTQDITDDDGDDDSAKVSAASSTSADGSVLVSAADKAHAWAMGMFFAEGS</t>
  </si>
  <si>
    <t>CNEHPRDNCTQYCWRIANKDMALVRMAFDGLEGRYPGVTFSISGPCTDGMAYVVANGPGK</t>
  </si>
  <si>
    <t>MGLVANYRTAFYDPVYALKRVPTEILNAHVEIKRAFIRGYFAGDGNKKLYGADGTYCGSR</t>
  </si>
  <si>
    <t>CGGKGKIGMAGIYYLLSACGYLASVDTCGGPERDTYRINFCDAATARRTQRKPADTVKKI</t>
  </si>
  <si>
    <t>IPLDSAAFDGAYVYDLETANHHFAAGIGRLVVHNTDSVMIKFHGVPATREGVEVALQLGV</t>
  </si>
  <si>
    <t>AASDYITTKFPDQIILDTEKAYWPYVLFRKKRYVGRMWTLDGKPPYIDAKGVEVKRRDNW</t>
  </si>
  <si>
    <t>AGMRKTYKACLEAMMERMDINAVKDIVLRLVCDLKGDRVSLDDYKISKSLKRDYSKCKSA</t>
  </si>
  <si>
    <t>PPHVVVRDKIARRNPGSEPLAGNRVYFVITIDDRLKKKSARAEDPAYVAANPRLARIDRL</t>
  </si>
  <si>
    <t>YYLDSLKNPFGALLEPCFDNPEQLFADAAVFIANQQKGQAPITQWMGGKRAAVPTTEAEV</t>
  </si>
  <si>
    <t>EAAEARERAQIAARVKRRRNDQTYVPAAVLKQQKTEARKAARKKPPPTTGPLTAFVKKRP</t>
  </si>
  <si>
    <t>AS</t>
  </si>
  <si>
    <t xml:space="preserve">&gt;Armadillidium_vulgare_iridescent_virus@YP_009046615.1 YP_009046615.1 delta DNA polymerase (B family) [Armadillidium vulgare iridescent virus] </t>
  </si>
  <si>
    <t>MQKTIFVYSWHQIEDASTSGEFKKWTDPEHIRVYGIDENGKSICVTIDDFRPFVHIELPN</t>
  </si>
  <si>
    <t>HIQWLENGNIPKVQKISNYLRTLLGSNAPIKQGTSFKYKYKLYGAHYDRNENGFYRKKFP</t>
  </si>
  <si>
    <t>YLVCKFANRKQIALLNSKLKNKVDVPGFGLIDLKVRETNISPILQLCVEKNLPSSGWLEI</t>
  </si>
  <si>
    <t>QGEFREEDEKVTDCDEEYLVHSIEKDSLRPSDRQCPIKAKIMAWDIESFSVDGSFPDPNI</t>
  </si>
  <si>
    <t>PGNVVFQISCVFGTMGSIKERKSKYLLTLGEPDFSNFDVEEVKEILVRTFKDEVSLLEGF</t>
  </si>
  <si>
    <t>AKLIKEEKPHLITGWNIFNFDIGYLLQRAKLNRCLPNFLLQGFPKDILGKEKTVNWTSKA</t>
  </si>
  <si>
    <t>YGTTDLKFIDSEGVLSIDLMDIVQKAYKLDAYNLNEVSKHFLNSKKDDLDHIEIFASYKI</t>
  </si>
  <si>
    <t>GMERNGCGFTKNAKLAMGKVGKYCVQDSVLVLDLFQHLQTWFSLTEMSKTCSTPIMDIHV</t>
  </si>
  <si>
    <t>RGQQVKFFNQLYKHCFEHEIVVDKEGYVVSDQERYRGAEVLDPEPGLKKNVVSVDFASLY</t>
  </si>
  <si>
    <t>PSLIQAYNLDYSTNVVDKTIPDELCHVMKWEDHVSCEHDPKIIRKKELTVKIDELKRKIK</t>
  </si>
  <si>
    <t>DEKDRGRKDKLKIDLASLTKERSNITKKLSKSVMCAKRSYRFLKEPRGVLPTIIKDLLDA</t>
  </si>
  <si>
    <t>RKNTRAEIKIWQNKLKSAGGLEEQEIAKSMIQILDQRQNSYKVSANSMYGATGVRVGALP</t>
  </si>
  <si>
    <t>FMPIAMCTTYMGRKSILEVVEHMKDYGGTVVYGDTDCLCRTTPVLIRKDDSDVFFTTVDE</t>
  </si>
  <si>
    <t>LSKNDWEYINPNKDISSPKENYEIWSDTGFTKIENVVRCKIDEPLKRVTTHVGSVICSDN</t>
  </si>
  <si>
    <t>HSLLTENLTGVTPNDVVIGDRLCVRELPLPQDTPQVPIYINRLTAERIQMYEIPEVSYLN</t>
  </si>
  <si>
    <t>VSAKMAFVWGLFFADGGAGIYKQSKSNCLSNFTWAINKADIALLERARELLEGETNNKFK</t>
  </si>
  <si>
    <t>ILDTIESSKCYKLVFCHLDRKMVEEYIEMFYDKDKNKTIPHIILQAPFLIRQAFFMGYYA</t>
  </si>
  <si>
    <t>GDGSKKDPAICLSNKGQLGSAQLFYLMRSIGYNVSVNVREDKPHIYKLTGSTPECKQRKI</t>
  </si>
  <si>
    <t>PNAIKKITSFSNDGYIYDIQTENHHFAAGVGQLVVHNSNYVTFDGIVDRNVKVGTPEFTI</t>
  </si>
  <si>
    <t>EMKKLWAHAIYVAKEISKKFPEPITLEFENAIYFKFLILTKKRYMYYSCGEEGNVKMENN</t>
  </si>
  <si>
    <t>GLVPKMGKRGVLLSRRDNCKFMKKVYSEVIDKIFSSDEINSDDILNSVIDHSLSLYQRRI</t>
  </si>
  <si>
    <t>EFCGAVEKDKDVFLKDLIVTKSVGDYGGENPTFIPELGKNDRGETRWKIGAYIVNLITDE</t>
  </si>
  <si>
    <t>DKANMTEDQIKDWYLEQLPGQVQLQEKIKKRGHAKEEGQRLAYVVTDIGRSAKQSEKIES</t>
  </si>
  <si>
    <t>DKYFFTYSHILKLDYGYYIDRLVEPLDQVFQAVFHKEAGISSYRKHNGYSPNFIKNFPKL</t>
  </si>
  <si>
    <t>YTIFVKRGRGGLHSFTKDFHKVSAVLKPKLLKELQLLTKPELSFD</t>
  </si>
  <si>
    <t xml:space="preserve">&gt;Invertebrate_iridescent_virus_30@YP_009010295.1 YP_009010295.1 delta DNA polymerase (B family) [Invertebrate iridescent virus 30] </t>
  </si>
  <si>
    <t>MACNTKETEYEFYAYSWHLDEEIQDETFIRAYGFDDQQKNICVSINGFQPFVWVELPTHI</t>
  </si>
  <si>
    <t>NWKLGENKERLYLYFNQMFPNVKCTLKFCKKLYGANLKKKGDKYTFKLFPFLMCSSPSFK</t>
  </si>
  <si>
    <t>ELKFNLPSKLKTPQRVMGFGNLKFHVHGQDACPRLQLTSKYDLPTAGWIKFKGIEVVCEE</t>
  </si>
  <si>
    <t>DKFTSCDREFLVDLRLCKTQGIKPKDLISRSVKTTIPKPLVLSFDLEVNSEDTITMPKAS</t>
  </si>
  <si>
    <t>RPGDVVFQISCIFSRLGSNVYDKYLLSLGDPQKNIVGANILKYSTEQKLLMGFKDLVNKK</t>
  </si>
  <si>
    <t>NPNVVIGYNIFNFDIPYLMDRANHKSIYPLWAQQGFAKNKSGIQREIKWSSSAYKNQEFK</t>
  </si>
  <si>
    <t>FLDCEGRLYIDLLPVVQRDFKLNDYKLKTVSTHFIGETKDDLDPKSIFRCYREGIKTQML</t>
  </si>
  <si>
    <t>IIVKVGKKHFKLVGVENEDNLKQQNFFDEVTDVFWVENAFSSIEYIRQKIKHLEDESGHF</t>
  </si>
  <si>
    <t>KIKYCDLKYMVVNEAKLNLLQTKHRNSNNYLKIDNLSQKYMSICGKYCIQDSMLVSKLMD</t>
  </si>
  <si>
    <t>KLNVWYSLSEMAVICNVPMITLFTKGQQIKVYSNLYKFCLENKIIPEKDGYTVSENERYV</t>
  </si>
  <si>
    <t>GAYVFVPKPGLYINVVPFDFSALYPSLIIAYNIDYSSCAFDPNIPDELCHVMEWEDHISC</t>
  </si>
  <si>
    <t>KHDPKVIEKNRLTKLIDELTSKKKSDKALISKLRKQRSEITKSLNKNIMCEKRKYRFLKV</t>
  </si>
  <si>
    <t>TNQNPEFKGVLPTIVQSLLDARKETRKEISNLKNKLKEINNEQQTREIETTIDILNQRQL</t>
  </si>
  <si>
    <t>AYKISANSMYGITGVKAGMLPFMPVAMSITYKGREGVKQVSDILQKQYGGELVYGDTDCV</t>
  </si>
  <si>
    <t>ASNTPLLIYYKNKIFYKTVDEISQGDWKPINPNKEISTPKEGYKVWSDQGFTKIVNIVRC</t>
  </si>
  <si>
    <t>KPIESLSQITTHIGTVVCSDNHSLLTDTLECVTPQEVNIGDNLCVTGLPLPKDTPDKPLY</t>
  </si>
  <si>
    <t>PNKLSSLVIQDYKIPQFEFEGITSNLAFIWGLFMADGSAGIYNYKKRAVLYSWAINKADT</t>
  </si>
  <si>
    <t>DLLERVRQLCEEEYKQDFQILDTIESTGCYKLVQCKPNEEIVEDYIDLFYTKDKLKKIPD</t>
  </si>
  <si>
    <t>IILQAPFQIRQAFFMGFYAGDGSKKDPSICITFKGQIGSAQLYYLMKSIGYQVSINVRND</t>
  </si>
  <si>
    <t>KPDIYKLTGSSPIKKMRKIPNAIKKKSAYLSPVDYIYDIQTSNHHFAAGIGQIIVHNSNY</t>
  </si>
  <si>
    <t>VSFQHKKFSITELWDYAIKVADEISKLFPPPMKLEFEEAVYTKFLILTKKRYMYQTALRD</t>
  </si>
  <si>
    <t>GTIKPEIGKKGVVLNRRDNSAFIRKTYENVVKIIFENTEDKDKLQSKVITSLLTDVNAMF</t>
  </si>
  <si>
    <t>NHQCSVEDFIITKSTGDYGNIQPQYFLNEKGLHRATLGQYNVPFLTEEIKEEEGIQTPEE</t>
  </si>
  <si>
    <t>ETNWYLDKLPAHIQLLEKIKRRGHSRNEGSRLEYVVVETDNLKDKLSAKNETVMYYNKNK</t>
  </si>
  <si>
    <t>GILNLDYLYYLHRLINPIDQILEVIFNLNDFMKNHYNYRVLKKKLTIEINELFSPVYNIE</t>
  </si>
  <si>
    <t>KDWLYLLKESDKYSLIYGSKEYCKSQLLPYHSLVYKTKYVPTQPIDFYAFLKMKYGLTTS</t>
  </si>
  <si>
    <t>LKTQFIFKDNIVFLGNMTESKLIAVIKKECK</t>
  </si>
  <si>
    <t xml:space="preserve">&gt;Pyramimonas_orientalis_virus@A7U6F2.1 A7U6F2.1 RecName: Full=DNA polymerase [Pyramimonas orientalis virus] </t>
  </si>
  <si>
    <t>MNFRDHSISLDESKNACFQVIDWYHFDYTNEDSNESQYIIKMFGVTEEGYSLCVNVTDFQ</t>
  </si>
  <si>
    <t>PHFYISSKTKDKFTQTELDDLEEYIINKLPYNFKNSLSVKQVRKKSIWGFTNNVYKQYIK</t>
  </si>
  <si>
    <t>LSFQNIMSMYITRKMLQYRIKVGRVQVQFDLNESNIDPFLRFIHIQNIKPGGWISIDEYT</t>
  </si>
  <si>
    <t>TDVDDELESKCQINITTSCENVQPLDCNKVAPVNIMSFDIECTSSSGDFPVPIKTYKKTA</t>
  </si>
  <si>
    <t>EEISDLYNSFKSDSHHDGFIPALYKCFMGIYTDEKEFMNDCGTYCNKNLLECNTNNIKFA</t>
  </si>
  <si>
    <t>KVYPKKKKIDLETIFQKLQGYTDTIVDILKNRSKHTVFQEENDGLEPSVVNQLEVLLNSF</t>
  </si>
  <si>
    <t>LPPLKGDPIIQIGSTIHQYGSTKCSYKNVITLDTCNDIPGVDVITCKTETALIKEWCKLI</t>
  </si>
  <si>
    <t>HRVDPDIMTGYNIFGFDFDYIYKRALELGCEKYVLGCSRLEGHKSKFKEKMLASSALGEN</t>
  </si>
  <si>
    <t>LLKYVEMEGRVFVDLMKVVQREYNLDSYKLDNVASHFISGKVKTHNKTTLHLDSAAGINV</t>
  </si>
  <si>
    <t>GDYIKLNNTYKCMVLSVDSNIIVIDTELDEKIVTWGLAKDDVSPKEIFACQKGTSADRAK</t>
  </si>
  <si>
    <t>IAKYCVQDCALCNMLIIKLEVFANNMGMANVCLVPLSYIFMRGQGIKIFSLVAKQCRDDN</t>
  </si>
  <si>
    <t>FIIPLIKFDQDSEEVEGYEGAIVLDPIPGIYVEAPISVMDYASLYPSSMISENISHDSIV</t>
  </si>
  <si>
    <t>LDKKYDNLPGVEYVDVTYDIFTGVGDKKTKVDEKTCRYAQFKNNEKGVLPRILMKLLSQR</t>
  </si>
  <si>
    <t>KSTRKQILHKTVTTNDNRSFTGLVDENDDSVTIKTTDNNTITLSRNEILSSVDTYNDFMK</t>
  </si>
  <si>
    <t>AILDGLQLAYKITANSLYGQVGARTSPIYMKELAASTTATGRNLIMKAKEFMETNYGADV</t>
  </si>
  <si>
    <t>VYGDTDSIFVDFKVKEKYGLLDKDALQKSIDISVKASDAFKKELKAPHDLEYEKTFFPFI</t>
  </si>
  <si>
    <t>ILSKKKYVGNLYEHDVNKYKQKSMGIVLKRRDNANIVKIVYGGIIDILLNRQNISFAINF</t>
  </si>
  <si>
    <t>LKESLRKLVNGEFHMDDLVITKTLRTTYKDPTRIAHKVLADRMRNRDPGSAPQSSDRVPY</t>
  </si>
  <si>
    <t>AYIEHDIKNKSLLQGDKIEHPSYIKENNVKIDYIFYITNQLMKPICQLMALALFQIPKSS</t>
  </si>
  <si>
    <t>KPEIYERKLKSLTLDYEGNKKRAIDKVSDLKQKEIQKLLFDETLVHLNNKRMGNREILEF</t>
  </si>
  <si>
    <t>FSVTPV</t>
  </si>
  <si>
    <t xml:space="preserve">&gt;Aureococcus_anophagefferens_virus@YP_009052217.1 YP_009052217.1 putative B family DNA polymerase [Aureococcus anophagefferens virus] </t>
  </si>
  <si>
    <t>MASFQIYDWFPQDELINEDEDSDNEVSEKQNYVIHLFGVNKDGKNVHCKVKDFTPYFYIE</t>
  </si>
  <si>
    <t>LPENWKKSWTSLFMEKLKDSLPKSIQDEFVCDERQINRAVKLKYKFRNYQWKTPKKFMQL</t>
  </si>
  <si>
    <t>VFKSESAARFLYYKLKKPFSFTTARLLKHNFPIYEKNVLPVLRFIHLRKIQPSSWIRLEN</t>
  </si>
  <si>
    <t>YKQIDSKLAESKFEINYEVNWRNVFPDEVDGSASIKIASFDIECDSSHGDFPVAKKDYQK</t>
  </si>
  <si>
    <t>LASNIYEEYLRLLRNNKKVNPTLVKQWINCAFRDITNEKYDDSMKSSIQTIYLKNKTHFK</t>
  </si>
  <si>
    <t>TITEEEIEKLSMKILGILIKKMKGKETIESINNILNDNLPSVKGDKVIQIGTVIQNYSNP</t>
  </si>
  <si>
    <t>SDIKRHIVTLDGCSDLTGIEVETAKTVDELIFKWVKMMKREQPNIVTGYNIFGFDIKFLW</t>
  </si>
  <si>
    <t>ECAEEFGCLKYLRKIGALKNQECTMETKELYSAALGHNFLYYFNSPGIVYIDLMKVVQKD</t>
  </si>
  <si>
    <t>HNLSSYKLDDVSTQFINSGITQFEHFEDNVKVYTKSTFSLKVGDYIAIFKQTIIGNEFVG</t>
  </si>
  <si>
    <t>EKRKILEMTENESFILEGEGNDFPENPKSFCWSVGKDNVSPQDIFDMQRGSDEDRSVVAK</t>
  </si>
  <si>
    <t>YCVQDCELCLNIMQKLEIVTNNLGMSNVCLVPFSYLFMRGQMIKTLSLVSSECQKENYLI</t>
  </si>
  <si>
    <t>PELPRPKEDTKDSYEGAEVLEPTPAIFLNEPVSVLDYSSLYPSSMIGSNISHDSIIKEPK</t>
  </si>
  <si>
    <t>YQGETGAKLLEEMGVKFEDVYYDNYINRLVGKTWKKTIVEEEPVVSCRFIQPTLLEDGSI</t>
  </si>
  <si>
    <t>DNNSRGILPRILMKLLKARKDTRNLIKTEKDAFRRSVLDGLQLAYKVTANSLYGGVGAEV</t>
  </si>
  <si>
    <t>SSLYYKDIAASTTAIGRRHLHLAKDYVKEHFPKADIVYGDSVTGYTPITIKYKEQIFIEK</t>
  </si>
  <si>
    <t>IENVAKIFGEDKWQKCIDPGKQEKEACELNECFTWTSKGWTKLHRVIRHILVKEKKIIRV</t>
  </si>
  <si>
    <t>LTHTCCVDVTDDHSLILKSGEEISPKDLKIGDELLQRDIEFDEIIEYSNDEYVKKQIKYL</t>
  </si>
  <si>
    <t>KENMKSENESILSLNEIDYKGYVYDLTTDNHEFQAGIGNIIVHNTDSIFVNFKPNASGKE</t>
  </si>
  <si>
    <t>GIQESIDRSVEVEEGIQKLLAYPHKLEYEKTFSPFILLRKKGYIGNKYEFDLDKFTQTSM</t>
  </si>
  <si>
    <t>GVVTKRRDNAGIVKYVYDGIIKRIMNDRDIDSAIRFLLTTIDDILDGKFPLQYFIITKRL</t>
  </si>
  <si>
    <t>NAVYANPAAIVHKVLADRIADRDPGDKPQSNDRIPYVYIQTKEEPKLQGDRVEHPNYIIE</t>
  </si>
  <si>
    <t>HKLKVDYLFYITNQVSKPCCQVMGLALEHLRKYGYRLPANHFELIREKLEREGKKSKSEI</t>
  </si>
  <si>
    <t>RERIMEERAKEAYNVLFKSRVKVEEGKKYGQTSITSFFKKK</t>
  </si>
  <si>
    <t xml:space="preserve">&gt;uncultured_Mediterranean_phage@ANS04296.1 ANS04296.1 hypothetical protein [uncultured Mediterranean phage] </t>
  </si>
  <si>
    <t>MNNPICRLLSFKVYNEKSSITKSYTDNKEFMIQMFAIDGEGKSYSIKVIGFQPFFYVRVA</t>
  </si>
  <si>
    <t>DSWGITKKKKFLKHIQMLLRQEELGRKYDDFKKGRKPRINPKMEEEESKEEYIFRTKQYY</t>
  </si>
  <si>
    <t>TSYYEKSIVACKIIERKKLYGFDAMKNHRFILMKFKNTSAMHKIKNFWYDHEKDPTSLFG</t>
  </si>
  <si>
    <t>TKSILKPFRVMKVNTELYEAKLPPLLRYFHIKEISPSGWIKLPRRKILEWEESKTNCDYE</t>
  </si>
  <si>
    <t>YTIGYKDIIPLPHMETGVPVKVCSYDIEAGSSHGDFPMAKKSYRKWVNDVMTYWQKNRNE</t>
  </si>
  <si>
    <t>LRRMAKSEQEKMLNKMLLTAFGFAHIDGIHKIYPKWPKKNITKSKLMDRFHPFLKEDLYK</t>
  </si>
  <si>
    <t>IIVSDWHGKRRQKKKNQKYMNFRRSDEEEEEEDFNDVYEYKHFIKRNMTFLDYLNDDKMD</t>
  </si>
  <si>
    <t>KLKKLEVLDEALEYIPKCRYDNTKCRYNLIPIKGDPVTFIGSTFMTIGDSQPYLNHGVCL</t>
  </si>
  <si>
    <t>GDCDQITMENSRCEIECYSNEKDLLLAWAEMIRREKPDVIIGYNIFGFDWKFLCERAEES</t>
  </si>
  <si>
    <t>KCFDEFVQLSRNNKEECKKVKKSIRIASGTHELTYVNIDGIIQIDLYNYFRREVNLPSYK</t>
  </si>
  <si>
    <t>LQDVGSHFIGDMVKKVEQNDGKTIIYSGNLMGLQVGNYVCFELIGHSSDSYQDGKKFKVL</t>
  </si>
  <si>
    <t>RLNRSNAHYEVDGIVEPEEGKKLRWGLGKDDISVADLFKAFSEMGTRADKTEIAKYCFQD</t>
  </si>
  <si>
    <t>CNLVHHLFRKNDVWTGMVEQAAICSIPINFVVMRGQGIKLLSFIAKKCRAKKTLMPVVKR</t>
  </si>
  <si>
    <t>VENDGSYEGAICLKPKRGFYGDKDPVAVVDYASLYPSSMISENISHDSKVWTVEYDLEGN</t>
  </si>
  <si>
    <t>ELQRTGVQDKSGKFIYDNLPNYQYVDIEYDRYEWISPDGKKKEVKVKVGTKKCRFAQFPD</t>
  </si>
  <si>
    <t>GKKAIMPAILQGLLAARKATRVKGKYKTVITRDGKDYSGLLSENDTTYTVTDVRLENEKL</t>
  </si>
  <si>
    <t>KKVPIVIEKTNVKSIKDTYNTFMKNVFNQRQGAIKVVANSLYGQCGGRTSSFYEKDIAAS</t>
  </si>
  <si>
    <t>TTATGRKLLLYAQRVIEEVYGDCVCETKYGKVRCNAEYIYGDTDSVFFTFHLKELDGTPI</t>
  </si>
  <si>
    <t>IGKKGLELTIELAQEAGQLASKFLKPPHDLEYEKTFFPFLLLSKKRYVGLLYETNIEKCK</t>
  </si>
  <si>
    <t>RKSMGIVLKRRDNAPIVKDGYGGIIDILMNEHNVSKAVKFIKGFLHDMVNEKFPLEKLII</t>
  </si>
  <si>
    <t>SKSLRGFYKNPDSIAHRVLADRMGQRDPGNKPSVGSRIPYVFIQTKKKVKLQGNRIEHPD</t>
  </si>
  <si>
    <t>YIRANNIHPDYGFYITNQIMKPVMQIFALLLENTPSFKTQLGQFQRRLKYIKGKYRDNEE</t>
  </si>
  <si>
    <t>KGDSEEIKLRNKYAKKLIFDNAIRQANNIKTGQRTITSFF</t>
  </si>
  <si>
    <t xml:space="preserve">&gt;Organic_Lake_phycodnavirus_2@ADX06483.1 ADX06483.1 putative B family DNA polymerase [Organic Lake phycodnavirus 2] </t>
  </si>
  <si>
    <t>MTLQIKMIDFQVSEMKDEFKIQMYGLDEHRKTYSITVNHFNPFVYILVPNIWSKSKTDDF</t>
  </si>
  <si>
    <t>IQHFKDHDDKTIARSSSENIVSYELVKKKTLYGFDANKYYNFVYISCKNMSFIYKLKSLY</t>
  </si>
  <si>
    <t>YDKETQQINEGYLYQNFRTKIYECMIPPLLRFFHIQKISPSGWIEINTYKKYTTKRTHMD</t>
  </si>
  <si>
    <t>MDIGCHYKDIISLDKDDIVPYKICSFDIEASSSHGDFPEASKDYKKVAYDMVYFLEDVPK</t>
  </si>
  <si>
    <t>DDYAYLLEALLENVFGFKDTLHIDKCYPKEKYTCSQFKIHMEKLYKKKISTTKETEYKLK</t>
  </si>
  <si>
    <t>KYFCNDDEENIQVRKVKQADILTMLMDDKLDNPNKIAHMITLLDSIFPELSGDQVTFIGS</t>
  </si>
  <si>
    <t>TFVNYGQEKPYLNHCICLNDTSTIVDHQIIECYDHEKDVLCAWSKLIQKEDPDIIIGYNI</t>
  </si>
  <si>
    <t>FGFDYPFMFERANQTNCMVEFMIFGRHKEQSQELIETSIVLASGPFELKLLPMSGRLQID</t>
  </si>
  <si>
    <t>LYTHMRKEYNLPSYKLDYVSSYLMSDKVTRYENNSNDTCMIYTKNMKGLELYSYVHFEIQ</t>
  </si>
  <si>
    <t>NHSSELYLDGKKFKIIEMNVEGFVIDDVLDIKDSFTWGLSKDDVSPKEIFEMTRKGKEER</t>
  </si>
  <si>
    <t>GLIAKYCIQDCNLVHQIFQKIDVMTTFTEMSKLCSVPITFLVLRGQGIKLTSYIAKKCRE</t>
  </si>
  <si>
    <t>KDTLMPLISKGNARDAYEGAIVLEPKCGLYLDVPVACVDYSSLYPSSIISENISHDSKVW</t>
  </si>
  <si>
    <t>TKEFNLDHTIKLNSSGKECIYGTKDEQGNFIYDNLPDYEYVDITYDTFAYVRKTQSAAAT</t>
  </si>
  <si>
    <t>KVLTGYKICRYAQFPNDEKAIMPSILDELLAARKSTKKQMKNEHDPFKQNILDKRQLSIK</t>
  </si>
  <si>
    <t>ITANSLYGQTGAKTSTFYEMDVAASTTAIGRKLLIYAKEVIEGVYGNSEVDTKYGKMKTR</t>
  </si>
  <si>
    <t>AEYIYGDTDSVFFTFHFEDLNGVKIKDKQALEMTIELAKEAGHLCTSFLKNPHDLEYEKT</t>
  </si>
  <si>
    <t>FMPFCLLSKKRYVGMLYEEDPEKGKRKSMGIVLKRRDNAPIVKDVYGGIIDILMKDKNID</t>
  </si>
  <si>
    <t>KSIDFLDTMLQSIIDKNVIMDKLVITKSLRSFYKNPNQIAHCVLANRIGIRDPGNKPAPG</t>
  </si>
  <si>
    <t>DRIPFVYIQTTGKKLQGERIETPQFIQDEQLKIDYGFYISNQIMKPIIQIYSLVLYDMTK</t>
  </si>
  <si>
    <t>FNRRKRSFIQEIKTIEENIEDNDKKQKKYNR</t>
  </si>
  <si>
    <t xml:space="preserve">&gt;uncultured_Mediterranean_phage@ANS04157.1 ANS04157.1 DNA polymerase [uncultured Mediterranean phage] </t>
  </si>
  <si>
    <t>MDIKLYDFCVWNDDEGNKIQGKDNKKFIIQMFGMKQNGQTVSVIVKGFRPFFYVKVGSSW</t>
  </si>
  <si>
    <t>NERDRRNFLTQLKIELRTADAEDQYDRMKKEGKTPKNRETGKAFSKPDWVEYRLNQNKPC</t>
  </si>
  <si>
    <t>YYEESLISSKLVKKRKLYGFDAKKEYNFVKLVFSNMSAFNKVKNLWYKGKDWKKRRLHDK</t>
  </si>
  <si>
    <t>VFLGTKTQLYEAKLPPLLRFFHITNISPTGWVKLLDYDASDFKLTDCDFNIMLHYNKIKP</t>
  </si>
  <si>
    <t>LHDKEDPVPLKICSFDIEASSSHGDFPLAKKKYEKLACDILDYWDEDCDEETLRNIILVA</t>
  </si>
  <si>
    <t>FNFMIDEDNLIHEVFPKRRITEDNLRKRINGMNLVKLTRYLHSDVKRGEKYEYLCYKPAK</t>
  </si>
  <si>
    <t>NGNKEKKGFLPINLPELKGDVVTFIGSSFMKMGDEEPYLNHCISLNTCDNVDGSVIESYA</t>
  </si>
  <si>
    <t>NESDVLLKWRDLIRKEKPHIIVGYNIFGFDWKFLFERADELGCKDEFLKISKINDHPCKP</t>
  </si>
  <si>
    <t>VNKTIKIASGEHNLQYPDIPGIVQLDLYNYFRRQFNFESYKLDNVSKELIGDGVKAVEVC</t>
  </si>
  <si>
    <t>DGLTKIESSNLTGLKVGHYICLEEIQHCTDLYKEGKKMKVCKMGEKCFYIEGAEDPDMNK</t>
  </si>
  <si>
    <t>KVRWCLAKDDVTPEDIFRLSNEGSTERAIVAKYCIMDCVLVHMLAKKVDVFTGFIEMGNI</t>
  </si>
  <si>
    <t>NTVPISFIVFRGQGIKLFSLIAKTCRENKMLMPVLKRDWRNKSGYEGAICLNPKADLYID</t>
  </si>
  <si>
    <t>DPVAVVDYAGLYPSSMISENLSQDSKVWTREYNLEGDLIKETGEKDRDGVFKYDDLPEYE</t>
  </si>
  <si>
    <t>YVDVEYDVFKYLRKTEKSAAVKTKVGSKICRFAQFPNGEKAILPAVLTNLLKARKETRAL</t>
  </si>
  <si>
    <t>IKYKTVKTIEDEYSGLISKSDEKTVIKQKNGEVVTINNADIVEITDTYNDFMKSVFNQRQ</t>
  </si>
  <si>
    <t>LGFKVTANSIYGQTGAMTSDFYDKDIAASTTATGRKLLMYAKRVLEEVYKDRICETKYGK</t>
  </si>
  <si>
    <t>FKVTCHVVYGDTDSCFFKFEIIDMEGNKIIGKKALEITIEIAIEAGELATTMLKEPHDLE</t>
  </si>
  <si>
    <t>YEKTFLPFILLSKKRYVGILYEKNPNKGKRKSMGIVLKRRDNAGVVKEIYGGVIDILTKK</t>
  </si>
  <si>
    <t>GDVVGAVNFVKECLQKLANGEYSMKKLKITKSLRGFYKNPAQIAHKVLADRMTKRDPGNK</t>
  </si>
  <si>
    <t>PSAGTRIPYLYIVNKKAKLQGNRIETPDFIVKNNLKIDYAHYITNQIMKPLLQVFALDNV</t>
  </si>
  <si>
    <t>MRQIPGINKFKLNSLKRKIQKMIETTAEDKIYKKTEDLKTKFVKGFLFDPILKKIKEKQK</t>
  </si>
  <si>
    <t>NDAKKQFISSFFVLKK</t>
  </si>
  <si>
    <t xml:space="preserve">&gt;Marseillevirus_LCMAC103@QBK86934.1 QBK86934.1 DNA polymerase elongation subunit family B [Marseillevirus LCMAC103] </t>
  </si>
  <si>
    <t>MARTVIFKPAYWSFVEDAGENTFDVHISGLSDAGETVYATVQNFTPHVFIELPGRIRWGR</t>
  </si>
  <si>
    <t>PQRLLLYDHLATILSPIKLGPFNDCARYYGDELAILHYQDKAQFLQVDLPTHKAGSTLHY</t>
  </si>
  <si>
    <t>KCTRRLVIPNLGSFSDNEFRVHEWKIDPIIKFAAVKSLPMAGWLRVRETIRPDDVDCAPE</t>
  </si>
  <si>
    <t>DRRYTTADVDLYCDWEDVEPAPPDPDRRSAPPTYLSFDLECTSANPNAKEPNPEIAENPV</t>
  </si>
  <si>
    <t>FQIGCVHGRLGCPAAERKKVLLTLFDPRDIAGVDVRRCATEAELLLEFARHVVAVDPDIF</t>
  </si>
  <si>
    <t>IGYNILGFDWSYLLVRAEMCGVSWRFKMIGRLRGVPAAVEEMKWESGAYGEQVGNYLEPQ</t>
  </si>
  <si>
    <t>GRINVDVMKEVQREYKLPSYSLNAVATKFLGAQKHDVAGYRGLFILYAVANEIGPLAARA</t>
  </si>
  <si>
    <t>TAANLAAVRAEIRAVMPKRFSRGPVKALRAKLLKARPAELAGLVREAMHITGAYCIQDTV</t>
  </si>
  <si>
    <t>LPVRLCERLNLWETMEATANCMCIPMLYLHTRGQQIRVLAQVYREAVPRNLVIPTLPKTD</t>
  </si>
  <si>
    <t>KKAYHGGEVLEARAGNYKRVALLDFLSLYPTIVIAYNICYTTIVRDGDPIPDKECHVLEW</t>
  </si>
  <si>
    <t>EDHVGCPHDPKKRKKEKDKILCWKRRYRYRRVQVDEDGTRHHEGLLPALCRRLLAERAKT</t>
  </si>
  <si>
    <t>KKELRAAKATLAMDAGTATAADRARFAKKGIPLIAPGSLGPKARGALEITAVILDAKQKA</t>
  </si>
  <si>
    <t>IKVSTNSFYGALAANNGFVPLLAGAESITAMGRRMILAAIAYILGKFPTARLVYGDSVTA</t>
  </si>
  <si>
    <t>DTPLLVKTPDGEIRTVRIDALAGLLDSGEWAGWHADKEEVESARDVQVWTDAGFTRIKRV</t>
  </si>
  <si>
    <t>IRHRDPAPRKIVRILTHTGVFDVNEDHSLLDASGQKVKPGEVGAGDALLHCGLPGLGGAP</t>
  </si>
  <si>
    <t>VRVAEDEAWLMGMFMRAGAVGMFTRAGAVAGVFGRVSWVIHDVPTPHVDRAIAAMERLAM</t>
  </si>
  <si>
    <t>RPQLHRRLPGAVDLRSDNYADAIGGRYQRLFYNAQREKVVPPCILNANTECVRAFLQGYY</t>
  </si>
  <si>
    <t>NSCRMGGSLTLALAGEEPPRLAVFGKEGALGMNFLGQRLGYVGAVETCPRHCGWFARALN</t>
  </si>
  <si>
    <t>FAGRRLGLTDEPNTAVPELFWVTFVAAAGLPRAANVITEKYVLHEAYEGYVYDVETENHH</t>
  </si>
  <si>
    <t>FHVGPGRLVVHNTDSCMIQFEGADTAAAFDLAHVCAATATHHIKSYIVGVADDHTVGGVR</t>
  </si>
  <si>
    <t>FDEFDAADRKMSEADGFAKREYDAMPIELEFEDMFGDYLLLSMKRYAGYVVNRDGQRSGD</t>
  </si>
  <si>
    <t>IVKKGIVLARRDNCALLKTLYKRLVEGVLDGDVEAQVHSVLLSGVEGLFSRQVRPDKLVI</t>
  </si>
  <si>
    <t>TRSVKSLLSYAAKCKVDPSRFMNRYHANKIIDEHVDDPLDDRLKYPNLLNVSLALRMLRR</t>
  </si>
  <si>
    <t>GTRVAPGTRLEYVYIKNPTAVHEGDRVEEYEFFTEYRDDASLELDFCHYVDKQLANPVTE</t>
  </si>
  <si>
    <t>LLNVAFPHERIPFVKMKDEIQKGLEALSGYQADLLTTKRFGRFFEAKVAHVLKSAARFAF</t>
  </si>
  <si>
    <t>WRRGKTCAAGVVRAGDAAVPCRCRERFAGASSVDIDEKLPLVEWCRKYRAFTLVNALRKR</t>
  </si>
  <si>
    <t>SGHQAIQEKRNRKRKFPQTHYPRDSQFMKGLLASHAQFNDVVIELNRRALVRHFAAP</t>
  </si>
  <si>
    <t xml:space="preserve">&gt;Prymnesium_parvum_DNA_virus_BW1@AQV04381.1 AQV04381.1 DNA polymerase beta, partial [Prymnesium parvum DNA virus BW1] </t>
  </si>
  <si>
    <t>ELKQEVELEPELKQEVEPEPEKKTIKKTIKTIITKLYDYNAYDGYPKGIYEEIDKYKDNK</t>
  </si>
  <si>
    <t>RYIMQLFGINSNGTSTCIFIEDFAPFFYILVGDNWIDSDRTMFIYYLKAKLGNYYEDSIV</t>
  </si>
  <si>
    <t>DSKLIKRKKLYGFDNNKLHTFIKIYFKNTLAYNKTKNLFYTLDKKTNEKKLKEEGILYDN</t>
  </si>
  <si>
    <t>INCYLYEADIPPLLKFFHIKKIQPCNWIMIPLIKLKRSKNKISHCTFEYFISYKDIHKVN</t>
  </si>
  <si>
    <t>RDDIVKYNICSFDIEASSSHGDFPLAIKDYRKLATNIVDNYMELDNKENYTNIDLQNDIN</t>
  </si>
  <si>
    <t>TAFGYGNSVYIDKVYTKSKEIKKDYLDILFNNLINYIPILDKNNIELLEIDETDSDSDYE</t>
  </si>
  <si>
    <t>SDSDIDDTKYKKKKVIKHYKDTKNLLEILKDEKCEYETKILELNKGLTKFYPELEGDKVT</t>
  </si>
  <si>
    <t>FIGLSFLRYTEDKPYKKYIIVKGGCKIPDKYKEWAIDNNVLVITKNTEREVLLTFTKIIQ</t>
  </si>
  <si>
    <t>QENPHIITGYNINGFDFEFMFKRTQETDCVNEFAKLSRNINEICLKEDWKTNKFNLETTK</t>
  </si>
  <si>
    <t>VVLASGEYNLKFYRMPGRIILDMCIVFRREFTLGSYKLDYVSSHFISDKIKSSKIDGNNT</t>
  </si>
  <si>
    <t>KIYSKNLSGLTIGCFVKLEEQLYSTSYYKDGKKFEVLDINNEDSYFIINSAEELDINKKM</t>
  </si>
  <si>
    <t>SWGLAKDDVSPQEIFTLTNGSDYDRWIVAKYCLGDCDNVLALLLKLDIITEKNEMANLVN</t>
  </si>
  <si>
    <t>VPFNFLLERGQGIKLQSYVSLKCDEKDTLMPVLSKHIEDDGYEGAHVFNPKTGIYLEDPI</t>
  </si>
  <si>
    <t>ACVDYSSLYPSSMISENISHDSKVWTKEYDLDNNLIKETGYVDEDNVHIYDNLPDYKYVD</t>
  </si>
  <si>
    <t>IKYDTYLWKRATAKSAVKKVIVGYKICRFAQFSNGKAIMPSILEELLLARKINKKLMAKE</t>
  </si>
  <si>
    <t>DDPFKKNLYDKRQLAIKVTANSLYGQSGAKTSAFYDKDVAASTTAIGRKLLFYAKDVIEE</t>
  </si>
  <si>
    <t>CYNDIIIKVSDGTNVKVKAECVYGDTDSVFFKFNLRDIQENKIINNQALIYTIELAKQAG</t>
  </si>
  <si>
    <t>ALATMFLKKPHDLEYEKTFHPFNLYAKKRYDGMLYEEDPNVCKLKSMGNVLKRRDNAPIV</t>
  </si>
  <si>
    <t>KDIYGGVINIIMLQKNIPKSILFLNKCIEKLLENEYDIDKLTVVKALRGYYKNPKQIAHK</t>
  </si>
  <si>
    <t>VLADRIGLRDSGNKPKAGDRIPYVYIVNKNKTALQGEKIETPQYVIQHKLKIDYGHYLTN</t>
  </si>
  <si>
    <t>QIMKPLLQLYALVLTQLKEFKIREESIKFVGENKKNILWETKLKNLKDKWSDELKYNKKL</t>
  </si>
  <si>
    <t>EELKHKEIKELLFDKYIKKIK</t>
  </si>
  <si>
    <t xml:space="preserve">&gt;Tetraselmis_virus_1@AUF82649.1 AUF82649.1 DNA polymerase family B [Tetraselmis virus 1] </t>
  </si>
  <si>
    <t>MKFQIVDWEVSDVPETEIPECFVTDTHSRFQDDEDDAPRYLYTVIVYGRTKEGKSVCLKL</t>
  </si>
  <si>
    <t>TQFQPYFYLKVDGIKDYTPHLSNISRHIISNCFHLKREIQHIVIGKKCDFYGFSANEKKE</t>
  </si>
  <si>
    <t>CVIVTFDSWRAMRSVASKLRSSAFKYQNKLITLYETRVEPLMRLLHSREIKSTGWVEIED</t>
  </si>
  <si>
    <t>SKIEFENWGATDICGTTSYKNVDPLEVDDIAPMLMASFDIECTVESDIFGDFPVAIKSYR</t>
  </si>
  <si>
    <t>RIANNIKDTLEIAMKYDLDPYKAKELIQIVIFYTLGMKDVEGRFADTVNWMNRNNASCLT</t>
  </si>
  <si>
    <t>QRVLGSVRTKETLSTTALYNYLYIIVDDLFSYATGDIKYEDKSQPSGPVEQIDSLLSKTL</t>
  </si>
  <si>
    <t>PPLKGDPVIQIGVTCNTIGNTECSSKWISVLNSCDHIPGVEVESYETEEEVIMAFARYIR</t>
  </si>
  <si>
    <t>KSSPDLITGYNIFGFDMKYLHERTLELGISDKFLRTISRLNTHPAKFVEKRLSSSALGDN</t>
  </si>
  <si>
    <t>VFWMLDIPGIVSLDLMKVVMRDHKLESYKLDNVAQHFTGEKKRDVPPKDIFRLQNGTSKD</t>
  </si>
  <si>
    <t>RSVVADYCVQDCALCNVLLEKLKVVVNAIAMASMSHVPISYIFLRGQGVKILSLVSYYCR</t>
  </si>
  <si>
    <t>KRDMIIKDLPKKLEEPDEDAPLWKRNRYRQEAEAQEFMEKPDDIEVQGAIVLEPDVGFYV</t>
  </si>
  <si>
    <t>DDPVAVCDYASLYPSSILSHGISPDAWVKDDSMRKHPDYTYKDVSYEIYEGKGDDKKVVG</t>
  </si>
  <si>
    <t>METLTFAIKKNVDVYDPNTLSIIPAIERILLMGRKSIRKKAKHKKVVTKDGTEYVGDYSE</t>
  </si>
  <si>
    <t>LDGDRIKINGVVLKNDDVVSVNNFYNQFMQDVLDGQQLSYKLLANSVYGQLGARTSDIRD</t>
  </si>
  <si>
    <t>MKLAACVTSVGRSLIISAKDFIHKNGGTVVYGDTDSVFCTFPVYDPVTGERLKGKDALPY</t>
  </si>
  <si>
    <t>VIEKTQYIGKEFTKTILPPPHDLEYEKTFWPLLLLAKKKYVGNMYEEDPEKFKLKYMGVV</t>
  </si>
  <si>
    <t>LKRRDNAPIVRRVISTLLDVLLNEIDVTKALDNMLKVIDDVVNANVPIEELVITKTLRAE</t>
  </si>
  <si>
    <t>YKDRSRIAHAVLAQRIGERDPGNAPQINDRIPMVHIRVPAKKGEKILQGDKVEDPEYVQS</t>
  </si>
  <si>
    <t>AGLEPDMEYYLENQIMNPTIQMLAALLEKIPGYNKPIGYYERKTDEYTLQYKNDTSRNLT</t>
  </si>
  <si>
    <t>EETIRKKVREAIDKIRQEEVRKLVFEPKLAKIRNKYKGQLDLTTMGFFFKM</t>
  </si>
  <si>
    <t xml:space="preserve">&gt;Hokovirus_HKV1@ARF11096.1 ARF11096.1 DNA polymerase family B elongation subunit [Hokovirus HKV1] </t>
  </si>
  <si>
    <t>MLSNSIKNEERKNINKTNDIKQTVSKTNIKQTVPKTSDDDKKSNNNIKTISNTNNKTDIN</t>
  </si>
  <si>
    <t>NQTSTINKTRPINKTNINNQTSPINKTSPINKTSPINKTSPINKTNAINNKTNNISNQTN</t>
  </si>
  <si>
    <t>TNNKTNTNNKTNTNNKTNTINKTNNNKICNKNVIISKSKPLNIKNDIVFKILYWDNYHEK</t>
  </si>
  <si>
    <t>GIVTSNIDSDGDSNKSDDNNNGNYTIRLFGHTKTNETIYVKVNNFKPYFYVMVPDSWYLN</t>
  </si>
  <si>
    <t>KSKPQTFIKHLLENEITRDSDKKSLYDCEIVRHHAFTEFTNYKLYTFMKLYFNDYISYRV</t>
  </si>
  <si>
    <t>YERLFYDYDDKGMHFYKKYTNRVCDLENYEFIVYEADMLPNLRFMHERDLWSVGYAKILA</t>
  </si>
  <si>
    <t>KKYKNINNDSNNTYNIECDWRDIIKVEDDTIVKYVVASFDLECKPENLDNFPKAKRPNDK</t>
  </si>
  <si>
    <t>VIQIGTTFNYYGNADCYKSHIITLGSCDPIEGVEVESYEKEEEVLLAWRDLILRENPDII</t>
  </si>
  <si>
    <t>TGYNIFGFDYKYLFVRAKQLGIEREFSLLSRLNSYNCEYVKKNLNSAGLGDNKLKYYEMT</t>
  </si>
  <si>
    <t>GRINIDMLKVIQRDYKLPSYKLDDVVQEFIKEQVKKIEEQDDTTILYTESSYGLYPERYI</t>
  </si>
  <si>
    <t>KIYYNDSLSDYTCEDINKNKKFMVLKIDKKIKKIGNKDLDAIYIKNILPYEVKEILFKKK</t>
  </si>
  <si>
    <t>YKLYWCQAKDDMPYRHMFKLQEGTSADRALVAKYCIQDCKLCNILMEKLQVLTNNIGMAM</t>
  </si>
  <si>
    <t>VCHVPLPFIFLRGQGIKIHSLVGKMCKEDNHLMRKNYKNKTKEQLAREKKARDIKEKIYI</t>
  </si>
  <si>
    <t>EEIKTPEQIENDKKIKKKNILAMRKQKKHVKNIKQKYDEYFEILRRMKNNENVNETSLKY</t>
  </si>
  <si>
    <t>YNMICDITKKDLEREEQKLNEFQEYKDELEEKNLNEGYEGATVLDPITGLYYDPITVLDY</t>
  </si>
  <si>
    <t>ASLYPSSMIQKNMSHECVVRDPQYDNLPDYKYTDVKYYHPDGINFSVCRFAKRKDGKIGI</t>
  </si>
  <si>
    <t>LPKILKHLLDQRKIMRNRAEAVAETDKFLSKVLDGLQLAYKVTANSLYGQTGSSVSAIYN</t>
  </si>
  <si>
    <t>KDIAASTTATGREQLLGAKTFVEKVFAELATCAFDNNFANYKERINKLFDDNLCDNELLF</t>
  </si>
  <si>
    <t>CDYNLNVNAFNDYSKDKKYTNREEFIEWTFNEFVNILNYNNIKYSIKPICIYGDTDSVFI</t>
  </si>
  <si>
    <t>KYDIKNSITLENLQNKDALKMSIRLGILTSAIINVIQPPPHNLQYEKTLWPFAILSKKRY</t>
  </si>
  <si>
    <t>VGYLYERNPDICFQKSMGIVLKRRDNAIIVKIVVGGVVDQLLNEHSPQGALNYVENELNK</t>
  </si>
  <si>
    <t>ILSNKYLLEKFVISKTLKGTYADRTSIAHVVLADRMALRDPGNKPQIGDRIQYAYIIKPN</t>
  </si>
  <si>
    <t>SHKLKQGEIIENREYIIENKLQLDYLVYITKQIMNPTLQFLDLIDKNPERLFLKVIMIET</t>
  </si>
  <si>
    <t>NRRQKLRPITSFFKPKNTNDDDSDEESNFDKLSNIKTPLIKPTRKITRKIINNKIKTTNT</t>
  </si>
  <si>
    <t>TKPIVAKITKEKTTDAEATNVKTTVAKITKATNAKTTKEKTIDAEVTDAKTTKTTVAKTT</t>
  </si>
  <si>
    <t>KETNAKATKEKEIEKKSTDTTDVTDTKATNTKTTNTKTKTINAKTTNTKTINLRATDKKP</t>
  </si>
  <si>
    <t>TEEKATEEKTTEATDAKTTIITKASNVKTTNTKASNTKPTKTSNTK</t>
  </si>
  <si>
    <t xml:space="preserve">&gt;Phaeocystis_globosa_virus@YP_008052566.1 YP_008052566.1 DNA polymerase [Phaeocystis globosa virus] </t>
  </si>
  <si>
    <t>MKAKPTVKTKSYKLYDFNVYDGFSKAENLGKNGYDKFKDNKKFIIQMFGINVAGETVSLI</t>
  </si>
  <si>
    <t>VEDFNPFYYIKVGDDWGESDRAEFIAHIKNKLGAYYEDSIVASKLVKRHKLYGFDDNKLH</t>
  </si>
  <si>
    <t>TFIKISFTNTGAYNRAKKMFYVDSTVDGVFKRELIPDGYLYEETKCYLYEANIPPLLKLF</t>
  </si>
  <si>
    <t>HIQEISPSGWIQIQSDKITKMRQKSTHCAYEYITSYKHLKKADKDDIVKYSICSFDIEAS</t>
  </si>
  <si>
    <t>SSHGDFPVPIKDYKKLATNILEYYNEMEDKTKFDVTCFKKLIDAGYGYERCPDIATVYPK</t>
  </si>
  <si>
    <t>LKNISKEQLDNIFSNFMLYIPAKDQSRKDYIKENEESDTDSDNDDEDDKKENDGADEAAA</t>
  </si>
  <si>
    <t>FHKRHKKVKKYHKTANLLQIIHDDKCENDTKLFELNKALTKFYPELEGDMVTFIGMTFLN</t>
  </si>
  <si>
    <t>YSEKKPHTRYIIVKGGCEVPEKYKSWVLENNVKIIEKTTEKGVLLEFTKIMTLENPHIVT</t>
  </si>
  <si>
    <t>GYNINGFDFDFMFKRSKEIGCVEDFLKLSKNIDEVCMTKDWKTGEMEIAKNKIVLASGEY</t>
  </si>
  <si>
    <t>NLSFINMPGRIIVDMCVVFRREYTLSSNKLDYVSSYFISDSVKKIDVDKENNQTRIYSKN</t>
  </si>
  <si>
    <t>LTGLTVGCYVKFDEVSHSTNNYKKGQKYEILDINLDTASFLIDSAEELDLKKYKINWGLA</t>
  </si>
  <si>
    <t>KDDVSVQEIFELANKSDIDRFTVGKYCIGDCDNVIWLLIKVDIITDKVEMSNLCDVPLNF</t>
  </si>
  <si>
    <t>LLQRGQGIKLQSYVSKKCGEKNTLMPIVEKNLNDGGYEGAHVFNPKTGLYLEDPVACVDY</t>
  </si>
  <si>
    <t>SSLYPSSMISENLSHDSKVWTKEYDLSDNLIHSTGEKDADENFIYDNLPNYTYVDVKYDT</t>
  </si>
  <si>
    <t>YEYLRKTPKAAEKKTVVGYKICRFAQFPKGKAIMPAILEDLLSARKATKKLMGKEEDPFK</t>
  </si>
  <si>
    <t>QNIYDKRQLSIKVTANSLYGQCGARTSAFYEKDVAASCTAIGRKLLFYGKDVIEGCYNNV</t>
  </si>
  <si>
    <t>EITLSDGVKVVTKAECVYGDTDSVFFKFNLKTPEGKRIINKQALIYTIELAKQAGELATK</t>
  </si>
  <si>
    <t>FLKKPHDLEYEKTFWPFNLLSKKRYDGMLYENDPEYCKLKSMGNVLKRRDNAPIVKDIYG</t>
  </si>
  <si>
    <t>GVVGILMKDKSLPKSIKFVKESVQNMIDEKYPIEKLLVTKALRGYYKNPKQIAHKVLADR</t>
  </si>
  <si>
    <t>IGVREQGNKPGAGDRMNYAYIKNPNKKALQGEKIETPEFIKDNELKLDYGHYITNQIMKP</t>
  </si>
  <si>
    <t>LLQLYALELENIQEFKDKQFNIKEYNTDKKVILWEEEIIKLKEKWPDPEKYVKKYEELRC</t>
  </si>
  <si>
    <t>KEVKALIFDKYLKGLK</t>
  </si>
  <si>
    <t xml:space="preserve">&gt;Namao_virus@AXN91119.1 AXN91119.1 putative family B DNA-dependent DNA polymerase [Namao virus] </t>
  </si>
  <si>
    <t>MSDYLLIYLLSWYECDESEHRIYAFGRTEDKKSVCLRIDHFFPRCYALCPDTWTNPKEDL</t>
  </si>
  <si>
    <t>KAMMADIKMPLYKYFAKIVKRKDFYGFQGEKYKYYILIHALSLRILDTIITYLAGNGFKL</t>
  </si>
  <si>
    <t>YENTIPTVLRLFHNLNIDSCGWVQILKSNLTPLDDVSTCDESYCCDWNFIEKGITSKDFY</t>
  </si>
  <si>
    <t>HVICSYDIECISSTGAFPQAINIGDKVIQIGLVFSDNRENIISKHLLCLDKCTSCTDFKV</t>
  </si>
  <si>
    <t>KCFKTEDQLLLYFTKLILRADPDVILGYNILQFDEEYIYERARLYGIEKQVARLSRLQEM</t>
  </si>
  <si>
    <t>SCNFKIHRLSSSALGTNILKYYECHGRIKIDLLKVVQKDYKLSQYSLDAVSKNFLKKPID</t>
  </si>
  <si>
    <t>CISYDKTLKMTKIKVDSTSFQGKHVPKTNDFIVLMNDLDTSSKIQVQSVDESDYSFYICE</t>
  </si>
  <si>
    <t>EVQTAYSHWSVVKDDLSASDMFKLYDKGPEERLIIGKYCIQDTQLVLDLYSKLEVHVNHI</t>
  </si>
  <si>
    <t>AMANVCNVPLHYLFTRGQGIKSLSLVAKECKAKKYVIPTLGKAKSHYYEGGTVIDPVIGY</t>
  </si>
  <si>
    <t>YREPIVVLDYSSLYPSSMISANISHETIVEDDQYLNLSGYVYKSVSYFQDEKKHTCIFAK</t>
  </si>
  <si>
    <t>SRNNTMGILPHVLHSLIQERNKTKTMLSKETNPFKKALLNGIQLALKITANSLYGQLGAP</t>
  </si>
  <si>
    <t>TSPLYHLQMASSTTALGRDMIHIGMRFIEEEFKSLVEYLCSALKSGYNDVLCELDRYQID</t>
  </si>
  <si>
    <t>PSEKTITFLRSCLGKFGSFLDDYNFAPSVVYGDSVTGSTIIPLKFGICPKVYYIVSIVDI</t>
  </si>
  <si>
    <t>VDIFPHLFYGGWAPYRENTKEQIMVRTEHRVMTWDGTQWVYIMRLIRHLISPTKKRIFEV</t>
  </si>
  <si>
    <t>KTKSFSIEMTQDHAFVAFNNYMLLTPKMAYTKKEPLLHGIPPDNMKSIYITKHSVDEVII</t>
  </si>
  <si>
    <t>PYVPLLSIEHILSLKELKDPNKRYVYDLETSSGYFVAGDGLGLVLKNTDSVFCRLNVTGR</t>
  </si>
  <si>
    <t>LNPLEKSQLLSINIKLGKLISLFIRPRLSWPQSLEYEKTFFPFIIINKKMYTGYKYENSP</t>
  </si>
  <si>
    <t>DHYQFDSMGIVLKKRDNANITKKFIKGIIDRMLNMCESEEIKKYVSCEISAILTGKYPIN</t>
  </si>
  <si>
    <t>DFVTSKTLNDKYRNPKRIAHAVLVERMTLRDPGSAPPVNSRIQYVHIINKSSYCLLGDKI</t>
  </si>
  <si>
    <t>EDRDYVIRHNLPIDYNYYLARQIKTPALRFLNLIFDHPEKLFEDTIKKNIEKNNTLDDMW</t>
  </si>
  <si>
    <t>STNRLAKKKPVH</t>
  </si>
  <si>
    <t xml:space="preserve">&gt;Organic_Lake_phycodnavirus_1@ADX06143.1 ADX06143.1 putative B family DNA polymerase [Organic Lake phycodnavirus 1] </t>
  </si>
  <si>
    <t>MYGLDEHRTTYSIMVHNFTPFVYIKVSNDWNKHKTDEFIEHLKQHPNKSIAYGSKDIVSY</t>
  </si>
  <si>
    <t>EWVKKKSLYGFDANKYYNFIYISCKNMSFVYKLRSLYYEKDTQQLNKGYLYKNAYTKIYE</t>
  </si>
  <si>
    <t>CMIPPLLRFFHIQNISPSGWIEVKRFSRNKMKKTHMDVDINCDYKNIYPLDKEIMVPYKI</t>
  </si>
  <si>
    <t>CSFDIEANSSHGDFPEAAKDYKKVAYDIVYYLEHQNVQDYDYILRELLENVFGFKDTLLI</t>
  </si>
  <si>
    <t>DKCYVEQSYTYEQFESHMELLFKRKIATNYVVANKLKEIFSKDDEDDEESSYVKLKKINM</t>
  </si>
  <si>
    <t>NDVLTMLKDITIDKPNKIVHLTNVLDETFPQLKGDQVTFIGSTFVNYGEEKPYLNHCICL</t>
  </si>
  <si>
    <t>NDSHNIGDNVLECYSTEKDVLCAWSRLIMKEDPDIIIGYNIFGFDYPFMYERANQLNCMD</t>
  </si>
  <si>
    <t>EFMVLGRNKEQSTKLFETSIVLASGPYDLKMLPMSGRLQIDLYTYMRKEFNLPSYKLDYV</t>
  </si>
  <si>
    <t>SSYLICDKVIRYENNEEGQSRIYSKNMKGLERLHYVHFEIHNHSSELYLDGKKFQIIELY</t>
  </si>
  <si>
    <t>DDGFLINEELDIHEKFSWGLSKDDVSPKDIFEMTKKGPHDRGIIAKYCIQDCNLVHQIFQ</t>
  </si>
  <si>
    <t>KVDVLTTFSEMSKLCSVPIQFLVLRGQGIKLTSYISKKCREKDTLMPLISKGNDVDAYEG</t>
  </si>
  <si>
    <t>AIVLEPKCGLYLNNPVACVDYSSLYPSSIISENISHDSKVWTKEFDLNDHIKKDEKGREK</t>
  </si>
  <si>
    <t>MTGIKDEHSNFIYDNLPEYEYVDIQYDTFEYVRNTPTSAATKQLTGYKICRYAQFPDNKK</t>
  </si>
  <si>
    <t>AILPSILQELLAARKATKKQMQKETDPFKKNILDKRQLSIKITANSLYGQTGAKTSSFYE</t>
  </si>
  <si>
    <t>MDVAASTTSVGRTLLIYAKEIIENVYGNTIVDTKYGKMKSNAEYIYGDTDSVFFTFNFKD</t>
  </si>
  <si>
    <t>LKNNTLPDKQLLDMTIEVAKEAGHLCTSFLKEPHDLEYEKTFMPFCLLSKKRYVGMLYED</t>
  </si>
  <si>
    <t>DINSCSRKSMGIVLKRRDNAPIVKDVYGGIIDILMKEKDIEKSILFLDKMLENIIDENII</t>
  </si>
  <si>
    <t>MDKLVVTKSLRSFYKNPTRIAHCVLANRMGARDQKPSPGDRIPFVYIKNENKQLQGDKIE</t>
  </si>
  <si>
    <t>TPDFIKSEGLEIDYVFYITNQIMKPIIQIYSLVLNDMKCFQRRKPSFIQEVETLSKNEFD</t>
  </si>
  <si>
    <t>TDKRNKKIQSMKEKEVERLLFKKYISFYPEEMDGMSYQYRTAFDVCKKLGKNEKEIVNAI</t>
  </si>
  <si>
    <t>LKHKKNKK</t>
  </si>
  <si>
    <t xml:space="preserve">&gt;Paramecium_bursaria_Chlorella_virus_NY-2B@AGE58286.1 AGE58286.1 DNA polymerase [Paramecium bursaria Chlorella virus NY-2B] </t>
  </si>
  <si>
    <t>MTELTFFPTDWRSEDVEPDKGEPYFRINIFGKTMDGKTVCVRAKFTPFFLLETPESWSAA</t>
  </si>
  <si>
    <t>RTNLFITETAMKYDAIRPSCLPTKRKNMWGYDGGKMRPMVQFVFKTLSQMRKAKYRLKNE</t>
  </si>
  <si>
    <t>YQIYESSVDPIIRIFHLRNINPADWMHVSKAFPVETRISNSDIEVETSFQHLGPSDVKEV</t>
  </si>
  <si>
    <t>PPLIIASWDIETYSKDRKFPLAENPADYCIQIATTFQKYGEPEPYRRVVVCYKQTASVEG</t>
  </si>
  <si>
    <t>VEIISCAEEADVMNTWMTILQDEKTDVSIGYNLWQYDLRYIHGRSMMCVDDITGEDNVRL</t>
  </si>
  <si>
    <t>KNLGRLLVGGGEVIERDLSSNAFGQNKFFLLDMPGVMQIDLLQWFRKNRNLESYSLNNVS</t>
  </si>
  <si>
    <t>KLYLGDQKNDLPAMQIFEKFEGGADDRAIIAAYAAKDTDLPLKLLKKMAILEDITEMANA</t>
  </si>
  <si>
    <t>VKVPVDYINFRGQQVRAFSCLVGKARQMNYAIPDDKMWTVDGKYEGATVLDAKKGAYFTP</t>
  </si>
  <si>
    <t>IAALDFASLYPSIIRAHNMSPETLVMDKRFENLPGIEYYEIETGLGTFKYAQKNDETGEG</t>
  </si>
  <si>
    <t>QGVVPALLDDLAKFRKQAKKHMAEAKKNDDEFREALYDAQQRSFKVVMNSVYGFLGASRG</t>
  </si>
  <si>
    <t>FIPCVPIAASVTATGRKMIEHTAKRVTELLPGSEVIYGDTDSVMIRMKLPDDKIHDMDEQ</t>
  </si>
  <si>
    <t>FKMAKWLAGEITKDFRAPNDLEFEKIYYPYILYSKKRYAAVKFEDPNEKGKVDVKGLALV</t>
  </si>
  <si>
    <t>RRDFSPITREILKESLDTILYKKDTPTAVTETVEQIRKVLDNEFPMEKFMMSKTLKTGYK</t>
  </si>
  <si>
    <t>NECQPHLHVSNKIFERTGFPVPSGARVPFVYIEDRSNPDIKQSFKAEDPTFARENGLIVD</t>
  </si>
  <si>
    <t>RLFYIEHQLLKPICSLFEPLLDNPEEEIFRHPLIKGKIEELKKTFKADLRDAKRTKKNIA</t>
  </si>
  <si>
    <t>NNQREITSFFKKK</t>
  </si>
  <si>
    <t xml:space="preserve">&gt;Faustovirus@AIB52014.1 AIB52014.1 DNA polymerase [Faustovirus] </t>
  </si>
  <si>
    <t>MSAKAQDHKVQIEDGEEGLPERITNMDPVTIGKHELNKLPTRNQLLGINETIKQYVDAKT</t>
  </si>
  <si>
    <t>QIPILFHPITVLERDEWIKDPSGYGGKHVFVINLFGIDQLGRKTAVRVVNVPIYIDIMVP</t>
  </si>
  <si>
    <t>KRFRAQTNEFYTSVMSSLTAGQNRPDVSHWDIVQGYKLHGFQRATRPWLRFYFTNLGLRS</t>
  </si>
  <si>
    <t>AFLDLVGQHNVKYKANKKQQYQTANDDSGRPESGYYFNKIARERGINTAGWNLIASENPA</t>
  </si>
  <si>
    <t>DITGINSPHCSLNNFTKGYECNINCLTKCRNKIKAQLDPITRRLIERPKALSMFWDIETE</t>
  </si>
  <si>
    <t>GGRDIEDHDNMDVFNISMMFYTLSSDKPILSIGLSKHNTRSFDGYSIVCGSELGVVKTFL</t>
  </si>
  <si>
    <t>EILARYLPDYGNGFNSQRFDWRVMFHKFKRYNMFNYINEHISLYQFGQKCNLERKFFTRE</t>
  </si>
  <si>
    <t>QIKINAEKTHISDYVAKFPGMLDSDTQPLFYKLYPKMEIKLERSLNYFLQLNDLPSKDDM</t>
  </si>
  <si>
    <t>PISRLWRIKRYGDALDDIKECHCSNPLRKTESDPNCCKLCISPDPFDINSMSKYDPARRI</t>
  </si>
  <si>
    <t>SPELVPRCDPSKCCRCNADVYAFWLGLGDHYCKIDSHRTQQLIFKRGIYVDKCELANLSY</t>
  </si>
  <si>
    <t>VQLYDAFYRADGMKVRNIIGRYAPRFNIMFSNARKNIEQKMKQHYPGAWVFPPKYGYYKN</t>
  </si>
  <si>
    <t>RPITGEDFSSLYPSIMMCYNYSPDRVVTNPAKAEELKALGYKLHPVGPIRYEQGEKKGQA</t>
  </si>
  <si>
    <t>GNIIGTVSGWMVSHGNIYDPKKDKQVVNEYEKQVVYKVLNDNKQVTSMHTFVQPIRAEWT</t>
  </si>
  <si>
    <t>APVEETPADIRATIDEAKAAGAKVLREVKYLPKPSREPLVNERMGIFGYVLKKLFDKRVP</t>
  </si>
  <si>
    <t>IKREFVKLCKIMEIMKKNELTTMVYDVDGKTYHLKDVEFDAAKLDAIQKALKVLCNTFYG</t>
  </si>
  <si>
    <t>ESGNFRSAIYELLVAAGITSQGQLEIKFVSDGVIINGFKLYYGDTDSMYISAPEKIFEMI</t>
  </si>
  <si>
    <t>DAWFAERSAEAKAANDDALLRRYREEYYATMVQLTMDRMQILCEEISDRLTARTGTRYLN</t>
  </si>
  <si>
    <t>MAYEEVGFPTAWCGKKKYFMTAHIETINFEPDEYFLRGVEIVKQGVNQIIKVLGNEFIKE</t>
  </si>
  <si>
    <t>ALDIHSDKEPLDIAGEKLIKFFTHNWAIDMFAQTATYKPAKDNKSVKRFHERMTAVFNAL</t>
  </si>
  <si>
    <t>PFDDPNRELYRPPGAGDKFKYVIVKRPEKINQRGNKEKTTKGDFMEYLDVYIASQSHAHP</t>
  </si>
  <si>
    <t>LELDLEWYFERSFITSFSRFICYHNSFAHPNPIDPDQDDEHRINSATEWLIEQANRFSDK</t>
  </si>
  <si>
    <t>EARAEKMKRLQSAYRRVYKEFNKQINIALYENFGEVATCLTGEGMYKGEKDMYPGFDIAE</t>
  </si>
  <si>
    <t>IKDQTGDVATNWIDKWCIAAGESMERSKPIIEPIYGKCGELPAMRLFELRKECLSNIQNN</t>
  </si>
  <si>
    <t>DVIYNTTIDEIRRTLRIITPVFTDLVRSKNNIKDELVSRVQMSCGGEYDKVVFSDEHVKA</t>
  </si>
  <si>
    <t>VTNYQPHEQDLVIKFHNNVSKLITCYRLKTRNKIKLSLVANAIKFRNIV</t>
  </si>
  <si>
    <t xml:space="preserve">&gt;Faustovirus@AMN83603.1 AMN83603.1 hypothetical protein D5b_00174 [Faustovirus] </t>
  </si>
  <si>
    <t>MSHDGEIEGLPERVSDMEPTVILKTELARLPTRNDLLGIPQVIEEYRAAGITTPPILFHP</t>
  </si>
  <si>
    <t>LTVLERDEWIKNADGYGGKHVFKINVFGVDQLGRKTVVSLVNVPIYVDIMVPKRFKGQTG</t>
  </si>
  <si>
    <t>EFYTAVMSSLTHGPQRPEVAHWDVVQGYRLHGFQQQTRPWIRFLFANMGQRSAFLDLVAQ</t>
  </si>
  <si>
    <t>HNEKYKANKKAQYCTANDDSGRPESGYYFNKVARERGINTAGWNLLACDEPGAIREIFAP</t>
  </si>
  <si>
    <t>HGALNNFAKGYECAINCLTRCKNKIKAGLDPITRRLLERPKKLSMFWDIETEGGRDIDDH</t>
  </si>
  <si>
    <t>DNMDVFNISMMFYTLNSDKPLLSIGLTKHNSISFDGYTIVCGSELGVVDTFLAILARYLP</t>
  </si>
  <si>
    <t>DYDNGFNSQRFDWRVMFHKFRRYAKFNYINDNISLYQFGQKCNLEKKFFTREQIKINAEK</t>
  </si>
  <si>
    <t>THISDYVAKIPGMLDSDTQPLFYKLYPKMEIKLERSLNYFLKLNDLPAKDDMPISRLWRI</t>
  </si>
  <si>
    <t>KRYCDALDSVKSCHCGNNSDHTVEHEHGTNCGLCRDSIHADPFDFNTNGKYDPKARISTD</t>
  </si>
  <si>
    <t>LVPRRDPSKCCRCDHAVFAVWMGLIDHYCKIDSHRTQQLIYKRGIYIDKCELANLSFVQL</t>
  </si>
  <si>
    <t>YDAFYRADGMKVRNIIGRYAPKFNIMFSNARKNIEQKMKQHYPGAWVFPPKYGYYKHRPI</t>
  </si>
  <si>
    <t>TGEDFSSLYPSIIMCYNFSPDRVVTNPAKAEALIAQGYKLHPVGPIKIEQGEKKGQAGNT</t>
  </si>
  <si>
    <t>FGTVSGWMVAHGNIYDPKVDTQVVNEFEKEITYKIVDADNTKTLKFVQPIRAEWTAPVEE</t>
  </si>
  <si>
    <t>TPADIHAEVEAARVAGMEVLREVKYLPKPARSPLINEKMGIFGYVLKKLFDKRVPIKKEF</t>
  </si>
  <si>
    <t>VKLCEILEIMKKQGVNELVYTDGKTYHLHEVEFDAAKLDAVQKALKVLSNTFYGESGNFR</t>
  </si>
  <si>
    <t>SAIYALIVAAGITAQGQLEIKFVSDGVIVNGFKLYYGDTDSMYISAPEVIFELVDAWFKA</t>
  </si>
  <si>
    <t>KTEEARVVAETDPVAGEALLRKYREEYYTQMVQLTMTRMKTLCEEISDRLAARTGTRYLN</t>
  </si>
  <si>
    <t>MAYEEVGFPTAWCGKKKYFMTAHIKTINFEPDEYFLRGVEIVKQGVNAITKQLGNEFIAE</t>
  </si>
  <si>
    <t>AMDIHSSREPIDIARDKLVKFFTNEWSVEMFAQTATYKPAKDNKSVKRFHERMTAIFNTF</t>
  </si>
  <si>
    <t>AIDNPERELYRPPDAGDKFKYVIVKRPEKINQKGNKEKMTKGDFMEYLDVYMASQAHEHP</t>
  </si>
  <si>
    <t>LELDLEWYFERSFTTSFARFICYHKDFAHPDLATGEIDPDLDDTWRVYRATEWLKEQANQ</t>
  </si>
  <si>
    <t>FSDKAARAEKMKKLQAAYRRVYREFEKSIVKHLYKTLGEAAMSIAGEGLYKDFDWSEITD</t>
  </si>
  <si>
    <t>KSQDVAASYIDKWCNEAGSAMERKDPVLEPIYKKCGELPVIRLMELRKECMLSITNNDVI</t>
  </si>
  <si>
    <t>YNNMIDETRRTLRIISGIFVDLIKQKNNIKCELIARIQQSCGGEYDKIVFTDEHIRAAAT</t>
  </si>
  <si>
    <t>YQPHEIELVEKFHDNVRKLITCYRLKTRNRIKLTLVVNAINFRNIQ</t>
  </si>
  <si>
    <t xml:space="preserve">&gt;Faustovirus@SMH63589.1 SMH63589.1 DNA polymerase type-B family [Faustovirus] </t>
  </si>
  <si>
    <t>MATKQHNAEVEGLPERVSEMVPTVLSKANIGQLPTRNDLLGIPQLLREYQAAGHVIPILF</t>
  </si>
  <si>
    <t>HPITVLERDEWVKNADGYSGKHVFKVNLFGIDQLGRKTVIRIVNVPIYVDIMVPRRFRNQ</t>
  </si>
  <si>
    <t>TAEFYTSVMSSLTHGPQRPDVAHWDIVHGYRLHGFQQQTRPWLRFHFANMGLRSAFIDLV</t>
  </si>
  <si>
    <t>AQHNEKYKTNKKQQYCTANDDSGRPESGYYFNKMARERGINTAGWNIISSDQPGAITEIY</t>
  </si>
  <si>
    <t>APYGPLRNFDKGYECEMNCLTRCKNKIKARLDPITRRLLERPKKLSMFWDIETEGGRDIE</t>
  </si>
  <si>
    <t>DHDNMDVFNISMMFYTLNSDRPILSIGLTKHNSISLDGYTIVCGSEIGVVDTFLAILARY</t>
  </si>
  <si>
    <t>LPDYGNGFNSQRFDWRVMFHKFRRYGKFNYINEMISLYQFGAKCNLEKKFFTREQIKINA</t>
  </si>
  <si>
    <t>EKTHISDYVAKIPGMLDSDTQPLFYKLYPKMEIKLERSLNYFLQLNDLPAKDDMPISRLW</t>
  </si>
  <si>
    <t>RIKRYCDALDGNPTCHCKITAATGPKHCVDDCQLCHDSIKIDPFDMNSMGKFDPRSRIDT</t>
  </si>
  <si>
    <t>ALVPRRDPTKCCRCDAAVFAVWMGLIDHYCKIDSHRTQQLIYKRGIYIDKCELANLSFVQ</t>
  </si>
  <si>
    <t>LYDAFYRADGMKVRNIIGRYAPKFNIMFSNARKNIEQKMKQHYPGAWVFPPKYGYYKHRP</t>
  </si>
  <si>
    <t>ITGEDFSSLYPSIIMCYNFSPDRVVTNPAKAEALIAQGYKLHPVGPITVERGEKKGQAGN</t>
  </si>
  <si>
    <t>TFSTVSGWMVAHGNIYDPRVDTQVVNEFEKEITYKVQVNDSDNNDANNGVQTYTFVQPIR</t>
  </si>
  <si>
    <t>AEWTAPLEDTPDAIKTEVEAARAAGAKVVREVKYLPKPSRAPLVNEKMGIFGYVLKKLFD</t>
  </si>
  <si>
    <t>KRVPIKKEFVKLCEILEIMKKQGVTELVYTDGRTYHRHEVEFDAAKLDAVQKALKVLSNT</t>
  </si>
  <si>
    <t>FYGESGNFRSAIYALIVAAGITAQGQLEIKFVSDGVIVNGFKLYYGDTDSMYISAPEAIF</t>
  </si>
  <si>
    <t>ELIDAWFKMKTEEARLVSVDDPVAGEALLRKYREEYYTQMVQLTMTRMKTLCEEISDRLA</t>
  </si>
  <si>
    <t>ARTGTRYLNMAYEEVGYPTAWCGKKKYFMTAHIKTINFDPDEYFLRGVEIVKQGVNAITK</t>
  </si>
  <si>
    <t>QLGNEFIKEAMDIHSDREPIDIAKDKLVKFFTNEWSIEMFAQTATYKPAKDNKSVKRFHE</t>
  </si>
  <si>
    <t>RMTAIFNTFAIDDPARELYRPPDAGDKFKYVIVKRPEKINQKGNKEKMTKGDFMEYLDVY</t>
  </si>
  <si>
    <t>MASQAHEHPLELDLEWYFERSFITSFARFICYYKDFAHPDIATGEVDPDLDDTHRIEKAT</t>
  </si>
  <si>
    <t>EWLIAQANQFSDKAARAEKMKKLQSAYRRVYKEFEISIRDRLYEVLGDAALCIACEGIYK</t>
  </si>
  <si>
    <t>GQRNLYDPLDMTEIVDKGPDAATGYIDKWCSQVGDKLERDEPVIEPIYKKCSELPIMRLT</t>
  </si>
  <si>
    <t>ELRRDCMTSITNNDVIYNNMIDEARKTLRNITCVFTELIKHKNNVKGELVTQIQLNCGGH</t>
  </si>
  <si>
    <t>YDKIVFTSNHINAVVSYQPHEAELVAKFHDTVSKLITCYRLKTRNRIKLTLVVNAINFRN</t>
  </si>
  <si>
    <t xml:space="preserve">&gt;Pacmanvirus_A23@YP_009361596.1 YP_009361596.1 DNA-directed DNA polymerase, family B [Pacmanvirus A23] </t>
  </si>
  <si>
    <t>MEGCSGDECQFINNITPEHLLHHIKNKIPTKINYKQIHLLPSRNNFLDPKLKNVFNSQIK</t>
  </si>
  <si>
    <t>YNRPVLFMPNGVVEKNDWIDGVSKYRVYLFGVLPCGSKTCVILDNIEVHVDIMVPYGMTA</t>
  </si>
  <si>
    <t>AQYDDILRGQLTSKQLPFTGIADIKLHRLHGFQKEKRSYKRVYFNNLQDRKKIIEYIRSL</t>
  </si>
  <si>
    <t>NKTLKSAGKDKIETASDDVGRDNYYFPKIAREFKFATADWNRIEEYCVVNPSSVTTNCTY</t>
  </si>
  <si>
    <t>VLKVNVQNFKKLTKEKRREYLKPGQLLEKVIERDSTQVAMWDIETHRTIQNGVVPTPEDT</t>
  </si>
  <si>
    <t>DYTIFMMCSAYFWHHSDEPLFEVCAVDRACNARPGINLVIECESELNVLNAHMEAMSRMA</t>
  </si>
  <si>
    <t>PDITGAFNGGNFDWPLYKEKLRRAGLLTTLKKKFSSLLPIINGRYADTDESVAKWCFRSE</t>
  </si>
  <si>
    <t>EIKIDAETRHHLDCVANFPGMLDTDVLPVFLKLYPRAEVRKSASLNFFLAKNKLESKEDM</t>
  </si>
  <si>
    <t>PYKRMFKIYERACKLMNIKSCHCGTAQEHCGCCKEKVKEIDFKPLSTGVTMEGIEYSTEL</t>
  </si>
  <si>
    <t>YDDLVVDGVEKCCHCGKLERNKRDMADVGYYCVIDCVRPQQLYVKRTIVPDKRELSTMSY</t>
  </si>
  <si>
    <t>VSLYDSFYRADGMKVRNVIGKNCFKRGIAFSNARSDKEMTDKDHYPGAWVFPPNRGLHSD</t>
  </si>
  <si>
    <t>GWIDVEFITPEGKKIKKRVRCRPITGLDFASLYPSLMMTYNLSPDTVVYTKEEAEKLRNE</t>
  </si>
  <si>
    <t>GYSLYHIEPFEFERGEKKGNSGNKRLSQEGWAVRHNGIFNTRKDTNIVTQYVKYISFTCS</t>
  </si>
  <si>
    <t>DPELGPLQFKFKAEDGPTVEQKKQLEIYKSRKQIADVPIKAEQQKLNEIIKNCPEGVKIN</t>
  </si>
  <si>
    <t>KLPEYIEQKKILDEVKKQEVKVMRKVIYDPVRGREALPGERMGLFPTIVKKLFDKRVPIK</t>
  </si>
  <si>
    <t>AEFVHLSEMLESMENMDVKEWTVKNPDGSESVVKYEDIEFSKNKVESKQKAIKVLANTFY</t>
  </si>
  <si>
    <t>GESGNFKSSVYELLVAAGITCAGQANIKRVAGFVQNKGFIVHYGDTDSLYLSCPDSVYTK</t>
  </si>
  <si>
    <t>CDEEYERNLVLLNEEFEGVPCEAEPSESNPRSVEFKKRRVAERLKWWNQMVAITMDVMNT</t>
  </si>
  <si>
    <t>LKEEVSDFLLANNETCFLNMAYEEVGYPTVFCGKKKYFMTAHLKEINFYPKELFIRGIDI</t>
  </si>
  <si>
    <t>IKQGQAKISKQLGEEFMREALSPENERELIEIAEDKIRKFYRTKLDPNLFSLIARYKPNK</t>
  </si>
  <si>
    <t>RNVPVLSFVARMREIQAKYPDNPTFMALYEPPEAGDKFEYILVKKEQRFTLQGNKIELKK</t>
  </si>
  <si>
    <t>GDQMEYLRVYKASQETSNPMEINLSYYMKNSIVGLFARFIAYHPRFQPPEGTYNCEDKEQ</t>
  </si>
  <si>
    <t>YKEMDKHCVNEATKYLNDLCDSITGFNKGELTQRGRDYRKIYKQADKKLRHDIASRYGGM</t>
  </si>
  <si>
    <t>GFIIHSVNVHNDTDDTRAQSTRLIEQLKQTAESMTNSNGFGKEYMKLNATGQKLSAFKLK</t>
  </si>
  <si>
    <t>RIYKPERDISVSTIRINICNRMEQQIIEKMYQIMQQVAKIVYKYEKSLINLIDDMRKIKL</t>
  </si>
  <si>
    <t>EDDIIIEDEDLDQINTLSEVDRDVIQTAHRLLLELVAVYKTRNNTLDMLNEIELARANSV</t>
  </si>
  <si>
    <t>NEALDPQINVRNVSRLEARKAEIIPEYEWN</t>
  </si>
  <si>
    <t xml:space="preserve">&gt;African_swine_fever_virus@YP_009702337.1 YP_009702337.1 DNA polymerase alpha-like protein [African swine fever virus] </t>
  </si>
  <si>
    <t>MISIMDRSEIVARENPVITQRVTNLLQTNAPLLFMPIDIHEVRYGAYTLFMYGSLENGYK</t>
  </si>
  <si>
    <t>AEVRIENIPVFFDVQIEFNDTNQLFLKSLLTAENIAYERLETLTQRPVMGYREKEKEFAP</t>
  </si>
  <si>
    <t>YIRIFFKSLYERRKAITYLNNMGYNTAADDTTCYYRMVSRELKLPLTSWIQLQHYSYEPR</t>
  </si>
  <si>
    <t>GLVHRFSVTPEDLVSYQDDGPTDHSIVMAYDIETYSPVKGTVPDPNQANDVVFMICMRIF</t>
  </si>
  <si>
    <t>WIHSTEPLASTCITMAPCKKSSEWTTILCSSEKNLLLSFAEQFSRWAPDICTGFNDSRYD</t>
  </si>
  <si>
    <t>WPFIVEKSMQHGILEEIFNKMSLFWHQKLDTILKCYYVKEKRVKISAEKSIISSFLHTPG</t>
  </si>
  <si>
    <t>CLPIDVRNMCMQLYPKAEKTSLKAFLENCGLDSKVDLPYHLMWKYYETRDSEKMADVAYY</t>
  </si>
  <si>
    <t>CIIDAQRCQDLLVRHNVIPDRREVGILSYTSLYDCIYYAGGHKVCNMLIAYAIHDEYGRI</t>
  </si>
  <si>
    <t>ACSTIARGKREHGKYPGAFVIDPVKGLEQDKPTTGLDFASLYPSLIMAYNFSPEKFVASR</t>
  </si>
  <si>
    <t>DEAKSLMAKGESLHYVSFHFNNRLVEGWFVRHNNVPDKMGLYPKVLIDLLNKRTALKQEL</t>
  </si>
  <si>
    <t>KKLGEKKECIHESHPGFKELQFRHAMVDAKQKALKIFMNTFYGEAGNNLSPFFLLPLAGG</t>
  </si>
  <si>
    <t>VTSSGQYNLKLVYNFVINKGYGIKYGDTDSLYITCPDSLYTEVTDAYLNSQKTIKHYEQL</t>
  </si>
  <si>
    <t>CHEKVLLSMKAMSTLCAEVNEYLRQDNGTSYLRMAYEEVLFPVCFTGKKKYYGIAHVNTP</t>
  </si>
  <si>
    <t>NFNTKELFIRGIDIIKQGQTKLTKTIGTRIMEESMKLRRPEDHRPPLIEIVKTVLKDAVV</t>
  </si>
  <si>
    <t>NMKQWNFEDFIQTDAWRPDKDNKAVQIFMSRMHARREQLKKHGAAASQFAEPEPGERFSY</t>
  </si>
  <si>
    <t>VIVEKQVQFDIQGHRTDSSRKGDKMEYVSEAKAKNLPIDILFYINNYVLGLCARFINENE</t>
  </si>
  <si>
    <t>EFQPPDNVSNKDEYAQRRAKSYLQKFVQSIHPKDKSVIKQGIVHRQCYKYVHQEIKKKIG</t>
  </si>
  <si>
    <t>IFADLYKEFFNNTTNPIESFIQSARFMIQYSDGEQKVNHSMKKMVEQRATLASKPAGKPA</t>
  </si>
  <si>
    <t>GNPAGNPAGNALMRAIFTQLITEEKKIVQALYNKGDAIHDLLTYIINNINYKIATFQTKQ</t>
  </si>
  <si>
    <t>MLTFEFSSTHVELLLKLNKTWLILAGIHVAKKHLQALLDSYNNEPPSRTFIQQAIEEECG</t>
  </si>
  <si>
    <t>SIKPSCYDFIS</t>
  </si>
  <si>
    <t xml:space="preserve">&gt;African_swine_fever_virus_Lisbon_60/lis60@P43139.1 P43139.1 RecName: Full=DNA polymerase beta [African swine fever virus Lisbon 60/lis60] </t>
  </si>
  <si>
    <t>MDRSEIVARENPVITQRVTNLLRTNAPLLFMPIDIHEVRYGAYMLFMYGSLENGYKAEVR</t>
  </si>
  <si>
    <t>IENIPVFFDVQIESDNTNQLFLKSLLAAENITYERLETLTQRPVMGYREKEKEFAPYIRI</t>
  </si>
  <si>
    <t>FFKSLYERRKAITYLNNMGYNTAADDTTCYYRMVSRELKLPLTTWIQLQHYSYEPRGLVH</t>
  </si>
  <si>
    <t>RFSVTPEDLVSYQDDGPTDHSIVMAYDIETYSPVKGTVPDPNQANDVVFMICMRIFWIHS</t>
  </si>
  <si>
    <t>TEPLASTCITMAPCKKSPEWTTIVCSSEKNLLLSFAEQFSRWAPDICTGFNDSRYDWPFI</t>
  </si>
  <si>
    <t>VEKSMQHGILEEVFNKMSLFWPQKLDTILKCYYVKEKRVKISAEKSIISSFLHTPGCLPI</t>
  </si>
  <si>
    <t>DVRNMCMQLYPKAEKTSLKAFLENCGLDSKVDLPYHLMWKYYETRDSEKMADVAYYCIID</t>
  </si>
  <si>
    <t>AQRCQDLLVRHNVIPDRREVGILSYTSLYDCIYYAGGHKVCNMLIAYAIHDEYGRIACST</t>
  </si>
  <si>
    <t>IARGKREHGKYPGAFVIDPVKGLEQDKPTTGLDFASLYPSLIMAYNFSPEKFVASRDEAN</t>
  </si>
  <si>
    <t>SLMAKGESLHYVSFHFNNRLVEGWFVRHNNVPDKMGLYPKVLIDLLNKRTALKQELKKLG</t>
  </si>
  <si>
    <t>EKKECIHESHPGFKELQFRHAMVDAKQKALKIFMNTFYGEAGNNLSPFFLLPLAGGVTSS</t>
  </si>
  <si>
    <t>GQYNLKLVYNFVINKGYGIKYGDTDSLYITCPDSLYTEVTDAYLNSQKTTKHYEQLCHEK</t>
  </si>
  <si>
    <t>VLLSMKAMSTLCAEVNEYLRQDNGTSYLRMAYEEVLFPVCFTGKKKYYGIAHVNTPNFNT</t>
  </si>
  <si>
    <t>KELFIRGIDIIKQGQTKLTKTIGTRIMEESMKLRRPEDHRPPLIEIVKTVLKDAVVNMKQ</t>
  </si>
  <si>
    <t>WNFEDFIQTDAWRPDKDNKAVQIFMSRMHARREQLKKHGAAATSQFAEPEPGERFSYVIV</t>
  </si>
  <si>
    <t>EKQVQFDIQGHRTDTTRKGDKMEYVSEAKAKNLPIDILFYINNYVLGLCARFINENEEFQ</t>
  </si>
  <si>
    <t>PPGNVSNKDEYAQRRAKSYLQKFVQSIHPKDKSVIKQGIVHRQCYKYVHQEIKKKIGIFA</t>
  </si>
  <si>
    <t>DLYKEFFNNTTNPIESFIQSTQFMIHYFDEEQKVNHSMKKMVEQHAALAGNPAGNPAGNP</t>
  </si>
  <si>
    <t>AGNPAGNPAGNPAGNPAGNPAGNPAGNPAGNPAGNPAGNPASNALMRAIFTQLITEEKKI</t>
  </si>
  <si>
    <t>VQALYNKGDEIHDLLTYIINNINYKIATFQTKQMLTFELSSTHVELLLKLNKTWLILVGI</t>
  </si>
  <si>
    <t>RVAKKHLHALLGLHNNEPPSKTFIQQAIEEECGSIKPSCYDFIS</t>
  </si>
  <si>
    <t xml:space="preserve">&gt;Kaumoebavirus@YP_009352507.1 YP_009352507.1 Archaeal DNA polymerase I [Kaumoebavirus] </t>
  </si>
  <si>
    <t>MECNKWSKKGGSTYQQRLYGVLSNGQKAKLILEGIQPYFDIEVPDDQTVDWNAGGELRST</t>
  </si>
  <si>
    <t>DVSKRAAVLRNDIEDALGRTLVKSRIIMAKPLQGFTKEPKPYIRLYFNNLKDRKAGLNWA</t>
  </si>
  <si>
    <t>EQEGYAIFSNDPSSYYRKVARETKMTMAGWNYVSEYEEVDEEDEDASEDIKTFRVDIRNI</t>
  </si>
  <si>
    <t>REVPQEDKTPMDPSLELCWDIETMGNEQKNFGVKTDKDGGKVFAICVAICRVSQKKPLCT</t>
  </si>
  <si>
    <t>IGLTRYDCEIPDLAETEEILREIGKEGDGTYDDISAEETSRALRAIEKKGEKSREFDYIV</t>
  </si>
  <si>
    <t>KCQNEKDLILTFAKVINRFKPEYIVDFNGHNYDWPFIIWRVINRYRIEEQFMKLVSCEPV</t>
  </si>
  <si>
    <t>PEDQRKWTWSGMDLEKTEEIKLEAGRNTNAVFVKAPGFIPVDARVQYMTMQEYKTKEKSS</t>
  </si>
  <si>
    <t>LNFYLSENGLDSKDHMPIPWMWTICRKLEKLIKQNEQDDDPVHPDIMRRWKLLMFYVLKY</t>
  </si>
  <si>
    <t>CLIDSVRCHDLLIKRTVVVDKRGVAKMTYISMYDAFFRADGMKVVNAISGYTYKKDPNYF</t>
  </si>
  <si>
    <t>TTPYDPDYIPKDLILINHRRRDTGGAKVKFQGAFVLQPKKGIYTDRPCGGLDFGSLYPNI</t>
  </si>
  <si>
    <t>IRSSALSPENIITDLEVAREICGALNDNLIKKRKAKPDATTAQNFPYNRWFRLQKHVVEW</t>
  </si>
  <si>
    <t>AERTFIAWTILPPADDNNMVDKEYVKWHGLFPRVLGDIFDVRLRMKLRVAQLKGEVEKLE</t>
  </si>
  <si>
    <t>VEMKAAEEAGDEELAKKLAHKLEELELERNIVDSQQKAAKVLMNSFYGEAGNQSSCLFNI</t>
  </si>
  <si>
    <t>MISGTTTMRGRTYLKTMYRYLIDEHHCKIQYGDTDSLYVVCREEIFREIDRKYQSGEIDK</t>
  </si>
  <si>
    <t>MTYWSEMVTLSMRELDRVKKAVKGRLIEITGYGFLEMAYEEILFPYCLIARKKYFGLEHL</t>
  </si>
  <si>
    <t>GVPNFTKPKQFIKGLDFKKRGASPMLKMVCQSILDTALSMDCSKTLKQIVEDKLVEIKTT</t>
  </si>
  <si>
    <t>DWSNNIDLFAKMDTCKQKRDEEGKVVDVKNVKAQTFKARMEEEAKYNPDIEPPKIFQRFE</t>
  </si>
  <si>
    <t>YVVVEKPAFTYNFKGKSTKTALGDKFEYLSRVKANPHLFKIDLDYYIEREIIGKLSGFIA</t>
  </si>
  <si>
    <t>YDDEFTKGLEQPDPNDTEANNKYNKKLMDKAKKYLLEFFRTKFGNSAVNHHTLRKKVYRE</t>
  </si>
  <si>
    <t>CLKIVKNKHADKDTLGVLQRLSAYDPDHNLGDDPVKEMKAALLEAIKEEKREYLTQEHRT</t>
  </si>
  <si>
    <t>RFAKRLRRKFMSDGLDAIVAYKFFSGKNNNSKGARKGNGSGSRTIGHFPRYYNDALREIH</t>
  </si>
  <si>
    <t>VATAEMERSLAELVPYCQATQRDLQSIIRGATIDVEKKIVTIPDEADKAITDIPENIAAA</t>
  </si>
  <si>
    <t>MLNIDACYQKILLKKIMIRKYKIEKSVLKVLRGEQTNDEIEVVISQKKEKKKREDFFENN</t>
  </si>
  <si>
    <t>LKGKSYYSATENLSKSKFGF</t>
  </si>
  <si>
    <t xml:space="preserve">&gt;Heterocapsa_circularisquama_DNA_virus_01@YP_009507841.1 YP_009507841.1 type B DNA polymerase [Heterocapsa circularisquama DNA virus 01] </t>
  </si>
  <si>
    <t>MTRQKINHSICNNLKNMPMIDVENFKKKKLFIIEISQKTCEETMNYILSITCLDNNGNKY</t>
  </si>
  <si>
    <t>FYDVTGIIPCFDIEYNEIVANEIKKYEKILNSNAILNTRNGNIVFEGVHLKPFNYYSNEL</t>
  </si>
  <si>
    <t>ITHIRLNFKNINNYRTVNNILNKNNIIKEYIRNNETNTNYYNKAIQYNNLINVEKIPEKT</t>
  </si>
  <si>
    <t>LLMTWDIETYSYDKTRIPDGLVESDDCFLICGTFHNYNSDKILSSFAISTINTETNVIGN</t>
  </si>
  <si>
    <t>RSIYTHTIHKLIFNNINNNDINNKIYNNITQFLGIINYPNLTLKICKNEKESIKCFMKMI</t>
  </si>
  <si>
    <t>KEIKPDIITGFNDHTYDWVYIKNKIENYYTDLTRDFYECFNDSKYYTLTNDIKPFISSSV</t>
  </si>
  <si>
    <t>KISADIGLMDINYPKCNYAIFIDTRVEFRKIYPKDIESNLNYYLRKMNLNSKEDLPYKKL</t>
  </si>
  <si>
    <t>FQIYENKDEDGMLLATLYCLTDAYRCQELLVKKQIINEHYNMAYMTGITLKNSICRANGF</t>
  </si>
  <si>
    <t>KVFNYLLKDGIKENYSFIYNKFEKDENSTEYTGGYVADPTYGLNIDCPVIGLDFASLYPN</t>
  </si>
  <si>
    <t>IQRTLNLGPDTLIRDFDIPKYLNSNIPIRKICDKYVVDHNEKENLKSIMVKILTNLFDQR</t>
  </si>
  <si>
    <t>VIIKKKMLMYKFDKEKYSNVDQYKLHLTLCLFKSYKLNNKKINNNIFDYLGINVLNDVIN</t>
  </si>
  <si>
    <t>DLDQKQKAVKVLMNSFYGLLGSPTSPLYCKFIAETITKTGRTMLIQVRNYVQNKNYDVHY</t>
  </si>
  <si>
    <t>SDTDSVYVSCNKHIFNDIESKFINNEITEKELFYKKIQITKDEIKVLLNDINKYLKDTYV</t>
  </si>
  <si>
    <t>YSYIKMAYEEVLYPVFFISKKMYFGVEHMETINYDDIDNFLFMRGYSPVRRNTTQLTKNI</t>
  </si>
  <si>
    <t>IVDTVIKQLFSLNTFSIYHKTKKIDIFEIIKNIVFQIVNNFKNKTYPIEYFIKNDRYSPG</t>
  </si>
  <si>
    <t>KKNIRINTFVDKLRQRFDSLSNDELKRKYTPPEPYERFKYVYIDKSNKILYNGSIEKIDG</t>
  </si>
  <si>
    <t>LGNVMEYPCYLDDFNSNLHYKKYFESDLANELGCLIHPKDGKKYIIKLFELFIDNIDNKY</t>
  </si>
  <si>
    <t>ELNNIKNIDYDTLIHKKNDIRTIKLKQFRSDAKIKSIEFINIKKDLLVNYPLLFKYDIIS</t>
  </si>
  <si>
    <t>NPYTFINNINNDISKINFDFINQRKSDLYKKCYKNEYYKPNLNELTNALNIQYNILYEEL</t>
  </si>
  <si>
    <t>DDNIRLYCDLISNELNIKIEEHCNNKETIVDYDIDKSFQNIVSFIDVNKHSFDNLEDITD</t>
  </si>
  <si>
    <t>KYYNIVYKIKKQESYSEFIKKLKKH</t>
  </si>
  <si>
    <t xml:space="preserve">&gt;Anopheles_minimus_irodovirus@YP_009021128.1 YP_009021128.1 archaeal DNA polymerase I [Anopheles minimus irodovirus] </t>
  </si>
  <si>
    <t>MATLQTIDIYAYSWHIDEEEQDSTFIRVYGLNNLNENICVSINGFRPHVYVELPTHINWV</t>
  </si>
  <si>
    <t>DFKPQLYSFFQQLSSGLKCTLTFARKLYGANLKKKDEKFVHKKFPFLKCTFNSKRDAHFL</t>
  </si>
  <si>
    <t>AHKLKNRQYVPGIGQLKFNVHHLDACPRLQLTSKYNLPTAGWIRFKGTKILQDEDKFTER</t>
  </si>
  <si>
    <t>CDEFMIDLSDKRYKPEDLMKRCDAVGTVKPLILSFDLEVNSEDGITMPKATRPGDVVFQI</t>
  </si>
  <si>
    <t>SCVFSRLGEPAESFDKYLLSLGNPSPELVGAKVLSYPSESKLLMGFTNLIKEKNPNCIIG</t>
  </si>
  <si>
    <t>YNIFSFDIPYLMDRANYKHIYPEWSVQGFPRDRCGISREIKWSSSAYKNQEFKYLDCEGR</t>
  </si>
  <si>
    <t>LYIDLLPIVQRDFKLNDYKLKTVSTQFIGETKDDLDAKGIFKCYREGIKNTSVAYKYMSV</t>
  </si>
  <si>
    <t>CGKYCMQDSLLVTKLFDKLNVWHGLSEMAAVCNVPMITLFTKGQQVKVYSQVYKHCVENK</t>
  </si>
  <si>
    <t>IVVEKDGYVTRENERYVGAFVFPPKPGLYENVVPMDFSSLYPSLIIAYNIDYSTLAADPH</t>
  </si>
  <si>
    <t>IPDEMCHVMEWEDHISCKHDPKVIEKARLTKLIDELVNKKGYDKALVSKYRKERSEITKS</t>
  </si>
  <si>
    <t>LNKNVMCEKRRYRFLDPNKLGKESVGVLPTIIQNLLEARKNTRKEIVVLKDKLKTTTNDK</t>
  </si>
  <si>
    <t>EKINLETTISVLNQRQLAYKVSANSMYGITGVKAGMLPCMPIAMSVTFMGRTNILKAAKY</t>
  </si>
  <si>
    <t>LQEIYGGFLVYGDTDSNYVSFNHKNFSYAELWDYALKVADEVSSLFPPPMRLEFEEAIYK</t>
  </si>
  <si>
    <t>KFLILTKKRYMYQTCLRNGSIKPEIGKRGVILNRRDNSGFIRNIYEKMVKIIFEEDDPTR</t>
  </si>
  <si>
    <t>LQTRVLHALTNDINNMFCGAIPVQDFVITKSTGDYGNLEPQFFLNEKGLKRAMLGQYNVP</t>
  </si>
  <si>
    <t>FLTDEAKMEEEITNEKQEKEWYLSKLPAHIQLLEKIKRRGQIKNEGSRLEYVILETNDHK</t>
  </si>
  <si>
    <t>DKQCVKIEALDYYLKNKDVLKLDYLYYLQRCINPIDQILEVLFKLPHFTKQVYDYHFNKK</t>
  </si>
  <si>
    <t>KLIGQMNLLFAPTLNIDKTNVLLYRDLDKYYIQLGQAADNNTLHLVAQFQTTEDTKNLYL</t>
  </si>
  <si>
    <t>KLRHKCTKLKTKFTFKCGYIKLNGFAEQKLISALKRLCKA</t>
  </si>
  <si>
    <t xml:space="preserve">&gt;Invertebrate_iridescent_virus_22@YP_009010762.1 YP_009010762.1 DNA polymerase (B family) [Invertebrate iridescent virus 22] </t>
  </si>
  <si>
    <t>MVCNTKEIEYEFYAYSWHLDEEIQDETFIRAYGFDDQQKNICVSINGFQPFVWVELPTHI</t>
  </si>
  <si>
    <t>ELKFNLPSKLKTPQRIMGLGNLKFHVHGQDACPRLQLTSKYDLPTAGWIKFKGIEVVCEE</t>
  </si>
  <si>
    <t>RPGDVVFQISCVFSRLGSNVYDKYLLSLGDPQKNIVGANILKYSTEQKLLMGFKDLVNEK</t>
  </si>
  <si>
    <t>NPNVVIGYNIFNFDIPYLMDRANHKSIYPVWSQQGFAKGKSGIQREIKWSSSAYKNQEFK</t>
  </si>
  <si>
    <t>IIVKVGKKHFKLVGVENEDNLKQQNFFDEVTDVFWVENAFSSIEYIRQKIKHLEDKNGHF</t>
  </si>
  <si>
    <t>KHDPKVIEKNRLTKLIDELTSKKKSDKALISKLRKQRSEITKSLNKNVMCEKRKYRFLKV</t>
  </si>
  <si>
    <t>TNQNPEFKGVLPTIVQSLLDARKETRKEISNLKNKLKEINNEQQKREIETTIDILNQRQL</t>
  </si>
  <si>
    <t>AYKISANSMYGITGVKAGMLPFMPVAMSITYKGREGVKQVSDILQKQYGGELVYGDTDSN</t>
  </si>
  <si>
    <t>YVSFQHKKFSITELWDYAIKVADEISKLFPPPMKLEFEEAVYTKFLILTKKRYMYQTALR</t>
  </si>
  <si>
    <t>DGTIKPEIGKKGVVLNRRDNSAFIRKTYENVVKIIFENTEDKDKLQSKVIKSLLTDVNAM</t>
  </si>
  <si>
    <t>FNHQCLVEDFIITKSTGDYGNLQPQYFLNEKGLHRATLGQYNVPFLTEEIKEEEGIQTPE</t>
  </si>
  <si>
    <t>EETNWYLDKLPAHIQLLEKIKRRGHSRNEGSRLEYVVVETDNLKDKLSAKNETVMYYNKN</t>
  </si>
  <si>
    <t>KGILNLDYLYYLHRLINPIDQILEVIFNLNDFMKNHYNYRVLKKKLTIEMNELFSPIYNI</t>
  </si>
  <si>
    <t>EKDWLYLLKVKEKYSLIYGSKDYCKSRLLSQEVVYKTKYVPTQPIDFYAFLKIKYGLTTS</t>
  </si>
  <si>
    <t>LKTQFIFKDNIILLGNMTESKLIAVIKKECK</t>
  </si>
  <si>
    <t xml:space="preserve">&gt;Bathycoccus_sp._RCC1105_virus_BpV1@YP_004061614.1 YP_004061614.1 hypothetical protein BpV1_184 [Bathycoccus sp. RCC1105 virus BpV1] </t>
  </si>
  <si>
    <t>MVVFQVLTWETRDTEEEHLISIFGKTKEGKSVCVTTSFTPYFFVKLPNKKTQMDIRNLYT</t>
  </si>
  <si>
    <t>KIDKLCPECLISYDIVQSKDVWGFQNNEKFIFMQLKFKNLAARRMVNGRLKRTLPDEAMK</t>
  </si>
  <si>
    <t>YKVYESNLDPVLRLMHRTNIQSTGWMDSGDACVRSHLAHVNIDLFCNDWKTLKPVDIPET</t>
  </si>
  <si>
    <t>APFVVASVDIECNSSTGKFPDADVKGDACFQIAVSLTHFGSDIPYDKTCFCYKKTDPNLE</t>
  </si>
  <si>
    <t>GSIIKSYETEREMLMAFKEYLMEKDIDIITGWNIFGFDLEYIIKRAVMTGCDQTFYEMSK</t>
  </si>
  <si>
    <t>MKNHSCELVYKKLSSSALGDNDLKILPMPGRFIFDLFHEVKKGYKLDSYKLDNVSKLYLG</t>
  </si>
  <si>
    <t>DNKIDMPPKEMFARFVEEDPVKLREVAEYCIKDTLLPHRLLSKLSILVNLLEMAKATWVP</t>
  </si>
  <si>
    <t>LCYLVERGQQIKVFSLLTKKAREMGFMVPTISWGQYSAEGYEGATVLDAQKGAYYTPITA</t>
  </si>
  <si>
    <t>LDFEGLYPSIMMAHNLCYSSMVMDSKYENIPGITYETFGFYKFAQDVPSLLPSILLELKQ</t>
  </si>
  <si>
    <t>FRKQAKKDMAQSTGALKEMYNGKQLAYKVSMNSVYGFTGASKGMLPCVQIASTVTLKGRS</t>
  </si>
  <si>
    <t>MIDETKAYVEKNFPGSKVRYGDTDSVMVEFDVGNRTGKEAIEYSWEIGERAAEECTKLFK</t>
  </si>
  <si>
    <t>APNNLELEKVYCPYFLYSKKRYAAKLWTKGKDGNMNMDYIDVKGLQLVRRDNTPHMREVC</t>
  </si>
  <si>
    <t>KELLDVVLESSDTGPPKELALQRAIELIEGDVPNEKLILSQGLSDSYKSKGFAVSINSPD</t>
  </si>
  <si>
    <t>IKDINQAHVQVVRKMRERQPGSEPQSGDRVPYILLDTGDPKAKAFEKSEDPKYAKDNNLK</t>
  </si>
  <si>
    <t>VDYNYYFINKFLNPVCDLIEPLFEDPKEEIFGELLTRVKPKRRPKKKLEAEIEGQPKISD</t>
  </si>
  <si>
    <t>MFKTLKK</t>
  </si>
  <si>
    <t xml:space="preserve">&gt;Micromonas_pusilla_virus_PL1@AET43521.1 AET43521.1 DNA polymerase [Micromonas pusilla virus PL1] </t>
  </si>
  <si>
    <t>MVVFQALTWEARDSDKEHLVSIFGKTEGGKSVCVTTSFTPYFFIKLDLKTSKQKIQEIYS</t>
  </si>
  <si>
    <t>TIDRKCPECVLCYSMMKSKDVWGFQNNEEFMFMKVDFVNLQMRRRVDSFLKRPLELSSGF</t>
  </si>
  <si>
    <t>FKAKVFESNLDPVLRLMHRTGIQSTGWLETGDNCIRSHLARVDIDLFCNDWTTLKPVARD</t>
  </si>
  <si>
    <t>DIAPFVVASFDIECNSSTGKFPDADVTDDACFQIAVSLCTFGSDEPYERVCLCYKETDGP</t>
  </si>
  <si>
    <t>DTISFDTEKDMLEAFQKYIHEKDIDIFTGWNIFGFDLEFIYKRAFVVGCDPEFFKMGKLK</t>
  </si>
  <si>
    <t>SQECELLIKKLSSSALGDNLLKLLPMSGRFIFDMFHEVKKGYKLDSYSLNNVSKLYIGDQ</t>
  </si>
  <si>
    <t>KIDMPPREMFARYREGDPVKLGEVAEYCIKDTLLPHKLMKKMCILLNLLEMAKATWVPMC</t>
  </si>
  <si>
    <t>FLVERGQQIKVFSQLTKKARELGFMVPTIRYGTVTSDPYEGATVLEAQKGAYYTPITALD</t>
  </si>
  <si>
    <t>FEALYPSIMMAHNLCYSSWVMNEKEYGNIPGVTYETFNVGEKTYKFAQGVPSLLPSILLE</t>
  </si>
  <si>
    <t>LKQFRKKAKKDMATATGYMKEVYNGKQLAYKVSMNSVYGFTGAGKGILPCVPIASTTTFK</t>
  </si>
  <si>
    <t>GRMMIEETKTYVEKNFPGAKVRYGDTDSVMVEFDVGDRKGVEAVEYSWEVGERAAEECSA</t>
  </si>
  <si>
    <t>LFKKPNNLELEKVYWPYFLYSKKRYAAKLWTKGKDDQMHMDYIDIKGLQVVRRDNTPHVR</t>
  </si>
  <si>
    <t>EVCKELLDVVLTSSDPGPPTELARERAIELLSGDVPNEKLILSQGLSDSYKVNGKSVSIN</t>
  </si>
  <si>
    <t>SDESVGINQAHVQVVVKMRERKPGSEPQSGDRVPYLLTNTGDRKAKAFEKSEDPKFVEEN</t>
  </si>
  <si>
    <t>NIPVDYHYYFENKFLNPVCDLLDPLFENTKQEIFGEIIDQHKPPKKKREPALSTMKKDQL</t>
  </si>
  <si>
    <t>IEECKRLGLDETGKLVDLRGRLKEARLKREESLEDIFKNYTQSNI</t>
  </si>
  <si>
    <t xml:space="preserve">&gt;Invertebrate_iridescent_virus_6@NP_149500.1 NP_149500.1 037L [Invertebrate iridescent virus 6] </t>
  </si>
  <si>
    <t>MEKTMFAYSWHQTDDETKNWSKSKESLRIYGITDDGKTICLIVNDFKPFVHVELPSSINW</t>
  </si>
  <si>
    <t>RQKIGGQPKVQKIMDYLNFILGDLKPVKNRTIFIDKYKLYGSNYVQTSPGVFQRKKFPYL</t>
  </si>
  <si>
    <t>VLFFESRKHIKNLEYKLKNTVDVPGFGKIKLNVRETNVSPILQLCVERNLPSAGWIGFKV</t>
  </si>
  <si>
    <t>EGRGALAGYGELVEEKKKFTDCDEEYVISKNYIYSIDKHVPVKAKVMAWDIEVYSEDGNF</t>
  </si>
  <si>
    <t>PDAMKPGNVVFQISCIFFIVGTSYKQKYLLTLGDPLEYTTTPINEEGCGKDTIVCKFKTE</t>
  </si>
  <si>
    <t>EDLIIAFSSLQKREKPHITTGWNIFNFDTTFLLKRAKLHRCLPNFLLQGFPKDQLGKEKE</t>
  </si>
  <si>
    <t>IKWQSKAYGTTDLKFIDCEGILCIDLMDVVQKEHKLDSYSLNFVAKHFLGSKKDDLKPKE</t>
  </si>
  <si>
    <t>IFICYREGIKKEVKNIVIHPLSNNLNIYLGKEEIMIENKKFKKPLKPFFRIQNTGKLVSD</t>
  </si>
  <si>
    <t>EDDSVFHVNYRGEVFSFLIAVHNEEKYEIKTVSEFNNYKNAYGTYTLSAQKAMAKVGKYC</t>
  </si>
  <si>
    <t>VQDSVLVADIFEHLQTWLSFSEMSRTCTTPIMTIHVHGQQVKFFNQVYKYCYDHKTVTDK</t>
  </si>
  <si>
    <t>ETYKVDEKERYRGAEVFDPVPGLKRNVVPLDFASLYPSLIIARNMCYSTFVDNDDIPDEM</t>
  </si>
  <si>
    <t>CHVMEWDDHVACSHDPKVIRKNAITEELEKLKKIANAKKMYTQGTRTYKKMMCSYLVMEN</t>
  </si>
  <si>
    <t>TKEKTEMSKHLKDLDRENNELLNIVNKQTPGYIESIKKKISDLTSERSEITKKLSKSVMC</t>
  </si>
  <si>
    <t>VSNRRYRFLKEPKGILPTIIQNLLDARKNTRTEIKNYKSRLALLMEKENKSKEDIDEITS</t>
  </si>
  <si>
    <t>IENLLPILDKRQNSYKISANSMYGATGVRVGALPFMPIAMCTTYMGRKSIVEVSQYLKEL</t>
  </si>
  <si>
    <t>GGRVVYGDTDSNYVTFDDVVDKNVKVGTEEFSREMKKLWNHAIEIAKTISKKFDNPITLE</t>
  </si>
  <si>
    <t>FENAIYFKFLILTKKRYMYYTCGKDGNILMDANGKPKMGQRGVILSRRDNCKYMKDVYAN</t>
  </si>
  <si>
    <t>VIDKIFDEQSENEILNGVVEKMLNLYTRQIEFTSCEKDENYLKNLIVTKSVGDYGGDKAT</t>
  </si>
  <si>
    <t>FEPILGKNEKGEDKWKIGNYVVPLITDEIIKTCGTNGLPMTQNEIKDWYLERLPCQVQLE</t>
  </si>
  <si>
    <t>VKIKRRGHNKEEGQRLSYVVTDIGCKGKQSEKIESVEYFKTHSKVLKLDYGYYIERLIEP</t>
  </si>
  <si>
    <t>LDQVFQAVFKNCQEKETIYSDNFRKTKLFSIFEKRGKHSQANFTKELHKLCSVTKPKLIN</t>
  </si>
  <si>
    <t>EIKSFSKPDLVFV</t>
  </si>
  <si>
    <t xml:space="preserve">&gt;Micromonas_pusilla_virus_SP1@YP_009665020.1 YP_009665020.1 DNA polymerase [Micromonas pusilla virus SP1] </t>
  </si>
  <si>
    <t>MVFFQALTWEARDEDDEHLISIFGKTESGKSICVTTSFTPYFFIKLDSRVSAKELYKSID</t>
  </si>
  <si>
    <t>EKCPECVISYSVMDSKDVWGFQNNQMFRFMKIDFVNLQTRRRVDYFLRRPLHLYSSGLFK</t>
  </si>
  <si>
    <t>AKVYESNLDPVLRLMHRTGIQSTGWLDTGDKCIRSHLANVDIDLFCNDWTTLTPVNRDDI</t>
  </si>
  <si>
    <t>APFVVASFDIECNSSTGKFPDADVNGDACFQIAISLCKFGTDEPYEKICLCYKNTSGPDV</t>
  </si>
  <si>
    <t>RSFDTEREMLEAFQKYIQEKDVDIITGWNIFGFDLEYIYKRAFICGCNSNFFKLGKLKDQ</t>
  </si>
  <si>
    <t>SCEIVVKKLSSSALGDNLLKLFPMSGRFVFDMFHEVKKGYKLDSYSLNNVSKLYIGDQKL</t>
  </si>
  <si>
    <t>DMSPKEMFARYLEGDPDKLGEVADYCIKDTLLPHKLLKKMCILLNLLEMAKATWVPLCYL</t>
  </si>
  <si>
    <t>VERGQQIKVFSQLTKKAREMGFMVPTIRYGAIPEEPYEGATVLDAQKGAYYTPITALDFE</t>
  </si>
  <si>
    <t>ALYPSIMMAHNLCYSTYVMDEKNYGNVPGVTYETFEIGDRKYKFAQGVESLLPSILLELK</t>
  </si>
  <si>
    <t>QFRKNAKKDMAAATGSMKEVYNGKQLAYKVSMNSVYGFTGAGKGILPCVPIASTTTCRGR</t>
  </si>
  <si>
    <t>GMIDETKKYVEENFPGAKVRYGDTDSVMVEFDVGDRKGVDAVKYSWEVGERAAEECSALF</t>
  </si>
  <si>
    <t>KKPNNLELEKVYWPYFLYSKKRYAAKLWTKGKDDQMHMDYIDIKGLQVVRRDNTPHVREV</t>
  </si>
  <si>
    <t>CKELLDVVLTSSDPGPPRELAKERAIELLSGDVPHEKLILSQSLSDTYKVDGKNVSITSP</t>
  </si>
  <si>
    <t>ESVNINQAHVQVVVKMRERKPGSEPQSGDRVPYLLTKTGDPKARAFEKSEDPKFVEEHDI</t>
  </si>
  <si>
    <t>PVDYHYYFQNKFLNPVCDLLEPLFENTKQEIFGEIIDQHKPPKKKKEPSLTGMKKEQLIE</t>
  </si>
  <si>
    <t>ECKKLNLDDTGKVLDLRERIKEHRIKKSVSVEDVFKNYEL</t>
  </si>
  <si>
    <t xml:space="preserve">&gt;Emiliania_huxleyi_virus_202@AET42621.1 AET42621.1 DNA-directed DNA polymerase [Emiliania huxleyi virus 202] </t>
  </si>
  <si>
    <t>MTIHGRYGLRAQPPNEYVSTELNIQLMSIEVEDLPIETTLDEDYDETVIASDKFISTLPA</t>
  </si>
  <si>
    <t>ENAHEYVKRKAVAYLFGAEEHTGASVCVKVDKFRPVLYYHTSESVSTLKNKIGESLNLKG</t>
  </si>
  <si>
    <t>DIDAKVIKRKRTYGFHPDKENSTSHEQIRIVEVSFPSVSKMKAACYRSGDKEPLETRLPK</t>
  </si>
  <si>
    <t>PWEQGVDPGSMFMERNGLTPCGWFKMKACKTVTKHKVSHCTMEFEVSNPKNIEPVDLDKI</t>
  </si>
  <si>
    <t>APILIASYDFEMYSESRGFPMADKQGDHIAIIGVAFWRLGTSVEDATTVLLCLNDCAPVE</t>
  </si>
  <si>
    <t>NAHVECYKTEADLYNAFRDLITVHSDADVCTGYNIFGFDNEYITTRAKMCKASRFAYNGR</t>
  </si>
  <si>
    <t>FITVKTESQAKELESSALGQNRMFPIEWKGRCNFDLFNFIKSNHKLSLYGLGPVSQHFIG</t>
  </si>
  <si>
    <t>ENKVDLPYQEMFDCVRPGATPEEVARAAAYCMGDVLLPIRLMRALQVMPGMVEMSRVTYT</t>
  </si>
  <si>
    <t>TINQLVFRGQSIKVMQQITRYSHQLGHVVNPVPRPINTSGYEGAIVIDAKSGFYTDPVAT</t>
  </si>
  <si>
    <t>LDFASLYPSIMLAHNLCYSTFVEKGTPRVEGVEYETHKISPTEEYTFALNVPGVLTHMLK</t>
  </si>
  <si>
    <t>HLLGARKKAKKQMAAAKTPEEKAIYNARQLALKISCNSIYGFCGAEKLGKYPLGAIAKCT</t>
  </si>
  <si>
    <t>TFNGRKMINKTSEMAIELFKPWIAEIIYGDTDSVFVRIRDKDGRELTPAEVFKVGEYVAQ</t>
  </si>
  <si>
    <t>KISDSFREDIELEMEKVYSGFLLITKKRYFGGMYEPNKAGDVVFSKVDAKGVELVRRDNC</t>
  </si>
  <si>
    <t>QLLKSLYKKIVDSLVFDKDPLKALAAVKEALDRVVNDEVPYEEYIITKELRKEESYANPK</t>
  </si>
  <si>
    <t>QEQVVLAKKISARTNGGVTPQPGDRIPFVIRYDKHAKHICERAEDLDYLRENDIPLDRLY</t>
  </si>
  <si>
    <t>YITNKISKPVLTIFQAFKEHIHDVQRTIQDAMSKVQLQLDKQPTITSFFNKLPPLPTINI</t>
  </si>
  <si>
    <t>DEEDEHDHGLTWDDDGTHVTDMDIEPSAPTPPKKGFKRPAPPTHNKNLLARKKLRH</t>
  </si>
  <si>
    <t xml:space="preserve">&gt;Ostreococcus_tauri_virus_2@YP_004063640.1 YP_004063640.1 DNA polymerase [Ostreococcus tauri virus 2] </t>
  </si>
  <si>
    <t>MVVFQALTWESRDTDDEHLISIFGKTEEGKSVCLTTAFTPYFFIKLPENITAPKIQRIYN</t>
  </si>
  <si>
    <t>ILDEKCKDSLVAYSVMKSKDVWGFQNNEEFAYMKVNFKHLQARRLVDSFLRKPLDRTPEL</t>
  </si>
  <si>
    <t>FDIFGVRNVKVYESNLDPVLRLMHRTGIQSTGWLDTGDKCIRSHLARVDLDLFCNDWTTL</t>
  </si>
  <si>
    <t>KPVVRDDIAPFVVASVDIECNSSTGKFPDANVPGDACFQIAISLCKFGSDEPYDKTCLCY</t>
  </si>
  <si>
    <t>KKTDPNLEGSNILSYDTEREMLEAFQKYLHKSDVDIITGWNIFGFDMEYIYKRAQVNRCH</t>
  </si>
  <si>
    <t>YEFFNLGKLRDTESELVIKKLSSSALGDNLLKLLPMSGRFIFDMFHEVKKGYKLDSYKLD</t>
  </si>
  <si>
    <t>SVSKLYLGDQKIDMAPKEMFARYNEGDPVKLREVAEYCIKDTLLPHRLMKKLCTLLNMVE</t>
  </si>
  <si>
    <t>AYYTPITALDFEALYPSIMMAHNLCYSSYVMDEKKYGAVPGITYETFKVGDRTYKFAQDV</t>
  </si>
  <si>
    <t>PSLLPAILLELKQFRKQAKRDMAAATGFMKEVYNGKQLAYKISMNSVYGFTGAGKGILPC</t>
  </si>
  <si>
    <t>VPIASTTTCKGRAMIEETKNYVEKNFPGAKVRYGDTDSVMVEFDVGDRKGEDAIAYSWEV</t>
  </si>
  <si>
    <t>GERAAEECSALFKKPNNLELEKVYWPYFLYSKKRYAAKLWTQGKDGKMHMDYIDIKGLQV</t>
  </si>
  <si>
    <t>VRRDNTPHVREVCKELLDVVLTSSDPGPPKELAKERAIELLSGDVPNHKLILSQGLSDTY</t>
  </si>
  <si>
    <t>KVGGKNVSVTSKESVNINQSHVQVVTKMRQRKPGSEPQSGDRVPYLLTKTQDSKAKAYEK</t>
  </si>
  <si>
    <t>AEDPKYVEEHGVPVDYHYYFLNKFLNPVCDLLDPLFENVKDEIFGEIINQHKPPKPKREP</t>
  </si>
  <si>
    <t>ALSTMKKDDLIAECKRLSLDETGTLAVLRARLKEARQGSVEDLFKKYELTQSKNESSRED</t>
  </si>
  <si>
    <t>HADS</t>
  </si>
  <si>
    <t xml:space="preserve">&gt;Mollivirus_sibericum@YP_009165284.1 YP_009165284.1 B-family DNA polymerase [Mollivirus sibericum] </t>
  </si>
  <si>
    <t>MEAGPPTPTRHIGDKAKIMSGWRQIRNTVADIPATLTVQLLDVIVATQRDVGLGVEYYNY</t>
  </si>
  <si>
    <t>KDHLRSTRRYSHSPLAAGLKPWEGEGNIYDRLNRNVAYLICVDAEGRTVNVRVTDPVFKC</t>
  </si>
  <si>
    <t>YVQCPDAWTLDEDMEDMVRWVERQQKLPPGSISCEATKSQQYCGFVPESDTQLDRAKTWN</t>
  </si>
  <si>
    <t>YCAMGFPSLCHMQNAKHLLTQTRNPRRAYPSAPREGLKVHEADTFSIGGVHKLLDDINIL</t>
  </si>
  <si>
    <t>PSSWITISQWDVPERYYTHSQIEVEAHRCDIKPAEGKITERVAKMWKAAWDVEAHSTVAR</t>
  </si>
  <si>
    <t>RFPNPDLVDNVTICINTCVSQHDREADKDGVVNKCHYNVSGPNADRRINRKRADEIRALV</t>
  </si>
  <si>
    <t>RAKSPDIDLSLYNDELVMLEDWSDFIAIHVQPSMLEGYYVTKFDMRWVAKRATLLVLNKA</t>
  </si>
  <si>
    <t>RAMRQKRPRRNYLDDDEDALDEASLLEATERDAYRCTRVFRMGCFFGWYGRLGSSSLSSS</t>
  </si>
  <si>
    <t>ARGDNELFTYPTPGRPHVDMLYQIAFNYKLSSYALSAVSEHFFRDKDGNVPEIMTKIDLK</t>
  </si>
  <si>
    <t>AARMFELYKQGHDDGLLQIVDYCARDAVLVIMLEEKLMMMVELIEMSKVSTTTIDDILTR</t>
  </si>
  <si>
    <t>GQTAKGVNRLAWECHRMETHIVVNVEDATARRKEDKQRQEAEERARAYSEKPAKPKAVQM</t>
  </si>
  <si>
    <t>TLDQALMGSAGRKRSRDGLIQVNDKSITAETKSGRINQGIKDRGGGGGEKEEKEEEEEEP</t>
  </si>
  <si>
    <t>TKSKKKQKRYGGGYVLDPIRGFYDSFIPTEDFNSLYPSIIQRSNYCYSTYVVQERYRRLL</t>
  </si>
  <si>
    <t>RAACTYDITPPMPGAGEDEVTYLSNMPREVWEPRGYNVPKPPGLVAIKIVRHPDMDNIED</t>
  </si>
  <si>
    <t>MFVLHIKGAIPILLGTLKTSRAAVRKDMGIMEESKLENTPRYAILNRRQNNIKVFGNSVY</t>
  </si>
  <si>
    <t>GINGGQSKLACMALARSVTADGRNLIKTTRYYVENHMVHYVHGTPQCEVYFHKNFMALPE</t>
  </si>
  <si>
    <t>PDPVTGAYAAADVWNCEPLAAYRTPDDGLEGCELEVVPSSQVKPWDEVVEPCLRLATDRK</t>
  </si>
  <si>
    <t>TGAKFVDALILPISAIYDPEKRARLHPGLVALLERLVAVVASARVIYGDTDSVMIQFLGP</t>
  </si>
  <si>
    <t>DGVRGASLDYLSRCFQFAISKHIARYITSKFNSPDLTLGWEKVYYPYNLLGKKKYVGVQW</t>
  </si>
  <si>
    <t>LVPCEPKSDQDNKGVVAKRRDTWKGMRNTFKKCATAIMRPGKQYDTVTVPVVDDGGMTRT</t>
  </si>
  <si>
    <t>VEIFLPMEELSHLLAKVVVDELDVPDYETSKSLKAKYNRKKARPPHVVVRDKIAQRTQGG</t>
  </si>
  <si>
    <t>EPQSGSRVPYVTIIDPKARSVSEQAEDTEWVVQHKGTIKIDRAYYVRSLIRAFGQLLGTL</t>
  </si>
  <si>
    <t>YDGIEIYIERAAELCEQTAAGQSVMFSESGMASKGKGRVFALTRQEALARLRLFSCVVTA</t>
  </si>
  <si>
    <t>RDQTKPYIPFEERAKTLKKAKAEEIKSKMVSLESTFTEHVSEHKFTPMKRKITLDIGAQQ</t>
  </si>
  <si>
    <t>PNAEGSGKNKRPVKKPRGSSSTGVAATASKASSRKRPSTTTKTSARSNVKDKKVQKLLEM</t>
  </si>
  <si>
    <t>CDVQRSANLVNMADFVSGPAARDTEEPAPKRAKRATLASVALGQPANKKTRVAAKPGLDL</t>
  </si>
  <si>
    <t>EAM</t>
  </si>
  <si>
    <t xml:space="preserve">&gt;Pandoravirus_quercus@YP_009482957.1 YP_009482957.1 DNA polymerase type-B [Pandoravirus quercus] </t>
  </si>
  <si>
    <t>MSTVTTATPTGGTGPMACERAPCTTEVPMVDLGERAKIMSGLFGVRETVTHVPARLRVQL</t>
  </si>
  <si>
    <t>FDPLVRDANGSRDRRQIEDAGQPVHKYHHAQHRESRQFDGILADGTLIKAPGADNDAEEE</t>
  </si>
  <si>
    <t>PDDDDGWHDEGQRRERTPPADTLLLLNGVDGEGRTVCVSVKGMRYVIYVLCPAAWTIVHM</t>
  </si>
  <si>
    <t>QALAATIEGYYGIHRGGVTYQQMPLHHMLGWEPETNDLTRTKRHNYCVLGFGSARVMEWA</t>
  </si>
  <si>
    <t>ANAIDGREAKLCRRLREPLNEKDMRSLQVYERRVDPVHKALERLGGLQPCSWFDVGRWHK</t>
  </si>
  <si>
    <t>PDLYHTHAQIEVEAYVRDIVPRPEIDVMAPVWKASWDVECYSRDGSFPRADHPRGCDHTI</t>
  </si>
  <si>
    <t>CINTYFSQHRSDGRPPRVIQTSHHFGAVRVHRPVDAERDRVDDPRQRERWGVLEMDRDGT</t>
  </si>
  <si>
    <t>DPMATEALDAQQQQHQRQARSHHEVYVMQCATELEAIEGWRDLIVLDVQPSVVEGYNTDA</t>
  </si>
  <si>
    <t>FDFGWLGVRAERCARYGVRSRLFEAGVLIGEHTPMRRKDLDSAAKGSNTLNFIPMPGRIL</t>
  </si>
  <si>
    <t>VDMYHIVKAEKRLESYTLDDVCRSIFPKDESLRKIDVPPEEIFDHYASGDLDRRAVVVEY</t>
  </si>
  <si>
    <t>CARDCRLPLALEEHLMTLTGVVEMARITRTPLPLMLISGQQVKTWSQIVYEAHTMGYVVN</t>
  </si>
  <si>
    <t>APEGRDRGGGGTRDWLRGAYGVGDHGVGDQWLPGVIAMASIRAGGGNADGHQMPQDGGKV</t>
  </si>
  <si>
    <t>AGGPEAADAEGYTGATVLQPRAGYYDVPIVTLDYQSLYPSIMEANNLCPSTRVTSPPIHK</t>
  </si>
  <si>
    <t>ELVRHCREVREPASEVLRADGAGQDASALNRVFASRRDWLPGQFAVDTDRPGIQRTVAYR</t>
  </si>
  <si>
    <t>EVTPATGRTHVFVQHVQGVVPRILTALKNQRKRVRADQKAYEKGTALWGVYENRQLGIKI</t>
  </si>
  <si>
    <t>TANSVYGFLGAVKRGRMPCVEVSESVTCIGRDMINATKAYVETHLSRYVGGLLDDPALVA</t>
  </si>
  <si>
    <t>AAAERKRAKERLDADHANDDHSAVTPPPPKDDRSDREKNRDALLDALAAAGISPCDITGA</t>
  </si>
  <si>
    <t>TVVYGDTDSVMIKFHGVPKTREGVEVALQLGVAASDYITTKFPDQIILDTEKAYWPYVLF</t>
  </si>
  <si>
    <t>RKKRYAGRMWTLDGKPPYIDAKGVEVKRRDNWAGLRKTYKACLEAMMERMDIDAVKDIVL</t>
  </si>
  <si>
    <t>RLVCDLKGDRVSLDDYKISKSLKRDYSKCKSPPPHVVVRDKIARRNPGSEPLAGNRVYFV</t>
  </si>
  <si>
    <t>ITVDDRLKKKSARAEDPAYVAANPRLARIDRLYYLDSLKNPFGALLEPCFDNPEQLFADA</t>
  </si>
  <si>
    <t>AVFIANQQKGQAPITQWMGGKRAAVPTTEADVEAAEARERALIAARVKRRCNDQTYVPAA</t>
  </si>
  <si>
    <t>VLKQQKTEARKIARKAPPPKSGPLTAFVKKRPAA</t>
  </si>
  <si>
    <t xml:space="preserve">&gt;Pandoravirus_dulcis@YP_008318996.2 YP_008318996.2 DNA polymerase type-B [Pandoravirus dulcis] </t>
  </si>
  <si>
    <t>MTTPMALTTAIPVGPTAGATMRERPRPPRDTAVEAPTVDLGARAKTMSGLFGVRETVTHV</t>
  </si>
  <si>
    <t>PAQLRVQLLDPLVRDANGSRDRRQIEDAAQPVAYYHHGEHRESRQFDGFLDDGTLVSAPG</t>
  </si>
  <si>
    <t>DAMAETDGDDNGDDGWHDEGERRERTPPADTLLLLNGVDGEGRTVCVSVKGMRYAIYVLC</t>
  </si>
  <si>
    <t>PATWGVEHMQALAATVEGYYGIRRGGVTYQQRALHHMLGWEPETNDLTRTKRHNYCVLGF</t>
  </si>
  <si>
    <t>GSARVMEWAANAIHGGGNGKLCSRVRLPLTERDMRSLQVYERRVDPVHKALERLGGLQPC</t>
  </si>
  <si>
    <t>SWFDVRRWRVPELYHTHAQIEVEVDARDIVPRPEIDVMAPVWKASWDVECYSRDGSFPRA</t>
  </si>
  <si>
    <t>DHPRGCDHTICINTYFSQHRSDGRPPRVVQTSHHFGAVRVHRPVEAERDRVDDPKQRERW</t>
  </si>
  <si>
    <t>GVREMDLTSAGRPEATATTAGHMVDAEEEPSQREVYVMQCATELEAIEGWRDLIVLDVQP</t>
  </si>
  <si>
    <t>SVVEGYNTDAFDFGWLGVRAERCARYGVRSRLFEAGVLIGEHTPMRRKDLDSAAKGSNTL</t>
  </si>
  <si>
    <t>NFIPMPGRILVDMYHIVKAEKRLESYTLDDVCRAIFPKDESLRKIDVPPEEIFEHYASGD</t>
  </si>
  <si>
    <t>LDRRAIVVEYCARDCRLPLALEEHLMTLTGVVEMARITRTPLPLMLISGQQVKTWSQIVY</t>
  </si>
  <si>
    <t>EAHTMGYVVNAPENRDADGGTRDWLRGAYGAGDHGGVGDAWLPGVIAMASIRAGGGNADG</t>
  </si>
  <si>
    <t>HAVPTAGGKVTGVAADAEGYVGATVLQPRAGYYDVPIVTLDYQSLYPSIMEANNLCPSTR</t>
  </si>
  <si>
    <t>VTSRTVHAQLARHCREVREPVSEVLRADGAGQDDGALNRVFASRRDWLPGQFAVDTDRPG</t>
  </si>
  <si>
    <t>VPRTVAYREVSPAPSRTHVFVQHVQGVVPRILTALKNQRKKVRADQKAYEKGTALWGVYE</t>
  </si>
  <si>
    <t>NRQLGIKITANCFPADDHEILTETGFMNYAAVVEHFKHHARLSVACYVDGQLQYHDIAES</t>
  </si>
  <si>
    <t>NVVANTGDHRLVQFEAGSSTGKRATTNGVSLCCTDNHRIYARVGSTWGNRIWRRKGTESQ</t>
  </si>
  <si>
    <t>ESAAPPFTIQSAGDILAAGTRDPSTVVQFTAACSKGVALDGDDLPFAATLGLHTEDQIDA</t>
  </si>
  <si>
    <t>FVELYGYWLGDGWLDVSCQAIAFSPVKTADSAYLAALFARLPLPVLTEDTRGPGAIGAFI</t>
  </si>
  <si>
    <t>TPKPSEARQRARYSAWAKPHRHYIYTPSWWRYFAEQYGHKYSGAALEHVMQEALRSGSDL</t>
  </si>
  <si>
    <t>PARRPDAKPLAGKARALATLSPVRDSRPSGACAAQRNYIARRNKLTARYDAMFAANTGKR</t>
  </si>
  <si>
    <t>RTTPDAEEVRSAKWMWSWVWRRLHPGRLRLLLRGLRIADGDMAGGDRGGGAIYTTSRRFA</t>
  </si>
  <si>
    <t>EEVVRVAIHAGYTAMIQPRCAAGAVTSLNQKGVPIVATTQNWVVNYSDFTREAQPKITVA</t>
  </si>
  <si>
    <t>TQMSSAPYHGTVWCVNVPVEPHLIVVRRIVQRHGVSVPSRAVVVGNSVYGFLGAVKRGRM</t>
  </si>
  <si>
    <t>PCVEVSESVTCIGRDMINATKAYVETHLPRYVGGLLDDPALVAAAAERQRAKERLDAGHA</t>
  </si>
  <si>
    <t>TADLSAVTLSPPKDDRSDREKNREALLDALAAAGVTPCDITGATVVYGDTDSVMIHFHGV</t>
  </si>
  <si>
    <t>PKTREGVEVALQLGVAASDYITTKFPDQIILDTEKAYWPYVLFRKKRYVGRMWTLEGKPP</t>
  </si>
  <si>
    <t>YIDAKGVEVKRRDNWAGMRKTYKACLEAMMERMDINAVKDIVLRLVCDLKGDRVSLDDYK</t>
  </si>
  <si>
    <t>ISKSLKRDYSKCKSPPPHVVVRDKIARRNPGSEPLAGNRVYFVITIDERLKKKSARAEDP</t>
  </si>
  <si>
    <t>AYVAANPRLARIDRLYYLQSLANPFGALLEPCFENPQQLFADAAVFIANQQRGQAPITQW</t>
  </si>
  <si>
    <t>MGGKRAAVAPTCEADIEAAEARERAQIAARVKRRCTDQTYVPAAVLKQQKTEARKAARKA</t>
  </si>
  <si>
    <t>PPPKTGPLTAFVKKRPAA</t>
  </si>
  <si>
    <t xml:space="preserve">&gt;Yellowstone_lake_phycodnavirus_2@YP_009174598.1 YP_009174598.1 putative DNA polymerase [Yellowstone lake phycodnavirus 2] </t>
  </si>
  <si>
    <t>MQSQAVAWEGDDVDDRYIVRIYGRCEDGRSICVSTPFEPYFFIKIRPSHKFAVLKNALSR</t>
  </si>
  <si>
    <t>HFYDLTEIQEILAKDLWGFRNGLRERFVKLTFKTIKSMRICAAMIDRMKERDDRWEDLKA</t>
  </si>
  <si>
    <t>FGQLKIYESNMDPVLRFMHVSGVRSTGWFEVAGGTPDYSTSCNVNLWVEDYKNITPVDRD</t>
  </si>
  <si>
    <t>DVAPLRVMSFDIECYSSTGEFPNPNTTRDVVFQIGMTTRTFGSDEPMVRKCLCLKQTDAA</t>
  </si>
  <si>
    <t>DCESFETERALLERFEKYLTEVDPDIMTGWNIFGFDLEYLQVRSVLCGLAPTWGRFKDSP</t>
  </si>
  <si>
    <t>IELVTKNLSSSALGNNLLKLVPMRGRYVFDFFQDVKREHKLESYSLNNVSKHFLKDQKND</t>
  </si>
  <si>
    <t>MPVKEIFSRFAEGDPKRLGEVAEYCIQDTVLPHKLLDKLCQLQNQIEMAKACWVPLSFLS</t>
  </si>
  <si>
    <t>ERGQQIKVFSQMAYKARQLGFIIPVFKKPLVSGPDDGYQGATVLDAQTGAYYGPITALDF</t>
  </si>
  <si>
    <t>ASLYPSIMCAHNLCYSSMVMDPQFDNLEGVEYEQFGQFRFAQNVPSLLPVILTDLKAFRK</t>
  </si>
  <si>
    <t>KAKKLMAAAEGTPMEAVYNGQQLAYKISMNSIYGFTGASKGMLPLVAIASTVTMRGRQMI</t>
  </si>
  <si>
    <t>EETKNYVEANFPGAHVRYGDTDSVMVEFDVQGRKGQEAIDYSWQQGEQAAEQCTKLFKAP</t>
  </si>
  <si>
    <t>NDLELEKVYCPYFLYSKKRYAAKMYEKGRDGAVVFKKIDVKGLQVVRRDSCPYVRETLKK</t>
  </si>
  <si>
    <t>LLEMILESDDPRPPVEFAKQAAKALTNGEVPTDKLLMSKQLAANYKVRMPHVEVRDKIRK</t>
  </si>
  <si>
    <t>RAPGSEPQQGDRVAFVIVEGPKNAKMFEKAEDPEWVLEKKIKIDYQYYFTNQLKKPVCDL</t>
  </si>
  <si>
    <t>LEPLLGRDTEKLIFQPKVRTITQFFTPK</t>
  </si>
  <si>
    <t xml:space="preserve">&gt;Marseillevirus_LCMAC201@QBK87527.1 QBK87527.1 DNA polymerase elongation subunit family B [Marseillevirus LCMAC201] </t>
  </si>
  <si>
    <t>MEATLQKSVTFQAIKWEVDESDENVTIHIHGLNRQNKRVTVKIPDFKPYVYLELDPKIKW</t>
  </si>
  <si>
    <t>TEGRLELLRAFLRKCLHINFPVKNRLVERKKNYYLKPGKFLWMAFNNSAGIRALERAVRG</t>
  </si>
  <si>
    <t>QFILYGVGNIHLKVHEQRANPILKLFAMRKIKPAGWIVAKRTTKKQLLEEYDDVFSCADI</t>
  </si>
  <si>
    <t>EMVSGFSDISAAKGVSHVTNPLIVSYDIECVSGDATGNTFPNASRRTDQIICISATVAYF</t>
  </si>
  <si>
    <t>KDEVTEWKTYSLVNEADDKTCPHILEDGAEVRHFKNEKALLLGWSDFINEINPDVITGYN</t>
  </si>
  <si>
    <t>TLSFDDNYMSERANAKLCWPKFSKMGRLIGQRSKTEERNWSSSAYGAQKFNFIDIPGRLH</t>
  </si>
  <si>
    <t>IDMYPVIFKDYGSLMSYTLNDVSEYFLGDKKIDLLADEMIRMWHRGGEDNIRKIVTYCNK</t>
  </si>
  <si>
    <t>DSYLPLKLMKKLNTWLGLGEMANVMMVSIFDLVTRGQQIRVFSQVYCLCFDLGVVCTERW</t>
  </si>
  <si>
    <t>ADYHPPDEEKKVAGATVQNPMAGYHQLVLTYDFKSLYPTTIIAYNLCFSTFVPPDENPPK</t>
  </si>
  <si>
    <t>DQYHDLQFVVHFGCEHDTAVRKSKVPKVKIICGEYHYRFYKANVKKGIVPMLLEQLLEAR</t>
  </si>
  <si>
    <t>ANTRKEISALGKRLKEKGLSKPEEAQIIMLMDVLDKRQLGYKTSANSVSGNTPVPCMISG</t>
  </si>
  <si>
    <t>SFEYRTMEELACKWINDDNGNQVSRSEADKVLVWSDNGWTPIKYVIRHPIKKPLLRVLTH</t>
  </si>
  <si>
    <t>TGLVDCTEEHSLLSNLGKQVKPIELDLGDKLLHVDIPVPKDTPESPLYTSLSDQDIEGYA</t>
  </si>
  <si>
    <t>LQSEEELAFAHGLFYAEGSCAVSWYICNQNYKLLERACKYLNKHEQCGFKVYNNRLSKVY</t>
  </si>
  <si>
    <t>YLRVIDMLKSSVTRYRNLFYDTRKNKRIPQYIFNASYKIRLAFFLGYYAGDRNRHLENPQ</t>
  </si>
  <si>
    <t>DFLRRKGIVIVNNGLIGSAGLCYLMKTLGYKVSISYSQIPEKLDHIRLQCCTAFRNKQTD</t>
  </si>
  <si>
    <t>SIKRMETNERSEASRIEYIYDIETESHHFAAGVGNMIVHNSMYGGFGSDYSYTPFYPAAQ</t>
  </si>
  <si>
    <t>CTTAMGRKSIKEAIDFAMEYRPDTVLVYGDSVTQDTPILLRDPNGQVVIKQISLLAIEQD</t>
  </si>
  <si>
    <t>WDVYGDFKPSFIEPINSSIEYHVAEDGGEALLAARHMFNGDKRWSKERKQLSGWEAWTES</t>
  </si>
  <si>
    <t>GWSEIKQVIRHKTTKKIYRVTTHTGTVDVTQDHSLLTDTGEQIKPVNVKVGDKLLHSSPE</t>
  </si>
  <si>
    <t>RGLSRQIYFTSIVSNKLEAAEEWLRRKRAGYTTYLRHDGDIILYGDGLARNNTEVVSINC</t>
  </si>
  <si>
    <t>LGDAEDYVYDLETESGRYQAGVGDIIVKNTDSCMLKFSTVNNLEECFEIGKEIEDVINAI</t>
  </si>
  <si>
    <t>FPKPMYLELEKIYSKYFLLSKKRYVGYIVDREGNITTVDKKGVVIKRRDNCGYLREIYSQ</t>
  </si>
  <si>
    <t>LIDMVMDKEPRWKMYEYLQIMIDSLLDGNVELEQLVITKSIKDNYKTQNLPHVVVAQKMR</t>
  </si>
  <si>
    <t>DRGKYVASGTRIRYIFTETEKYTDPQYKRVEDPDYYLQNQDTIKIDYLYYLEKQLINPLD</t>
  </si>
  <si>
    <t>EIMEVKFGIEHVLKNLFRLIRKGIIKNSSRYFCPRFKVVD</t>
  </si>
  <si>
    <t xml:space="preserve">&gt;Marseillevirus_LCMAC202@QBK88203.1 QBK88203.1 DNA polymerase elongation subunit family B [Marseillevirus LCMAC202] </t>
  </si>
  <si>
    <t>MVNNFELNDKGEMSQKSVTFQAIKWEVAESDEGVTIYIHGLNRQNKRVTVKIPDFKPYVY</t>
  </si>
  <si>
    <t>LELDPKIKWTEARLELLRAFLRKSLHINFPAKNRLVERKKNYYYKSGKFLWMAFNTTIGI</t>
  </si>
  <si>
    <t>RALERAVRGQFTLYGVGTIHLKVHEQRASPILKLFAMRKIKPAGWIVAKRTKKQQLLEEY</t>
  </si>
  <si>
    <t>NDTFSSADIEMVSSFSDISVAKGVSHVTNPLIVSYDIECVSGDATGNTFPNPTRRTDQII</t>
  </si>
  <si>
    <t>CISATVANFQDEETEWKSYALVNEIDGKICPHKLEDGAEVRHFKNEKALLLGWTDFINEI</t>
  </si>
  <si>
    <t>DPDVITGYNTLSFDDNYMSERANARLCWPKFSKMGRLIGQRSKTEERRWSSSAYGDQRFN</t>
  </si>
  <si>
    <t>FIDIPGRLHIDMYPVIFKDYGNLMSYTLDYVSEYFLDDHKIDLPAKEMIQKWHRGEEDDI</t>
  </si>
  <si>
    <t>REIVTYCNKDTWLPLKLMKKLNTWLGLTEMSNVMMVPIFDLITRGQQIRMFSQVYCLCFD</t>
  </si>
  <si>
    <t>LGVVCTERWTDYHPTDDEKKLAGATVQDPMTGYHELVATYDFCLAGNTQVSLSNGTSKRI</t>
  </si>
  <si>
    <t>DEMYDDYNVLGYDNLGFRGYAMVGGLQEKGAKDTVNLTLQYGNTITCTPDHQLLTSDRRW</t>
  </si>
  <si>
    <t>VKAQQLKGSEIICGIEYPQDTTCPLEENWSLHVGDREFNLLSNRDETLAFCRLLGYILAD</t>
  </si>
  <si>
    <t>GSIYTSNNRKCVEIYFGTFFDANTVHADLELLTNVKVTTRLRKGNNCQDSDRKGHTYCIT</t>
  </si>
  <si>
    <t>LAANLAKLVHQLDGIVIGKRATQAMYLPKFIVDPQCPLAVLREFLGGLFGGDGIIPSLSD</t>
  </si>
  <si>
    <t>NTFTMVSFKWTTTEKYLEEMSALFEQLENLLSRFNISCGKISRTKVKYTNHSIKPVDYQE</t>
  </si>
  <si>
    <t>NPRYNYLLRINKNSCYDFVNKIGFRYCINKAYKAYIVALYYNYCNLVRKQHKTVIDRANK</t>
  </si>
  <si>
    <t>LFKGGDDRSCKNSLEIAREEFLENNVPLHEFVLSSVKDLNYMRGEEKRRTNHRISIRYKK</t>
  </si>
  <si>
    <t>NFPKPHDFLNDLGIKDWFNPGAYIMRHDSVVLPSFKQKIVNVKSAGIQNVYDIQVDDCHN</t>
  </si>
  <si>
    <t>FVANGIVAHNCSLYPTTIIAYNLCFSTFVPPDENPPEDQYHDLRFAVHFGCLHDTAVRKT</t>
  </si>
  <si>
    <t>KVPKAKIICGEYHYRFYKATVKKGIVPMLLEHLLEARANTRKEIAVLAKRLKEEGLSDAE</t>
  </si>
  <si>
    <t>EKQIKLMIGVLDKRQLGYKTASNSMYGGYGSDFSYTPFYPAAQSTTAMGRKSIKDAIDFA</t>
  </si>
  <si>
    <t>KEYRPDTILVYGDSVTQDTPVLLRNPAGQVTIQQISLLAAEQEWDVYRDFKPSFTEPINS</t>
  </si>
  <si>
    <t>SIEYHVAEDGGEALLAARHMFNSNKRWSKERKVLEGWQVWTDSGWSPIKQVIRHKTVKKI</t>
  </si>
  <si>
    <t>YRVTTHTGTVDVTQDHSLLSDTGEQIKPVNLKIGDQLLHNYPYNSTRQIYFTSGPSNKLD</t>
  </si>
  <si>
    <t>AAEEWLRRKRAGYETYIRHEAGAVILYYDGLSRKNAEIISIRCLGTADDYVYDLETESGR</t>
  </si>
  <si>
    <t>FQAGIGEMIVKNTDSCMLKFSNVHKLKECFELCKEMEKVINAIFPKPMYLELEKIYSKYF</t>
  </si>
  <si>
    <t>LLSKKRYVGYIVDLEGNIIEIDKKGVVIKRRDNCAYLREIYSQIIDMVMAKEPRWKMFEY</t>
  </si>
  <si>
    <t>LRVKIDDLLKGNVDLEKLVITKSIKDTYKTQNLPHVAVAQKMRDRGKYVASGTRIRYIFT</t>
  </si>
  <si>
    <t>KTEKHNDPQYIKADDPDHYLQNQDTMQIDYLYYFEKQLVNPLDEVLKVKFNIENVLKNLL</t>
  </si>
  <si>
    <t>RLIKKGIIQNATQYFHPKFKIEN</t>
  </si>
  <si>
    <t xml:space="preserve">&gt;Paramecium_bursaria_Chlorella_virus_1@NP_048532.2 NP_048532.2 hypothetical protein [Paramecium bursaria Chlorella virus 1] </t>
  </si>
  <si>
    <t>MTDITIFPTDWRAEDVVPDKGESFFRINIFGKTAEGKTVCVQTKFTPYFLLEVPESWSPA</t>
  </si>
  <si>
    <t>RTNLFITETAMKYDAVRPMCLSTKRKNMWGFDGGKMRNMVQFVFKTQAQLRKAKYRLKDQ</t>
  </si>
  <si>
    <t>YQIYESSVDPIIRVFHLRNINPADWIRVSKAYPAQTRISNSDIEVETSFQHLGPVEDKTV</t>
  </si>
  <si>
    <t>PPLVIASWDIETYSKDRKFPLAENPTDYCIQIATTFQKYGEPEPYRRVVVCYKQTAPVEG</t>
  </si>
  <si>
    <t>VEIISCLEESDVMNTWMKILQDEKTDVSIGYNTWQYDLRYVHGRTQMCVDDMTGEDKVKL</t>
  </si>
  <si>
    <t>SNLGRLLSGGGEVVERDLSSNAFGQNKFFLLDMPGVMQIDLLQWFRKNRNLESYSLNNVS</t>
  </si>
  <si>
    <t>KLYLGDQKNDLPAMQIFEKFEGNAEDRAIIAAYAAKDTDLPLKLLKKMAILEDLTEMANA</t>
  </si>
  <si>
    <t>VKVPVDYINFRGQQIRAFSCLVGKARQMNYAIPDDKAWATEGKYEGATVLDAKKGAYFTP</t>
  </si>
  <si>
    <t>IAALDFASLYPSIIRAHNMSPETLVMEKRFENVPGVEYYEIETGLGKFKYAQKNDETGEG</t>
  </si>
  <si>
    <t>QGVVPALLDDLAKFRKLAKKHMAEAKRNGDDFKEALYDAQQRSFKVVMNSVYGFLGASKG</t>
  </si>
  <si>
    <t>FIPCVPIAASVTATGRKMIEHTAKRAVELLPGSEVIYGDTDSVMVKMKLPDDKVHDMDEQ</t>
  </si>
  <si>
    <t>FKMAKWLAGEITKDFRAPNDLEFEKIYYPYILYSKKRYAAVKFEEPDEKGKVDVKGLALV</t>
  </si>
  <si>
    <t>RRDFSPITRDILKESLDTILYKKDTPTAVSETLERIRKVLDNEYPMEKFMMSKTLKTGYK</t>
  </si>
  <si>
    <t>NECQPHLHVANKIYERTGFPVPSGARVPFVYIEDKKNPDIKQSFKAEDPTFAQDNGLIVD</t>
  </si>
  <si>
    <t>RLFYIEHQLLKPICSLFEPLLDDPEKEIFGHRLIKEKIENLKNVFKADLKVAKRVKKNIA</t>
  </si>
  <si>
    <t xml:space="preserve">&gt;Paramecium_bursaria_Chlorella_virus_Can18-4@AGE49692.1 AGE49692.1 DNA polymerase [Paramecium bursaria Chlorella virus Can18-4] </t>
  </si>
  <si>
    <t>MFFVVCPRCIISTKRAYDTKFHNIQYYNLSSDMTSLTVFPTDWRSGDEGEQFRINLFGKT</t>
  </si>
  <si>
    <t>PDGKTACIRIRFTPVFLLELPAAWSPSRQKLFITETAIKYGAIKDMCLPVKKRSMWGFDG</t>
  </si>
  <si>
    <t>GVMRNLAQFAFPTLEKMRKAKYGLKRDYQIYESNVDPIVRLFHIRKINPAGWVQIKQSYP</t>
  </si>
  <si>
    <t>VMTRISRSDIEVDCNFTTVSGSELTTPPPLVIASWDIETYSKERKFPLSSNPTDYVTQIA</t>
  </si>
  <si>
    <t>TSFQRYGEEEPYRRVVVCFKDTGKVDGVEIVSCSEEQDMINAWMTIVSEEKTDVLIGYNV</t>
  </si>
  <si>
    <t>FQYDWKYVSGRAQMLVDDASADDTVFVDTLGRLLEGGGAVVERELASNAFGQNFFYYLDT</t>
  </si>
  <si>
    <t>PGVIQLDLLQWMRKNRNLESYSLNNVSKLYLGDQKDDLPAMKIFEKFEGGPDDRAVIAKY</t>
  </si>
  <si>
    <t>AAQDTLLPLKLLSKLAIFEDITEMANAVKVPVDWIGFRGQQVRAFSCLFGKAREMNYAIP</t>
  </si>
  <si>
    <t>DDKAWAAEGKFEGATVLEPKKGAYFTPIAALDFASLYPSIIRAHNMSPETLVMDARYKNL</t>
  </si>
  <si>
    <t>PGVEYYEIGTGIGTFRYSQQSQGVVPALLDDLAKFRKNAKKLMAAAHKEGDDFKEALYDA</t>
  </si>
  <si>
    <t>SQRSYKVVMNSVYGFLGASKGFLPCVPIAASVTATGRNMIDVASRRAIELLPGSEVIYGD</t>
  </si>
  <si>
    <t>TDSIMVKMKLPEGKNQEDINDHFEVAKWLAGEITKEYRAPNDLEFEKIYYPYILYSKKRY</t>
  </si>
  <si>
    <t>AAIKYEDPEEKGKVDVKGLALVRRDFSPITREILKESLDTILFAKDTPTAVKDTREKIRK</t>
  </si>
  <si>
    <t>VLDNEYPMEKFVMSKTLKTGYKNEMQPHLIVANKIFDRTGFPVPSGARVPFVYVEDKDNI</t>
  </si>
  <si>
    <t>DAKQSMRAEDPKYAMDNGLIVDRLFYINHQLLKPLTSLFEPLVDHPEKELFGHVDVVGKI</t>
  </si>
  <si>
    <t>EALTTRHKAELKDTKRVKKNVANNQREITSFFKPKTLKL</t>
  </si>
  <si>
    <t xml:space="preserve">&gt;Acanthocystis_turfacea_Chlorella_virus_NE-JV-2@AGE56805.1 AGE56805.1 DNA polymerase [Acanthocystis turfacea Chlorella virus NE-JV-2] </t>
  </si>
  <si>
    <t>MTWHLYRHTGYIRTLRHQFCKIIMDIYPVDWRSGDENGQFKITMFGKTVDGKSSCVRIRF</t>
  </si>
  <si>
    <t>TPSFLLEMPDSWSAPRQRLFITETVMKYGAIKDMCLPVQRKSLWGFDNGKTRNMAQFAFP</t>
  </si>
  <si>
    <t>TMEAMRKAKYGLKGNHQVYESSVDPIIRLFHLRKLSPSGWVRVSQSYPAMTRVSRCDIEV</t>
  </si>
  <si>
    <t>ECNFTQVGPSDVVTTPPLVIASWDIETYSRERKFPLASNPDDYVTQIATSFQRYGEAEPF</t>
  </si>
  <si>
    <t>KRVVFCLNDTADVQGVEIVSCSQEADVINAWMDAITKEKTDVLIGYNVFQYDWKYIYGRA</t>
  </si>
  <si>
    <t>QMLVDDATAEETVFPEKLGYLLEDGGKVVERELASNAFGQNFFYYLDTPGVIQLDLLQWF</t>
  </si>
  <si>
    <t>RKNRNLESYSLNNVSKLYLGDQKDDLPAMKIFEKFEGDAEDRAVIAKYAAQDTLLPLKLL</t>
  </si>
  <si>
    <t>SKLAIFEDVAEMANAVKIPMDWVGFRGQQVRAFSCLFGKAREMGYAIPDNKAWPAEGKFE</t>
  </si>
  <si>
    <t>GATVLEPKKGAYFEPIAALDFASLYPSIIRAHNMSPETIVMEPKFANVPGVEYYEIQTGI</t>
  </si>
  <si>
    <t>GKFRYSQKSQGVVPALLDDLAKFRKNAKKLMAQAHKEGDDFKEALYDASQRSYKVVMNSV</t>
  </si>
  <si>
    <t>YGFLGASKGFIPCVPIAASVTATGRNMIDVAARRALELLPGSVVVYGDTDSIMVKMKLPE</t>
  </si>
  <si>
    <t>GKDQNNINDHFEVAKWLAGEITKEYKAPNDLEFEKIYYPYILYSKKRYAAIKFEDPNEKG</t>
  </si>
  <si>
    <t>KVDVKGLALVRRDFSPITRDILKESLDTILFAKDTPTAVKDTREKIRKVLDNEYPMEKFV</t>
  </si>
  <si>
    <t>MSKTLKTGYKNEMQPHLIVANKILERTGVPVPSGARVPFVYVEDDDKIDLKQSMRAEDPT</t>
  </si>
  <si>
    <t>FAQNNGLVVDRLFYIDHQLLKPLVSLFDPLVDDPEKELFGHEDVVEKIEMLKNVHNKQLK</t>
  </si>
  <si>
    <t>VTKRVKKNASNRQHEITSFFKTKGK</t>
  </si>
  <si>
    <t xml:space="preserve">&gt;Dishui_lake_phycodnavirus_1@YP_009465906.1 YP_009465906.1 hypothetical protein DSLPV1_189 [Dishui lake phycodnavirus 1] </t>
  </si>
  <si>
    <t>MVTFQVIAWDDRDEDDKHLISIYGKTEDGKSVCVTTPYTPYFFVKFPSDWSTSDAHVFIQ</t>
  </si>
  <si>
    <t>NLELKCKGALVGHEFVDRKDMWGFQNGELSKFVRLDFPTLKARRLVDWKIRDQFPKVEAF</t>
  </si>
  <si>
    <t>EANLDPVLRFMHETNIQATGWVRAERGTNPSFVAHVDVDLWVDDWRNLESVERDDVAPFV</t>
  </si>
  <si>
    <t>IASVDIEAYSQTHKFPNAQIREDACFQIGVTLCHIGTDTPYDEAIFCYGQTDPVDGVRTE</t>
  </si>
  <si>
    <t>SFTTEAGMLAAFRDYIHEKNVDVVTGWNIFGFDLDYLYTRALMTNCQKFFNLGRRRGFSS</t>
  </si>
  <si>
    <t>KVVEKKLSSSALGDNVLKLLPMPGRFVYDMFQEVKKNYKLDSYSLNNVSLVYLNDSKIDM</t>
  </si>
  <si>
    <t>PAREMFARFERQNPKEMSEVAEYCVKDTVLPHRICKRLCLDVNLLEMAKACWVPLSYLCE</t>
  </si>
  <si>
    <t>RGQQIKVFSQVCKKARELGFLVKTIRSKDDPGSYVGATVLDAQKGAYYKNPITALDFASL</t>
  </si>
  <si>
    <t>YPSIMMAHNICYSTLVMDPQYDNIPGVEYDEFHVAGVTLRYAQKVPSILPSILSDLKQFR</t>
  </si>
  <si>
    <t>KAAKKQMANAEGFMKQVFDGKQLAMKISMNSVYGATGTSVGILPCVFKGCMALAATVTTK</t>
  </si>
  <si>
    <t>GRSMIEETKNYVEANFPGAVVRYGDTDSVMVEFDCQGRTGMDAIEYSWKLGELASSGATK</t>
  </si>
  <si>
    <t>LFRAPNDLELEKIYHPFLLYSKKRYAAKMYEMGKSGNVEFKKVDIKGLSLVRRDTTKHCR</t>
  </si>
  <si>
    <t>SVCRELLDVILNSSDPQPAIDLARARAISLLTGEVPNSELILSQTLSESYKVKGEPVSVT</t>
  </si>
  <si>
    <t>DELASLRINQAHVAVMRKMRERRPGSEPQTGDRVPYLIVRTDDPKAKAFEKSEDPAYVEQ</t>
  </si>
  <si>
    <t>NKLPVDYFHYFENKFSTPVSDLLEPLVEGDAKREIFGEIRGQHRPKTTRERKKKESDPTE</t>
  </si>
  <si>
    <t>REKNAISTLFKNYAASMNK</t>
  </si>
  <si>
    <t xml:space="preserve">&gt;Paramecium_bursaria_Chlorella_virus_NE-JV-1@AGE56179.1 AGE56179.1 DNA polymerase [Paramecium bursaria Chlorella virus NE-JV-1] </t>
  </si>
  <si>
    <t>MIDVFPTDFRSGDENEQFKINLFGKTQDGLTACVRVRFTPVFLLELPESWSDPRKKLFIT</t>
  </si>
  <si>
    <t>ETALKYGAVKDLCLPVKRKSLWGFDGGKERTLAQFAFPSLEKMKKAKYALKRSHQIYESN</t>
  </si>
  <si>
    <t>IDPIVRLFHIRKISPAGWVQIRQSVPATTRISRSDIEIECNFSSLYPSDVTSPPPLVFAS</t>
  </si>
  <si>
    <t>WDIETYSRERKFPLASNPTDYVTQIATSFQRYGETEPFRRVVVCFKDTAEVDGVEIVSCV</t>
  </si>
  <si>
    <t>EEQDVINAWMDIVAEEKTDVLLGYNVFQYDWKYVYGRSQMLVDDSTATETVFLDKLGRLC</t>
  </si>
  <si>
    <t>EGGGSVVQRELTSNAFGQNFFYYLDTPGVIQLDLLQWLRKNRNLDSYSLNNVSKMYLGDQ</t>
  </si>
  <si>
    <t>KDDLPAMQIFEKFEGDADDRAVIAKYAAQDTLLPLKLMTKLAIFEDVTEMANAVNVPVDW</t>
  </si>
  <si>
    <t>INFRGQQVRAFSCLFGKAREMNYAIPDDKAWTTEGKFEGATVLEPKKGAYFEPIAALDFA</t>
  </si>
  <si>
    <t>SLYPSIIRANNMSPETLVMDARYANIPGVEYYEIATGIGTFRYSQKSQGVVPALLDDLAK</t>
  </si>
  <si>
    <t>FRKNAKKLMAIAHKEGDEFKEALYDASQRSYKVVMNSVYGFLGANKGFIPCVPIAASVTA</t>
  </si>
  <si>
    <t>TGRSMIDIAAKRAKELLPGSEIIYGDTDSIMVKMKLPSGKNQNDINDHFEVAKWLAGEIT</t>
  </si>
  <si>
    <t>KEYKAPNDLEFEKIYYPYILFSKKRYAAVKFEDPSEKGKVDVKGIALVRRDFSPITREIL</t>
  </si>
  <si>
    <t>KESLDTILFAQDKELAVTDTRRKIRMVLDNEYPMEKFVMSKTLRTGYKNEMQPHLIVANK</t>
  </si>
  <si>
    <t>IFERTSFPVPSGARVPFVYVEDKNNIDAKQSMRAEDPTFAKDNGLIVDRLFYIEHQLMKP</t>
  </si>
  <si>
    <t>LISLFDPLVENPELELFGHPDVVGKIDALKATHKSDLKDTKRVKKNKANNQREITSFFKP</t>
  </si>
  <si>
    <t xml:space="preserve">&gt;Heterosigma_akashiwo_virus_01@YP_009507574.1 YP_009507574.1 B-family DNA polymerase [Heterosigma akashiwo virus 01] </t>
  </si>
  <si>
    <t>MEIIECQVFSFYPTDFLNNRNFTVFAFGRKEDGSSVGIEIVDFKPFMYLHVPERQQKFWT</t>
  </si>
  <si>
    <t>MNNTEDLRKTLVTEHEIKELRNINTVMKKRLFPYTNKDRELFLMLEFNTEWGIRKCSMSL</t>
  </si>
  <si>
    <t>RENYIYKNFDVYESNISPMLRLMHMREILPSGWVRIKNYDQNNTTKCDTNIRINFMDIIG</t>
  </si>
  <si>
    <t>FERDDIAPCKISSFDIECMSFDAYTQNQSIFPSYERENDTISQIGMATWSYGNNEEVLKR</t>
  </si>
  <si>
    <t>LYTLGNAAEPTDQTIDIIQCDNEGELIIRWFHYIAEIDPDIITGYNIFGFDWEYIKGRVD</t>
  </si>
  <si>
    <t>FLGIEDEILSVASRIDKLKSRFMTKELNSSAFGDNEFKFLEMPGRIEFDFFSYIKREHKL</t>
  </si>
  <si>
    <t>ESYKLDNVAYHFTKQKKHDVKPMDIFIKLMGTPEDVREVAEYCVQDTFLIIELMKKLCVI</t>
  </si>
  <si>
    <t>PNLIEMSKVTRVPFEYLILRGQQIKVFSQIFYEAMKENIVIPTNILKLQGKKDRNEEHEK</t>
  </si>
  <si>
    <t>YTGATVLTANSGCYFDCVSGLDFASLYPSIMIAYNMCYTTLVLNERELPREAKIETIEWE</t>
  </si>
  <si>
    <t>NNRHRFVQNKEGLLPKILKKLWITRKSTKRLMNETENKEMKTILNGKQLAIKVSMNSVYG</t>
  </si>
  <si>
    <t>FCGVMCGILPCVAIASSVTTKGRQMIEHTQNMVKQLYPDAKVIYGDSVTKETPLMLRTME</t>
  </si>
  <si>
    <t>TCGNHKHEVISIENVFTDNMRSIDMYSIIGEKEHVMLSRNEEIWTGENWSRIIRVIRHKT</t>
  </si>
  <si>
    <t>QKKIYGVLTENGYVEVTEDHSLISSDYELLKPKNCIVKETQLLQSFPDIVENSTIENNMI</t>
  </si>
  <si>
    <t>DIPKGQPCRLTVFGQVSAMIIYTYLKRKNYSITLNVCNVNSNKFYISFMERPRFKNTKKN</t>
  </si>
  <si>
    <t>IIKKIFFIRNTDNEEYVYDVETEDGIFHAGIGEIIVKNTDSVYVNFPSTNNDMQKVFDIS</t>
  </si>
  <si>
    <t>IEAAEAISKTFPQPIELEFEKVMYPFILFTKKRYASLIWTRVDKPDKIDFKGIQVVRRDN</t>
  </si>
  <si>
    <t>CSYVRESLTTIYNCLLYERNVDKCLGITDKIIDDLLKGRVPIEKLTVSKSLKSNYKSKTM</t>
  </si>
  <si>
    <t>PHFLLAEKMKQRDPMNYPRPGERVPYVFIENTEARLQGEKAENPEYAKENGLIIDTLYYL</t>
  </si>
  <si>
    <t>DHQMKKPLAELFNIVLGEGKYNLYKNHMGFIKMKKNHQERERLREINRKKGQKELNLKWF</t>
  </si>
  <si>
    <t>SKKK</t>
  </si>
  <si>
    <t xml:space="preserve">&gt;Yellowstone_lake_phycodnavirus_1@YP_009174732.1 YP_009174732.1 putative DNA polymerase [Yellowstone lake phycodnavirus 1] </t>
  </si>
  <si>
    <t>MTTFQAVAWEGSDHEDGKFVIRIYGRQADGKSVALGTTFRPYFYVKLRVQHNFADFAALI</t>
  </si>
  <si>
    <t>RKKFQPTEIKEVRAKDLWGFQNNLLSRFARIEFDTMRQMRFCAYGLRKSDTEFGKLKLYE</t>
  </si>
  <si>
    <t>TNIDPVLRFMHVTGIRSTGWLTCAATEPDYDTTCDINLWAPEHTNIKPVDRDDVAPLKIM</t>
  </si>
  <si>
    <t>SFDIECYSKSGNFPDPMKTEDCVFQIGMTTRKFGSDEPMERKCLCFKNTAGPDAESFDTE</t>
  </si>
  <si>
    <t>KKLLQAFDKYLIKTDPDIITGWNIFGFDLEFLQVRAVKNGLAPTWGRFKDSPIELVTKNL</t>
  </si>
  <si>
    <t>SSSALGNNMLKMVPMRGRYVFDLFQDVKREHKLESYSLNNVSKHFLKDQKNDMPVKEIFS</t>
  </si>
  <si>
    <t>RFAEGDPARLGEVAEYCLKDTELPHKLLDKLCQIQNLVEMAKACWVPLAFLSERGQQIKV</t>
  </si>
  <si>
    <t>FSQMAYKARELNFIIPTFERGPALDDDKYQGATVLDAQTGAYYSPITALDFASLYPSIMC</t>
  </si>
  <si>
    <t>AHNLCYSTLVMDPKFDNLPGVTYEQFGPHRFAQNVPSLLPVILTDLKAYRKKAKKLMAQA</t>
  </si>
  <si>
    <t>EGTPMEAIYNGQQLAYKISMNSIYGFTGASKGMLPLVAIASTVTMRGRQMIEETKTYVEE</t>
  </si>
  <si>
    <t>NFPGAKVRYGDTDSVMVEFDVQGRKGQEAIDYSWQLGEQAAEQCTKLFKAPNDLELEKVY</t>
  </si>
  <si>
    <t>CPYFLYSKKRYAAKMYEKNKLGEIAFKKIDVKGLQVVRRDSCPYVRETLKQLLNMVLESD</t>
  </si>
  <si>
    <t>DPKPAVNFAKQSAKDLKAGLVPIEKLLLSKQLASDYKVKMPHVEVRDKIRARAPGSEPQQ</t>
  </si>
  <si>
    <t>GDRVQFVIVEGRGRMFEKAEDPEWVKTNGLKIDYEYYFGHQLKKPVCDLLEPLVGGDPEK</t>
  </si>
  <si>
    <t>VIFAPKVKTMTDFFSLRPAPKVE</t>
  </si>
  <si>
    <t xml:space="preserve">&gt;Micromonas_pusilla_virus_12T@YP_007676285.1 YP_007676285.1 DNA polymerase [Micromonas pusilla virus 12T] </t>
  </si>
  <si>
    <t>MVVFQALTWEARDEEVPGDDDGPVGEHLISIFGKTEDGKSVCVTTAFEPYLYIKLPEIKY</t>
  </si>
  <si>
    <t>AKEIYAKIKDSCTGYNVVESKDIWGFQNNQKFLFMRVTFSNLALRRKTDYFLKKPMILSN</t>
  </si>
  <si>
    <t>GPFPLRVYESNLDPILRMMHRTGIQSTGWLDTGSDCVYSDLAHVDIDLFCNDWETLKPVK</t>
  </si>
  <si>
    <t>RDDVAPFVVASIDIESNSSTGKFPDADVDGDACFQIAMSLCKMGSDESYDKTCFCFKKTD</t>
  </si>
  <si>
    <t>PHLEGCNIYSYDTELEMLEAFRTYMIKEDIDVMTGWNIFGFDLEYIYKRAIKNECSDSFF</t>
  </si>
  <si>
    <t>NLGKLKKYETYQGPKQKTNGSGMVYKRLSSSALGDNMLKLLPMPGRFIFDLFHEVKKGYK</t>
  </si>
  <si>
    <t>LDSYKLNNVSKLYLGDQKIDMPPREMFARFAEGDPVKLREVAEYCIKDTLLPHRLTKKLC</t>
  </si>
  <si>
    <t>ILLNLLEMAKATWVPISFLVERGQQIKVFSQLTKKARELGFMVPTIRYGALPPEPYEGAT</t>
  </si>
  <si>
    <t>VLEAQGGAYYTPITALDFEALYPSIMMAHNLCYSTFVMDEKRYGNIEGITYEKFELNGRT</t>
  </si>
  <si>
    <t>YKFAQDVPSLLPAILSELKEFRKQAKRDMAAATGFMKEIYNGKQLAYKISMNSIYGFTGA</t>
  </si>
  <si>
    <t>GKGILPCVPIASTTTYKGRSMIEETKNYVEKNFPGAKVRYGDTDSVMVEFDVGGRTGVEA</t>
  </si>
  <si>
    <t>IEYSWEIGERAADECSALFKKPNNLELEKVYHPYFLYSKKRYAAKLWTKGKDGNMNMDYI</t>
  </si>
  <si>
    <t>DIKGLQVVRRDNTKFVREVCKDLLDVVMESSDPEPAKQLALERAINLLEGDVSNEKLVLS</t>
  </si>
  <si>
    <t>QQLGDSYKNNNLSHVKVRDKMRERKPGSEPQSGDRVPYILVKTDNPRAKAYEKAEDPVFI</t>
  </si>
  <si>
    <t>EENNIPIDYHHYFTNKFLNPICDLLEPLVKDPKNEIFGELIAQHKPPPKKREPALSGMKK</t>
  </si>
  <si>
    <t>EQLIEECKKLNLETDGKVADLRQRIKTTREDKVSIDHLFKNYD</t>
  </si>
  <si>
    <t xml:space="preserve">&gt;Sus_barbatus_rhadinovirus_1@AAO46908.2 AAO46908.2 DNA polymerase, partial [Sus barbatus rhadinovirus 1] </t>
  </si>
  <si>
    <t>MEFFNPYIVKKTSKGLDPTPKETFKPTTEFCRLIPCCLKTPHAKGVFSVTSTDPPVYFTG</t>
  </si>
  <si>
    <t>DKEHLIFPNGNTEESFWKQSIHPAPDWGDQCLVFHVYDIIETVYTSDQCSHVPFQFQTDI</t>
  </si>
  <si>
    <t>IPSGTVLKLLGKTQNGASVCVNVFGQMVYFYVRVPSGLNLGYILQQNLQGGFGMHTCKFY</t>
  </si>
  <si>
    <t>TSVEQKKILKEYDPSLHTVHKITLSSSREVSRLVDVLLARGCEVFEANVDATKRFIIDHG</t>
  </si>
  <si>
    <t>FSTFGWYSCNKPIQRVRNRDSRTDMEFDCAVDDIQYNQESKEWPPYTILSFDIECLGERG</t>
  </si>
  <si>
    <t>FPCATQDEDLIIQISCILWTVDSSYPHRNILLTLGTCDPITDTEVYEFPSELDMLFAFFT</t>
  </si>
  <si>
    <t>MLRDMNIDFVTGYNIANFDFPYIIDRATQVYNFQPTEFTKVISGSIFEVHKPKNTGTGFM</t>
  </si>
  <si>
    <t>RAFPKMKMAGIVPIDMYIVCKDKLNLSDYKLNTVAQHCMGSQKEDVTYKEIPPLFRSGSI</t>
  </si>
  <si>
    <t>GRARVGRYCVLDSILVMDLLRYFMTHVEISEIAKLAKIPVRCVLTDGQQIRVFSCLLEAA</t>
  </si>
  <si>
    <t>KQENYILPIPLTKEIGGYKGATVIDPIPGFYNTPILVVDFASLYPSIIQAHNLCYSTLVY</t>
  </si>
  <si>
    <t>DHKLHTHSHLKPGDYETFQLSSGPIHFVRQHKTISLLSKLLKIWLAKRNAIRRELAQCED</t>
  </si>
  <si>
    <t>VTMKTILDKQQLAIKVTCNSVYGFTGVASGIMPCLQIAETVTLQGRTMLESSKAFVETLA</t>
  </si>
  <si>
    <t>PSRLLELTGHSFLCDPDATFRV</t>
  </si>
  <si>
    <t xml:space="preserve">&gt;Yellowstone_lake_phycodnavirus_2@YP_009174650.1 YP_009174650.1 putative DNA polymerase [Yellowstone lake phycodnavirus 2] </t>
  </si>
  <si>
    <t>MTHFQAVAWDGQDQDNDQFTIRIFGRAEDGKSVSLGTKFNPYCFVKTDKDLKSFIKSTFW</t>
  </si>
  <si>
    <t>RNLVSCEVHRGKDLWGFQNGELSRFLKVEFKTHRALRSFAYCVDNNKHSELAGCRMYESN</t>
  </si>
  <si>
    <t>IDPVLRFMHVSGCTSTGWIDPGLCEPDAESTCQVNLWAPNWRFITPLSRDDFAPLRIMSF</t>
  </si>
  <si>
    <t>DIECYSSTGAFPDPKNPHDVIFQIGMTTKEFGREGFLDRKCLCLKETAGPDVESFATEKE</t>
  </si>
  <si>
    <t>LIKAFEKYLIKIDPDIITGWNIFGFDLEFLIVRATIHCGLNPVWGRIRGEVAALVEKNLS</t>
  </si>
  <si>
    <t>SSALGNNELKMVPMKGRYVFDLFQDVKREHKLESYSLNNVSKHFLKDQKNDMPVKEIFSR</t>
  </si>
  <si>
    <t>YKEGDAAELGEVAEYCIQDTVLPHKLMEKLCQIQNQVEMAKACWVPLAFLSERGQQIKVF</t>
  </si>
  <si>
    <t>SQMAKKARELNFVIPTFRRPNGPDEGKYEGATVLEAQTGAYYGPITALDFASLYPSIMCA</t>
  </si>
  <si>
    <t>ENLCYSTLVMNSRYDNLPGVTYEQFGPHRFAQTSGEKPIVSLLPTILADLKAFRKKAKKL</t>
  </si>
  <si>
    <t>MALAEGTPMEAVYNGQQLAYKISMNSIYGFTGASKGMLPCVAIASTVTMRGRQMIEETKN</t>
  </si>
  <si>
    <t>YVEANFPGAKVRYGDTDSVMVEFDVQGRKGQEAIDYSWQQGEMAAEQCTKLFKAPNDLEL</t>
  </si>
  <si>
    <t>EKVYAPYVLYSKKRYAAKMYEKGRDGTVVFKKIDIKGLQVVRRDSCPFVRETLKRLLELI</t>
  </si>
  <si>
    <t>LESSDPRPAIELAREAAKTLIQGKVPIEKLLMSKQLASAYKVPMPHVAVRDKIRLRAPGS</t>
  </si>
  <si>
    <t>EPQQGDRVPFVIVKGEGRMYEKAEDPVWVREKNVPLDFQYYFTNQFKKPVQDLLEPLVSA</t>
  </si>
  <si>
    <t>DLIFDRKFMAKTESTTEVAARKAFLSMFSKKVL</t>
  </si>
  <si>
    <t>&gt;1704MEGAvirome_6-GSNBU_NODE_1660_length_3734_cov_5.075570_2 [2714 - 906] (REVERSE SENSE)</t>
  </si>
  <si>
    <t>KFENLNLKVIYIYPSRVMKIIDKFTAKQVEEVEVIFSILKELYPSNKVDISFDYDKKVYQ</t>
  </si>
  <si>
    <t>IDLLDEQIKQNDISIPLDLNVKVIYGDSVSKDTPILLKDPFSNQIYFEKIENIGKSCWYN</t>
  </si>
  <si>
    <t>YPGFKFGDQTVSGKQYSTTNQLVWTQNKWAIIKKVIRHKCAKKMFNIVTHSGFVQATEDH</t>
  </si>
  <si>
    <t>SLIKEDGTEVAPTECSIGMKLLTSSPEHYPPTLYSLTRQNCLLRQFDDQQMELITVMNSS</t>
  </si>
  <si>
    <t>VDVQQAYVNQLIETVGNVLEFDNKVEAAGVYYVAKRVGYSISLHVSDTYTLCVSKDTLLA</t>
  </si>
  <si>
    <t>SNEIKEITPIAYSEEDFVYDLETESSQFHAGIGELIVHNTDSIMCKFAYNREDKSANRHD</t>
  </si>
  <si>
    <t>TFRLADLCGEKLTKEIFNRHPIEMEFENVKNPFILIAKKHYIGKKFEDKKDPLKMKGYDV</t>
  </si>
  <si>
    <t>KGVALTKRNYCNLVKKCYKEVIDYVMENEEKSIDGIKDIIQNYLDNIRSYEVDIDDLIIT</t>
  </si>
  <si>
    <t>ASLAKSYKNENLPHVFLANKLRQRKEEVQVGDRIPYVFIEDSTNSTKKFERAEDPKYAKE</t>
  </si>
  <si>
    <t>HNLKVDRLSYLDQVVKPILGLLKIVLKKHPREYNFVLDKINETFVLCHGKPLREKDLLEV</t>
  </si>
  <si>
    <t>DEL</t>
  </si>
  <si>
    <t>&gt;1704MEGAvirome_6-GSNBU_NODE_176_length_14799_cov_35.073653_7 [14190 - 10321] (REVERSE SENSE)</t>
  </si>
  <si>
    <t>LKIVVMNIIEKKYVAVRSKESAKQMLDYIESNELLAYDVEATGLNPRKEKIIGFSVSANS</t>
  </si>
  <si>
    <t>GEGYYLPTKVYNVEQDHLEDLYIEGQLAEDLAKFLVGKLVGKKLCMHNGVYDCEITKNYY</t>
  </si>
  <si>
    <t>GVSLIESLYIETMLLVHTLAEEGAFGYGSPFALKSIAKWKQEEFKLDAETDANEEQLALK</t>
  </si>
  <si>
    <t>ESIKKNRGTATKGNMEIYKADLDILCEYGASDTDLTIRIVEHFLPKLKEENLWDFFFEQE</t>
  </si>
  <si>
    <t>VMPVYRQLTYPLVTRGVRVDESLLESNREEISKDLDKYSHIVLESLMSTKYAKFWVVDKA</t>
  </si>
  <si>
    <t>VDKFPYKVWDEEKEEHKIKNKGKNAQEAINRYFSLKGGECPLPPHPKKEGQWHSIKSNVK</t>
  </si>
  <si>
    <t>KYLKDDHPELYAFLEDGDMEPLETLEENFFVQCSINLWKDSNDGYIKISSKKQLAEIVFD</t>
  </si>
  <si>
    <t>HMGEEPLSFTDKGSPQFNDDFVQHIKEKYKWAKDLYIFNRLSKIKSGYFDRIYDNLEEGR</t>
  </si>
  <si>
    <t>YYFNYKQHGTISGRYGSDAQQFPRPMEEGDDEPIVIKYSNEVRALFIPDEGHIFIDCDYE</t>
  </si>
  <si>
    <t>SLEPHCVHEDSLVIKNRTYSRIKNVEVGDWVYSNNPNKPFVAITNKWKSTKKVLEIITKK</t>
  </si>
  <si>
    <t>GVLRCSGDHKVYTLNKGWTTAKEIIKGDILEENKMDSCISFVNEVPLYTKKPTSINDYPL</t>
  </si>
  <si>
    <t>GFIPLTPNWCWIIGALLGDGSFGKTSVELIGLKPDNNTTRFKEFFQSMGYNVNDYPDLRS</t>
  </si>
  <si>
    <t>EDLTRVRVHDAELKSIFKNSFNLVDSKGKKKLFVPDIIFNTDESNKLSFLAGLIDTDGTY</t>
  </si>
  <si>
    <t>NSSKSDLFISSKSASFLAEVLTLCNSLGLDPRLGVAHKRNSNGKVTHRVYQLRFTSISTN</t>
  </si>
  <si>
    <t>KLYDLGINDFLTTERKKIEGSRHIGKFKSPQAVVLEVVERGGATMYDIEVDSVEHDFICD</t>
  </si>
  <si>
    <t>NLRVHNCFSAVANDPDLMAIFKNGYDFYSTIAIATEKLEGVSADKKADNYLKKLDPNKRQ</t>
  </si>
  <si>
    <t>RAKAYCLDGNTKVKTRDGTAKLKRIEVGDLVLTSSGYYNKVINTFKRRAKTCLLKTDISD</t>
  </si>
  <si>
    <t>IRCTLDHKFYVDGDWVEAKDLTIGCYFKSYYNSNKNPILNEIILDELEVDVYDITVENEH</t>
  </si>
  <si>
    <t>NFYANGILVHNCLGIPYGMGAYALSKSLEIKQKEAQSLIDQYLDAYPELKKWMKWSNEFA</t>
  </si>
  <si>
    <t>IKNGYIKNKVGRIRHLNNLKRVCDAFGNMAEQLLDYNFRKELSRKYPEEQVMSAYRDYKN</t>
  </si>
  <si>
    <t>GLNNAKNFQIQSLAASVVNRAGLGVMREFKKEGIDGYPVAQIHDQWIFGVPKEQKQRAFE</t>
  </si>
  <si>
    <t>IVQYVMENETDVGIPLKAPPEFAYNWRDGH</t>
  </si>
  <si>
    <t>&gt;1704MEGAvirome_6-GSNBU_NODE_40_length_26507_cov_41.506436_19 [23070 - 20395] (REVERSE SENSE)</t>
  </si>
  <si>
    <t>VIMEKYYRSNTDFANGSDDISFQIIEWFVDDECIGSNDDSDSNSEDEPKTYVVRAFGSTL</t>
  </si>
  <si>
    <t>EGCSVACRITNFTPFYFIKLGKNFNRIKEMHFMEYIKNHYMLRNNKSDIDVKKCKIVKKK</t>
  </si>
  <si>
    <t>DIFGFSNNEFSYFLRLTFTNFEAMRKSRYIFKKPICIPGVNSSPHKYTLYESNFEPFMRF</t>
  </si>
  <si>
    <t>AHIKDIKMAGWIRLPSRKYKKTSGLSNCNLEVEIDWKDVEPANDFQKVANFLQASWDIET</t>
  </si>
  <si>
    <t>YSYDRTFPDPRKKVKTGDKVSYPNEVIQIATTYKYYAQKDILVKHLLTLKDCALIDDPTV</t>
  </si>
  <si>
    <t>VVECCKSEKHLIKRWVEVVKNMDPDIFYTYNGDSFDCNYIIERAIICGLARDERSQRGGK</t>
  </si>
  <si>
    <t>TTGKVTGWFMNELSRLQATPCQLKAEYFSSSAYGDNEYNRLYVIGRLNYDLMIHMKRGMK</t>
  </si>
  <si>
    <t>KYPSYKLDYIAGEILKEGKNDLPAKKMFEYYDIGTPDKIKEIGEYCIQDTVLLQKIVDKQ</t>
  </si>
  <si>
    <t>LILMNIIQLANVTSVPISYLTTKGQTIKVFSQILRKARQMDFLVPHTNFNSDTFYIKVIY</t>
  </si>
  <si>
    <t>KTPHGFQDSDKGRYLKLVSKGTSPNIDGQYKLDEIVDETTVVLLTDVELLKDSFYGKCSD</t>
  </si>
  <si>
    <t>SMKSLVSIDRITNAHTGEEDSFTGATVLEPIPGTYFEDIVVEDFASLYPTIMIAYNLCFS</t>
  </si>
  <si>
    <t>TFLIDNSYNNIPGVKYENIKWNDFVEVKLKKTCDGVGKSGKKKGEVCGKQAFFEVDGNYY</t>
  </si>
  <si>
    <t>CRIHDPIKKTRTEETKIMKQPITYDYVVVQPHIDENGNKVNQGVLPALLEELYSERKKVK</t>
  </si>
  <si>
    <t>RQMAKAAQEGDKVLEEILDATQLAIKVSLNSTYGFLGRSQGNLVLKPLASIVTSTGRRMI</t>
  </si>
  <si>
    <t>EQSKEYAEGNFIKFVRENNLATHIVRKQNISNIVNKQLHLQKFRSESLKKNE</t>
  </si>
  <si>
    <t>&gt;1704MEGAvirome_6-GSNBU_NODE_682_length_7839_cov_11.322572_5 [5697 - 2776] (REVERSE SENSE)</t>
  </si>
  <si>
    <t>KLYIDASLIDGRIYVSERRKDGKRKINHFLPPYSYFYPDSAGHFKSITGQRLKRFKTNNK</t>
  </si>
  <si>
    <t>REFNRAVEKAEMAGNEIFEHDVNVVYRLLEDKYPGSECPELNISLLDIETDKDPKLGYSR</t>
  </si>
  <si>
    <t>VNNPYSIITAVTIYNNWEDLYYTVLVRPPNLTMTETQDLLLGKIYQDDNGNIVSDCPDGD</t>
  </si>
  <si>
    <t>DFGEMSEDNNFFIVETESELIEIMLELIQDADVLSGWNSEFFDIPYIIQRIRHTMGGETL</t>
  </si>
  <si>
    <t>AKLAAEDGEYNQCDPSDNSIPWLNKLTLFPRLPEMRLLERYGNSEKTYKLFGRIHLDYMA</t>
  </si>
  <si>
    <t>LYQKFTFEELHSYALDFVLQKEVNQNKIAYEGSLDQLYRLNIRRFAAYSKQDVAGLKALN</t>
  </si>
  <si>
    <t>DKMRLIQLANTMAHSAGVTLDKSLGSVAIIEQAILRRLHKDKIISWNRKETIKDLPIPGA</t>
  </si>
  <si>
    <t>FVVNPDKGEYKWVCSYDFNSLYPTAIRLINISPEVIIGQVVREKTKRRWLAEFYDDETWY</t>
  </si>
  <si>
    <t>SRPSSEVNGYIIQKDELKKQKHTKVWGGFTGILEYHDIINETDDQITVMLEDNNEVITCS</t>
  </si>
  <si>
    <t>AKAWKDILKENNWSISANGTIFDLSKEGIISTCMTEWYTDRVAAQYKASEFYKKADKEED</t>
  </si>
  <si>
    <t>PDKKAAYMTEYTYYNMEQHVLKIFLNSTYGAYLNEAFRFYDPRLGSSVTLTGRVMTKHMV</t>
  </si>
  <si>
    <t>RDVSRIMTGNYDFDKRSIIYGDTDSVYATMDWYMSENNIQKTKENAIITADAIGEILNDE</t>
  </si>
  <si>
    <t>LPAFLSNAFLIPEKRGTIVNAGREVVAISGLFKDKKKRYALHVINDDGKDVDKLKIMGME</t>
  </si>
  <si>
    <t>TRRSDTPKYIQKFLENVLTMRVKENKSYDEIKKVVEDFRIEFKNIDSWKKGSPGRVSNLT</t>
  </si>
  <si>
    <t>TRVQQMDQYQDDLEEGIYGISKPLIHISVKSCNNTNKLIDLFDEHRLDKIRDGDKVSVMY</t>
  </si>
  <si>
    <t>LKENPHNMDSIAIQVDETYVPDWFQQLPFDERKMEEKLLDKKLFNVIGDILDWDFRPPEN</t>
  </si>
  <si>
    <t>TAEEVFEEDGTFFD</t>
  </si>
  <si>
    <t>&gt;1109MEGAvirome_7-GSNCB_NODE_182_length_10355_cov_22.578655_42 [4697 - 1851] (REVERSE SENSE)</t>
  </si>
  <si>
    <t>IPMEDRTVSSPAAPQVSESTRSAAGRDGALVAFVHSWRIQDVGDTCEMIGFGKTEDGRDL</t>
  </si>
  <si>
    <t>CLRAPFTPFFFVKVPDTKQSPMASRYFASRVYDSVRGGLCKHLCRVMHRVPFIGFTNREP</t>
  </si>
  <si>
    <t>KAFVQLVFDSLEAAKQAKYMLRRQHTLFETNVDPMLKAFHIYDLDPVGWVRVATWSSVAD</t>
  </si>
  <si>
    <t>DQSVSTVQEVRCSSMSSISMLRDNSDPPPLVVASWDIECVSDTGHFPDSSLVRDRIITIG</t>
  </si>
  <si>
    <t>TAYAMFESPDQPFLKTVHQLGTCHPIEGVEVHCHDKEHQLINAWIRETVDMRTDILLGYN</t>
  </si>
  <si>
    <t>TYGFDHRYLDGRAACLVDFGSGQPRVRLEEWGKMKEDHGYNGRPVEKNLTSSAYGDNSYF</t>
  </si>
  <si>
    <t>YHDTPGMLSVDLLQIYRKELKMESYTLDNMCRTYLDNMTKIDLKPHEIFRKQREEAPDGR</t>
  </si>
  <si>
    <t>TQIAAYCIRDVELPLRLAKKLNNLNNLVEFSKATCVPMDFLLVRGQQIRCLSLIARKAKT</t>
  </si>
  <si>
    <t>MGYLINDTQQHGRFGDDAGGDDIPFVGATVLEPSVGAYMDEVVSVLDFASLYPSIMMAHC</t>
  </si>
  <si>
    <t>LCPTTLVADERWAAVEGVEYFRVDVAPGHTVAFAQTPDYAVIPSLLADLKQYRKKAKRQM</t>
  </si>
  <si>
    <t>ALAAQEGDDVAESLYNSKQLSFKVSMNSVYGFFGVSKGLLTGLKAISSSVCAIGRQMIYT</t>
  </si>
  <si>
    <t>TKRMVEQAGHRVIYGDTDSVLCVLNLGEDKARDLKAHFQAAEALAAEITKVFKAPNELEF</t>
  </si>
  <si>
    <t>EKCYSPYLIYSKKRYTGLCYTSPDKPPKQDTKGLTLVRRDNAALVRRISTSVLEKLLYER</t>
  </si>
  <si>
    <t>SFDKALECAQRSIIDVLEDRVGWDDFIVSKSLRRDYKNPGALPHVVVAEKRRQRGNPCEY</t>
  </si>
  <si>
    <t>GSRVPYVYVLDSTNQDLITSKRAECPEYAKEHGLQLDKLYYIRQQIINPISTLLSVTWPD</t>
  </si>
  <si>
    <t>AESKIMCHPAIQEKVMQLTSQEVSMVREAKRVRTNQKNKQREITSFFRR</t>
  </si>
  <si>
    <t>&gt;1109MEGAvirome_7-GSNCB_NODE_41_length_19384_cov_38.667738_53 [8284 - 5543] (REVERSE SENSE)</t>
  </si>
  <si>
    <t>KMECYIASWEAKDVEGRCEIIAHGKTRDGRDICCRVPWTPFFHVEVPKRNQSELGSKSFA</t>
  </si>
  <si>
    <t>MNLYDSTKGLKRPLCRVVKKKPFVGFRHGKKLYFVMLVFESLAAWKRAKYNSKHTLYESA</t>
  </si>
  <si>
    <t>LDPLIKFFHVSGVSAAGWVTIDSYTTVDMDDDTRLSKETVTEIKVEHHRHMHGATHLDKE</t>
  </si>
  <si>
    <t>TPPLILCSWDIEAFSESGAFPDSAKPSDKVITIGAVYARFGDPEPFSKSVHVLGSVNDIE</t>
  </si>
  <si>
    <t>GVNVFRYEKEEDLIMGFMRETVRMRTDFLVAWNSYGFDHTYIDGRAVTLIDYTTGESLID</t>
  </si>
  <si>
    <t>TTLWSKTKDPESGKLIEKKLASSAYGDNTYRYHHTPGMISVDALQIFRKETKHDSYTLDN</t>
  </si>
  <si>
    <t>IAKHYLDIHKIDLKPWEMFAKFQEIDPKGRTDIAEYCVRDCELPIKLVHKMNQLNGLIEF</t>
  </si>
  <si>
    <t>SKVTNVPIDWLLVRGQQIRVYSLIAKAARDKEFLIPDMQNSGGDDGLGFTGAVVLDPKSG</t>
  </si>
  <si>
    <t>GYTEDIICAMDFASLYPSIMMAHKMCGSTLVTDQEYAYCPDIEYYEVEAAPGVKVRFAQT</t>
  </si>
  <si>
    <t>DDNVIPGLLYDLKALRKQAKKDMEAADTEFTKGLLNSRQLAYKLVMNSLYGALGSNHGLL</t>
  </si>
  <si>
    <t>CGLKKISMSVTATGRWMIHETKRLVEELNPGSKVVYGDTDSILCILNCGEKNRQNLKEHF</t>
  </si>
  <si>
    <t>RVAEQIADQITKHFLPPHELEMEKAYFPYLLVTKKRYAGLMYEHPDKTPKIDIKGLQLVR</t>
  </si>
  <si>
    <t>RDSPKLVKRISHGMLEILLYQRSFQKALVYVQEQILDMLNGNVPFEDYIMSKSLRSNYKN</t>
  </si>
  <si>
    <t>TNLPHLIVSKKRQQRGGNAFHSGERVPFVYTQSETDMDLGISQRAEDAEYAKDNNIPIDI</t>
  </si>
  <si>
    <t>LYYIKNQVLTPLVTLLQLHYKQHAEGEILNHREIASHMVRLQALTSRLVQKSKRVRTNTS</t>
  </si>
  <si>
    <t>NKQREITSFFKRDP</t>
  </si>
  <si>
    <t>&gt;1109MEGAvirome_7-GSNCB_NODE_490_length_6092_cov_4.267801_4 [1224 - 4022]</t>
  </si>
  <si>
    <t>KTDIFPFIVIHQCYHLQTKQKMQCYLVSWEAVDIEGRCEIIAHGKSTQQQDICVRIPWSP</t>
  </si>
  <si>
    <t>YYYVEVPHNNQTDLGARSFAMHQYDTIKGLKRPLCRVVKKKPFVGFRNGKKLYFVQLVFE</t>
  </si>
  <si>
    <t>SIAAWKRAKYNSKHTLYEAACDPLIKFFHVSGVPAAGWVEIESHRVVESNDATRVSKEFI</t>
  </si>
  <si>
    <t>IEVKLDSFRHIRRATDRDEDTPPLILCSWDIEAFSESGAFPDASKPSDKVITIGAVYAKF</t>
  </si>
  <si>
    <t>GDPEPYHKSVHVLGSVNDIDGVQVHQYDTEEDLITGFMMETVRMRTDFLLAWNSYGFDHS</t>
  </si>
  <si>
    <t>YLDGRAVTLIDYTTGDSLLDMSVWSKTKDPESGKLIEKKLASSAYGDNTYRYHHTPGMIS</t>
  </si>
  <si>
    <t>VDALQIFRKETKHDSYTLDNIAKHYLDIHKIDLKPWEMFRKFKEIDPKGRTDIAEYCVRD</t>
  </si>
  <si>
    <t>CELPIKLVHKMNQLNGLIEFSKVTHVPIDWLLLRGQQIRVYSLISKAARDKDFLVPDMQN</t>
  </si>
  <si>
    <t>SGGDDLGFTGAVVLDPKSGGYTEDIICAMDFASLYPSIMMAHRMCGSTLVIDQKYAHVPG</t>
  </si>
  <si>
    <t>IEYYEIEAAPGLKVRFAQTDDNVIPGLLYELKALRKQAKKDMEAADTDFTKGLLNSRQLA</t>
  </si>
  <si>
    <t>YKLVMNSLYGALGSNHGLLCGLKKISMSVTATGRWMIHETKRLVEELNPGSKVVYGDSVA</t>
  </si>
  <si>
    <t>AWTPITIRNTTGQVEIVTFEDLATRVTWIPRNDGKEYAHHDGHLDIWSDKGWTPVNAIIR</t>
  </si>
  <si>
    <t>HTHTDPLVRVATHTGVVDVTAHHSLVRPNGEVVKPSEVSIGDDLMHADGPHVPLGSLEPT</t>
  </si>
  <si>
    <t>TDICQTGHLEAATMFRALRSAGYAVSITSSIGDTYTLSTRPLDDNKTCIQSMTPIPYNGY</t>
  </si>
  <si>
    <t>VYDVTTGNHHFAAGVGDLIVHNTDSVLCILNCGEENRQNLKEHFRVAEDLADQITKHFLP</t>
  </si>
  <si>
    <t>PHELEMEKAYFPYLLVRVCLYEESKTCVLIDFF</t>
  </si>
  <si>
    <t>&gt;1109MEGAvirome_7-GSNCB_NODE_665_length_4903_cov_15.655366_3 [3 - 3137]</t>
  </si>
  <si>
    <t>VKPLCRVVKKKPFVGFRNGKKHYFVQLVFENLAMWRRAKYGSKHTLYEAALDPLIKFFHV</t>
  </si>
  <si>
    <t>SGVPAAGWVSITGAHTEILDDAKISRPHVTELKVESYRGIERGPSSLDNETPPLVICSWD</t>
  </si>
  <si>
    <t>IEAFSESGAFPDSSKPSDKVITIGAVYARFGDPTPIAQSVHVLGTANPIDGVDVYTYDRE</t>
  </si>
  <si>
    <t>EDLITGFMMETVRRRTDLLLAWNSYGFDHSYLDGRAVTLIDDQTGKSLLDMTVWSKTKDP</t>
  </si>
  <si>
    <t>EAGKLLEKQLASSAYGDNTYRYHNTPGIISVDALQIFRKETKHDSYTLDNIAKHYLDISK</t>
  </si>
  <si>
    <t>IDLKPWEMFAKFREADPTGRTEIAEYCVRDCLLPIQLVHKMNMLNGLIEFSKVTHVPIDW</t>
  </si>
  <si>
    <t>LLLRGQQIRVYSLICKAARDKDYLVPDMQQSSGDDLGFTGAVVLDPKSGGYTQDIVCAMD</t>
  </si>
  <si>
    <t>FASLYPSIMMAHNMCGSTLVIDPQYAYCTGVDYYEIEAAPGVKVRFAQTTDNVIPGLLYD</t>
  </si>
  <si>
    <t>LKALRKQAKRDMATADNDFTKGLLNSRQLAYKLVMNSLYGALGSNHGLLCGLKKISMSVT</t>
  </si>
  <si>
    <t>ATGRWMIHETKRLVETLNPGSKVVYGDSVAAWTPITIRTSTGIDIVTFEDLAARVTWVPR</t>
  </si>
  <si>
    <t>GDGKEVAYHDGLEIWSDQGWTSVRAIIRHQHTDPLVRVATHTGVVDVTAHHSLVRPNGEM</t>
  </si>
  <si>
    <t>VKPTDLSIGDALMHADGPHIPQETLESLATQKITGHVAAATVFRALRSAGHHVTISSCTG</t>
  </si>
  <si>
    <t>DTYTVSTRSRHDNDTCIQSMTEIPYHGYVYDVTTDNHHFAAGVGDLVVHNTDSVLCILNC</t>
  </si>
  <si>
    <t>GEEHRQDLNEHFRVAEDLAEQITKHFLPPHELEMEKAYFPYLLVTKKRYAGLMYERPDGT</t>
  </si>
  <si>
    <t>PKIDIKGLQLVRRDSPKLVKRISHGMLEILLHERSFEKALVYVQNQILDMLQDRVPFEEY</t>
  </si>
  <si>
    <t>VMSKSLRSNYKNTNLPHLVVSRKRVSRGGTPFHSGERVPFVYTRTETEMDLGISQRAEDA</t>
  </si>
  <si>
    <t>DYARDNNIPIDTLYYIKNQVLTPLVTLLQLHYKHAEGEILNHAEIASHMVRLQALTSRLV</t>
  </si>
  <si>
    <t>QKSKRVRTNTSNNQREITSFFKRDP</t>
  </si>
  <si>
    <t>&gt;2310MEGAvirome_6-GSNCN_NODE_635_length_3002_cov_2.743722_1 [168 - 2600]</t>
  </si>
  <si>
    <t>FNLRTKMTRIRFRPMIWEKDAVNGEQLIFVTGLDSENKVVYLTITEFTPYGYLQVPNRRD</t>
  </si>
  <si>
    <t>VDKVAISELVSKLTTMLKEDAPLKSTLTTKRRLLHFNEQIKCVFMTFPTENALSHAARML</t>
  </si>
  <si>
    <t>KYVKNVKGVRYNEGELKMHEDNIDAVVKFVVMSDITTSGELEVDIEPVIEKDTTADIEAE</t>
  </si>
  <si>
    <t>VAWRDVKNVEVSMAISPRYASFDIEVNSINLKSKLPQADVEGNVVFQIAYIDGRFGQTPT</t>
  </si>
  <si>
    <t>QRYLLTLYSCDEIEGTEIRMFETEKELLLGFSALIRECNPDVFIGYNTMKFDWDYMTARA</t>
  </si>
  <si>
    <t>EAGKYLTQFLDFSRDTTRKARVVSKTWKSSAYGEQVYNYVDCPGRMNMDVLLEIERNQAK</t>
  </si>
  <si>
    <t>LPKYSLNAVSDRFLGESKDDISPKQLFMFFQLSQAAYELKSVPSNREEFVEKYMPKQETF</t>
  </si>
  <si>
    <t>DVAVQLRKMLIECSDEKWFQNVRKLLTLTGKYCVQDTYLPVQLIDKLKMWTTMQEFSNIT</t>
  </si>
  <si>
    <t>GVPMSYLHTRGAGIRSLARLHRECFPRNIIVTRKPTPFGQTEYQGAVVFEVNPGYYNYVA</t>
  </si>
  <si>
    <t>CHDFASLYPNSMIAWNISHDTVLRPDDPTPNEECHVIHVSEHRKCPHDTMKRGSEVSTLC</t>
  </si>
  <si>
    <t>QENTYRFKKVKILPDGTRVNEGIFPHMLRQLLSERKKVKKTMAKAQARLAMNRGHATPSD</t>
  </si>
  <si>
    <t>LKKYEKYGYEIIVPNTLSEKDDAALALECDVLNAKQLALKLLSNSSYGIYGAPNGPAPFI</t>
  </si>
  <si>
    <t>AGAACVTGQGRWLIQEAYKYILRSYRDSKLVYGDSVPGYTPVVIQDHDGSARIMRISDVC</t>
  </si>
  <si>
    <t>GWYGLGPDGKEIGSTHYKVWTCKNTRTREGG</t>
  </si>
  <si>
    <t>&gt;1705MEGAvirome_3-GSNBY_NODE_227_length_21994_cov_48.346819_22 [9035 - 6744] (REVERSE SENSE)</t>
  </si>
  <si>
    <t>GINIMKSSNAITCMIGACLTSAFLAPSSLGLMSLLCVLPRARAQNHDDTWVSLQQGEVGE</t>
  </si>
  <si>
    <t>SYSLTSAAITPDGSIVSSGTHNRGHPYYDGIITTLNPEGELTYNAMLVGGTNIQFYTNTY</t>
  </si>
  <si>
    <t>HDNAVYASGAIAKTKTNALLCETHLNGTLIDCFEFTGHTETTRAYSLLGTTNNDLLFAGD</t>
  </si>
  <si>
    <t>YSLAVGRYPNNTLHFAYQYPMAHTVTFNCMTETNDQQYLLNGVNKGSLFYSSILKINSNG</t>
  </si>
  <si>
    <t>EMIWVRDLIPLDATSLIINAIQAQGDTVTLAGTWNQQGTIITLNSSTGHTINATTVAGTG</t>
  </si>
  <si>
    <t>NIMFQDMVLKNNRPLAVGRSNVNTVGAYDAIIFYDNKLYKLAGIKSDIFFAVSLDNDGNI</t>
  </si>
  <si>
    <t>VATGLTASYEGNLGPKMLTVKLDSNLNLDASNLPPGLDFYECTDDFVITHDVNLTNTDNT</t>
  </si>
  <si>
    <t>ANITPIDLKPTTSLVNITDEINITHPFENAWLHAPTEQPTGFPTSEPTGIPTSGPTSSAN</t>
  </si>
  <si>
    <t>PSAVPSSSPTGLPTSEPTGMPTSGPTSGPTSGPTSGPTSGPTGEPTWVPTGDPTAYPSAD</t>
  </si>
  <si>
    <t>PSAWPTSWPTSWPTNLPSGYPTANPSANPSAVPSSSPTGLPTNNPTGMPTSGPTSGPTGE</t>
  </si>
  <si>
    <t>PTWLPTGDPTAYPSADPSAEPTSLPSSTPTADPSSDHEDASYWSHWNPFYIAAILTGSAG</t>
  </si>
  <si>
    <t>MLYASYWLTRSKAQVVPETEHTENPAVPLELEQTSEEPEENHHNYSDNPDSERFWSSSDD</t>
  </si>
  <si>
    <t>SSDIENQSSSSSSLPLSLGIFYTYPDEESYDEESYDEEEGHRVP</t>
  </si>
  <si>
    <t>&gt;2310MEGAvirome_8-GSNCO_NODE_1_length_904082_cov_48.671656_736 [808575 - 806194] (REVERSE SENSE)</t>
  </si>
  <si>
    <t>MVRDHKAFIFSEEWNDTSSGGRLRLYGRSPTLGPVCLEWGDVRPVFFVDRKASSRNSALF</t>
  </si>
  <si>
    <t>SDRSFIHRKDVDLRALDGRPVDALYFRRLSDSREMWRKLSEQGIQSFEADIRPEHRFRME</t>
  </si>
  <si>
    <t>RFINSCVSIRGTCSDEKDYRRFYSPAIASLDSWPGEVSLSSMSLDIETNERTGEIYSIGM</t>
  </si>
  <si>
    <t>YQHSVSEKLGEVLMQGDGADLQQDGFTLRYCGSEKELLKEFFTKMSEWNPDLIIGWNIVG</t>
  </si>
  <si>
    <t>FDLSTIARRCELHGLALSIGRDSRSARVSSGDGGRAFAHVPGRVVLDGPQILRSSFISFD</t>
  </si>
  <si>
    <t>SYSLENVAWEVLGTGKRITQDKDTIEEVIRLFADDPVELARYNFQDCVLVAEIFQSLGLY</t>
  </si>
  <si>
    <t>SLLYARSMLSGMLLDRLSSSTGAFDHLYLPKLHRQGYVAANREDVKPSEHAAGGHVFEPE</t>
  </si>
  <si>
    <t>AGIHKNIVVLDFKSLYPTIIRTFGIDPLALAIAKRNPKGEVGNIRTPSGHSFDASQAILP</t>
  </si>
  <si>
    <t>SIIESLLIERALAKKAKNKNLSQALKILMNSFYGVLGSFGCRFYHPDLPRAITGSGQWIL</t>
  </si>
  <si>
    <t>RESKDYLQGLGYRVVYGDTDSVFVAGADDNSRSLAEVGAELAGKLNSHWKERMMAEFGVE</t>
  </si>
  <si>
    <t>SFLELEVDRCFRTLLLPAARSGDGGAKKRYAGVLENGDTPDFVGMEFVRSDWTMLAKEFQ</t>
  </si>
  <si>
    <t>FELYEMILGQSDCDVAVIKTWLRKRLSEIREGRFDAKLIYRKRLRKPLEDYTKTAPPQVK</t>
  </si>
  <si>
    <t>AARQLPPLAGGRNRKFVEYVMCKRGPVPIELEHRDIDYEHYIKKQLRPIADSILPFLDTS</t>
  </si>
  <si>
    <t>FDRLVEIEQLNLFS</t>
  </si>
  <si>
    <t>&gt;1704MEGAvirome_8-GSNCP_NODE_284_length_28470_cov_12.730608_14 [28069 - 26531] (REVERSE SENSE)</t>
  </si>
  <si>
    <t>KQSGTQFARLKGRVVIDGPISMKAAFFQFESWKLDSVANEMLGTGKDIESTGLEKVAEIE</t>
  </si>
  <si>
    <t>RRFREDKPALAKYNLMDCVLVTDVMEKAGLIGLMKTRVLLSGLLMGRQGVSTAAFDFFML</t>
  </si>
  <si>
    <t>PQLHRKGFVAPNIIDISRDLHSAGGHVLTPKAGLHQHIIVLDFKSLYPSIIRTFKIDPYS</t>
  </si>
  <si>
    <t>RLMAETSPLKTPSGHHFSASEHILPDFIGELMQKREIAKLDGNTYLSQAIKILMNSFYGV</t>
  </si>
  <si>
    <t>MGSGGSRFYHADLPSAITGTGQWILREAIEFLEREGFEVVYGDTDSVFVKVPTGENVFER</t>
  </si>
  <si>
    <t>AKSLAARANEHMSKVLKLHFKVESLLEMEFEKYYRQIFFPILRGGEAAAKKKYAGIEVKS</t>
  </si>
  <si>
    <t>GGNEKLTFSGMEFVRSDWTSLAKKFQYKIYGQFFKGESIEESIRTIVEELKSGLHDKDLV</t>
  </si>
  <si>
    <t>YKKRLSKKLSEYTKSLPPHVKAAKALEAAGHTVDRDVYYVYTRRGPIAKALEPDDFDYQH</t>
  </si>
  <si>
    <t>YIDKQIRPIAEVILGPLELSFDNIVIGDQLSLF</t>
  </si>
  <si>
    <t>&gt;1704MEGAvirome_8-GSNCP_NODE_3070_length_7152_cov_9.511407_5 [810 - 3203]</t>
  </si>
  <si>
    <t>KALACQQQTQNTNLSDTNYTGFILQATYRVQQGKPTVYLFGRLLDGRTFLVRDHQQVPHF</t>
  </si>
  <si>
    <t>YVDGAAAEVCHNHVHSPDDATTEKFNFAGDPLLRVDVAIPSDAPPLRDRLQVQGFKTYEA</t>
  </si>
  <si>
    <t>DVRFAMRYLIDRDIKGGVEIEGHATDGDGTDLVFDDPTLKPTQAVISPRILAFDIETNPD</t>
  </si>
  <si>
    <t>TDALLAIACYGYTADSALLDRVIVVDKRDREMPAQSIRVRSERDALDLFCQWVRSFDADV</t>
  </si>
  <si>
    <t>ITGWNVIDFDLTQLAKVAQRVRFDLQLGRERGRMQIRAPQGYFGSGHAVVPGRIVLDGID</t>
  </si>
  <si>
    <t>LLRSSFVKMDDYSLDAVAQQVLGEGKTLGAKSADFQQPDKVAQILSSYETDLATFTFYAR</t>
  </si>
  <si>
    <t>TDARLALQILEKLKLVDLAFARSALTGMPPDRVAASIASFDFLYLSALHKKGLAAPSVVS</t>
  </si>
  <si>
    <t>TRSSAGPQSGGAVFEPRVGIHPNVWVFDFKSLYPSIIRTFNIDPLAHAQSEAQENCIGTE</t>
  </si>
  <si>
    <t>NGCRFSREPGVLPAMLDDLFPQRSRAKAAGDEIASQAIKILMNSFYGVLGAPSCRFYNPA</t>
  </si>
  <si>
    <t>IANAITGQGRHLLSWSKDWFERQGFQVLYGDTDSVFVASGRADAQAAFDLGQSLVARFNA</t>
  </si>
  <si>
    <t>DLTDYLRERYEVDSRLELEFEKLYTQLFLARVRGGSQGARKRYAGQVFGSDSVEFVGMEV</t>
  </si>
  <si>
    <t>VRRDWTELAKIIQRNLFERLFQGEEVASYLQEIIQQFRSGELDHLLVYHKGLRKPVSAYT</t>
  </si>
  <si>
    <t>SNVPPHVQAVKQSKAPAPRVVAYVITTAGPQLVNEVSAPLDRDHYLQKQILPVATPVLEA</t>
  </si>
  <si>
    <t>LGLAFNQVIGDDRQIALF</t>
  </si>
  <si>
    <t>&gt;1704MEGAvirome_8-GSNCP_NODE_3171_length_6993_cov_4.321398_3 [1625 - 5851]</t>
  </si>
  <si>
    <t>KHNTYKNLNSICIDTMDPLYKVSMVKPDVKNIKVSQRGGKKAFPKKANKKPQKPSKDKSA</t>
  </si>
  <si>
    <t>SNNKKNEKVDKMDIVMKNPTFDKLELNPLNTTDIFRLIDLYFIKKNRIYKHLYNSYDKFL</t>
  </si>
  <si>
    <t>DEDVRRYLLEGEHVFSRTIQADTMYANKFEFKNIRYQPPTFNNKVDPLFPSNARQSSLTY</t>
  </si>
  <si>
    <t>SVTLYADVTQYLEKQMVTSKSDPVVTQIGKTVENVQVGHFPLMLRSKYCNLSQHPDTNAN</t>
  </si>
  <si>
    <t>ECEYDPGGYFIVGGSEKVVITQDRMVENKPLVFLKKDSSSQSYVVQVNSKSYDPHKMPQS</t>
  </si>
  <si>
    <t>LTIRLKKDGIMNIRVPILSEVNVFILFRALGIESDRDIINYTTYNESDMYMSNIVKASLS</t>
  </si>
  <si>
    <t>DCKDEKGDMINSRDSAFDYLVNKIKIIQKTSNTSTVNKMEQKKLHLERLLKNNLLPHKSG</t>
  </si>
  <si>
    <t>SLKEKAIYLGMMINKLLRVALGRLPLDDRDSYINKRVDPPGDLMFELFKQQFRKMMNETS</t>
  </si>
  <si>
    <t>TFFNSRTEDDNNPHNVITQIKPNLIEQGLKASLSTGSWIRKKGVAQMLQRMTYQQAISFL</t>
  </si>
  <si>
    <t>RRIDAPSGDASTSKLTSPRYLHPSSVGFLCLTGDTAVQMGNGQIKRIKDIVNGDIVRSTY</t>
  </si>
  <si>
    <t>ADSLKGENTRMKNWFKIDTPDKIVKVTLMNGATVKCTPDHPLMIDENGKRAFLNVSKLKV</t>
  </si>
  <si>
    <t>GDTIVTTHMLNHIENDKCMKLKINLSDVPSKLVTQMIETELIDRNISQERLEITARLVGL</t>
  </si>
  <si>
    <t>CNTDGHLRINKNGSYSVEFYVGEEQDVYDLVDDIMRLGFGNLTTRRRVTRHGKCIHRTWC</t>
  </si>
  <si>
    <t>IFKAGGLAWYLNKMGAFVGNKTSQARFVPDWIKSGNKLIKREYLSGFQGGDGCRLKYQKS</t>
  </si>
  <si>
    <t>GTRYKLSINKTNQTTTPKFMEQTKSYIDDIISLFGEFDIFCKRDVKDVTGTNNKTVGIVF</t>
  </si>
  <si>
    <t>SQSYDNMHKYVSNIAYRYCAEKRRVSASIVEYIKYRCTKKINKTQKYDSKDKLTYTEFCN</t>
  </si>
  <si>
    <t>KYHIKDDRFKMPITSIDKMPIEPVYDFTTYNDAHSFLANGIHSSNCPVQTPESSKIGIIK</t>
  </si>
  <si>
    <t>HLSMIASITIMDKNIYDLLSKYLLSHPDIKNICDVDPVDMKYMYNVFFNGDWIGVVRGVT</t>
  </si>
  <si>
    <t>KKGESPHDIPAIKLWKDMQKKKRQKIFDPEVTSIVADHREFEIRVYCDTGRLYRPVLRVD</t>
  </si>
  <si>
    <t>PHNKVNLGKKHIERIALNKTVPGKINDWDQFTSVFSDVVDYIDTEEQPYLLVADRIKTVN</t>
  </si>
  <si>
    <t>KMQQKEFNSQKLKFKGHSETDTVNRYDSGYYQQYTHCELHPSILVGEISINIPFMGSNQG</t>
  </si>
  <si>
    <t>PRNIIQYSQGRQAMGIYISNYRDRTDISYILYHPQRPVVTTRASKYANFRIFPFGENCSV</t>
  </si>
  <si>
    <t>AIMTYSGYNQEDSLVMNKGSIERGLFRSTSLKKAMSSISKNQNTSQDDIFTKPDPEKVVG</t>
  </si>
  <si>
    <t>IRHGSYDKLNTAGXXXXMSFKSLDSRCTG</t>
  </si>
  <si>
    <t>&gt;1704MEGAvirome_8-GSNCP_NODE_3289_length_6780_cov_2.218399_5 [2838 - 5672]</t>
  </si>
  <si>
    <t>PRRSMSYIGGYHDKQRDIVHIAERINGKRVLVEHRPIYNFYIQDARGKHRSTHGESVSEI</t>
  </si>
  <si>
    <t>RCKNGKDFQKNLAMYRHTKTFESDIKAINKVLESHYLNQEPPQPNVAFFDIEVAFDPERG</t>
  </si>
  <si>
    <t>YSQPEEAFMPITSVGVYMQWCKQMVCLAVPPPTLTYDQAKKQLEGLDDVILCENEKQLLE</t>
  </si>
  <si>
    <t>VFLEIIGDADILSGWNSEGYDIPYTVNRIAKVLGKSELRRLCLWDQMPKERTYTAFGNDR</t>
  </si>
  <si>
    <t>QTFDLVGRVHLDYLQLYKKYNYEERHSYRLDFIGEMEVGERKVVYDGTLDHLYNYDFRKF</t>
  </si>
  <si>
    <t>VEYNIQDVMLLDKLDRKLQFIDLANSIAHDNTVLMPTVMGAVATTDQAIINECHRRGRVV</t>
  </si>
  <si>
    <t>PDRVRSKDSGQAAGAYVAFPKRGFHEWIGSMDLNSLYPSVFRALNMAPETIVGQVRPTYT</t>
  </si>
  <si>
    <t>QAEIDAKIEGKWIPPGEKKPHKKMSFADAWLGKFGTNEFEMITDKDSHHTLKLDMVDGES</t>
  </si>
  <si>
    <t>LDVTGAEIYHLVFNSDQPWNISANGTIFRTDEQGIVPGLLERWYAERKILQAKKSAWETV</t>
  </si>
  <si>
    <t>KGGMEVGHKHEDVLRSLVPESDLRVENGLIVYVGKLDIDAEISFWDKRQLVKKINLNSLY</t>
  </si>
  <si>
    <t>GAILNVGCRFYDQRVGQSTTLTGRRITRHMAAEANKMLTGDYDHEGKCIIYGDTDSTYFT</t>
  </si>
  <si>
    <t>AVPVLPEGSEFDLDKAVDLYDYISDTVSSTFPEFLNKTFGIPLEAGQVMKAGREVVGRAG</t>
  </si>
  <si>
    <t>VFIVKKRYAINVLDIEGYRPPGGKLKAMGLDIKRSDTPEYIQDFLEEVLTDALSAVPESD</t>
  </si>
  <si>
    <t>VIAKIRRFKEDFQNLDPWKKGMPKAVNNLTKYTDQLTKKENAIRIKNNQRTVQEVESITI</t>
  </si>
  <si>
    <t>PGHVRASINWNRLKKMHSDQYSMNITDGQKVIVCRLKDNPMGYTSVAYPVDEMHIPEWFK</t>
  </si>
  <si>
    <t>DLPFDNQGMEEAVLNKKITNVLGAMGWDLTKIHHSKAQDKFFDFG</t>
  </si>
  <si>
    <t>&gt;1704MEGAvirome_8-GSNCP_NODE_59_length_73646_cov_11.036247_26 [28609 - 30924]</t>
  </si>
  <si>
    <t>VEMKNVVCDIFLLTKHWSDNNGQLRLSFYGHSPLHGAIRVDVDNFEPMFFIHRTASSSEL</t>
  </si>
  <si>
    <t>TVPHTRKENPLKDPDHHDVDTLYFKTQSDLRRAAEFFRLKNVPTFESDVDPTERYLAERM</t>
  </si>
  <si>
    <t>INAQCAVQGTAEKGQALTVFKNPQIKAAEVTPKFRVASIDIETGVASKRLYSIGVHLTAE</t>
  </si>
  <si>
    <t>NVDERVVFMLGVRPDDAPDYLFCFDTEAAVLTEFLNWFQAADPDIILGWNVVGFDLSYLA</t>
  </si>
  <si>
    <t>QKCGQFNMPFSLGREHTTPTFFEKKRGGTACDISGRIIFDGPLTLKVAFYNFDDFRLDTV</t>
  </si>
  <si>
    <t>AHALLGKGKTITSTKAEKIAEIERQFEHDKAAFAKYNLMDCVLVTEIFQKTGLIEQSVQR</t>
  </si>
  <si>
    <t>AKLSGMMMNQLGRSVASFEHIYFPLYHRKGFVAINTQDVQPQGHAAGGYVLDPQAGIHDH</t>
  </si>
  <si>
    <t>IIVLDFKSLYPSVIRTFKIDPLSIINRTINTYTTPYGTTLSKSEHVLPNYIGYLLDQRQK</t>
  </si>
  <si>
    <t>AKDENDPYLSQAIKILMNSFYGVMGSFGCRFYNKDLPSTITGIGQFLLKESRIFIEKFGY</t>
  </si>
  <si>
    <t>RVVYGDTDSLFVKLRPDDAAYYDIRGEELCTKLNTYWAERIKKTYGLDSFLDLEYEKYYK</t>
  </si>
  <si>
    <t>RMLLPAMRNGEGGAKKRYCGLLMKGDKETLHFTGMESVRSDWTPLAKAFQNELYGRIFRN</t>
  </si>
  <si>
    <t>EPYETWMKQFVERVQLGEYDAQLVYRKRLRKATDEYVKNVPPHVKAAKLLKSPAYYINYV</t>
  </si>
  <si>
    <t>ITVDGPQPIENQNSKILYQHYIDKQLEPIADSILKFSGRSFRELNKRQLSLF</t>
  </si>
  <si>
    <t>&gt;1704MEGAvirome_7-GSNBW_NODE_1412_length_5395_cov_19.108113_2 [2124 - 1] (REVERSE SENSE)</t>
  </si>
  <si>
    <t>RIMTDKQLRDKLKNLFDTQVVVRRVGKDRIKVVDMSKLQSGGTARQSKYGGSFSGMHTSR</t>
  </si>
  <si>
    <t>MRGYSPHNQTLNFHSSKLQLFTDYEAMDTDPIINSALDIYSDESTVSYPDGDILKIKSED</t>
  </si>
  <si>
    <t>DNIKKILRNLYYDILNIDYNLWSWIRNMCKYGDFYLFLDIEKNIGVKNVIPLSPYDMRRV</t>
  </si>
  <si>
    <t>EGQNIVNPYEVFFRYEGEKPIGELAARNEKRLENYEIAHFRLLTDTNFLPYGRSQIEGAR</t>
  </si>
  <si>
    <t>KLFKVLVLMEDAMLIHRITRAPERRLFKIDVGNIPPKDVDAYMNKLIDSFQKVPYVNQNT</t>
  </si>
  <si>
    <t>GDYNKKYNVQNMMEDFYLPVRGKETGTDISTLPGMGSDGFIDDVEYMKERMMAALKIPKA</t>
  </si>
  <si>
    <t>WIGYDKGVEGKCISPDTEIPLLSGETKTVSDLIVDFDNGVKNYVYSLDEETGKIVPGEVE</t>
  </si>
  <si>
    <t>WAGYTRLDAEVVRVWLDNEKYIDCTPDHRFLLRDGTWIEAQYLKPEDSLMPYDNLEIGGK</t>
  </si>
  <si>
    <t>NFLVNRVEVFSERIDTCDLTISKYHNFGTSAGVIIHNSVLAAEDIRFARTIERLQKIAVS</t>
  </si>
  <si>
    <t>ELKKIGIVHLFTQGYTDESLIKFELELNSPSIVYKRQQVDLMSEQMALAQNMMDSNMFSM</t>
  </si>
  <si>
    <t>RYIYENIFDLSTIEWAVMKDELTQDLRDKFRFAQIETEGNDPELSGMSFGTPHDLLSMQM</t>
  </si>
  <si>
    <t>ASKQDPGKPDGFDPFNPPGEAEEMRGRPKKLGTFGTHDDTMGRDPVGD</t>
  </si>
  <si>
    <t>&gt;1109MEGAvirome_6-GSNCC_NODE_1020_length_4018_cov_29.088708_1 [2 - 2488]</t>
  </si>
  <si>
    <t>TLIDYTTGESLIDTTLWSKTKDPESGKLIEKKLASSAYGDNTYRYHHTPGMISVDALQIF</t>
  </si>
  <si>
    <t>RKETKHDSYTLDNIAKHYLDIHKIDLKPWEMFAKFQEIDPKGRTDIAEYCVRDCELPIKL</t>
  </si>
  <si>
    <t>VHKMNQLNGLIEFSKVTNVPIDWLLVRGQQIRVYSLIAKAARDKEFLIPDMQNSGGDDGL</t>
  </si>
  <si>
    <t>GFTGAVVLDPKSGGYTEDIICAMDFASLYPSIMMAHRMCGSTLVTDQEYAYCPDIEYYEV</t>
  </si>
  <si>
    <t>EAAPGVKVRFAQTDDNVIPGLLYDLKALRKQAKKDMEAADTEFTKGLLNSRQLAYKLVMN</t>
  </si>
  <si>
    <t>SLYGALGSNHGLLCGLKKISMSVTATGRWMIYETKRLVETLNPGSKVVYGDSVAEWTPIT</t>
  </si>
  <si>
    <t>IRYNGQMEIMTFEDLATRVTWIPRSDGKEYAHHDGLEIWSDKGWTSVNAIIRHRHTDPLV</t>
  </si>
  <si>
    <t>RVATHTGVVDVTAHHSLLRPNGEMVKPSEVSIGDDLMHADGPHMTTTSLDPKNDICQTGH</t>
  </si>
  <si>
    <t>VEAAKMFRALRSAGHDVTITSSTGDTYTISTRPLDEKRTCIQSMTPIPYNGYVYDVTTEN</t>
  </si>
  <si>
    <t>HHFAAGIGNLIVHNTDSVLCILNCGEKNRQNLKEHFRVAEQIADQITKHFLPPHELEMEK</t>
  </si>
  <si>
    <t>AYFPYLLVTKKRYAGLMYEHPDKTPKIDIKGLQLVRRDSPKLVKRISHGMLEILLYQRSF</t>
  </si>
  <si>
    <t>EKALVYVQEQILDMLNGKVPFEEYIMSKSLRSNYKNTNLPHLIVSKKRQQRGGNAFHSGE</t>
  </si>
  <si>
    <t>RVPFVYVQSDTDMDLGISQRAEDAEYAKDNNIPIDILYYIKNQVLTPLVTLLQLHYKQAE</t>
  </si>
  <si>
    <t>SDILNHKDIAQKMITLQAFTNNLVKKSKRVRTNATNKQREITSFFKRDP</t>
  </si>
  <si>
    <t>&gt;1109MEGAvirome_6-GSNCC_NODE_1124_length_3708_cov_35.344312_10 [2700 - 1] (REVERSE SENSE)</t>
  </si>
  <si>
    <t>FMAHRNGHTCIEFGKDSMPAAYHPNTKYYSPIMAYYIASWECRDVEDSRGTRCEVIAHGK</t>
  </si>
  <si>
    <t>TRHGKDAMLRIPWTPFFHVEVPKRNQSVLGAKSFFMTLCDTTRGIKRDLCRVVKKKPFVG</t>
  </si>
  <si>
    <t>FRNSETRYFVCMVFDSLAAWKRAKYNYKHTLYEAALDPLIKFFHVSGLTAAGWISIGSHR</t>
  </si>
  <si>
    <t>VVDLDDESRLSRETVHEIVVDSYRDMTLCPDMEHETPPLVICSWDIEAFSESGAFPDSSK</t>
  </si>
  <si>
    <t>PSDRVITIGAVYATFGSAEPYARSVHVLGTCNDIEGVTVYRYESEVDLIHGFMTETVRQR</t>
  </si>
  <si>
    <t>TDFLLAWNSYGFDHSYIDGRAVTLIDYTTGESQLDMTMWSKTRDPESGKLLEKKLASSAY</t>
  </si>
  <si>
    <t>GDNTYRYHNTPGMISVDALQIFRKETKHDSYTLDNIAKHYLDVSKIDLKPWEMFDKFKES</t>
  </si>
  <si>
    <t>DPLGRTQIAEYCVRDCELPISLVHKMNMLNGLIEFSKVTTVPIDWLLLRGQQIRVYSLIA</t>
  </si>
  <si>
    <t>KAARAKDFVIPDMHGTENDGLGFTGAVVLEPKSGGYTDDIICAMDFASLYPSIMMAHKMC</t>
  </si>
  <si>
    <t>GSTLVTDEQYAYCPGVEYYEVEAAPGVKVRFAQTDDNVIPGLLYELKALRKQAKRDMANA</t>
  </si>
  <si>
    <t>DNDFTRGLLNSRQLAYKLVMNSLYGALGSNHGLLCGLKKISMSVTATGRWMIHETKRLVE</t>
  </si>
  <si>
    <t>TLNPGSQVVYGDSVAAYTPIYVKREGESTLTTCEALAYTLTWQPRDDGKEYAYCPGLETW</t>
  </si>
  <si>
    <t>SDSGWTRVETVIRHAHQGPLIRVATHTGVVDVTQDHSLLLDTGDMVSPRDVDVGTRLLHA</t>
  </si>
  <si>
    <t>PGPEITCQKDEPLTDQVSIARMYRHLQKMGPVSVTADAHGIHLHRTHTSDPTCVTGTQTI</t>
  </si>
  <si>
    <t>PYTGYVYDFTTANGHFSAGVGDIVVHNTDSVLCILNCGPENRQNLPRHFEVAEDLANQIT</t>
  </si>
  <si>
    <t>&gt;1109MEGAvirome_6-GSNCC_NODE_124_length_15589_cov_13.358849_67 [4491 - 2614] (REVERSE SENSE)</t>
  </si>
  <si>
    <t>FVLLSRYTGHDQRGPLTDLPQGTFLFYPSSTTYHYVTSVLPMQELKMESYTLDNVCRAYL</t>
  </si>
  <si>
    <t>DNMTKIDLKPHDIFRKQREEAPDGRTQIATYCIRDVELPLRLAAKLNNLNNLLEFSKATC</t>
  </si>
  <si>
    <t>VPIEFLLVRGQQIRCLSLIARKARSMGYLINDTQQHTXXXXIYPPPHPVSGAGGAGPDEV</t>
  </si>
  <si>
    <t>PFVGATVLEPAVGAYMDDVVSVLDFASLYPSIMMAHSICPTTMVTDARWNDVPGVEYKRV</t>
  </si>
  <si>
    <t>DVSPGHTVAFAQTPEHAVIPSLLADLKQYRKQAKKGMALAAEAGDAFAESLYNSKQLSFK</t>
  </si>
  <si>
    <t>VSMNSVYGFFGVSKGLLTGLKAISSSVCAIGRHMIFTTKSMVEQRGHRVIYGDTDSVLCV</t>
  </si>
  <si>
    <t>LNLGDAKRRDLDAHFRAAEALAADITTVFKAPNELEFEKCYSPYIIYSKKRYTGLCYTSL</t>
  </si>
  <si>
    <t>TKPPKQDTKGLTLVRRDNAALVRRISTAVLHCLLYDRSFEKALACAQSNILDVLEDRVPW</t>
  </si>
  <si>
    <t>DEFIVSKSLRRDYKNPGSLPHVVVAEKRRQRGNPCEYGSRVPYVYCLDATNQDLITSKRA</t>
  </si>
  <si>
    <t>ECPDYARENSLQLDKLYYIRQQIINPISTLLGVKWPDAAHKIMCHPAIHEHIMRLTSQEV</t>
  </si>
  <si>
    <t>TMIREAKRVRTNTKNKQREITSFFSS</t>
  </si>
  <si>
    <t>&gt;1109MEGAvirome_6-GSNCC_NODE_13_length_35477_cov_47.359929_41 [14518 - 11783] (REVERSE SENSE)</t>
  </si>
  <si>
    <t>KKKTDVMDIFPVDWSTHEDETIFEVIFYGKTQESESVCVRVKFLPYFYVEIPSTWNVYKR</t>
  </si>
  <si>
    <t>KNFLTTCVDSGANRDQSTFMSKQNIYGFTNGSTITVLRLAFDTMQKFKYMKRQLENKRMQ</t>
  </si>
  <si>
    <t>LYETSCDQIIRLMHVRNILPCKWIHIERFSTPEQRISRCQKEVKVHFQWVTPSTVTSIPP</t>
  </si>
  <si>
    <t>LIIASFDIECYSASGGFPIAENEGDTINVICTCFEKFGEKEPYLKHAVVMGKSDTIDGVE</t>
  </si>
  <si>
    <t>VVEKMTEEDVIQEWIQTLQNEDIDILVAWNSYGFDYKYIYNRCQVLVDNDTGLSFVDLSQ</t>
  </si>
  <si>
    <t>LGKAQKGGGLPISKQLNTNAYGENNYFFISAPGILHLDLMQIVRKEKKLDRYTLNHVSDT</t>
  </si>
  <si>
    <t>YLGDTKIDLPPQQIFAKCVSGDPHDLAEVTAYCIKDTELPLRLMHRLCTLHNMLEMANAT</t>
  </si>
  <si>
    <t>SVPFDFLITRGLQIRVYSLILKKARSLDFICPEIKTTYEGDGYKGATVLEPERGSYLKPY</t>
  </si>
  <si>
    <t>EIVCALDFASLYPSIMRAENMCLSSLVLDDEMYGQCEGIEYYTIETPIGIFKFAQNTVSV</t>
  </si>
  <si>
    <t>LPSLLDDLAQFRKQSKKLMAEAKEQGDTEMEKVHNSSQLAYKICMNSVYGALGVTRGYLP</t>
  </si>
  <si>
    <t>CIPIAVSVTSTGRNMISQTRDLVHTLNPGSRVIYGDTDSVLAILNPPHIESMESHFEVAE</t>
  </si>
  <si>
    <t>KLADQISQTFKKPHCLEFEKAYHPYLLFSKKRYAGMLYTNPHTPDYMDAKGLQLIRRDSC</t>
  </si>
  <si>
    <t>PFVREMSHAILDSIMQDRQVDLAISKAKEYVLKLLRHEVPFDAFIVSKTLKNTYKNPDSQ</t>
  </si>
  <si>
    <t>PHLQVALKIAERRGYPVPSNERVPFVIIQDPSNVDLLIAHRAEDPNYATEHGLKLDTLHY</t>
  </si>
  <si>
    <t>FDSQVTGPLESLMEILESGAMQKYILDDEDIQPLLHDLRNQRHVDTKEAKRVRKNVMNRQ</t>
  </si>
  <si>
    <t>REISSYFFTKPR</t>
  </si>
  <si>
    <t>&gt;1109MEGAvirome_6-GSNCC_NODE_1602_length_2614_cov_1.834458_1 [3 - 2213]</t>
  </si>
  <si>
    <t>ISHSVRKAQAINSDIKKWSLKYITDYSGVAKKNRVYVPGNELHSIWSDTRDYWFNDENGS</t>
  </si>
  <si>
    <t>WGLLEKLSEDERVSLPDHLTKVKGDYIVQRYLLDDLWETEQVDGIYNQAAYLVAKLLPTS</t>
  </si>
  <si>
    <t>YMRSSTMGTAGQWKLIMAAWSYENYLAVPDLEPKRDFVGGLSRLIEVGYAKNVDKFDFAA</t>
  </si>
  <si>
    <t>LYPKTQLTWDIFPSLDISGVMKGLLTYIVDKRDEFKFLTGKHKSEAKRLQSLLDKNRDKL</t>
  </si>
  <si>
    <t>SPERIAKAEMMINKEKRLASDYDKKQLPLKILANSFFGAYGAPYLFNWGDSNCAEETTCR</t>
  </si>
  <si>
    <t>GRQSLRLMVRVFKEDFGFKPLVGDTDGFNFARPDSVNDYIYVAKGSHWKTEGKGGQELKG</t>
  </si>
  <si>
    <t>VEAVLAYFNETYMEGRMGLDLDDVCDSTINFSRKNYANLIDGKVKLVGNSIKSKSLPAYI</t>
  </si>
  <si>
    <t>EDFINDGVRLLLDNKGYEFIELYHKYVEDIYNYRVPVAKIASKSKVKMTRKNYRDVYCKQ</t>
  </si>
  <si>
    <t>KNKAGNFKSRQAHMELAEVHDLNVNLGDIIYYVNTGTAKSHSDIKAIRNKENGSVDIKFN</t>
  </si>
  <si>
    <t>CKLLPIEEIENNPDFTSDEYNVAKYLDNFNKRIKPLLVCFDPEIRGGIIRNVYKDKKTKV</t>
  </si>
  <si>
    <t>LKLEDKNVFTKKDCELVAGKPFEESDQDDYYEDLMKMEDKEIRFWDSVDKLPNFMEQEEW</t>
  </si>
  <si>
    <t>DRIRADYKERKRIEALEGIRRESDLLDNIFKLLDIADYDKIKSKGKLPKEFNFVDVVDID</t>
  </si>
  <si>
    <t>GVFYFVSKSWGVILDKF</t>
  </si>
  <si>
    <t>&gt;1109MEGAvirome_6-GSNCC_NODE_1722_length_2435_cov_14.129915_1 [2 - 1903]</t>
  </si>
  <si>
    <t>EDIICAMDFASLYPSIMMAHRMCGSTLVIDQKYAHVPGIEYYEVDAAPGLKVRFAQTDDN</t>
  </si>
  <si>
    <t>VIPGLLYELKALRKQAKKDMEAADTDFTRGLLNSRQLAYKLVMNSLYGALGSNHGLLCGL</t>
  </si>
  <si>
    <t>KKISMSVTATGRWMIHETKRLVEELNPGSKVVYGDSVAAWTPITIRYNGQMEMVTFEDLA</t>
  </si>
  <si>
    <t>TRVTWIPRNDGKEYAHHDGHLDIWSDKGWTPVNTIIRHTHTDPLVRVATHTGVVDVTAHH</t>
  </si>
  <si>
    <t>SLVRPNGEVVKPSEVSIGDDLMHADGPHIPSEMLESLVTQTITGHLEAATMFRALRSAGY</t>
  </si>
  <si>
    <t>AVSITSSIGDTYTLSTQPLDDNKTCIQSMTPIPYNGYVYDVTTGNHHFAAGVGDLIVHNT</t>
  </si>
  <si>
    <t>DSVLCILNCGEENRQNLKEHFRVAEQIADQITKHFLPPHELEMEKAYFPYLLITKKRYAG</t>
  </si>
  <si>
    <t>LMYEHPSKTPKIDIKGLQLVRRDSPKLVKRISHGMLEILLYQRSFEKALVYVQEQILDML</t>
  </si>
  <si>
    <t>NGKVPFEEYIMSKSLRSNYKNTNLPHLVVSKKRHQRGGIPFHSGERVPFVYTQTETDMDL</t>
  </si>
  <si>
    <t>GISQRAEDAEYAKEHNIPIDVLYYIKNQVLTPLVTLLQLHYKTAESDILNHTEIAQKMVT</t>
  </si>
  <si>
    <t>LQALTSRLIQKSKRVRTNTTNKQREITSFFKRDP</t>
  </si>
  <si>
    <t>&gt;1109MEGAvirome_6-GSNCC_NODE_31_length_26769_cov_52.486654_80 [14111 - 9906] (REVERSE SENSE)</t>
  </si>
  <si>
    <t>IVESGGKDDLHGYFCKQTTTCIHRPMWRSFTLQNGPDGVGDRLQVSNRCPGMPGTMVNTG</t>
  </si>
  <si>
    <t>VKSKYIDRRIPHIRQTSGNLVLSVDFIAWIIAPVSIFITLCNNGDAGGGKEKVRAIPAAG</t>
  </si>
  <si>
    <t>DGFVVPERSPLSGEHAFEYVSGDGFRAHMNGHTVFAVKTSTRSSIPAYLYKRKKNMRAYI</t>
  </si>
  <si>
    <t>ASWECKDIDGRCEILAHGKTETGDVLIRIPWTPYFQIEVPKRNQTEMGARAFGMTLYDSV</t>
  </si>
  <si>
    <t>PGLVKPLCRVVKKKPFVGFRNGKKHYFVQLVFENLAMWRRAKYNSKHTLYEAALDPLIKF</t>
  </si>
  <si>
    <t>FHVSGVPAAGWVSITGAHTEILDDAKISRPHVTEFKVESYRGIERGPQSLDNETPPLVIC</t>
  </si>
  <si>
    <t>SWDIEAFSDSGAFPDSSKPSDKVITIGAVYARFGDPTPMAQSVHVLGTANPIDGVDVYTY</t>
  </si>
  <si>
    <t>DQEEDLITGFMMETVRRRTDLLLAWNSYGFDHSYLDGRAVTLIDDQTGKSLLDMTVWSKT</t>
  </si>
  <si>
    <t>KDPEAGKLVEKQLASSAYGDNTYRYHNTPGIISVDALQIFRKETKHDSYTLDNIAKHYLD</t>
  </si>
  <si>
    <t>ISKIDLKPWEMFAKFRESDPTGRTEIAEYCVRDCLLPIQLVHKMNMLNGLIEFSKVTHVP</t>
  </si>
  <si>
    <t>IDWLLLRGQQIRVYSLICKAARDKDFLVPDMHQSGGDDLGFTGAVVLDPKSGGYTQDIVC</t>
  </si>
  <si>
    <t>AMDFASLYPSIMMAHKMCGSTLVTDPQYAHCTGIDYYEIEAAPGVKVRFAQTDDNVIPGL</t>
  </si>
  <si>
    <t>LYDLKALRKQAKRDMEAAGTDFTKGLLNSRQLAYKLVMNSLYGALGSNHGLLCGLKKISM</t>
  </si>
  <si>
    <t>SVTATGRWMIHETKRLVETLNPGSTVVYGDSVAAWTPITIRYHGQMDIVTFDDLAARVTW</t>
  </si>
  <si>
    <t>VPRSDGKEVAHHDGLEIWSDKGWTSVRAIIRHQHIDPLIRVATHTGVVDVTAHHSLLRPN</t>
  </si>
  <si>
    <t>GEMVKPSDVSIGDALMHADGPNFETKQVITDRGIKFARILGFFVGDGSLSNSDHKLLIFY</t>
  </si>
  <si>
    <t>KRLLEDVYPTVEWKINDTLKSSGVYKLVPGNNTSGFVKEWENMCYSGKAKIIPRFIHESD</t>
  </si>
  <si>
    <t>CHIKREFLKGFYDADGIKSDSMRFDQKHQITCAHFFLMLRSIGYKVSISTGVDKPFVFRL</t>
  </si>
  <si>
    <t>TGTFSCQRKSKTSVRKMYDIPYTGYVYDVTTDNHHFAAGVGDLVVHNTDSVLCILNCGED</t>
  </si>
  <si>
    <t>NRQNLNEHFRVAEDLADQISKHFLPPHELEMEKAYFPYLLVTKKRYAGLMYERPDGTPKI</t>
  </si>
  <si>
    <t>DIKGLQLVRRDSPKLVKRISHGMLEILLHERSFEKALAYVQDQILEMLQDRVPFEEYVMS</t>
  </si>
  <si>
    <t>KSLRSNYKNTNLPHLVVSRKRVSRGGTPFHSGERVPFVYTRTETDMDLGISQRAEDAEYA</t>
  </si>
  <si>
    <t>RDHDIPIDTLYYIKNQVLTPLVTLLQLHYKHAEGEILNHTEIASHMVRLQALTSRLVQKS</t>
  </si>
  <si>
    <t>KRVRTNATNNQREITSFFKRDP</t>
  </si>
  <si>
    <t>&gt;1109MEGAvirome_6-GSNCC_NODE_404_length_8027_cov_7.085350_2 [3 - 2111]</t>
  </si>
  <si>
    <t>TGDTPVFVRDPATNMVNIVPIEELAGVNKWGSYEEFKPWDTNRREKQQTNVNLEVWSKGV</t>
  </si>
  <si>
    <t>WTKIKRVIRHKVAKRIFRVNTHIGCVDVTEDHSLLDPAGNKVKPTEVKVGSPLYHAELPQ</t>
  </si>
  <si>
    <t>CETDKTLTILDAQELGKQSFMEFDKSTIKSLLNSPIQIKKAFLYSMMGIGGTVQTSNKLR</t>
  </si>
  <si>
    <t>AQQMYYLMSSCGLPVCVNERDGTYTVGTMHKANHTEWITNIKKLKHIKDNKDEFVYDLET</t>
  </si>
  <si>
    <t>EEGAFGAGIGCMILSNTDSVMIKYPTKTKKDPTVKLQPKHIQEARLRESIECAVMVENRM</t>
  </si>
  <si>
    <t>GELLPWPHCLEYEKTFYPYFLYSKKRYSGVLYEYDVTKPKYTDNKGNVLTRRDNAPIVKT</t>
  </si>
  <si>
    <t>VFGGTLKILMEQHDVDASVKFVKDSIMAMTKNKFDSEQFIVTKKLKDRASYKNPTQIAHR</t>
  </si>
  <si>
    <t>VLADRMIERDAGSAPQNNTRMQFAYVDIDKKKQKKIIRGYKARGIAGQKLLQGDRIEDPD</t>
  </si>
  <si>
    <t>YIKVNNLKFDYLFYVTNQIQKPVCQLLSLFMQKPEIKVFKPLISQIKASSAGLRSITDFF</t>
  </si>
  <si>
    <t>GAMPAAKAPKSTSKSKKTVKAITLPKKPVGKSTGKPVGKASKKTTKTAKTVKPKKTTKTI</t>
  </si>
  <si>
    <t>KIKKTIKPDKVNKTNYVYLELGFHPQQPFIVGIHNSEKEAPSDAIKIKKSDYEKVKRGDM</t>
  </si>
  <si>
    <t>EMNVKFFFRGGNTRPTSVKIMDDDDSENDDCFSLEEIIGTWEE</t>
  </si>
  <si>
    <t>&gt;1109MEGAvirome_6-GSNCC_NODE_526_length_6564_cov_5.833359_1 [2946 - 6017]</t>
  </si>
  <si>
    <t>KHPVPLQIGISTTKGFSKVLHADNYEEELEAIKETYALIKELDPDIVLGYNSENFDWPYL</t>
  </si>
  <si>
    <t>EKRYSILTEKESIDEAYDDIRDILFEEELGVFKWNVYNKRNSTLKVGGAVEKYNQTNMYG</t>
  </si>
  <si>
    <t>KTILDGWHNIKKLQAIDKRDSLSLKWNVKHEKINKKNRVYVPGDSIGAIGKDEREYFFCD</t>
  </si>
  <si>
    <t>ENGDWFVNEIPIETQDYYYKNNRVKRDENGVKYYGNKSKLYINTTNGPDNEVRGCSNVVT</t>
  </si>
  <si>
    <t>LNEDVTLFENSLYNAMKGYNSLVIPKKRFGIEYKGTEKYGEIVSLLKRIGQNFKNLNKVY</t>
  </si>
  <si>
    <t>SHLDFSKYEKVSGKYIIERYLLDDLWETVKLFEKTGQSSYMLGSWVMIGAQRVYTMGYAS</t>
  </si>
  <si>
    <t>MWKIIITCWFYHKGLGVPDFEGYRKINGGLIGMFKAGYSKNVVKYDASSLYPSVKLAYLP</t>
  </si>
  <si>
    <t>APAWDIMGITDGLLNHFLSTRLKYKALKGKFYKEGDFEKSKLYGILEQPLKIFINSYYGF</t>
  </si>
  <si>
    <t>LGAWTVSPFSDTLTAHGITAISRQVARHMIMWFEKRGFKAIYSHTDGINFIFPDNVDTYE</t>
  </si>
  <si>
    <t>YIGKGINWLVKKDKVYKGLEAYVSQYNDDFMEDKMGIDIDGIDYACINIAKSNVVHLKIT</t>
  </si>
  <si>
    <t>KSGHEIDIVGGLIKKDTKKYIRKFLDHRLKPLLLGEGKEYIKEYIYYLQKINNKDIKGVD</t>
  </si>
  <si>
    <t>IADFVKIKTLKEYDTEYKSRMAVYELVKKKKIPYEPGSLFYYYNNGKQSFDFKEDKDKIG</t>
  </si>
  <si>
    <t>MFLVEPFNRDAVAKLENVLNEFDRETVKEKILKASSTNISLSNYSKPDDTLEEKAFIFSK</t>
  </si>
  <si>
    <t>KRMSINEMYEMGYDDLAKKHEDDLEDHDQQKMYEKTFYIDEIEDWDSIKIKRNTHKKYGL</t>
  </si>
  <si>
    <t>CLEVYMVNDRLNITNLPVDEHEDKVDYNVKKYIEQFYKAIEPLHLVFNNETRKMLINIKD</t>
  </si>
  <si>
    <t>GIKKRSEKWMDYVNKLYGTNYESTDELINEIDCNMINGIPLEGKEDNQQDKDKIMNIDPV</t>
  </si>
  <si>
    <t>EYTYWNDSEMHPYWFLNKKKIEGDIFYINQEKQYIYDNECDNPFAVCNRIGLIQHYAKNN</t>
  </si>
  <si>
    <t>FKAA</t>
  </si>
  <si>
    <t>&gt;1109MEGAvirome_6-GSNCC_NODE_731_length_5181_cov_31.145694_3 [2596 - 533] (REVERSE SENSE)</t>
  </si>
  <si>
    <t>IYKKIKYTEMNKYYCNTVNEAELIYSILTESHPDKKTNITYNYNDKTYTITLTDQTISKN</t>
  </si>
  <si>
    <t>EEVAVDIPVDLNIEIVYGDSVSEDTPLILKDMYSDRIFISDFKSIDCDWKDYPNFKILDK</t>
  </si>
  <si>
    <t>DIPLEKQYSEYPYEVWSHLGWNPIKKIIRHKTEKKLYSVHTDNGCVQVTEDHSLLTTDLV</t>
  </si>
  <si>
    <t>KIKPINTTSTTDLLHSFPDDIWDFQFQYSKLCKYSYKISSCVNKLYGIFFSLGYVNKSSG</t>
  </si>
  <si>
    <t>VWYLNHPLKPWFSFTSYKMLWEHLYPEQEFKITNNDLHLTGDIELDTEFFEEYESQFYKN</t>
  </si>
  <si>
    <t>GEKVVPDYILNSDVNTIEIFISGVWLSKCLRDHTGNFIIQTTGKLACQGMYFLLKKCNYN</t>
  </si>
  <si>
    <t>VVVESFPNKQVFNIIYSRQNIIEPNCKINKIQEIEMNKSNWVYDIETEQGTFLAGIGEIV</t>
  </si>
  <si>
    <t>VSNTDSIMAKFSFNRNDFEKNRKDTFYIATVCGEKLTNEIFNRPPIEMEFEKVFQPFILL</t>
  </si>
  <si>
    <t>TKKRYIAKKYDNLKNPFDLSGVDAKGIALTRRDYCKMVKMCYRSIIDSIMDNEIKDPEKR</t>
  </si>
  <si>
    <t>INNSIFIFKKYISDIENWRVEIDNLVVSAMLAKEYKTDNLPHVVLSKKLKARKEEVQVGD</t>
  </si>
  <si>
    <t>RIPYIFIEGNMKKQKKSELAEDPAYAVKNKLKFNRVCYLEQLAKPILGFYKIVLKSEKER</t>
  </si>
  <si>
    <t>MDDLIRYVNEKLINFGGSKLSAGEFKVE</t>
  </si>
  <si>
    <t>&gt;1109MEGAvirome_8-GSNCH_NODE_1551_length_13908_cov_5.423948_18 [9367 - 11325]</t>
  </si>
  <si>
    <t>EFNSFVKNLRFKIDMFVFPVHWSTRESAGIFEIVVYGKTNTGTSICCRIVFPPFFYIGIP</t>
  </si>
  <si>
    <t>QHWSKAQKRAFKQTCILEKKCDPKLTDYVVRKNIYGFTNNKDIVVLRVVFRTLKDLRFLK</t>
  </si>
  <si>
    <t>KEMERKYQTYEAQVDPILKLMHVRDIQPSGWMDVKGTCISNPDMKISVCDEEVMVDFLRV</t>
  </si>
  <si>
    <t>GPAPDMDTPPPIVLASFDIECYSASGGFPVAENEGDAIKVVCTCFQMFGTSQPYLKHAIV</t>
  </si>
  <si>
    <t>WGQCAAVEGVEVFVAEDEAELIEEWFRVLRRESADMIVSWNGFGFDYKYMYNRAMMLVNQ</t>
  </si>
  <si>
    <t>FSGETLINMELMGKSKEGGGKSVIKKLASNAFGDNTYFWMSADGMVHVDLLQVVRKEKKL</t>
  </si>
  <si>
    <t>DKYTLNHVAQTFLGDHKVDLPPAQIFKKCASGDPKDMAEVVVYCVQDTLLPLKLSNRLTI</t>
  </si>
  <si>
    <t>LHNMLEMSNAVMVPLEYLITRGMQIRVFSLILKKSRSMNYICPDLQKDKDDSGGGDEKFQ</t>
  </si>
  <si>
    <t>GATVLEPDCGSYLQDHEIVSCFDFASLYPSIIRAENLCYSTLVMNDEYDNLPGVEYYTCQ</t>
  </si>
  <si>
    <t>TPQGTYKFAQGVQSVLPALLNDLSLFRKKAKKLMAEHKGTEKEKIFNGQQLAYKIAMNSC</t>
  </si>
  <si>
    <t>YGFLGSSHGYLGCLPIATTVTSTGRQMIETTKQCVLKLNPGARVIYGDTGTFV</t>
  </si>
  <si>
    <t>&gt;1109MEGAvirome_8-GSNCH_NODE_1991_length_11696_cov_15.462546_6 [4380 - 6761]</t>
  </si>
  <si>
    <t>MLETIPGFILTRQWQDTDSGQSLLFWLASDQGPLLIEVTDSPSVCFVAEQHAVLAGQLLK</t>
  </si>
  <si>
    <t>DFPGSTLAAVNLKSFAGDQVKACYLPGQKQLSQFRSRVGDRFTLFEADLRPTDRYLMERF</t>
  </si>
  <si>
    <t>LKAEVIVQGEFEARSGYLYSKNPRMQPRSVRPKLNVASLDIETSYTEHILYSIAVSIRAD</t>
  </si>
  <si>
    <t>SGNSESHGNVEKIFMVNEAGRDLVELDQAQLEFWPDEKSLLEAFLHWFASQDPDVVIGWS</t>
  </si>
  <si>
    <t>VVGFDLSFLQQRCDHYKIPFTLGRDQQVVSWRTATQSGNKQFALVPGRVVLDGIELLRTA</t>
  </si>
  <si>
    <t>TYQFESFSLENVSRELLGRGKLVHDVDARAAEIQTMFRDDKYQLARYNLEDCNLVHDVFA</t>
  </si>
  <si>
    <t>HTNLLEFALERSRLTGLDVDRAGGSVAAFDFLYLPKLHRQGYVAPVVPEDARGGAPGGFV</t>
  </si>
  <si>
    <t>LNSLPGIYSNVIVLDFKSLYPSIIRTFNVDPLALVASQEEANPIPGYKNAYFSRSRVILP</t>
  </si>
  <si>
    <t>DIIAALWTARDKAKRQQLSAMSQAIKIIMNSFYGVLGTPGCRFFDDRLVSSITLRGHEIL</t>
  </si>
  <si>
    <t>QTTRDLIEAQGYRVIYGDTDSVFVLIDSPEGQVNNIGVHLTNYLNDWWQAHLEENYQVKS</t>
  </si>
  <si>
    <t>CLEVEFETHFLRFLMPTVRGSEVGSKKRYAGVIEQDGQQKLVFKGLETVRSDWSPLAREF</t>
  </si>
  <si>
    <t>QQELYGRVFRNEPVTDYIREVVSGVKDLPLRQLVLRKRLRRQLQEYQKNVPPHVRAARLA</t>
  </si>
  <si>
    <t>DEIRAARGLAPAYASGGWIEYVMTTSGPEPFAYVRSPVDLDFYVARQLSPIADAILAFEN</t>
  </si>
  <si>
    <t>TSMAKILDKQMALF</t>
  </si>
  <si>
    <t>&gt;1109MEGAvirome_8-GSNCH_NODE_213_length_33927_cov_29.959683_60 [5489 - 3156] (REVERSE SENSE)</t>
  </si>
  <si>
    <t>KVRFSKLAKIRYKSLMSLGFLLTSHAFDTAQGLQVCLVGTSEEGPFELRFTNEKAIFFVH</t>
  </si>
  <si>
    <t>SDAEFDLSVSHERKPLPLADFGGKNIDALYFSKLADLYEARDQLATKGIRTFESDVRPAE</t>
  </si>
  <si>
    <t>RFLMERFIKGSVEFVGELSSVEQGVRIYHNPKIKASTYIPKLSSISIDIETSRGDDLFSI</t>
  </si>
  <si>
    <t>ALHYHDHHQDIRQVFMVGAAQGPIEDGELFYYPDEKSCYQAFEKSFLKLDPDLILGWHVV</t>
  </si>
  <si>
    <t>GFDLLFLDKKCRGWGSRLSLGRRGRDILLRENANNRGWNADVFGRCVLDGPPTLRGAFYS</t>
  </si>
  <si>
    <t>FENFKLDTVAAELLGRKKLINQTGMEKVAEIERQFREDKVSLARYNLEDCVLVTEIYQKT</t>
  </si>
  <si>
    <t>NLIELMTQRVFLTGLLFDRVAFSTSAFDYFMLPLIHRKGVVAPNILDMNRTEQTAGGLVL</t>
  </si>
  <si>
    <t>DPVAGMHEGVFVLDFKSLYPSIIRTFKIDPYSRLNSHIDTVTTPTGHQFSGTEHLLPELL</t>
  </si>
  <si>
    <t>TELMEKRKQAKEQNNAPLSQAIKILMNSLYGVMGTTRSRFYHADLPSSITGTGQWLLKKT</t>
  </si>
  <si>
    <t>VAFLEEQGHQVVYGDTDSVFVKTILPPEKGMELASLVNTYINEMVEKEFHITSFLEMEFE</t>
  </si>
  <si>
    <t>KYFVKIFLPKLRGQEAGAKKKYVGMLENHEIYFSGMEYVRSDWTRLAKNFQKKLYQKFMA</t>
  </si>
  <si>
    <t>GEDIEEFIKGTINDLSSGIFDEDLVYQKRMSKKLEEYTKSRPPHVQAAQRLQEAGQNIPS</t>
  </si>
  <si>
    <t>TIEYVITQNGPIPVELSPNQYDYEHYRERQIRPLAEVVLEHLGVKFDDLFGGGQLDLF</t>
  </si>
  <si>
    <t>&gt;1109MEGAvirome_8-GSNCH_NODE_2858_length_8638_cov_6.048929_6 [3689 - 6442]</t>
  </si>
  <si>
    <t>QKSAKMKVYILEWDHRDYCSSTGSKDSEEEEDRFEIIGFGKTPDGQSIVVRIQFYPFMYV</t>
  </si>
  <si>
    <t>KVPQHWSDSRQRLFVAECVKDLRVQSVHSCPISLKDAWGYSESPGKFVQLAFDTLKRQKV</t>
  </si>
  <si>
    <t>ARSRLVNNNYDIYEGNVDPIIRMCHVRKISPTGWISIESYSDAAEQTFQRSDLEISCEFT</t>
  </si>
  <si>
    <t>HIHPCDDTSIPPLILCSWDIEVYSHDGAFPTSDHPENKVIQVAAAFKRLGESDPYRKVVI</t>
  </si>
  <si>
    <t>CLDTTSPVDGADIICVDEEHVLLSEFVNILDTEKTDILMGWNTWQFDWRYLVGRENVLVD</t>
  </si>
  <si>
    <t>DDGDPLINFTGLGRGGPKAGQVRTWELNSGAYGQNVYMLIRAPGILDLDLMQLTKRDHKL</t>
  </si>
  <si>
    <t>DSYSLNAVAAKFLGDSKLDLPAHEIFKKFRGTADDRADIARYAVQDVCLPLRLFDKLCMY</t>
  </si>
  <si>
    <t>DNLAQMSVATCVPMDYLLSRGQQIKVYSLILQQAKKLGYALPDNKRMTISGKFEGATVLD</t>
  </si>
  <si>
    <t>AKKGAYFDIISGLDFASLYPSIIRSYNMCYSTLVLPGSPMPSDTYSVETGLGTYTFAQGQ</t>
  </si>
  <si>
    <t>KGIVPQLLENLAVWRKNAKKKMAECKKNGDTFGASVWNGAQLAFKVSANSVYGFLGASKG</t>
  </si>
  <si>
    <t>FLPCVPIAASVTATGRNMIEKTKNMAMQLVPGSNVVYGDTDSVMVQFNVPEEHRHDMGYH</t>
  </si>
  <si>
    <t>FKIAEDVAQQISDTFPGCIELEFEKCYYPYLLYSKKRYAGLMFTKPESPDYIDVKGLQLV</t>
  </si>
  <si>
    <t>RRDNAPIVKEVSQKILDSIMYDKSVDKALVSTKECIVRMLSGDFPMESFIVSKSLRGSYA</t>
  </si>
  <si>
    <t>NPNSQPHVQVARKIKERTGEVIESGVRVPYVFVVDEDTIHEKLISQRAEDPGYAKDNHLP</t>
  </si>
  <si>
    <t>LDYLYYLDNQIMSPVCALLDVLMDNPASILDSPEISRILAQMRDERETLVRTVKRVKKNR</t>
  </si>
  <si>
    <t>DNRQCEITSFFKIARNQK</t>
  </si>
  <si>
    <t>&gt;1109MEGAvirome_8-GSNCH_NODE_3185_length_7643_cov_3.243906_3 [952 - 4158]</t>
  </si>
  <si>
    <t>FGTASTLHKQKKIYRFFSIKCPCVPLAQQVLRHLRKILVRTNEKTNECTRGRDFLSCSIT</t>
  </si>
  <si>
    <t>DVATPGRTDLLIGGKNVSKESNYEKRTKKTDECTRYVRGRDFLSCSITDVTVPSLLLGFN</t>
  </si>
  <si>
    <t>RSNEKRVHYFGNICKASNKYIMDCFIIEWNATDRKVRYGTTEHLQCEMVGWGKTRDGVST</t>
  </si>
  <si>
    <t>CVRVPFTPFFFIRIPESEAFSDTSQGMFKQIVMDRCRGVLTDKVRVVYKKPFYGYQGGKS</t>
  </si>
  <si>
    <t>VPFIQVVFSSLRDFRSARYTARDSGWKTFESACDPMIKFFHLANLDPVGWTHFESPSPVS</t>
  </si>
  <si>
    <t>DEQKTVRSKVVEYRMKYFRDVSMSTDPEVTQTIPPLIIASWDIECVSDSGGFPNGANHND</t>
  </si>
  <si>
    <t>KIITIGCSYMRYGESEPFRNTVHQLGTCLPIDGADLFTYEKESALVNAWIEELTGMDTDV</t>
  </si>
  <si>
    <t>IIGFNIWGFDFKYIDDRSTTLIDFETGDSAIKLDAFGKALEGGGDRVEKNLQSSAYGNNK</t>
  </si>
  <si>
    <t>YIYHNTPGMIQLDLLMIFRKDLKLESYTLNNIAKTYLKDTEKIDLKPKEIFSCFKEDAPE</t>
  </si>
  <si>
    <t>GRTRIAEYCIRDCAIPLYLLNKLNVLTNQMEMAKVVCTPITFLNTRGQQIRCYSQIVRKA</t>
  </si>
  <si>
    <t>RVHGFLVNDMDRDGKGATSSYVGATVLEPKVGAYMQDIVSCLDFGSLYPSIIRAHRMCPS</t>
  </si>
  <si>
    <t>TIVIDQTYGTLQGVEYYKVETTPGRIVSFAQTDDAVVPALLDDLSQWRKQAKRDMADAKK</t>
  </si>
  <si>
    <t>RGDTFATALYNAKQLAFKVSANSMYGLFGSSTGMMPCVDLASAVTSTGRDMIQLTSKKVL</t>
  </si>
  <si>
    <t>ESGSKVVYGDTDSVFCIFNCGGENRTNLAAHMKKAQLMADTITKQFKAPNILEYEKVYYP</t>
  </si>
  <si>
    <t>FLLFSKKRYCGLMFEDDPTTPSKIDVKGLQVVRRDNCPLVREVSQEVMDILMYKRSFQMA</t>
  </si>
  <si>
    <t>LEHARKRVLEVLHEQVPWTKLVVSKALRGNYKNPSSLPHWCVAQKRKARGEHILDGERIP</t>
  </si>
  <si>
    <t>YVFVKDMLNSDALLAKRAEDVTWAREHGLSLDTLYYVRQQLLNPICTYLSLEYPDPSKEI</t>
  </si>
  <si>
    <t>LGYPDIASKMMALQLEETENIRESKRVKRLKKDKQQEITSFFRSSKPSS</t>
  </si>
  <si>
    <t>&gt;1109MEGAvirome_8-GSNCH_NODE_3579_length_6664_cov_4.190288_6 [5073 - 2821] (REVERSE SENSE)</t>
  </si>
  <si>
    <t>MSGYTRQSASEIIATNVVKAAPVNAEYNKLRDAFAFDSAGTTGHKHDGSSDEGSYVPLIA</t>
  </si>
  <si>
    <t>DVDGLNKVSVDTSNNRVGVFVEVSSSAVEQVRFQDGAILPVTDDDIDLGAVGAEFKDIYI</t>
  </si>
  <si>
    <t>DGVAYIDDIRGPLTGDVTGNITGDVVGDLTGNVTGNLTGNVTGDLTGNVTGNITGDVTGD</t>
  </si>
  <si>
    <t>LTGNVTGSLTGNVTGNLTGNVTGNLTGNVTGNITSSGSSTFSGTITVPTPTSSTDAATKA</t>
  </si>
  <si>
    <t>YVDSQLDIVVSDFAITESGTDLNFSYSGGNVATLTSAGDFSVASITLDGTDVQTLIDNAS</t>
  </si>
  <si>
    <t>PSFEATASGALSDGSMVIVNSDGTVSVATAIPEAVFESADCDYISATYDTANNKVVIAYR</t>
  </si>
  <si>
    <t>DTGNSNYGTAVVGTVTGTSISFGTPVVFASAATQGTSACFDTTNGKVVISYSDGTDGYAI</t>
  </si>
  <si>
    <t>VGTVSGTSISFGTAVLFDNTVSDTNITYESGNSKLVIFYSTGGSSYGIVGTVSGTSISFG</t>
  </si>
  <si>
    <t>TAAAYVAATSSEIRSVYDTTNAKIVTAYVNSVDNDGYAVVGTVSGTSISFGTPVKFQTGT</t>
  </si>
  <si>
    <t>LTGAEALSIAYDSANSKPVIFYYDHSGPSSYGIVGTVSGTSISFGTAVPFNSDTSYIASS</t>
  </si>
  <si>
    <t>YNPQSGKIIITYGKGVFTSANLIEGIVSATTISFGVEFVVRSSTSSYFASVYDPDNESVV</t>
  </si>
  <si>
    <t>VAYSSFSRGLALSYPKIQTTENNFVGISNGAYTDGQTAKIQVVGSVDDAQSGLTAGYKYY</t>
  </si>
  <si>
    <t>LQTDGTISITTDIPEVYVGLAIASDKIIVKG</t>
  </si>
  <si>
    <t>&gt;1109MEGAvirome_5-GSNCG_NODE_1023_length_8594_cov_53.175315_9 [4257 - 472] (REVERSE SENSE)</t>
  </si>
  <si>
    <t>TFFQLKHNYYIILMDNLVALREPEKDADGNFRFQIFDIHVEDMRVTNKDNQFREYLTENI</t>
  </si>
  <si>
    <t>QDYLYEDDDFDEANGEERKRKNFKMASVYSLKIFGVTRGGESVCVHVNDFEPFFYLRLPD</t>
  </si>
  <si>
    <t>EWQTLSKGDTVERVRHLKKRIVELLEKDFEDRNADKHGSAFEDNISSFNIVQNESFYWFD</t>
  </si>
  <si>
    <t>NNTKLKFVKLRFQNMRGYYNVKRIFLDKSNNPVPFPYVEKKTILFKVYESNIEPMLKFLH</t>
  </si>
  <si>
    <t>IQDLKPCGWCEIGSNDYENMDSRMTTCNYELVTSFKSMNPVEIDEVSPYITASFDIECDS</t>
  </si>
  <si>
    <t>LHGDFPLAKKTYAKHGKEIVDLYFLMNDDERGNYGSMIAKRFYTIFGYKNYNNEWGVVKL</t>
  </si>
  <si>
    <t>KKGQTKPSADTIGAVTQRCMDILTSNKSKEDTQKDLISVLNRSFPKQEGDPIIQIGTTFR</t>
  </si>
  <si>
    <t>VGKEKVGGHIVTLGTCDPIPGVKVEACKTEGEVILRWINMIRNVDPDIITGYNINGFDYD</t>
  </si>
  <si>
    <t>YIFNRMIELKMIKDEKSTIFPGITRVNADNSYLTRLGSVFTNVTISSAAMGDNINKFLTT</t>
  </si>
  <si>
    <t>FGRINMDFLKVIRKTYMSLESYKLDSIASTFMNGSIKETERCEDGLLKCVVKSVADLKDR</t>
  </si>
  <si>
    <t>EYVSFTDGETWITDKYQIVELNREENSFKIDYDDEDTVGNLKVWKKAKDDVPPNMIFQLQ</t>
  </si>
  <si>
    <t>KGTSADRAKIAKYCIQDCNLVLELDSKIENIAKAMAMSNVCSVPLGYIFLRGQGIKLASL</t>
  </si>
  <si>
    <t>VFKECSKRGILIETLPQYQIKEGEADGYEGAVVLEPKTGIYLDEPVSVLDYSSLYPSSII</t>
  </si>
  <si>
    <t>SENISHDSIVWIKDYTMDGELIEGSMKGKPEYDNLPGYNYIEIAYDILGYDPEDMRKNKE</t>
  </si>
  <si>
    <t>RIPVGKRVCRFAQPEDQSKSTIPNILQFLLGERKKRKKMMKKEKDPFKYNLLDAEQLAYK</t>
  </si>
  <si>
    <t>VTANSLYGQMGAKTSKFCFIALAACTTSFGRKLLNYAKNGIEGIYNGERDSRCDATYVYG</t>
  </si>
  <si>
    <t>DTDSVFINFRPKGPDGRPLRGKEALKASIELSMEAEKVLSDILKAPHYLEYEKTFMPFFL</t>
  </si>
  <si>
    <t>LSKKRYIGNKYEHDINKYKRINMGVVTKRRDNAPIVKVAYNTMNNVLMTEKSVPKTTEAI</t>
  </si>
  <si>
    <t>QGILKDLVDGKYGLEYLTITKSLRAYYADPTRIAHKVLADRIGERDPGNKPKPNDRLGFV</t>
  </si>
  <si>
    <t>YINKNAQPGKKLLQGDKIETPEFIRKNELQPDYKFYITNQIMKPILQVLAIVVDQIPGYN</t>
  </si>
  <si>
    <t>KPRNFWKQTATMLRFQGKSEKLVEENVQKMKEKLVQELVFDKYIRKAQSKKRGPIHNFFG</t>
  </si>
  <si>
    <t>TR</t>
  </si>
  <si>
    <t>&gt;1109MEGAvirome_5-GSNCG_NODE_1200_length_7440_cov_39.329476_9 [1917 - 1] (REVERSE SENSE)</t>
  </si>
  <si>
    <t>VPYTLLIQKDAFEKLKIESEELKIAKTWKNKEEIPVSVLEIKSKELFDYIKGLAKDLGLK</t>
  </si>
  <si>
    <t>LYEEDLSTEHRYLIDNDLSLLDTPNSIIPALNYLSLDIETIGEVENQEIVLISLLSKDSS</t>
  </si>
  <si>
    <t>LAKVILNAEKLENKTIEKLKTKKWEGFDLEVCSDEKELLEGFRTHLLEGDYQLLMGWNVI</t>
  </si>
  <si>
    <t>DFDFKVIRDRMKFHELDFQVSNYAGEPKLRLNSDFFRSSTLTSPGVLVWDLIAIMRMNFF</t>
  </si>
  <si>
    <t>QFEDFKLNTVAREVLGDSKIELENDENADQGIDEKIKVIEHMFKNNTEKLIDYNFKDSKL</t>
  </si>
  <si>
    <t>TAEIFEKAQLGELMYKRSILTGTPLHKVKSPIASLDIMYLKELHKQERVAETNFNYSDVS</t>
  </si>
  <si>
    <t>PIEGAYVLSPKQGFYTDILVFDFKSLYPSLIMTFNLDPFTYNEKGEIEAPNGAKFLKVRG</t>
  </si>
  <si>
    <t>ILPELIEFIGKERDLAKKENDKVKSQALKTTMNSFYGALASPMCRFYNKDIAEAITAFGR</t>
  </si>
  <si>
    <t>EIILKTKEVLEEKNYEVIYGDTDSLFVHVKKDFKSLEEKKEEGRSIETELNAFFKDWIQK</t>
  </si>
  <si>
    <t>TFGLKSELVLEHEKVFSSFFVASKKRYVGYDELSKKTIFVGMEAIRGDWTELAQNFQREL</t>
  </si>
  <si>
    <t>VDLIFAKKKKEEIEAFILDYVSRLKKGEYDSSLVYKKKI</t>
  </si>
  <si>
    <t>&gt;1109MEGAvirome_5-GSNCG_NODE_1261_length_7119_cov_24.558941_2 [3096 - 5507]</t>
  </si>
  <si>
    <t>CQEQTIKHNTQNMTTTKQVKGFIVTSNHTFENDKPTIHLYGRLENKKSFHVSIDTYKPYF</t>
  </si>
  <si>
    <t>YILESDKELCEKQTGITPLPCDKLTITHKPVVKIELNNPKEAPKLRQILQDNNIACFEVD</t>
  </si>
  <si>
    <t>IAFTQKFLIDNNIMAHVAIEGEIKEENEKTISFHNPKLTPLEESTAKPTVFSFDIETDSK</t>
  </si>
  <si>
    <t>AKEIFSISIITAEHNEVIVIGHEGITPGKFNNTTVTQSEGELLEIFMQRIQELDSDIITG</t>
  </si>
  <si>
    <t>WNMIDFDLQVIQKRCKAHEIPFVLGRDDTVTNMRIESNFFRDSTVYVNGRVVLDGIALLK</t>
  </si>
  <si>
    <t>SSFIKLEDYKLNTAAKHFLDDSKLIEEDNRFEIIDELYTRDPEHFIEYNRKDSQLVYDIL</t>
  </si>
  <si>
    <t>FESEVYELTIQRTVLTGMHMDRVKASIASFDSLYLRNLKKRNCVAPSTNPQGDEAGLGGF</t>
  </si>
  <si>
    <t>VLKSTPGIYTNVLVFDFKSLYPSLMRTFNIDPLSYLGTKESLSESIDTKKHIVAPNGAVF</t>
  </si>
  <si>
    <t>SQEEGILTNLLTTLWNAREEARKEGNELARYAIKILMNSMYGVLASPNSRFHIRNLSNAI</t>
  </si>
  <si>
    <t>TYFGQHFIKLTVEKLEDKGYEVIYGDTDSVFVDIATDDIKQAMKLGKDIEQELNVFFKKH</t>
  </si>
  <si>
    <t>IKDTYHRDSILELEYEKTFMRFFMPSVRGSDEGAKKRYAGKLVTQVTPEIKTKLDFTGLE</t>
  </si>
  <si>
    <t>FVRRDWTEVAKTFQLTLLELLFDDKPVDEYIKDFVKDIKEQKYDEQLVYRKALRKPLESY</t>
  </si>
  <si>
    <t>TKTTPPHVKAARQLDTVDSKIIAYRQTIDGPQPIQKQTSQIDYDHYIEKQIKPIAQSVLK</t>
  </si>
  <si>
    <t>LQHKDFDEILSGTEQKGLNAFFGG</t>
  </si>
  <si>
    <t>&gt;1109MEGAvirome_5-GSNCG_NODE_18_length_49992_cov_33.646432_26 [15106 - 20037]</t>
  </si>
  <si>
    <t>NLNLLYDIFSTRNMSDTISASGDAGGGDGGRVYEWDAVDKDGKTERKRVPGLSFPPNGIP</t>
  </si>
  <si>
    <t>TIRHGALITVESEDDLEKAFPVTRTDMVATIAETKKIAPDDLEVLFVHAVETTPKVTVVN</t>
  </si>
  <si>
    <t>IMSTYDRRDLDKTSTYEQIKEQREKQIKELKDEEEARKLRGGADSRRPIKQWPYRINEER</t>
  </si>
  <si>
    <t>YIATPPGSDDVLMDHSKPPPPYSEEPTLTTGTDIIIVHAVNRAGAQVTLTAPFRPGMYVQ</t>
  </si>
  <si>
    <t>VRQGNDAESAIPSSYEFAHPVFKAWLENTLAFYACVPASTVRARPVMRETLGDFDVSVHR</t>
  </si>
  <si>
    <t>TIGVFKPKRLWWYATFPSEAARQTAARGLTPYYPRDYDGKKSMGVKRAFDPKHASRVFYA</t>
  </si>
  <si>
    <t>RQKDEKGFGLPLSQRTGEPPDDFIVPDEDSTGSRTPRPFAVPDEVLERLPERPVQISLRV</t>
  </si>
  <si>
    <t>EEVRISPDLQARIPIKSAVALDRELLAALSGTVRRPHFVSTRADVCVELRDGIFGALIPQ</t>
  </si>
  <si>
    <t>PEIARSEFPTFNLTYDIEQRSEIRQAFPSTERRGDFVSAVSFHLTVENDLGLFSSSSTDD</t>
  </si>
  <si>
    <t>EGLSSSAAAAAAAPSGKSADTTPTAVQFVVTVCDVTRPVQNTVTVQCADESWLLRYCVSL</t>
  </si>
  <si>
    <t>VSNHIRPDLVAGWNTYTFDDKVMFWRGYMNPATRTQVEYSAHVLGRRSTLLYKALKTGSR</t>
  </si>
  <si>
    <t>GDNILLRYFNTLVPAGTFDGYIGDSVHFGREREKGSGLDVVAAAMGFSGKLGGISYDDVS</t>
  </si>
  <si>
    <t>EAARPEGASEDLINCMLEYSLQDSRVTAAVIREQGLLPLYDAIAESTSVPHGDLQVCGQQ</t>
  </si>
  <si>
    <t>QRYLHVLWKTCRRFGSVVDGIGQNRFARKGKYEGGYVFNPSGRVFTMRSGVVLLLDFEAL</t>
  </si>
  <si>
    <t>YPSIMIEYNICYSTMIPSARVAKRLADCGVPINAVRVSKDCVIRCIGFNPEKPVGSAARG</t>
  </si>
  <si>
    <t>FQGMLPRTMVGIGAERDRFKREMKAAAKRGDESGRRVGNARQLAKKIDANSSYGSLGAGS</t>
  </si>
  <si>
    <t>GVLPLGDGAAAITAIGRRSILRCATMVEEMCEFCKVVYGDTDSIYVLVREALLTAMCFAY</t>
  </si>
  <si>
    <t>YMERILTKEFNQGTGKMRQETEGIFGVGYFIKPKTYVCIGFDAAGDGTVENLADDICNGL</t>
  </si>
  <si>
    <t>CMLACKGRKKKLKLKLNGLPAVRRDKSRVARFILKSVYNMVTWSMHRKTVSEMKRDYDAG</t>
  </si>
  <si>
    <t>ITQARWKALGCDIADRLDDPEIRSMVPPPDDPKMARAAWAWTLPEEARTGLGEAIALLRR</t>
  </si>
  <si>
    <t>RAAEGDEDAGIAMEEYDWWYTRQGRCAGSERDSTEPATAVAAEDKQEGVLEFVARIADKV</t>
  </si>
  <si>
    <t>VYAETEEDDHIGTVEIKAPASYSEKTAEPPAAIMVCWDAERSIANSRHAFGTRVQYVVEA</t>
  </si>
  <si>
    <t>PSNMHGSYRRVLRDRLKPPPGASERERAFSKEPNMQTRNDNYGKCRGLRTWDKKQRSRDL</t>
  </si>
  <si>
    <t>KAYYTDTDARGEPKYRIDRADVFFEVYNPLRTFLPVFDSIIQDILRRAAEQVRIVDGLCD</t>
  </si>
  <si>
    <t>AAARVEDLVNAAEGPRPADDVLVREASLTYEKATTFEGVGLLKTLGIVPNAVVRLVGLMT</t>
  </si>
  <si>
    <t>KEDDMSRVWRDTRGPEGKRVLRRDVLDACGVVAPTVILERLQTRMGTTKDGDLRWSDRHP</t>
  </si>
  <si>
    <t>YLSTDYTREDGDDHDDIDEAIKRDAAAAARAAEDAKVASTGKRGGRSGDGGGSSSKPKKG</t>
  </si>
  <si>
    <t>KGAASGGGGRGRYQRSLGSMFAKL</t>
  </si>
  <si>
    <t>&gt;1109MEGAvirome_5-GSNCG_NODE_269_length_19151_cov_16.010653_22 [14221 - 9602] (REVERSE SENSE)</t>
  </si>
  <si>
    <t>IMKSSTSYKLTAFNVYDDVVKNTEEDEDHEDNNDNKNFKKGKDREFIVQMFGINEKGETA</t>
  </si>
  <si>
    <t>SIFVEGYTPFFYVMVGQDWTDREKNGIISQIYNDIGNFYEDCIVQSKIIKSKKLYGFDAG</t>
  </si>
  <si>
    <t>KLYSFLLLKFKNEMTMRKVKNLWYTSSLTKNGEYAKKLTDYEYNGFKTKLYEAQIPPLLR</t>
  </si>
  <si>
    <t>LFHIKQISPSGWISLPFKKTLVHKTNKSTSCSNEYTIHYKNIIPLPDKETLVPYKICSFD</t>
  </si>
  <si>
    <t>IEASSSHGDFPIAIKNYKKLAINIVSVWNNKLPEENDDEYMRKIILTAFNCGEKVEGVDL</t>
  </si>
  <si>
    <t>VYPKQQVKKEEIENLFYRWIKIKPAYYKLKNIDDSDFKECEYIDDKLEECNDEADDSQVN</t>
  </si>
  <si>
    <t>MGEHWFFKHTQPKSYKKNGTIIDLMNDKLVDRETRILELNKTLTDTFPKLKGDIVTFIGS</t>
  </si>
  <si>
    <t>TFTKFGESKPYLNHCIVKNSCSNLDEHSVIETYDTEKEVLLAWTKLIQREDPDIIIGYNI</t>
  </si>
  <si>
    <t>FGFDYYFMYQRSKELCITEKFLKLSRNKNEVCINKDWRTGKEMIEESKIVIASGQHDLKY</t>
  </si>
  <si>
    <t>IKMNGRLQIDLYNYLRRDYQLVQYKLDYVSSYFIGDSVKKIEHNGSSTIVYTTNLTGLEK</t>
  </si>
  <si>
    <t>GNYITFEEESHSVDTYKNGEKFIVSNVNVETNSFVINSIESPDMTKRVRWGLAKDDVTPQ</t>
  </si>
  <si>
    <t>DIFRLTNQGPDERAIIAKYCIQDCNLVHHLLNKIDVITGYVEMSNLCSVPLEFLVLRGQG</t>
  </si>
  <si>
    <t>IKLTSYIAKKCREKNTLMPVLDKANSDDGYEGAIVLPPKCSLYLEEPVACVDYSSLYPSS</t>
  </si>
  <si>
    <t>MISENISPDSKVWTKEYDLDDNLIEEMGEKDETGKFIYDNYPGYKYVDITYDTYKWQHKN</t>
  </si>
  <si>
    <t>NNPKSAMEKVKVGYKVCRFAQYPEGKAILPSILEECLAARKATRKLIPQQKDDFMKNVLD</t>
  </si>
  <si>
    <t>KRQLSIKVTANSIYGQTGAKTSTFYEKDVAASTTATGRKLLTYARRVIEEGYCNRVVNTK</t>
  </si>
  <si>
    <t>CHGEVITRAEYVYGDSVASYTPVYVRVNSEMVDVITIQEIGNKYGNNEWRTFTEDGKQDK</t>
  </si>
  <si>
    <t>EFCELSNIETWSDKGWTKLYRVIRHKLAPHKKMFRILTECGLVDVTDDHSLLRYDGKEIT</t>
  </si>
  <si>
    <t>PNECCVGSELLHKELSFEPTKYNDIQLSLEHARICGKFRLLLENIVNGNKYIKNAFIEGL</t>
  </si>
  <si>
    <t>LRTTEDELKEWDGKYPIKVYDTNQQNAAIICYILQSCGYHTELSFTQNIYSIEITKKTIK</t>
  </si>
  <si>
    <t>DNKIKSICKIDYNDYVYDFTTENHHFAAGIGNLIVHNTDSVFFKFNLTDLHNNPILSKKA</t>
  </si>
  <si>
    <t>LEITIEIAQEAGHLASKFLKRPHDLEYEKTFLPFCLLSKKRYVGMLYETDPNKCKRKSMG</t>
  </si>
  <si>
    <t>IVLKRRDNAPIVKDVYGGIIDILMKEKKIETAADYLDKCLQDMINGKVSVDKLIITKSLR</t>
  </si>
  <si>
    <t>GDYKNPNQIAHKVLADRIAKRDPGNKPSPGDRIPFIYYEHKDKKALQGDKIETPTFIREN</t>
  </si>
  <si>
    <t>KLKIDYAHYITNQIMKPVQQLFALVLEDIPAFKKKKGHTLRRWRKQLDDLRLKYTDEETY</t>
  </si>
  <si>
    <t>HIQKEKLRNKEVKELLFDKYLVDIKNKREGNRSIASFFGK</t>
  </si>
  <si>
    <t>&gt;1109MEGAvirome_5-GSNCG_NODE_538_length_13062_cov_11.021439_28 [8018 - 6339] (REVERSE SENSE)</t>
  </si>
  <si>
    <t>HLYMLHRSLYPSIMMAHRMCGSTLVIDQKYAHVPGIEYYEIEAAPGLKVRFAQTDDNVIP</t>
  </si>
  <si>
    <t>GLLYELKALRKQAKKDMEAADTDFTKGLLNSRQLAYKLVMNSLYGALGSNHGLLCGLKKI</t>
  </si>
  <si>
    <t>SMSVTATGRWMIHETKRLVEELNPGSKVVYGDSVAAWTPITIRYNGQMEMVTFEELATRV</t>
  </si>
  <si>
    <t>TWIPRNDGKEYAHHDGHLDIWSDKGWTPVNAIIRHTHTDPLVRVATHTGVVDVTAHHSLV</t>
  </si>
  <si>
    <t>RPNGEVVKPSEVSIGDDLMHADGPSFETKQLITERDIKFARILGFFIGDGSCGKYKCPSG</t>
  </si>
  <si>
    <t>VKTSWALNNSDHKLLIFYKRLLEEVYPTYVWKINDTLKSSGVYKLVPANKVYGSISLFVQ</t>
  </si>
  <si>
    <t>EWEKMCYSGEAKIIPRFIHESDCRIKREFLQGFYDADGIKKDSMRFDQKHQITCAHFYRM</t>
  </si>
  <si>
    <t>LRSIGYKVSISTRVDKPLIFRLTGTFSCQRKTKTAVKKMYEIPYNGYVYDVTTGNHHFAA</t>
  </si>
  <si>
    <t>GVGDLIVHNTDSVLCILNCGDENRQNLKEHFRVAEDLADQITKHFLPPHELEMEKAYFPY</t>
  </si>
  <si>
    <t>LLVRVCLYEESKTCVLIDFF</t>
  </si>
  <si>
    <t>&gt;1109MEGAvirome_5-GSNCG_NODE_555_length_12903_cov_18.404981_8 [7354 - 9960]</t>
  </si>
  <si>
    <t>HKELISNFIMSDQKQHVSVVISGHVDSGKCQGRDTPILMHDGSIKMIQDIQVGDQLMGDD</t>
  </si>
  <si>
    <t>SGKRTVISTTKGQSPMFQISPVKGDPYTANGPHVLALKVSNYEMVWWDTNRDRWRIRWIQ</t>
  </si>
  <si>
    <t>NFEIKEKSYSVKTYESKELAKEAAEKFLQNEVPKLQGYQAYGDVVHISVEDYLKLPGRVQ</t>
  </si>
  <si>
    <t>DVFKGYSTGVEFSKKDTSIEPYAVGYWLGDGTTHGTEITTADSEVVKYFIDYADRLNLEF</t>
  </si>
  <si>
    <t>KKKGNSKYTYNMTTGTNNGGPGRNPFLNALKDYDLIGNKHIPTEFKCNSRIRRLQILAGL</t>
  </si>
  <si>
    <t>IDSDGSYSDGGYYEILTKLETLAQDICYLARSLGLAAYSKQVQKTCTNGSNGSVTGTYYR</t>
  </si>
  <si>
    <t>VTFYGDGIDQIPVLLNRKKAQTRVSPRNALVHGIKISKLSEDDYFGFELDGNSRYLMGDF</t>
  </si>
  <si>
    <t>TVTHNSTTTGHLIFQLGGMTPREREKLQQEADALGKGSFAFAFLMDKQAEERARGITITC</t>
  </si>
  <si>
    <t>ATKEFHTESKHYTIIDAPGHRDFIKNMISGASQADVAVLLVPADGNFTTSLAKGNHKAGE</t>
  </si>
  <si>
    <t>VQGQTRQHALLLNLLGVKQLIVGINKMDCDMAKYSQERYEEVKREMVRVLTQVGWKKKFI</t>
  </si>
  <si>
    <t>EESVPIIPYSGFLGENLTKESDKMPWWKGVDLTNMGGEKVHVHTFVDAFEKLVCVPPRPN</t>
  </si>
  <si>
    <t>DKAMRTPISQVLKIKGVGDVLTGRVEQGRLKPGTEVVFLPTHTSSTPCQGKVFTVEMHHK</t>
  </si>
  <si>
    <t>QVEEALSGDNVGMNIKGLDKGNMPRPGDVMVAKTDKTVGCTKSFTIQVQVLDHPGELKVG</t>
  </si>
  <si>
    <t>YCPIGFVRTGRSAIRMTKINWKMGKETGMVKMENPPFIKKGEMAELEFEPQSPFVVDTFK</t>
  </si>
  <si>
    <t>NCEGLGRMAILEGNGVVMLGKVTNVVFKE</t>
  </si>
  <si>
    <t>&gt;1109MEGAvirome_5-GSNCG_NODE_6_length_72487_cov_44.631037_39 [59890 - 63870]</t>
  </si>
  <si>
    <t>ILITMKLNDIKFRLLDFNIYNEEVENETDSEDETKKKFGDNKKFIIQMFGLDEKGRTYSI</t>
  </si>
  <si>
    <t>YLDDYQPFFYLKVDDSWNKSKKEAFLDKIKTDIGKYYESSIVDCKLIKREELYGFDAGKK</t>
  </si>
  <si>
    <t>YKFIMMKFKNMQVLNKVKNMFYSYNKKTNERKMVPNGIQYGNTNIYLYEANIPPLLRFFH</t>
  </si>
  <si>
    <t>IKNISPSGWIMIPKKKVNKHAQKVTNCDFEYTTSYKSIISLNDKETTVPYKICSFDIEAS</t>
  </si>
  <si>
    <t>SSHGDFPLAIKTYEKLVTNILDYWLNEEDIEEYTKEQKENVLRVLINGAFGFNDCEFVDK</t>
  </si>
  <si>
    <t>VYPKKPPKNQHQLEIMINEIFKKPVRKLQKQEIKNEITKFMVKNNHETHYNEGEKESEYD</t>
  </si>
  <si>
    <t>DYRNEDGDENENNKIHKHHYKKSNVTYKTTIIDLLDDTKISREDKLNEITIVFDSVFPKL</t>
  </si>
  <si>
    <t>EGDKVTFIGSTFIKHGQDEPYLNHCIALDTCDKVQGAEIECYSKEKDVLLAWTKLIQREN</t>
  </si>
  <si>
    <t>PDIIIGYNIFGFDYKFMFQRAQELGMDCVKKFLKLSRNKNELCGEQDKESGKFKIQESSL</t>
  </si>
  <si>
    <t>TIASGTHNLEFIKMNGRIQIDLYNYFRRSYNLTSYKLDYVSGYFIGDKVKKIEYQDEITI</t>
  </si>
  <si>
    <t>IHSKNLVGLKDGNFIHFEEIGHSSEYYDNGAKFEVIDVDQEKNTFKILSKVTPDMKKMVK</t>
  </si>
  <si>
    <t>WCLAKDDVSPQDIFRMTNEGPSERAVIAKYCIQDCNLVHHLLKKIDVITEFVEMSKICSV</t>
  </si>
  <si>
    <t>PIDFLVMRGQGIKLFSFVAKQCREANTLIPVLEKKDDGGYEGAIVLDPKCGLYLDEPVAC</t>
  </si>
  <si>
    <t>VDYSSLYPSSMISENLSHDSKVWTREYDLEGNLIKETGEKDASGNFVYDNLPGYKYVDVN</t>
  </si>
  <si>
    <t>YDTYEYRRKTPKGAAVKTKVGSKMCRFAQFPNGELAIMPRILKELLAARKATRTMAVWKT</t>
  </si>
  <si>
    <t>IKTSIGEFTGLVIEKTDEHVTLKDKDGKIKIIETQSIQSMEDTYNDFMKNVLDKRQLAIK</t>
  </si>
  <si>
    <t>VTANSLYGQCGARTSSFYEKDVAASTTATGRKLLTYGKRIIEEVYGDRICETQYGKVHSH</t>
  </si>
  <si>
    <t>AEYIYGDTDSVFMSFKLTDPETGEKIVGKEALKHTIELAKEAGELATKFLKAPHDLEYEK</t>
  </si>
  <si>
    <t>TFMPFCLLSKKRYVGMLYENDPEVCYRKSMGIVLKRRDNAPIVKDVYGGIIDILMKDQDV</t>
  </si>
  <si>
    <t>NKAIEFTKTCLNDIVEEKYPLDKLIITKSLRAFYKNPLQIAHKVLADRMGKRDPGNKPGP</t>
  </si>
  <si>
    <t>GDRIPFVYIQTKGPVKLQGEKIEHPDYIIEHNLKPDFTHYITNQIMKPVQQVFALVLEDI</t>
  </si>
  <si>
    <t>PSYKKHKKQLGLKIKNIKQRYKDNIEKQIQYEQKHRNNEVKKLIFDESLVKCNNVRNNQK</t>
  </si>
  <si>
    <t>PISLFFH</t>
  </si>
  <si>
    <t>&gt;1109MEGAvirome_5-GSNCG_NODE_722_length_11052_cov_4.718262_18 [10370 - 7071] (REVERSE SENSE)</t>
  </si>
  <si>
    <t>FLFVNRRASMDVDTPQGGCGSSAAGSLEIFISSWRAMDVGDTCEMVGFGKTQDGRDLCVR</t>
  </si>
  <si>
    <t>APFTPFFFVRVPEGKQQPMAARFFASQVYDAIRGGLVRHMCRVVNKVPFIGFTNRRQRAF</t>
  </si>
  <si>
    <t>VQVVFESLDAYTQAKYALRRQKYVLFETNVDPMLKCFHIYDLDPVGWIRVSAWLSVDDKE</t>
  </si>
  <si>
    <t>ALSRVREVKTTMPRVSMLRDKGDVPPLVVASWDIECVSDTGNFPDSSMPKDRIITIGTAY</t>
  </si>
  <si>
    <t>AMFGSLDEPFLKTVHQLGSCNPIEGVEVHCYDAEHELINAWIRETVDMQTDILLGYNTYG</t>
  </si>
  <si>
    <t>FDHRYLDGRGACLVSFMSGRSRVCLEEWGKMKDGCGRPVEKNLTSSAYGDNAYFYHDTPG</t>
  </si>
  <si>
    <t>MVSVDLLQIYRKELKMESYTLDNVCRTYLDNMTKIDLKPHEIFRKQREEAADGRTAIATY</t>
  </si>
  <si>
    <t>CIRDVELPLRLAKKLNNLNNLLEFAKATCVPIDFLLVRGQQIRCLSLIARKARSMGYLID</t>
  </si>
  <si>
    <t>DTQQHGGGAGEDDTPFVGATVLEPVVGAYMDDIVTVLDFASLYPSIMMAHSLCPTTMVVD</t>
  </si>
  <si>
    <t>AAYDHVDGVEYKRVEIAPEHVVAFAQTPDYAVIPSLLADLKQYRKDAKKLMARAAEAGDA</t>
  </si>
  <si>
    <t>FAESLYNSKQLSFKVSMNSVYGFFGVSKGLLTGLKAISSSVCAIGRSMIYTTKSMVEAKG</t>
  </si>
  <si>
    <t>HRVVYGDSVAEYTPITVKYQNQVQIMTFGDVSTMVSWMPRDDGKEVATLPGLEIWSDTGW</t>
  </si>
  <si>
    <t>TSVDVIIRHRHTEDLVRVVTHTGVVDVTQHHSLLRPNGEMVKPGDVSVGDHLMHVHGPDR</t>
  </si>
  <si>
    <t>DGMTGGGVSLAIRNMTAVPYDGYVYDVSTGNHHFAAGVGDPMIVVHNTDSVLCVLHLGDE</t>
  </si>
  <si>
    <t>KRRELAAHFAAAEALAAEITTVFKAPNELEFEKCYSPYLIYSKKRYTGLCYTSLSKPPKQ</t>
  </si>
  <si>
    <t>DTKGLTLVRRDNAALVRRISTAVLHCLLYERSFEKALACAQSNIIEVLEDRVPWEEFIVS</t>
  </si>
  <si>
    <t>KSLRRDYKNPGALPHVVVAEKRRQRGNPCEYGSRVPYVYCLDATNQDLITSKRAECPEYA</t>
  </si>
  <si>
    <t>REHGLQLDKLYYIRQQIINPISTLLSVQWTDAETKIMCHPTIQEHIMRLHSQEVNMIREA</t>
  </si>
  <si>
    <t>KRVRTNTKNKQREITSFFTI</t>
  </si>
  <si>
    <t>-------------------------------------M----------------------</t>
  </si>
  <si>
    <t>---------------------------PSETIDSTKQ-----------------------</t>
  </si>
  <si>
    <t>----------------------------------------------FEF-----------</t>
  </si>
  <si>
    <t>--------------QISDW-----------------------------------------</t>
  </si>
  <si>
    <t>----------------------------------------------NSYHEL--------</t>
  </si>
  <si>
    <t>--------------------------------YVIQLFGRTE-DDHDVCLKVTGY-----</t>
  </si>
  <si>
    <t>--------TPFF---YVEI--P--------------------KQW-----K---------</t>
  </si>
  <si>
    <t>QR----------QVDKFVEILKN-----KVQYHCKK----------NLDE----------</t>
  </si>
  <si>
    <t>--------DFDLSKSLIKYAMVK----KHKFYN----------F----------------</t>
  </si>
  <si>
    <t>----RNKQ-LYNFLLLV---------FKSHTAMK----EFSSI-----------------</t>
  </si>
  <si>
    <t>------------------LARPLEAK----GLTN--------KPMLYQRYES--------</t>
  </si>
  <si>
    <t>-----NIEPHIRFMH-INNLSSCGW------ASIDKDKLK-------KI----P----E-</t>
  </si>
  <si>
    <t>YSN--C-DYSFSVN-W----------K------------------DVK-PSN------N-</t>
  </si>
  <si>
    <t>---DDR------MA----PFKIMGYDIECV-S---------CD-----Q-NF--------</t>
  </si>
  <si>
    <t>---PQA--ERP-------------------------------------------------</t>
  </si>
  <si>
    <t>--------------------------------SDK-I-IQIGIT----------MYR---</t>
  </si>
  <si>
    <t>-----------------YGSM-KCYEQHILTLKKCAP-----------------------</t>
  </si>
  <si>
    <t>-----------------------------I------------------------------</t>
  </si>
  <si>
    <t>------------EGVNVEC-YKKEK-GLLRG---FAKKI-AELRPDF-KTG-YNNFGF--</t>
  </si>
  <si>
    <t>KFMDEI---------------LRTIGKVNNNYLIENEGLDRIPI-YTTVK----------</t>
  </si>
  <si>
    <t>I-QIPGV-----LSID----------------MMKVIQRD-H-RLIG--------YKLDN</t>
  </si>
  <si>
    <t>VSANFITEKADKIIEMPHNQE-----------------DSDS------------------</t>
  </si>
  <si>
    <t>-----EKEDEDTDDK-TYDV-NIYTKSTKAL---EKDSYIQIMVNDGY--SSSPLSE---</t>
  </si>
  <si>
    <t>GAKY-KVYDI--------QTITEKKLNEKTNKEEIFV-----------------YQAIKT</t>
  </si>
  <si>
    <t>KICQKDIQQLRETIKNPLLGISWTFAKDD---------M---------------------</t>
  </si>
  <si>
    <t>-DPKK------------------------------------IRQIA--------------</t>
  </si>
  <si>
    <t>----------------------------K-------------------------------</t>
  </si>
  <si>
    <t>NSVGMAKVCHVPLSYLFLRGQGVKIFSLVSKKCREK--------NF--------------</t>
  </si>
  <si>
    <t>-LIPVLRRKSKD------------------------------------------------</t>
  </si>
  <si>
    <t>-------------------NEGDEDE----------------------------------</t>
  </si>
  <si>
    <t>YL----------------------SPIG-VLDY---------------------------</t>
  </si>
  <si>
    <t>-SSLY-------------------PNSMRERNLSQECYVD--------------------</t>
  </si>
  <si>
    <t>--------------DS-K----------YD-NL--------P--------GYIYHD----</t>
  </si>
  <si>
    <t>FDKINTVFENNVAIIQNQKYFTEKNISELIDKHKNISDSKIEDIEFDESLSDKRKNKLVD</t>
  </si>
  <si>
    <t>AEKD---------------------SLDKNIGFYQKIKSQID------------------</t>
  </si>
  <si>
    <t>KNLNEEEK-------SKQINKMELNTKNLISKVFSK------------------------</t>
  </si>
  <si>
    <t>YLITEQQREELIVLEKE-----------------RAKRSVNAE-----------------</t>
  </si>
  <si>
    <t>----------------------------------KAKVYNTVDGITV-------------</t>
  </si>
  <si>
    <t>-----RYGILPE-ILTELLNKRKETN----------------------------------</t>
  </si>
  <si>
    <t>---GKLA-----------------------------------------------NEK---</t>
  </si>
  <si>
    <t>---------------------D----------------------------PF-VKAI---</t>
  </si>
  <si>
    <t>-----------------LNA-------LQL--------AFK-------------------</t>
  </si>
  <si>
    <t>--------------VTA-------------------------------------------</t>
  </si>
  <si>
    <t>-----------NSLYGQTGAPT----------SPLYFIAIAACTTAIGR-----------</t>
  </si>
  <si>
    <t>-------------------------ERLHYAKKTVE------------------------</t>
  </si>
  <si>
    <t>--------------DNFPG-----------------------------------------</t>
  </si>
  <si>
    <t>LGSK------------WKPYEIFKA-----------------------------------</t>
  </si>
  <si>
    <t>KQQSQYP---TDSEVWTAKGWAKIKRVIRHKTV---KKIYRVLTHTGCIDVTED----HS</t>
  </si>
  <si>
    <t>LLD-PNQNIIKPINCQIGT-ELLHGFPES--------------------------NNVYD</t>
  </si>
  <si>
    <t>NISE---------------QEAYVWGFFMGDGSCGSYQ-----TKNGIKYSWALNNQDLD</t>
  </si>
  <si>
    <t>IFYDNK-KYKLVPKEILNSTKDIKNSFLEGYYAA-----------DGSRKET---ENMGC</t>
  </si>
  <si>
    <t>RRCDIKGKISAQCLFY--LLKSLGY------NVSINIRS--------DKN--------QI</t>
  </si>
  <si>
    <t>Y------RL------TFSNKKQRKNP--IAIKK---IQLMNE------------------</t>
  </si>
  <si>
    <t>--------TSNDHDGD--YVYDLETE----------------------------------</t>
  </si>
  <si>
    <t>I-----------------------------------------------------------</t>
  </si>
  <si>
    <t>---------------------------NFHIKDEN-------------------------</t>
  </si>
  <si>
    <t>CQRA---------A-KLINQNVPK------------------------------------</t>
  </si>
  <si>
    <t>LLFE---------------KSP-DKYFLKSMG-------IVLKRRDNAPIVKIV-VGGII</t>
  </si>
  <si>
    <t>DNIL----------KN----------RD--------------------------------</t>
  </si>
  <si>
    <t>---------------------------IDK-AIEY-------------TKIVLDKLM---</t>
  </si>
  <si>
    <t>---------------NGEYP----------------------------------------</t>
  </si>
  <si>
    <t>--MDKFIISK-TLK----------------------------------------------</t>
  </si>
  <si>
    <t>------------------------------------------S--RYKKPST--------</t>
  </si>
  <si>
    <t>----------------------------IAHKVLADRMAVRD-PGNKPQ------IND--</t>
  </si>
  <si>
    <t>------------------------RIPFVY------------IVKD--------------</t>
  </si>
  <si>
    <t>-----------MGKKKKKDIL-----------------QGDLIEH---------PEYV--</t>
  </si>
  <si>
    <t>---------IANN------------------------LKID-------------YLY---</t>
  </si>
  <si>
    <t>------YL-----EH------------------QIINPASQILEL---------------</t>
  </si>
  <si>
    <t>--MMDT-K-D----------VQK-------------------------------------</t>
  </si>
  <si>
    <t>---FFN------------KYII--------------------------------------</t>
  </si>
  <si>
    <t>------------------------------DEQNKRKG----------------------</t>
  </si>
  <si>
    <t>------------------------------------AQ---------------SL-----</t>
  </si>
  <si>
    <t>-------------------T-K------------------------WMDFSKLPK--ES-</t>
  </si>
  <si>
    <t>QKLQKTKS-----------SNKSQIDPKYI--------------------NL----IKNK</t>
  </si>
  <si>
    <t>SRKHECQNMNKWI-----------------------------------------------</t>
  </si>
  <si>
    <t>-----------SSTDKCTDDWEPIVE---------------------</t>
  </si>
  <si>
    <t>---------------------------VLINNSV-DHKV---------------------</t>
  </si>
  <si>
    <t>----------------------------------------------LEF-----------</t>
  </si>
  <si>
    <t>--------------QITDW-----------------------------------------</t>
  </si>
  <si>
    <t>----------------------------------------------NSYHET--------</t>
  </si>
  <si>
    <t>--------------------------------YVIQLFGRTE-DDKDVCIKVTDF-----</t>
  </si>
  <si>
    <t>--------TPYF---YVQI--P--------------------ISW-----K---------</t>
  </si>
  <si>
    <t>KK----------HVDKFVYYLKR-----KVSWTTNN----------NPNY----------</t>
  </si>
  <si>
    <t>--------ACDLSNSLVNYKMVE----KHNFYN----------F----------------</t>
  </si>
  <si>
    <t>----TKKK-YFNFVMLV---------FKSQIAMR----EFSNV-----------------</t>
  </si>
  <si>
    <t>------------------LARPLKTE----GLTK--------EPMLYQRFES--------</t>
  </si>
  <si>
    <t>-----NIEPHIRCMH-INNLSSCGW------VTIDNKNLK-------NN----S----E-</t>
  </si>
  <si>
    <t>YSN--C-DYSYSVQ-W----------K------------------HIK-PSS------N-</t>
  </si>
  <si>
    <t>---DDR------MA----PLKIMGYDIECV-S---------CD-----H-NF--------</t>
  </si>
  <si>
    <t>---PQA--DRE-------------------------------------------------</t>
  </si>
  <si>
    <t>--------------------------------TDK-I-IQIGIT----------MYR---</t>
  </si>
  <si>
    <t>-----------------YGSM-ECYEQYILTLKKCAR-----------------------</t>
  </si>
  <si>
    <t>------------KGTNVEC-YKTEK-GLIRG---WAKKI-SEIRPDF-KGG-YNNFGF--</t>
  </si>
  <si>
    <t>RFLDEI---------------LNIMGKVNNVYLIENEGVNKLTD----------------</t>
  </si>
  <si>
    <t>F-QVPGI-----ISVD----------------MMKVIQRD-H-RLIG--------YKLDN</t>
  </si>
  <si>
    <t>VSANFITQKALRCVE---------------------------------------------</t>
  </si>
  <si>
    <t>-------TGKNNDDE-NLDI-SIYTESTKAL---EKDSYIQIMVDDGY--SSSPLCE---</t>
  </si>
  <si>
    <t>GAKY-KVIDI--------DGITETVYDENEKKNVTYS-----------------YQAIKT</t>
  </si>
  <si>
    <t>KISQKDTEQLREVLTNKLLRVYWTFAKDD---------M---------------------</t>
  </si>
  <si>
    <t>-LIPVLRRNKKD------------------------------------------------</t>
  </si>
  <si>
    <t>-------------------NDGDDDN----------------------------------</t>
  </si>
  <si>
    <t>-SSLY-------------------PNSMRERNLSPECYIN--------------------</t>
  </si>
  <si>
    <t>--------------DN-K----------YD-NL--------P--------GYIYHD----</t>
  </si>
  <si>
    <t>FDKINKTMDNNIETILQQTYFTIKNIEDKIKKEKLITDSRIEDISFNDDFSTKKKAKLIE</t>
  </si>
  <si>
    <t>TEKI---------------------EMKNRLKIYLEIDEKIK------------------</t>
  </si>
  <si>
    <t>KSLDADQK-------SKEIGKIEKTYNENIKNVLEK------------------------</t>
  </si>
  <si>
    <t>YIISKEEREEMITMERE-----------------KATKSMNDE-----------------</t>
  </si>
  <si>
    <t>----------------------------------KSKVYNIVDGKMV-------------</t>
  </si>
  <si>
    <t>---GRLA-----------------------------------------------VEK---</t>
  </si>
  <si>
    <t>---------------------D----------------------------SF-VKAI---</t>
  </si>
  <si>
    <t>-----------NSLYGQTGAPT----------SPIFFIAIAASTTAIGR-----------</t>
  </si>
  <si>
    <t>-------------------------ERLHYARKMVE------------------------</t>
  </si>
  <si>
    <t>LGEK------------WKPYDIFKS-----------------------------------</t>
  </si>
  <si>
    <t>KQQADF-----NGEVWTSNGWAKIKRVIRHKTV---KKLYRVLTNTGCIDVTED----HS</t>
  </si>
  <si>
    <t>LLD-TNKNIIKPIDCKIGT-ELLHGFPEI--------------------------NNNHN</t>
  </si>
  <si>
    <t>KLS-------------------------------------------------------LE</t>
  </si>
  <si>
    <t>---IYKELD--------ITSELFDCMIESNKKWN----------NEKMKA-CFIGSEYR-</t>
  </si>
  <si>
    <t>-----K-QNKNISNEILNCSKKIKKYFLLGYL--------------GNDKE---------</t>
  </si>
  <si>
    <t>Y------KL------CIV--DNINKP--YCINK--IIQLQDT------------------</t>
  </si>
  <si>
    <t>--------S---INGE--YVYDLETE----------------------------------</t>
  </si>
  <si>
    <t>LLFE---------------TNP-NKYFLKSMG-------IVLKRRDNAPIVKIV-VGGII</t>
  </si>
  <si>
    <t>DYIL----------KN----------RD--------------------------------</t>
  </si>
  <si>
    <t>---------------------------IDK-AVEY-------------TRNVLSKLM---</t>
  </si>
  <si>
    <t>--IDKFIISK-TLK----------------------------------------------</t>
  </si>
  <si>
    <t>------------------------------------------S--KYKKPST--------</t>
  </si>
  <si>
    <t>----------------------------IAHKVLADRMAIRD-PGNKPQ------IND--</t>
  </si>
  <si>
    <t>------------------------RIPFVY------------VVKD--------------</t>
  </si>
  <si>
    <t>-----------MGNKKKKDIL-----------------QGDLIEH---------PDYV--</t>
  </si>
  <si>
    <t>---------IQNN------------------------MKID-------------YLY---</t>
  </si>
  <si>
    <t>------YL-----EH------------------QIIKPATQILEL---------------</t>
  </si>
  <si>
    <t>--MIDS-R-S----------VNK-------------------------------------</t>
  </si>
  <si>
    <t>---LFD------------EYKI--------------------------------------</t>
  </si>
  <si>
    <t>------------------------------TEENKRKG----------------------</t>
  </si>
  <si>
    <t>------------------------------------RR---------------SI-----</t>
  </si>
  <si>
    <t>-------------------L-E------------------------FVPDSKKKNVIMN-</t>
  </si>
  <si>
    <t>QKNRKI-------------------EPKYQ--------------------NLP---YIGN</t>
  </si>
  <si>
    <t>TRKLECKNLGNWM-YGD-------------------------------------------</t>
  </si>
  <si>
    <t>-----------NVKQSSIDDGELDL----------------------</t>
  </si>
  <si>
    <t>---------------------------VLINNSINDNKV---------------------</t>
  </si>
  <si>
    <t>--------TPYF---YVQV--P--------------------TNW-----K---------</t>
  </si>
  <si>
    <t>KK----------HVDKFVYYLKR-----KVSWATNN----------NPNY----------</t>
  </si>
  <si>
    <t>--------AYDLSNSLVNYKMVE----KHNFYN----------F----------------</t>
  </si>
  <si>
    <t>-----NIEPHIRCMH-INNLSSCGW------VTIDNKNIK-------NN----S----E-</t>
  </si>
  <si>
    <t>YSN--C-DYSYSVQ-W----------K------------------HIK-PSN------N-</t>
  </si>
  <si>
    <t>---PQA--ERE-------------------------------------------------</t>
  </si>
  <si>
    <t>-----------------YGSM-ECYEQHILTLKKCAR-----------------------</t>
  </si>
  <si>
    <t>RFLDEI---------------LNIMGKVNNIHLIENEGVNKLTD----------------</t>
  </si>
  <si>
    <t>-------TGKNNDDD-DLDI-SIYTESTKAL---EKDSYIQIMVDDGY--SSSPLCE---</t>
  </si>
  <si>
    <t>GAKY-KVIDI--------DGITETVYDENDKKNVTYS-----------------YQAIKT</t>
  </si>
  <si>
    <t>--------------DN-K----------YD-NL--------P--------GYLYHD----</t>
  </si>
  <si>
    <t>FDKINKTMNNNIETILQQTYFTIKNIEDKIKKEKLITDSRIEDISFNDVFSTNKKAKLIE</t>
  </si>
  <si>
    <t>KSLNADEK-------SNEISRIEDTHNKNIKNVLEK------------------------</t>
  </si>
  <si>
    <t>YIISEKEREEMITMERE-----------------KAAKSMNDE-----------------</t>
  </si>
  <si>
    <t>-------------SEVIYGD----------------------------------------</t>
  </si>
  <si>
    <t>-----------NAKQSSIDDGELDL----------------------</t>
  </si>
  <si>
    <t>---------------------------MVENNSNVEKDV---------------------</t>
  </si>
  <si>
    <t>----------------------------------------------VEF-----------</t>
  </si>
  <si>
    <t>----------------------------------------------NNYHEL--------</t>
  </si>
  <si>
    <t>--------TPYF---YVEI--P--------------------LNW-----K---------</t>
  </si>
  <si>
    <t>RN----------HVAKFIEILKR-----RVSWSTNN----------NPNY----------</t>
  </si>
  <si>
    <t>--------NYDLSNSLIKYKVIQ----KYNFYN----------F----------------</t>
  </si>
  <si>
    <t>----TNKK-CFNFVMLF---------FKSHTAMK----EFSNA-----------------</t>
  </si>
  <si>
    <t>------------------LARPLKTE----GLTK--------DPMLYQRFES--------</t>
  </si>
  <si>
    <t>-----NIEPHIRFMH-INNLSSCGW------VTIDKSHLK-------EN----K----E-</t>
  </si>
  <si>
    <t>YSN--C-DHSYSVN-W----------K------------------YVK-PAD------N-</t>
  </si>
  <si>
    <t>---DDR------MA----PLKIMGYDIECI-S---------CD-----H-NF--------</t>
  </si>
  <si>
    <t>------------KGTNVEC-YKTEK-GLLRG---WARLI-SRIRPDF-KAG-YNNFGF--</t>
  </si>
  <si>
    <t>KFLDEI---------------LCIIGKVNNKYLME-------------------------</t>
  </si>
  <si>
    <t>L-QVPGI-----LSVD----------------MMKVIQRD-H-RLIG--------YKLDN</t>
  </si>
  <si>
    <t>-------NEKSDEDQCELDI-SIYTESTKAL---ESDSYIQIMVDDGY--SSSPLCE---</t>
  </si>
  <si>
    <t>GAKY-KIHKI--------ETVSETQFDEQEQKNKPYT-----------------FQAMKT</t>
  </si>
  <si>
    <t>KMSQKDVALLREVLQNKLLKVYWTFAKDD---------M---------------------</t>
  </si>
  <si>
    <t>-LIPVLRKNKKD------------------------------------------------</t>
  </si>
  <si>
    <t>-------------------NNGDEDE----------------------------------</t>
  </si>
  <si>
    <t>-SSLY-------------------PNSMRERNLSPECYVN--------------------</t>
  </si>
  <si>
    <t>--------------DP-K----------YD-NL--------P--------GYIYHD----</t>
  </si>
  <si>
    <t>FQKIKQNMEKNLKIIEDQLYFNLKNIEDKIKKEKEITEAKIEDISFNDNISSKEKTSLIN</t>
  </si>
  <si>
    <t>KEKE---------------------KLKKKISKYTEIDGKIK------------------</t>
  </si>
  <si>
    <t>KLLTVEEK-------EKETVLIKNTTKYAIEKILEK------------------------</t>
  </si>
  <si>
    <t>YPITNEEREELIKMEKE-----------------RAEKEIASE-----------------</t>
  </si>
  <si>
    <t>----------------------------------KSKVYNIVNGKTV-------------</t>
  </si>
  <si>
    <t>---LRLA-----------------------------------------------KEK---</t>
  </si>
  <si>
    <t>---------------------D----------------------------AF-VKAI---</t>
  </si>
  <si>
    <t>-----------NSLYGQTGAPT----------SPIYFIAIAASTTAIGR-----------</t>
  </si>
  <si>
    <t>-------------------------ERLYYARKMVE------------------------</t>
  </si>
  <si>
    <t>LTTF------------WYEYDAFKA-----------------------------------</t>
  </si>
  <si>
    <t>KQQAIL-----DYEVWTDKGWAKIKRVIRHQTK---KSIYRVKTNNGVVDVTED----HS</t>
  </si>
  <si>
    <t>LLN-TDKEIIKPLDCNPNT-KLLHGFMET--------------------------NNIYQ</t>
  </si>
  <si>
    <t>NITP---------------SQAYLLG---------------------------LNFGKVD</t>
  </si>
  <si>
    <t>---VYWDI------------------INAQSIW---------------------------</t>
  </si>
  <si>
    <t>----------DVINIITNATTKIKQEFIKGW-----------------KKQG--------</t>
  </si>
  <si>
    <t>Y------RL------SYG--KNISN-----INKT-TIQYLRE------------------</t>
  </si>
  <si>
    <t>--------T---YDGE--YVYDLETE----------------------------------</t>
  </si>
  <si>
    <t>LLFE---------------KNP-DKYFLKSMG-------IVLKRRDNAPIVKIV-VGGII</t>
  </si>
  <si>
    <t>DHIL----------KN----------RD--------------------------------</t>
  </si>
  <si>
    <t>---------------------------ING-AVEY-------------TRNVLSKLM---</t>
  </si>
  <si>
    <t>---------------KGEYP----------------------------------------</t>
  </si>
  <si>
    <t>------------------------------------------A--RYKKPST--------</t>
  </si>
  <si>
    <t>-----------MGKKKKKDIL-----------------QGDLIEH---------PDYV--</t>
  </si>
  <si>
    <t>---------IAND------------------------LKID-------------YLY---</t>
  </si>
  <si>
    <t>------YL-----EH------------------QIINPATQILEL---------------</t>
  </si>
  <si>
    <t>--MIDS-K-S----------VTK-------------------------------------</t>
  </si>
  <si>
    <t>---LFN------------EYII--------------------------------------</t>
  </si>
  <si>
    <t>------------------------------EEENKRKG----------------------</t>
  </si>
  <si>
    <t>-------------------F-D------------------------FVDKSKLKT-ISH-</t>
  </si>
  <si>
    <t>QKIKKD-------------------NDKYE--------------------NIR---YIGT</t>
  </si>
  <si>
    <t>TRRLENKNLGIWM-YGNE------------------------------------------</t>
  </si>
  <si>
    <t>----------KTSQKSNIDDGELDL----------------------</t>
  </si>
  <si>
    <t>---------------------------MVENNLNAEKEV---------------------</t>
  </si>
  <si>
    <t>----------------------------------------------NNYHEI--------</t>
  </si>
  <si>
    <t>--------TPYF---YVEI--P--------------------INW-----K---------</t>
  </si>
  <si>
    <t>KK----------HVDKFIYILKR-----RVSWSTNN----------NPNY----------</t>
  </si>
  <si>
    <t>--------NYDLSNSLIKYKVVQ----KHNFYN----------F----------------</t>
  </si>
  <si>
    <t>----TNKK-YFSYVMLI---------FKSHTAMK----EFSNA-----------------</t>
  </si>
  <si>
    <t>-----NIEPHIRFMH-INNISSCGW------VTIDKTRLK-------EN----K----E-</t>
  </si>
  <si>
    <t>YSN--C-DHSYSVN-W----------K------------------YVK-PSD------N-</t>
  </si>
  <si>
    <t>-----------------YGSM-QCYEEYILTLKKCAR-----------------------</t>
  </si>
  <si>
    <t>------------KGATVLC-YKTEK-GLLRG---WAKII-SIIKPDF-KAG-YNNFGF--</t>
  </si>
  <si>
    <t>KFMDEI---------------LCIIGKVNNKYLME-------------------------</t>
  </si>
  <si>
    <t>-------NEKQDENQCDLDI-SIYTESTKAL---ESDSFIQIMVDDGY--SSSPLCE---</t>
  </si>
  <si>
    <t>GAKY-KVHKI--------ETVTETKFNDKENKDETFS-----------------FQAMKT</t>
  </si>
  <si>
    <t>KMSQKDVALLREVLQNKLLKVFWTFAKDD---------M---------------------</t>
  </si>
  <si>
    <t>FQKIKQNMEKNLKIIEDQLYFNLKNIEDKIKKEKELTESKIEDISFNDEISSKEKTNLIN</t>
  </si>
  <si>
    <t>KEKE---------------------KLKKKILKYTEIDDKIK------------------</t>
  </si>
  <si>
    <t>KSLVPNEK-------EKELVKIKNETKNAIEKILEQ------------------------</t>
  </si>
  <si>
    <t>YSITNEEREELINMEKE-----------------RADKEIASE-----------------</t>
  </si>
  <si>
    <t>----------------------------------KSKVYNVVNGKTV-------------</t>
  </si>
  <si>
    <t>---LRLA-----------------------------------------------REK---</t>
  </si>
  <si>
    <t>---------------------E----------------------------AF-VKAI---</t>
  </si>
  <si>
    <t>-------------------------ERLYYARKVVE------------------------</t>
  </si>
  <si>
    <t>-------------AEVIYGD----------------------------------------</t>
  </si>
  <si>
    <t>---------------------------IDG-AVEY-------------TRNVLSKLM---</t>
  </si>
  <si>
    <t>-----------LGKKKKKDIL-----------------QGDLIEH---------PDYV--</t>
  </si>
  <si>
    <t>---------VAND------------------------LQID-------------YLY---</t>
  </si>
  <si>
    <t>QKIKT--------------------NDKYD--------------------NIR---YIGT</t>
  </si>
  <si>
    <t>TRRLECKNLGIWM-YGNE------------------------------------------</t>
  </si>
  <si>
    <t>----------KSSHQSTIDDGELDL----------------------</t>
  </si>
  <si>
    <t>-------------------------------------MDG--------------------</t>
  </si>
  <si>
    <t>---------------------LNILLHMVENNSDSKKDV---------------------</t>
  </si>
  <si>
    <t>----------------------------------------------IEF-----------</t>
  </si>
  <si>
    <t>----------------------------------------------NSYHEV--------</t>
  </si>
  <si>
    <t>KN----------HVNKFINILKR-----RVSWSTNN----------NPNY----------</t>
  </si>
  <si>
    <t>--------SYDLSKSLIKYKVVQ----KHNFYN----------F----------------</t>
  </si>
  <si>
    <t>----TNKK-YFNYVMLI---------FKSHIAMK----EFSNA-----------------</t>
  </si>
  <si>
    <t>-----NIEPHIRFMH-INNISSCGW------VKIDKSHLK-------EN----K----E-</t>
  </si>
  <si>
    <t>YSN--C-DHSYSIN-W----------K------------------YVK-PSD------N-</t>
  </si>
  <si>
    <t>--------------------------------TDK-I-IQIGVT----------MYR---</t>
  </si>
  <si>
    <t>------------KGTNVEC-YKTEK-GLLRG---WARII-SRIRPDF-KAG-YNNFGF--</t>
  </si>
  <si>
    <t>RFLDEI---------------LTIIGKVNNKYLIEVEGVDKISDEYSNVKIFNRSNNIPK</t>
  </si>
  <si>
    <t>DKKKLKGKESNTIN-------NDTEDIETNQYEGIRKSLTYFEIKNLSSSALG-DNELKF</t>
  </si>
  <si>
    <t>-------NEKTDEDQCELDI-SIYTESTKAL---ESDSYIQIMVDDGY--SSSPLCE---</t>
  </si>
  <si>
    <t>GAKY-KVHKI--------ETVTETKHNEKENKDETFT-----------------FQAMKT</t>
  </si>
  <si>
    <t>KMSQKDVALLREVLQNKLLKIFWTFAKDD---------M---------------------</t>
  </si>
  <si>
    <t>FHKIQKNMEKNIKIIEDQSYITLKNIEDKIKKEKEITESKIEDISFNDDISSKEKDKLIN</t>
  </si>
  <si>
    <t>KEKE---------------------NLKKKILKFTEIDGKIK------------------</t>
  </si>
  <si>
    <t>KSLAIDEK-------EKEATMIKNITKNAIEKILEK------------------------</t>
  </si>
  <si>
    <t>YPITNEEREELIKMEKE-----------------KADKEITLE-----------------</t>
  </si>
  <si>
    <t>----------------------------------KSKVYNVVDGQTV-------------</t>
  </si>
  <si>
    <t>-------------------------ERLYYARRMVE------------------------</t>
  </si>
  <si>
    <t>-----------MGKKKKKDIL-----------------QGDLIEN---------PDYV--</t>
  </si>
  <si>
    <t>---------ISNG------------------------LKID-------------YLY---</t>
  </si>
  <si>
    <t>--MMDS-K-S----------VMK-------------------------------------</t>
  </si>
  <si>
    <t>------------------------------EEDNKRKG----------------------</t>
  </si>
  <si>
    <t>------------------------------------RR---------------SM-----</t>
  </si>
  <si>
    <t>-------------------F-D------------------------FIDKSKMKT-INY-</t>
  </si>
  <si>
    <t>QKISK---------------------DKYD--------------------NLR---YIGT</t>
  </si>
  <si>
    <t>TRRLECKSMGIWM-YNNQ------------------------------------------</t>
  </si>
  <si>
    <t>----------QSDQKSNIDDGELDL----------------------</t>
  </si>
  <si>
    <t>-------------------------------------MVSKKNGYTD-------------</t>
  </si>
  <si>
    <t>----------KNKTKSPIKKETTTPDKKES------------------------------</t>
  </si>
  <si>
    <t>EEKPKDKIKSEEKPKDKIKSEEKPKDKVAT-DITNHTSK----PGNLEF-----------</t>
  </si>
  <si>
    <t>--------------QICDW-----------------------------------------</t>
  </si>
  <si>
    <t>----------------------------------------------NSYHEI--------</t>
  </si>
  <si>
    <t>--------------------------------YVIQLFGRTE-DDKDVCLKVTGF-----</t>
  </si>
  <si>
    <t>--------TPFF---YVEV--P--------------------TSW-----T---------</t>
  </si>
  <si>
    <t>TK----------QADKFVEILKN-----KVSYCANN----------NPNY----------</t>
  </si>
  <si>
    <t>--------EYDLGQSLVRHALVQ----KYKFYN----------F----------------</t>
  </si>
  <si>
    <t>----ANKK-LFKFVMLV---------FKNHTAMR----EYANI-----------------</t>
  </si>
  <si>
    <t>------------------LAKPLKAT----GLTK--------EPMLYQRYES--------</t>
  </si>
  <si>
    <t>-----NIEPHIRFMH-INNLSSCGW------VSIDKTKLK-------TN----K----E-</t>
  </si>
  <si>
    <t>YSN--C-DHSYNVN-W----------K------------------EVK-PSD------N-</t>
  </si>
  <si>
    <t>---DDR------MA----PFKIMGYDIECT-S---------CD-----H-NF--------</t>
  </si>
  <si>
    <t>---PQA--DRK-------------------------------------------------</t>
  </si>
  <si>
    <t>--------------------------------PDK-I-IQIGVT----------MYR---</t>
  </si>
  <si>
    <t>-----------------YGSM-NCYEQHILTLKECAA-----------------------</t>
  </si>
  <si>
    <t>------------KGATVEC-YKTEK-GLIRG---WAKKV-RDIRPDF-KAG-YNNFGF--</t>
  </si>
  <si>
    <t>KFMDEI---------------LMIMGKVNNKYLIE-------------------------</t>
  </si>
  <si>
    <t>V-QVPGI-----LSVD----------------MMKIIQRD-H-RLVG--------YKLDN</t>
  </si>
  <si>
    <t>VSANFITEGATKFVE---------------------------------------------</t>
  </si>
  <si>
    <t>-------DGKVTDGR--VKV-NIYTRSTKAL---EKDSYIQIMVDDGY--SSTPLSE---</t>
  </si>
  <si>
    <t>GAKY-KVFDI--------ETVTEKKFNEKENKEETVV-----------------YQCIKT</t>
  </si>
  <si>
    <t>EIGEKDVMDLREIILNPLLKVYWTFAKDD---------M---------------------</t>
  </si>
  <si>
    <t>-DPKR------------------------------------IRQIA--------------</t>
  </si>
  <si>
    <t>-LIPVLRRKKKD------------------------------------------------</t>
  </si>
  <si>
    <t>-------------------ASGDEDE----------------------------------</t>
  </si>
  <si>
    <t>-SSLY-------------------PNSMRERNLSQECYVN--------------------</t>
  </si>
  <si>
    <t>--------------DS-R----------YD-NL--------P--------GYVYHD----</t>
  </si>
  <si>
    <t>FDKINADMNKNIEKIKQQLYFTDANRNDKIAKAKEVMDKKIKEINENKELSEKAKLKLIE</t>
  </si>
  <si>
    <t>KEKT---------------------NFKSN--PFVDQDDRIK------------------</t>
  </si>
  <si>
    <t>SKYSEENKKELLDHENKKLEEI-------IKNIIEE------------------------</t>
  </si>
  <si>
    <t>IELDDKDREELINAEKE-----------------KAKKKISDE-----------------</t>
  </si>
  <si>
    <t>----------------------------------KAKRYNVVNGKTV-------------</t>
  </si>
  <si>
    <t>-----RYGILPE-ILTELLNKRKDTN----------------------------------</t>
  </si>
  <si>
    <t>---GRLA-----------------------------------------------QEK---</t>
  </si>
  <si>
    <t>---------------------D----------------------------PF-KKAI---</t>
  </si>
  <si>
    <t>-------------------------ERLHYAKKMVE------------------------</t>
  </si>
  <si>
    <t>--------------ENFPG-----------------------------------------</t>
  </si>
  <si>
    <t>---------------------------NFHLKDKN-------------------------</t>
  </si>
  <si>
    <t>CQKA---------A-KLINDNVPK------------------------------------</t>
  </si>
  <si>
    <t>LLFE---------------KDP-NKYSLKSMG-------IVLKRRDNAPIVKIV-VGGII</t>
  </si>
  <si>
    <t>DHLL----------KN----------RD--------------------------------</t>
  </si>
  <si>
    <t>---------------------------IDK-AVEY-------------TQQVLRKLM---</t>
  </si>
  <si>
    <t>---------------DGKYP----------------------------------------</t>
  </si>
  <si>
    <t>----------------------------IAHKVLADRMAERD-PGNKPQ------IND--</t>
  </si>
  <si>
    <t>-----------MGKKKKKDIL-----------------QGDLIEH---------PDFV--</t>
  </si>
  <si>
    <t>---------IKNG------------------------LKID-------------YLY---</t>
  </si>
  <si>
    <t>--MMPT-K-K----------VDK-------------------------------------</t>
  </si>
  <si>
    <t>---MFR------------EFII--------------------------------------</t>
  </si>
  <si>
    <t>------------------------------EEENKRKR----------------------</t>
  </si>
  <si>
    <t>------------------------------------RQ---------------SM-----</t>
  </si>
  <si>
    <t>-------------------E-K------------------------WMDYSTIKT---N-</t>
  </si>
  <si>
    <t>LKKKSSI---------------DEHDKTHE--------------------DLP---FCGK</t>
  </si>
  <si>
    <t>GKKFENQNIEKWMDYSTVK-TKEEQSKESSKQSVKGTTNDTDNKNNDSK------NRKKP</t>
  </si>
  <si>
    <t>SQTMDRWIGDASSQTTNSDEWEPDF----------------------</t>
  </si>
  <si>
    <t>-------------------------------------MVSKKNGYTN-------------</t>
  </si>
  <si>
    <t>----------KN-NKSPIKEEKKSPNTKGS------------------------------</t>
  </si>
  <si>
    <t>EEKPKD----------------KAKDKITN-DITNENTK----NENLEF-----------</t>
  </si>
  <si>
    <t>TK----------QADKFVDILKN-----KVSYCANN----------NPNY----------</t>
  </si>
  <si>
    <t>--------EYDLSQSLVRHALVQ----KYKFYN----------F----------------</t>
  </si>
  <si>
    <t>----TNKK-LFKFVMLV---------FKNHTAMR----EYANI-----------------</t>
  </si>
  <si>
    <t>YSN--C-DHSYHVN-W----------K------------------EVK-PSD------N-</t>
  </si>
  <si>
    <t>---PQA--ERK-------------------------------------------------</t>
  </si>
  <si>
    <t>KFMDEI---------------LMIMGKVNNKYLME-------------------------</t>
  </si>
  <si>
    <t>I-QVPGI-----LSVD----------------MMKIIQRD-H-RLVG--------YKLDN</t>
  </si>
  <si>
    <t>-------EDKVIDGK--VKI-KIYTKSTKAL---EKDSYIQIMVNDGY--SSTPLSE---</t>
  </si>
  <si>
    <t>GAKY-KVFDI--------ETITEKKFNEKEKKEETFV-----------------YQCIKT</t>
  </si>
  <si>
    <t>--------------DP-K----------YD-NL--------P--------GYVYHD----</t>
  </si>
  <si>
    <t>IAKINADTEKNIEKIKQQKYFTESNRKEKIEKENAKLERNIKEINNNKELSEKEKTKAIN</t>
  </si>
  <si>
    <t>KEKE---------------------KFNENVKHLFDLNDKINLNKALSEKRIKDIIANEK</t>
  </si>
  <si>
    <t>FTEEIEKKLIKEEQELFDENNKFLIEMMEIV-VK-----------QKEEFDKQIKIISDN</t>
  </si>
  <si>
    <t>KNLSDNDK-------SKKINEIKD---KFIKDITTESKNIKLKSDEIEKLKVTLNAICGR</t>
  </si>
  <si>
    <t>IEVNADERNQFIEWEKE-----------------KAKKKIADE-----------------</t>
  </si>
  <si>
    <t>----------------------------------KAKKYNIVNGQTV-------------</t>
  </si>
  <si>
    <t>---------------------D----------------------------SF-KKAI---</t>
  </si>
  <si>
    <t>---------------------------NFHIKDED-------------------------</t>
  </si>
  <si>
    <t>AQQA---------A-KLINDNVPK------------------------------------</t>
  </si>
  <si>
    <t>---------------------------IDK-AVEY-------------TQQVIRKLM---</t>
  </si>
  <si>
    <t>------------------------------------------A--TYKKPST--------</t>
  </si>
  <si>
    <t>-----------MGKKKKKDIL-----------------QGDLIEH---------PEFV--</t>
  </si>
  <si>
    <t>---MFK------------EFII--------------------------------------</t>
  </si>
  <si>
    <t>------------------------------------RQ---------------SI-----</t>
  </si>
  <si>
    <t>-------------------E-K------------------------WVDTSKIKT---V-</t>
  </si>
  <si>
    <t>VNKRSST---------------NDHDNNHE--------------------DLP---FCGK</t>
  </si>
  <si>
    <t>GKKFENQNMEKWMDYATI---KEEQSKESSNKLANAAINN-NNKDNNSK------SKKKS</t>
  </si>
  <si>
    <t>TQTMDRWIGDASNRTTNSDEWEPDF----------------------</t>
  </si>
  <si>
    <t>-------------------------------------MSLEGN-----------------</t>
  </si>
  <si>
    <t>-------------DKKHLKNVKNSP-----------------------------------</t>
  </si>
  <si>
    <t>-------------------------KQPTNTNTNTTN-VE--------------------</t>
  </si>
  <si>
    <t>--------------------------------------------NNLCF-----------</t>
  </si>
  <si>
    <t>--------------QLCDW-----------------------------------------</t>
  </si>
  <si>
    <t>--------TPFF---YVEV--P--------------------LWW-----K---------</t>
  </si>
  <si>
    <t>SV----------HVDKFINVLRD-----KISWRSNN----------NPNY----------</t>
  </si>
  <si>
    <t>--------DYDLSQSLVKYNLVQ----KYKWYN----------F----------------</t>
  </si>
  <si>
    <t>----SNKK-YFNFVILV---------FKSHTAMK----EYSNL-----------------</t>
  </si>
  <si>
    <t>------------------LSRELEIR----GLTK--------GPMFFQRYES--------</t>
  </si>
  <si>
    <t>-----NIEPHIRFMH-INNLLSCGW------VRIDKSKIK-------EN----K----E-</t>
  </si>
  <si>
    <t>YSN--C-DHSYEVP-W----------R------------------NVI-SAED----IN-</t>
  </si>
  <si>
    <t>---DTK------IA----PLKIMGYDIECI-S---------CD-----E-QF--------</t>
  </si>
  <si>
    <t>---PQA--TRK-------------------------------------------------</t>
  </si>
  <si>
    <t>-----------------YGSM-NCYNQQILTLKNCLP-----------------------</t>
  </si>
  <si>
    <t>------------ADAVVEC-YSTEK-NLLKA---YANKI-AELKPDF-KAG-YNNFGF--</t>
  </si>
  <si>
    <t>KFIDEI---------------LQIMGKVNNRHLVKYEEINRTIM----------------</t>
  </si>
  <si>
    <t>F-KVPGI-----ISID----------------MLKIIQRE-H-SLLG--------YKLDN</t>
  </si>
  <si>
    <t>VSANFITESAIKFVE---------------------------------------------</t>
  </si>
  <si>
    <t>--------KETVDNK--VRV-DIYTQSTKAL---EKDSYIQIMINDGY--SSSPLSE---</t>
  </si>
  <si>
    <t>GAKY-KVLDI--------ETVSEKKFNEKENKEEIVK-----------------FQCIKT</t>
  </si>
  <si>
    <t>VINKNDIAELNEALKNPILKKYWTFAKDD---------M---------------------</t>
  </si>
  <si>
    <t>-NPKK------------------------------------IRQIA--------------</t>
  </si>
  <si>
    <t>NGMAMANVCHVPLSYLYLRGQGVKIFSLVSKKCREK--------NF--------------</t>
  </si>
  <si>
    <t>-LIPVLR--KKD------------------------------------------------</t>
  </si>
  <si>
    <t>-------------------GITDDDE----------------------------------</t>
  </si>
  <si>
    <t>-SSLY-------------------PNSMRERNLSPECYVK--------------------</t>
  </si>
  <si>
    <t>--------------DT-Q----------YD-NL--------P--------GYIYHD----</t>
  </si>
  <si>
    <t>FDRINKEKDDTIDKIKSKKYYSASDRKFKINLEKERSNKKIKEITENDELSDKSKNKLVS</t>
  </si>
  <si>
    <t>EEKE---------------------TLDSKIKPFVDIDNRIA------------------</t>
  </si>
  <si>
    <t>E---EKEK-------SNKI----------VQEISEE------------------------</t>
  </si>
  <si>
    <t>IGIGNDDRKELIDSEIA-----------------NAKKKIEIE-----------------</t>
  </si>
  <si>
    <t>----------------------------------KSKKYNFSQGHMV-------------</t>
  </si>
  <si>
    <t>-----RYGILPE-ILTELLNKRKEVK----------------------------------</t>
  </si>
  <si>
    <t>---NRLE-----------------------------------------------VEK---</t>
  </si>
  <si>
    <t>---------------------D----------------------------QS-TKDV---</t>
  </si>
  <si>
    <t>-----------------LKG-------KEL--------AFK-------------------</t>
  </si>
  <si>
    <t>-----------NSVYGQTGAPT----------SPIYFIQIAASTTAIGR-----------</t>
  </si>
  <si>
    <t>-------------------------KRLHYAKKMVE------------------------</t>
  </si>
  <si>
    <t>--------------ENFNG-----------------------------------------</t>
  </si>
  <si>
    <t>LGNC------------WEPYEQFKY-----------------------------------</t>
  </si>
  <si>
    <t>KQQSMV-----NYEIWTSNGWAKIKRVIRHKTN---KKIYRISTLTGCVDVTED----HS</t>
  </si>
  <si>
    <t>LLD-KNKVIVKPDECQKGM-ELLHGFMEP--------------------------NNVYN</t>
  </si>
  <si>
    <t>NISN---------------EEAYVWGVFMIMGTC----------DDNI---WMLSKNSTK</t>
  </si>
  <si>
    <t>LFYDSN-ERLIVPKEILNSSIEIKKSFLRGYF-------------DNHKRYK---TNNNF</t>
  </si>
  <si>
    <t>SHCDVEGFTIAQSLFY--LLKCVGY------DVTINPIY--------YIN--------PI</t>
  </si>
  <si>
    <t>YYRSDIIRL------IFSKEINRINK--IAVRKNEFIGFSTD------------------</t>
  </si>
  <si>
    <t>--------YL--YDGHVGYVYDLETE----------------------------------</t>
  </si>
  <si>
    <t>---------------------------NFHVKDEN-------------------------</t>
  </si>
  <si>
    <t>SKAA---------A-KIINDNVPK------------------------------------</t>
  </si>
  <si>
    <t>LLFT---------------EDP-TKYSLKSMG-------IVLKRRDNAPIVKIV-VGGII</t>
  </si>
  <si>
    <t>DYIL----------KS----------RD--------------------------------</t>
  </si>
  <si>
    <t>---------------------------INK-AVEY-------------TKKVLRKLM---</t>
  </si>
  <si>
    <t>---------------DGEYP----------------------------------------</t>
  </si>
  <si>
    <t>-----------LGKKKKKDIL-----------------QGDLIEH---------PEYV--</t>
  </si>
  <si>
    <t>---------VNNG------------------------LKID-------------YLY---</t>
  </si>
  <si>
    <t>------YL-----EH------------------QIINPAGQILEL---------------</t>
  </si>
  <si>
    <t>--LIPG-K-E----------VAK-------------------------------------</t>
  </si>
  <si>
    <t>---LFG------------EFII--------------------------------------</t>
  </si>
  <si>
    <t>-------------------E-K------------------------WMDGPIPKN--ES-</t>
  </si>
  <si>
    <t>--------KIE----------------------------------------MIKQP----</t>
  </si>
  <si>
    <t>TKKHECQDMSKWMDYSTIKCDKGKPTADPSSELIKELAKQ-SNKNEYSKLPFNEEIKRYK</t>
  </si>
  <si>
    <t>CQDMNKWL-NGSEAKNVSDGWESDV----------------------</t>
  </si>
  <si>
    <t>------------------------MGKVNNVYLIENEGVNKLTD----------------</t>
  </si>
  <si>
    <t>--------------DN-K----------KDCNV--------N--------KYCQWNS---</t>
  </si>
  <si>
    <t>-----------SKNICYLALK---------------KRELVDFINQ-VTEEFVQNELK--</t>
  </si>
  <si>
    <t>TSNV---------------------NLDRILS----------------------------</t>
  </si>
  <si>
    <t>----------------------------EIF-GK-----------EN-------------</t>
  </si>
  <si>
    <t>-----------------------------IPKIGKK-----------------------R</t>
  </si>
  <si>
    <t>YKYDNIQNYEQMNID---------------------------------------------</t>
  </si>
  <si>
    <t>-------------------NPLRDVN----------------------------------</t>
  </si>
  <si>
    <t>---NWL------------------------------------------------------</t>
  </si>
  <si>
    <t>-----------------------------------------------------VQNI---</t>
  </si>
  <si>
    <t>-----------------IDN-------NNT--------VFR-------------------</t>
  </si>
  <si>
    <t>--------------VFA-------------------------------------------</t>
  </si>
  <si>
    <t>-----------NTYY---------------------------------------------</t>
  </si>
  <si>
    <t>--------------------W---------------------------------------</t>
  </si>
  <si>
    <t>---------------------LVHPYSES--------------------------N----</t>
  </si>
  <si>
    <t>-------------------MRNLGY-----------------------------------</t>
  </si>
  <si>
    <t>------------------Y-----------------------------------------</t>
  </si>
  <si>
    <t>----------S----------------------------ILQ----T-------------</t>
  </si>
  <si>
    <t>DWLL----------SSEN-------EKD--------------------------------</t>
  </si>
  <si>
    <t>---------------------------IQK-IIPYMKYNRVTD---FITKISMDVTM---</t>
  </si>
  <si>
    <t>---------------MTNCI----------------------------------------</t>
  </si>
  <si>
    <t>--VELYVLSK-IYE----------------------------------------------</t>
  </si>
  <si>
    <t>---------------------------------------------------T--------</t>
  </si>
  <si>
    <t>----------------------------IIY------------------------IHD--</t>
  </si>
  <si>
    <t>-----------------------VSYNIIY------------AI----------------</t>
  </si>
  <si>
    <t>--------------------------------------------H---------P-----</t>
  </si>
  <si>
    <t>----------KNG------------------------VIYD-------------Y-----</t>
  </si>
  <si>
    <t>-----------------------------------KKN----------------------</t>
  </si>
  <si>
    <t>------------------------------------KQ---------------SF-----</t>
  </si>
  <si>
    <t>------------------------------------------------DSSKYQN-----</t>
  </si>
  <si>
    <t>SKNI--------------------------------------------------------</t>
  </si>
  <si>
    <t>-----------------------------------------------</t>
  </si>
  <si>
    <t>---------------------------------------MNLRN----------------</t>
  </si>
  <si>
    <t>---------------------------SQQNKQLKNN-----------------------</t>
  </si>
  <si>
    <t>-------------------------------------------KKEIKF-----------</t>
  </si>
  <si>
    <t>--------------QINDV-----------------------------------------</t>
  </si>
  <si>
    <t>----------------------------------------------KCYNE---------</t>
  </si>
  <si>
    <t>--------------------------------YVMNMFGIDE-ENESISVKITGF-----</t>
  </si>
  <si>
    <t>--------KPRF---YVNI--P--------------------NKW-----N---------</t>
  </si>
  <si>
    <t>NS----------KVKIFIDSIKK-----FVKKK---------------------------</t>
  </si>
  <si>
    <t>--------F---KDSLNNYKVIH----RIKFRG----------F----------------</t>
  </si>
  <si>
    <t>----TNNE-QLKFIKLT---------FNNTYAMR----SFMYV-----------------</t>
  </si>
  <si>
    <t>------------------FKRKLNIP----SLTK--------KPKKYELYET--------</t>
  </si>
  <si>
    <t>-----NIEPFIRFCH-IQDIKPSGW------VKI--QPKN-------YT----VQ-KVK-</t>
  </si>
  <si>
    <t>LTT--C-QKEITCK-W----------K------------------SVE-ADE------N-</t>
  </si>
  <si>
    <t>---TH-------IA----PLITLSFDIECD-S---------SH-----G-DF--------</t>
  </si>
  <si>
    <t>VLK--LVRLAFKD----------KENIEEIS-----------KVYTKGVEKPSKKELLKL</t>
  </si>
  <si>
    <t>VPYL--TKLLF------IRIKREENN---------KELREA-VDKTKKIWAE-------G</t>
  </si>
  <si>
    <t>SISVLEDIAMEVCKETGISNQKILNRIITRDIL------------------VDKITGML-</t>
  </si>
  <si>
    <t>----------DQFLPP--------------LEGDK-V-IQIGST----------IHR---</t>
  </si>
  <si>
    <t>-----------------YGEQ-ECFLKHIVTLDTCNP-----------------------</t>
  </si>
  <si>
    <t>------------DGAVVVP-CKTEK-EVLIE---WAKFV-RELDPDI-VTG-YNIFGF--</t>
  </si>
  <si>
    <t>---DFKFIYERAEEL---N-----------------------------------------</t>
  </si>
  <si>
    <t>-VIGN----------------MGTLGRISN------------------------------</t>
  </si>
  <si>
    <t>I-KMEGR-----VCLD----------------LLKVVQKD-H-KLPS--------YKLDS</t>
  </si>
  <si>
    <t>VAENFISGSIKEI-----------------------------------------------</t>
  </si>
  <si>
    <t>----------TGDKE-NFGN-ILKISGASDL---NEGNYITIF----M--KNDKYQE---</t>
  </si>
  <si>
    <t>GKKF-NIL-------------------KIDGDIIELN------------------EEIDK</t>
  </si>
  <si>
    <t>SIID--------------KKASWRLAKDD---------I---------------------</t>
  </si>
  <si>
    <t>-DAEG------------------------------------RKLVA--------------</t>
  </si>
  <si>
    <t>NNIGMANVCIVPLSYIFLRGQGVKIFSLVSKECREN--------NF--------------</t>
  </si>
  <si>
    <t>-LLPDLKKPKSEE-----------------------------------------------</t>
  </si>
  <si>
    <t>-------EKEQEKRIKRY------------------------RND---------------</t>
  </si>
  <si>
    <t>-------------------DDSDEEE-------------VDE------------------</t>
  </si>
  <si>
    <t>YLK---------------------EFVT-VLDY---------------------------</t>
  </si>
  <si>
    <t>-SSLY-------------------PSSMISENLSHDTYVM--------------------</t>
  </si>
  <si>
    <t>--------------EE-R----------FN-NL--------P--------GFDYLD----</t>
  </si>
  <si>
    <t>Y-----------------------------------------EWIDPKIKSKGKKK----</t>
  </si>
  <si>
    <t>--------------------------------IG-----------QK-------------</t>
  </si>
  <si>
    <t>---------------NC-----------------RFVQ----------------------</t>
  </si>
  <si>
    <t>----------------------------------------FPNNKK--------------</t>
  </si>
  <si>
    <t>-------GLIPQ-ILQKLLKARKSTR----------------------------------</t>
  </si>
  <si>
    <t>---KKILYKT------------------VKDNKGNEF-------------SGLYDEK---</t>
  </si>
  <si>
    <t>---------------------DDIVSIKTVEGEKMEFKKQDIVYKKDTYNEF-EKEV---</t>
  </si>
  <si>
    <t>-----------------LDG-------LQL--------AYK-------------------</t>
  </si>
  <si>
    <t>--------------ITA-------------------------------------------</t>
  </si>
  <si>
    <t>-----------NSLYGQIGART----------SQIYLKDIAASTTATGR-----------</t>
  </si>
  <si>
    <t>-------------------------NLLYLAKEKTE------------------------</t>
  </si>
  <si>
    <t>--------------ERFEG-----------------------------------------</t>
  </si>
  <si>
    <t>LSNE------------WISYDEFK------------------------------------</t>
  </si>
  <si>
    <t>KQQCII----DNYQIYTSNGWSDIKRVIKHKTL---KKIYRVLTHTGIVDVTED----HS</t>
  </si>
  <si>
    <t>LLD-DKLEIKKPGEVSVGD-KLYHNYPEFAKQ-----------------------DVELK</t>
  </si>
  <si>
    <t>SILDFIDDIGGKNV---VLKKSFIYGFFYGDGSCGEYK-----CKSGIKYTFALNNKNLD</t>
  </si>
  <si>
    <t>NCLILQSLLSEIYENE---FKILDT-LKSSNVYKIV------PNHNNIKG--YV-NEYRN</t>
  </si>
  <si>
    <t>KFYNKD-NYKIIPQEILNASYEEKYSFFAGYYMA-----------DGYKCDK---SKSKN</t>
  </si>
  <si>
    <t>IVFSNKGKIGSSMLFY--LAKSIGL------NVSINT-----------------------</t>
  </si>
  <si>
    <t>--RNDKRDI------YKLTCTNKKLR--KECNEIKKIDYLYT------------------</t>
  </si>
  <si>
    <t>--------TED-------YVYDIETE----------------------------------</t>
  </si>
  <si>
    <t>---------------------------NFNPKDKT-------------------------</t>
  </si>
  <si>
    <t>GVEA---------E-KYIQQFLKP------------------------------------</t>
  </si>
  <si>
    <t>DKYE---------------FDL-DKYKQTSMG-------IVLKRRDNAAIVKHV-YGGIM</t>
  </si>
  <si>
    <t>NIIM----------KE----------KD--------------------------------</t>
  </si>
  <si>
    <t>---------------------------IPK-SIEF-------------LKEELKKLI---</t>
  </si>
  <si>
    <t>---------------DGKFP----------------------------------------</t>
  </si>
  <si>
    <t>--MEMLQITK-SIK----------------------------------------------</t>
  </si>
  <si>
    <t>------------------------------------------S--YYKNPES--------</t>
  </si>
  <si>
    <t>----------------------------IGHKVLADRIGERE-PGNKPL------PND--</t>
  </si>
  <si>
    <t>------------------------RIPYIY------------IQFP--------------</t>
  </si>
  <si>
    <t>-------------EKKGQRVL-----------------QGDKIEH---------PDFI--</t>
  </si>
  <si>
    <t>---------KRNN------------------------LKPD-------------YLF---</t>
  </si>
  <si>
    <t>------YI-----TN------------------QILKPVCQIYAL---------------</t>
  </si>
  <si>
    <t>--ILEDLK-G----------Y---------------------------------------</t>
  </si>
  <si>
    <t>--NHDSDYMNRL------------KCGLLNKHGEDK------------------------</t>
  </si>
  <si>
    <t>---------------------------------------LLEKLT-KKRNEMTA------</t>
  </si>
  <si>
    <t>-DILFQ------------DIIR--------------------------------------</t>
  </si>
  <si>
    <t>------------------------------EATNKKKN----------------------</t>
  </si>
  <si>
    <t>------------------------------------IR---------------EI-----</t>
  </si>
  <si>
    <t>-------------------T-S------------------------WF------------</t>
  </si>
  <si>
    <t>---------------------------------------------------------K--</t>
  </si>
  <si>
    <t>PV---------------------------------------------</t>
  </si>
  <si>
    <t>---------------------------------------MNFRD----------------</t>
  </si>
  <si>
    <t>---------------------------HSIS---LDE-----------------------</t>
  </si>
  <si>
    <t>-------------------------------------------SKNACF-----------</t>
  </si>
  <si>
    <t>--------------QVIDW-----------------------------------------</t>
  </si>
  <si>
    <t>----------------------------------------------YHF-----------</t>
  </si>
  <si>
    <t>--------------------------------YIIKMFGVTE-EGYSLCVNVTDF-----</t>
  </si>
  <si>
    <t>--------QPHF---Y--I--S--------------------SKT-----K---------</t>
  </si>
  <si>
    <t>DK----------FTQTELDDLEE-----YIINKLPY----------N-------------</t>
  </si>
  <si>
    <t>--------F---KNSL-SVKQVR----KKSIWG----------F----------------</t>
  </si>
  <si>
    <t>----TNNV-YKQYIKLS---------FQNIMS--------MYI-----------------</t>
  </si>
  <si>
    <t>------------------TRKMLQYRI---KVGR--------VQVQFDLNES--------</t>
  </si>
  <si>
    <t>-----NIDPFLRFIH-IQNIKPGGW------ISI--DEYT-------TD----VD-DEL-</t>
  </si>
  <si>
    <t>ESK--C-QINITTS-C----------E------------------NVQ-PLD------C-</t>
  </si>
  <si>
    <t>---NK-------VA----PVNIMSFDIECT-S---------SS-----G-DF--------</t>
  </si>
  <si>
    <t>---PVP--IKTYKKTAEEISD--------------LYNS-FKSDSHHD------------</t>
  </si>
  <si>
    <t>GTYC--NKNL---------LECNTNN---------IKFAKV-YPKKKKIDLETIFQKLQG</t>
  </si>
  <si>
    <t>YTDTIVDILKNRSKHTVFQEEN--------DGL-----E---------PSVVNQLEVLL-</t>
  </si>
  <si>
    <t>----------NSFLPP--------------LKGDP-I-IQIGST----------IHQ---</t>
  </si>
  <si>
    <t>-----------------YGST-KCSYKNVITLDTCND-----------------------</t>
  </si>
  <si>
    <t>------------PGVDVIT-CKTET-ALIKE---WCKLI-HRVDPDI-MTG-YNIFGF--</t>
  </si>
  <si>
    <t>YVLG--------------------CSRLEG------------------------------</t>
  </si>
  <si>
    <t>V-EMEGR-----VFVD----------------LMKVVQRE-Y-NLDS--------YKLDN</t>
  </si>
  <si>
    <t>VASHFISGKVK-------------------------------------------------</t>
  </si>
  <si>
    <t>----------THNK-----T-TLHLDSAAGI---NVGDYIKL---------NNTY-----</t>
  </si>
  <si>
    <t>KIV------------------TWGLAKDD---------V---------------------</t>
  </si>
  <si>
    <t>-TSAD------------------------------------RAKIA--------------</t>
  </si>
  <si>
    <t>NNMGMANVCLVPLSYIFMRGQGIKIFSLVAKQCRDD--------NF--------------</t>
  </si>
  <si>
    <t>-IIPLIKF----------------------------------------------------</t>
  </si>
  <si>
    <t>--------------------DQDSEE-------------VE-------------------</t>
  </si>
  <si>
    <t>YVE---------------------APIS-VMDY---------------------------</t>
  </si>
  <si>
    <t>-ASLY-------------------PSSMISENISHDSIVL--------------------</t>
  </si>
  <si>
    <t>--------------DK-K----------YD-NL--------P--------GVEYVD----</t>
  </si>
  <si>
    <t>F-----------------------------------------TGVGDK-----KTK----</t>
  </si>
  <si>
    <t>--------------------------------VD-----------EK-------------</t>
  </si>
  <si>
    <t>---------------TC-----------------RYAQ----------------------</t>
  </si>
  <si>
    <t>----------------------------------------FKNNEK--------------</t>
  </si>
  <si>
    <t>-------GVLPR-ILMKLLSQRKSTR----------------------------------</t>
  </si>
  <si>
    <t>---KQILHKT------------------VTTNDNRSF-------------TGLVDEN---</t>
  </si>
  <si>
    <t>---------------------DDSVTIKTTDNNTITLSRNEILSSVDTYNDF-MKAI---</t>
  </si>
  <si>
    <t>-----------NSLYGQVGART----------SPIYMKELAASTTATGR-----------</t>
  </si>
  <si>
    <t>-------------------------NLIMKAKEFME------------------------</t>
  </si>
  <si>
    <t>--------------TNY-G-----------------------------------------</t>
  </si>
  <si>
    <t>-------------ADVVYGD----------------------------------------</t>
  </si>
  <si>
    <t>---------------------------DFKVKEKY-------------------------</t>
  </si>
  <si>
    <t>SVKA---------S-DAFKKELKA------------------------------------</t>
  </si>
  <si>
    <t>NLYE---------------HDV-NKYKQKSMG-------IVLKRRDNANIVKIV-YGGII</t>
  </si>
  <si>
    <t>DILL----------NR----------QN--------------------------------</t>
  </si>
  <si>
    <t>---------------------------ISF-AINF-------------LKESLRKLV---</t>
  </si>
  <si>
    <t>---------------NGEFH----------------------------------------</t>
  </si>
  <si>
    <t>--MDDLVITK-TLR----------------------------------------------</t>
  </si>
  <si>
    <t>------------------------------------------T--TYKDPTR--------</t>
  </si>
  <si>
    <t>----------------------------IAHKVLADRMRNRD-PGSAPQ------SSD--</t>
  </si>
  <si>
    <t>------------------------RVPYAY------------IEH---------------</t>
  </si>
  <si>
    <t>-------------DIKNKSLL-----------------QGDKIEH---------PSYI--</t>
  </si>
  <si>
    <t>---------KENN------------------------VKID-------------YIF---</t>
  </si>
  <si>
    <t>------YI-----TN------------------QLMKPICQLMAL---------------</t>
  </si>
  <si>
    <t>--ALFQIP-K----------S---------------------------------------</t>
  </si>
  <si>
    <t>--SKPEIYERKL------------KSLTLDYEGNKKR-----------------------</t>
  </si>
  <si>
    <t>---------------------------------------AIDKVS-DLKQKEIQ------</t>
  </si>
  <si>
    <t>-KLLFD------------ETLV--------------------------------------</t>
  </si>
  <si>
    <t>------------------------------HLNNKRMG----------------------</t>
  </si>
  <si>
    <t>------------------------------------NR---------------EI-----</t>
  </si>
  <si>
    <t>-------------------L-E------------------------FF------------</t>
  </si>
  <si>
    <t>---------------------------------------------MASF-----------</t>
  </si>
  <si>
    <t>--------------QIYDW-----------------------------------------</t>
  </si>
  <si>
    <t>----------------------------------------------FPQDE---------</t>
  </si>
  <si>
    <t>--------------------------------YVIHLFGVNK-DGKNVHCKVKDF-----</t>
  </si>
  <si>
    <t>--------TPYF---YIEL--P--------------------ENW-----K---------</t>
  </si>
  <si>
    <t>KS----------WTSLFMEKLKD-----SLPKSIQD----------E-------------</t>
  </si>
  <si>
    <t>--------FVCDERQI-NRAVKL----KYKFRN----------Y----------------</t>
  </si>
  <si>
    <t>----QWKT-PKKFMQLV---------FKSESAAR----FLYYK-----------------</t>
  </si>
  <si>
    <t>------------------LKKPFSFT----TARL--------LKHNFPIYEK--------</t>
  </si>
  <si>
    <t>-----NVLPVLRFIH-LRKIQPSSW------IRL--ENYK-------QI----DS-KLA-</t>
  </si>
  <si>
    <t>ESK--F-EINYEVN-W----------R------------------NVF-PDE------V-</t>
  </si>
  <si>
    <t>---DG-------SA----SIKIASFDIECD-S---------SH-----G-DF--------</t>
  </si>
  <si>
    <t>VKQ--WINCAFRDITNEKYDDSMKSSIQTIYLKN--------KTHFKTITEEEIEKLS--</t>
  </si>
  <si>
    <t>-------------KET-----------------------------------IESINNIL-</t>
  </si>
  <si>
    <t>----------NDNLPS--------------VKGDK-V-IQIGTV----------IQN---</t>
  </si>
  <si>
    <t>-----------------YSNP-SDIKRHIVTLDGCSD-----------------------</t>
  </si>
  <si>
    <t>-----------------------------L------------------------------</t>
  </si>
  <si>
    <t>------------TGIEVET-AKTVD-ELIFK---WVKMM-KREQPNI-VTG-YNIFGF--</t>
  </si>
  <si>
    <t>YLRK--------------------IGALKN------------------------------</t>
  </si>
  <si>
    <t>F-NSPGI-----VYID----------------LMKVVQKD-H-NLSS--------YKLDD</t>
  </si>
  <si>
    <t>VSTQFINSGITQF-----------------------------------------------</t>
  </si>
  <si>
    <t>----------EHFED-N--V-KVYTKSTFSL---KVGDYIAIFKQ-TI--IGNEF-V---</t>
  </si>
  <si>
    <t>GEKR-KIL-------------------EM--------------------------TENES</t>
  </si>
  <si>
    <t>FILEGEGNDFPE----NPKSFCWSVGKDN---------V---------------------</t>
  </si>
  <si>
    <t>-SDED------------------------------------RSVVA--------------</t>
  </si>
  <si>
    <t>NNLGMSNVCLVPFSYLFMRGQMIKTLSLVSSECQKE--------NY--------------</t>
  </si>
  <si>
    <t>-LIPELPRPK--------------------------------------------------</t>
  </si>
  <si>
    <t>--------------------------------------------E---------------</t>
  </si>
  <si>
    <t>-------------------DTKD-------------------------------------</t>
  </si>
  <si>
    <t>FLN---------------------EPVS-VLDY---------------------------</t>
  </si>
  <si>
    <t>-SSLY-------------------PSSMIGSNISHDSIIK--------------------</t>
  </si>
  <si>
    <t>--------------EP-K----------YQ-GE--------TGAKLLEEMGVKFED----</t>
  </si>
  <si>
    <t>Y---------------------------------------INRLVGKTWK---KTI----</t>
  </si>
  <si>
    <t>--------------------------------VE-----------EE-------------</t>
  </si>
  <si>
    <t>--------------------------------------PVV-------------------</t>
  </si>
  <si>
    <t>---------------SC-----------------RFIQPTLLE-----------------</t>
  </si>
  <si>
    <t>----------------------------------DG---SIDNNSR--------------</t>
  </si>
  <si>
    <t>-------GILPR-ILMKLLKARKDTR----------------------------------</t>
  </si>
  <si>
    <t>---NLI--KT---------------------------------------------EK---</t>
  </si>
  <si>
    <t>---------------------D----------------------------AF-RRSV---</t>
  </si>
  <si>
    <t>-----------NSLYGGVGAEV----------SSLYYKDIAASTTAIGR-----------</t>
  </si>
  <si>
    <t>-------------------------RHLHLAKDYVK------------------------</t>
  </si>
  <si>
    <t>--------------EHFPK-----------------------------------------</t>
  </si>
  <si>
    <t>VA-K------------IFGEDKWQ------------------------------------</t>
  </si>
  <si>
    <t>KEACEL----NECFTWTSKGWTKLHRVIRHILVK-EKKIIRVLTHTCCVDVTDD----HS</t>
  </si>
  <si>
    <t>LIL-KSGEEISPKDLKIGD--------ELLQR-----------------------DIEFD</t>
  </si>
  <si>
    <t>EIIEYSND---------------------------EY------VKKQIKY----------</t>
  </si>
  <si>
    <t>-----------LKEN-----------MKSEN-----------------------------</t>
  </si>
  <si>
    <t>-------------ESILS------------------------------------------</t>
  </si>
  <si>
    <t>---------------------------------LNEIDY---------------------</t>
  </si>
  <si>
    <t>---------KG-------YVYDLTTD----------------------------------</t>
  </si>
  <si>
    <t>---------------------------NFKPNAS--------------------------</t>
  </si>
  <si>
    <t>-------GKEG----------------------------IQE----SID----------R</t>
  </si>
  <si>
    <t>SVEV---------E-EGIQKLLAY------------------------------------</t>
  </si>
  <si>
    <t>NKYE---------------FDL-DKFTQTSMG-------VVTKRRDNAGIVKYV-YDGII</t>
  </si>
  <si>
    <t>KRIM----------ND----------RD--------------------------------</t>
  </si>
  <si>
    <t>---------------------------IDS-AIRF-------------LLTTIDDIL---</t>
  </si>
  <si>
    <t>--LQYFIITK-RLN----------------------------------------------</t>
  </si>
  <si>
    <t>------------------------------------------A--VYANPAA--------</t>
  </si>
  <si>
    <t>----------------------------IVHKVLADRIADRD-PGDKPQ------SND--</t>
  </si>
  <si>
    <t>------------------------RIPYVY------------IQT---------------</t>
  </si>
  <si>
    <t>---------------KEEPKL-----------------QGDRVEH---------PNYI--</t>
  </si>
  <si>
    <t>---------IEHK------------------------LKVD-------------YLF---</t>
  </si>
  <si>
    <t>------YI-----TN------------------QVSKPCCQVMGL---------------</t>
  </si>
  <si>
    <t>--ALEHLR-K----------YGYRL-----------------------------P-----</t>
  </si>
  <si>
    <t>-ANHFELIREKL------------E-----REGKKSKS----------------------</t>
  </si>
  <si>
    <t>--------------------------------------EIRERIM-EERAKEAY------</t>
  </si>
  <si>
    <t>-NVLFK------------SRVK--------------------------------------</t>
  </si>
  <si>
    <t>------------------------------VEEGKKYG----------------------</t>
  </si>
  <si>
    <t>------------------------------------QT---------------SI-----</t>
  </si>
  <si>
    <t>-------------------T-S------------------------FF------------</t>
  </si>
  <si>
    <t>-----------------------------------MK-----------------------</t>
  </si>
  <si>
    <t>-------------------------------------------KDDMIF-----------</t>
  </si>
  <si>
    <t>--------------QILDW-----------------------------------------</t>
  </si>
  <si>
    <t>----------------------------------------------NYYQE---------</t>
  </si>
  <si>
    <t>--------------------------------YVIRLFGKTK-QDKTIYVKAFGF-----</t>
  </si>
  <si>
    <t>--------TPYF---YIQI--D--------------------DKW-----K---------</t>
  </si>
  <si>
    <t>KD----------TVDKLVQILKD-----SVTIKGD-----------NG------------</t>
  </si>
  <si>
    <t>--------WAKCENSFKGYIIEE----KYKFRG----------F----------------</t>
  </si>
  <si>
    <t>----TNFK-KFKFIKLI---------FRDLDSMR----GWAGY-----------------</t>
  </si>
  <si>
    <t>------------------LNKKKFYP----GISS--------KAMKFPLFES--------</t>
  </si>
  <si>
    <t>-----NIEPFLRCMH-IRNLDAVGW------VKIESNKII-------AL----P----N-</t>
  </si>
  <si>
    <t>ETC--C-DINISTK-W----------N------------------NLT-RVE------E-</t>
  </si>
  <si>
    <t>---RT-------IM----PFVIASFDLECT-S---------ED-----G-SF--------</t>
  </si>
  <si>
    <t>---PQA--ERD-------------------------------------------------</t>
  </si>
  <si>
    <t>--------------------------------GDQ-I-IQIGTT----------FSR---</t>
  </si>
  <si>
    <t>-----------------FGEN-ECFYQHILTLGSCDP-----------------------</t>
  </si>
  <si>
    <t>------------EGAIVVS-CKTEK-ELLIE---WSKMI-RKTNPDI-ITG-YNIFGF--</t>
  </si>
  <si>
    <t>QFSK--------------------LSRVND------------------------------</t>
  </si>
  <si>
    <t>Y-DMTGR-----INID----------------LMKVVQRD-Y-KLAS--------YKLDY</t>
  </si>
  <si>
    <t>VASYFIKEDIISVSC---------------------------------------------</t>
  </si>
  <si>
    <t>------------DPG-KNTT-KILTKSRDGV---KINQYITVNYNDGI--TENKHMS---</t>
  </si>
  <si>
    <t>GKKF-KIIDFIKEKVLEKDKNKGEI--YVERDAIIVE------------------GCIDT</t>
  </si>
  <si>
    <t>DIFG-KG-----------YKIFWCQAKDD---------V---------------------</t>
  </si>
  <si>
    <t>-TSKD------------------------------------RAIIA--------------</t>
  </si>
  <si>
    <t>NNVGMANVCHVPLSYIFYRGQGIKIFSLVAKKCREK--------EH--------------</t>
  </si>
  <si>
    <t>-LIPLLEKKKAMTDE---EK----------------------------------------</t>
  </si>
  <si>
    <t>--KQYEKENTEEVQFEKFIKELNNK---------------GLEDH---------------</t>
  </si>
  <si>
    <t>-------------------NDETDDD-------------END------------------</t>
  </si>
  <si>
    <t>HF----------------------DPVP-VLDY---------------------------</t>
  </si>
  <si>
    <t>-ASLY-------------------PRSMILKNLSHEYLVM--------------------</t>
  </si>
  <si>
    <t>-------------DDE-K----------YG-NL--------P--------GYRYHL----</t>
  </si>
  <si>
    <t>YKEL--------------KYV-------------------IEQVKKNN--GDNVTS----</t>
  </si>
  <si>
    <t>--------------------------------IY-DIDKEGK------------------</t>
  </si>
  <si>
    <t>----------KR----------FLVT--EIT-IN-----------EK-------------</t>
  </si>
  <si>
    <t>--------------------------------------EFR-------------------</t>
  </si>
  <si>
    <t>----------LVNFETS-----------------KFAE----------------------</t>
  </si>
  <si>
    <t>----------------------------------------KLDGTK--------------</t>
  </si>
  <si>
    <t>-------GIIPE-ILQGLLDAREHTK----------------------------------</t>
  </si>
  <si>
    <t>---KLME-----------------------------------------------GES---</t>
  </si>
  <si>
    <t>---------------------D----------------------------KF-KKSV---</t>
  </si>
  <si>
    <t>-----------------LDG-------KQL--------AEK-------------------</t>
  </si>
  <si>
    <t>-----------NSLYGQTGSPV----------SAIFMKEIAASTTATGK-----------</t>
  </si>
  <si>
    <t>-------------------------EHLEFSRDFLEGLYNNMINLAL-------------</t>
  </si>
  <si>
    <t>DKK-------------EYINLCKKEFSKISD-----------------------------</t>
  </si>
  <si>
    <t>KMLA----DHRTKINVIYGDSV------------TGETPILLKN-PTTNK--IVIKRIDE</t>
  </si>
  <si>
    <t>LGTE------------WKNYNNYKSSDSNRYFRELLTILFKNKNVEKKRENFVPVSQWMY</t>
  </si>
  <si>
    <t>IKNNKYRYINDAYSNNTYLQVNLNNNKNMICDVEDIDIINCELKNISKMILNKIIKLFPK</t>
  </si>
  <si>
    <t>QIQAKLQKYEVNYINENSLDNRKCNLSIDVDNQTIDKIIEDIENDQ---------KDRYS</t>
  </si>
  <si>
    <t>KEQST-----TNYLAYTDKGWAKINKIIRHKTT---KKIYRILTTNSIVEVTCD----HS</t>
  </si>
  <si>
    <t>LID-ENGNYIMPKDCVIGK-GLMQSYPHT-------------------------------</t>
  </si>
  <si>
    <t>---------------------------------------------NKLKYNDKY------</t>
  </si>
  <si>
    <t>--------DKSI------------------------------------------------</t>
  </si>
  <si>
    <t>--FTNKNYKECMKYYH--YNKSHGF------NITIDE-----------------------</t>
  </si>
  <si>
    <t>--NNGIITL------KRTKDNINNIN--KIVK-IFDLGDIS-------------------</t>
  </si>
  <si>
    <t>--------TDR-------YVYDLETE----------------------------------</t>
  </si>
  <si>
    <t>F-----------------------------------------------------------</t>
  </si>
  <si>
    <t>---------------------------KPQITNNKT------------------------</t>
  </si>
  <si>
    <t>GIWA---------S-ITICILLNG------------------------------------</t>
  </si>
  <si>
    <t>NLYE---------------SDP-NKFYTKSMG-------IVLKRRDNAPIVKVV-VGGIV</t>
  </si>
  <si>
    <t>DQIL----------NK----------QS--------------------------------</t>
  </si>
  <si>
    <t>---------------------------SKG-AVDF-------------TKKVLKDIL---</t>
  </si>
  <si>
    <t>---------------SSKYS----------------------------------------</t>
  </si>
  <si>
    <t>M----LESKKEKGE----------------------------R--YYADRNT--------</t>
  </si>
  <si>
    <t>----------------------------IVHAVLADRIADRD-YGNRPQ------SND--</t>
  </si>
  <si>
    <t>------------------------RIEYVYR-----------VV----------------</t>
  </si>
  <si>
    <t>---------------KGDVEL-----------------QGDRVET---------PEFI--</t>
  </si>
  <si>
    <t>---------KENN------------------------LSID-------------HLF---</t>
  </si>
  <si>
    <t>------YI-----TN------------------QIMKPSIQFLEL---------------</t>
  </si>
  <si>
    <t>--LIDE-P-E----------K---------------------------------------</t>
  </si>
  <si>
    <t>---IFE------------SYIV--------------------------------------</t>
  </si>
  <si>
    <t>------------------------------REENRRKG----------------------</t>
  </si>
  <si>
    <t>------------------------------------QK---------------TI-----</t>
  </si>
  <si>
    <t>-------------------K-A------------------------FCGDIDNDN-NEK-</t>
  </si>
  <si>
    <t>---------ND-------------------------------------------------</t>
  </si>
  <si>
    <t>-----------------VIDLNKEIDK-----------------------HVI---IE--</t>
  </si>
  <si>
    <t>NTKVKTSDFSN--FEETDGGFKITD----------------------</t>
  </si>
  <si>
    <t>-------------------------------------MDSGIDEQSVV------------</t>
  </si>
  <si>
    <t>----------------------------------------------RSY-----------</t>
  </si>
  <si>
    <t>--------------------------------FMMRLYGQTR-DNKTVHVQVKKF-----</t>
  </si>
  <si>
    <t>--------TPYF---YVEI--S--------------------KSW-----R---------</t>
  </si>
  <si>
    <t>QS----------QVDALIAAVRL-----RVFPKEN-------------------------</t>
  </si>
  <si>
    <t>------------SDQLKKYQIVS----KYKFWG----------F----------------</t>
  </si>
  <si>
    <t>----TNYE-KFNFLQLT---------FTNHDAMR----SYERV-----------------</t>
  </si>
  <si>
    <t>------------------FKKPISVR----SISS--------KPIVCQLYES--------</t>
  </si>
  <si>
    <t>-----NIEPFLRFMH-IRQLDAVGW------VSI--SKYT-------VP----ED---K-</t>
  </si>
  <si>
    <t>PTH--C-DFNYVTD-W----------M------------------NLN-RVE------D-</t>
  </si>
  <si>
    <t>---RT-------IL----PFTIASFDIECT-S---------GD-----G-TF--------</t>
  </si>
  <si>
    <t>---PQA--NRD-------------------------------------------------</t>
  </si>
  <si>
    <t>--------------------------------ADQ-I-IQIGTT----------FSR---</t>
  </si>
  <si>
    <t>-----------------LGES-ECYFQHIITLGSCDP-----------------------</t>
  </si>
  <si>
    <t>------------PGAQVES-YQTEQ-EVMLA---WTRLI-KETNPSI-ITG-YNIVGF--</t>
  </si>
  <si>
    <t>AFSQ--------------------LSRITN------------------------------</t>
  </si>
  <si>
    <t>Y-EMSGR-----VIID----------------LMKVAQRD-Y-KLES--------YKLDF</t>
  </si>
  <si>
    <t>VAAYFIKEEINKMIIK--------------------------------------------</t>
  </si>
  <si>
    <t>----------------PDET-LLETKSTYGL---KEEQFITIYYYDGI--TNNKHMD---</t>
  </si>
  <si>
    <t>GKKF-QIK-------------------QLTKNSIVVR------------------GEIDL</t>
  </si>
  <si>
    <t>SVMG-GG-----------FKVFWCQAKDD---------I---------------------</t>
  </si>
  <si>
    <t>-SAQD------------------------------------RAIVA--------------</t>
  </si>
  <si>
    <t>NNIGMANVCNVPLSYLFMRGQGVKIFSLVAKRCREK--------DH--------------</t>
  </si>
  <si>
    <t>-LIPTFNKKYKSEE----QKKKEE------------------------------------</t>
  </si>
  <si>
    <t>-EEQEDKDKEQEKRFKRFIKNLNRR----------------EGDD---------------</t>
  </si>
  <si>
    <t>-------------------NDVDDEE-------------DEG------------------</t>
  </si>
  <si>
    <t>HY----------------------EPIP-VLDY---------------------------</t>
  </si>
  <si>
    <t>-ASLY-------------------PKSMIEKNLSHECYVI--------------------</t>
  </si>
  <si>
    <t>-------------DDA-K----------FG-NL--------H--------GYKYHI----</t>
  </si>
  <si>
    <t>Y---------------------------------------------KN--VKYHVE---N</t>
  </si>
  <si>
    <t>ILNE---------------------KVQKHIKIF-DKDHNMK------------------</t>
  </si>
  <si>
    <t>----------KR----------NMIT--EIK-VD-----------RT-------------</t>
  </si>
  <si>
    <t>--------------------------------------NIT-------------------</t>
  </si>
  <si>
    <t>----------ITNYETS-----------------KFAE----------------------</t>
  </si>
  <si>
    <t>----------------------------------------KCDGTK--------------</t>
  </si>
  <si>
    <t>-------GIIPG-ILLDLLNARKKYK----------------------------------</t>
  </si>
  <si>
    <t>---DEME-----------------------------------------------AEK---</t>
  </si>
  <si>
    <t>---------------------D----------------------------PF-KKSV---</t>
  </si>
  <si>
    <t>-----------------CDG-------LQL--------AYK-------------------</t>
  </si>
  <si>
    <t>-----------NSLYGQTGSSV----------SAICMKQIAASTTATGR-----------</t>
  </si>
  <si>
    <t>-------------------------EKLIYSKLFIETIYGQLINLAL-------------</t>
  </si>
  <si>
    <t>DHD-------------EYMEYCEELLKDVPD-----------------------------</t>
  </si>
  <si>
    <t>VQLV----GKKVDPVVIYGDSV------------TGDTPILLRK-IVNKSYVIEIKAIET</t>
  </si>
  <si>
    <t>IANC------------WKPYEQFK------------------------------------</t>
  </si>
  <si>
    <t>KQHDDE----IEYEVFSDKGWSKIKRVIRHKTD---KKIYEVLTHTGCVRVTED----HS</t>
  </si>
  <si>
    <t>LLT-EAGIQIKPKDCVISETTLLHAFPEREGD-----------------------DSDKE</t>
  </si>
  <si>
    <t>TIG----------------------------------------EEKANVY----------</t>
  </si>
  <si>
    <t>----------------------------GR------------------------------</t>
  </si>
  <si>
    <t>-----N-GDKIIPTSILNASQDEKMSFLEGYF--------------SGKCWH---N----</t>
  </si>
  <si>
    <t>-CYKTKSQINAMSMYY--IFRTLGY------NVSIEK-----------------------</t>
  </si>
  <si>
    <t>---DEQFRL------YFSEDGYEKPE--NLVKDIRDCGVI--------------------</t>
  </si>
  <si>
    <t>---------DD-------YVYDLETE----------------------------------</t>
  </si>
  <si>
    <t>---------------------------KPNIIDLIT------------------------</t>
  </si>
  <si>
    <t>GIWA---------S-NTICLLLPD------------------------------------</t>
  </si>
  <si>
    <t>NLYE---------------TNP-NKFYQKSMG-------IVLKRRDNAQIVKIV-CGGII</t>
  </si>
  <si>
    <t>DQVL----------NK----------LN--------------------------------</t>
  </si>
  <si>
    <t>---------------------------PEG-AVAL-------------VKTALKNIL---</t>
  </si>
  <si>
    <t>---------------ANKYP----------------------------------------</t>
  </si>
  <si>
    <t>--MDKFIITK-TLA----------------------------------------------</t>
  </si>
  <si>
    <t>------------------------------------------E--TYKFRER--------</t>
  </si>
  <si>
    <t>----------------------------MVHAVLADRMALRD-PGNKPM------PND--</t>
  </si>
  <si>
    <t>------------------------RIPFVY------------VIT---------------</t>
  </si>
  <si>
    <t>---------------KGDVQL-----------------QGERVEH---------PDYV--</t>
  </si>
  <si>
    <t>---------KANS------------------------LKLD-------------YLF---</t>
  </si>
  <si>
    <t>------YI-----TN------------------QIQVPAIQFLEL---------------</t>
  </si>
  <si>
    <t>--IIDN-P-A----------E---------------------------------------</t>
  </si>
  <si>
    <t>---IFK------------CYIM--------------------------------------</t>
  </si>
  <si>
    <t>------------------------------REENRREG----------------------</t>
  </si>
  <si>
    <t>------------------------------------RK---------------PI-----</t>
  </si>
  <si>
    <t>-------------------K-S------------------------YF----SKD-DSD-</t>
  </si>
  <si>
    <t>--------PPD-------------------------------------------------</t>
  </si>
  <si>
    <t>EPLDEDHL---------LLNAEETIEEA----------------------NF--------</t>
  </si>
  <si>
    <t>IRTHQP--ESV-----D-ETFTIEM----------------------</t>
  </si>
  <si>
    <t>-------------------------------------MDS-CNEQTEMQLI---------</t>
  </si>
  <si>
    <t>-------------------------D----------------------------------</t>
  </si>
  <si>
    <t>-------------------------------------------QTPVEF-----------</t>
  </si>
  <si>
    <t>----------------------------------------------KNYQY---------</t>
  </si>
  <si>
    <t>--------------------------------FMMRLYGQTR-DNKTVHVLVKKF-----</t>
  </si>
  <si>
    <t>--------TPYF---YIEI--N--------------------KSW-----R---------</t>
  </si>
  <si>
    <t>QV----------QIDALISAVKQ-----RVFPKEN-------------------------</t>
  </si>
  <si>
    <t>------------ADGLKSYTPVS----KYKFWG----------F----------------</t>
  </si>
  <si>
    <t>----TNYE-KFNFLQLT---------FTNHDVMR----SFERV-----------------</t>
  </si>
  <si>
    <t>------------------FKNPIAVR----LISS--------QKITCQLFES--------</t>
  </si>
  <si>
    <t>-----NIEPFLRFMH-IRQLDAVGW------VSI--SKYA-------IP----DP---K-</t>
  </si>
  <si>
    <t>PTQ--C-DINLVTD-W----------M------------------HLN-RVD------D-</t>
  </si>
  <si>
    <t>---RT-------IL----PFSIASYDIECT-S---------GD-----G-TF--------</t>
  </si>
  <si>
    <t>---PQA--TRD-------------------------------------------------</t>
  </si>
  <si>
    <t>--------------------------------SDK-I-IQIGTT----------FSR---</t>
  </si>
  <si>
    <t>-----------------LGES-ECYFQHIITLGTCDP-----------------------</t>
  </si>
  <si>
    <t>------------PGVTVES-YETEQ-QVLLA---WTRLI-REQNPSI-ITG-YNIVGF--</t>
  </si>
  <si>
    <t>Y-DMSGR-----VIID----------------LMKVAQRD-F-KLES--------YKLDF</t>
  </si>
  <si>
    <t>VAAYFIKEEINKMEVR--------------------------------------------</t>
  </si>
  <si>
    <t>----------------KNET-FIETKNTYGL---KEEQFVTIYYYDGI--TNNKHMD---</t>
  </si>
  <si>
    <t>GHKF-QIR-------------------QLGKNSIVLK------------------GEVDV</t>
  </si>
  <si>
    <t>SIMG-GG-----------FKVFWCQAKDD---------I---------------------</t>
  </si>
  <si>
    <t>-NSKD------------------------------------RAIIA--------------</t>
  </si>
  <si>
    <t>NNIGMANVCNVPLSYLFMRGQGVKIFSLVAKKCREK--------DH--------------</t>
  </si>
  <si>
    <t>-LIPTFKKKYKPEG----TA----------------------------------------</t>
  </si>
  <si>
    <t>--DDKDPEKEDDKKFERFIKHLN-------------------GED---------------</t>
  </si>
  <si>
    <t>----------------------DDDD-------------DDV------------------</t>
  </si>
  <si>
    <t>-ASLY-------------------PKSMIEKNLSHECLVM--------------------</t>
  </si>
  <si>
    <t>-------------NDG-K----------FG-NL--------P--------GYKYHV----</t>
  </si>
  <si>
    <t>Y---------------------------------------------KN--PRFHQD---N</t>
  </si>
  <si>
    <t>IVNG---------------------KVVKHIKIF-DRDHNMI------------------</t>
  </si>
  <si>
    <t>----------KR----------NLIA--EIM-VD-----------RE-------------</t>
  </si>
  <si>
    <t>-------GIIPG-ILMDLLGARSRYK----------------------------------</t>
  </si>
  <si>
    <t>---KEME-----------------------------------------------KEA---</t>
  </si>
  <si>
    <t>-----------------FDG-------LQL--------AYK-------------------</t>
  </si>
  <si>
    <t>-----------NSLYGQTGSSV----------SPICMKQIAASTTATGR-----------</t>
  </si>
  <si>
    <t>-------------------------EKLIYSKLFIETIYGKLINLAL-------------</t>
  </si>
  <si>
    <t>DHE-------------EYIKYCEELFKDTPV-----------------------------</t>
  </si>
  <si>
    <t>SQLV----NKRVEPEVIYGDSV------------TGDTPILLR-----KDGEIEIKTIDT</t>
  </si>
  <si>
    <t>IGDR------------WESYSQFK------------------------------------</t>
  </si>
  <si>
    <t>KQQAG-----TEYEVWSDKGWSKIKRVIRHKTN---KRLYEILTHTGYVKVTED----HS</t>
  </si>
  <si>
    <t>LLT-DQGIQIKPKDCLVGKTALLHSFPEIINI-----------------------NNTLE</t>
  </si>
  <si>
    <t>SIR----------------------------------------VEKAYQYGLVF------</t>
  </si>
  <si>
    <t>---------------------------AGR------------------------------</t>
  </si>
  <si>
    <t>-----D--ESGIPNWILNGSENERKSFLEGYYVA-----------NGGTGVH--------</t>
  </si>
  <si>
    <t>--FDTKKQIDAMGMYY--LLRSLGY------SVSLIK-----------------------</t>
  </si>
  <si>
    <t>--IDEIFKL------GYIKNIMTRPP--NIVSEITDLGTV--------------------</t>
  </si>
  <si>
    <t>---------ND-------YVYDLETE----------------------------------</t>
  </si>
  <si>
    <t>---------------------------KPNIIDLDT------------------------</t>
  </si>
  <si>
    <t>NLYE---------------RNP-NKFYQKSMG-------IVLKRRDNAQIVKIV-CGGII</t>
  </si>
  <si>
    <t>---------------------------PEG-AVAL-------------VKNVLKQML---</t>
  </si>
  <si>
    <t>---------------ADKYP----------------------------------------</t>
  </si>
  <si>
    <t>--MDKYIITK-TLA----------------------------------------------</t>
  </si>
  <si>
    <t>------------------------------------------E--SYKFRDR--------</t>
  </si>
  <si>
    <t>------------------------RIPYVY------------VVT---------------</t>
  </si>
  <si>
    <t>---------------KGEVQL-----------------QGERVEH---------PDYV--</t>
  </si>
  <si>
    <t>---------KANN------------------------LKLD-------------YLF---</t>
  </si>
  <si>
    <t>------YI-----TN------------------QIQVPATQFLAL---------------</t>
  </si>
  <si>
    <t>--IISN-P-E----------D---------------------------------------</t>
  </si>
  <si>
    <t>---IFK------------GYVM--------------------------------------</t>
  </si>
  <si>
    <t>------------------------------REENRRIG----------------------</t>
  </si>
  <si>
    <t>-------------------K-S------------------------YF----SKS-DSD-</t>
  </si>
  <si>
    <t>----------D-------------------------------------------------</t>
  </si>
  <si>
    <t>DDITTDPL---------VLDAEEMNEQT----------------------DY--------</t>
  </si>
  <si>
    <t>IKNHQP--ENI-----D-ETFQIEL----------------------</t>
  </si>
  <si>
    <t>-------------------------------------------------MV---------</t>
  </si>
  <si>
    <t>---------------------------------LGYDIDKVINDEIKYVDL---------</t>
  </si>
  <si>
    <t>-------------------------DAVAQ-----KART---------------------</t>
  </si>
  <si>
    <t>-----------------KKYASVYDDIKKENKNLSNN-----------------------</t>
  </si>
  <si>
    <t>-------------------------------------------DNDVLF-----------</t>
  </si>
  <si>
    <t>----------------------------------------------NPYHE---------</t>
  </si>
  <si>
    <t>--------------------------------YAIRLFGMTK-DDRTICVNIKKY-----</t>
  </si>
  <si>
    <t>--------TPYF---YVKI--P--------------------ENW-----R---------</t>
  </si>
  <si>
    <t>AS----------MVDSLMTYVKK-----KVFPKEN-------------------------</t>
  </si>
  <si>
    <t>------------LEGLISCQTIN----KYDFYG----------F----------------</t>
  </si>
  <si>
    <t>----TNYT-KFNFLQLT---------FKDHDSMR----SYERV-----------------</t>
  </si>
  <si>
    <t>------------------FKKPMKIF----QISK--------DEFTLKLYES--------</t>
  </si>
  <si>
    <t>-----NIEPFLRCMH-IRNLDSVGW------VSIQAAKYK-------VT----MD---D-</t>
  </si>
  <si>
    <t>PTL--S-DINIECA-W----------T------------------ELN-RVD------E-</t>
  </si>
  <si>
    <t>---RS-------IL----PYRIAAFDIECK-S---------GD-----G-TF--------</t>
  </si>
  <si>
    <t>---PQA--YRD-------------------------------------------------</t>
  </si>
  <si>
    <t>--------------------------------EDK-I-IQIGTT----------FSK---</t>
  </si>
  <si>
    <t>-----------------FGEN-ECYFQHIITLGTCDE-----------------------</t>
  </si>
  <si>
    <t>------------PGITVES-YETEQ-EVLIA---WLKLI-TRTNPDI-ITG-YNIFGF--</t>
  </si>
  <si>
    <t>RFSK--------------------LTRIKN------------------------------</t>
  </si>
  <si>
    <t>F-DMSGR-----VLID----------------MMKVIQRD-Y-KLEG--------YKLDY</t>
  </si>
  <si>
    <t>AASYFIKEQVQKLILKA-NDK--------------QHVD------PELF------ENFFD</t>
  </si>
  <si>
    <t>-----KTNTIKNDED-KDTT-TIETKSTYGV---KEDNYITIYYTDGI--ANNKHMD---</t>
  </si>
  <si>
    <t>GKKF-KIK-------------------ELTKTSLTVY------------------GIIND</t>
  </si>
  <si>
    <t>DIVG-KG-----------YKIYWCQAKDD---------I---------------------</t>
  </si>
  <si>
    <t>----------------------------R-------------------------------</t>
  </si>
  <si>
    <t>NNIGMANVCNVPLSYLFMRGQGVKIYSLVSKKCREK--------QH--------------</t>
  </si>
  <si>
    <t>-LIPTLAKEFRDE-----------------------------------------------</t>
  </si>
  <si>
    <t>--AEEEEVKQEEKKIEKLIARLN-------------------GDD---------------</t>
  </si>
  <si>
    <t>-------------------QEDDEEE-------------EEE------------------</t>
  </si>
  <si>
    <t>YY----------------------EPIP-VLDY---------------------------</t>
  </si>
  <si>
    <t>-ASLY-------------------PRSMIHKNLSHECFVI--------------------</t>
  </si>
  <si>
    <t>-------------DDA-K----------YG-YL--------P--------GYNYNI----</t>
  </si>
  <si>
    <t>Y--------------------------------------------DNN--DNFIIDE-LN</t>
  </si>
  <si>
    <t>VDPA---------------------KLRRHVIVY-DKDHNSN------------------</t>
  </si>
  <si>
    <t>----------KR----------YKIA--DIQ-AD-----------RD-------------</t>
  </si>
  <si>
    <t>--------------------------------------NII-------------------</t>
  </si>
  <si>
    <t>----------MINYETD-----------------KFAE----------------------</t>
  </si>
  <si>
    <t>----------------------------------------KQDGTK--------------</t>
  </si>
  <si>
    <t>-------GIIPE-ILLELLAARSKYK----------------------------------</t>
  </si>
  <si>
    <t>---KEME-----------------------------------------------KET---</t>
  </si>
  <si>
    <t>---------------------D----------------------------PF-KKSI---</t>
  </si>
  <si>
    <t>-----------NSLYGQTGSSV----------SPIFMKSIAASTTATGR-----------</t>
  </si>
  <si>
    <t>-------------------------EMLVYSKYFIENIYGKMINYAL-------------</t>
  </si>
  <si>
    <t>DKD-------------KFMEYCFETFKDAED-----------------------------</t>
  </si>
  <si>
    <t>VVFK----GKSVSPYIVYGD----------------------------------------</t>
  </si>
  <si>
    <t>---------------------------SMLIKDNKT------------------------</t>
  </si>
  <si>
    <t>GQWA---------S-HTICTLLPD------------------------------------</t>
  </si>
  <si>
    <t>NLYE---------------DNP-DKFYQKSMG-------IVLKRRDNAQIVKIV-CGGIV</t>
  </si>
  <si>
    <t>DQIL----------NK----------HD--------------------------------</t>
  </si>
  <si>
    <t>---------------------------PMG-AVKL-------------LQRSLKDIL---</t>
  </si>
  <si>
    <t>---------------SGKFQ----------------------------------------</t>
  </si>
  <si>
    <t>--MDKYIITK-TLR----------------------------------------------</t>
  </si>
  <si>
    <t>------------------------------------------E--NYKDRTR--------</t>
  </si>
  <si>
    <t>----------------------------IAHAILADRMGLRD-PGNKPM------SND--</t>
  </si>
  <si>
    <t>------------------------RIPYAY------------VVT---------------</t>
  </si>
  <si>
    <t>---------------DHEVEL-----------------QGDRIET---------PDYI--</t>
  </si>
  <si>
    <t>---------TSNN------------------------LKLD-------------YLF---</t>
  </si>
  <si>
    <t>------YI-----TN------------------QIQKPATQFLEL---------------</t>
  </si>
  <si>
    <t>--IIDN-P-K----------R---------------------------------------</t>
  </si>
  <si>
    <t>---LFE------------SYII--------------------------------------</t>
  </si>
  <si>
    <t>------------------------------------VK---------------PI-----</t>
  </si>
  <si>
    <t>-------------------K-T------------------------YLEEINNKN-DNT-</t>
  </si>
  <si>
    <t>DDINNEN--------------ENENEND----------------------NIS---NDD-</t>
  </si>
  <si>
    <t>NTSNKNKKRSR----------------------------------------------GKT</t>
  </si>
  <si>
    <t>LTKYKPTKEIV-----QLDSMSLDM----------------------</t>
  </si>
  <si>
    <t>----------------------------------------MANE----------------</t>
  </si>
  <si>
    <t>---------------------------------------------DIVF-----------</t>
  </si>
  <si>
    <t>--------------QISSW-----------------------------------------</t>
  </si>
  <si>
    <t>----------------------------------------------DYYHE---------</t>
  </si>
  <si>
    <t>--------------------------------YVIRLFGRTK-DDQSVYVKVNGY-----</t>
  </si>
  <si>
    <t>--------TPYF---YVEI--P--------------------KKW-----R---------</t>
  </si>
  <si>
    <t>NN----------MIDLLIKTAKE-----KVWPAEN-------------------------</t>
  </si>
  <si>
    <t>------------KESLINYKIVE----KHKFWG----------F----------------</t>
  </si>
  <si>
    <t>----TNYK-KFNFVQLI---------FDSWDGLR----SYERV-----------------</t>
  </si>
  <si>
    <t>------------------FNKHLLIK----QLSP--------RPTKYKLYES--------</t>
  </si>
  <si>
    <t>-----NIEPILRCMH-IRKLDACGW------VQIPNGSYT-------IL----ED-NEK-</t>
  </si>
  <si>
    <t>PTH--N-DINISTK-W----------T------------------SLN-RIE------D-</t>
  </si>
  <si>
    <t>---KS-------IL----PFIIASYDIECT-S---------ED-----G-SF--------</t>
  </si>
  <si>
    <t>---PKS--DRA-------------------------------------------------</t>
  </si>
  <si>
    <t>--------------------------------GDK-I-TQIGTT----------FSK---</t>
  </si>
  <si>
    <t>-----------------FGEN-DVYHQHLITLGSCDD-----------------------</t>
  </si>
  <si>
    <t>------------EGATVES-YETEG-EVLMA---WVRLI-KKMNPDI-VTG-WNIFGF--</t>
  </si>
  <si>
    <t>KFSK--------------------LSRLTD------------------------------</t>
  </si>
  <si>
    <t>Y-NMTGR-----VQFD----------------LMKVVQRD-F-KLSS--------YKLDY</t>
  </si>
  <si>
    <t>VASYFIREVIEKLEIT--------------------------------------------</t>
  </si>
  <si>
    <t>----------------KKTT-TIHTKSTFGV---KVGQYITINFDDGI--IEDKYMD---</t>
  </si>
  <si>
    <t>GQKF-QIE-------------------ELTNKTITVG------------------TVIDT</t>
  </si>
  <si>
    <t>SIMD-KG-----------YKVFWCQAKDD---------V---------------------</t>
  </si>
  <si>
    <t>-GPAE------------------------------------RSKIG--------------</t>
  </si>
  <si>
    <t>NNIGMANVCHVPLSYLFFRGQGIKIFSLVSRKCREK--------NH--------------</t>
  </si>
  <si>
    <t>-LMPVLKKKFKN------------------------------------------------</t>
  </si>
  <si>
    <t>--NNKDDNKKNDIKLDRLVSDLNK------------------NKN---------------</t>
  </si>
  <si>
    <t>-------------------DVLEDDS-------------DDE------------------</t>
  </si>
  <si>
    <t>HF----------------------DPIP-VLDY---------------------------</t>
  </si>
  <si>
    <t>-GSLY-------------------PSSMIHKNLSHECLVM--------------------</t>
  </si>
  <si>
    <t>--------------DK-E----------YD-NL--------E--------GYKYHQ----</t>
  </si>
  <si>
    <t>---------------ITY------------------------------------------</t>
  </si>
  <si>
    <t>----------------------------------------------NN--NDGTTT----</t>
  </si>
  <si>
    <t>---------------TC-----------------RFAQ----------------------</t>
  </si>
  <si>
    <t>----------------------------------------KLDDTP--------------</t>
  </si>
  <si>
    <t>-------GIIPE-ILSDLLSARSRTK----------------------------------</t>
  </si>
  <si>
    <t>---DEME-----------------------------------------------NEK---</t>
  </si>
  <si>
    <t>---------------------D----------------------------AF-LKSI---</t>
  </si>
  <si>
    <t>-----------------LDG-------LQA--------AYK-------------------</t>
  </si>
  <si>
    <t>-----------NSLYGQTGSSV----------SSIYMKDIAACTTSTGR-----------</t>
  </si>
  <si>
    <t>-------------------------EMLLYSKNFIEIIFNIMISLALGQKVDI-KKII--</t>
  </si>
  <si>
    <t>DKD------------ITYEEYALIIMKNVPD-----------------------------</t>
  </si>
  <si>
    <t>KILL----NKKVSPEVIYGDSV------------TGDTPILLRK-KINDKYEIVIKTIDT</t>
  </si>
  <si>
    <t>IGNL------------WKPYEQFK------------------------------------</t>
  </si>
  <si>
    <t>KQHDDN----IEYEVWSDKGWSNIERVIKHKTN---KKIYEVLTDIGCVRITED----HS</t>
  </si>
  <si>
    <t>LLT-DKGVQIKPTDCTIFKTALLHAFPEI--N-----------------------NSEQD</t>
  </si>
  <si>
    <t>LVG----------------------------------------IIQAREYGFSFG-----</t>
  </si>
  <si>
    <t>--------------------------SASRS-----------------------------</t>
  </si>
  <si>
    <t>-----D-QDKIIPSCILNGSEKEKTAFLEGYCTA------------NGT------N----</t>
  </si>
  <si>
    <t>-RFDTKSQISAMNMYY--LVRSLRY------NVSINK-----------------------</t>
  </si>
  <si>
    <t>--REEMFIV------TYNNQIYRKEE--CVIKKIKEIGKF--------------------</t>
  </si>
  <si>
    <t>---------------------------RCGIVDLET------------------------</t>
  </si>
  <si>
    <t>GLYA---------S-HTICLILPS------------------------------------</t>
  </si>
  <si>
    <t>NLYE---------------QNP-NKYKQKSMG-------IVLKRRDNAPIVKIV-CGGII</t>
  </si>
  <si>
    <t>---------------------------AKG-AIEF-------------TRKALKKIL---</t>
  </si>
  <si>
    <t>---------------SGKYP----------------------------------------</t>
  </si>
  <si>
    <t>E----KQMKKDKKEFSFKPIKMDVEEKVEKVDKRTKDPNKPTN--DYADRTR--------</t>
  </si>
  <si>
    <t>----------------------------IVHAVLADRMAERD-PGNKPL------SND--</t>
  </si>
  <si>
    <t>------------------------RIPYVY------------IET---------------</t>
  </si>
  <si>
    <t>---------------DKPVDL-----------------QGDRVEH---------PEYV--</t>
  </si>
  <si>
    <t>---------IANN------------------------LKID-------------YLF---</t>
  </si>
  <si>
    <t>------YI-----TN------------------QIMKPAIQFLEL---------------</t>
  </si>
  <si>
    <t>--LVEN-P-N----------Q---------------------------------------</t>
  </si>
  <si>
    <t>---IFE------------EYIL--------------------------------------</t>
  </si>
  <si>
    <t>------------------------------REENRRKN----------------------</t>
  </si>
  <si>
    <t>------------------------------------MK---------------PI-----</t>
  </si>
  <si>
    <t>-------------------N-Y------------------------YIGGEKGKG-KEM-</t>
  </si>
  <si>
    <t>LDVQMDGVA-------EVFQAKEKEKKK----------------------NV--------</t>
  </si>
  <si>
    <t>VKMESP-KFNK-----NKNGFEL------------------------</t>
  </si>
  <si>
    <t>-------------------------------------MGKDKKSAS--------------</t>
  </si>
  <si>
    <t>----------------------------RKKVKQNNN-----------------------</t>
  </si>
  <si>
    <t>-------------------------------------------KTDIVF-----------</t>
  </si>
  <si>
    <t>--------------QIIDW-----------------------------------------</t>
  </si>
  <si>
    <t>----------------------------------------------NHFDE---------</t>
  </si>
  <si>
    <t>--------------------------------FAVRLYGTTK-DKKKIYVKVENF-----</t>
  </si>
  <si>
    <t>--------TPYF---YIKI--P--------------------KNW-----R---------</t>
  </si>
  <si>
    <t>KN----------KINIFINEIKR-----RVYYEYR-------------------------</t>
  </si>
  <si>
    <t>-------------DSLIKYDSVD----KHDFYG----------F----------------</t>
  </si>
  <si>
    <t>----TNYK-LFNFIRLI---------FCSYGGFL----AYRRV-----------------</t>
  </si>
  <si>
    <t>------------------LYKKIFNR----SLAY--------KPTYYKMYEP--------</t>
  </si>
  <si>
    <t>-----NIEPMLRFMH-IRNLEACGW------VRLPKGTYH-------HF----SS-NDK-</t>
  </si>
  <si>
    <t>PSY--N-DINVFTN-W----------T------------------NLE-RVD------N-</t>
  </si>
  <si>
    <t>---EE-------IA----PFVIASYDIECT-S---------GD-----G-SF--------</t>
  </si>
  <si>
    <t>---PQP--RRD-------------------------------------------------</t>
  </si>
  <si>
    <t>--------------------------------EDK-V-IQIGTT----------FNV---</t>
  </si>
  <si>
    <t>-----------------YGNS-ECFYKHIITLNTCDP-----------------------</t>
  </si>
  <si>
    <t>------------DGVDVES-YKTER-EVLIA---WTKLI-RRMRPDI-ITG-YNIFGF--</t>
  </si>
  <si>
    <t>RFSK--------------------FGKLRN------------------------------</t>
  </si>
  <si>
    <t>Y-EMNGI-----VQVD----------------LMKVIQRD-F-KLSS--------YKLDN</t>
  </si>
  <si>
    <t>VASVFIRNSVKKMKM---------------------------------------------</t>
  </si>
  <si>
    <t>YTKY-KVI-------------------NITNDTITIKGLLNSDIVMNNGSIISLEDILDN</t>
  </si>
  <si>
    <t>ANSKYDK-----------YKVYWCQAKDD---------V---------------------</t>
  </si>
  <si>
    <t>-TSAD------------------------------------RAVIA--------------</t>
  </si>
  <si>
    <t>----------------------------S-------------------------------</t>
  </si>
  <si>
    <t>NNIKMANVSNVPLSYIFLRGQGVKILSLVAKKCRER--------NH--------------</t>
  </si>
  <si>
    <t>-LIPYIRRKYK-------PKQVKQNV----DSDEYVDVDEVHFGNLLLNCKELG------</t>
  </si>
  <si>
    <t>----IIPTKKKKKKEKKII-----------------------------------------</t>
  </si>
  <si>
    <t>--------------------IKNDEE-------------EYD------------------</t>
  </si>
  <si>
    <t>HF----------------------NPIA-VLDY---------------------------</t>
  </si>
  <si>
    <t>-GSLY-------------------PSSMIHRNISHECIVL--------------------</t>
  </si>
  <si>
    <t>--------------YP-E----------YE-NV--------P--------GYRYYD----</t>
  </si>
  <si>
    <t>---------------ITF------------------------------------------</t>
  </si>
  <si>
    <t>----------------------------------------------YN--SDGTTT----</t>
  </si>
  <si>
    <t>---------------TR-----------------MYAK----------------------</t>
  </si>
  <si>
    <t>----------------------------------------KLDGTM--------------</t>
  </si>
  <si>
    <t>-------GIVPE-ILKDLLKTRSATK----------------------------------</t>
  </si>
  <si>
    <t>---KAMA-----------------------------------------------KET---</t>
  </si>
  <si>
    <t>---------------------D----------------------------PF-KKKM---</t>
  </si>
  <si>
    <t>-----------------LNG-------KQL--------ALK-------------------</t>
  </si>
  <si>
    <t>-----------NSLYGQTGART----------SAIYLRDIAASTTATGR-----------</t>
  </si>
  <si>
    <t>LF---------------------NKEIDKLLGKKTIAR------------LKKA--HYKD</t>
  </si>
  <si>
    <t>NNDPNDMSYLNKPTDYYYLRIFQERYTDLTD-----------------------------</t>
  </si>
  <si>
    <t>KALG----DKTIDPECVYGD----------------------------------------</t>
  </si>
  <si>
    <t>---------------------------DLRLRNTEG------------------------</t>
  </si>
  <si>
    <t>SVLS---------G-DLINFLLPS------------------------------------</t>
  </si>
  <si>
    <t>NYYE---------------YDP-DHYFLKCMG-------IVLKRRDNAQIVKIV-IGGIV</t>
  </si>
  <si>
    <t>REIL----------EN----------RS--------------------------------</t>
  </si>
  <si>
    <t>---------------------------GKR-AVEF-------------TKQVLKDIL---</t>
  </si>
  <si>
    <t>I----EERMKSREE----------------------------R--TYANRKS--------</t>
  </si>
  <si>
    <t>----------------------------LAHVALADKMADRD-PGNKPQ------SND--</t>
  </si>
  <si>
    <t>------------------------RIPFVY------------IET---------------</t>
  </si>
  <si>
    <t>---------------NKKKCL-----------------QGDRVEN---------PNYV--</t>
  </si>
  <si>
    <t>---------IEHG------------------------LKID-------------FLF---</t>
  </si>
  <si>
    <t>------YI-----TN------------------QIMKPAVQFLEK---------------</t>
  </si>
  <si>
    <t>--IVEN-A-Q----------K---------------------------------------</t>
  </si>
  <si>
    <t>---IFN------------TFIT--------------------------------------</t>
  </si>
  <si>
    <t>------------------------------RELNRRKG----------------------</t>
  </si>
  <si>
    <t>------------------------------------KR---------------PI-----</t>
  </si>
  <si>
    <t>-------------------N-Y------------------------YF-KPRDKS-DDV-</t>
  </si>
  <si>
    <t>---------CE-------------------------------------------------</t>
  </si>
  <si>
    <t>-------------------NAESSLSG---------------IAQILMN-NM--------</t>
  </si>
  <si>
    <t>IIDQRKSKEIS-------SSFQLML----------------------</t>
  </si>
  <si>
    <t>-------------------------------------MRKNLKS----------------</t>
  </si>
  <si>
    <t>-----------------------------KNLHETTN-----------------------</t>
  </si>
  <si>
    <t>-------------------------------------------NKDLIF-----------</t>
  </si>
  <si>
    <t>--------------QILEW-----------------------------------------</t>
  </si>
  <si>
    <t>----------------------------------------------DKYED---------</t>
  </si>
  <si>
    <t>--------------------------------FIIRLYGTTD-DNKKIYIRVDKF-----</t>
  </si>
  <si>
    <t>--------PPYF---FVNV--P--------------------DDW-----T---------</t>
  </si>
  <si>
    <t>KH----------KVLIFVEELKN-----KVKNNRRF----------G-------------</t>
  </si>
  <si>
    <t>---------VGQSESLFEHKIVK----KKIFYG----------F----------------</t>
  </si>
  <si>
    <t>----TNYK-DYKFVKLS---------FHSYLGYY----AFRTI-----------------</t>
  </si>
  <si>
    <t>------------------LYWKIYNP----ILGN--------RAIIYDMYES--------</t>
  </si>
  <si>
    <t>-----NIEPMFRCMH-EQNLQASGW------VKIPKKKYT-------LF----MD-HEK-</t>
  </si>
  <si>
    <t>PSQ--N-EINVYTD-Y----------E------------------NLC-PMD------G-</t>
  </si>
  <si>
    <t>---TQSSFDCTKIS----PLRILAFDIECS-S---------ED-----G-SF--------</t>
  </si>
  <si>
    <t>---PQP--QRD-------------------------------------------------</t>
  </si>
  <si>
    <t>--------------------------------NDK-V-IQIGST----------FNT---</t>
  </si>
  <si>
    <t>-----------------YGNM-KCYYKHIITLGTCDP-----------------------</t>
  </si>
  <si>
    <t>------------EGAVVES-YETEK-EVLLA---WPRLI-QRMNPDI-VTG-YNTFGF--</t>
  </si>
  <si>
    <t>NFTK--------------------LGRILH------------------------------</t>
  </si>
  <si>
    <t>Y-MMQGR-----VQID----------------LLGVMRSSHH-KLSS--------YKLDN</t>
  </si>
  <si>
    <t>VASVFIRDNINDIII---------------------------------------------</t>
  </si>
  <si>
    <t>------------DDE-NGTS-TIMTNNTIGL---STNRYIKIVYNDGL--SDNSYKN---</t>
  </si>
  <si>
    <t>KAIGLRT-----------NKVFWCQAKDD---------V---------------------</t>
  </si>
  <si>
    <t>-SSAD------------------------------------RSIVA--------------</t>
  </si>
  <si>
    <t>NSIGMSNVCSIPLSYLFLRGQGVKILSLVSKECRER--------NH--------------</t>
  </si>
  <si>
    <t>-LIKVLKRKRK-------TKKI------------------------ILD-----------</t>
  </si>
  <si>
    <t>---------KNGKKVVKV------------------------------------------</t>
  </si>
  <si>
    <t>-------------------------E-------------END------------------</t>
  </si>
  <si>
    <t>HY----------------------SPIT-VLDY---------------------------</t>
  </si>
  <si>
    <t>-KSLY-------------------PSSMIHRNISHECLVL--------------------</t>
  </si>
  <si>
    <t>--------------DQ-K----------YD-NL--------P--------GVHYYE----</t>
  </si>
  <si>
    <t>---------------ISF------------------------------------------</t>
  </si>
  <si>
    <t>----------------------------------------------YNKDEDKTKV----</t>
  </si>
  <si>
    <t>---------------TR-----------------RYAK----------------------</t>
  </si>
  <si>
    <t>----------------------------------------KY-GTI--------------</t>
  </si>
  <si>
    <t>-------GIIPE-ILKKLLAARDSIK----------------------------------</t>
  </si>
  <si>
    <t>---DKMK-----------------------------------------------NEK---</t>
  </si>
  <si>
    <t>---------------------N----------------------------PF-KKKI---</t>
  </si>
  <si>
    <t>-----------------FNG-------LQL--------AYK-------------------</t>
  </si>
  <si>
    <t>-----------NSLYGQTGAKT----------SAIYLRDVAASTTATGR-----------</t>
  </si>
  <si>
    <t>LF---------------------KKKIDELLGEKTIKK------------LKSI--HYKD</t>
  </si>
  <si>
    <t>NNDPKNFDHLKYPSDYYYLRVFQERTKVLTN-----------------------------</t>
  </si>
  <si>
    <t>ELFG----DKTFDPFCVYGD----------------------------------------</t>
  </si>
  <si>
    <t>---------------------------DLRIKNKNN------------------------</t>
  </si>
  <si>
    <t>GILC---------G-DLINLLLPY------------------------------------</t>
  </si>
  <si>
    <t>YLYE---------------YSP-DKFYLKNMG-------IVLKRRDNATIVKIV-IGGIV</t>
  </si>
  <si>
    <t>HKIL----------KY----------RS--------------------------------</t>
  </si>
  <si>
    <t>---------------------------GIK-AAEF-------------TKQAIKDIL---</t>
  </si>
  <si>
    <t>---------------HGKYP----------------------------------------</t>
  </si>
  <si>
    <t>I----KEAEKPKEE----------------------------R--IYVDRTR--------</t>
  </si>
  <si>
    <t>----------------------------QKHVVLADRMADRD-PGNKPL------SND--</t>
  </si>
  <si>
    <t>------------------------RIPFVYK----------IIEN---------------</t>
  </si>
  <si>
    <t>--------------GNRRGIL-----------------QGDRVEH---------PDYL--</t>
  </si>
  <si>
    <t>---------IEHN------------------------LEID-------------YLF---</t>
  </si>
  <si>
    <t>------YI-----TN------------------QIMKPAIQFLDK---------------</t>
  </si>
  <si>
    <t>--VIKDPK-K----------K---------------------------------------</t>
  </si>
  <si>
    <t>---IFD------------LYII--------------------------------------</t>
  </si>
  <si>
    <t>------------------------------RELNRRMG----------------------</t>
  </si>
  <si>
    <t>------------------------------------KR---------------PV-----</t>
  </si>
  <si>
    <t>-------------------K-Y------------------------YL-L-KSKS-NNN-</t>
  </si>
  <si>
    <t>TDNDNVF----------SFNGFNSFSN---------------YSNNDKE-N---------</t>
  </si>
  <si>
    <t>-----KKKEVSLVITSEIKNGRLSIY---------------------</t>
  </si>
  <si>
    <t>----------------------------------MSN-----------------------</t>
  </si>
  <si>
    <t>-------------------------------------------NEDLVF-----------</t>
  </si>
  <si>
    <t>--------------QVTDW-----------------------------------------</t>
  </si>
  <si>
    <t>----------------------------------------------GTVHE---------</t>
  </si>
  <si>
    <t>--------------------------------YIIRIYGTTP-DGKKVFVKVKNF-----</t>
  </si>
  <si>
    <t>--------APYF---YVAI--P--------------------SFWNS---Q---------</t>
  </si>
  <si>
    <t>KQ----------KAQILINTVKE-----EVKNK-------------N-------------</t>
  </si>
  <si>
    <t>---------PELVNSLKSWEIVD----QCIFWK----------F----------------</t>
  </si>
  <si>
    <t>----TNYK-KFPFIKLT---------FYSHDGFK----AYERI-----------------</t>
  </si>
  <si>
    <t>------------------FNKAIRNP----LLTP--------KPQKYKLYES--------</t>
  </si>
  <si>
    <t>-----NIEPMFRCMH-IRQLNSVGW------IRIQAGKYN-------IF----SQ-NGS-</t>
  </si>
  <si>
    <t>PSN--N-DISIYTD-W----------T------------------QLE-PVK------E-</t>
  </si>
  <si>
    <t>---KG-----NAIV----PMIIAAFDIECT-S---------GD-----G-TF--------</t>
  </si>
  <si>
    <t>---PQA--KRD-------------------------------------------------</t>
  </si>
  <si>
    <t>--------------------------------DDK-V-IQIGTT----------FSK---</t>
  </si>
  <si>
    <t>-----------------YGEN-ECYYKHIITLGSCDP-----------------------</t>
  </si>
  <si>
    <t>------------EGADVES-YDNEV-AVLLA---WTKLI-QRMNPDV-ITG-YNIFGF--</t>
  </si>
  <si>
    <t>SFSK--------------------LGRIKN------------------------------</t>
  </si>
  <si>
    <t>Y-AMQGR-----VQID----------------IMKVVQRD-Y-RLGS--------YKLDN</t>
  </si>
  <si>
    <t>VASEFIKEMIKEIEI---------------------------------------------</t>
  </si>
  <si>
    <t>------------DEK-KELS-TIYTKGLYGL---EIGRFIKMFYNDGL--SDTYYNN---</t>
  </si>
  <si>
    <t>EEKF-EVTDI---------KLKAKMIGKDNYDSFIVK------------------GIINI</t>
  </si>
  <si>
    <t>NDLGLDK-----------YKVYWCQAKDD---------V---------------------</t>
  </si>
  <si>
    <t>-SSKD------------------------------------RAKIA--------------</t>
  </si>
  <si>
    <t>NNIGMANVCHVPLAYIFLRGQGVKIFSLVSKKCRER--------NH--------------</t>
  </si>
  <si>
    <t>-LIPVIRKPYKDD-----------------------------------------------</t>
  </si>
  <si>
    <t>----KAPPNAKFKK----------------------------------------------</t>
  </si>
  <si>
    <t>-------------------HEEENEE-------------DDE------------------</t>
  </si>
  <si>
    <t>HF----------------------EPVA-VLDY---------------------------</t>
  </si>
  <si>
    <t>-NSLY-------------------PNSMRHKNMSHETLIS--------------------</t>
  </si>
  <si>
    <t>--------------DA-K----------YD-NL--------Q--------NYYYET----</t>
  </si>
  <si>
    <t>---------------ATY------------------------------------------</t>
  </si>
  <si>
    <t>----------------------------------------------IS--KTDEQH----</t>
  </si>
  <si>
    <t>---------------TC-----------------RYAR----------------------</t>
  </si>
  <si>
    <t>----------------------------------------AKDGSV--------------</t>
  </si>
  <si>
    <t>-------GILPE-ILTELLDARAETR----------------------------------</t>
  </si>
  <si>
    <t>---RQQA-----------------------------------------------KEE---</t>
  </si>
  <si>
    <t>---------------------N----------------------------PF-VWKI---</t>
  </si>
  <si>
    <t>-----------------LEG-------LQL--------AYK-------------------</t>
  </si>
  <si>
    <t>--------------LTA-------------------------------------------</t>
  </si>
  <si>
    <t>-----------NSLYGQCGAPT----------SPIFMKEIAASTTSTGR-----------</t>
  </si>
  <si>
    <t>LF---------------------QKKVEQLIGEENVNI------------LKSI--QNNE</t>
  </si>
  <si>
    <t>DC-----------ARYKYLDVFTKNRTVIDD-----------------------------</t>
  </si>
  <si>
    <t>TLLT----GKTISPKIIYGD----------------------------------------</t>
  </si>
  <si>
    <t>---------------------------KFGIANEGD------------------------</t>
  </si>
  <si>
    <t>ASMC---------S-KILAKILPV------------------------------------</t>
  </si>
  <si>
    <t>NKYE---------------SDP-TKFYQASMG-------IVLKRRDNAPIVKIV-VGGII</t>
  </si>
  <si>
    <t>KSIL----------ND----------KS--------------------------------</t>
  </si>
  <si>
    <t>---------------------------IDK-ALSF-------------AKKVLNDIL---</t>
  </si>
  <si>
    <t>---------------SNRYS----------------------------------------</t>
  </si>
  <si>
    <t>K----IEEMKPKEE----------------------------R--SYADRTR--------</t>
  </si>
  <si>
    <t>----------------------------IVHAVLADRIADRD-PGNKPM------SND--</t>
  </si>
  <si>
    <t>------------------------RIPYAY------------ILI---------------</t>
  </si>
  <si>
    <t>---------------DHEVEL-----------------QGDRVET---------PEYI--</t>
  </si>
  <si>
    <t>---------ITNK------------------------LKLD-------------YLF---</t>
  </si>
  <si>
    <t>------YI-----TN------------------QIMKPSIQFLQH---------------</t>
  </si>
  <si>
    <t>--LTDS-P-K----------K---------------------------------------</t>
  </si>
  <si>
    <t>---IFQ------------DCII--------------------------------------</t>
  </si>
  <si>
    <t>------------------------------KETNRRTG----------------------</t>
  </si>
  <si>
    <t>------------------------------------KK---------------PL-----</t>
  </si>
  <si>
    <t>-------------------N-Y------------------------YF-KMIGET-DFD-</t>
  </si>
  <si>
    <t>DDNDDDN----------SDNSDESIHK----------------LTCFDDGNI--------</t>
  </si>
  <si>
    <t>I---KQVNETKSVYDNKKGGFILDM----------------------</t>
  </si>
  <si>
    <t>-----------------------------------MNVIKEVKQ----------------</t>
  </si>
  <si>
    <t>------------------------------------D-----------------------</t>
  </si>
  <si>
    <t>-------------------------------------------KNDLEF-----------</t>
  </si>
  <si>
    <t>--------------QLTDW-----------------------------------------</t>
  </si>
  <si>
    <t>----------------------------------------------AQTSE---------</t>
  </si>
  <si>
    <t>--------------------------------FIIRLYGTTE-DGKKVFVKVKNF-----</t>
  </si>
  <si>
    <t>--------TPYF---YIGI--P--------------------ETWGSSESQ---------</t>
  </si>
  <si>
    <t>KQ----------KAKILISKVKE-----EVQK--K-----------N-------------</t>
  </si>
  <si>
    <t>---------PDLLNSLKDYEIVS----RCIFWK----------F----------------</t>
  </si>
  <si>
    <t>----TNYK-KYQFIRLV---------FHSHEGFR----AYERV-----------------</t>
  </si>
  <si>
    <t>------------------FNRFIESP----LLNP--------RRHKYKLYES--------</t>
  </si>
  <si>
    <t>-----NIEPMLRFMH-IQQLKSCGF------AKIKAGKYN-------EF----LD-QVN-</t>
  </si>
  <si>
    <t>PSN--N-DISVYTD-W----------K------------------CID-PIL------D-</t>
  </si>
  <si>
    <t>---KG-----TTIL----PLIIAAFDIECT-S---------GD-----G-AF--------</t>
  </si>
  <si>
    <t>--------------------------------DDK-V-IQIATT----------FSR---</t>
  </si>
  <si>
    <t>-----------------YGEN-ECFYKHIITLGSCDK-----------------------</t>
  </si>
  <si>
    <t>------------EGVDVES-YDNEV-ALLLA---WTKLI-QRMNPDI-MTG-YNIFGF--</t>
  </si>
  <si>
    <t>SFSK--------------------LGRIKD------------------------------</t>
  </si>
  <si>
    <t>F-AMQGR-----IQID----------------IMKVVQRD-H-RLGS--------YKLDN</t>
  </si>
  <si>
    <t>VASEFIKEIIKGVEVT--------------------------------------------</t>
  </si>
  <si>
    <t>----------TNKKK-ETQT-TIYTKNIYGL---EVGRCIKIFFNDGL--SDTYYNN---</t>
  </si>
  <si>
    <t>EEKF-KVIDI---------KLKA----KDDMDSFTVS------------------GLIEE</t>
  </si>
  <si>
    <t>SKLELDK-----------YKVYWCQAKDD---------V---------------------</t>
  </si>
  <si>
    <t>-TSKD------------------------------------RALVG--------------</t>
  </si>
  <si>
    <t>----------------------------A-------------------------------</t>
  </si>
  <si>
    <t>NNIGMANVCHVPLSYIFLRGQGIKIFSLVSKKCKER--------DH--------------</t>
  </si>
  <si>
    <t>SFPKTLPPNAKKKVVE--------------------------------------------</t>
  </si>
  <si>
    <t>--------------------IEEDEE-------------GDD------------------</t>
  </si>
  <si>
    <t>HF----------------------EPVS-VLDY---------------------------</t>
  </si>
  <si>
    <t>-NSLY-------------------PNAMRQKNMSHETLVE--------------------</t>
  </si>
  <si>
    <t>--------------DS-R----------YN-NL--------P--------HYYYED----</t>
  </si>
  <si>
    <t>----------------------------------------------MS--KTGEQT----</t>
  </si>
  <si>
    <t>---------------VC-----------------RFAK----------------------</t>
  </si>
  <si>
    <t>---RIQA-----------------------------------------------GEK---</t>
  </si>
  <si>
    <t>---------------------N----------------------------PF-NWKI---</t>
  </si>
  <si>
    <t>-----------------LEG-------LQI--------AYK-------------------</t>
  </si>
  <si>
    <t>-----------NSLYGQCGAPT----------SPLYLKSIAAATTATGR-----------</t>
  </si>
  <si>
    <t>LF---------------------KKEIDTLIGKENVKK------------LKEI--QNEE</t>
  </si>
  <si>
    <t>DC-----------PRYKYLEVLTNVRTVLDDN----------------------------</t>
  </si>
  <si>
    <t>KLMD----KKTIKPKIIYGD----------------------------------------</t>
  </si>
  <si>
    <t>---------------------------KFGIANKEEP-----------------------</t>
  </si>
  <si>
    <t>AIMS---------S-KILAKILPI------------------------------------</t>
  </si>
  <si>
    <t>NKYE---------------SDP-TKWYQASMG-------IVLKRRDNSPIVKVV-VGGII</t>
  </si>
  <si>
    <t>KSIL----------ND----------RS--------------------------------</t>
  </si>
  <si>
    <t>---------------------------IAG-ALAF-------------AKNVLNDIL---</t>
  </si>
  <si>
    <t>---------------SDRYP----------------------------------------</t>
  </si>
  <si>
    <t>K----IESMKPKEE----------------------------R--TYADRTK--------</t>
  </si>
  <si>
    <t>----------------------------LVHTVLADRIADRD-PGNKPM------SND--</t>
  </si>
  <si>
    <t>------------------------RIPYAY------------IIT---------------</t>
  </si>
  <si>
    <t>---------------DKPINL-----------------QGDRVES---------PEYI--</t>
  </si>
  <si>
    <t>---------IANN------------------------LKLD-------------YLF---</t>
  </si>
  <si>
    <t>------YI-----TN------------------QIMKPSIQFLKH---------------</t>
  </si>
  <si>
    <t>--LTEK-P-K----------E---------------------------------------</t>
  </si>
  <si>
    <t>---IFE------------KCII--------------------------------------</t>
  </si>
  <si>
    <t>------------------------------KEMNRRHG----------------------</t>
  </si>
  <si>
    <t>-------------------N-Y------------------------YF-NLLSGL-NDD-</t>
  </si>
  <si>
    <t>---------EE-------------------------------------------------</t>
  </si>
  <si>
    <t>DDDDLDG----------SDDEDNEAKEEMD-------EYNKQYMNCFND-NL--------</t>
  </si>
  <si>
    <t>V---KQVKETESVYDNKKHGFILDM----------------------</t>
  </si>
  <si>
    <t>-------------------------------------MKKNVLN----------------</t>
  </si>
  <si>
    <t>------------------------------------N-----------------------</t>
  </si>
  <si>
    <t>-------------------------------------------SKDLLF-----------</t>
  </si>
  <si>
    <t>--------------------------------YVIRLYGTTN-DHKKIFVKVEDY-----</t>
  </si>
  <si>
    <t>--------TPYF---YVKI--P--------------------KDW-----K---------</t>
  </si>
  <si>
    <t>KQ----------KVQVLLDYVKK-----EVEKNPK-----------N-------------</t>
  </si>
  <si>
    <t>---------ADILNSLKEWDLID----RCVFKE----------F----------------</t>
  </si>
  <si>
    <t>----TNYK-LFQFVRLV---------FHSYEGFR----AYERI-----------------</t>
  </si>
  <si>
    <t>------------------FNRRLLIH----SLGM--------KPIKYELYES--------</t>
  </si>
  <si>
    <t>-----NIEPNLRFMH-IRDLQAVGW------VSIKGGKYN-------CF----PK-DKS-</t>
  </si>
  <si>
    <t>PSN--N-DICIHTN-W----------K------------------NLD-PVK------D-</t>
  </si>
  <si>
    <t>----------TSIV----PLIIAAFDIECM-S---------ED-----G-SF--------</t>
  </si>
  <si>
    <t>--------------------------------GDK-I-IQIGTT----------FSR---</t>
  </si>
  <si>
    <t>-----------------YGED-ECFYKHIITLGSCDK-----------------------</t>
  </si>
  <si>
    <t>------------EGADVES-YENEV-AVLLA---WTKMM-NRMNPDV-VTG-YNIFGF--</t>
  </si>
  <si>
    <t>SFIK--------------------FNRLNN------------------------------</t>
  </si>
  <si>
    <t>Y-AMQGR-----IQVD----------------LLKVVQKD-Y-KLGS--------YKLDN</t>
  </si>
  <si>
    <t>VAAEFIKEAVVKVEM---------------------------------------------</t>
  </si>
  <si>
    <t>--------------K-DGLT-TIFTKSTYGL---EIGRYIKINYNDGL--SDNSYKN---</t>
  </si>
  <si>
    <t>EFKF-KVI-------------------KVTKDTLTIE------------------GILDG</t>
  </si>
  <si>
    <t>EALELTK-----------YKVSWCQAKDD---------V---------------------</t>
  </si>
  <si>
    <t>-SSAD------------------------------------RAIVA--------------</t>
  </si>
  <si>
    <t>NNIGMANVCHVPLSYIFLRGQGIKIFSLVAKKCRER--------NH--------------</t>
  </si>
  <si>
    <t>-LMPVIKKPYK-------PKEG--------------------------------------</t>
  </si>
  <si>
    <t>----EVPKFPQKKM----------------------------------------------</t>
  </si>
  <si>
    <t>--------------------EEDEEE-------------EDE------------------</t>
  </si>
  <si>
    <t>HY----------------------EPIT-VLDY---------------------------</t>
  </si>
  <si>
    <t>-NSLY-------------------PNSMRMKGLSQELLVK--------------------</t>
  </si>
  <si>
    <t>--------------NP-E----------YD-NL--------P--------GYYYNS----</t>
  </si>
  <si>
    <t>----------------------------------------------TN--KDGSIN----</t>
  </si>
  <si>
    <t>---------------TC-----------------KFAW----------------------</t>
  </si>
  <si>
    <t>----------------------------------------PKDGKL--------------</t>
  </si>
  <si>
    <t>-------GILPE-ILTELLNKRSEMR----------------------------------</t>
  </si>
  <si>
    <t>---NLAE-----------------------------------------------EEK---</t>
  </si>
  <si>
    <t>---------------------D----------------------------PF-KKKV---</t>
  </si>
  <si>
    <t>-----------------LDG-------LQL--------ALK-------------------</t>
  </si>
  <si>
    <t>--------------LS--------------------------------------------</t>
  </si>
  <si>
    <t>--------------------------------------------------LKIV------</t>
  </si>
  <si>
    <t>-----------------------------------------------------SAISK--</t>
  </si>
  <si>
    <t>-------------------------------------------------MLSN-------</t>
  </si>
  <si>
    <t>VPKTSDDDKKSNNNIKTISNTNNKTDINNQTSTINKTRPINKTNINNQTSPINKTSPINK</t>
  </si>
  <si>
    <t>TSPINKTSPINKTNAINNKTNNISNQTNTNNKTNTNNKTNTN-------------NKTNT</t>
  </si>
  <si>
    <t>INKTNN-------------------NKICNKNVIISKSKPLNIKNDIVF-----------</t>
  </si>
  <si>
    <t>--------------KILYW-----------------------------------------</t>
  </si>
  <si>
    <t>----------------------------------------------DNYHEKG-------</t>
  </si>
  <si>
    <t>--------------------------------YTIRLFGHTK-TNETIYVKVNNF-----</t>
  </si>
  <si>
    <t>--------KPYF---YVMV--P--------------------DSWYL---N---------</t>
  </si>
  <si>
    <t>KS----------KPQTFIKHLLE-----NEITRDS--------------D----------</t>
  </si>
  <si>
    <t>------------KKSLYDCEIVR----HHAFTE----------F----------------</t>
  </si>
  <si>
    <t>----TNYK-LYTFMKLY---------FNDYISYR----VYERLFYDYD------------</t>
  </si>
  <si>
    <t>-------------DKGMHFYKKYTNR----VCDL--------ENYEFIVYEA--------</t>
  </si>
  <si>
    <t>-----DMLPNLRFMH-ERDLWSVGY------AKILAKKYK-------NI----N----N-</t>
  </si>
  <si>
    <t>DSN--N-TYNIECD-W----------R------------------DII-KVE------D-</t>
  </si>
  <si>
    <t>---DT-------IV----KYVVASFDLECK-P---------EN----LD-NF--------</t>
  </si>
  <si>
    <t>---PKA--KRP-------------------------------------------------</t>
  </si>
  <si>
    <t>--------------------------------NDK-V-IQIGTT----------FNY---</t>
  </si>
  <si>
    <t>-----------------YGNA-DCYKSHIITLGSCDP-----------------------</t>
  </si>
  <si>
    <t>------------EGVEVES-YEKEE-EVLLA---WRDLI-LRENPDI-ITG-YNIFGF--</t>
  </si>
  <si>
    <t>---DYKYLFVRAKQL---G-------------------------------------IE-R</t>
  </si>
  <si>
    <t>EFSL--------------------LSRLNS------------------------------</t>
  </si>
  <si>
    <t>Y-EMTGR-----INID----------------MLKVIQRD-Y-KLPS--------YKLDD</t>
  </si>
  <si>
    <t>VVQEFIKEQVKKI-----------------------------------------------</t>
  </si>
  <si>
    <t>NKKF-MVLKI--------DKKIKKI-GNKDLDAIYIKNILP--------------YEVKE</t>
  </si>
  <si>
    <t>ILFK-KK-----------YKLYWCQAKDD---------M---------------------</t>
  </si>
  <si>
    <t>-TSAD------------------------------------RALVA--------------</t>
  </si>
  <si>
    <t>NNIGMAMVCHVPLPFIFLRGQGIKIHSLVGKMCKED--------NH--------------</t>
  </si>
  <si>
    <t>MRKQKKHVKNIKQKYDEYFEILRRM---------------KNNENVNETSLKYYNMICDI</t>
  </si>
  <si>
    <t>TKKDLEREEQKLNEFQEYKDELEEKN-------------LNE------------------</t>
  </si>
  <si>
    <t>YY----------------------DPIT-VLDY---------------------------</t>
  </si>
  <si>
    <t>-ASLY-------------------PSSMIQKNMSHECVVR--------------------</t>
  </si>
  <si>
    <t>--------------DP-Q----------YD-NL--------P--------DYKYTD----</t>
  </si>
  <si>
    <t>---------------VKY------------------------------------------</t>
  </si>
  <si>
    <t>----------------------------------------------YH--PDG-------</t>
  </si>
  <si>
    <t>-----------INFSVC-----------------RFAK----------------------</t>
  </si>
  <si>
    <t>----------------------------------------RKDGKI--------------</t>
  </si>
  <si>
    <t>-------GILPK-ILKHLLDQRKIMR----------------------------------</t>
  </si>
  <si>
    <t>---NRAEA---------------------------------------------VAET---</t>
  </si>
  <si>
    <t>---------------------D----------------------------KF-LSKV---</t>
  </si>
  <si>
    <t>-----------NSLYGQTGSSV----------SAIYNKDIAASTTATGR-----------</t>
  </si>
  <si>
    <t>-------------------------EQLLGAKTFVEKVFAELATCAFDNNFANY------</t>
  </si>
  <si>
    <t>-----------------------KERINKLFDDNL------------------------C</t>
  </si>
  <si>
    <t>DNE------------LLFCDY-----------------------------------NLNV</t>
  </si>
  <si>
    <t>NILNYNNIKYSIKPICIYGD----------------------------------------</t>
  </si>
  <si>
    <t>---------------------------KYDIKNSIT------------------------</t>
  </si>
  <si>
    <t>GILT---------S-AIINVIQPP------------------------------------</t>
  </si>
  <si>
    <t>YLYE---------------RNP-DICFQKSMG-------IVLKRRDNAIIVKIV-VGGVV</t>
  </si>
  <si>
    <t>DQLL----------NE----------HS--------------------------------</t>
  </si>
  <si>
    <t>---------------------------PQG-ALNY-------------VENELNKIL---</t>
  </si>
  <si>
    <t>---------------SNKYL----------------------------------------</t>
  </si>
  <si>
    <t>--LEKFVISK-TLK----------------------------------------------</t>
  </si>
  <si>
    <t>------------------------------------------G--TYADRTS--------</t>
  </si>
  <si>
    <t>----------------------------IAHVVLADRMALRD-PGNKPQ------IGD--</t>
  </si>
  <si>
    <t>------------------------RIQYAY------------IIK---------------</t>
  </si>
  <si>
    <t>--------------PNSHKLK-----------------QGEIIEN---------REYI--</t>
  </si>
  <si>
    <t>---------IENK------------------------LQLD-------------YLV---</t>
  </si>
  <si>
    <t>------YI-----TK------------------QIMNPTLQFLDL---------------</t>
  </si>
  <si>
    <t>--IDKN-P-E----------R---------------------------------------</t>
  </si>
  <si>
    <t>---LFL------------KVIM--------------------------------------</t>
  </si>
  <si>
    <t>------------------------------IETNRRQK----------------------</t>
  </si>
  <si>
    <t>------------------------------------LR---------------PI-----</t>
  </si>
  <si>
    <t>-------------------T-S------------------------FF-KPKNTN-DDD-</t>
  </si>
  <si>
    <t>TDAEATNVKTTVAKITKATNAKTTKEKTIDAEVTDAKTTKTTVAKTTKETNA--------</t>
  </si>
  <si>
    <t>PTEEKATEEKTTEATDAKTTIITKASNVKTTNTKASNTKPTKTSNTK</t>
  </si>
  <si>
    <t>--------------------------------MATCE-----------------------</t>
  </si>
  <si>
    <t>-------------------------------------------SNNFIF-----------</t>
  </si>
  <si>
    <t>--------------QVLDW-----------------------------------------</t>
  </si>
  <si>
    <t>----------------------------------------------DFTHK---------</t>
  </si>
  <si>
    <t>--------------------------------YVIQMFGKTK-DQKTVYVEFTDF-----</t>
  </si>
  <si>
    <t>--------KPFF---YIRI--N--------------------PTW-----T---------</t>
  </si>
  <si>
    <t>NT----------VIQTLIEEIKK-----NMKKKMDE----------EDEDGNM-------</t>
  </si>
  <si>
    <t>-------KWKNVGDGLISTNVVE----AEKFLG----------F----------------</t>
  </si>
  <si>
    <t>----TAGK-KFKFLQLN---------FDDYEIMKKCEYACKRI-----------------</t>
  </si>
  <si>
    <t>------------------YKLPMVKY----VI-------------KLEIFES--------</t>
  </si>
  <si>
    <t>-----NILPLIRFMH-IRGLDAVGW------VSIPIDK---------LI----SN-TYQ-</t>
  </si>
  <si>
    <t>KSC--C-DINYRTK-W----------N------------------NVS-KVD------D-</t>
  </si>
  <si>
    <t>---VT-------IS----KFDILSFDIECT-S---------TD-----G-SF--------</t>
  </si>
  <si>
    <t>---PQA--DRD-------------------------------------------------</t>
  </si>
  <si>
    <t>--------------------------------GDK-V-IQIGAT----------FSR---</t>
  </si>
  <si>
    <t>-----------------FGES-ECYKRYLLALNETDV-----------------------</t>
  </si>
  <si>
    <t>-----------------------------V------------------------------</t>
  </si>
  <si>
    <t>------------EDCEVQW-YEKEE-ELLLA---FTKLL-RQTNPDI-ITG-YNICGF--</t>
  </si>
  <si>
    <t>---DFLYLHKRAEYL---SK---KMQPSEG------------------------NKFL-R</t>
  </si>
  <si>
    <t>SFEK--------------------MSRINN------------------------------</t>
  </si>
  <si>
    <t>Y-KMTGR-----VIID----------------LMKVAQRD-Y-KLSS--------YKLDY</t>
  </si>
  <si>
    <t>VAANFIKENIVNLLCD--------------------------------------------</t>
  </si>
  <si>
    <t>--------NAKSKDG-KCEY-KLETKNTFGL---QNGNFITIIYSDGTGAIDEKYNE---</t>
  </si>
  <si>
    <t>GEKF-QIY-------------------NLQQKSFCIK------------------GNIDT</t>
  </si>
  <si>
    <t>SEFMGKG-----------YKIFWSQVKDD---------I---------------------</t>
  </si>
  <si>
    <t>-TPQD------------------------------------RAIIA--------------</t>
  </si>
  <si>
    <t>NNVGMANVCNVPLSYLFLRGQGVKIFSLVAKKCREK--------NF--------------</t>
  </si>
  <si>
    <t>-IIPVIQKKKIFENKDNDNKDKPQN--------------QVY------------------</t>
  </si>
  <si>
    <t>KKKLNDCDELDEKQLDKLVYELSNK---------------TNKKN---------------</t>
  </si>
  <si>
    <t>-------------------EEVGNDE-------------EDE------------------</t>
  </si>
  <si>
    <t>YL----------------------EPIP-VLDF---------------------------</t>
  </si>
  <si>
    <t>-ASLY-------------------PSAMILRNLSHEMFVN--------------------</t>
  </si>
  <si>
    <t>--------------DP-M----------YD-NL--------H--------GYRYHT----</t>
  </si>
  <si>
    <t>---------------IWY------------------------------------------</t>
  </si>
  <si>
    <t>----------------------------------------------KK--NNGETV----</t>
  </si>
  <si>
    <t>---------------TC-----------------KFAE----------------------</t>
  </si>
  <si>
    <t>----------------------------------------KRDGTK--------------</t>
  </si>
  <si>
    <t>-------GIIPE-ILMYLLTTRKKYK----------------------------------</t>
  </si>
  <si>
    <t>---KMMN-----------------------------------------------DTS---</t>
  </si>
  <si>
    <t>---------------------D----------------------------PF-IYSI---</t>
  </si>
  <si>
    <t>-----------------YDG-------LQQ--------AYK-------------------</t>
  </si>
  <si>
    <t>--------------VTS-------------------------------------------</t>
  </si>
  <si>
    <t>-----------NSLYGQTGGTH----------SPICLKEIAASTTATGR-----------</t>
  </si>
  <si>
    <t>FLYHPTSYVVKDNKNEDITIHVNTDEYDKINDKKFIKNSIGYEVSYEFPNEKKI--IDEL</t>
  </si>
  <si>
    <t>KAEKKSISWENILTKMNYIDEWNKLIKWVNDVVFKLPIEQRHLIKNNLSKIGKITKKLNI</t>
  </si>
  <si>
    <t>VNIFDSIDVSDDVLEYFKT---------------NLTILIDNSGYDNKQQFFDKFYCFAN</t>
  </si>
  <si>
    <t>ELLE----GYSIDAKIIYGDSV------------TGDTPLLL----LNKKNEIVIKTVNS</t>
  </si>
  <si>
    <t>IGNV------------WKN-----------------------------------------</t>
  </si>
  <si>
    <t>KFIDDN----IDYKVWTEKGWSKIKKVIKHRTN---KKIYEVFTHSGCVKVTED----HS</t>
  </si>
  <si>
    <t>LLN-KNGEMIKPTVCDIGT-ELLHSFPNI--------------------------EKKYD</t>
  </si>
  <si>
    <t>DIS----------------------------------------YNDLQLYRMYH------</t>
  </si>
  <si>
    <t>--------------------ENEK------------------------------------</t>
  </si>
  <si>
    <t>--FIIKSQIQAQHLYY--LLSTFRLNGTKCENIRIEK-----------------------</t>
  </si>
  <si>
    <t>--QEDNYVI------YKGNTEDTENK--DKITSIQEVKYNE-------------------</t>
  </si>
  <si>
    <t>--------ID---------VYDLETE----------------------------------</t>
  </si>
  <si>
    <t>---------------------------CSHIKNNET------------------------</t>
  </si>
  <si>
    <t>GIWA---------S-ICISTLLPA------------------------------------</t>
  </si>
  <si>
    <t>NLYE---------------KDP-DHFKQKSMG-------IELKRRDNAPIVKTV-SAGII</t>
  </si>
  <si>
    <t>DQIL----------NK----------LS--------------------------------</t>
  </si>
  <si>
    <t>---------------------------PEG-AFEF-------------TKDILNKII---</t>
  </si>
  <si>
    <t>---------------FKQFK----------------------------------------</t>
  </si>
  <si>
    <t>E----EEQKKPKEQ----------------------------R--VYVDRTR--------</t>
  </si>
  <si>
    <t>----------------------------IVHAVLADRMADRD-PGNRPL------SND--</t>
  </si>
  <si>
    <t>---------------KFEPEL-----------------QGDRVET---------PDYI--</t>
  </si>
  <si>
    <t>---------VENN------------------------LELD-------------FLF---</t>
  </si>
  <si>
    <t>------YI-----TN------------------QIMKPALKFLDL---------------</t>
  </si>
  <si>
    <t>--ITTN-A-H----------G---------------------------------------</t>
  </si>
  <si>
    <t>---LFK------------EYII--------------------------------------</t>
  </si>
  <si>
    <t>------------------------------REENRKNN----------------------</t>
  </si>
  <si>
    <t>------------------------------------IL---------------PI-----</t>
  </si>
  <si>
    <t>-------------------T-Y------------------------Y-----SKN-NIE-</t>
  </si>
  <si>
    <t>----------E-------------------------------------------------</t>
  </si>
  <si>
    <t>IKKIKKKTQKK-------------------------------------K--------SKK</t>
  </si>
  <si>
    <t>IEANTNTNSIK-DSKSLLDGF--------------------------</t>
  </si>
  <si>
    <t>-------------------------------------MTFNSNNLNDYLTIL--------</t>
  </si>
  <si>
    <t>----------------------NNPDAGTQLLS-NKSDTI--------------------</t>
  </si>
  <si>
    <t>--------------LVPEKDQNNDNDQKTIQDSYANQ-----------------------</t>
  </si>
  <si>
    <t>-------------------------------------------NKDLEF-----------</t>
  </si>
  <si>
    <t>--------------QMIDI-----------------------------------------</t>
  </si>
  <si>
    <t>----------------------------------------------DFYHR---------</t>
  </si>
  <si>
    <t>--------------------------------FNIMLFGKTR-EDKSVYVNIEGF-----</t>
  </si>
  <si>
    <t>--------TPYF---YVEV--D--------------------ATW-----T---------</t>
  </si>
  <si>
    <t>SD----------QIHKIMADIKK-----KVWPKNN-------------------------</t>
  </si>
  <si>
    <t>------------QDGLLSYKVIR----AHQFYG----------F----------------</t>
  </si>
  <si>
    <t>----TNDE-NFSFLHLI---------FRCYDSMR----AYARV-----------------</t>
  </si>
  <si>
    <t>------------------FGEKQELL----YISRF-------KKIEFKLYES--------</t>
  </si>
  <si>
    <t>-----DMNPILRFLH-IKNLDPIGW------FKIQKQYVR-------SI----PI-NEQ-</t>
  </si>
  <si>
    <t>QGV--T-DINVCCN-W----------K------------------HVE-RIE------C-</t>
  </si>
  <si>
    <t>---SD-------IH----RLKIVSVDIECT-S---------ED-----G-KF--------</t>
  </si>
  <si>
    <t>---PQP--ERD-------------------------------------------------</t>
  </si>
  <si>
    <t>--------------------------------GDK-V-IQIGMS----------YSY---</t>
  </si>
  <si>
    <t>-----------------LGET-ECYKKTILCLNKTSK-----------------------</t>
  </si>
  <si>
    <t>------------PDINVIS-FSDEK-DLMLA---FPKEI-RENDPDI-ITG-YNIFGF--</t>
  </si>
  <si>
    <t>AFSR--------------------LSRIKN------------------------------</t>
  </si>
  <si>
    <t>W-HTPGR-----VCVD----------------LMKIVQRD-Y-KLTS--------YSLDY</t>
  </si>
  <si>
    <t>VASYFIRDKITGYEYIKESDKEVIELQNMIKLTSDQNLDHDHEKSDDLYSSDEDKENLDD</t>
  </si>
  <si>
    <t>DVNIRKKTNVSNKKK-ILYT-RLKVGSTFGV---GIGDYIGIIYNDGP--IDNKI-----</t>
  </si>
  <si>
    <t>GSKK-KIL-------------------YIQDKTIIVQ------------------GKVRV</t>
  </si>
  <si>
    <t>RPFLKRK-----------FKVFWCQAKDD---------V---------------------</t>
  </si>
  <si>
    <t>-EDDD------------------------------------RAVVA--------------</t>
  </si>
  <si>
    <t>NSIGMGNVCCVPLSYLFLRGQSIKIYSLVAKQCREE--------NY--------------</t>
  </si>
  <si>
    <t>-LIPLNTKKKK-------KKPDPN------------------------------------</t>
  </si>
  <si>
    <t>--RELTKEEIEENKFQRFIRGLI-------------------NDE---------------</t>
  </si>
  <si>
    <t>-------------------EDKDDDD-------------DDQ------------------</t>
  </si>
  <si>
    <t>HY----------------------DPTI-VGDY---------------------------</t>
  </si>
  <si>
    <t>-GSLY-------------------PSSMIEKNFSHNSIVL--------------------</t>
  </si>
  <si>
    <t>--------------NP-K----------YD-NL--------P--------NYIYHS----</t>
  </si>
  <si>
    <t>---------------QTY------------------------------------------</t>
  </si>
  <si>
    <t>----------------------------------------------NN--SDGTTT----</t>
  </si>
  <si>
    <t>---------------TC-----------------RFAE----------------------</t>
  </si>
  <si>
    <t>----------------------------------------KANGEK--------------</t>
  </si>
  <si>
    <t>-------ATIPR-ILQKLLLARKKYK----------------------------------</t>
  </si>
  <si>
    <t>---KLKE-----------------------------------------------IEK---</t>
  </si>
  <si>
    <t>---------------------D----------------------------PF-KQAI---</t>
  </si>
  <si>
    <t>-----------------WDG-------LQN--------AYK-------------------</t>
  </si>
  <si>
    <t>-----------NSLYGQCGSTI----------SPISMRAIAACTTALGR-----------</t>
  </si>
  <si>
    <t>-------------------------ERLDLASTFVENGLVDIIRLI--------------</t>
  </si>
  <si>
    <t>KNDQ------------EYLEYMRNLYKNVKN-------EK--------------------</t>
  </si>
  <si>
    <t>GLVG----SYNVSPKCIYGD----------------------------------------</t>
  </si>
  <si>
    <t>---------------------------KLNLTTKE-------------------------</t>
  </si>
  <si>
    <t>GIIT---------S-QILNYTLPA------------------------------------</t>
  </si>
  <si>
    <t>NLYD---------------FKP-NSFYQKSMG-------LVTKRRDNADIVKIM-VGGII</t>
  </si>
  <si>
    <t>DQIL----------NK----------RD--------------------------------</t>
  </si>
  <si>
    <t>---------------------------PRG-AVKF-------------AQSTMMKII---</t>
  </si>
  <si>
    <t>---------------TGKYD----------------------------------------</t>
  </si>
  <si>
    <t>--IDKFIITK-TLK----------------------------------------------</t>
  </si>
  <si>
    <t>----------DKTE--------------------------------YKDWTH--------</t>
  </si>
  <si>
    <t>----------------------------NVHVVLADRMAQRD-KGNKPQ------SND--</t>
  </si>
  <si>
    <t>------------------------RIPFVY------------VEV---------------</t>
  </si>
  <si>
    <t>--------------DERKIKL-----------------QGERVEH---------PKYI--</t>
  </si>
  <si>
    <t>---------MENK------------------------LKID-------------YLF---</t>
  </si>
  <si>
    <t>------YI-----TN------------------QIMKPSIQFLDL---------------</t>
  </si>
  <si>
    <t>--IAYK-P-D----------Q---------------------------------------</t>
  </si>
  <si>
    <t>---IFE------------MYIV--------------------------------------</t>
  </si>
  <si>
    <t>------------------------------REQNRKSG----------------------</t>
  </si>
  <si>
    <t>------------------------------------TE---------------PI-----</t>
  </si>
  <si>
    <t>-------------------M-K------------------------YF------------</t>
  </si>
  <si>
    <t>---------KD-------------------------------------------------</t>
  </si>
  <si>
    <t>VDTSGPNQI-------NIGLGNEMLSGD----------------------SLF---GAKK</t>
  </si>
  <si>
    <t>PKVNRKRVTKRIV--------------------------------------------KKK</t>
  </si>
  <si>
    <t>---------------------TFFQLKHNYYIILMDNLVALR------------------</t>
  </si>
  <si>
    <t>-EPEKDA------------------------------------DGNFRF-----------</t>
  </si>
  <si>
    <t>--------------QIFDIHVEDM------------------------------------</t>
  </si>
  <si>
    <t>---------------RVTNK-------------------------DNQFREY--------</t>
  </si>
  <si>
    <t>KRK----------------------NFKMASVYSLKIFGVTR-GGESVCVHVNDF-----</t>
  </si>
  <si>
    <t>--------EPFF---YLRL--P--------------------DEWQTL--S---------</t>
  </si>
  <si>
    <t>KG----------DTVERVRHLKK-----RIVELLEK----------DFEDRNADK-----</t>
  </si>
  <si>
    <t>-------HGSAFEDNISSFNIVQ----NESFYW----------F----------------</t>
  </si>
  <si>
    <t>----DNNT-KLKFVKLR---------FQNMRGYY----NVKRIFLDK-------------</t>
  </si>
  <si>
    <t>------------------SNNPVPFP----YVEK--------KTILFKVYES--------</t>
  </si>
  <si>
    <t>-----NIEPMLKFLH-IQDLKPCGW------CEIGSNDYE-------NM----DS---R-</t>
  </si>
  <si>
    <t>MTT--C-NYELVTS-F----------K------------------SMN-PVE------I-</t>
  </si>
  <si>
    <t>---DE-------VS----PYITASFDIECD-S---------LH-----G-DF--------</t>
  </si>
  <si>
    <t>IAKRFYTIFGYKNYNN-------EWGVVKLK---------------KGQTKPSADTIGAV</t>
  </si>
  <si>
    <t>TQRC--MDIL--------------------------------------------------</t>
  </si>
  <si>
    <t>--------TSNKSKED----------------------------------TQKDLISVL-</t>
  </si>
  <si>
    <t>----------NRSFPK--------------QEGDP-I-IQIGTT----------F-R---</t>
  </si>
  <si>
    <t>-----------------VGKE-KV-GGHIVTLGTCDP-----------------------</t>
  </si>
  <si>
    <t>------------PGVKVEA-CKTEG-EVILR---WINMI-RNVDPDI-ITG-YNINGF--</t>
  </si>
  <si>
    <t>IFPG--------------------ITRVNA------------------------------</t>
  </si>
  <si>
    <t>L-TTFGR-----INMD----------------FLKVIRKTYM-SLES--------YKLDS</t>
  </si>
  <si>
    <t>IASTFMNGSIKETERCE-------------------------------------------</t>
  </si>
  <si>
    <t>TDKY-QIVEL-----------------NREENSFKID-----------------YDDEDT</t>
  </si>
  <si>
    <t>-------------VGN--LKV-WKKAKDD---------V---------------------</t>
  </si>
  <si>
    <t>KAMAMSNVCSVPLGYIFLRGQGIKLASLVFKECSKR--------GI--------------</t>
  </si>
  <si>
    <t>-LIETLPQYQIKE-----------------------------------------------</t>
  </si>
  <si>
    <t>-------------------GEAD-------------------------------------</t>
  </si>
  <si>
    <t>YLD---------------------EPVS-VLDY---------------------------</t>
  </si>
  <si>
    <t>IEG-------SMKGKP-E----------YD-NL--------P--------GYNYIE----</t>
  </si>
  <si>
    <t>---------------IAY------------------------------------------</t>
  </si>
  <si>
    <t>------------------------------------------DILGYDP-EDMRKN----</t>
  </si>
  <si>
    <t>----------KE----------------RIP-VG-----------KR-------------</t>
  </si>
  <si>
    <t>---------------VC-----------------RFAQ----------------------</t>
  </si>
  <si>
    <t>----------------------------------------PEDQSK--------------</t>
  </si>
  <si>
    <t>-------STIPN-ILQFLLGERKKRK----------------------------------</t>
  </si>
  <si>
    <t>---KMMK-----------------------------------------------KEK---</t>
  </si>
  <si>
    <t>---------------------D----------------------------PF-KYNL---</t>
  </si>
  <si>
    <t>-----------------LDA-------EQL--------AYK-------------------</t>
  </si>
  <si>
    <t>-----------NSLYGQMGAKT----------SKFCFIALAACTTSFGR-----------</t>
  </si>
  <si>
    <t>-------------------------KLLNYAKNGIEGIYN--------------------</t>
  </si>
  <si>
    <t>-------------------------------------GER--------------------</t>
  </si>
  <si>
    <t>--------DSRCDATYVYGD----------------------------------------</t>
  </si>
  <si>
    <t>---------------------------NFRPKGPD-------------------------</t>
  </si>
  <si>
    <t>SMEA---------E-KVLSDILKA------------------------------------</t>
  </si>
  <si>
    <t>NKYE---------------HDI-NKYKRINMG-------VVTKRRDNAPIVKVA-YNTMN</t>
  </si>
  <si>
    <t>NVLM----------TE----------KS--------------------------------</t>
  </si>
  <si>
    <t>---------------------------VPK-TTEA-------------IQGILKDLV---</t>
  </si>
  <si>
    <t>---------------DGKYG----------------------------------------</t>
  </si>
  <si>
    <t>--LEYLTITK-SLR----------------------------------------------</t>
  </si>
  <si>
    <t>------------------------------------------A--YYADPTR--------</t>
  </si>
  <si>
    <t>----------------------------IAHKVLADRIGERD-PGNKPK------PND--</t>
  </si>
  <si>
    <t>------------------------RLGFVY------------INK---------------</t>
  </si>
  <si>
    <t>------------NAQPGKKLL-----------------QGDKIET---------PEFI--</t>
  </si>
  <si>
    <t>---------RKNE------------------------LQPD-------------YKF---</t>
  </si>
  <si>
    <t>------YI-----TN------------------QIMKPILQVLAI---------------</t>
  </si>
  <si>
    <t>--VVDQIP-G----------YNK-------------------------------P-----</t>
  </si>
  <si>
    <t>-RNFWKQTATML------------R-----FQGKSEKL----------------------</t>
  </si>
  <si>
    <t>---------------------------------------VEENVQ-KMKEKLVQ------</t>
  </si>
  <si>
    <t>-ELVFD------------KYIR--------------------------------------</t>
  </si>
  <si>
    <t>------------------------------KAQSKKRG----------------------</t>
  </si>
  <si>
    <t>-----------------------------------------------------PI-----</t>
  </si>
  <si>
    <t>-------------------H-N------------------------FF------------</t>
  </si>
  <si>
    <t>-------------------------------------------MASIEF-----------</t>
  </si>
  <si>
    <t>--------------QIYDY-----------------------------------------</t>
  </si>
  <si>
    <t>----------------------------------------------RETHQT--------</t>
  </si>
  <si>
    <t>---------------------------EMMGEYIIQVFGRTQ-DGESVYAKLKDF-----</t>
  </si>
  <si>
    <t>--------HPRF---YIKI--P--------------------ENW-----T---------</t>
  </si>
  <si>
    <t>NR----------HLKRMETFLKSK-DNRKIW--NK------------------D------</t>
  </si>
  <si>
    <t>------------RECLVSCSMVK----RKKAYG----------F----------------</t>
  </si>
  <si>
    <t>----TNNK-LYKFAVLT---------FTNYYACK----KFASL-----------------</t>
  </si>
  <si>
    <t>------------------FE-----------LNKVYIPGVTTKAITFKIYEA--------</t>
  </si>
  <si>
    <t>-----NLTPMLRCFH-IQDIPGCGWVRAENFINIKTKN--------------------K-</t>
  </si>
  <si>
    <t>EST--C-NYEIVLS-Y----------K------------------DIK-PIV------K-</t>
  </si>
  <si>
    <t>---ES-------NA----PLRICSFDIECD-S---------CD-----G-MF--------</t>
  </si>
  <si>
    <t>---PQA--NRP-------------------------------------------------</t>
  </si>
  <si>
    <t>--------------------------------NDN-I-IQIGCT----------YTL---</t>
  </si>
  <si>
    <t>-----------------LGKS-EPYRQYICTLNSCDN-----------------------</t>
  </si>
  <si>
    <t>------------EGATVES-FDVES-DLLLA---WLEEI-KNSDADI-LTG-YNIFYF--</t>
  </si>
  <si>
    <t>DIKY--------------------LSKLKT------------------------------</t>
  </si>
  <si>
    <t>F-DTPGL-----VHID----------------LMKDVQKT-Y-NLSS--------YKLDK</t>
  </si>
  <si>
    <t>VASNFIKGNVKEIKN---------------------------------------------</t>
  </si>
  <si>
    <t>GDKF-KIIKL-----------------DIENKIITIK------------------TKLDL</t>
  </si>
  <si>
    <t>I----EECDFTR------GKIYWSQAKDD---------V---------------------</t>
  </si>
  <si>
    <t>-SKER------------------------------------CT-VA--------------</t>
  </si>
  <si>
    <t>KNIEMANVCYVPLSYLFVRGQGIKLFSLCLKEYRKH--------KF--------------</t>
  </si>
  <si>
    <t>-LFPVVK-----------------------------------------------------</t>
  </si>
  <si>
    <t>---------------------KPD---------------VDL------------------</t>
  </si>
  <si>
    <t>SY----------------------QAHA-TKDF---------------------------</t>
  </si>
  <si>
    <t>-ASLY-------------------PSAIIQKNMSHETKVD--------------------</t>
  </si>
  <si>
    <t>-------------NDE------------FD-NI--------P--------GIEYFN----</t>
  </si>
  <si>
    <t>---------------AKF------------------------------------------</t>
  </si>
  <si>
    <t>--------------------------------------------------KDDTGN----</t>
  </si>
  <si>
    <t>----------WQ------------------------------------------------</t>
  </si>
  <si>
    <t>---------------YR-----------------RFAK----------------------</t>
  </si>
  <si>
    <t>----------------------------------------LPD-EF--------------</t>
  </si>
  <si>
    <t>-------GVVPT-ILRTLLGERKAVK----------------------------------</t>
  </si>
  <si>
    <t>---KLMK-----------------------------------------------VEK---</t>
  </si>
  <si>
    <t>---------------------D----------------------------PF-KYAI---</t>
  </si>
  <si>
    <t>-----------------LDA-------KQL--------ALK-------------------</t>
  </si>
  <si>
    <t>-----------NSLYGQLGAAT----------SPVRDRDIAACTTSTGR-----------</t>
  </si>
  <si>
    <t>-------------------------EMLIYAKKYDEEILPWIIN----------------</t>
  </si>
  <si>
    <t>DTDT-----------IEYLY----------------------------------------</t>
  </si>
  <si>
    <t>DFCLKTN-DYVFNPIIKYGDSV------------IGDTPLLLKN-KFTNE--ILINKIKD</t>
  </si>
  <si>
    <t>LSSN------------WSNY----------------------------------------</t>
  </si>
  <si>
    <t>-------------------------------------------HNG--------------</t>
  </si>
  <si>
    <t>KESCEI----DTYQTWTETGWTDIKRVIRHKLES-NKKLLKIQTHNGEVIVTDE----HS</t>
  </si>
  <si>
    <t>LLN-KNGKTINAKNVKVGD-NILHSFPSYINN-----------------------IDNTN</t>
  </si>
  <si>
    <t>SIN-YHNKFYNKKM---CNELAYILGCFM------KYG-----LCDSSKKCFTINNKDIN</t>
  </si>
  <si>
    <t>LIESLKKMCENIFDE--FKWKISSSSHLSDNIYKLV------PFQNEIKLIDFIKY-FTN</t>
  </si>
  <si>
    <t>KMYN-N-GEKKVPQCILNSSKEYIKIFLIGLY-------------PEYKLEN---NQQ--</t>
  </si>
  <si>
    <t>FIYTCKNNEFSLGIYY--LIKKLGY------HVKLNS------------N--------DS</t>
  </si>
  <si>
    <t>SDSSDSIYT------FEISHKLENNN--NVITKITEWEHKETYVYDLTTENHHFHAGV--</t>
  </si>
  <si>
    <t>DKLYTKYYGKIRNLK-LNSNLKVKPEPTHFK--IILP-------IHDRLKQ--------F</t>
  </si>
  <si>
    <t>LKEYLEESYFPWLWTLHDIFTMDLSYLDYKQRNEIMEVKLFNHGFSQIEKMRLLPSIFSS</t>
  </si>
  <si>
    <t>ADKYNLINQIRNFCKNTLKQYYLIPYWKFNSKTNKLEYRM-----DFR------------</t>
  </si>
  <si>
    <t>NKGDPIIDKRN----------------------------LDK----SID----------M</t>
  </si>
  <si>
    <t>GIIS---------G-ELIKKRLPF------------------------------------</t>
  </si>
  <si>
    <t>NKYE---------------FDR-NKYKLDYMG-------IVLKRRDNAPIVKEI-CNGII</t>
  </si>
  <si>
    <t>NKLI----------EH----------KD--------------------------------</t>
  </si>
  <si>
    <t>---------------------------PEG-AYHF-------------LENSLNKMF---</t>
  </si>
  <si>
    <t>---------------NNEYN----------------------------------------</t>
  </si>
  <si>
    <t>--IKYFLTSK-TLK----------------------------------------------</t>
  </si>
  <si>
    <t>-------------------------------MK---------E--SYADWKR--------</t>
  </si>
  <si>
    <t>----------------------------IAHVVLSERIGERD-PGNKPQ------AGD--</t>
  </si>
  <si>
    <t>------------------------RISFAV------------VEVPPK------------</t>
  </si>
  <si>
    <t>-----------------KGML-----------------QGERIET---------PDYI--</t>
  </si>
  <si>
    <t>---------KENN------------------------LTID-------------YLF---</t>
  </si>
  <si>
    <t>------YL-----TN------------------QIEKPALQFLKL---------------</t>
  </si>
  <si>
    <t>--AVPN-V-E----------K---------------------------------------</t>
  </si>
  <si>
    <t>---RLE------------NLKI--------------------------------------</t>
  </si>
  <si>
    <t>------------------------------IRENEKKG----------------------</t>
  </si>
  <si>
    <t>------------------------------------YE---------------DI-----</t>
  </si>
  <si>
    <t>-------------------Y-K------------------------YVNMN---------</t>
  </si>
  <si>
    <t>DSCLSTNLYEL-------------------------------------------------</t>
  </si>
  <si>
    <t>DFCLKTN-DYVFNPIIKYGD----------------------------------------</t>
  </si>
  <si>
    <t>-------------------------------------MNS--------------------</t>
  </si>
  <si>
    <t>-------------------------------------------DKSILF-----------</t>
  </si>
  <si>
    <t>--------------NVTDW-----------------------------------------</t>
  </si>
  <si>
    <t>----------------------------------------------REYVNT--------</t>
  </si>
  <si>
    <t>QLGK----------------------------YTVELFGRTA-DDKSVHVTAKGF-----</t>
  </si>
  <si>
    <t>--------TPYF---YVEV--P--------------------DNW-----T---------</t>
  </si>
  <si>
    <t>ET----------QAKYLVDSIWLPPEH---------------------------------</t>
  </si>
  <si>
    <t>------------KKCLIEYDMVK----RHKFDG----------F----------------</t>
  </si>
  <si>
    <t>----TNNK-LFNFVRLV---------FNSQEAMQ----RCGYM-----------------</t>
  </si>
  <si>
    <t>------------------FSKPININRL--KLKK-----------MFKIYES--------</t>
  </si>
  <si>
    <t>-----KICPMFRCMH-IKNLNSCGW------INIKAGSYK-------QI-------TRK-</t>
  </si>
  <si>
    <t>TST--T-NIQIITD-W----------K------------------NLE-PHD------DP</t>
  </si>
  <si>
    <t>-----------TYA----KLKILSFDIECI-S---------TE-------GF--------</t>
  </si>
  <si>
    <t>---PMA--KRE-------------------------------------------------</t>
  </si>
  <si>
    <t>--------------------------------ADA-I-IMIGNT----------FGR---</t>
  </si>
  <si>
    <t>-----------------SGSQ-ECYKRVVFTLKQSAS-----------------------</t>
  </si>
  <si>
    <t>------------PNTEIVY-CATED-ELLLK---WRDFL-CREDPDI-ITG-YNIIAF--</t>
  </si>
  <si>
    <t>KFHY--------------------LGRMKE------------------------------</t>
  </si>
  <si>
    <t>F-DMWGR-----VHID----------------LMKVIQRD-H-KLSS--------YKLDS</t>
  </si>
  <si>
    <t>VAEHFIKSDIKSCTIN--------------------------------------------</t>
  </si>
  <si>
    <t>----------------SDRTSTIVCKDVKYL---NVDNFIKIDINRFK------YMS---</t>
  </si>
  <si>
    <t>GHKF-KILKI-------------------EGNNVTIE------------------GMLDL</t>
  </si>
  <si>
    <t>DFAK--------------NKYKWGLVKDD---------L---------------------</t>
  </si>
  <si>
    <t>-APQD------------------------------------IKIIA--------------</t>
  </si>
  <si>
    <t>----------------------------E-------------------------------</t>
  </si>
  <si>
    <t>NNMGMATVCSVPLSYIFFRGQGVKIHSLVAKKCRLE--------NH--------------</t>
  </si>
  <si>
    <t>VNNKTTVLTCSSTKFFEVNGTIHIE---------------VVNNK---------------</t>
  </si>
  <si>
    <t>K----IVKD--DS-YE--------------------------------GATV-LKPETGW</t>
  </si>
  <si>
    <t>YE----------------------EPIS-VLDF---------------------------</t>
  </si>
  <si>
    <t>-GSLY-------------------PSSMIDMNMSQETLLT--------------------</t>
  </si>
  <si>
    <t>----------HIEKDPLT----GTEKLAYD-NL--------P--------DYVYRD----</t>
  </si>
  <si>
    <t>------I--------VYY------------------------------------------</t>
  </si>
  <si>
    <t>--------------------------------------------------GDEKKQ----</t>
  </si>
  <si>
    <t>-------------------------------------------------------I----</t>
  </si>
  <si>
    <t>--------------------------------IQ--------------------------</t>
  </si>
  <si>
    <t>----------------------------------RFAK----------------------</t>
  </si>
  <si>
    <t>----------------------------------------HKSGKL--------------</t>
  </si>
  <si>
    <t>-------GIIPQ-ILQTLLSEREKTR----------------------------------</t>
  </si>
  <si>
    <t>---AIQK-----------------------------------------------KES---</t>
  </si>
  <si>
    <t>---------------------D----------------------------PA-KYAV---</t>
  </si>
  <si>
    <t>-----------NSLYGQMGAST----------SPIFKKEIAASTTARGR-----------</t>
  </si>
  <si>
    <t>-------------------------DMLEMAKKFVEVEFRKLLMEYIA------------</t>
  </si>
  <si>
    <t>NADNKMI--------VEYL-----------------------------------------</t>
  </si>
  <si>
    <t>-------------NKN--------------------------------------------</t>
  </si>
  <si>
    <t>--------NVQLTPKLVYTN----------------------------------------</t>
  </si>
  <si>
    <t>KID---------------------------------------------------------</t>
  </si>
  <si>
    <t>------------------TVANKSY-----------------------------------</t>
  </si>
  <si>
    <t>---------------------------LWSIRCKTT------------------------</t>
  </si>
  <si>
    <t>GKLS---------G-EFIKPRLPF------------------------------------</t>
  </si>
  <si>
    <t>NKYS---------------NDI-LDFYQDFMG-------IVLKRRDNADIVKKI-VGGII</t>
  </si>
  <si>
    <t>DIMM----------DT----------KNAA------------------------------</t>
  </si>
  <si>
    <t>-------------------------------SVEH---------F---VKSSLQDMF---</t>
  </si>
  <si>
    <t>--IDDFVLSK-TLK----------------------------------------------</t>
  </si>
  <si>
    <t>------------------------------------------D--KYANRAS--------</t>
  </si>
  <si>
    <t>----------------------------QAHVALADRRTVRD-PGNKPN------LND--</t>
  </si>
  <si>
    <t>------------------------RIPFVY------------IEVPEKRD----------</t>
  </si>
  <si>
    <t>---------RIRGTTKIKKVL-----------------QGDKVED---------PDYI--</t>
  </si>
  <si>
    <t>---------KEHH------------------------LNID-------------YIF---</t>
  </si>
  <si>
    <t>------YI-----TN------------------QIMNPALQLMEL---------------</t>
  </si>
  <si>
    <t>--VLKNPE-K--------------------------------------------------</t>
  </si>
  <si>
    <t>---IFN------------DFIA--------------------------------------</t>
  </si>
  <si>
    <t>------------------------------RETVKKAQ----------------------</t>
  </si>
  <si>
    <t>---------------------------------RLSDKL--------------SI-----</t>
  </si>
  <si>
    <t>----------------------EAAENEYRSP------------------NIVR------</t>
  </si>
  <si>
    <t>-KAVKKNQLTIAL-----------------------------------------------</t>
  </si>
  <si>
    <t>-------------------------------------------MSQWQF-----------</t>
  </si>
  <si>
    <t>--------------KLFEF-----------------------------------------</t>
  </si>
  <si>
    <t>----------------------------------------------DIRE----------</t>
  </si>
  <si>
    <t>--------------------------------FIIQMYGIDE-NGKTACIFVKGF-----</t>
  </si>
  <si>
    <t>--------NPFF---YVKV--L--------------------DEW-----D---------</t>
  </si>
  <si>
    <t>NS----------KVTEFVAFVRK-----EMGA----------------------------</t>
  </si>
  <si>
    <t>----------YFGDSLVSAKIVY----RHKFYE----------F----------------</t>
  </si>
  <si>
    <t>----DNKK-LYKFVQLK---------FTSIGAFN----KCKNLWYNET------------</t>
  </si>
  <si>
    <t>---------------KYGEDRKLKE--------N----GLEFLDTKTTLYEA--------</t>
  </si>
  <si>
    <t>-----QVPPLLRLFH-IRQIKPSGW------VALKNGHYS-------QN----RK---Q-</t>
  </si>
  <si>
    <t>LTT--C-DYEFTVN-Y----------K------------------NIY-PIN------DE</t>
  </si>
  <si>
    <t>-RLEKI------CV----PFKILSLDIEAS-S---------SH-----G-DF--------</t>
  </si>
  <si>
    <t>LSNLIKTGFSYRIN----------KDIEKIYLKK-------------SITEEELDELID-</t>
  </si>
  <si>
    <t>E-----FTTKKRQKVTGTKNKD------S-NIL-----EIINDLTCNRNTRILELAKCFG</t>
  </si>
  <si>
    <t>QHNPNRDNKWEGKFPE--------------LEGDQ-V-TIIGST----------IRR---</t>
  </si>
  <si>
    <t>-----------------NGED-KPYLQHAIVVNDCNS-----------------------</t>
  </si>
  <si>
    <t>------------DNVVIES-YKTER-DALLA---WTNFV-QRENPDI-IIG-YNHHGW--</t>
  </si>
  <si>
    <t>QFSK--------------------LSRFKNEKCIKEI-----------------------</t>
  </si>
  <si>
    <t>F-KMSGR-----LQID----------------FLNLFRRE-E-QLPS--------YKLDY</t>
  </si>
  <si>
    <t>VAGHFIGDNIKKIEYD--------------------------------------------</t>
  </si>
  <si>
    <t>----------------ENCS-ILYSKNLTGL---SKNDYIVIQEIG---YSTDQYAN---</t>
  </si>
  <si>
    <t>GKKF-KVLDI-----------------VDD--KIILN------------------DKITP</t>
  </si>
  <si>
    <t>DTNK---------------ILRWCLGKDD---------V---------------------</t>
  </si>
  <si>
    <t>-------------------------GPQDI-------FRLTNE-----------------</t>
  </si>
  <si>
    <t>-GPEG------------------------------------RAIVT--------------</t>
  </si>
  <si>
    <t>SYDEMSNLCWVPKSFLVTRGQGIKLTSYVAQKCREK--------NT--------------</t>
  </si>
  <si>
    <t>-LMPVIDKG---------------------------------------------------</t>
  </si>
  <si>
    <t>---------------------------------------IDG------------------</t>
  </si>
  <si>
    <t>YLK---------------------KPVA-CVDY---------------------------</t>
  </si>
  <si>
    <t>INE-------TGEKDE-N------GKFIYD-EL--------P--------EYDYID----</t>
  </si>
  <si>
    <t>FKWIRK---------------------------------------------TPKAA----</t>
  </si>
  <si>
    <t>----------AT----------------KVK-SG-----------YK-------------</t>
  </si>
  <si>
    <t>---------------TC-----------------RYVQ----------------------</t>
  </si>
  <si>
    <t>----------------------------------------FQNNEK--------------</t>
  </si>
  <si>
    <t>-------AILPS-ILDELLGARKSTK----------------------------------</t>
  </si>
  <si>
    <t>---RQMK-----------------------------------------------NET---</t>
  </si>
  <si>
    <t>---------------------D----------------------------PF-MQNV---</t>
  </si>
  <si>
    <t>-----------------LDK-------RQL--------SIK-------------------</t>
  </si>
  <si>
    <t>-----------NSLYGQAGAKT----------STFYDKDIAASTTATGR-----------</t>
  </si>
  <si>
    <t>-------------------------KLLIYAKELIEACYDNTIE----------------</t>
  </si>
  <si>
    <t>-------------ETTNYG-----------------------------------------</t>
  </si>
  <si>
    <t>LAEKYGN-------G-WHL-----------------------------------------</t>
  </si>
  <si>
    <t>KEYCEL----NNIESWTENGWTECHRVIRHRLAP-YKKMVRILTHTGLVDVTDD----HS</t>
  </si>
  <si>
    <t>LVK-NTGEEISPKDVSIGT-KLLHCTMS-ENE-----------------------SNIES</t>
  </si>
  <si>
    <t>DIS---------------IDEARIMGFFFGDGSCGIYD-----CPSGHKASWALNNSNKE</t>
  </si>
  <si>
    <t>LIEKYYNLCKSVYPE--FEWKVYDT-LNSSGVYKICF---NKKSGSKSKI-QFI-EKYRS</t>
  </si>
  <si>
    <t>MLYN-K-KSKIIPSEIINGSIELRKSFWEGLYDA-----------DGDK------DKNGY</t>
  </si>
  <si>
    <t>TRIDQKSQISAAYICW--LANSIGYKT----SLNIRD-----------------------</t>
  </si>
  <si>
    <t>QNSVNIQNSKDNQD----YVYDLTTEN---------------------------------</t>
  </si>
  <si>
    <t>---------------------------TFNLKDLDS------------------------</t>
  </si>
  <si>
    <t>AKKA---------G-WLATMFLKS------------------------------------</t>
  </si>
  <si>
    <t>ILYE---------------EDP-NKGKRKEMG-------LVLKRRDNCAQVKDV-YGGAI</t>
  </si>
  <si>
    <t>DILM----------KD----------QV--------------------------------</t>
  </si>
  <si>
    <t>---------------------------VHK-AVDF-------------VKHSLQDVI---</t>
  </si>
  <si>
    <t>---------------DEKIS----------------------------------------</t>
  </si>
  <si>
    <t>--QQKLIITK-SLR----------------------------------------------</t>
  </si>
  <si>
    <t>------------------------------------------S--YYKNPKQ--------</t>
  </si>
  <si>
    <t>----------------------------IAHNVLAIRIGERD-PGNKPK------PGD--</t>
  </si>
  <si>
    <t>------------------------RMEFIY------------IKN---------------</t>
  </si>
  <si>
    <t>---------------SDKKAL-----------------QGDRIET---------PLFI--</t>
  </si>
  <si>
    <t>---------NENN------------------------IEID-------------YGF---</t>
  </si>
  <si>
    <t>------YI-----TN------------------QIMKPLQQLFAL---------------</t>
  </si>
  <si>
    <t>--VLEDME-D----------FVTKRGI---------------------------------</t>
  </si>
  <si>
    <t>---SMKSWKAEI------------DKLHEKWTEPDK------------------------</t>
  </si>
  <si>
    <t>---------------------------------------FSKKYE-ELRCKEVK------</t>
  </si>
  <si>
    <t>-SILFD------------PYIK--------------------------------------</t>
  </si>
  <si>
    <t>------------------------------LLK---------------------------</t>
  </si>
  <si>
    <t>-------------------------------------------MNNPIC-----------</t>
  </si>
  <si>
    <t>--------------RLLSF-----------------------------------------</t>
  </si>
  <si>
    <t>----------------------------------------------KVYN----------</t>
  </si>
  <si>
    <t>--------------------------------FMIQMFAIDG-EGKSYSIKVIGF-----</t>
  </si>
  <si>
    <t>--------QPFF---YVRV--A--------------------DSW-----G---------</t>
  </si>
  <si>
    <t>IT----------KKKKFLKHIQMLLRQEELGRKYDDFKK-GRKPRINPKMEEEESKEEYI</t>
  </si>
  <si>
    <t>-FRTKQYYTSYYEKSIVACKIIE----RKKLYG----------F----------------</t>
  </si>
  <si>
    <t>----DAMK-NHRFILMK---------FKNTSAMH----KIKNFWYD--------------</t>
  </si>
  <si>
    <t>---------------HEKDPTSLFGTK---SILK----PFRVMKVNTELYEA--------</t>
  </si>
  <si>
    <t>-----KLPPLLRYFH-IKEISPSGW------IKLPRRKIL-------EW----EE---S-</t>
  </si>
  <si>
    <t>KTN--C-DYEYTIG-Y----------K------------------DII-PLP------H-</t>
  </si>
  <si>
    <t>---MET------GV----PVKVCSYDIEAG-S---------SH-----G-DF--------</t>
  </si>
  <si>
    <t>LNKMLLTAFGFAHI----------DGIHKIYPKWPKKNITKSKLM--DRFHPFLKEDLY-</t>
  </si>
  <si>
    <t>-------KIIVSDWHGKRRQKKKNQKY--MNFRR--------SDEEEEEEDFNDVYE---</t>
  </si>
  <si>
    <t>--------YKHFIKRNM-------------TFL-----DYLNDDKMDKLKKLEVLDEAL-</t>
  </si>
  <si>
    <t>----------EYI-PKCRYDNTKCRYNLIPIKGDP-V-TFIGST----------FMT---</t>
  </si>
  <si>
    <t>-----------------IGDS-QPYLNHGVCLGDCDQ-----------------------</t>
  </si>
  <si>
    <t>-----------------------------IT-----------------------------</t>
  </si>
  <si>
    <t>---------MENSRCEIEC-YSNEK-DLLLA---WAEMI-RREKPDV-IIG-YNIFGF--</t>
  </si>
  <si>
    <t>EFVQ--------------------LSRNNKEEC---------------------------</t>
  </si>
  <si>
    <t>V-NIDGI-----IQID----------------LYNYFRRE-V-NLPS--------YKLQD</t>
  </si>
  <si>
    <t>VGSHFIGDMVKKVEQN--------------------------------------------</t>
  </si>
  <si>
    <t>----------------DGKT-IIYSGNLMGL---QVGNYVCFELIG---HSSDSYQD---</t>
  </si>
  <si>
    <t>GKKF-KVLRL-----------------NRSNAHYEVD------------------GIVEP</t>
  </si>
  <si>
    <t>EEGK---------------KLRWGLGKDD---------I---------------------</t>
  </si>
  <si>
    <t>-TRAD------------------------------------KTEIA--------------</t>
  </si>
  <si>
    <t>GMVEQAAICSIPINFVVMRGQGIKLLSFIAKKCRAK--------KT--------------</t>
  </si>
  <si>
    <t>-LMPVVKRV---------------------------------------------------</t>
  </si>
  <si>
    <t>---------------------------------------END------------------</t>
  </si>
  <si>
    <t>YGD--------------------KDPVA-VVDY---------------------------</t>
  </si>
  <si>
    <t>LQR-------TGVQDK-S------GKFIYD-NL--------P--------NYQYVD----</t>
  </si>
  <si>
    <t>YEWISP---------------------------------------------DGKKK----</t>
  </si>
  <si>
    <t>----------EV----------------KVK-VG-----------TK-------------</t>
  </si>
  <si>
    <t>---------------KC-----------------RFAQ----------------------</t>
  </si>
  <si>
    <t>----------------------------------------FPDGKK--------------</t>
  </si>
  <si>
    <t>-------AIMPA-ILQGLLAARKATRVKGKYKTVITRDGKDYSGLLSE-NDTTYTVTD--</t>
  </si>
  <si>
    <t>VPIVIE----KTNVKSIKDTYN----------------------------TF-MKNV---</t>
  </si>
  <si>
    <t>-----------------FNQ-------RQG--------AIK-------------------</t>
  </si>
  <si>
    <t>--------------VVA-------------------------------------------</t>
  </si>
  <si>
    <t>-----------NSLYGQCGGRT----------SSFYEKDIAASTTATGR-----------</t>
  </si>
  <si>
    <t>-------------------------KLLLYAQRVIEEVYGDCVC----------------</t>
  </si>
  <si>
    <t>-------------ETK-YG-----------------------------------------</t>
  </si>
  <si>
    <t>--------KVRCNAEYIYGD----------------------------------------</t>
  </si>
  <si>
    <t>---------------------------TFHLKELDG------------------------</t>
  </si>
  <si>
    <t>AQEA---------G-QLASKFLKP------------------------------------</t>
  </si>
  <si>
    <t>LLYE---------------TNI-EKCKRKSMG-------IVLKRRDNAPIVKDG-YGGII</t>
  </si>
  <si>
    <t>DILM----------NE----------HN--------------------------------</t>
  </si>
  <si>
    <t>---------------------------VSK-AVKF-------------IKGFLHDMV---</t>
  </si>
  <si>
    <t>---------------NEKFP----------------------------------------</t>
  </si>
  <si>
    <t>--LEKLIISK-SLR----------------------------------------------</t>
  </si>
  <si>
    <t>------------------------------------------G--FYKNPDS--------</t>
  </si>
  <si>
    <t>----------------------------IAHRVLADRMGQRD-PGNKPS------VGS--</t>
  </si>
  <si>
    <t>------------------------RIPYVF------------IQT---------------</t>
  </si>
  <si>
    <t>---------------KKKVKL-----------------QGNRIEH---------PDYI--</t>
  </si>
  <si>
    <t>---------RANN------------------------IHPD-------------YGF---</t>
  </si>
  <si>
    <t>------YI-----TN------------------QIMKPVMQIFAL---------------</t>
  </si>
  <si>
    <t>--LLENTP-S----------FKTQL-----------------------------------</t>
  </si>
  <si>
    <t>-----GQFQRRL------------KYIKGKYRDNEE------------------------</t>
  </si>
  <si>
    <t>---------------------------------------KGDSEEIKLRNKYAK------</t>
  </si>
  <si>
    <t>-KLIFD------------NAIR--------------------------------------</t>
  </si>
  <si>
    <t>------------------------------QANNIKTG----------------------</t>
  </si>
  <si>
    <t>------------------------------------QR---------------TI-----</t>
  </si>
  <si>
    <t>-----------------------------------MT-----------------------</t>
  </si>
  <si>
    <t>----------------------------------------------LQI-----------</t>
  </si>
  <si>
    <t>--------------KMIDF-----------------------------------------</t>
  </si>
  <si>
    <t>----------------------------------------------QV------------</t>
  </si>
  <si>
    <t>--------------------------------FKIQMYGLDE-HRKTYSITVNHF-----</t>
  </si>
  <si>
    <t>--------NPFV---YILV--P--------------------NIW-----S---------</t>
  </si>
  <si>
    <t>KS----------KTDDFIQHFKDH-DDKTIAR----------------------------</t>
  </si>
  <si>
    <t>----------SSSENIVSYELVK----KKTLYG----------F----------------</t>
  </si>
  <si>
    <t>----DANK-YYNFVYIS---------CKNMSFIY----KLKSLYYD--------------</t>
  </si>
  <si>
    <t>-----------------KETQQINE-------------GYLYQNFRTKIYEC--------</t>
  </si>
  <si>
    <t>-----MIPPLLRFFH-IQKISPSGW------IEI--NTYK-------KY----TT---K-</t>
  </si>
  <si>
    <t>RTH--M-DMDIGCH-Y----------K------------------DII-SL-------D-</t>
  </si>
  <si>
    <t>---KDD------IV----PYKICSFDIEAS-S---------SH-----G-DF--------</t>
  </si>
  <si>
    <t>LEALLENVFGFKDT----------LHIDKCYPKE----KYTC-----SQFKIHMEKLYK-</t>
  </si>
  <si>
    <t>A-----------------------------DIL-----TMLMDDKLDNPNKIAHMITLL-</t>
  </si>
  <si>
    <t>----------DSIFPE--------------LSGDQ-V-TFIGST----------FVN---</t>
  </si>
  <si>
    <t>-----------------YGQE-KPYLNHCICLNDTST-----------------------</t>
  </si>
  <si>
    <t>-----------VDHQIIEC-YDHEK-DVLCA---WSKLI-QKEDPDI-IIG-YNIFGF--</t>
  </si>
  <si>
    <t>EFMI--------------------FGRHKEQ-----------------------------</t>
  </si>
  <si>
    <t>L-PMSGR-----LQID----------------LYTHMRKE-Y-NLPS--------YKLDY</t>
  </si>
  <si>
    <t>VSSYLMSDKVTRYENN--------------------------------------------</t>
  </si>
  <si>
    <t>----------------SNDTCMIYTKNMKGL---ELYSYVHFEIQN---HSSELYLD---</t>
  </si>
  <si>
    <t>GKKF-KIIEM-----------------NVE--GFVID------------------DVL--</t>
  </si>
  <si>
    <t>DIKD---------------SFTWGLSKDD---------V---------------------</t>
  </si>
  <si>
    <t>-------------------------SPKEI-------FEMTRK-----------------</t>
  </si>
  <si>
    <t>-GKEE------------------------------------RGLIA--------------</t>
  </si>
  <si>
    <t>TFTEMSKLCSVPITFLVLRGQGIKLTSYIAKKCREK--------DT--------------</t>
  </si>
  <si>
    <t>-LMPLISKG---------------------------------------------------</t>
  </si>
  <si>
    <t>---------------------------------------NAR------------------</t>
  </si>
  <si>
    <t>YLD---------------------VPVA-CVDY---------------------------</t>
  </si>
  <si>
    <t>KLNSSGKECIYGTKDE-Q------GNFIYD-NL--------P--------DYEYVD----</t>
  </si>
  <si>
    <t>FAYVRK---------------------------------------------TQSAA----</t>
  </si>
  <si>
    <t>----------AT----------------KVL-TG-----------YK-------------</t>
  </si>
  <si>
    <t>---------------IC-----------------RYAQ----------------------</t>
  </si>
  <si>
    <t>----------------------------------------FPNDEK--------------</t>
  </si>
  <si>
    <t>-------AIMPS-ILDELLAARKSTK----------------------------------</t>
  </si>
  <si>
    <t>---KQMK-----------------------------------------------NEH---</t>
  </si>
  <si>
    <t>---------------------D----------------------------PF-KQNI---</t>
  </si>
  <si>
    <t>-----------NSLYGQTGAKT----------STFYEMDVAASTTAIGR-----------</t>
  </si>
  <si>
    <t>-------------------------KLLIYAKEVIEGVYGNSEV----------------</t>
  </si>
  <si>
    <t>-------------DTK-YG-----------------------------------------</t>
  </si>
  <si>
    <t>--------KMKTRAEYIYGD----------------------------------------</t>
  </si>
  <si>
    <t>---------------------------TFHFEDLNG------------------------</t>
  </si>
  <si>
    <t>AKEA---------G-HLCTSFLKN------------------------------------</t>
  </si>
  <si>
    <t>MLYE---------------EDP-EKGKRKSMG-------IVLKRRDNAPIVKDV-YGGII</t>
  </si>
  <si>
    <t>DILM----------KD----------KN--------------------------------</t>
  </si>
  <si>
    <t>---------------------------IDK-SIDF-------------LDTMLQSII---</t>
  </si>
  <si>
    <t>---------------DKNVI----------------------------------------</t>
  </si>
  <si>
    <t>--MDKLVITK-SLR----------------------------------------------</t>
  </si>
  <si>
    <t>------------------------------------------S--FYKNPNQ--------</t>
  </si>
  <si>
    <t>----------------------------IAHCVLANRIGIRD-PGNKPA------PGD--</t>
  </si>
  <si>
    <t>------------------------RIPFVY------------IQT---------------</t>
  </si>
  <si>
    <t>---------------TGK-KL-----------------QGERIET---------PQFI--</t>
  </si>
  <si>
    <t>---------QDEQ------------------------LKID-------------YGF---</t>
  </si>
  <si>
    <t>------YI-----SN------------------QIMKPIIQIYSL---------------</t>
  </si>
  <si>
    <t>--VLYDMT-K----------FNRRK-----------------------------------</t>
  </si>
  <si>
    <t>-----RSFIQEI------------KTIEENIEDNDK------------------------</t>
  </si>
  <si>
    <t>---------------------------------------KQKKYN-R-------------</t>
  </si>
  <si>
    <t>------------------------------------MYGLDE-HRTTYSIMVHNF-----</t>
  </si>
  <si>
    <t>--------TPFV---YIKV--S--------------------NDW-----N---------</t>
  </si>
  <si>
    <t>KH----------KTDEFIEHLKQH-PNKSIA-----------------------------</t>
  </si>
  <si>
    <t>----------YGSKDIVSYEWVK----KKSLYG----------F----------------</t>
  </si>
  <si>
    <t>----DANK-YYNFIYIS---------CKNMSFVY----KLRSLYYE--------------</t>
  </si>
  <si>
    <t>-----------------KDTQQLNK-------------GYLYKNAYTKIYEC--------</t>
  </si>
  <si>
    <t>-----MIPPLLRFFH-IQNISPSGW------IEV--KRFS-------RN----KM---K-</t>
  </si>
  <si>
    <t>KTH--M-DVDINCD-Y----------K------------------NIY-PL-------D-</t>
  </si>
  <si>
    <t>---KEI------MV----PYKICSFDIEAN-S---------SH-----G-DF--------</t>
  </si>
  <si>
    <t>LRELLENVFGFKDT----------LLIDKCYVEQ----SYTY-----EQFESHMELLFK-</t>
  </si>
  <si>
    <t>N-----------------------------DVL-----TMLKDITIDKPNKIVHLTNVL-</t>
  </si>
  <si>
    <t>----------DETFPQ--------------LKGDQ-V-TFIGST----------FVN---</t>
  </si>
  <si>
    <t>-----------------YGEE-KPYLNHCICLNDSHN-----------------------</t>
  </si>
  <si>
    <t>-----------GDN-VLEC-YSTEK-DVLCA---WSRLI-MKEDPDI-IIG-YNIFGF--</t>
  </si>
  <si>
    <t>EFMV--------------------LGRNKEQ-----------------------------</t>
  </si>
  <si>
    <t>L-PMSGR-----LQID----------------LYTYMRKE-F-NLPS--------YKLDY</t>
  </si>
  <si>
    <t>VSSYLICDKVIRYENN--------------------------------------------</t>
  </si>
  <si>
    <t>----------------EEGQSRIYSKNMKGL---ERLHYVHFEIHN---HSSELYLD---</t>
  </si>
  <si>
    <t>GKKF-QIIEL-----------------YDD--GFLIN------------------EEL--</t>
  </si>
  <si>
    <t>DIHE---------------KFSWGLSKDD---------V---------------------</t>
  </si>
  <si>
    <t>-------------------------SPKDI-------FEMTKK-----------------</t>
  </si>
  <si>
    <t>-GPHD------------------------------------RGIIA--------------</t>
  </si>
  <si>
    <t>TFSEMSKLCSVPIQFLVLRGQGIKLTSYISKKCREK--------DT--------------</t>
  </si>
  <si>
    <t>---------------------------------------NDV------------------</t>
  </si>
  <si>
    <t>YLN---------------------NPVA-CVDY---------------------------</t>
  </si>
  <si>
    <t>KKDEKGREKMTGIKDE-H------SNFIYD-NL--------P--------EYEYVD----</t>
  </si>
  <si>
    <t>FEYVRN---------------------------------------------TPTSA----</t>
  </si>
  <si>
    <t>----------AT----------------KQL-TG-----------YK-------------</t>
  </si>
  <si>
    <t>----------------------------------------FPDNKK--------------</t>
  </si>
  <si>
    <t>-------AILPS-ILQELLAARKATK----------------------------------</t>
  </si>
  <si>
    <t>---KQMQ-----------------------------------------------KET---</t>
  </si>
  <si>
    <t>---------------------D----------------------------PF-KKNI---</t>
  </si>
  <si>
    <t>-----------NSLYGQTGAKT----------SSFYEMDVAASTTSVGR-----------</t>
  </si>
  <si>
    <t>-------------------------TLLIYAKEIIENVYGNTIV----------------</t>
  </si>
  <si>
    <t>--------KMKSNAEYIYGD----------------------------------------</t>
  </si>
  <si>
    <t>---------------------------TFNFKDLKN------------------------</t>
  </si>
  <si>
    <t>AKEA---------G-HLCTSFLKE------------------------------------</t>
  </si>
  <si>
    <t>MLYE---------------DDI-NSCSRKSMG-------IVLKRRDNAPIVKDV-YGGII</t>
  </si>
  <si>
    <t>DILM----------KE----------KD--------------------------------</t>
  </si>
  <si>
    <t>---------------------------IEK-SILF-------------LDKMLENII---</t>
  </si>
  <si>
    <t>---------------DENII----------------------------------------</t>
  </si>
  <si>
    <t>--MDKLVVTK-SLR----------------------------------------------</t>
  </si>
  <si>
    <t>------------------------------------------S--FYKNPTR--------</t>
  </si>
  <si>
    <t>----------------------------IAHCVLANRMGARD---QKPS------PGD--</t>
  </si>
  <si>
    <t>------------------------RIPFVY------------IKN---------------</t>
  </si>
  <si>
    <t>---------------ENK-QL-----------------QGDKIET---------PDFI--</t>
  </si>
  <si>
    <t>---------KSEG------------------------LEID-------------YVF---</t>
  </si>
  <si>
    <t>------YI-----TN------------------QIMKPIIQIYSL---------------</t>
  </si>
  <si>
    <t>--VLNDMK-C----------FQRRK-----------------------------------</t>
  </si>
  <si>
    <t>-----PSFIQEV------------ETLSKNEFDTDK------------------------</t>
  </si>
  <si>
    <t>---------------------------------------RNKKIQ-SMKEKEVE------</t>
  </si>
  <si>
    <t>-RLLFK------------KYISF-------------YP----EEMDGMSY----------</t>
  </si>
  <si>
    <t>-------QYRT----------------AFDVCKKLGKN----------------------</t>
  </si>
  <si>
    <t>------------------------------------EK---------------EIV----</t>
  </si>
  <si>
    <t>------------------NA-I------------------------LKHKKNKK------</t>
  </si>
  <si>
    <t>----------------------------------IMK-----------------------</t>
  </si>
  <si>
    <t>--------------------------------------------SSTSY-----------</t>
  </si>
  <si>
    <t>--------------KLTAF-----------------------------------------</t>
  </si>
  <si>
    <t>----------------------------------------------NVYDDV--------</t>
  </si>
  <si>
    <t>--------------------------------FIVQMFGINE-KGETASIFVEGY-----</t>
  </si>
  <si>
    <t>--------TPFF---YVMV--G--------------------QDW-----T---------</t>
  </si>
  <si>
    <t>DR----------EKNGIISQIYN-----DIGN----------------------------</t>
  </si>
  <si>
    <t>----------FYEDCIVQSKIIK----SKKLYG----------F----------------</t>
  </si>
  <si>
    <t>----DAGK-LYSFLLLK---------FKNEMTMR----KVKNLWYTSS------------</t>
  </si>
  <si>
    <t>------------LTKNGEYAKKLTD--------------YEYNGFKTKLYEA--------</t>
  </si>
  <si>
    <t>-----QIPPLLRLFH-IKQISPSGW------ISLPFKKTL-------VH---KTN---K-</t>
  </si>
  <si>
    <t>STS--C-SNEYTIH-Y----------K------------------NII-PLP------D-</t>
  </si>
  <si>
    <t>---KET------LV----PYKICSFDIEAS-S---------SH-----G-DF--------</t>
  </si>
  <si>
    <t>---PIA--IKNYKKLAINIVS--------------VWNNKLPEENDDEY-----------</t>
  </si>
  <si>
    <t>MRKIILTAF---NCGEK------VEGVDLVYPKQ-------------QVKKEEIENLFY-</t>
  </si>
  <si>
    <t>GE---HWFFKHTQPKS---YKK------NGTII-----DLMNDKLVDRETRILELNKTL-</t>
  </si>
  <si>
    <t>----------TDTFPK--------------LKGDI-V-TFIGST----------FTK---</t>
  </si>
  <si>
    <t>-----------------FGES-KPYLNHCIVKNSCSN-----------------------</t>
  </si>
  <si>
    <t>-----------DEHSVIET-YDTEK-EVLLA---WTKLI-QREDPDI-IIG-YNIFGF--</t>
  </si>
  <si>
    <t>KFLK--------------------LSRNKNEVCINK------------------------</t>
  </si>
  <si>
    <t>I-KMNGR-----LQID----------------LYNYLRRD-Y-QLVQ--------YKLDY</t>
  </si>
  <si>
    <t>VSSYFIGDSVKKIEHN--------------------------------------------</t>
  </si>
  <si>
    <t>----------------GSST-IVYTTNLTGL---EKGNYITFEEES---HSVDTYKN---</t>
  </si>
  <si>
    <t>GEKF-IVSNV-----------------NVETNSFVIN------------------SIESP</t>
  </si>
  <si>
    <t>DMTK---------------RVRWGLAKDD---------V---------------------</t>
  </si>
  <si>
    <t>-------------------------TPQDI-------FRLTNQ-----------------</t>
  </si>
  <si>
    <t>-GPDE------------------------------------RAIIA--------------</t>
  </si>
  <si>
    <t>GYVEMSNLCSVPLEFLVLRGQGIKLTSYIAKKCREK--------NT--------------</t>
  </si>
  <si>
    <t>-LMPVLDKA---------------------------------------------------</t>
  </si>
  <si>
    <t>---------------------------------------NSD------------------</t>
  </si>
  <si>
    <t>YLE---------------------EPVA-CVDY---------------------------</t>
  </si>
  <si>
    <t>IEE-------MGEKDE-T------GKFIYD-NY--------P--------GYKYVD----</t>
  </si>
  <si>
    <t>YKWQHKN-------------------------------------------NNPKSA----</t>
  </si>
  <si>
    <t>----------ME----------------KVK-VG-----------YK-------------</t>
  </si>
  <si>
    <t>----------------------------------------YPEGK---------------</t>
  </si>
  <si>
    <t>-------AILPS-ILEECLAARKATR----------------------------------</t>
  </si>
  <si>
    <t>---KLIP-----------------------------------------------QQK---</t>
  </si>
  <si>
    <t>---------------------D----------------------------DF-MKNV---</t>
  </si>
  <si>
    <t>-----------NSIYGQTGAKT----------STFYEKDVAASTTATGR-----------</t>
  </si>
  <si>
    <t>-------------------------KLLTYARRVIEEGYCNRVV----------------</t>
  </si>
  <si>
    <t>-------------NTKCHG-----------------------------------------</t>
  </si>
  <si>
    <t>IGNKYGN-------NEWRTFTE--------------------------------------</t>
  </si>
  <si>
    <t>KEFCEL----SNIETWSDKGWTKLYRVIRHKLAP-HKKMFRILTECGLVDVTDD----HS</t>
  </si>
  <si>
    <t>LLR-YDGKEITPNECCVGS-ELLHKELSFEPT-----------------------KYNDI</t>
  </si>
  <si>
    <t>QLS---------------LEHARI---------CG-------------------------</t>
  </si>
  <si>
    <t>LLEN-----------IVNGNKYIKNAFIEGLLRT-----------TEDELKE--WDGKYP</t>
  </si>
  <si>
    <t>IKVYDTNQQNAAIICY--ILQSCGYHT----ELSF-------------------------</t>
  </si>
  <si>
    <t>--TQNIYSI------EITK-KTIKD---NKIKSICKI-----------------------</t>
  </si>
  <si>
    <t>----------DYND----YVYDFTTEN---------------------------------</t>
  </si>
  <si>
    <t>---------------------------KFNLTDLHN------------------------</t>
  </si>
  <si>
    <t>AQEA---------G-HLASKFLKR------------------------------------</t>
  </si>
  <si>
    <t>MLYE---------------TDP-NKCKRKSMG-------IVLKRRDNAPIVKDV-YGGII</t>
  </si>
  <si>
    <t>DILM----------KE----------KK--------------------------------</t>
  </si>
  <si>
    <t>---------------------------IET-AADY-------------LDKCLQDMI---</t>
  </si>
  <si>
    <t>---------------NGKVS----------------------------------------</t>
  </si>
  <si>
    <t>--VDKLIITK-SLR----------------------------------------------</t>
  </si>
  <si>
    <t>------------------------------------------G--DYKNPNQ--------</t>
  </si>
  <si>
    <t>----------------------------IAHKVLADRIAKRD-PGNKPS------PGD--</t>
  </si>
  <si>
    <t>------------------------RIPFIY------------YEH---------------</t>
  </si>
  <si>
    <t>---------------KDKKAL-----------------QGDKIET---------PTFI--</t>
  </si>
  <si>
    <t>---------RENK------------------------LKID-------------YAH---</t>
  </si>
  <si>
    <t>------YI-----TN------------------QIMKPVQQLFAL---------------</t>
  </si>
  <si>
    <t>--VLEDIP-A----------FKKKKGH---------------------------------</t>
  </si>
  <si>
    <t>---TLRRWRKQL------------DDLRLKYTDEET------------------------</t>
  </si>
  <si>
    <t>---------------------------------------YHIQKE-KLRNKEVK------</t>
  </si>
  <si>
    <t>-ELLFD------------KYLV--------------------------------------</t>
  </si>
  <si>
    <t>------------------------------DIKNKREG----------------------</t>
  </si>
  <si>
    <t>------------------------------------NR---------------SI-----</t>
  </si>
  <si>
    <t>-------------------A-S------------------------FFGK----------</t>
  </si>
  <si>
    <t>-------------------------------ILITMK-----------------------</t>
  </si>
  <si>
    <t>-------------------------------------------LNDIKF-----------</t>
  </si>
  <si>
    <t>--------------RLLDF-----------------------------------------</t>
  </si>
  <si>
    <t>----------------------------------------------NIYN----------</t>
  </si>
  <si>
    <t>--------------------------------FIIQMFGLDE-KGRTYSIYLDDY-----</t>
  </si>
  <si>
    <t>--------QPFF---YLKV--D--------------------DSW-----N---------</t>
  </si>
  <si>
    <t>KS----------KKEAFLDKIKT-----DIGK----------------------------</t>
  </si>
  <si>
    <t>----------YYESSIVDCKLIK----REELYG----------F----------------</t>
  </si>
  <si>
    <t>----DAGK-KYKFIMMK---------FKNMQVLN----KVKNMFYS--------------</t>
  </si>
  <si>
    <t>------------------YNKKTNERK---MVPN----GIQYGNTNIYLYEA--------</t>
  </si>
  <si>
    <t>-----NIPPLLRFFH-IKNISPSGW------IMIPKKKVN-------KH----AQ---K-</t>
  </si>
  <si>
    <t>VTN--C-DFEYTTS-Y----------K------------------SII-SLN------D-</t>
  </si>
  <si>
    <t>---KET------TV----PYKICSFDIEAS-S---------SH-----G-DF--------</t>
  </si>
  <si>
    <t>LRVLINGAFGFNDC----------EFVDKVYPKKPPKNQHQLEIMINEIFKKPVRKLQK-</t>
  </si>
  <si>
    <t>-------QEIK-NEITKFMVKNNHET----HYNEGEKESEY-DDYRNEDGDENENNKIH-</t>
  </si>
  <si>
    <t>---------KHHYKKSNVTYKT--------TII-----DLLDDTKISREDKLNEITIVF-</t>
  </si>
  <si>
    <t>----------DSVFPK--------------LEGDK-V-TFIGST----------FIK---</t>
  </si>
  <si>
    <t>-----------------HGQD-EPYLNHCIALDTCDK-----------------------</t>
  </si>
  <si>
    <t>------------QGAEIEC-YSKEK-DVLLA---WTKLI-QRENPDI-IIG-YNIFGF--</t>
  </si>
  <si>
    <t>KFLK--------------------LSRNKNELCGEQ------------------------</t>
  </si>
  <si>
    <t>I-KMNGR-----IQID----------------LYNYFRRS-Y-NLTS--------YKLDY</t>
  </si>
  <si>
    <t>VSGYFIGDKVKKIEYQ--------------------------------------------</t>
  </si>
  <si>
    <t>----------------DEIT-IIHSKNLVGL---KDGNFIHFEEIG---HSSEYYDN---</t>
  </si>
  <si>
    <t>GAKF-EVIDV-----------------DQEKNTFKIL------------------SKVTP</t>
  </si>
  <si>
    <t>DMKK---------------MVKWCLAKDD---------V---------------------</t>
  </si>
  <si>
    <t>-------------------------SPQDI-------FRMTNE-----------------</t>
  </si>
  <si>
    <t>-GPSE------------------------------------RAVIA--------------</t>
  </si>
  <si>
    <t>EFVEMSKICSVPIDFLVMRGQGIKLFSFVAKQCREA--------NT--------------</t>
  </si>
  <si>
    <t>-LIPVLEKK---------------------------------------------------</t>
  </si>
  <si>
    <t>---------------------------------------D-D------------------</t>
  </si>
  <si>
    <t>YLD---------------------EPVA-CVDY---------------------------</t>
  </si>
  <si>
    <t>IKE-------TGEKDA-S------GNFVYD-NL--------P--------GYKYVD----</t>
  </si>
  <si>
    <t>YEYRRK---------------------------------------------TPKGA----</t>
  </si>
  <si>
    <t>----------AV----------------KTK-VG-----------SK-------------</t>
  </si>
  <si>
    <t>---------------MC-----------------RFAQ----------------------</t>
  </si>
  <si>
    <t>----------------------------------------FPNGEL--------------</t>
  </si>
  <si>
    <t>GKIKIIE-----------------------------------------------TQSI--</t>
  </si>
  <si>
    <t>--------------QSMEDTYN----------------------------DF-MKNV---</t>
  </si>
  <si>
    <t>-----------------LDK-------RQL--------AIK-------------------</t>
  </si>
  <si>
    <t>-----------NSLYGQCGART----------SSFYEKDVAASTTATGR-----------</t>
  </si>
  <si>
    <t>-------------------------KLLTYGKRIIEEVYGDRIC----------------</t>
  </si>
  <si>
    <t>-------------ETQ-YG-----------------------------------------</t>
  </si>
  <si>
    <t>--------KVHSHAEYIYGD----------------------------------------</t>
  </si>
  <si>
    <t>M-----------------------------------------------------------</t>
  </si>
  <si>
    <t>---------------------------SFKLTDPET------------------------</t>
  </si>
  <si>
    <t>AKEA---------G-ELATKFLKA------------------------------------</t>
  </si>
  <si>
    <t>MLYE---------------NDP-EVCYRKSMG-------IVLKRRDNAPIVKDV-YGGII</t>
  </si>
  <si>
    <t>DILM----------KD----------QD--------------------------------</t>
  </si>
  <si>
    <t>---------------------------VNK-AIEF-------------TKTCLNDIV---</t>
  </si>
  <si>
    <t>---------------EEKYP----------------------------------------</t>
  </si>
  <si>
    <t>--LDKLIITK-SLR----------------------------------------------</t>
  </si>
  <si>
    <t>------------------------------------------A--FYKNPLQ--------</t>
  </si>
  <si>
    <t>----------------------------IAHKVLADRMGKRD-PGNKPG------PGD--</t>
  </si>
  <si>
    <t>---------------KGPVKL-----------------QGEKIEH---------PDYI--</t>
  </si>
  <si>
    <t>---------IEHN------------------------LKPD-------------FTH---</t>
  </si>
  <si>
    <t>------YI-----TN------------------QIMKPVQQVFAL---------------</t>
  </si>
  <si>
    <t>--VLEDIP-S----------YKKHK-----------------------------------</t>
  </si>
  <si>
    <t>---------KQLGL--------KIKNIKQRYKDNIE------------------------</t>
  </si>
  <si>
    <t>---------------------------------------KQIQYEQKHRNNEVK------</t>
  </si>
  <si>
    <t>-KLIFD------------ESLV--------------------------------------</t>
  </si>
  <si>
    <t>------------------------------KCNNVRNN----------------------</t>
  </si>
  <si>
    <t>------------------------------------QK---------------PI-----</t>
  </si>
  <si>
    <t>-------------------S-L------------------------FFH-----------</t>
  </si>
  <si>
    <t>----------------------------------------ELKQEVEL------------</t>
  </si>
  <si>
    <t>-----------------------EPELKQEV-----------------------------</t>
  </si>
  <si>
    <t>-------------------------EPEPEKKTIKKT-----------------------</t>
  </si>
  <si>
    <t>-------------------------------------------IKTIIT-----------</t>
  </si>
  <si>
    <t>--------------KLYDY-----------------------------------------</t>
  </si>
  <si>
    <t>----------------------------------------------NAYDGY--------</t>
  </si>
  <si>
    <t>--------------------------------YIMQLFGINS-NGTSTCIFIEDF-----</t>
  </si>
  <si>
    <t>--------APFF---YILV--G--------------------DNW-----I---------</t>
  </si>
  <si>
    <t>DS----------DRTMFIYYLKA-----KLGN----------------------------</t>
  </si>
  <si>
    <t>----------YYEDSIVDSKLIK----RKKLYG----------F----------------</t>
  </si>
  <si>
    <t>----DNNK-LHTFIKIY---------FKNTLAYN----KTKNLFYTLD------------</t>
  </si>
  <si>
    <t>------------KKTN---EKKLKE--------E----GILYDNINCYLYEA--------</t>
  </si>
  <si>
    <t>-----DIPPLLKFFH-IKKIQPCNW------IMIPLIKLK-------RS----KN---K-</t>
  </si>
  <si>
    <t>ISH--C-TFEYFIS-Y----------K------------------DIH-KV-------N-</t>
  </si>
  <si>
    <t>---RDD------IV----KYNICSFDIEAS-S---------SH-----G-DF--------</t>
  </si>
  <si>
    <t>LQNDINTAFGYGNS----------VYIDKVYTKS------------KEIKKDYLDILFN-</t>
  </si>
  <si>
    <t>-------NLINYIPILD---KNNIEL---------LEIDETDSDSDYESDSDIDDTK---</t>
  </si>
  <si>
    <t>--------YKKKKVIKH--YKD------TKNLL-----EILKDEKCEYETKILELNKGL-</t>
  </si>
  <si>
    <t>----------TKFYPE--------------LEGDK-V-TFIGLS----------FLR---</t>
  </si>
  <si>
    <t>-----------------YTED-KPYKKYIIVKGGCKI-----------------------</t>
  </si>
  <si>
    <t>-----------------------------PDKYKEW------------------------</t>
  </si>
  <si>
    <t>---------AIDNNVLVIT-KNTER-EVLLT---FTKII-QQENPHI-ITG-YNINGF--</t>
  </si>
  <si>
    <t>EFAK--------------------LSRNINEICLKE------------------------</t>
  </si>
  <si>
    <t>Y-RMPGR-----IILD----------------MCIVFRRE-F-TLGS--------YKLDY</t>
  </si>
  <si>
    <t>VSSHFISDKIKSSKID--------------------------------------------</t>
  </si>
  <si>
    <t>----------------GNNT-KIYSKNLSGL---TIGCFVKLEEQL---YSTSYYKD---</t>
  </si>
  <si>
    <t>GKKF-EVLDI-----------------NNEDSYFIIN------------------SAEEL</t>
  </si>
  <si>
    <t>DINK---------------KMSWGLAKDD---------V---------------------</t>
  </si>
  <si>
    <t>-------------------------SPQEI-------FTLTNG-----------------</t>
  </si>
  <si>
    <t>-SDYD------------------------------------RWIVA--------------</t>
  </si>
  <si>
    <t>EKNEMANLVNVPFNFLLERGQGIKLQSYVSLKCDEK--------DT--------------</t>
  </si>
  <si>
    <t>-LMPVLSKH---------------------------------------------------</t>
  </si>
  <si>
    <t>---------------------------------------IED------------------</t>
  </si>
  <si>
    <t>YLE---------------------DPIA-CVDY---------------------------</t>
  </si>
  <si>
    <t>IKE-------TGYVDE-D------NVHIYD-NL--------P--------DYKYVD----</t>
  </si>
  <si>
    <t>YLWKRA---------------------------------------------TAKSA----</t>
  </si>
  <si>
    <t>----------VK----------------KVI-VG-----------YK-------------</t>
  </si>
  <si>
    <t>---------------IC-----------------RFAQ----------------------</t>
  </si>
  <si>
    <t>----------------------------------------FSNGK---------------</t>
  </si>
  <si>
    <t>-------AIMPS-ILEELLLARKINK----------------------------------</t>
  </si>
  <si>
    <t>---KLMA-----------------------------------------------KED---</t>
  </si>
  <si>
    <t>---------------------D----------------------------PF-KKNL---</t>
  </si>
  <si>
    <t>-----------------YDK-------RQL--------AIK-------------------</t>
  </si>
  <si>
    <t>-----------NSLYGQSGAKT----------SAFYDKDVAASTTAIGR-----------</t>
  </si>
  <si>
    <t>-------------------------KLLFYAKDVIEECYNDIII----------------</t>
  </si>
  <si>
    <t>-------------KVSDGT-----------------------------------------</t>
  </si>
  <si>
    <t>--------NVKVKAECVYGD----------------------------------------</t>
  </si>
  <si>
    <t>---------------------------KFNLRDIQE------------------------</t>
  </si>
  <si>
    <t>AKQA---------G-ALATMFLKK------------------------------------</t>
  </si>
  <si>
    <t>MLYE---------------EDP-NVCKLKSMG-------NVLKRRDNAPIVKDI-YGGVI</t>
  </si>
  <si>
    <t>NIIM----------LQ----------KN--------------------------------</t>
  </si>
  <si>
    <t>---------------------------IPK-SILF-------------LNKCIEKLL---</t>
  </si>
  <si>
    <t>---------------ENEYD----------------------------------------</t>
  </si>
  <si>
    <t>--IDKLTVVK-ALR----------------------------------------------</t>
  </si>
  <si>
    <t>------------------------------------------G--YYKNPKQ--------</t>
  </si>
  <si>
    <t>----------------------------IAHKVLADRIGLRD-SGNKPK------AGD--</t>
  </si>
  <si>
    <t>------------------------RIPYVY------------IVN---------------</t>
  </si>
  <si>
    <t>---------------KNKTAL-----------------QGEKIET---------PQYV--</t>
  </si>
  <si>
    <t>---------IQHK------------------------LKID-------------YGH---</t>
  </si>
  <si>
    <t>------YL-----TN------------------QIMKPLLQLYAL---------------</t>
  </si>
  <si>
    <t>--VLTQLK-E----------FKIREESI----------------------KFVGE-----</t>
  </si>
  <si>
    <t>-NKKNILWETKL------------KNLKDKWSDELK------------------------</t>
  </si>
  <si>
    <t>---------------------------------------YNKKLE-ELKHKEIK------</t>
  </si>
  <si>
    <t>-ELLFD------------KYIK--------------------------------------</t>
  </si>
  <si>
    <t>------------------------------KIK---------------------------</t>
  </si>
  <si>
    <t>-------------------------------MKAKPT-----------------------</t>
  </si>
  <si>
    <t>-------------------------------------------VKTKSY-----------</t>
  </si>
  <si>
    <t>--------------KLYDF-----------------------------------------</t>
  </si>
  <si>
    <t>----------------------------------------------NVYDGF--------</t>
  </si>
  <si>
    <t>--------------------------------FIIQMFGINV-AGETVSLIVEDF-----</t>
  </si>
  <si>
    <t>--------NPFY---YIKV--G--------------------DDW-----G---------</t>
  </si>
  <si>
    <t>ES----------DRAEFIAHIKN-----KLGA----------------------------</t>
  </si>
  <si>
    <t>----------YYEDSIVASKLVK----RHKLYG----------F----------------</t>
  </si>
  <si>
    <t>----DDNK-LHTFIKIS---------FTNTGAYN----RAKKMFY-VD------------</t>
  </si>
  <si>
    <t>------------STVDGVFKRELIP--------D----GYLYEETKCYLYEA--------</t>
  </si>
  <si>
    <t>-----NIPPLLKLFH-IQEISPSGW------IQIQSDKIT-------KM----RQ---K-</t>
  </si>
  <si>
    <t>STH--C-AYEYITS-Y----------K------------------HLK-KA-------D-</t>
  </si>
  <si>
    <t>---KDD------IV----KYSICSFDIEAS-S---------SH-----G-DF--------</t>
  </si>
  <si>
    <t>FKKLIDAGYGYERC----------PDIATVYPKL------------KNISKEQLDNIFS-</t>
  </si>
  <si>
    <t>A-----AFHKRHKKVKK--YHK------TANLL-----QIIHDDKCENDTKLFELNKAL-</t>
  </si>
  <si>
    <t>----------TKFYPE--------------LEGDM-V-TFIGMT----------FLN---</t>
  </si>
  <si>
    <t>-----------------YSEK-KPHTRYIIVKGGCEV-----------------------</t>
  </si>
  <si>
    <t>-----------------------------PEKYKSW------------------------</t>
  </si>
  <si>
    <t>---------VLENNVKIIE-KTTEK-GVLLE---FTKIM-TLENPHI-VTG-YNINGF--</t>
  </si>
  <si>
    <t>DFLK--------------------LSKNIDEVCMTK------------------------</t>
  </si>
  <si>
    <t>I-NMPGR-----IIVD----------------MCVVFRRE-Y-TLSS--------NKLDY</t>
  </si>
  <si>
    <t>VSSYFISDSVKKIDVDKE------------------------------------------</t>
  </si>
  <si>
    <t>----------------NNQT-RIYSKNLTGL---TVGCYVKFDEVS---HSTNNYKK---</t>
  </si>
  <si>
    <t>GQKY-EILDI-----------------NLDTASFLID------------------SAEEL</t>
  </si>
  <si>
    <t>DLKK--------------YKINWGLAKDD---------V---------------------</t>
  </si>
  <si>
    <t>-------------------------SVQEI-------FELANK-----------------</t>
  </si>
  <si>
    <t>-SDID------------------------------------RFTVG--------------</t>
  </si>
  <si>
    <t>DKVEMSNLCDVPLNFLLQRGQGIKLQSYVSKKCGEK--------NT--------------</t>
  </si>
  <si>
    <t>-LMPIVEKN---------------------------------------------------</t>
  </si>
  <si>
    <t>---------------------------------------LND------------------</t>
  </si>
  <si>
    <t>YLE---------------------DPVA-CVDY---------------------------</t>
  </si>
  <si>
    <t>IHS-------TGEKDA-D------ENFIYD-NL--------P--------NYTYVD----</t>
  </si>
  <si>
    <t>YEYLRK---------------------------------------------TPKAA----</t>
  </si>
  <si>
    <t>----------EK----------------KTV-VG-----------YK-------------</t>
  </si>
  <si>
    <t>----------------------------------------FPKGK---------------</t>
  </si>
  <si>
    <t>-------AIMPA-ILEDLLSARKATK----------------------------------</t>
  </si>
  <si>
    <t>---KLMG-----------------------------------------------KEE---</t>
  </si>
  <si>
    <t>-----------------YDK-------RQL--------SIK-------------------</t>
  </si>
  <si>
    <t>-----------NSLYGQCGART----------SAFYEKDVAASCTAIGR-----------</t>
  </si>
  <si>
    <t>-------------------------KLLFYGKDVIEGCYNNVEI----------------</t>
  </si>
  <si>
    <t>-------------TLSDGV-----------------------------------------</t>
  </si>
  <si>
    <t>--------KVVTKAECVYGD----------------------------------------</t>
  </si>
  <si>
    <t>---------------------------KFNLKTPEG------------------------</t>
  </si>
  <si>
    <t>AKQA---------G-ELATKFLKK------------------------------------</t>
  </si>
  <si>
    <t>MLYE---------------NDP-EYCKLKSMG-------NVLKRRDNAPIVKDI-YGGVV</t>
  </si>
  <si>
    <t>GILM----------KD----------KS--------------------------------</t>
  </si>
  <si>
    <t>---------------------------LPK-SIKF-------------VKESVQNMI---</t>
  </si>
  <si>
    <t>---------------DEKYP----------------------------------------</t>
  </si>
  <si>
    <t>--IEKLLVTK-ALR----------------------------------------------</t>
  </si>
  <si>
    <t>----------------------------IAHKVLADRIGVRE-QGNKPG------AGD--</t>
  </si>
  <si>
    <t>------------------------RMNYAY------------IKN---------------</t>
  </si>
  <si>
    <t>---------------PNKKAL-----------------QGEKIET---------PEFI--</t>
  </si>
  <si>
    <t>---------KDNE------------------------LKLD-------------YGH---</t>
  </si>
  <si>
    <t>------YI-----TN------------------QIMKPLLQLYAL---------------</t>
  </si>
  <si>
    <t>--ELENIQ-E----------FKDKQFNI----------------------KEYNT-----</t>
  </si>
  <si>
    <t>-DKKVILWEEEI------------IKLKEKWPDPEK------------------------</t>
  </si>
  <si>
    <t>---------------------------------------YVKKYE-ELRCKEVK------</t>
  </si>
  <si>
    <t>-ALIFD------------KYLK--------------------------------------</t>
  </si>
  <si>
    <t>------------------------------GLK---------------------------</t>
  </si>
  <si>
    <t>----------------------------------------------MDI-----------</t>
  </si>
  <si>
    <t>----------------------------------------------CVWND---------</t>
  </si>
  <si>
    <t>--------------------------------FIIQMFGMKQ-NGQTVSVIVKGF-----</t>
  </si>
  <si>
    <t>--------RPFF---YVKV--G--------------------SSW-----N---------</t>
  </si>
  <si>
    <t>ER----------DRRNFLTQLKIELRTADAEDQYDRMKKEGKTPK-NRETGKAFSKPDWV</t>
  </si>
  <si>
    <t>EYRLNQNKPCYYEESLISSKLVK----KRKLYG----------F----------------</t>
  </si>
  <si>
    <t>----DAKK-EYNFVKLV---------FSNMSAFN----KVKNLWYK--------------</t>
  </si>
  <si>
    <t>--------------GKDWKKRRLHD--------------KVFLGTKTQLYEA--------</t>
  </si>
  <si>
    <t>-----KLPPLLRFFH-ITNISPTGW------VKL--LDYD-------AS----DF---K-</t>
  </si>
  <si>
    <t>LTD--C-DFNIMLH-Y----------N------------------KIK-PLH------D-</t>
  </si>
  <si>
    <t>---KED------PV----PLKICSFDIEAS-S---------SH-----G-DF--------</t>
  </si>
  <si>
    <t>---PLA--KKKYEKLACDILD--------------YW-----DEDCDEET----------</t>
  </si>
  <si>
    <t>LRNIILVAFNFMIDED--------NLIHEVFPKR-------------RITEDNLRKRING</t>
  </si>
  <si>
    <t>------MNLVKLTRYLHSDVKRGEKY----EYLC-YKPAKN-GNKEK-------------</t>
  </si>
  <si>
    <t>---------KGFLPINL-------------------------------------------</t>
  </si>
  <si>
    <t>--------------PE--------------LKGDV-V-TFIGSS----------FMK---</t>
  </si>
  <si>
    <t>-----------------MGDE-EPYLNHCISLNTCDN-----------------------</t>
  </si>
  <si>
    <t>------------DGSVIES-YANES-DVLLK---WRDLI-RKEKPHI-IVG-YNIFGF--</t>
  </si>
  <si>
    <t>EFLK--------------------ISKINDHPC---------------------------</t>
  </si>
  <si>
    <t>P-DIPGI-----VQLD----------------LYNYFRRQ-F-NFES--------YKLDN</t>
  </si>
  <si>
    <t>VSKELIGDGVKAVEVC--------------------------------------------</t>
  </si>
  <si>
    <t>----------------DGLT-KIESSNLTGL---KVGHYICLEEIQ---HCTDLYKE---</t>
  </si>
  <si>
    <t>GKKM-KVCKM-----------------GEK--CFYIE------------------GAEDP</t>
  </si>
  <si>
    <t>DMNK---------------KVRWCLAKDD---------V---------------------</t>
  </si>
  <si>
    <t>-------------------------TPEDI-------FRLSNE-----------------</t>
  </si>
  <si>
    <t>-GSTE------------------------------------RAIVA--------------</t>
  </si>
  <si>
    <t>GFIEMGNINTVPISFIVFRGQGIKLFSLIAKTCREN--------KM--------------</t>
  </si>
  <si>
    <t>-LMPVLKRDW--------------------------------------------------</t>
  </si>
  <si>
    <t>---------------------------------------RNK------------------</t>
  </si>
  <si>
    <t>YID---------------------DPVA-VVDY---------------------------</t>
  </si>
  <si>
    <t>IKE-------TGEKDR-D------GVFKYD-DL--------P--------EYEYVD----</t>
  </si>
  <si>
    <t>FKYLRK---------------------------------------------TEKSA----</t>
  </si>
  <si>
    <t>----------------------------------------FPNGEK--------------</t>
  </si>
  <si>
    <t>GEVVTIN-----------------------------------------------NADI--</t>
  </si>
  <si>
    <t>--------------VEITDTYN----------------------------DF-MKSV---</t>
  </si>
  <si>
    <t>-----------------FNQ-------RQL--------GFK-------------------</t>
  </si>
  <si>
    <t>-----------NSIYGQTGAMT----------SDFYDKDIAASTTATGR-----------</t>
  </si>
  <si>
    <t>-------------------------KLLMYAKRVLEEVYKDRIC----------------</t>
  </si>
  <si>
    <t>--------KFKVTCHVVYGD----------------------------------------</t>
  </si>
  <si>
    <t>---------------------------KFEIIDMEG------------------------</t>
  </si>
  <si>
    <t>AIEA---------G-ELATTMLKE------------------------------------</t>
  </si>
  <si>
    <t>ILYE---------------KNP-NKGKRKSMG-------IVLKRRDNAGVVKEI-YGGVI</t>
  </si>
  <si>
    <t>DILT----------KK----------GD--------------------------------</t>
  </si>
  <si>
    <t>---------------------------VVG-AVNF-------------VKECLQKLA---</t>
  </si>
  <si>
    <t>---------------NGEYS----------------------------------------</t>
  </si>
  <si>
    <t>--MKKLKITK-SLR----------------------------------------------</t>
  </si>
  <si>
    <t>------------------------------------------G--FYKNPAQ--------</t>
  </si>
  <si>
    <t>----------------------------IAHKVLADRMTKRD-PGNKPS------AGT--</t>
  </si>
  <si>
    <t>------------------------RIPYLY------------IVN---------------</t>
  </si>
  <si>
    <t>---------------KKA-KL-----------------QGNRIET---------PDFI--</t>
  </si>
  <si>
    <t>---------VKNN------------------------LKID-------------YAH---</t>
  </si>
  <si>
    <t>------YI-----TN------------------QIMKPLLQVFALD--------------</t>
  </si>
  <si>
    <t>-NVMRQIP-G----------INKFK-----------------------------------</t>
  </si>
  <si>
    <t>----LNSLKRKIQ-----------KMIETTAED--K------------------------</t>
  </si>
  <si>
    <t>---------------------------------------IYKKTE-DLKTKFVK------</t>
  </si>
  <si>
    <t>-GFLFD------------PILK--------------------------------------</t>
  </si>
  <si>
    <t>------------------------------KIKEKQKN----------------------</t>
  </si>
  <si>
    <t>------------------------------------DA---------------KKQF---</t>
  </si>
  <si>
    <t>------------------IS-S------------------------FFVLKK--------</t>
  </si>
  <si>
    <t>----------------------------------------------MKF-----------</t>
  </si>
  <si>
    <t>--------------QIVDWEV---------------------------------------</t>
  </si>
  <si>
    <t>----------------------------------------------SDVPET--------</t>
  </si>
  <si>
    <t>YL------------------------------YTVIVYGRTK-EGKSVCLKLTQF-----</t>
  </si>
  <si>
    <t>--------QPYF---YLKV--D----------------------------G---------</t>
  </si>
  <si>
    <t>IK----------DYTPHLSNISR-----HIIS--------------N-------------</t>
  </si>
  <si>
    <t>--------CFHLKREIQHIVIGK----KCDFYG----------F----------------</t>
  </si>
  <si>
    <t>----SANE-KKECVIVT---------FDSWRAMRS-------------------------</t>
  </si>
  <si>
    <t>------------------VASKLRSS------------AFKYQNKLITLYET--------</t>
  </si>
  <si>
    <t>-----RVEPLMRLLH-SREIKSTGW------VEIEDSKIE-------FE---------N-</t>
  </si>
  <si>
    <t>WGA--T-DICGTTS-Y----------K------------------NVD-PLE-----VDD</t>
  </si>
  <si>
    <t>------------IA----PMLMASFDIECT-V---------ESD--IFG-DF--------</t>
  </si>
  <si>
    <t>IQIVIFYTLGMKDV--------------------------------EGRFADTVNWMNRN</t>
  </si>
  <si>
    <t>NASCLTQRVLG-----SVRTKETLSTTALYNYLY--------------------------</t>
  </si>
  <si>
    <t>--------------------------IIVDDLFSYATGDIKYEDKSQPSGPVEQIDSLL-</t>
  </si>
  <si>
    <t>----------SKTLPP--------------LKGDP-V-IQIGVT----------CNT---</t>
  </si>
  <si>
    <t>-----------------IGNT-ECSSKWISVLNSCDH-----------------------</t>
  </si>
  <si>
    <t>------------PGVEVES-YETEE-EVIMA---FARYI-RKSSPDL-ITG-YNIFGF--</t>
  </si>
  <si>
    <t>KFLR-------------------TISRLNT------------------------------</t>
  </si>
  <si>
    <t>L-DIPGI-----VSLD----------------LMKVVMRD-H-KLES--------YKLDN</t>
  </si>
  <si>
    <t>VAQHFT------------------------------------------------------</t>
  </si>
  <si>
    <t>GEK---------------------------------------------------------</t>
  </si>
  <si>
    <t>--------------------------KRD---------V---------------------</t>
  </si>
  <si>
    <t>-TSKD------------------------------------RSVVA--------------</t>
  </si>
  <si>
    <t>----------------------------D-------------------------------</t>
  </si>
  <si>
    <t>NAIAMASMSHVPISYIFLRGQGVKILSLVSYYCRKR--------DM--------------</t>
  </si>
  <si>
    <t>-IIKDLPKKLEEPDED----------APLW------------------------------</t>
  </si>
  <si>
    <t>------------------------------------------KRN---------------</t>
  </si>
  <si>
    <t>----------------RYRQEAEAQEFM---------EKPDD------------------</t>
  </si>
  <si>
    <t>YVD---------------------DPVA-VCDY---------------------------</t>
  </si>
  <si>
    <t>-ASLY-------------------PSSILSHGISPDAWVK--------------------</t>
  </si>
  <si>
    <t>--------------DD-S-MR----------KH--------P--------DYTYKD----</t>
  </si>
  <si>
    <t>Y--------------------------------------------------EGKGD----</t>
  </si>
  <si>
    <t>-----------------D----------KKV-VG-----------ME-------------</t>
  </si>
  <si>
    <t>---------------TL-----------------TFAIKKNVD-----------------</t>
  </si>
  <si>
    <t>----------------------------------V-----YDPNTL--------------</t>
  </si>
  <si>
    <t>-------SIIPA-IERILLMGRKSIR----------------------------------</t>
  </si>
  <si>
    <t>---KKAKHKK------------------VVTKDGTEY-------------VGDYSEL---</t>
  </si>
  <si>
    <t>---------------------D-GDRIKI---NGVVLKNDDVVSVNNFYNQF-MQDV---</t>
  </si>
  <si>
    <t>-----------------LDG-------QQL--------SYK-------------------</t>
  </si>
  <si>
    <t>--------------LLA-------------------------------------------</t>
  </si>
  <si>
    <t>-----------NSVYGQLGART----------SDIRDMKLAACVTSVGR-----------</t>
  </si>
  <si>
    <t>-------------------------SLIISAKDFIH------------------------</t>
  </si>
  <si>
    <t>--------------------------------------------KNG-------------</t>
  </si>
  <si>
    <t>-------------GTVVYGD----------------------------------------</t>
  </si>
  <si>
    <t>---------------------------TFPVYDPVT------------------------</t>
  </si>
  <si>
    <t>TQYI---------GKEFTKTILPP------------------------------------</t>
  </si>
  <si>
    <t>NMYE---------------EDP-EKFKLKYMG-------VVLKRRDNAPIVRRV-ISTLL</t>
  </si>
  <si>
    <t>DVLL----------NE----------ID--------------------------------</t>
  </si>
  <si>
    <t>---------------------------VTK-ALDN-------------MLKVIDDVV---</t>
  </si>
  <si>
    <t>---------------NANVP----------------------------------------</t>
  </si>
  <si>
    <t>--IEELVITK-TLR----------------------------------------------</t>
  </si>
  <si>
    <t>------------------------------------------A--EYKDRSR--------</t>
  </si>
  <si>
    <t>----------------------------IAHAVLAQRIGERD-PGNAPQ------IND--</t>
  </si>
  <si>
    <t>------------------------RIPMVH------------IRVP--------------</t>
  </si>
  <si>
    <t>-------------AKKGEKIL-----------------QGDKVED---------PEYV--</t>
  </si>
  <si>
    <t>---------QSAG------------------------LEPD-------------MEY---</t>
  </si>
  <si>
    <t>------YL-----EN------------------QIMNPTIQMLAA---------------</t>
  </si>
  <si>
    <t>--LLEKIP-G----------YNKPIGY---------------------------------</t>
  </si>
  <si>
    <t>-------YERKT------------DEYTLQYKNDTSRNLTEETI----------------</t>
  </si>
  <si>
    <t>------------------------------------RKKVREAID-KIRQEEVR------</t>
  </si>
  <si>
    <t>-KLVFE------------PKLA--------------------------------------</t>
  </si>
  <si>
    <t>------------------------------KIRNKYKG----------------------</t>
  </si>
  <si>
    <t>------------------------------------QL------------DLTTM-----</t>
  </si>
  <si>
    <t>-------------------G-F------------------------FFKM----------</t>
  </si>
  <si>
    <t>-------------------------------------------SDYLLI-----------</t>
  </si>
  <si>
    <t>--------------YLLSW-----------------------------------------</t>
  </si>
  <si>
    <t>----------------------------------------------YECDE---------</t>
  </si>
  <si>
    <t>--------------------------------HRIYAFGRTE-DKKSVCLRIDHF-----</t>
  </si>
  <si>
    <t>--------FPRC---YALC--P--------------------DTW---TNP---------</t>
  </si>
  <si>
    <t>KE----------DLKAMMADIKM-----PLYKYFA-------------------------</t>
  </si>
  <si>
    <t>-------------------KIVK----RKDFYG----------F----------------</t>
  </si>
  <si>
    <t>----QGEK-YKYYILIH---------ALSLRILDT-------------------------</t>
  </si>
  <si>
    <t>------------------------------IITYL-------AGNGFKLYEN--------</t>
  </si>
  <si>
    <t>-----TIPTVLRLFH-NLNIDSCGW------VQILKSNLT-------PL--------DD-</t>
  </si>
  <si>
    <t>VST--C-DESYCCD-W----------N------------------FIE-KGI-----TS-</t>
  </si>
  <si>
    <t>---KDFYH------------VICSYDIECI-S---------ST-----G-AF--------</t>
  </si>
  <si>
    <t>---PQA--INI-------------------------------------------------</t>
  </si>
  <si>
    <t>--------------------------------GDK-V-IQIGLV----------FSD---</t>
  </si>
  <si>
    <t>------------------NRE-NIISKHLLCLDKCTS-----------------------</t>
  </si>
  <si>
    <t>-----------------------------C------------------------------</t>
  </si>
  <si>
    <t>------------TDFKVKC-FKTED-QLLLY---FTKLI-LRADPDV-ILG-YNILQF--</t>
  </si>
  <si>
    <t>QVAR--------------------LSRLQE------------------------------</t>
  </si>
  <si>
    <t>Y-ECHGR-----IKID----------------LLKVVQKD-Y-KLSQ--------YSLDA</t>
  </si>
  <si>
    <t>VSKNFLKKPIDCISYDK-------------TL----------------------------</t>
  </si>
  <si>
    <t>SSKI-QVQSV-----------------DESDYSFYIC------------------EEVQT</t>
  </si>
  <si>
    <t>AYSH------------------WSVVKDD---------L---------------------</t>
  </si>
  <si>
    <t>-------------------------SASDM-------FKLYDK-----------------</t>
  </si>
  <si>
    <t>-GPEE------------------------------------RLIIG--------------</t>
  </si>
  <si>
    <t>NHIAMANVCNVPLHYLFTRGQGIKSLSLVAKECKAK--------KY--------------</t>
  </si>
  <si>
    <t>-VIPTLGKAKSH------------------------------------------------</t>
  </si>
  <si>
    <t>YR----------------------EPIV-VLDY---------------------------</t>
  </si>
  <si>
    <t>-SSLY-------------------PSSMISANISHETIVE--------------------</t>
  </si>
  <si>
    <t>--------------DD-Q----------YL-NL--------S--------GYVYKS----</t>
  </si>
  <si>
    <t>---------------VSY------------------------F-----------------</t>
  </si>
  <si>
    <t>--------------------------------------------------QDEKKH----</t>
  </si>
  <si>
    <t>---------------TC-----------------IFAK----------------------</t>
  </si>
  <si>
    <t>----------------------------------------SRNNTM--------------</t>
  </si>
  <si>
    <t>-------GILPH-VLHSLIQERNKTK----------------------------------</t>
  </si>
  <si>
    <t>---TMLS-----------------------------------------------KET---</t>
  </si>
  <si>
    <t>---------------------N----------------------------PF-KKAL---</t>
  </si>
  <si>
    <t>-----------------LNG-------IQL--------ALK-------------------</t>
  </si>
  <si>
    <t>-----------NSLYGQLGAPT----------SPLYHLQMASSTTALGR-----------</t>
  </si>
  <si>
    <t>-------------------------DMIHIGMRFIEEEFKSLVEYLCS------------</t>
  </si>
  <si>
    <t>------------ALKSGYNDVLCELDRYQIDP----------------------------</t>
  </si>
  <si>
    <t>SFLD----DYNFAPSVVYGDSV------------TGSTIIPLKF-GICPK-VYYIVSIVD</t>
  </si>
  <si>
    <t>IVDIFPHLF----YGGWAPYR---------------------------------------</t>
  </si>
  <si>
    <t>QIMVRTE---HRVMTWDGTQWVYIMRLIRHLISPTKKRIFEVKTKSFSIEMTQD----HA</t>
  </si>
  <si>
    <t>FVAFNNYMLLTPKMAYTKKEPLLHGIPP--------------------------------</t>
  </si>
  <si>
    <t>-----D-NMKSI------------------------------------------------</t>
  </si>
  <si>
    <t>--YITKHSVDEVIIPY--V-----------PLLSIEH-----------------------</t>
  </si>
  <si>
    <t>------------------------------ILSLKELKDPNK------------------</t>
  </si>
  <si>
    <t>-----------------RYVYDLETS----------------------------------</t>
  </si>
  <si>
    <t>---------------------------RLNVTGR--------------------------</t>
  </si>
  <si>
    <t>GKLI---------S-LFIRPRLSW------------------------------------</t>
  </si>
  <si>
    <t>YKYE---------------NSP-DHYQFDSMG-------IVLKKRDNANITKKF-IKGII</t>
  </si>
  <si>
    <t>DRML----------NM----------CE--------------------------------</t>
  </si>
  <si>
    <t>---------------------------SEE-IKKY-------------VSCEISAIL---</t>
  </si>
  <si>
    <t>---------------TGKYP----------------------------------------</t>
  </si>
  <si>
    <t>--INDFVTSK-TLN----------------------------------------------</t>
  </si>
  <si>
    <t>------------------------------------------D--KYRNPKR--------</t>
  </si>
  <si>
    <t>----------------------------IAHAVLVERMTLRD-PGSAPP------VNS--</t>
  </si>
  <si>
    <t>------------------------RIQYVH------------IIN---------------</t>
  </si>
  <si>
    <t>---------------KSSYCL-----------------LGDKIED---------RDYV--</t>
  </si>
  <si>
    <t>---------IRHN------------------------LPID-------------YNY---</t>
  </si>
  <si>
    <t>------YL-----AR------------------QIKTPALRFLNL---------------</t>
  </si>
  <si>
    <t>--IFDH-P-E----------K---------------------------------------</t>
  </si>
  <si>
    <t>---LFE------------DTIK--------------------------------------</t>
  </si>
  <si>
    <t>--------------------------------KNIEKN----------------------</t>
  </si>
  <si>
    <t>------------------------------------NTLD----------DMWST-----</t>
  </si>
  <si>
    <t>--------------------------------------------------NR--------</t>
  </si>
  <si>
    <t>PVH--------------------------------------------</t>
  </si>
  <si>
    <t>---------------------------------------------MVVF-----------</t>
  </si>
  <si>
    <t>--------------QALTW-----------------------------------------</t>
  </si>
  <si>
    <t>----------------------------------------------ESRDTD--------</t>
  </si>
  <si>
    <t>--------------------------------HLISIFGKTE-EGKSVCLT-TAF-----</t>
  </si>
  <si>
    <t>--------TPYF---FIKL--P--------------------EKI-----D---------</t>
  </si>
  <si>
    <t>AG----------KIRRIYNILDEKC-----------------------------------</t>
  </si>
  <si>
    <t>------------KDSLVAYSVMK----SKDVWG----------F----------------</t>
  </si>
  <si>
    <t>----QNNE-EFVFMKVN---------FKHLQARR----LVDSF-----------------</t>
  </si>
  <si>
    <t>------------------LRKPLDR-----TPELFNI----FGVRNVKVYES--------</t>
  </si>
  <si>
    <t>-----NLDPVLRLMH-RTGIQSTGW------LDTGDKC----------------I-RSH-</t>
  </si>
  <si>
    <t>LAR--V-DMDLFCNDW----------T------------------TLK-PV-------A-</t>
  </si>
  <si>
    <t>---RDD------IA----PFVVASVDIECN-S---------ST-----G-KF--------</t>
  </si>
  <si>
    <t>---PDA--DVT-------------------------------------------------</t>
  </si>
  <si>
    <t>--------------------------------GDA-C-FQIAIS----------LCK---</t>
  </si>
  <si>
    <t>-----------------FGSD-EPYDKTCLCYKKTDP-----------------------</t>
  </si>
  <si>
    <t>----------------------------NL------------------------------</t>
  </si>
  <si>
    <t>------------EGSTIRS-YETER-EMLEA---FQKYL-HTKDVDI-ITG-WNIFGF--</t>
  </si>
  <si>
    <t>EFFN--------------------LGKLRDTE----------------------------</t>
  </si>
  <si>
    <t>L-PMPGR-----FIFD----------------MFHEVKKG-Y-KLDS--------YKLDN</t>
  </si>
  <si>
    <t>VSKLYLG-----------------------------------------------------</t>
  </si>
  <si>
    <t>------------------------------------------D-----------------</t>
  </si>
  <si>
    <t>-------------------------QKID---------M---------------------</t>
  </si>
  <si>
    <t>-DPVK------------------------------------LREVA--------------</t>
  </si>
  <si>
    <t>NMVEMAKATWVPANFLVERGQQIKVFSQLTKKAREL--------GF--------------</t>
  </si>
  <si>
    <t>-MVPTIRYG---------------------------------------------------</t>
  </si>
  <si>
    <t>--------------------AIP------------------E------------------</t>
  </si>
  <si>
    <t>YY----------------------TPIT-ALDF---------------------------</t>
  </si>
  <si>
    <t>-EALY-------------------PSIMMAHNLCYSSYVM--------------------</t>
  </si>
  <si>
    <t>--------------DEKR----------YG-SV--------P--------G---------</t>
  </si>
  <si>
    <t>----------ETF---------------NIG-DR--------------------------</t>
  </si>
  <si>
    <t>---------------TY-----------------KFAQ----------------------</t>
  </si>
  <si>
    <t>----------------------------------------D-------------------</t>
  </si>
  <si>
    <t>-----VPSLLPA-ILAELKQFRKQAK----------------------------------</t>
  </si>
  <si>
    <t>---RDMAAA-----------------------------------------------T---</t>
  </si>
  <si>
    <t>---------------------G----------------------------F--MKEV---</t>
  </si>
  <si>
    <t>-----------------YNG-------KQL--------AYK-------------------</t>
  </si>
  <si>
    <t>--------------VSM-------------------------------------------</t>
  </si>
  <si>
    <t>-----------NSVYGFTGAGK-GILPCV---------PIASTTTSKGR-----------</t>
  </si>
  <si>
    <t>-------------------------SMIEETKNYVEKNFPG-------------------</t>
  </si>
  <si>
    <t>LVD--L----------YEVRDDG-------------------------------------</t>
  </si>
  <si>
    <t>KEIAEID---A--EVWTECGFTPIKQIVRHKTTK-N--IHRVLTHTGIVDVTED----HS</t>
  </si>
  <si>
    <t>LLL-KNKEMIKPSEVCLGT-ELLHGNSLEAFG-----------------------ET-HT</t>
  </si>
  <si>
    <t>DVT---------------PEEAKVMGFFFGDGSCGHY---------DGKYTWALNNAD--</t>
  </si>
  <si>
    <t>LFYNEH-KEKVVPPCILGAPLHIVQSFWDGYYMA-----------DGDK------DVHGY</t>
  </si>
  <si>
    <t>TRMDIKGKEGSMGMYI--LGRRLGY------NVSMNTR----------------------</t>
  </si>
  <si>
    <t>---TDKPDIFRQ---TWTTSSQRKNP--IAIKKLELL-----------------------</t>
  </si>
  <si>
    <t>----------GETEG---YVYDLTTG----------------------------------</t>
  </si>
  <si>
    <t>---------------------------EFDVGDRK-------------------------</t>
  </si>
  <si>
    <t>GERA---------A-EECSALFKK------------------------------------</t>
  </si>
  <si>
    <t>KLWTQG-----------KDGKM-HMDYIDIKG-------LQVVRRDNTPHVREV-CKELL</t>
  </si>
  <si>
    <t>DVVL----------TS----------SD--------------------------------</t>
  </si>
  <si>
    <t>---------------------------PGP-PKEL-------------AKERAIELL---</t>
  </si>
  <si>
    <t>---------------SGDVP----------------------------------------</t>
  </si>
  <si>
    <t>--NDKLILSQ-GLS----------------------------------------------</t>
  </si>
  <si>
    <t>------------------------------------------D--TYKVGGKN---VS--</t>
  </si>
  <si>
    <t>---------------VTSA-DS--VNINQSHVQVVTKMRQRK-PGSEPQ------SGD--</t>
  </si>
  <si>
    <t>------------------------RVPYLL------------TKTQ--------------</t>
  </si>
  <si>
    <t>---------------DPKAKA------------------YEKAED---------PKYV--</t>
  </si>
  <si>
    <t>---------EEHG------------------------VPVD-------------YHY---</t>
  </si>
  <si>
    <t>------YF-----LN------------------KFLNPVCDLLDP---------------</t>
  </si>
  <si>
    <t>--LYE-NV-K----------EEIFGE--------------------------I-I-----</t>
  </si>
  <si>
    <t>-NRHKPPKPPKL------------PALST-------------------------------</t>
  </si>
  <si>
    <t>-------------------------------------------MKKDDLIAECQ------</t>
  </si>
  <si>
    <t>-RLGLE------------ETGT--------------------------------------</t>
  </si>
  <si>
    <t>--------------LAILRAR---------LKDAR-------------------------</t>
  </si>
  <si>
    <t>------------------------------------HG---------------SV-----</t>
  </si>
  <si>
    <t>-------------------E-D------------------------LFKNYELTQ-----</t>
  </si>
  <si>
    <t>-----------------SKD--ESS-----------------------------------</t>
  </si>
  <si>
    <t>--------TPYF---FIKL--P--------------------ENI-----T---------</t>
  </si>
  <si>
    <t>AP----------KIQRIYNILDEKC-----------------------------------</t>
  </si>
  <si>
    <t>----QNNE-EFAYMKVN---------FKHLQARR----LVDSF-----------------</t>
  </si>
  <si>
    <t>------------------LRKPLDR-----TPELFDI----FGVRNVKVYES--------</t>
  </si>
  <si>
    <t>LAR--V-DLDLFCNDW----------T------------------TLK-PV-------V-</t>
  </si>
  <si>
    <t>---PDA--NVP-------------------------------------------------</t>
  </si>
  <si>
    <t>------------EGSNILS-YDTER-EMLEA---FQKYL-HKSDVDI-ITG-WNIFGF--</t>
  </si>
  <si>
    <t>L-PMSGR-----FIFD----------------MFHEVKKG-Y-KLDS--------YKLDS</t>
  </si>
  <si>
    <t>--------------DEKK----------YG-AV--------P--------G---------</t>
  </si>
  <si>
    <t>----------ETF---------------KVG-DR--------------------------</t>
  </si>
  <si>
    <t>-----VPSLLPA-ILLELKQFRKQAK----------------------------------</t>
  </si>
  <si>
    <t>--------------ISM-------------------------------------------</t>
  </si>
  <si>
    <t>-----------NSVYGFTGAGK-GILPCV---------PIASTTTCKGR-----------</t>
  </si>
  <si>
    <t>-------------------------AMIEETKNYVEKNFPG-------------------</t>
  </si>
  <si>
    <t>-------------AKVRYGD----------------------------------------</t>
  </si>
  <si>
    <t>--NHKLILSQ-GLS----------------------------------------------</t>
  </si>
  <si>
    <t>---------------VTSK-ES--VNINQSHVQVVTKMRQRK-PGSEPQ------SGD--</t>
  </si>
  <si>
    <t>---------------DSKAKA------------------YEKAED---------PKYV--</t>
  </si>
  <si>
    <t>--LFE-NV-K----------DEIFGE--------------------------I-I-----</t>
  </si>
  <si>
    <t>-NQHKPPKPKRE------------PALST-------------------------------</t>
  </si>
  <si>
    <t>-------------------------------------------MKKDDLIAECK------</t>
  </si>
  <si>
    <t>-RLSLD------------ETGT--------------------------------------</t>
  </si>
  <si>
    <t>--------------LAVLRAR---------LKEAR-------------------------</t>
  </si>
  <si>
    <t>------------------------------------QG---------------SV-----</t>
  </si>
  <si>
    <t>-------------------E-D------------------------LFKKYELTQ-----</t>
  </si>
  <si>
    <t>-----------------SKN--ESSREDHADS----------------------------</t>
  </si>
  <si>
    <t>----------------------------------------------EARDSD--------</t>
  </si>
  <si>
    <t>--------------------------------HLVSIFGKTE-GGKSVCVT-TSF-----</t>
  </si>
  <si>
    <t>--------TPYF---FIKL--D--------------------LKT-----S---------</t>
  </si>
  <si>
    <t>KQ----------KIQEIYSTIDRKC-----------------------------------</t>
  </si>
  <si>
    <t>------------PECVLCYSMMK----SKDVWG----------F----------------</t>
  </si>
  <si>
    <t>----QNNE-EFMFMKVD---------FVNLQMRR----RVDSF-----------------</t>
  </si>
  <si>
    <t>------------------LKRPLEL-----SSGFF----------KAKVFES--------</t>
  </si>
  <si>
    <t>-----NLDPVLRLMH-RTGIQSTGW------LETGDNC----------------I-RSH-</t>
  </si>
  <si>
    <t>LAR--V-DIDLFCNDW----------T------------------TLK-PV-------A-</t>
  </si>
  <si>
    <t>---RDD------IA----PFVVASFDIECN-S---------ST-----G-KF--------</t>
  </si>
  <si>
    <t>--------------------------------DDA-C-FQIAVS----------LCT---</t>
  </si>
  <si>
    <t>-----------------FGSD-EPYERVCLCYKETD------------------------</t>
  </si>
  <si>
    <t>-------------GPDTIS-FDTEK-DMLEA---FQKYI-HEKDIDI-FTG-WNIFGF--</t>
  </si>
  <si>
    <t>EFFK--------------------MGKLKSQE----------------------------</t>
  </si>
  <si>
    <t>L-PMSGR-----FIFD----------------MFHEVKKG-Y-KLDS--------YSLNN</t>
  </si>
  <si>
    <t>VSKLYIG-----------------------------------------------------</t>
  </si>
  <si>
    <t>-DPVK------------------------------------LGEVA--------------</t>
  </si>
  <si>
    <t>NLLEMAKATWVPMCFLVERGQQIKVFSQLTKKAREL--------GF--------------</t>
  </si>
  <si>
    <t>--------------------TVT------------------S------------------</t>
  </si>
  <si>
    <t>-EALY-------------------PSIMMAHNLCYSSWVM--------------------</t>
  </si>
  <si>
    <t>--------------NEKE----------YG-NI--------P--------G---------</t>
  </si>
  <si>
    <t>---------------VTY------------------------------------------</t>
  </si>
  <si>
    <t>----------ETF---------------NVG-EK--------------------------</t>
  </si>
  <si>
    <t>----------------------------------------G-------------------</t>
  </si>
  <si>
    <t>-----VPSLLPS-ILLELKQFRKKAK----------------------------------</t>
  </si>
  <si>
    <t>---KDMATA-----------------------------------------------T---</t>
  </si>
  <si>
    <t>---------------------G----------------------------Y--MKEV---</t>
  </si>
  <si>
    <t>-----------NSVYGFTGAGK-GILPCV---------PIASTTTFKGR-----------</t>
  </si>
  <si>
    <t>-------------------------MMIEETKTYVEKNFPG-------------------</t>
  </si>
  <si>
    <t>KLWTKG-----------KDDQM-HMDYIDIKG-------LQVVRRDNTPHVREV-CKELL</t>
  </si>
  <si>
    <t>---------------------------PGP-PTEL-------------ARERAIELL---</t>
  </si>
  <si>
    <t>--NEKLILSQ-GLS----------------------------------------------</t>
  </si>
  <si>
    <t>------------------------------------------D--SYKVNGKS---VS--</t>
  </si>
  <si>
    <t>---------------INSD-ES--VGINQAHVQVVVKMRERK-PGSEPQ------SGD--</t>
  </si>
  <si>
    <t>------------------------RVPYLL------------TNTG--------------</t>
  </si>
  <si>
    <t>---------------DRKAKA------------------FEKSED---------PKFV--</t>
  </si>
  <si>
    <t>---------EENN------------------------IPVD-------------YHY---</t>
  </si>
  <si>
    <t>------YF-----EN------------------KFLNPVCDLLDP---------------</t>
  </si>
  <si>
    <t>--LFE-NT-K----------QEIFGE--------------------------I-I-----</t>
  </si>
  <si>
    <t>-DQHKPPKKKRE------------PALST-------------------------------</t>
  </si>
  <si>
    <t>-------------------------------------------MKKDQLIEECK------</t>
  </si>
  <si>
    <t>-RLGLD------------ETGK--------------------------------------</t>
  </si>
  <si>
    <t>--------------LVDLRGR---------LKEARLKR----------------------</t>
  </si>
  <si>
    <t>------------------------------------EE---------------SL-----</t>
  </si>
  <si>
    <t>-------------------E-D------------------------IFKNYTQSN-----</t>
  </si>
  <si>
    <t>-----------------I------------------------------------------</t>
  </si>
  <si>
    <t>---------------------------------------------MVFF-----------</t>
  </si>
  <si>
    <t>----------------------------------------------EARDED--------</t>
  </si>
  <si>
    <t>--------------------------------HLISIFGKTE-SGKSICVT-TSF-----</t>
  </si>
  <si>
    <t>--------TPYF---FIKL--D--------------------SRV-----S---------</t>
  </si>
  <si>
    <t>A-------------KELYKSIDEKC-----------------------------------</t>
  </si>
  <si>
    <t>------------PECVISYSVMD----SKDVWG----------F----------------</t>
  </si>
  <si>
    <t>----QNNQ-MFRFMKID---------FVNLQTRR----RVDYF-----------------</t>
  </si>
  <si>
    <t>------------------LRRPLHLY----SSGLF----------KAKVYES--------</t>
  </si>
  <si>
    <t>LAN--V-DIDLFCNDW----------T------------------TLT-PV-------N-</t>
  </si>
  <si>
    <t>---PDA--DVN-------------------------------------------------</t>
  </si>
  <si>
    <t>-----------------FGTD-EPYEKICLCYKNTS------------------------</t>
  </si>
  <si>
    <t>-------------GPDVRS-FDTER-EMLEA---FQKYI-QEKDVDI-ITG-WNIFGF--</t>
  </si>
  <si>
    <t>NFFK--------------------LGKLKDQS----------------------------</t>
  </si>
  <si>
    <t>F-PMSGR-----FVFD----------------MFHEVKKG-Y-KLDS--------YSLNN</t>
  </si>
  <si>
    <t>-------------------------QKLD---------M---------------------</t>
  </si>
  <si>
    <t>-DPDK------------------------------------LGEVA--------------</t>
  </si>
  <si>
    <t>NLLEMAKATWVPLCYLVERGQQIKVFSQLTKKAREM--------GF--------------</t>
  </si>
  <si>
    <t>-EALY-------------------PSIMMAHNLCYSTYVM--------------------</t>
  </si>
  <si>
    <t>--------------DEKN----------YG-NV--------P--------G---------</t>
  </si>
  <si>
    <t>----------ETF---------------EIG-DR--------------------------</t>
  </si>
  <si>
    <t>---------------KY-----------------KFAQ----------------------</t>
  </si>
  <si>
    <t>-----VESLLPS-ILLELKQFRKNAK----------------------------------</t>
  </si>
  <si>
    <t>---KDMAAA-----------------------------------------------T---</t>
  </si>
  <si>
    <t>---------------------G----------------------------S--MKEV---</t>
  </si>
  <si>
    <t>-----------NSVYGFTGAGK-GILPCV---------PIASTTTCRGR-----------</t>
  </si>
  <si>
    <t>-------------------------GMIDETKKYVEENFPG-------------------</t>
  </si>
  <si>
    <t>---------------------------PGP-PREL-------------AKERAIELL---</t>
  </si>
  <si>
    <t>--HEKLILSQ-SLS----------------------------------------------</t>
  </si>
  <si>
    <t>------------------------------------------D--TYKVDGKN---VS--</t>
  </si>
  <si>
    <t>---------------ITSP-ES--VNINQAHVQVVVKMRERK-PGSEPQ------SGD--</t>
  </si>
  <si>
    <t>------------------------RVPYLL------------TKTG--------------</t>
  </si>
  <si>
    <t>---------------DPKARA------------------FEKSED---------PKFV--</t>
  </si>
  <si>
    <t>---------EEHD------------------------IPVD-------------YHY---</t>
  </si>
  <si>
    <t>------YF-----QN------------------KFLNPVCDLLEP---------------</t>
  </si>
  <si>
    <t>-DQHKPPKKKKE------------PSLTG-------------------------------</t>
  </si>
  <si>
    <t>-------------------------------------------MKKEQLIEECK------</t>
  </si>
  <si>
    <t>-KLNLD------------DTGK--------------------------------------</t>
  </si>
  <si>
    <t>--------------VLDLRER---------IKEHRIKK----------------------</t>
  </si>
  <si>
    <t>------------------------------------SV---------------SV-----</t>
  </si>
  <si>
    <t>-------------------E-D------------------------VFKNYEL-------</t>
  </si>
  <si>
    <t>YY----------------------APIT-ALDF---------------------------</t>
  </si>
  <si>
    <t>-EGLY-------------------SSIMMAHNLCYSTLVL--------------------</t>
  </si>
  <si>
    <t>--------------DE-K----------YN-NL--------P--------G---------</t>
  </si>
  <si>
    <t>----------ERF-----------------G-N---------------------------</t>
  </si>
  <si>
    <t>----------------H-----------------TFAQ----------------------</t>
  </si>
  <si>
    <t>-----VPSVLPN-ILSELKQFRKQAK----------------------------------</t>
  </si>
  <si>
    <t>---KDMAAS-----------------------------------------------T---</t>
  </si>
  <si>
    <t>---------------------G----------------------------A--TKRM---</t>
  </si>
  <si>
    <t>-----------------FNG-------KQL--------AYK-------------------</t>
  </si>
  <si>
    <t>-----------NSVYGFTGASV-GMLPCV---------AIASTVTMKGR-----------</t>
  </si>
  <si>
    <t>-------------------------NMIEETKNYVEKHFPG-------------------</t>
  </si>
  <si>
    <t>LVN--A----------YEVRDDG-------------------------------------</t>
  </si>
  <si>
    <t>KEVATID---A--EVWTEKGFTPIHQIVRHKTTK-R--IHRVLTHTGVVDVTED----HS</t>
  </si>
  <si>
    <t>LLL-EDAKMITPKEVQLGT-KLLHGSCVNAII-----------------------DG-TS</t>
  </si>
  <si>
    <t>RVS---------------VNEAKVMGFFFGDGSCGAY---------NGKYTWTLNNAN--</t>
  </si>
  <si>
    <t>LFYNAA-KEKVIPPCILNAPEEVVKAFVEGYYMA-----------DGD------------</t>
  </si>
  <si>
    <t>TRMDIKGKEGSMGMFI--LGKRLGY------NVSINTR----------------------</t>
  </si>
  <si>
    <t>---SDKPDIYRQ---TWTTYSQRKEP--CAIKKLEFL-----------------------</t>
  </si>
  <si>
    <t>----------EETDG---YVYDLTTE----------------------------------</t>
  </si>
  <si>
    <t>---------------------------EFDVGERT-------------------------</t>
  </si>
  <si>
    <t>GEQA---------A-QACNALFKK------------------------------------</t>
  </si>
  <si>
    <t>--------PN------NLELEK-VYCPYFL------------------------------</t>
  </si>
  <si>
    <t>-EALY-------------------PSIMMAHNLCYSTLVM--------------------</t>
  </si>
  <si>
    <t>--------------DEYR----------YG-NV--------P--------G---------</t>
  </si>
  <si>
    <t>----------ESF---------------KIG-DK--------------------------</t>
  </si>
  <si>
    <t>---------------IY-----------------KFAQ----------------------</t>
  </si>
  <si>
    <t>-----VPSLLPA-ILLELKQFRKKAK----------------------------------</t>
  </si>
  <si>
    <t>-------------------------GMIEETKNYVEANFPG-------------------</t>
  </si>
  <si>
    <t>LVE--S----------YEERDDG-------------------------------------</t>
  </si>
  <si>
    <t>KEVAEID---A--EVWTEKGFTPIQQIVRHKTTK-N--IHRVLTHTGVVDVTED----HS</t>
  </si>
  <si>
    <t>LLL-ENKQMIKPCEVSLGT-NLLHGDCVYGLN-----------------------WN-DT</t>
  </si>
  <si>
    <t>TVS---------------VNEAKVMGFFFGDGSCGHY---------GDKYTWALNNSN--</t>
  </si>
  <si>
    <t>MFYNAH-KEKIVPSCILNAPIEVVESFWEGYYMA-----------DGDK------DVHGY</t>
  </si>
  <si>
    <t>TRMDIKGKEGSMGMFI--LGKRLNY------NVSLNTR----------------------</t>
  </si>
  <si>
    <t>---KDKPDVFRQ---TWTKSTQRKSP--NAIKKLELV-----------------------</t>
  </si>
  <si>
    <t>----------GETEG---YVYDLTTE----------------------------------</t>
  </si>
  <si>
    <t>--------PN------NLELEK-VYWPYFL------------------------------</t>
  </si>
  <si>
    <t>--------------QVLTW-----------------------------------------</t>
  </si>
  <si>
    <t>----------------------------------------------ETRDTE--------</t>
  </si>
  <si>
    <t>--------------------------------HLISIFGKTK-EGKSVCVT-TSF-----</t>
  </si>
  <si>
    <t>--------TPYF---FVKL--P--------------------NKK-----T---------</t>
  </si>
  <si>
    <t>QM----------DIRNLYTKIDKLC-----------------------------------</t>
  </si>
  <si>
    <t>------------PECLISYDIVQ----SKDVWG----------F----------------</t>
  </si>
  <si>
    <t>----QNNE-KFIFMQLK---------FKNLAARR----MVNGR-----------------</t>
  </si>
  <si>
    <t>------------------LKRTLPD-----------------EAMKYKVYES--------</t>
  </si>
  <si>
    <t>-----NLDPVLRLMH-RTNIQSTGW------MDSGDAC----------------V-RSH-</t>
  </si>
  <si>
    <t>LAH--V-NIDLFCNDW----------K------------------TLK-PV-------D-</t>
  </si>
  <si>
    <t>---IPE------TA----PFVVASVDIECN-S---------ST-----G-KF--------</t>
  </si>
  <si>
    <t>---PDA--DVK-------------------------------------------------</t>
  </si>
  <si>
    <t>--------------------------------GDA-C-FQIAVS----------LTH---</t>
  </si>
  <si>
    <t>-----------------FGSD-IPYDKTCFCYKKTDP-----------------------</t>
  </si>
  <si>
    <t>------------EGSIIKS-YETER-EMLMA---FKEYL-MEKDIDI-ITG-WNIFGF--</t>
  </si>
  <si>
    <t>TFYE--------------------MSKMKNHS----------------------------</t>
  </si>
  <si>
    <t>L-PMPGR-----FIFD----------------LFHEVKKG-Y-KLDS--------YKLDN</t>
  </si>
  <si>
    <t>-------------------------NKID---------M---------------------</t>
  </si>
  <si>
    <t>NLLEMAKATWVPLCYLVERGQQIKVFSLLTKKAREM--------GF--------------</t>
  </si>
  <si>
    <t>-MVPTISWG---------------------------------------------------</t>
  </si>
  <si>
    <t>--------------------QYS------------------A------------------</t>
  </si>
  <si>
    <t>-EGLY-------------------PSIMMAHNLCYSSMVM--------------------</t>
  </si>
  <si>
    <t>--------------DS-K----------YE-NI--------P--------G---------</t>
  </si>
  <si>
    <t>----------ETF-----------------G-F---------------------------</t>
  </si>
  <si>
    <t>----------------Y-----------------KFAQ----------------------</t>
  </si>
  <si>
    <t>-----VPSLLPS-ILLELKQFRKQAK----------------------------------</t>
  </si>
  <si>
    <t>---KDMAQS-----------------------------------------------T---</t>
  </si>
  <si>
    <t>---------------------G----------------------------A--LKEM---</t>
  </si>
  <si>
    <t>-----------NSVYGFTGASK-GMLPCV---------QIASTVTLKGR-----------</t>
  </si>
  <si>
    <t>-------------------------SMIDETKAYVEKNFPG-------------------</t>
  </si>
  <si>
    <t>-------------SKVRYGD----------------------------------------</t>
  </si>
  <si>
    <t>---------------------------EFDVGNRT-------------------------</t>
  </si>
  <si>
    <t>GERA---------A-EECTKLFKA------------------------------------</t>
  </si>
  <si>
    <t>KLWTKG-----------KDGNM-NMDYIDVKG-------LQLVRRDNTPHMREV-CKELL</t>
  </si>
  <si>
    <t>DVVL----------ES----------SD--------------------------------</t>
  </si>
  <si>
    <t>---------------------------TGP-PKEL-------------ALQRAIELI---</t>
  </si>
  <si>
    <t>---------------EGDVP----------------------------------------</t>
  </si>
  <si>
    <t>------------------------------------------D--SYKSKGFA---VS--</t>
  </si>
  <si>
    <t>---------------INSP-DI--KDINQAHVQVVRKMRERQ-PGSEPQ------SGD--</t>
  </si>
  <si>
    <t>------------------------RVPYIL------------LDTG--------------</t>
  </si>
  <si>
    <t>---------------DPKAKA------------------FEKSED---------PKYA--</t>
  </si>
  <si>
    <t>---------KDNN------------------------LKVD-------------YNY---</t>
  </si>
  <si>
    <t>------YF-----IN------------------KFLNPVCDLIEP---------------</t>
  </si>
  <si>
    <t>--LFE-DP-K----------EEIFGE--------------------------L-L-----</t>
  </si>
  <si>
    <t>-TRVKPKRRPK-------------------------------------------------</t>
  </si>
  <si>
    <t>-----------------------------------------------------K------</t>
  </si>
  <si>
    <t>-KL---------------------------------------------------------</t>
  </si>
  <si>
    <t>--------------------------------EAEIEG----------------------</t>
  </si>
  <si>
    <t>------------------------------------QP---------------KI-----</t>
  </si>
  <si>
    <t>-------------------S-D------------------------MFKTLKK-------</t>
  </si>
  <si>
    <t>----------------------------------------------EARDEEV-PG----</t>
  </si>
  <si>
    <t>--------------------------------HLISIFGKTE-DGKSVCVT-TAF-----</t>
  </si>
  <si>
    <t>--------EPYL---YIKL--P--------------------EIK-----Y---------</t>
  </si>
  <si>
    <t>A-------------KEIYAKIKDSC-----------------------------------</t>
  </si>
  <si>
    <t>----------------TGYNVVE----SKDIWG----------F----------------</t>
  </si>
  <si>
    <t>----QNNQ-KFLFMRVT---------FSNLALRR----KTDYF-----------------</t>
  </si>
  <si>
    <t>------------------LKKPMIL-----SNGPF----------PLRVYES--------</t>
  </si>
  <si>
    <t>-----NLDPILRMMH-RTGIQSTGW------LDTGSDC----------------V-YSD-</t>
  </si>
  <si>
    <t>LAH--V-DIDLFCNDW----------E------------------TLK-PV-------K-</t>
  </si>
  <si>
    <t>---RDD------VA----PFVVASIDIESN-S---------ST-----G-KF--------</t>
  </si>
  <si>
    <t>---PDA--DVD-------------------------------------------------</t>
  </si>
  <si>
    <t>--------------------------------GDA-C-FQIAMS----------LCK---</t>
  </si>
  <si>
    <t>-----------------MGSD-ESYDKTCFCFKKTDP-----------------------</t>
  </si>
  <si>
    <t>----------------------------HL------------------------------</t>
  </si>
  <si>
    <t>------------EGCNIYS-YDTEL-EMLEA---FRTYM-IKEDIDV-MTG-WNIFGF--</t>
  </si>
  <si>
    <t>SFFN--------------------LGKLKKYETYQG----------------------PK</t>
  </si>
  <si>
    <t>L-PMPGR-----FIFD----------------LFHEVKKG-Y-KLDS--------YKLNN</t>
  </si>
  <si>
    <t>NLLEMAKATWVPISFLVERGQQIKVFSQLTKKAREL--------GF--------------</t>
  </si>
  <si>
    <t>--------------------ALP------------------P------------------</t>
  </si>
  <si>
    <t>-EALY-------------------PSIMMAHNLCYSTFVM--------------------</t>
  </si>
  <si>
    <t>--------------DEKR----------YG-NI--------E--------G---------</t>
  </si>
  <si>
    <t>----------EKF---------------ELN-GR--------------------------</t>
  </si>
  <si>
    <t>-----VPSLLPA-ILSELKEFRKQAK----------------------------------</t>
  </si>
  <si>
    <t>---------------------G----------------------------F--MKEI---</t>
  </si>
  <si>
    <t>-----------NSIYGFTGAGK-GILPCV---------PIASTTTYKGR-----------</t>
  </si>
  <si>
    <t>---------------------------EFDVGGRT-------------------------</t>
  </si>
  <si>
    <t>GERA---------A-DECSALFKK------------------------------------</t>
  </si>
  <si>
    <t>KLWTKG-----------KDGNM-NMDYIDIKG-------LQVVRRDNTKFVREV-CKDLL</t>
  </si>
  <si>
    <t>DVVM----------ES----------SD--------------------------------</t>
  </si>
  <si>
    <t>---------------------------PEP-AKQL-------------ALERAINLL---</t>
  </si>
  <si>
    <t>---------------EGDVS----------------------------------------</t>
  </si>
  <si>
    <t>--NEKLVLSQ-QLG----------------------------------------------</t>
  </si>
  <si>
    <t>------------------------------------------D--SYK------------</t>
  </si>
  <si>
    <t>-------------------------NNNLSHVKVRDKMRERK-PGSEPQ------SGD--</t>
  </si>
  <si>
    <t>------------------------RVPYIL------------VKTD--------------</t>
  </si>
  <si>
    <t>---------------NPRAKA------------------YEKAED---------PVFI--</t>
  </si>
  <si>
    <t>---------EENN------------------------IPID-------------YHH---</t>
  </si>
  <si>
    <t>------YF-----TN------------------KFLNPICDLLEP---------------</t>
  </si>
  <si>
    <t>--LVK-DP-K----------NEIFGE--------------------------L-I-----</t>
  </si>
  <si>
    <t>-AQHKPPPKKRE------------PALSG-------------------------------</t>
  </si>
  <si>
    <t>-KLNLE------------TDGK--------------------------------------</t>
  </si>
  <si>
    <t>--------------VADLRQR---------IKTTR-ED----------------------</t>
  </si>
  <si>
    <t>------------------------------------KV---------------SI-----</t>
  </si>
  <si>
    <t>-------------------D-H------------------------LFKNYD--------</t>
  </si>
  <si>
    <t>---------------------------------------------MVTF-----------</t>
  </si>
  <si>
    <t>--------------QVIAW-----------------------------------------</t>
  </si>
  <si>
    <t>----------------------------------------------DDRDED--------</t>
  </si>
  <si>
    <t>--------------------------------HLISIYGKTE-DGKSVCVT-TPY-----</t>
  </si>
  <si>
    <t>--------TPYF---FVKF--P--------------------SDW-----S---------</t>
  </si>
  <si>
    <t>TS----------DAHVFIQNLELKC-----------------------------------</t>
  </si>
  <si>
    <t>------------KGALVGHEFVD----RKDMWG----------F----------------</t>
  </si>
  <si>
    <t>----QNGE-LSKFVRLD---------FPTLKARR----LVDWK-----------------</t>
  </si>
  <si>
    <t>------------------IRDQFP---------------------KVEAFEA--------</t>
  </si>
  <si>
    <t>-----NLDPVLRFMH-ETNIQATGW------VRAERGT----------------N-PSF-</t>
  </si>
  <si>
    <t>VAH--V-DVDLWVDDW----------R------------------NLE-SV-------E-</t>
  </si>
  <si>
    <t>---RDD------VA----PFVIASVDIEAY-S---------QT-----H-KF--------</t>
  </si>
  <si>
    <t>---PNA--QIR-------------------------------------------------</t>
  </si>
  <si>
    <t>--------------------------------EDA-C-FQIGVT----------LCH---</t>
  </si>
  <si>
    <t>-----------------IGTD-TPYDEAIFCYGQTDP-----------------------</t>
  </si>
  <si>
    <t>------------DGVRTES-FTTEA-GMLAA---FRDYI-HEKNVDV-VTG-WNIFGF--</t>
  </si>
  <si>
    <t>---DLDYLYTRA-LM--TN-------------------------------------C--Q</t>
  </si>
  <si>
    <t>KFFN--------------------LGRRRGFS----------------------------</t>
  </si>
  <si>
    <t>L-PMPGR-----FVYD----------------MFQEVKKN-Y-KLDS--------YSLNN</t>
  </si>
  <si>
    <t>VSLVYLN-----------------------------------------------------</t>
  </si>
  <si>
    <t>-------------------------SKID---------M---------------------</t>
  </si>
  <si>
    <t>-NPKE------------------------------------MSEVA--------------</t>
  </si>
  <si>
    <t>NLLEMAKACWVPLSYLCERGQQIKVFSQVCKKAREL--------GF--------------</t>
  </si>
  <si>
    <t>-LVKTIRSK---------------------------------------------------</t>
  </si>
  <si>
    <t>--------------------DDP------------------G------------------</t>
  </si>
  <si>
    <t>YY---------------------KNPIT-ALDF---------------------------</t>
  </si>
  <si>
    <t>-ASLY-------------------PSIMMAHNICYSTLVM--------------------</t>
  </si>
  <si>
    <t>--------------DP-Q----------YD-NI--------P--------G---------</t>
  </si>
  <si>
    <t>---------------VEY------------------------------------------</t>
  </si>
  <si>
    <t>----------DEF---------------HVA-GV--------------------------</t>
  </si>
  <si>
    <t>---------------TL-----------------RYAQ----------------------</t>
  </si>
  <si>
    <t>----------------------------------------K-------------------</t>
  </si>
  <si>
    <t>-----VPSILPS-ILSDLKQFRKAAK----------------------------------</t>
  </si>
  <si>
    <t>---KQMANA-----------------------------------------------E---</t>
  </si>
  <si>
    <t>---------------------G----------------------------F--MKQV---</t>
  </si>
  <si>
    <t>-----------------FDG-------KQL--------AMK-------------------</t>
  </si>
  <si>
    <t>-----------NSVYGATGTSV-GILPCVF-KG---CMALAATVTTKGR-----------</t>
  </si>
  <si>
    <t>-------------------------SMIEETKNYVEANFPG-------------------</t>
  </si>
  <si>
    <t>-------------AVVRYGD----------------------------------------</t>
  </si>
  <si>
    <t>---------------------------EFDCQGRT-------------------------</t>
  </si>
  <si>
    <t>GELA---------S-SGATKLFRA------------------------------------</t>
  </si>
  <si>
    <t>KMYEMG-----------KSGNV-EFKKVDIKG-------LSLVRRDTTKHCRSV-CRELL</t>
  </si>
  <si>
    <t>DVIL----------NS----------SD--------------------------------</t>
  </si>
  <si>
    <t>---------------------------PQP-AIDL-------------ARARAISLL---</t>
  </si>
  <si>
    <t>---------------TGEVP----------------------------------------</t>
  </si>
  <si>
    <t>--NSELILSQ-TLS----------------------------------------------</t>
  </si>
  <si>
    <t>------------------------------------------E--SYKVKGEP---VS--</t>
  </si>
  <si>
    <t>---------------VTDELAS--LRINQAHVAVMRKMRERR-PGSEPQ------TGD--</t>
  </si>
  <si>
    <t>------------------------RVPYLI------------VRTD--------------</t>
  </si>
  <si>
    <t>---------------DPKAKA------------------FEKSED---------PAYV--</t>
  </si>
  <si>
    <t>---------EQNK------------------------LPVD-------------YFH---</t>
  </si>
  <si>
    <t>------YF-----EN------------------KFSTPVSDLLEP---------------</t>
  </si>
  <si>
    <t>--LVEGDA-K----------REIFGE--------------------------I-R-----</t>
  </si>
  <si>
    <t>-GQHRPKTTRER------------K-----------------------------------</t>
  </si>
  <si>
    <t>--------------------------------------------KKESDPTE--------</t>
  </si>
  <si>
    <t>------------------------------------RE----------------------</t>
  </si>
  <si>
    <t>------------------------------------KN---------------AI-----</t>
  </si>
  <si>
    <t>-------------------S-T------------------------LFKNYAASM-----</t>
  </si>
  <si>
    <t>-----------------NK-----------------------------------------</t>
  </si>
  <si>
    <t>---------------------------------------------MQS------------</t>
  </si>
  <si>
    <t>--------------QAVAW-----------------------------------------</t>
  </si>
  <si>
    <t>----------------------------------------------EGDDVD--------</t>
  </si>
  <si>
    <t>-------------------------------D---------------------------R</t>
  </si>
  <si>
    <t>--------------------------------YIVRIYGRCE-DGRSICVS-TPF-----</t>
  </si>
  <si>
    <t>--------EPYF---FIKI--RPSH--K-------------FAVL-----K---------</t>
  </si>
  <si>
    <t>NA----------LSRHFY------------------------------------------</t>
  </si>
  <si>
    <t>--------------DLTEIQEIL----AKDLWG----------F----------------</t>
  </si>
  <si>
    <t>----RNGL-RERFVKLT---------FKTIKSMR----ICAAM-----------------</t>
  </si>
  <si>
    <t>------------------IDRMKERDDRWEDLKAFG---------QLKIYES--------</t>
  </si>
  <si>
    <t>-----NMDPVLRFMH-VSGVRSTGW------FEVA-GG----------------T-PDY-</t>
  </si>
  <si>
    <t>STS--C-NVNLWVEDY----------K------------------NIT-PV-------D-</t>
  </si>
  <si>
    <t>---RDD------VA----PLRVMSFDIECY-S---------ST-----G-EF--------</t>
  </si>
  <si>
    <t>---PNP--NTT-------------------------------------------------</t>
  </si>
  <si>
    <t>--------------------------------RDV-V-FQIGMT----------TRT---</t>
  </si>
  <si>
    <t>-----------------FGSD-EPMVRKCLCLKQTD------------------------</t>
  </si>
  <si>
    <t>-------------AADCES-FETER-ALLER---FEKYL-TEVDPDI-MTG-WNIFGF--</t>
  </si>
  <si>
    <t>TW-----------------------GRFKDSP----------------------------</t>
  </si>
  <si>
    <t>V-PMRGR-----YVFD----------------FFQDVKRE-H-KLES--------YSLNN</t>
  </si>
  <si>
    <t>VSKHFLK-----------------------------------------------------</t>
  </si>
  <si>
    <t>-------------------------QKND---------M---------------------</t>
  </si>
  <si>
    <t>-DPKR------------------------------------LGEVA--------------</t>
  </si>
  <si>
    <t>NQIEMAKACWVPLSFLSERGQQIKVFSQMAYKARQL--------GF--------------</t>
  </si>
  <si>
    <t>-IIPVFKKPL--------------------------------------------------</t>
  </si>
  <si>
    <t>-------------------VSGP------------------D------------------</t>
  </si>
  <si>
    <t>YY----------------------GPIT-ALDF---------------------------</t>
  </si>
  <si>
    <t>-ASLY-------------------PSIMCAHNLCYSSMVM--------------------</t>
  </si>
  <si>
    <t>--------------DP-Q----------FD-NL--------E--------G---------</t>
  </si>
  <si>
    <t>----------EQF-----------------G-Q---------------------------</t>
  </si>
  <si>
    <t>----------------F-----------------RFAQ----------------------</t>
  </si>
  <si>
    <t>----------------------------------------N-------------------</t>
  </si>
  <si>
    <t>-----VPSLLPV-ILTDLKAFRKKAK----------------------------------</t>
  </si>
  <si>
    <t>---KLMAAA-----------------------------------------------E---</t>
  </si>
  <si>
    <t>---------------------G----------------------------TP-MEAV---</t>
  </si>
  <si>
    <t>-----------------YNG-------QQL--------AYK-------------------</t>
  </si>
  <si>
    <t>-----------NSIYGFTGASK-GMLPLV---------AIASTVTMRGR-----------</t>
  </si>
  <si>
    <t>-------------------------QMIEETKNYVEANFPG-------------------</t>
  </si>
  <si>
    <t>-------------AHVRYGD----------------------------------------</t>
  </si>
  <si>
    <t>---------------------------EFDVQGRK-------------------------</t>
  </si>
  <si>
    <t>GEQA---------A-EQCTKLFKA------------------------------------</t>
  </si>
  <si>
    <t>KMYEKG-----------RDGAV-VFKKIDVKG-------LQVVRRDSCPYVRET-LKKLL</t>
  </si>
  <si>
    <t>EMIL----------ES----------DD--------------------------------</t>
  </si>
  <si>
    <t>---------------------------PRP-PVEF-------------AKQAAKALT---</t>
  </si>
  <si>
    <t>---------------NGEVP----------------------------------------</t>
  </si>
  <si>
    <t>--TDKLLMSK-QLA----------------------------------------------</t>
  </si>
  <si>
    <t>------------------------------------------A--NYKVR----------</t>
  </si>
  <si>
    <t>----------------------------MPHVEVRDKIRKRA-PGSEPQ------QGD--</t>
  </si>
  <si>
    <t>------------------------RVAFVI------------VEGP--------------</t>
  </si>
  <si>
    <t>----------------KNAKM------------------FEKAED---------PEWV--</t>
  </si>
  <si>
    <t>---------LEKK------------------------IKID-------------YQY---</t>
  </si>
  <si>
    <t>------YF-----TN------------------QLKKPVCDLLEP---------------</t>
  </si>
  <si>
    <t>--LLGRDT-E----------KLIFQ-----------------------------------</t>
  </si>
  <si>
    <t>--------------------------------------------PKVRTITQ--------</t>
  </si>
  <si>
    <t>----------------------------------------------FFT----PK-----</t>
  </si>
  <si>
    <t>---------------------------------------------MTTF-----------</t>
  </si>
  <si>
    <t>----------------------------------------------EGSDHE--------</t>
  </si>
  <si>
    <t>--------------------------------FVIRIYGRQA-DGKSVALG-TTF-----</t>
  </si>
  <si>
    <t>--------RPYF---YVKL--RVQH--N-------------FADF-----A---------</t>
  </si>
  <si>
    <t>-A----------LIRKKF------------------------------------------</t>
  </si>
  <si>
    <t>--------------QPTEIKEVR----AKDLWG----------F----------------</t>
  </si>
  <si>
    <t>----QNNL-LSRFARIE---------FDTMRQMR----FCAYG-----------------</t>
  </si>
  <si>
    <t>------------------L--------RKSDTE-FG---------KLKLYET--------</t>
  </si>
  <si>
    <t>-----NIDPVLRFMH-VTGIRSTGW------LTCA-AT----------------E-PDY-</t>
  </si>
  <si>
    <t>DTT--C-DINLWAPEH----------T------------------NIK-PV-------D-</t>
  </si>
  <si>
    <t>---RDD------VA----PLKIMSFDIECY-S---------KS-----G-NF--------</t>
  </si>
  <si>
    <t>---PDP--MKT-------------------------------------------------</t>
  </si>
  <si>
    <t>--------------------------------EDC-V-FQIGMT----------TRK---</t>
  </si>
  <si>
    <t>-----------------FGSD-EPMERKCLCFKNTA------------------------</t>
  </si>
  <si>
    <t>-------------GPDAES-FDTEK-KLLQA---FDKYL-IKTDPDI-ITG-WNIFGF--</t>
  </si>
  <si>
    <t>V-PMRGR-----YVFD----------------LFQDVKRE-H-KLES--------YSLNN</t>
  </si>
  <si>
    <t>-DPAR------------------------------------LGEVA--------------</t>
  </si>
  <si>
    <t>NLVEMAKACWVPLAFLSERGQQIKVFSQMAYKAREL--------NF--------------</t>
  </si>
  <si>
    <t>-IIPTFER----------------------------------------------------</t>
  </si>
  <si>
    <t>---------------------GPA---------------LDD------------------</t>
  </si>
  <si>
    <t>YY----------------------SPIT-ALDF---------------------------</t>
  </si>
  <si>
    <t>-ASLY-------------------PSIMCAHNLCYSTLVM--------------------</t>
  </si>
  <si>
    <t>--------------DP-K----------FD-NL--------P--------G---------</t>
  </si>
  <si>
    <t>----------EQF-----------------G-P---------------------------</t>
  </si>
  <si>
    <t>----------------H-----------------RFAQ----------------------</t>
  </si>
  <si>
    <t>-----VPSLLPV-ILTDLKAYRKKAK----------------------------------</t>
  </si>
  <si>
    <t>---KLMAQA-----------------------------------------------E---</t>
  </si>
  <si>
    <t>---------------------G----------------------------TP-MEAI---</t>
  </si>
  <si>
    <t>-------------------------QMIEETKTYVEENFPG-------------------</t>
  </si>
  <si>
    <t>KMYEKN-----------KLGEI-AFKKIDVKG-------LQVVRRDSCPYVRET-LKQLL</t>
  </si>
  <si>
    <t>NMVL----------ES----------DD--------------------------------</t>
  </si>
  <si>
    <t>---------------------------PKP-AVNF-------------AKQSAKDLK---</t>
  </si>
  <si>
    <t>---------------AGLVP----------------------------------------</t>
  </si>
  <si>
    <t>--IEKLLLSK-QLA----------------------------------------------</t>
  </si>
  <si>
    <t>------------------------------------------S--DYKVK----------</t>
  </si>
  <si>
    <t>----------------------------MPHVEVRDKIRARA-PGSEPQ------QGD--</t>
  </si>
  <si>
    <t>------------------------RVQFVI------------VEG---------------</t>
  </si>
  <si>
    <t>-----------------RGRM------------------FEKAED---------PEWV--</t>
  </si>
  <si>
    <t>---------KTNG------------------------LKID-------------YEY---</t>
  </si>
  <si>
    <t>------YF-----GH------------------QLKKPVCDLLEP---------------</t>
  </si>
  <si>
    <t>--LVGGDP-E----------KVIFA-----------------------------------</t>
  </si>
  <si>
    <t>--------------------------------------------PKVKTMTD--------</t>
  </si>
  <si>
    <t>----------------------------------------------FFSLRPAPK-----</t>
  </si>
  <si>
    <t>-----------------VE-----------------------------------------</t>
  </si>
  <si>
    <t>---------------------------------------------MTHF-----------</t>
  </si>
  <si>
    <t>----------------------------------------------DGQDQD--------</t>
  </si>
  <si>
    <t>--------------------------------FTIRIFGRAE-DGKSVSLG-TKF-----</t>
  </si>
  <si>
    <t>--------NPYC---FVKT--D--------------------KDL-----K---------</t>
  </si>
  <si>
    <t>-S----------FIKSTFW-----------------------------------------</t>
  </si>
  <si>
    <t>-------------RNLVSCEVHR----GKDLWG----------F----------------</t>
  </si>
  <si>
    <t>----QNGE-LSRFLKVE---------FKTHRALR----SFAYC-----------------</t>
  </si>
  <si>
    <t>------------------VDNNKHSE--------LA---------GCRMYES--------</t>
  </si>
  <si>
    <t>-----NIDPVLRFMH-VSGCTSTGW------IDPG-LC----------------E-PDA-</t>
  </si>
  <si>
    <t>EST--C-QVNLWAPNW----------R------------------FIT-PL-------S-</t>
  </si>
  <si>
    <t>---RDD------FA----PLRIMSFDIECY-S---------ST-----G-AF--------</t>
  </si>
  <si>
    <t>---PDP--KNP-------------------------------------------------</t>
  </si>
  <si>
    <t>--------------------------------HDV-I-FQIGMT----------TKE---</t>
  </si>
  <si>
    <t>-----------------FGRE-GFLDRKCLCLKETA------------------------</t>
  </si>
  <si>
    <t>-------------GPDVES-FATEK-ELIKA---FEKYL-IKIDPDI-ITG-WNIFGF--</t>
  </si>
  <si>
    <t>VW-----------------------GRIRGEV----------------------------</t>
  </si>
  <si>
    <t>V-PMKGR-----YVFD----------------LFQDVKRE-H-KLES--------YSLNN</t>
  </si>
  <si>
    <t>-DAAE------------------------------------LGEVA--------------</t>
  </si>
  <si>
    <t>NQVEMAKACWVPLAFLSERGQQIKVFSQMAKKAREL--------NF--------------</t>
  </si>
  <si>
    <t>-VIPTFRRP---------------------------------------------------</t>
  </si>
  <si>
    <t>--------------------NGP-----------------DE------------------</t>
  </si>
  <si>
    <t>-ASLY-------------------PSIMCAENLCYSTLVM--------------------</t>
  </si>
  <si>
    <t>--------------NS-R----------YD-NL--------P--------G---------</t>
  </si>
  <si>
    <t>----------------------------------------TSGE-K--------------</t>
  </si>
  <si>
    <t>----PIVSLLPT-ILADLKAFRKKAK----------------------------------</t>
  </si>
  <si>
    <t>---KLMALA-----------------------------------------------E---</t>
  </si>
  <si>
    <t>-----------NSIYGFTGASK-GMLPCV---------AIASTVTMRGR-----------</t>
  </si>
  <si>
    <t>GEMA---------A-EQCTKLFKA------------------------------------</t>
  </si>
  <si>
    <t>KMYEKG-----------RDGTV-VFKKIDIKG-------LQVVRRDSCPFVRET-LKRLL</t>
  </si>
  <si>
    <t>ELIL----------ES----------SD--------------------------------</t>
  </si>
  <si>
    <t>---------------------------PRP-AIEL-------------AREAAKTLI---</t>
  </si>
  <si>
    <t>---------------QGKVP----------------------------------------</t>
  </si>
  <si>
    <t>--IEKLLMSK-QLA----------------------------------------------</t>
  </si>
  <si>
    <t>------------------------------------------S--AYKVP----------</t>
  </si>
  <si>
    <t>----------------------------MPHVAVRDKIRLRA-PGSEPQ------QGD--</t>
  </si>
  <si>
    <t>------------------------RVPFVI------------VKG---------------</t>
  </si>
  <si>
    <t>-----------------EGRM------------------YEKAED---------PVWV--</t>
  </si>
  <si>
    <t>---------REKN------------------------VPLD-------------FQY---</t>
  </si>
  <si>
    <t>------YF-----TN------------------QFKKPVQDLLEP---------------</t>
  </si>
  <si>
    <t>--LVSAD--------------LIFD-----------------------------------</t>
  </si>
  <si>
    <t>--------------------------------------------RKFMAKTES-------</t>
  </si>
  <si>
    <t>--------------------------------TTEVAA----------------------</t>
  </si>
  <si>
    <t>------------------------------------RK---------------AF-----</t>
  </si>
  <si>
    <t>-------------------L-S------------------------MFS----KK-----</t>
  </si>
  <si>
    <t>-----------------VL-----------------------------------------</t>
  </si>
  <si>
    <t>---------------------------------------------MEIIE----------</t>
  </si>
  <si>
    <t>-------------CQVFSF-----------------------------------------</t>
  </si>
  <si>
    <t>----------------------------------------------YPTDFL--------</t>
  </si>
  <si>
    <t>--------------------------------FTVFAFGRKE-DGSSVGIEIVDF-----</t>
  </si>
  <si>
    <t>--------KPFM---YLHV--PERQ--Q--------------KFW-----T---------</t>
  </si>
  <si>
    <t>MN----------NTEDLRKTLVTEHE----------------------------------</t>
  </si>
  <si>
    <t>------------IKELRNINTVM----KKRLFP----------Y----------------</t>
  </si>
  <si>
    <t>----TNKD-RELFLMLE---------FNTEWGIR----KCSMS-----------------</t>
  </si>
  <si>
    <t>------------------LRENYIYK-------------------NFDVYES--------</t>
  </si>
  <si>
    <t>-----NISPMLRLMH-MREILPSGW------VRIKNY-----------------D-QNN-</t>
  </si>
  <si>
    <t>TTK--C-DTNIRIN-F----------M------------------DII-GF-------E-</t>
  </si>
  <si>
    <t>---RDD------IA----PCKISSFDIECM-SFDA---YTQNQ-----S-IF--------</t>
  </si>
  <si>
    <t>---PSY--ERE-------------------------------------------------</t>
  </si>
  <si>
    <t>--------------------------------NDT-I-SQIGMA----------TWS---</t>
  </si>
  <si>
    <t>-----------------YGNN-EEVLKRLYTLGNAAEP----------------------</t>
  </si>
  <si>
    <t>----------------------------TD------------------------------</t>
  </si>
  <si>
    <t>------------QTIDIIQ-CDNEG-ELIIR---WFHYI-AEIDPDI-ITG-YNIFGF--</t>
  </si>
  <si>
    <t>---DWEYIKGRV------------------------------------------------</t>
  </si>
  <si>
    <t>---DFLGIEDEI---------LSVASRIDKL-----------------------------</t>
  </si>
  <si>
    <t>L-EMPGR-----IEFD----------------FFSYIKRE-H-KLES--------YKLDN</t>
  </si>
  <si>
    <t>VAYHFTK-----------------------------------------------------</t>
  </si>
  <si>
    <t>------------------------------------------Q-----------------</t>
  </si>
  <si>
    <t>-------------------------KKHD---------V---------------------</t>
  </si>
  <si>
    <t>-TPED------------------------------------VREVA--------------</t>
  </si>
  <si>
    <t>NLIEMSKVTRVPFEYLILRGQQIKVFSQIFYEAMKE--------NI--------------</t>
  </si>
  <si>
    <t>-VIPT-------------------------------------------------------</t>
  </si>
  <si>
    <t>--------------------------------------------N---------------</t>
  </si>
  <si>
    <t>----------------ILKLQGKKDR-------------NEEH-----------------</t>
  </si>
  <si>
    <t>YF----------------------DCVS-GLDF---------------------------</t>
  </si>
  <si>
    <t>-ASLY-------------------PSIMIAYNMCYTTLVL--------------------</t>
  </si>
  <si>
    <t>--------------NE-R-------------EL--------P--------RE--------</t>
  </si>
  <si>
    <t>-----------AK--IET------------------------------------------</t>
  </si>
  <si>
    <t>----------IEW---------------ENN-----------------------------</t>
  </si>
  <si>
    <t>---------------RH-----------------RFVQ----------------------</t>
  </si>
  <si>
    <t>----------------------------------------NK------------------</t>
  </si>
  <si>
    <t>------EGLLPK-ILKKLWITRKSTK----------------------------------</t>
  </si>
  <si>
    <t>---RLMNET-----------------------------------------------E---</t>
  </si>
  <si>
    <t>---------------------N----------------------------KE-MKTI---</t>
  </si>
  <si>
    <t>-----------------LNG-------KQL--------AIK-------------------</t>
  </si>
  <si>
    <t>-----------NSVYGFCGVMC-GILPCV---------AIASSVTTKGR-----------</t>
  </si>
  <si>
    <t>-------------------------QMIEHTQNMVKQLYPD-------------------</t>
  </si>
  <si>
    <t>VFT------------------DNMRS----------------------------------</t>
  </si>
  <si>
    <t>KEHVMLS---RNEEIWTGENWSRIIRVIRHKTQK-K--IYGVLTENGYVEVTED----HS</t>
  </si>
  <si>
    <t>LIS-SDYELLKPKNCIVKE-TQLLQSFPDIVE----------------------------</t>
  </si>
  <si>
    <t>----------------------NST-IENNMI----------------------------</t>
  </si>
  <si>
    <t>CRLTVFGQVSAMIIYT--YLKRKNY------SITLNVCN---------------------</t>
  </si>
  <si>
    <t>-VNSNKFYI------SFMERPRFKNTKKNIIKKIFFIR----------------------</t>
  </si>
  <si>
    <t>---------NTDNEE---YVYDVETE----------------------------------</t>
  </si>
  <si>
    <t>---------------------------NFPST----------------------------</t>
  </si>
  <si>
    <t>SIEA---------A-EAISKTFPQ------------------------------------</t>
  </si>
  <si>
    <t>LIWT---------------RVD-KPDKIDFKG-------IQVVRRDNCSYVRES-LTTIY</t>
  </si>
  <si>
    <t>NCLL----------YE----------RN--------------------------------</t>
  </si>
  <si>
    <t>---------------------------VDK-CLGI-------------TDKIIDDLL---</t>
  </si>
  <si>
    <t>---------------KGRVP----------------------------------------</t>
  </si>
  <si>
    <t>--IEKLTVSK-SLK----------------------------------------------</t>
  </si>
  <si>
    <t>------------------------------------------S--NYKSKT---------</t>
  </si>
  <si>
    <t>----------------------------MPHFLLAEKMKQRD-PMNYPR------PGE--</t>
  </si>
  <si>
    <t>------------------------RVPYVF------------IE----------------</t>
  </si>
  <si>
    <t>---------------NTEARL-----------------QGEKAEN---------PEYA--</t>
  </si>
  <si>
    <t>---------KENG------------------------LIID-------------TLY---</t>
  </si>
  <si>
    <t>------YL-----DH------------------QMKKPLAELFNI---------------</t>
  </si>
  <si>
    <t>--VLG-EG-K----------YNLYKNHM----------------------GFI-------</t>
  </si>
  <si>
    <t>--------------------------------------------KMKKNHQERE------</t>
  </si>
  <si>
    <t>-RLR--------------------------------------------------------</t>
  </si>
  <si>
    <t>-------------------------------EINRKKG----------------------</t>
  </si>
  <si>
    <t>------------------------------------QK---------------EL-----</t>
  </si>
  <si>
    <t>-------------------NLK------------------------WFSKKK--------</t>
  </si>
  <si>
    <t>------------------------------------------MTELTFF-----------</t>
  </si>
  <si>
    <t>---------------PTDW-----------------------------------------</t>
  </si>
  <si>
    <t>----------------------------------------------RSEDV---------</t>
  </si>
  <si>
    <t>--------------------------------FRINIFGKTM-DGKTVCVR-AKF-----</t>
  </si>
  <si>
    <t>--------TPFF---LLET--P--------------------ESW-----S---------</t>
  </si>
  <si>
    <t>AA----------RTNLFITETAMKY-----------------------------------</t>
  </si>
  <si>
    <t>------------DAIRPSCLPTK----RKNMWG----------Y----------------</t>
  </si>
  <si>
    <t>----DGGK-MRPMVQFV---------FKTLSQMR----KAKYR-----------------</t>
  </si>
  <si>
    <t>------------------L-KN-----------------------EYQIYES--------</t>
  </si>
  <si>
    <t>-----SVDPIIRIFH-LRNINPADW------MHV-S---K-------AF----PV-ETR-</t>
  </si>
  <si>
    <t>ISN--S-DIEVETS-F----------Q------------------HLG-PS-------D-</t>
  </si>
  <si>
    <t>---VKE------VP----PLIIASWDIETY-S---------KD-----R-KF--------</t>
  </si>
  <si>
    <t>---PLA--ENP-------------------------------------------------</t>
  </si>
  <si>
    <t>--------------------------------ADY-C-IQIATT----------FQK---</t>
  </si>
  <si>
    <t>-----------------YGEP-EPYRRVVVCYKQTAS-----------------------</t>
  </si>
  <si>
    <t>------------EGVEIIS-CAEEA-DVMNT---WMTIL-QDEKTDV-SIG-YNLWQY--</t>
  </si>
  <si>
    <t>MCVDDITGEDNVR--------LKNLGRLLVG-----------------------------</t>
  </si>
  <si>
    <t>L-DMPGV-----MQID----------------LLQWFRKN-R-NLES--------YSLNN</t>
  </si>
  <si>
    <t>-------------------------QKND---------L---------------------</t>
  </si>
  <si>
    <t>-GADD------------------------------------RAIIA--------------</t>
  </si>
  <si>
    <t>DITEMANAVKVPVDYINFRGQQVRAFSCLVGKARQM--------NY--------------</t>
  </si>
  <si>
    <t>-AIPD-DKM---------------------------------------------------</t>
  </si>
  <si>
    <t>-----------------WTVDG--------------------------------------</t>
  </si>
  <si>
    <t>Y----------------------FTPIA-ALDF---------------------------</t>
  </si>
  <si>
    <t>-ASLY-------------------PSIIRAHNMSPETLVM--------------------</t>
  </si>
  <si>
    <t>--------------DK-R----------FE-NL--------P--------G---------</t>
  </si>
  <si>
    <t>---------------IEY------------------------------------------</t>
  </si>
  <si>
    <t>----------YEI---------------ETG-LG--------------------------</t>
  </si>
  <si>
    <t>---------------TF-----------------KYAQ----------------------</t>
  </si>
  <si>
    <t>----------------------------------------KNDE-TG-------------</t>
  </si>
  <si>
    <t>----EGQGVVPA-LLDDLAKFRKQAK----------------------------------</t>
  </si>
  <si>
    <t>---KHMAEAK--------------------------------------------KND---</t>
  </si>
  <si>
    <t>---------------------D----------------------------EF-REAL---</t>
  </si>
  <si>
    <t>-----------------YDA-------QQR--------SFK-------------------</t>
  </si>
  <si>
    <t>--------------VVM-------------------------------------------</t>
  </si>
  <si>
    <t>-----------NSVYGFLGASR-GFIPCV--------P-IAASVTATGR-----------</t>
  </si>
  <si>
    <t>-------------------------KMIEHTAKRVTELLPG-------------------</t>
  </si>
  <si>
    <t>---------------------------RMKLPDDK-------------------------</t>
  </si>
  <si>
    <t>AKWL---------A-GEITKDFRA------------------------------------</t>
  </si>
  <si>
    <t>VKFE---------------DPN-EKGKVDVKG-------LALVRRDFSPITREI-LKESL</t>
  </si>
  <si>
    <t>DTIL----------YK----------KD--------------------------------</t>
  </si>
  <si>
    <t>---------------------------TPT-AVTE-------------TVEQIRKVL---</t>
  </si>
  <si>
    <t>---------------DNEFP----------------------------------------</t>
  </si>
  <si>
    <t>--MEKFMMSK-TLK----------------------------------------------</t>
  </si>
  <si>
    <t>------------------------------------------T--GYKN-EC--------</t>
  </si>
  <si>
    <t>----------------------------QPHLHVSNKIFERT--GFPVP------SGA--</t>
  </si>
  <si>
    <t>------------------------RVPFVY------------IEDR--------------</t>
  </si>
  <si>
    <t>--------------SNPDIKQ------------------SFKAED---------PTFA--</t>
  </si>
  <si>
    <t>---------RENG------------------------LIVD-------------RLF---</t>
  </si>
  <si>
    <t>------YI-----EH------------------QLLKPICSLFEP---------------</t>
  </si>
  <si>
    <t>--LLD-NP-E----------EEIFR-----------------------------------</t>
  </si>
  <si>
    <t>----HPLIKGKI------------EELKK-------------------------------</t>
  </si>
  <si>
    <t>--------------------------------------------TFKADLRDAK------</t>
  </si>
  <si>
    <t>-RT---------------------------------------------------------</t>
  </si>
  <si>
    <t>-------------------------------KKNIANN----------------------</t>
  </si>
  <si>
    <t>------------------------------------QR---------------EI-----</t>
  </si>
  <si>
    <t>-------------------T-S------------------------FFKKK---------</t>
  </si>
  <si>
    <t>------------------------------------------MTDITIF-----------</t>
  </si>
  <si>
    <t>----------------------------------------------RAEDV---------</t>
  </si>
  <si>
    <t>--------------------------------FRINIFGKTA-EGKTVCVQ-TKF-----</t>
  </si>
  <si>
    <t>--------TPYF---LLEV--P--------------------ESW-----S---------</t>
  </si>
  <si>
    <t>PA----------RTNLFITETAMKY-----------------------------------</t>
  </si>
  <si>
    <t>------------DAVRPMCLSTK----RKNMWG----------F----------------</t>
  </si>
  <si>
    <t>----DGGK-MRNMVQFV---------FKTQAQLR----KAKYR-----------------</t>
  </si>
  <si>
    <t>------------------L-KD-----------------------QYQIYES--------</t>
  </si>
  <si>
    <t>-----SVDPIIRVFH-LRNINPADW------IRV-S---K-------AY----PA-QTR-</t>
  </si>
  <si>
    <t>ISN--S-DIEVETS-F----------Q------------------HLG-PV-------E-</t>
  </si>
  <si>
    <t>---DKT------VP----PLVIASWDIETY-S---------KD-----R-KF--------</t>
  </si>
  <si>
    <t>--------------------------------TDY-C-IQIATT----------FQK---</t>
  </si>
  <si>
    <t>-----------------YGEP-EPYRRVVVCYKQTAP-----------------------</t>
  </si>
  <si>
    <t>------------EGVEIIS-CLEES-DVMNT---WMKIL-QDEKTDV-SIG-YNTWQY--</t>
  </si>
  <si>
    <t>MCVDDMTGEDKVK--------LSNLGRLLSG-----------------------------</t>
  </si>
  <si>
    <t>-NAED------------------------------------RAIIA--------------</t>
  </si>
  <si>
    <t>DLTEMANAVKVPVDYINFRGQQIRAFSCLVGKARQM--------NY--------------</t>
  </si>
  <si>
    <t>-AIPD-DKA---------------------------------------------------</t>
  </si>
  <si>
    <t>-----------------WATEG--------------------------------------</t>
  </si>
  <si>
    <t>--------------EK-R----------FE-NV--------P--------G---------</t>
  </si>
  <si>
    <t>---------------KF-----------------KYAQ----------------------</t>
  </si>
  <si>
    <t>----EGQGVVPA-LLDDLAKFRKLAK----------------------------------</t>
  </si>
  <si>
    <t>---KHMAEAK--------------------------------------------RNG---</t>
  </si>
  <si>
    <t>---------------------D----------------------------DF-KEAL---</t>
  </si>
  <si>
    <t>-----------NSVYGFLGASK-GFIPCV--------P-IAASVTATGR-----------</t>
  </si>
  <si>
    <t>-------------------------KMIEHTAKRAVELLPG-------------------</t>
  </si>
  <si>
    <t>---------------------------KMKLPDDK-------------------------</t>
  </si>
  <si>
    <t>VKFE---------------EPD-EKGKVDVKG-------LALVRRDFSPITRDI-LKESL</t>
  </si>
  <si>
    <t>---------------------------TPT-AVSE-------------TLERIRKVL---</t>
  </si>
  <si>
    <t>---------------DNEYP----------------------------------------</t>
  </si>
  <si>
    <t>----------------------------QPHLHVANKIYERT--GFPVP------SGA--</t>
  </si>
  <si>
    <t>------------------------RVPFVY------------IEDK--------------</t>
  </si>
  <si>
    <t>--------------KNPDIKQ------------------SFKAED---------PTFA--</t>
  </si>
  <si>
    <t>---------QDNG------------------------LIVD-------------RLF---</t>
  </si>
  <si>
    <t>--LLD-DP-E----------KEIFG-----------------------------------</t>
  </si>
  <si>
    <t>----HRLIKEKI------------ENLKN-------------------------------</t>
  </si>
  <si>
    <t>--------------------------------------------VFKADLKVAK------</t>
  </si>
  <si>
    <t>-RV---------------------------------------------------------</t>
  </si>
  <si>
    <t>--------MFF-------------------------------------------------</t>
  </si>
  <si>
    <t>------------------------------VVCPRCIISTKRAYDTKFHNI---------</t>
  </si>
  <si>
    <t>---------------------------QYYNL--SSD-----------------------</t>
  </si>
  <si>
    <t>------------------------------------------MTSLTVF-----------</t>
  </si>
  <si>
    <t>----------------------------------------------RSGD----------</t>
  </si>
  <si>
    <t>-------------------------------EGEQ-------------------------</t>
  </si>
  <si>
    <t>--------------------------------FRINLFGKTP-DGKTACIR-IRF-----</t>
  </si>
  <si>
    <t>--------TPVF---LLEL--P--------------------AAW-----S---------</t>
  </si>
  <si>
    <t>PS----------RQKLFITETAIKY-----------------------------------</t>
  </si>
  <si>
    <t>------------GAIKDMCLPVK----KRSMWG----------F----------------</t>
  </si>
  <si>
    <t>----DGGV-MRNLAQFA---------FPTLEKMR----KAKYG-----------------</t>
  </si>
  <si>
    <t>------------------L-KR-----------------------DYQIYES--------</t>
  </si>
  <si>
    <t>-----NVDPIVRLFH-IRKINPAGW------VQI-K---Q-------SY----PV-MTR-</t>
  </si>
  <si>
    <t>ISR--S-DIEVDCN-F----------T------------------TVS-GS-------E-</t>
  </si>
  <si>
    <t>---LTT------PP----PLVIASWDIETY-S---------KE-----R-KF--------</t>
  </si>
  <si>
    <t>---PLS--SNP-------------------------------------------------</t>
  </si>
  <si>
    <t>--------------------------------TDY-V-TQIATS----------FQR---</t>
  </si>
  <si>
    <t>-----------------YGEE-EPYRRVVVCFKDTGK-----------------------</t>
  </si>
  <si>
    <t>------------DGVEIVS-CSEEQ-DMINA---WMTIV-SEEKTDV-LIG-YNVFQY--</t>
  </si>
  <si>
    <t>MLVDDASADDTVF--------VDTLGRLLEG-----------------------------</t>
  </si>
  <si>
    <t>L-DTPGV-----IQLD----------------LLQWMRKN-R-NLES--------YSLNN</t>
  </si>
  <si>
    <t>-------------------------QKDD---------L---------------------</t>
  </si>
  <si>
    <t>-GPDD------------------------------------RAVIA--------------</t>
  </si>
  <si>
    <t>DITEMANAVKVPVDWIGFRGQQVRAFSCLFGKAREM--------NY--------------</t>
  </si>
  <si>
    <t>-----------------WAAEG--------------------------------------</t>
  </si>
  <si>
    <t>--------------DA-R----------YK-NL--------P--------G---------</t>
  </si>
  <si>
    <t>----------YEI---------------GTG-IG--------------------------</t>
  </si>
  <si>
    <t>---------------TF-----------------RYSQ----------------------</t>
  </si>
  <si>
    <t>----------------------------------------QS------------------</t>
  </si>
  <si>
    <t>------QGVVPA-LLDDLAKFRKNAK----------------------------------</t>
  </si>
  <si>
    <t>---KLMAAAH--------------------------------------------KEG---</t>
  </si>
  <si>
    <t>-----------------YDA-------SQR--------SYK-------------------</t>
  </si>
  <si>
    <t>-----------NSVYGFLGASK-GFLPCV--------P-IAASVTATGR-----------</t>
  </si>
  <si>
    <t>-------------------------NMIDVASRRAIELLPG-------------------</t>
  </si>
  <si>
    <t>---------------------------KMKLPEGK-------------------------</t>
  </si>
  <si>
    <t>AKWL---------A-GEITKEYRA------------------------------------</t>
  </si>
  <si>
    <t>IKYE---------------DPE-EKGKVDVKG-------LALVRRDFSPITREI-LKESL</t>
  </si>
  <si>
    <t>DTIL----------FA----------KD--------------------------------</t>
  </si>
  <si>
    <t>---------------------------TPT-AVKD-------------TREKIRKVL---</t>
  </si>
  <si>
    <t>--MEKFVMSK-TLK----------------------------------------------</t>
  </si>
  <si>
    <t>------------------------------------------T--GYKN-EM--------</t>
  </si>
  <si>
    <t>----------------------------QPHLIVANKIFDRT--GFPVP------SGA--</t>
  </si>
  <si>
    <t>------------------------RVPFVY------------VEDK--------------</t>
  </si>
  <si>
    <t>--------------DNIDAKQ------------------SMRAED---------PKYA--</t>
  </si>
  <si>
    <t>---------MDNG------------------------LIVD-------------RLF---</t>
  </si>
  <si>
    <t>------YI-----NH------------------QLLKPLTSLFEP---------------</t>
  </si>
  <si>
    <t>--LVD-HP-E----------KELFG-----------------------------------</t>
  </si>
  <si>
    <t>----HVDVVGKI------------EALTT-------------------------------</t>
  </si>
  <si>
    <t>--------------------------------------------RHKAELKDTK------</t>
  </si>
  <si>
    <t>-------------------------------KKNVANN----------------------</t>
  </si>
  <si>
    <t>-------------------T-S------------------------FFKPKTLKL-----</t>
  </si>
  <si>
    <t>--------------------------------------------MIDVF-----------</t>
  </si>
  <si>
    <t>---------------PTDF-----------------------------------------</t>
  </si>
  <si>
    <t>-------------------------------ENEQ-------------------------</t>
  </si>
  <si>
    <t>--------------------------------FKINLFGKTQ-DGLTACVR-VRF-----</t>
  </si>
  <si>
    <t>--------TPVF---LLEL--P--------------------ESW-----S---------</t>
  </si>
  <si>
    <t>DP----------RKKLFITETALKY-----------------------------------</t>
  </si>
  <si>
    <t>------------GAVKDLCLPVK----RKSLWG----------F----------------</t>
  </si>
  <si>
    <t>----DGGK-ERTLAQFA---------FPSLEKMK----KAKYA-----------------</t>
  </si>
  <si>
    <t>------------------L-KR-----------------------SHQIYES--------</t>
  </si>
  <si>
    <t>-----NIDPIVRLFH-IRKISPAGW------VQI-R---Q-------SV----PA-TTR-</t>
  </si>
  <si>
    <t>ISR--S-DIEIECN-F----------S------------------SLY-PS-------D-</t>
  </si>
  <si>
    <t>---VTS------PP----PLVFASWDIETY-S---------RE-----R-KF--------</t>
  </si>
  <si>
    <t>---PLA--SNP-------------------------------------------------</t>
  </si>
  <si>
    <t>-----------------YGET-EPFRRVVVCFKDTAE-----------------------</t>
  </si>
  <si>
    <t>------------DGVEIVS-CVEEQ-DVINA---WMDIV-AEEKTDV-LLG-YNVFQY--</t>
  </si>
  <si>
    <t>MLVDDSTATETVF--------LDKLGRLCEG-----------------------------</t>
  </si>
  <si>
    <t>L-DTPGV-----IQLD----------------LLQWLRKN-R-NLDS--------YSLNN</t>
  </si>
  <si>
    <t>VSKMYLG-----------------------------------------------------</t>
  </si>
  <si>
    <t>-DADD------------------------------------RAVIA--------------</t>
  </si>
  <si>
    <t>DVTEMANAVNVPVDWINFRGQQVRAFSCLFGKAREM--------NY--------------</t>
  </si>
  <si>
    <t>-----------------WTTEG--------------------------------------</t>
  </si>
  <si>
    <t>Y----------------------FEPIA-ALDF---------------------------</t>
  </si>
  <si>
    <t>-ASLY-------------------PSIIRANNMSPETLVM--------------------</t>
  </si>
  <si>
    <t>--------------DA-R----------YA-NI--------P--------G---------</t>
  </si>
  <si>
    <t>----------YEI---------------ATG-IG--------------------------</t>
  </si>
  <si>
    <t>----------------------------------------KS------------------</t>
  </si>
  <si>
    <t>---KLMAIAH--------------------------------------------KEG---</t>
  </si>
  <si>
    <t>---------------------D----------------------------EF-KEAL---</t>
  </si>
  <si>
    <t>-----------NSVYGFLGANK-GFIPCV--------P-IAASVTATGR-----------</t>
  </si>
  <si>
    <t>-------------------------SMIDIAAKRAKELLPG-------------------</t>
  </si>
  <si>
    <t>-------------SEIIYGD----------------------------------------</t>
  </si>
  <si>
    <t>---------------------------KMKLPSGK-------------------------</t>
  </si>
  <si>
    <t>AKWL---------A-GEITKEYKA------------------------------------</t>
  </si>
  <si>
    <t>VKFE---------------DPS-EKGKVDVKG-------IALVRRDFSPITREI-LKESL</t>
  </si>
  <si>
    <t>DTIL----------FA----------QD--------------------------------</t>
  </si>
  <si>
    <t>---------------------------KEL-AVTD-------------TRRKIRMVL---</t>
  </si>
  <si>
    <t>--MEKFVMSK-TLR----------------------------------------------</t>
  </si>
  <si>
    <t>----------------------------QPHLIVANKIFERT--SFPVP------SGA--</t>
  </si>
  <si>
    <t>--------------NNIDAKQ------------------SMRAED---------PTFA--</t>
  </si>
  <si>
    <t>---------KDNG------------------------LIVD-------------RLF---</t>
  </si>
  <si>
    <t>------YI-----EH------------------QLMKPLISLFDP---------------</t>
  </si>
  <si>
    <t>--LVE-NP-E----------LELFG-----------------------------------</t>
  </si>
  <si>
    <t>----HPDVVGKI------------DALKA-------------------------------</t>
  </si>
  <si>
    <t>--------------------------------------------THKSDLKDTK------</t>
  </si>
  <si>
    <t>-------------------------------KKNKANN----------------------</t>
  </si>
  <si>
    <t>-------------------T-S------------------------FFKPK---------</t>
  </si>
  <si>
    <t>-------MTWH-------------------------------------------------</t>
  </si>
  <si>
    <t>------------------------------LYRHTGYIRTLRH---QFCKI---------</t>
  </si>
  <si>
    <t>--------------------------------------------IMDIY-----------</t>
  </si>
  <si>
    <t>---------------PVDW-----------------------------------------</t>
  </si>
  <si>
    <t>-------------------------------ENGQ-------------------------</t>
  </si>
  <si>
    <t>--------------------------------FKITMFGKTV-DGKSSCVR-IRF-----</t>
  </si>
  <si>
    <t>--------TPSF---LLEM--P--------------------DSW-----S---------</t>
  </si>
  <si>
    <t>AP----------RQRLFITETVMKY-----------------------------------</t>
  </si>
  <si>
    <t>------------GAIKDMCLPVQ----RKSLWG----------F----------------</t>
  </si>
  <si>
    <t>----DNGK-TRNMAQFA---------FPTMEAMR----KAKYG-----------------</t>
  </si>
  <si>
    <t>------------------L-KG-----------------------NHQVYES--------</t>
  </si>
  <si>
    <t>-----SVDPIIRLFH-LRKLSPSGW------VRV-S---Q-------SY----PA-MTR-</t>
  </si>
  <si>
    <t>VSR--C-DIEVECN-F----------T------------------QVG-PS-------D-</t>
  </si>
  <si>
    <t>---VVT------TP----PLVIASWDIETY-S---------RE-----R-KF--------</t>
  </si>
  <si>
    <t>--------------------------------DDY-V-TQIATS----------FQR---</t>
  </si>
  <si>
    <t>-----------------YGEA-EPFKRVVFCLNDTAD-----------------------</t>
  </si>
  <si>
    <t>------------QGVEIVS-CSQEA-DVINA---WMDAI-TKEKTDV-LIG-YNVFQY--</t>
  </si>
  <si>
    <t>MLVDDATAEETVF--------PEKLGYLLED-----------------------------</t>
  </si>
  <si>
    <t>L-DTPGV-----IQLD----------------LLQWFRKN-R-NLES--------YSLNN</t>
  </si>
  <si>
    <t>-DAED------------------------------------RAVIA--------------</t>
  </si>
  <si>
    <t>DVAEMANAVKIPMDWVGFRGQQVRAFSCLFGKAREM--------GY--------------</t>
  </si>
  <si>
    <t>-AIPD-NKA---------------------------------------------------</t>
  </si>
  <si>
    <t>-----------------WPAEG--------------------------------------</t>
  </si>
  <si>
    <t>-ASLY-------------------PSIIRAHNMSPETIVM--------------------</t>
  </si>
  <si>
    <t>--------------EP-K----------FA-NV--------P--------G---------</t>
  </si>
  <si>
    <t>----------YEI---------------QTG-IG--------------------------</t>
  </si>
  <si>
    <t>---------------KF-----------------RYSQ----------------------</t>
  </si>
  <si>
    <t>---KLMAQAH--------------------------------------------KEG---</t>
  </si>
  <si>
    <t>-------------------------NMIDVAARRALELLPG-------------------</t>
  </si>
  <si>
    <t>-------------SVVVYGD----------------------------------------</t>
  </si>
  <si>
    <t>IKFE---------------DPN-EKGKVDVKG-------LALVRRDFSPITRDI-LKESL</t>
  </si>
  <si>
    <t>----------------------------QPHLIVANKILERT--GVPVP------SGA--</t>
  </si>
  <si>
    <t>------------------------RVPFVY------------VEDD--------------</t>
  </si>
  <si>
    <t>--------------DKIDLKQ------------------SMRAED---------PTFA--</t>
  </si>
  <si>
    <t>---------QNNG------------------------LVVD-------------RLF---</t>
  </si>
  <si>
    <t>------YI-----DH------------------QLLKPLVSLFDP---------------</t>
  </si>
  <si>
    <t>--LVD-DP-E----------KELFG-----------------------------------</t>
  </si>
  <si>
    <t>----HEDVVEKI------------EMLKN-------------------------------</t>
  </si>
  <si>
    <t>--------------------------------------------VHNKQLKVTK------</t>
  </si>
  <si>
    <t>-------------------------------KKNASNR----------------------</t>
  </si>
  <si>
    <t>------------------------------------QH---------------EI-----</t>
  </si>
  <si>
    <t>-------------------T-S------------------------FFKTKGK-------</t>
  </si>
  <si>
    <t>-----------------------------------QK-----------------------</t>
  </si>
  <si>
    <t>------------------------------------------SAKMKVY-----------</t>
  </si>
  <si>
    <t>---------------ILEW-----------------------------------------</t>
  </si>
  <si>
    <t>----------------------------------------------DHRDYCSSTGS---</t>
  </si>
  <si>
    <t>--------------------------------FEIIGFGKTP-DGQSIVVR-IQF-----</t>
  </si>
  <si>
    <t>--------YPFM---YVKV--P--------------------QHW-----S---------</t>
  </si>
  <si>
    <t>DS----------RQRLFVAECVKDL-----------------------------------</t>
  </si>
  <si>
    <t>------------RVQSVHSCPIS----LKDAWG----------Y----------------</t>
  </si>
  <si>
    <t>----SESP-GK-FVQLA---------FDTLKRQK----VARSR-----------------</t>
  </si>
  <si>
    <t>------------------LVNN-----------------------NYDIYEG--------</t>
  </si>
  <si>
    <t>-----NVDPIIRMCH-VRKISPTGW------ISIES---Y-------SD----AA-EQT-</t>
  </si>
  <si>
    <t>FQR--S-DLEISCE-F----------T------------------HIH-PC-------D-</t>
  </si>
  <si>
    <t>---DTS------IP----PLILCSWDIEVY-S---------HD-----G-AF--------</t>
  </si>
  <si>
    <t>---PTS--DHP-------------------------------------------------</t>
  </si>
  <si>
    <t>--------------------------------ENK-V-IQVAAA----------FKR---</t>
  </si>
  <si>
    <t>-----------------LGES-DPYRKVVICLDTTSP-----------------------</t>
  </si>
  <si>
    <t>------------DGADIIC-VDEEH-VLLSE---FVNIL-DTEKTDI-LMG-WNTWQF--</t>
  </si>
  <si>
    <t>VLVDD-DGDPLIN--------FTGLGRGGPK-----------------------------</t>
  </si>
  <si>
    <t>I-RAPGI-----LDLD----------------LMQLTKRD-H-KLDS--------YSLNA</t>
  </si>
  <si>
    <t>VAAKFLG-----------------------------------------------------</t>
  </si>
  <si>
    <t>-------------------------SKLD---------L---------------------</t>
  </si>
  <si>
    <t>-TADD------------------------------------RADIA--------------</t>
  </si>
  <si>
    <t>NLAQMSVATCVPMDYLLSRGQQIKVYSLILQQAKKL--------GY--------------</t>
  </si>
  <si>
    <t>-ALPD-NKR---------------------------------------------------</t>
  </si>
  <si>
    <t>-----------------MTISG--------------------------------------</t>
  </si>
  <si>
    <t>Y----------------------FDIIS-GLDF---------------------------</t>
  </si>
  <si>
    <t>-ASLY-------------------PSIIRSYNMCYSTLV---------------------</t>
  </si>
  <si>
    <t>--------------------------------L--------P--------GS--------</t>
  </si>
  <si>
    <t>-----------PMP-SDT------------------------------------------</t>
  </si>
  <si>
    <t>----------YSV---------------ETG-LG--------------------------</t>
  </si>
  <si>
    <t>---------------TY-----------------TFAQ----------------------</t>
  </si>
  <si>
    <t>----------------------------------------GQ------------------</t>
  </si>
  <si>
    <t>------KGIVPQ-LLENLAVWRKNAK----------------------------------</t>
  </si>
  <si>
    <t>---KKMAECK--------------------------------------------KNG---</t>
  </si>
  <si>
    <t>---------------------D----------------------------TF-GASV---</t>
  </si>
  <si>
    <t>-----------------WNG-------AQL--------AFK-------------------</t>
  </si>
  <si>
    <t>--------------VSA-------------------------------------------</t>
  </si>
  <si>
    <t>-------------------------NMIEKTKNMAMQLVPG-------------------</t>
  </si>
  <si>
    <t>-------------SNVVYGD----------------------------------------</t>
  </si>
  <si>
    <t>---------------------------QFNVPEEH-------------------------</t>
  </si>
  <si>
    <t>AEDV---------A-QQISDTFPG------------------------------------</t>
  </si>
  <si>
    <t>LMFT---------------KPE-SPDYIDVKG-------LQLVRRDNAPIVKEV-SQKIL</t>
  </si>
  <si>
    <t>DSIM----------YD----------KS--------------------------------</t>
  </si>
  <si>
    <t>---------------------------VDK-ALVS-------------TKECIVRML---</t>
  </si>
  <si>
    <t>---------------SGDFP----------------------------------------</t>
  </si>
  <si>
    <t>--MESFIVSK-SLR----------------------------------------------</t>
  </si>
  <si>
    <t>------------------------------------------G--SYANPNS--------</t>
  </si>
  <si>
    <t>----------------------------QPHVQVARKIKERT--GEVIE------SGV--</t>
  </si>
  <si>
    <t>------------------------RVPYVF------------VVDE--------------</t>
  </si>
  <si>
    <t>--------------DTIHEKL-----------------ISQRAED---------PGYA--</t>
  </si>
  <si>
    <t>---------KDNH------------------------LPLD-------------YLY---</t>
  </si>
  <si>
    <t>------YL-----DN------------------QIMSPVCALLDV---------------</t>
  </si>
  <si>
    <t>--LMD-NP-A-----------SILD-----------------------------------</t>
  </si>
  <si>
    <t>----SPEISRIL------------AQMRD-------------------------------</t>
  </si>
  <si>
    <t>--------------------------------------------ERETLVRTVK------</t>
  </si>
  <si>
    <t>-------------------------------KKNRDNR----------------------</t>
  </si>
  <si>
    <t>------------------------------------QC---------------EI-----</t>
  </si>
  <si>
    <t>-------------------T-S------------------------FFKIARNQK-----</t>
  </si>
  <si>
    <t>----------------------------------KKK-----------------------</t>
  </si>
  <si>
    <t>------------------------------------------TDVMDIF-----------</t>
  </si>
  <si>
    <t>----------------------------------------------STHE----------</t>
  </si>
  <si>
    <t>--------------------------------FEVIFYGKTQ-ESESVCVR-VKF-----</t>
  </si>
  <si>
    <t>--------LPYF---YVEI--P--------------------STW-----N---------</t>
  </si>
  <si>
    <t>VY----------KRKNFLTTCV-DS-----------------------------------</t>
  </si>
  <si>
    <t>------------GANRDQSTFMS----KQNIYG----------F----------------</t>
  </si>
  <si>
    <t>----TNGS-TITVLRLA---------FDTMQKFK----YMKRQ-----------------</t>
  </si>
  <si>
    <t>------------------LENK-----------------------RMQLYET--------</t>
  </si>
  <si>
    <t>-----SCDQIIRLMH-VRNILPCKW------IHIER---F-------ST----P--EQR-</t>
  </si>
  <si>
    <t>ISR--C-QKEVKVH-F----------Q------------------WVT-PS-------T-</t>
  </si>
  <si>
    <t>---VTS------IP----PLIIASFDIECY-S---------AS-----G-GF--------</t>
  </si>
  <si>
    <t>---PIA--ENE-------------------------------------------------</t>
  </si>
  <si>
    <t>--------------------------------GDT-I-NVICTC----------FEK---</t>
  </si>
  <si>
    <t>-----------------FGEK-EPYLKHAVVMGKSDT-----------------------</t>
  </si>
  <si>
    <t>------------DGVEVVE-KMTEE-DVIQE---WIQTL-QNEDIDI-LVA-WNSYGF--</t>
  </si>
  <si>
    <t>VLVDNDTGLSFVD--------LSQLGKAQKG-----------------------------</t>
  </si>
  <si>
    <t>I-SAPGI-----LHLD----------------LMQIVRKE-K-KLDR--------YTLNH</t>
  </si>
  <si>
    <t>VSDTYLG-----------------------------------------------------</t>
  </si>
  <si>
    <t>-------------------------TKID---------L---------------------</t>
  </si>
  <si>
    <t>-DPHD------------------------------------LAEVT--------------</t>
  </si>
  <si>
    <t>NMLEMANATSVPFDFLITRGLQIRVYSLILKKARSL--------DF--------------</t>
  </si>
  <si>
    <t>-ICPEIKTT---------------------------------------------------</t>
  </si>
  <si>
    <t>-----------------YEGDG--------------------------------------</t>
  </si>
  <si>
    <t>YLKP-------------------YEIVC-ALDF---------------------------</t>
  </si>
  <si>
    <t>-ASLY-------------------PSIMRAENMCLSSLVL--------------------</t>
  </si>
  <si>
    <t>--------------DD-E---------MYG-QC--------E--------G---------</t>
  </si>
  <si>
    <t>----------YTI---------------ETP-IG--------------------------</t>
  </si>
  <si>
    <t>---------------IF-----------------KFAQ----------------------</t>
  </si>
  <si>
    <t>----------------------------------------NT------------------</t>
  </si>
  <si>
    <t>------VSVLPS-LLDDLAQFRKQSK----------------------------------</t>
  </si>
  <si>
    <t>---KLMAEAK--------------------------------------------EQG---</t>
  </si>
  <si>
    <t>---------------------D----------------------------TE-MEKV---</t>
  </si>
  <si>
    <t>-----------------HNS-------SQL--------AYK-------------------</t>
  </si>
  <si>
    <t>--------------ICM-------------------------------------------</t>
  </si>
  <si>
    <t>-----------NSVYGALGVTR-GYLPCI--------P-IAVSVTSTGR-----------</t>
  </si>
  <si>
    <t>-------------------------NMISQTRDLVHTLNPG-------------------</t>
  </si>
  <si>
    <t>-------------SRVIYGD----------------------------------------</t>
  </si>
  <si>
    <t>A-----------------------------------------------------------</t>
  </si>
  <si>
    <t>---------------------------ILNPPH---------------------------</t>
  </si>
  <si>
    <t>AEKL---------A-DQISQTFKK------------------------------------</t>
  </si>
  <si>
    <t>MLYT---------------NPH-TPDYMDAKG-------LQLIRRDSCPFVREM-SHAIL</t>
  </si>
  <si>
    <t>DSIM----------QD----------RQ--------------------------------</t>
  </si>
  <si>
    <t>---------------------------VDL-AISK-------------AKEYVLKLL---</t>
  </si>
  <si>
    <t>---------------RHEVP----------------------------------------</t>
  </si>
  <si>
    <t>--FDAFIVSK-TLK----------------------------------------------</t>
  </si>
  <si>
    <t>------------------------------------------N--TYKNPDS--------</t>
  </si>
  <si>
    <t>----------------------------QPHLQVALKIAERR--GYPVP------SNE--</t>
  </si>
  <si>
    <t>------------------------RVPFVI------------IQDP--------------</t>
  </si>
  <si>
    <t>--------------SNVDLLI------------------AHRAED---------PNYA--</t>
  </si>
  <si>
    <t>---------TEHG------------------------LKLD-------------TLH---</t>
  </si>
  <si>
    <t>------YF-----DS------------------QVTGPLESLMEI---------------</t>
  </si>
  <si>
    <t>--LES-GAMQ----------KYILD-----------------------------------</t>
  </si>
  <si>
    <t>----DEDIQPLL------------HDLRN-------------------------------</t>
  </si>
  <si>
    <t>--------------------------------------------QRHVDTKEAK------</t>
  </si>
  <si>
    <t>-------------------------------RKNVMNR----------------------</t>
  </si>
  <si>
    <t>-------------------S-S------------------------YFFTKPR-------</t>
  </si>
  <si>
    <t>----------------------------------------------EFNSF---------</t>
  </si>
  <si>
    <t>----------------------------VKNL--RFK-----------------------</t>
  </si>
  <si>
    <t>------------------------------------------ID-MFVF-----------</t>
  </si>
  <si>
    <t>---------------PVHW-----------------------------------------</t>
  </si>
  <si>
    <t>----------------------------------------------STRE----------</t>
  </si>
  <si>
    <t>--------------------------------FEIVVYGKTN-TGTSICCR-IVF-----</t>
  </si>
  <si>
    <t>--------PPFF---YIGI--P--------------------QHW-----S---------</t>
  </si>
  <si>
    <t>KA----------QKRAFKQTCILEK-----------------------------------</t>
  </si>
  <si>
    <t>------------KCDPKLTDYVV----RKNIYG----------F----------------</t>
  </si>
  <si>
    <t>----TNNK-DIVVLRVV---------FRTLKDLR----FLKKE-----------------</t>
  </si>
  <si>
    <t>------------------ME-R-----------------------KYQTYEA--------</t>
  </si>
  <si>
    <t>-----QVDPILKLMH-VRDIQPSGW------MDVKGT-CI-------SN----P--DMK-</t>
  </si>
  <si>
    <t>ISV--C-DEEVMVD-F----------L------------------RVG-PAP------D-</t>
  </si>
  <si>
    <t>---MDT------PP----PIVLASFDIECY-S---------AS-----G-GF--------</t>
  </si>
  <si>
    <t>---PVA--ENE-------------------------------------------------</t>
  </si>
  <si>
    <t>--------------------------------GDA-I-KVVCTC----------FQM---</t>
  </si>
  <si>
    <t>-----------------FGTS-QPYLKHAIVWGQCAA-----------------------</t>
  </si>
  <si>
    <t>------------EGVEVFV-AEDEA-ELIEE---WFRVL-RRESADM-IVS-WNGFGF--</t>
  </si>
  <si>
    <t>MLVNQFSGETLIN--------MELMGKSKEG-----------------------------</t>
  </si>
  <si>
    <t>M-SADGM-----VHVD----------------LLQVVRKE-K-KLDK--------YTLNH</t>
  </si>
  <si>
    <t>VAQTFLG-----------------------------------------------------</t>
  </si>
  <si>
    <t>-------------------------HKVD---------L---------------------</t>
  </si>
  <si>
    <t>-DPKD------------------------------------MAEVV--------------</t>
  </si>
  <si>
    <t>----------------------------V-------------------------------</t>
  </si>
  <si>
    <t>NMLEMSNAVMVPLEYLITRGMQIRVFSLILKKSRSM--------NY--------------</t>
  </si>
  <si>
    <t>-ICPDLQKD---------------------------------------------------</t>
  </si>
  <si>
    <t>-----------------KDDSGG-----------------GD------------------</t>
  </si>
  <si>
    <t>YLQD-------------------HEIVS-CFDF---------------------------</t>
  </si>
  <si>
    <t>-ASLY-------------------PSIIRAENLCYSTLVM--------------------</t>
  </si>
  <si>
    <t>--------------ND-E----------YD-NL--------P--------G---------</t>
  </si>
  <si>
    <t>----------YTC---------------QTP-QG--------------------------</t>
  </si>
  <si>
    <t>----------------------------------------GV------------------</t>
  </si>
  <si>
    <t>------QSVLPA-LLNDLSLFRKKAK----------------------------------</t>
  </si>
  <si>
    <t>---KLMAEHK--------------------------------------------------</t>
  </si>
  <si>
    <t>---------------------G----------------------------TE-KEKI---</t>
  </si>
  <si>
    <t>-----------------FNG-------QQL--------AYK-------------------</t>
  </si>
  <si>
    <t>--------------IAM-------------------------------------------</t>
  </si>
  <si>
    <t>-----------NSCYGFLGSSH-GYLGCL--------P-IATTVTSTGR-----------</t>
  </si>
  <si>
    <t>-------------------------QMIETTKQCVLKLNPG-------------------</t>
  </si>
  <si>
    <t>-------------ARVIYGD----------------------------------------</t>
  </si>
  <si>
    <t>-----------------------------------------------TGT----------</t>
  </si>
  <si>
    <t>---------------------------FV-------------------------------</t>
  </si>
  <si>
    <t>------------------------------------------------IPM---------</t>
  </si>
  <si>
    <t>-------------------------------------EDRTVSS----------------</t>
  </si>
  <si>
    <t>---------------------PAAPQVSESTRSAA-------------------------</t>
  </si>
  <si>
    <t>-----------------------------------GR-----------------------</t>
  </si>
  <si>
    <t>------------------------------------------DGALVAF-----------</t>
  </si>
  <si>
    <t>---------------VHSW-----------------------------------------</t>
  </si>
  <si>
    <t>----------------------------------------------RIQDVGD-------</t>
  </si>
  <si>
    <t>--------------------------------CEMIGFGKTE-DGRDLCLR-APF-----</t>
  </si>
  <si>
    <t>--------TPFF---FVKV--P--------------------DTKQ----S---------</t>
  </si>
  <si>
    <t>PM----------ASRYFASRVYDSVR----------------------------------</t>
  </si>
  <si>
    <t>-----------GGLCKHLCRVMH----RVPFIG----------F----------------</t>
  </si>
  <si>
    <t>----TNRE-PKAFVQLV---------FDSLEAAK----QAKYM-----------------</t>
  </si>
  <si>
    <t>------------------LRRQ------------------------HTLFET--------</t>
  </si>
  <si>
    <t>-----NVDPMLKAFH-IYDLDPVGW------VRVATWSSV-------A------D-DQS-</t>
  </si>
  <si>
    <t>VST----VQEVRCSSM----------S------------------SIS-MLR------D-</t>
  </si>
  <si>
    <t>---NSD------PP----PLVVASWDIECV-S---------DT-----G-HF--------</t>
  </si>
  <si>
    <t>---PDS--SLV-------------------------------------------------</t>
  </si>
  <si>
    <t>--------------------------------RDR-I-ITIGTA----------YAM---</t>
  </si>
  <si>
    <t>-----------------FESPDQPFLKTVHQLGTCHP-----------------------</t>
  </si>
  <si>
    <t>------------EGVEVHC-HDKEH-QLINA---WIRET-VDMRTDI-LLG-YNTYGF--</t>
  </si>
  <si>
    <t>CLVDFGSGQPRVR--------LEEWGKMKEDHG---------------------------</t>
  </si>
  <si>
    <t>H-DTPGM-----LSVD----------------LLQIYRKE-L-KMES--------YTLDN</t>
  </si>
  <si>
    <t>MCRTYLDN----------------------------------------------------</t>
  </si>
  <si>
    <t>-APDG------------------------------------RTQIA--------------</t>
  </si>
  <si>
    <t>NLVEFSKATCVPMDFLLVRGQQIRCLSLIARKAKTM--------GY--------------</t>
  </si>
  <si>
    <t>-LINDTQQHGRF------------------------------------------------</t>
  </si>
  <si>
    <t>-----------------GDDAGG-----------------DD------------------</t>
  </si>
  <si>
    <t>YM---------------------DEVVS-VLDF---------------------------</t>
  </si>
  <si>
    <t>-ASLY-------------------PSIMMAHCLCPTTLVA--------------------</t>
  </si>
  <si>
    <t>--------------DE-R----------WA-AV--------E--------G---------</t>
  </si>
  <si>
    <t>----------FRV---------------DVA-PG--------------------------</t>
  </si>
  <si>
    <t>--------------HTV-----------------AFAQ----------------------</t>
  </si>
  <si>
    <t>----------------------------------------TPD-----------------</t>
  </si>
  <si>
    <t>------YAVIPS-LLADLKQYRKKAK----------------------------------</t>
  </si>
  <si>
    <t>---RQMALAA--------------------------------------------QEG---</t>
  </si>
  <si>
    <t>---------------------D----------------------------DV-AESL---</t>
  </si>
  <si>
    <t>-----------------YNS-------KQL--------SFK-------------------</t>
  </si>
  <si>
    <t>-----------NSVYGFFGVSK-GLLTGL--------KAISSSVCAIGR-----------</t>
  </si>
  <si>
    <t>-------------------------QMIYTTKRMVEQ--AG-------------------</t>
  </si>
  <si>
    <t>-------------HRVIYGD----------------------------------------</t>
  </si>
  <si>
    <t>---------------------------VLNLGEDK-------------------------</t>
  </si>
  <si>
    <t>AEAL---------A-AEITKVFKA------------------------------------</t>
  </si>
  <si>
    <t>LCYT---------------SPD-KPPKQDTKG-------LTLVRRDNAALVRRI-STSVL</t>
  </si>
  <si>
    <t>EKLL----------YE----------RS--------------------------------</t>
  </si>
  <si>
    <t>---------------------------FDK-ALEC-------------AQRSIIDVL---</t>
  </si>
  <si>
    <t>---------------EDRVG----------------------------------------</t>
  </si>
  <si>
    <t>--WDDFIVSK-SLR----------------------------------------------</t>
  </si>
  <si>
    <t>------------------------------------------R--DYKNPGA--------</t>
  </si>
  <si>
    <t>----------------------------LPHVVVAEKRRQR---GNPCE------YGS--</t>
  </si>
  <si>
    <t>------------------------RVPYVY------------VLDS--------------</t>
  </si>
  <si>
    <t>--------------TNQDLIT------------------SKRAEC---------PEYA--</t>
  </si>
  <si>
    <t>---------KEHG------------------------LQLD-------------KLY---</t>
  </si>
  <si>
    <t>------YI-----RQ------------------QIINPISTLLSV---------------</t>
  </si>
  <si>
    <t>--TWP-DA-E----------SKIMC-----------------------------------</t>
  </si>
  <si>
    <t>----HPAIQEKV------------MQLTS-------------------------------</t>
  </si>
  <si>
    <t>--------------------------------------------QEVSMVREAK------</t>
  </si>
  <si>
    <t>-------------------------------RTNQKNK----------------------</t>
  </si>
  <si>
    <t>-------------------T-S------------------------FFRR----------</t>
  </si>
  <si>
    <t>-----------------------------------------------FVLL---------</t>
  </si>
  <si>
    <t>-------------------------------------SRYTGHDQ---------------</t>
  </si>
  <si>
    <t>-----------------RGPLTDLPQG---------------------------------</t>
  </si>
  <si>
    <t>---------TFL---F--------------------------------------------</t>
  </si>
  <si>
    <t>---------------------------------------------------Y--------</t>
  </si>
  <si>
    <t>---PSS--T---------------------------------------------------</t>
  </si>
  <si>
    <t>---------------------------TYHYVTSVLP-----------------------</t>
  </si>
  <si>
    <t>-----------------------------M------------------------------</t>
  </si>
  <si>
    <t>------------Q-----------------------------------------------</t>
  </si>
  <si>
    <t>VCRAYLDN----------------------------------------------------</t>
  </si>
  <si>
    <t>----------------------------T-------------------------------</t>
  </si>
  <si>
    <t>NLLEFSKATCVPIEFLLVRGQQIRCLSLIARKARSM--------GY--------------</t>
  </si>
  <si>
    <t>-LINDTQQHTXXX--------------------------XIYPPP---------------</t>
  </si>
  <si>
    <t>-----------------------------------------HPVS---------------</t>
  </si>
  <si>
    <t>----------------GAGGAGP-----------------DE------------------</t>
  </si>
  <si>
    <t>YM---------------------DDVVS-VLDF---------------------------</t>
  </si>
  <si>
    <t>-ASLY-------------------PSIMMAHSICPTTMVT--------------------</t>
  </si>
  <si>
    <t>--------------DA-R----------WN-DV--------P--------G---------</t>
  </si>
  <si>
    <t>----------KRV---------------DVS-PG--------------------------</t>
  </si>
  <si>
    <t>----------------------------------------TPE-----------------</t>
  </si>
  <si>
    <t>------HAVIPS-LLADLKQYRKQAK----------------------------------</t>
  </si>
  <si>
    <t>---KGMALAA--------------------------------------------EAG---</t>
  </si>
  <si>
    <t>---------------------D----------------------------AF-AESL---</t>
  </si>
  <si>
    <t>-------------------------HMIFTTKSMVEQ--RG-------------------</t>
  </si>
  <si>
    <t>---------------------------VLNLGDAK-------------------------</t>
  </si>
  <si>
    <t>AEAL---------A-ADITTVFKA------------------------------------</t>
  </si>
  <si>
    <t>LCYT---------------SLT-KPPKQDTKG-------LTLVRRDNAALVRRI-STAVL</t>
  </si>
  <si>
    <t>HCLL----------YD----------RS--------------------------------</t>
  </si>
  <si>
    <t>---------------------------FEK-ALAC-------------AQSNILDVL---</t>
  </si>
  <si>
    <t>---------------EDRVP----------------------------------------</t>
  </si>
  <si>
    <t>--WDEFIVSK-SLR----------------------------------------------</t>
  </si>
  <si>
    <t>------------------------------------------R--DYKNPGS--------</t>
  </si>
  <si>
    <t>------------------------RVPYVY------------CLDA--------------</t>
  </si>
  <si>
    <t>--------------TNQDLIT------------------SKRAEC---------PDYA--</t>
  </si>
  <si>
    <t>---------RENS------------------------LQLD-------------KLY---</t>
  </si>
  <si>
    <t>------YI-----RQ------------------QIINPISTLLGV---------------</t>
  </si>
  <si>
    <t>--KWP-DA-A----------HKIMC-----------------------------------</t>
  </si>
  <si>
    <t>----HPAIHEHI------------MRLTS-------------------------------</t>
  </si>
  <si>
    <t>--------------------------------------------QEVTMIREAK------</t>
  </si>
  <si>
    <t>-------------------------------RTNTKNK----------------------</t>
  </si>
  <si>
    <t>-------------------T-S------------------------FFSS----------</t>
  </si>
  <si>
    <t>-----------------------------------------------FLFV---------</t>
  </si>
  <si>
    <t>-------------------------------------NRRASMD----------------</t>
  </si>
  <si>
    <t>---------------------VDTPQGGCGSSAA--------------------------</t>
  </si>
  <si>
    <t>-------------------------------------------GSLEIF-----------</t>
  </si>
  <si>
    <t>---------------ISSW-----------------------------------------</t>
  </si>
  <si>
    <t>----------------------------------------------RAMDVGD-------</t>
  </si>
  <si>
    <t>--------------------------------CEMVGFGKTQ-DGRDLCVR-APF-----</t>
  </si>
  <si>
    <t>--------TPFF---FVRV--P--------------------EGKQ----Q---------</t>
  </si>
  <si>
    <t>PM----------AARFFASQVYDAIR----------------------------------</t>
  </si>
  <si>
    <t>-----------GGLVRHMCRVVN----KVPFIG----------F----------------</t>
  </si>
  <si>
    <t>----TNRR-QRAFVQVV---------FESLDAYT----QAKYA-----------------</t>
  </si>
  <si>
    <t>------------------LRRQ-----------------------KYVLFET--------</t>
  </si>
  <si>
    <t>-----NVDPMLKCFH-IYDLDPVGW------IRVSAWLSV-------D------D-KEA-</t>
  </si>
  <si>
    <t>LSR----VREVK-TTM----------P------------------RVS-MLR------D-</t>
  </si>
  <si>
    <t>---KGD------VP----PLVVASWDIECV-S---------DT-----G-NF--------</t>
  </si>
  <si>
    <t>---PDS--SMP-------------------------------------------------</t>
  </si>
  <si>
    <t>--------------------------------KDR-I-ITIGTA----------YAM---</t>
  </si>
  <si>
    <t>-----------------FGSLDEPFLKTVHQLGSCNP-----------------------</t>
  </si>
  <si>
    <t>------------EGVEVHC-YDAEH-ELINA---WIRET-VDMQTDI-LLG-YNTYGF--</t>
  </si>
  <si>
    <t>CLVSFMSGRSRVC--------LEEWGKMKDG-----------------------------</t>
  </si>
  <si>
    <t>H-DTPGM-----VSVD----------------LLQIYRKE-L-KMES--------YTLDN</t>
  </si>
  <si>
    <t>VCRTYLDN----------------------------------------------------</t>
  </si>
  <si>
    <t>-AADG------------------------------------RTAIA--------------</t>
  </si>
  <si>
    <t>NLLEFAKATCVPIDFLLVRGQQIRCLSLIARKARSM--------GY--------------</t>
  </si>
  <si>
    <t>-LIDDTQQH---------------------------------------------------</t>
  </si>
  <si>
    <t>-----------------GGGAGE-----------------DD------------------</t>
  </si>
  <si>
    <t>YM---------------------DDIVT-VLDF---------------------------</t>
  </si>
  <si>
    <t>-ASLY-------------------PSIMMAHSLCPTTMVV--------------------</t>
  </si>
  <si>
    <t>--------------DA-A----------YD-HV--------D--------G---------</t>
  </si>
  <si>
    <t>----------KRV---------------EIA-PE--------------------------</t>
  </si>
  <si>
    <t>--------------HVV-----------------AFAQ----------------------</t>
  </si>
  <si>
    <t>------YAVIPS-LLADLKQYRKDAK----------------------------------</t>
  </si>
  <si>
    <t>---KLMARAA--------------------------------------------EAG---</t>
  </si>
  <si>
    <t>-------------------------SMIYTTKSMVEA--KG-------------------</t>
  </si>
  <si>
    <t>VSTMVS----------WMPRDDG-------------------------------------</t>
  </si>
  <si>
    <t>KEVATLP---G-LEIWSDTGWTSVDVIIRHRHTE-D--LVRVVTHTGVVDVTQH----HS</t>
  </si>
  <si>
    <t>LLR-PNGEMVKPGDVSVGD-HLMHVHGPD-------------------------------</t>
  </si>
  <si>
    <t>----------------------RDG-MT--------------------------------</t>
  </si>
  <si>
    <t>-----------------------GG------GVS--------------------------</t>
  </si>
  <si>
    <t>----------------------------LAIRNMTAV-----------------------</t>
  </si>
  <si>
    <t>-----------PYDG---YVYDVSTG----------------------------------</t>
  </si>
  <si>
    <t>---------------------------VLHLGDEK-------------------------</t>
  </si>
  <si>
    <t>AEAL---------A-AEITTVFKA------------------------------------</t>
  </si>
  <si>
    <t>LCYT---------------SLS-KPPKQDTKG-------LTLVRRDNAALVRRI-STAVL</t>
  </si>
  <si>
    <t>HCLL----------YE----------RS--------------------------------</t>
  </si>
  <si>
    <t>---------------------------FEK-ALAC-------------AQSNIIEVL---</t>
  </si>
  <si>
    <t>--WEEFIVSK-SLR----------------------------------------------</t>
  </si>
  <si>
    <t>---------REHG------------------------LQLD-------------KLY---</t>
  </si>
  <si>
    <t>--QWT-DA-E----------TKIMC-----------------------------------</t>
  </si>
  <si>
    <t>----HPTIQEHI------------MRLHS-------------------------------</t>
  </si>
  <si>
    <t>--------------------------------------------QEVNMIREAK------</t>
  </si>
  <si>
    <t>-------------------T-S------------------------FFTI----------</t>
  </si>
  <si>
    <t>--------------------------------------------KMECY-----------</t>
  </si>
  <si>
    <t>---------------IASW-----------------------------------------</t>
  </si>
  <si>
    <t>----------------------------------------------EAKDVEG-------</t>
  </si>
  <si>
    <t>--------------------------------CEIIAHGKTR-DGRDICCR-VPW-----</t>
  </si>
  <si>
    <t>--------TPFF---HVEV--P--------------------KRNQ----S---------</t>
  </si>
  <si>
    <t>EL----------GSKSFAMNLYDSTK----------------------------------</t>
  </si>
  <si>
    <t>------------GLKRPLCRVVK----KKPFVG----------F----------------</t>
  </si>
  <si>
    <t>----RHGK-KLYFVMLV---------FESLAAWK----RAKYN-----------------</t>
  </si>
  <si>
    <t>------------------SK--------------------------HTLYES--------</t>
  </si>
  <si>
    <t>-----ALDPLIKFFH-VSGVSAAGW------VTIDSYTTV-------DM----DD-DTR-</t>
  </si>
  <si>
    <t>LSK--ETVTEIKVEHH----------R------------------HMH-GAT------H-</t>
  </si>
  <si>
    <t>--LDKE------TP----PLILCSWDIEAF-S---------ES-----G-AF--------</t>
  </si>
  <si>
    <t>---PDS--AKP-------------------------------------------------</t>
  </si>
  <si>
    <t>--------------------------------SDK-V-ITIGAV----------YAR---</t>
  </si>
  <si>
    <t>-----------------FGDP-EPFSKSVHVLGSVND-----------------------</t>
  </si>
  <si>
    <t>------------EGVNVFR-YEKEE-DLIMG---FMRET-VRMRTDF-LVA-WNSYGF--</t>
  </si>
  <si>
    <t>TLIDYTTGESLID--------TTLWSKTKDPE----------------------------</t>
  </si>
  <si>
    <t>H-HTPGM-----ISVD----------------ALQIFRKE-T-KHDS--------YTLDN</t>
  </si>
  <si>
    <t>IAKHYLD-----------------------------------------------------</t>
  </si>
  <si>
    <t>------------------------------------------I-----------------</t>
  </si>
  <si>
    <t>-------------------------HKID---------L---------------------</t>
  </si>
  <si>
    <t>-DPKG------------------------------------RTDIA--------------</t>
  </si>
  <si>
    <t>GLIEFSKVTNVPIDWLLVRGQQIRVYSLIAKAARDK--------EF--------------</t>
  </si>
  <si>
    <t>-LIPDMQNS---------------------------------------------------</t>
  </si>
  <si>
    <t>---------------------GG-----------------DDG-----------------</t>
  </si>
  <si>
    <t>YT---------------------EDIIC-AMDF---------------------------</t>
  </si>
  <si>
    <t>-ASLY-------------------PSIMMAHKMCGSTLVT--------------------</t>
  </si>
  <si>
    <t>--------------DQ-E----------YA-YC--------P--------D---------</t>
  </si>
  <si>
    <t>----------YEV---------------EAA-PG--------------------------</t>
  </si>
  <si>
    <t>--------------VKV-----------------RFAQ----------------------</t>
  </si>
  <si>
    <t>----------------------------------------TDD-----------------</t>
  </si>
  <si>
    <t>------N-VIPG-LLYDLKALRKQAK----------------------------------</t>
  </si>
  <si>
    <t>---KDMEAA-----------------------------------------------D---</t>
  </si>
  <si>
    <t>---------------------T----------------------------EF-TKGL---</t>
  </si>
  <si>
    <t>-----------------LNS-------RQL--------AYK-------------------</t>
  </si>
  <si>
    <t>--------------LVM-------------------------------------------</t>
  </si>
  <si>
    <t>-----------NSLYGALGSNH-GLLCGL--------KKISMSVTATGR-----------</t>
  </si>
  <si>
    <t>-------------------------WMIHETKRLVEELNPG-------------------</t>
  </si>
  <si>
    <t>-------------SKVVYGD----------------------------------------</t>
  </si>
  <si>
    <t>---------------------------ILNCGEKN-------------------------</t>
  </si>
  <si>
    <t>AEQI---------A-DQITKHFLP------------------------------------</t>
  </si>
  <si>
    <t>LMYE---------------HPD-KTPKIDIKG-------LQLVRRDSPKLVKRI-SHGML</t>
  </si>
  <si>
    <t>EILL----------YQ----------RS--------------------------------</t>
  </si>
  <si>
    <t>---------------------------FQK-ALVY-------------VQEQILDML---</t>
  </si>
  <si>
    <t>---------------NGNVP----------------------------------------</t>
  </si>
  <si>
    <t>--FEDYIMSK-SLR----------------------------------------------</t>
  </si>
  <si>
    <t>------------------------------------------S--NYKNTN---------</t>
  </si>
  <si>
    <t>----------------------------LPHLIVSKKRQQRG--GNAFH------SGE--</t>
  </si>
  <si>
    <t>------------------------RVPFVY------------TQSE--------------</t>
  </si>
  <si>
    <t>--------------TDMDLGI------------------SQRAED---------AEYA--</t>
  </si>
  <si>
    <t>---------KDNN------------------------IPID-------------ILY---</t>
  </si>
  <si>
    <t>------YI-----KN------------------QVLTPLVTLLQL---------------</t>
  </si>
  <si>
    <t>--HYKQHA-E----------GEILN-----------------------------------</t>
  </si>
  <si>
    <t>----HREIASHM------------VRLQA-------------------------------</t>
  </si>
  <si>
    <t>--------------------------------------------LTSRLVQKSK------</t>
  </si>
  <si>
    <t>-------------------------------RTNTSNK----------------------</t>
  </si>
  <si>
    <t>-------------------T-S------------------------FFKRDP--------</t>
  </si>
  <si>
    <t>--------------VKPLCRVVK----KKPFVG----------F----------------</t>
  </si>
  <si>
    <t>----RNGK-KHYFVQLV---------FENLAMWR----RAKYG-----------------</t>
  </si>
  <si>
    <t>------------------SK--------------------------HTLYEA--------</t>
  </si>
  <si>
    <t>-----ALDPLIKFFH-VSGVPAAGW------VSITGAHT--------EI----LD-DAK-</t>
  </si>
  <si>
    <t>ISR--PHVTELKVESY----------R------------------GIERGPS------S-</t>
  </si>
  <si>
    <t>--LDNE------TP----PLVICSWDIEAF-S---------ES-----G-AF--------</t>
  </si>
  <si>
    <t>---PDS--SKP-------------------------------------------------</t>
  </si>
  <si>
    <t>-----------------FGDP-TPIAQSVHVLGTANP-----------------------</t>
  </si>
  <si>
    <t>------------DGVDVYT-YDREE-DLITG---FMMET-VRRRTDL-LLA-WNSYGF--</t>
  </si>
  <si>
    <t>TLIDDQTGKSLLD--------MTVWSKTKDPE----------------------------</t>
  </si>
  <si>
    <t>H-NTPGI-----ISVD----------------ALQIFRKE-T-KHDS--------YTLDN</t>
  </si>
  <si>
    <t>-------------------------SKID---------L---------------------</t>
  </si>
  <si>
    <t>-DPTG------------------------------------RTEIA--------------</t>
  </si>
  <si>
    <t>GLIEFSKVTHVPIDWLLLRGQQIRVYSLICKAARDK--------DY--------------</t>
  </si>
  <si>
    <t>-LVPDMQQS---------------------------------------------------</t>
  </si>
  <si>
    <t>---------------------SG-----------------DD------------------</t>
  </si>
  <si>
    <t>YT---------------------QDIVC-AMDF---------------------------</t>
  </si>
  <si>
    <t>-ASLY-------------------PSIMMAHNMCGSTLVI--------------------</t>
  </si>
  <si>
    <t>--------------DP-Q----------YA-YC--------T--------G---------</t>
  </si>
  <si>
    <t>---------------VDY------------------------------------------</t>
  </si>
  <si>
    <t>----------YEI---------------EAA-PG--------------------------</t>
  </si>
  <si>
    <t>----------------------------------------TTD-----------------</t>
  </si>
  <si>
    <t>---RDMATA-----------------------------------------------D---</t>
  </si>
  <si>
    <t>---------------------N----------------------------DF-TKGL---</t>
  </si>
  <si>
    <t>-------------------------WMIHETKRLVETLNPG-------------------</t>
  </si>
  <si>
    <t>LAARVT----------WVPRGDG-------------------------------------</t>
  </si>
  <si>
    <t>KEVAYHD---G-LEIWSDQGWTSVRAIIRHQHTD-P--LVRVATHTGVVDVTAH----HS</t>
  </si>
  <si>
    <t>LVR-PNGEMVKPTDLSIGD-ALMHADGPHIP-----------------------------</t>
  </si>
  <si>
    <t>----------------------QET-LESLATQKIT------------------------</t>
  </si>
  <si>
    <t>------GHVAAATVFR--ALRSAGH------HVTISS-----------------------</t>
  </si>
  <si>
    <t>-----------CTGDTYTVSTRSRHDNDTCIQSMTEI-----------------------</t>
  </si>
  <si>
    <t>-----------PYHG---YVYDVTTD----------------------------------</t>
  </si>
  <si>
    <t>---------------------------ILNCGEEH-------------------------</t>
  </si>
  <si>
    <t>AEDL---------A-EQITKHFLP------------------------------------</t>
  </si>
  <si>
    <t>LMYE---------------RPD-GTPKIDIKG-------LQLVRRDSPKLVKRI-SHGML</t>
  </si>
  <si>
    <t>EILL----------HE----------RS--------------------------------</t>
  </si>
  <si>
    <t>---------------------------FEK-ALVY-------------VQNQILDML---</t>
  </si>
  <si>
    <t>---------------QDRVP----------------------------------------</t>
  </si>
  <si>
    <t>--FEEYVMSK-SLR----------------------------------------------</t>
  </si>
  <si>
    <t>----------------------------LPHLVVSRKRVSRG--GTPFH------SGE--</t>
  </si>
  <si>
    <t>------------------------RVPFVY------------TRTE--------------</t>
  </si>
  <si>
    <t>--------------TEMDLGI------------------SQRAED---------ADYA--</t>
  </si>
  <si>
    <t>---------RDNN------------------------IPID-------------TLY---</t>
  </si>
  <si>
    <t>--HYK-HA-E----------GEILN-----------------------------------</t>
  </si>
  <si>
    <t>----HAEIASHM------------VRLQA-------------------------------</t>
  </si>
  <si>
    <t>-------------------------------RTNTSNN----------------------</t>
  </si>
  <si>
    <t>VKSKYIDRRIPHIRQTSGNLVLSVDFIAWIIAPVS-----------IFITLCNNGDAGGG</t>
  </si>
  <si>
    <t>KEKVRAIPAAGDGFVVPERSPLSGEHAFEYVSGDGFRAHMNGHTV---------------</t>
  </si>
  <si>
    <t>----------------------FAVKTS--TRSSI-------------------------</t>
  </si>
  <si>
    <t>-------------------------PAYLY-----KR-----------------------</t>
  </si>
  <si>
    <t>------------------------------------------KKNMRAY-----------</t>
  </si>
  <si>
    <t>----------------------------------------------ECKDIDG-------</t>
  </si>
  <si>
    <t>--------------------------------CEILAHGKTE-TG-DVLIR-IPW-----</t>
  </si>
  <si>
    <t>--------TPYF---QIEV--P--------------------KRNQ----T---------</t>
  </si>
  <si>
    <t>EM----------GARAFGMTLYDSVP----------------------------------</t>
  </si>
  <si>
    <t>------------GLVKPLCRVVK----KKPFVG----------F----------------</t>
  </si>
  <si>
    <t>----RNGK-KHYFVQLV---------FENLAMWR----RAKYN-----------------</t>
  </si>
  <si>
    <t>ISR--PHVTEFKVESY----------R------------------GIERGPQ------S-</t>
  </si>
  <si>
    <t>--LDNE------TP----PLVICSWDIEAF-S---------DS-----G-AF--------</t>
  </si>
  <si>
    <t>-----------------FGDP-TPMAQSVHVLGTANP-----------------------</t>
  </si>
  <si>
    <t>------------DGVDVYT-YDQEE-DLITG---FMMET-VRRRTDL-LLA-WNSYGF--</t>
  </si>
  <si>
    <t>GLIEFSKVTHVPIDWLLLRGQQIRVYSLICKAARDK--------DF--------------</t>
  </si>
  <si>
    <t>-LVPDMHQS---------------------------------------------------</t>
  </si>
  <si>
    <t>---------------------GG-----------------DD------------------</t>
  </si>
  <si>
    <t>--------------DP-Q----------YA-HC--------T--------G---------</t>
  </si>
  <si>
    <t>---------------IDY------------------------------------------</t>
  </si>
  <si>
    <t>---RDMEAA-----------------------------------------------G---</t>
  </si>
  <si>
    <t>---------------------T----------------------------DF-TKGL---</t>
  </si>
  <si>
    <t>LAARVT----------WVPRSDG-------------------------------------</t>
  </si>
  <si>
    <t>KEVAHHD---G-LEIWSDKGWTSVRAIIRHQHID-P--LIRVATHTGVVDVTAH----HS</t>
  </si>
  <si>
    <t>LLR-PNGEMVKPSDVSIGD-ALMHADGPNFET-----------------------KQVIT</t>
  </si>
  <si>
    <t>DRG---------------IKFARILGFFVGDGS--------------------LSNSDHK</t>
  </si>
  <si>
    <t>LLIFYKRLLEDVYPT--VEWKINDT-LKSSGVYKLV------PGNNTSG----FVKEWEN</t>
  </si>
  <si>
    <t>MCYSG--KAKIIPRFIHESDCHIKREFLKGFYDA-----------DGIK------S--DS</t>
  </si>
  <si>
    <t>MRFDQKHQITCAHFFL--MLRSIGY------KVSISTG----------------------</t>
  </si>
  <si>
    <t>---VDKPFVFRLTG-TFSCQRKSK----TSVRKMYDI-----------------------</t>
  </si>
  <si>
    <t>-----------PYTG---YVYDVTTD----------------------------------</t>
  </si>
  <si>
    <t>---------------------------ILNCGEDN-------------------------</t>
  </si>
  <si>
    <t>AEDL---------A-DQISKHFLP------------------------------------</t>
  </si>
  <si>
    <t>---------------------------FEK-ALAY-------------VQDQILEML---</t>
  </si>
  <si>
    <t>---------RDHD------------------------IPID-------------TLY---</t>
  </si>
  <si>
    <t>----HTEIASHM------------VRLQA-------------------------------</t>
  </si>
  <si>
    <t>-------------------------------RTNATNN----------------------</t>
  </si>
  <si>
    <t>-ASLY-------------------PSIMMAHRMCGSTLVT--------------------</t>
  </si>
  <si>
    <t>-------------------------WMIYETKRLVETLNPG-------------------</t>
  </si>
  <si>
    <t>LATRVT----------WIPRSDG-------------------------------------</t>
  </si>
  <si>
    <t>KEYAHHD---G-LEIWSDKGWTSVNAIIRHRHTD-P--LVRVATHTGVVDVTAH----HS</t>
  </si>
  <si>
    <t>LLR-PNGEMVKPSEVSIGD-DLMHADGPHMT-----------------------------</t>
  </si>
  <si>
    <t>----------------------TTS-LDPKNDICQT------------------------</t>
  </si>
  <si>
    <t>------GHVEAAKMFR--ALRSAGH------DVTITS-----------------------</t>
  </si>
  <si>
    <t>-----------STGDTYTISTRPLDEKRTCIQSMTPI-----------------------</t>
  </si>
  <si>
    <t>-----------PYNG---YVYDVTTE----------------------------------</t>
  </si>
  <si>
    <t>---------------------------FEK-ALVY-------------VQEQILDML---</t>
  </si>
  <si>
    <t>---------------NGKVP----------------------------------------</t>
  </si>
  <si>
    <t>--FEEYIMSK-SLR----------------------------------------------</t>
  </si>
  <si>
    <t>------------------------RVPFVY------------VQSD--------------</t>
  </si>
  <si>
    <t>--HYK-QA-E----------SDILN-----------------------------------</t>
  </si>
  <si>
    <t>----HKDIAQKM------------ITLQA-------------------------------</t>
  </si>
  <si>
    <t>--------------------------------------------FTNNLVKKSK------</t>
  </si>
  <si>
    <t>-------------------------------RTNATNK----------------------</t>
  </si>
  <si>
    <t>-----------------------EDIIC-AMDF---------------------------</t>
  </si>
  <si>
    <t>-ASLY-------------------PSIMMAHRMCGSTLVI--------------------</t>
  </si>
  <si>
    <t>--------------DQ-K----------YA-HV--------P--------G---------</t>
  </si>
  <si>
    <t>----------YEV---------------DAA-PG--------------------------</t>
  </si>
  <si>
    <t>--------------LKV-----------------RFAQ----------------------</t>
  </si>
  <si>
    <t>------N-VIPG-LLYELKALRKQAK----------------------------------</t>
  </si>
  <si>
    <t>---------------------T----------------------------DF-TRGL---</t>
  </si>
  <si>
    <t>LATRVT----------WIPRNDG-------------------------------------</t>
  </si>
  <si>
    <t>KEYAHHD---GHLDIWSDKGWTPVNTIIRHTHTD-P--LVRVATHTGVVDVTAH----HS</t>
  </si>
  <si>
    <t>LVR-PNGEVVKPSEVSIGD-DLMHADGPHIP-----------------------------</t>
  </si>
  <si>
    <t>----------------------SEM-LESLVTQTIT------------------------</t>
  </si>
  <si>
    <t>------GHLEAATMFR--ALRSAGY------AVSITS-----------------------</t>
  </si>
  <si>
    <t>-----------SIGDTYTLSTQPLDDNKTCIQSMTPI-----------------------</t>
  </si>
  <si>
    <t>-----------PYNG---YVYDVTTG----------------------------------</t>
  </si>
  <si>
    <t>---------------------------ILNCGEEN-------------------------</t>
  </si>
  <si>
    <t>LMYE---------------HPS-KTPKIDIKG-------LQLVRRDSPKLVKRI-SHGML</t>
  </si>
  <si>
    <t>----------------------------LPHLVVSKKRHQRG--GIPFH------SGE--</t>
  </si>
  <si>
    <t>------------------------RVPFVY------------TQTE--------------</t>
  </si>
  <si>
    <t>---------KEHN------------------------IPID-------------VLY---</t>
  </si>
  <si>
    <t>--HYK-TA-E----------SDILN-----------------------------------</t>
  </si>
  <si>
    <t>----HTEIAQKM------------VTLQA-------------------------------</t>
  </si>
  <si>
    <t>--------------------------------------------LTSRLIQKSK------</t>
  </si>
  <si>
    <t>-------------------------------RTNTTNK----------------------</t>
  </si>
  <si>
    <t>----HLY-----------------------------------------------------</t>
  </si>
  <si>
    <t>--------------------------------------------------MLHR------</t>
  </si>
  <si>
    <t>--SLY-------------------PSIMMAHRMCGSTLVI--------------------</t>
  </si>
  <si>
    <t>KEYAHHD---GHLDIWSDKGWTPVNAIIRHTHTD-P--LVRVATHTGVVDVTAH----HS</t>
  </si>
  <si>
    <t>LVR-PNGEVVKPSEVSIGD-DLMHADGPSFET-----------------------KQLIT</t>
  </si>
  <si>
    <t>ERD---------------IKFARILGFFIGDGSCGKYK-----CPSGVKTSWALNNSDHK</t>
  </si>
  <si>
    <t>LLIFYKRLLEEVYPT--YVWKINDT-LKSSGVYKLV------PANKVYGSISLFVQEWEK</t>
  </si>
  <si>
    <t>MCYSG--EAKIIPRFIHESDCRIKREFLQGFYDA-----------DGIK------K--DS</t>
  </si>
  <si>
    <t>MRFDQKHQITCAHFYR--MLRSIGY------KVSISTR----------------------</t>
  </si>
  <si>
    <t>---VDKPLIFRLTG-TFSCQRKTK----TAVKKMYEI-----------------------</t>
  </si>
  <si>
    <t>---------------------------ILNCGDEN-------------------------</t>
  </si>
  <si>
    <t>AEDL---------A-DQITKHFLP------------------------------------</t>
  </si>
  <si>
    <t>--------PH------ELEMEK-AYFPYLL----------V-------------------</t>
  </si>
  <si>
    <t>RVCL----------YE----------ES--------------------------------</t>
  </si>
  <si>
    <t>-------------KT------------------CVL------------------------</t>
  </si>
  <si>
    <t>-------------------I-D------------------------FF------------</t>
  </si>
  <si>
    <t>------KTD---------------------------------------------------</t>
  </si>
  <si>
    <t>------------------------------IFP--------------FIVI---------</t>
  </si>
  <si>
    <t>------------------------------------------HQC---------------</t>
  </si>
  <si>
    <t>----------------------YHLQT---------------------------------</t>
  </si>
  <si>
    <t>------------------------------------------KQKMQCY-----------</t>
  </si>
  <si>
    <t>---------------LVSW-----------------------------------------</t>
  </si>
  <si>
    <t>----------------------------------------------EAVDIEG-------</t>
  </si>
  <si>
    <t>--------------------------------CEIIAHGKST-QQQDICVR-IPW-----</t>
  </si>
  <si>
    <t>--------SPYY---YVEV--P--------------------HNNQ----T---------</t>
  </si>
  <si>
    <t>DL----------GARSFAMHQYDTIK----------------------------------</t>
  </si>
  <si>
    <t>----RNGK-KLYFVQLV---------FESIAAWK----RAKYN-----------------</t>
  </si>
  <si>
    <t>-----ACDPLIKFFH-VSGVPAAGW------VEIESHRVV-------ES----ND-ATR-</t>
  </si>
  <si>
    <t>VSK--EFIIEVKLDSF----------R------------------HIR-RAT------D-</t>
  </si>
  <si>
    <t>--RDED------TP----PLILCSWDIEAF-S---------ES-----G-AF--------</t>
  </si>
  <si>
    <t>---PDA--SKP-------------------------------------------------</t>
  </si>
  <si>
    <t>--------------------------------SDK-V-ITIGAV----------YAK---</t>
  </si>
  <si>
    <t>-----------------FGDP-EPYHKSVHVLGSVND-----------------------</t>
  </si>
  <si>
    <t>------------DGVQVHQ-YDTEE-DLITG---FMMET-VRMRTDF-LLA-WNSYGF--</t>
  </si>
  <si>
    <t>TLIDYTTGDSLLD--------MSVWSKTKDPE----------------------------</t>
  </si>
  <si>
    <t>GLIEFSKVTHVPIDWLLLRGQQIRVYSLISKAARDK--------DF--------------</t>
  </si>
  <si>
    <t>-LVPDMQNS---------------------------------------------------</t>
  </si>
  <si>
    <t>LVR-PNGEVVKPSEVSIGD-DLMHADGPHVP-----------------------------</t>
  </si>
  <si>
    <t>------------------------LG----------------------------------</t>
  </si>
  <si>
    <t>------------------------S-LEPTTDICQT------------------------</t>
  </si>
  <si>
    <t>-----------SIGDTYTLSTRPLDDNKTCIQSMTPI-----------------------</t>
  </si>
  <si>
    <t>-----------------------------------------------FM-----------</t>
  </si>
  <si>
    <t>-------------------------------------AHRNGHTCIE-------------</t>
  </si>
  <si>
    <t>-------------FGKDSMPAAYHPNT---------------------------------</t>
  </si>
  <si>
    <t>--------------------------KYY-------------------------------</t>
  </si>
  <si>
    <t>------------------------------------------SPIMAYY-----------</t>
  </si>
  <si>
    <t>----------------------------------------------ECRDVEDSRG----</t>
  </si>
  <si>
    <t>--------------------------------CEVIAHGKTR-HGKDAMLR-IPW-----</t>
  </si>
  <si>
    <t>VL----------GAKSFFMTLCDTTR----------------------------------</t>
  </si>
  <si>
    <t>------------GIKRDLCRVVK----KKPFVG----------F----------------</t>
  </si>
  <si>
    <t>----RNSE-TRYFVCMV---------FDSLAAWK----RAKYN-----------------</t>
  </si>
  <si>
    <t>------------------YK--------------------------HTLYEA--------</t>
  </si>
  <si>
    <t>-----ALDPLIKFFH-VSGLTAAGW------ISIGSHRVV-------DL----DD-ESR-</t>
  </si>
  <si>
    <t>LSR--ETVHEIVVDSY----------R------------------DMT-LCP------D-</t>
  </si>
  <si>
    <t>--MEHE------TP----PLVICSWDIEAF-S---------ES-----G-AF--------</t>
  </si>
  <si>
    <t>--------------------------------SDR-V-ITIGAV----------YAT---</t>
  </si>
  <si>
    <t>-----------------FGSA-EPYARSVHVLGTCND-----------------------</t>
  </si>
  <si>
    <t>------------EGVTVYR-YESEV-DLIHG---FMTET-VRQRTDF-LLA-WNSYGF--</t>
  </si>
  <si>
    <t>TLIDYTTGESQLD--------MTMWSKTRDPE----------------------------</t>
  </si>
  <si>
    <t>H-NTPGM-----ISVD----------------ALQIFRKE-T-KHDS--------YTLDN</t>
  </si>
  <si>
    <t>------------------------------------------V-----------------</t>
  </si>
  <si>
    <t>-DPLG------------------------------------RTQIA--------------</t>
  </si>
  <si>
    <t>GLIEFSKVTTVPIDWLLLRGQQIRVYSLIAKAARAK--------DF--------------</t>
  </si>
  <si>
    <t>-VIPDMHGT---------------------------------------------------</t>
  </si>
  <si>
    <t>---------------------EN-----------------DG------------------</t>
  </si>
  <si>
    <t>YT---------------------DDIIC-AMDF---------------------------</t>
  </si>
  <si>
    <t>--------------DE-Q----------YA-YC--------P--------G---------</t>
  </si>
  <si>
    <t>---RDMANA-----------------------------------------------D---</t>
  </si>
  <si>
    <t>---------------------N----------------------------DF-TRGL---</t>
  </si>
  <si>
    <t>LAYTLT----------WQPRDDG-------------------------------------</t>
  </si>
  <si>
    <t>KEYAYCP---G-LETWSDSGWTRVETVIRHAHQG-P--LIRVATHTGVVDVTQD----HS</t>
  </si>
  <si>
    <t>LLL-DTGDMVSPRDVDVGT-RLLHAPGPEITC-----------------------QK---</t>
  </si>
  <si>
    <t>----------------------DEP-LT--------------------------------</t>
  </si>
  <si>
    <t>------DQVSIARMYR--HLQKMG-------PVSVTA-----------------------</t>
  </si>
  <si>
    <t>----D------AHG-IHLHRTHTSDP--TCVTGTQTI-----------------------</t>
  </si>
  <si>
    <t>-----------PYTG---YVYDFTTA----------------------------------</t>
  </si>
  <si>
    <t>---------------------------ILNCGPEN-------------------------</t>
  </si>
  <si>
    <t>AEDL---------A-NQIT-----------------------------------------</t>
  </si>
  <si>
    <t>---FGTASTLH----KQKK-----------------------------------------</t>
  </si>
  <si>
    <t>------------------------------IYR--------------FFSI---------</t>
  </si>
  <si>
    <t>TPGRTDLLIGGKNVSKESNYEKRTKKTDECTRYVRGRDFLS-CSITDVTVP---------</t>
  </si>
  <si>
    <t>------------SLLLGFNRSNEKRVHYFGNICKASN-----------------------</t>
  </si>
  <si>
    <t>------------------------------------------KYIMDCF-----------</t>
  </si>
  <si>
    <t>---------------IIEW-----------------------------------------</t>
  </si>
  <si>
    <t>----------------------------------------------NATDRKVRYG----</t>
  </si>
  <si>
    <t>--------------------------------CEMVGWGKTR-DGVSTCVR-VPF-----</t>
  </si>
  <si>
    <t>--------TPFF---FIRI--P--------------------ESEA---FS---------</t>
  </si>
  <si>
    <t>DT----------SQGMFKQIVMDRCR----------------------------------</t>
  </si>
  <si>
    <t>------------GVLTDKVRVVY----KKPFYG----------Y----------------</t>
  </si>
  <si>
    <t>----QGGK-SVPFIQVV---------FSSLRDFR----SARYT-----------------</t>
  </si>
  <si>
    <t>------------------ARDS-----------------------GWKTFES--------</t>
  </si>
  <si>
    <t>-----ACDPMIKFFH-LANLDPVGW------THFESPSPV-------S------D-EQK-</t>
  </si>
  <si>
    <t>TVR--SKVVEYRMKYF----------R------------------DVS-MST------DP</t>
  </si>
  <si>
    <t>-EVTQT------IP----PLIIASWDIECV-S---------DS-----G-GF--------</t>
  </si>
  <si>
    <t>---PNG--ANH-------------------------------------------------</t>
  </si>
  <si>
    <t>--------------------------------NDK-I-ITIGCS----------YMR---</t>
  </si>
  <si>
    <t>-----------------YGES-EPFRNTVHQLGTCLP-----------------------</t>
  </si>
  <si>
    <t>------------DGADLFT-YEKES-ALVNA---WIEEL-TGMDTDV-IIG-FNIWGF--</t>
  </si>
  <si>
    <t>TLIDFETGDSAIK--------LDAFGKALEG-----------------------------</t>
  </si>
  <si>
    <t>H-NTPGM-----IQLD----------------LLMIFRKD-L-KLES--------YTLNN</t>
  </si>
  <si>
    <t>IAKTYLKD----------------------------------------------------</t>
  </si>
  <si>
    <t>------------------------------------------T-----------------</t>
  </si>
  <si>
    <t>-------------------------EKID---------L---------------------</t>
  </si>
  <si>
    <t>-APEG------------------------------------RTRIA--------------</t>
  </si>
  <si>
    <t>NQMEMAKVVCTPITFLNTRGQQIRCYSQIVRKARVH--------GF--------------</t>
  </si>
  <si>
    <t>-LVNDMDRD---------------------------------------------------</t>
  </si>
  <si>
    <t>---------------------GK-----------------GAT-----------------</t>
  </si>
  <si>
    <t>YM---------------------QDIVS-CLDF---------------------------</t>
  </si>
  <si>
    <t>-GSLY-------------------PSIIRAHRMCPSTIVI--------------------</t>
  </si>
  <si>
    <t>--------------DQ-T----------YG-TL--------Q--------G---------</t>
  </si>
  <si>
    <t>----------YKV---------------ETT-PG--------------------------</t>
  </si>
  <si>
    <t>--------------RIV-----------------SFAQ----------------------</t>
  </si>
  <si>
    <t>------A-VVPA-LLDDLSQWRKQAK----------------------------------</t>
  </si>
  <si>
    <t>---RDMADAK--------------------------------------------KRG---</t>
  </si>
  <si>
    <t>---------------------D----------------------------TF-ATAL---</t>
  </si>
  <si>
    <t>-----------------YNA-------KQL--------AFK-------------------</t>
  </si>
  <si>
    <t>-----------NSMYGLFGSST-GMMPCV--------D-LASAVTSTGR-----------</t>
  </si>
  <si>
    <t>-------------------------DMIQLTSKKVLE--SG-------------------</t>
  </si>
  <si>
    <t>---------------------------IFNCGGEN-------------------------</t>
  </si>
  <si>
    <t>AQLM---------A-DTITKQFKA------------------------------------</t>
  </si>
  <si>
    <t>LMFE--------------DDPT-TPSKIDVKG-------LQVVRRDNCPLVREV-SQEVM</t>
  </si>
  <si>
    <t>DILM----------YK----------RS--------------------------------</t>
  </si>
  <si>
    <t>---------------------------FQM-ALEH-------------ARKRVLEVL---</t>
  </si>
  <si>
    <t>---------------HEQVP----------------------------------------</t>
  </si>
  <si>
    <t>--WTKLVVSK-ALR----------------------------------------------</t>
  </si>
  <si>
    <t>------------------------------------------G--NYKNPSS--------</t>
  </si>
  <si>
    <t>----------------------------LPHWCVAQKRKAR---GEHIL------DGE--</t>
  </si>
  <si>
    <t>------------------------RIPYVF------------VKDM--------------</t>
  </si>
  <si>
    <t>--------------LNSDALL------------------AKRAED---------VTWA--</t>
  </si>
  <si>
    <t>---------REHG------------------------LSLD-------------TLY---</t>
  </si>
  <si>
    <t>------YV-----RQ------------------QLLNPICTYLSL---------------</t>
  </si>
  <si>
    <t>--EYP-DP-S----------KEILG-----------------------------------</t>
  </si>
  <si>
    <t>----YPDIASKM------------MALQL-------------------------------</t>
  </si>
  <si>
    <t>--------------------------------------------EETENIRESK------</t>
  </si>
  <si>
    <t>-------------------------------KRLKKDK----------------------</t>
  </si>
  <si>
    <t>------------------------------------QQ---------------EI-----</t>
  </si>
  <si>
    <t>-------------------T-S------------------------FFRSSKPSS-----</t>
  </si>
  <si>
    <t>-----EYVSTELNIQLMSI-----------------------------------------</t>
  </si>
  <si>
    <t>----------------------------------------------EVEDLPIETTLDE-</t>
  </si>
  <si>
    <t>--------------------------------AVAYLFGAEEHTGASVCVKVDKF-----</t>
  </si>
  <si>
    <t>--------RPVL---YYH--------------------------------T---------</t>
  </si>
  <si>
    <t>SE----------SVSTLKNKIGESLN----------------------------------</t>
  </si>
  <si>
    <t>------------LKGDIDAKVIK----RKRTYG----------FHPDKE-----------</t>
  </si>
  <si>
    <t>--NSTSHE-QIRIVEVS---------FPSVSKMK----AACYR-----------------</t>
  </si>
  <si>
    <t>------------------SGDKEPLETR-----------------LPKPWEQ--------</t>
  </si>
  <si>
    <t>-----GVDPGSMFME-RNGLTPCGW------FKMKACK--------------TVT-KHK-</t>
  </si>
  <si>
    <t>VSH--C-TMEFEVSNP----------K------------------NIE-PV-------D-</t>
  </si>
  <si>
    <t>---LDK------IA----PILIASYDFEMY-S---------ES-----R-GF--------</t>
  </si>
  <si>
    <t>---PMA--DKQ-------------------------------------------------</t>
  </si>
  <si>
    <t>--------------------------------GDH-I-AIIGVA----------FWR---</t>
  </si>
  <si>
    <t>-----------------LGTSVEDATTVLLCLNDCAP-----------------------</t>
  </si>
  <si>
    <t>------------ENAHVEC-YKTEA-DLYNA---FRDLITVHSDADV-CTG-YNIFGF--</t>
  </si>
  <si>
    <t>---DNEYITTRA-KM--CK-------------------------------------AS-R</t>
  </si>
  <si>
    <t>FAYN---------------------GRFITV-----------------------------</t>
  </si>
  <si>
    <t>I-EWKGR-----CNFD----------------LFNFIKSN-H-KLSL--------YGLGP</t>
  </si>
  <si>
    <t>VSQHFIG-----------------------------------------------------</t>
  </si>
  <si>
    <t>------------------------------------------E-----------------</t>
  </si>
  <si>
    <t>-------------------------NKVD---------L---------------------</t>
  </si>
  <si>
    <t>ATPEE------------------------------------VARAA--------------</t>
  </si>
  <si>
    <t>GMVEMSRVTYTTINQLVFRGQSIKVMQQITRYSHQL--------GH--------------</t>
  </si>
  <si>
    <t>-VVNPVPRP-------------------------------I-------------------</t>
  </si>
  <si>
    <t>YT----------------------DPVA-TLDF---------------------------</t>
  </si>
  <si>
    <t>-ASLY-------------------PSIMLAHNLCYSTFVE--------------------</t>
  </si>
  <si>
    <t>--------------KG------------TP-RV--------E--------G---------</t>
  </si>
  <si>
    <t>----------ETH---------------KIS-PT--------------------------</t>
  </si>
  <si>
    <t>--------------EEY-----------------TFAL----------------------</t>
  </si>
  <si>
    <t>-----VPGVLTH-MLKHLLGARKKAK----------------------------------</t>
  </si>
  <si>
    <t>---KQMAAAK----------------------------------------TPE-------</t>
  </si>
  <si>
    <t>-----------------------------------------------------EKAI---</t>
  </si>
  <si>
    <t>-----------------YNA-------RQL--------ALK-------------------</t>
  </si>
  <si>
    <t>--------------ISC-------------------------------------------</t>
  </si>
  <si>
    <t>-----------NSIYGFCGAEKLGKYPLG---------AIAKCTTFNGR-----------</t>
  </si>
  <si>
    <t>-------------------------KMINKTSEMAIELFKPW------------------</t>
  </si>
  <si>
    <t>------------IAEIIYGD----------------------------------------</t>
  </si>
  <si>
    <t>---------------------------RIRDKDGR-------------------------</t>
  </si>
  <si>
    <t>GEYV---------A-QKISDSFRE------------------------------------</t>
  </si>
  <si>
    <t>GMYEPN-----------KAGDV-VFSKVDAKG-------VELVRRDNCQLLKSL-YKKIV</t>
  </si>
  <si>
    <t>DSLV----------FD----------KD--------------------------------</t>
  </si>
  <si>
    <t>---------------------------PLK-ALAA-------------VKEALDRVV---</t>
  </si>
  <si>
    <t>---------------NDEVP----------------------------------------</t>
  </si>
  <si>
    <t>--YEEYIITK-ELR----------------------------------------------</t>
  </si>
  <si>
    <t>------------------------------------------KEESYANPK---------</t>
  </si>
  <si>
    <t>----------------------------QEQVVLAKKISARTNGGVTPQ------PGD--</t>
  </si>
  <si>
    <t>------------------------RIPFVI------------RY----------------</t>
  </si>
  <si>
    <t>---------------DKHAKH-----------------ICERAED---------LDYL--</t>
  </si>
  <si>
    <t>---------REND------------------------IPLD-------------RLY---</t>
  </si>
  <si>
    <t>------YI-----TN------------------KISKPVLTIFQA---------------</t>
  </si>
  <si>
    <t>--F------K----------EHIHDV----------------------------------</t>
  </si>
  <si>
    <t>----QRTIQDAM------------SKVQL-------------------------------</t>
  </si>
  <si>
    <t>----------------------------------QLDK----------------------</t>
  </si>
  <si>
    <t>------------------------------------QP---------------TI-----</t>
  </si>
  <si>
    <t>-------------------T-S------------------------FFNKLPPLP-----</t>
  </si>
  <si>
    <t>APTPPKKGFKR------------------------------PAPPTHNK----NLLARKK</t>
  </si>
  <si>
    <t>LRH--------------------------------------------</t>
  </si>
  <si>
    <t>------------------------------------------MARTVIF-----------</t>
  </si>
  <si>
    <t>--------------KPAYW-----------------------------------------</t>
  </si>
  <si>
    <t>----------------------------------------------SFVE----------</t>
  </si>
  <si>
    <t>--------------------------------FDVHISGLSD-AGETVYATVQNF-----</t>
  </si>
  <si>
    <t>--------TPHV---FIEL--PGR------------------IRWGR--PQ---------</t>
  </si>
  <si>
    <t>RL----------LLYDHLATILSPIK----------------------------------</t>
  </si>
  <si>
    <t>------------LGPFNDCARYY----GDELAI----------L----------------</t>
  </si>
  <si>
    <t>----HYQD-KAQFLQVD---------LPTHKAGS----TLHYK-----------------</t>
  </si>
  <si>
    <t>------------------CTRRLVIP----NLGSFSD-------NEFRVHEW--------</t>
  </si>
  <si>
    <t>-----KIDPIIKFAA-VKSLPMAGW------LRVRETIRP-------DDVDCAPE-DRR-</t>
  </si>
  <si>
    <t>YTT--A-DVDLYCD-W----------E------------------DVE-PAP------PD</t>
  </si>
  <si>
    <t>-PDRRS------AP----PTYL-SFDLECT-S-------ANPN-----A-KE--------</t>
  </si>
  <si>
    <t>---PNP--EIA-------------------------------------------------</t>
  </si>
  <si>
    <t>--------------------------------ENP-V-FQIGCV----------HGR---</t>
  </si>
  <si>
    <t>-----------------LGCPAAERKKVLLTLFDPRD-----------------------</t>
  </si>
  <si>
    <t>------------AGVDVRR-CATEA-ELLLE---FARHV-VAVDPDI-FIG-YNILGF--</t>
  </si>
  <si>
    <t>---DWSYLLVRA-EM--CG-------------------------------------V---</t>
  </si>
  <si>
    <t>----------SWR--------FKMIGRLRGV-----------------------------</t>
  </si>
  <si>
    <t>L-EPQGR-----INVD----------------VMKEVQRE-Y-KLPS--------YSLNA</t>
  </si>
  <si>
    <t>VATKFLG-----------------------------------------------------</t>
  </si>
  <si>
    <t>------------------------------------------A-----------------</t>
  </si>
  <si>
    <t>RATAANLAAVRAEIRAVMPKRFSRGPVKAL-------RAKLLK----------------A</t>
  </si>
  <si>
    <t>-RPAE------------------------------------LAGLV--------------</t>
  </si>
  <si>
    <t>MHIT--------GAYCIQDTV-----------------LP--------VRLCERL-NLWE</t>
  </si>
  <si>
    <t>TMEATANCMCIPMLYLHTRGQQIRVLAQVYREAVPR--------NL--------------</t>
  </si>
  <si>
    <t>-VIPTLPKT---------------------------------------------------</t>
  </si>
  <si>
    <t>----------------------------------------DK------------------</t>
  </si>
  <si>
    <t>YKR-----------------------VA-LLDF---------------------------</t>
  </si>
  <si>
    <t>-LSLY-------------------PTIVIAYNICYTTIVR--------------------</t>
  </si>
  <si>
    <t>--------------DG-------------D-PI--------P--------D---------</t>
  </si>
  <si>
    <t>------------KE-CHV------------------------------------------</t>
  </si>
  <si>
    <t>----------LEW---------------EDH-VGCP--H----DPKK-------------</t>
  </si>
  <si>
    <t>---RKKEKD-----------------------------KIL----------------C--</t>
  </si>
  <si>
    <t>----------WKRRYRY-----------------RRVQ----------------------</t>
  </si>
  <si>
    <t>----------------------------------------VDEDGTR-------------</t>
  </si>
  <si>
    <t>----HHEGLLPA-LCRRLLAERAKTK----------------------------------</t>
  </si>
  <si>
    <t>---KELRAAKA---------TLAMDAGTATAADRARFAKKGIPLIAPGSLGPKARGA---</t>
  </si>
  <si>
    <t>---------------------L----------------------------EI-TAVI---</t>
  </si>
  <si>
    <t>-----------------LDA-------KQK--------AIK-------------------</t>
  </si>
  <si>
    <t>--------------VST-------------------------------------------</t>
  </si>
  <si>
    <t>-----------NSFYGALAANN-GFVPLL---------AGAESITAMGR-----------</t>
  </si>
  <si>
    <t>-------------------------RMILAAIAYILGKFPT-------------------</t>
  </si>
  <si>
    <t>LAGLL---------------DSG-------------------------------------</t>
  </si>
  <si>
    <t>KEEVESA---RDVQVWTDAGFTRIKRVIRHRDPA-PRKIVRILTHTGVFDVNED----HS</t>
  </si>
  <si>
    <t>LLD-ASGQKVKPGEVGAGD-ALLHCGLPGLGG-----------------------AP--V</t>
  </si>
  <si>
    <t>RVA---------------EDEAWLMGMFMRAGAVGMFTRAGAVAGVFGRVSWVIHDVPTP</t>
  </si>
  <si>
    <t>HVDRAIAAMERLA----MRPQLHRR-LPGAVDLRSD------NYADAIGG------RYQR</t>
  </si>
  <si>
    <t>LFYNAQ-REKVVPPCILNANTECVRAFLQGYYNSCRMGGSLTLALAG----------EEP</t>
  </si>
  <si>
    <t>PRLAVFGKEGALGMNF--LGQRLGY------VGAVETCPRHCGWFARALNFAGRRLGLTD</t>
  </si>
  <si>
    <t>EPNTAVPELFWV---TFVAAAGLPRAA-NVITEKYVL-----------------------</t>
  </si>
  <si>
    <t>---------HEAYEG---YVYDVETE----------------------------------</t>
  </si>
  <si>
    <t>-----------------NHHFHVGPG----R--LVV---------HNTDSC--------M</t>
  </si>
  <si>
    <t>---------------------------QFE------------------------------</t>
  </si>
  <si>
    <t>AHVC---------A-ATATHHIKSYI-VGVADDHTVGGVRFDEFDAADRKMSEADGFAKR</t>
  </si>
  <si>
    <t>EYDA---MPI------ELEFED-MFGDYLL----------L-SMKRYA-----------G</t>
  </si>
  <si>
    <t>YVVNR--------------DGQ-RSGDIVKKG-------IVLARRDNCALLKTL-YKRLV</t>
  </si>
  <si>
    <t>EGVL----------DG----------DV--------------------------------</t>
  </si>
  <si>
    <t>---------------------------EAQ-VHSV-------------LLSGVEGLF---</t>
  </si>
  <si>
    <t>---------------SRQVR----------------------------------------</t>
  </si>
  <si>
    <t>--PDKLVITR-SVK----------------------------------------------</t>
  </si>
  <si>
    <t>RFMNRYHANKIIDEHVDDPLDDRLKYPNLLNVSLALRMLRR---GTRVA------PGT--</t>
  </si>
  <si>
    <t>------------------------RLEYVY------------IK----------------</t>
  </si>
  <si>
    <t>---------------NPTAVH-----------------EGDRVEEYE-----FFTEYR--</t>
  </si>
  <si>
    <t>---------DDAS------------------------LELD-------------FCH---</t>
  </si>
  <si>
    <t>------YV-----DK------------------QLANPVTELLNV---------------</t>
  </si>
  <si>
    <t>--AFP----H----------ERI---------------------------PFV-------</t>
  </si>
  <si>
    <t>--KMKDEIQKGL------------EALSGYQADLLTTK----------------------</t>
  </si>
  <si>
    <t>------------------------------------RFGRFFEAKVAHVLKSAA------</t>
  </si>
  <si>
    <t>PLVEWCRKYRAFTLVNALRKRS--GHQAIQEKRNRKRKF------------------PQT</t>
  </si>
  <si>
    <t>HYP-------RDSQFMKGLLASHAQFNDVV--IELNRR---------------AL-----</t>
  </si>
  <si>
    <t>-------------------V-R------------------------HFAAP---------</t>
  </si>
  <si>
    <t>-------------------------------------MTTND------------------</t>
  </si>
  <si>
    <t>----------------AIAAVAATKTDATTTAATMATR----------------------</t>
  </si>
  <si>
    <t>------------------PVQETGAAEPLVDLGARAKVMSNL------------------</t>
  </si>
  <si>
    <t>----------------------------------------FGIRETVTH-----------</t>
  </si>
  <si>
    <t>-------VPQRLRVQLLDPLVRDASAIRGRR-----------------------ELED--</t>
  </si>
  <si>
    <t>GTLMDVDVHKDAADQDNADA----DNDDGWQDEGE---------------------RPGR</t>
  </si>
  <si>
    <t>---------------------------VPPADTLLLLNGVDA-EGRTVCVNVKGM-----</t>
  </si>
  <si>
    <t>--------RYCI---YVQC--P--------------------NTWG----L---------</t>
  </si>
  <si>
    <t>-T----------HMSALASAIEG-------------------------------------</t>
  </si>
  <si>
    <t>--------YYAIPSGGVEYRQKR----LHHMLG----------WEPMPN-----------</t>
  </si>
  <si>
    <t>--DPTRTK-AHNYCVLG---------FGSARVME----WAANAIQ---------------</t>
  </si>
  <si>
    <t>--------------RGGKL--RARSP----LTDR--------DMRMLRVYER--------</t>
  </si>
  <si>
    <t>-----RVDPVHKALERLGGLQPCSW------FDVERWRVP-------GI---------Y-</t>
  </si>
  <si>
    <t>HTH--A-QIEVEVD-A----------R------------------DIV-PRPE----ID-</t>
  </si>
  <si>
    <t>-----------AMA----PVWKASWDVECY-S---------HD-----G-SF--------</t>
  </si>
  <si>
    <t>---PRA--DHP-------------------------------------------------</t>
  </si>
  <si>
    <t>DGRPPRVVQT----SHHFGAV-RVHRQADRVRDAVDDPR-----WGVFVMKPNSKASLDS</t>
  </si>
  <si>
    <t>DGLSGGVNDNGNVNGNGSDNGTMTNSVAAVATHEEESL----------------------</t>
  </si>
  <si>
    <t>----------VDRQVYVMQ-CATEL-EAIEG---WRDLIVLDVQPSV-VEG-YNTDAF--</t>
  </si>
  <si>
    <t>---DFGWLGVRAQVCAGYGIR---------------------------------------</t>
  </si>
  <si>
    <t>-------------------------SRLFEAGVLIG------------------------</t>
  </si>
  <si>
    <t>I-PMPGR-----ILID----------------MYHIVKAE-K-RLES--------YTLDD</t>
  </si>
  <si>
    <t>VCRSIFPDD---------------------------------------------------</t>
  </si>
  <si>
    <t>-----ETL----------------------------------------------------</t>
  </si>
  <si>
    <t>-------------------------RKID---------V---------------------</t>
  </si>
  <si>
    <t>-DPDE------------------------------------RAVVV--------------</t>
  </si>
  <si>
    <t>GVVEMARITRTPLPLMLISGQQVKTWSQIVYEAHTM--------GY--------------</t>
  </si>
  <si>
    <t>-VVNLDESNAGGGRG---------------------------------------------</t>
  </si>
  <si>
    <t>---------------------------GDGGA--WLRGAYGVGAR-GVGDEWLPGVI---</t>
  </si>
  <si>
    <t>GAAASKAADGTDG-YV--------------------------------GATV-LQPRAGY</t>
  </si>
  <si>
    <t>YV----------------------VPIV-TLDY---------------------------</t>
  </si>
  <si>
    <t>SEI---RRSDGAVADQDAA---------LN-RVFASRPDWVPG-------QFAAQVDA--</t>
  </si>
  <si>
    <t>--------PGRPRT-VAY------------------------------------------</t>
  </si>
  <si>
    <t>--------------------------------------------------R---------</t>
  </si>
  <si>
    <t>----------------------------EVR-PT----------PSR-------------</t>
  </si>
  <si>
    <t>---------------VH-----------------VFVQ----------------------</t>
  </si>
  <si>
    <t>----HVQGVVPR-ILTALKNQRKKVR----------------------------------</t>
  </si>
  <si>
    <t>---ADQKAY---------------------------------------------EKG---</t>
  </si>
  <si>
    <t>--------------------------------------------------TP-LWAV---</t>
  </si>
  <si>
    <t>MNYAAVVEHFEHNSRLSVACYVDGQLQYHDISKTDVISNTGTHRLVQFEANSSAREREVG</t>
  </si>
  <si>
    <t>NGVSLCCTDNHRIYARVGPTWGNRIWPRKGTESQEEAAPPFTIQSAGDIVAAGARDSSTV</t>
  </si>
  <si>
    <t>AQFAATCAKGVALDESALPFVEALGLRTEDQVDAFIELYGYWLGDGWLDVSCKAIAFSPV</t>
  </si>
  <si>
    <t>KAGDSAYLAALFARLPLPMLTESTRGPGADGAFIAPEPPKAKQRARYATWTKPHCHYIYT</t>
  </si>
  <si>
    <t>TSWWRYFAEEYGHKYSGAGLECAMERALRCGSDLPARRRTATPKRGAPKASAPTPAVCTK</t>
  </si>
  <si>
    <t>SRSRAAIAERNRNAAGIDERICLSDQCALAGAWQPLEAAFTRRAPKRTGGKESYEGRCKR</t>
  </si>
  <si>
    <t>CMSEYTSKHRAAKRARLAERYDAMVAANTGKRRVTLDAEDVRSAKWMWYWVWRQLGRDRL</t>
  </si>
  <si>
    <t>RLLLRGLRMADGDTASGQRGGGAIYTSSQRFADEIVRVALHAGYTALIRARCAAGDVNGA</t>
  </si>
  <si>
    <t>NQNGALIVATAQNWVVNYSDFTREAQPKITIARETSTMTYHGTVWCVNVPVEPNLIIVRR</t>
  </si>
  <si>
    <t>IVHHKGVPVPSRALVVG-------------------------------------------</t>
  </si>
  <si>
    <t>-----------NSVYGFLGAVKRGRMPCV---------EVSESVTCIGR-----------</t>
  </si>
  <si>
    <t>-------------------------DMIHATKAYVETHLDRYVRGLIDDPELV-------</t>
  </si>
  <si>
    <t>KDDR---------------------------------SER--------------------</t>
  </si>
  <si>
    <t>-------------EKNRDALLDALDKASLAP-----------------------------</t>
  </si>
  <si>
    <t>VDESLAGGDASAAARMWGAYQ---------------------------------------</t>
  </si>
  <si>
    <t>KEAFCPP---RSIEVWTERGWTAVNRVIRHKA---GKKMYRVLTHTGCVDVTED----HS</t>
  </si>
  <si>
    <t>LLD-RHANKIKPTDVAVGS-ALLHADLPPYECPSPIFECRADASAKSAT------GSANT</t>
  </si>
  <si>
    <t>VVASSVADNGAAV--ADDAAHAWALGMFFAEGSCNEYV-----RHDRDQYCWRIANKDMA</t>
  </si>
  <si>
    <t>LLRIALAGLGGRYPD--ISFSIVGP-YKDGMAYVVANGPGK----------MGLVANYRA</t>
  </si>
  <si>
    <t>AFYDPVHALKRVPTEILNANAKIKRAFIRGYFAG-----------DGNK-------TDCG</t>
  </si>
  <si>
    <t>SRCDGRGKIGMAGIYY--LLSTCGY------SVSINTCGG--------------------</t>
  </si>
  <si>
    <t>-PERDTYRVNFCDA-ATPKRTQRKAP--DTIKKIIPLD----------------------</t>
  </si>
  <si>
    <t>--------CDKSLGGN-VYVYDLETA----------------------------------</t>
  </si>
  <si>
    <t>-----------------NHHFAAGIG----R--LVV---------HNTDSV--------M</t>
  </si>
  <si>
    <t>---------------------------RFDGVPET-------------------------</t>
  </si>
  <si>
    <t>GVAA---------S-DYITSKF--------------------------------------</t>
  </si>
  <si>
    <t>RMWTL--------------EGK-PPY-IDAKG-------VEVKRRDNWAGMRKT-YKACL</t>
  </si>
  <si>
    <t>DAMM----------ERMDI----DAVKD--------------------------------</t>
  </si>
  <si>
    <t>----------------------------------IVL-------------RLVCDLK---</t>
  </si>
  <si>
    <t>---------------ADRVS----------------------------------------</t>
  </si>
  <si>
    <t>--LDDYKISK-SLK----------------------------------------------</t>
  </si>
  <si>
    <t>------------------------------------------R--DYSKCKS--------</t>
  </si>
  <si>
    <t>----M-----------------------PPHVVVRDKIRQRN-PGSEPL------AGN--</t>
  </si>
  <si>
    <t>------------------------RVYFVI------------------------------</t>
  </si>
  <si>
    <t>-------------TVDDRIKK-----------------KSARAED---------PAYV--</t>
  </si>
  <si>
    <t>---------AANPTL----------------------ARID-------------RLY---</t>
  </si>
  <si>
    <t>------YL-----ES-------------------LANPFGALLEPC--------------</t>
  </si>
  <si>
    <t>AVFIANQQKG----------QAPITQWL---------------GKRSAR---SEP-----</t>
  </si>
  <si>
    <t>-DGRDSEEAERARI---------AATVKRRCADKTYVP----------------------</t>
  </si>
  <si>
    <t>-----------------------------------------QAIAKQQKTE---------</t>
  </si>
  <si>
    <t>-----------------------------QRKAARNAP-------------------PP-</t>
  </si>
  <si>
    <t>------------------------------------KTG--------------PL-----</t>
  </si>
  <si>
    <t>-------------------S-A------------------------FV------------</t>
  </si>
  <si>
    <t>ARPPSS-----------------------------------------</t>
  </si>
  <si>
    <t>-------------------------------------MAA--------------------</t>
  </si>
  <si>
    <t>-------------------ATTTTTRGET----EAAVRG---------------------</t>
  </si>
  <si>
    <t>-----------------QTMASCTAEAPKVDLGDRAKIMSNL------------------</t>
  </si>
  <si>
    <t>----------------------------------------FGVRETVTR-----------</t>
  </si>
  <si>
    <t>-------VPARLRVQLLDPLVRDANGSRDRR-----------------------QIED--</t>
  </si>
  <si>
    <t>GTLIKAPGADDDAEGEPDD-------DDGWHDEGQ---------------------RRER</t>
  </si>
  <si>
    <t>---------------------------PPLVDTLLLLNGVDD-EGRTVCVSVRGM-----</t>
  </si>
  <si>
    <t>--------RYAI---YVLC--P--------------------PSWG----V---------</t>
  </si>
  <si>
    <t>-A----------HMQALAATIEG-------------------------------------</t>
  </si>
  <si>
    <t>--------YYGIRRGGVTYQQRP----LHHMLG----------WEPETN-----------</t>
  </si>
  <si>
    <t>--DLTRTR-RHNYCVLG---------FGSARVME----WAANAID---------------</t>
  </si>
  <si>
    <t>-------------GREAKLCRRLREP----LNER--------DMRSLQVYER--------</t>
  </si>
  <si>
    <t>-----RVDPVHKALERLGGLQPCSW------FDVQRWRIP-------DL---------Y-</t>
  </si>
  <si>
    <t>HTH--A-QIEVEAD-A----------R------------------DIV-PRPE----ID-</t>
  </si>
  <si>
    <t>-----------AMA----PVWKASWDVECY-S---------RD-----G-SF--------</t>
  </si>
  <si>
    <t>DGRPPRVVQT----SHHFGAV-RVHRPVDAERDRVDDPR-QRAHWSVFEM----------</t>
  </si>
  <si>
    <t>-----------NRAAPADTMATET-----ADAQQQQQQQE--QQP---------------</t>
  </si>
  <si>
    <t>---------RSHREVYVMQ-CATEL-EAIEG---WRDLIVLDVQPSV-VEG-YNTDAF--</t>
  </si>
  <si>
    <t>---DFDWLGTRAQRCARYGVR---------------------------------------</t>
  </si>
  <si>
    <t>VCRSIFAKD---------------------------------------------------</t>
  </si>
  <si>
    <t>-----ESL----------------------------------------------------</t>
  </si>
  <si>
    <t>-DLDR------------------------------------RAVVV--------------</t>
  </si>
  <si>
    <t>-VVNAPE-----GRDR--------------------------------------------</t>
  </si>
  <si>
    <t>---------------------------SGGGTRDWLRGAYGVGDH-GVGDQWLPGVI---</t>
  </si>
  <si>
    <t>----------AMASIRAGGGNADGHI------------MPQDGG---------KVAG---</t>
  </si>
  <si>
    <t>YD----------------------VPIV-TLDY---------------------------</t>
  </si>
  <si>
    <t>SEV---LRADGAGQD-ATA---------LN-RVFASRPDWLPG-------QFAVDTDR--</t>
  </si>
  <si>
    <t>--------RGIQRT-VAY------------------------------------------</t>
  </si>
  <si>
    <t>----------------------------EVT-PA----------AGR-------------</t>
  </si>
  <si>
    <t>---------------TH-----------------VFVQ----------------------</t>
  </si>
  <si>
    <t>----HVQGVVPR-ILTALKNQRKRVR----------------------------------</t>
  </si>
  <si>
    <t>--------------------------------------------------TA-LWGV---</t>
  </si>
  <si>
    <t>MNYAAVTEHFKRHAHLSVACYVDGQLQYHDITEANVVANTGDHRLVQFEAGSSTGKRATT</t>
  </si>
  <si>
    <t>NGVSLCCTDNHRIYARVGPTWGNRIWRRKGTESQESAAPPFTIQSAGDILDAGTRDPSTM</t>
  </si>
  <si>
    <t>VQFTAVCSKGVTLDGGDLPFVEALGLRTEDQVDAFVELYGYWLGDGWLDVSCQAIAFSPV</t>
  </si>
  <si>
    <t>KTADSAYLAALFARLPLPLLTKDTRGPGAIGAFVTPEPAGVKRRARYTAWTTPHRHYIYT</t>
  </si>
  <si>
    <t>PSWWRYFAEQYGHKYSGAALEHVIQGALRSGADLPARRPDAKPSTGKARTLASSTSMGGG</t>
  </si>
  <si>
    <t>RLSAACATRRNRINDGVAERVCYSDHCASAGVWQPLTTAFPRHSPKGS-GKATYGGKCRK</t>
  </si>
  <si>
    <t>CVSARAYQNRIARRTQLAARYDAMFAANTGKRQTALGAEEVKSAKWMWSWVWRRLHPDRL</t>
  </si>
  <si>
    <t>RLLLRGLRMADGDMAGGDRGGGAIYTSSRRFAEEVVRVAMHAGYTAMIQPRCAAGDVTGL</t>
  </si>
  <si>
    <t>NQKGVPIVATAQNWVVNYSDFTREAQPKITVATQMSSAPYHGTVWCVNVPVEPHLIVVRR</t>
  </si>
  <si>
    <t>IVQRYGVSVPSRAVVVG-------------------------------------------</t>
  </si>
  <si>
    <t>-------------------------DMINATKAYVETHLPRYVSGLLDDPALVA------</t>
  </si>
  <si>
    <t>-------------EKNRDALLDALTSASVKP-----------------------------</t>
  </si>
  <si>
    <t>VDGILARGDTSAAASLWSAYQ---------------------------------------</t>
  </si>
  <si>
    <t>KEAFCLA---RPVEVWTERGWTAVNRVIRHRA---GKKMFRVLTHTGCVDVTED----HS</t>
  </si>
  <si>
    <t>LLD-PNAEKVKPTEVSVGS-ALLHADLPTHECATASLKSRVPMSTQDITDDDGDDDSAKV</t>
  </si>
  <si>
    <t>SAASSTSADGSVLVSAADKAHAWAMGMFFAEGSCNEHP-----RDNCTQYCWRIANKDMA</t>
  </si>
  <si>
    <t>LVRMAFDGLEGRYPG--VTFSISGP-CTDGMAYVVANGPGK----------MGLVANYRT</t>
  </si>
  <si>
    <t>AFYDPVYALKRVPTEILNAHVEIKRAFIRGYFAG-----------DGNKKLYGADGTYCG</t>
  </si>
  <si>
    <t>SRCGGKGKIGMAGIYY--LLSACGY------LASVDTCGG--------------------</t>
  </si>
  <si>
    <t>-PERDTYRINFCDA-ATARRTQRKPA--DTVKKIIPLD----------------------</t>
  </si>
  <si>
    <t>--------SAAFDGA---YVYDLETA----------------------------------</t>
  </si>
  <si>
    <t>---------------------------KFHGVPAT-------------------------</t>
  </si>
  <si>
    <t>GVAA---------S-DYITTKF--------------------------------------</t>
  </si>
  <si>
    <t>RMWTL--------------DGK-PPY-IDAKG-------VEVKRRDNWAGMRKT-YKACL</t>
  </si>
  <si>
    <t>EAMM----------ERMDI----NAVKD--------------------------------</t>
  </si>
  <si>
    <t>---------------GDRVS----------------------------------------</t>
  </si>
  <si>
    <t>----A-----------------------PPHVVVRDKIARRN-PGSEPL------AGN--</t>
  </si>
  <si>
    <t>-------------TIDDRLKK-----------------KSARAED---------PAYV--</t>
  </si>
  <si>
    <t>---------AANPRL----------------------ARID-------------RLY---</t>
  </si>
  <si>
    <t>------YL-----DS-------------------LKNPFGALLEPC--------------</t>
  </si>
  <si>
    <t>AVFIANQQKG----------QAPITQWMG--------------GKRAAV-PTTEA-----</t>
  </si>
  <si>
    <t>-EVEAAEARERAQI---------AARVKRRRNDQTYVP----------------------</t>
  </si>
  <si>
    <t>-----------------------------------------AAVLKQQKTE---------</t>
  </si>
  <si>
    <t>-----------------------------ARKAARKKP-------------------PP-</t>
  </si>
  <si>
    <t>------------------------------------TTG--------------PL-----</t>
  </si>
  <si>
    <t>-------------------T-A------------------------FV------------</t>
  </si>
  <si>
    <t>-RPAS------------------------------------------</t>
  </si>
  <si>
    <t>-------------------------------------MST--------------------</t>
  </si>
  <si>
    <t>-------------------VTTATPTGGT--GPMACER----------------------</t>
  </si>
  <si>
    <t>--------------------APCTTEVPMVDLGERAKIMSGL------------------</t>
  </si>
  <si>
    <t>----------------------------------------FGVRETVTH-----------</t>
  </si>
  <si>
    <t>-------VPARLRVQLFDPLVRDANGSRDRR-----------------------QIED--</t>
  </si>
  <si>
    <t>GTLIKAPGADNDAEEEPDD-------DDGWHDEGQ---------------------RRER</t>
  </si>
  <si>
    <t>---------------------------TPPADTLLLLNGVDG-EGRTVCVSVKGM-----</t>
  </si>
  <si>
    <t>--------RYVI---YVLC--P--------------------AAWT----I---------</t>
  </si>
  <si>
    <t>-V----------HMQALAATIEG-------------------------------------</t>
  </si>
  <si>
    <t>--------YYGIHRGGVTYQQMP----LHHMLG----------WEPETN-----------</t>
  </si>
  <si>
    <t>--DLTRTK-RHNYCVLG---------FGSARVME----WAANAID---------------</t>
  </si>
  <si>
    <t>-------------GREAKLCRRLREP----LNEK--------DMRSLQVYER--------</t>
  </si>
  <si>
    <t>-----RVDPVHKALERLGGLQPCSW------FDVGRWHKP-------DL---------Y-</t>
  </si>
  <si>
    <t>HTH--A-QIEVEAY-V----------R------------------DIV-PRPE----ID-</t>
  </si>
  <si>
    <t>-----------VMA----PVWKASWDVECY-S---------RD-----G-SF--------</t>
  </si>
  <si>
    <t>DGRPPRVIQT----SHHFGAV-RVHRPVDAERDRVDDPR-QRERWGVLEM----------</t>
  </si>
  <si>
    <t>-----------DRDG-TDPMATEA-----LDAQQQQHQ----RQA---------------</t>
  </si>
  <si>
    <t>---------RSHHEVYVMQ-CATEL-EAIEG---WRDLIVLDVQPSV-VEG-YNTDAF--</t>
  </si>
  <si>
    <t>---DFGWLGVRAERCARYGVR---------------------------------------</t>
  </si>
  <si>
    <t>I-PMPGR-----ILVD----------------MYHIVKAE-K-RLES--------YTLDD</t>
  </si>
  <si>
    <t>VCRSIFPKD---------------------------------------------------</t>
  </si>
  <si>
    <t>---------------------------GGGGTRDWLRGAYGVGDH-GVGDQWLPGVI---</t>
  </si>
  <si>
    <t>----------AMASIRAGGGNADGHQ------------MPQDGG---------KVAGG--</t>
  </si>
  <si>
    <t>SEV---LRADGAGQD-ASA---------LN-RVFASRRDWLPG-------QFAVDTDR--</t>
  </si>
  <si>
    <t>--------PGIQRT-VAY------------------------------------------</t>
  </si>
  <si>
    <t>----------------------------EVT-PA----------TGR-------------</t>
  </si>
  <si>
    <t>-----------------YEN-------RQL--------GIKITA----------------</t>
  </si>
  <si>
    <t>-------------------------DMINATKAYVETHLSRYVGGLLDDPALVA------</t>
  </si>
  <si>
    <t>KDDR---------------------------------SDR--------------------</t>
  </si>
  <si>
    <t>-------------EKNRDALLDALAAAGISP-----------------------------</t>
  </si>
  <si>
    <t>--------CDITGATVVYGD----------------------------------------</t>
  </si>
  <si>
    <t>---------------------------KFHGVPKT-------------------------</t>
  </si>
  <si>
    <t>RMWTL--------------DGK-PPY-IDAKG-------VEVKRRDNWAGLRKT-YKACL</t>
  </si>
  <si>
    <t>EAMM----------ERMDI----DAVKD--------------------------------</t>
  </si>
  <si>
    <t>----P-----------------------PPHVVVRDKIARRN-PGSEPL------AGN--</t>
  </si>
  <si>
    <t>-------------TVDDRLKK-----------------KSARAED---------PAYV--</t>
  </si>
  <si>
    <t>-DVEAAEARERALI---------AARVKRRCNDQTYVP----------------------</t>
  </si>
  <si>
    <t>-----------------------------ARKIARKAP-------------------PP-</t>
  </si>
  <si>
    <t>------------------------------------KSG--------------PL-----</t>
  </si>
  <si>
    <t>-RPAA------------------------------------------</t>
  </si>
  <si>
    <t>-------------------------------------MTTP-------------------</t>
  </si>
  <si>
    <t>-----------------MALTTAIPVGPTA-GATMRERP---------------------</t>
  </si>
  <si>
    <t>-----------------RPPRDTAVEAPTVDLGARAKTMSGL------------------</t>
  </si>
  <si>
    <t>-------VPAQLRVQLLDPLVRDANGSRDRR-----------------------QIED--</t>
  </si>
  <si>
    <t>GTLVSAPG-DAMAETDGDDN-----GDDGWHDEGE---------------------RRER</t>
  </si>
  <si>
    <t>--------RYAI---YVLC--P--------------------ATWG----V---------</t>
  </si>
  <si>
    <t>-E----------HMQALAATVEG-------------------------------------</t>
  </si>
  <si>
    <t>--------YYGIRRGGVTYQQRA----LHHMLG----------WEPETN-----------</t>
  </si>
  <si>
    <t>--DLTRTK-RHNYCVLG---------FGSARVME----WAANAIHG--------------</t>
  </si>
  <si>
    <t>-------------GGNGKLCSRVRLP----LTER--------DMRSLQVYER--------</t>
  </si>
  <si>
    <t>-----RVDPVHKALERLGGLQPCSW------FDVRRWRVP-------EL---------Y-</t>
  </si>
  <si>
    <t>DGRPPRVVQT----SHHFGAV-RVHRPVEAERDRVDDPK-QRERWGVREM----------</t>
  </si>
  <si>
    <t>-----------DLTSAGRPEATATTAGHMVDAEEEPSQ----------------------</t>
  </si>
  <si>
    <t>------------REVYVMQ-CATEL-EAIEG---WRDLIVLDVQPSV-VEG-YNTDAF--</t>
  </si>
  <si>
    <t>VCRAIFPKD---------------------------------------------------</t>
  </si>
  <si>
    <t>-DLDR------------------------------------RAIVV--------------</t>
  </si>
  <si>
    <t>-VVNAPE-----NRD---------------------------------------------</t>
  </si>
  <si>
    <t>---------------------------ADGGTRDWLRGAYGAGDHGGVGDAWLPGVI---</t>
  </si>
  <si>
    <t>----------AMASIRAGGGNADGHA------------VPTAGG---------KVTG---</t>
  </si>
  <si>
    <t>SEV---LRADGAGQD-DGA---------LN-RVFASRRDWLPG-------QFAVDTDR--</t>
  </si>
  <si>
    <t>--------PGVPRT-VAY------------------------------------------</t>
  </si>
  <si>
    <t>----------------------------EVS-PA----------PSR-------------</t>
  </si>
  <si>
    <t>MNYAAVVEHFKHHARLSVACYVDGQLQYHDIAESNVVANTGDHRLVQFEAGSSTGKRATT</t>
  </si>
  <si>
    <t>NGVSLCCTDNHRIYARVGSTWGNRIWRRKGTESQESAAPPFTIQSAGDILAAGTRDPSTV</t>
  </si>
  <si>
    <t>VQFTAACSKGVALDGDDLPFAATLGLHTEDQIDAFVELYGYWLGDGWLDVSCQAIAFSPV</t>
  </si>
  <si>
    <t>KTADSAYLAALFARLPLPVLTEDTRGPGAIGAFITPKPSEARQRARYSAWAKPHRHYIYT</t>
  </si>
  <si>
    <t>PSWWRYFAEQYGHKYSGAALEHVMQEALRSGSDLPARRPDAKPLAGKARALATLSPVRDS</t>
  </si>
  <si>
    <t>RPSGACAAQR--------------------------------------------------</t>
  </si>
  <si>
    <t>RLLLRGLRIADGDMAGGDRGGGAIYTTSRRFAEEVVRVAIHAGYTAMIQPRCAAGAVTSL</t>
  </si>
  <si>
    <t>NQKGVPIVATTQNWVVNYSDFTREAQPKITVATQMSSAPYHGTVWCVNVPVEPHLIVVRR</t>
  </si>
  <si>
    <t>IVQRHGVSVPSRAVVVG-------------------------------------------</t>
  </si>
  <si>
    <t>-------------------------DMINATKAYVETHLPRYVGGLLDDPALVA------</t>
  </si>
  <si>
    <t>-------------EKNREALLDALAAAGVTP-----------------------------</t>
  </si>
  <si>
    <t>---------------------------HFHGVPKT-------------------------</t>
  </si>
  <si>
    <t>-------------TIDERLKK-----------------KSARAED---------PAYV--</t>
  </si>
  <si>
    <t>------YL-----QS-------------------LANPFGALLEPC--------------</t>
  </si>
  <si>
    <t>AVFIANQQRG----------QAPITQWMG--------------GKRAAVAPTCEA-----</t>
  </si>
  <si>
    <t>-DIEAAEARERAQI---------AARVKRRCTDQTYVP----------------------</t>
  </si>
  <si>
    <t>-----------------------------ARKAARKAP-------------------PP-</t>
  </si>
  <si>
    <t>-------------------------------------MEA--------------------</t>
  </si>
  <si>
    <t>-------------------------------------------------GP---------</t>
  </si>
  <si>
    <t>-------------------------PTPTRHIGDKAKIMSGW------------------</t>
  </si>
  <si>
    <t>-------------------------RQIRN--------TVADIPATLTV-----------</t>
  </si>
  <si>
    <t>--------------QLLDVIV--------------------------------ATQRD--</t>
  </si>
  <si>
    <t>-VGLGVEYYNYKDHLRSTRRYSHSPL------AAGLKPWE---GEGNIYDRL--------</t>
  </si>
  <si>
    <t>--------------------------------NVAYLICVDA-EGRTVNVRVT-------</t>
  </si>
  <si>
    <t>--------DPVFK-CYVQC--P--------------------DAW-----TL--------</t>
  </si>
  <si>
    <t>DE----------DMEDMVRWVERQQK----------------------------------</t>
  </si>
  <si>
    <t>-----------LPPGSISCEATK----SQQYCG----------FVPESDT----------</t>
  </si>
  <si>
    <t>--QLDRAK-TWNYCAMG---------FPSLCHMQ----NAKHL-----------------</t>
  </si>
  <si>
    <t>------------------LTQTRNPRRA----------YPSAPREGLKVHEADT------</t>
  </si>
  <si>
    <t>----FSIGGVHKLLD-DINILPSSW------ITISQWDVP----------------ERY-</t>
  </si>
  <si>
    <t>YTH--S-QIEVEAH------------RC-----------------DIK-PAEGK--I---</t>
  </si>
  <si>
    <t>---TER------VA----KMWKAAWDVEAH-S--------------TVARRF--------</t>
  </si>
  <si>
    <t>---PNP------------------------------------------------------</t>
  </si>
  <si>
    <t>--------------------------------------DL--------------------</t>
  </si>
  <si>
    <t>EADKDGVVNK----CH-YNVS-GPNADRRINRKRADE-----------------------</t>
  </si>
  <si>
    <t>-----------------------------IRALVRAKS----------------------</t>
  </si>
  <si>
    <t>------------PDIDLSL-YNDEL-VMLED---WSDFIAIHVQPSM-LEG-YYVTKF--</t>
  </si>
  <si>
    <t>---DMRWVAKRATLLV-LNKARAMRQKRPRRNYLDDDEDALDEASLLEATERDAYRCT-R</t>
  </si>
  <si>
    <t>VFRM---------GC-----FFGWYGRLGS------------------------------</t>
  </si>
  <si>
    <t>Y-PTPGR-----PHVD----------------MLYQIAFN-Y-KLSS--------YALSA</t>
  </si>
  <si>
    <t>VSEHFFRDK-----------------------------DG--------------------</t>
  </si>
  <si>
    <t>-----NVPEIM-------------------------------------------------</t>
  </si>
  <si>
    <t>-HDDG------------------------------------LLQIV--------------</t>
  </si>
  <si>
    <t>ELIEMSKVSTTTIDDILTRGQTAKGVNRLAWECHRME-------TH--------------</t>
  </si>
  <si>
    <t>YSEKPAKPKAVQMTLDQAL-------MGSAGRKRSRDGLIQVNDK-SITAETKSGRI---</t>
  </si>
  <si>
    <t>K----------QKRYG--------------------------------GGYV-LDPIRGF</t>
  </si>
  <si>
    <t>YD----------------------SFIP-TEDF---------------------------</t>
  </si>
  <si>
    <t>---------PGAGEDEVT----------YLSNM--------PREVWEPR-GYNVPKPPG-</t>
  </si>
  <si>
    <t>------L--------VAI------------------------------------------</t>
  </si>
  <si>
    <t>----------------------------KIV------RHPDMDNIED-------------</t>
  </si>
  <si>
    <t>----------------------------------MFVL----------------------</t>
  </si>
  <si>
    <t>----HIKGAIPI-LLGTLKTSRAAVR----------------------------------</t>
  </si>
  <si>
    <t>---KDMGIM---------------------------------------------EES---</t>
  </si>
  <si>
    <t>---KLE---------------NTP-----------------------------RYAI---</t>
  </si>
  <si>
    <t>-----------------LNR-------RQN--------NIK-------------------</t>
  </si>
  <si>
    <t>--------------VFG-------------------------------------------</t>
  </si>
  <si>
    <t>-----------NSVYGINGGQS--KLACM---------ALARSVTADGR-----------</t>
  </si>
  <si>
    <t>-------------------------NLIKTTRYYVEN-----------------------</t>
  </si>
  <si>
    <t>-----------------------------------------HM-----------------</t>
  </si>
  <si>
    <t>-------------VHYVHGTPQCEVYFHKNFMALPEPDPVTGAY----------------</t>
  </si>
  <si>
    <t>ELEVVPSSQVKPWDEVVEP-----------------------------------------</t>
  </si>
  <si>
    <t>---------------------------------------CLRLA----------------</t>
  </si>
  <si>
    <t>------------------TDRKTGAKFV--DALILPI-----------------------</t>
  </si>
  <si>
    <t>-----------------SAIYDPEK-----------------------------------</t>
  </si>
  <si>
    <t>---------------------------QFLGPDGVRGASL-----DY-------------</t>
  </si>
  <si>
    <t>SKHI---------A-RYITSKFNS------------------------------------</t>
  </si>
  <si>
    <t>VQWLVPC---------E------PKSDQDNKG-------VVAKRRDTWKGMRNT-FKKCA</t>
  </si>
  <si>
    <t>TAIMR-------PGKQYDTV-TVPVVDDG-------------------------------</t>
  </si>
  <si>
    <t>--------------------------GMTR-TVEIFLPMEE-------LSHLLAKVV---</t>
  </si>
  <si>
    <t>---------------VDELD----------------------------------------</t>
  </si>
  <si>
    <t>--VPDYETSK-SLK----------------------------------------------</t>
  </si>
  <si>
    <t>------------------------------------------A--KYNRKKA--------</t>
  </si>
  <si>
    <t>R---------------------------PPHVVVRDKIAQRT-QGGEPQ------SGS--</t>
  </si>
  <si>
    <t>------------------------RVPYVT------------IIDPKARS----------</t>
  </si>
  <si>
    <t>--------------------------------------VSEQAED---------TEWV--</t>
  </si>
  <si>
    <t>---------VQHKGT----------------------IKID-------------RAY---</t>
  </si>
  <si>
    <t>------YV----R--------------------SLIRAFGQLLGTL--------------</t>
  </si>
  <si>
    <t>--------------------------------------------YDGIEI----------</t>
  </si>
  <si>
    <t>--YIERAA-ELCEQTA--AGQSVMFSESGMA----------SKGKGRVF-----------</t>
  </si>
  <si>
    <t>-ALTRQEALARLRL----------FSCVVTARDQTKPYI---------------------</t>
  </si>
  <si>
    <t>LESTFT------------EHVS-------------------EHKFTPMKRKITLDIGAQQ</t>
  </si>
  <si>
    <t>PNAEGSGKNKR--PVKKPRGSSSTGVAATASKASSRKR-------------------PST</t>
  </si>
  <si>
    <t>TTKTSARSNVKD---------------------KKVQKLL-------------EMCDVQR</t>
  </si>
  <si>
    <t>-------------------SANLVNMAD------------------FVSGPAARD-----</t>
  </si>
  <si>
    <t>PKRAKRATLASVA---------------------------------------LGQPANKK</t>
  </si>
  <si>
    <t>TRVAAK------------PGLDLEAM---------------------</t>
  </si>
  <si>
    <t>-------------------------------------------------VI---------</t>
  </si>
  <si>
    <t>-------------------------------------MEKYYRSNTDFA-----------</t>
  </si>
  <si>
    <t>-----------------------------------------NGSDDISF-----------</t>
  </si>
  <si>
    <t>--------------QIIEW-----------------------------------------</t>
  </si>
  <si>
    <t>----------------------------------------------FVDDECI-------</t>
  </si>
  <si>
    <t>--------------------------------YVVRAFGSTL-EGCSVACRITNF-----</t>
  </si>
  <si>
    <t>--------TPFY---FIKL--G--------------------KNF-----N---------</t>
  </si>
  <si>
    <t>RI----------KEMHFMEYIKNHYM-----------------LR-NNKS----------</t>
  </si>
  <si>
    <t>------------DIDVKKCKIVK----KKDIFG----------F----------------</t>
  </si>
  <si>
    <t>----SNNE-FSYFLRLT---------FTNFEAMR----KSRYI-----------------</t>
  </si>
  <si>
    <t>------------------FKKPICIP----GVNS--------SPHKYTLYES--------</t>
  </si>
  <si>
    <t>-----NFEPFMRFAH-IKDIKMAGW------IRLPSRKYK-------KT--------SG-</t>
  </si>
  <si>
    <t>LSN--C-NLEVEID-W----------K------------------DVE-PAN------D-</t>
  </si>
  <si>
    <t>---------FQKVA----NFLQASWDIETY-S---------YD-----R-TF--------</t>
  </si>
  <si>
    <t>---PDP--RKK-----------------------------VKTGDKVSY-----------</t>
  </si>
  <si>
    <t>--------------------------------PNE-V-IQIATT----------YKY---</t>
  </si>
  <si>
    <t>-----------------YAQK-DILVKHLLTLKDCAL-----------------------</t>
  </si>
  <si>
    <t>-----------------------------ID-----------------------------</t>
  </si>
  <si>
    <t>-----------DPTVVVEC-CKSEK-HLIKR---WVEVV-KNMDPDI-FYT-YNGDSF--</t>
  </si>
  <si>
    <t>WFMNE-------------------LSRLQA------------------------------</t>
  </si>
  <si>
    <t>L-YVIGR-----LNYD----------------LMIHMKRGMK-KYPS--------YKLDY</t>
  </si>
  <si>
    <t>IAGEILKE----------------------------------------------------</t>
  </si>
  <si>
    <t>-------------------------GKND---------L---------------------</t>
  </si>
  <si>
    <t>-TPDK------------------------------------IKEIG--------------</t>
  </si>
  <si>
    <t>NIIQLANVTSVPISYLTTKGQTIKVFSQILRKARQM--------DF--------------</t>
  </si>
  <si>
    <t>VSKGTSPNIDGQYKLDEIVDETTVVLLTD---------VELLKDS---------------</t>
  </si>
  <si>
    <t>----------------FYGKCSDSMKSLVSIDRITNAHTGEE------------------</t>
  </si>
  <si>
    <t>YF----------------------EDIV-VEDF---------------------------</t>
  </si>
  <si>
    <t>-ASLY-------------------PTIMIAYNLCFSTFLI--------------------</t>
  </si>
  <si>
    <t>--------------DN-S----------YN-NI--------P--------GVKYEN----</t>
  </si>
  <si>
    <t>FVEVKLK--KTCDGVG----------------------------------KSGKKKGEVC</t>
  </si>
  <si>
    <t>GKQA-----------------------------FFEVDGNYYC-------RIHDPI----</t>
  </si>
  <si>
    <t>----------KKTRT--E----------ETK-IM-----------KQ-------------</t>
  </si>
  <si>
    <t>--------------------------------------PI--------------------</t>
  </si>
  <si>
    <t>---------------TY-----------------DYVV----------------------</t>
  </si>
  <si>
    <t>-----------------------------------VQPHIDENGNKV-------------</t>
  </si>
  <si>
    <t>-----NQGVLPA-LLEELYSERKKVK----------------------------------</t>
  </si>
  <si>
    <t>---RQMAKAA--------------------------------------------QEG---</t>
  </si>
  <si>
    <t>---------------------D----------------------------KV-LEEI---</t>
  </si>
  <si>
    <t>-----------------LDA-------TQL--------AIK-------------------</t>
  </si>
  <si>
    <t>--------------VSL-------------------------------------------</t>
  </si>
  <si>
    <t>-----------NSTYGFLGRSQ----------GNLVLKPLASIVTSTGR-----------</t>
  </si>
  <si>
    <t>-------------------------RMIEQSKEYAE------------------------</t>
  </si>
  <si>
    <t>------------------GN----------------------------------------</t>
  </si>
  <si>
    <t>---------------------------KF-------------------------------</t>
  </si>
  <si>
    <t>------------------------------------------VRENN-------------</t>
  </si>
  <si>
    <t>---------------------------------LATHIVRKQ------------------</t>
  </si>
  <si>
    <t>------------------------NISNIV------------------------------</t>
  </si>
  <si>
    <t>---------------NKQLHL-----------------QKFRSES---------------</t>
  </si>
  <si>
    <t>------------------------------LKKNE-------------------------</t>
  </si>
  <si>
    <t>-------------------------------------MASSPKVESD-------------</t>
  </si>
  <si>
    <t>----------------------------------------ISDATLLTV-----------</t>
  </si>
  <si>
    <t>--------------FPYEW-----------------------------------------</t>
  </si>
  <si>
    <t>----------------------------------------------VVKDEYT-------</t>
  </si>
  <si>
    <t>--------------------------------IAIHVWCLDR-DSKPYFLRIEDF-----</t>
  </si>
  <si>
    <t>--------PVTC---YVEL--PTIVYGR-------------PFQW-----N---------</t>
  </si>
  <si>
    <t>RI----------AAQKVVAYLNFRLNGAQDHAPIGH------------------------</t>
  </si>
  <si>
    <t>-------------------SLTF----RKKTY-----------Y----------------</t>
  </si>
  <si>
    <t>----YLGEGLYPMLLLQ---------FKSIQALNH----CQNL-----------------</t>
  </si>
  <si>
    <t>------------------LKYPLKTRE--------------YGTLRCHVWES--------</t>
  </si>
  <si>
    <t>-----KIPIVRKLLT-GQHMSFSQW------FTVQ----------G-DY---VEE-SLR-</t>
  </si>
  <si>
    <t>IST--M-DDEYVVD-SR-------TME------------------PIPHEVC--------</t>
  </si>
  <si>
    <t>---DGW------RV----YPRILAFDIECY-S---------DN-----KRIF--------</t>
  </si>
  <si>
    <t>---PSA--WHA-------------------------------------------------</t>
  </si>
  <si>
    <t>--------------------------------THV-A-YMISCI----------YQV---</t>
  </si>
  <si>
    <t>-----------------YNH-RSTRKRYAIILG-P-------------------------</t>
  </si>
  <si>
    <t>--------------------------CAEI---------PSSRL----------------</t>
  </si>
  <si>
    <t>------------ENTEIIH-VTTEY-ELVKA---FGKLV-LKTDPEI-VTG-YNIFGF--</t>
  </si>
  <si>
    <t>---DYKYLHERLTQKM----------------------------------------Y---</t>
  </si>
  <si>
    <t>EWPM--------------------MGRLPD------------------------------</t>
  </si>
  <si>
    <t>L-KMDGR-----INID----------------LLPIIRRD-Y-KLLK--------YTLDF</t>
  </si>
  <si>
    <t>VSNYFLGT----------------------------------------------------</t>
  </si>
  <si>
    <t>-------------------------RKHD---------I---------------------</t>
  </si>
  <si>
    <t>-NESER--------------DFKRLC-TPETTP-------VLDEIV--------------</t>
  </si>
  <si>
    <t>EEDLESVCPFVALADVFDVLVE-HNAFFEKYDIDKPF--------VLNAVLRYVL-ANIL</t>
  </si>
  <si>
    <t>MTFV--------LLYCIQDSE-----------------LV--------LDLMEEL-NIFL</t>
  </si>
  <si>
    <t>GLTQMSSVCGVTIVELFTRGQQIRCVSLLYDIAAHQ--------NF--------------</t>
  </si>
  <si>
    <t>-VIDQAAKS---------------------------------------------------</t>
  </si>
  <si>
    <t>------------------------------------GY----------------------</t>
  </si>
  <si>
    <t>H-----------------------DNVL-CWDF---------------------------</t>
  </si>
  <si>
    <t>-ASLY-------------------PTIIMAHNIDYTTLVH--------------------</t>
  </si>
  <si>
    <t>-----------KSIEH---------------LV--------P--------DELCNI----</t>
  </si>
  <si>
    <t>LKE---------------------------------------------------------</t>
  </si>
  <si>
    <t>--GD----------------------------------------------K---------</t>
  </si>
  <si>
    <t>----------PRT---------------ELV--------------T--------------</t>
  </si>
  <si>
    <t>-----------------------------KQYRFKFLN----------------------</t>
  </si>
  <si>
    <t>---------------------------------------AEKT--G--------------</t>
  </si>
  <si>
    <t>-----HKGLLPQ-LEEKMVFERRAVR----------------------------------</t>
  </si>
  <si>
    <t>---AKGKIEKD---------PI--------------------------------------</t>
  </si>
  <si>
    <t>-----------------------------------------------------MREV---</t>
  </si>
  <si>
    <t>-----------------YEQ-------RQK--------ALK-------------------</t>
  </si>
  <si>
    <t>--------------VVC-------------------------------------------</t>
  </si>
  <si>
    <t>-----------NSFYGFLGVRNGGKMPLM---------EAAMSVTGKAR-----------</t>
  </si>
  <si>
    <t>-------------------------ESILKVSTYIEDTY---------------------</t>
  </si>
  <si>
    <t>LY-T----------GRW-------------------------------------------</t>
  </si>
  <si>
    <t>KEYNADARRL---EVWSDEGFTEIKHAMRHKT---KKRIYRITTHTGVIKVTED----HS</t>
  </si>
  <si>
    <t>LLD-KFGNEVKPSDVSCGD-QLLTHALPSLPDDG-------------------------K</t>
  </si>
  <si>
    <t>EIPD-----------------AWAWGIFYGDGSCGHYQ-----CPSGVKYSWAINNQNLE</t>
  </si>
  <si>
    <t>YLEKAKGLLEKTHPK--NHFKILDT-MKSSNVYKLIGGGDA----------VGIVKKWRP</t>
  </si>
  <si>
    <t>LFYDPVSRYKKVPDILWKASKASREAFYRGYYAA-----------DGDK------DKNGY</t>
  </si>
  <si>
    <t>NRFDNKGQIGSAGLFF--LSKSLGY------KVSCNT-----------------------</t>
  </si>
  <si>
    <t>--RKDKLDIYRLTL-T--KNSQRKPP--GIIKKIEDFGIVED------------------</t>
  </si>
  <si>
    <t>------------------YVYDLETG----------------------------------</t>
  </si>
  <si>
    <t>---------------------------TLN-ITD--------------------------</t>
  </si>
  <si>
    <t>GKKL---------E-KELTALFPP------------------------------------</t>
  </si>
  <si>
    <t>ELKL--------------D-----TKDLHFIG-------VELARRDRPKWLTDL-QLKVL</t>
  </si>
  <si>
    <t>IKIM----------HL----------RP--------------------------------</t>
  </si>
  <si>
    <t>---------------------------FEE-TLDV-------------VFEAIDKLL---</t>
  </si>
  <si>
    <t>---------------AEGVP----------------------------------------</t>
  </si>
  <si>
    <t>--YTDLITVK-GLG-------A--------------------------------------</t>
  </si>
  <si>
    <t>---------------------------------------------SYKNKSA--------</t>
  </si>
  <si>
    <t>----------------------------Q-MAVFAEDLKKL---GKPAQ------PGS--</t>
  </si>
  <si>
    <t>------------------------RLEYLV------------VEG---------------</t>
  </si>
  <si>
    <t>----------------DKNEL-----------------QGHKMRL---------PETY--</t>
  </si>
  <si>
    <t>---------LERKNTE-------------------NEEKLD-------------YMF---</t>
  </si>
  <si>
    <t>------YI-----KK-------------------LQNPIGQLLTVA--------------</t>
  </si>
  <si>
    <t>--------------------------------------------YKDV------------</t>
  </si>
  <si>
    <t>---IQKLT-G-----------EYF------------------------------------</t>
  </si>
  <si>
    <t>-------------------GIY--------------------------------------</t>
  </si>
  <si>
    <t>LI--------------------------------------------------YSAIMA--</t>
  </si>
  <si>
    <t>-------------------------NNDHH------------------------------</t>
  </si>
  <si>
    <t>LHDEKRLYKGPTLIITPLEHIDSIHGE--------------------</t>
  </si>
  <si>
    <t>-------------------------------------MQ---------------------</t>
  </si>
  <si>
    <t>----------------------------------------------KTI-----------</t>
  </si>
  <si>
    <t>--------------FVYSW-----------------------------------------</t>
  </si>
  <si>
    <t>----------------------------------------------HQIEDAS-------</t>
  </si>
  <si>
    <t>--------------------------------EHIRVYGIDE-NGKSICVTIDDF-----</t>
  </si>
  <si>
    <t>--------RPFV---HIEL--PNHI------------------QW-----L---------</t>
  </si>
  <si>
    <t>EN-GNI-----PKVQKISNYLRTLLGSNA---PIKQ------------------------</t>
  </si>
  <si>
    <t>-----------------GTSFKY----KYKLYGAHYDRNENG-F----------------</t>
  </si>
  <si>
    <t>----YRKK--FPYLVCK---------FANRKQIAL----LNSK-----------------</t>
  </si>
  <si>
    <t>------------------LKNKVDVPG--------------FGLIDLKVRET--------</t>
  </si>
  <si>
    <t>-----NISPILQLCV-EKNLPSSGW------LEIQ----------G-EF---REE-DEK-</t>
  </si>
  <si>
    <t>VTD--C-DEEYLVH---------SIEK------------------DSLRPSD--------</t>
  </si>
  <si>
    <t>---RQC------PI----KAKIMAWDIESF-S---------VD-----G-SF--------</t>
  </si>
  <si>
    <t>---PDP--NIP-------------------------------------------------</t>
  </si>
  <si>
    <t>--------------------------------GNV-V-FQISCV----------FGT---</t>
  </si>
  <si>
    <t>-----------------MGSIKERKSKYLLTLGEP-D----FSNFDVEEV----------</t>
  </si>
  <si>
    <t>---------------------------KEI---------L--------------------</t>
  </si>
  <si>
    <t>----------------VRT-FKDEV-SLLEG---FAKLI-KEEKPHL-ITG-WNIFNF--</t>
  </si>
  <si>
    <t>NFLL--------------------QGFPKD------------------------------</t>
  </si>
  <si>
    <t>I-DSEGV-----LSID----------------LMDIVQKA-Y-KLDA--------YNLNE</t>
  </si>
  <si>
    <t>VSKHFLNS----------------------------------------------------</t>
  </si>
  <si>
    <t>-------------------------KKDD---------L---------------------</t>
  </si>
  <si>
    <t>-ME---------------------------------------------------------</t>
  </si>
  <si>
    <t>MGKV--------GKYCVQDSV-----------------LV--------LDLFQHL-QTWF</t>
  </si>
  <si>
    <t>SLTEMSKTCSTPIMDIHVRGQQVKFFNQLYKHCFEH--------EI--------------</t>
  </si>
  <si>
    <t>-VVDK---E---------------------------------------------------</t>
  </si>
  <si>
    <t>------------------------------------GYVVSDQ-----------------</t>
  </si>
  <si>
    <t>K-----------------------KNVV-SVDF---------------------------</t>
  </si>
  <si>
    <t>-ASLY-------------------PSLIQAYNLDYSTNV---------------------</t>
  </si>
  <si>
    <t>-------------VDK---------------TI--------P--------DELCHV----</t>
  </si>
  <si>
    <t>LKR-------------------------------------------------KIKDEKDR</t>
  </si>
  <si>
    <t>GRKD---------------------KLKIDLASL---------------TK---------</t>
  </si>
  <si>
    <t>----------ERS---------------NIT--------------KK-------------</t>
  </si>
  <si>
    <t>--------------LSKSV-----------------------------------------</t>
  </si>
  <si>
    <t>---------------MC------------AKRSYRFLK----------------------</t>
  </si>
  <si>
    <t>---------------------------------------------E--------------</t>
  </si>
  <si>
    <t>-----PRGVLPT-IIKDLLDARKNTR----------------------------------</t>
  </si>
  <si>
    <t>---AEIKIWQN---------KL--------------------------------KSA---</t>
  </si>
  <si>
    <t>-----------G---------GLEEQEIA---------------------KS-MIQI---</t>
  </si>
  <si>
    <t>-----------------LDQ-------RQN--------SYK-------------------</t>
  </si>
  <si>
    <t>-----------NSMYGATGVR-VGALPFM---------PIAMCTTYMGR-----------</t>
  </si>
  <si>
    <t>-------------------------KSILEVVEHMKD-Y---------------------</t>
  </si>
  <si>
    <t>LS-K----------NDW-------------------------------------------</t>
  </si>
  <si>
    <t>YINP-------------------------------------------------------N</t>
  </si>
  <si>
    <t>KDISSPK---ENYEIWSDTGFTKIENVVRCKI---DEPLKRVTTHVGSVICSDN----HS</t>
  </si>
  <si>
    <t>LLT-ENLTGVTPNDVVIGD-RLCVRELP-LPQDTPQVPIYINRLTAE--------RIQMY</t>
  </si>
  <si>
    <t>EIPEVSYL-------NVSAKMAFVWGLFFADGGAGIYKQSKSNCLS--NFTWAINKADIA</t>
  </si>
  <si>
    <t>LLERARELLEGET-N--NKFKILDT-IESSKCYKLVFCHLD----------RKMVEEYIE</t>
  </si>
  <si>
    <t>MFYDK-DKNKTIPHIILQAPFLIRQAFFMGYYAG-----------DGSK-------KDPA</t>
  </si>
  <si>
    <t>ICLSNKGQLGSAQLFY--LMRSIGY------NVSVNV-----------------------</t>
  </si>
  <si>
    <t>--REDKPHIYKLTG-STPECKQRKIP--NAIKKITSF-SNDG------------------</t>
  </si>
  <si>
    <t>------------------YIYDIQTE----------------------------------</t>
  </si>
  <si>
    <t>---------------------------TFDGIVDRN------------------------</t>
  </si>
  <si>
    <t>AIYV---------A-KEISKKFPE------------------------------------</t>
  </si>
  <si>
    <t>NVKM--------------ENNG-LVPKMGKRG-------VLLSRRDNCKFMKKV-YSEVI</t>
  </si>
  <si>
    <t>DKIF----------S-----------SD--------------------------------</t>
  </si>
  <si>
    <t>QRRIEFCG---AVEKDKDVF----------------------------------------</t>
  </si>
  <si>
    <t>--LKDLIVTK-SVG-------DY-GGENPTFIPELGKNDRGETRWKIGAYIVNLITDE--</t>
  </si>
  <si>
    <t>-----DKANMTEDQI---------------------------K--DWYLEQL--------</t>
  </si>
  <si>
    <t>----------------------------PGQVQLQEKIKKR---GHAKE------EGQ--</t>
  </si>
  <si>
    <t>------------------------RLAYVV------------TDI---------------</t>
  </si>
  <si>
    <t>----------------GRSAK-----------------QSEKIES---------DKYF--</t>
  </si>
  <si>
    <t>---------FTYSHI----------------------LKLD-------------YGY---</t>
  </si>
  <si>
    <t>------YI-----DR-------------------LVEPLDQVFQAV--------------</t>
  </si>
  <si>
    <t>--------------------------------------------FHKEA-----------</t>
  </si>
  <si>
    <t>--GISSYR-K----------HNGYSP----------------------------------</t>
  </si>
  <si>
    <t>-NFIKN-----------FPKL---------------------------------------</t>
  </si>
  <si>
    <t>----------------------------------------------------YTI-----</t>
  </si>
  <si>
    <t>----------------------------------------------FVKRGRG-------</t>
  </si>
  <si>
    <t>--------------------GLHSFTKDFH------------------------------</t>
  </si>
  <si>
    <t>LLKELQLLTKPELSFD-------------------------------</t>
  </si>
  <si>
    <t>-------------------------------------ME---------------------</t>
  </si>
  <si>
    <t>----------------------------------------------KTM-----------</t>
  </si>
  <si>
    <t>--------------FAYSW-----------------------------------------</t>
  </si>
  <si>
    <t>----------------------------------------------HQTDD---------</t>
  </si>
  <si>
    <t>--------------------------------ESLRIYGITD-DGKTICLIVNDF-----</t>
  </si>
  <si>
    <t>--------KPFV---HVEL--PSSI------------------NW-----R---------</t>
  </si>
  <si>
    <t>QKIGGQ-----PKVQKIMDYLNFILGDLK---PVKN------------------------</t>
  </si>
  <si>
    <t>-----------------RTIFID----KYKLYGSNYVQTSPGVF----------------</t>
  </si>
  <si>
    <t>----QRKK--FPYLVLF---------FESRKHIKN----LEYK-----------------</t>
  </si>
  <si>
    <t>------------------LKNTVDVPG--------------FGKIKLNVRET--------</t>
  </si>
  <si>
    <t>-----NVSPILQLCV-ERNLPSAGW------IGFKVEGRGALAGYG-EL---VEE-KKK-</t>
  </si>
  <si>
    <t>FTD--C-DEEYV------------ISK------------------NYIYSID--------</t>
  </si>
  <si>
    <t>---KHV------PV----KAKVMAWDIEVY-S---------ED-----G-NF--------</t>
  </si>
  <si>
    <t>---PDA--MKP-------------------------------------------------</t>
  </si>
  <si>
    <t>--------------------------------GNV-V-FQISCI----------FFI---</t>
  </si>
  <si>
    <t>-----------------VGT--SYKQKYLLTLGDPLE----YTTTPINEEG---------</t>
  </si>
  <si>
    <t>-------------------------CGKDT---------I--------------------</t>
  </si>
  <si>
    <t>----------------VCK-FKTEE-DLIIA---FSSLQ-KREKPHI-TTG-WNIFNF--</t>
  </si>
  <si>
    <t>I-DCEGI-----LCID----------------LMDVVQKE-H-KLDS--------YSLNF</t>
  </si>
  <si>
    <t>VAKHFLGS----------------------------------------------------</t>
  </si>
  <si>
    <t>EE---IMIEN------KKFKKPLKPFFRIQNTGKLVSD--------EDDS-VFHVNYRGE</t>
  </si>
  <si>
    <t>MAKV--------GKYCVQDSV-----------------LV--------ADIFEHL-QTWL</t>
  </si>
  <si>
    <t>SFSEMSRTCTTPIMTIHVHGQQVKFFNQVYKYCYDH--------KT--------------</t>
  </si>
  <si>
    <t>-VTDK---E---------------------------------------------------</t>
  </si>
  <si>
    <t>------------------------------------TYKVDEK-----------------</t>
  </si>
  <si>
    <t>K-----------------------RNVV-PLDF---------------------------</t>
  </si>
  <si>
    <t>-ASLY-------------------PSLIIARNMCYSTFV---------------------</t>
  </si>
  <si>
    <t>-------------DND---------------DI--------P--------DEMCHV----</t>
  </si>
  <si>
    <t>LKKIANA----------KKMYTQGTRTYK----KMMCSYLVME-------NTKEKTEMSK</t>
  </si>
  <si>
    <t>HLKDLDRENNELLNIVNKQTPGYIESIKKKISDL---------------TS---------</t>
  </si>
  <si>
    <t>----------ERS---------------EIT--------------KK-------------</t>
  </si>
  <si>
    <t>---------------MCV-----------SNRRYRFLK----------------------</t>
  </si>
  <si>
    <t>-----PKGILPT-IIQNLLDARKNTR----------------------------------</t>
  </si>
  <si>
    <t>---TEIKNYKS---------RLAL------------------------LMEKENKSK---</t>
  </si>
  <si>
    <t>-----------E---------DIDEITSI---------------------EN-LLPI---</t>
  </si>
  <si>
    <t>-----------------LDK-------RQN--------SYK-------------------</t>
  </si>
  <si>
    <t>--------------ISA-------------------------------------------</t>
  </si>
  <si>
    <t>-------------------------KSIVEVSQYLKE-L---------------------</t>
  </si>
  <si>
    <t>------------GGRVVYGDTD--------------------------------------</t>
  </si>
  <si>
    <t>---------------------------TFDDVVDKN------------------------</t>
  </si>
  <si>
    <t>AIEI---------A-KTISKKFDN------------------------------------</t>
  </si>
  <si>
    <t>NILM--------------DANG--KPKMGQRG-------VILSRRDNCKYMKDV-YANVI</t>
  </si>
  <si>
    <t>DKIF-----------------------D--------------------------------</t>
  </si>
  <si>
    <t>TRQIEFT----SCEKDEN-Y----------------------------------------</t>
  </si>
  <si>
    <t>KTCGTNGLPMTQNEI---------------------------K--DWYLERL--------</t>
  </si>
  <si>
    <t>----------------------------PCQVQLEVKIKRR---GHNKE------EGQ--</t>
  </si>
  <si>
    <t>------------------------RLSYVV------------TDI---------------</t>
  </si>
  <si>
    <t>----------------GCKGK-----------------QSEKIES---------VEYF--</t>
  </si>
  <si>
    <t>---------KTHSKV----------------------LKLD-------------YGY---</t>
  </si>
  <si>
    <t>------YI-----ER-------------------LIEPLDQVFQAV--------------</t>
  </si>
  <si>
    <t>--------------------------------------------FK--------------</t>
  </si>
  <si>
    <t>----NCQE-K----------ETIYSD----------------------------------</t>
  </si>
  <si>
    <t>-NFRKT-------------KL---------------------------------------</t>
  </si>
  <si>
    <t>----------------------------------------------------FSI-----</t>
  </si>
  <si>
    <t>----------------------------------------------FEKRGKH-------</t>
  </si>
  <si>
    <t>--------------------SQANFTKELH------------------------------</t>
  </si>
  <si>
    <t>LINEIKSFSKPDLVFV-------------------------------</t>
  </si>
  <si>
    <t>-------------------------------------MAC--------------------</t>
  </si>
  <si>
    <t>----------------------------------------NTKETEYEF-----------</t>
  </si>
  <si>
    <t>--------------YAYSW-----------------------------------------</t>
  </si>
  <si>
    <t>----------------------------------------------HLDEEIQ-------</t>
  </si>
  <si>
    <t>--------------------------------TFIRAYGFDD-QQKNICVSINGF-----</t>
  </si>
  <si>
    <t>EN-----------KERLYLYFNQMFPNVK-------------------------------</t>
  </si>
  <si>
    <t>------------------CTLKF----CKKLYGANLKKKGDK-Y----------------</t>
  </si>
  <si>
    <t>----TFKL--FPFLMCS---------SPSFKELKF---NLPSK-----------------</t>
  </si>
  <si>
    <t>------------------LKTPQRVMG--------------FGNLKFHVHGQ--------</t>
  </si>
  <si>
    <t>-----DACPRLQLTS-KYDLPTAGW------IKFK----------GIEV---VCE-EDK-</t>
  </si>
  <si>
    <t>FTS--C-DREFLVD-LRLCKTQGIKPK------------------DLISRSV--------</t>
  </si>
  <si>
    <t>---KTT------IP----KPLVLSFDLEVN-S---------ED-----TITM--------</t>
  </si>
  <si>
    <t>---PKA--SRP-------------------------------------------------</t>
  </si>
  <si>
    <t>--------------------------------GDV-V-FQISCI----------FSR---</t>
  </si>
  <si>
    <t>-----------------LG--SNVYDKYLLSLGDP-------------------------</t>
  </si>
  <si>
    <t>--------------------------QKNI---------V--------------------</t>
  </si>
  <si>
    <t>-------------GANILK-YSTEQ-KLLMG---FKDLV-NKKNPNV-VIG-YNIFNF--</t>
  </si>
  <si>
    <t>LWAQ--------------------QGFAKN------------------------------</t>
  </si>
  <si>
    <t>L-DCEGR-----LYID----------------LLPVVQRD-F-KLND--------YKLKT</t>
  </si>
  <si>
    <t>VSTHFIGE----------------------------------------------------</t>
  </si>
  <si>
    <t>-------------------------TKDD---------L---------------------</t>
  </si>
  <si>
    <t>KHFKLVGVENEDNLKQQNFFDEVTDVFWVENAFSSIEYIRQKIKHLEDESGHFKIKY---</t>
  </si>
  <si>
    <t>MSIC--------GKYCIQDSM-----------------LV--------SKLMDKL-NVWY</t>
  </si>
  <si>
    <t>SLSEMAVICNVPMITLFTKGQQIKVYSNLYKFCLEN--------KI--------------</t>
  </si>
  <si>
    <t>-IPEK---D---------------------------------------------------</t>
  </si>
  <si>
    <t>------------------------------------GYTVSEN-----------------</t>
  </si>
  <si>
    <t>Y-----------------------INVV-PFDF---------------------------</t>
  </si>
  <si>
    <t>-SALY-------------------PSLIIAYNIDYSSCA---------------------</t>
  </si>
  <si>
    <t>-------------FDP---------------NI--------P--------DELCHV----</t>
  </si>
  <si>
    <t>LTS-------------------------------------------------KKKSD---</t>
  </si>
  <si>
    <t>---------------------------KALISKL---------------RK---------</t>
  </si>
  <si>
    <t>----------QRS---------------EIT--------------KS-------------</t>
  </si>
  <si>
    <t>--------------LNKNI-----------------------------------------</t>
  </si>
  <si>
    <t>---------------MC------------EKRKYRFLK----------------------</t>
  </si>
  <si>
    <t>---------------------------------------VTNQNPE--------------</t>
  </si>
  <si>
    <t>-----FKGVLPT-IVQSLLDARKETR----------------------------------</t>
  </si>
  <si>
    <t>---KEISNLKN---------KL--------------------------------KEI---</t>
  </si>
  <si>
    <t>-----------N---------NEQQTREI---------------------ET-TIDI---</t>
  </si>
  <si>
    <t>-----------------LNQ-------RQL--------AYK-------------------</t>
  </si>
  <si>
    <t>-----------NSMYGITGVK-AGMLPFM---------PVAMSITYKGR-----------</t>
  </si>
  <si>
    <t>-------------------------EGVKQVSDILQKQY---------------------</t>
  </si>
  <si>
    <t>IS-Q----------GDW-------------------------------------------</t>
  </si>
  <si>
    <t>PINP-------------------------------------------------------N</t>
  </si>
  <si>
    <t>KEISTPK---EGYKVWSDQGFTKIVNIVRCKP---IESLSQITTHIGTVVCSDN----HS</t>
  </si>
  <si>
    <t>LLT-DTLECVTPQEVNIGD-NLCVTGLP-LPKDTPDKPLYPNKLSSL--------VIQDY</t>
  </si>
  <si>
    <t>KIPQFEFE-------GITSNLAFIWGLFMADGSAGIYNYKKRAVL----YSWAINKADTD</t>
  </si>
  <si>
    <t>LLERVRQLCEEEY-K--QDFQILDT-IESTGCYKLVQCKPN----------EEIVEDYID</t>
  </si>
  <si>
    <t>LFYTK-DKLKKIPDIILQAPFQIRQAFFMGFYAG-----------DGSK-------KDPS</t>
  </si>
  <si>
    <t>ICITFKGQIGSAQLYY--LMKSIGY------QVSINV-----------------------</t>
  </si>
  <si>
    <t>--RNDKPDIYKLTG-SSPIKKMRKIP--NAIKKKSAYLSPVD------------------</t>
  </si>
  <si>
    <t>------------------YIYDIQTS----------------------------------</t>
  </si>
  <si>
    <t>---------------------------SFQH-----------------------------</t>
  </si>
  <si>
    <t>AIKV---------A-DEISKLFPP------------------------------------</t>
  </si>
  <si>
    <t>TI----------------------KPEIGKKG-------VVLNRRDNSAFIRKT-YENVV</t>
  </si>
  <si>
    <t>KIIF-----------------------E--------------------------------</t>
  </si>
  <si>
    <t>VNAM-FNH---QC------S----------------------------------------</t>
  </si>
  <si>
    <t>E----EEGIQTPEEE---------------------------T--NWYLDKL--------</t>
  </si>
  <si>
    <t>----------------------------PAHIQLLEKIKRR---GHSRN------EGS--</t>
  </si>
  <si>
    <t>------------------------RLEYVV------------VET---------------</t>
  </si>
  <si>
    <t>---------------DNLKDK-----------------LSAKNET---------VMYY--</t>
  </si>
  <si>
    <t>---------NKNKGI----------------------LNLD-------------YLY---</t>
  </si>
  <si>
    <t>------YL-----HR-------------------LINPIDQILEVI--------------</t>
  </si>
  <si>
    <t>--------------------------------------------FN--------------</t>
  </si>
  <si>
    <t>---LNDFM-K-----------NHYNY----------------------------------</t>
  </si>
  <si>
    <t>-RVLKK-------------KLT--------------------------------------</t>
  </si>
  <si>
    <t>NIE-------KDWLYLLKES----------------DK--------------YSLIYG-S</t>
  </si>
  <si>
    <t>KEYCK--SQLLPYHSLVYKT-K--YVPTQPID-----------FYAFLKMKYGLT-----</t>
  </si>
  <si>
    <t>----------------TSLKTQFIFKDNIV------------------------------</t>
  </si>
  <si>
    <t>LIAVIKKECK-------------------------------------</t>
  </si>
  <si>
    <t>-------------------------------------MVC--------------------</t>
  </si>
  <si>
    <t>----------------------------------------NTKEIEYEF-----------</t>
  </si>
  <si>
    <t>------------------LKTPQRIMG--------------LGNLKFHVHGQ--------</t>
  </si>
  <si>
    <t>--------------------------------GDV-V-FQISCV----------FSR---</t>
  </si>
  <si>
    <t>-------------GANILK-YSTEQ-KLLMG---FKDLV-NEKNPNV-VIG-YNIFNF--</t>
  </si>
  <si>
    <t>VWSQ--------------------QGFAKG------------------------------</t>
  </si>
  <si>
    <t>KHFKLVGVENEDNLKQQNFFDEVTDVFWVENAFSSIEYIRQKIKHLEDKNGHFKIKY---</t>
  </si>
  <si>
    <t>--------------LNKNV-----------------------------------------</t>
  </si>
  <si>
    <t>-----------N---------NEQQKREI---------------------ET-TIDI---</t>
  </si>
  <si>
    <t>------------GGELVYGDTD--------------------------------------</t>
  </si>
  <si>
    <t>VNAM-FNH---QC------L----------------------------------------</t>
  </si>
  <si>
    <t>NIE-------KDWLYLLKVK----------------EK--------------YSLIYG-S</t>
  </si>
  <si>
    <t>KDYCK--SRLLS-QEVVYKT-K--YVPTQPID-----------FYAFLKIKYGLT-----</t>
  </si>
  <si>
    <t>----------------TSLKTQFIFKDNII------------------------------</t>
  </si>
  <si>
    <t>-------------------------------------MA---------------------</t>
  </si>
  <si>
    <t>-----------------------------------------TLQT-IDI-----------</t>
  </si>
  <si>
    <t>----------------------------------------------HIDEEEQ-------</t>
  </si>
  <si>
    <t>--------------------------------TFIRVYGLNN-LNENICVSINGF-----</t>
  </si>
  <si>
    <t>--------RPHV---YVEL--PTHI------------------NW-----V---------</t>
  </si>
  <si>
    <t>DF-----------KPQLYSFFQQLSSGLK-------------------------------</t>
  </si>
  <si>
    <t>------------------CTLTF----ARKLYGANLKKKDEK-F----------------</t>
  </si>
  <si>
    <t>----VHKK--FPFLKCT---------FNSKRDAHF----LAHK-----------------</t>
  </si>
  <si>
    <t>------------------LKNRQYVPG--------------IGQLKFNVHHL--------</t>
  </si>
  <si>
    <t>-----DACPRLQLTS-KYNLPTAGW------IRFK----------GTKI---LQD-EDK-</t>
  </si>
  <si>
    <t>FTE-RC-D-EFMID-L---SDKRYKPE------------------DLMKRCD--------</t>
  </si>
  <si>
    <t>---AVG------TV----KPLILSFDLEVN-S---------ED-----GITM--------</t>
  </si>
  <si>
    <t>---PKA--TRP-------------------------------------------------</t>
  </si>
  <si>
    <t>-----------------LGEPAESFDKYLLSLGNP-------------------------</t>
  </si>
  <si>
    <t>--------------------------SPEL---------V--------------------</t>
  </si>
  <si>
    <t>-------------GAKVLS-YPSES-KLLMG---FTNLI-KEKNPNC-IIG-YNIFSF--</t>
  </si>
  <si>
    <t>EWSV--------------------QGFPRD------------------------------</t>
  </si>
  <si>
    <t>L-DCEGR-----LYID----------------LLPIVQRD-F-KLND--------YKLKT</t>
  </si>
  <si>
    <t>VSTQFIGE----------------------------------------------------</t>
  </si>
  <si>
    <t>-IKN--------------------------------------------------------</t>
  </si>
  <si>
    <t>---------------------------------TSVAY----------------------</t>
  </si>
  <si>
    <t>MSVC--------GKYCMQDSL-----------------LV--------TKLFDKL-NVWH</t>
  </si>
  <si>
    <t>GLSEMAAVCNVPMITLFTKGQQVKVYSQVYKHCVEN--------KI--------------</t>
  </si>
  <si>
    <t>-VVEK---D---------------------------------------------------</t>
  </si>
  <si>
    <t>------------------------------------GYVTREN-----------------</t>
  </si>
  <si>
    <t>Y-----------------------ENVV-PMDF---------------------------</t>
  </si>
  <si>
    <t>-SSLY-------------------PSLIIAYNIDYSTLA---------------------</t>
  </si>
  <si>
    <t>-------------ADP---------------HI--------P--------DEMCHV----</t>
  </si>
  <si>
    <t>LVN-------------------------------------------------KKGYD---</t>
  </si>
  <si>
    <t>---------------------------KALVSKY---------------RK---------</t>
  </si>
  <si>
    <t>----------ERS---------------EIT--------------KS-------------</t>
  </si>
  <si>
    <t>---------------MC------------EKRRYRFLD----------------------</t>
  </si>
  <si>
    <t>---------------------------------------PNKLGKE--------------</t>
  </si>
  <si>
    <t>-----SVGVLPT-IIQNLLEARKNTR----------------------------------</t>
  </si>
  <si>
    <t>---KEIVVLKD---------KL--------------------------------KTT---</t>
  </si>
  <si>
    <t>-----------T---------NDKEKINL---------------------ET-TISV---</t>
  </si>
  <si>
    <t>-----------NSMYGITGVK-AGMLPCM---------PIAMSVTFMGR-----------</t>
  </si>
  <si>
    <t>-------------------------TNILKAAKYLQEIY---------------------</t>
  </si>
  <si>
    <t>------------GGFLVYGDTD--------------------------------------</t>
  </si>
  <si>
    <t>---------------------------SFNH-----------------------------</t>
  </si>
  <si>
    <t>ALKV---------A-DEVSSLFPP------------------------------------</t>
  </si>
  <si>
    <t>SI----------------------KPEIGKRG-------VILNRRDNSGFIRNI-YEKMV</t>
  </si>
  <si>
    <t>INNM-FCG---AI------P----------------------------------------</t>
  </si>
  <si>
    <t>M----EEEITNEKQE---------------------------K--EWYLSKL--------</t>
  </si>
  <si>
    <t>----------------------------PAHIQLLEKIKRR---GQIKN------EGS--</t>
  </si>
  <si>
    <t>------------------------RLEYVI------------LET---------------</t>
  </si>
  <si>
    <t>---------------NDHKDK-----------------QCVKIEA---------LDYY--</t>
  </si>
  <si>
    <t>---------LKNKDV----------------------LKLD-------------YLY---</t>
  </si>
  <si>
    <t>------YL-----QR-------------------CINPIDQILEVL--------------</t>
  </si>
  <si>
    <t>---LPHFT-K-----------QVYDY----------------------------------</t>
  </si>
  <si>
    <t>-HFNKK-------------KLI--------------------------------------</t>
  </si>
  <si>
    <t>NID-------KTNVLLYRDL----------------DK--------------YYIQLGQA</t>
  </si>
  <si>
    <t>ADNNT--LHLVAQFQTTEDT-K--NL--------------------YLKLRHK-C-----</t>
  </si>
  <si>
    <t>----------------TKLKTKFTFKCGYI------------------------------</t>
  </si>
  <si>
    <t>LISALKRLCKA------------------------------------</t>
  </si>
  <si>
    <t>----------------------------------------ATLQKSVTF-----------</t>
  </si>
  <si>
    <t>--------------QAIKW-----------------------------------------</t>
  </si>
  <si>
    <t>----------------------------------------------EVDESD--------</t>
  </si>
  <si>
    <t>--------------------------------VTIHIHGLNR-QNKRVTVKIPDF-----</t>
  </si>
  <si>
    <t>--------KPYV---YLEL--DPKI------------------KW-----T---------</t>
  </si>
  <si>
    <t>EG----------RLELLRAFLRKCLHINF---PVKN------------------------</t>
  </si>
  <si>
    <t>----------------------------------RLVERKKN-Y----------------</t>
  </si>
  <si>
    <t>----YLKP--GKFLWMA---------FNNSAGIRA----LERA-----------------</t>
  </si>
  <si>
    <t>------------------VRGQFILYG--------------VGNIHLKVHEQ--------</t>
  </si>
  <si>
    <t>-----RANPILKLFA-MRKIKPAGW------IVAKRTTKK-------QL---LEEYDDV-</t>
  </si>
  <si>
    <t>FSC--A-DIEMVSG-F----------S------------------DISAAKG--------</t>
  </si>
  <si>
    <t>---VSH------VT----NPLIVSYDIECV-S---------GD---ATGNTF--------</t>
  </si>
  <si>
    <t>---PNA--SRR-------------------------------------------------</t>
  </si>
  <si>
    <t>--------------------------------TDQ-I-ICISAT----------VAY---</t>
  </si>
  <si>
    <t>-----------------FKDEVTEWKTYSL----------------VNEADD--------</t>
  </si>
  <si>
    <t>------------------------KTCPHI---------LE-------------------</t>
  </si>
  <si>
    <t>------------DGAEVRH-FKNEK-ALLLG---WSDFI-NEINPDV-ITG-YNTLSF--</t>
  </si>
  <si>
    <t>KFSK--------------------MGRLIG------------------------------</t>
  </si>
  <si>
    <t>I-DIPGR-----LHID----------------MYPVIFKD-YGSLMS--------YTLND</t>
  </si>
  <si>
    <t>VSEYFLGD----------------------------------------------------</t>
  </si>
  <si>
    <t>-------------------------KKID---------L---------------------</t>
  </si>
  <si>
    <t>-GEDN------------------------------------IRKIV--------------</t>
  </si>
  <si>
    <t>GLGEMANVMMVSIFDLVTRGQQIRVFSQVYCLCFDL--------GV--------------</t>
  </si>
  <si>
    <t>-VCTERWAD---------------------------------------------------</t>
  </si>
  <si>
    <t>------------------------------------YHPPDEE-----------------</t>
  </si>
  <si>
    <t>H-----------------------QLVL-TYDF---------------------------</t>
  </si>
  <si>
    <t>-KSLY-------------------PTTIIAYNLCFSTFV---------------------</t>
  </si>
  <si>
    <t>------------PPDE---------------NP--------P--------KDQYHD----</t>
  </si>
  <si>
    <t>---------------LQF-----VVHFGCEHDTA-------------V------------</t>
  </si>
  <si>
    <t>----------RKS---------------KVP--------------KV-------------</t>
  </si>
  <si>
    <t>-----------------KI-----------------------------------------</t>
  </si>
  <si>
    <t>---------------IC------------GEYHYRFYK----------------------</t>
  </si>
  <si>
    <t>---------------------------------------AN----V--------------</t>
  </si>
  <si>
    <t>-----KKGIVPM-LLEQLLEARANTR----------------------------------</t>
  </si>
  <si>
    <t>---KEISALGK---------RL--------------------------------KEK---</t>
  </si>
  <si>
    <t>-----------GL--------SKPEEAQI---------------------IM-LMDV---</t>
  </si>
  <si>
    <t>-----------------LDK-------RQL--------GYK-------------------</t>
  </si>
  <si>
    <t>DKVLVWSDNGWTPIKYVIRHPIKKPLLRVLTHTGLVDCTEEHSLLSNLGKQVKPIELDLG</t>
  </si>
  <si>
    <t>DKLLHVDIPVPKDTPESPLYTSLSDQDIEGYALQSEEELAFAHGLFYAEGSCAVSWYICN</t>
  </si>
  <si>
    <t>QNYKLLERACKYLNKHEQCGFKVYNNRLSKVYYLRVIDMLKSSVTRYRNLFYDTRKNKRI</t>
  </si>
  <si>
    <t>PQYIFNASYKIRLAFFLGYYAGDRNRHLENPQDFLRRKGIVIVNNGLIGSAGLCYLMKTL</t>
  </si>
  <si>
    <t>GYKVSISYSQIPEKLDHIRLQCCTAFRNKQTDSIKRMETNERSEASRIEYIYDIETESHH</t>
  </si>
  <si>
    <t>FAAGVGNMIVHNSMYGGFGSD-YSYTPFY---------PAAQCTTAMGR-----------</t>
  </si>
  <si>
    <t>-------------------------KSIKEAIDFAME-YR--------------------</t>
  </si>
  <si>
    <t>LAIE----------QDWDVYGDFKPS----------------------------------</t>
  </si>
  <si>
    <t>PINSSIEY--------------------------------HVAEDGGEALLAARHMFNGD</t>
  </si>
  <si>
    <t>KRWSKERKQLSGWEAWTESGWSEIKQVIRHKT---TKKIYRVTTHTGTVDVTQD----HS</t>
  </si>
  <si>
    <t>LLT-DTGEQIKPVNVKVGD-KLLHSS----PERGLSRQIYFTSIVS--------------</t>
  </si>
  <si>
    <t>R----------------------KRAGYTTYLRH-----------D--------------</t>
  </si>
  <si>
    <t>---------GDIILYGDGLARNNTE------VVSINC-----------------------</t>
  </si>
  <si>
    <t>--LG----------------------------------DAED------------------</t>
  </si>
  <si>
    <t>------------------YVYDLETE----------------------------------</t>
  </si>
  <si>
    <t>L-----------------------------------------------------------</t>
  </si>
  <si>
    <t>---------------------------KFSTVNN--------------------------</t>
  </si>
  <si>
    <t>GKEI---------E-DVINAIFPK------------------------------------</t>
  </si>
  <si>
    <t>NI-----------------------TTVDKKG-------VVIKRRDNCGYLREI-YSQLI</t>
  </si>
  <si>
    <t>DMVM----------DK----------EP--------------------------------</t>
  </si>
  <si>
    <t>---------------------------RWK-MYEY-------------LQIMIDSLL---</t>
  </si>
  <si>
    <t>---------------DGNVE----------------------------------------</t>
  </si>
  <si>
    <t>--LEQLVITK-SIK-------D--------------------------------------</t>
  </si>
  <si>
    <t>---------------------------------------------NYKTQNL--------</t>
  </si>
  <si>
    <t>----------------------------P-HVVVAQKMRDR---GKYVA------SGT--</t>
  </si>
  <si>
    <t>------------------------RIRYIF------------TET---------------</t>
  </si>
  <si>
    <t>---------------EKYTDP-----------------QYKRVED---------PDYY--</t>
  </si>
  <si>
    <t>---------LQNQDT----------------------IKID-------------YLY---</t>
  </si>
  <si>
    <t>------YL-----EK------------------QLINPLDEIMEVK--------------</t>
  </si>
  <si>
    <t>--------------------------------------------FG--------------</t>
  </si>
  <si>
    <t>---IEHVL-K-----------NLF------------------------------------</t>
  </si>
  <si>
    <t>-RLIRK-------------GII--------------------------------------</t>
  </si>
  <si>
    <t>------------------------------KNSSR-------------------YFCP--</t>
  </si>
  <si>
    <t>-------------------------------------R--------------FKVVD---</t>
  </si>
  <si>
    <t>-------------------------------------------------MVNN-------</t>
  </si>
  <si>
    <t>-------------FEL----------------NDKGEMS---------------------</t>
  </si>
  <si>
    <t>-------------------------------------------QKSVTF-----------</t>
  </si>
  <si>
    <t>----------------------------------------------EVAESD--------</t>
  </si>
  <si>
    <t>--------------------------------VTIYIHGLNR-QNKRVTVKIPDF-----</t>
  </si>
  <si>
    <t>EA----------RLELLRAFLRKSLHINF---PAKN------------------------</t>
  </si>
  <si>
    <t>----YYKS--GKFLWMA---------FNTTIGIRA----LERA-----------------</t>
  </si>
  <si>
    <t>------------------VRGQFTLYG--------------VGTIHLKVHEQ--------</t>
  </si>
  <si>
    <t>-----RASPILKLFA-MRKIKPAGW------IVAKRTKKQ-------QL---LEEYNDT-</t>
  </si>
  <si>
    <t>FSS--A-DIEMVSS-F----------S------------------DISVAKG--------</t>
  </si>
  <si>
    <t>---PNP--TRR-------------------------------------------------</t>
  </si>
  <si>
    <t>--------------------------------TDQ-I-ICISAT----------VAN---</t>
  </si>
  <si>
    <t>-----------------FQDEETEWKSYAL----------------VNEIDG--------</t>
  </si>
  <si>
    <t>------------------------KICPHK---------LE-------------------</t>
  </si>
  <si>
    <t>------------DGAEVRH-FKNEK-ALLLG---WTDFI-NEIDPDV-ITG-YNTLSF--</t>
  </si>
  <si>
    <t>I-DIPGR-----LHID----------------MYPVIFKD-YGNLMS--------YTLDY</t>
  </si>
  <si>
    <t>VSEYFLDD----------------------------------------------------</t>
  </si>
  <si>
    <t>-EEDD------------------------------------IREIV--------------</t>
  </si>
  <si>
    <t>GLTEMSNVMMVPIFDLITRGQQIRMFSQVYCLCFDL--------GV--------------</t>
  </si>
  <si>
    <t>-VCTERWTD---------------------------------------------------</t>
  </si>
  <si>
    <t>------------------------------------YHPTDDE-----------------</t>
  </si>
  <si>
    <t>H-----------------------ELVA-TYDFCLAGNTQVSLSNGTSKRIDEMYDDYNV</t>
  </si>
  <si>
    <t>LGYDNLGFRGYAMVGGLQEKGAKDTVNLTLQYGNTITCTPDHQLLTSDRRWVKAQQLKGS</t>
  </si>
  <si>
    <t>EIICGIEYPQDTTCPLEENWSLHVGDREFNLLSNRDETLAFCRLLGYILADGSIYTSNNR</t>
  </si>
  <si>
    <t>KCVEIYFGTFFDANTVHADLELLTNVKVTTRLRKGNNCQDSDRKGHTYCITLAANLAKLV</t>
  </si>
  <si>
    <t>HQLDGIVIGKRATQAMYLPKFIVDPQCPLAVLREFLGGLFGGDGIIPSLSDNTFTMVSFK</t>
  </si>
  <si>
    <t>WTTTEKYLEEMSALFEQLENLLSRFNISCGKISRTKVKYTNHSIKPVDYQENPRYNYLLR</t>
  </si>
  <si>
    <t>INKNSCYDFVNKIGFRYCINKAYKAYIVALYYNYCNLVRKQHKTVIDRANKLFKGGDDRS</t>
  </si>
  <si>
    <t>CKNSLEIAREEFLENNVPLHEFVLSSVKDLNYMRGEEKRRTNHRISIRYKKNFPKPHDFL</t>
  </si>
  <si>
    <t>NDLGIKDWFNPGAYIMRHDSVVLPSFKQKIVNVKSAGIQNVYDIQVDDCHNFVANGIVAH</t>
  </si>
  <si>
    <t>NCSLY-------------------PTTIIAYNLCFSTFV---------------------</t>
  </si>
  <si>
    <t>------------PPDE---------------NP--------P--------EDQYHD----</t>
  </si>
  <si>
    <t>---------------LRF-----AVHFGCLHDTA-------------V------------</t>
  </si>
  <si>
    <t>----------RKT---------------KVP--------------KA-------------</t>
  </si>
  <si>
    <t>---------------------------------------AT----V--------------</t>
  </si>
  <si>
    <t>-----KKGIVPM-LLEHLLEARANTR----------------------------------</t>
  </si>
  <si>
    <t>---KEIAVLAK---------RL--------------------------------KEE---</t>
  </si>
  <si>
    <t>-----------GL--------SDAEEKQI---------------------KL-MIGV---</t>
  </si>
  <si>
    <t>--------------TAS-------------------------------------------</t>
  </si>
  <si>
    <t>-----------NSMYGGYGSD-FSYTPFY---------PAAQSTTAMGR-----------</t>
  </si>
  <si>
    <t>-------------------------KSIKDAIDFAKE-YR--------------------</t>
  </si>
  <si>
    <t>LAAE----------QEWDVYRDFKPS----------------------------------</t>
  </si>
  <si>
    <t>PINSSIEY--------------------------------HVAEDGGEALLAARHMFNSN</t>
  </si>
  <si>
    <t>KRWSKERKVLEGWQVWTDSGWSPIKQVIRHKT---VKKIYRVTTHTGTVDVTQD----HS</t>
  </si>
  <si>
    <t>LLS-DTGEQIKPVNLKIGD-QLLHNY----PYNS-TRQIYFTSGPS--------------</t>
  </si>
  <si>
    <t>R----------------------KRAGYETYIRH-----------EA-------------</t>
  </si>
  <si>
    <t>---------GAVILYYDGLSRKNAE------IISIRC-----------------------</t>
  </si>
  <si>
    <t>--LG----------------------------------TADD------------------</t>
  </si>
  <si>
    <t>---------------------------KFSNVHK--------------------------</t>
  </si>
  <si>
    <t>CKEM---------E-KVINAIFPK------------------------------------</t>
  </si>
  <si>
    <t>NI-----------------------IEIDKKG-------VVIKRRDNCAYLREI-YSQII</t>
  </si>
  <si>
    <t>DMVM----------AK----------EP--------------------------------</t>
  </si>
  <si>
    <t>---------------------------RWK-MFEY-------------LRVKIDDLL---</t>
  </si>
  <si>
    <t>---------------KGNVD----------------------------------------</t>
  </si>
  <si>
    <t>--LEKLVITK-SIK-------D--------------------------------------</t>
  </si>
  <si>
    <t>---------------------------------------------TYKTQNL--------</t>
  </si>
  <si>
    <t>----------------------------P-HVAVAQKMRDR---GKYVA------SGT--</t>
  </si>
  <si>
    <t>------------------------RIRYIF------------TKT---------------</t>
  </si>
  <si>
    <t>---------------EKHNDP-----------------QYIKADD---------PDHY--</t>
  </si>
  <si>
    <t>---------LQNQDT----------------------MQID-------------YLY---</t>
  </si>
  <si>
    <t>------YF-----EK------------------QLVNPLDEVLKVK--------------</t>
  </si>
  <si>
    <t>---IENVL-K-----------NLL------------------------------------</t>
  </si>
  <si>
    <t>-RLIKK-------------GII--------------------------------------</t>
  </si>
  <si>
    <t>------------------------------QNATQ-------------------YFHP--</t>
  </si>
  <si>
    <t>-------------------------------------K--------------FKIEN---</t>
  </si>
  <si>
    <t>-------------------------------FNLRTK-----------------------</t>
  </si>
  <si>
    <t>-------------------------------------------MTRIRF-----------</t>
  </si>
  <si>
    <t>--------------RPMIW-----------------------------------------</t>
  </si>
  <si>
    <t>--------------------------DAVNGEQLIFVTGLDS-ENKVVYLTITEF-----</t>
  </si>
  <si>
    <t>DKV---------AISELVSKLTTMLK----------------------------------</t>
  </si>
  <si>
    <t>------------EDAPLKSTLTT----KRRLLH----------F---NE-----------</t>
  </si>
  <si>
    <t>---------QIKCVFMT---------FPTENALS----HAARM-----------------</t>
  </si>
  <si>
    <t>------------------LKYVKNVK------------GVRYNEGELKMHED--------</t>
  </si>
  <si>
    <t>-----NIDAVVKFVV-MSDITTSGELE----VDIE------------PV-------IEK-</t>
  </si>
  <si>
    <t>DTT--A-DIEAEVA-W----------R------------------DVK-NVE-----VS-</t>
  </si>
  <si>
    <t>-----------MAI----SPRYASFDIEVN-SINL------KS-------KL--------</t>
  </si>
  <si>
    <t>---PQA--DVE-------------------------------------------------</t>
  </si>
  <si>
    <t>--------------------------------GNV-V-FQIAYI----------DGR---</t>
  </si>
  <si>
    <t>-----------------FGQ--TPTQRYLLTLYSCDE-----------------------</t>
  </si>
  <si>
    <t>------------EGTEIRM-FETEK-ELLLG---FSALI-RECNPDV-FIG-YNTMKF--</t>
  </si>
  <si>
    <t>QFLD--------------------FSRDTT------------------------------</t>
  </si>
  <si>
    <t>V-DCPGR-----MNMD----------------VLLEIERN-QAKLPK--------YSLNA</t>
  </si>
  <si>
    <t>VSDRFLGE----------------------------------------------------</t>
  </si>
  <si>
    <t>-------------------------SKDD---------I---------------------</t>
  </si>
  <si>
    <t>QAAYE----------------LKSV---PSN----------REEFV--------------</t>
  </si>
  <si>
    <t>--------EKY---------MPKQETFDV------------------------AVQLR--</t>
  </si>
  <si>
    <t>LTLT--------GKYCVQDTY-----------------LP--------VQLIDKL-KMWT</t>
  </si>
  <si>
    <t>TMQEFSNITGVPMSYLHTRGAGIRSLARLHRECFPR--------NI--------------</t>
  </si>
  <si>
    <t>-IVTRKPTPFGQ------------------------------------------------</t>
  </si>
  <si>
    <t>Y-----------------------NYVA-CHDF---------------------------</t>
  </si>
  <si>
    <t>-ASLY-------------------PNSMIAWNISHDTVLR--------------------</t>
  </si>
  <si>
    <t>------------PDDP-T-----------------------P--------NEECHV----</t>
  </si>
  <si>
    <t>---------------IHV-----SEHRKCPHDTM--------------------------</t>
  </si>
  <si>
    <t>----------KRG----S----------EVS-----------------------------</t>
  </si>
  <si>
    <t>-------------T-LC------------QENTYRFKK----------------------</t>
  </si>
  <si>
    <t>-------------------------------------VKILPDGTRV-------------</t>
  </si>
  <si>
    <t>-----NEGIFPH-MLRQLLSERKKVK----------------------------------</t>
  </si>
  <si>
    <t>---KTMAKAQA---------RLAMNRGHATPSDLKKYEKYGYEII----VPNTLSEK---</t>
  </si>
  <si>
    <t>---------------------D------------------------DAALAL-ECDV---</t>
  </si>
  <si>
    <t>-----------------LNA-------KQL--------ALK-------------------</t>
  </si>
  <si>
    <t>--------------LLS-------------------------------------------</t>
  </si>
  <si>
    <t>-----------NSSYGIYGAPN-GPAPFI---------AGAACVTGQGR-----------</t>
  </si>
  <si>
    <t>-------------------------WLIQEAYKYILRSYRD-------------------</t>
  </si>
  <si>
    <t>VC----------------------------------------------------------</t>
  </si>
  <si>
    <t>-------------------GW---------------------------------------</t>
  </si>
  <si>
    <t>-----------------------GLG----------------------------------</t>
  </si>
  <si>
    <t>--------------------------KE--------------------------------</t>
  </si>
  <si>
    <t>---------------I--------G-----------------------------------</t>
  </si>
  <si>
    <t>------------------------------------------ST-HYKVWTC--------</t>
  </si>
  <si>
    <t>-----------------------------------KNTRTRE-GG---------------</t>
  </si>
  <si>
    <t>-------------------------------------MDEPYESFVE-------------</t>
  </si>
  <si>
    <t>-------------------------------------------KINLMF-----------</t>
  </si>
  <si>
    <t>--------------------------------QLDELIGEENIDILKEHIEGELF-----</t>
  </si>
  <si>
    <t>--------PRYD---YLNV--F--------------------KNN---------------</t>
  </si>
  <si>
    <t>-------------------RAVI----NENYFK----------F----------------</t>
  </si>
  <si>
    <t>---IDDDK-K--------------------------NPKYKNK-----------------</t>
  </si>
  <si>
    <t>---------------------------T--EFTK--------------------------</t>
  </si>
  <si>
    <t>------------------------WIHS--------------------------------</t>
  </si>
  <si>
    <t>-ILGNE------VL----TLLNDKNDIEFH-RIDKL-CDKWES----YD-NF--------</t>
  </si>
  <si>
    <t>---KTD--EYN------------------------EYFT---------------------</t>
  </si>
  <si>
    <t>------------------------------NIL---------------------------</t>
  </si>
  <si>
    <t>----------NKLF------------------KD--------------------------</t>
  </si>
  <si>
    <t>----------------------KTDSNNSILMNETDY-----------------------</t>
  </si>
  <si>
    <t>------------NGKIMGS-IYTNN---------------IRKNHEV-SIG---------</t>
  </si>
  <si>
    <t>------------------A-----------------------------------------</t>
  </si>
  <si>
    <t>------------------------LGKIDGKRTKKQ-----F------------------</t>
  </si>
  <si>
    <t>F-SMYGN-----DTKA----------------LHEALKYR-L-KLNE---------ELDL</t>
  </si>
  <si>
    <t>IKNKY-------------------------------------------------------</t>
  </si>
  <si>
    <t>-------------------------RYMIDL---DSNRYIEVQVNN--------------</t>
  </si>
  <si>
    <t>-NKI-MLCDI--------------------------------------------------</t>
  </si>
  <si>
    <t>---------------------------DD---------I---------------------</t>
  </si>
  <si>
    <t>-------------------------------------------IIE--------------</t>
  </si>
  <si>
    <t>NQIKDLTVDHMNRNTLDNRKQNLRLVNSKEQQWNQD--------IF--------------</t>
  </si>
  <si>
    <t>---------------K--------------------------------------------</t>
  </si>
  <si>
    <t>YYR---------------------------------------------------------</t>
  </si>
  <si>
    <t>----------T---NR-KAWIAN-----WL-NL--------D--------G---------</t>
  </si>
  <si>
    <t>---------------------------------------------KR-------------</t>
  </si>
  <si>
    <t>---------------ES-----------------KYFKNK--------------------</t>
  </si>
  <si>
    <t>---------------QDAINERKTQE----------------------------------</t>
  </si>
  <si>
    <t>I--------------------D----------------------------KL-KQLL---</t>
  </si>
  <si>
    <t>-----------------IND-------QKD--------RYD-------------------</t>
  </si>
  <si>
    <t>--------------KEQ-------------------------------------------</t>
  </si>
  <si>
    <t>-----------SS-----------------------------------------------</t>
  </si>
  <si>
    <t>LID-KNGNYITPKTCTIGT-ELMYG-----------------------------------</t>
  </si>
  <si>
    <t>-----------------------------------------------------INNFDT-</t>
  </si>
  <si>
    <t>LAFSSD---------------------------------------DKVECMR--------</t>
  </si>
  <si>
    <t>--------------YYC-YNKKLGY------NILIDV-----------------------</t>
  </si>
  <si>
    <t>--NNDKFVLHR-------TNDVIENP--NKIINIQQLNDVVD------------------</t>
  </si>
  <si>
    <t>-----------------DYVYDLETE----------------------------------</t>
  </si>
  <si>
    <t>---------------------------KYNIKLNGE------------------------</t>
  </si>
  <si>
    <t>GQLT---------S-KLLFTILPL------------------------------------</t>
  </si>
  <si>
    <t>NKYG---------------SDP-NKYYQDAMG-------ITLKRRDNAPIVKIV-VGGIV</t>
  </si>
  <si>
    <t>RSIL----------ND----------KS--------------------------------</t>
  </si>
  <si>
    <t>---------------------------PEK-AVAF-------------AKETLKKIL---</t>
  </si>
  <si>
    <t>---------------CNKYP----------------------------------------</t>
  </si>
  <si>
    <t>V----LEEMKPKEE----------------------------R--TYSDRTR--------</t>
  </si>
  <si>
    <t>----------------------------IVHAVLADRMADRD-PGNKPL------SND--</t>
  </si>
  <si>
    <t>---------------KGNVEL-----------------QGDRVEH---------PDYI--</t>
  </si>
  <si>
    <t>---------IENK------------------------LPLD-------------YLF---</t>
  </si>
  <si>
    <t>------YI-----TN------------------QIMKPSLQFLEH---------------</t>
  </si>
  <si>
    <t>--ITEN-P-D----------K---------------------------------------</t>
  </si>
  <si>
    <t>---IFE------------TCIM--------------------------------------</t>
  </si>
  <si>
    <t>------------------------------KELNRREG----------------------</t>
  </si>
  <si>
    <t>------------------------------------KR---------------PL-----</t>
  </si>
  <si>
    <t>DDNDNDNDT-------DNDNDENKYESKFTFNFDLDDE----ISDQEEDSDTP---KLGK</t>
  </si>
  <si>
    <t>KKIVKNKSTKNQA-----------------------------NVPAKNQT-------KKR</t>
  </si>
  <si>
    <t>VLNHKP------VYDENKGGFVVTL----------------------</t>
  </si>
  <si>
    <t>TDPPVYF---------------------------------TGDKEHLIF---------PN</t>
  </si>
  <si>
    <t>GNTEESFWKQSIH-PAPDW-----------------------------------------</t>
  </si>
  <si>
    <t>-----------GDQCLVF----------------------------HVYDII--------</t>
  </si>
  <si>
    <t>--------------------------DIIPSGTVLKLLGKTQ-NGASVCVNVFGQ-----</t>
  </si>
  <si>
    <t>--------MVYF---YVRV--P----------------------------S---------</t>
  </si>
  <si>
    <t>-----------------------------------------------G------------</t>
  </si>
  <si>
    <t>----------------LNLGYIL----QQNLQG-GFGMHTCK-FY---------------</t>
  </si>
  <si>
    <t>----TSVE-QKKILKEY---------DPSLHTVHKI--TLSSS-----------------</t>
  </si>
  <si>
    <t>---------------------------R--EVSRLVD---VLLARGCEVFEA--------</t>
  </si>
  <si>
    <t>-----NVDATKRFII-DHGFSTFGW------YSCNKPIQRV---------------RNR-</t>
  </si>
  <si>
    <t>DSR--T-DMEFDCA----V-------D------------------DIQ---------YN-</t>
  </si>
  <si>
    <t>---QES----KEWP----PYTILSFDIECL-G---------ER-------GF--------</t>
  </si>
  <si>
    <t>---PCA--TQD-------------------------------------------------</t>
  </si>
  <si>
    <t>--------------------------------EDL-I-IQISCI----------LWT---</t>
  </si>
  <si>
    <t>-----------------VDSS-YPHRNILLTLGTCDP-----------------------</t>
  </si>
  <si>
    <t>------------TDTEVYE-FPSEL-DMLFA---FFTML-RDMNIDF-VTG-YNIANF--</t>
  </si>
  <si>
    <t>EFTK-----------------------------------VI-------------------</t>
  </si>
  <si>
    <t>M-KMAGI-----VPID----------------MYIVCKDK-L-NLSD--------YKLNT</t>
  </si>
  <si>
    <t>VAQHCMGS----------------------------------------------------</t>
  </si>
  <si>
    <t>-------------------------QKED---------V---------------------</t>
  </si>
  <si>
    <t>-----------------------SIG---------------RARVG--------------</t>
  </si>
  <si>
    <t>EISEIAKLAKIPVRCVLTDGQQIRVFSCLLEAAKQE--------NY--------------</t>
  </si>
  <si>
    <t>-ILPI-------------------------------------------------------</t>
  </si>
  <si>
    <t>-------------PL---------------------------------------------</t>
  </si>
  <si>
    <t>---------------------------------------TKE------------------</t>
  </si>
  <si>
    <t>YN----------------------TPIL-VVDF---------------------------</t>
  </si>
  <si>
    <t>-ASLY-------------------PSIIQAHNLCYSTLVY--------------------</t>
  </si>
  <si>
    <t>--------------DH-K--LHT-----HS-HLK-------P------------------</t>
  </si>
  <si>
    <t>---------------GDY------------------------------------------</t>
  </si>
  <si>
    <t>----------ETF---------------QLS-SG--------------------------</t>
  </si>
  <si>
    <t>----------------------------------HFVRQH--------------------</t>
  </si>
  <si>
    <t>--K---------------------------------------------------------</t>
  </si>
  <si>
    <t>-----TISLLSK-LLKIWLAKRNAIR----------------------------------</t>
  </si>
  <si>
    <t>---RELAQCE--------------------------------------------------</t>
  </si>
  <si>
    <t>---------------------D----------------------------VT-MKTI---</t>
  </si>
  <si>
    <t>-----------------LDK-------QQL--------AIK-------------------</t>
  </si>
  <si>
    <t>--------------VTC-------------------------------------------</t>
  </si>
  <si>
    <t>-----------NSVYGFTGVAS-GIMPCL---------QIAETVTLQGR-----------</t>
  </si>
  <si>
    <t>-------------------------TMLESSKAFVETLAPS-------------------</t>
  </si>
  <si>
    <t>--------------------RLL-------------------------------------</t>
  </si>
  <si>
    <t>-------------C----------------------------------------------</t>
  </si>
  <si>
    <t>-------------D----------------------------------------------</t>
  </si>
  <si>
    <t>--------PDA------------TF-----------------------------------</t>
  </si>
  <si>
    <t>------------------------RV----------------------------------</t>
  </si>
  <si>
    <t>----------------------------------MVRDHK--------------------</t>
  </si>
  <si>
    <t>-----------------------------------------------AF-----------</t>
  </si>
  <si>
    <t>-------------IFSEEW-----------------------------------------</t>
  </si>
  <si>
    <t>--------------------------------GRLRLYGRSP-TLGPVCLEWGDV-----</t>
  </si>
  <si>
    <t>--------RPVF---FVDR--K----------------------------A---------</t>
  </si>
  <si>
    <t>SS----------RNSALFSDRSFIH---RKDVDLRA------------------------</t>
  </si>
  <si>
    <t>-------------------------------------------LD---------------</t>
  </si>
  <si>
    <t>---------GRPVDALY---------FRRLSDSR----EMWRK-----------------</t>
  </si>
  <si>
    <t>-----------------------------------------LSEQGIQSFEA--------</t>
  </si>
  <si>
    <t>-----DIRPEHRFRM-ERFINSC--------VSIRG-TCS-------------DE-KD--</t>
  </si>
  <si>
    <t>YRR------------F--------YSP------------------AIA-SLDS-------</t>
  </si>
  <si>
    <t>------------WPG-EVSLSSMSLDIET--N---------ER-----------------</t>
  </si>
  <si>
    <t>--------------------------------TGE-I-YSIGMY----------QHS---</t>
  </si>
  <si>
    <t>--------------------V-SEKLGEVLMQG---------------------------</t>
  </si>
  <si>
    <t>------------------------------DGADLQQ-----------------------</t>
  </si>
  <si>
    <t>------------DGFTLRY-CGSEK-ELLKE---FFTKM-SEWNPDL-IIG-WNIVGF--</t>
  </si>
  <si>
    <t>---DLSTIARRCELH---GLA-----------------------------------LS--</t>
  </si>
  <si>
    <t>------------------------IGRDSRSARV--------------------------</t>
  </si>
  <si>
    <t>-------------------------------------------SSGDGGRAFA-------</t>
  </si>
  <si>
    <t>VAWEVLGTG---------------------------------------------------</t>
  </si>
  <si>
    <t>---------------------KRITQ----------------------------------</t>
  </si>
  <si>
    <t>---------------------------------------DK-D-----------------</t>
  </si>
  <si>
    <t>-----------------------------------------PVELA--------------</t>
  </si>
  <si>
    <t>LLYARSMLSGMLLDRL---SSSTGAFDHLYLPKLHRQ-------GY--------------</t>
  </si>
  <si>
    <t>-VAANREDVKPS------------------------------------------------</t>
  </si>
  <si>
    <t>H-----------------------KNIV-VLDF---------------------------</t>
  </si>
  <si>
    <t>-KSLY-------------------PTIIRTFGIDPLALAIAKRNP---------------</t>
  </si>
  <si>
    <t>----------KGEVG----------------NIRT------P------------------</t>
  </si>
  <si>
    <t>--------------------------------SG--------------------------</t>
  </si>
  <si>
    <t>-------------H--------------------SFDA----------------------</t>
  </si>
  <si>
    <t>-----SQAILPS-IIESLLIERALAK----------------------------------</t>
  </si>
  <si>
    <t>------------------------------------------------------KAK---</t>
  </si>
  <si>
    <t>---------------------N--------------------------------------</t>
  </si>
  <si>
    <t>------------------KN-------LSQ--------ALK-------------------</t>
  </si>
  <si>
    <t>--------------ILM-------------------------------------------</t>
  </si>
  <si>
    <t>-----------NSFYGVLGSFG----------CRFYHPDLPRAITGSGQ-----------</t>
  </si>
  <si>
    <t>-------------------------WILRESKDYLQG-----------------------</t>
  </si>
  <si>
    <t>---------------L--------------------------------------------</t>
  </si>
  <si>
    <t>------------GYRVVYGD----------------------------------------</t>
  </si>
  <si>
    <t>GAEL---------A-GKLNSHWKERM--------------------------------MA</t>
  </si>
  <si>
    <t>EFGV----ESF----LELEVDR-CFRTLLLPAARSGD--GG-AKKRYA-----------G</t>
  </si>
  <si>
    <t>VL-------------------E-NGDTPDFVG-------MEFVRSDWTMLAKEF-QFELY</t>
  </si>
  <si>
    <t>EMIL----------GQ----------SDC-------------------------------</t>
  </si>
  <si>
    <t>--------------------------DVAV-IKTW-------------LRKRLSEIR---</t>
  </si>
  <si>
    <t>---------------EGRFD----------------------------------------</t>
  </si>
  <si>
    <t>---AKLIYRK-RLR----------------------------------------------</t>
  </si>
  <si>
    <t>---------------------------------------KPLE--DYTKTA---------</t>
  </si>
  <si>
    <t>----------------------------PPQVKAARQLPPLA-GGRNRK-----------</t>
  </si>
  <si>
    <t>------------------------FVEYVM------------CKRG--------------</t>
  </si>
  <si>
    <t>------------------------------------------------------PVPI--</t>
  </si>
  <si>
    <t>---------ELEH------------------------RDID-------------YEH---</t>
  </si>
  <si>
    <t>------YI-----KK------------------QLRPIADSILPF---------------</t>
  </si>
  <si>
    <t>LDTSFD------------RLV---------------------------------------</t>
  </si>
  <si>
    <t>-----------------------------------EIE---------------QL-----</t>
  </si>
  <si>
    <t>---------------------N------------------------LFS-----------</t>
  </si>
  <si>
    <t>--------------------------KQSGTQFARLK-----------------------</t>
  </si>
  <si>
    <t>VANEMLGTG---------------------------------------------------</t>
  </si>
  <si>
    <t>---------------------KDIES----------------------------------</t>
  </si>
  <si>
    <t>---------------------------------------TGLE-----------------</t>
  </si>
  <si>
    <t>-----------------------------------------KPALA--------------</t>
  </si>
  <si>
    <t>LMKTRVLLSGLLMGRQ---GVSTAAFDFFMLPQLHRK-------GF--------------</t>
  </si>
  <si>
    <t>-VAPNIIDISRD------------------------------------------------</t>
  </si>
  <si>
    <t>H-----------------------QHII-VLDF---------------------------</t>
  </si>
  <si>
    <t>-KSLY-------------------PSIIRTFKIDPYSRLMAETSP---------------</t>
  </si>
  <si>
    <t>--------------------------------LKT------P------------------</t>
  </si>
  <si>
    <t>-------------H--------------------HFSA----------------------</t>
  </si>
  <si>
    <t>-----SEHILPD-FIGELMQKREIAK----------------------------------</t>
  </si>
  <si>
    <t>------------------------------------------------------LDG---</t>
  </si>
  <si>
    <t>------------------TY-------LSQ--------AIK-------------------</t>
  </si>
  <si>
    <t>-----------NSFYGVMGSGG----------SRFYHADLPSAITGTGQ-----------</t>
  </si>
  <si>
    <t>-------------------------WILREAIEFLER-----------------------</t>
  </si>
  <si>
    <t>---------------E--------------------------------------------</t>
  </si>
  <si>
    <t>------------GFEVVYGD----------------------------------------</t>
  </si>
  <si>
    <t>--K--VPTGEN-----------------------------------VFE----------R</t>
  </si>
  <si>
    <t>AKSL---------A-ARANEHMSKVL--------------------------------KL</t>
  </si>
  <si>
    <t>HFKV----ESL----LEMEFEK-YYRQIFFPILRGGE--AA-AKKKYA-----------G</t>
  </si>
  <si>
    <t>IEVKS----------------G-GNEKLTFSG-------MEFVRSDWTSLAKKF-QYKIY</t>
  </si>
  <si>
    <t>GQFF----------KG----------ES--------------------------------</t>
  </si>
  <si>
    <t>-------------------------------IEES-------------IRTIVEELK---</t>
  </si>
  <si>
    <t>---------------SGLHD----------------------------------------</t>
  </si>
  <si>
    <t>---KDLVYKK-RLS----------------------------------------------</t>
  </si>
  <si>
    <t>---------------------------------------KKLS--EYTKSL---------</t>
  </si>
  <si>
    <t>----------------------------PPHVKAAKALEAAG-HTVDRD-----------</t>
  </si>
  <si>
    <t>-------------------------VYYVY------------TRRG--------------</t>
  </si>
  <si>
    <t>------------------------------------------------------PIAK--</t>
  </si>
  <si>
    <t>---------ALEP------------------------DDFD-------------YQH---</t>
  </si>
  <si>
    <t>------YI-----DK------------------QIRPIAEVILGP---------------</t>
  </si>
  <si>
    <t>LELSFD------------NIV---------------------------------------</t>
  </si>
  <si>
    <t>-----------------------------------IGD---------------QL-----</t>
  </si>
  <si>
    <t>---------------------S------------------------LF------------</t>
  </si>
  <si>
    <t>--------------------------KVRFSKLAKIRYKSLM------------------</t>
  </si>
  <si>
    <t>---------------------------------------------SLGF-----------</t>
  </si>
  <si>
    <t>-------------LLTSHA-----------------------------------------</t>
  </si>
  <si>
    <t>--------------------------------LQVCLVGTSE--EGPFELRFTNE-----</t>
  </si>
  <si>
    <t>--------KAIF---FVHS--D----------------------------A---------</t>
  </si>
  <si>
    <t>-E----------------FDLSVSHE--RKPLPLAD------------------------</t>
  </si>
  <si>
    <t>-------------------------------------------FG---------------</t>
  </si>
  <si>
    <t>---------GKNIDALY---------FSKLADLY----EARDQ-----------------</t>
  </si>
  <si>
    <t>-----------------------------------------LATKGIRTFES--------</t>
  </si>
  <si>
    <t>-----DVRPAERFLM-ERFIKGS--------VEFVGELSS-------------VE-QG--</t>
  </si>
  <si>
    <t>VRI------------Y--------HNP------------------KIK-ASTY-------</t>
  </si>
  <si>
    <t>------------IP----KLSSISIDIET--S---------RG-----------------</t>
  </si>
  <si>
    <t>--------------------------------DD--L-FSIALH----------YHD---</t>
  </si>
  <si>
    <t>--------------------H-HQDIRQVFMVG---------------------------</t>
  </si>
  <si>
    <t>------------------------------AAQGPIE-----------------------</t>
  </si>
  <si>
    <t>------------DG-ELFY-YPDEK-SCYQA---FEKSF-LKLDPDL-ILG-WHVVGF--</t>
  </si>
  <si>
    <t>---DLLFLDKKCRGW---GSR-----------------------------------LS--</t>
  </si>
  <si>
    <t>------------------------LGRRGRDILLRE------------------------</t>
  </si>
  <si>
    <t>------------------------------------------NANNRGWNA---------</t>
  </si>
  <si>
    <t>VAAELLGRK---------------------------------------------------</t>
  </si>
  <si>
    <t>---------------------KLINQ----------------------------------</t>
  </si>
  <si>
    <t>---------------------------------------TGME-----------------</t>
  </si>
  <si>
    <t>-----------------------------------------KVSLA--------------</t>
  </si>
  <si>
    <t>LMTQRVFLTGLLFDRV---AFSTSAFDYFMLPLIHRK-------GV--------------</t>
  </si>
  <si>
    <t>-VAPNILDMNRT------------------------------------------------</t>
  </si>
  <si>
    <t>H-----------------------EGVF-VLDF---------------------------</t>
  </si>
  <si>
    <t>-KSLY-------------------PSIIRTFKIDPYSRLNSHIDT---------------</t>
  </si>
  <si>
    <t>--------------------------------VTT------P------------------</t>
  </si>
  <si>
    <t>--------------------------------TG--------------------------</t>
  </si>
  <si>
    <t>-------------H--------------------QFSG----------------------</t>
  </si>
  <si>
    <t>-----TEHLLPE-LLTELMEKRKQAK----------------------------------</t>
  </si>
  <si>
    <t>------------------------------------------------------EQN---</t>
  </si>
  <si>
    <t>------------------AP-------LSQ--------AIK-------------------</t>
  </si>
  <si>
    <t>-----------NSLYGVMGTTR----------SRFYHADLPSSITGTGQ-----------</t>
  </si>
  <si>
    <t>-------------------------WLLKKTVAFLEE-----------------------</t>
  </si>
  <si>
    <t>---------------Q--------------------------------------------</t>
  </si>
  <si>
    <t>------------GHQVVYGD----------------------------------------</t>
  </si>
  <si>
    <t>GMEL---------A-SLVNTYINEMV--------------------------------EK</t>
  </si>
  <si>
    <t>EFHI----TSF----LEMEFEK-YFVKIFLPKLRGQE--AG-AKKKYV-----------G</t>
  </si>
  <si>
    <t>ML---------------------ENHEIYFSG-------MEYVRSDWTRLAKNF-QKKLY</t>
  </si>
  <si>
    <t>QKFM----------AG----------ED--------------------------------</t>
  </si>
  <si>
    <t>-------------------------------IEEF-------------IKGTINDLS---</t>
  </si>
  <si>
    <t>---------------SGIFD----------------------------------------</t>
  </si>
  <si>
    <t>---EDLVYQK-RMS----------------------------------------------</t>
  </si>
  <si>
    <t>---------------------------------------KKLE--EYTKSR---------</t>
  </si>
  <si>
    <t>----------------------------PPHVQAAQRLQEAG-QNIPST-----------</t>
  </si>
  <si>
    <t>-------------------------IEYVI------------TQNG--------------</t>
  </si>
  <si>
    <t>------------------------------------------------------PIPV--</t>
  </si>
  <si>
    <t>---------ELSP------------------------NQYD-------------YEH---</t>
  </si>
  <si>
    <t>------YR-----ER------------------QIRPLAEVVLEH---------------</t>
  </si>
  <si>
    <t>LGVKFD------------DLF---------------------------------------</t>
  </si>
  <si>
    <t>-----------------------------------GGG---------------QL-----</t>
  </si>
  <si>
    <t>---------------------D------------------------LF------------</t>
  </si>
  <si>
    <t>-----------------------------------VEMKNVV------------------</t>
  </si>
  <si>
    <t>---------------------------------------------CDIF-----------</t>
  </si>
  <si>
    <t>-------------LLTKHW-----------------------------------------</t>
  </si>
  <si>
    <t>--------------------------------LRLSFYGHSP-LHGAIRVDVDNF-----</t>
  </si>
  <si>
    <t>--------EPMF---FIHR--T----------------------------A---------</t>
  </si>
  <si>
    <t>SS----------------SELTVPHT--RKENPLKD------------------------</t>
  </si>
  <si>
    <t>-------------------------------------------PD---------------</t>
  </si>
  <si>
    <t>---------HHDVDTLY---------FKTQSDLR----RAAEF-----------------</t>
  </si>
  <si>
    <t>-----------------------------------------FRLKNVPTFES--------</t>
  </si>
  <si>
    <t>LTV------------F--------KNP------------------QIK-AAEV-------</t>
  </si>
  <si>
    <t>------------TP----KFRVASIDIET--G---------VA-----------------</t>
  </si>
  <si>
    <t>--------------------------------SKR-L-YSIGVH----------LTA---</t>
  </si>
  <si>
    <t>--------------------E-NVDERVVFMLG---------------------------</t>
  </si>
  <si>
    <t>------------------------------VRPDDAP-----------------------</t>
  </si>
  <si>
    <t>------------D--YLFC-FDTEA-AVLTE---FLNWF-QAADPDI-ILG-WNVVGF--</t>
  </si>
  <si>
    <t>---DLSYLAQKCGQF---NMP-----------------------------------FS--</t>
  </si>
  <si>
    <t>------------------------LGREHTTPTFFE------------------------</t>
  </si>
  <si>
    <t>--------------------------------------------KKRGGTA-C-------</t>
  </si>
  <si>
    <t>VAHALLGKG---------------------------------------------------</t>
  </si>
  <si>
    <t>---------------------KTITS----------------------------------</t>
  </si>
  <si>
    <t>---------------------------------------TKAE-----------------</t>
  </si>
  <si>
    <t>-----------------------------------------KAAFA--------------</t>
  </si>
  <si>
    <t>QSVQRAKLSGMMMNQL---GRSVASFEHIYFPLYHRK-------GF--------------</t>
  </si>
  <si>
    <t>-VAINTQDVQPQ------------------------------------------------</t>
  </si>
  <si>
    <t>H-----------------------DHII-VLDF---------------------------</t>
  </si>
  <si>
    <t>-KSLY-------------------PSVIRTFKIDPLSIINRTINT---------------</t>
  </si>
  <si>
    <t>--------------------------------YTT------P------------------</t>
  </si>
  <si>
    <t>--------------------------------YG--------------------------</t>
  </si>
  <si>
    <t>-------------T--------------------TLSK----------------------</t>
  </si>
  <si>
    <t>-----SEHVLPN-YIGYLLDQRQKAK----------------------------------</t>
  </si>
  <si>
    <t>------------------------------------------------------DEN---</t>
  </si>
  <si>
    <t>---------------------D--------------------------------------</t>
  </si>
  <si>
    <t>------------------PY-------LSQ--------AIK-------------------</t>
  </si>
  <si>
    <t>-----------NSFYGVMGSFG----------CRFYNKDLPSTITGIGQ-----------</t>
  </si>
  <si>
    <t>-------------------------FLLKESRIFIEK-----------------------</t>
  </si>
  <si>
    <t>---------------F--------------------------------------------</t>
  </si>
  <si>
    <t>--K-LRPDDAA-----------------------------------YYDI---------R</t>
  </si>
  <si>
    <t>GEEL---------C-TKLNTYWAERI--------------------------------KK</t>
  </si>
  <si>
    <t>TYGL----DSF----LDLEYEK-YYKRMLLPAMRNGE--GG-AKKRYC-----------G</t>
  </si>
  <si>
    <t>LLMK-----------------G-DKETLHFTG-------MESVRSDWTPLAKAF-QNELY</t>
  </si>
  <si>
    <t>GRIF----------RN----------EP--------------------------------</t>
  </si>
  <si>
    <t>-------------------------------YETW-------------MKQFVERVQ---</t>
  </si>
  <si>
    <t>---------------LGEYD----------------------------------------</t>
  </si>
  <si>
    <t>---AQLVYRK-RLR----------------------------------------------</t>
  </si>
  <si>
    <t>---------------------------------------KATD--EYVKNV---------</t>
  </si>
  <si>
    <t>----------------------------PPHVKAAKLLKSPA-YYIN-------------</t>
  </si>
  <si>
    <t>---------------------------YVI------------TVDG--------------</t>
  </si>
  <si>
    <t>------------------------------------------------------PQPI--</t>
  </si>
  <si>
    <t>---------ENQN------------------------SKIL-------------YQH---</t>
  </si>
  <si>
    <t>------YI-----DK------------------QLEPIADSILKF---------------</t>
  </si>
  <si>
    <t>SGRSFR------------EL----------------------------------------</t>
  </si>
  <si>
    <t>-----------------------------------NKR---------------QL-----</t>
  </si>
  <si>
    <t>----------------------------------MLETIP--------------------</t>
  </si>
  <si>
    <t>-----------------------------------------------GF-----------</t>
  </si>
  <si>
    <t>-------------ILTRQW-----------------------------------------</t>
  </si>
  <si>
    <t>--------------------------------QSLLFWLASD--QGPLLIEVTDS-----</t>
  </si>
  <si>
    <t>--------PSVC---FVAE--Q----------------------------H---------</t>
  </si>
  <si>
    <t>AV----------LAGQLLKDFPGST---LAAVNLKS------------------------</t>
  </si>
  <si>
    <t>-------------------------------------------FA---------------</t>
  </si>
  <si>
    <t>---------GDQVKACY---------LPGQKQLS----QFRSR-----------------</t>
  </si>
  <si>
    <t>-----------------------------------------VGDR-FTLFEA--------</t>
  </si>
  <si>
    <t>-----DLRPTDRYLM-ERFLKAE--------VIVQG-EFE-------------AR-SG--</t>
  </si>
  <si>
    <t>YLY------------S--------KNP------------------RMQ-PRSV-------</t>
  </si>
  <si>
    <t>------------RP----KLNVASLDIET--S---------YT-----------------</t>
  </si>
  <si>
    <t>-----------------NSES-HGNVEKIFMVN---------------------------</t>
  </si>
  <si>
    <t>-----------------------------EAGRDLVEL----------------------</t>
  </si>
  <si>
    <t>------------DQAQLEF-WPDEK-SLLEA---FLHWF-ASQDPDV-VIG-WSVVGF--</t>
  </si>
  <si>
    <t>---DLSFLQQRCDHY---KIP-----------------------------------FT--</t>
  </si>
  <si>
    <t>------------------------LGRDQQVVSWRT------------------------</t>
  </si>
  <si>
    <t>-------------------------------------------ATQSGNKQFA-------</t>
  </si>
  <si>
    <t>VSRELLGRG---------------------------------------------------</t>
  </si>
  <si>
    <t>---------------------KLVHD----------------------------------</t>
  </si>
  <si>
    <t>---------------------------------------VD-A-----------------</t>
  </si>
  <si>
    <t>-----------------------------------------KYQLA--------------</t>
  </si>
  <si>
    <t>FALERSRLTGLDVDRA---GGSVAAFDFLYLPKLHRQ-------GY--------------</t>
  </si>
  <si>
    <t>-VAPVVPEDARG------------------------------------------------</t>
  </si>
  <si>
    <t>Y-----------------------SNVI-VLDF---------------------------</t>
  </si>
  <si>
    <t>-KSLY-------------------PSIIRTFNVDPLALVASQEEA---------------</t>
  </si>
  <si>
    <t>----------NP--------------------IPG------Y------------------</t>
  </si>
  <si>
    <t>--------------------------------KN--------------------------</t>
  </si>
  <si>
    <t>-------------A--------------------YFSR----------------------</t>
  </si>
  <si>
    <t>-----SRVILPD-IIAALWTARDKAK----------------------------------</t>
  </si>
  <si>
    <t>------------------------------------------------------RQQ---</t>
  </si>
  <si>
    <t>---------------------L--------------------------------------</t>
  </si>
  <si>
    <t>------------------SA-------MSQ--------AIK-------------------</t>
  </si>
  <si>
    <t>--------------IIM-------------------------------------------</t>
  </si>
  <si>
    <t>-----------NSFYGVLGTPG----------CRFFDDRLVSSITLRGH-----------</t>
  </si>
  <si>
    <t>-------------------------EILQTTRDLIEA-----------------------</t>
  </si>
  <si>
    <t>------------GYRVIYGD----------------------------------------</t>
  </si>
  <si>
    <t>GVHL---------T-NYLNDWWQAHL--------------------------------EE</t>
  </si>
  <si>
    <t>NYQV----KSC----LEVEFET-HFLRFLMPTVRGSE--VG-SKKRYA-----------G</t>
  </si>
  <si>
    <t>VIEQ-----------------D-GQQKLVFKG-------LETVRSDWSPLAREF-QQELY</t>
  </si>
  <si>
    <t>GRVF----------RN----------EP--------------------------------</t>
  </si>
  <si>
    <t>-------------------------------VTDY-------------IR----EVV---</t>
  </si>
  <si>
    <t>---------------SGVKDL---------------------------------------</t>
  </si>
  <si>
    <t>-PLRQLVLRK-RLR----------------------------------------------</t>
  </si>
  <si>
    <t>---------------------------------------RQLQ--EYQKNV---------</t>
  </si>
  <si>
    <t>----------------------------PPHVRAARLADEIR-AARGLAPA--YASGG--</t>
  </si>
  <si>
    <t>------------------------WIEYVM------------TTSG--------------</t>
  </si>
  <si>
    <t>------------------------------------------------------PEPF--</t>
  </si>
  <si>
    <t>---------AYVR------------------------SPVD-------------LDF---</t>
  </si>
  <si>
    <t>------YV-----AR------------------QLSPIADAILAF---------------</t>
  </si>
  <si>
    <t>ENTSMA------------KI----------------------------------------</t>
  </si>
  <si>
    <t>-----------------------------------LDK---------------QM-----</t>
  </si>
  <si>
    <t>---------------------A------------------------LF------------</t>
  </si>
  <si>
    <t>----------------------KALACQQQTQNTNLSDTNYT------------------</t>
  </si>
  <si>
    <t>-------------ILQATY-----------------------------------------</t>
  </si>
  <si>
    <t>--------------------------------PTVYLFGRLL-DGRTFLVRDHQQ-----</t>
  </si>
  <si>
    <t>--------VPHF---YVDG--A----------------------------A---------</t>
  </si>
  <si>
    <t>AE----------VCH---NHVH-SPD--DATTEKFN------------------------</t>
  </si>
  <si>
    <t>---------GDPLLRVD---------VAIPSDAP----PLRDR-----------------</t>
  </si>
  <si>
    <t>-----------------------------------------LQVQGFKTYEA--------</t>
  </si>
  <si>
    <t>-----DVRFAMRYLI-DRDIKGG--------VEIEG-HAT-------------DG-DGT-</t>
  </si>
  <si>
    <t>DLV------------F--------DDP------------------TLK-P-TQ-------</t>
  </si>
  <si>
    <t>------------AV---ISPRILAFDIET--N---------PD-----------------</t>
  </si>
  <si>
    <t>--------------------------------TDA-L-LAIACYG---------YTA---</t>
  </si>
  <si>
    <t>--------------------D-SALLDRVIVVDK--------------------------</t>
  </si>
  <si>
    <t>-----------------------------RDREMPAQ-----------------------</t>
  </si>
  <si>
    <t>----------------SIR-VRSER-DALDL---FCQWV-RSFDADV-ITG-WNVIDF--</t>
  </si>
  <si>
    <t>---DLTQLAKVAQRV---RFD-----------------------------------LQ--</t>
  </si>
  <si>
    <t>------------------------LGRERGRMQIRA------------------------</t>
  </si>
  <si>
    <t>-------------------------------------------PQGYFGSGHA-------</t>
  </si>
  <si>
    <t>VAQQVLGEG---------------------------------------------------</t>
  </si>
  <si>
    <t>---------------------KTLGAK---------------------------------</t>
  </si>
  <si>
    <t>--------------------------SAD---------FQQPD-----------------</t>
  </si>
  <si>
    <t>-----------------------------------------LATFT--------------</t>
  </si>
  <si>
    <t>----------------------------F-------------------------------</t>
  </si>
  <si>
    <t>LAFARSALTGMPPDRV---AASIASFDFLYLSALHKK-------GL--------------</t>
  </si>
  <si>
    <t>-AAPSVVSTRSS------------------------------------------------</t>
  </si>
  <si>
    <t>H-----------------------PNVW-VFDF---------------------------</t>
  </si>
  <si>
    <t>-KSLY-------------------PSIIRTFNIDPLAH-AQSEAQ---------------</t>
  </si>
  <si>
    <t>----------ENCIGT-E------------------------------------------</t>
  </si>
  <si>
    <t>--------------------------------NG--------------------------</t>
  </si>
  <si>
    <t>-------------C--------------------RFSR----------------------</t>
  </si>
  <si>
    <t>-----EPGVLPA-MLDDLFPQRSRAK----------------------------------</t>
  </si>
  <si>
    <t>------------------------------------------------------AAG---</t>
  </si>
  <si>
    <t>------------------EI-------ASQ--------AIK-------------------</t>
  </si>
  <si>
    <t>-----------NSFYGVLGAPS----------CRFYNPAIANAITGQGR-----------</t>
  </si>
  <si>
    <t>-------------------------HLLSWSKDWFER-----------------------</t>
  </si>
  <si>
    <t>------------GFQVLYGD----------------------------------------</t>
  </si>
  <si>
    <t>GQSL---------V-ARFNADLTDYL--------------------------------RE</t>
  </si>
  <si>
    <t>RYEV----DSR----LELEFEK-LYTQLFLARVRGGS--QG-ARKRYA-----------G</t>
  </si>
  <si>
    <t>QVFGS--------------------DSVEFVG-------MEVVRRDWTELAKII-QRNLF</t>
  </si>
  <si>
    <t>ERLF----------QG----------EE--------------------------------</t>
  </si>
  <si>
    <t>-------------------------------VASY-------------LQEIIQQFR---</t>
  </si>
  <si>
    <t>---------------SGELD----------------------------------------</t>
  </si>
  <si>
    <t>---HLLVYHK-GLR----------------------------------------------</t>
  </si>
  <si>
    <t>---------------------------------------KPVS--AYTSNV---------</t>
  </si>
  <si>
    <t>----------------------------PPHVQAVKQSKAPA-PRV--------------</t>
  </si>
  <si>
    <t>-------------------------VAYVI------------TTAG--------------</t>
  </si>
  <si>
    <t>------------------------------------------------------PQLV--</t>
  </si>
  <si>
    <t>---------NEVS------------------------APLD-------------RDH---</t>
  </si>
  <si>
    <t>------YL-----QK------------------QILPVATPVLEA---------------</t>
  </si>
  <si>
    <t>LGLAFN------------QVIG--------------------------------------</t>
  </si>
  <si>
    <t>-----------------------------------DDR---------------QI-----</t>
  </si>
  <si>
    <t>--------------------------CQEQTIKHNTQNMTTT------------------</t>
  </si>
  <si>
    <t>-------------------------------------------KQVKGF-----------</t>
  </si>
  <si>
    <t>-------------IVTSNH-----------------------------------------</t>
  </si>
  <si>
    <t>--------------------------------PTIHLYGRLE-NKKSFHVSIDTY-----</t>
  </si>
  <si>
    <t>--------KPYF---YILE--S----------------------------D---------</t>
  </si>
  <si>
    <t>KE----------LCE---KQTGITP----LPCDKLT------------------------</t>
  </si>
  <si>
    <t>-------------------------------------------IT---------------</t>
  </si>
  <si>
    <t>---------HKPVVKIE---------LNNPKEAP----KLRQI-----------------</t>
  </si>
  <si>
    <t>-----------------------------------------LQDNNIACFEV--------</t>
  </si>
  <si>
    <t>-----DIAFTQKFLI-DNNIMAH--------VAIEG-EIK-------------EE-NEK-</t>
  </si>
  <si>
    <t>TIS------------F--------HNP------------------KLT-PLEE-------</t>
  </si>
  <si>
    <t>------------ST---AKPTVFSFDIET--D---------SK-----------------</t>
  </si>
  <si>
    <t>--------------------------------AKE-I-FSISI-----------ITA---</t>
  </si>
  <si>
    <t>--------------------E-H---NEVIVIG---------------------------</t>
  </si>
  <si>
    <t>-----------------------------HEGITPGKF----------------------</t>
  </si>
  <si>
    <t>------------N--NTTV-TQSEG-ELLEI---FMQRI-QELDSDI-ITG-WNMIDF--</t>
  </si>
  <si>
    <t>---DLQVIQKRCKAH---EIP-----------------------------------FV--</t>
  </si>
  <si>
    <t>------------------------LGRDDTVTNMRI------------------------</t>
  </si>
  <si>
    <t>-------------------------------------------ESNFFRDSTV-------</t>
  </si>
  <si>
    <t>AAKHFLDDS---------------------------------------------------</t>
  </si>
  <si>
    <t>---------------------KLI------------------------------------</t>
  </si>
  <si>
    <t>---------------------------------------EEDN-----------------</t>
  </si>
  <si>
    <t>-----------------------------------------PEHFI--------------</t>
  </si>
  <si>
    <t>LTIQRTVLTGMHMDRV---KASIASFDSLYLRNLKKR-------NC--------------</t>
  </si>
  <si>
    <t>-VAPSTNPQGDE------------------------------------------------</t>
  </si>
  <si>
    <t>Y-----------------------TNVL-VFDF---------------------------</t>
  </si>
  <si>
    <t>-KSLY-------------------PSLMRTFNIDPLSYLGTKESL---------------</t>
  </si>
  <si>
    <t>----------SESIDT-KK------------HIVA------P------------------</t>
  </si>
  <si>
    <t>-------------A--------------------VFSQ----------------------</t>
  </si>
  <si>
    <t>-----EEGILTN-LLTTLWNAREEAR----------------------------------</t>
  </si>
  <si>
    <t>------------------------------------------------------KEG---</t>
  </si>
  <si>
    <t>------------------EL-------ARY--------AIK-------------------</t>
  </si>
  <si>
    <t>-----------NSMYGVLASPN----------SRFHIRNLSNAITYFGQ-----------</t>
  </si>
  <si>
    <t>-------------------------HFIKLTVEKLED-----------------------</t>
  </si>
  <si>
    <t>------------GYEVIYGD----------------------------------------</t>
  </si>
  <si>
    <t>GKDI---------E-QELNVFFKKHI--------------------------------KD</t>
  </si>
  <si>
    <t>TYHR----DSI----LELEYEK-TFMRFFMPSVRGSD--EG-AKKRYA-----------G</t>
  </si>
  <si>
    <t>KLVTQV-------------TPE-IKTKLDFTG-------LEFVRRDWTEVAKTF-QLTLL</t>
  </si>
  <si>
    <t>ELLF----------DD----------KP--------------------------------</t>
  </si>
  <si>
    <t>-------------------------------VDEY-------------IKDFVKDIK---</t>
  </si>
  <si>
    <t>---------------EQKYD----------------------------------------</t>
  </si>
  <si>
    <t>---EQLVYRK-ALR----------------------------------------------</t>
  </si>
  <si>
    <t>---------------------------------------KPLE--SYTKTT---------</t>
  </si>
  <si>
    <t>----------------------------PPHVKAARQLDTVD-SKI--------------</t>
  </si>
  <si>
    <t>-------------------------IAYRQ------------TIDG--------------</t>
  </si>
  <si>
    <t>---------QKQT------------------------SQID-------------YDH---</t>
  </si>
  <si>
    <t>------YI-----EK------------------QIKPIAQSVLKL---------------</t>
  </si>
  <si>
    <t>QHKDFD------------EILS--------------------------------------</t>
  </si>
  <si>
    <t>-----------------------------------GTE---------------QKGL---</t>
  </si>
  <si>
    <t>-------------------N-A------------------------FFGG----------</t>
  </si>
  <si>
    <t>--------------------------------------VPYT------------------</t>
  </si>
  <si>
    <t>-----------L---LIQK--D----------------------------A---------</t>
  </si>
  <si>
    <t>FE----------KLKIESEELKIAK-------TWKN------------------------</t>
  </si>
  <si>
    <t>-------------------------------------------KE---------------</t>
  </si>
  <si>
    <t>---------EIPVSVLE---------IKSKELFD----YIKGL-----------------</t>
  </si>
  <si>
    <t>-----------------------------------------AKDLGLKLYEE--------</t>
  </si>
  <si>
    <t>-----DLSTEHRYLI-DND-----------------------------------------</t>
  </si>
  <si>
    <t>LSL------------L--------DTP------------------N-----SI-------</t>
  </si>
  <si>
    <t>------------IP----ALNYLSLDIETIGE---------VE-----------------</t>
  </si>
  <si>
    <t>--------------------------------NQE-I-VLISLL----------------</t>
  </si>
  <si>
    <t>-------------------SK-DSSLAKVILNAEKLE-----------------------</t>
  </si>
  <si>
    <t>--------------------------NKTIEKLKTKKW----------------------</t>
  </si>
  <si>
    <t>------------EGFDLEV-CSDEK-ELLEG---FRTHL-LEGDYQL-LMG-WNVIDF--</t>
  </si>
  <si>
    <t>---DFKVIRDRMKFH---ELD-----------------------------------FQ--</t>
  </si>
  <si>
    <t>------------------------VSNYAGEPKLRL------------------------</t>
  </si>
  <si>
    <t>-------------------------------------------NSDFFRSSTL-------</t>
  </si>
  <si>
    <t>VAREVLGDS---------------------------------------------------</t>
  </si>
  <si>
    <t>---------------------KIELEND--------------------------------</t>
  </si>
  <si>
    <t>-------------------------ENAD---------QGIDE-----------------</t>
  </si>
  <si>
    <t>-----------------------------------------TEKLI--------------</t>
  </si>
  <si>
    <t>LMYKRSILTGTPLHKV---KSPIASLDIMYLKELHKQ-------ER--------------</t>
  </si>
  <si>
    <t>-VAETNFNYSDV------------------------------------------------</t>
  </si>
  <si>
    <t>Y-----------------------TDIL-VFDF---------------------------</t>
  </si>
  <si>
    <t>-KSLY-------------------PSLIMTFNLDPFTY----------------------</t>
  </si>
  <si>
    <t>--------------NE-KG------------EIEA------P------------------</t>
  </si>
  <si>
    <t>-------------A--------------------KFLK----------------------</t>
  </si>
  <si>
    <t>-----VRGILPE-LIEFIGKERDLAK----------------------------------</t>
  </si>
  <si>
    <t>------------------------------------------------------KEN---</t>
  </si>
  <si>
    <t>------------------KV-------KSQ--------ALK-------------------</t>
  </si>
  <si>
    <t>--------------TTM-------------------------------------------</t>
  </si>
  <si>
    <t>-----------NSFYGALASPM----------CRFYNKDIAEAITAFGR-----------</t>
  </si>
  <si>
    <t>-------------------------EIILKTKEVLEE-----------------------</t>
  </si>
  <si>
    <t>------------NYEVIYGD----------------------------------------</t>
  </si>
  <si>
    <t>GRSI---------E-TELNAFFKDWI--------------------------------QK</t>
  </si>
  <si>
    <t>TFGL----KSE----LVLEHEK-VFSSFFV----------A-SKKRYV-----------G</t>
  </si>
  <si>
    <t>YD-------------------E-LSKKTIFVG-------MEAIRGDWTELAQNF-QRELV</t>
  </si>
  <si>
    <t>DLIF----------AK----------KKK-------------------------------</t>
  </si>
  <si>
    <t>--------------------------EE---IEAF-------------ILDYVSRLK---</t>
  </si>
  <si>
    <t>---------------KGEYD----------------------------------------</t>
  </si>
  <si>
    <t>---SSLVYKK-KI-----------------------------------------------</t>
  </si>
  <si>
    <t>------------------------------NLNLLYDIFSTR------------------</t>
  </si>
  <si>
    <t>GG------------RVYEWDAVDKDGKTERKRVPGLSFPPNGIPTIRHGALITVESEDDL</t>
  </si>
  <si>
    <t>EKAFPVTRTDMVATIAETKKIAPDDLEVLFVHAVETTPKVTVVNIMSTYDRRDLD-----</t>
  </si>
  <si>
    <t>YIATPPGSDDVLMDHSKPPPPYSEEPTLTTGTDIIIVHAVNR-AGAQVTLT-APF-----</t>
  </si>
  <si>
    <t>STV---------RARPVMRETLGDFD----------------------------------</t>
  </si>
  <si>
    <t>YPRDYDGK-KSMGVKRA---------FDPKHASRVF--YARQK----DEKGFGLPLSQRT</t>
  </si>
  <si>
    <t>GEPPDDFIVPDEDSTGSRTPRPFAVPDE--VLERL---PERPVQISLRVEEV--------</t>
  </si>
  <si>
    <t>VSTR-A-DVCVELR----DGIF----G------------------ALI-PQP------E-</t>
  </si>
  <si>
    <t>------------IARSEFPTFNLTYDIEQR-S-------EIRQ-------AF--------</t>
  </si>
  <si>
    <t>---PST--ERR--GDFVSAVS--------------FHLT---------------------</t>
  </si>
  <si>
    <t>EGLSSSAAAAAAAPSGKSADTTPTAVQFVVTVCDVTRP----------------------</t>
  </si>
  <si>
    <t>------------QNTVTVQ-CADES-WLLRY---CVSLVSNHIRPDL-VAG-WNTYTF--</t>
  </si>
  <si>
    <t>EYSAHV------------------LGR---------------------------------</t>
  </si>
  <si>
    <t>F-NT-------------------------------LVPAG---TFDG--------YIGDS</t>
  </si>
  <si>
    <t>V--HFGRER---------------------------------------------------</t>
  </si>
  <si>
    <t>GFSG-KLGGI--------------------------------------------------</t>
  </si>
  <si>
    <t>-------------------------SYDD---------VSEAA-----------------</t>
  </si>
  <si>
    <t>-ASED-----------------------------------LINCML--------------</t>
  </si>
  <si>
    <t>LYDAIAESTSVPHGDLQVCGQQQRYLHVLWKTCRRF--------GS--------------</t>
  </si>
  <si>
    <t>-VVDGIGQNRFAR-----------------------------------------------</t>
  </si>
  <si>
    <t>FTM-------------------RSGVVL-LLDF---------------------------</t>
  </si>
  <si>
    <t>-EALY-------------------PSIMIEYNICYSTMIPSARVA---------------</t>
  </si>
  <si>
    <t>-----------------KR--------LADCGV--------P----IN--AVRVSKD---</t>
  </si>
  <si>
    <t>---------CVIRC-IGF------------------------------------------</t>
  </si>
  <si>
    <t>-----------------NP---------EKP-VG--------------------------</t>
  </si>
  <si>
    <t>----------------------------------SAAR----------------------</t>
  </si>
  <si>
    <t>----GFQGMLPR-TMVGIGAERDRFK----------------------------------</t>
  </si>
  <si>
    <t>---REMKAAA--------------------------------------------KRG---</t>
  </si>
  <si>
    <t>---------------------D----------------------------ES-GRRV---</t>
  </si>
  <si>
    <t>-----------------GNA-------RQL--------AKK-------------------</t>
  </si>
  <si>
    <t>--------------IDA-------------------------------------------</t>
  </si>
  <si>
    <t>-----------NSSYGSLGAGS-GVLPLG---------DGAAAITAIGR-----------</t>
  </si>
  <si>
    <t>-------------------------RSILRCATMVEEMCEF-------------------</t>
  </si>
  <si>
    <t>-------------CKVVYGD----------------------------------------</t>
  </si>
  <si>
    <t>------------------LV----------------------------------------</t>
  </si>
  <si>
    <t>AYYM---------E-RILTKEFNQ--GTG-------------------------------</t>
  </si>
  <si>
    <t>TVENLADDICNGLCMLACKGRK-KKLKLKLNG-------LPAVRRDKSRVARFI-LKSVY</t>
  </si>
  <si>
    <t>NMVTWSM--HRKTVSEMK--------RDYDAGITQARWKALGCDIADRLDDP--------</t>
  </si>
  <si>
    <t>RRR-AAEGDEDAGIAMEEYDWW-YTRQGRCAGSERD--STEPATAVAAEDKQEGVLEFVA</t>
  </si>
  <si>
    <t>RIADKVVYAE-TEE------DDHIGTV---------------------------------</t>
  </si>
  <si>
    <t>----------------------------PPAAIMVCWDAERS-IANSRH-----AFGT--</t>
  </si>
  <si>
    <t>------------------------RVQYVVEAPSNMHGSYRRVLRD--------------</t>
  </si>
  <si>
    <t>------------RLKPPPGAS-----------------ERERAFSKE-------PNMQ--</t>
  </si>
  <si>
    <t>---------TRNDNYGKC--------RGLRT-WDKKQRSRD-------------LKA---</t>
  </si>
  <si>
    <t>------YY-----TDTDARGEPKYRIDRADVFFEVYNPLRTFLPV---------------</t>
  </si>
  <si>
    <t>--------------------------------------------FDSIIQ----------</t>
  </si>
  <si>
    <t>-DILRRAAEQ----------VRIVDGLC--------------------------------</t>
  </si>
  <si>
    <t>------DAAARV------------EDLVNAAEGPRPAD----------------------</t>
  </si>
  <si>
    <t>KATTFE-----------GVGLL----------------------------K-TLGIV---</t>
  </si>
  <si>
    <t>PNA-----------VVRLVGLM--------TKEDDMSRVWR----DTRGPE---------</t>
  </si>
  <si>
    <t>-----------------------------------GKRVLRRDVLDACGVVAPTVILE--</t>
  </si>
  <si>
    <t>------------RLQTRMGTTKDGDLR-------------WSDRHPYLSTDYTRE-DGD-</t>
  </si>
  <si>
    <t>ARAAEDAKVASTGK-------RGGRSGDGG-----------G-----------SSSKPKK</t>
  </si>
  <si>
    <t>GKGAASGGGGRGRYQRSLGSMFAKL----------------------</t>
  </si>
  <si>
    <t>-------------------------------------MSAKAQDHKVQIEDGE-------</t>
  </si>
  <si>
    <t>---------EGLPERITNMDPVTIGKHELNKLPTRNQLLGIN------------------</t>
  </si>
  <si>
    <t>-------------------------ETIKQ------YVDA-KTQIPILF-----------</t>
  </si>
  <si>
    <t>-------HPITV-LERDEW---------------------------------IKDPSG--</t>
  </si>
  <si>
    <t>HV------------------------------FVINLFGIDQ-LGRKTAVRVVNV-----</t>
  </si>
  <si>
    <t>--------PIYI---DIMV--P--------------------KRF---------------</t>
  </si>
  <si>
    <t>RA----------QTNEFYTSVMSSLT--------------------AGQN----------</t>
  </si>
  <si>
    <t>------------RPDVSHWDIVQ----GYKLHG----------FQRA-------------</t>
  </si>
  <si>
    <t>---------TRPWLRFY---------FTNLGLRSAFLDLVGQH-----------------</t>
  </si>
  <si>
    <t>E----SGYYFNKIAR-ERGINTAGW----------------------NLIA-SEN-PAD-</t>
  </si>
  <si>
    <t>ITG--INSPHCSLNNFT---------K----GYECNINCLTKCRNKIK-------AQLDP</t>
  </si>
  <si>
    <t>-ITRRL------IERP--KALSMFWDIETEGG---------RDI----------------</t>
  </si>
  <si>
    <t>-----------------------------EDHDNMDV-FNISMM----------FYT---</t>
  </si>
  <si>
    <t>-----------------LSSD-KPILSIGLSKHNTRS-----------------------</t>
  </si>
  <si>
    <t>-----------FDGYSIV--CGSEL-GVVKT---FLEIL-ARYLPDY-GNG-FNSQRF--</t>
  </si>
  <si>
    <t>MFNYINEHI-----------SLYQFGQKCN-----------L------------------</t>
  </si>
  <si>
    <t>VAKFPGM-----LDSD----------------TQPLFYKL-YPKME---------IKLER</t>
  </si>
  <si>
    <t>SLNYFLQLN---------------------------------------------------</t>
  </si>
  <si>
    <t>------------------------------------------DLP---------------</t>
  </si>
  <si>
    <t>-------------------------SKDD---------M---------------------</t>
  </si>
  <si>
    <t>-------------------------PISRL-------WRIKRYGDALDDIKECHCS----</t>
  </si>
  <si>
    <t>-NPLRKTESDPN-CCKLC------ISPDPFDIN-SMSKYDPARRISPELVP---------</t>
  </si>
  <si>
    <t>PS--------------------------K---------CC------------------RC</t>
  </si>
  <si>
    <t>NADVYAFWLGLGDHYCKIDSH-----------------------RT--QQLIFKR-GIYV</t>
  </si>
  <si>
    <t>DKCELANLSYVQLYDAFYRADGMKVRNIIGRYAPRF--------NI--------------</t>
  </si>
  <si>
    <t>-MFSNARKNIEQKMKQH-------------------------------------------</t>
  </si>
  <si>
    <t>YKN---------------------RPIT-GEDF---------------------------</t>
  </si>
  <si>
    <t>-SSLY-------------------PSIMMCYNYSPDRVVT--------------------</t>
  </si>
  <si>
    <t>--------------NPAKAE-----------ELKAL--------------GYKLHPVGP-</t>
  </si>
  <si>
    <t>---------------IRY------------------------------------------</t>
  </si>
  <si>
    <t>--------------------------------------------------EQGEKK----</t>
  </si>
  <si>
    <t>-------------------------------------------------GQ---------</t>
  </si>
  <si>
    <t>--------AGNIIGTV----------------SGWMVSHGNIYDPKK-------------</t>
  </si>
  <si>
    <t>--------------DKQVVNEYEKQV----------------------------------</t>
  </si>
  <si>
    <t>-------------VYKVL---NDNKQ---VTSMHTFVQ----------------------</t>
  </si>
  <si>
    <t>PLVNERMGIFGY-VLKKLFDKRVPIK----------------------------------</t>
  </si>
  <si>
    <t>---REFVKLCK---------IMEIMK----------------------------KNE---</t>
  </si>
  <si>
    <t>--------------LTTMVY-D-----------------VDGKTYHLKDVEF-DAAK---</t>
  </si>
  <si>
    <t>-----------------LDA-------IQK--------ALK-------------------</t>
  </si>
  <si>
    <t>--------------VLC-------------------------------------------</t>
  </si>
  <si>
    <t>-----------NTFYGESGNFR----------SAIYELLVAAGITSQGQ-----------</t>
  </si>
  <si>
    <t>-------------------------LEIKFVSDGVII-----------------------</t>
  </si>
  <si>
    <t>------N-----GFKLYYGD----------------------------------------</t>
  </si>
  <si>
    <t>------------SAPEK----------IFEMIDAWF------------------------</t>
  </si>
  <si>
    <t>QILC-----------EEISDRLTA------------------------------------</t>
  </si>
  <si>
    <t>--------RTGT-RYLNMAYEE-VGFPTAW----------C-GKKKYF---------MTA</t>
  </si>
  <si>
    <t>HIETINF----------------EPDEYFLRG-------VEIVKQGVNQIIKVL-GNEFI</t>
  </si>
  <si>
    <t>KEALDIH-------SD----------KE--------------------------------</t>
  </si>
  <si>
    <t>-------------------------------PLDI-------------AGEKLIKFF---</t>
  </si>
  <si>
    <t>---------------THNWA----------------------------------------</t>
  </si>
  <si>
    <t>--IDMFAQTA-TYK----------------------------------------------</t>
  </si>
  <si>
    <t>------------------P------------AK------DNKSVKRFHERMT--------</t>
  </si>
  <si>
    <t>----------------------------AVFNALPFDDPNRE-LYRPPG------AGD--</t>
  </si>
  <si>
    <t>------------------------KFKYVI------------VKRPEK------------</t>
  </si>
  <si>
    <t>---------QSHAHP----------------------LELD-------------LEW---</t>
  </si>
  <si>
    <t>PD---QDDEHRINSATEWLIEQANRFSDKEARAEKMKRLQSA--YRRVYKEFNKQ---IN</t>
  </si>
  <si>
    <t>IALYENFG-EVATCL---TGEGMYKGEKDMYPGF-DIAEIKDQTGDVAT-NWIDKW----</t>
  </si>
  <si>
    <t>QNN-----------------------------------DVIYNTTIDEIRRTLRI-----</t>
  </si>
  <si>
    <t>ITPVFT------------DLVR--------------------------------------</t>
  </si>
  <si>
    <t>------------------------------SKNNIKDEL---------------------</t>
  </si>
  <si>
    <t>-----------------------------------VSRVQMS-----CGGEYDKVVFSD-</t>
  </si>
  <si>
    <t>FRNIV------------------------------------------</t>
  </si>
  <si>
    <t>-------------------------------------MS-----HDGEIE----------</t>
  </si>
  <si>
    <t>----------GLPERVSDMEPTVILKTELARLPTRNDLLGI--P----------------</t>
  </si>
  <si>
    <t>-------------------------QVIEE------YRAAGITTPPILF-----------</t>
  </si>
  <si>
    <t>-------HPLTV-LERDEW---------------------------------IKNADG--</t>
  </si>
  <si>
    <t>HV------------------------------FKINVFGVDQ-LGRKTVVSLVNV-----</t>
  </si>
  <si>
    <t>--------PIYV---DIMV--P--------------------KRF---------------</t>
  </si>
  <si>
    <t>KG----------QTGEFYTAVMSSLT--------------------HGPQ----------</t>
  </si>
  <si>
    <t>------------RPEVAHWDVVQ----GYRLHG----------FQQQ-------------</t>
  </si>
  <si>
    <t>---------TRPWIRFL---------FANMGQRSAFLDLVAQH-----------------</t>
  </si>
  <si>
    <t>E----SGYYFNKVAR-ERGINTAGW----------------------NLLA-CDE-PGA-</t>
  </si>
  <si>
    <t>IRE--IFAPHGALNNFA---------K----GYECAINCLTRCKNKIK-------AGLDP</t>
  </si>
  <si>
    <t>-ITRRL------LERP--KKLSMFWDIETEGG---------RDI----------------</t>
  </si>
  <si>
    <t>-----------------------------DDHDNMDV-FNISMM----------FYT---</t>
  </si>
  <si>
    <t>-----------------LNSD-KPLLSIGLTKHNSIS-----------------------</t>
  </si>
  <si>
    <t>-----------FDGYTIV--CGSEL-GVVDT---FLAIL-ARYLPDY-DNG-FNSQRF--</t>
  </si>
  <si>
    <t>KFNYINDNI-----------SLYQFGQKCN-----------L------------------</t>
  </si>
  <si>
    <t>VAKIPGM-----LDSD----------------TQPLFYKL-YPKME---------IKLER</t>
  </si>
  <si>
    <t>SLNYFLKLN---------------------------------------------------</t>
  </si>
  <si>
    <t>-------------------------AKDD---------M---------------------</t>
  </si>
  <si>
    <t>NNSDHTVEHEHGTNCGLCRD---SIHADPFDFN-TNGKYDPKARISTDLVP---------</t>
  </si>
  <si>
    <t>DHAVFAVWMGLIDHYCKIDSH-----------------------RT--QQLIYKR-GIYI</t>
  </si>
  <si>
    <t>DKCELANLSFVQLYDAFYRADGMKVRNIIGRYAPKF--------NI--------------</t>
  </si>
  <si>
    <t>YKH---------------------RPIT-GEDF---------------------------</t>
  </si>
  <si>
    <t>-SSLY-------------------PSIIMCYNFSPDRVVT--------------------</t>
  </si>
  <si>
    <t>--------------NPAKAE-----------ALIAQ--------------GYKLHPVGP-</t>
  </si>
  <si>
    <t>---------------IKI------------------------------------------</t>
  </si>
  <si>
    <t>--------AGNTFGTV----------------SGWMVAHGNIYDPKV-------------</t>
  </si>
  <si>
    <t>--------------DTQVVNEFEKEI----------------------------------</t>
  </si>
  <si>
    <t>-------------TYKIV--DADNT------KTLKFVQ----------------------</t>
  </si>
  <si>
    <t>PLINEKMGIFGY-VLKKLFDKRVPIK----------------------------------</t>
  </si>
  <si>
    <t>---KEFVKLCE---------ILEIMK----------------------------KQG---</t>
  </si>
  <si>
    <t>--------------VNELVYTD-------------------GKTYHLHEVEF-DAAK---</t>
  </si>
  <si>
    <t>-----------------LDA-------VQK--------ALK-------------------</t>
  </si>
  <si>
    <t>--------------VLS-------------------------------------------</t>
  </si>
  <si>
    <t>-----------NTFYGESGNFR----------SAIYALIVAAGITAQGQ-----------</t>
  </si>
  <si>
    <t>-------------------------LEIKFVSDGVIV-----------------------</t>
  </si>
  <si>
    <t>------------SAPEV----------IFELVDAWF------------------------</t>
  </si>
  <si>
    <t>KTLC-----------EEISDRLAA------------------------------------</t>
  </si>
  <si>
    <t>HIKTINF----------------EPDEYFLRG-------VEIVKQGVNAITKQL-GNEFI</t>
  </si>
  <si>
    <t>AEAMDIH-------SS----------RE--------------------------------</t>
  </si>
  <si>
    <t>-------------------------------PIDI-------------ARDKLVKFF---</t>
  </si>
  <si>
    <t>---------------TNEWS----------------------------------------</t>
  </si>
  <si>
    <t>--VEMFAQTA-TYK----------------------------------------------</t>
  </si>
  <si>
    <t>----------------------------AIFNTFAIDNPERE-LYRPPD------AGD--</t>
  </si>
  <si>
    <t>---------QAHEHP----------------------LELD-------------LEW---</t>
  </si>
  <si>
    <t>PD---LDDTWRVYRATEWLKEQANQFSDKAARAEKMKKLQAA--YRRVYREFEKS---IV</t>
  </si>
  <si>
    <t>KHLYKTLG-EAAMSI---AGEGLYKD-------F-DWSEITDKSQDVAA-SYIDKW----</t>
  </si>
  <si>
    <t>TNN-----------------------------------DVIYNNMIDETRRTLRI-----</t>
  </si>
  <si>
    <t>ISGIFV------------DLIK--------------------------------------</t>
  </si>
  <si>
    <t>------------------------------QKNNIKCEL---------------------</t>
  </si>
  <si>
    <t>-----------------------------------IARIQQS-----CGGEYDKIVFTD-</t>
  </si>
  <si>
    <t>FRNIQ------------------------------------------</t>
  </si>
  <si>
    <t>-------------------------------------MATKQ--HNAEVE----------</t>
  </si>
  <si>
    <t>----------GLPERVSEMVPTVLSKANIGQLPTRNDLLGI--P----------------</t>
  </si>
  <si>
    <t>-------------------------QLLRE------YQAA-GHVIPILF-----------</t>
  </si>
  <si>
    <t>-------HPITV-LERDEW---------------------------------VKNADG--</t>
  </si>
  <si>
    <t>HV------------------------------FKVNLFGIDQ-LGRKTVIRIVNV-----</t>
  </si>
  <si>
    <t>--------PIYV---DIMV--P--------------------RRF---------------</t>
  </si>
  <si>
    <t>RN----------QTAEFYTSVMSSLT--------------------HGPQ----------</t>
  </si>
  <si>
    <t>------------RPDVAHWDIVH----GYRLHG----------FQQQ-------------</t>
  </si>
  <si>
    <t>---------TRPWLRFH---------FANMGLRSAFIDLVAQH-----------------</t>
  </si>
  <si>
    <t>E----SGYYFNKMAR-ERGINTAGW----------------------NIIS-SDQ-PGA-</t>
  </si>
  <si>
    <t>ITE--IYAPYGPLRNFD---------K----GYECEMNCLTRCKNKIK-------ARLDP</t>
  </si>
  <si>
    <t>-----------------LNSD-RPILSIGLTKHNSIS-----------------------</t>
  </si>
  <si>
    <t>-----------LDGYTIV--CGSEI-GVVDT---FLAIL-ARYLPDY-GNG-FNSQRF--</t>
  </si>
  <si>
    <t>KFNYINEMI-----------SLYQFGAKCN-----------L------------------</t>
  </si>
  <si>
    <t>TGPKHCVD-----DCQLCHD---SIKIDPFDMN-SMGKFDPRSRIDTALVP---------</t>
  </si>
  <si>
    <t>PT--------------------------K---------CC------------------RC</t>
  </si>
  <si>
    <t>DAAVFAVWMGLIDHYCKIDSH-----------------------RT--QQLIYKR-GIYI</t>
  </si>
  <si>
    <t>---------------ITV------------------------------------------</t>
  </si>
  <si>
    <t>--------------------------------------------------ERGEKK----</t>
  </si>
  <si>
    <t>--------AGNTFSTV----------------SGWMVAHGNIYDPRV-------------</t>
  </si>
  <si>
    <t>-------------TYKVQVNDSDNNDANNGVQTYTFVQ----------------------</t>
  </si>
  <si>
    <t>PLVNEKMGIFGY-VLKKLFDKRVPIK----------------------------------</t>
  </si>
  <si>
    <t>--------------VTELVYTD-------------------GRTYHRHEVEF-DAAK---</t>
  </si>
  <si>
    <t>------------SAPEA----------IFELIDAWF------------------------</t>
  </si>
  <si>
    <t>--------RTGT-RYLNMAYEE-VGYPTAW----------C-GKKKYF---------MTA</t>
  </si>
  <si>
    <t>HIKTINF----------------DPDEYFLRG-------VEIVKQGVNAITKQL-GNEFI</t>
  </si>
  <si>
    <t>KEAMDIH-------SD----------RE--------------------------------</t>
  </si>
  <si>
    <t>-------------------------------PIDI-------------AKDKLVKFF---</t>
  </si>
  <si>
    <t>--IEMFAQTA-TYK----------------------------------------------</t>
  </si>
  <si>
    <t>----------------------------AIFNTFAIDDPARE-LYRPPD------AGD--</t>
  </si>
  <si>
    <t>PD---LDDTHRIEKATEWLIAQANQFSDKAARAEKMKKLQSA--YRRVYKEFEIS---IR</t>
  </si>
  <si>
    <t>DRLYEVLG-DAALCI---ACEGIYKGQRNLYDPL-DMTEIVDKGPDAAT-GYIDKW----</t>
  </si>
  <si>
    <t>TNN-----------------------------------DVIYNNMIDEARKTLRN-----</t>
  </si>
  <si>
    <t>ITCVFT------------ELIK--------------------------------------</t>
  </si>
  <si>
    <t>------------------------------HKNNVKGEL---------------------</t>
  </si>
  <si>
    <t>-----------------------------------VTQIQLN-----CGGHYDKIVFTS-</t>
  </si>
  <si>
    <t>FRNNA------------------------------------------</t>
  </si>
  <si>
    <t>-------------------------------------MEGCSGDECQFINNIT-------</t>
  </si>
  <si>
    <t>--------------------------------------------------P---------</t>
  </si>
  <si>
    <t>---------EHLLHHIKNKIPTKINYKQIHLLPSRNNFLD---P----------------</t>
  </si>
  <si>
    <t>--------------------------KLKN-----VFNSQIKYNRPVLF-----------</t>
  </si>
  <si>
    <t>-------MPNGV-VEKNDW------------------------------------IDGV-</t>
  </si>
  <si>
    <t>--------------------------------YRVYLFGVLP-CGSKTCVILDNI-----</t>
  </si>
  <si>
    <t>--------EVHV---DIMV--P--------------------------------------</t>
  </si>
  <si>
    <t>---------YGMTAAQYDDILRGQLTSKQLP-------F-------TGIA----------</t>
  </si>
  <si>
    <t>----DI--------------------KLHRLHG----------FQKE-------------</t>
  </si>
  <si>
    <t>---------KRSYKRVY---------FNNLQDRKKIIEYIRSL-----------------</t>
  </si>
  <si>
    <t>--------------------------------------NKTLKSAGKDKIETASDDVGR-</t>
  </si>
  <si>
    <t>-----DNYYFPKIAR-EFKFATADW------NRIEEYCVVN---------------PSS-</t>
  </si>
  <si>
    <t>VTTNCTYVLKVNVQNF----------K------------------KLT-KEKRR-EYLKP</t>
  </si>
  <si>
    <t>GQLLEK-----VIERD--STQVAMWDIETHRTI--------QN-------GV--------</t>
  </si>
  <si>
    <t>--VPTP------------------------------------------------------</t>
  </si>
  <si>
    <t>------------------------------EDTDYTI-FMMCSA----------YFW---</t>
  </si>
  <si>
    <t>-----------------HHSD-EPLFEVCAVDRACNA-----------------------</t>
  </si>
  <si>
    <t>-----------RPGINLVIECESEL-NVLNA---HMEAM-SRMAPDI--TGAFNGGNF--</t>
  </si>
  <si>
    <t>KFSSLLPII---------------NGRYAD-------TDESV------------------</t>
  </si>
  <si>
    <t>VANFPGM-----LDTD----------------VLPVFLKL-YPRAE---------VRKSA</t>
  </si>
  <si>
    <t>SLNFFLAKN---------------------------------------------------</t>
  </si>
  <si>
    <t>------------------------------------------KLE---------------</t>
  </si>
  <si>
    <t>-------------------------SKED---------M---------------------</t>
  </si>
  <si>
    <t>TAQEH---------CGCCKEKVKEIDFKPLSTGVTMEGIEYSTELYDDLVV---------</t>
  </si>
  <si>
    <t>----------------------------------------------DGVE----------</t>
  </si>
  <si>
    <t>MADV--------GYYCVIDCV-----------------------RP--QQLYVKR-TIVP</t>
  </si>
  <si>
    <t>DKRELSTMSYVSLYDSFYRADGMKVRNVIGKNCFKR--------GI--------------</t>
  </si>
  <si>
    <t>-AFSNARSDKEMTDKDH-------------------------------------------</t>
  </si>
  <si>
    <t>HSDGWIDVEFITPEGKKIKKRVRCRPIT-GLDF---------------------------</t>
  </si>
  <si>
    <t>-ASLY-------------------PSLMMTYNLSPDTVVY--------------------</t>
  </si>
  <si>
    <t>------------TKEEAE-------------KLRNE--------------GYSLYHIEP-</t>
  </si>
  <si>
    <t>---------------FEF------------------------------------------</t>
  </si>
  <si>
    <t>-------------------------------------------------GN---------</t>
  </si>
  <si>
    <t>--------SGNK----------------RLSQEGWAVRHNGIFNTRK-------------</t>
  </si>
  <si>
    <t>--------------DTNIVTQYVKYI----------------------------------</t>
  </si>
  <si>
    <t>DVPIKAEQQKLNEIIKNCPEGVKINKLPEYIEQKKILDEVKKQEVKVMRKVIYDPVRGRE</t>
  </si>
  <si>
    <t>ALPGERMGLFPT-IVKKLFDKRVPIK----------------------------------</t>
  </si>
  <si>
    <t>---AEFVHLSE---------MLESMENMDV------------------------KEW---</t>
  </si>
  <si>
    <t>-------TVK-NP--------D-----------------GSESVVKYEDIEF-SKNK---</t>
  </si>
  <si>
    <t>-----------------VES-------KQK--------AIK-------------------</t>
  </si>
  <si>
    <t>--------------VLA-------------------------------------------</t>
  </si>
  <si>
    <t>-----------NTFYGESGNFK----------SSVYELLVAAGITCAGQ-----------</t>
  </si>
  <si>
    <t>-------------------------ANIKRVAGFVQN-----------------------</t>
  </si>
  <si>
    <t>------------GFIVHYGD----------------------------------------</t>
  </si>
  <si>
    <t>PRSVEFKKRRVAE--------------RLKWWNQM----VAI----TMD---------VM</t>
  </si>
  <si>
    <t>NTLK-----------EEVSDFLLA------------------------------------</t>
  </si>
  <si>
    <t>--------NNET-CFLNMAYEE-VGYPTVF----------C-GKKKYF---------MTA</t>
  </si>
  <si>
    <t>HLKEINF----------------YPKELFIRG-------IDIIKQGQAKISKQL-GEEFM</t>
  </si>
  <si>
    <t>REALS-------PENE----------RE--------------------------------</t>
  </si>
  <si>
    <t>-------------------------------LIEI-------------AEDKIRKFY---</t>
  </si>
  <si>
    <t>---------------RTKLD----------------------------------------</t>
  </si>
  <si>
    <t>--PNLFSLIA-RYK----------------------------------------------</t>
  </si>
  <si>
    <t>------------------P------------NK------RNVPVLSFVARMR--------</t>
  </si>
  <si>
    <t>----------------------------EIQAKYPDNPTFMA-LYEPPE------AGD--</t>
  </si>
  <si>
    <t>------------------------KFEYIL------------VKKEQR------------</t>
  </si>
  <si>
    <t>---------QETSNP----------------------MEIN-------------LSY---</t>
  </si>
  <si>
    <t>KEQYKEMDKHCVNEATKYL----NDLCDSITGFNKGELTQRGRDYRKIYKQADKK---LR</t>
  </si>
  <si>
    <t>HDIASRYG-GMGFII---HSVNVHNDTDDTRA---QSTRLIEQLKQTAE-SMTNSNGFGK</t>
  </si>
  <si>
    <t>EYMKLNATGQKL----------SAFKLKRIYKPERDISVS------------------TI</t>
  </si>
  <si>
    <t>RINIC---------------------------------NRMEQQIIEKMYQIMQ----QV</t>
  </si>
  <si>
    <t>AKIVYKY------EKSLINLID--------------------------------------</t>
  </si>
  <si>
    <t>---------------------------D-------MRKIKLE----------DDIIIED-</t>
  </si>
  <si>
    <t>LNEIELARANSVNEAL--------------------------------------DP----</t>
  </si>
  <si>
    <t>------------------------------------------------QINVRN------</t>
  </si>
  <si>
    <t>VSRLEARKAEIIPEYEWN------------------------------------------</t>
  </si>
  <si>
    <t>-----------------------------------------------MISI---------</t>
  </si>
  <si>
    <t>-------------------------------------MD---------------------</t>
  </si>
  <si>
    <t>----------------------------------RSEIVARENP----------------</t>
  </si>
  <si>
    <t>--------------------------VITQ-----RVTNLLQTNAPLLF-----------</t>
  </si>
  <si>
    <t>-------MPIDI--HEVRY-----------------------------------------</t>
  </si>
  <si>
    <t>------------------------------GAYTLFMYGSLE-NGYKAEVRIENI-----</t>
  </si>
  <si>
    <t>--------PVFF---DVQI-------------------------------EF--------</t>
  </si>
  <si>
    <t>ND----------TNQLFLKSLLTAEN----------------------------------</t>
  </si>
  <si>
    <t>----------------IAYERLETL-TQRPVMG----------Y----------------</t>
  </si>
  <si>
    <t>--REKEKE-FAPYIRIF---------FKSLYERRKAITYLNNM-----------------</t>
  </si>
  <si>
    <t>G------------------------------------------------YNTAAD-----</t>
  </si>
  <si>
    <t>-----DTTCYYRMVSRELKLPLTSW------IQLQHY-----------------------</t>
  </si>
  <si>
    <t>------------GPTD--HSIVMAYDIETY-S-------------PVKG-TV--------</t>
  </si>
  <si>
    <t>---PDP--NQA-------------------------------------------------</t>
  </si>
  <si>
    <t>--------------------------------NDV-V-FMICMR----------IFW---</t>
  </si>
  <si>
    <t>-----------------IHST-EPLASTCITMAPCKK-----------------------</t>
  </si>
  <si>
    <t>-----------SSEWTTIL-CSSEK-NLLLS---FAEQF-SRWAPDI-CTG-FNDSRY--</t>
  </si>
  <si>
    <t>IFNKM---------------SLFWHQKLDT-----------IL-----------------</t>
  </si>
  <si>
    <t>L-HTPGC-----LPID----------------VRNMCMQL-YPKAEK------------T</t>
  </si>
  <si>
    <t>SLKAFLENC---------------------------------------------------</t>
  </si>
  <si>
    <t>----------------------------------------------GL------------</t>
  </si>
  <si>
    <t>-------------------------SKVD---------L---------------------</t>
  </si>
  <si>
    <t>-------------------------PYHLM-------WKYYETRDS--------------</t>
  </si>
  <si>
    <t>-------------------------------------------------E----------</t>
  </si>
  <si>
    <t>MADV--------AYYCIIDAQ-----------------------RC--QDLLVRH-NVIP</t>
  </si>
  <si>
    <t>DRREVGILSYTSLYDCIYYAGGHKVCNMLIAYAIHDEY-----GRI--------------</t>
  </si>
  <si>
    <t>-ACSTIARGKREHGK---------------------------------------------</t>
  </si>
  <si>
    <t>EQD---------------------KPTT-GLDF---------------------------</t>
  </si>
  <si>
    <t>-ASLY-------------------PSLIMAYNFSPEKFVA--------------------</t>
  </si>
  <si>
    <t>------------SRDEAK-------------SLMAK--------------GESLHY----</t>
  </si>
  <si>
    <t>---------------VSF-----------------------HF-----------------</t>
  </si>
  <si>
    <t>-------------------------------------------------NN---------</t>
  </si>
  <si>
    <t>----------------------------RLV-EGWFVRHNNV------------------</t>
  </si>
  <si>
    <t>---PDKMGLYPK-VLIDLLNKRTALK----------------------------------</t>
  </si>
  <si>
    <t>---QELKKLGE-------------------------------------------KKE---</t>
  </si>
  <si>
    <t>-------CIH-----------E--------------------SHPGFKELQF-RHAM---</t>
  </si>
  <si>
    <t>-----------------VDA-------KQK--------ALK-------------------</t>
  </si>
  <si>
    <t>--------------IFM-------------------------------------------</t>
  </si>
  <si>
    <t>-----------NTFYGEAGNNL----------SPFFLLPLAGGVTSSGQ-----------</t>
  </si>
  <si>
    <t>-------------------------YNLKLVYNFVIN-----------------------</t>
  </si>
  <si>
    <t>------------GYGIKYGD----------------------------------------</t>
  </si>
  <si>
    <t>------------TCPDS----------LYTEVTDAY------------------------</t>
  </si>
  <si>
    <t>STLC-----------AEVNEYLRQ------------------------------------</t>
  </si>
  <si>
    <t>HVNTPNF----------------NTKELFIRG-------IDIIKQGQTKLTKTI-GTRIM</t>
  </si>
  <si>
    <t>EESMKLRR----PEDH----------RP--------------------------------</t>
  </si>
  <si>
    <t>------------------------P------LIEI-------------VKTVLKDAVVN-</t>
  </si>
  <si>
    <t>---------------MKQWN----------------------------------------</t>
  </si>
  <si>
    <t>--FEDFIQTD-AWR----------------------------------------------</t>
  </si>
  <si>
    <t>RREQL-----------------------KKHGAAAS-------QFAEPE------PGE--</t>
  </si>
  <si>
    <t>------------------------RFSYVI------------VEKQVQ------------</t>
  </si>
  <si>
    <t>-----------FDIQGHRTDSSR---------------KGDKME------------YV--</t>
  </si>
  <si>
    <t>---------SEAKAKN---------------------LPID-------------ILF---</t>
  </si>
  <si>
    <t>------YI-----NN------------------YVLGLCARFINENEEFQPPDNVSN---</t>
  </si>
  <si>
    <t>QEIKKKIG----------IFADLYKE-------------FFNNTTNPIE-SFIQS---AR</t>
  </si>
  <si>
    <t>FMIQYSDGEQKV-----------NHSMKKMVEQRATLASKPAG-----------KPAGNP</t>
  </si>
  <si>
    <t>AGNPAG--------------------------------NALMRAIFTQLITEEK----KI</t>
  </si>
  <si>
    <t>VQALYNK------GDAIHDLLTYII-----------------------------------</t>
  </si>
  <si>
    <t>------------------------------NNINYKIATFQ-------------------</t>
  </si>
  <si>
    <t>-----------------------------------TKQMLTF------------------</t>
  </si>
  <si>
    <t>---LD-SYNNEP-------------------------------------------P----</t>
  </si>
  <si>
    <t>IQQAIEEECGSIKP----------------------------------------------</t>
  </si>
  <si>
    <t>-----------------------------------SCYDFIS-----</t>
  </si>
  <si>
    <t>--------------------------VITQ-----RVTNLLRTNAPLLF-----------</t>
  </si>
  <si>
    <t>------------------------------GAYMLFMYGSLE-NGYKAEVRIENI-----</t>
  </si>
  <si>
    <t>--------PVFF---DVQI-------------------------------ES--------</t>
  </si>
  <si>
    <t>DN----------TNQLFLKSLLAAEN----------------------------------</t>
  </si>
  <si>
    <t>----------------ITYERLETL-TQRPVMG----------Y----------------</t>
  </si>
  <si>
    <t>-----DTTCYYRMVSRELKLPLTTW------IQLQHY-----------------------</t>
  </si>
  <si>
    <t>-----------SPEWTTIV-CSSEK-NLLLS---FAEQF-SRWAPDI-CTG-FNDSRY--</t>
  </si>
  <si>
    <t>VFNKM---------------SLFWPQKLDT-----------IL-----------------</t>
  </si>
  <si>
    <t>------------SRDEAN-------------SLMAK--------------GESLHY----</t>
  </si>
  <si>
    <t>RREQL-----------------------KKHGAAATS------QFAEPE------PGE--</t>
  </si>
  <si>
    <t>-----------FDIQGHRTDTTR---------------KGDKME------------YV--</t>
  </si>
  <si>
    <t>------YI-----NN------------------YVLGLCARFINENEEFQPPGNVSN---</t>
  </si>
  <si>
    <t>QEIKKKIG----------IFADLYKE-------------FFNNTTNPIE-SFIQS---TQ</t>
  </si>
  <si>
    <t>FMIHYFDEEQKV-----------NHSMKKMVEQHAALAGNPAGN------PAG-NPAGNP</t>
  </si>
  <si>
    <t>AGNPAGNPAGNPAGNPAGNPAGNPAGNPAGNPAGNPASNALMRAIFTQLITEEK----KI</t>
  </si>
  <si>
    <t>VQALYNK------GDEIHDLLTYII-----------------------------------</t>
  </si>
  <si>
    <t>---LG-LHNNEP-------------------------------------------P----</t>
  </si>
  <si>
    <t>-------------------------------------MTRQKINH---------------</t>
  </si>
  <si>
    <t>----------SICNNLKNM------------------------P----------------</t>
  </si>
  <si>
    <t>------------------------------------MIDVENFKKKKLFI----------</t>
  </si>
  <si>
    <t>-------------IEISQKTC---------------------------------------</t>
  </si>
  <si>
    <t>-----------TMN------------------YILSITCLDN-NGNKYFYDVTGI-----</t>
  </si>
  <si>
    <t>--------IPCF---DIEY------------------------------NEIV-------</t>
  </si>
  <si>
    <t>AN----------EIKKYEKILNSNAIL---------N------TR-NG------------</t>
  </si>
  <si>
    <t>---------------------------NIVFEGVHLKP-----F----------------</t>
  </si>
  <si>
    <t>--NYYSNE-LITHIRLN---------FKNINNYR----TVNNI------------LN---</t>
  </si>
  <si>
    <t>--------------------------------------KNNIIKEYIRNNET--------</t>
  </si>
  <si>
    <t>-----NTNYYNKAIQ---------------------------------------------</t>
  </si>
  <si>
    <t>---------------Y----------NNLI---------------NVE------------</t>
  </si>
  <si>
    <t>-----------KIP---EKTLLMTWDIETY-S---------YDKT-----RI--------</t>
  </si>
  <si>
    <t>---PDGL-----------------------------------------------------</t>
  </si>
  <si>
    <t>------------------------------VESDD-C-FLICGT----------FHN---</t>
  </si>
  <si>
    <t>-----------------YNSD-KILSSFAISTINTET-----------------------</t>
  </si>
  <si>
    <t>LG------IINYPNLTLKI-CKNEK-ESIKC---FMKMI-KEIKPDI-ITG-FNDHTY--</t>
  </si>
  <si>
    <t>---DWVYIKNKIENYY--------------------------------------TDLT-R</t>
  </si>
  <si>
    <t>DFYECFN-----------------DSKYYT-----------LTN----------------</t>
  </si>
  <si>
    <t>I-NYPKCNYA--IFID----------------TRVEFRKI-Y------------PKDIES</t>
  </si>
  <si>
    <t>NLNYYLRKM---------------------------------------------------</t>
  </si>
  <si>
    <t>----------------------------------------------NL------------</t>
  </si>
  <si>
    <t>------------------------------------------N-----------------</t>
  </si>
  <si>
    <t>-------------------------SKED---------L---------------------</t>
  </si>
  <si>
    <t>LATL----------YCLTDAY-----------------------RC--QELLVKK-QIIN</t>
  </si>
  <si>
    <t>EHYNMAYMTGITLKNSICRANGFKVFNYLLKDGIKE--------NY-------------S</t>
  </si>
  <si>
    <t>FIYNKFEKDENSTE----------------------------------------------</t>
  </si>
  <si>
    <t>NID---------------------CPVI-GLDF---------------------------</t>
  </si>
  <si>
    <t>-ASLY-------------------PNIQRTLNLGPDTLIRDFDIPK--------------</t>
  </si>
  <si>
    <t>------------YLNS---------------NI--------P------------------</t>
  </si>
  <si>
    <t>---------------IRK------------------------------------------</t>
  </si>
  <si>
    <t>---------------ICD----------------KYVVDHNEK-----------------</t>
  </si>
  <si>
    <t>---ENLKSIMVK-ILTNLFDQRVIIK----------------------------------</t>
  </si>
  <si>
    <t>V--------------------D-QYKLHL-------------TLCLFKSYKLNNKKI-NN</t>
  </si>
  <si>
    <t>NIFDYLGINVLNDVINDLDQ-------KQK--------AVK-------------------</t>
  </si>
  <si>
    <t>--------------VLM-------------------------------------------</t>
  </si>
  <si>
    <t>-----------NSFYGLLGSPT----------SPLYCKFIAETITKTGR-----------</t>
  </si>
  <si>
    <t>-------------------------TMLIQVRNYVQN-----------------------</t>
  </si>
  <si>
    <t>------------NYDVHYSD----------------------------------------</t>
  </si>
  <si>
    <t>------------SCNKH----------IFNDIESKF------------------------</t>
  </si>
  <si>
    <t>KVLL-----------NDINKYLKDTY---V----------Y-------------------</t>
  </si>
  <si>
    <t>HMETINYDD--------------IDNFLFMRG-------YSPVRRNTTQLTKNIIVDTVI</t>
  </si>
  <si>
    <t>KQLFSLNT--FSIYHK-----T----KKID------------------------------</t>
  </si>
  <si>
    <t>K--------------NKTYP----------------------------------------</t>
  </si>
  <si>
    <t>--IEYFIKND-RYS----------------------------------------------</t>
  </si>
  <si>
    <t>------------------P------------GK------KNIRINTFVDKLR--------</t>
  </si>
  <si>
    <t>----------------------------QRFDSLSNDELKRK--YTPPE------PYE--</t>
  </si>
  <si>
    <t>------------------------RFKYVY------------IDKSNK------------</t>
  </si>
  <si>
    <t>-------------------------------------FNSN-------------LHY---</t>
  </si>
  <si>
    <t>----KKYF-----ES-DLANELGCLIHPKDGKKYIIKLFELFIDNI--------------</t>
  </si>
  <si>
    <t>KDLLVNYP--------LLFKYDIISNPYTF------INNINNDISKINF-DFINQ-----</t>
  </si>
  <si>
    <t>NE--------------------------LTNAL-----NIQYNILYEELDDNIRL-----</t>
  </si>
  <si>
    <t>----------------YCDLIS----N-------------------------ELNI----</t>
  </si>
  <si>
    <t>---------------------------KIEEHCNNKETIVDY------------------</t>
  </si>
  <si>
    <t>---------------------------D-------IDK------------SFQNIVSFI-</t>
  </si>
  <si>
    <t>-----------DVNKHSFDNLEDITDK-------------Y--YNIVYKIKKQES-----</t>
  </si>
  <si>
    <t>IKKLKKH-----------------------------------------------------</t>
  </si>
  <si>
    <t>-------------MECNKW-----------------------------------------</t>
  </si>
  <si>
    <t>-------------------------------------------------------S----</t>
  </si>
  <si>
    <t>------GG----------------------STYQQRLYGVLS-NGQKAKLILEGI-----</t>
  </si>
  <si>
    <t>--------QPYF---DIEV--P---DDQT-------------VDWNA-GGELR-------</t>
  </si>
  <si>
    <t>ST----------DVSKRAAVLRNDIED---------------------------------</t>
  </si>
  <si>
    <t>----------ALGRTLVKSRIIM----AKPLQG----------FTKE-------------</t>
  </si>
  <si>
    <t>---------PKPYIRLY---------FNNLKDRKA-------------------------</t>
  </si>
  <si>
    <t>G-------------------------------------LNWAEQEGYAIFSN--------</t>
  </si>
  <si>
    <t>-----DPSSYYRKVARETKMTMAGW------NYVSEYEEV-------------DE-EDE-</t>
  </si>
  <si>
    <t>K------TDKD-------------------------------------------------</t>
  </si>
  <si>
    <t>--------------------------------GGK-V-FAICVA----------ICR---</t>
  </si>
  <si>
    <t>-----------------VSQK-KPLCTIGLTRYDCEIPDLAETEEILREIGK--------</t>
  </si>
  <si>
    <t>EG-----------DG----------TYDDISAEETSRA-LRAIEKKGE------------</t>
  </si>
  <si>
    <t>---------KSREFDYIVK-CQNEK-DLILT---FAKVI-NRFKPEY-IVD-FNGHNY--</t>
  </si>
  <si>
    <t>QFMKLVS-------CEP------------------------VPED---------------</t>
  </si>
  <si>
    <t>V-KAPGF-----IPVDAR------------VQ---------YMTMQE------YKTKEKS</t>
  </si>
  <si>
    <t>SLNFYLSEN---------------------------------------------------</t>
  </si>
  <si>
    <t>R------------------------KLEKL-------IKQNEQ----------------D</t>
  </si>
  <si>
    <t>DDPVH-----------------------PDIMR--------RWKLL--------------</t>
  </si>
  <si>
    <t>-------------------------MFYV-------------------------------</t>
  </si>
  <si>
    <t>---------------------------LK-------------------------------</t>
  </si>
  <si>
    <t>--------------YCLIDSV-----------------------RC--HDLLIKR-TVVV</t>
  </si>
  <si>
    <t>DKRGVAKMTYISMYDAFFRADGMKVVNAISGYTYKKDP------NYFTTPYDPDYIPKDL</t>
  </si>
  <si>
    <t>ILINHRRRDTGGAKVK--------------------------------------------</t>
  </si>
  <si>
    <t>YTD---------------------RPCG-GLDF---------------------------</t>
  </si>
  <si>
    <t>IKKR------KAKPDATTAQ-----------NF--------P----YNR-WFRLQK----</t>
  </si>
  <si>
    <t>-----HV--------VEW------------------------------------------</t>
  </si>
  <si>
    <t>---------------------------------------------------A--------</t>
  </si>
  <si>
    <t>----------------------------ERTFIAWT-----ILPPAD-------------</t>
  </si>
  <si>
    <t>--------------DNN-------------------------------------------</t>
  </si>
  <si>
    <t>---------------MVDK---------------EYVK----------------------</t>
  </si>
  <si>
    <t>-----WHGLFPR-VLGDIFDVRLRMK----------------------------------</t>
  </si>
  <si>
    <t>LRVAQLKGEVE---------KLEVEMKAA-------------------------EEA---</t>
  </si>
  <si>
    <t>-----------G---------DEELAKKLAH--------------KLEELEL-ERNI---</t>
  </si>
  <si>
    <t>-----------------VDS-------QQK--------AAK-------------------</t>
  </si>
  <si>
    <t>-----------NSFYGEAGNQS----------SCLFNIMISGTTTMRGR-----------</t>
  </si>
  <si>
    <t>-------------------------TYLKTMYRYLID-----------------------</t>
  </si>
  <si>
    <t>---------------EH-------------------------------------------</t>
  </si>
  <si>
    <t>------------HCKIQYGD----------------------------------------</t>
  </si>
  <si>
    <t>------------VCREE----------IFREIDRKY------------------------</t>
  </si>
  <si>
    <t>--QSGEIDKMT-------------------YWSEM----VTL----SMR-----------</t>
  </si>
  <si>
    <t>-------------ELDRVKKAVKGRL-----------------IEITGY-----------</t>
  </si>
  <si>
    <t>LEHLGVPNF--------------TKPKQFIKG-------LDFKKRGASPMLKMV-CQSIL</t>
  </si>
  <si>
    <t>DTALSMDC------SK--------TLKQI-------------------------------</t>
  </si>
  <si>
    <t>------------------------------------------------VEDKLVEIK---</t>
  </si>
  <si>
    <t>-----------TTDWSNNID----------------------------------------</t>
  </si>
  <si>
    <t>-LFAKMDTCK-QKR-------DEEGKV---------------------------------</t>
  </si>
  <si>
    <t>------------------------------VDV------KNVKAQTFKARMEEEAKYNP-</t>
  </si>
  <si>
    <t>-------------------------------------------DIEPPKIFQ--------</t>
  </si>
  <si>
    <t>------------------------RFEYVV------------VEKPAFT-----------</t>
  </si>
  <si>
    <t>-----------YNFKGKSTKTA----------------LGDKFEY---------LSRV--</t>
  </si>
  <si>
    <t>---------KANPHL----------------------FKID-------------LDY---</t>
  </si>
  <si>
    <t>PD---PNDTEANNK------------------------------YN--------------</t>
  </si>
  <si>
    <t>KKLMDKAK-K--YLL-----------------------------------EFFRT-KFGN</t>
  </si>
  <si>
    <t>SAVNHHTLRKKV-------YRECLKIVKNKHADKDTLGVLQ----RLSAY----DPDHNL</t>
  </si>
  <si>
    <t>GDDPV---------------------------------KEMKAALLEAIKEEKREYLTQE</t>
  </si>
  <si>
    <t>HRTRFAKRLRRKFMSDGLDAIVAYKF---------------------FSG----------</t>
  </si>
  <si>
    <t>YNDA-----LREIHVATAEM--ERSLAELVPYCQATQRDLQSIIRGATIDVEKKIVTIP-</t>
  </si>
  <si>
    <t>DEADKAITDIPENIAAAMLNIDACYQK-ILLK------------KIMIRKYKIEKSVLKV</t>
  </si>
  <si>
    <t>L--RG-EQTNDEIEV---------------------------------------------</t>
  </si>
  <si>
    <t>TENLSKSKFG--------------------------------------------------</t>
  </si>
  <si>
    <t>----------------------------------F------------</t>
  </si>
  <si>
    <t>---------------KHN------------------------------------------</t>
  </si>
  <si>
    <t>------------------------------TYK-----------NLNSICID--------</t>
  </si>
  <si>
    <t>------------------------------------TMD---------------------</t>
  </si>
  <si>
    <t>-------------------------------------------P----------------</t>
  </si>
  <si>
    <t>-------L-----------------Y-------------------KVSMV----------</t>
  </si>
  <si>
    <t>-------KPDVKNIKVSQR-----------------------------------------</t>
  </si>
  <si>
    <t>-------------------------------------------GGKKAFPKKA-------</t>
  </si>
  <si>
    <t>-----PSKDKSASN-----------------------------NKKNEKVDKMDI-----</t>
  </si>
  <si>
    <t>-----VMKNPTF--DKLEL-NP------------------------L--NT---------</t>
  </si>
  <si>
    <t>TDIFRLIDLYFIKKNRIYKHLYNSYD----------------------------------</t>
  </si>
  <si>
    <t>-------------------KFLDEDVRRYLLEGEHV-------FSRTIQAD---------</t>
  </si>
  <si>
    <t>--TMYANK----------------FEFKNIRYQPP---TFNNK---VD------PLF---</t>
  </si>
  <si>
    <t>MVTSKSDPVVTQIGKTVENVQVGHF---P--LMLRSKYCN------------LSQHPDT-</t>
  </si>
  <si>
    <t>HKMPQSL-----------------------------------------------------</t>
  </si>
  <si>
    <t>------------------------------TIR---------------------------</t>
  </si>
  <si>
    <t>------------------------------LKKDG-I-MNIRVPILSEVNVFILFRA---</t>
  </si>
  <si>
    <t>-----------------LGIESDRDIINYTTYNESDM-----------------------</t>
  </si>
  <si>
    <t>-----------Y--------------MSNI------------------------------</t>
  </si>
  <si>
    <t>------------VKASLSD-CKDEKGDMINS---------RDSAFDY-LVN---------</t>
  </si>
  <si>
    <t>---KIKIIQKTSNTST-VNKM-------------------------------EQKKLH--</t>
  </si>
  <si>
    <t>------------------------LERLLKNNLLPH------------------------</t>
  </si>
  <si>
    <t>-------------------------------------KSGSLKEKAIYLGMMI-NKLLR-</t>
  </si>
  <si>
    <t>ETSTFFNSR---------------------------------------------------</t>
  </si>
  <si>
    <t>-------------------------TEDDNNPHNVITQI---------------------</t>
  </si>
  <si>
    <t>----------------------------------------LKASLS--------------</t>
  </si>
  <si>
    <t>-----------TGSWIRKKGV---------------------------AQMLQRM-----</t>
  </si>
  <si>
    <t>-----------------TYQQAISFLRRIDAPSGDASTSKLTSPRY--------------</t>
  </si>
  <si>
    <t>-LHPS-------------------------------------------------------</t>
  </si>
  <si>
    <t>IKRI--------------------KDIV-NGDIV--------------------------</t>
  </si>
  <si>
    <t>-RSTYADSLKGENTRMKNWFKIDTPDKIVKVTLMNGATVK-----------C--------</t>
  </si>
  <si>
    <t>------------TPDH-------------------------P----LM------------</t>
  </si>
  <si>
    <t>---------------IDE------------------------------------------</t>
  </si>
  <si>
    <t>--------NGKRAFL--NVS--------KLK-VG--------------------------</t>
  </si>
  <si>
    <t>--------------DT-IVT----------------------------------------</t>
  </si>
  <si>
    <t>-------------THMLNHIEND-----------KCMK----------------------</t>
  </si>
  <si>
    <t>---------------------LKIN-----------------------------------</t>
  </si>
  <si>
    <t>-LSDVPSKLVTQ-MIETELIDRNISQ----------------------------------</t>
  </si>
  <si>
    <t>---ERLEITARLVGLCNTDGHLRINKNGSYSVEF---------YVG--------EEQ---</t>
  </si>
  <si>
    <t>---------------------D-------------------------------VYDL---</t>
  </si>
  <si>
    <t>-----------------VDD------IMRLGFGNL---TTR-------------------</t>
  </si>
  <si>
    <t>----------RR--VTRHG-------KCI------HRT----WC----------------</t>
  </si>
  <si>
    <t>---------------------------------------------IFKAGGLA--WYL--</t>
  </si>
  <si>
    <t>CRLKYQKSGTRYKLSINKTNQTTTPKFMEQTKSYIDDIIS--------------------</t>
  </si>
  <si>
    <t>----------------LFGE----------------------------------------</t>
  </si>
  <si>
    <t>--------------------FDIFCKR---------------------------------</t>
  </si>
  <si>
    <t>-SNI-----------------------AYRYCAEKR------------------------</t>
  </si>
  <si>
    <t>KYRC---------T-KKINKTQKY------------------------------------</t>
  </si>
  <si>
    <t>PVYDFTTYN--------------DAHSFLANGIHSSNCPVQTPESSKIGIIKHL---SMI</t>
  </si>
  <si>
    <t>ASITIMDKNIYDLLSKYLL--SHPDIKNI-------------CDV-----DPVDMKYMYN</t>
  </si>
  <si>
    <t>VFFNGDWIGVVRGVTKKGESPHDIP------AIKL---------WKDMQKKKRQKIFDPE</t>
  </si>
  <si>
    <t>VTSIVAD--------HREFEIRVYCDTGRLY---RPVLRVDPHNKVNLGKKH--------</t>
  </si>
  <si>
    <t>--IERIALNK-TVP----------GKIN--------------------------------</t>
  </si>
  <si>
    <t>-----------------------------DWDQFTS---VFSDVVDYIDTEE--------</t>
  </si>
  <si>
    <t>----------------------------QPYLLVADRIKTVN-KMQQKE-F----NSQ--</t>
  </si>
  <si>
    <t>------------------------KLKFKGHS----------------------------</t>
  </si>
  <si>
    <t>--------------------------------------ETDTVNRYD-------SGYY--</t>
  </si>
  <si>
    <t>RQAMGIYI-----SN---------YRDRTDISYILYHPQRPVVTTR--------------</t>
  </si>
  <si>
    <t>------ASKYANFRIFPF----GENCSVAIMTYSG---------YNQEDSL---------</t>
  </si>
  <si>
    <t>--VMNKGSIE--------------------------------------------------</t>
  </si>
  <si>
    <t>-RGLFRS----TSLKKAMSSIS--------------------------------------</t>
  </si>
  <si>
    <t>------------------------------KNQNTSQD----------------------</t>
  </si>
  <si>
    <t>------------------GSYDKLNTAG---------------XXXXMSFKSLDSRCTG-</t>
  </si>
  <si>
    <t>----------------------------------------------KLY-----------</t>
  </si>
  <si>
    <t>---------------------------------------------IDASLID--------</t>
  </si>
  <si>
    <t>----------------------------------IYVSERRK-DGKRK---INHF-----</t>
  </si>
  <si>
    <t>--------LPPY---SYFY--P--------------------------------------</t>
  </si>
  <si>
    <t>DS--------------------------------------------AG------------</t>
  </si>
  <si>
    <t>----------------------H----FKSITGQRLKR-----F----------------</t>
  </si>
  <si>
    <t>--KTNNKR----------------------------------------------------</t>
  </si>
  <si>
    <t>----------E-------FNRAVE----------------KAEMAGNEIFEH--------</t>
  </si>
  <si>
    <t>-----DVNVVYRLLE--------------------------------------DK-----</t>
  </si>
  <si>
    <t>---------------Y---------------------------------PGS------E-</t>
  </si>
  <si>
    <t>------------CP----ELNISLLDIETD-----------KD----PKLGY--------</t>
  </si>
  <si>
    <t>---SRV--NNPYS-----------------------------------------------</t>
  </si>
  <si>
    <t>---------------------------------I--------------------------</t>
  </si>
  <si>
    <t>------------------------------------I-TAVTIY----------------</t>
  </si>
  <si>
    <t>----------------------NNWEDLYYTVLVRPP-----------------------</t>
  </si>
  <si>
    <t>CPD-GDDFGEMSEDNNFFI-VETES-ELIEI---MLELI---QDADV-LSG-WNSEFF--</t>
  </si>
  <si>
    <t>TLAKLAAEDGEYNQCDPSDNSIPWLNKL--------------------------------</t>
  </si>
  <si>
    <t>Y-KLFGR-----IHLD----------------YMALYQKFTFEELHS--------YALDF</t>
  </si>
  <si>
    <t>VLQKEVNQN-----K---------------------------------------------</t>
  </si>
  <si>
    <t>---------------------IAYEGSLDQL-----------------------------</t>
  </si>
  <si>
    <t>-------------------------YRLN---------I---------------------</t>
  </si>
  <si>
    <t>-----------------------------------------RRFAA--------------</t>
  </si>
  <si>
    <t>LANTMAHSAGVTLDKSL--GSVAIIEQAILRRLHKD--------KI--------------</t>
  </si>
  <si>
    <t>-ISWNRKETIKDLP----------------------------------------------</t>
  </si>
  <si>
    <t>Y-----------------------KWVC-SYDF---------------------------</t>
  </si>
  <si>
    <t>-NSLY-------------------PTAIRLINISPEVIIGQV------------------</t>
  </si>
  <si>
    <t>KQKHTKVWGGFTGI-LEY------------------------------------------</t>
  </si>
  <si>
    <t>----------------------------------------------HDIINETDDQ----</t>
  </si>
  <si>
    <t>----------ITVML-------------E---DN-----------NE-------------</t>
  </si>
  <si>
    <t>------------------VI----------------------------------------</t>
  </si>
  <si>
    <t>---------------TCS-------A---KAWKDILKENN--------------------</t>
  </si>
  <si>
    <t>-------------------------------------WSISANGTIFD------------</t>
  </si>
  <si>
    <t>---LSKEGIIST-CMTEWYTDRVAAQ----------------------------------</t>
  </si>
  <si>
    <t>--YKASEF---------------YKKAD--------------------------KEE---</t>
  </si>
  <si>
    <t>---------------------D--------PDK-------------KAAYMT-EYTY---</t>
  </si>
  <si>
    <t>-----------------YNM-------EQH--------VLK-------------------</t>
  </si>
  <si>
    <t>--------------IFL-------------------------------------------</t>
  </si>
  <si>
    <t>-----------NSTYGAYLNEA----------FRFYDPRLGSSVTLTGR-----------</t>
  </si>
  <si>
    <t>-------------------------VMTKHMVRDVSRIMTG-------------------</t>
  </si>
  <si>
    <t>-------------------------------------------NYDFDK-----------</t>
  </si>
  <si>
    <t>-------------RSIIYGD----------------------------------------</t>
  </si>
  <si>
    <t>-----------------TMDWY--------------------------------------</t>
  </si>
  <si>
    <t>ADAI---------G-EILNDELPAFL--------------------------------SN</t>
  </si>
  <si>
    <t>AFLI----PEKRGTIVNAGREVVAISGLFK----------D-KKKRYALHVINDD----G</t>
  </si>
  <si>
    <t>TMRV----------KENKS-------YD--------------------------------</t>
  </si>
  <si>
    <t>--------------------------EIKKVVEDFRIEFKNIDSWKKGSPGRVSNLT---</t>
  </si>
  <si>
    <t>-------------TRVQQMD--------------------QYQDDL-----EEGIYG---</t>
  </si>
  <si>
    <t>--ISKPLIHI-SVK---------------------------------SCNNTNKLI----</t>
  </si>
  <si>
    <t>---------------------------------------DLFDE-HRLDKIR--------</t>
  </si>
  <si>
    <t>-------------------------------------------------------DGD--</t>
  </si>
  <si>
    <t>------------------------KVSVMY------------LKENP-------------</t>
  </si>
  <si>
    <t>-------------HNMDSIAI-----------------QVDETYV---------PDWF--</t>
  </si>
  <si>
    <t>---------QQ--------------------------LPFD-------------ERK---</t>
  </si>
  <si>
    <t>------ME-----EK---------LLDK-----KLFNVIGDILDWD--------------</t>
  </si>
  <si>
    <t>--------------------------------------------FR--------------</t>
  </si>
  <si>
    <t>------------------------------PPENTAEEVF--------------------</t>
  </si>
  <si>
    <t>------------------------------------EE----------------------</t>
  </si>
  <si>
    <t>-----------------DGT--------------------------FFD-----------</t>
  </si>
  <si>
    <t>------------------------------------------PRRSMSY-----------</t>
  </si>
  <si>
    <t>---------------------------------------------IGGYHDK--------</t>
  </si>
  <si>
    <t>--------------------------------DIVHIAE-RI-NGKRV---LVEH-----</t>
  </si>
  <si>
    <t>--------RPIY---NFYI--Q--------------------------------------</t>
  </si>
  <si>
    <t>DA--------------------------------------------RG------------</t>
  </si>
  <si>
    <t>----------------------K----HRSTHGESVSE-----I----------------</t>
  </si>
  <si>
    <t>--RCKNGK----------------------------------------------------</t>
  </si>
  <si>
    <t>----------D-------FQKNL------------------AMYRHTKTFES--------</t>
  </si>
  <si>
    <t>-----DIKAINKVLE--------------------------------------SH-----</t>
  </si>
  <si>
    <t>---------------Y---------------------------------LNQ------E-</t>
  </si>
  <si>
    <t>------------PP----QPNVAFFDIEVA-----------FD----PERGY--------</t>
  </si>
  <si>
    <t>---SQP--EEAFM-----------------------------------------------</t>
  </si>
  <si>
    <t>---------------------------------P--------------------------</t>
  </si>
  <si>
    <t>------------------------------------I-TSVGVY----------------</t>
  </si>
  <si>
    <t>----------------------MQWCKQMVCLAVPPP-----------------------</t>
  </si>
  <si>
    <t>-------------T---------------LTYDQAKKQ-LEGL-----------------</t>
  </si>
  <si>
    <t>--------------DDVIL-CENEK-QLLEV---FLEII---GDADI-LSG-WNSEGY--</t>
  </si>
  <si>
    <t>E-----------------------LRRL--------------------------------</t>
  </si>
  <si>
    <t>F-DLVGR-----VHLD----------------YLQLYKKYNYEERHS--------YRLDF</t>
  </si>
  <si>
    <t>IGEMEVGER-----K---------------------------------------------</t>
  </si>
  <si>
    <t>---------------------VVYDGTLDHL-----------------------------</t>
  </si>
  <si>
    <t>-------------------------YNYD---------F---------------------</t>
  </si>
  <si>
    <t>-----------------------------------------RKFVE--------------</t>
  </si>
  <si>
    <t>LANSIAHDNTVLMPTVM--GAVATTDQAIINECHRR--------GR--------------</t>
  </si>
  <si>
    <t>-VVPDRVRSKDSGQ----------------------------------------------</t>
  </si>
  <si>
    <t>H-----------------------EWIG-SMDL---------------------------</t>
  </si>
  <si>
    <t>-NSLY-------------------PSVFRALNMAPETIVGQVRPTYT-------------</t>
  </si>
  <si>
    <t>KMSFADAWLGKFGT-NEF------------------------------------------</t>
  </si>
  <si>
    <t>-----------------------------------------------EMITDKDSH----</t>
  </si>
  <si>
    <t>----------HTLKL-------------DMV-DG-----------ES-------------</t>
  </si>
  <si>
    <t>------------------LD----------------------------------------</t>
  </si>
  <si>
    <t>---------------VTG-------A---EIYHLVFNSDQ--------------------</t>
  </si>
  <si>
    <t>--P----------------------------------WNISANGTIFR------------</t>
  </si>
  <si>
    <t>---TDEQGIVPG-LLERWYAERKILQ----------------------------------</t>
  </si>
  <si>
    <t>--AKKSAWETV---------KGGMEVGH--------------------------KHE---</t>
  </si>
  <si>
    <t>---------------------D--VLRSLVPESDLRVENGLIVYVGKLDIDA-EISF---</t>
  </si>
  <si>
    <t>-----------------WDK-------RQL--------VKK-------------------</t>
  </si>
  <si>
    <t>--------------INL-------------------------------------------</t>
  </si>
  <si>
    <t>-----------NSLYGAILNVG----------CRFYDQRVGQSTTLTGR-----------</t>
  </si>
  <si>
    <t>-------------------------RITRHMAAEANKMLTG-------------------</t>
  </si>
  <si>
    <t>-------------------------------------------DYDHEG-----------</t>
  </si>
  <si>
    <t>-------------KCIIYGD----------------------------------------</t>
  </si>
  <si>
    <t>-----------------TAVPV--------------------------------------</t>
  </si>
  <si>
    <t>YDYI---------S-DTVSSTFPEFL--------------------------------NK</t>
  </si>
  <si>
    <t>TFGI----PLEAGQVMKAGREVVGRAGVFI------------VKKRYAINVLDIE----G</t>
  </si>
  <si>
    <t>Y-------------------RP-PGGKLKAMG-------LDIKRSDTPEYIQDF-LEEVL</t>
  </si>
  <si>
    <t>TDAL----------SAVPE-------SD--------------------------------</t>
  </si>
  <si>
    <t>--------------------------VIAK-IRRFKEDFQNLDPWKKGMPKAVNNLT---</t>
  </si>
  <si>
    <t>-------------KYTDQLT--------------------KKENAIRIKNNQRTVQE---</t>
  </si>
  <si>
    <t>--VESITIPG-HVR---------------------------------ASINWNRLK----</t>
  </si>
  <si>
    <t>---------------------------------------KMHSD-QYSMNIT--------</t>
  </si>
  <si>
    <t>-------------------------------------------------------DGQ--</t>
  </si>
  <si>
    <t>------------------------KVIVCR------------LKDNP-------------</t>
  </si>
  <si>
    <t>-------------MGYTSVAY-----------------PVDEMHI---------PEWF--</t>
  </si>
  <si>
    <t>---------KD--------------------------LPFD-------------NQG---</t>
  </si>
  <si>
    <t>------ME-----EA---------VLNK-----KITNVLG-AMGWD--------------</t>
  </si>
  <si>
    <t>--------------------------------------------LT--------------</t>
  </si>
  <si>
    <t>------------------------------KIHHSKAQ----------------------</t>
  </si>
  <si>
    <t>------------------DK--------------------------FFDFG---------</t>
  </si>
  <si>
    <t>--------------------------------------------------KFENLNL---</t>
  </si>
  <si>
    <t>-------KVIYI---YPSR--V------------M---------------K---------</t>
  </si>
  <si>
    <t>------------IIDKFTAKQVE----EVEVI----------------------------</t>
  </si>
  <si>
    <t>--------------------------FSILKELY--------------------------</t>
  </si>
  <si>
    <t>--------------------------------------------------------PSN-</t>
  </si>
  <si>
    <t>-------KVDISFD-Y--------------------------------------------</t>
  </si>
  <si>
    <t>---DKK------------VYQIDLLDEQIK-Q----------------------------</t>
  </si>
  <si>
    <t>--------------------------------ND----ISIPLD----------LNV---</t>
  </si>
  <si>
    <t>--------------KVIYGDS---------------------------------------</t>
  </si>
  <si>
    <t>---------------------VSKD-TPI--------LL-KDPFSNQ-IYF---------</t>
  </si>
  <si>
    <t>-------------------------EKIEN-----------I------------------</t>
  </si>
  <si>
    <t>Y-NYPGF-----KFGD----------------QTVS------------------------</t>
  </si>
  <si>
    <t>-GKQYSTTN---------------------------------------------------</t>
  </si>
  <si>
    <t>---------------------------------QLVW-----------------------</t>
  </si>
  <si>
    <t>K------------------------CAKKM-------FNIVTHS---------------G</t>
  </si>
  <si>
    <t>FVQ---------------------------------------------------------</t>
  </si>
  <si>
    <t>---------------ATED-----------------------------HSLIKED-----</t>
  </si>
  <si>
    <t>-------------------------------------------GTE--------------</t>
  </si>
  <si>
    <t>-VAPTECSIGM-------------------------------------------------</t>
  </si>
  <si>
    <t>-------------KL---------------------------------------------</t>
  </si>
  <si>
    <t>----------LTS-SP--------------------------------------------</t>
  </si>
  <si>
    <t>-EH-Y-------------------PPTLYS------------------------------</t>
  </si>
  <si>
    <t>------------LTRQ---------------NCLL-------------------------</t>
  </si>
  <si>
    <t>----------------------------------------------R-------------</t>
  </si>
  <si>
    <t>----------------------------------QFDD----------------------</t>
  </si>
  <si>
    <t>----QQMELIT--VMNSSVDVQQAYV----------------------------------</t>
  </si>
  <si>
    <t>------------------------------------------------------NQ----</t>
  </si>
  <si>
    <t>-----------------------------------------------------LIET---</t>
  </si>
  <si>
    <t>-----------------VGN------VLEF--------DNK-------------------</t>
  </si>
  <si>
    <t>--------------VEA-------------------------------------------</t>
  </si>
  <si>
    <t>-----------AGVYYVAKRVGYSI--------SLHVSD-TYTL-CVSK-----------</t>
  </si>
  <si>
    <t>-------------------------DTLLASN-EIKEI----------------------</t>
  </si>
  <si>
    <t>-------------TPIAYSEED--------------------------------------</t>
  </si>
  <si>
    <t>------------------FVYDLETE----------------------------------</t>
  </si>
  <si>
    <t>---------------------------KFAYNRED-------------------------</t>
  </si>
  <si>
    <t>ADLC---------GEKLTKEIFNR-----------------HPIE---------------</t>
  </si>
  <si>
    <t>KKFE-------------DKKDPLKMKGYDVKG-------VALTKRNYCNLVKKC-YKEVI</t>
  </si>
  <si>
    <t>DYVME---------NE---------EKS--------------------------------</t>
  </si>
  <si>
    <t>---------------------------IDG-IKDI-------------IQNYLDNIR---</t>
  </si>
  <si>
    <t>---------------SYEVD----------------------------------------</t>
  </si>
  <si>
    <t>--IDDLIITA-SLA----------------------------------------------</t>
  </si>
  <si>
    <t>------------------------------------------K--SYKN-EN--------</t>
  </si>
  <si>
    <t>----------------------------LPHVFLANKLRQRK---EEVQ------VGD--</t>
  </si>
  <si>
    <t>------------------------RIPYVF------------IEDS--------------</t>
  </si>
  <si>
    <t>--------------TNSTKKF-------------------ERAED---------PKYA--</t>
  </si>
  <si>
    <t>---------KEHN------------------------LKVD-------------RLS---</t>
  </si>
  <si>
    <t>------YL------D------------------QVVKPILGLLKI---------------</t>
  </si>
  <si>
    <t>--VLKK------------------------------------------------------</t>
  </si>
  <si>
    <t>--------------------------------------------HPREYNFVL-------</t>
  </si>
  <si>
    <t>------------------DKI---------------------------------------</t>
  </si>
  <si>
    <t>---------------------------------NET------------------------</t>
  </si>
  <si>
    <t>----------------------------------------------FVLCHGK-------</t>
  </si>
  <si>
    <t>--PLREKDL---------------------------------------------------</t>
  </si>
  <si>
    <t>--------------------LEVDEL---------------------</t>
  </si>
  <si>
    <t>-----------I---YKKI--K------------Y---------------T---------</t>
  </si>
  <si>
    <t>------------EMNKYYCNTVN----EAELI----------------------------</t>
  </si>
  <si>
    <t>--------------------------YSILTESH--------------------------</t>
  </si>
  <si>
    <t>--------------------------------------------------------PDK-</t>
  </si>
  <si>
    <t>-------KTNITYN-Y--------------------------------------------</t>
  </si>
  <si>
    <t>---NDK------------TYTITLTDQTIS-K----------------------------</t>
  </si>
  <si>
    <t>--------------------------------NEE-VAVDIPVD----------LNI---</t>
  </si>
  <si>
    <t>--------------EIVYGDS---------------------------------------</t>
  </si>
  <si>
    <t>---------------------VSED-TPL--------IL-KDMYSDR-IFI---------</t>
  </si>
  <si>
    <t>-------------------------SDFKS-----------I------------------</t>
  </si>
  <si>
    <t>K-DYPNF-----KILD----------------KDIP------------------------</t>
  </si>
  <si>
    <t>LEKQYSEYP---------------------------------------------------</t>
  </si>
  <si>
    <t>---------------------------------YEVW-----------------------</t>
  </si>
  <si>
    <t>K------------------------TEKKL-------YSVHTDN---------------G</t>
  </si>
  <si>
    <t>CVQ---------------------------------------------------------</t>
  </si>
  <si>
    <t>---------------VTED-----------------------------HSLLTTD-----</t>
  </si>
  <si>
    <t>-------------------------------------------LVK--------------</t>
  </si>
  <si>
    <t>-IKPINTTSTT-------------------------------------------------</t>
  </si>
  <si>
    <t>-------------DL---------------------------------------------</t>
  </si>
  <si>
    <t>WYL--------------------NHPLKPWFSF---------------------------</t>
  </si>
  <si>
    <t>-------------------------TS-YKMLW---------------------------</t>
  </si>
  <si>
    <t>-EHLY-------------------PEQEFK------------------------------</t>
  </si>
  <si>
    <t>------------ITNN---------------DLHLT-----G--------DIELDTEFF-</t>
  </si>
  <si>
    <t>---------------EEY------------------------------------------</t>
  </si>
  <si>
    <t>---------------------------------------------ES-------------</t>
  </si>
  <si>
    <t>----------------------------------QFYK----------------------</t>
  </si>
  <si>
    <t>----NGEKVVPDYILNSDVNTIEIFI----------------------------------</t>
  </si>
  <si>
    <t>------------------------------------------------------SGV---</t>
  </si>
  <si>
    <t>-WL------------------S----------------------------KC-LRDH---</t>
  </si>
  <si>
    <t>-----------------TGNF-----IIQT--------TGK-------------------</t>
  </si>
  <si>
    <t>--------------LAC-------------------------------------------</t>
  </si>
  <si>
    <t>-----------QGMYFLLKKCNYNVV-----VESFPNKQ-VFNI-IYSR-----------</t>
  </si>
  <si>
    <t>-------------------------QNIIEPNCKINKI----------------------</t>
  </si>
  <si>
    <t>-------------QEIEMNKSN--------------------------------------</t>
  </si>
  <si>
    <t>------------------WVYDIETE----------------------------------</t>
  </si>
  <si>
    <t>---------------------------KFSFNRND-------------------------</t>
  </si>
  <si>
    <t>ATVC---------GEKLTNEIFNR-----------------PPIE---------------</t>
  </si>
  <si>
    <t>KKYD-------------NLKNPFDLSGVDAKG-------IALTRRDYCKMVKMC-YRSII</t>
  </si>
  <si>
    <t>DSIMD---------NEIKD-----PEKR--------------------------------</t>
  </si>
  <si>
    <t>---------------------------INN-SIFI-------------FKKYISDIE---</t>
  </si>
  <si>
    <t>---------------NWRVE----------------------------------------</t>
  </si>
  <si>
    <t>--IDNLVVSA-MLA----------------------------------------------</t>
  </si>
  <si>
    <t>------------------------------------------K--EYKT-DN--------</t>
  </si>
  <si>
    <t>----------------------------LPHVVLSKKLKARK---EEVQ------VGD--</t>
  </si>
  <si>
    <t>------------------------RIPYIF------------IEGN--------------</t>
  </si>
  <si>
    <t>--------------MKKQKKS-------------------ELAED---------PAYA--</t>
  </si>
  <si>
    <t>---------VKNK------------------------LKFN-------------RVC---</t>
  </si>
  <si>
    <t>------YL------E------------------QLAKPILGFYKI---------------</t>
  </si>
  <si>
    <t>--VLKS------------------------------------------------------</t>
  </si>
  <si>
    <t>--------------------------------------------EKERMDDLI-------</t>
  </si>
  <si>
    <t>------------------RYV---------------------------------------</t>
  </si>
  <si>
    <t>---------------------------------NEK------------------------</t>
  </si>
  <si>
    <t>----------------------------------------------LINFGGS-------</t>
  </si>
  <si>
    <t>--KLSAGE----------------------------------------------------</t>
  </si>
  <si>
    <t>--------------------FKVE-----------------------</t>
  </si>
  <si>
    <t>----------------------TGD-TPV--------FV-RDPATNM-VNI---------</t>
  </si>
  <si>
    <t>-------------------------VPIEE-----------L------------------</t>
  </si>
  <si>
    <t>G-SYEEF-----KPWD----------------TNRR------------------------</t>
  </si>
  <si>
    <t>-EKQQTNVN---------------------------------------------------</t>
  </si>
  <si>
    <t>---------------------------------LEVW-----------------------</t>
  </si>
  <si>
    <t>K------------------------VAKRI-------FRVNTHI---------------G</t>
  </si>
  <si>
    <t>CVD---------------------------------------------------------</t>
  </si>
  <si>
    <t>---------------VTED-----------------------------HSLLDPA-----</t>
  </si>
  <si>
    <t>-------------------------------------------GNK--------------</t>
  </si>
  <si>
    <t>-VKPTEVKVGS-------------------------------------------------</t>
  </si>
  <si>
    <t>----------YHA-----------------------------------------------</t>
  </si>
  <si>
    <t>-E--L-------------------PQCE--------------------------------</t>
  </si>
  <si>
    <t>-------------TDK---------------TLTIL-----D--------AQELGKQSF-</t>
  </si>
  <si>
    <t>----------------------------------------------M-------------</t>
  </si>
  <si>
    <t>----------------------------------EFDK----------------------</t>
  </si>
  <si>
    <t>----STIKS----LLNSPIQIKKAFL----------------------------------</t>
  </si>
  <si>
    <t>------------------------------------------------------YS----</t>
  </si>
  <si>
    <t>-----------------------------------------------------MMGI---</t>
  </si>
  <si>
    <t>-----------------GGT-------VQT--------SNK-------------------</t>
  </si>
  <si>
    <t>--------------LRA-------------------------------------------</t>
  </si>
  <si>
    <t>-----------QQMYYLMSSCGLPV--------CVNERDGTYTVGTMHK-----------</t>
  </si>
  <si>
    <t>-------------------------ANHTEWITNIKKL----------------------</t>
  </si>
  <si>
    <t>-------------KHIKDNKDE--------------------------------------</t>
  </si>
  <si>
    <t>-----------------EGAFGAGIG----C--MIL---------SNTDSV--------M</t>
  </si>
  <si>
    <t>---------------------------KYP------------------------------</t>
  </si>
  <si>
    <t>Q-------------PKHIQEARLR-----------------ESIECAV--------MVEN</t>
  </si>
  <si>
    <t>RMGELLPWPH------CLEYEK-TFYPYFL----------Y-SKKRYS-----------G</t>
  </si>
  <si>
    <t>VLYEY------------DVTKP---KYTDNKG-------NVLTRRDNAPIVKTV-FGGTL</t>
  </si>
  <si>
    <t>KILME--------------------QHD--------------------------------</t>
  </si>
  <si>
    <t>---------------------------VDA-SVKF-------------VKDSIMAMT---</t>
  </si>
  <si>
    <t>---------------KNKFD----------------------------------------</t>
  </si>
  <si>
    <t>--SEQFIVTK-KLK----------------------------------------------</t>
  </si>
  <si>
    <t>------------------------------------------DRASYKNPTQ--------</t>
  </si>
  <si>
    <t>----------------------------IAHRVLADRMIERD-AGSAPQ------NNT--</t>
  </si>
  <si>
    <t>------------------------RMQFAY------------VDID--------------</t>
  </si>
  <si>
    <t>--------------KKKQKKIIRGYKARGI--AGQKLLQGDRIED---------PDYI--</t>
  </si>
  <si>
    <t>---------KVNN------------------------LKFD-------------YLF---</t>
  </si>
  <si>
    <t>------YV-----TN------------------QIQKPVCQLLSL---------------</t>
  </si>
  <si>
    <t>--FMQKPEIKV--------FKPLISQIKASSAGLRSITDFFG-----AM-PAAKA-----</t>
  </si>
  <si>
    <t>-PKSTSKSKKTVKAITLPKKPVGKSTGKPVGKASKKTT----------------------</t>
  </si>
  <si>
    <t>--------------------------------------KTAKTVKPKKTTKTIK------</t>
  </si>
  <si>
    <t>IKKTIK-----------PDKV---------------------------------------</t>
  </si>
  <si>
    <t>---------------------------------NKTNY----------------------</t>
  </si>
  <si>
    <t>--------------------------------------------------VYLELGF---</t>
  </si>
  <si>
    <t>A--IK-IKKSD-------------------------------------------------</t>
  </si>
  <si>
    <t>YEKVKRGDMEMNVKF----FFRGG------------------------------NTRPTS</t>
  </si>
  <si>
    <t>VKIMDD------DDSENDDCFSLEEIIGTWEE---------------</t>
  </si>
  <si>
    <t>-----------IM------------------------------TDKQLRDKLKNL-----</t>
  </si>
  <si>
    <t>-----------F---DTQV--V------------V---------------R---------</t>
  </si>
  <si>
    <t>------------RVGKDRIKVVD----MSKLQS---------------------------</t>
  </si>
  <si>
    <t>GGTARQSKYGGSFSGMH---------TSRMRGYS--------------------------</t>
  </si>
  <si>
    <t>--------------------------------------------------------PHN-</t>
  </si>
  <si>
    <t>-------Q---TLN-F--------------------------------------------</t>
  </si>
  <si>
    <t>---HSS------------KLQL-FTDYEAM-D----------------------------</t>
  </si>
  <si>
    <t>--------------------------------TDP-I-INSALD----------------</t>
  </si>
  <si>
    <t>----------------IYSDE---------------------------------------</t>
  </si>
  <si>
    <t>------------PDGDILK-IKSED-DNIK------KIL-RNLYYDI-LNIDYNL-----</t>
  </si>
  <si>
    <t>------------------------WSWIRN-----------M------------------</t>
  </si>
  <si>
    <t>G-DFYLF-----LDIE----------------KNIGVKNV-I-PLSP--------YDMRR</t>
  </si>
  <si>
    <t>VEGQNIVNP---------------------------------------------------</t>
  </si>
  <si>
    <t>---------------------------------YEVF-----------------------</t>
  </si>
  <si>
    <t>R------------------------NEKRLENYEIAHFRLLTDT---------------N</t>
  </si>
  <si>
    <t>FLPYG------------------------------------RSQIE--------------</t>
  </si>
  <si>
    <t>--------------------------------------------------GAR-------</t>
  </si>
  <si>
    <t>----------------------------KLFKV------------------L--------</t>
  </si>
  <si>
    <t>--------------VLMEDAM-----------------LIHRITRAPERRLFKID-----</t>
  </si>
  <si>
    <t>-------------------------------------------VGN--------------</t>
  </si>
  <si>
    <t>-IPPKDVDAYMN------------------------------------------------</t>
  </si>
  <si>
    <t>YNK--------------------KYNVQ--------------------------------</t>
  </si>
  <si>
    <t>-----------------------------NMM----------------------------</t>
  </si>
  <si>
    <t>-EDFY-------------------LPVRGK------------------------------</t>
  </si>
  <si>
    <t>------------ETGT---------------DISTL-----P--------G--MGSDGF-</t>
  </si>
  <si>
    <t>---------------ID-------------------------------------------</t>
  </si>
  <si>
    <t>---------------------------------------------DV-------------</t>
  </si>
  <si>
    <t>----------------------------------EYMK----------------------</t>
  </si>
  <si>
    <t>----E--------RMMAALKIPKAWI----------------------------------</t>
  </si>
  <si>
    <t>------------------------------------------------------GY----</t>
  </si>
  <si>
    <t>-----------------------------------------------------DKGV---</t>
  </si>
  <si>
    <t>-----------------EGK------CISP--------DTE-------------------</t>
  </si>
  <si>
    <t>--------------I---------------------------------------------</t>
  </si>
  <si>
    <t>---------------------------------PLLSGE-TKTV----------------</t>
  </si>
  <si>
    <t>----------------------------------SDLI----------------------</t>
  </si>
  <si>
    <t>-------------VDFDNGVKN--------------------------------------</t>
  </si>
  <si>
    <t>------------------YVYSLDEE----------------------------------</t>
  </si>
  <si>
    <t>---------------------------EWA------------------------------</t>
  </si>
  <si>
    <t>-----GYTRLDA----------------------------------EVV----------R</t>
  </si>
  <si>
    <t>VWLD---------NEKY--------------------------IDCT----------PDH</t>
  </si>
  <si>
    <t>R---------------------------FL----------L-RDGTWI-----------E</t>
  </si>
  <si>
    <t>AQYL----------------KP-------------------------------------E</t>
  </si>
  <si>
    <t>DSLMP---------YD---------NLE--------------------------------</t>
  </si>
  <si>
    <t>---------------------------IGG-KNFL-------------VNR--VEVF---</t>
  </si>
  <si>
    <t>---------------SERID----------------------------------------</t>
  </si>
  <si>
    <t>--TCDLTIS---------------------------------------------------</t>
  </si>
  <si>
    <t>---------------------------------------------KYHNFGT--------</t>
  </si>
  <si>
    <t>----------------------------SAGVIIHNSVLAAE-DIRFAR------TIE--</t>
  </si>
  <si>
    <t>------------------------RLQKIA------------V-----------------</t>
  </si>
  <si>
    <t>---------------SELKKI-------GI----------VHLFT---------QGYT--</t>
  </si>
  <si>
    <t>---------DESL------------------------IKFE-------------------</t>
  </si>
  <si>
    <t>--------------L------------------ELNSP-----SI---------------</t>
  </si>
  <si>
    <t>--VYKRQQVD------------LMSEQMALAQNMMDSNMF--------------------</t>
  </si>
  <si>
    <t>-------------------------SMRYIYENIFDLS----------------------</t>
  </si>
  <si>
    <t>--------------------------------------TIEWAVMKDELTQDLR------</t>
  </si>
  <si>
    <t>------------------DKFRF-------------------------------------</t>
  </si>
  <si>
    <t>--------------------------AQIETEGNDPEL----------------------</t>
  </si>
  <si>
    <t>--------------------------------------------------SGMSFG----</t>
  </si>
  <si>
    <t>-------------------TPHD-----------------------LLSMQMASKQDPG-</t>
  </si>
  <si>
    <t>--------KPDG------------------------------------------------</t>
  </si>
  <si>
    <t>NPPGEAEEM------------RG---------------------------------RPKK</t>
  </si>
  <si>
    <t>LGTF----------GTHDDTMGRDPV-GD------------------</t>
  </si>
  <si>
    <t>---------------------------------------IS-------------------</t>
  </si>
  <si>
    <t>--------------------------------------------HSVR------------</t>
  </si>
  <si>
    <t>------------------KAQAINSDIKKW-S----L-------------KYIT------</t>
  </si>
  <si>
    <t>--------DYS-------------------------------------------------</t>
  </si>
  <si>
    <t>--------------GV--------------AKKNR-V-----------------------</t>
  </si>
  <si>
    <t>-----------Y-----------------V------------------------------</t>
  </si>
  <si>
    <t>------------PGNELHSIWSDTR-DYWFN----------------DENGSWGLLE---</t>
  </si>
  <si>
    <t>-----------KLSED--------------------------------------------</t>
  </si>
  <si>
    <t>-------------------------------------ERVSLP-----------------</t>
  </si>
  <si>
    <t>----------------------------DH--------L---------------------</t>
  </si>
  <si>
    <t>-----------------------------------------DYIVQ--------------</t>
  </si>
  <si>
    <t>--------------YLLDDLW---------ETEQ----VDGIYNQA--AYLVAKL-----</t>
  </si>
  <si>
    <t>----------LPTSYMRSSTMGTAGQWKLIMAAWSYE-------NYL-------------</t>
  </si>
  <si>
    <t>-AVPDLEPKRD-------------------------------------------------</t>
  </si>
  <si>
    <t>A-----------------------KNVD-KFDF---------------------------</t>
  </si>
  <si>
    <t>-AALY-------------------PKTQLT------------------------------</t>
  </si>
  <si>
    <t>----------------------------WD---------IFP------------------</t>
  </si>
  <si>
    <t>-----------------SL---------DIS-----------------------------</t>
  </si>
  <si>
    <t>-------GVMKG-LLTYIVDKRDEFK--------------FLTG----------------</t>
  </si>
  <si>
    <t>---KHKSEAKRLQ------SLLDKNRDKLSPERIAKAEM----MIN--------KEK---</t>
  </si>
  <si>
    <t>---RLAS--------------D--------------------------------------</t>
  </si>
  <si>
    <t>-----------------YDK-------KQL--------PLK-------------------</t>
  </si>
  <si>
    <t>--------------ILA-------------------------------------------</t>
  </si>
  <si>
    <t>-----------NSFFGAYGAPY---------LFNWGDSNCAEETTCRGR-----------</t>
  </si>
  <si>
    <t>-------------------------QSLRLMVRVFKE-----------------------</t>
  </si>
  <si>
    <t>---------------DF-------------------------------------------</t>
  </si>
  <si>
    <t>------------GFKPLVGD----------------------------------------</t>
  </si>
  <si>
    <t>A--------RP-------------------------------------------------</t>
  </si>
  <si>
    <t>-DSVN----------------------DYIYVAKGS------------------------</t>
  </si>
  <si>
    <t>EAVL-----------AYFNETYME------------------------------------</t>
  </si>
  <si>
    <t>-------------GRMGLDLDD-VCDSTIN----------F-SRKNYA-NLIDGK-----</t>
  </si>
  <si>
    <t>RLLLD---------NK-----G----YE--------------------------------</t>
  </si>
  <si>
    <t>-------------------------------FIEL-------------YHKYVEDIY---</t>
  </si>
  <si>
    <t>---------------NYRVPVA--------------------------------------</t>
  </si>
  <si>
    <t>-KIASKSKVKMTRK----------------------------------------------</t>
  </si>
  <si>
    <t>-----GN-----------------FKSRQAHMELAEVHDLNVNLGDIIY-Y--VNTGT--</t>
  </si>
  <si>
    <t>---------------------------------AKS--HSD-------------------</t>
  </si>
  <si>
    <t>---IKAIRNKENG--------------SVDIKFNCKLLPIEEI---ENNPDFTSDEY---</t>
  </si>
  <si>
    <t>--NVAKYL-----DN----------------FNKRIKPLLVCFDPE--------------</t>
  </si>
  <si>
    <t>RNVYKDKKTK--------------------------------------------------</t>
  </si>
  <si>
    <t>--------VLKLEDK-------------------------------------------N-</t>
  </si>
  <si>
    <t>---VFT--------KKDCELVA-----GK-----------------PFE-----------</t>
  </si>
  <si>
    <t>-------------------------------ESDQDDY----------------------</t>
  </si>
  <si>
    <t>-----------------------------------YEDLMKM--------EDKEIRFWD-</t>
  </si>
  <si>
    <t>--------RRESDLL---------------------------------------------</t>
  </si>
  <si>
    <t>-------------------------DNIFKLL------------------D---------</t>
  </si>
  <si>
    <t>SKGKLPKEFNFVDVVDIDGVFYFVSKSWGVILDKF------------</t>
  </si>
  <si>
    <t>AIK-----ETYA---LIKELDP---D--------------IVLGYN----S---------</t>
  </si>
  <si>
    <t>EN----------------------------------------------------------</t>
  </si>
  <si>
    <t>-------------------------------------------F----------------</t>
  </si>
  <si>
    <t>---------DWPYLEKR---------YSILTEKESID-----------------------</t>
  </si>
  <si>
    <t>-----------------------------------------------EAYDDIRDILF--</t>
  </si>
  <si>
    <t>----------------EEELGVFKW----------------------NV---YNK-RNS-</t>
  </si>
  <si>
    <t>R-----------------DSLSLKWNVKHE--------------------KI--------</t>
  </si>
  <si>
    <t>------------------------------NKKNR-V-----------------------</t>
  </si>
  <si>
    <t>ETQDYYYKNNRVKRDE-NG-----------------------------------------</t>
  </si>
  <si>
    <t>-----------------------------------------V------------------</t>
  </si>
  <si>
    <t>-------------------------------------KYYGNKSKLYINTTNGPDN----</t>
  </si>
  <si>
    <t>IPKKRFGIEYKGTE----------------------------------------------</t>
  </si>
  <si>
    <t>GQNFKNLNKV----------------------Y---------------------------</t>
  </si>
  <si>
    <t>-------------------------SHLD-------------------------------</t>
  </si>
  <si>
    <t>-----------------------------------------KYIIE--------------</t>
  </si>
  <si>
    <t>--------------YLLDDLW---------ET----------------VKLFEKT-----</t>
  </si>
  <si>
    <t>GQSSYMLGSWVMIGAQRVYTMGYASMWKIIITCWFYHK------GL--------------</t>
  </si>
  <si>
    <t>-GVPD-------------------------------------------------------</t>
  </si>
  <si>
    <t>S-----------------------KNVV-KYDA---------------------------</t>
  </si>
  <si>
    <t>-SSLY-------------------PSVKLAY-----------------------------</t>
  </si>
  <si>
    <t>---------L-------------------------------PA-----------------</t>
  </si>
  <si>
    <t>---------------PAW------------------------------------------</t>
  </si>
  <si>
    <t>----------------------------DIM-----------------------------</t>
  </si>
  <si>
    <t>-------GITDG-LLNHFLSTRLKYK--------------ALKGKFY-------------</t>
  </si>
  <si>
    <t>-----------------FEK-------SKLYG--ILEQPLK-------------------</t>
  </si>
  <si>
    <t>--------------IFI-------------------------------------------</t>
  </si>
  <si>
    <t>-----------NSYYGFLGAWT---------VSPFSDTLTAHGITAISR-----------</t>
  </si>
  <si>
    <t>-------------------------QVARHMIMWFEK-----------------------</t>
  </si>
  <si>
    <t>-------------R----------------------------------------------</t>
  </si>
  <si>
    <t>------------GFKAIYSH----------------------------------------</t>
  </si>
  <si>
    <t>I--------FP-------------------------------------------------</t>
  </si>
  <si>
    <t>-DNVD----------------------TYEYIGKGINW----------------------</t>
  </si>
  <si>
    <t>EAYV-----------SQYNDDFME------------------------------------</t>
  </si>
  <si>
    <t>-------------DKMGIDIDG-IDYACIN----------I-AKSNVV-HLKITK-----</t>
  </si>
  <si>
    <t>KPLLL---------GE-----G----KEY-------------------------------</t>
  </si>
  <si>
    <t>------------------------------------------------IKEYIYYLQ---</t>
  </si>
  <si>
    <t>----KIN--------NKDIK---------------------------------GV-----</t>
  </si>
  <si>
    <t>-DIADFVKIK-TLK----------------------------------------------</t>
  </si>
  <si>
    <t>---------------------------------------------EYDTEYK--------</t>
  </si>
  <si>
    <t>FDFKEDKDKIGMFLVEPFNRDAVAKLENVLNEFDRET-----VKEKILKASSTNISLSNY</t>
  </si>
  <si>
    <t>SKPDDTLEEKAFIFSKKRMSINEMYEM-GYDDLAKK--HEDDLEDHDQQKMYEKTFYIDE</t>
  </si>
  <si>
    <t>IEDWDSIKIKRNTHKKYGLCL---EVYMVNDRLNITNLPVDEH---EDK-----VDY---</t>
  </si>
  <si>
    <t>--NVKKYI-----EQ----------------FYKAIEPLHLVFNNE--------------</t>
  </si>
  <si>
    <t>KDGIKKRSEK--------------------------------------------------</t>
  </si>
  <si>
    <t>E-------------------------------------------STDELINEID------</t>
  </si>
  <si>
    <t>-----------------CNMIN-----GI-----------------PLEG----------</t>
  </si>
  <si>
    <t>------------------------------KEDNQQDK----------------------</t>
  </si>
  <si>
    <t>------------------------------------DKIMNI--------DPVEYTYW--</t>
  </si>
  <si>
    <t>--------NQEKQYI---------------------------------------------</t>
  </si>
  <si>
    <t>--------------------YDNECDNPFAVC------------------NRIG------</t>
  </si>
  <si>
    <t>FKAA-------------------------------------------</t>
  </si>
  <si>
    <t>--------------L---------------------------------------------</t>
  </si>
  <si>
    <t>-----------------------------------------------KIVV---------</t>
  </si>
  <si>
    <t>-------------------------------------MN---------------------</t>
  </si>
  <si>
    <t>----------------------------------------IIEKKYVAV-----------</t>
  </si>
  <si>
    <t>-------RSKESAKQMLDY------------------------------------IES--</t>
  </si>
  <si>
    <t>-------------------------------------------NELLAYDVEAT------</t>
  </si>
  <si>
    <t>--------------------------------EKIIGFSVSANSGEGYYLPTKVYNVE--</t>
  </si>
  <si>
    <t>--------QDHLEDLYIEG-------------------------------Q---------</t>
  </si>
  <si>
    <t>------------LAEDLAKFLVGKLVGKKL------C------MH-NGVY----------</t>
  </si>
  <si>
    <t>----DCEI-------------------TKNYYGVSLIESL---Y----------------</t>
  </si>
  <si>
    <t>---------IETMLLVHTLAEEGAFGYGSPFALKSIA-KWKQEEFKLDAE----------</t>
  </si>
  <si>
    <t>GAS--DTDLTIRIVE-----------HFL--PKLKEENLW-------DFFF-----EQEV</t>
  </si>
  <si>
    <t>MPV------------Y----------R------------------QLTYPLVTRGVRVDE</t>
  </si>
  <si>
    <t>DKFPYKVWDEE-------------------------------------------------</t>
  </si>
  <si>
    <t>------------------------------KEEHK-I-----------KN----------</t>
  </si>
  <si>
    <t>-----------------KGKNAQEAINRYFSLKGGECP----------------------</t>
  </si>
  <si>
    <t>--LP------PHP-----------------------------------------------</t>
  </si>
  <si>
    <t>EDGDMEPLETLEENFF------------------------------------VQCSIN--</t>
  </si>
  <si>
    <t>------------------------LWKDSNDGYIK-------------------------</t>
  </si>
  <si>
    <t>IKSGYFDRIYDNLE----------------------------------------------</t>
  </si>
  <si>
    <t>GRYY---------------------------------F----N-----------------</t>
  </si>
  <si>
    <t>RYGS---------------------DAQQF-------PRPMEE----------------G</t>
  </si>
  <si>
    <t>-DDEPIVIKYS--N-------------------------EVRALFIPD------------</t>
  </si>
  <si>
    <t>KNRTYSRIKNVEVGDWVYSNNPNKPFVAITNKWKSTKK----------------------</t>
  </si>
  <si>
    <t>-VLEIITKKGVLR-----------------------------------------------</t>
  </si>
  <si>
    <t>TTA---------------------KEII-KGDIL--------------------------</t>
  </si>
  <si>
    <t>---------------------------EENKMD---------------------------</t>
  </si>
  <si>
    <t>----SCISFVNE------------------------------------------------</t>
  </si>
  <si>
    <t>-VPLYTKK----------------PTSINDYPLGFIPLT---------------------</t>
  </si>
  <si>
    <t>KTS------------VEL------------------------------------------</t>
  </si>
  <si>
    <t>--------------------------------IG----------LKP-------------</t>
  </si>
  <si>
    <t>-------------TT-------------------RFKE-----FFQS-------------</t>
  </si>
  <si>
    <t>-M------------------GYNVNDY---------PDLRSEDLTRVR------------</t>
  </si>
  <si>
    <t>VHDAELKSIFKN--SFNLVDSKGKKKL-------------FVPDIIF-------------</t>
  </si>
  <si>
    <t>----------------NT------------------------------------DES---</t>
  </si>
  <si>
    <t>---------------------N--------------------------KLSF-LAGLI--</t>
  </si>
  <si>
    <t>------------DTDGTYNSS-----KSDL----FI--SSK-------------------</t>
  </si>
  <si>
    <t>-------------------------------S-------------ASFL-----------</t>
  </si>
  <si>
    <t>------------------------------AE----------------------------</t>
  </si>
  <si>
    <t>--------------VLT-------------------------LC----------------</t>
  </si>
  <si>
    <t>-----------NSL---------GLDPRL---------GVAHKRNSNGK-----------</t>
  </si>
  <si>
    <t>--------------------VTHRVYQLRFTSISTNKLYDLGI-----------------</t>
  </si>
  <si>
    <t>---------------ND-------------------------------------------</t>
  </si>
  <si>
    <t>--------FLTTERKKIEGSRH--------------------------------------</t>
  </si>
  <si>
    <t>VVL---------------------------------------------------------</t>
  </si>
  <si>
    <t>-----------------EVVERGGA-----------------------------------</t>
  </si>
  <si>
    <t>------------------TMYDIE------------------------------------</t>
  </si>
  <si>
    <t>CDNLRVHN-------------------CFSAVANDP------------------------</t>
  </si>
  <si>
    <t>ATEKLEGVS----ADKKADNYLKK-------------------LD---------------</t>
  </si>
  <si>
    <t>--------PNKR------------------------Q-----RAKAYC------------</t>
  </si>
  <si>
    <t>DLVLT---------SS--------------------------------------------</t>
  </si>
  <si>
    <t>-----------------G--------YYNKVINTFKRRAKTCL-----LKTDISDIR---</t>
  </si>
  <si>
    <t>------------CTLDHKFY----------------------------------------</t>
  </si>
  <si>
    <t>-VDGDWVEAK-DLT-I--------G-----------------------------------</t>
  </si>
  <si>
    <t>-----------------------------CYFK------------SYYNSNK-----NP-</t>
  </si>
  <si>
    <t>FYAN------GILV------HNCLGIPYGMGAYA--------LSKSLEI-----------</t>
  </si>
  <si>
    <t>--------------------------------------KQKEAQS-------LIDQYL--</t>
  </si>
  <si>
    <t>NG----YI-----KN--KVGRIRHLNNLKRVCDAFGNMAEQLLDYN--------------</t>
  </si>
  <si>
    <t>KELSRKYPEE----------------------------------------QVMSA-----</t>
  </si>
  <si>
    <t>----YRDYKNGL----------------------------------------------N-</t>
  </si>
  <si>
    <t>NAKNFQI------QSLAASVVN----------------------------RAGLGV----</t>
  </si>
  <si>
    <t>------------------------------MREFKKEGI---------------------</t>
  </si>
  <si>
    <t>--------------------------------------------------DGYPVAQIH-</t>
  </si>
  <si>
    <t>DQ--------------------------------------W-----IFGVPKEQKQRAFE</t>
  </si>
  <si>
    <t>I--VQYVMENETDVG---------------------------------------IP----</t>
  </si>
  <si>
    <t>---------L-------------KAPPEFAYNW---------------------------</t>
  </si>
  <si>
    <t>---------------------RDGH-----------------------------------</t>
  </si>
  <si>
    <t>SGKCQGRDTPIL---MHDG-------------------------------S---------</t>
  </si>
  <si>
    <t>------------------IKMIQDIQVGDQLMG------------------------D--</t>
  </si>
  <si>
    <t>----DSGK------RTV---------ISTTKGQS--------------------------</t>
  </si>
  <si>
    <t>---P----------------------------------MFQISPVKGDPYTANG------</t>
  </si>
  <si>
    <t>--------PHVLALK-VSNYEMVWW----------------------------DTNRDR-</t>
  </si>
  <si>
    <t>---------------W-----------------------------RIR------------</t>
  </si>
  <si>
    <t>-WIQNF------------EIKEKSYSVKTYES-----KELAKE----AAEKFLQNEV---</t>
  </si>
  <si>
    <t>---PKLQGYQAY------------------------------------------------</t>
  </si>
  <si>
    <t>--------------------------------GDV---VHISVE---------DYLK---</t>
  </si>
  <si>
    <t>----------------LPGRVQDVFKGYSTGVEFSKK-----------------------</t>
  </si>
  <si>
    <t>--------------------------DTSIEPYAVGYW----------------------</t>
  </si>
  <si>
    <t>---LGD---GTTHGTEITT-ADSEV------VKYFIDYA-DRLNLEFKKKG---------</t>
  </si>
  <si>
    <t>---NSKYTYNMTTGT---------------------------------------------</t>
  </si>
  <si>
    <t>------------------------------------------------------NN----</t>
  </si>
  <si>
    <t>--GGPGR----NPFLN---------------------------ALKD--------YDL--</t>
  </si>
  <si>
    <t>--------------------------------------I---------------------</t>
  </si>
  <si>
    <t>-------------------------GNKHI----PTEFKCNSRIR---------------</t>
  </si>
  <si>
    <t>-----------------------------------------RLQIL--------------</t>
  </si>
  <si>
    <t>DICYLA------------RSLGLAAYSKQVQKTCTN------------------------</t>
  </si>
  <si>
    <t>YYRV-------TFYGDGI------DQIPVLLNR---------------------------</t>
  </si>
  <si>
    <t>---------------------------------KKAQ-----------------------</t>
  </si>
  <si>
    <t>-TRVS-------------------PRNALVHGIKISKLSE--------------------</t>
  </si>
  <si>
    <t>--------------DD------------YF--------------------GFELDGN---</t>
  </si>
  <si>
    <t>---------------SRY------------------------------------------</t>
  </si>
  <si>
    <t>--------------------------------------------------------L---</t>
  </si>
  <si>
    <t>--------------------------------MG--------------------------</t>
  </si>
  <si>
    <t>----------------------------------DFTV----------------------</t>
  </si>
  <si>
    <t>------------------------------------THNSTTTGHLI-------------</t>
  </si>
  <si>
    <t>---FQLGGMTPR--------EREKLQ----------------------------------</t>
  </si>
  <si>
    <t>------------------------------------------------------QEA---</t>
  </si>
  <si>
    <t>---------------------D-------------ALGKG----------SF-AFAFL--</t>
  </si>
  <si>
    <t>-----------------MDKQ-----AEERARGITITCATK-------------------</t>
  </si>
  <si>
    <t>----------------------------------------------EFH-----------</t>
  </si>
  <si>
    <t>------------------------------TESK--------------------------</t>
  </si>
  <si>
    <t>-------------------------------------------------------HY---</t>
  </si>
  <si>
    <t>------------TIIDA------------P----GHR-DFIK------------------</t>
  </si>
  <si>
    <t>-----------NMISGASQADV----------AVLLVPADGNFTTSLAK-----------</t>
  </si>
  <si>
    <t>--------------GNH-------------------------------------------</t>
  </si>
  <si>
    <t>------------KAGEVQGQTR--------------------------------------</t>
  </si>
  <si>
    <t>LLL-----------------NLL-------------------------------------</t>
  </si>
  <si>
    <t>SQE---------------------------------------------------------</t>
  </si>
  <si>
    <t>---------------------------RYEEVKREM------------------------</t>
  </si>
  <si>
    <t>GWKK-----------KFIEESVPI------------------------------------</t>
  </si>
  <si>
    <t>DAFEKLVCVPP-RPNDKAMRTP-ISQVLKIKGVGD----VLTGRVEQGRLKPG------T</t>
  </si>
  <si>
    <t>EVVF-----LPTHTSS-------TPCQG----------KVF-------------------</t>
  </si>
  <si>
    <t>NVGMNIKGLD-----KGNMP----------------------------------------</t>
  </si>
  <si>
    <t>-RPGDVMVAK-TDKTV--------G-----------------------------------</t>
  </si>
  <si>
    <t>------------------------------CTK------------SFTIQVQ--------</t>
  </si>
  <si>
    <t>-V--------------------------LDH------------------------PGE--</t>
  </si>
  <si>
    <t>-----------------------LKVGYCP---------IGFVRTGRSA-----------</t>
  </si>
  <si>
    <t>-----------IRMTKINWKM------------GKET-GMVKMEN---------PPFI--</t>
  </si>
  <si>
    <t>---------KKGEMAE---------------------LEFE-------------------</t>
  </si>
  <si>
    <t>--PQSPFVVDTF-KNC--------------------------------------------</t>
  </si>
  <si>
    <t>---------E--------------------------------------------------</t>
  </si>
  <si>
    <t>----------------------------------------------------G-------</t>
  </si>
  <si>
    <t>RMAILE-----------GNGVVML------------------------------------</t>
  </si>
  <si>
    <t>----------------------G-------------------------------------</t>
  </si>
  <si>
    <t>-----------------------------------------------------KV-----</t>
  </si>
  <si>
    <t>-------------------T------------------------NVVFKE----------</t>
  </si>
  <si>
    <t>-----------------------------------------------GINI---------</t>
  </si>
  <si>
    <t>-------------------------------------MK---------------------</t>
  </si>
  <si>
    <t>-------------------------------------------SSNAITCMIGAC-----</t>
  </si>
  <si>
    <t>------LTSAFLA--------P----------------------------S---------</t>
  </si>
  <si>
    <t>---------SLGLMSLLCV-------LPRARAQNH------------DDT----------</t>
  </si>
  <si>
    <t>------------------------W------VSLQQGEVG-------------ES-----</t>
  </si>
  <si>
    <t>---------------Y-----------------------------SLT------------</t>
  </si>
  <si>
    <t>-------------------------------S---------AAIT---------------</t>
  </si>
  <si>
    <t>---PDG------------------------------------------------------</t>
  </si>
  <si>
    <t>-----------------------------S------------------------------</t>
  </si>
  <si>
    <t>------------------------------------I-VSSGTH-----N----------</t>
  </si>
  <si>
    <t>-----------------RGHP---------------------------------------</t>
  </si>
  <si>
    <t>-----------YYDG--------------I------------------------------</t>
  </si>
  <si>
    <t>----------------ITT-LNPEG-ELTYNAM---------------LVGGTNIQFY--</t>
  </si>
  <si>
    <t>VYASGA------------------IAKTKTNALLCET-----------------------</t>
  </si>
  <si>
    <t>--HLNGTL------ID---------C---------------F-EFTG--------HTETT</t>
  </si>
  <si>
    <t>RAYSLLGT----------------------------------------------------</t>
  </si>
  <si>
    <t>-------------------------TNND---------L----L----------------</t>
  </si>
  <si>
    <t>RYPNN------------------------------------TLHFA--------------</t>
  </si>
  <si>
    <t>---------------------------YQ-------------------------------</t>
  </si>
  <si>
    <t>--------------YPMAHTV--TFNC-----------MT---ETNDQQYLLNGV-----</t>
  </si>
  <si>
    <t>---NKGSLFYSSILKINSNGEMIWVRDLIPLDATSL------------------------</t>
  </si>
  <si>
    <t>-IINAIQAQGDTVT----------------------------------------------</t>
  </si>
  <si>
    <t>TINAT------TVAGT--------GNIM-FQDMVL-------------------------</t>
  </si>
  <si>
    <t>----------------KNNRPLAVGRSNVNTVG----A----------------------</t>
  </si>
  <si>
    <t>---YDAIIFYD-------------------------------------------------</t>
  </si>
  <si>
    <t>GPKM-----LTVKLDS---------------NLNLDASNLPP--------G---------</t>
  </si>
  <si>
    <t>---------------LDF------------------------------------------</t>
  </si>
  <si>
    <t>---------------------------YECT-----------------------------</t>
  </si>
  <si>
    <t>--------------D---------------------------------------------</t>
  </si>
  <si>
    <t>----------------------------------DFVITH--------------------</t>
  </si>
  <si>
    <t>--------------------DVNLT-----------------------------------</t>
  </si>
  <si>
    <t>V--NIT---------------D-------------------------------EINITHP</t>
  </si>
  <si>
    <t>-----------------FENAWLHAPTEQPTG--FP--TSE-PTG---------------</t>
  </si>
  <si>
    <t>------------------------------I------------------PTSG-------</t>
  </si>
  <si>
    <t>-----------------------------PTSSAN-------------------------</t>
  </si>
  <si>
    <t>----------------------------------------------------PSA-----</t>
  </si>
  <si>
    <t>--------------VPS-------------------------------------------</t>
  </si>
  <si>
    <t>-----------SSPTGLPTSEPTGMPTSGPTSGPTSGPTSGPTSGPTGE-----------</t>
  </si>
  <si>
    <t>------------PTWVPTGDPTA----------YPSADP---------------------</t>
  </si>
  <si>
    <t>--SA------------W-------------------------------------------</t>
  </si>
  <si>
    <t>---------P---TSWP-TSW---------------------------------------</t>
  </si>
  <si>
    <t>-----------PTNLPSGY------P----------------------------------</t>
  </si>
  <si>
    <t>-------------------------T----ANPSANPS----------------------</t>
  </si>
  <si>
    <t>-A----------------------------------------------------------</t>
  </si>
  <si>
    <t>L---------P-------------------------------------------------</t>
  </si>
  <si>
    <t>------------TGDPT----------AYPSADPSA------------------------</t>
  </si>
  <si>
    <t>-------------EPTSLPSSTPT-------------------------A-----D----</t>
  </si>
  <si>
    <t>MLYA-----------------------------------SYWLTRSKAQVVPET------</t>
  </si>
  <si>
    <t>------------EHTE--------------------------------------------</t>
  </si>
  <si>
    <t>-----------------------NP------AVPL-------------------------</t>
  </si>
  <si>
    <t>-----------ELE----------------------------------------------</t>
  </si>
  <si>
    <t>ER------------------------------------------------F--WSSSD--</t>
  </si>
  <si>
    <t>--------------------------------------DSSDIEN---------------</t>
  </si>
  <si>
    <t>---------QSSSSSS---------------------LPLSLG-----------IFYT--</t>
  </si>
  <si>
    <t>------YP-D--EES---------------------------------------------</t>
  </si>
  <si>
    <t>--------------------------------------------YD--------------</t>
  </si>
  <si>
    <t>------------------------------ESYDEEEG----------------------</t>
  </si>
  <si>
    <t>------------------------------------HRV---------------------</t>
  </si>
  <si>
    <t>-------------------------------------------------------P----</t>
  </si>
  <si>
    <t>-------------------------------------MS---------------------</t>
  </si>
  <si>
    <t>--------------------------------------GYTR-QSASEIIATNVVKA---</t>
  </si>
  <si>
    <t>--------APVNA-EYNKL-------------------------------R---------</t>
  </si>
  <si>
    <t>DA----------------------------------------------------------</t>
  </si>
  <si>
    <t>HKHDGSSD-EGSYVPLIA------------------------------------------</t>
  </si>
  <si>
    <t>-----DVDGLNKVSVDTSNNRVGVF------VEVSSSAVE-------QVR----------</t>
  </si>
  <si>
    <t>-------------------------DIDLG-AVGAEF----KDIY-IDGVAYIDDIRG--</t>
  </si>
  <si>
    <t>---PLT-GDVT-------------------------------------------------</t>
  </si>
  <si>
    <t>--------------GN--------------ITGDV-V-----------------------</t>
  </si>
  <si>
    <t>--------------GDLTGNV---------------------------------------</t>
  </si>
  <si>
    <t>-------------TG---------------------------------------------</t>
  </si>
  <si>
    <t>--------------------------NLTGN-----------------VTG---------</t>
  </si>
  <si>
    <t>---DL------------TGNV---------------------------------------</t>
  </si>
  <si>
    <t>------------------------TGNITGD----------VTG----------------</t>
  </si>
  <si>
    <t>-------------------------------------DLTGNVTGSLTGNVTG-------</t>
  </si>
  <si>
    <t>ATKAYVD-----------------------------------------------------</t>
  </si>
  <si>
    <t>-------------------------SQLD---------I---------------------</t>
  </si>
  <si>
    <t>-TDLNFSYSGG--N---------------------------VATLT--------------</t>
  </si>
  <si>
    <t>EATASGALSDGSMVIVNSDGT-VSVATAIPEAVFESAD-----CDY--------------</t>
  </si>
  <si>
    <t>-ISATYDTANNKVVIA--------------------------------------------</t>
  </si>
  <si>
    <t>SISFG-------------------TPVV----F---------------------------</t>
  </si>
  <si>
    <t>-ASAAT------------------QGTSACFDTTNGKVVIS-------------------</t>
  </si>
  <si>
    <t>------------YSDG------------TD--------------------GYAIVG----</t>
  </si>
  <si>
    <t>----------------------------TVSGTS--------------------------</t>
  </si>
  <si>
    <t>------------I---------------------SFGT----------------------</t>
  </si>
  <si>
    <t>-------AVLFD------------------------------------------------</t>
  </si>
  <si>
    <t>---------------------N----------------------------TVSDTNI---</t>
  </si>
  <si>
    <t>----------------TYES-----------------GNSKL------------------</t>
  </si>
  <si>
    <t>--------------VIF-------------------------------------------</t>
  </si>
  <si>
    <t>----------------------------------------------YSTG----------</t>
  </si>
  <si>
    <t>-----------GSSYGIVGTVS---------GTSISFGTAAAYVAATSSEIRSVY-----</t>
  </si>
  <si>
    <t>--------------------DTTNAKIVTAYVNSVDN------DGY--------------</t>
  </si>
  <si>
    <t>-----------------AV-----------------------V-----------------</t>
  </si>
  <si>
    <t>--------GTVSGTSISFGTPV--------------------------------------</t>
  </si>
  <si>
    <t>--------Y--DHSGPS----------SYGIVGTVSGT----------------------</t>
  </si>
  <si>
    <t>GTAV-----PFNSDTSYIASSYN-------------------------------------</t>
  </si>
  <si>
    <t>IVSATTISF----------------------G------VEFVVRSSTSSYFASV------</t>
  </si>
  <si>
    <t>----------YDPDNESVVVAYSSFSRGL-------------------------------</t>
  </si>
  <si>
    <t>-------------------------------ALSYPK-----------IQTTENNFV---</t>
  </si>
  <si>
    <t>-----------GIS--N-------G-----------------------------------</t>
  </si>
  <si>
    <t>------------------------KIQVVG------------------------------</t>
  </si>
  <si>
    <t>--------------------------------------SVDDAQS----G----------</t>
  </si>
  <si>
    <t>-------------------------------------LTAG-------------YKY---</t>
  </si>
  <si>
    <t>------YL----QTD----GTIS-------------------------------------</t>
  </si>
  <si>
    <t>--ITTDIP-EV-------------------------------------------------</t>
  </si>
  <si>
    <t>-------------------------------------------------Y-VGL------</t>
  </si>
  <si>
    <t>--------------AIASDKIIV-------------------------------------</t>
  </si>
  <si>
    <t>---------------------KG-------------------------------------</t>
  </si>
  <si>
    <t>&gt;Pacmanvirus_A23@YP_009361566.1 Major capsid protein [Pacmanvirus A23]</t>
  </si>
  <si>
    <t>MSAGGVFKLIANDGKADRMIMATELLNSRIKDIMCMRAKQGFPDPTPTLVDIERTHILFVNAHFKPFAAI</t>
  </si>
  <si>
    <t>GYEYNKVRANTGTPQFGGSVQFSIPQFGDFFNDMVVHVQLAATSATAGTVPALPAYIGTSNQAVSSTSKV</t>
  </si>
  <si>
    <t>SATVDETSGVYTKYTHEYVDLAGTVKAVGAAASNFVRYAEYPGQRLFKKVKFEVNGNPLDEYTAEAYMYH</t>
  </si>
  <si>
    <t>QKFCVQPGKMTGWMRLVGQEVPVDAYSSLVSVSGASNFPAAVAGLEDVNGDAAQGAPTNASVTARKVARV</t>
  </si>
  <si>
    <t>VSGAQTPKATQPALDLWVPLIFWFNKDPRLSIASVSIPYGQRFITIDIEQQSNVLFTAPGNLFLKLTVEQ</t>
  </si>
  <si>
    <t>QTSAGTGKGTAAAQAVADVKKWVTLTPVLATGSTIDTTQQISLMELYINNIFVNPEIHDIYIKRIGFSLI</t>
  </si>
  <si>
    <t>RVHRFQSTRTAVSSDNILLSQLKWPIETMCVGLRPAVNISASNTNQYRDWHRLTLLTDNVIETASKSHSD</t>
  </si>
  <si>
    <t>VMIDDTVAFNADSAKHKTSYSMESAERLVFPSFTETIDTLQLQAHGINIFSTFAAQFFRDYMSYTFGGAN</t>
  </si>
  <si>
    <t>VITPEDLGAYMLNFCLYPGTYQPSGHINVSRAREFYLQFASSYCTSSTPCDLLVLAKAINFLLILTKIWD</t>
  </si>
  <si>
    <t>ETVSCLHSCQITMLDKQCKFDHYIKPSRGLYNVYNLLVSSATAA</t>
  </si>
  <si>
    <t>&gt;K-Sc</t>
  </si>
  <si>
    <t>MTTGGIFQIITNDGKKQDQMLMATDLLSKRLSAIVEANKRNPTIKDPTPTLADIERTHILFTNAHFKPFAAFGYEYQNTKFPIPQFGDFFSDMVLHVTLTGLQATSSSDQARYAEWLGHRLCQTVEMEVNGNLLDSYDADTYNFHYQFCVPKSKQTGWKRNVGQEVPKTGYLTQNPGTDTYRELKQYVDGPQTPRRTQGDVDMWIPLLFWFNQDPRLAI SVSIPYGQRFINVTFATSAQICDALTNGVTTGASFTAPTISACELYINNIFVNPEVHDIYIRRIGFTLIRVHRRQSIRLDKSQDEKLLNNMKWPIETMYIGARPTANLSSVTDWHKFVQVTNNTINVPAVIPNSSPPPTHQVVVATAQYQTHTPTLQTVTISAHSIPIYNQIPAQFFNSYIPTTYGGHNINAPEDAGLLMVTFNLYPGSYQPKAGHLNVSRAREFQTEYFNYVSSNVGPSLNADLVILGIAINFLLISDGSAILRYST</t>
  </si>
  <si>
    <t>&gt;F-E12</t>
  </si>
  <si>
    <t>MSAGGVFKLIANDGKADRMIMANDLLNDRIKSIMCLRAKQGFSDPTPTLVDIERTHILLINSHYKPFAAMGYEYQKTRPNTGNPTYNSTIQFSIPQFGDFFSDMVVHVQLAATSASAGTVPALPAFIGADDQVLTSTSVVSATENTTSGVYTLYTQSYVNQQGTTQTVAAAATNFVRYCEYPGLRLFKRVKFEVNGNPLDEYTALAAIMYNKFHVPDFKLTGWKRLIGQEVPVEAASNLVNIASTTPWGSPIVALSDVNGTAVTGSPVNAAITARKLTQVVFGAQTPKATQEQLNMFVPLLFWFRDPRLAIASVSIPYGQRFITVDIEQQSNILFTAPGNLFLQTTVETLLTTGAGKGTATGVLLTQYNRYTTYTPTLASGSSIDGTQAVQNIELYINNIFVTPEIHDIYIKRIGFTLIRVYREQVQREVNAADQVLQSQLKWPVEFIYLGLRPANNIAAGNTYQWRDWHHLTSVTNEPVYDVSQSYARVSIDDTVAPVGSTTFKQSASQVMQNQYIVPVETETLDTVRVKAHGIELYAQYRAQFYRDYIPWNYGSFNLVTPQDKGALFLNFCLYPGTYQPGHVNISRAREFYIEYTSSFCDSSNPCDLISIAKCINFLLISDGSAVLRYST</t>
  </si>
  <si>
    <t>&gt;ASFV</t>
  </si>
  <si>
    <t>MASGGAFCLIANDGKADKIILAQDLLNSRISNIKNVNKSYGKPD</t>
  </si>
  <si>
    <t xml:space="preserve">                     PEPTLSQIEETHLVHFNAHFKPYVPVGFEYNKVRPHTGTPTLGNKLTFGIPQYGDFFH</t>
  </si>
  <si>
    <t xml:space="preserve">                     DMVGHHILGACHSSWQDAPIQGTAQMGAHGQLQTFPRNGYDWDNQTPLEGAVYTLVDP</t>
  </si>
  <si>
    <t xml:space="preserve">                     FGRPIVPGTKNAYRNLVYYCEYPGERLYENVRFDVNGNSLDEYSSDVTTLVRKFCIPG</t>
  </si>
  <si>
    <t xml:space="preserve">                     DKMTGYKHLVGQEVSVEGTSGPLLCNIHDLHKPHQSKPILTDENDTQRTCSHTNPKFL</t>
  </si>
  <si>
    <t xml:space="preserve">                     SQHFPENSHNIQTAGKQDITPITDATYLDIRRNVHYSCNGPQTPKYYQPPLALWIKLR</t>
  </si>
  <si>
    <t xml:space="preserve">                     FWFNENVNLAIPSVSIPFGERFITIKLASQKDLVNEFPGLFIRQSRFIPGRPSRRNIR</t>
  </si>
  <si>
    <t xml:space="preserve">                     FKPWFIPGVINEISLTNNELYINNLFVTPEIHNLFVKRVRFSLIRVHKTQVTHTNNNH</t>
  </si>
  <si>
    <t xml:space="preserve">                     HDEKLMSALKWPIEYMFIGLKPTWNISDQNPHQHRDWHKFGHVVNAIMQPTHHAEISF</t>
  </si>
  <si>
    <t xml:space="preserve">                     QDRDTALPDACSSISDISPVTYPITLPIIKNISVTAHGINLIDKFPSKFCSSYIPFHY</t>
  </si>
  <si>
    <t xml:space="preserve">                     GGNAIKTPDDPGAMMITFALKPREEYQPSGHINVSRAREFYISWDTDYVGSITTADLV</t>
  </si>
  <si>
    <t xml:space="preserve">                     VSASAINFLLLQNGSAVLRYST</t>
  </si>
  <si>
    <t xml:space="preserve">&gt;Megavirus_chiliensis@YP_004894501.1 YP_004894501.1 putative capsid protein 2 [Megavirus chiliensis] </t>
  </si>
  <si>
    <t>MGGGLVQLAVYGSQDIFLTGTPQITFFKAVYRRYTNFAIEPITQHLIGITNFNEEMNCRI</t>
  </si>
  <si>
    <t>EKIGDLMSRVYIEIDIPKVDLKIRNDSMWSTNLQIAEKQYNLLKNYYSQVYNFISENSQT</t>
  </si>
  <si>
    <t>ARNLVKLLRINNIDLDEISKIVGDEKFSKNLNSARQLLSDYISNNQDVDEISNIPEFKDI</t>
  </si>
  <si>
    <t>MAKNRYHLLQDIKCLDVIAIYKSISNNKNCNLVDEQYNNIIKNKLLNVIQNSLYTQMYDF</t>
  </si>
  <si>
    <t>YMPIYNAYLIAQKKYQSIKNNSYSERYKFAWVEELGHSIFDFIEIRIGDQIIDRHTGDWM</t>
  </si>
  <si>
    <t>IIFNKLFIHDHHIDNYNKMIGNVKELTVFDDSIKNSYKLIIPLQFWFCRHTGLSLPLIAL</t>
  </si>
  <si>
    <t>RYSDVIITIKLKDLSKVCYYQDDPALSNMSTVQSQYDINIVNAKLYVDYVFLDSDERKRF</t>
  </si>
  <si>
    <t>AKSTHEYLIETIQMNEFDDIFSEKYNANLSFSNPTKFITWFVQPNFYRENPTGTNKCQWN</t>
  </si>
  <si>
    <t>NFGIGIDGSISPIDMAYILINGYNITNNNGDMKFFNYMHPYWYFNHSPPDGLNVYSFSIK</t>
  </si>
  <si>
    <t>PTIHQPSATINLSRIDKFSILMEFTKKFVNIINDEYQITKGAYMGAYTMNYNILRIMNGM</t>
  </si>
  <si>
    <t>AGLAFQTSH</t>
  </si>
  <si>
    <t xml:space="preserve">&gt;Aureococcus_anophagefferens_virus@YP_009052173.1 YP_009052173.1 putative capsid protein [Aureococcus anophagefferens virus] </t>
  </si>
  <si>
    <t>MGGGLMQLVAYGAQDIYLTGNPQITFFKIVYRRHTNFSMESIEQTFNGSADFGKRVTCTV</t>
  </si>
  <si>
    <t>SRNGDLLSRVYLQVTIPQVSVPSGEKFRWLNYLGHNLIKYAEVEIGGQRIDKHYGDWMHI</t>
  </si>
  <si>
    <t>WNELTQTEGKKVGYQNMIGNVPTLTQLTAPSVTTAFVPEMDLYIPLEFWFCRNPGLALPL</t>
  </si>
  <si>
    <t>IALQYHEVKINLEFRAASDCYFSSGNAVVVPSFEAASLYADYIFLDTDERRRFAQVSHEY</t>
  </si>
  <si>
    <t>LIEQVQFTGDESVSSVSNKIKLNFNHPCKELVWVVQKDSIVDTTAMAPVFGKQWFNYTDA</t>
  </si>
  <si>
    <t>IDTTWATGTPTSPYGDMSATIVSDASGETSFAAVGDKFFPNSNATPSGTEDHVVIAGVDV</t>
  </si>
  <si>
    <t>GFNPVFSAKLQLNGHDRFSERMGRYFNLVQPYQHHTNVPATGINVYSFGLKPEEHQPSGT</t>
  </si>
  <si>
    <t>CNMSRIDNATLQLTLTAATTASGDAKVRVYATNYNVLRIMSGMGGLAYSN</t>
  </si>
  <si>
    <t xml:space="preserve">&gt;Heterosigma_akashiwo_virus_01@YP_009507580.1 YP_009507580.1 major capsid protein [Heterosigma akashiwo virus 01] </t>
  </si>
  <si>
    <t>MGGGLMQLVAYGAQDVYLTGDPEITFFKVVYRRHTNFAIESIEQTFNGTADFGKKVTCTI</t>
  </si>
  <si>
    <t>SRNGDLINHVYLQVQLPSLSTGLVASGSPTYVSWTNAIGHALIRNVEVEIGGQRIDRQFG</t>
  </si>
  <si>
    <t>TWLEIWDELTMTTEKKNGYNQMIGKYASELGLIGNSYYERIYYIPLQFWFCRNPGLSLPL</t>
  </si>
  <si>
    <t>VALQYHEVKIIIEFRNAHECIVALKANGDRVAIGDNATTFTTTPTITNAQLYVDYIYLDT</t>
  </si>
  <si>
    <t>NERKLFAATSHEYLVEQLQFTGAESLSFSQQNQKLRLNFNHPVKELLWVLQRDENSTSAG</t>
  </si>
  <si>
    <t>TAYNDWFNFSAAAPGTPSPSHAVDLLADAKLLLNGHERFTVRPQTYFRLVQPYQHHTRIP</t>
  </si>
  <si>
    <t>DKHIYLYSFAIRPEEHQPSGTCNFSRIDTVQLVYDLTSLSTLTGIGTGMDTASTGQISVF</t>
  </si>
  <si>
    <t>AVNYNVLRIVSGMAGLAYAN</t>
  </si>
  <si>
    <t xml:space="preserve">&gt;Cafeteria_roenbergensis_virus_BV-PW1@YP_003969975.1 YP_003969975.1 major capsid protein [Cafeteria roenbergensis virus BV-PW1] </t>
  </si>
  <si>
    <t>MAGGLMQLVAYGAQDVYLTGSPEVTFFKNIYRRHTNFSVESIEQTFNGTCDFGKTVTCEI</t>
  </si>
  <si>
    <t>NRNGDLVTKMHLFLHLPAVEAVETGDEWGYARRLGHAVIDEVKIEIGGSEIDEHYGDWLN</t>
  </si>
  <si>
    <t>IWYELARNNSHDSGYDQMIGNIPELTNVSKNAKPEHKLYIPLQFWFNRNNGLALPLIALQ</t>
  </si>
  <si>
    <t>YHDVRLKLKLRPLKDVTNKKSGAQVPNVNVEDSFLLVDYIFLDAQERKKFAQATHEYLIE</t>
  </si>
  <si>
    <t>QLQFTGAESFKNSNESYRLNFNHPSKAIVWAPQLAKYTTGATFVDWAWDGDWSAAKDRVA</t>
  </si>
  <si>
    <t>KRVWLAKNLTLANSLSEDDTTEGEAVTYNGETLVDAQFVFHNDADANDLNNIVLLTNNVS</t>
  </si>
  <si>
    <t>STHLSWRVDDWVANTNVGSNLTGFVVKDYMTYSLHADGTGNPVKSALLQLNGHDRFQKRD</t>
  </si>
  <si>
    <t>GTYFNYVQPYQHWANTPADGINSYSFALNPMDHQPSGTCNFSRIDNTTLKLELAQVQNDD</t>
  </si>
  <si>
    <t>SRIRIYDINYNVLRVMSGMGGLAYSN</t>
  </si>
  <si>
    <t xml:space="preserve">&gt;Bathycoccus_sp._RCC1105_virus_BpV1@YP_004061587.1 YP_004061587.1 hypothetical protein BpV1_157 [Bathycoccus sp. RCC1105 virus BpV1] </t>
  </si>
  <si>
    <t>MAGGLMQLVAYGAQDVYLTGNPKVTFFQAVYKRHTNFAMENIEQTVNGTAANSGRVSVTV</t>
  </si>
  <si>
    <t>ARNGDLIADMYVELTAKQAFASNEDAWVAESAISTVELSIGGQRIDKHYQKWWRLYAELY</t>
  </si>
  <si>
    <t>MDEAKKLNYGKMCSATVDNEKVFLPLIFFFNRNPGLALPLIALQYHEVRIDFDLSSVYDT</t>
  </si>
  <si>
    <t>NFDSLKVWGNYIYLDTEERRRFAQKGHEYLIEQVQHTGADSLAAADATKQIRLSYNHPVK</t>
  </si>
  <si>
    <t>ELVWCTTEASGLAGDANQLWNFTDTAVKVTSNLASIADSNVAIAPGAAGAPSLVGLTQFD</t>
  </si>
  <si>
    <t>EETSGPLKEFKLVLNGQDRFKEQGGKYFNSVQPYVHHSASPMPGVYSYSFALKPEEHQPT</t>
  </si>
  <si>
    <t>GTCNFSRIDNAQVSIKTKAGSDKTTLNMFATNYNVLRIQSGMGGLAFSN</t>
  </si>
  <si>
    <t xml:space="preserve">&gt;Only_Syngen_Nebraska_virus_5@YP_009325844.1 YP_009325844.1 Major capsid protein Vp54 [Only Syngen Nebraska virus 5] </t>
  </si>
  <si>
    <t>MPGAISQLVSYGAQDVYLTGNPQITFFKAVYRRYTNFAMESIQQTFDGTTDFGKYPTVTI</t>
  </si>
  <si>
    <t>SRNGDLAGPIWVEVTLPDLLGYNITPTPAEGNTSNVETLTTAVTNTVYKDAYNNYWGTYN</t>
  </si>
  <si>
    <t>AGNGQYSNLVAAFSNVDYQYYANAITTGYPTLTGLSNVIYSWPYMIASTLPNRTAVAIPT</t>
  </si>
  <si>
    <t>ANLRYVNGIGLALFNSIELELGGQRIDKHYSEWWDIWTELTETAEKIEGYNTMVGRYDPA</t>
  </si>
  <si>
    <t>VYNTGWNRTQAQGGTYYVPLKFCYNRNPGLYMPLVALSYHQLKLNFNINNYLNCVKCNVP</t>
  </si>
  <si>
    <t>VSALTSKNGANPLSITNMKLYADFVFLDAPERIRMSEIQHEYLVTQLQWQGSEPVTAPGD</t>
  </si>
  <si>
    <t>PSGSTNRKITLNFNHPVRELVFVYQAASNYDVDAVTGNDIFNYEIPANSAAVPPYAGGGE</t>
  </si>
  <si>
    <t>VFTEVKLIINGSDRFSGRPGAYFRLVQPYEHHVRVPSKSVYVYSFALEDADSRQPNGSAN</t>
  </si>
  <si>
    <t>FTRYDSAQLQLTLNENLASGRVQIYAPNFNILRIAAGMGGLAFAN</t>
  </si>
  <si>
    <t xml:space="preserve">&gt;Acanthamoeba_polyphaga_mimivirus@YP_003986929.1 YP_003986929.1 capsid protein 1 [Acanthamoeba polyphaga mimivirus] </t>
  </si>
  <si>
    <t>MAGGLLQLVAYGAQDVYLTGNPMITFFKVVYRRHTNFAVESIEQFFGGNLGFGKKSSAEI</t>
  </si>
  <si>
    <t>NRSGDLITQVFLKVTLPEVRYCGDFTNFGHVEFAWVRNIGHAIVEETELEIGGSPIDKHY</t>
  </si>
  <si>
    <t>GDWLQIWQDVSSSKDHEKGLAKMLGDVPELTSISTLSWDVPDNTVLKPSYTLYVPLQFYF</t>
  </si>
  <si>
    <t>NRNNGLALPLIALQYHQVRIYVKFRQADQCYIASDAFKSGCGNLQLDDVSLYVNYVFLDT</t>
  </si>
  <si>
    <t>EERRRFAQVSHEYLIEQLQFTGEESAGSSNSAKYKLNFNHPVKAIYWVTKLGNYQGGKFM</t>
  </si>
  <si>
    <t>TYDPVCWENARENAAKLLLLAQYDLDDWGYFQEPGGYECEGNDGRSYVGDCGVQYTAVDP</t>
  </si>
  <si>
    <t>SNPSEEPSYIFNDTTTAEAFDGSLLIGKLAPCVPLLKRNKDVDLKDKVEGIIRIHTDFEN</t>
  </si>
  <si>
    <t>DRMKYPEVEKITRNDLTLHDLSVPISKYDVDNRVDYIKKFDVTVWQHNNFGLLIDGSGNP</t>
  </si>
  <si>
    <t>THEAELQLNGQPRQSKRGGIWYDTVNPTVHHTKSPRDGVNVFSFALNPEEHQPSCTCNFS</t>
  </si>
  <si>
    <t>RIDTAQLNLWFQHFTNHKFADVFADNDNKVLIFAVNYNVLRMLSGMAGLAYSN</t>
  </si>
  <si>
    <t xml:space="preserve">&gt;Chrysochromulina_ericina_virus@YP_009173446.1 YP_009173446.1 major capsid protein 1 [Chrysochromulina ericina virus] </t>
  </si>
  <si>
    <t>MGGGLMQLVAYGAQDVYLTGNPQITFWKVTYRRYTNFAMESIEQTFNGQADFGRRVTCTI</t>
  </si>
  <si>
    <t>SRNGDLAYRTYLQVTLPEINQQMLPAGVGQNLASNVLGSTTPGANNKGLEYGVFARWLDF</t>
  </si>
  <si>
    <t>PGEQMISMVEVEIGGQRIDRQYGDWMHIWNQLTLTAEQQRGYYKMVGNTTQLTFITDPSF</t>
  </si>
  <si>
    <t>AAVDGPCATTAPTQVCAPRNALPETTLYVPFQFWYCRNPGLALPLIALQYHEIKINLDLR</t>
  </si>
  <si>
    <t>PIDECLWAVSSLHNVCDSAATPTKVATAYQQSLVAASLYVDYVFLDTDERRRMAQNPHEY</t>
  </si>
  <si>
    <t>LIEQLQFTGDESVGSSSNKIKLNFNHPCKELIWVVQPDQNVDYCASLICGTTLFQVLGAQ</t>
  </si>
  <si>
    <t>PFNYTDAIDVLPNGVHAFAGPGSVEGPNAFITTAGIFDQAGATDAVTFPGWEYDEPNFEH</t>
  </si>
  <si>
    <t>VSLGSASAGGGFFPPASAASSRANGGAVDFQSAVSDAGTFVLTETSLDMHCWGENPVVTA</t>
  </si>
  <si>
    <t>KLQLNGQDRFSEREGTYFDLVQPYQHHTRSPDTGINLYSFALRPEEHQPSGTCNFSRIDN</t>
  </si>
  <si>
    <t>ATLQLVLSNATVGGTNTAKVRVYATNYNVLRIMSGMGGLAYSN</t>
  </si>
  <si>
    <t xml:space="preserve">&gt;Yellowstone_lake_phycodnavirus_2@YP_009174565.1 YP_009174565.1 putative major capsid protein [Yellowstone lake phycodnavirus 2] </t>
  </si>
  <si>
    <t>MGRAPGVNLKSNYFLGVYYKMAGGLMQLVAYGAQDVYLTGQPKVTFFQAVYKRHTNFAME</t>
  </si>
  <si>
    <t>NIQQTVNGSAGSSGRVSVTIARNGDLVGNMYVGLTPQALTGAANLTSTNSTFDTNWLAER</t>
  </si>
  <si>
    <t>AIAAVELTIGGQRIDKHYQAWFRLYAETFLGESDKIAYGKMASGSALTTTSTGAPRVYLP</t>
  </si>
  <si>
    <t>LLFFFNRNPGLYLPLIALQYHEVRLDFDLTNYYSSYFGSNAIEVWANYVYLDTEERRRFA</t>
  </si>
  <si>
    <t>QKGHEYLIEQVQHTGGDTITSSSETSSSLVRLSFNHPVKELIWCYQNPSTSATANLNAMW</t>
  </si>
  <si>
    <t>NFSTASANVQVSVSPILFSGVSQLPHEVGAPHLVSNVSGTANCYWVEEGDRNSTVYEVGP</t>
  </si>
  <si>
    <t>MHQFKLVLNGQDRFKEQLGKYFNQYQPFLYHTGTPYVGVYVYSFALQPEEHQPTGTCNFS</t>
  </si>
  <si>
    <t>RIDNAQVAVWLKTATATNANYNLQKMFAVNYNILRIQSGMGGLAFSN</t>
  </si>
  <si>
    <t xml:space="preserve">&gt;Acanthamoeba_polyphaga_mimivirus@YP_003986947.1 YP_003986947.1 probable capsid protein 3 [Acanthamoeba polyphaga mimivirus] </t>
  </si>
  <si>
    <t>MAGGILQLVCNATAAENMWINNDPEITFFKKLFRRHTPFASEYIPLYFKSNLDFGQSSSA</t>
  </si>
  <si>
    <t>TILSNGDLVHKIFFVCDIPSISAEFINSKNEDVIKTIKNLNSQYIDNDFMRKLNNCINGT</t>
  </si>
  <si>
    <t>IIEYDNICNIIDENIQYYDYYKPIIISIINTLSKYQNKDVLINYQQKIFGKLLNKSNDNL</t>
  </si>
  <si>
    <t>SQNESFQNDSFKLEILDSFFSTNVKYNLVFELIKLIDLEQQFYSQKIPIIPIQNTGKYLA</t>
  </si>
  <si>
    <t>NNFVNSVLPAVNNLGNNFGKDFYHRLNTHNAIIGAIESLSISVPTVIIKPFVLNDCYDIY</t>
  </si>
  <si>
    <t>RPNNQNVYFDSTYYSSIIDPNFKLNFMLKSNQVEKYIQSNEFIPIDIIGTNDFIYPEIDN</t>
  </si>
  <si>
    <t>NYNLLFNTQANIMFDNIQSFTDLLFEHYRNLLFDSTENLFFNKSPTPSNIYSYILPTKAY</t>
  </si>
  <si>
    <t>DTKSNNLSDEKINDGPNVFNLNIWFFYFFKYLDQFDVDKFIVYVKDNVHKNLSNACYSFL</t>
  </si>
  <si>
    <t>RNMMVLLKINVDYYMHEISYYMNDMCSKSPSHDLSDTLKNYVPNISESTNQFNKQSGSNL</t>
  </si>
  <si>
    <t>LMVTLIFHRNIIPSIEDMFNFIYEFIENINCNDIENYLEVEIGFVDRETLTELKSTAKQL</t>
  </si>
  <si>
    <t>YQGFYNYFMNKYNKMHFEAEYHCEEINPLVQEYVNHFLTGTSIHDKFYQKRNLNDIIHQL</t>
  </si>
  <si>
    <t>EFYFISETIHIRELQKFYYNIFSNNNLIKNYVDDYGCELIDYFNSVLKTDLEQKYYKVNN</t>
  </si>
  <si>
    <t>IHRYNGESYKMTPYNTRFYGLNDNLPLVYPFDHPPVNPYGVNPDYYSHYRSVTDYVTIPT</t>
  </si>
  <si>
    <t>SNNQILCTEIPINLNNTEPINNRYNDSEYQRFEIDYFRLKHEIFHGTIDNPISDLYKIFI</t>
  </si>
  <si>
    <t>SEYDFNVLKLYHLLQQLLDQSNTKPMLSDDLLYKLYITTIYLMNYINEDAGNDTVMSKSI</t>
  </si>
  <si>
    <t>MHQFLEMIEDYLNNQTENISENTINEMVELSDILLKNNQHNYTTDDLIKCNQYINLIKNT</t>
  </si>
  <si>
    <t>DKYDNGIIDRLQIIKYNFLSQYFIYSLESQNISMLKNLDNKFFFKNTGQIINEILQLVDN</t>
  </si>
  <si>
    <t>NPVLDDLSNMEYLYSGEFETEHNHLLCTDSSNLSRYFMNTFNIFTAHELNPIKKLSVRDI</t>
  </si>
  <si>
    <t>YDIIDTTFMSVREIYNICMNNGSINNILVKLDKYQDKLLNKLVLTNKIGQYFYDFLQNKP</t>
  </si>
  <si>
    <t>IEQQNKKDLIKIIDSFGIDLENYMCNKIIPLYNQLVLNNNKNSTIIILAIISKDLDSFFL</t>
  </si>
  <si>
    <t>PNSSASSFKQVIIEDLTNGNKEDPLYLYLKLIGNEYYSYLKFFLDYCCENDLDYDSITNP</t>
  </si>
  <si>
    <t>LESLDITVLKNDNNTNRILSVKDCLNYFMDYLWDHSYPSMKQFGFNEKISDVINKYSSNK</t>
  </si>
  <si>
    <t>SNKSNKSNESDKSSESDKSSESSNHDDKISKIINLLSGSFDTNGFVLNRYLEEFTKNDEI</t>
  </si>
  <si>
    <t>SEIQNLSEKSNIIYGLNLYLGKLLILLEQQYNSGLEIKNKISNILYRNKKACTAWIKKLA</t>
  </si>
  <si>
    <t>HYLVDEISISTNSETIDSHKSDWFEIYSQTNLSESRIDGYYKMIGNIDELTIFSNNDKSS</t>
  </si>
  <si>
    <t>RTIILPLCFYFNRNIALSLPLNASINLTYTINIKLKELSDVLFKEEFSEYIDNTGSIVKP</t>
  </si>
  <si>
    <t>KLSNVHLMCEYIYLSNEERQAFVTKHLQYLVDEFQYSTTNITDNNLTPVYKIGTNKISCV</t>
  </si>
  <si>
    <t>VKKNGKKTTETYFNKGIYVDQNNVNVDDNELILRKDLEVKPSKNKSGISSTMIQHTIIDT</t>
  </si>
  <si>
    <t>DPKIHFKRVSIENHFSNPTKMMAILIRPDLHIITDKRDYSSDYFFGEKQWSNYGVHSWYD</t>
  </si>
  <si>
    <t>FSQVRKIREDYYTKFRQKINNLEDPVYGFLNIINHTIENMKIPEIPDKLIKYCEQIKSMY</t>
  </si>
  <si>
    <t>IKHSDEIFDQSNIQKIRDNLHILKINFDITDKQLLLQMIYDICYNMDVSLPTNSIIIDEF</t>
  </si>
  <si>
    <t>RRLDSNFTLDDDNLYVNYEFFKDCICSILKLSILQGRSDELYQLIQQIYDKHNENQINLL</t>
  </si>
  <si>
    <t>INKLSEIIPISNHTYSFTNIMYKAKNLCLLHKCDNHIVNLINQIQDKIDFMNSSELSCVN</t>
  </si>
  <si>
    <t>NMKTVSSTYKDIINQIIVNTNYLDHIPSYIIDTISNKMLETLNIIIDKQYIKIIPYNKLI</t>
  </si>
  <si>
    <t>KPNPKINPLISGHLTFNNISTMPENSDHTFWTACQTYQHFKHDTETGINLYSWAIKPFNE</t>
  </si>
  <si>
    <t>QNSGSANLSRIDRFMSILNIHPIISSKNSASIITMTLSINIINYLSGLCGKAWEKY</t>
  </si>
  <si>
    <t xml:space="preserve">&gt;Megavirus_chiliensis@YP_004894500.1 YP_004894500.1 putative capsid protein 3 [Megavirus chiliensis] </t>
  </si>
  <si>
    <t>MAGGILNLVANNNAAQNVWLNSNPQVTFFKKVYRRHTPFAREMIPLFFKNNVDFGKSACL</t>
  </si>
  <si>
    <t>DIVPNGDLLHRMFLTFEIPKISAGFLNSKNYDIVKAINQINFKDDILYKQIDSCIHNDII</t>
  </si>
  <si>
    <t>EYQKLMDIISNTYKQYKNDQDDALNAIYSLENKPKSRVSITDLNLDSEINNFILETDSYQ</t>
  </si>
  <si>
    <t>HIYQNMYQSAKSNKNPDFNLIKIKLMDKIMLHKKNYFSIYELVKIMTMMDKNIISQIPII</t>
  </si>
  <si>
    <t>NSKQVPNILLWSNIFQEIFPHNDIINSFITKNNLSITDTYIYDKIYHLQNLDKSFPNKSF</t>
  </si>
  <si>
    <t>LSQINDHSININKNQLYHDFGPEFYRSLNDYNSVINLLNTLSKTVPIIVIKPFECETEYI</t>
  </si>
  <si>
    <t>YTNKQDTLLAGTKYSTVIDPNYKSKFFLNLNTPSRNIVNHINNDFLPIDLHTTNDYIYPN</t>
  </si>
  <si>
    <t>ILENSYLKFVNEEAEKMFDNIKLQTNFLFEKYRPNLFTSTSNLMFNNMLPLSNIYSYLTT</t>
  </si>
  <si>
    <t>DETDRSNKVININSWFFYFFKYLDGIDESAYIDYLSKLNINVSDNGLNMLKYMIMLLKIN</t>
  </si>
  <si>
    <t>IEYYMHEISYLLNDLYSNTSCPDISSTMTTYLPEILKNNLTDSNMIYITIIFHRNIVASI</t>
  </si>
  <si>
    <t>TEMFEYIHHFISTIDQNNISKYLDIQIPHVNKDEISDIRAIASLLYYHIYKHFMDSYDNC</t>
  </si>
  <si>
    <t>NFEAPANYFTNNFNSAHNDIVEKYVKYYIFGQNMNDMPIISQNILSNIDQMEFYFNLEMI</t>
  </si>
  <si>
    <t>NTRQQQKFYYCVLSDMNTIKQKSTDTILSIIKLINDYIIKKNDNNIQMSDIKNDNIYYVT</t>
  </si>
  <si>
    <t>TNTSRYSGEAYLNTPYVSRYYDKISETELPLNDPIPLPNTKPYGVDPSFFDHNQTISNYD</t>
  </si>
  <si>
    <t>LLTEITLCSINTNMPIYITTSEIINCSDNCSKYQLFDIDYYRIRHDLFQNRGNTFTNIKF</t>
  </si>
  <si>
    <t>INEYDLNTLKFQKMMEFIKFNKYDNKIYYWLLETIDHLAKYTNPILTLDDANHISSILYD</t>
  </si>
  <si>
    <t>SLDYIQQHLKFDNKLDNNWIDQLLNVANIIAENKKTANLLNSKDYTIDDLISNNKIIYDH</t>
  </si>
  <si>
    <t>VYKINSFDLTISENIVVLRDNFVSQYYLYCKNIDTINYLYKNSLTSDNFSYMNLMPCVFN</t>
  </si>
  <si>
    <t>SINVNMLENVFNIYQHPDKYPNDIDKIVQKINSGKFTDMQKYILEKYHNYLLQDSITLLT</t>
  </si>
  <si>
    <t>QKDICDTINTIFVSCNSIYRYCLDNNLVKKILKLLSKFQTVFLKKLSLFQDINNYFTDHI</t>
  </si>
  <si>
    <t>GDKYVSDNDAEFISKLASSKGINYEDYYNYITKIIIPKYNSQITKSAKLLIINVNISRDL</t>
  </si>
  <si>
    <t>DKFFIKSFFIKSFFIKSFFEQESNVNILTLKNILLQEICKQFRKHPEIINYVENIGNEYL</t>
  </si>
  <si>
    <t>SYIYFFIDYHHKNNIYPNTIINPLIYINKYTIDDYIKSTGETVYDFMNNIIDYVFNDAIT</t>
  </si>
  <si>
    <t>NHGRYIINIDHDTINNVTSMINNLNPNNNVNNTNNKNNTENNTENNTELNIVESNIIDNI</t>
  </si>
  <si>
    <t>IEALNTDNTQISIEKYIQQLSNKSKSSNSLNYSNIDIASKISDILINICQKIIVLTNDYQ</t>
  </si>
  <si>
    <t>KDLEIITNKLQNIYYRNRNAKLAWIHKLAHYLVEKVSFKCGDDILDNHISDWYETNSQIS</t>
  </si>
  <si>
    <t>LNNSELDGYLKMIGHRNDLINFNETPKSSYVITLPLIFYFNKFIASSLPLNASLHTKYQL</t>
  </si>
  <si>
    <t>IIKLRSLDDVTYKQEFSDFIDPDIIINQQTQPFVPKIKKAYVMCEYIFLGEEERKLFITS</t>
  </si>
  <si>
    <t>HLQYIMDELQFDTIDSTNIKSIPVYKLGIEPEKYYIKENGIKTAKYKYQKSVEIIDKDLD</t>
  </si>
  <si>
    <t>TDIDMNRLIPRQNIKWSTYFNKSGIISTKTIDASNNLKDITNYIHFNRYIIKNYFENPTK</t>
  </si>
  <si>
    <t>YLVLLIKPNNHTKPNLRNINSNYFYGERQWDNFGLYSRYDLSMIHQIKSCYYDNIHKQLD</t>
  </si>
  <si>
    <t>NLDHGVFGFLNIINELLLDYTVRDVSYNNDADVNKEYFLQMLQTIKDRYMNYCDVIVDKS</t>
  </si>
  <si>
    <t>HIIKLRQNILSLNIDYPIVDWDILQEMIAYICQEIKQPMYHENIILDSFKEIFKNFDLTN</t>
  </si>
  <si>
    <t>IYVDKYIFRNIVYQLVKYHVMNDPNIDFDNIINNTYNIYNQLQINLLLEEIDKLLELQDL</t>
  </si>
  <si>
    <t>NYDFINIIDMVRNMYHSKSDNNPTIINIIQLIWQKINSIKKYELESFDKSIKYELYHDVI</t>
  </si>
  <si>
    <t>YQIGDLESTNYSEIIPIKIINEIVHKMTQKLNEIIDSHNVDIVDYNQYIIKNPEINPLNG</t>
  </si>
  <si>
    <t>GYLMFNGSAIMPENSTGIMWNNVKAYQYFNHSPNCGVNLYSWSLDPLGNIIAGSVNLTRI</t>
  </si>
  <si>
    <t>DDFTSIYHIDPEINANNSAEIVTMIQSINMVNYLSGMCGKSW</t>
  </si>
  <si>
    <t xml:space="preserve">&gt;Acanthamoeba_polyphaga_moumouvirus@YP_007354347.1 YP_007354347.1 capsid protein [Acanthamoeba polyphaga moumouvirus] </t>
  </si>
  <si>
    <t>MNSSSNNFMPINFKNTNDYIYPNDMTNPYIDYINQQVQNMYDTIKSNCDTVFNIYNNLFT</t>
  </si>
  <si>
    <t>SKNKLMFNNTPPISNIYSYLTNTTEKSQIININIWYFYFFKYLDLLNECTFSNYLYHQSC</t>
  </si>
  <si>
    <t>KISENGQKITKYLIILLKINLDYYMHEISYLLNDLYSSSPSTNISQKLTDYVPVITNNPD</t>
  </si>
  <si>
    <t>TTIISIIFHRNIVPTILEMFQFIYNFISTISLKEISERLDICLEPICNDEMTYIKNMIKL</t>
  </si>
  <si>
    <t>LYYNIYKHFMDKYDTCHFEAPSNFSTNEYDKFDNEIIEEYVKYFLTGYTINNDLILNNQV</t>
  </si>
  <si>
    <t>TLSKVISQMEFYFILEMINMRQQQKFYHNTLSNFKTLNEKTGSTIRTVLKFINESIKKIN</t>
  </si>
  <si>
    <t>HNDDINLEKIKSGVDPTRKYFDTIFRNNISKNLPDEVYYSTFNISRYSGEAYINTPYKSR</t>
  </si>
  <si>
    <t>FFGNVPKDPSKLPLKDPIPLPNSNPYGIKQNYYDHDQLIYDYSIITNPELNFNVNIPINL</t>
  </si>
  <si>
    <t>NEEQINNFLDNMEEFQLYEIDFFRLKHNIFEDRGNYGFQNINIDEYDFNMLRLLKLCERL</t>
  </si>
  <si>
    <t>LKGNNNNEIYFWLFETINFLIKNINTGDENIINILNELLNYTYQKINNIEMENNFNMENL</t>
  </si>
  <si>
    <t>RNLVSFLLKNINTKSLKIDDLCQNNEYIYDKIFTINNTNNTILENIIAIKNNFLAQYYIF</t>
  </si>
  <si>
    <t>LCESNLFDTINNNIITSDKYSFMGLLPAIYQIIGVDDYDNIQARTSIYLYPDKYSNEIIN</t>
  </si>
  <si>
    <t>KNKKQENMSDLQKKIINHYEKFMTEDTINLLTDRDIFNIINTTFTSCISFYRYLVDNNIF</t>
  </si>
  <si>
    <t>DLVICELKKYQLLMLRKLSIFGDILNYFDEHGNKYLDENNINDLINFGEKELDQNLFINY</t>
  </si>
  <si>
    <t>LKNIFVPKYNTYLSNGQNIEKLILINIELNRQIEIFLLQKILPNTTITRLKDLIINHFTS</t>
  </si>
  <si>
    <t>HKILQNHSELINLIYFIGNEYLSYLYFFLQFHRKNNINPHEIMNPLVDINKYTFESKINT</t>
  </si>
  <si>
    <t>NMSTMGDFLLNVLDYIFDDTLTNHQRYLININNYHEMVNEINKIILTKNNNNDNNNNEKI</t>
  </si>
  <si>
    <t>LNIIEALKTDTQQISIEKYIQELSQDNVTLNLENINKKNNIHNILLETCQKIIIIINEYK</t>
  </si>
  <si>
    <t>NNLNILKNKITSILYRNKRAKTAWIRKLAHYLVKEVSIKCGDQLLDCHISDWFEVYNNIS</t>
  </si>
  <si>
    <t>QSENHKDAYMKMIGHRDNLIEFNENVKESHLIVLPLIFYFNRNVASSLPLNASINVKYQL</t>
  </si>
  <si>
    <t>NLYLRDLNDVVYKEEFSDFVDPHNFNQTNGYKPHIKKAYLMCEYIYLSNEERKIFVSNRL</t>
  </si>
  <si>
    <t>QYLMDELQYNTINTSDIKSIPIYKVGTKVKNYFVVENGVKTKKEKFIDYMYLSENEINVN</t>
  </si>
  <si>
    <t>DMENKLIPNVETEIKPYITKSGICYTKAIKTKNTYIHSRQVIVKNHFENPTKLITVLIKP</t>
  </si>
  <si>
    <t>VMHTEPEYRLHNSNYFYGERQWDNYGLNSYYDLSKIYEIKSQHYCNMHSRIKDLDDPVLG</t>
  </si>
  <si>
    <t>FVYIINNILLDYTNINTDNLTTTNKYDKWINCNTQYFMQTLQKLKEKYMNYHGEIIYKTK</t>
  </si>
  <si>
    <t>TIKLKENILSLNINYPIYDYDSLMELIKYVYNDINEKIPTDSIILEAFKNAYHNFNWDNI</t>
  </si>
  <si>
    <t>YVDKTIFKNATLELLKYQILNDKNIDFEKLINFAYNQYNEYQINLLLLDLEDIIDLNDLN</t>
  </si>
  <si>
    <t>YNIVNIINTIYDIYSMRSNNEDDILNILEMIYKKINNLQEYEITQLNNLVVKYEVFKDVI</t>
  </si>
  <si>
    <t>HQISNPDLLMNYSEMIPQYIVNIISYKMTQKMNYLIDNLNVEVVDYKNYLVENPKINPLM</t>
  </si>
  <si>
    <t>GGYMSFNGFEIMPKNSDSIMWSEMTAYQYFNHSVSCGINSRSLSLHPLKEMNSGSANLSR</t>
  </si>
  <si>
    <t>IDDFSSTYYLNPRIDNNNSAKIITMALGMNLNNYISGMCGKAW</t>
  </si>
  <si>
    <t xml:space="preserve">&gt;Acanthamoeba_polyphaga_mimivirus@YP_003986948.1 YP_003986948.1 probable capsid protein 4 [Acanthamoeba polyphaga mimivirus] </t>
  </si>
  <si>
    <t>MAGGIIQLVAYGIQDLYLTGDPQITFFKVVYRRHTNFSVESIIQNFTSVPDFGSTVSCTL</t>
  </si>
  <si>
    <t>SKSGDMINKIYVYIELPSVNVFYDESGNLDKFKKFAWVRNIGYALIKDVSIEIGGKLIDK</t>
  </si>
  <si>
    <t>QYGEWMYIWSQVTNKSDEGLDKMIGNIPLLYDFSNGKPKYSLYVPLEFWFCRNSGLSLPL</t>
  </si>
  <si>
    <t>VALSSSEVKITISFRSAEECYRIGPTHSIEIMEDIVPFEFGDYIEQKIGQKTIHGLYMGY</t>
  </si>
  <si>
    <t>DYMTKKLYYIKIHSPTAIKKSFESQQLRNSTSQRENYRIYNSLTGSYCTPKPDHSEMSEP</t>
  </si>
  <si>
    <t>TELSQKLHFINAYLYVDYVYLDNDERMMLIKNPQEYLIEQIQYNQEINVKNSNVKQKLTL</t>
  </si>
  <si>
    <t>NHPCKAHYWVVQSDSLVGPGTINDVFNFTTSHIRNHDGRTIGENPVTKSKLMLNSRERFK</t>
  </si>
  <si>
    <t>QRDGKYFNIVQPYQHHYRGPDTGINMYSVSINSQCHQPSSTINMSRIDDISMEMQLKNVN</t>
  </si>
  <si>
    <t>PNNTHKIRSYTTSYNILRVCFNIGGLAFESMD</t>
  </si>
  <si>
    <t xml:space="preserve">&gt;Acanthocystis_turfacea_chlorella_virus_1@YP_001426761.1 YP_001426761.1 hypothetical protein ATCV1_Z280L [Acanthocystis turfacea chlorella virus 1] </t>
  </si>
  <si>
    <t>MAGGLSQLVAYGAQDVYLTGNPQITFFKTVYRRYTNFAVESIQQTINGSVGFGNKVSTQI</t>
  </si>
  <si>
    <t>SRNGDLITDIVIEFVLESVGPTFYPAEQLLQDVELEIGGQRIDKHYNDWFRTYDSIFRMD</t>
  </si>
  <si>
    <t>NDRVNYRRMTDYVDNESIGTTKRFYVPLIFFFNQTPGLALPLIALQYHEVKLYFTLASSV</t>
  </si>
  <si>
    <t>NGITANASGSTSGFANGATVTAPQMSVYVDYIFLDTQERTRFAQLPHEYLIEQLQFTGSE</t>
  </si>
  <si>
    <t>TATISTTTQASQNIRMNFNHPTKYLAWNFTPGTYNSYGRYTALANVSVNSNTTVGDTANT</t>
  </si>
  <si>
    <t>ATFNEQLAPLDSAKIQLNGQDRFSSRKGSYFNKVQPYQTVGSVVPAGVYLYSFALKPAGR</t>
  </si>
  <si>
    <t>QPSGTCNFSRIDNATLSLTYKTASVNAYDVIANVANGLGQSETVTANTAVALTNLNIYAK</t>
  </si>
  <si>
    <t>NYNVFRVMSGMGGLAFAN</t>
  </si>
  <si>
    <t xml:space="preserve">&gt;Aureococcus_anophagefferens_virus@YP_009052321.1 YP_009052321.1 putative capsid protein 2 [Aureococcus anophagefferens virus] </t>
  </si>
  <si>
    <t>MGGGLLQLQRYGQQNEYLNGNPSLTYFKNVFKKHTHFSMETKRIEFEGIQSLATDVDTIM</t>
  </si>
  <si>
    <t>RCKIDRNGDLLKDLYFVMNLPDIYSGYEPDSTGTNIGNAYEFQWIPNIGAQIIKKATLTI</t>
  </si>
  <si>
    <t>GGSKVSELYGQWIEIYYELFLDTSEKNNFDRLIGHVPEIFFPAYNGLNNGFYPTSTLDPS</t>
  </si>
  <si>
    <t>LNNNPDSQQFFFSNFAKNPYLQPPSIAARTIHVPIPFWFTRNPGLALPLIALQYHEVHIE</t>
  </si>
  <si>
    <t>FELRPISQLYTILETKENMNVSVGERTAPDATLSHHNISNFITSIPVESFNPDTSVMTSL</t>
  </si>
  <si>
    <t>NDGENNLQGWNFDCHLLANYVFLDKEERTKFALGSHDYLIEQTFKNSFTGIKGTRSVKLE</t>
  </si>
  <si>
    <t>FSHPVKYLLWTAQRNDVSKKFNGHNNYTNYDNEFIDPGSAAYIRRFGVDDADPLYFQYEN</t>
  </si>
  <si>
    <t>GSIREVNGIKQTLDMLPNHRALIPTKFNFKFYEKNIIKSTRLLFDGVERYASGSSIYHQS</t>
  </si>
  <si>
    <t>LQAFQHKTKIDKFGLNMYSFELDASNLSPNGSCNFSRIDNVQLEVITIDPPPEKDNANSY</t>
  </si>
  <si>
    <t>DFNLDVYAINYNILRIQNGMGSTVFAN</t>
  </si>
  <si>
    <t xml:space="preserve">&gt;Cafeteria_roenbergensis_virus_BV-PW1@YP_003970031.1 YP_003970031.1 putative capsid protein 2 [Cafeteria roenbergensis virus BV-PW1] </t>
  </si>
  <si>
    <t>MSQDGPLIDLVSRGVQDQQIITNDLDKSLFVNNINQHTNFSRGTITVDFKGNGNWGSTIK</t>
  </si>
  <si>
    <t>FTIPQEGDLLSSMYLNLKLPEMSVDDIKGINPNEKDNYRIRWANYIGNALIDKVTLKIGG</t>
  </si>
  <si>
    <t>KIIDEQYGIYMQLHTDLYDDDWNKMMMIGHDGNLNLPQKILYSEELFIPLKFWFSDDPSK</t>
  </si>
  <si>
    <t>ALPLIALKHEDVEIEVKFTEFHKCYSILKVTGSSSELVHTTKKINLKQFEKIQLETNMVY</t>
  </si>
  <si>
    <t>LSCKERNQILIKDHEILITQVQRRQKSVNTDSFIELDLNHPVKELIFFIQPLRNLNQGEI</t>
  </si>
  <si>
    <t>FNFSSKLDYLSHEYENIKGYDVVPYRLMPKYHLLDQARILFNGKERVSWKNYKYYYYLQN</t>
  </si>
  <si>
    <t>YEHYRNSADQYIYLYSFSVNPLSNNPSGSCNFSRIDNAQLQFKLRTVPKTSLTITNSENN</t>
  </si>
  <si>
    <t>VEVIKVNGSIKDDNAGLLTLYATNYNYLIIKNGVAGLKFNN</t>
  </si>
  <si>
    <t xml:space="preserve">&gt;Ectocarpus_siliculosus_virus_1@NP_077601.1 NP_077601.1 EsV-1-116 [Ectocarpus siliculosus virus 1] </t>
  </si>
  <si>
    <t>MTLFKSQHKRYTNFAEDFEENDFSAGTVGFGQRVSANVSRYGDLVSDVLLEVTLPAIQAS</t>
  </si>
  <si>
    <t>ESVVNGAGTEVADADKAAYWVNAIGYAIISEVEIEIGGTEVDTLYSEWMFLWEELTQRPG</t>
  </si>
  <si>
    <t>ARLGEQIGKFAYSADVEEDMIEFASQERKLYVPLPFWFNKYWMEHGLSIPLIALTYHEIK</t>
  </si>
  <si>
    <t>IKVSFRPLADCCAVVYRESDPTWGDYWALAADKIPINTASASAMAASDMDARLLVSYVYL</t>
  </si>
  <si>
    <t>DQEERQAFASVQHEYLITTTQRQMHSITSASAKSDQLKLYFNHPSNALIWFVRPTDFKNL</t>
  </si>
  <si>
    <t>RRRFSVGHKDMFDFSLQKEDATVSMWGDVTDSVASASLTLNGHSRFPDSLPGLFFRQVQP</t>
  </si>
  <si>
    <t>ALKWPNTPAGYTYLFTFAALGGVWNPTSTLNMSRIDHVQLELKYGDNIPTSDVIVFNEAY</t>
  </si>
  <si>
    <t>NLLVIKEGMGGEVKDPVVGILDAANRVSWGREAPLLSCGLTQERYSSPGALGLLVC</t>
  </si>
  <si>
    <t xml:space="preserve">&gt;Yellowstone_lake_phycodnavirus_3@YP_009174293.1 YP_009174293.1 putative major capsid protein [Yellowstone lake phycodnavirus 3] </t>
  </si>
  <si>
    <t>MPGGGLMQLVAYGAQDAYLTGQPKVTFFQSVYKRHTNFAMETSQQTVSGAIGNGSLVSVT</t>
  </si>
  <si>
    <t>LARTGDLVGDMFVALTPINTSASQLTTNNVGVDTCWMAERAFNTVELFIGGQSIDKHYQQ</t>
  </si>
  <si>
    <t>WFRLYAEVFLNETKKVNYGKLTSMAAPNNTNQTSTAQVFLPLLFFFNRNPGLYLPLIALQ</t>
  </si>
  <si>
    <t>YHEVRIDFTLASNYSSYFGSNPPAVWANYMYLDTTERERYAKGSHEYLIEQVQHVAGDPV</t>
  </si>
  <si>
    <t>GSTNENSPSVIRLQYNHPVKELIWCYQDPTPGTNRNAMWNFSSSTSNVEVTVDVQKIAAS</t>
  </si>
  <si>
    <t>GGFLEPHKTGSPVLYIPPILSSNLTVVSNVTYVTSNIAPGSNVQLQSNVVAGASLWVEGG</t>
  </si>
  <si>
    <t>LPVLSSNVLYGQEVGPLHKFKLMLNGTDRFVEQSGKYFNQYQPYQYHEGSPYPGIYVYSF</t>
  </si>
  <si>
    <t>ALKPGELQPSGTCNFSRIDMAQTSVYLKTGMPSNILQQMFAVNYNVFKVASGMGGVVFSN</t>
  </si>
  <si>
    <t xml:space="preserve">&gt;Bathycoccus_sp._RCC1105_virus_BpV1@YP_004061511.1 YP_004061511.1 hypothetical protein BpV1_081 [Bathycoccus sp. RCC1105 virus BpV1] </t>
  </si>
  <si>
    <t>MAGRVQLETSGPQDAFFTDDPEYTYFIKNFQKHTNFAPFFVDLDVEGEVEFGNTIRCTIP</t>
  </si>
  <si>
    <t>QNQGDLLKTVSMKVELSSIQQNLVNNIEGIGYVESIGHAMIEYVEIMIGGQVIQRIPSDF</t>
  </si>
  <si>
    <t>LAIYSDNYVTQTKQHNLEKLIGKPPLEFSGTQVSSVQIAGYLGLATSDTKYFVDIPFYFY</t>
  </si>
  <si>
    <t>NNPELAVPLCAITGQEIEIVIKLRDLKDCVWGYDATDPANSNSIFYLGDFVQTKGLIKSL</t>
  </si>
  <si>
    <t>KLTTEMVSLDEEEKQMLLSKKIDYIITQIQESKSIIPQDSNVNSIVDVKHKLKFKNPIKE</t>
  </si>
  <si>
    <t>LFFIVQRLRKLTGGHFVTNFDYDSNYQLYNGEYVNYEHLQNLEIQLDDSVILDKVTGNVI</t>
  </si>
  <si>
    <t>NLRAIQSGIHHSRTQLFRRYYSYSFALEPERWYPTGQRNFSLIKEQDIKLKILPDNLAKR</t>
  </si>
  <si>
    <t>ELRVLGLSYNILRVENGIAKTLFNL</t>
  </si>
  <si>
    <t xml:space="preserve">&gt;Ambystoma_tigrinum_virus@YP_003785.1 YP_003785.1 major capsid protein [Ambystoma tigrinum virus] </t>
  </si>
  <si>
    <t>MSSVTGSGITSGFIDLATYDNLERAIYGGSDATTYFVKEHYPVGWFTKLPSLAAKMSGNP</t>
  </si>
  <si>
    <t>AFGQQFSVGVPRSGDYIINAWLVLKTPEVKLLAANQLGENGTIRWTKNPMHNIVENVNLS</t>
  </si>
  <si>
    <t>FNDISAQSFNTAYLDAWSEYTMPEAKRIGYYNMIGNTSDLINPAPATGQNEARVLPAKNL</t>
  </si>
  <si>
    <t>VLPLPFFFSRDSGLALPVVSLPYNEIRITVKLRAIQDLLILQHNTTGVISPIVAADLEGG</t>
  </si>
  <si>
    <t>LPDTVEANVYMTVALITGDERQAMSSTVRDMVVEQVQAAPVHMVNPRNAATFHTDMRFSH</t>
  </si>
  <si>
    <t>AVKALMFMVQNVTHPSVGSNYTCATPVVGVGNTVLEPALAVDPIKSASLVYENTTRLPDL</t>
  </si>
  <si>
    <t>GVEYYSLVQPWYYATSIPVSTGHHLYSYALSLQDPHPSGSTNYGRLTNASLNVTLSAEAT</t>
  </si>
  <si>
    <t>AAAAGGGGDNSGYTTAQKYALIVLAINHNIIRIMNGSMGFPIL</t>
  </si>
  <si>
    <t xml:space="preserve">&gt;Micromonas_sp._RCC1109_virus_MpV1@YP_004061976.1 YP_004061976.1 hypothetical protein MpV1_093 [Micromonas sp. RCC1109 virus MpV1] </t>
  </si>
  <si>
    <t>MAGRLRLAATGIQDEWLTGEPQFSYFLMNFKRHTKFAFDFVESQFDGNIDFGQTVTCRIP</t>
  </si>
  <si>
    <t>GDKGDLLRNMTLKVTLSDPKPDDGGENDMVWSPSVITHLIEHAELLIGGQPIEKITGEYI</t>
  </si>
  <si>
    <t>YMYQQLNSTNDDIEQTLYFLTGHGNYLSYANEYTYFLDLPFYFYRNPSLAIPTCALTKQI</t>
  </si>
  <si>
    <t>VEIRVKTRPLNELVRNIGAADAEGISDVTASINKFSLDTEFVYVTPEERGYIMSRPLDYI</t>
  </si>
  <si>
    <t>ITQVQLAKFIMKPDENKKSVMLNFQHPVKELFFVSQSKQASSNNIPNYYNEIVNTELRFN</t>
  </si>
  <si>
    <t>NEVVFNRDGLFLSYEQALKHHVNAPSALDFTPEEINGSTRRLGPSKFGIYSFSLKPDMPY</t>
  </si>
  <si>
    <t>PTGQVNMSRISHKLFTIEIDPIDAAFENDTRVYAINYNLLRIESGLAGLKF</t>
  </si>
  <si>
    <t xml:space="preserve">&gt;Emiliania_huxleyi_virus_86@YP_293839.2 YP_293839.2 putative major capsid protein [Emiliania huxleyi virus 86] </t>
  </si>
  <si>
    <t>MSGFGGGSSGAGSLTQLLATGSMDAALTQNATRTFWKSSYQKHSLFALESINQPFTTQVQ</t>
  </si>
  <si>
    <t>FGAESHITVNRQGDLLSWMYLKIVLPGLKVQNQADTVQPTQQSFASLDNDVAAQADVSHV</t>
  </si>
  <si>
    <t>LPYIEGAYTEASLNTKEQLIAEAKNSYEAAKYNAAPLPVAAQMQSTEMPDFDYAYWTEAI</t>
  </si>
  <si>
    <t>GFHLIKRAEFKVGGATIDTIWSELLFAMEELMGRAGRRLTETIGRTLRRPTELMKASRQE</t>
  </si>
  <si>
    <t>QILYVPLPWYFTKHPSLAFPLVAATYHNIQLWVQWAQLNSCIIKSRSNLVVLHAERNVPI</t>
  </si>
  <si>
    <t>SDDHLRASLECTYVHLEAAERDALTANAGTQLIVQHQAHLQQVSSNNVTARLNFNFPVLE</t>
  </si>
  <si>
    <t>FYYFLRRKANKDAGDHFNFSGIGGRDPVVSAELLFNNTARVTQKPAVWWRAVQALQFHSS</t>
  </si>
  <si>
    <t>APLTNIYSYSFSLSPEDPITPSGSANFSRLDSVELALTLQDDFGAAHDANSELFVFARSY</t>
  </si>
  <si>
    <t>NILKFTNGLAGLLYSN</t>
  </si>
  <si>
    <t xml:space="preserve">&gt;Yellowstone_lake_phycodnavirus_1@YP_009174827.1 YP_009174827.1 putative major capsid protein [Yellowstone lake phycodnavirus 1] </t>
  </si>
  <si>
    <t>MSGGQVQLVATGAQDAWLTGNPQVSLFRSVYRKYTHYANTVERQVIQGTPSSGGISTIRL</t>
  </si>
  <si>
    <t>EKKGDLVNYMYFTARDTTGAVVNNLDWSTVIDRIELLIGGQVIDTQDFEFMTDVEPVVGA</t>
  </si>
  <si>
    <t>QTFSQRYLNNAVPGQYTPTNQETTFLPLKFFFCKDYSSSIPLVALQYHDVELRITWSAAL</t>
  </si>
  <si>
    <t>NTTTATSGGTSLASGVKNSGLQFVAWANFVYLDQSERKFFAENAHDMLITQVQRIPISKS</t>
  </si>
  <si>
    <t>ATQELALAHPVKYIAWPSANYGDKYGLDGSGVNVKDYQLKVQINGSDIGEFRHLPAFTDI</t>
  </si>
  <si>
    <t>AQYYNTPFGYQHGNQSANVAVISYALDTSKLQPTGTLNFSRIDTYRLVVPVTLSNGVQAL</t>
  </si>
  <si>
    <t>TNAAVSNPYLYAVNYNVLRIQNGVGAVLYAN</t>
  </si>
  <si>
    <t xml:space="preserve">&gt;Bathycoccus_sp._RCC1105_virus_BpV1@YP_004061510.1 YP_004061510.1 hypothetical protein BpV1_080 [Bathycoccus sp. RCC1105 virus BpV1] </t>
  </si>
  <si>
    <t>MAGRLNLAITGIQDQWLTGEPEFSYFLMNFKRHTKFSIESIETPFDGDIDYDVSVECRIP</t>
  </si>
  <si>
    <t>KNKGDLIRSTMLKFTLPKPSTPDKSFTVRYRESIGAQIIDHADLVIGGQTIERITGDYIY</t>
  </si>
  <si>
    <t>MYDQIHSNKDDIDQTLYFLTGHGNYIDVTYDWDYSVLLPFYFFRNPSLAIPVCALTKQLV</t>
  </si>
  <si>
    <t>EVRIKFKKLEDVTVSYTRTGGDVYDPPSSVSSSIKNVSLVTDFFFITEDEKNFLLTRPIE</t>
  </si>
  <si>
    <t>YVITQLQMSQFKFKLGESKKSGMLNFKNPVKEMFFVAVSDDVYKYEPIKQVTMKFNNTSI</t>
  </si>
  <si>
    <t>IDADNLMLSYEQPLKYYTGVTGNNFGVYSFSLKPETYYPTGQVNMSRIAHNLIDIELDTP</t>
  </si>
  <si>
    <t>DASFGHKVYVYAVNYNVLRISSGLGGLKF</t>
  </si>
  <si>
    <t xml:space="preserve">&gt;Cafeteria_roenbergensis_virus_BV-PW1@YP_003969808.1 YP_003969808.1 putative capsid protein 4 [Cafeteria roenbergensis virus BV-PW1] </t>
  </si>
  <si>
    <t>MSVGLLILATNSGEKHFITNKPEITFFKKVYKRHTNFSVEVIPSYFINPIDFGRNTTLNV</t>
  </si>
  <si>
    <t>SKHGDLINEIYLHLKLPPLISSNDSLDNFKIQYVKNLGYSLIKKIELEIGGNVLTREYGE</t>
  </si>
  <si>
    <t>WLYIWNELTTPLQQKRGVNIILGNTDIYTKAEPTKNSLSLNIPLYFWFNNGTCNSLPLVS</t>
  </si>
  <si>
    <t>LSKDDIKIHIELRKLSEVIKQTPEKQIKIIQNFCSLKEGDEFYQIINGKKSVGIFYKFDL</t>
  </si>
  <si>
    <t>TKNLIYYNSLIGEIVYSENPNENILYTSYDDTFEISNEINSIGKVGDYFNLNYPSLVEGY</t>
  </si>
  <si>
    <t>CLINYIFLDNEERYLYLTKNHEYLVQVPQNLTEESFSSSNIKYNLHLVHPVVSIYFRVIL</t>
  </si>
  <si>
    <t>EQNIINKDYFEYSKYPLTDKDVIENKMYNGNKLLKTDSLIKKIKLFINGQQLSNIDNPYF</t>
  </si>
  <si>
    <t>FNLLQNVKYYGGRGNEFIYKYSFSINPLSKCQPFGSLNFSKIDDSYLQLTLDGVIDYQNP</t>
  </si>
  <si>
    <t>VRIKGYAVNHNIFRIINGIGKFVFAS</t>
  </si>
  <si>
    <t xml:space="preserve">&gt;Ostreococcus_tauri_virus_OtV5@YP_001648158.2 YP_001648158.2 hypothetical protein OtV5_072 [Ostreococcus tauri virus OtV5] </t>
  </si>
  <si>
    <t>MSGGIAQLVAVGAQDAHLVGSPEISFFRSTYKRHTNFSQTVERQVIQGNVSNGGMSTVRF</t>
  </si>
  <si>
    <t>ERKGDLLSYVYLVPNDGSAAQGYSAADWRTKIAKVELLVGGQVIDDQDSTYSTLIAPVLS</t>
  </si>
  <si>
    <t>ATNSSKSVSGDLFGGANTSRFYPLRFAFCENLQTALPLIALQYHDVELRITWGSAAATDK</t>
  </si>
  <si>
    <t>WDVYANYVYLDTQEREHFAANPQNMIITQVQKATASLTKIQELNFNHPVKYLAAGKASAL</t>
  </si>
  <si>
    <t>EILNDDNKLKLQINGTDVADFKFADPNFSHIPLYYNTTNAGKPATLKTLFVYPFCLETGK</t>
  </si>
  <si>
    <t>LQPTGTLNFSRLDSARIVNDTRDCDDDIYAVNYNILRIENGMGGLLYSN</t>
  </si>
  <si>
    <t xml:space="preserve">&gt;Acanthocystis_turfacea_chlorella_virus_1@YP_001427039.1 YP_001427039.1 hypothetical protein ATCV1_Z558L [Acanthocystis turfacea chlorella virus 1] </t>
  </si>
  <si>
    <t>MNDQICEVNNADNASDFVVYDESFMAFAKPEGVGLPGIKRFTNHTTQAREMTFDNLYTPP</t>
  </si>
  <si>
    <t>SGNLDIRPDNVYAPEPGKFDIKPVVNDEVPLSKRARGTASEGTFYQLVGRGPQDVFLTYN</t>
  </si>
  <si>
    <t>PQISFFKQAYKRYTNFAVQTTEERFSTTVRFGTKNICQLSKIGDLAGHMSFKLTLPNLGI</t>
  </si>
  <si>
    <t>SGGTWNETIGYNCIGLVRLRIGDTVVQAHEGIYMDIDDKLFCPSEKYDGLSRTIGRGQVY</t>
  </si>
  <si>
    <t>PTDEENTITVPLKFFNCYRPSTKQQFIPILNLQTNIEVFLEFVLKPISLLVTLPAGSSIP</t>
  </si>
  <si>
    <t>DIPSVSASVLVDYVFLDESERYRFAQNPSRFLIEQTPTVDTPTYLTSSGGAITMKDITQV</t>
  </si>
  <si>
    <t>QLRELNKPVKFLATVALMLNDFSSFVYYDIIRSGTFYINSDKQFQERSGDYWRLTQTYQH</t>
  </si>
  <si>
    <t>FTRSIPEDNIFAYSFALNSGSFQPNGFVNFAPYVRTFLSFQMDRTQPPMRLKTVAVALNF</t>
  </si>
  <si>
    <t>LDFSSGTAKLMFN</t>
  </si>
  <si>
    <t xml:space="preserve">&gt;Yellowstone_lake_phycodnavirus_3@YP_009174375.1 YP_009174375.1 hypothetical protein [Yellowstone lake phycodnavirus 3] </t>
  </si>
  <si>
    <t>MSAGYIQLAAIGQQDAYLTGKPEVTYFSGVYKRHTPFVLEAYDIPFQDQQVLYGSLNICR</t>
  </si>
  <si>
    <t>IPPKGDLIRGLTLKMNLPALSNPGNNWTWPLPSAISYLPHFIVSNLAGVRTYNETPLLGN</t>
  </si>
  <si>
    <t>VTYYSTVNSPSWITGNIAYYVSYNAVTNKFTFSNCLSVEVDSSFGVFWGLDPKVGTSNVS</t>
  </si>
  <si>
    <t>NLVYTVSGSRPGDFTLEQSGWLQSPGIIDPKTGLFIQATLTQAVTPASTYINFGATNTQG</t>
  </si>
  <si>
    <t>GPVWTNYYPKPTAFIVSSTGRVRFGGQGYYILRASMALDVGSLATISYGTTSVDSGTPSS</t>
  </si>
  <si>
    <t>FTYTYTFPVSPDPSMPIVLPINVSDPTRYYSFYVTSSTAATILTGSWLSVNPVEEFYKFN</t>
  </si>
  <si>
    <t>SSSSTLSAQYSRMQFAGNVTSQNTYANLASDSSFSFKGGAGMYLASGSIALVNPAVGQYV</t>
  </si>
  <si>
    <t>SNVSISNVNSISNVLFTYDMSSQGRDPTFFFSMPIQVLSTTDKFAFNVGLTSGTSATINA</t>
  </si>
  <si>
    <t>DTFVAFSQFGVYPGTQSGYVLPYNGLLFNAPAPQVLNGNVNLTNYTSTGNSYIISTPAQG</t>
  </si>
  <si>
    <t>GLTFSNTGIYMMTATLSGTTPVSRVSFGSTVYNVGVGLLPPYTFTLPLNITTPFLGANIS</t>
  </si>
  <si>
    <t>FVTGNTSAQTLGANSFHFRVPDRIEHNSEYKLQLQRFGRDVGDQVCRAQDWWSVHPDAHG</t>
  </si>
  <si>
    <t xml:space="preserve">&gt;Yellowstone_lake_phycodnavirus_1@YP_009174840.1 YP_009174840.1 putative major capsid protein [Yellowstone lake phycodnavirus 1] </t>
  </si>
  <si>
    <t>MKLRRIKVLTNFRMSAGYIQLAAIGQQDAYITGSPSKTYFSGVYYRHTPFVLEAYDIPFL</t>
  </si>
  <si>
    <t>GDKLLFGSEHVCKIPFKGDIIRGLTLKTKMPGLPYFAPDSWSYPTPASDAFQPYFIVDGV</t>
  </si>
  <si>
    <t>TTVQVAIGVSYYTASQNTKGNWITGAISNYVDYDATTYKFFFKNCTTVEVPPFTNTSNPS</t>
  </si>
  <si>
    <t>GVFWGLDPKTSTSINPANGNFIYNLTTHGYLADFTTEQSGWVRGEASAVDNIRGGYYLSL</t>
  </si>
  <si>
    <t>RTAQPPWTPPVIYSGTDTVFLNVASQNFTAFGLSPYAVKTSRGCIQFNSPGNYLIRGTIN</t>
  </si>
  <si>
    <t>SNSPIYSVSYGTTNTDGRPADASVVYSYTHTWRVSSDPTMPFMLPINIEEAGTFAYLDIN</t>
  </si>
  <si>
    <t>GTFTEDSLILPSMYVSVGALDIFYNLVNNYTAPSATFTLPLTLFNENSYVYSNILSLATN</t>
  </si>
  <si>
    <t>NTFTFFNEGTYTVSCYLSTAGDQYVRKISVKTGSTYLYTYTTDQGRNPTYDFVLPISVTN</t>
  </si>
  <si>
    <t>TATVYSIEVNTSASSPTLIGSNASYISFVQCSSPQTAGSVAAFPENGLFFTPKVGTTLPT</t>
  </si>
  <si>
    <t>PTGANTYTFNLGSDFNSAGVSTSINQVGTGMTFSNVGVYMMTAVVCTDEALSSISFGNQT</t>
  </si>
  <si>
    <t>YPIGVGLLPPYTFSVPLYVSTTTSQWNISITSSGSSTGIYANTYMSVVPYASNIQETAFN</t>
  </si>
  <si>
    <t>YYDSVGTYMIQKAELRIGNQLIQSLTGEMIELWNDLNIPYENQPGLTLLTGKLDTSNVND</t>
  </si>
  <si>
    <t>PGRTYYTNLPFYFYGNPELSIPIAALDRHDVELYVTFRNFTELTPYSNTAALSQNLGGLV</t>
  </si>
  <si>
    <t>TQPLDATIIVEYGYLSENEINWMKKSRLDYIITQTQVASYTLQPGFTSGVFSLPFINPVR</t>
  </si>
  <si>
    <t>ELFFVIQADGNVPYDFTQNGLLSMTLSFNGQEFFSRRDTDALYLGTIEPYNHHVHDPDRN</t>
  </si>
  <si>
    <t>FFMYSFAQDPNDPRPNGQVNFSRVNQKLLEVNTLSSDVPRQLRVYALNYNIMRVENGLAG</t>
  </si>
  <si>
    <t>ILFNFF</t>
  </si>
  <si>
    <t xml:space="preserve">&gt;Paramecium_bursaria_Chlorella_virus_1@NP_048359.1 NP_048359.1 Capsid protein [Paramecium bursaria Chlorella virus 1] </t>
  </si>
  <si>
    <t>MSGALNQLVAVGKQDAFITGDNLDNSVWRNVTKKVSNFAMESIENYINVNPGSTTSIVVG</t>
  </si>
  <si>
    <t>RFGDLVRKVTLEITMKKGSTTNPFYPSEQYVKYAHLSIGGQIVYRIDDFPTWTRVHEELF</t>
  </si>
  <si>
    <t>MDPDTRATNQRVNNFRPEDPVGAIRKFYLDIPLFFTDDASKALPLIALQYHEVKLDVLFA</t>
  </si>
  <si>
    <t>SPGDIPGIDASYTPTVECYIDYVFLDTPEREWFARNTHMYVIEQLQHYNNVFSVAAVEQT</t>
  </si>
  <si>
    <t>KRLNLPFTMPTRYLIWLLKTGADGVYTTSGYPFENNDSYAAIKSAKLQFNGTDRFSERPG</t>
  </si>
  <si>
    <t>YYFTTVQPQDAFGRSPSAGIYVYSFGLDVTGMTSKGALNFSRMDNATLSITTKAATAATI</t>
  </si>
  <si>
    <t>SDVYNQSTTLASAITDFTSIAIYAKSFNVLKIDYGMGGMLFAN</t>
  </si>
  <si>
    <t xml:space="preserve">&gt;Paramecium_bursaria_Chlorella_virus_1@NP_048358.2 NP_048358.2 Capsid protein [Paramecium bursaria Chlorella virus 1] </t>
  </si>
  <si>
    <t>MVSGGVVQLISYGAQDVYISGGPKTIFKSYVKKVNNFAIDSVKIPINGMGNGNPSVLIPR</t>
  </si>
  <si>
    <t>NGDLIKSIRLEITLKKGTGQSFYPAEQLISYLALKIGGNIIQKIDDFSNFCRIRNELFMD</t>
  </si>
  <si>
    <t>PDERHTDYRVNNFSSSDVVGSVKYFFLDLPLFFSKDTSVALPLIALQYHDIELDFRFNDV</t>
  </si>
  <si>
    <t>STIQGVDASYTPTIEMYIDYVYLEQQERIKLVEKPLFYNIEQCNFYRKDITFPALSSTFK</t>
  </si>
  <si>
    <t>LDIPFNNPSRFLVWYFNTDSFGIYNTSGLYFNSNDAAAPLESAVMLLNGTERFKSREGMY</t>
  </si>
  <si>
    <t>FNCVQPQQALGRSPSSGIYMYAFGEDVANATSKGALDMSRVNELSLQLTTKNATAANVYT</t>
  </si>
  <si>
    <t>VYNPQETLASSTSTYKGITLFSTNWNVLQVRSGLGAVMFDS</t>
  </si>
  <si>
    <t xml:space="preserve">&gt;Cafeteria_roenbergensis_virus_BV-PW1@YP_003969810.1 YP_003969810.1 hypothetical protein crov178 [Cafeteria roenbergensis virus BV-PW1] </t>
  </si>
  <si>
    <t>MDGGLLQLIAKGVEDMPFINKPEITHFKKIYRKTGIFSIMDSEVILDDLAFEKIKLSKIP</t>
  </si>
  <si>
    <t>KVGDLISKVYLELTIPDFKVNKIQSQNYTKDIFKDINYYTKMNILKKFLEIENTQELHID</t>
  </si>
  <si>
    <t>DTTLIKLSPYSSGKNILLSKINQINNEYTLEFPIENYKIISYLLTSNLKDEDIILADFIL</t>
  </si>
  <si>
    <t>RFLDISNEIVLTSTEYLTNKYNSIYQNLITNYFTNISFQNPEKYQLTEEILQELTKYLVE</t>
  </si>
  <si>
    <t>DVKNNEFQIIGQYNEDPIDFIKNKFVYEAEILTNLIKLIFPTDNFRKGFLKDQIILPFFI</t>
  </si>
  <si>
    <t>YLNYDVNNNNKIIYDLTDTKLISSNFIKDNVSKLQNKVIINTPLTNIIQSTFEKIKVESE</t>
  </si>
  <si>
    <t>NYFKSVNYQKMLGNNPEEILSILIAITEIWKWKSYDFDKKTEWQLIPGLEILNLTQVEGN</t>
  </si>
  <si>
    <t>TLTEYISSVSFFKDLEGTNFEKIIQEHITLDFERKKKISNDELFFDSQYHNLEKIIDLVK</t>
  </si>
  <si>
    <t>SKIPSIKPFNLSTLSLNSSYLNRTAIDLSLILVYISYLFRNKLLNNSFLKKELSHSWVNF</t>
  </si>
  <si>
    <t>LNETICSKFYTKWFSEFTSRIDETYVGPETYLESNGESNIKLDNKIPLVIFPNNTYNITS</t>
  </si>
  <si>
    <t>VSIKNLIKLQTHKFNYYLNIVPNSTYTPAPEPDPGPEPAQMVQKSIKTIKKIINLQYSLL</t>
  </si>
  <si>
    <t>SENKKTFVVIENNLINIWYHSFTNEYYLLTDNFNFNLTFYSIKNNKIYFQIKDNINKLNL</t>
  </si>
  <si>
    <t>NNVKYLKIIIQQKINYLNENIQNVTPTLITSNISFTDKELTNLYFYKILYDDLNNIIDIL</t>
  </si>
  <si>
    <t>YIPTRFIIKNNNEISSSFTLENEPQYSYSEIKYINQLELPNFLNNFDFTGNYLTFTKLES</t>
  </si>
  <si>
    <t>TSIGNNGDSNTSSEDKYRYNSHLHQDSFILGNGIDADNLYIYHLPYKINSQIYNGIIIKC</t>
  </si>
  <si>
    <t>ETYLNDQLIEIKGRFSNKFNLREKINDDTLHIYSEGIDYFDDNIDYNKINILSINEDDHL</t>
  </si>
  <si>
    <t>NEINNLLQLYYSEIESNYKKIVDAHDLITQNLFKKFVDSLEEIKNLGPIYASFIDNFMKN</t>
  </si>
  <si>
    <t>TNINIDNLKYFQTSSFYDAALWDNNLEITGNTLNYINDWADSKNIAFNNWNIIDFTGTSS</t>
  </si>
  <si>
    <t>NNIFIDNKLTYLPNKIYPENLLSYFNKYNKSILLQIENLENNLDLIENHPKIIKSVLNQN</t>
  </si>
  <si>
    <t>ELDFITQKSFSEINQKNYLLETKTMMNTSNLLYIDNNQVNFNNNLITSDVLLDNIHNIKP</t>
  </si>
  <si>
    <t>FKINKHEIDVYPINFYDYAITLNNKLIFLPEDFYDIDNNYTLYFINTSLSSNITYQKITF</t>
  </si>
  <si>
    <t>DYIIFNESINISQIENLSKNNLLVLIDSNGNYLPFGRLTPDFNNPYKYYRLGKTSKNKKL</t>
  </si>
  <si>
    <t>KEKLLFENNLIENYHKLNNVIYINSFNNTTNIITPIYDSLKLPIEYYNNSFTISNNTFNL</t>
  </si>
  <si>
    <t>STTLKINKFDFIYIIETGKWYMFDENIELNTNNINSNKFFIVRLISNTCKNIDLFENQNE</t>
  </si>
  <si>
    <t>YIFTNITWENLITLSENLNFLEIKDNKIIHNNILSDGDIIYNTTDKTIYQVINYQNNILE</t>
  </si>
  <si>
    <t>TSPEIILNDNKEYRFFKNIYFNSGLNNELLSYNINLPHGSYTFELLTSYTFYQLPVVYLP</t>
  </si>
  <si>
    <t>NPWEYRQVKQGDLFYKNNTLELQQNSLITLEGWIYKSRDMWVTFTKSANNWYCINTQNLQ</t>
  </si>
  <si>
    <t>IGDFIFNLNKLEKDDYLNDANTYLHNGTIQSQVLGRFGKYYYLSNDITDGEWLVKSYPLH</t>
  </si>
  <si>
    <t>IKPTTTQLQNKLYQVNDDNIIIEKINYPSIQLTSTKFLININSNILSIVSGYDNHQKEVV</t>
  </si>
  <si>
    <t>TFSKSLIYPEQKILIDNKYWTTIKNFETLELTDIFEDLENNEMIIPETTTSKLLTKDNNT</t>
  </si>
  <si>
    <t>FDKLEYLSSIPINESVFCCLIGFDSYYKNMAVFNEKIVLIKNEKNVLTFKFENKSFENKF</t>
  </si>
  <si>
    <t>ISIINTEKENLYMTDFYININNKFILNSSYDLNKKEIKCFTNLDSSFDLIANYNLNNIHY</t>
  </si>
  <si>
    <t>WLTTPLNLTTKYIFDTNKSQVKYKINNFNVNLLNSQYLQSINPVIPVNETNTNHIFYSSE</t>
  </si>
  <si>
    <t>IYNISLNYNILTEYSYDNKFIEEYCQINLDYNQVFIKNDYYLLELDTNPLNQMDDKIIYQ</t>
  </si>
  <si>
    <t>IIDNKINMGYIIENEDGVFLKFVSKINLNLPFYQKKKHLIYTLHENILPSYDINNYSYEY</t>
  </si>
  <si>
    <t>FHYRIGVESIIQFDSADLNIPLTNIPYSNNIIRISDYLYDADFFTPESYYTKNILNNNIK</t>
  </si>
  <si>
    <t>HYLNNKTLPISQYSDGILAFEGPDPNDPHSLNNITLYKNTFLIKIPDNDFNFEFVKNLNN</t>
  </si>
  <si>
    <t>SFEVYYQTDILVEQIKKPILYEPLIKNELDLQKNLMMEYVIDNYLVTKVIPELHWDKIIT</t>
  </si>
  <si>
    <t>LSNNQGINQPDDIFYNNYTYLEDYNKFNNVILTLDLQVKHNKILEIVNEIYYRIPVWIFI</t>
  </si>
  <si>
    <t>DEFKNDPDHYLSKYIETSYQLLFKNNMFYNLDGTEYIPIKIPTYFKISDIGSTLYLEYLI</t>
  </si>
  <si>
    <t>KKENVLNDDNYSIFKELILQKPSHKLGLKLVKTVDFYNFWDKLKTGILSNYQENEIYLTN</t>
  </si>
  <si>
    <t>NVTNLRLNQIYRKKILNLYSDNIYKGTVIENNNTNKLEYHNQDIFEYLVNLTSFENNLEF</t>
  </si>
  <si>
    <t>YQIDFRERNLVLTDFETEFILSKNGKARMKLNKFMLNQGIDLYGKINYSINLINYIGTKY</t>
  </si>
  <si>
    <t>QITVPLNSLPSTNFSVGINSVEIEDIKIIDQTNLIIPYIDLNNINYINILVKTSLKFKKG</t>
  </si>
  <si>
    <t>KYYFLNDAVVNWIDNNTYIKYGNDLLSLNINNNEIVTPKPISNNITLCKIVKITSKINLN</t>
  </si>
  <si>
    <t>QYTYQLNLTKEFNNNPSYGYKVKPSDLSINSFTCQNYTFVNNLLYVSFDKELQLQDMKNL</t>
  </si>
  <si>
    <t>VQIFKLNYQNKYKITMNDLNKTIIEYGDENNINLLNEFYLNLTDINNAELGNYIYKVNIN</t>
  </si>
  <si>
    <t>GNFNGLTTPVYYINNNNLERLGNLLDGYLITINYINPNNIVVFELNNNNLLELTDLEFIY</t>
  </si>
  <si>
    <t>KNYYKINDLSLSFINLIPNISNIDLTKFNLNLEEELVEEDIKNSIIIKCENLLEDLKETK</t>
  </si>
  <si>
    <t>QYEKYEEFIIKEEPVYKENFGYDILESFQVKLHNTQIEKFDNKMFKEYCYYFLKPEKIKN</t>
  </si>
  <si>
    <t>LNKMLNNPKQIIIPLPFWFCRNWSNSLPIVIANESQFYIEFNFNKLSNILKSETNDKIIN</t>
  </si>
  <si>
    <t>KPKIKGKLVYQSIWLGDEEKMLIGKHKQDYLIETFQKSQIEIITSIYKTIDLKVLGSVKD</t>
  </si>
  <si>
    <t>FFFSFYLDDKLINYIEDKVIIDPLYLKYHELIKLPDNNIKYIVDSDNFTNIYNDILNRFT</t>
  </si>
  <si>
    <t>PYFKDKYYVGFIILNYLEKFPLSSKNKLVLFICYYWKDVYLKTKTTKYYPLKNASLNINS</t>
  </si>
  <si>
    <t>YQYIRNKSDLFWSVKNQQNYCKSGDKGLYGLSYSLYPLEQQPSGYLNHTLINSTLLVELN</t>
  </si>
  <si>
    <t>RDYLNMVKNIKGTINMNLFYRRYRLIRFMGNQSGILW</t>
  </si>
  <si>
    <t xml:space="preserve">&gt;Cafeteria_roenbergensis_virus_BV-PW1@YP_003969954.1 YP_003969954.1 putative capsid protein 3 [Cafeteria roenbergensis virus BV-PW1] </t>
  </si>
  <si>
    <t>MAGGLLQLVSFGIQNRYLTVNPEITFFKIAYHRHTHFGKENVLLNYDQTPDFNKNISFTV</t>
  </si>
  <si>
    <t>PNNGDILSNITLHFNFSSFYPNLNSLSDNLKILNQNKINLEKEELLFLKANRDNLNKYSN</t>
  </si>
  <si>
    <t>IIFGAIKIIEKYQNTINISLPLIINLISSYQKSIVSDFNNIKDLISSNILEKSNIFKFVL</t>
  </si>
  <si>
    <t>EDNIFQTIDDLIIKKNEIKKYLITRTQVLNNRILTKNKLIYQMENYPILYKWKNRLANLL</t>
  </si>
  <si>
    <t>VEHVELEIDGEIIDRITSEEIDIYYQCHYSNDEKNKMLKLIEGKAYQDFELFLPLNFWFK</t>
  </si>
  <si>
    <t>ESYGLGIPIVSLRYSTIKFNVSLKPVENLIDIIILDDEYEKIKKISFEVEGLLYEKYEGY</t>
  </si>
  <si>
    <t>IQIDNNLYDATTLNYNKNTETLTLSSEFIYKDNLIENLYINSESADLILNTFGSIKNDLN</t>
  </si>
  <si>
    <t>LSLDLNEFKNFVNNISSLNIAVLSLELNLNRLELTTNYNLENADLYCEYIYLDQIEREKF</t>
  </si>
  <si>
    <t>ASSRLNYLIKLHSVNTFELDNTYFNKNLEIENYVTEMYWTLQKKSELTGTNFESPQYQNL</t>
  </si>
  <si>
    <t>LGKNNIENFQMTLNNYGLFFKKNSPEYFQYITSFNHLNSNFLNNIFFYSFCLYPEHVQPS</t>
  </si>
  <si>
    <t>GGISFNDINGKQFQINLKNLTVDENNKVVFKIFYKKLSILTISSGKGKLAFFN</t>
  </si>
  <si>
    <t xml:space="preserve">&gt;Yellowstone_lake_phycodnavirus_2@YP_009174489.1 YP_009174489.1 putative major capsid protein [Yellowstone lake phycodnavirus 2] </t>
  </si>
  <si>
    <t>MSGGIVQLVATGAQDAWLSGKPEVSFFRSNYKRYTHYAHSIERQVIQGNPQAGNISLVRF</t>
  </si>
  <si>
    <t>EKKGDLLSYVYFSARDSNNAGVSGLDWSKIIDKVELMIGGQVIDTQDFQYMTDIEPVVGA</t>
  </si>
  <si>
    <t>QNFSQRYLNFNTSGVTNQKNSFFPLKFFFCKDYFLALPLVAIQFHDVELRITWASQLGST</t>
  </si>
  <si>
    <t>LTFGPTTNPSLSAVPQATINVSAAVVTGAGANTAFLAYNSVNGPLFTGSLVTTSATPDAN</t>
  </si>
  <si>
    <t>TLAIVKTIGNATIYSNVTISFANTTTIANVLPAANSTLNVFAPVTSALVTANTIITGIST</t>
  </si>
  <si>
    <t>SATLTINSVNSPTVGAGIQGGQYVAGLPLTGPVVVTASNATTVNVSFGVQASPPLTAAIV</t>
  </si>
  <si>
    <t>GTQLGFFTGTATTTTTYANLTFACWANFIYLDQAERKFFADNSHDMLIHQVQRVPMSSNP</t>
  </si>
  <si>
    <t>VQELALAHPVKFIAFQSQRYDTVIQNGNNAQAASNYMLKTQINGTDVGEFRHLNMWVDVP</t>
  </si>
  <si>
    <t>QYYNTPFGYVHNNLQANVAVISYCLDTSKNQPTGTINFSRLDTYRIVTPVQLSDPATGRT</t>
  </si>
  <si>
    <t>GPLALASPLITNPYLYAVNYNVLRIQNGLASLLYAN</t>
  </si>
  <si>
    <t xml:space="preserve">&gt;Yellowstone_lake_phycodnavirus_2@YP_009174478.1 YP_009174478.1 putative major capsid protein [Yellowstone lake phycodnavirus 2] </t>
  </si>
  <si>
    <t>MALLCHRMSVTRVDLPVPRFPMKTQTRSFLILVGSNLLSWTLICISHSNFELKLNAKYHL</t>
  </si>
  <si>
    <t>NKISIFSRMSAGYIQLAALGQQDAYLSGKPDLTYFQGLYSRNTPFVLEAYDIPFNGSKQS</t>
  </si>
  <si>
    <t>FGTQQICKIPFKGDIVRGLTLKTNMPFLKNPGNDWNWSNVASENGFYPRIIIDGVYIRAP</t>
  </si>
  <si>
    <t>TQGIAYYSSNVDSQSNASVGWLTSPVTYTYYTNGTTAPVTGTSITIAIQAGNISPNFNML</t>
  </si>
  <si>
    <t>PGYIGSIAGVVGPMTVTSSTTTSITFTINTQTTSSIPTLTPFSILPGIAATAVLLTQTSI</t>
  </si>
  <si>
    <t>PANVSAVTNIKIPLPLTYPLTVKTGCTATMPGVTGVMVVGLLDSIVASSYALVNFTIPSQ</t>
  </si>
  <si>
    <t>TTALIPTGTNVTVKQPLTLSGNVFYNANVNRFNFTSYSNIEVETIQATFWGFDPKNFDTV</t>
  </si>
  <si>
    <t>SPSGNLNYIISATSAHPSLPGVSGYPRASSDFTLEQGGWARGSGIPSAEKRAGIYFQVTN</t>
  </si>
  <si>
    <t>DIIPSSTPTAVQFQLYGGNYLFFNTSRYLYMSQVAGSTFCFQSTNGNIAFTKSGQYCIRG</t>
  </si>
  <si>
    <t>NLTASGTDAVYSVSYTYSLSDVVPPLNFIAEHVIQTTSQPTPTFTIPLNVIIPPGYSYVF</t>
  </si>
  <si>
    <t>MSVFIRMNPVTGVLRPGSWLAVGPVDQYFTNSGTSVTGTQLAFQNFTSYPPVSAASLVSL</t>
  </si>
  <si>
    <t>APASNSFTFQSVGTYLITTVLGFQSSALTSVKLSYGTRGSGTELYTYTTPQGAYPYPSLD</t>
  </si>
  <si>
    <t>FTIPVNVTSASLGPYFMDITMQDLSGPRTSDTMLSSNVCTIQIVQIGATNPSISFTQNSL</t>
  </si>
  <si>
    <t>LLRPAVSSFVISSPINFSTASWNTPIGGTVQLGVSGSQIAIYQGGLYYIQAVLCTVDVLK</t>
  </si>
  <si>
    <t>SISVTVTGASTLSATYPIGLGLLPPYSIGVPFFVPTASTISPALATIGYNTIAGGTTTLF</t>
  </si>
  <si>
    <t>SNTVVSIGPLASNVTDVYSYVDSVGTYMIDNAELRIGGQLVQRLTGEQIELYNDLYVPYE</t>
  </si>
  <si>
    <t>NQPGLKLLVGKQDTSNVFDPGRTYYTNLPFYFYGNNELSIPVAALDRSDLEVAITLRPFI</t>
  </si>
  <si>
    <t>DLSYISNIASVTQTVSATMIVEYGYLSENEVKWMRRNRLEYLITQTQSTSFLLPPGFSTG</t>
  </si>
  <si>
    <t>TFKLPFINPVREIYIVIQNQSTAPYDFSNNGLTNLGLSFNGQEYLSRQVIDAQYLQYVQA</t>
  </si>
  <si>
    <t>FQKYNVTPIRQFYVYSFANDPMNPRPTGQINFSRMKDSTIDITLAPLAGLTRSMRVYATN</t>
  </si>
  <si>
    <t>YNVLRIENGLAGIMFNF</t>
  </si>
  <si>
    <t xml:space="preserve">&gt;Paramecium_bursaria_Chlorella_virus_1@NP_048739.2 NP_048739.2 Capsid protein [Paramecium bursaria Chlorella virus 1] </t>
  </si>
  <si>
    <t>MDPTTRFRGSDVPVHNEDHMVFAKPSEIGLQGRQGFYTNTNVVTNTYNHVYTPPGGHTGG</t>
  </si>
  <si>
    <t>KFTQDIYTTDLLIAAKDEKADKIPLDKRMDGTFSEGTFVQLLSRGPQDVYLTYNPQISLF</t>
  </si>
  <si>
    <t>KRKYKRYTNFAIENFEERFSTVVKFGTRNICQLSKNGDLIGNMCFRVTLPNLGIPGGTWA</t>
  </si>
  <si>
    <t>PTMGYNIFSTIRMRIGDTIVQSHDRVWYDIDDKMFCDSTKIQGLDELIKRNVTLTTDQEW</t>
  </si>
  <si>
    <t>ELIIPLKFFCCKRNTGKQQFLPILNMDTNINVYLEFNLLPLNSLVTLPTGSILPDIQSID</t>
  </si>
  <si>
    <t>ASVWVDYIFLDDTEKFRFAQDPCVYLIEQTASMDSLSYATTTSGQTYNKTDVYVDMKELN</t>
  </si>
  <si>
    <t>KPVKYVEIIAYEQGSTSFDYVDIIESATFYLNSDEQFKTRAGEYFSLVQPYQHFKRSDPF</t>
  </si>
  <si>
    <t>GTDGEPHFYQCEPGRNAATKMPCASGLVWDNSTKGCNFPK</t>
  </si>
  <si>
    <t xml:space="preserve">&gt;Bathycoccus_sp._RCC1105_virus_BpV1@YP_004061613.1 YP_004061613.1 hypothetical protein BpV1_183c [Bathycoccus sp. RCC1105 virus BpV1] </t>
  </si>
  <si>
    <t>MSAALIDLVSVGAQDVYITGDPQVSFFRQNYKRHTNFSIKPERMDYIGTFESGNEISIPI</t>
  </si>
  <si>
    <t>KSKGDLLSYVWIEHANINNNNHNNSIFKSANGTSDETSPTEFSLWIGGQEVTKLDSLFIN</t>
  </si>
  <si>
    <t>TVHNTLYNESSAKATCASTTQDGGDNVSTGSYVIPFFFSEDWTKSLPLVGLQYHEVEIRI</t>
  </si>
  <si>
    <t>KCRNGTFSLGSTPKVYGSYVFVDTEEREFFANGEHELLITQTQHQPMSASDTSIDLTYFN</t>
  </si>
  <si>
    <t>HPVKAVHIAAGNHLNTSYTLTDASMFINGVPLFENMTHEYHRNVVPSRHCSVLNNTVDSE</t>
  </si>
  <si>
    <t>QIYTWPFCLTMNKSQPTGTLNFSRIDNAKININTPASSNLDMIRAYAVNYNILRIKNGMG</t>
  </si>
  <si>
    <t>GIAFGN</t>
  </si>
  <si>
    <t xml:space="preserve">&gt;Acanthocystis_turfacea_chlorella_virus_1@YP_001427145.1 YP_001427145.1 hypothetical protein ATCV1_Z664R [Acanthocystis turfacea chlorella virus 1] </t>
  </si>
  <si>
    <t>MGGLTQLVAVGYQDVYLTGDAKNTYWKKAYKRYTNFALESIEQNISGAVDYGNEVTIKIS</t>
  </si>
  <si>
    <t>KSGDLINAIALQITLQRGDADLSLPQPYFPVEHFIDYVEVYVGGQKVFEFDHQWFRMYWE</t>
  </si>
  <si>
    <t>LYLTYDQKIAYNTMCDFQTEVEGYERTFYLPLPLWFNAFNNGNALPLVALQYHDVQIRLK</t>
  </si>
  <si>
    <t>LTQSQYIVGINESFTPTMRCYADYVFLDPPERKWFAQTPHKYIIQQVQRNLSPAQVSNTN</t>
  </si>
  <si>
    <t>NNYIITLPFNHPVQCLLWALIPNMTTHGQYTGLPGEQNTEVLAPIAEAKISFNGVDRFTA</t>
  </si>
  <si>
    <t>RQGRYFQSYQPWYSAKGQWMTSGVYLYSFGTNIKYGVPSGTMNFSRVDTALLHITTKAAV</t>
  </si>
  <si>
    <t>VADTTTPAVVTELMTTTTANALTTLLTYAVNFNVLRVDSGMGGIEFAN</t>
  </si>
  <si>
    <t xml:space="preserve">&gt;Chrysochromulina_ericina_virus@YP_009173342.1 YP_009173342.1 major capsid protein 2 [Chrysochromulina ericina virus] </t>
  </si>
  <si>
    <t>MTGGLLNLISEGKESIILVGQPTRSFFKKAYMSHTNFGQQKFKINFEGDKQLNYNSPTIY</t>
  </si>
  <si>
    <t>QFKIPRYGDLLNQLYFSFTLPNIWSPILSFGGVPAMFCSACRTQISSKLDTHTIRSGEVY</t>
  </si>
  <si>
    <t>STFVNDASQNCSACGCECTTQFGFTNVFVDPTKKLQPRDLDKTPTKGGMKWVNRVFPFEF</t>
  </si>
  <si>
    <t>KWIENLGVQIIRSVKVYSNNTIIQEFTGQYLLNMVHRDFTDDQKNLFNRMIGNTADLNDP</t>
  </si>
  <si>
    <t>KYYKNRNGNYPNAAYFGSMYDKMPYGLEPSIRGKKLYVPINLWSTMNNKTAIPLIAMQYS</t>
  </si>
  <si>
    <t>ELKVEVELRPVNEWWVVKNIINRFSLAIQESKQIIGVQLDIYEDSNRITVKDLSNISGIE</t>
  </si>
  <si>
    <t>PVGPAPDISNCWDSVFNQISTNKIGVNMDDIITLFAAIPNLYTSPRPNEFSIYNLKYFLK</t>
  </si>
  <si>
    <t>APPPKVIVDKDFDPKGASIPEVGAIPYPVNINETIERYYDEVLEPWFADIHLIGNYTFLT</t>
  </si>
  <si>
    <t>EDERNSFANQCQSYLIKEVHEQDIYDLLGGDHYIPIQTQGLVITWMWYYQRSDVDLRNEW</t>
  </si>
  <si>
    <t>SNYTNTSYKNGINQGALNTIGVANAECKIQLPLKGIITEIVWQPPYDAQNIREILLEWGL</t>
  </si>
  <si>
    <t>FFNSTVRELQLDNGILAWVDLYSRGEGAGIEGTYYYNFCLNSSPFIYQPSGAVNLSAFNS</t>
  </si>
  <si>
    <t>INWKFKLNPSGRKASLPKKLEVLWEQSLITGSVTCDPISNDPVTTSIDKTQIFLWTYTLH</t>
  </si>
  <si>
    <t>IMEERYNILTIKNGVASLALTRTI</t>
  </si>
  <si>
    <t xml:space="preserve">&gt;Phaeocystis_globosa_virus@YP_008052394.1 YP_008052394.1 major capsid protein MCP2 [Phaeocystis globosa virus] </t>
  </si>
  <si>
    <t>MAGGLLNLIAVGNQNIILNGNPSKSFFKAKYSKYTNFGLQKYRVDQQGQTNIHLTQNTNV</t>
  </si>
  <si>
    <t>SFKMPRYGDLLLDTYLVIKLPNIWSPVYKHIENSIPEYRPYEFQWIKNIGSQLIEEVTFT</t>
  </si>
  <si>
    <t>IGGRTIQKFSGNYLRNAVERDFDNAKKELFNIMTGNVSELNDPANYSNRGNNYPNAFRMD</t>
  </si>
  <si>
    <t>DANLDPIEPSISSHNLFIPLNTWFSLLTSMALPLVCLQYAELEIHFTLKPLQSLFTIKDV</t>
  </si>
  <si>
    <t>LYDLPYNNYNEIPRIQAEQNKDRRYGFYRFIQQPPIRDIVEETVYEDQRTNINADIHLIT</t>
  </si>
  <si>
    <t>TQCFLDTIERTLFANNTQEYLIKEVYEYKFEKVNKSNKINLESNGLISNWMWYNQRDDVY</t>
  </si>
  <si>
    <t>KRNEWSNYTNWPYENILPNSLQKLTSTVSGNTPVFYTTNNIYQTNDTSKNIFITGYQPSI</t>
  </si>
  <si>
    <t>YEQTNKKEIMKEFAIIMDGKYRENSLPMGVYDKIEKYNKTQGNSCDGLYHYNFSLSTDQR</t>
  </si>
  <si>
    <t>KYQPSGAFNTNKFKNIEFEFNNHSNPPLDLSNVTFTTICDPETGDVIATSKEPTSIYTYN</t>
  </si>
  <si>
    <t>YNLTVMEERFNILRFQSGTADLIYSR</t>
  </si>
  <si>
    <t xml:space="preserve">&gt;Yellowstone_lake_mimivirus@YP_009174114.1 YP_009174114.1 putative major capsid protein MCP2 [Yellowstone lake mimivirus] </t>
  </si>
  <si>
    <t>MGGGLLNLVSQGQQNIILNGNPSKTFFKTTYAKYTNFGLQKFRVDFDGSRTLRLTEESTF</t>
  </si>
  <si>
    <t>TFKIPRYADLLMDCYISIDLPSIWSPIFPPQQNIPNENPDWVPYEFQWIENIGAQMIKNV</t>
  </si>
  <si>
    <t>TITCGNQTLQEFSGAYLLSMVQRDYSGAKKELFDRMIGNVVDLTDPANAGGRVNTYPNAY</t>
  </si>
  <si>
    <t>YSPSVPGPEPSIFGRTLYIPLNAWFNLKTQMAFPLVALQYNELHITVTLRPIYELFTIRD</t>
  </si>
  <si>
    <t>VMDPLNQYPRVAPNFNLYYMQFYRFLQPPPDVCLGVNSYVDTRTLWNSDINLNCTYCFLS</t>
  </si>
  <si>
    <t>NDEARLFALNEQKYIFKQVRQTIFYNVTGPNKIQLDSLGLVSSWMFFFQRSDANLRNQWS</t>
  </si>
  <si>
    <t>NYTNYPYDGQVPFNVIPAPVDGVFPIQEFDSCSSIGPGINIGTSGPLSGTLTGLMITPVY</t>
  </si>
  <si>
    <t>TIDNIQAILVELGILLDGQYRENLQPVGVFNYIEKYVRTASNAPDGLYCYNFCLTTDPFD</t>
  </si>
  <si>
    <t>LQPSGALNTNRFNLVEFEFTTITPALDPFAQTLTICNPETGNIIGINKPTWRIYDYNFNM</t>
  </si>
  <si>
    <t>VLFEERINVVTFVGGNAGLMYAT</t>
  </si>
  <si>
    <t xml:space="preserve">&gt;Dishui_lake_phycodnavirus_1@YP_009465905.1 YP_009465905.1 hypothetical protein DSLPV1_188 [Dishui lake phycodnavirus 1] </t>
  </si>
  <si>
    <t>MSAALVDVISTGVQDVHLTSRPEISYWRQVYRKYTNFAVNTQRVDYIGSFSATGDITCEI</t>
  </si>
  <si>
    <t>PVKGDLLTHIHIEAPRIGTAGQNSTGLFSSNAGQRPTTFELWVGGQMVCSLDSLYINGVH</t>
  </si>
  <si>
    <t>NLLYNGTQAKASGAQLTGETLENAYGAESGYADCYTIPFWFSDDWTKSLPLVCMQFSSVK</t>
  </si>
  <si>
    <t>LKIKCRDGFTPRATPKIYCTYATLDTDERSWFVNNVHELLIRQVQYQLSSQTETEIDLST</t>
  </si>
  <si>
    <t>FNHPVMALHVASGAGTGGHWSTQYSFDKATLYINGTPLFEETSNVFHHTTVPLTHCTNLP</t>
  </si>
  <si>
    <t>VASLDNSPTFTWPFALYLNKSSPSGSLNYSRLDNSKLQIYNPHGNGNTQHRVYAVNWNIL</t>
  </si>
  <si>
    <t>KIKDGLAGVLYGS</t>
  </si>
  <si>
    <t xml:space="preserve">&gt;Chrysochromulina_ericina_virus@YP_009173341.1 YP_009173341.1 major capsid protein 2 [Chrysochromulina ericina virus] </t>
  </si>
  <si>
    <t>MGGGLLNLVSYGNLNIFITGNPKKSFFVATYKKYTNFGLQKHIITCNVTNRSLRENELSR</t>
  </si>
  <si>
    <t>FEYTIPRWGDLLLDTFFVINMPYIWSPVWVEPSDRNITPGGCGTIRHPGCYKPDPSNLLQ</t>
  </si>
  <si>
    <t>NCDAIENEPSSSPINSELNTGIYKIQDLSNSQFAIPHKLGSAQIPYCQPYEFKWIENLGS</t>
  </si>
  <si>
    <t>QLIKNITVSIGSTIIQEFTGEYLTNLVQREYTKEKKDIFDRMTGNIVDMNNPGFSGLRKG</t>
  </si>
  <si>
    <t>LYPNCIYAAPGRYKDLSANVYWALHNNLDEIRNSKIPNIGSNLTPSIDRRLLTIPLNLWY</t>
  </si>
  <si>
    <t>MLSNSQSFPLVSMTQNALKITIECRPIRELFVVRDIRQFINNYYSHSFAKGNTTSTGTGV</t>
  </si>
  <si>
    <t>SIYTDLSKNYYKKFLDDCSQCPLAPSCWDTNVSGKLYYSQFNIFRPYVPPPFISTIYTKD</t>
  </si>
  <si>
    <t>PLYQMYMFTTQQAATNQAFVQQAGLQTQLSADIASNFRSRGVWTANPRLCSTYVYLEEDE</t>
  </si>
  <si>
    <t>QRVFRSRPQSYLIKQIQTILFEKVNHKAYAKDRFNSNNIVSNWTWFLQRSDVDLRNEWSN</t>
  </si>
  <si>
    <t>YSNWEYNNEQVYTLQSLYYTKLKETNTNSNFSLDFHLQPTQYANPNSNFSVKPHMFEITT</t>
  </si>
  <si>
    <t>ANTLPSNFSLAAKYSVDFSYGFQGVICYSAGFSGLAPGAIYVGPGMMRNPPYFPFSWKFN</t>
  </si>
  <si>
    <t>DISGVIPYITGPYRGLDKTILKTWALSLDGKLREENFESLYFNTVEQLLRNNGGWKEGLY</t>
  </si>
  <si>
    <t>SYNFSLNGSPYEIEPNGAMNLIHYRDIDFEYETFPLLEIKDPSRVAIIPICDSSGNSYGY</t>
  </si>
  <si>
    <t>NKTDWQIYDYTFNMKIFEEHYNILTIENGLASLEFHSYR</t>
  </si>
  <si>
    <t xml:space="preserve">&gt;Micromonas_sp._RCC1109_virus_MpV1@YP_004061977.1 YP_004061977.1 hypothetical protein MpV1_094 [Micromonas sp. RCC1109 virus MpV1] </t>
  </si>
  <si>
    <t>MAGQVQLLASGPQERFFTIDPDYSYFVESFRKHSNFSTEFVDIDPENNDADFGKSVRFKI</t>
  </si>
  <si>
    <t>PQNQGDLLKTLSVKMTLPILGSSRVYIESVAHALIEHVDLLIGGEIVQRLTSDYLQIYSE</t>
  </si>
  <si>
    <t>HNVTQTKQKALEQLIGKYPLRTSDRRVGEVRTGIGGNSGIVIHNTLGLTTDESFFVDLPF</t>
  </si>
  <si>
    <t>YFYRHPQLALPLCAINKQEIEVEFKLRDVQDIVIKGDGSYITLNETFNMKKFQLCTEVVF</t>
  </si>
  <si>
    <t>LDCTERIKIENTPVEYLITQNQEDVFDVGVGVDEGKFNLDFTNPVKELYFVIQRQGSNVN</t>
  </si>
  <si>
    <t>AADKTLQGNFVTIFDYDNTSNVQDGKFILYENLDYLTLTLDDQDIITQDTGNVIFLKAVQ</t>
  </si>
  <si>
    <t>GAIHHSKTQLIRRFYSYSFALQPEEWYPTGHVNFSLIKEQILNLSLTACPDFSRQIRVYA</t>
  </si>
  <si>
    <t>INYNILRVSEGTARTLFGTKH</t>
  </si>
  <si>
    <t xml:space="preserve">&gt;Only_Syngen_Nebraska_virus_5@YP_009325604.1 YP_009325604.1 Major capsid protein Vp54 [Only Syngen Nebraska virus 5] </t>
  </si>
  <si>
    <t>MASTGGGLMQLVAVGAQDVNLTGEPAKSLWKSVHRKTKLFAVESIRQTLEGDATYGGQAT</t>
  </si>
  <si>
    <t>CKLTRSGDLICGLMFQITLQRGPSGPNDPIPFFPVEHLIQNIELRIGGQRIDWIPHNWFR</t>
  </si>
  <si>
    <t>VYAQMYFNSKQTAAYTDMADFGNETQGQQRTFFLPIPFFFSQWDWSRALPLIALQYHEVE</t>
  </si>
  <si>
    <t>LWINFTPANEIVGIDTSFFPQINLYADYAFVDSPERVWFAQNPHEYLVTQLQYQKQSIIV</t>
  </si>
  <si>
    <t>DALTRDYKIPINFNHPCKFLAWNFSPGTQTHGQFTYLQGETDDNTAAPLYEADIYLNGRE</t>
  </si>
  <si>
    <t>RFRVRPGKYFKDANPWLSQYGGYFTSGLYAYNFGLNNCLGRGPAGTLNFSRIDNSILRIV</t>
  </si>
  <si>
    <t>TKQAVLTGSESTTTEAQTNVENSVLGLVEMYALNYNVLRIMSGMGGLAYAN</t>
  </si>
  <si>
    <t xml:space="preserve">&gt;Micromonas_pusilla_virus_12T@YP_007676119.1 YP_007676119.1 hypothetical protein MPVG_00051 [Micromonas pusilla virus 12T] </t>
  </si>
  <si>
    <t>MSGALIQLVAKGAQDVFYMSGEGMSLFTSKYTRHTNFAQAPKLIKEFSLAEDSCVIPTSG</t>
  </si>
  <si>
    <t>DLLTGLWFEGTNLIEGFQDSIIDLYIGGQKVDSQPFDFISDIYQNYLADTYTKSQEINNK</t>
  </si>
  <si>
    <t>CSVSNTNFIPLTFFFNSKSSYIPMVALQYHQVEIRVRFKKNSNTPFTAKLYGNYVYLDAP</t>
  </si>
  <si>
    <t>ERKRFTSGKHDFIVTQTQSIKEKMVTGYNDYDLSTFNHPVKSLFFGVPTKSSNVIEDRFT</t>
  </si>
  <si>
    <t>FDTADILLNGTHLLEGMSPTYFHSVQNYYKSEYGVSGFNEVYNTPFYTRYYAYHFCTNAS</t>
  </si>
  <si>
    <t>DYKSTGTCNFSRLDNANLQLRDIKLGTLRTGEDIRIYAVNFNVLRVQDGMAGILFGN</t>
  </si>
  <si>
    <t xml:space="preserve">&gt;Mollivirus_sibericum@YP_009165313.1 YP_009165313.1 NCLDV major capsid protein [Mollivirus sibericum] </t>
  </si>
  <si>
    <t>MTDHLLASTSHRFNNAINDTAVSLADISPALPLQQQHQQANGAGAMSVASILTSDAKASP</t>
  </si>
  <si>
    <t>FRLRFCKVGGFSMSSHNLPFNEGEVAFGGAATCTLKHLGHMIYHTYLVMDFEAIKAARRV</t>
  </si>
  <si>
    <t>PTSDDPNCSIEYPSEYPVEGAVIRKADERAVARYAAERTGTLATARAGKAIYNAEAYGAT</t>
  </si>
  <si>
    <t>RGAADASSKWDPFEESLMALDRSINCSAKGDSKKASRSASKKAPVRGWVRWINGVAQYTA</t>
  </si>
  <si>
    <t>ELNTLIVEDGIWDTQPNLWLYGWEQVAGMACKRLNEHVGLRDNTKQLVMDSAERQRFYVP</t>
  </si>
  <si>
    <t>LPFFFTLCSGSVFPYSQFNKKDSNSTVKIETKFADLRQLIVVSGDGVVPVRASDGKPLTN</t>
  </si>
  <si>
    <t>NDLKAHIRATYVHLNKTDARTFANGNQIMVITQVQHHSTTLPQGKQVVDVPVPFGGPIIF</t>
  </si>
  <si>
    <t>YMWMLRRKASVDQNSHWNFSGVNGREPLLSNVFYINGKPLFGVGDEARVYRLLEPLQSFR</t>
  </si>
  <si>
    <t>STPCGNIYVKSFAIDATAVVPNGFLDATGKSTSMRLTLQQALVHEEVEFIIMARSFEVAI</t>
  </si>
  <si>
    <t>FEDHHASLLGNHVCRA</t>
  </si>
  <si>
    <t xml:space="preserve">&gt;Paramecium_bursaria_Chlorella_virus_FR483@YP_001425886.1 YP_001425886.1 hypothetical protein FR483_N254L [Paramecium bursaria Chlorella virus FR483] </t>
  </si>
  <si>
    <t>MSITQLIASSPADSFLYGTPRKNAFVSRFSCRVPYSTEMIRMDLTSYTTPGKGSLIIPRK</t>
  </si>
  <si>
    <t>GDMLTNVFLQIQMKKLSSTGTQFFPVENLVSSVRLYIGGQLIEQFDNNYMRIRNALFTTN</t>
  </si>
  <si>
    <t>TEKDALITMEQFETSDANGMIRSLWLSLPFWFNTTSLAIPMIALQYHEIRLEFDFEDPNN</t>
  </si>
  <si>
    <t>IPGIDPAFLPVITAWGEYAFLPSEERVLFVKTPHKYIFEQTQTQDFPSRISTTSSRTTLY</t>
  </si>
  <si>
    <t>TLPFNLPVKYLLFVFRNQNVFGIYSGDTTVGLSADDKYTPLQSAKLQINGVDRFEEQTGS</t>
  </si>
  <si>
    <t>YFRLIEPYRTMQCVPPAGIYSYFFSKAPLNVHAASGTLNFSALDTVKLLVTTKAASAATI</t>
  </si>
  <si>
    <t>ADVFDEQTSVNSAANLTTFTVIARSMNVLRIQDGMGGVMFAN</t>
  </si>
  <si>
    <t xml:space="preserve">&gt;Yellowstone_lake_phycodnavirus_3@YP_009174377.1 YP_009174377.1 putative major capsid protein [Yellowstone lake phycodnavirus 3] </t>
  </si>
  <si>
    <t>MAGRASLAFLGQEDLALSADPEVTYFVEKYKGSTQFSTRLDKVQFDNGVINFGQESIIYI</t>
  </si>
  <si>
    <t>PKSGDLITAMYLKVLFPNLGSTQVLDSVGTLMIDFIELYIGNLLIERIYGEFIEMKFDLE</t>
  </si>
  <si>
    <t>VPTGKQASLQGLIGKSPLSTKTTYGPAASTYTIPLPFSCIGNGLPLCAIKDPVFFRISFT</t>
  </si>
  <si>
    <t>PSISFTYPSIVYNQPVTSYLHVEYTYLSDPEVQFIKSKPQLHPIEQVQRQAFFAPVATSN</t>
  </si>
  <si>
    <t>VQCLLQFVNPVKELFFVIQNNAALGYDFSNVASGTISQTAFGTGDQLVQLNLFFNSTERI</t>
  </si>
  <si>
    <t>SSDVGSPLFLSTIQALEYHTRNPDRIFYSYSFSIDPEGDVPTGSVNMSMIKNQILQLSLA</t>
  </si>
  <si>
    <t>SSLSGRDIRIFASSYNFLHFENGEVLLDFPNAEVS</t>
  </si>
  <si>
    <t xml:space="preserve">&gt;Paramecium_bursaria_Chlorella_virus_FR483@YP_001425906.1 YP_001425906.1 hypothetical protein FR483_N274L [Paramecium bursaria Chlorella virus FR483] </t>
  </si>
  <si>
    <t>MRKRTVLLSNLCWKASLSHRKSHVKMIKNKSLCYKMGGLTQLIATGVQDVFLTGDPQRSL</t>
  </si>
  <si>
    <t>WKRNSVRRTNFAIESIESTVTLSYDTPTMITIARKGDLVKSCVLEITMMKSNIASFYPVE</t>
  </si>
  <si>
    <t>QFIKSITVVVGGQDIEIIEDAATWLRIHDETFNDVEIRSANQRMLNFAPDDVAGSVRTFY</t>
  </si>
  <si>
    <t>LDLPLFFTKYLSTALPLVALQYHEVQLRVVYNNPVNIPGIDATYTPTVRFYADYVFLDRP</t>
  </si>
  <si>
    <t>ERAHFAQAPHEYMIEQLQIFKANPVINATTTTQTVTLPFNHPVRYIMWVYQSNLHGIYTT</t>
  </si>
  <si>
    <t>GKTPFETNDAYAPLNSAKIQANGVDRFTTRPGSYFNLVQPTQAVNQAPSAGIYMYSFGVM</t>
  </si>
  <si>
    <t>ANEQDSAGTLNFSQLDTVTLQLTAKAASASTIAQILTPGVTLDTALTKFTTIAIFAVNYN</t>
  </si>
  <si>
    <t>VFRVMDGMGGIMWAN</t>
  </si>
  <si>
    <t xml:space="preserve">&gt;Ostreococcus_tauri_virus_2@YP_004063490.1 YP_004063490.1 major capsid protein [Ostreococcus tauri virus 2] </t>
  </si>
  <si>
    <t>MSGALIQLVSKGVQDVYLNSEEGHSFFRMKFTRHTNFSQAPKLIKTVTDKDPTFTVPVLG</t>
  </si>
  <si>
    <t>DVVNCLWFEGLDKNSNVSSNLLYNSTIDLYIGGQKIDSQHYDYYADIWPNYLAETWTKQD</t>
  </si>
  <si>
    <t>ELTNKTSTSNRNFQPLHFFFCDHGAFLPLVSLAHHQVEVRINFDETSLIGYGASQKRINV</t>
  </si>
  <si>
    <t>YGNYIYLDKEERESLVKRQMDFVITQTQKINFPMSNVFDNSIQTAGGYNDLDIGAFNHPV</t>
  </si>
  <si>
    <t>KSIFFGMSATNVDPTNDRFTFKNGDIHINGTPLLENMSPTYFHTIQNYYKSKYGKIDFRV</t>
  </si>
  <si>
    <t>DSEDLMYTRYFAYHFGLNVSDYNPSGTCNFSRLDNAKLILRGVEKGIFRADDNEMSVFAV</t>
  </si>
  <si>
    <t>NYNVLRIKDGLAGILFGN</t>
  </si>
  <si>
    <t xml:space="preserve">&gt;Yellowstone_lake_phycodnavirus_2@YP_009174477.1 YP_009174477.1 putative major capsid protein [Yellowstone lake phycodnavirus 2] </t>
  </si>
  <si>
    <t>MAGRATLAYLGADDVMLVGEPEITYFLEKYSAPIPFAKRLDVISFDTQVKFGGESVVQIP</t>
  </si>
  <si>
    <t>KRGEMISNLYLKFTTPQLNSALCDSAMTYMIDYVELYCNGQLVERLYGEYIEMMNDLKTP</t>
  </si>
  <si>
    <t>QGKQATLQYLTGKVYPATSATLNQVYTIPLPFTSLRKGFEIDNAYLEFRVVLRNSREFTI</t>
  </si>
  <si>
    <t>NPVTLWTEPLNIQLLVEYVYINVKIKRDVQVYEQVQRVEFIAPVGVNNVRLQLGLMNPVK</t>
  </si>
  <si>
    <t>EFFVVIQNSGAFGFDFTTNGTFSLDGNSYTNGTTEQLSNLVLKFNNVERISKDIGTPLFL</t>
  </si>
  <si>
    <t>RVIQPMEYHTRVPDRKFYMYSFSLDPENVIPTGQVNMSRISNQVMELSMVPSAQSRFIRI</t>
  </si>
  <si>
    <t>YAVSYNFIQKGKVLFNNLEEAGELRTFQGN</t>
  </si>
  <si>
    <t xml:space="preserve">&gt;Yellowstone_lake_phycodnavirus_2@YP_009174653.1 YP_009174653.1 putative major capsid protein [Yellowstone lake phycodnavirus 2] </t>
  </si>
  <si>
    <t>MANQAFDKVLDLERKAQAPVLDFFKNKVPQAFENVLNFERKIQKDVVNFFKKEIPELVVP</t>
  </si>
  <si>
    <t>PPVAPPASVPGVNIVLNPIEINGFYLLTGNNYVTFYATTNNPTRPTLSDSWVATGITGLS</t>
  </si>
  <si>
    <t>GQLAVTLPVDTNSSMQPRVVAISDTTSESYIWSFNIQSDTEQIVAPYQTVTGATLYPPGQ</t>
  </si>
  <si>
    <t>IDYTSLKRKGVISGYYDVVQNVTNYILTADPPAGFGIGWTVEDLTGLPPCRVVSYTDLTY</t>
  </si>
  <si>
    <t>KKWIAGTLVPKREMFAILTPIDGSTPENTNEHVYTKAIVKEPGFMSTFVPANFTNFDKSI</t>
  </si>
  <si>
    <t>ETSLQKFQIEINQNVKGGATTVPLRDLNTGFKYENQERGPMSDVVGRGFSSGSVMALHAI</t>
  </si>
  <si>
    <t>GPQEDHLLLEDFTKSQWNPDFKRHTNSVMYQRVIPFPPPNPSYQNQTIQLELLPTELGHL</t>
  </si>
  <si>
    <t>LSNMYLKVTMPALPGGAQYSSQIGRALIKQVDLLVNETVIETLYDDWYIIRDQLFLDADE</t>
  </si>
  <si>
    <t>QTGMFQAVGGSNINSQVSTDYIIPLEFFFCRRKTHNDHDDDRLRRPYFPLCAMWNQRLYV</t>
  </si>
  <si>
    <t>RFTFQPNTWWCNVAAPHTTDLVLPKLVTEEILLENAEKLYYTNTPLKYIVNRVKKESTLT</t>
  </si>
  <si>
    <t>FSAGNPQLQLTASFPVQTLAWFFRNKNYEDVSSGLYSDSRYNYGYTTQYIQTGVQLNFPS</t>
  </si>
  <si>
    <t>GVSNYVDVIDTAKITLNNVDILSTFQGSLYYTFKQPLEHGLSIPSKSIYSYSFGLTPKEY</t>
  </si>
  <si>
    <t>NQGGYLNFSKLNSQTTTLTLVFNPSYATQISQGYNLYMFYYGYTLLEFQGGFARLPYV</t>
  </si>
  <si>
    <t xml:space="preserve">&gt;Yellowstone_lake_phycodnavirus_2@YP_009174602.1 YP_009174602.1 putative major capsid protein [Yellowstone lake phycodnavirus 2] </t>
  </si>
  <si>
    <t>MSEFFTDLKPVTRQQALKTRLSSVFQKTLNLERKIQARVLGTIVPAFVPPEAPSGPVEAP</t>
  </si>
  <si>
    <t>VVLQPVQLSGFFTATSQNVITFYVMTSWPMLPGGALVPLGPGWRAIGVTNLVGNIIVTKV</t>
  </si>
  <si>
    <t>KNEAGAVETNPGTSSESYLWSFECQTDTEQNIQNYQGVIGAVLYPPDAGSLVTNSITGIL</t>
  </si>
  <si>
    <t>DGFYYVTQGRLVYYIRGTVPMMFGPQWSVSGLKGLKSINVMTNNFVTTPGTVKDSYAYDS</t>
  </si>
  <si>
    <t>YVTLTSEQVEDNTMDPVYGTVTVQQPPDQSRVIGANVMYKSDYSSNLSVVINSNIKTTGG</t>
  </si>
  <si>
    <t>APLRDLGQDVKGHQPIFQDTYKDLEKEGYNAGTTYSLYAVGPQEKYTTGKDDTIWNTDYP</t>
  </si>
  <si>
    <t>QHTNFVCYQRYVPIQGSKFLGETITIELKPKELGDLMCNMYFTCQLPTLTNSSNIYVNQV</t>
  </si>
  <si>
    <t>GRALIAQCDFMINDTVVETVYDDWFFIKDQVFLDSDEQTAMFSAVNAGSTSSLSPTTTTT</t>
  </si>
  <si>
    <t>TICLPLEYFFCRRHSHLTKGRERLRRPYFPLCALYNQRIYIRIQFNPWPWISNDWNPSAA</t>
  </si>
  <si>
    <t>VPSTTYKEIINPALILEEIKLTEEEKLYYKTKKLRYVVNRLKKEGVQAFNSATTQLQLTA</t>
  </si>
  <si>
    <t>SFPVQMLIWFIRNKKYETVTSSLYTDVRYEYGFTTKYIQTAVSLPFTSGTSYFVDPIETA</t>
  </si>
  <si>
    <t>KIVLNNMDITSTFQGSLYYAFKQPSEHNLSIPAKNIYMYSFGLNPKEYNAGGYINFSKLD</t>
  </si>
  <si>
    <t>SQTTTLKLVFVQQYATQVNQGYNLYLFYYGYTILEFENGFARLPFM</t>
  </si>
  <si>
    <t xml:space="preserve">&gt;Micromonas_pusilla_virus_12T@YP_007676288.1 YP_007676288.1 hypothetical protein MPVG_00224 [Micromonas pusilla virus 12T] </t>
  </si>
  <si>
    <t>MPTSSGAAVSLHAIGKQESYIHSENLDQSIFNYNPKTHSHFTKFHRTTVVNKSPTSPTWP</t>
  </si>
  <si>
    <t>FNERIKVTFNPQNMGDLLSNMYIMINLPGLTNDKNYSDQVGRHLIKSVTMRVDEIEVEKI</t>
  </si>
  <si>
    <t>FDDWMVIHDELYLEVSEKVANRFILNRMLGFDTSSAQRAYASLDSEVIIPLPFFFSRKYS</t>
  </si>
  <si>
    <t>SDEYLSNEPNRPFFPLCAVHKQKIEFEFEFHPQNFFTNSVDTIQLDNFKIITEEFTIDPV</t>
  </si>
  <si>
    <t>ERLYLKNKEYTMITDLVKKHPTIETLPGVDTVQTNLVPNSRVKSIHWFLRNSRFEDTSVS</t>
  </si>
  <si>
    <t>ALPVEFDTYKIYVRDIASGTGVNQFTLKNLSFFTALTQRGVTTFSRVNFSGAPVLNGTNT</t>
  </si>
  <si>
    <t>IDTVGDPFSTEYNIVPWTNLTPSTADGSEIITVKIPANSFIEKFTFEYYTTDSSRVISGK</t>
  </si>
  <si>
    <t>RYTNIPGFDIVKNDEKTPILLTTNPISDFVSDTEDTFTQSYSITLDTSVFRVPDANFSDY</t>
  </si>
  <si>
    <t>HYLQNRFNFSKNPDFDEAFSFFNPVMKKAKFFIQGVDLPNISSTTDGYYKYMVPYQKRLS</t>
  </si>
  <si>
    <t>RPVRNIYTYSFSINPINVNPSGSLDFSEIQSEKTKIELKLDPGLTDVYTLYIYYTGYQTF</t>
  </si>
  <si>
    <t>KFDQGFMSLVY</t>
  </si>
  <si>
    <t xml:space="preserve">&gt;Ostreococcus_lucimarinus_virus_1@YP_004061854.1 YP_004061854.1 hypothetical protein OlV1_222c [Ostreococcus lucimarinus virus 1] </t>
  </si>
  <si>
    <t>MGEAAKISLKAIGKQDTYLLSKDPDESFFNYTTDKRHSDFRKYHRNKNIVRPGNATVGWP</t>
  </si>
  <si>
    <t>FGQTLKVEFHPRNMGDLLSNMWLSITMPGLRNPTDGNYADQLGRHILKSVTMYVDDIEVE</t>
  </si>
  <si>
    <t>KIHDDWGIIYDDLYLETSEKVANRFLVNRNLGFDDAPLVGFQDEAQYDADVVIPIHFFFS</t>
  </si>
  <si>
    <t>RKFASDEYDTNKPNRPYFPVCSVYRQKIEFELEFHKASFFTDRDLVTNPIQLDSFNIVTE</t>
  </si>
  <si>
    <t>EITVSPEERNYLMSQRQVFITDLVRKHPTIVSDLGKDIIRNNLVPNIPVKCIHWFLRNTI</t>
  </si>
  <si>
    <t>FENEDESIGDPVPATEGQRLYQNRFNFSSALDFQGENTFFYPLMSEASFFINGNKLPNVS</t>
  </si>
  <si>
    <t>KTDHSYYKYLIPFQKRLSRPIRNIYTYSFSINPVNVEPSGNLDFSAIQSEKTNIEVKMDT</t>
  </si>
  <si>
    <t>SVIDINTETFSLHMYYTGYQTFVFDKGFMSIAY</t>
  </si>
  <si>
    <t xml:space="preserve">&gt;Yellowstone_lake_phycodnavirus_3@YP_009174376.1 YP_009174376.1 putative major capsid protein [Yellowstone lake phycodnavirus 3] </t>
  </si>
  <si>
    <t>MSLNGAEAFTADTTDALFLGSLQPFVHYPNYPSRRFYMYPFTTDPGSPRPYGHINMSRIR</t>
  </si>
  <si>
    <t>QILLELKTDPYYQAKQLRVTAVSYNVLRVENGMAGLMFNSGTQSV</t>
  </si>
  <si>
    <t xml:space="preserve">&gt;Golden_Marseillevirus@YP_009310340.1 YP_009310340.1 major capsid protein [Golden Marseillevirus] </t>
  </si>
  <si>
    <t>MGSNMNSVVSGTRVTAASGFVDLATFSDLEAYLYGGCSAVTYFVRAIKKANWFSFLPVVL</t>
  </si>
  <si>
    <t>RNIAGLPGFGSEFSASVNRSGDYVLNTWLRVRVPLIAIRPTNGAGAINANATIRWTRNFM</t>
  </si>
  <si>
    <t>HNLVEKINITFNDLIVHEFDNYWLDFNAQANIDASKRIGYRNMIGDIPAMINPVTTGNPL</t>
  </si>
  <si>
    <t>GTGDFFNLPVPLFYSEDSGLALAVSALPFNDIKINYTLRRWQDLLVLNTGVGANPPTYDD</t>
  </si>
  <si>
    <t>VVQVSYDSTFTLIYSTSAPALTNVETWCHYAVVHNDERVKMGKNPRDMVIKQVQKVNETT</t>
  </si>
  <si>
    <t>INLSQLNALLPIDIRISHAVVAYFFAIQNSSDSRRVVQLHHRTPPMPVLTRSRLLSLCTS</t>
  </si>
  <si>
    <t>RLPVSATAPTTTALLSPGIGKSRSPKRLDTTRTLILSTVSPLIPRVRPIIPSSPTSRTNM</t>
  </si>
  <si>
    <t>FLLLLPSTPLLVSPTKVFRSRLLPILPSLSSCRLSGTSSGSLTSTFFACLAEAWVFRSYK</t>
  </si>
  <si>
    <t>WFFYFLVIQTFSHSSLRACNASKKYFMFLQT</t>
  </si>
  <si>
    <t xml:space="preserve">&gt;Wiseana_iridescent_virus@YP_004732793.1 YP_004732793.1 hypothetical protein WIV_gp010 [Wiseana iridescent virus] </t>
  </si>
  <si>
    <t>MSMSSSNITSGFIDIATFDEIEKYMYGGPTATAYFVREIRKSTWFTQVPVPLSRNTGNAA</t>
  </si>
  <si>
    <t>FGQEWSVSISRAGDYLLQTWLRVNIPQVTLNPLLAATFSLRWTRNLMHNLIREATITFND</t>
  </si>
  <si>
    <t>LVAARFDNYHLDFWSAFTVPASKRTGYDNMIGNVSSLINPVAPGGNLGSTGGTNLNLPLP</t>
  </si>
  <si>
    <t>FFFSRDTGVALPTAALPYNEMQINFNFRDWTELLVLQNSALVAPASPYVPIVVPTHLTVA</t>
  </si>
  <si>
    <t>PVLGPVQVWANYAIVSNEERRRMGCAIRDILIEQVQTAPRQNYTPLTNASPTFDIRFSHA</t>
  </si>
  <si>
    <t>IKALFFSVRNKTSASEWSNYATSSPVVTGATVNFEPTGSFDPIANTTLIYENTNRLGAMG</t>
  </si>
  <si>
    <t>SDYFSLINPFYHAPTIPSFIGYHLYSYSLHFYDLDPMGSTNYGKLTNVSVVPQASPAAVN</t>
  </si>
  <si>
    <t>AASGAGGFPGSDYPQSYEFVIVAVNNNIVRISGGETPQNYLSGSFVTLLNRRKWSREGPM</t>
  </si>
  <si>
    <t>IMVQ</t>
  </si>
  <si>
    <t xml:space="preserve">&gt;Scale_drop_disease_virus@YP_009163821.1 YP_009163821.1 ORF_060L [Scale drop disease virus] </t>
  </si>
  <si>
    <t>MSSIAGANVTSGFIDLAAYDAMETHLYGGDNSITYFLRETTRSSWFSKLPVQLSKQTGTA</t>
  </si>
  <si>
    <t>NFGQEFSVVVARGGDYLMNVWLRVKVPALKNTKANSSIRWTDNFMHNLVQEVTISFNDLT</t>
  </si>
  <si>
    <t>AQTITSEFLDFWSTCNVPGGKSSGYANMIGYTHDLVGGTVQNATMPSKYLNLPIPFFFTR</t>
  </si>
  <si>
    <t>DTGLALPTAALPYNEIKIHFKLRDWKDLLISQSTNDNAISVPLTSDMENVTPALTEVSVM</t>
  </si>
  <si>
    <t>GTYAILTNEEREAMSLVSRDMIIEQCQMAPRIPIRPLENEMPHIDLRFSHPIKELFFAVK</t>
  </si>
  <si>
    <t>NVTHPNIHSNYTAASPIIASGTNKVTMPPKAQNPLSHVSLIYENTARLNNMGVDYFSYVD</t>
  </si>
  <si>
    <t>PYFFAPCIPKIDGVMAYCYTMNMGHVDPMGSTNFGRLSNITLSAKVTANSKTTSAASGNT</t>
  </si>
  <si>
    <t>DGHKVAQKFELVVIGVNHNVARISNGSFGFPIL</t>
  </si>
  <si>
    <t xml:space="preserve">&gt;Cherax_quadricarinatus_iridovirus@YP_009552282.1 YP_009552282.1 001R, partial [Cherax quadricarinatus iridovirus] </t>
  </si>
  <si>
    <t>MLRFIYEKKILLIKNCKMANIAGALQDMANLGAVERYQYGTTNAVTYFIRETRKSTLFSQ</t>
  </si>
  <si>
    <t>LPIQLSSKNGNPDFDREWSVEPSKAFDYLIHMWIRVTVPEVKLLAGNVYKEHGRIRWTRN</t>
  </si>
  <si>
    <t>FMHNLIKKVSFNVNDLEIEKFDNYFLDFWNQFTLSSSKKDGYNNMIGNDDDLLIPKSKDG</t>
  </si>
  <si>
    <t>KIESKSLTLPIPFFFSRDSGLALPVGGVKWNKLRIDFEFRNWTELLILENVGAAHNGEKN</t>
  </si>
  <si>
    <t>PCKVPQVGSDIAVAPSLSNVQCWVNGGLIPEAERARMGCVHRDMLIESIQTSSKLNFNPV</t>
  </si>
  <si>
    <t>LNPNPSYDIRFQRTVKALFFGVRNTTNPNVWSNYTTASPVPDADKIDFDPDQSAFDPIGT</t>
  </si>
  <si>
    <t>ANIRYESSDRIPVMTADYFSLIEPYYKAPAIPELTGYHMFSYALKMNNVDPSGSANYSIL</t>
  </si>
  <si>
    <t>NNVSIQLQCSEAAIKAAKGEGEAKTGTDYAQSFQFLVIAISQNVLTLKNGMLGLPFM</t>
  </si>
  <si>
    <t xml:space="preserve">&gt;Diadromus_pulchellus_ascovirus_4a@YP_009640007.1 YP_009640007.1 unnamed protein product [Diadromus pulchellus ascovirus 4a] </t>
  </si>
  <si>
    <t>MAVNKHLIDMQSFGELENHLYDTSSAYSYFKRDYKKTSPVFKTPVVLDKTTGTSSFSYDW</t>
  </si>
  <si>
    <t>SAFVDKTQGDYLTNLTLIVKLPELKLKPDNAFKEKGTIRWTKNLFHNLLEECTLTFNDTV</t>
  </si>
  <si>
    <t>VNRLDSCILDFISEFSVDESKYSQYMKNIGNQQCLLQPATVIPSRCMVIPIPFFFNESVR</t>
  </si>
  <si>
    <t>NALPLSEMPYTEIKINFKFRAWESLVLLENKTELTPVPIVPVAGRDLDTPVLEEVKLYGT</t>
  </si>
  <si>
    <t>FVSVSEEERRTIGVRPSTMVFKQYQILPRQKVTDEKTKIQLMFKHSVTKIYFGIRNSTFK</t>
  </si>
  <si>
    <t>NQWSNYTADNDIVVNQIVSESKSESILKSARISYNGKDRIPETDASYFKMIEPIYCNRRV</t>
  </si>
  <si>
    <t>PEKEGHFVYNFDIMSDSPYASGSLAVSRLNNPTMELTVDREAIRSDRQFEFITIAENTNV</t>
  </si>
  <si>
    <t>ITISEGNAQVPVLH</t>
  </si>
  <si>
    <t xml:space="preserve">&gt;Trichoplusia_ni_ascovirus_2c@YP_803368.1 YP_803368.1 major capsid protein [Trichoplusia ni ascovirus 2c] </t>
  </si>
  <si>
    <t>MSGDPKIEATAVAKTKEDTNKVDIKAMRQFVEIKGGIENEIYNPENATTYFYREVRRSVP</t>
  </si>
  <si>
    <t>FIKVPEIIKPNGSVNFGGQCQFNIPRCGDYLLNLTLYIEIPKIELNITETAAVPGGAAAS</t>
  </si>
  <si>
    <t>LHRVGWVKNLAHQLVKEIKLNIDDTTVVNIDTAFLDMWSEFMTDNGKFDGYKEMIGGSKE</t>
  </si>
  <si>
    <t>LWDLDDKVAGAGTIILPLPLFFSRDSGLALPLSSLISSDISVEVLLRKWDEVLLLEDINN</t>
  </si>
  <si>
    <t>SKNKVIKADDIKDGEPKLTSIKLIGTYAVASKYEVNKTRCDDRRMLIEKPFKASEYELPV</t>
  </si>
  <si>
    <t>FDSGKLDEPIPINMEKINGAIKALFFAVKNTSRSNEHSVYKVGLPIPGTLRIDGGSLHAL</t>
  </si>
  <si>
    <t>SEIGINLAEHVFVPSLPIEYYSYQQPYEHAKRIPNNRDLFMYSFCLDVGDVDPMGSINPK</t>
  </si>
  <si>
    <t>LLAKRLTFQIKPTKDLAEATKNKQTFKFITYALCNRLVSIRQGKFTLLSQSMYGEDGEDE</t>
  </si>
  <si>
    <t xml:space="preserve">&gt;Spodoptera_frugiperda_ascovirus_1a@YP_762396.1 YP_762396.1 50.9 kDa Major capsid protein [Spodoptera frugiperda ascovirus 1a] </t>
  </si>
  <si>
    <t>MSTPTISADTTAQNATSTEVREDVNKRGNIDNYIYGPDERVTTYFVREIRPCAAFSKLPV</t>
  </si>
  <si>
    <t>LLTNGNGMKKFGGTFTMPINASGDYLLSLTAYATLSAGTITGAGDASVVSWLPKLGHKLI</t>
  </si>
  <si>
    <t>KSVKLKIDGKPLVELSSSFMDMWSEFMIDSGNYEAYNNMVGGEYEFNKDRINNKSVVLPI</t>
  </si>
  <si>
    <t>PMYFSRDTGIALPIGAMVNNRVTVEFVFRKVTDLLVLENKPATGAGTGVVRTLTEADFSV</t>
  </si>
  <si>
    <t>VPTIASFEVVADFAVVTDFEIDRTSCTPHYMYMEKPVDVPATELVKPTDGTTAPDTMSFE</t>
  </si>
  <si>
    <t>IEHTNGIVKALFFGVRNITRPEYLDFYKVGLPRFNLGAREDVGTATVSRIGIKCNDKYRV</t>
  </si>
  <si>
    <t>PLLPSEHFVYTEPYHAAKRVPTTNNGLYMYSFALDLHTIDPKGSINPSNFNSNISVVLRP</t>
  </si>
  <si>
    <t>SETLNAATTERFEFNATVLTGYILYVENGNLRKIDNGGDFN</t>
  </si>
  <si>
    <t xml:space="preserve">&gt;Cedratvirus_A11@YP_009329068.1 YP_009329068.1 Divergent Major Capsid Protein [Cedratvirus A11] </t>
  </si>
  <si>
    <t>MQEQQCSLIRMITEDETEHEKIIRYKSGDDKKVDEVTSLFDFNPKEYARNHHLPREMARG</t>
  </si>
  <si>
    <t>ERSGQYEYNADSSYSYLYEMTLYQVLPQVTVKKKYRDRIEICWAHYPGLNVVKNAIMFGG</t>
  </si>
  <si>
    <t>EKTVIQTSDSKWSNIDNQFYGNKKIDHINHYLGHVPALIEWTHKLPKFPLRVLQPWSFCK</t>
  </si>
  <si>
    <t>GVPFPLFKAKEKIYFSYKTCSSIFELLRVRVLKDGQWTYISPTKEANTISKYLNFPDKGS</t>
  </si>
  <si>
    <t>LPSPIMIAEYSKITHDEEMSIKGDMDHYVVEDIKRFSSEIVNKTNPKVTIEVDIEDSIKG</t>
  </si>
  <si>
    <t>IFYVAENLDATLTNNLSNFSTNATEILDGDKPIKGISLKYENSPLVPLSAELTPSVLADY</t>
  </si>
  <si>
    <t>IESHYAINYFKGYPRDPGYAAIPLAYDMHTANHETFKSGKFTAEFELSDKDDDSDDDSDE</t>
  </si>
  <si>
    <t>REKDEFLKIGSISSDEVKLSHSYKVHMYVLYLKRISFIDGKVEINKIAPPRNKK</t>
  </si>
  <si>
    <t xml:space="preserve">&gt;Pithovirus_sibericum@YP_009001361.1 YP_009001361.1 divergent major capsid protein [Pithovirus sibericum] </t>
  </si>
  <si>
    <t>MDGDQRDVLSQMVTEDETEYEKALRYSEEGCQSLFDYAVRKPSRNHHFPREMKRADTSGS</t>
  </si>
  <si>
    <t>FMYAADSEYSFLYDMQMYLKLPKVVVKKKYRDNVQIAMCSYPGINVVTQAAMYCGKKKSP</t>
  </si>
  <si>
    <t>YQFDQTWFNIYNQFYNKKTEHFNRFCGHIPTLTDWGYSLPSHQLQVQQPWFFTREGFPFP</t>
  </si>
  <si>
    <t>LFRVKESVQFEYTFKKSIFDLLRFKIRAEGEDWEEVPFHKNFIEFVSVADGGILSPPIMI</t>
  </si>
  <si>
    <t>GEYSKITIEEEQAIKNNDKHCAVEDILSFKTELVDKVTPLAQVQIKTKYPLKGIFYVAEN</t>
  </si>
  <si>
    <t>VDATRLNNFSNFSTCAEDMSEGVSPICSVEPKINGSTRLIPFSSEFTGEVLAAYYQSNSA</t>
  </si>
  <si>
    <t>LRYFPGFPQDPGYAAIPIAYSMADPAHDGFKSFQGDTSITFQLSDAVENPEEEEGKEEGP</t>
  </si>
  <si>
    <t>NFSKFTELLKDKSSAGGKVKSLRHNFRIHVYVVYIKRLTYGDDGELKVNDFSDIPKKAD</t>
  </si>
  <si>
    <t xml:space="preserve">&gt;Orpheovirus_IHUMI-LCC2@YP_009449240.1 YP_009449240.1 Divergent Major Capsid Protein [Orpheovirus IHUMI-LCC2] </t>
  </si>
  <si>
    <t>MCVFVNARGFIYENHKVRFRIFFSLKTRSTECKESLNMNSNDINNNERAIQNALFYHLYK</t>
  </si>
  <si>
    <t>KHDNENSPISSFAPTPERSLIYSPSSHIVPHYLCVDKAKTEQNKTGLNRLHELYDKTLSY</t>
  </si>
  <si>
    <t>NLNHISDADFIIAAILEQVLPRTEVKRKYVGMIEVCWMPNIGNNIPQSFYLKYASDVNFS</t>
  </si>
  <si>
    <t>RKDSVDMDNFLSWCIRNKHNYNKHIGNVPELTEWNTILPRYELGILLPACFSDGGPTALP</t>
  </si>
  <si>
    <t>IFLGGKNSNFELIINIRNRLSNLLRMRRKGKDGVWQEIRANTKYLVGFKKEESISLPTLR</t>
  </si>
  <si>
    <t>CEYTTDIGGYKESILCQGVLVQYIREVINLDRDETARLGSTVKIPINKPGLSQAIFVTSS</t>
  </si>
  <si>
    <t>AVSLHKPTSKDTSLVPLNYSNYTTNIYDVKSGYSPIEYIAVKYGDKYKISPMSASALAFR</t>
  </si>
  <si>
    <t>AGGDFLGTPEVNGYNAIALSNAPLSDLVYIPISWPLSELDASLEIKLGDTNPYLMEGDKS</t>
  </si>
  <si>
    <t>DEEEFENSMEESTTDVKNVEVENIFTDINSKISPASSVYDKVMQSKILHEKAINDKVFSV</t>
  </si>
  <si>
    <t>PEDYNVYVRLVTIRRLVFRRKGVDGPWVASFEEEKDLNIEDEIYTNK</t>
  </si>
  <si>
    <t>&gt;1704MEGAvirome_6-GSNBU_NODE_129_length_16133_cov_32.279150_27 [3147 - 628] (REVERSE SENSE)</t>
  </si>
  <si>
    <t>MAGNDTTAPILEVIVSQHHSEHTSLNPEEPRVVRPQPPIYPIVRAVAHSESEGSAKPDGV</t>
  </si>
  <si>
    <t>IQFPVPTSRETDIHFLESAWLEIDTLPGYDPASDIDNQIAPAIFRAIKTIELLTLDKIHI</t>
  </si>
  <si>
    <t>ETLTPLDILTWTQTTTPRDAYDTLQHLSYGDSFNAGSAGSNVVQLSIPFSILKDGAPFPL</t>
  </si>
  <si>
    <t>VSLSKTGMLVRITYTSSQNMPSTLDLRGTRIWFQGLTLPPNQIKKMETMNLILPITTFTN</t>
  </si>
  <si>
    <t>QTRVYEKGSAATLETFLLEDTRDLRSLVFMMGELGETTTTLQRFKGAYYKDPDAPDVYRS</t>
  </si>
  <si>
    <t>LRECWLDIGSQSMSRPLRPEVVRYITRLGRCGRISKNTQGEDGLHILPISTVYRASLHGY</t>
  </si>
  <si>
    <t>SAPGALTRNSSKVSLRLRFDPIDRVPGDRDRFEVTVITQRGQRLSIKNGLIESVDSFHGD</t>
  </si>
  <si>
    <t>EVAGDPDAGSQLHDITPSQYGSTGNQEDGIPDEVLGYLTQSPTHEAFSRTTRSVALRGSH</t>
  </si>
  <si>
    <t>RFGETIVADLPLTADLVGGLTLQFRLPELPDGYRWINGIGYYILSRVVVRHEDTILYDCP</t>
  </si>
  <si>
    <t>GEALYLLNQQDNPLGVRAREDANNVGYIHPNGLDTVSFPTTGSPDGRIHVRIPWSFGTKG</t>
  </si>
  <si>
    <t>YSPLPTAALRHRHLRLEIRLAEPSQVIVPTTVDPYNPPTISGGKGGHIGCAGSNPAPNLL</t>
  </si>
  <si>
    <t>PAGVEGGFVITETTANLIGYTIPSELRTQLMSRPRQMILRQLHMYRFDDPEGLMRTIPIN</t>
  </si>
  <si>
    <t>HGLRRLIYVSPQNSEAVGGERGYNPVGLQQIYAGSKHWYHCIPPSEFFQDWSRLTSTSPS</t>
  </si>
  <si>
    <t>TGSGSPDIALYSVDFNPGFINASRFDEFRFQTTPGRLVVVAISDEPFRIQKGKIGPLYAD</t>
  </si>
  <si>
    <t>&gt;1704MEGAvirome_6-GSNBU_NODE_1684_length_3677_cov_9.551926_1 [333 - 1502]</t>
  </si>
  <si>
    <t>QLYNMHNAQLPYEQSYLCENPQITFSKSVYRRYTNFETDKEKYKFKNNCVFIDNIAKINI</t>
  </si>
  <si>
    <t>IKTVSLSNIGNLSKIFCVLVPKEITTLTSDIIYTNRDIKILNIFSEQTLKMYNKAAYPEF</t>
  </si>
  <si>
    <t>CRMIDICDKRFALLPHGNSSFVREFIDSAGFKLGYCIMTHDDKAYDGYLHIKCITALDDM</t>
  </si>
  <si>
    <t>EIKRFHTVGHEYMIQNHIMMTHSVKRGITYIDMHVTNTPVTYFAVICPKKVDLDVKFLYN</t>
  </si>
  <si>
    <t>GKMTTVDEVGSDPGTFVLESKTHNIYLCQFTMSMYALIQSYQPYGHKVLENRHDPMIKII</t>
  </si>
  <si>
    <t>TSTDTDIEIVYSMYNVMRYIKNIDKTKWCLSIMKDHNIRSVTDFFFSGGHLASDYNIKTP</t>
  </si>
  <si>
    <t>GQMTSTSIACPEYGYFDKGGDDGCPLFIDI</t>
  </si>
  <si>
    <t>&gt;1704MEGAvirome_6-GSNBU_NODE_1706_length_3629_cov_20.345784_2 [2421 - 3227]</t>
  </si>
  <si>
    <t>IISIMTGAVIQLVSKGNEDMYLTYEPQITFYKNVYKRHTNFSSESVVQDFKSKPDFGKKI</t>
  </si>
  <si>
    <t>TCTLGKQADLISKTYVVVVLPKINYYQESKELPTLNRAAWIENIGWNIIKSVEIEIGGYV</t>
  </si>
  <si>
    <t>IDRQYGEWLFIWNELAQKNFNKNILDKMIGNVPILTDFTLNKDSYTLYIPLSFWFCNNPG</t>
  </si>
  <si>
    <t>LAIPIVALEFADVKINIEFANVNDVLILAPTNYIDIENDVVQFKTGDILFQHVNNKINYI</t>
  </si>
  <si>
    <t>KFIDFQKIITNGNTTTNRLYYNKINTDPI</t>
  </si>
  <si>
    <t>&gt;1704MEGAvirome_6-GSNBU_NODE_210_length_13502_cov_35.614977_4 [3500 - 5452]</t>
  </si>
  <si>
    <t>VMPSGLIQIVAYGSQDIYLTSAPQITYFKVAYRKYSNFAMESVEVPLNGTPKFEHRFITS</t>
  </si>
  <si>
    <t>IPKTGDLIHKLYLKVEIPAINLIANQNDVYIDNSIVNAAKSKLSINQALLTKYLEFFKYN</t>
  </si>
  <si>
    <t>FIILNGLKLETMTIGSNWYTFKTLINNYKASLQLKINTIGVVLDDVLSKYDITYPDSAKS</t>
  </si>
  <si>
    <t>TYYGSDEKNVVLISSIQSFINTMNIYYQNQEKIILDNIAHLNEGISNLITSNEYFAWTEK</t>
  </si>
  <si>
    <t>LGFNLIDKCSVLIGGQEIVNMDSNYLDIYHMTNTKPYMKEMLNEMIGNVPELTSYSRNQK</t>
  </si>
  <si>
    <t>NNYILYIPIPAWFTEHSGNAFPLIALVYGELEIAIEFSSLDKCCIYNGQSNINNLVQLGA</t>
  </si>
  <si>
    <t>CSLLVDYIFLDVDERKKFGQFSHEYLVQSVQSVSSENFNIVEASVELDVFHPVKELFWYA</t>
  </si>
  <si>
    <t>QEQKYLLNNKLYNKYYCAYVYDISFITQSSSSEYNYLNSSTPTTDLLTIYFNRIDGDSEI</t>
  </si>
  <si>
    <t>FEKGSLINIKYSKYYDDQYVVLDTSADYVIIKVKYQEYVDYHDRLYGIIYNEVDHHTFNP</t>
  </si>
  <si>
    <t>INTEHISFGGVTRTPKTDYMYYNGVMPYQTYKNEVDSGINSYSFSLHPHQFQPSGSCNFS</t>
  </si>
  <si>
    <t>LLKSKMLYFRLNNTYYNYLTEQETSYRINIYATNYNVLRISNGIGTLVFSS</t>
  </si>
  <si>
    <t>&gt;1704MEGAvirome_6-GSNBU_NODE_210_length_13502_cov_35.614977_8 [1711 - 59] (REVERSE SENSE)</t>
  </si>
  <si>
    <t>PTFIFTLKNKFFNYIVYNLNYFFLFVIIYLLMPGGIMQLVAYGAQDLYLTSNPQVTFFKV</t>
  </si>
  <si>
    <t>VYRRHTNFATESVEQPFSGTPDFGRKATCEFQRSGDLISKMYVRIELPAIDAGAGNKIAW</t>
  </si>
  <si>
    <t>CSKVGHAVISSVELNIGGVQIDKQYGDWLNIWYELARNFAHDRTYDHMIGNTVALTTMQQ</t>
  </si>
  <si>
    <t>THAAATLWVPLKFACCRNDGLALPVIALQYHEIRVNVEFRAIASLINKTVGATTPTESMN</t>
  </si>
  <si>
    <t>ASMYVDFVYLDNDERKRFAQATHEYLFEQLQFTGDETVSTSNPKYRLNLNHPCKELVWVA</t>
  </si>
  <si>
    <t>RHSKYQGGRFLAVNPNNWNSARIEATKRFVLRLALYDVDGNLSGDDQSLDINPQTSTTLF</t>
  </si>
  <si>
    <t>GAAQQTLSQLYAAINPVYISTTSTSVDNITILGDLLPLDVMSIDTTVLFANAAIDDQIEG</t>
  </si>
  <si>
    <t>DGLAANDVITYQHDNYGVNIDGSVNPTTNALLQLNGHDRFTRREGMYFNYVQPYQCHTNG</t>
  </si>
  <si>
    <t>PADGVNVYSFALTPEEHQPSGACNMSRIDNASLNLTVNSTFTGTNSTISIYAVNYNVLRV</t>
  </si>
  <si>
    <t>MSGMGGLAYSN</t>
  </si>
  <si>
    <t>&gt;1704MEGAvirome_6-GSNBU_NODE_2340_length_2614_cov_47.139341_1 [3 - 1352]</t>
  </si>
  <si>
    <t>TEEQPEEQTEALEELSEETEEQPEEQTEASEELSEETEEQPEEQTDALEETEELTGTILQ</t>
  </si>
  <si>
    <t>LQSVGLQDTYLTENPNINIFKHVYYRYVNFAVETLSLPLQAIPKFGGKTSFIVPFKGHLL</t>
  </si>
  <si>
    <t>SNIFLHLQLPPLLHTSGTFASWTNALGLAILEYYELEINGVVVEKRYDILQDIVDELYKP</t>
  </si>
  <si>
    <t>IDKGKNLMLLKSDLHVAARHNAKKSVDILIPLDFFFTRQPSSALPLFGMYNHQIRLNFKF</t>
  </si>
  <si>
    <t>RDFSQCVNYDGDSPPDPVEIINASLLVDYIHLDNAVLKSLTESEHKFLIEQVQFHEVEPL</t>
  </si>
  <si>
    <t>SNGKTDFITNLHFNHCCKELLFVFVEQESLNNNDFYNYSNRSSGDALVQNISMYLNGITR</t>
  </si>
  <si>
    <t>FDKLPESYYRLGFPFKTHTRVTNKHIYCIPFSLNPEKHQPTGTINFSRFDNVSLSFKMQE</t>
  </si>
  <si>
    <t>QNPACVLYLYAITLNILTVHNGLFKLEFSV</t>
  </si>
  <si>
    <t>&gt;1704MEGAvirome_6-GSNBU_NODE_366_length_10778_cov_26.768979_13 [1896 - 604] (REVERSE SENSE)</t>
  </si>
  <si>
    <t>SHKSYIIICLYSKTMPSGIVILAAYNAEDQFLVGNPQISHFRSAYIHHRPFSTEYRKVSF</t>
  </si>
  <si>
    <t>DTRTALGQNTMSVEFPRDGDLIKSVYLQANFPSPPSGYSWTNSLGYACIKEARLRTGETM</t>
  </si>
  <si>
    <t>LDRQTGEWMNTWGTLTTPVSKQAGFNDMIGKDETTNKLTGPQDLLIPLPFWFCRHSETAF</t>
  </si>
  <si>
    <t>PLISLQKQTLRLEIDTRPLEDLVVNSPECGTRISLSDAVSFSLIVEYVYLDREEARWFTN</t>
  </si>
  <si>
    <t>RPQVYLIEQVQQDLNNENCGGSDIIRKELPFNGLMKELIFLTRYRVRSRENLWFFYSNQE</t>
  </si>
  <si>
    <t>PGVAGGGEFMSGEHTLAEGVRHGDIIKSAKIQYDSYDIVDNYPARFYRVLQPYQHHTVTP</t>
  </si>
  <si>
    <t>DDYIYCYSWAINPEQWNPSGHINTFRSSNMTLVLRKSDEAIEYPTILHSYALMYNIMKIN</t>
  </si>
  <si>
    <t>GGVCGLEFQYN</t>
  </si>
  <si>
    <t>&gt;1704MEGAvirome_6-GSNBU_NODE_985_length_6020_cov_5.764219_8 [3926 - 1836] (REVERSE SENSE)</t>
  </si>
  <si>
    <t>VLTMSAAGVFNLQTNDGKADRIILALDYLKKRLSDITCYRKAQGMKDIMPTLRDIEKTHI</t>
  </si>
  <si>
    <t>LFTNAHFKPFVACAQEYMKVRPSSGTPSLGNTIQFQIPQFGDFFHDIVMRATLSSVNSSV</t>
  </si>
  <si>
    <t>QTVPTQATANNALTSSQIPGSTAAGAEGYDWDNVTSIADAGGNAAVTYSLVDAFGNAVSV</t>
  </si>
  <si>
    <t>TDGDNTYYYRNFVRYVEFPGERLAQEVKFDVNGNPLDSYEDSATVLLRKFKVGADKMTGY</t>
  </si>
  <si>
    <t>KRLVGQETELTGYSGPHRGQVHDNEVSTSAHLTQTTLISDVAGEVTKHQNNPGAAHSTTG</t>
  </si>
  <si>
    <t>ADFMAANFPDEAWSCSTAAGAALGGVTQSATVGYQDVYRQSLRAVDGLQTPKYQQPEHDL</t>
  </si>
  <si>
    <t>WCKFKFWFCERVDNSIVSASIPSGQRYITVKLATQAQLVVEEPSLYIKRVIDSGVVTGSA</t>
  </si>
  <si>
    <t>VNKRTVEYRPFVRAGTLSTITLTQVELYINNLFVVPEVHDIYISRIGFTLIRVYRQHTVT</t>
  </si>
  <si>
    <t>VNTAGSDEKQLSQLKWPVEYMFVGLRPTWNISASNNTMYRDWHRMCKVVDVESQEWANQS</t>
  </si>
  <si>
    <t>SVADGYKANVSATSADGDVAALETTGATSHVFQGRDVVPVRYARECKTVNSLSLSAHGIK</t>
  </si>
  <si>
    <t>IFDEFSERFFSAYTPLAFGGPNVITPDDQGVMMFNFACYPGVYQPSGHINVSRAREFYLK</t>
  </si>
  <si>
    <t>WNSSYTSSTSSSDLIVLATTINFLLVAKGSCVLRFST</t>
  </si>
  <si>
    <t>&gt;1704MEGAvirome_6-GSNBU_NODE_99_length_17949_cov_25.295900_17 [11736 - 10207] (REVERSE SENSE)</t>
  </si>
  <si>
    <t>KMSATTGIFLQAQRDIRYDGLFFLNTRLRERLAEIKQGRINSKQDNIQPFISDISKTHIN</t>
  </si>
  <si>
    <t>YLTSSFRPHVKTTSVYSVSRSKGTTCIDNNTNTKLNFSVQSVGSFTSDMAIRIKFNNLGS</t>
  </si>
  <si>
    <t>QNASDSAPYYRLCSKPGIRLFENVKFKSKGTVLEEYSYYAQLFKDKCLITKDQEESWNNS</t>
  </si>
  <si>
    <t>IGQDVPKKVKAFNTRGFVQYMEYSNGFQTPKTFHENIELVIPLNFFFTNDPSTALYNKLI</t>
  </si>
  <si>
    <t>PESRREVEVTLAKLSDIVQCLDRTTLEPIALPIESLEFEAVLFTNNLYVNSEIDDIYASR</t>
  </si>
  <si>
    <t>INYRTVKVKKEYTKTLISESGTIPLSHLKGPIETLYVGFRDKTNSSDFDNWHQFGKVRTL</t>
  </si>
  <si>
    <t>ENANKIMMPALQHTIKDGEEVPHLVALNGKEFEYTESMLSNFDIQSSGISLFPTTNTKFF</t>
  </si>
  <si>
    <t>RNYFPQRYVNKSNLVSNKDSSAYAIPCCLFPEYEKTNGCYYASANKEFKILYDNETNISN</t>
  </si>
  <si>
    <t>NNHAEVIIVATCLAVLTRDNEGNSVLKFTI</t>
  </si>
  <si>
    <t>&gt;1109MEGAvirome_7-GSNCB_NODE_1044_length_3340_cov_13.481664_9 [2169 - 553] (REVERSE SENSE)</t>
  </si>
  <si>
    <t>YCCDLRDIIFSLNIRTMGGGALAQLSLVGQQDLILHGSSPDVTFWRLQWKKPSMFSMESI</t>
  </si>
  <si>
    <t>QQAFQGDATFGRKVICPITKSGDLLHTCFLQVTLPDLSNYGIDGVLAASGDIPGIISARW</t>
  </si>
  <si>
    <t>TSSTTARIKLIPSTDSTAVTRYDVSYNDGSGDTVVNGADGATTITLTGLDTSKTYTVKAR</t>
  </si>
  <si>
    <t>RVTANGAGTWSSTQEIVSLRWANSMHSLLRTVDLEIGGSRISRHTGSWMEIVSELEIAED</t>
  </si>
  <si>
    <t>KQTGLNAMIGKYPSYDLYDNSTEGGTTFFIPLQFPFCKHPGLAIPIIALTYSQVNLVFDF</t>
  </si>
  <si>
    <t>REYLEMVKSTVTVPSLLDSAGKTPEATISLYATFVYLSTSERRVFASGKSLEYVFQDVQH</t>
  </si>
  <si>
    <t>HGDIPMVVSPQEQPSLSRKLNLDFAHPTAELIWVYNRQPAYNAGITRSHYARDGNDYFNW</t>
  </si>
  <si>
    <t>DAPAGADVDPIESATIHVNGHERFSRRIGKYFRLVQPYGHHTRIPTDKKIYCYSFALLPE</t>
  </si>
  <si>
    <t>EPSVTGSINFSRADTSHLLVTLDNSFAAGTSSGRLQIFARSWQVLRIQAGLGAVLFASG</t>
  </si>
  <si>
    <t>&gt;1109MEGAvirome_7-GSNCB_NODE_1100_length_3168_cov_2.297755_7 [2767 - 887] (REVERSE SENSE)</t>
  </si>
  <si>
    <t>ATLDMGVALPSPITYGQTLRFLVPRKGDLLTTLTVRMRVKRTSERGHYPAEELIESASLI</t>
  </si>
  <si>
    <t>MGKQVIEELTGEYIRIHNAIMDTPDRRDARYRMSDFEVSDDQGTEKLLYCNIPFYFTHKG</t>
  </si>
  <si>
    <t>CCLPLISLQYTQPEIVIKFKSSVMSFDPTYQPQIQVTGEYVYLDDTEREWWASQEHDMLF</t>
  </si>
  <si>
    <t>PYVQMVEDRVDIEQSRIENKYTPLDIQTGVPSSILGPAEPYEDSIIVTQGGQDGFTYINL</t>
  </si>
  <si>
    <t>VDPEKYPGNSVILYDTGSNARTFTIKAAMLLPKDGNNNGSVSALWARRAGDIGYECEFIV</t>
  </si>
  <si>
    <t>EPSNQMHINVYRNGQVIVSLDENTVFTSAMTTVTGDSSSYDIRSDTFAADNPSIDVTQGS</t>
  </si>
  <si>
    <t>DYEIWVDIDITHNLEDFSRMTVAYTIGLYEASGGGRLNNEQPSSTKDKYFEVSEGYSAVD</t>
  </si>
  <si>
    <t>TLGIPTQMGFAATSNTFPAIITDISMSTRQIEKTPIDDNLTHHKTPIYTRGPVRFMAWVT</t>
  </si>
  <si>
    <t>TPLDPNHQWGAFSTGDRGTYVTRFDPLDSAQILINGKPRTEMEDASYFSVYHPLETIQRS</t>
  </si>
  <si>
    <t>LPSGVHFYSFSHDPTDFSPDASMNFSRAGSVVLSQRFKKWNPTATSLGELRASETFAAAR</t>
  </si>
  <si>
    <t>DFKRIRIYMVGYNVLMHRDGQVALQCV</t>
  </si>
  <si>
    <t>&gt;1109MEGAvirome_7-GSNCB_NODE_1105_length_3157_cov_40.666884_12 [2093 - 783] (REVERSE SENSE)</t>
  </si>
  <si>
    <t>KHNLASLYVLAMSTVIRSGEQEQRQTPGAGALLQLQSVGKQDTYLYALKEEDTSSKQGGN</t>
  </si>
  <si>
    <t>PFTKTGFLASSRGAIEHKEEVFEPFYFGKTNTISVPRRGDLLGDIYLQITLPAVPGAGVD</t>
  </si>
  <si>
    <t>DYWLQGIGYILLRRVKLLLNETEINSDERLYYDIYDQMFQTENIRLGVQEMIGTDGQQRR</t>
  </si>
  <si>
    <t>LTQAHSFLIPLKFFCCKKRYGNARQTFMPLLATPGSTIYIDIEAESFENCITSYAGNTPP</t>
  </si>
  <si>
    <t>ETLTCSLVCEFVFVDNPERESLINQPQLLMIEKVQDAEGFSSREIVSADGTSVIYATDTV</t>
  </si>
  <si>
    <t>VIPLNEINFPVKCLLFVAYFVDDVTQKRYFQYADIIQSASVRFDGNDRTDQLQSTYFQLL</t>
  </si>
  <si>
    <t>QPYLHAPRCNTNNIYLYSFALDPGLLQPTGAFTFANVRRPELYVKLAEARRDVVVKVFAL</t>
  </si>
  <si>
    <t>GYTWIQFVNGRASPLFS</t>
  </si>
  <si>
    <t>&gt;1109MEGAvirome_7-GSNCB_NODE_1278_length_2728_cov_5.222180_4 [1259 - 3] (REVERSE SENSE)</t>
  </si>
  <si>
    <t>SGVSCTKELKSLPRTQIPRWTFASFAKKILYPSFIRYSNNNQMPGAVTQLALYGKEDALL</t>
  </si>
  <si>
    <t>VGEPEVTFFRLLYKRHTIFSMESIPQAHQSVPQFGRRSVMTITRSGDLVHTIFLEVDLPS</t>
  </si>
  <si>
    <t>LRDYAIDTVVSPQSAVPGLLSARYTTRTTGQVKVLPSTDGADARYDIYLDDGVSPVTIQG</t>
  </si>
  <si>
    <t>EAGVTDIPITGLDISKTYTVKVRRVNAGGTVGSWSVDSMTVVSLRWCNTVGLALMRTVDL</t>
  </si>
  <si>
    <t>DIGGSRISRLTSEYMDAEAELTMPSEKEKGWNTMVGKFPEWDIYDNSLQERTKLFIPLTF</t>
  </si>
  <si>
    <t>SFCTEPGLSIPIVSLQFHQVQITYDFRDYTELIKCTTNVSSLVSASGRVPEATIQSYVTF</t>
  </si>
  <si>
    <t>IFLGTQERRRFSSGEKPLEYLHREVQFLGDTPIIVSSEEPSLQRKVSLDFSHPVSELIW</t>
  </si>
  <si>
    <t>&gt;1109MEGAvirome_7-GSNCB_NODE_151_length_11416_cov_17.105114_23 [7869 - 6244] (REVERSE SENSE)</t>
  </si>
  <si>
    <t>PEEKSGVIYFLHTRYIPMGGGALAQLSLVGQQDLILHGSSPDVTFWRLQWKKPSMFSMES</t>
  </si>
  <si>
    <t>INQAFQGDATFGRKVICPITKSGDLLHTCWLQVTLPDLSDYNVDGFTINASADVPGIISA</t>
  </si>
  <si>
    <t>RWTSSTTARVKLIPSTDATPVVRYDVSYNDGSTDTVVAGDDGATTVMLTGLDTSKTYTVK</t>
  </si>
  <si>
    <t>ARRVTDSGPGAWTSTTMDVISLRWANSMHSLIRTVDLEIGGSRISRHTGTWMEIVSELEL</t>
  </si>
  <si>
    <t>AEDKQKGFNTMIGKYPDYDLYDNSTEGGQTFFIPIQFPFCKHPGLAILIIALTYSQVNLV</t>
  </si>
  <si>
    <t>FDFREYLELIKSTVDVSSLLDASGKPPEATIQCYATFVYLSASERRVFASGKTMEYVFQD</t>
  </si>
  <si>
    <t>VQHHGDIPMIVSPQEQPSLSRKLSLDFAHPTAELIWVYNRQSAYNANIARSEYASKGNDY</t>
  </si>
  <si>
    <t>FNWDAPAGTDIDPVASAVIHVNGHERFSRRIGKYFRLVVPYGHHTRIPVDKKIYCYSFGL</t>
  </si>
  <si>
    <t>LPEEPSVTGSINFSRADTSHLLVTLDDSFSSGTSSGRLQIFARSWQVLRIQAGLGAVLFA</t>
  </si>
  <si>
    <t>&gt;1109MEGAvirome_7-GSNCB_NODE_184_length_10336_cov_17.569183_31 [2766 - 817] (REVERSE SENSE)</t>
  </si>
  <si>
    <t>NMRRIARMGAGAVLQLLLHGEEDITLHGTDAEAYKPFRQVWKKSTPYAVAHIDTNVNMPT</t>
  </si>
  <si>
    <t>QVTYGQAMRFLVPRKADLLRGLQVRMRVKSTTAASTAYLPGEDLIQTATLICGKQVMEEI</t>
  </si>
  <si>
    <t>TGEYIRLYNTLHDDADARAARDRLAAFDSTEIRRYKTLYVDLPFFFAKTPLPLIAAQYQD</t>
  </si>
  <si>
    <t>IEVHLQFRQASEVLALDPTIEPDIQIFGEYVFLDESERLWWTSTPHSVLIEHVHIDEDRV</t>
  </si>
  <si>
    <t>DTEESQLTKTYDTENILFGTPTSVTGAGTESDVVQADFLQLTKYPDYNGTTTVLYNTGQN</t>
  </si>
  <si>
    <t>TVNHTINVAMSIPYDGRASMIWARTSANLGYQIDWVINGNDLEIYIKRNGTTIAYLTSTE</t>
  </si>
  <si>
    <t>VFSIALTTVTGSDTSYDITAQVAPGETWVDVELQHDLEGTTGMVVNYSIEGYVPGGKLAG</t>
  </si>
  <si>
    <t>VSPVSSQTGLFFQVAEGYSSVDTLARESSLGFEGVSNAYDALVTDFDMTIQRVNIEPVSD</t>
  </si>
  <si>
    <t>NYTYRKSKIFARGPLRWLAWTCSPQTTPTRFNTSSDRQSTNMVYDPLSAAQLLFNGKDRT</t>
  </si>
  <si>
    <t>QMELNSYFTVDHPLRHLHKALPTGIHLYSFAERPMTLQSDGHVNVNRLGDLTLYQRFRRY</t>
  </si>
  <si>
    <t>SSSVTDEASTDDLYDDEGLNDSKNFTRIVIYAMCFNVLRVVNGTLSLAYV</t>
  </si>
  <si>
    <t>&gt;1109MEGAvirome_7-GSNCB_NODE_197_length_10037_cov_21.373064_26 [4483 - 2447] (REVERSE SENSE)</t>
  </si>
  <si>
    <t>CCPCTMSQGALLQLLLKGDQDAYIHSEDFLATKPFRQVYKKVTPYSVATLDMNVALPTNV</t>
  </si>
  <si>
    <t>TYGQTLRFFIPRKGDLLTSMTIRMRVKKTSETGYYPAEEAIESVSLVVGKQVIEEFTGEY</t>
  </si>
  <si>
    <t>IRIHHTLMDSSDHRDARYRMSDFNAADVQGTEKLLYCSIPFYFSYPGCCLPLITLQYTQP</t>
  </si>
  <si>
    <t>EVVIKFKSSVTSFDPTYQPQIQITGEYVFLDDTERDWWTRQDHDILFPYLQTVEDRVDID</t>
  </si>
  <si>
    <t>ETRLSRLYTTLASQFGVPDSITGAAAAVDESTVITVRGEGEISYATLVDPSTYPGTSTIT</t>
  </si>
  <si>
    <t>YGSGSNASTFNMQASLLLPKDPNNGGVTSVFWARTQGNQGYRLDFRFDPDRTNQIIVSMY</t>
  </si>
  <si>
    <t>RNTQQIVELTSDTVFTSALTAVQGDTSSFDARSQQFIDDYGLFNLLTTTGPEYEVWINVD</t>
  </si>
  <si>
    <t>IIHNLEGISTMTMTYEFQIFEIGSGGGKLDNQPALSTREKYLQVTEGYSAVNTIDIPSSM</t>
  </si>
  <si>
    <t>GFTATSTLFPCRVADITLSARQVQIAPVDENLTPKKTKIYNPGPIRYMVWVTTPLNPEDQ</t>
  </si>
  <si>
    <t>WGNFSTGETGTYTTRYDPLDSAQILINGKPRTEMEDATYFSVYHPMMVAQKSLPAGVHMY</t>
  </si>
  <si>
    <t>SFCNDIRSFHPDASMNFSRAGDVTLYSRYKKYNPTATSTSDLLDSESLPSAQDYKRIRIY</t>
  </si>
  <si>
    <t>LMGYNVLTIRDGTMALMQV</t>
  </si>
  <si>
    <t>&gt;1109MEGAvirome_7-GSNCB_NODE_262_length_8899_cov_15.414357_17 [4816 - 7089]</t>
  </si>
  <si>
    <t>HGTVHARPDRRAQGHPGDVRRHNRREYGCDAGAQAPLRPRRGSALRQGPDQYHARPRGDA</t>
  </si>
  <si>
    <t>SIRTHGLLRHGHDASHRGVWRPWPQQNQGQLVREAAVRPDPVKFASFIMCVCINDMGAGA</t>
  </si>
  <si>
    <t>LLQILLHGDEDVTLHSTQDDAYKPFRQHLKKATPYAIAHIDTNMNMPTSVTYGQTLRFLI</t>
  </si>
  <si>
    <t>PRKADLLKSLQLRLRVKSTTAAATAYLPGEDLIQSATITAGKQVLEEITGEYIRIYNTIH</t>
  </si>
  <si>
    <t>DDADARAARERVCQFDSTTEVRRFKTLFVDLPFFFASTPLPLIAAQYQDLEVRIHFRQAS</t>
  </si>
  <si>
    <t>EVLALDPTVEPDVQVVGEYVYLDDSERRWWTESPHNMLIEHVHIDEDRVDTEESQLVKTY</t>
  </si>
  <si>
    <t>DTENILFGVPTSVTGAGTESDVVQADFLQLTKFPDYTGTTTVLYNTGENTVNHSINAAMS</t>
  </si>
  <si>
    <t>IPYDGRASVIWARTPDNMGYQIDWVINGNDLEIYIKRNGTTIAYLKSAEVFSIALTTVTG</t>
  </si>
  <si>
    <t>SDTSYDMTAEVAPGETWVDFEIQHDLEGTAGMVVNYTIEGYVPGGKLAGVSPVSSQTLFF</t>
  </si>
  <si>
    <t>GVAEGYSSVNTLARDSSIGFEGVSSAYDALVTDFDMTIQRVNIEPVSDNYTYRKTKVFAR</t>
  </si>
  <si>
    <t>GPLRWLAWTCSPQTGVARFNTSTDRQSTKMVYDPLSAAQILFNGKDRTAMELNTYFSVDH</t>
  </si>
  <si>
    <t>PRRHIHKALPCGVHMYSFAENPLRLQSDGHVNVNRLGEVQILQRFRRYSSSVSDEASTAD</t>
  </si>
  <si>
    <t>LFEDEGLNGSKNFTRITVYSMCFNVLRVVNGTISIAYV</t>
  </si>
  <si>
    <t>&gt;1109MEGAvirome_7-GSNCB_NODE_385_length_7132_cov_201.127469_5 [3255 - 4544]</t>
  </si>
  <si>
    <t>AQEQMVGHSLAVMDGAIISQETPPAIQQSAYYYYTNKIVVYSPEKISYLESMEEAPGAIV</t>
  </si>
  <si>
    <t>QLLARGKQDEYLQGQDTTLFKTKHKRATPFALEHREEYFRQGLRFGQKCRVDIPKRSDSI</t>
  </si>
  <si>
    <t>GEMLLEVKLPILPNADDPETHWVDDIAYTLIRRVQIFMGGVLVVDHERLWNYIGDTLYTP</t>
  </si>
  <si>
    <t>SSKRYNSQPQKTRYVNTEHTILIPLMRMPWSTTRFFPIVSVDVPIHMEVEVETGDACIEG</t>
  </si>
  <si>
    <t>TVPYIPPLDKAALLIQNVFMEKAERFTFLFKPLAYPITWIADVETVFTNRSRQIRIDLSE</t>
  </si>
  <si>
    <t>LDFPVKSLWWVAYPVGDESFAFVKDGFVEDALCLESQNLTSETPSTLTSFASRWARSSNS</t>
  </si>
  <si>
    <t>SNDDGIYGLHIGPPGGVLVRGGLDFSKTKRPFLRLTLRQEAFQSGTEYVCKVFAECSRSI</t>
  </si>
  <si>
    <t>RIQYGQVGLF</t>
  </si>
  <si>
    <t>&gt;1109MEGAvirome_7-GSNCB_NODE_41_length_19384_cov_38.667738_23 [13724 - 15049]</t>
  </si>
  <si>
    <t>WIRKTKTQKKKIPLHGRMAESREIPGVGGLLQTQAIGPQDTKLYTLGDQPACNPFTHLKT</t>
  </si>
  <si>
    <t>ERPTRGAIEVKEQVFSPFAFDSINTVEIQRSGDLIGDIMLEITLPSFANRGGTADNYWRA</t>
  </si>
  <si>
    <t>NIGYILVKHVRLLLNETELNSSERLYYDIHEKLYETATTRQAIRQMIGGRSTEKTDSETE</t>
  </si>
  <si>
    <t>NQEGLPLNFEHTIIIPLKVFSSKRRGARQTFMPIVATPGSSLYLEIETEAFTNCVTSYSG</t>
  </si>
  <si>
    <t>NDPPRTLECRLLTEYVFLDEFEKERLINKPQTMMIETVQDSEGFSFREVFSSDGKNQIIS</t>
  </si>
  <si>
    <t>SDTVRVSLKEINAPVKAIMFAAYRTTDLQQQRYFRYLDVIDSVTLRFDGNDRTEGYEPAD</t>
  </si>
  <si>
    <t>YYRLVQPYMHAPRCTDDNIFFYSFALQPVLLQPTGTFSFSNIREGEIVIKLKEPANDIVI</t>
  </si>
  <si>
    <t>KAFIIGYSWLTFENGFATTLYS</t>
  </si>
  <si>
    <t>&gt;1109MEGAvirome_7-GSNCB_NODE_442_length_6583_cov_38.126079_6 [1174 - 2949]</t>
  </si>
  <si>
    <t>KNSARVLGRHGEGRVEDEARVEGFLFFRADRGDGLLFGHAHGQDEVRGDRASAPAYTRIA</t>
  </si>
  <si>
    <t>VHQDILAVSSTHINHRGHILHVADQFRVAVFRVVHGDAVGRDAVFEWSWDVFGAVDDHSN</t>
  </si>
  <si>
    <t>VVLSHELLAGTITLAADPHPGNHLFGREVVHTMERAEKNRDYYVDVSQTMAGGAISQLSM</t>
  </si>
  <si>
    <t>TGEQDIVLYSKPEITFWRLMSKRSTQFSMEQIPQSFQSDSGFGRKSILPITKSGDLVWTV</t>
  </si>
  <si>
    <t>YLQVTLPSLQDFAIDAIPVAAAAAVPGILSARWTSSTTAEVRIIPTTDGSSASYDVLHND</t>
  </si>
  <si>
    <t>GTSDVTVNGSAGETTITLTGLDNAESYTVKARRVDGSGSAGSWSSTTPLVALRWCNSVGH</t>
  </si>
  <si>
    <t>ALIRTVDWNIGGSRISRATGEWFDVLSELELESEKREGFNAMIGKYDSYDLYDNSFQDAR</t>
  </si>
  <si>
    <t>TLYIPIQFSFTQQPGNAVPILALSYHQMELSFDFRDYTELIRCTTDVASLVGLNGRAPSC</t>
  </si>
  <si>
    <t>TIQPYITFVYLSSAEREVFLSRPSEYIIQDIQFNGDTPLLVDGNNPSLSRKINLDFAHPV</t>
  </si>
  <si>
    <t>SELVWTYNKANSYNSGITPSQYARRPHFVDQKHFVTSYQECTLSPNACSTPR</t>
  </si>
  <si>
    <t>&gt;1109MEGAvirome_7-GSNCB_NODE_455_length_6468_cov_43.620744_9 [3019 - 1730] (REVERSE SENSE)</t>
  </si>
  <si>
    <t>KKKKKLQEASHPQMMKKKMVFLWYRLCKKTTMSKILMKKIFSNTMGSLIQLQITDGQDKA</t>
  </si>
  <si>
    <t>LMTPRPDHSMFIQKYARYHHFATEHRTVTCLRHKNDDRMVVKVPRAADLLSAIVLTATVT</t>
  </si>
  <si>
    <t>RTPDIQDEWTYPLEGAIDRIELHIGGILIEEFSGTFCRIYDEIYRNQMKRLSYATMGNFH</t>
  </si>
  <si>
    <t>HNDPDGTTKQIFMPLPFPCCTPLPLIGLPYAEVEVIIHLRQDRKVEFEKIGVDCEYIYCL</t>
  </si>
  <si>
    <t>PNDRIQWMEPTEIQIKQVQHRSFSLRPSMFINNTTHTFHIDEFNHPVYKLIIAATHKDRH</t>
  </si>
  <si>
    <t>GAFTGSGIPFEDAEAYAPILQMRLLLNGQESTPWRHGSHNRQLNIISEKLLPSAGVYIFD</t>
  </si>
  <si>
    <t>MGLTNGQGTVNFSKLHSAVLQIVFKKDVEDTSKDDREGIGLRNLTELHVFALNYNWIKIA</t>
  </si>
  <si>
    <t>DGQGGIIFSS</t>
  </si>
  <si>
    <t>&gt;1109MEGAvirome_7-GSNCB_NODE_626_length_5090_cov_36.096296_8 [4020 - 2074] (REVERSE SENSE)</t>
  </si>
  <si>
    <t>RYIMSGSILQLLLRGEEDTHIISESFDAYRPFRQVYKKAVAFATQWIDIDARLPSTKVYG</t>
  </si>
  <si>
    <t>ETLRFRVPRKGDILKGIMIGFKVRRAAGQSYFPGLQLIREASVYAGRQTIETIPSEYMLL</t>
  </si>
  <si>
    <t>RHYTQEDTDEAATTSRLTTFQAEETQGMYKTMYVKIPFFFEKTPLPLIAVQNQHIDIEVE</t>
  </si>
  <si>
    <t>FGKATLALDPSYEPLVDIYLEYAYIDDDERRYYTSNEHTLLIERLQTQDEQFQMRQSQIN</t>
  </si>
  <si>
    <t>KLFSTQQDALGEYVSVVGSGENRNISQGDSIALVNNPEWTGRTEIVYTVESPSKFDFRGR</t>
  </si>
  <si>
    <t>FLLPTTGTFGMKYATYTSNGVNYGYTVEFQTVNNVFGVYIKRNGVVIASINNTKAYTDYR</t>
  </si>
  <si>
    <t>TTVSGNSTSSTDVSAQVAAGEAWMVFHLVHDLDTFNGIQLSLQVEGYDEGGYFGDIDPVN</t>
  </si>
  <si>
    <t>NSVDYVYTFVEGYNPIDTVSKQTTYSFFADSSFNVTLTETQYIINKVEILPLTNNLKTLQ</t>
  </si>
  <si>
    <t>SRLFFRGPIRYLLWIYSKGGVVDEETWGKFSTASDERNTLERHNILHSARLLLNGQDKTG</t>
  </si>
  <si>
    <t>WMDSVFYNVVEMARVFKKPLPTGVHCISFAMDPLTMAPNGSANFSQLQSILLVQNLKSYS</t>
  </si>
  <si>
    <t>DTITSENDLLSLDETEVLANGKDFDTISVFAVGWNVLRIANGAMALGYL</t>
  </si>
  <si>
    <t>&gt;1109MEGAvirome_7-GSNCB_NODE_718_length_4684_cov_9.943779_1 [1 - 663]</t>
  </si>
  <si>
    <t>VLIRFFLIYRNGDLLTSQWLEITMKKHNDNASYYPAEALLKEIEIEIGGQRVDKIYSDWF</t>
  </si>
  <si>
    <t>RVYDELYRSGSEKEAYRSMVDFDDPSAGGDIGVTKRFYVPLIFFYNKAPGLALPLVALQY</t>
  </si>
  <si>
    <t>HEVKINILFESATNMANIGVDSSPGNEPTCQLFSTFVYLDTEERKRFSQQSHEVRPELCV</t>
  </si>
  <si>
    <t>LSTFLNPVVTYLFVCCSTSSPPSSIQEPSPSLQVLPLELTT</t>
  </si>
  <si>
    <t>&gt;2310MEGAvirome_6-GSNCN_NODE_466_length_4160_cov_19.381058_7 [1141 - 374] (REVERSE SENSE)</t>
  </si>
  <si>
    <t>TFRNWTDLLILDDSTPVAGTNPSSPPTASDLVAVPSIPSAQVWANYAIVSNEERKRMACA</t>
  </si>
  <si>
    <t>PRDILIEQVQTAPVQTFNPSQSVNPSYDIRFAHAIKALFFSVRNRTTASEWSNYTAASPV</t>
  </si>
  <si>
    <t>PQPNLVDFVPAGAVDPISETSIIYENTQRLAQMGSDYFSLVQPYYNAPVIPLNTGFHMYS</t>
  </si>
  <si>
    <t>YSLDFISLDPMGSTNFGKLTNVSVVPRASAGAQSGSAGSGAAGSGQDYVQSYDFITTAVN</t>
  </si>
  <si>
    <t>NNIIRISGGALGFPVL</t>
  </si>
  <si>
    <t>&gt;1704MEGAvirome_8-GSNCP_NODE_1512_length_11668_cov_18.626890_7 [2517 - 8372]</t>
  </si>
  <si>
    <t>LVSINIILINLFCECMLDMMNNSLSYNRPECINFQNNSVQKNVIRVCENEPNTFVGSGIP</t>
  </si>
  <si>
    <t>SQIIGKQGDIYLDRITRIYYKKINGVWVKNVCNNHRCCYPKECKGNPHTKGEKGETGPKG</t>
  </si>
  <si>
    <t>IKGEKGDRGLKGEKGNNGDPGEKGEKGAKGDKGESGEKGAKGDKGDKGDIGEKGEKGDKG</t>
  </si>
  <si>
    <t>DIGEKGEKGDKGDIGEKGDKGDLGEKGEKGDPGQKGEKGDKGDFGDKGDKGDIGEKGDKG</t>
  </si>
  <si>
    <t>DIGDKGEIGNKGDVGEKGSKGDKGIDGTSILFGFGIPSPDLGVDGDLYLDANTDELYGKV</t>
  </si>
  <si>
    <t>NGQWIPITNLKGEKGDKGNKGIDGEKGNKGDTGDKGIDGSKGDKGDTGNKGDIGDKGDQG</t>
  </si>
  <si>
    <t>IKGDIGDKGEKGDIGEKGDKGEKGIKGDKGDIGEKGNKGDIGDKGEKGDKGIDGDKGIKG</t>
  </si>
  <si>
    <t>DKGDIGEKGDKGDIGEKGNKGEKGDKGDKGDIGEKGDKGDTGSKGDKGDKGEKGDKGDKG</t>
  </si>
  <si>
    <t>EKGDIGDKGEKGDKGDKGDKGDKGDKGDKGDTGDKGDKGDKGDKGDKGDNGTSILFGSGP</t>
  </si>
  <si>
    <t>PSPDLGMVGDLYIDVTTDELYGKVNAKMNDNIRVSAKVNVNKQITLQATGQWIPLTNLKG</t>
  </si>
  <si>
    <t>DKGDKGINGNKGDKGEKGDKGNPGTNAGKGEKGDKGDKGDAGTSILFGQGAPDPNQGVDG</t>
  </si>
  <si>
    <t>DIYIDTLTGELYRKVNGLWVPEIDIKGDKGEKGDKGNAGDKGTSGEKGDLGSKGEKGDTG</t>
  </si>
  <si>
    <t>EKGDKGNKGDRGDKGIKGDIGSKGDKGDIGNKGDKGDRGDKGIKGDAGLKGDKGDIGQKG</t>
  </si>
  <si>
    <t>DKGTKGDRGDKGEKGDAGLKGNKGDIGLKGDKGTKGDRGDKGTKGDRGDKGDIGNKGDKG</t>
  </si>
  <si>
    <t>DKGTKGDRGDKGVKGDKGDKGNKGDKGNIGIKGDKGDRSDKGLKGDKGDKGDTGDIGLKG</t>
  </si>
  <si>
    <t>DKGDIGEKGIKGDKGINGSKGYKGDKGDKGSKGDKGNKGDKGSKGDKGDIGIKGSKGDKG</t>
  </si>
  <si>
    <t>DKGDKGSKGDKGDIGSKGDKGDKGDIGTKGDKGTKGDKGIKGDIGSKGDKGSKGDKGSKG</t>
  </si>
  <si>
    <t>DKGDIGSKGDKGDKGDKGSKGDKGSKGIKGDKGDKGTKGDKGIKGDKGDKGIKGDKGDKG</t>
  </si>
  <si>
    <t>DKGDKGIKGDKGDKGDKGDKGDKGTKGDKGDKGDKGSKGDKGDKGDKGDKGEKGSKGDKG</t>
  </si>
  <si>
    <t>DKGDKGDKGDKGDKGDTATCEIVNTDGQTRVSACNTGFVKIEASGYEITTAPNGSSDLAP</t>
  </si>
  <si>
    <t>DPFDPSNVSGMNTKLFGIQNGAFRSGNFTATNLSDIGQYSAVFGYQTTATGSGSIVYGIN</t>
  </si>
  <si>
    <t>NSSGISSGSNGSLVGGLANTGGIIRSFSGAEGSIAFGSSEINGIITTGFGAQGSIVGGYS</t>
  </si>
  <si>
    <t>SGGTIATGSGANASEAFGQATTGSLITTGPGAIGSSTRGYSVGNSVITTGLASWASQITG</t>
  </si>
  <si>
    <t>YASNSGIIFSGSGTSTSDIIASVTDSSTLTIGDGSIGSSIRGYCSSGSLISLGPNSNGSI</t>
  </si>
  <si>
    <t>INATVNNFSTLITSSGVNGSSIVARANNSGLISISGNCFGSQFVFNSINGGNITIGSTHA</t>
  </si>
  <si>
    <t>GSQIVGSANTSGIITVVGGLNGTLVAANSSSTSGVRISTSFGSLLAGNATTGGWFRPGQA</t>
  </si>
  <si>
    <t>QGSVIAGQASASGVILTAFNAGCNVIGYANRGSTLGINQNAFGYSVMGYADLNSTITSNA</t>
  </si>
  <si>
    <t>LGANACRIMGYALNNSTIFMDSLVAANATDLFGYANNSGVIQAADQCAGALARGVAQNNS</t>
  </si>
  <si>
    <t>SIVTRGNGSMTFGFSNNNSTIFTGQFSDGCFVGGYANSGGTISTGSTSPASHVFGFSNSG</t>
  </si>
  <si>
    <t>SFITTGNNTNASTVFGYATANSTITTGANSNGSLAVGYTGSSGELLGALGQTSFAIGRNN</t>
  </si>
  <si>
    <t>TASGAYSGAIGISSYANMEGSFAHSSFQDTVNPVSAGRSQNIKVMGRKVGTQIVLANGSY</t>
  </si>
  <si>
    <t>ATLPYDGYGDVFARLIGSSGTAVGLTFQVTRTAGTYTVAPPITPSGGILWLSPSGVAAPP</t>
  </si>
  <si>
    <t>LAITALGTSGFTITLTDAQNYNCYFDIVNYSS</t>
  </si>
  <si>
    <t>&gt;1704MEGAvirome_8-GSNCP_NODE_1526_length_11621_cov_4.363266_5 [6070 - 7191]</t>
  </si>
  <si>
    <t>GFNLTKKLVESSVAMESIEQTFNGTVGFGKKVTCTVSRNGDLIHKVYLQADLPALSSSND</t>
  </si>
  <si>
    <t>TYISDVGHALIKEVTVEIGGQQIDKHYGEWLQIWSELTLPAEKETGYNKMIDGDWEGNTV</t>
  </si>
  <si>
    <t>YVPLQFWFNRNPGLALPLIALQYHEVKFNITFDSADHCVSSGSVASGGDLSGSLYVDYIY</t>
  </si>
  <si>
    <t>LDTDERRQFAQVQHEYLIEQLQFTGAESLTSGGSAKSKLAFNHPVKELIWVIQADGNAPN</t>
  </si>
  <si>
    <t>EYTGSFGTAKLQLNGHDRFSERKASYFNLVQPYQHHTRIPSSNVYVYSFALHPEQHQPSG</t>
  </si>
  <si>
    <t>TVNMSRIDNATLHLGAVSGSSPSLHTYAVNYNVLRIMAGINFLLCQTVSCLMSFMITYQG</t>
  </si>
  <si>
    <t>KQWKVMNQFFELVI</t>
  </si>
  <si>
    <t>&gt;1109MEGAvirome_6-GSNCC_NODE_103_length_16535_cov_32.993613_10 [6155 - 8188]</t>
  </si>
  <si>
    <t>AVWYMSQGALLQLLLKGDQDAYIHSEDFLATKPFRQVYKKTTPYSVATLDMNVALPTTIT</t>
  </si>
  <si>
    <t>YGQTLRFYIPRKGDLLTSMTIRMRVKKTSETGYYPAEEAIESISLVMGKQVIEELTGEYI</t>
  </si>
  <si>
    <t>RIHHTLMDTPDHRDGRSRMSDFAVADTQGTEKLLYCSVPFYFSYPGCCLPLIALQYTQPE</t>
  </si>
  <si>
    <t>VVVKFKSSVTSFDPTYQPQIQITGEYVFLDDTEREWWTRQDHDMLFPYLQTVEDRVDIDQ</t>
  </si>
  <si>
    <t>TKLSRIYTVLASQFGVPASITGEAAAVPENTVITVRGEGEISYITVVDPSAYPGTSTITY</t>
  </si>
  <si>
    <t>GSGSNASTFNMQASLLLPKDNNTGGVTSLFWARTQGNQGYRLDFRFDPNRTNHIIVSMYR</t>
  </si>
  <si>
    <t>NNQRIVELATDSVFTSALTAVQDDTTSFDARTQQFIDDYGIFNLLTTTGPEYEVWVNVDI</t>
  </si>
  <si>
    <t>SHNLEGIPTMTMTYEFEIYEIGSGGGKLDNQPALSTRAKYLQVTEGYSAVNTIDIPSTMG</t>
  </si>
  <si>
    <t>FTATSTLFPCRVADITMSTRQVEIAPVDDNLTVKKTKIYNPGPIRYMAWVTTPLNPEDQW</t>
  </si>
  <si>
    <t>GNFSTGETGTYTTRYDPLDSAQILINGKPRTEMEDATYFSVYHPLMVANKALPAGVHMYS</t>
  </si>
  <si>
    <t>FSNDITRFHPDASMNFSRAGDVTLYSRYKKWNPTATSTSELLDSESLPNARDHKRIRIYL</t>
  </si>
  <si>
    <t>VGYNVLTIRDGAMALMQV</t>
  </si>
  <si>
    <t>&gt;1109MEGAvirome_6-GSNCC_NODE_1119_length_3721_cov_50.273580_1 [1 - 1344]</t>
  </si>
  <si>
    <t>RGTGTTYKAAESFLESVEFELGGQRVDLITNFMMRLEDELWHTDSEKHAYDRLVSFDEND</t>
  </si>
  <si>
    <t>ATGTTLNDGTGAVRRFYVPLIFSFNKNVGLSLPLIALQYHEAKLLLSFASKEKMQANGVD</t>
  </si>
  <si>
    <t>TSYTPQVNVYVEYILLDASERRRFASGSHEYLITQHSWTGYESITHDSTGNNRTTYTSRI</t>
  </si>
  <si>
    <t>NMNHPTKYLAFCLTDTDKYGKFSTAADYSSTNEAYGPLYQARLTLNGHDRESARRGSWYN</t>
  </si>
  <si>
    <t>SVVPYATTSTRPAAGIYLFSFALKPAEFQPSGTCNLSRVDNCSLHLEFKKGSAGTDVANV</t>
  </si>
  <si>
    <t>LDEGSTLAEIVDLNNLIVVGENYNVLRVNIIARQSNLKIASDIPLGVLQNTLMLERLGKV</t>
  </si>
  <si>
    <t>NATLTVVKTVLYSYNALNRDNQQVDHRQTVLDIVFGDTSETERVLGMCESCPLAIHSLIY</t>
  </si>
  <si>
    <t>SPPPCIRLSLVVAHQVRDKYMVFYVTLI</t>
  </si>
  <si>
    <t>&gt;1109MEGAvirome_6-GSNCC_NODE_1121_length_3715_cov_42.469061_3 [974 - 1705]</t>
  </si>
  <si>
    <t>TSFALESIQTTFSGSIDWGKRVSVTLPRNGDLVTTLFLEVVLTKHATNASYYPAEQFVKE</t>
  </si>
  <si>
    <t>VDIEIGGQRIDKLYNDSMRLTSEIYHTPDEKQGYRRLVDFADPSAGGHPGVKERFFVPIQ</t>
  </si>
  <si>
    <t>FWFTKASGLALPLVALQYHEVRLNFVFESASQMALNGVDTSVAPEAVLFATYCYLDSAER</t>
  </si>
  <si>
    <t>KRFSQNSHEYLITVLQVRLLTVYSLLYIYRLYDMMSHFVSCISCSTPAQKALLQEQPARR</t>
  </si>
  <si>
    <t>RTPV</t>
  </si>
  <si>
    <t>&gt;1109MEGAvirome_6-GSNCC_NODE_1144_length_3656_cov_2.668632_2 [787 - 1446]</t>
  </si>
  <si>
    <t>MYLVMDLPEIDLSVLRNAVSDTLSSSSSTNVTFRWVPFPGERVVESAELQIGGVKIDTIY</t>
  </si>
  <si>
    <t>GLWMHLWSQLTLHNSKYDCYRSMVGDTVVHTQPRSTTAGDVTYETITTGARSTVSDRLPP</t>
  </si>
  <si>
    <t>LELFIPLPFWFHSNPGLALPLVALQYHEVRVKIVLAHLSQMIVVENTQGEMLNATIDANS</t>
  </si>
  <si>
    <t>LRGNNQSAINPKLFVNYIYLDTQERQKFAQYSHEYLIETH</t>
  </si>
  <si>
    <t>&gt;1109MEGAvirome_6-GSNCC_NODE_134_length_14894_cov_54.214136_8 [2671 - 4758]</t>
  </si>
  <si>
    <t>FVHILIFCNSMSQGALLQLLLEGEEDVFIHSQDFLAEKPFRQLFKKVTPFSVATLDMGAS</t>
  </si>
  <si>
    <t>LPTPISYGQTLRFTVPRKGDLLKSLTVRIRAKKTSDMGYYPAEEFIESASIIMGKQVIEE</t>
  </si>
  <si>
    <t>LTGEYIRIHNTIMDDQDKRDGRYRMSDFEIAEEQGTEKLLYCNIPFFFSHHGCCLPLITL</t>
  </si>
  <si>
    <t>QYMQPEIVIKFKSRVTSFDETYQPQISVSGEYVFLDDTEREWWARQEHDMLFPYVQMVED</t>
  </si>
  <si>
    <t>RVDIERSKINRQYTPVSNQIGVIDSILGPAKDQYDSDPTNVITSGTGGSLSYITLVDKTT</t>
  </si>
  <si>
    <t>HPGNSMILYDTGTNAGEFNIKASLLLPKDYNNGGSISVLWARREGDLGYECEFFNPTGTN</t>
  </si>
  <si>
    <t>DINVNVYRNGSRIVGLSTDTVFTSTMTKVRDDTNEYDIRTSFFLDNPNVTDFNVMGPGYD</t>
  </si>
  <si>
    <t>VWIDVDITHNLEDISRMTCNYTLRVYESAAPGSQFPYTKFALETPVSSKQKFFEISEGYS</t>
  </si>
  <si>
    <t>AVQTLGVNTYMGFAASSASFDGIIADIDENTPIDLSTKQVTITPVDENLTTKKTKIYNRG</t>
  </si>
  <si>
    <t>PVKFLAWTLTPQDPESQWGQWSTGQRGTYVTRHDPLDSAQILVNGKPRTELEDAVYFSVY</t>
  </si>
  <si>
    <t>HPMEVAGKSLPSGIHMYSFARDPMGTSPDASMNFSRAGDIALYQRYKRWNPTATSLAELR</t>
  </si>
  <si>
    <t>PSESLPSAREYTRLRIYLVGYNVLLIKDGQMALQCV</t>
  </si>
  <si>
    <t>&gt;1109MEGAvirome_6-GSNCC_NODE_1373_length_3080_cov_2.707203_2 [627 - 1808]</t>
  </si>
  <si>
    <t>STRTHTMTSIQIQATNKYDDFLLGSKRSLFQNPPKQHTPYATRYVNIPVHGGHGFGTTCV</t>
  </si>
  <si>
    <t>VPIPEYGDVLHSVMIKVDLTKLGESWYPVEQLFKRVWIEIAGETIDTHTSDWFRIYDELF</t>
  </si>
  <si>
    <t>RDVEAKEAYKHMTNFHHEDIDGTTTTMYLPLVFWFCRDLSRSLPITPTLEIHMELSKDVV</t>
  </si>
  <si>
    <t>GVDTSKPLSIELVCEYVHVSPQEKQLLYNREYVFDTVHKLESTIDFSSNHNIVNVDLRQF</t>
  </si>
  <si>
    <t>KHPMQSLIWFCRDPNVHAVYTGSGMPLEKAEGFAPLKTCSLYLAGLQLTDVTDASWFGIS</t>
  </si>
  <si>
    <t>NALRKHQRIPSKGIYMHDFGIDPDVASGTINMSVIRNPVLTVETKKIIDVNDDAPVDTKT</t>
  </si>
  <si>
    <t>ETLRGASRLTRITVFAHCWNSLVIKQGRPYLRYV</t>
  </si>
  <si>
    <t>&gt;1109MEGAvirome_6-GSNCC_NODE_1373_length_3080_cov_2.707203_4 [2680 - 1826] (REVERSE SENSE)</t>
  </si>
  <si>
    <t>VYDELYRGMDERAAYRNTGDFIAEPVGTIKTLYIPLLFWFNRDISHSLPILALQKPVELV</t>
  </si>
  <si>
    <t>FTFAESIPGVDLTMPPRPKLYVEHIFLGTEERQKFSTGKHLILMEQLQQQNNIIRIQDSM</t>
  </si>
  <si>
    <t>TTQSIALEARRPVKTLIWLCKHPTMHGIFSGSLTPLESNEIYGPLAYCRFLIDGTEHTQE</t>
  </si>
  <si>
    <t>RSGSWYRTIHPFTRIGRIPTVGVYSIIFAQDPQSSTQPSGSLNCSVVEPLLQIATKRTIP</t>
  </si>
  <si>
    <t>PPQNLVYKEDETVEDSAELTNLVIYAQSWNILEIENGVAAIHWTS</t>
  </si>
  <si>
    <t>&gt;1109MEGAvirome_6-GSNCC_NODE_139_length_14475_cov_46.393324_17 [14073 - 12949] (REVERSE SENSE)</t>
  </si>
  <si>
    <t>ISKSNWPEPWSAENGITIIAQTVDENFANPSSESQPRTITNIKYCNNIGHALIESIEWEI</t>
  </si>
  <si>
    <t>GGTRIDRILNPEFFDIWSELTEKEEKKEGYHAMVGKFDDYDIWDETKSIRGQRTYFIPLL</t>
  </si>
  <si>
    <t>FSFCTSSSQSIPVVSLQFHETRLNINFRSAIDVVKSNIPVTQLIGPDGQPISFTSCQLYV</t>
  </si>
  <si>
    <t>DMIYLDTEERRRMASMEHEQLISQIQYLGDYTISPGDPGLVKKIPLDGLNHPIKELIFVY</t>
  </si>
  <si>
    <t>EGWQRYQRDAKVGNDIFNYSLDTSSTEDPIQNVRLTLNGTERMPPRPGQYFRQVQPYQHH</t>
  </si>
  <si>
    <t>TRVPRKHVYCYSFALEPESKNPTGSCNFSRLEQASLNVTMSQNIDPNGGRIKVYAIGYNL</t>
  </si>
  <si>
    <t>LRYAQGMAGLAFTSG</t>
  </si>
  <si>
    <t>&gt;1109MEGAvirome_6-GSNCC_NODE_13_length_35477_cov_47.359929_2 [4075 - 5316]</t>
  </si>
  <si>
    <t>STRMNDTPGAIVQLLARGPQEEMYLDGSNFSLFQQVHRRSSNFAIEHRPTPLPKEFNFGN</t>
  </si>
  <si>
    <t>ICRLEIPHHCDMAGDMYIEIHLPQIFGAHEKDVWKPYLPYIIFRRIKIWMDEVLVVDQER</t>
  </si>
  <si>
    <t>VWSLIHDTLFLKSGHMEGYHKMIGFDQNLSLSQSHTLLIPIHTPWSTKRFLPMITLFNTK</t>
  </si>
  <si>
    <t>VFMDIELEQFEKCIDLYPNRIPNARYISGGQLMSTDGILLPTDHPSIILEKLRKPSNISS</t>
  </si>
  <si>
    <t>NLIMQCVYIETPERHTFVGKTIGYQVEHVLDTETIFTRTNQDVKIDLRDITEPCKALYWV</t>
  </si>
  <si>
    <t>VYPYGDQTFTFIEHPFTQATISIGSQLLLRQSPREFSIPHIRSDTNTISILPLNTLFPTD</t>
  </si>
  <si>
    <t>QFIEGSIDFGKISQPSSLVLTVNKDAFTPGTEYMLKVFTITKRLLFFRNGRATV</t>
  </si>
  <si>
    <t>&gt;1109MEGAvirome_6-GSNCC_NODE_140_length_14377_cov_6.267960_18 [6899 - 8599]</t>
  </si>
  <si>
    <t>RWRPCCPACSRSTGQGRFPLLENTASCYCIRAEKKPVILCWRVPVAAMAGGAISQLSMTG</t>
  </si>
  <si>
    <t>EQDIVLYSKPEITFWRLLSKRSTQFSMEQIPQSFQSDSGFGRKSILPITKSGDLVWTVYL</t>
  </si>
  <si>
    <t>QVTLPSLQDFAIDAIPVTAGAAVPGILSARWTSSTTAQVRIIPPTDGASVSYDIMHNDGT</t>
  </si>
  <si>
    <t>TDVTVNGEDNETTVTLTGLDTTKSYTVKARRVDGASSAGSWSSTTSIVSLRWCNSVGHAL</t>
  </si>
  <si>
    <t>IRTVDWNIGGSRISRATGEWFDVLSELELESEKRTGFNAMIGKYDSYDLYDSSFQDGRTL</t>
  </si>
  <si>
    <t>YVPIHFSFTQQPGNAVPILALSYHQMELSFDFRDYTELIRCTTDVSSLVGINGRAPSTTI</t>
  </si>
  <si>
    <t>QPYVTFVYLSSAEREVFLSRPSEYIIQDIQFNGDTPLLVDGNNPSLNRKINLDFAHPVSE</t>
  </si>
  <si>
    <t>LVWTYNKASSYNSGITPSQYARLGNDYFNYQAPVTTVDPIASATIHINGSERFSRRFGSF</t>
  </si>
  <si>
    <t>FRLAQPYAHHKRIPTKRIYAYSFSLAPEEPTPSGSQNFSKADTAHLLVTLDDTFSAGLSS</t>
  </si>
  <si>
    <t>GRLRIYARSWNILRIQQGLAGVVFASG</t>
  </si>
  <si>
    <t>&gt;1109MEGAvirome_6-GSNCC_NODE_145_length_14060_cov_12.962692_44 [3191 - 1911] (REVERSE SENSE)</t>
  </si>
  <si>
    <t>SRITVDMSTVQPGSQEQRQTPGSGALLQLQSLGKQDTYLYDLTREARGNPFTKTGFLASS</t>
  </si>
  <si>
    <t>RGAIEHKEEVFEPFYFGNTNTISVPRRGDLLGDMYLQITLPAIPGAGIDDYWLPGIGYIL</t>
  </si>
  <si>
    <t>LRRVRLLLNETEINSDERLYYDLYDRMFQTENIRLGVQEMIGTDGLQRRLTEPHSFLIPL</t>
  </si>
  <si>
    <t>KFFCCKKRYGNARQTFMPLLATPGSTIYISIEAESFENCITSYAGNTPPDTLTCSLVCEF</t>
  </si>
  <si>
    <t>VFVDDPERESLIINRPQTLMIEKVQDVEAFSSREIVSSDGTSIVYATDTVVVPLSEINYP</t>
  </si>
  <si>
    <t>VKALLFVAYFTSDVAQRRYFQYADIIQSASVRFDGNDRTDQLDASYFQLLQPYFHAPRCD</t>
  </si>
  <si>
    <t>TNNIYLYSFALDPGLLQPTGAFTFANVRRPELYVKLKEPRRDVVIKVFAMGYTWLQFLNG</t>
  </si>
  <si>
    <t>RASPLFS</t>
  </si>
  <si>
    <t>&gt;1109MEGAvirome_6-GSNCC_NODE_1590_length_2641_cov_3.412019_1 [592 - 1671]</t>
  </si>
  <si>
    <t>FLVVVNYLILFLYFIMPSAILQLISTGRQDVYLTQEPTLDILKYNYNRYYNFANELVKLN</t>
  </si>
  <si>
    <t>LVELPRLGKSNHCYLENRGHLISKLYLHISLPSLQITSGTYASWCDALGYAIFDGPIELE</t>
  </si>
  <si>
    <t>IDGIIVDRIYPRFMEMWDELSNSDKRLGRSIMTLKSDNYSAVKNNAKRKVDLLIPIDFWF</t>
  </si>
  <si>
    <t>CKQRSMALPIISMFNHTIKVNFKLKGFYDIINYDGSTPPNYVDISDSYMYCEYTYLDDSV</t>
  </si>
  <si>
    <t>LTNFINTKHTYLIEQIQENEHEYIDSNKTVHMSYIRFNHPVKELIFALIPKRNLLSNNYF</t>
  </si>
  <si>
    <t>SYQDENNLPVLKEAGLLLDGKYRFDMTNEFIYRTYYPDTVHSTIPLRYIYCIPFSIVRIL</t>
  </si>
  <si>
    <t>&gt;1109MEGAvirome_6-GSNCC_NODE_1659_length_2527_cov_50.768503_7 [2126 - 1398] (REVERSE SENSE)</t>
  </si>
  <si>
    <t>FTSKRRENRQTFMPLLSTPGSSLYLEIETDSFENCVTSYSGNDPPKSFECRLLTEYVFLE</t>
  </si>
  <si>
    <t>EEEKERIINEPQTMLVETVRDAEGYSFREVTSNDGLDQIIPTDTVVVSLREMNFPAKAII</t>
  </si>
  <si>
    <t>FAAYRTTDLQEGKFFNYADVIESASIRFDGNDRTEGREPIDYYRLIQPYLHAPRCTNDNI</t>
  </si>
  <si>
    <t>FFYSFALKPNLLQPTGTFSFSNIREGDISIKLREKASDIVVKAFVIGYTWVQFKGGFATT</t>
  </si>
  <si>
    <t>LFS</t>
  </si>
  <si>
    <t>&gt;1109MEGAvirome_6-GSNCC_NODE_220_length_11736_cov_49.933167_34 [9782 - 7704] (REVERSE SENSE)</t>
  </si>
  <si>
    <t>RRLFSSASRTASKTKCSRWNALGLRLRTRAMASRLDIPISRIRNPATTVGPRHVPSTQWI</t>
  </si>
  <si>
    <t>KTLYGVVVRTRRMCRATMGMWWRSNASLSWYRMMGIRYVAIESWNGLWMCEVVLMMSPIR</t>
  </si>
  <si>
    <t>CRRRKPGSVASRHVANHTRSIISLDDILYRRKKRLSHLAVNFFLGILEYIMGGGALAQLS</t>
  </si>
  <si>
    <t>LVGQQDLILHGSSPDVTFWRLQWRKPSMFSMESIQQAFQGDATFGRKVICPITKSGDLLH</t>
  </si>
  <si>
    <t>TCWLQVTLPDLSDYGVDGVLAASAGVPGIISARWTSPTTARVKLIPTTDATAVIRYDVSY</t>
  </si>
  <si>
    <t>NDGSTDTVVNGEDGATTIVLTGLDTTNTYTVKARRVTGAGNGSWSSTVSVISLRWANSMH</t>
  </si>
  <si>
    <t>SLIRTADLEIGGSRISRHMGTWMEIVSELELPEDKQTGFNAMIGKYPDYDLYTNSTEGGD</t>
  </si>
  <si>
    <t>TFFIPLQFPFCKHPGLAIPIIALTYSQVNLVFDFREYLEMIKSTVAVPSLLDAAGKTPEA</t>
  </si>
  <si>
    <t>TISCYATFVYLSTSERRVFASGKSLEYVFQDVQHHGDIPMVVSPQEQPSLSRKLNLDFAH</t>
  </si>
  <si>
    <t>PTAELVWVYNRQAAYNASVPRSEYALSGNDYFNWDAPAGDDIDPVASAVIHVNGHERFSR</t>
  </si>
  <si>
    <t>RIGKYFRLVVPYGHHTRIPVNKKIYCYSFSLLPEEPSVTGSINFSRADTSHLLVTLDSSF</t>
  </si>
  <si>
    <t>ASGTSSGRLQIFARSWQVLRIQAGLGAVLFASG</t>
  </si>
  <si>
    <t>&gt;1109MEGAvirome_6-GSNCC_NODE_258_length_10536_cov_52.301791_6 [354 - 2132]</t>
  </si>
  <si>
    <t>QHHIVAPSMAGGAISQLSMTGEQDIVLYSKPEITFWRLLAKRSTQFSMEQIPQSFQSDSG</t>
  </si>
  <si>
    <t>FGRKAILPITKSGDLVWTVYLQVTLPSLQEFAIDAIPVAAGAAVPGILSARWTSSTTAQV</t>
  </si>
  <si>
    <t>KVIPPTDGSSVSYDILHNDGTTDVVVNGADNETTVTLTGLDNTKSYTVKARRVDGAATAG</t>
  </si>
  <si>
    <t>SYSSTTPIVSLRWCNSVGHALIRTVDWNIGGSRISRATGEWFDVLSELELESEKREGFNA</t>
  </si>
  <si>
    <t>MIGKYDSYDLYDNSFQAARTLYVPIHFSFTQQPGNAVPILALSYHQMELSFDFRDYTELI</t>
  </si>
  <si>
    <t>RCTTDVSSLVGINGRAPSTTIQPYVTFVYLSSAEREVFLSRPSEYIIQDIQFNGDTPLLV</t>
  </si>
  <si>
    <t>DGNNPSLSRKINLDFAHPVSELVWSYNKASSYNSGITPSQYARLGNDFFNYDAPVSTVDP</t>
  </si>
  <si>
    <t>IASATIHINGSERFSRRFGSFFRLAQPYAHHKRIPTKKIYSYSFSLAPEEPTPSGSQNFS</t>
  </si>
  <si>
    <t>KADTAHLLITLDDTFSAGTSSGRLRIYARSWNILRIQQGLAGVVFASGXXXXXXXXXXXX</t>
  </si>
  <si>
    <t>XXXXXXXXXXXXXXXXXXXXXAGTSSGRLRIYARSWNILRIQQGLAGVVFASG</t>
  </si>
  <si>
    <t>&gt;1109MEGAvirome_6-GSNCC_NODE_319_length_9404_cov_32.891288_2 [1021 - 2256]</t>
  </si>
  <si>
    <t>VSLEKIKYIVEHKMALVQLMAKGVQDTYLTSKPQYSLFKQAHKRHTAFAQQWSEETFSGE</t>
  </si>
  <si>
    <t>AKYGHRCVVELNKSSDLVHNIVLEATMKRTGDPFYPMEELIQLVEIYIGGVKVTHYDNTW</t>
  </si>
  <si>
    <t>IRLYDELFRNLEEQMAYREMCDFTSEPIGNTKTLRIPLLFWFNRALSQSLPLISLAYSTV</t>
  </si>
  <si>
    <t>EIVFHFASSIKGVDMNVDPKFKLHVERIYLDNDERAIFAKSKHSYLFEQLQMYRTSTLDI</t>
  </si>
  <si>
    <t>RSSSNAQLLKVGLPFNHPCKSIVFVFKDETQHGVFSSSLLPFENREAYGILRSAKLVIDG</t>
  </si>
  <si>
    <t>NERQEERSGSWLRNVENYLRMNTTPSVGVYCFHYAMHPEDSVNPSGSLNLSQFETELLLR</t>
  </si>
  <si>
    <t>LKHTSAPTVDDIVDIEEETVQQATNLNYIHIYATNWNVLHIEKGMAGVKWSN</t>
  </si>
  <si>
    <t>&gt;1109MEGAvirome_6-GSNCC_NODE_319_length_9404_cov_32.891288_4 [2894 - 4075]</t>
  </si>
  <si>
    <t>GIDMGSLLQILSKGVQDTPLFSKNVLESSLFVSRYQRHADFSIEHRSIIFDNNTEDGIGK</t>
  </si>
  <si>
    <t>RLTMEIPRVGDMVTNMVLRAKMTRSTSDGIFDNILFPLENIIDRVQVYVGGVLVEERHGL</t>
  </si>
  <si>
    <t>FYRIYDETHRTLGQRMAYSNMGNFNQQDKPGTQRTLYMPLDLSCCHPKNPLPLLALAYAE</t>
  </si>
  <si>
    <t>VQLVITLKEDIGPGIILDNISFGLDCEYVYLVHDQRNALLEPMQYMIKQIQHRSFPLDES</t>
  </si>
  <si>
    <t>VWGTVQQYPLTFNHPCTRLYIAASHTSRHGSFTGSGINFEDAEGYAPILNMKLVVNGQEM</t>
  </si>
  <si>
    <t>MKSHMGSFYRQQSLFHHKLLPSAGIYVIDFRSTLNFSRVDSAVLVITFKKNTEQTQQDDT</t>
  </si>
  <si>
    <t>QGVGLPDLDILHVFTENYNWLKIQDGQGSIAFSC</t>
  </si>
  <si>
    <t>&gt;1109MEGAvirome_6-GSNCC_NODE_322_length_9385_cov_37.831216_3 [6144 - 7355]</t>
  </si>
  <si>
    <t>FFLYLSMPSAILQLISTGRQDVYLTQEPTLDILKYNYNRYYNFANELVKLNLVELPRLGK</t>
  </si>
  <si>
    <t>PNYCYLENRGHLISKLYLHISLPSLQITSGTYASWCDALGYAIFDGPIELEIDGIVVDRI</t>
  </si>
  <si>
    <t>YPRFMEMWDELSNSDKRLSRSILTLKSDNYSAIKNNATRKVDLLIPLDFWFCKKRSMALP</t>
  </si>
  <si>
    <t>IVSMFNQTVKVNFKLKNFYDIINYDGATPPSYVDISDSYLYCEYTYLDDSILTDFINKKH</t>
  </si>
  <si>
    <t>TYLIEQIQENESEYIDSNKTIHMSYIRFNHPVKELVFALIPKKNLLTNNYFSYQDQNNLP</t>
  </si>
  <si>
    <t>ILKEAGLLLDGKYRFDMMNEFIYRSFYPDTVHSTVPMRYIYCMPFSNNPEENQPSGTLNM</t>
  </si>
  <si>
    <t>SSFTDVILSMKLEPTQEPSELFLYGVTYNFLTIENGMFTVEFAV</t>
  </si>
  <si>
    <t>&gt;1109MEGAvirome_6-GSNCC_NODE_370_length_8492_cov_15.490771_20 [7407 - 5272] (REVERSE SENSE)</t>
  </si>
  <si>
    <t>STQQETPPKHRACASIIDASDFYVNRCNTVEILVLSSSMSQGALLQLLLKGDQDAYIHSE</t>
  </si>
  <si>
    <t>DFLATKPFRQIYKKVTPYSVATLDMNVALPTNVTYGQTLRFFIPRKGDLLTSMTIRMRVK</t>
  </si>
  <si>
    <t>KTSETGYYPAEETIESVSLIMGKQVIEEFTGEYIRIHHTLMDTPDHRDARYRMSDFNVAD</t>
  </si>
  <si>
    <t>TQGTEKLLYCSVPFYFSYPGCCLPLIALQYTQPEVVVKFKSSVTSFDPTYQPQIQITGEY</t>
  </si>
  <si>
    <t>VFLDDTERDWWTRQDHDMLFPYLQTVEDRVDIEPTKLSRLYTTLASQFGVPDSITGAAAA</t>
  </si>
  <si>
    <t>VPEDTVITVRGEGEISYITLADPSTYPGTSTITYSGGSNASSFTIQASLLLPKDPNTGGL</t>
  </si>
  <si>
    <t>TSVFWAKTPSNQGYRLDFRFDQTRPNHAIVSMYRANQKIMEVSTDTVFTSALTAVQADTS</t>
  </si>
  <si>
    <t>SFDVRSQQFIDDYGLFNLLTATGPEYEVWINVDINHNLEGIPTMTMTYEFEIYEIGSGGG</t>
  </si>
  <si>
    <t>KLDNQPALSTQQKYLQVTEGYSAVNTIDTASSMGFTATSTLFPCHVADITLSTRQVAIAP</t>
  </si>
  <si>
    <t>VDDNLTPKKTKIYNPGPIRYMAWVTTPLNPEDQWGNFSTGETGTYTTRYDPLDSAQILIN</t>
  </si>
  <si>
    <t>GKPRTEMEDATYFSVYHPMMVAQKSLPAGVHMYSFCNDIRSFQPDASMNFSRAGDVTLYS</t>
  </si>
  <si>
    <t>RYKKYNPTATSISELLESESLPSARDYKRIRIYLVGYNVLTIRDGTMALMQV</t>
  </si>
  <si>
    <t>&gt;1109MEGAvirome_6-GSNCC_NODE_370_length_8492_cov_15.490771_6 [1440 - 2711]</t>
  </si>
  <si>
    <t>NNIPPYGRMSGESREIPGVGGLIQTQAVGPQDTYLYELDASPHCNPFTRDSSIRTTRGAI</t>
  </si>
  <si>
    <t>EVKEQQFSPFFFDTVNRIEIQRSGDLVGDVMLEITLPSFLDRGGRSDDYWRENIGYILVK</t>
  </si>
  <si>
    <t>HVRLLLNDTELNSSERLFYDLYEKLYETDSTRRAIREMIGGDQPRQLQINREHTIIIPLK</t>
  </si>
  <si>
    <t>LFMSKRRGSRQTFMPMISTPGSSLYLEIETESFENCVTSYTGNDPPRTLECRLLTEYVFI</t>
  </si>
  <si>
    <t>EDDEKEKIVNQPQTMLIETVRDAEGYSFREVVSSDGMNQIISSDTVVVSLKEMNFPAKAI</t>
  </si>
  <si>
    <t>IFAAYRTSDLQARRYFDYADVIDSVSIRFDGNDRTEGQEPIDYYRLIQPYMHAPRCTNDN</t>
  </si>
  <si>
    <t>IFFYSFALQPVLLQPTGVFSFSNIREGDLYIKLREPANDIVVKCFVIGYSWVQFKDGIAS</t>
  </si>
  <si>
    <t>TLFQ</t>
  </si>
  <si>
    <t>&gt;1109MEGAvirome_6-GSNCC_NODE_425_length_7694_cov_30.270167_1 [936 - 2618]</t>
  </si>
  <si>
    <t>SRICIRKKLINYHILLNNICFYNNKKIICFYFNMAGGLLNLVSIGQENIILYGNPQKTYF</t>
  </si>
  <si>
    <t>KSTFKRITNFGLQKFRIDYQGSRMLRMDSETKMTFKIPRYADLLYDSYLVINLPDIWSPL</t>
  </si>
  <si>
    <t>YDGGEEGWIEYGFKWIEEIGSNLLKEIEIEAGGHILSRYTGEYFSNLIKRDKNNAKIELW</t>
  </si>
  <si>
    <t>NRMTGNVPELNDPANAQGRVNTYPNAYYNGNSNVRPSIRGRKLYIPIDAWFGRLSKMAFP</t>
  </si>
  <si>
    <t>LISLQYQELHFNITLRSIRELYTIRDVTDSTNDYPYIAPNINESEFQFWRFLNPPVDNNQ</t>
  </si>
  <si>
    <t>NTNTTNEKWNADIHIMSTYIFLSNEERAVFAKKPQSYLIKDVYTWELPNVAGSKTVDIDS</t>
  </si>
  <si>
    <t>RGLISGYMFRFRRSDAYLRNTWSNYSNWPYNNLPYQVTTNGSPDPLLFITGNYTSDNFLQ</t>
  </si>
  <si>
    <t>NDYNILLNMGLLLDGKYREDMIDGGIYNYVEKYNNTPGGAKDGLYIYSFALNSDNWNEQP</t>
  </si>
  <si>
    <t>SGAMNMDKFEKVQFQFNTIEPPSNPDLSNSYVNLCDPDGNIIGTRKNIWNLNDYNFDLTI</t>
  </si>
  <si>
    <t>FEERYNVVYFESGMVGLKYAR</t>
  </si>
  <si>
    <t>&gt;1109MEGAvirome_6-GSNCC_NODE_441_length_7542_cov_45.330737_6 [2895 - 4598]</t>
  </si>
  <si>
    <t>TARWCSRLGCRSIPRESPLWPGSSAYDGASRKKPGLLCCSVTISQVVLMAGGAISQLSMT</t>
  </si>
  <si>
    <t>GEQDIVLYSKPEITFWRLMSKRSTQFSMEQIPQSFQSDSGFGRKSILPITKSGDLVWTVY</t>
  </si>
  <si>
    <t>LQVTLPALQDFAIDAIPVAAAAAVPGILSARWTSSTTAEVRIIPTTDGSSASYDVLHNDG</t>
  </si>
  <si>
    <t>TSDVTVNGSAGETTITLTGLDNAESYIVKARRVDGSGSAGSWSSTTPLVALRWCNSVGHA</t>
  </si>
  <si>
    <t>LIRTVDWNIGGSRISRATGEWFDVLSELELESEKREGFNAMIGKYDSYDLYDNSFQDART</t>
  </si>
  <si>
    <t>LYIPIQFSFTQQPGNAVPILALSYHQMELSFDFRDYTELIRCTTDVASLVGLNGRAPSCT</t>
  </si>
  <si>
    <t>IQPYITFVYLSSAEREVFLSRPSEYIIQDIQFNGDTPLLVDGNNPSLSRKINLDFAHPVS</t>
  </si>
  <si>
    <t>ELVFTYNKANSYNSGITPSQYARLGNDYFNYEAPVTTIDPIASATIHINGSERFSRRFGS</t>
  </si>
  <si>
    <t>FFRLAQPYAHHKRIPTKRIYSYSFSLAPEEPTPSGSQNFSKADTAHLLITLDDTFSAGTS</t>
  </si>
  <si>
    <t>SGRLRIYARSWNILRIQQGLAGVVFASG</t>
  </si>
  <si>
    <t>&gt;1109MEGAvirome_6-GSNCC_NODE_457_length_7344_cov_35.539523_7 [4257 - 5915]</t>
  </si>
  <si>
    <t>NCFLGRKEFRVICKKNIISLLYKVVNQQSTTMPGAVTQLALYGKEDALLVGQPEVTFFRL</t>
  </si>
  <si>
    <t>LYKRHTIFSMESIPQAHQSVPQFGRRSVMTITRSGDLVHTIFLEVDLPSLRDYAIDTVVS</t>
  </si>
  <si>
    <t>PQSAVPGLLSARYMTRTTGNVKVLPSTDGADARYDLYLDDGESPVTIQGEAGVTDIPLTG</t>
  </si>
  <si>
    <t>LDVSKTYTVKVRRVDAGDTAGSWSADSMTVVSLRWCNTVGLALMRTVDLDIGGSRIARLT</t>
  </si>
  <si>
    <t>SEYMDAEAELTMSSEKEKGWNTMVGKFPEWDIYDASLQEQTKLFIPLTFAFCQEPGLALP</t>
  </si>
  <si>
    <t>IVSLQFHQIQITYDFRDYTELIKCTTNVSSLVSASGRLPEATIQSYVTFIFLGTQERRRF</t>
  </si>
  <si>
    <t>SSGEKPLEYLHTEIQFLGDTPIIVSSEEPSLQRKVSLDFSHPVSELIWTYNRQTSYNQSL</t>
  </si>
  <si>
    <t>VQSAYALSGNDYFNYDAPAGKDVDPVAKAVVHINGSARFSERSGSYFRLVQPYNHHTRIP</t>
  </si>
  <si>
    <t>DKKIYSYSFAIQAESSSPTGTLNFSRAQTAHLILTMDESFSQGGSDGRVRIYAKTWNILR</t>
  </si>
  <si>
    <t>FSGGMAGLVFSSN</t>
  </si>
  <si>
    <t>&gt;1109MEGAvirome_6-GSNCC_NODE_466_length_7247_cov_54.210990_5 [933 - 3083]</t>
  </si>
  <si>
    <t>NVCIPHPYNDMGAGAVLQLLLHGQEDILLHDTSEDAYKPFRQVWKKATPFAIAHIDTNQN</t>
  </si>
  <si>
    <t>MPTSVTYGQTMRFLIPRKADMLKGLQLRIRVKSTTAAATAYLPAEDFIQSATLVAGKQVL</t>
  </si>
  <si>
    <t>EEITGQYIRIHNTLKDDADARTTRERLGQFDSTEQRRFKTLFVDLPFFFTKTPLPLVAAQ</t>
  </si>
  <si>
    <t>YQDVEVRIQFRQASEVLAFDPTIEPDIQVVGEYVFLDDAERRWWAENAHNLLIEHVHIDE</t>
  </si>
  <si>
    <t>DRVDTEESQLVKTYDTENILFGVPTSVTGAGTESDVVQVDFLQLTKYPDYTGTTTVLYNT</t>
  </si>
  <si>
    <t>GENTVNHSISAAMAIPYDGRASVIWARTAANQGYQIDWVINGNDLEIYIKRNGSNIAYLT</t>
  </si>
  <si>
    <t>STEVFSIALTSVTGSDTSYDITPEVTPGETWVDFEIQHDLEGTTGMVVNYTIEGYVAGGK</t>
  </si>
  <si>
    <t>LAGVSAVSSQTLFFRVAEGYSSVNTLGRESSIGFEGVSNAYDALVTDFDMTIQRVNIEPV</t>
  </si>
  <si>
    <t>SDNYTYRKTKIFARGPLRWLAWTCSPQTEPTRFNTSSDKQSSSLVYDPLSAAQILFNGKE</t>
  </si>
  <si>
    <t>RTAMEPNTYFSVDHPQRHVHKSLPAGIHMYSFAQHPLTLQSDGHVNVNRLGDVTLYQRFR</t>
  </si>
  <si>
    <t>RYSSSVTDEASTADLYEDEGLNGSKNFTRITVYSMCFNVLRVVXXXXXXXXXXXXXXXXX</t>
  </si>
  <si>
    <t>XXXXXXXXXXXXXXXXTADLYEDEGLNGSKNFTRITVYSMCFNVLRVVNGTLSIAYV</t>
  </si>
  <si>
    <t>&gt;1109MEGAvirome_6-GSNCC_NODE_55_length_21732_cov_22.690068_26 [16840 - 15602] (REVERSE SENSE)</t>
  </si>
  <si>
    <t>IMGKGQILLVYSGDDDQIFIGNPQTTFFKKGFRRHTNYSYEHITHTLRGSVKFGQTITFE</t>
  </si>
  <si>
    <t>LTHVGDLLQNMYLHLILPSLEDDETEYNYTEATGHAIIENIRFMLGEQTFDQFNGEYMEL</t>
  </si>
  <si>
    <t>YNELNQTFSKRTAMDLLLSKTGYYDDAIPNRGEQNLWIPLPFWFTRTPSSSLPISALGNS</t>
  </si>
  <si>
    <t>TIKVEIRLRKFTDVVSGEEILSCQKYPNKKITKCELVAKHYFLDTRERTTFISKPLEYCI</t>
  </si>
  <si>
    <t>TQVQRFDNQNINNAGQADATQCTINPVKANVDIPFKCLLKELFWTVNTEANLDANKYFKY</t>
  </si>
  <si>
    <t>TNDNDVEIFRRGRIQINGEDIMNDMDKEYFTKIIPYELYSSVPHNRSFPIYTFCVDPIEN</t>
  </si>
  <si>
    <t>NPTGHFNLFMAKSLTIQMETAETDTKQFVNVYGTCYNVIRIHDGYAQMYFVYV</t>
  </si>
  <si>
    <t>&gt;1109MEGAvirome_6-GSNCC_NODE_573_length_6226_cov_16.232915_18 [5028 - 3733] (REVERSE SENSE)</t>
  </si>
  <si>
    <t>FYGKKNSVCMVGHMSTTNAEGREDPGVGGLIQTQAVGLQDTYLYTLGKDAACNPFTRFSR</t>
  </si>
  <si>
    <t>LRSTQGAIEVKEQVFSPFLLDTINRIEIQRAGDLLGDIVLEITLPNLIDRGGRGDEYWKP</t>
  </si>
  <si>
    <t>NVGYIIIKHIRLMLNDTELNSSERLFYDLYERLYESDSTRQAIRDMIGGEEENQLQINRE</t>
  </si>
  <si>
    <t>HRILVPLKLFTSKRRGSRQTFMPLISTPGSALYLEIETESFENCVTSYSGNDPPRSFECR</t>
  </si>
  <si>
    <t>LLTEYVFLEEEEKERIINEPQTMLVETVRDAEGYSFRDVVSGDGLNQIIPTDTVVVSLKE</t>
  </si>
  <si>
    <t>MNFPAKAIVFAAYRTTDLQRGEYFQYADVIESVSIRFDGNDRTEGREPIDYYRLIQPYMH</t>
  </si>
  <si>
    <t>APRCTNDNVFFYSFALQPGLLQPTGAFSFSNIREGDLYIKLKEKAGDVVVKAFVIGYSWV</t>
  </si>
  <si>
    <t>QFKGGFATTLFS</t>
  </si>
  <si>
    <t>&gt;1109MEGAvirome_6-GSNCC_NODE_641_length_5730_cov_5.789352_2 [2 - 1897]</t>
  </si>
  <si>
    <t>STLDMDVALPSPITYGQTLRFLIPRKGDLLTSLTVRMRVKRTNELGHFPAEELIESASLI</t>
  </si>
  <si>
    <t>MGKQVIEELTGEYIRIHNAIMDTPDKRDARYRLSDFEITDTQGTEKTLYCSIPFYFSYPG</t>
  </si>
  <si>
    <t>CCLPLISLQYTQPEIVIKFKSRAVSFDPTYQPQIQITGEYIYLDDTEREWWTRQDHEMLF</t>
  </si>
  <si>
    <t>PYVQTVEDRVDIEETKLTRIYTNVANQFGSPDSITGAAATVPQEDVITIRGEGESSYITL</t>
  </si>
  <si>
    <t>VDPNDYPGTSTVLWNGDSSAAVFNIKGSLLVPKDGNTGGATRVVWARSASNQGYMLEFQR</t>
  </si>
  <si>
    <t>NSTLVNEIDVNVYRNGTRIVALRSDTVTTAAMTSVNADTSSFDIRSQSFIDTYGLFDVLD</t>
  </si>
  <si>
    <t>TTGPEYELWIDIDLSHDLETYSVLNVAYTFEIYEIGGSGGKLNNEPILSSKEKFLRVSEG</t>
  </si>
  <si>
    <t>YSAIPTLGFSTEYGFTATSALFPAIVADLELSTRQVEISPTDENLTLKKTKIYTRGPVRY</t>
  </si>
  <si>
    <t>MAWVTTPLDVESQWGAFSTGDQGTYSTRYDPLDSAQLLINGKPRTEMEDARYYTVYHPLQ</t>
  </si>
  <si>
    <t>KIHRALPAGIHLYVFGGDPTVFEPDASMNFSRAGDVTLYQRYKKWNPTATTLGDLRLSES</t>
  </si>
  <si>
    <t>LPIARDYKRIRIYLVGYNVLVIKDGTMGLKRV</t>
  </si>
  <si>
    <t>&gt;1109MEGAvirome_6-GSNCC_NODE_697_length_5378_cov_9.144615_6 [3428 - 2148] (REVERSE SENSE)</t>
  </si>
  <si>
    <t>QENYVSVYQTVSTDMTTYPTSNTPGVGPLLQLNALGEQDNAMYDLLGEGSNPFTADTFVK</t>
  </si>
  <si>
    <t>STAGAVEQKEESFQTFTLGQTNNILLDRRGDMLGGVALEIKLPALANAGINDYWKENIGY</t>
  </si>
  <si>
    <t>ILLRKIRLFLNDAELESSERLWYHIYDNLFLPDNIREGVLSMIGGNGPNTLRLSQEHIIL</t>
  </si>
  <si>
    <t>VPLKLFHCKRHGQRQVFLPMITYYKGSTLSIEIETESFENSITSYAGNDEVTTLETKLIV</t>
  </si>
  <si>
    <t>DYVFLSQFERERLINKSFPVMVETVQDVEGYSFKEVRSSEGDIFLPTNTVSIDMSEVNYP</t>
  </si>
  <si>
    <t>VKYLAFVAYSSSDLRNKNYFKYSDIIDTVTIRFDGQDRTEKFDSKYFNLVQPFYYAKRCT</t>
  </si>
  <si>
    <t>DDHIFMYSFALHPHDMQPSGHFTFRNIRKPSVYITLKEKRRDIVVKCFIVGYRWITFAHG</t>
  </si>
  <si>
    <t>EAQVLYL</t>
  </si>
  <si>
    <t>&gt;1109MEGAvirome_6-GSNCC_NODE_944_length_4266_cov_16.552865_4 [2631 - 3845]</t>
  </si>
  <si>
    <t>FRSSIMALLQLAATGPQDMRLTSEPQFSLFKSRHKRHTPFAVEWTEEAFQNEAKLGQRCT</t>
  </si>
  <si>
    <t>LELGQSSDLVKNIVVEATMKKVGDTFYPMEELLQSVELWIGGNKIAEYDSTWIRIFDEMY</t>
  </si>
  <si>
    <t>RTTMEEQLAYREMTGFTNEPVYNTKTLRIPLLFWFCRSTAQALPLIALSYSPVEIVFHFA</t>
  </si>
  <si>
    <t>SSIRGIDTTLDPMIKAYVERIYLGNEERTQFAKAKHSYLIERVQMHTTSTLHVHAPGSKQ</t>
  </si>
  <si>
    <t>NLQIDLPLNHPTKSLVFVFVYPEKHGVFASSLVPFENRECFGVLRSATLLVNGQERQEEK</t>
  </si>
  <si>
    <t>SGSWLRNVENYLRLGSTPSVGVYAMHFCMKPHDPLQPSGSLNMSQLDGKLLLTLKKTDAP</t>
  </si>
  <si>
    <t>TPDAITNVEEETVDDAKQLNYVHIYGVHWNELNIQKGMAGLRWSN</t>
  </si>
  <si>
    <t>&gt;1109MEGAvirome_8-GSNCH_NODE_3368_length_7122_cov_7.590579_8 [6512 - 5901] (REVERSE SENSE)</t>
  </si>
  <si>
    <t>ISYRRNHFRDCTATAAPFQAVKIQSIPFKICGNTGYQSKTVYRRHTSFACESIEQTINGT</t>
  </si>
  <si>
    <t>TGFGRKVSITLSRNGDLIHHAYLEVTLKKGDAQTQTESAPFYSAEALIESVEWELGGMRI</t>
  </si>
  <si>
    <t>DLITSDMMRVYDELFRTAEEKEAYKRLVSFDAADDVGTIKRFYVPLIFSWNLNVGLSLPL</t>
  </si>
  <si>
    <t>IALHTTAALKSTGTIKTPQTIVVC</t>
  </si>
  <si>
    <t>&gt;1109MEGAvirome_8-GSNCH_NODE_3395_length_7066_cov_4.529336_12 [5502 - 4216] (REVERSE SENSE)</t>
  </si>
  <si>
    <t>KQNLRWLQTMSVIHAAEKEERQTPGAGGLLQLQSLGKQDTYLYDLERKGAGNPFTKTGFL</t>
  </si>
  <si>
    <t>SSSRGALEHKEEVFEPFYFGKTNTISVPRRGDLLGDIYLQITLPAVEGAGIDDYWLSGIG</t>
  </si>
  <si>
    <t>YILLRRVRLLLNETEINSDERLYYDIYDRLFQTENIRLGVQEMIGTDGLQRRLTEPHSFL</t>
  </si>
  <si>
    <t>IPLKFFCCKKRYGNARQTFMPLLATPGSTIYIDIEAESFENCITSYAGNTPPETLTCSLV</t>
  </si>
  <si>
    <t>CEFVFVDDPEREAIINRPQTLMIEKVQDAEGFSQREIVSSDGTAVVYPTDTVVVPLNEIN</t>
  </si>
  <si>
    <t>YPVKALMFVAYFQDDVEQKRFFQYADIIESASVRFDGNDRTDQLSATYFGLLQPFFHAPR</t>
  </si>
  <si>
    <t>CDTSNIYLYSFALDPGLLQPTGAFTFANVRRPELYVKLKEARRDVVIKVFALGYTWLQFL</t>
  </si>
  <si>
    <t>NGRASPLFS</t>
  </si>
  <si>
    <t>&gt;1109MEGAvirome_8-GSNCH_NODE_3738_length_6317_cov_9.156381_10 [1657 - 368] (REVERSE SENSE)</t>
  </si>
  <si>
    <t>HHYKKKKKNLQASHPQMMKKKMVFLWYRLCKTSKILMKKIFSNTMGSLIQLQITDGQDKA</t>
  </si>
  <si>
    <t>LMTPRPDHSMFVQKYARYHHFATEHRTVTCIRHKNDDRMVVKVPRAADLLSAVVLTATVT</t>
  </si>
  <si>
    <t>KTPDIQDEWMYPLEGAIDRIELHIGGIVIEEFSGVFCRIYDEIYRNQMKRLSYATMGNFH</t>
  </si>
  <si>
    <t>HNDPNGTTKQIYMPLPFPCCTPLPLIGLPYAEVEVIIHLRPDRKVEFEKIGVDCEYIYCL</t>
  </si>
  <si>
    <t>PNDRIQWMEPTELQIKQVQHRSFSLKPSMFVSNTAHTFHIDEFNHPVYKIIVAATHKDRH</t>
  </si>
  <si>
    <t>GAFTGSGLPFEDAEAYAPILKMRLLLNGQETTPWRYGSHHRQLNIFSEKLLPSAGVYIFD</t>
  </si>
  <si>
    <t>IGFSQGQGTVNFSKLHSAVLQIVFKQNVEETTTDDQEGIGLHNLTDLHVFALNYNWVKIA</t>
  </si>
  <si>
    <t>DGQGGVIFSS</t>
  </si>
  <si>
    <t>&gt;1109MEGAvirome_8-GSNCH_NODE_3738_length_6317_cov_9.156381_2 [2090 - 3301]</t>
  </si>
  <si>
    <t>FRIGIMALLQLAATGPQDMRLTSEPQFSLFKSRHKRHTPFAVEWTEEAFQNEAKLGQRCT</t>
  </si>
  <si>
    <t>LEIGQSSDLVKNIVVEASLKRIGDTFYPMEELLKSVELWIGGNKIAEYDSTWIRIFDEMF</t>
  </si>
  <si>
    <t>RTTMEEQLAYREMTGFTNEPLYNTKTMRIPLLFWFCRSTSQALPLIALSYSPVEIVFHFS</t>
  </si>
  <si>
    <t>DTIKGVDTSLDPMIKVYVERIYLGNEERTQFAKAKHSYLIERVQMHTTTTTQATQDVKQH</t>
  </si>
  <si>
    <t>LSVDLPLNHPTKSLIFVFVDPKQHGVFASSLQTFENMECFGILKSARLLVNGQERQEEKS</t>
  </si>
  <si>
    <t>GSWLRNVENYLRLGNTPSVGVYAMHFCMKPHDPVQPTGSLNMSQLEGKLLLKLKKTGVDT</t>
  </si>
  <si>
    <t>FQEITNVEEETVNDAKHLNYLHIYGVHWNELNIQKGMAGLRWSN</t>
  </si>
  <si>
    <t>&gt;1109MEGAvirome_8-GSNCH_NODE_5285_length_4026_cov_2.281608_6 [2306 - 2968]</t>
  </si>
  <si>
    <t>TGTVRYCCYYCRLLCRCEYVIVTFDIVYMQIALILAREPISTRCRYVIFFHVFFLILCRY</t>
  </si>
  <si>
    <t>DISSSLYVCSHMSTSPQLQSQPPECTPTISAFALMSRFSHQVCNFFAWFLFRHDISPFCC</t>
  </si>
  <si>
    <t>VYAGSCNFSRIDNATLVVTTKAASVATTDPGNAITTEDVTYANAEGNLTSLLVFAESYNV</t>
  </si>
  <si>
    <t>LRILSGMGGFTTCRSEKHHAENMHSLFSGKSFRPMPLRVRC</t>
  </si>
  <si>
    <t>&gt;1109MEGAvirome_5-GSNCG_NODE_1352_length_6626_cov_43.700812_10 [5184 - 3898] (REVERSE SENSE)</t>
  </si>
  <si>
    <t>RHFKKNKKKKNLPHPKKKKTVFQWYRLCCKTSKILMKKIFSNTMGSLIQLQITDGQDKAL</t>
  </si>
  <si>
    <t>MTPRPDHSMFVQKYARYHHFATEHRTVTCIRHKNDDRMVVKVPRAADLLSAIVLTATVTK</t>
  </si>
  <si>
    <t>TEAIEDEWMYPLESAIDRLELHIGGIVIEEFSGTFCRIYDEIYRNQMKRLSYATMGNFHY</t>
  </si>
  <si>
    <t>NDPIGTTKQIFMPLPFPCCTPLPLIGLPYAEVEVVIHLRPDRPIEFKTFGIDCEYIYCLP</t>
  </si>
  <si>
    <t>MDRRQWMEPTELQIKQVQHRSFSLKPSMFISNTAHTFHIDEFNHPVYKIIVAATHKDRHG</t>
  </si>
  <si>
    <t>AFTGSGIPFEDAEAYAPILKMRLLINGQETTPWRHGSHHRQLNIFSEKLLPSAGVYVFDI</t>
  </si>
  <si>
    <t>GFHGGQGTVNFSKLHTAALQIVFKNNTEDTIQDDQEGIGLHNLTDLHVFALNYNWVKIAD</t>
  </si>
  <si>
    <t>GQGGVIFSS</t>
  </si>
  <si>
    <t>&gt;1109MEGAvirome_5-GSNCG_NODE_1400_length_6419_cov_49.822897_2 [933 - 2303]</t>
  </si>
  <si>
    <t>IMEKKEEHNEAHLRTRDMYKITPPSAYNPIFYTNPEITFLSEKMPKQPNHSREFIRIRPE</t>
  </si>
  <si>
    <t>NDPEFSNTITFKIEKKFDICEKVWIKMKLPSLFDDQTMEGLRSGSITYTDNTQRYEYING</t>
  </si>
  <si>
    <t>IGYYLFQFIQLKVDGIVVQEITPEQLHLYHLLNNDEYLTYTRRSQYHGYFGSKGVYNQTS</t>
  </si>
  <si>
    <t>TTYNNEYLVEIPFFFNNDYNGGCDTKLPLPILRNKSVEVVCSLRNLDELWQRPFVQEENC</t>
  </si>
  <si>
    <t>DISPYGVSVNLSSGTQTTRNKNEMILEEFELLCSAIYVDLPLREAIVRADIKKDFVFYQQ</t>
  </si>
  <si>
    <t>FEETFNEGGIVNMEIEPTGVAKNIYIFARTKSNYSYGDLTNWSGEYQSPSNPDRNLKKII</t>
  </si>
  <si>
    <t>KNASLMINRERLFLAKKSELFEYQEAERTFYFQNTSEPLLVIPMLNTKTNGSIIWERFDD</t>
  </si>
  <si>
    <t>IRLQINLETTEEVTVYVVCENKNIIRFFNNQGGLLFN</t>
  </si>
  <si>
    <t>&gt;1109MEGAvirome_5-GSNCG_NODE_1400_length_6419_cov_49.822897_4 [2794 - 4338]</t>
  </si>
  <si>
    <t>MIGNLIQVISKGKVFETQFHSIDYSEYIFVVKRTTRFSNYVREVITNERIDFGKTITFDI</t>
  </si>
  <si>
    <t>PKVGDFIWKLYIETVLPDLSEKSEQAREIAESRGLTFTGPQFYWVNEIGNHIFERVELLI</t>
  </si>
  <si>
    <t>DGVTICHYSNNYAMIKNQEKSNVKTDIYLSQMVARDQLSVVGEKVIYTPLHFWFTNEIHQ</t>
  </si>
  <si>
    <t>ALPLFKMENTRVQIRVKIRSIDDLIVSNMLLDSRNTEIQYTERNAPWVAASLESNISQPM</t>
  </si>
  <si>
    <t>VKFTGARYFGINPVDPLLPQIYGYNGINTSNQGRYIPEVDNGRQDEYHLTSCSLICQCFD</t>
  </si>
  <si>
    <t>IGNEEKTLMAEKTYPVYQIQELYYPNQSTRGRILSELVFSNPVAHIHWFYRNPEIISVFN</t>
  </si>
  <si>
    <t>NYVNVSKNVVNNTSKMPIYPVLPTIGDYQYVNLPSFYNTNAELLVNAKIKVDNHDRQDGD</t>
  </si>
  <si>
    <t>ADLFRDIVYQTRKGILPSIYEKYIYSYHFGKEVAPHKKFSACLNFDKLNRLYLESEFDYN</t>
  </si>
  <si>
    <t>PDDSLNQETNIHILAESLNLLVFSGGKASLLFDSP</t>
  </si>
  <si>
    <t>&gt;1109MEGAvirome_5-GSNCG_NODE_158_length_23839_cov_60.295022_33 [5581 - 4109] (REVERSE SENSE)</t>
  </si>
  <si>
    <t>KSCNVRLLCFIRQIGKNEENNRNICCYFVKVKMGGGLMQLVAYGAQDVYLTSNPQITFFK</t>
  </si>
  <si>
    <t>VVYRRHTNFSMESIEQTLNGNANFGSKVSCTISRNGDLIHRVYLQVTLPKVELQESDGSG</t>
  </si>
  <si>
    <t>TEFRWLNWVGHRLVKNIELEIGGQKIDKQYGDWLHIWNELTQPAGKQAGYAQMVGNVPEL</t>
  </si>
  <si>
    <t>TNLLTHSGVGCDDDCTAGEPNASSETRKCAPQYTMYIPLQFWFCRNPGLALPLIALQYHE</t>
  </si>
  <si>
    <t>VRLQLDFEELRNLCWDSSTNNVVRTRVGNAGLVAASFWVDYIYLDTEERRRMAQLTHEYL</t>
  </si>
  <si>
    <t>IEQLQFTGDESITSSSNKIRLNFNHPVKELVWVVQRDSFVSCDDAIVDEWKGQQPFNYSD</t>
  </si>
  <si>
    <t>WWDRAVLDSGYSSTLTEGQAGNNPVVTALVKLNGHDRFDEREGRYFNLVQPYQHHTNVPA</t>
  </si>
  <si>
    <t>VGVNVYSFGLKPEEHQPSGTCNFSRIDNATLHLTISNNAVNADNSAKVRVYAVNYNVLRI</t>
  </si>
  <si>
    <t>&gt;1109MEGAvirome_5-GSNCG_NODE_1693_length_5325_cov_4.078203_18 [1378 - 86] (REVERSE SENSE)</t>
  </si>
  <si>
    <t>SMSSSGALLQLLLEGEEDVHLHSQDFLALKPFRQVFKKVTPYSIATLDMGVALPSPITYG</t>
  </si>
  <si>
    <t>QTLRFLVPRKGDLLTSLTVRMRVKRTSETGHYPAEELIESASLIMGKQVIEELTGEYIRI</t>
  </si>
  <si>
    <t>HNAIMDTPDRRDARYRMSDFEVSDDQGTEKLLYCNIPFYFTHKGCCLPLISLQYTQPEIV</t>
  </si>
  <si>
    <t>IKFKSSVVSFDPTYQPQIQVTGEYVYLDDTEREWWASQEHDMLFPYVQMVEDRVDIEQSR</t>
  </si>
  <si>
    <t>IENKYTPLGIQTGVPSSILGPAEPYEDSIIVTQGGQDGFTYINLVDPEKYPGNSVILYDT</t>
  </si>
  <si>
    <t>GSNARTFTIKAAMLLPKDGNNNGSVSALWARRAGDIGYECEFIIEPSNQMHINVYRNGQV</t>
  </si>
  <si>
    <t>IVSLDENTVFTSAMTTVTGDSSSYDIRSDTFAADNPSIDVTQGSDYEIWAESRGSNLVTY</t>
  </si>
  <si>
    <t>VPRSPVLNAPH</t>
  </si>
  <si>
    <t>&gt;1109MEGAvirome_5-GSNCG_NODE_1750_length_5106_cov_6.189383_4 [3885 - 2185] (REVERSE SENSE)</t>
  </si>
  <si>
    <t>IMPGGLMNLIAYGNQNIILNGNPSKTFFTSTYSKYTNFGLQKFRIDHQGQKTLNMTQPSV</t>
  </si>
  <si>
    <t>FTFQVPRYADLLMDTYLVLNLPTIWSPVMPPECGAPVNTVKHSWQPYEFKWIRNLGTQMI</t>
  </si>
  <si>
    <t>ERVRFTVGGHVIQEFTGQYLYNMVERDFSGTKKELFYNMTGNVAELNDPANANGRVNVYP</t>
  </si>
  <si>
    <t>SAMIGVDNNESNTLGPEPSIRGRKIYVPLNIWFSLAAKMAFPLVSLQYAELEIEITIRPV</t>
  </si>
  <si>
    <t>RELFVVRNVTDETGFGYYMRPDLSRYEYAFHRFIHPPPTIELEQDDYKDKRDKWNTDIHL</t>
  </si>
  <si>
    <t>ISTYCFLSDDEVRVFASNPQSYLIKQVYQTTFNNIVGSTRIDLKSIGMVINWMWYLQRTD</t>
  </si>
  <si>
    <t>CYLRNEWSNYTNWPYDYLPYNLVEPYNEYTGTINTRPVICNETEIYPDKDLSNNNTGILI</t>
  </si>
  <si>
    <t>TGNHNPSNQKNILLTWALLLDGKYRENELDEGVLRYVEKYIRTKGSGDDNVYSYNFCLNT</t>
  </si>
  <si>
    <t>DPFEFQPNGAINLSKFNKVEFEVKTYQPPLDPQAQFLTICDPSGGEIIGINKSYWNIYDY</t>
  </si>
  <si>
    <t>TYDLTVLEERYNVLEFTSGMAALKFTR</t>
  </si>
  <si>
    <t>&gt;1109MEGAvirome_5-GSNCG_NODE_1851_length_4741_cov_59.427680_2 [1374 - 2612]</t>
  </si>
  <si>
    <t>MAGGNLVVISLGAKDIYLTGNPQTTYFKSIYKRHTPFAICRKELNCEGVPTFGNKATYNF</t>
  </si>
  <si>
    <t>GNNGDLFKNLHIEFEVPGLQQVQEGSTYVGFVNSFLANVIEYIEITFNGQIIDKIYGQQL</t>
  </si>
  <si>
    <t>DFMNELYLEEGKRLGQDIMMGKYESNFSLQTNALEDNYFFSIDVPFWFNGNSCMAIPLLA</t>
  </si>
  <si>
    <t>LQYTEIKVNIQFREALGSVVSDVRLTNVLDKTGTRWEITDCRLYADYITLSPEERTFFAN</t>
  </si>
  <si>
    <t>KPHEYLITQHQFNEDFIEAGITNKTVNMTFEHPVRYFHWIIQNNPEINTDISSVAGNKWS</t>
  </si>
  <si>
    <t>VYEATGGGTSLEDATLRLNGIDYQDRMKYHYYLSMMAHQYFKNNPRKYVYSYSFSLHPLQ</t>
  </si>
  <si>
    <t>WKPSGQVNFSKFDKKELILNTPVSENDRRINIYATNYNVLRIASGLGSLAFRH</t>
  </si>
  <si>
    <t>&gt;1109MEGAvirome_5-GSNCG_NODE_2797_length_2706_cov_11.364994_1 [370 - 1956]</t>
  </si>
  <si>
    <t>LTMAGALMQLVAYGQQDMYLTGKPQISFWKVTYRRYTNFAVESIEQTFNGQADFGRRVTC</t>
  </si>
  <si>
    <t>VIARNGDLAYRTYLQVTLPEINQDLSDGPVYARWLDYIGEHMVSQVEVEIGGQRIDRQYG</t>
  </si>
  <si>
    <t>DWMHIWNQLTGTSEHYERGYAAMVGNTTQLTYVVEPEFEDVDGPCNTDAVPNQVCAPRKA</t>
  </si>
  <si>
    <t>LPETTLYVPLTFWFCRNPGLALPLIALQYHEVRINVDLRPIDECLWAMSAIGSPTATKVS</t>
  </si>
  <si>
    <t>RAYSQSLVAASLYVDYVFLDSDERRKMAQNPHEYLIEQLQFTGDESIGSSSNKIKLNFNH</t>
  </si>
  <si>
    <t>PCKELVWVVQPDSNVDYCSSFEGGEALYNLLGAQPFNYTDALDVLPNSIRAFGGANVSGA</t>
  </si>
  <si>
    <t>NQFIDNSANLFVDAGAVGLSTDNNGNNANLPRVESDQSSVSDAGVFVLAETGLNLHCWGQ</t>
  </si>
  <si>
    <t>NPVVTAKLQLNGQDRFSEREGTYFDLVQPWQHHTRTPDTGINVYSFALRPEEHQPCGTCN</t>
  </si>
  <si>
    <t>FSRIDNATLQLIVSNSTVAGTSTAKVRVYATNYNVLRVMSGMGGLAYSN</t>
  </si>
  <si>
    <t>&gt;1109MEGAvirome_5-GSNCG_NODE_298_length_18299_cov_22.423808_38 [11612 - 10602] (REVERSE SENSE)</t>
  </si>
  <si>
    <t>RTFEFVRNTYHLFRRFDKSNTFHFFVQLWLPRYLSHRCVFLCARDVCIVKCSMYKYLIRF</t>
  </si>
  <si>
    <t>FLYTGNASISFWKSVYRRYTSFSLESIECTFNGTVGFGKRVSCTIPRNGDLLTTQWLEIT</t>
  </si>
  <si>
    <t>MKKHDTNASYYPAEALLKEIEVEIGGQRVDKIYNDWFRVYDELYRSGSEKESYRSMVDFD</t>
  </si>
  <si>
    <t>DASAGGDTGVTKRFYVPLIFFYNKAPGLALPLVALQYHEVKLNILFENATNMANAGVDPT</t>
  </si>
  <si>
    <t>VEPTCQLFSTFVYLDTEERKRFSQQSHEVRSISKPSFFQSVSLYESIPSHTSLFLFAVLD</t>
  </si>
  <si>
    <t>HYSPAHRCRDRDPRIFRQNPQHSFVTEPSSARVILGY</t>
  </si>
  <si>
    <t>&gt;1109MEGAvirome_5-GSNCG_NODE_31_length_42981_cov_52.155389_3 [4294 - 5862]</t>
  </si>
  <si>
    <t>QYYKMAGGLMQLVAYGAQDVYLTGNPQITFWKVTYRRPTNFAMESIEQTFNGQADFGRRV</t>
  </si>
  <si>
    <t>QCTISRNGDLAYRTYLQVTLPEISSSDAAYARWLDYPGEQMINMVEVEIGGQRIDRQYGD</t>
  </si>
  <si>
    <t>WMHIWNQLTMTSEQQRGYNAMVGNTTQLTYITDPSFAEVDQPCAENAPHQVCAPRKALPE</t>
  </si>
  <si>
    <t>TTLYVPLQFWYCRNPGLALPLIALQYHEVKINVELRPLDECLWAVSALTDGVKATAAYNK</t>
  </si>
  <si>
    <t>SLVAASLYVDYVFLDTDERRRMAQNPHEYLIEQLQFTGDESVGSSSNKIKLNFNHPCKEL</t>
  </si>
  <si>
    <t>VWVVQPDAHVDYCDSFDSTGLLYKALGAQPFNYTDAVDALPNALHAFNSPLGAGGSAAVI</t>
  </si>
  <si>
    <t>GASGLFQNGGAVDVTGADWNAEAGPFDQEEAAGVSDAGAFVLAETALNLHCWGLNPVVTA</t>
  </si>
  <si>
    <t>KLQLNGQDRFSEREGSYFDTVQPFQHHTRTPDTGINVYSFGLRPEEHQPSGTCNFSRIDN</t>
  </si>
  <si>
    <t>ATLQLVLSNPTVSGNNTAKVRVYATNYNVLRVMSGMGGLAYSN</t>
  </si>
  <si>
    <t>&gt;1109MEGAvirome_5-GSNCG_NODE_321_length_17440_cov_25.697838_28 [8692 - 7145] (REVERSE SENSE)</t>
  </si>
  <si>
    <t>ETDGAQDVYLTGSPSITFFKTIYRRHTSFATESIEQTVNGTIDFGRRTTVTISRNGDLAH</t>
  </si>
  <si>
    <t>KVWIEITMKRGQGDTCYKAAESFLESVEFELGGQRVDLITNFMMRLEDELWHTDSEKAAY</t>
  </si>
  <si>
    <t>DRLVSFDESDATGTVRRFYVPLIFSFNKNVGLSLPLIALQYHEAKLLLSFASKEKMAANG</t>
  </si>
  <si>
    <t>VDTSYTPQVNVYVEYILLDASERRRFASGSHEYLITQHSWTGYESITHDSTGNNRTTYTS</t>
  </si>
  <si>
    <t>RINMNHPTKYLAFCLTDTDKYGKFSTAADYSSTNEAYGPLYQARLTLNGHDRESARRGSW</t>
  </si>
  <si>
    <t>YNSVVPYATTSTRPAAGIYLFSFALKPAEFQPSGTCNLSRVDNCSLHLEFKKGSAGTDVA</t>
  </si>
  <si>
    <t>NVLDEGSTLAEIVDLNNLIVVGENYNVLRVNIIARQSDYLLIIASDMPLGVLQNTLMLER</t>
  </si>
  <si>
    <t>LGKVNATLTVVKTMLYSYNALNRDNQQIDYRQTVLDIVFGGITETERVLGMCKSCPLAIH</t>
  </si>
  <si>
    <t>FLIYSPHPIERCRDYVNERHKSPVPNSRMLFQFQVH</t>
  </si>
  <si>
    <t>&gt;1109MEGAvirome_5-GSNCG_NODE_369_length_16243_cov_33.144476_16 [13182 - 14795]</t>
  </si>
  <si>
    <t>LLWRESICCCSYTNKHEFFFRNPMVYMSSGGYIQLQLFGAENAPLNENPEITFFRQVARK</t>
  </si>
  <si>
    <t>SVAFSQDAIELAWSGVSDFNRRCTCTLGKSGDLVTECFVEIVLPDLAEYNPPMPNQSDVN</t>
  </si>
  <si>
    <t>PIVYDARYTGDGTTATIKCLRILGSTTEEFTATCTSVADGTTVTATVTGQTGTTVIIPVE</t>
  </si>
  <si>
    <t>GLDLDHEYNVVVEQDGVASPETEVFAMTWQNSIGHVIAESIELECGGARIDYHTSEFLEI</t>
  </si>
  <si>
    <t>MSLLTTPEEKKEGLDKMIGRFPVKNFNPRVDGIRGERTLMVPLRFFFNTPSMALPLLALT</t>
  </si>
  <si>
    <t>YHDVKFNFSIRPFKECIKTTRKAITSMVDSNGQPITFKSIRVFANYIYLDTDQRRKYIAN</t>
  </si>
  <si>
    <t>ANEQLVTCMQYLGPVVIEDTIDPGNNPVKKIPIDFSHPVKELLFVYVPPESFNGDSTTYD</t>
  </si>
  <si>
    <t>WFNFGHHYDDEDFFTELKLQINGNDRCAYRTGEFFKFQQIYSHHTRVPDKNIYCYSFALY</t>
  </si>
  <si>
    <t>PELPSGSGTCNYSRIQTSHIVAKLRPGVQKGGRIMVFATSFNLFRVANGLGGLAFAGN</t>
  </si>
  <si>
    <t>&gt;1109MEGAvirome_5-GSNCG_NODE_71_length_32471_cov_37.951415_3 [4228 - 6750]</t>
  </si>
  <si>
    <t>ILIYYNLSKMPGGLMNIIAYGNLNVILNGNPKRSFFMASYKKYTNFGLQKFRIEHEGLRQ</t>
  </si>
  <si>
    <t>LDPTKETHYTFKMPRYGDLLMDTYLAIKLPNIWSPVYKRTAIVEENGEQIEKFTYIPYEF</t>
  </si>
  <si>
    <t>KWIEEIGTQMIKEIRVRCGNTTLQQYSGEYISIVAKRDYSGQKLNVFNEMTGNTPLLNNP</t>
  </si>
  <si>
    <t>TLPYTKVNPALNAGVIVGYPSAFFDKTSLQGGGPEPSIRGRYLYIPLNAWFCNNSEQPFP</t>
  </si>
  <si>
    <t>MVASQYSELFIDITLRPLKDLFVIRDVSNYYNGSQDNLSYTAYDNVLNEETEEFIKNPNG</t>
  </si>
  <si>
    <t>NNENTTITKMINKTFLNGGIISEEIINYNKITMVINYKINFVYNYKANYENIQEVLKEFT</t>
  </si>
  <si>
    <t>TESMRDFIRIDKYTTNIGGINQYEEIVKKFENMLSVQVTFYNVEGNNLLSMDENFYNINE</t>
  </si>
  <si>
    <t>DGTIEFINKITTYNYINNVNINSKNIITRSRNIRIAGRNVNIGMIGENNKTETFNPPIIN</t>
  </si>
  <si>
    <t>SSIEYYNIHEDKANNIRDNNNMSVSFLNDYPHIAPNFNLSEHALYRFLHPPPNTNYDYTN</t>
  </si>
  <si>
    <t>ADKRIDFNSDIHLVSTYGFLSEEENRQLSQYEQSYLIKDVREYTIQDIVGTQKVELESTG</t>
  </si>
  <si>
    <t>LINNWTFFMRRSDVDIRNEWNNYTNWRYKYLKPQLILNSQTINNLYIQEGQLYDPAIIGT</t>
  </si>
  <si>
    <t>NVFYNDGNLFLNDPNFIRPPLDYFSSGPFNIENDKSILKSLEILLDGKIRESKFDIGVFQ</t>
  </si>
  <si>
    <t>YIEPFMRTSGGYEEGLHVYNFGLKTNPYSLQPNGAINLSKFSKIELEIETELPPLDPDAE</t>
  </si>
  <si>
    <t>FNVVCANVDGTNTTNNNGNQIIGVNKEEFRLYKYTYDMRVFEEKYNVVTFVAGHCGLMTA</t>
  </si>
  <si>
    <t>&gt;1109MEGAvirome_5-GSNCG_NODE_73_length_32228_cov_54.929356_9 [8224 - 9732]</t>
  </si>
  <si>
    <t>NMPGGLFVLQAYGDADLKFSGNPQTTFFSKTYRRYTHFAQEPSYSQFDGPQQLSFQDTIL</t>
  </si>
  <si>
    <t>LKHKIKRKGDLLKSMFLSIQLPDIYSKLELDGGDPSGYAFRWVPNMANMIIDEAEIFIGG</t>
  </si>
  <si>
    <t>NKVDSFTGLYSYLYKKLNYEEDSQRIFDSIAGNTAEFVDPANGPLGNSSSEYPYVVRDLS</t>
  </si>
  <si>
    <t>NSNAILNPSIRGKQLFIPLPFWFYDEPGQSIPLIGLQNHEVEVHLRLRPIIDLYQVRAYG</t>
  </si>
  <si>
    <t>SDTWTRPEPGTTTAIRHFLSPFFNDNTGADTWNLVPQILSHYIYLSNDERREIALKNSEY</t>
  </si>
  <si>
    <t>LIVQRNHFTIRTPVSYRYKIEQHNLINRILFTVRRTDFIETYNDSTNLTNWSDPSQAPKT</t>
  </si>
  <si>
    <t>ELSNAEISGINTSGIETVNYSKDILQEMTIYVNGNAIFETQTAPYYNGVQAFLANKITNE</t>
  </si>
  <si>
    <t>DGIYQYNFGLFPKEYQPSGALNASRVKSLELDFQLEGIPFTSVTDLSGVTTSRYNYEYLI</t>
  </si>
  <si>
    <t>DIFTENYNFLTITSGLGGLMYAR</t>
  </si>
  <si>
    <t>&gt;1109MEGAvirome_5-GSNCG_NODE_903_length_9314_cov_9.906823_5 [6767 - 8431]</t>
  </si>
  <si>
    <t>RMGGGLMQLVAYGAQDVYLTGNPQITFWKVTYRRHTNFAMESIEQTFNGQADFGRRVTCT</t>
  </si>
  <si>
    <t>ISRNGDLAYRTYLQVTLPEINQQMKNGSSAAGANDGVYARWLDFPGEQLIAQVEVEIGGQ</t>
  </si>
  <si>
    <t>RIDRQYGDWMHIWNQLTLSKEQERGYYKMVGETTQLTYITDPSFANVDGPCESDAPRQVC</t>
  </si>
  <si>
    <t>APRNALPETTLYVPLQFWYCRNPGLALPLIALQYHEVRINLDLRPIDECLWAVSSLACSS</t>
  </si>
  <si>
    <t>GSAKVSAAYNQSLVAASLYVDYVFLDTDERRRMAQNPHEYLIEQLQFTGDESVGSSSNKI</t>
  </si>
  <si>
    <t>KLNFNHPCKELVWVVQPDNNVDYCSSLECNQPLYKLLGAQPFNYTDALDALPNALHAFAG</t>
  </si>
  <si>
    <t>PASVGAEANDFLRSDMFVDAGAADMNVSGVDGLWNVPASAANGRYSVAGGLGGFGNAAQD</t>
  </si>
  <si>
    <t>SVMSGVSDAGAFVLAETALDMHCWGENPVVTAKLQLNGQDRFSEREGTYFDLVQPYQHHT</t>
  </si>
  <si>
    <t>RNPDTGINVYSFALRPEEHQPSGSCNFSRIDNATLQLVLSNATVEGTKTAKVRVYATNYN</t>
  </si>
  <si>
    <t>VLRVMSGMGGLAYSN</t>
  </si>
  <si>
    <t>SK-----TKCSRWNALGLRLRTRAMASRLDIPISRIRNPATTVGPRHVPSTQWIKTLYGV</t>
  </si>
  <si>
    <t>VVRTRRMCRATMG--MWWRSNASLSWYRMMGIRYVAIESWNGLWMCEVVLMMSPIRCRRR</t>
  </si>
  <si>
    <t>KPGSV---ASRHVANH-TRSIISLDDILYR------------------------------</t>
  </si>
  <si>
    <t>-----------------------RKKRLSHLAVNFFLGILEY-IM---------------</t>
  </si>
  <si>
    <t>-------GG---------------------------------------------------</t>
  </si>
  <si>
    <t>---------------------------------------------GAL------------</t>
  </si>
  <si>
    <t>---------------------------------------------AQLSLV---------</t>
  </si>
  <si>
    <t>------------------G-QQD-----------------LIL-HG--------------</t>
  </si>
  <si>
    <t>---------------SS---------------------------P---------------</t>
  </si>
  <si>
    <t>WRKP--------------------------------------------------------</t>
  </si>
  <si>
    <t>------SMFSMESI----------------------------------------------</t>
  </si>
  <si>
    <t>---------------QQAFQ----------------------------------------</t>
  </si>
  <si>
    <t>------------------------------------------GDATF-------------</t>
  </si>
  <si>
    <t>---------------------------------------------G--------------</t>
  </si>
  <si>
    <t>----------------------------------------RKVIC---------------</t>
  </si>
  <si>
    <t>-----------PITK-S-------------------------------------------</t>
  </si>
  <si>
    <t>------GD--------------------LLHT----------------------------</t>
  </si>
  <si>
    <t>----------------------------------CWLQVT--------------------</t>
  </si>
  <si>
    <t>------------------L--PD-------------------------------------</t>
  </si>
  <si>
    <t>-----------LSDYGVD--G-VLAAS---------------------------------</t>
  </si>
  <si>
    <t>-----------------AGV----------PGIIS--------ARWT-------------</t>
  </si>
  <si>
    <t>-------------------------SPTTARVK---------------------------</t>
  </si>
  <si>
    <t>------------------------------------LIPTTDATAV--------------</t>
  </si>
  <si>
    <t>RYDVSYNDGSTDT-----------------------------------------------</t>
  </si>
  <si>
    <t>--------------------------------------------VVNGEDGATT-IV---</t>
  </si>
  <si>
    <t>----------------------------------------LTGLDTTN------------</t>
  </si>
  <si>
    <t>---------------------------------------------------TY-------</t>
  </si>
  <si>
    <t>------------------------------------------------TVKARRVTGAG-</t>
  </si>
  <si>
    <t>NGSW------------------SSTVSVISL-----------------------------</t>
  </si>
  <si>
    <t>SLIR-----TADLEIGGSRIS-RHM-----------------------------------</t>
  </si>
  <si>
    <t>G------------FNAMIGK----------------------------------------</t>
  </si>
  <si>
    <t>EG----------------------------------------------------------</t>
  </si>
  <si>
    <t>-----------GDTFFIP---L--------------------QFP---------------</t>
  </si>
  <si>
    <t>---------FCK------------------------------------------------</t>
  </si>
  <si>
    <t>---HPGLAI-------PIIAL-----TYSQVNLVFDFR----------------------</t>
  </si>
  <si>
    <t>-----E---------------YLEM------------I----------------------</t>
  </si>
  <si>
    <t>------------------------------------KST-VAVPSLLDAAG---------</t>
  </si>
  <si>
    <t>-----------------------KTPE-AT------------------------------</t>
  </si>
  <si>
    <t>---------------------------ISC------------------------------</t>
  </si>
  <si>
    <t>---------YATFV-------------------------YLST-SERRV-FASGKS----</t>
  </si>
  <si>
    <t>----LEY--------------------V-------FQD--------------VQ------</t>
  </si>
  <si>
    <t>GDI----------------------PMVV-------------------------------</t>
  </si>
  <si>
    <t>----------------------------------SPQEQ---------------------</t>
  </si>
  <si>
    <t>---------------------------------------------------PSLSRKL--</t>
  </si>
  <si>
    <t>---NLD-F-AHP----TAELVWVYNRQAAYN-----------------------------</t>
  </si>
  <si>
    <t>------------------------------------ASVPR-------------------</t>
  </si>
  <si>
    <t>-----------------------------------------------SEYALSGNDY---</t>
  </si>
  <si>
    <t>-----------------------FNWDA--------------------------------</t>
  </si>
  <si>
    <t>----------------------------------PAG-----------------------</t>
  </si>
  <si>
    <t>--------------VI----------------------HVNGHE----------------</t>
  </si>
  <si>
    <t>----------------------RFSRR---------------------------------</t>
  </si>
  <si>
    <t>----IGK----Y-----------FRLVVP-YG--H-----HTRIP-----VN--------</t>
  </si>
  <si>
    <t>---------------KKIYCY-------------SFSLL-P-EE--PSV-TG-----SI-</t>
  </si>
  <si>
    <t>-------------NFSRA-DTS-HLL----------------------------------</t>
  </si>
  <si>
    <t>-----VTLDSS--------------------------FA-S---------GTSS------</t>
  </si>
  <si>
    <t>-------------------GRLQI--------FARSWQVLRI------------------</t>
  </si>
  <si>
    <t>----------------QAGLG-----------------------------A---------</t>
  </si>
  <si>
    <t>----------------VL------------------FASG--------------------</t>
  </si>
  <si>
    <t>----------------------------------</t>
  </si>
  <si>
    <t>--------M---------------------------------------------------</t>
  </si>
  <si>
    <t>---------------------------------------------AGR------------</t>
  </si>
  <si>
    <t>---------------------------------------------VQLETS---------</t>
  </si>
  <si>
    <t>------------------G-PQD-----------------AFF-T---------------</t>
  </si>
  <si>
    <t>---------------DD---------------------------P---------------</t>
  </si>
  <si>
    <t>FQKH--------------------------------------------------------</t>
  </si>
  <si>
    <t>------TNFAPFFV----------------------------------------------</t>
  </si>
  <si>
    <t>---------------DLDVE----------------------------------------</t>
  </si>
  <si>
    <t>------------------------------------------GEVEF-------------</t>
  </si>
  <si>
    <t>----------------------------------------NTIRC---------------</t>
  </si>
  <si>
    <t>-----------TIPQNQ-------------------------------------------</t>
  </si>
  <si>
    <t>------GD--------------------LLKT----------------------------</t>
  </si>
  <si>
    <t>----------------------------------VSMKVE--------------------</t>
  </si>
  <si>
    <t>------------------L--SS-------------------------------------</t>
  </si>
  <si>
    <t>-----------IQQNLVN------------------------------------------</t>
  </si>
  <si>
    <t>-----------------------------------NIEGI--------------------</t>
  </si>
  <si>
    <t>AMIE-----YVEIMIGGQVIQ-RIP-----------------------------------</t>
  </si>
  <si>
    <t>N------------LEKLIGKPPLEFSGTQV----------SSVQIA--------------</t>
  </si>
  <si>
    <t>---------GYLGLA-----------------------------TSD-------------</t>
  </si>
  <si>
    <t>------------TKYFVD---I--------------------PFY---------------</t>
  </si>
  <si>
    <t>---------FYN------------------------------------------------</t>
  </si>
  <si>
    <t>---NPELAV-------PLCAI-----TGQEIEIVIKLR----------------------</t>
  </si>
  <si>
    <t>-----D---------------LKDC------------VWGYDATD---------------</t>
  </si>
  <si>
    <t>---------------------------------------PANSNSIFYLGDF--------</t>
  </si>
  <si>
    <t>---------------------VQTKGLIKS------------------------------</t>
  </si>
  <si>
    <t>---------------------------LKL------------------------------</t>
  </si>
  <si>
    <t>---------TTEMV-------------------------SLDE-EEKQM-LLSKKI----</t>
  </si>
  <si>
    <t>-----DY--------------------I-------ITQ--------------IQ------</t>
  </si>
  <si>
    <t>-------------------------KSII-------------------------------</t>
  </si>
  <si>
    <t>----------------------------------PQDSNVNSIVDV--------------</t>
  </si>
  <si>
    <t>--------------------------------------------------------KH--</t>
  </si>
  <si>
    <t>---KLK-F-KNP----IKELFFIVQR----------------------------------</t>
  </si>
  <si>
    <t>--------------------------------------LR--------------------</t>
  </si>
  <si>
    <t>--------------------------------------------------KLTGGHFV--</t>
  </si>
  <si>
    <t>---------------------TNFDYDS--------------------------------</t>
  </si>
  <si>
    <t>----------------------------------NY--QLYN------------------</t>
  </si>
  <si>
    <t>--------------EI----------------------QLDDSV----------------</t>
  </si>
  <si>
    <t>----------------------ILDKV---------------------------------</t>
  </si>
  <si>
    <t>----TGNV--IN-----------LRAIQS-GI--H-----HSR-----------------</t>
  </si>
  <si>
    <t>-----TQLF------RRYYSY-------------SFALE-P-ER--WYP-TG-----QR-</t>
  </si>
  <si>
    <t>-------------NFSLI-KEQ---D----------------------------------</t>
  </si>
  <si>
    <t>-----IKLKIL----------------------------PD---------NLAK------</t>
  </si>
  <si>
    <t>-------------------RELRV--------LGLSYNILRV------------------</t>
  </si>
  <si>
    <t>----------------ENGIA-----------------------------K---------</t>
  </si>
  <si>
    <t>----------------TL------------------FNL---------------------</t>
  </si>
  <si>
    <t>---------------------------------------------AGQ------------</t>
  </si>
  <si>
    <t>---------------------------------------------VQLLAS---------</t>
  </si>
  <si>
    <t>------------------G-PQE-----------------RFF-T---------------</t>
  </si>
  <si>
    <t>---------------ID---------------------------P---------------</t>
  </si>
  <si>
    <t>FRKH--------------------------------------------------------</t>
  </si>
  <si>
    <t>------SNFSTEFV----------------------------------------------</t>
  </si>
  <si>
    <t>---------------DIDPEN---------------------------------------</t>
  </si>
  <si>
    <t>------------------------------------------NDADF-------------</t>
  </si>
  <si>
    <t>----------------------------------------KSVRF---------------</t>
  </si>
  <si>
    <t>-----------KIPQNQ-------------------------------------------</t>
  </si>
  <si>
    <t>----------------------------------LSVKMT--------------------</t>
  </si>
  <si>
    <t>------------------L--PI-------------------------------------</t>
  </si>
  <si>
    <t>-----------LGSSRV-------------------------------------------</t>
  </si>
  <si>
    <t>ALIE-----HVDLLIGGEIVQ-RLT-----------------------------------</t>
  </si>
  <si>
    <t>A------------LEQLIGKYPLRTSDRRVGEVRTGIGGNSGIVIH--------------</t>
  </si>
  <si>
    <t>---------NTLGL------------------------------TTD-------------</t>
  </si>
  <si>
    <t>------------ESFFVD---L--------------------PFY---------------</t>
  </si>
  <si>
    <t>---------FYR------------------------------------------------</t>
  </si>
  <si>
    <t>---HPQLAL-------PLCAI-----NKQEIEVEFKLR----------------------</t>
  </si>
  <si>
    <t>-----D---------------VQDI------------VIKGDGS----------------</t>
  </si>
  <si>
    <t>---------------------------------------YITLNETFNM-----------</t>
  </si>
  <si>
    <t>----------------------------KK------------------------------</t>
  </si>
  <si>
    <t>---------------------------FQL------------------------------</t>
  </si>
  <si>
    <t>---------CTEVV-------------------------FLDC-TERIK-IENTPV----</t>
  </si>
  <si>
    <t>-----EY--------------------L-------ITQ--------------NQ------</t>
  </si>
  <si>
    <t>----------------------------------------------------------E-</t>
  </si>
  <si>
    <t>-----------------------------------------DVFDVG-------------</t>
  </si>
  <si>
    <t>--------------------------------------------------VGVDEGKF--</t>
  </si>
  <si>
    <t>---NLD-F-TNP----VKELYFVIQRQGSNV-----------------------------</t>
  </si>
  <si>
    <t>------------------------------------NAAD--------------------</t>
  </si>
  <si>
    <t>--------------------------------------------------KTLQGNFV--</t>
  </si>
  <si>
    <t>---------------------TIFDYDN--------------------------------</t>
  </si>
  <si>
    <t>----------------------------------TS--NVQD------------------</t>
  </si>
  <si>
    <t>--------------TL----------------------TLDDQD----------------</t>
  </si>
  <si>
    <t>----------------------IITQD---------------------------------</t>
  </si>
  <si>
    <t>----TGNV--IF-----------LKAVQG-AI--H-----HSK-----------------</t>
  </si>
  <si>
    <t>-----TQLI------RRFYSY-------------SFALQ-P-EE--WYP-TG-----HV-</t>
  </si>
  <si>
    <t>-------------NFSLI-KEQ-ILN----------------------------------</t>
  </si>
  <si>
    <t>-----LSLTAC----------------------------PD-----------FS------</t>
  </si>
  <si>
    <t>-------------------RQIRV--------YAINYNILRV------------------</t>
  </si>
  <si>
    <t>----------------SEGTA-----------------------------R---------</t>
  </si>
  <si>
    <t>----------------TL------------------FGTK--------------------</t>
  </si>
  <si>
    <t>---------------H--------------------------------------------</t>
  </si>
  <si>
    <t>--------------------------------------------MAGR------------</t>
  </si>
  <si>
    <t>---------------------------------------------LRLAAT---------</t>
  </si>
  <si>
    <t>------------------G-IQD-----------------EWL-T---------------</t>
  </si>
  <si>
    <t>---------------GE---------------------------P---------------</t>
  </si>
  <si>
    <t>FKRH--------------------------------------------------------</t>
  </si>
  <si>
    <t>------TKFAFDFV----------------------------------------------</t>
  </si>
  <si>
    <t>---------------ESQFD----------------------------------------</t>
  </si>
  <si>
    <t>------------------------------------------GNIDF-------------</t>
  </si>
  <si>
    <t>----------------------------------------QTVTC---------------</t>
  </si>
  <si>
    <t>-----------RIPGDK-------------------------------------------</t>
  </si>
  <si>
    <t>------GD--------------------LLRN----------------------------</t>
  </si>
  <si>
    <t>----------------------------------MTLKVT--------------------</t>
  </si>
  <si>
    <t>------------------LSDPK-------------------------------------</t>
  </si>
  <si>
    <t>---------------------------------------------------P--------</t>
  </si>
  <si>
    <t>HLIE-----HAELLIGGQPIE-KIT-----------------------------------</t>
  </si>
  <si>
    <t>T------------LYFLTGH----------------------------------------</t>
  </si>
  <si>
    <t>------------------------------------------GNYLSYAN----------</t>
  </si>
  <si>
    <t>-----------EYTYFLD---L--------------------PFY---------------</t>
  </si>
  <si>
    <t>---NPSLAI-------PTCAL-----TKQIVEIRVKTR----------------------</t>
  </si>
  <si>
    <t>-----P---------------LNEL-----------------------------------</t>
  </si>
  <si>
    <t>----------------------------------VRNIGAADAEGISDVTA---------</t>
  </si>
  <si>
    <t>--------------------------SINK------------------------------</t>
  </si>
  <si>
    <t>---------------------------FSL------------------------------</t>
  </si>
  <si>
    <t>---------DTEFV-------------------------YVTP-EERGY-IMSRPL----</t>
  </si>
  <si>
    <t>-----DY--------------------I-------ITQ--------------VQLA----</t>
  </si>
  <si>
    <t>-------------------------KFIM-------------------------------</t>
  </si>
  <si>
    <t>----------------------------------KPDENKKSV-----------------</t>
  </si>
  <si>
    <t>---MLN-F-QHP----VKELFFVSQSKQASS-----------------------------</t>
  </si>
  <si>
    <t>-----------------------NNIPN--------------------------------</t>
  </si>
  <si>
    <t>--------------EL----------------------RFNNEV----------------</t>
  </si>
  <si>
    <t>----------------------VFNRD---------------------------------</t>
  </si>
  <si>
    <t>NG--STRRL----GPSKFGIY-------------SFSLK-P-DM--PYP-TG-----QV-</t>
  </si>
  <si>
    <t>-------------NMSRI-SHK-LFT----------------------------------</t>
  </si>
  <si>
    <t>-----IEIDPIDAAFE--------------------------------------------</t>
  </si>
  <si>
    <t>-------------------NDTRV--------YAINYNLLRI------------------</t>
  </si>
  <si>
    <t>----------------ESGLA-----------------------------G---------</t>
  </si>
  <si>
    <t>----------------LK------------------F-----------------------</t>
  </si>
  <si>
    <t>---------------------------------------------LNLAIT---------</t>
  </si>
  <si>
    <t>------------------G-IQD-----------------QWL-T---------------</t>
  </si>
  <si>
    <t>------TKFSIESI----------------------------------------------</t>
  </si>
  <si>
    <t>---------------ETPFD----------------------------------------</t>
  </si>
  <si>
    <t>------------------------------------------GDIDY-------------</t>
  </si>
  <si>
    <t>---------------------------------------------D--------------</t>
  </si>
  <si>
    <t>----------------------------------------VSVEC---------------</t>
  </si>
  <si>
    <t>-----------RIPKNK-------------------------------------------</t>
  </si>
  <si>
    <t>------GD--------------------LIRS----------------------------</t>
  </si>
  <si>
    <t>----------------------------------TMLKFT--------------------</t>
  </si>
  <si>
    <t>------------------L--PK-------------------------------------</t>
  </si>
  <si>
    <t>QIID-----HADLVIGGQTIE-RIT-----------------------------------</t>
  </si>
  <si>
    <t>------------------------------------------GNYIDVTY----------</t>
  </si>
  <si>
    <t>-----------DWDYSVL---L--------------------PFY---------------</t>
  </si>
  <si>
    <t>---------FFR------------------------------------------------</t>
  </si>
  <si>
    <t>---NPSLAI-------PVCAL-----TKQLVEVRIKFK----------------------</t>
  </si>
  <si>
    <t>-----K---------------LEDV------------TV---------------------</t>
  </si>
  <si>
    <t>---------------------------------SYTRTGGDVYDPPSSVSS---------</t>
  </si>
  <si>
    <t>--------------------------SIKN------------------------------</t>
  </si>
  <si>
    <t>---------------------------VSL------------------------------</t>
  </si>
  <si>
    <t>---------VTDFF-------------------------FITE-DEKNF-LLTRPI----</t>
  </si>
  <si>
    <t>-----EY--------------------V-------ITQ--------------LQMS----</t>
  </si>
  <si>
    <t>-------------------------QFKF-------------------------------</t>
  </si>
  <si>
    <t>----------------------------------KLGESKKSG-----------------</t>
  </si>
  <si>
    <t>---MLN-F-KNP----VKEMFFVAVSDDVYK-----------------------------</t>
  </si>
  <si>
    <t>--------------TM----------------------KFNNTS----------------</t>
  </si>
  <si>
    <t>----------------------IIDAD---------------------------------</t>
  </si>
  <si>
    <t>TG-------------NNFGVY-------------SFSLK-P-ET--YYP-TG-----QV-</t>
  </si>
  <si>
    <t>-------------NMSRI-AHN-LID----------------------------------</t>
  </si>
  <si>
    <t>-----IELDTPDASFG--------------------------------------------</t>
  </si>
  <si>
    <t>-------------------HKVYV--------YAVNYNVLRI------------------</t>
  </si>
  <si>
    <t>----------------SSGLG-----------------------------G---------</t>
  </si>
  <si>
    <t>----MKLRRIKV------------------------------------------------</t>
  </si>
  <si>
    <t>-------------------LTNF-------------------------------------</t>
  </si>
  <si>
    <t>--------------------------------------------R---------------</t>
  </si>
  <si>
    <t>-------MS---------------------------------------------------</t>
  </si>
  <si>
    <t>---------------------------------------------AGY------------</t>
  </si>
  <si>
    <t>---------------------------------------------IQLAAI---------</t>
  </si>
  <si>
    <t>------------------G-QQD-----------------AYI-T---------------</t>
  </si>
  <si>
    <t>---------------GS---------------------------P---------------</t>
  </si>
  <si>
    <t>YYRH--------------------------------------------------------</t>
  </si>
  <si>
    <t>------TPFVLEAY----------------------------------------------</t>
  </si>
  <si>
    <t>---------------DIPFLG---------------------------------------</t>
  </si>
  <si>
    <t>------------------------------------------DKLLF-------------</t>
  </si>
  <si>
    <t>----------------------------------------SEHVC---------------</t>
  </si>
  <si>
    <t>-----------KIPF-K-------------------------------------------</t>
  </si>
  <si>
    <t>------GD--------------------IIRG----------------------------</t>
  </si>
  <si>
    <t>----------------------------------LTLKTK--------------------</t>
  </si>
  <si>
    <t>------------------M--PG-------------------------------------</t>
  </si>
  <si>
    <t>YFIVD-------------GV--T----TVQVAIGV--------SYYTASQNTKGN-----</t>
  </si>
  <si>
    <t>--WITGAISN--------YVDY--------------------------------------</t>
  </si>
  <si>
    <t>----------FWGLDPKT----------------------STSINPA-NGNFIYNLTT--</t>
  </si>
  <si>
    <t>------HGY--------LADFTTEQS------------------GWV-------------</t>
  </si>
  <si>
    <t>-------------RGEASAVDNIRGGYYLS--LRTAQPPWTPPV------IYSG------</t>
  </si>
  <si>
    <t>-----TDTVFLNVASQ-NF-TAFGLSPYAV-KTSRGCIQ---------------------</t>
  </si>
  <si>
    <t>SYGTTNTDGRPADASVV--------------YSYTHTWRV------------------SS</t>
  </si>
  <si>
    <t>DPTMPFML---------------------------------------------------P</t>
  </si>
  <si>
    <t>INIEEAGTFAYLDINGTFTE----DSLILPSMYVSVGAL--------DIFYNLVNNYTAP</t>
  </si>
  <si>
    <t>SATFTLPLTLFNENSY-----VYSN-ILSLA--------TNNTFTFF-NEGTYTVSC---</t>
  </si>
  <si>
    <t>----------------------------------------YL---STAGDQ---------</t>
  </si>
  <si>
    <t>R-----NPTYD-------------FVLPISVTNTA-------------TVYSIEVNTSAS</t>
  </si>
  <si>
    <t>SPTLI-----------------GSNASYISFVQCSSPQTAG-------------------</t>
  </si>
  <si>
    <t>------SV------------------------AAF--------------PENGLF-----</t>
  </si>
  <si>
    <t>G-----------------------MTFSNVGV----------------------------</t>
  </si>
  <si>
    <t>----------YMMTAVVCTDEA--------------------------------------</t>
  </si>
  <si>
    <t>VSTTTSQWNISI--------TSSGSSTGIYANTYMSVVPYASNIQETAFNYYDSV---GT</t>
  </si>
  <si>
    <t>YMIQ-----KAELRIGNQLIQ-SLT-----------------------------------</t>
  </si>
  <si>
    <t>G------------LTLLTGK--LDTSN---------------------------------</t>
  </si>
  <si>
    <t>--------------------------------------------VND-------------</t>
  </si>
  <si>
    <t>PG----------------------------------------------------------</t>
  </si>
  <si>
    <t>------------RTYYTN---L--------------------PFY---------------</t>
  </si>
  <si>
    <t>---------FYG------------------------------------------------</t>
  </si>
  <si>
    <t>---NPELSI-------PIAAL-----DRHDVELYVTFR----------------------</t>
  </si>
  <si>
    <t>-----N---------------FTEL------------TPYSNTAAL--------------</t>
  </si>
  <si>
    <t>-----------------------------------SQNLGGLVTQPLDA-----------</t>
  </si>
  <si>
    <t>----------------------------TI------------------------------</t>
  </si>
  <si>
    <t>---------IVEYG-------------------------YLSE-NEINW-MKKSRL----</t>
  </si>
  <si>
    <t>-----DY--------------------I-------ITQ--------------TQ------</t>
  </si>
  <si>
    <t>-------------------------SYTL-------------------------------</t>
  </si>
  <si>
    <t>----------------------------------QPGFT---------------------</t>
  </si>
  <si>
    <t>------------------------------------------------------SGVF--</t>
  </si>
  <si>
    <t>---SLP-F-INP----VRELFFVIQADGNVP-----------------------------</t>
  </si>
  <si>
    <t>-----------------------YDFTQ--------------------------------</t>
  </si>
  <si>
    <t>----------------------------------NG------------------------</t>
  </si>
  <si>
    <t>--------------TL----------------------SFNGQE----------------</t>
  </si>
  <si>
    <t>----------------------FFSRR---------------------------------</t>
  </si>
  <si>
    <t>----DTDA--LY-----------LGTIEP-YN--H-----HVHDP-----D---------</t>
  </si>
  <si>
    <t>---------------RNFFMY-------------SFAQD-P-ND--PRP-NG-----QV-</t>
  </si>
  <si>
    <t>-------------NFSRV-NQK-LLE----------------------------------</t>
  </si>
  <si>
    <t>-----VNTLS----------------------------------------SDVP------</t>
  </si>
  <si>
    <t>-------------------RQLRV--------YALNYNIMRV------------------</t>
  </si>
  <si>
    <t>----------------ENGLA-----------------------------G---------</t>
  </si>
  <si>
    <t>----------------IL------------------FNFF--------------------</t>
  </si>
  <si>
    <t>----------------------------------------------------MALLC---</t>
  </si>
  <si>
    <t>--HRMSVTRVDLPVPRFPMKTQTRSFLILVG---------SNLLSWTLICI---------</t>
  </si>
  <si>
    <t>------------------SHSNFELKL---------------------------------</t>
  </si>
  <si>
    <t>-------------------------------NAKYHLNKISIFSR---------------</t>
  </si>
  <si>
    <t>---------------------------------------------IQLAAL---------</t>
  </si>
  <si>
    <t>------------------G-QQD-----------------AYL-S---------------</t>
  </si>
  <si>
    <t>---------------GK---------------------------P---------------</t>
  </si>
  <si>
    <t>YSRN--------------------------------------------------------</t>
  </si>
  <si>
    <t>---------------DIPFNG---------------------------------------</t>
  </si>
  <si>
    <t>------------------------------------------SKQSF-------------</t>
  </si>
  <si>
    <t>----------------------------------------TQQIC---------------</t>
  </si>
  <si>
    <t>------GD--------------------IVRG----------------------------</t>
  </si>
  <si>
    <t>----------------------------------LTLKTN--------------------</t>
  </si>
  <si>
    <t>------------------M--PF-------------------------------------</t>
  </si>
  <si>
    <t>RIIID-------------GV--Y----IRAPTQGI--------AYYSSNVDSQSNASV--</t>
  </si>
  <si>
    <t>VVGPMTVT-----SSTTTSITFTINTQTTSSIPTLTPFSILPGIAATAVLLTQTSIPANV</t>
  </si>
  <si>
    <t>SAVT-----NIKIPLPLTYPLTVKTGCTATMPGVTGVMVVGL----------LDSIVA--</t>
  </si>
  <si>
    <t>NIEVETIQATFWGFDPKN----------------------FDTVSPSGNLNYIISATSAH</t>
  </si>
  <si>
    <t>PSLPGVSGYP-----RASSDFTLEQG------------------GWA-------------</t>
  </si>
  <si>
    <t>-------------RGSGIPSAEKRAGIYFQ--VTNDIIPSSTPTAVQ-FQLYGG------</t>
  </si>
  <si>
    <t>------NYLFFNTSRY-LYMSQVAGSTFCF-QSTNGNIA---------------------</t>
  </si>
  <si>
    <t>SYTYSLSDVVP---PLN--------------FIAEHVIQT------------------TS</t>
  </si>
  <si>
    <t>QPTPTFTI---------------------------------------------------P</t>
  </si>
  <si>
    <t>LNVIIPPGYSYVFMS-VFIRMNPVTGVLRPGSWLAVGPV--------DQYF--TNSGTSV</t>
  </si>
  <si>
    <t>TGT---QLAFQNFTSYPPV--SAAS-LVSLA-------PASNSFTFQ-SVGTYLITT---</t>
  </si>
  <si>
    <t>----------------------------------------VLGFQSSALTS---------</t>
  </si>
  <si>
    <t>AY---PYPSLD-------------FTIPVNVTSASL-------GPYFMDITMQDLSGPRT</t>
  </si>
  <si>
    <t>SDTML-----------------SSNVCTIQIVQIGA--TNP-------------------</t>
  </si>
  <si>
    <t>------SI-------------------------SF--------------TQNSLL-----</t>
  </si>
  <si>
    <t>Q-----------------------IAIYQGGL----------------------------</t>
  </si>
  <si>
    <t>----------YYIQAVLCTVDV--------------------------------------</t>
  </si>
  <si>
    <t>VPTAST---ISPALATIGYNTIAGGTTTLFSNTVVSIGPLASNVTD-VYSYVDSV---GT</t>
  </si>
  <si>
    <t>YMID-----NAELRIGGQLVQ-RLT-----------------------------------</t>
  </si>
  <si>
    <t>G------------LKLLVGK--QDTSN---------------------------------</t>
  </si>
  <si>
    <t>--------------------------------------------VFD-------------</t>
  </si>
  <si>
    <t>---NNELSI-------PVAAL-----DRSDLEVAITLR----------------------</t>
  </si>
  <si>
    <t>-----P---------------FIDL------------SYISNIAS---------------</t>
  </si>
  <si>
    <t>------------------------------------------VTQTVSA-----------</t>
  </si>
  <si>
    <t>----------------------------TM------------------------------</t>
  </si>
  <si>
    <t>---------IVEYG-------------------------YLSE-NEVKW-MRRNRL----</t>
  </si>
  <si>
    <t>-----EY--------------------L-------ITQ--------------TQ------</t>
  </si>
  <si>
    <t>-------------------------SFLL-------------------------------</t>
  </si>
  <si>
    <t>----------------------------------PPGFS---------------------</t>
  </si>
  <si>
    <t>------------------------------------------------------TGTF--</t>
  </si>
  <si>
    <t>---KLP-F-INP----VREIYIVIQNQSTAP-----------------------------</t>
  </si>
  <si>
    <t>-----------------------YDFSN--------------------------------</t>
  </si>
  <si>
    <t>--------------GL----------------------SFNGQE----------------</t>
  </si>
  <si>
    <t>----------------------YLSRQ---------------------------------</t>
  </si>
  <si>
    <t>----VIDA--QY-----------LQYVQA-FQ--K-----YNVTP-----I---------</t>
  </si>
  <si>
    <t>---------------RQFYVY-------------SFAND-P-MN--PRP-TG-----QI-</t>
  </si>
  <si>
    <t>-------------NFSRM-KDS-TID----------------------------------</t>
  </si>
  <si>
    <t>-----ITLAP------------------------------L---------AGLT------</t>
  </si>
  <si>
    <t>-------------------RSMRV--------YATNYNVLRI------------------</t>
  </si>
  <si>
    <t>----------------IM------------------FNF---------------------</t>
  </si>
  <si>
    <t>---------------------------------------------ASLAFL---------</t>
  </si>
  <si>
    <t>------------------G-QED-----------------LAL-S---------------</t>
  </si>
  <si>
    <t>---------------AD---------------------------P---------------</t>
  </si>
  <si>
    <t>YKGS--------------------------------------------------------</t>
  </si>
  <si>
    <t>------TQFSTRLD----------------------------------------------</t>
  </si>
  <si>
    <t>---------------KVQFDN---------------------------------------</t>
  </si>
  <si>
    <t>------------------------------------------GVINF-------------</t>
  </si>
  <si>
    <t>----------------------------------------QESII---------------</t>
  </si>
  <si>
    <t>-----------YIPK-S-------------------------------------------</t>
  </si>
  <si>
    <t>------GD--------------------LITA----------------------------</t>
  </si>
  <si>
    <t>----------------------------------MYLKVL--------------------</t>
  </si>
  <si>
    <t>------------------F--PN-------------------------------------</t>
  </si>
  <si>
    <t>-----------L------------------------------------------------</t>
  </si>
  <si>
    <t>---------------------------------------------GST------------</t>
  </si>
  <si>
    <t>LMID-----FIELYIGNLLIE-RIY-----------------------------------</t>
  </si>
  <si>
    <t>S------------LQGLIGKSPLSTKT---------------------------------</t>
  </si>
  <si>
    <t>--------------------------------------------TYG-------------</t>
  </si>
  <si>
    <t>PA----------------------------------------------------------</t>
  </si>
  <si>
    <t>-----------ASTYTIP---L--------------------PFS---------------</t>
  </si>
  <si>
    <t>---------CIG------------------------------------------------</t>
  </si>
  <si>
    <t>---N---GL-------PLCAI----KDPVF--FRISFT----------------------</t>
  </si>
  <si>
    <t>-----P---------------SISF------------TY-PSI-----------------</t>
  </si>
  <si>
    <t>-----------------------------------------VYNQPVTS-----------</t>
  </si>
  <si>
    <t>----------------------------YL------------------------------</t>
  </si>
  <si>
    <t>---------HVEYT-------------------------YLSD-PEVQF-IKSKPQ----</t>
  </si>
  <si>
    <t>-----LH--------------------P-------IEQ--------------VQ------</t>
  </si>
  <si>
    <t>-------------------------AFFA-------------------------------</t>
  </si>
  <si>
    <t>----------------------------------PVATS---------------------</t>
  </si>
  <si>
    <t>------------------------------------------------------NVQC--</t>
  </si>
  <si>
    <t>---LLQ-F-VNP----VKELFFVIQNNAALG-----------------------------</t>
  </si>
  <si>
    <t>----------------------------------VASGTISQ------------------</t>
  </si>
  <si>
    <t>--------------NL----------------------FFNSTE----------------</t>
  </si>
  <si>
    <t>----------------------RISSD---------------------------------</t>
  </si>
  <si>
    <t>----VGSP--LF-----------LSTIQA-LE--Y-----HTRNP-----D---------</t>
  </si>
  <si>
    <t>---------------RIFYSY-------------SFSID-P-EG--DVP-TG-----SV-</t>
  </si>
  <si>
    <t>-------------NMSMI-KNQ-ILQ----------------------------------</t>
  </si>
  <si>
    <t>-----LSLAS----------------------------------------SLSG------</t>
  </si>
  <si>
    <t>-------------------RDIRI--------FASSYNFLHF------------------</t>
  </si>
  <si>
    <t>----------------ENGEV-----------------------------L---------</t>
  </si>
  <si>
    <t>----------------LD------------------FPNA--------------------</t>
  </si>
  <si>
    <t>---------------EVS------------------------------------------</t>
  </si>
  <si>
    <t>---------------------------------------------ATLAYL---------</t>
  </si>
  <si>
    <t>------------------G-ADD-----------------VML-V---------------</t>
  </si>
  <si>
    <t>YSAP--------------------------------------------------------</t>
  </si>
  <si>
    <t>------IPFAKRLD----------------------------------------------</t>
  </si>
  <si>
    <t>---------------VISFDT---------------------------------------</t>
  </si>
  <si>
    <t>------------------------------------------QV-KF-------------</t>
  </si>
  <si>
    <t>----------------------------------------GESVV---------------</t>
  </si>
  <si>
    <t>-----------QIPK-R-------------------------------------------</t>
  </si>
  <si>
    <t>------GE--------------------MISN----------------------------</t>
  </si>
  <si>
    <t>----------------------------------LYLKFT--------------------</t>
  </si>
  <si>
    <t>------------------T--PQ-------------------------------------</t>
  </si>
  <si>
    <t>---------------------------------------------NSA------------</t>
  </si>
  <si>
    <t>YMID-----YVELYCNGQLVE-RLY-----------------------------------</t>
  </si>
  <si>
    <t>T------------LQYLTGKVYPATSA---------------------------------</t>
  </si>
  <si>
    <t>--------------------------------------------TLN-------------</t>
  </si>
  <si>
    <t>------------QVYTIP---L--------------------PFT---------------</t>
  </si>
  <si>
    <t>---------SLR------------------------------------------------</t>
  </si>
  <si>
    <t>---K---GF-------EI--------DNAYLEFRVVLR----------------------</t>
  </si>
  <si>
    <t>-----N---------------SREF------------TINPVT-----------------</t>
  </si>
  <si>
    <t>-----------------------------------------LWTEPLNI-----------</t>
  </si>
  <si>
    <t>----------------------------QL------------------------------</t>
  </si>
  <si>
    <t>---------LVEYV-------------------------YIN--------VKIKRD----</t>
  </si>
  <si>
    <t>-----VQ--------------------V-------YEQ--------------VQ------</t>
  </si>
  <si>
    <t>-------------------------EFIA-------------------------------</t>
  </si>
  <si>
    <t>----------------------------------PVGVN---------------------</t>
  </si>
  <si>
    <t>------------------------------------------------------NVRL--</t>
  </si>
  <si>
    <t>---QLG-L-MNP----VKEFFVVIQNSGAFG-----------------------------</t>
  </si>
  <si>
    <t>-----------------------FDFTT--------------------------------</t>
  </si>
  <si>
    <t>----------------------------------NGTFSLDG------------------</t>
  </si>
  <si>
    <t>--------------VL----------------------KFNNVE----------------</t>
  </si>
  <si>
    <t>----------------------RISKD---------------------------------</t>
  </si>
  <si>
    <t>----IGTP--LF-----------LRVIQP-ME--Y-----HTRVP-----D---------</t>
  </si>
  <si>
    <t>---------------RKFYMY-------------SFSLD-P-EN--VIP-TG-----QV-</t>
  </si>
  <si>
    <t>-------------NMSRI-SNQ-VME----------------------------------</t>
  </si>
  <si>
    <t>-----LSMVP----------------------------------------SAQS------</t>
  </si>
  <si>
    <t>-------------------RFIRI--------YAVSYNFI--------------------</t>
  </si>
  <si>
    <t>----------------QKGKV-----------------------------L---------</t>
  </si>
  <si>
    <t>------------------------------------FNNL--------------------</t>
  </si>
  <si>
    <t>---------------EEAGELRTF----------QGN-----------------------</t>
  </si>
  <si>
    <t>&gt;1109MEGAvirome_7-GSNCB_NODE_390_length_7028_cov_47.215635_21 [2032 - 1508] (REVERSE SENSE)</t>
  </si>
  <si>
    <t>--------------------IQD-----------------IYL-T---------------</t>
  </si>
  <si>
    <t>---------------GN---------------------------A---------------</t>
  </si>
  <si>
    <t>YRRY--------------------------------------------------------</t>
  </si>
  <si>
    <t>------TSFALESI----------------------------------------------</t>
  </si>
  <si>
    <t>---------------ECTFN----------------------------------------</t>
  </si>
  <si>
    <t>------------------------------------------GTVGF-------------</t>
  </si>
  <si>
    <t>----------------------------------------KRVSC---------------</t>
  </si>
  <si>
    <t>-----------TIPR-N-------------------------------------------</t>
  </si>
  <si>
    <t>------GD--------------------LLTT----------------------------</t>
  </si>
  <si>
    <t>----------------------------------QWLEIT--------------------</t>
  </si>
  <si>
    <t>------------------M--KK-------------------------------------</t>
  </si>
  <si>
    <t>-----------HD-----------------------------------------------</t>
  </si>
  <si>
    <t>---------------------------------------------SNP------------</t>
  </si>
  <si>
    <t>---------------------------------------------------SY-------</t>
  </si>
  <si>
    <t>ALIK-----ELEVEIGGQRID-KIY-----------------------------------</t>
  </si>
  <si>
    <t>S------------YRSMVD-----------------------------------------</t>
  </si>
  <si>
    <t>GD----------------------------------------------------------</t>
  </si>
  <si>
    <t>-------MGV-TKRFYLP---L--------------------IFF---------------</t>
  </si>
  <si>
    <t>---------YNK------------------------------------------------</t>
  </si>
  <si>
    <t>---APGLAL-------PLVGL-----QYHEVKV---------------------------</t>
  </si>
  <si>
    <t>---------------------------CTL------------------------------</t>
  </si>
  <si>
    <t>---------LLLFV----------------------------------------SH----</t>
  </si>
  <si>
    <t>&gt;1109MEGAvirome_6-GSNCC_NODE_1689_length_2480_cov_41.566038_3 [1302 - 817] (REVERSE SENSE)</t>
  </si>
  <si>
    <t>-------------------------SVRYS------------------------------</t>
  </si>
  <si>
    <t>------------------------SISF------D-------------------------</t>
  </si>
  <si>
    <t>----------------------------------------FFLNT---------------</t>
  </si>
  <si>
    <t>------TSFSLESI----------------------------------------------</t>
  </si>
  <si>
    <t>---------------------------------------------TNA------------</t>
  </si>
  <si>
    <t>ALLK-----EIEVEIGGQRVD-KIY-----------------------------------</t>
  </si>
  <si>
    <t>-------VGV-TKRFYVP---L--------------------IFF---------------</t>
  </si>
  <si>
    <t>---APGMYL-------L-------------------------------------------</t>
  </si>
  <si>
    <t>----RTFEFV--------------------------------------------------</t>
  </si>
  <si>
    <t>------------------------RNTYHL------------------------------</t>
  </si>
  <si>
    <t>------------------------FRRF------DK------SNT---------------</t>
  </si>
  <si>
    <t>-------FH---------------------------------------------------</t>
  </si>
  <si>
    <t>---------------------------------------------FFV------------</t>
  </si>
  <si>
    <t>---------------------------------------------QLWLP---------R</t>
  </si>
  <si>
    <t>YLSH---------RCVFLC-ARDV---CIVKCSMYKYLIRFFLYT---------------</t>
  </si>
  <si>
    <t>-------TGV-TKRFYVP---L--------------------IFF---------------</t>
  </si>
  <si>
    <t>---APGLAL-------PLVAL-----QYHEVKLNILFE----------------------</t>
  </si>
  <si>
    <t>-----N------------------------------------------------------</t>
  </si>
  <si>
    <t>--------------------------------------ATNMANAGVDPT----------</t>
  </si>
  <si>
    <t>--------------------------VEPT------------------------------</t>
  </si>
  <si>
    <t>---------------------------CQL------------------------------</t>
  </si>
  <si>
    <t>---------FSTFV-------------------------YLDT-EERKR-FSQQSH----</t>
  </si>
  <si>
    <t>-----EV--------------------R-------SIS--------------K-P-----</t>
  </si>
  <si>
    <t>--------------------------S---------------------------------</t>
  </si>
  <si>
    <t>----FFQ----S-----------VSLYES-IP--S-----HT------------------</t>
  </si>
  <si>
    <t>----------------SLFLF-------------AVLDHYS-PA--HRC-RD-----RD-</t>
  </si>
  <si>
    <t>-------------PRIFR-QNP-QHS----------------------------------</t>
  </si>
  <si>
    <t>-----FV------------------------------TEPS---------SARV------</t>
  </si>
  <si>
    <t>--------------------------------------------------I---------</t>
  </si>
  <si>
    <t>----------------LG------------------Y-----------------------</t>
  </si>
  <si>
    <t>&gt;1109MEGAvirome_5-GSNCG_NODE_1727_length_5161_cov_7.907817_9 [3115 - 2600] (REVERSE SENSE)</t>
  </si>
  <si>
    <t>---------------------------------------------SNA------------</t>
  </si>
  <si>
    <t>---APGMYL-------V----------YR------LYP----------------------</t>
  </si>
  <si>
    <t>---------------------------DM-MI--S-----HT------------------</t>
  </si>
  <si>
    <t>-----------------YFLY-------------M-------------------------</t>
  </si>
  <si>
    <t>&gt;1109MEGAvirome_7-GSNCB_NODE_532_length_5763_cov_40.019936_1 [2 - 541]</t>
  </si>
  <si>
    <t>--------------------------------------IT--------------------</t>
  </si>
  <si>
    <t>---APGLAL-------PLVGL-----QYHEVKLNILFE----------------------</t>
  </si>
  <si>
    <t>--------------------------------------ATNMANAGVDST----------</t>
  </si>
  <si>
    <t>-----EV--------------------R-------SIS----------------------</t>
  </si>
  <si>
    <t>-----MN----T-----------NSILNS-IV--C-----NNV-----------------</t>
  </si>
  <si>
    <t>---------------LTRCIY-------------V-------------C-SI--------</t>
  </si>
  <si>
    <t>------------------------------------VLIRFFL-----------------</t>
  </si>
  <si>
    <t>------------IYR-N-------------------------------------------</t>
  </si>
  <si>
    <t>------GD--------------------LLTS----------------------------</t>
  </si>
  <si>
    <t>-----------HN-----------------------------------------------</t>
  </si>
  <si>
    <t>---------------------------------------------DNA------------</t>
  </si>
  <si>
    <t>ALLK-----EIEIEIGGQRVD-KIY-----------------------------------</t>
  </si>
  <si>
    <t>A------------YRSMVD-----------------------------------------</t>
  </si>
  <si>
    <t>-------IGV-TKRFYVP---L--------------------IFF---------------</t>
  </si>
  <si>
    <t>---APGLAL-------PLVAL-----QYHEVKINILFE----------------------</t>
  </si>
  <si>
    <t>-----S------------------------------------------------------</t>
  </si>
  <si>
    <t>--------------------------------------ATNMANIGVDSSP---------</t>
  </si>
  <si>
    <t>-------------------------GNEPT------------------------------</t>
  </si>
  <si>
    <t>-----EV--------------------R--------------------------P-----</t>
  </si>
  <si>
    <t>--------------------------E---------------------------------</t>
  </si>
  <si>
    <t>----LCV----L-----------STFLNP-VV----------------------------</t>
  </si>
  <si>
    <t>-----------------TYLF-------------VC------------C-ST-----SS-</t>
  </si>
  <si>
    <t>-------------P----------PS----------------------------------</t>
  </si>
  <si>
    <t>-----SI------------------------------QEPS---------PSLQ------</t>
  </si>
  <si>
    <t>--------------------------------------------------V---------</t>
  </si>
  <si>
    <t>----------------LP------------------LELT--------------------</t>
  </si>
  <si>
    <t>---------------T--------------------------------------------</t>
  </si>
  <si>
    <t>&gt;1109MEGAvirome_6-GSNCC_NODE_973_length_4151_cov_47.612179_12 [399 - 1] (REVERSE SENSE)</t>
  </si>
  <si>
    <t>LRGF--------------------------------------------------------</t>
  </si>
  <si>
    <t>------CFF---------------------------------------------------</t>
  </si>
  <si>
    <t>----------------CT------------------------------------------</t>
  </si>
  <si>
    <t>------GD--------------------LVTT----------------------------</t>
  </si>
  <si>
    <t>----------------------------------MWLEIT--------------------</t>
  </si>
  <si>
    <t>------------------L--KK-------------------------------------</t>
  </si>
  <si>
    <t>-----------AY-----------------------------------------------</t>
  </si>
  <si>
    <t>---------------------------------------------NVA------------</t>
  </si>
  <si>
    <t>AFLK-----EVELEIGGQRID-KLY-----------------------------------</t>
  </si>
  <si>
    <t>A------------YRKLAD-----------------------------------------</t>
  </si>
  <si>
    <t>-------AAV-EKKMFVP---L--------------------LFF---------------</t>
  </si>
  <si>
    <t>---------FNR------------------------------------------------</t>
  </si>
  <si>
    <t>---APGLAL-------PLVAL-----QYHEVKVNILF-----------------------</t>
  </si>
  <si>
    <t>&gt;1109MEGAvirome_6-GSNCC_NODE_1519_length_2757_cov_51.845605_9 [1299 - 784] (REVERSE SENSE)</t>
  </si>
  <si>
    <t>-----------------------------------------------I------------</t>
  </si>
  <si>
    <t>Y-------------------IADIHHSPLVR-EKYDRAVLYYYYT---------------</t>
  </si>
  <si>
    <t>---------------DN---------------------------C---------------</t>
  </si>
  <si>
    <t>------VSFA-ESI----------------------------------------------</t>
  </si>
  <si>
    <t>-------MGV-TKRFYLP---L--------------------V-----------------</t>
  </si>
  <si>
    <t>----------------------------REKYV---------------------------</t>
  </si>
  <si>
    <t>----------SCFV----------------------------------------------</t>
  </si>
  <si>
    <t>-----------------LLLY---------------------------------------</t>
  </si>
  <si>
    <t>&gt;1109MEGAvirome_7-GSNCB_NODE_91_length_14376_cov_49.248162_64 [2143 - 1676] (REVERSE SENSE)</t>
  </si>
  <si>
    <t>---------------------------------------RYVM-----------------</t>
  </si>
  <si>
    <t>-----------------------------------------RMSC---------------</t>
  </si>
  <si>
    <t>--------------P-H-------------------------------------------</t>
  </si>
  <si>
    <t>------RD--------------------LAIN----------------------------</t>
  </si>
  <si>
    <t>----------------------------------KLREVF--------------------</t>
  </si>
  <si>
    <t>------------------F--D--------------------------------------</t>
  </si>
  <si>
    <t>--IQ-----EVELEIGGQRID-KLY-----------------------------------</t>
  </si>
  <si>
    <t>DD----------------------------------------------------------</t>
  </si>
  <si>
    <t>-------ANV-EKKMFVP---L--------------------LFF---------------</t>
  </si>
  <si>
    <t>---APGLAL-------PLVAL-----QYHEVKVNILFE----------------------</t>
  </si>
  <si>
    <t>--------------------------------------EANMALVGADET----------</t>
  </si>
  <si>
    <t>--------------------------YTPS------------------------------</t>
  </si>
  <si>
    <t>---------------------------CVL------------------------------</t>
  </si>
  <si>
    <t>---------YSTFV-------------------------FLDT-EERKR-FSQQ------</t>
  </si>
  <si>
    <t>------V--------------------R-------I------------------------</t>
  </si>
  <si>
    <t>&gt;1109MEGAvirome_6-GSNCC_NODE_1519_length_2757_cov_51.845605_10 [817 - 347] (REVERSE SENSE)</t>
  </si>
  <si>
    <t>-------------------------------------EVCVLF-----------------</t>
  </si>
  <si>
    <t>----------------CI------------------------------------------</t>
  </si>
  <si>
    <t>---------------------IIILTI---------V-----------------------</t>
  </si>
  <si>
    <t>-------------YLSQ-------------------------------------------</t>
  </si>
  <si>
    <t>------------------------------------------IFF---------------</t>
  </si>
  <si>
    <t>-----MN----T-----------NSILNS-IV--C-----NMF-------S---------</t>
  </si>
  <si>
    <t>---------------HVVFMS-------------AVFDHHP-PA--HRS-RD-----SH-</t>
  </si>
  <si>
    <t>-------------PRKRS-QNT-QCA----------------------------------</t>
  </si>
  <si>
    <t>-----FV------------------------------SEPS---------SACL------</t>
  </si>
  <si>
    <t>&gt;1109MEGAvirome_6-GSNCC_NODE_1689_length_2480_cov_41.566038_4 [785 - 372] (REVERSE SENSE)</t>
  </si>
  <si>
    <t>--------------------------------------YVFFV-----------------</t>
  </si>
  <si>
    <t>----------------CV------------------------------------------</t>
  </si>
  <si>
    <t>-----GLAL-------PLVAL-----QYHEVKLNILFE----------------------</t>
  </si>
  <si>
    <t>--------------------------------------ATNMASAGVDST----------</t>
  </si>
  <si>
    <t>-----EV--------------------R-------SIF----------------------</t>
  </si>
  <si>
    <t>-----NT----T-----------ESKLYI-YQ--R-----TMY-L-----T---------</t>
  </si>
  <si>
    <t>---------------RSMFVF-------------AVSHHYS-PA--HRC-RD-----RD-</t>
  </si>
  <si>
    <t>-------------TRIFC-QNP-QHS----------------------------------</t>
  </si>
  <si>
    <t>-----FV------------------------------TEPS---------SARL------</t>
  </si>
  <si>
    <t>--------------------------------------------------E---------</t>
  </si>
  <si>
    <t>&gt;1109MEGAvirome_8-GSNCH_NODE_5285_length_4026_cov_2.281608_4 [1662 - 2210]</t>
  </si>
  <si>
    <t>-------------------------------------------------PY---------</t>
  </si>
  <si>
    <t>------------------------------------FFFVFFV-----------------</t>
  </si>
  <si>
    <t>----------------CR------------------------------------------</t>
  </si>
  <si>
    <t>-----EY--------------------L-------ITT----------------------</t>
  </si>
  <si>
    <t>-----LQ----V-----------CTLLLL-FV--S-----HRYDI-----S---------</t>
  </si>
  <si>
    <t>---------------HVFHMY-------------A--------A--YRS-RD-----SH-</t>
  </si>
  <si>
    <t>-----FV------------------------------SESS---------SARP------</t>
  </si>
  <si>
    <t>--------------------------------------------------L---------</t>
  </si>
  <si>
    <t>&gt;1109MEGAvirome_5-GSNCG_NODE_1727_length_5161_cov_7.907817_11 [2554 - 2153] (REVERSE SENSE)</t>
  </si>
  <si>
    <t>----------------------------------------------RYVPC---------</t>
  </si>
  <si>
    <t>------------------------------------F---CCL-----------------</t>
  </si>
  <si>
    <t>----------------CP------------------------------------------</t>
  </si>
  <si>
    <t>---------------------IDMISH---------T-----------------------</t>
  </si>
  <si>
    <t>C------------FLSM-------------------------------------------</t>
  </si>
  <si>
    <t>-------------------------------QLNILFE----------------------</t>
  </si>
  <si>
    <t>-----LQ----V-----------CTLLLL-LV--S-----CMLCI-----S---------</t>
  </si>
  <si>
    <t>-------------PRKWS-QNT-QCA----------------------------------</t>
  </si>
  <si>
    <t>-----FV------------------------------SESS---------SARL------</t>
  </si>
  <si>
    <t>---------------QTTFS----------------------------------------</t>
  </si>
  <si>
    <t>------------------------------------------GSIDW-------------</t>
  </si>
  <si>
    <t>----------------------------------------KRVSV---------------</t>
  </si>
  <si>
    <t>-----------TLPR-N-------------------------------------------</t>
  </si>
  <si>
    <t>----------------------------------LFLEVV--------------------</t>
  </si>
  <si>
    <t>------------------L--TK-------------------------------------</t>
  </si>
  <si>
    <t>-----------HA-----------------------------------------------</t>
  </si>
  <si>
    <t>QFVK-----EVDIEIGGQRID-KLY-----------------------------------</t>
  </si>
  <si>
    <t>G------------YRRLVD-----------------------------------------</t>
  </si>
  <si>
    <t>GH----------------------------------------------------------</t>
  </si>
  <si>
    <t>-------PGV-KERFFVP---I--------------------QFW---------------</t>
  </si>
  <si>
    <t>---------FTK------------------------------------------------</t>
  </si>
  <si>
    <t>---ASGLAL-------PLVAL-----QYHEVRLNFVFE----------------------</t>
  </si>
  <si>
    <t>--------------------------------------ASQMALNGVDTS----------</t>
  </si>
  <si>
    <t>--------------------------VAPE------------------------------</t>
  </si>
  <si>
    <t>---------------------------AVL------------------------------</t>
  </si>
  <si>
    <t>---------FATYC-------------------------YLDS-AERKR-FSQNSH----</t>
  </si>
  <si>
    <t>-----EY--------------------L-------ITV--------------LQV-----</t>
  </si>
  <si>
    <t>--------------------------R---------------------------------</t>
  </si>
  <si>
    <t>----LLT----V-----------YSLL---------------------------------</t>
  </si>
  <si>
    <t>---------------YIYRLY-------------DMMSHFV-SC--ISC-ST-----PA-</t>
  </si>
  <si>
    <t>-------------QKALL-Q----------------------------------------</t>
  </si>
  <si>
    <t>-------------------------------------EQPA---------RRRT------</t>
  </si>
  <si>
    <t>----------------V-------------------------------------------</t>
  </si>
  <si>
    <t>&gt;1109MEGAvirome_6-GSNCC_NODE_494_length_6990_cov_38.013343_3 [1480 - 1872]</t>
  </si>
  <si>
    <t>-----------------------------IGT----------------------------</t>
  </si>
  <si>
    <t>----------------------------------LIVCIM--------------------</t>
  </si>
  <si>
    <t>------------------L-----------------------------------------</t>
  </si>
  <si>
    <t>---------------------------------------------------CY-------</t>
  </si>
  <si>
    <t>HIV---------------------------------------------------------</t>
  </si>
  <si>
    <t>-----------------FVCM-----QYHEVRLNFVFE----------------------</t>
  </si>
  <si>
    <t>-------------------------------------EQPA---------RHRT------</t>
  </si>
  <si>
    <t>-------MA---------------------------------------------------</t>
  </si>
  <si>
    <t>---------------------------------------------GGL------------</t>
  </si>
  <si>
    <t>---------------------------------------------MQLVAY---------</t>
  </si>
  <si>
    <t>------------------G-AQD-----------------VYL-T---------------</t>
  </si>
  <si>
    <t>---------------GN---------------------------P---------------</t>
  </si>
  <si>
    <t>YKRH--------------------------------------------------------</t>
  </si>
  <si>
    <t>------TNFAMENI----------------------------------------------</t>
  </si>
  <si>
    <t>---------------EQTVN----------------------------------------</t>
  </si>
  <si>
    <t>------------------------------------------GTAAN-------------</t>
  </si>
  <si>
    <t>---------------------------------------------S--------------</t>
  </si>
  <si>
    <t>----------------------------------------GRVSV---------------</t>
  </si>
  <si>
    <t>-----------TVAR-N-------------------------------------------</t>
  </si>
  <si>
    <t>------GD--------------------LIAD----------------------------</t>
  </si>
  <si>
    <t>----------------------------------MYVELTAK------------------</t>
  </si>
  <si>
    <t>---------------------------QAFA-----------------------------</t>
  </si>
  <si>
    <t>---------------------------------------------SNE------------</t>
  </si>
  <si>
    <t>---------------------------------------------------D--------</t>
  </si>
  <si>
    <t>SAIS-----TVELSIGGQRID-KHY-----------------------------------</t>
  </si>
  <si>
    <t>N------------YGKMCSATVDNE-----------------------------------</t>
  </si>
  <si>
    <t>-------------KVFLP---L--------------------IFF---------------</t>
  </si>
  <si>
    <t>---NPGLAL-------PLIAL-----QYHEVRIDFDLS----------------------</t>
  </si>
  <si>
    <t>-----S--------------VYD-------------------------------------</t>
  </si>
  <si>
    <t>------------------------------------------TNF---------------</t>
  </si>
  <si>
    <t>----------------------------DS------------------------------</t>
  </si>
  <si>
    <t>---------------------------LKV------------------------------</t>
  </si>
  <si>
    <t>---------WGNYI-------------------------YLDT-EERRR-FAQKGH----</t>
  </si>
  <si>
    <t>-----EY--------------------L-------IEQ--------------VQ------</t>
  </si>
  <si>
    <t>GAD----------------------SLA--------------------------------</t>
  </si>
  <si>
    <t>----------------------------------AADATKQ-------------------</t>
  </si>
  <si>
    <t>---------------------------------------------------------I--</t>
  </si>
  <si>
    <t>---RLS-Y-NHP----VKELVWCTTEASGLA--GDA------------------------</t>
  </si>
  <si>
    <t>------------------------------------------------------NQL---</t>
  </si>
  <si>
    <t>-----------------------WNFTD--------------------------------</t>
  </si>
  <si>
    <t>----------------------------------TAVK----------------------</t>
  </si>
  <si>
    <t>----VTSNLASIADSNVAI---A-------------------PGAAGAPSL---------</t>
  </si>
  <si>
    <t>DEETS-------------------------------------------------GPLKEF</t>
  </si>
  <si>
    <t>--------------KL----------------------VLNGQD----------------</t>
  </si>
  <si>
    <t>----------------------RFKEQ---------------------------------</t>
  </si>
  <si>
    <t>----GGK----Y-----------FNSVQP-YV--H-----HSASP-----M---------</t>
  </si>
  <si>
    <t>---------------PGVYSY-------------SFALK-P-EE--HQP-TG-----TC-</t>
  </si>
  <si>
    <t>-------------NFSRI-DNA-QVS----------------------------------</t>
  </si>
  <si>
    <t>-----I-------------------------------KTKA---------GSDK------</t>
  </si>
  <si>
    <t>-------------------TTLNM--------FATNYNVLRI------------------</t>
  </si>
  <si>
    <t>----------------QSGMG-----------------------------G---------</t>
  </si>
  <si>
    <t>----------------LA------------------FSN---------------------</t>
  </si>
  <si>
    <t>--------MGRAP----------------------GVNLKSN------------------</t>
  </si>
  <si>
    <t>---------------------------YFL------------------------------</t>
  </si>
  <si>
    <t>----------------------------------------GVYYK---------------</t>
  </si>
  <si>
    <t>---------------GQ---------------------------P---------------</t>
  </si>
  <si>
    <t>---------------QQTVN----------------------------------------</t>
  </si>
  <si>
    <t>------------------------------------------GSAGS-------------</t>
  </si>
  <si>
    <t>-----------TIAR-N-------------------------------------------</t>
  </si>
  <si>
    <t>------GD--------------------LVGN----------------------------</t>
  </si>
  <si>
    <t>----------------------------------MYVGLTPQA-----------------</t>
  </si>
  <si>
    <t>------------LTGAANL--TS-------------------------------------</t>
  </si>
  <si>
    <t>-----------T------------------------------------------------</t>
  </si>
  <si>
    <t>--------------------------NSTFD-----------------------------</t>
  </si>
  <si>
    <t>---------------------------------------------TN-------------</t>
  </si>
  <si>
    <t>RAIA-----AVELTIGGQRID-KHY-----------------------------------</t>
  </si>
  <si>
    <t>A------------YGKMASGSALTT---------------TS-TG---------------</t>
  </si>
  <si>
    <t>-----------APRVYLP---L--------------------LFF---------------</t>
  </si>
  <si>
    <t>---NPGLYL-------PLIAL-----QYHEVRLDFDLT----------------------</t>
  </si>
  <si>
    <t>-----N--------------YYS-------------------------------------</t>
  </si>
  <si>
    <t>------------------------------------------SYFG--------------</t>
  </si>
  <si>
    <t>---------------------------SNA------------------------------</t>
  </si>
  <si>
    <t>---------------------------IEV------------------------------</t>
  </si>
  <si>
    <t>---------WANYV-------------------------YLDT-EERRR-FAQKGH----</t>
  </si>
  <si>
    <t>GGD----------------------TIT--------------------------------</t>
  </si>
  <si>
    <t>----------------------------------SSSETSSS------------------</t>
  </si>
  <si>
    <t>--------------------------------------------------------LV--</t>
  </si>
  <si>
    <t>---RLS-F-NHP----VKELIWCYQNPSTSA-TANL------------------------</t>
  </si>
  <si>
    <t>------------------------------------------------------NAM---</t>
  </si>
  <si>
    <t>-----------------------WNFST--------------------------------</t>
  </si>
  <si>
    <t>----------------------------------ASAN----------------------</t>
  </si>
  <si>
    <t>----VQVSVSPILFSGVSQ---L-------------------PHEVGAPHL---------</t>
  </si>
  <si>
    <t>DRNSTV---------------------------------------------YEVGPMHQF</t>
  </si>
  <si>
    <t>----LGK----Y-----------FNQYQP-FL--Y-----HTGTP-----Y---------</t>
  </si>
  <si>
    <t>---------------VGVYVY-------------SFALQ-P-EE--HQP-TG-----TC-</t>
  </si>
  <si>
    <t>-------------NFSRI-DNA-QVA----------------------------------</t>
  </si>
  <si>
    <t>-----VWLKT---------------------------ATAT---------NANY------</t>
  </si>
  <si>
    <t>-------------------NLQKM--------FAVNYNILRI------------------</t>
  </si>
  <si>
    <t>-----------MP----------------------G------------------------</t>
  </si>
  <si>
    <t>------------------G-AQD-----------------AYL-T---------------</t>
  </si>
  <si>
    <t>------TNFAMETS----------------------------------------------</t>
  </si>
  <si>
    <t>---------------QQTVS----------------------------------------</t>
  </si>
  <si>
    <t>------------------------------------------GAIGN-------------</t>
  </si>
  <si>
    <t>----------------------------------------SLVSV---------------</t>
  </si>
  <si>
    <t>-----------TLAR-T-------------------------------------------</t>
  </si>
  <si>
    <t>------GD--------------------LVGD----------------------------</t>
  </si>
  <si>
    <t>----------------------------------MFVALTPI------------------</t>
  </si>
  <si>
    <t>------------NTSASQL--TT-------------------------------------</t>
  </si>
  <si>
    <t>-----------N------------------------------------------------</t>
  </si>
  <si>
    <t>--------------------------NVGVD-----------------------------</t>
  </si>
  <si>
    <t>---------------------------------------------TC-------------</t>
  </si>
  <si>
    <t>RAFN-----TVELFIGGQSID-KHY-----------------------------------</t>
  </si>
  <si>
    <t>N------------YGKLTSMAAPNN---------------TNQTS---------------</t>
  </si>
  <si>
    <t>-----------TAQVFLP---L--------------------LFF---------------</t>
  </si>
  <si>
    <t>---NPGLYL-------PLIAL-----QYHEVRIDFTLA----------------------</t>
  </si>
  <si>
    <t>-----S--------------NYS-------------------------------------</t>
  </si>
  <si>
    <t>---------------------------SNP------------------------------</t>
  </si>
  <si>
    <t>---------------------------PAV------------------------------</t>
  </si>
  <si>
    <t>---------WANYM-------------------------YLDT-TERER-YAKGSH----</t>
  </si>
  <si>
    <t>AGD----------------------PVG--------------------------------</t>
  </si>
  <si>
    <t>----------------------------------STNENSPS------------------</t>
  </si>
  <si>
    <t>--------------------------------------------------------VI--</t>
  </si>
  <si>
    <t>---RLQ-Y-NHP----VKELIWCYQDPTPGT---NR------------------------</t>
  </si>
  <si>
    <t>-----------------------WNFSS--------------------------------</t>
  </si>
  <si>
    <t>----------------------------------STSNV---------------------</t>
  </si>
  <si>
    <t>L----------------------------------------TVVSNVTYVTSNIAPGSNV</t>
  </si>
  <si>
    <t>QLQSNVVAGA-SLWV----------------------EGGLPVLSSNVLYGQEVGPLHKF</t>
  </si>
  <si>
    <t>--------------KL----------------------MLNGTD----------------</t>
  </si>
  <si>
    <t>----------------------RFVEQ---------------------------------</t>
  </si>
  <si>
    <t>----SGK----Y-----------FNQYQP-YQ--Y-----HEGSP-----Y---------</t>
  </si>
  <si>
    <t>---------------PGIYVY-------------SFALK-P-GE--LQP-SG-----TC-</t>
  </si>
  <si>
    <t>-------------NFSRI-DMA-QTS----------------------------------</t>
  </si>
  <si>
    <t>-----VYL-----------------------------KTGM---------PSN-------</t>
  </si>
  <si>
    <t>-------------------ILQQM--------FAVNYNVFKV------------------</t>
  </si>
  <si>
    <t>----------------ASGMG-----------------------------G---------</t>
  </si>
  <si>
    <t>----------------VV------------------FSN---------------------</t>
  </si>
  <si>
    <t>---------------------------------------------SQLVAY---------</t>
  </si>
  <si>
    <t>------TNFAVESI----------------------------------------------</t>
  </si>
  <si>
    <t>---------------QQTIN----------------------------------------</t>
  </si>
  <si>
    <t>------------------------------------------GSVGF-------------</t>
  </si>
  <si>
    <t>----------------------------------------NKVST---------------</t>
  </si>
  <si>
    <t>-----------QISR-N-------------------------------------------</t>
  </si>
  <si>
    <t>------GD--------------------LITD----------------------------</t>
  </si>
  <si>
    <t>----------------------------------IVIEFV--------------------</t>
  </si>
  <si>
    <t>------------------L--ES-------------------------------------</t>
  </si>
  <si>
    <t>-----------V------------------------------------------------</t>
  </si>
  <si>
    <t>--------------------------GPTF------------------------------</t>
  </si>
  <si>
    <t>QLLQ-----DVELEIGGQRID-KHY-----------------------------------</t>
  </si>
  <si>
    <t>N------------YRRMTD-YVDNE---------------SI-GT---------------</t>
  </si>
  <si>
    <t>-----------TKRFYVP---L--------------------IFF---------------</t>
  </si>
  <si>
    <t>---------FNQ------------------------------------------------</t>
  </si>
  <si>
    <t>---TPGLAL-------PLIAL-----QYHEVKLYFTLA----------------------</t>
  </si>
  <si>
    <t>-----S--------------SVNGI-----------------------------------</t>
  </si>
  <si>
    <t>----------------------------------TANASGSTSGFANGATV---------</t>
  </si>
  <si>
    <t>--------------------------TAPQ------------------------------</t>
  </si>
  <si>
    <t>---------------------------MSV------------------------------</t>
  </si>
  <si>
    <t>---------YVDYI-------------------------FLDT-QERTR-FAQLPH----</t>
  </si>
  <si>
    <t>-----EY--------------------L-------IEQ--------------LQ------</t>
  </si>
  <si>
    <t>GSE----------------------TAT--------------------------------</t>
  </si>
  <si>
    <t>----------------------------------ISTTTQAS------------------</t>
  </si>
  <si>
    <t>-------------------------------------------------------QNI--</t>
  </si>
  <si>
    <t>---RMN-F-NHP----TKYLAWNFTPGTYNS-YGRY------------------------</t>
  </si>
  <si>
    <t>------------------------------------------------------TAL---</t>
  </si>
  <si>
    <t>-----------------------ANVSV--------------------------------</t>
  </si>
  <si>
    <t>----------------------------------NSNT----------------------</t>
  </si>
  <si>
    <t>------------------------------------------TVG----DTANTA-----</t>
  </si>
  <si>
    <t>--------------KI----------------------QLNGQD----------------</t>
  </si>
  <si>
    <t>----------------------RFSSR---------------------------------</t>
  </si>
  <si>
    <t>----KGS----Y-----------FNKVQP-YQ--T-----VGSVV-----P---------</t>
  </si>
  <si>
    <t>---------------AGVYLY-------------SFALK-P-AG--RQP-SG-----TC-</t>
  </si>
  <si>
    <t>-------------NFSRI-DNA-TLS----------------------------------</t>
  </si>
  <si>
    <t>-----LTY-----------------------------KTAS---------VNAYD-----</t>
  </si>
  <si>
    <t>ANGLGQSETVTANTA-VALTNLNI--------YAKNYNVFRV------------------</t>
  </si>
  <si>
    <t>----------------MSGMG-----------------------------G---------</t>
  </si>
  <si>
    <t>----------------LA------------------FAN---------------------</t>
  </si>
  <si>
    <t>----------------------R-------------------------------------</t>
  </si>
  <si>
    <t>-----------GT-----------------------------------------------</t>
  </si>
  <si>
    <t>-------------------------G-TT-------------------------------</t>
  </si>
  <si>
    <t>----------------------------------------------------Y-------</t>
  </si>
  <si>
    <t>SFLE-----SVEFELGGQRVD-LIT-----------------------------------</t>
  </si>
  <si>
    <t>A------------YDRLVS-----------------------------------------</t>
  </si>
  <si>
    <t>GTTL--------------------------------------------------------</t>
  </si>
  <si>
    <t>----NDGTGA-VRRFYVP---L--------------------IFS---------------</t>
  </si>
  <si>
    <t>---------FNK------------------------------------------------</t>
  </si>
  <si>
    <t>---NVGLSL-------PLIAL-----QYHEAKLLLSFA----------------------</t>
  </si>
  <si>
    <t>--------------------------------------KEKMQANGVDTS----------</t>
  </si>
  <si>
    <t>--------------------------YTPQ------------------------------</t>
  </si>
  <si>
    <t>---------------------------VNV------------------------------</t>
  </si>
  <si>
    <t>---------YVEYI-------------------------LLDA-SERRR-FASGSH----</t>
  </si>
  <si>
    <t>-----EY--------------------L-------ITQ--------------HS------</t>
  </si>
  <si>
    <t>GYE----------------------SITH-------------------------------</t>
  </si>
  <si>
    <t>----------------------------------DSTGNNRT------------------</t>
  </si>
  <si>
    <t>------------------------------------------------------TYTS--</t>
  </si>
  <si>
    <t>---RIN-M-NHP----TKYLAFCLTDTDKYG-----------------------------</t>
  </si>
  <si>
    <t>-----KF-----------------------------------------------------</t>
  </si>
  <si>
    <t>------------------------------------------------------STA---</t>
  </si>
  <si>
    <t>-----------------------ADYSS--------------------------------</t>
  </si>
  <si>
    <t>----------------------------------TNE-----------------------</t>
  </si>
  <si>
    <t>--------------RL----------------------TLNGHD----------------</t>
  </si>
  <si>
    <t>----------------------RESAR---------------------------------</t>
  </si>
  <si>
    <t>----RGS----W-----------YNSVVP-YA--T-----TSTRP-----A---------</t>
  </si>
  <si>
    <t>---------------AGIYLF-------------SFALK-P-AE--FQP-SG-----TC-</t>
  </si>
  <si>
    <t>-------------NLSRV-DNC-SLH----------------------------------</t>
  </si>
  <si>
    <t>-----LEFK----------------------------KGSA---------GTDV------</t>
  </si>
  <si>
    <t>LD-----EGSTLAEI-VDLNNLIV--------VGENYNVLRV------------------</t>
  </si>
  <si>
    <t>--------------------N-IIARQSN--LKIASDIPLGVLQNTLMLER---------</t>
  </si>
  <si>
    <t>----------------LGKVNA---TLTVVKTVLYSYNAL--------------------</t>
  </si>
  <si>
    <t>IYSPPPCIRLSLVVAHQ----VRDKYMVFYVTLI</t>
  </si>
  <si>
    <t>---------------------------------------------------E----TD--</t>
  </si>
  <si>
    <t>YRRH--------------------------------------------------------</t>
  </si>
  <si>
    <t>------TSFATESI----------------------------------------------</t>
  </si>
  <si>
    <t>------------------------------------------GTIDF-------------</t>
  </si>
  <si>
    <t>----------------------------------------RRTTV---------------</t>
  </si>
  <si>
    <t>-----------TISR-N-------------------------------------------</t>
  </si>
  <si>
    <t>------GD--------------------LAHK----------------------------</t>
  </si>
  <si>
    <t>----------------------------------VWIEIT--------------------</t>
  </si>
  <si>
    <t>------------------M--KR-------------------------------------</t>
  </si>
  <si>
    <t>-----------GQ-----------------------------------------------</t>
  </si>
  <si>
    <t>-------------------------GDTC-------------------------------</t>
  </si>
  <si>
    <t>GT----------------------------------------------------------</t>
  </si>
  <si>
    <t>-----------VRRFYVP---L--------------------IFS---------------</t>
  </si>
  <si>
    <t>--------------------------------------KEKMAANGVDTS----------</t>
  </si>
  <si>
    <t>--------------------N-IIARQSDYLLIIASDMPLGVLQNTLMLER---------</t>
  </si>
  <si>
    <t>----------------LGKVNA---TLTVVKTMLYSYNAL--------------------</t>
  </si>
  <si>
    <t>IYSPHPIERCRDYVNERHKSPVPNSRMLFQFQVH</t>
  </si>
  <si>
    <t>------------------------------------------------ISYR----RN--</t>
  </si>
  <si>
    <t>------------------H-FRD-----------------CTA-T---------------</t>
  </si>
  <si>
    <t>---------------AA---------------------------PF--------------</t>
  </si>
  <si>
    <t>------TSFACESI----------------------------------------------</t>
  </si>
  <si>
    <t>---------------EQTIN----------------------------------------</t>
  </si>
  <si>
    <t>------------------------------------------GTTGF-------------</t>
  </si>
  <si>
    <t>----------------------------------------RKVSI---------------</t>
  </si>
  <si>
    <t>-----------TLSR-N-------------------------------------------</t>
  </si>
  <si>
    <t>------GD--------------------LIHH----------------------------</t>
  </si>
  <si>
    <t>----------------------------------AYLEVT--------------------</t>
  </si>
  <si>
    <t>-----------GD-----------------------------------------------</t>
  </si>
  <si>
    <t>-------------------------AQTQT------------------------------</t>
  </si>
  <si>
    <t>---------------------------------------------ESA------------</t>
  </si>
  <si>
    <t>---------------------------------------------------PF-------</t>
  </si>
  <si>
    <t>ALIE-----SVEWELGGMRID-LIT-----------------------------------</t>
  </si>
  <si>
    <t>A------------YKRLVS-----------------------------------------</t>
  </si>
  <si>
    <t>-----------IKRFYVP---L--------------------IFS---------------</t>
  </si>
  <si>
    <t>---------WNL------------------------------------------------</t>
  </si>
  <si>
    <t>---NVGLSL-------PLIAL-----H---------------------------------</t>
  </si>
  <si>
    <t>----------------------------------T-----TA------------------</t>
  </si>
  <si>
    <t>------------------------------------ALK---------------------</t>
  </si>
  <si>
    <t>---------------------------------------ST---------GT--------</t>
  </si>
  <si>
    <t>-----------------------------IKT----------------------------</t>
  </si>
  <si>
    <t>------------------------PQT--IV-----------------VC----------</t>
  </si>
  <si>
    <t>&gt;1109MEGAvirome_6-GSNCC_NODE_13_length_35477_cov_47.359929_43 [8022 - 7480] (REVERSE SENSE)</t>
  </si>
  <si>
    <t>GRE---------------------------------------------------------</t>
  </si>
  <si>
    <t>----------------------------------------NGHE----------------</t>
  </si>
  <si>
    <t>----------------------RQSSR---------------------------------</t>
  </si>
  <si>
    <t>----RGS----W-----------YNQIVP-FE--T-----AQSNP-----S---------</t>
  </si>
  <si>
    <t>---------------AGIYLF-------------SHALR-T-AE--YQP-SG-----TC-</t>
  </si>
  <si>
    <t>-------------NYSRV-DNA-SLH----------------------------------</t>
  </si>
  <si>
    <t>-----LTFK----------------------------SGGA---------GTDV------</t>
  </si>
  <si>
    <t>TS-----EDQTLDSV-TDLTNLLI--------FAENYNVLRV------------------</t>
  </si>
  <si>
    <t>----------------MSGIN-FLCQTVG--CRIGSKY-----------TN---------</t>
  </si>
  <si>
    <t>----------------LGKQ---------CKT----WRSV--------------------</t>
  </si>
  <si>
    <t>---------------QRSMKPTSHLKM--ATSSVAG----TFLEPSLLTC--C-------</t>
  </si>
  <si>
    <t>------PTFIFTL-----------------------KNKFFN------------------</t>
  </si>
  <si>
    <t>-------------------YIVYNLNYFFL------------------------------</t>
  </si>
  <si>
    <t>------------------------FV--------------IIYLL---------------</t>
  </si>
  <si>
    <t>-------MP---------------------------------------------------</t>
  </si>
  <si>
    <t>---------------------------------------------GGI------------</t>
  </si>
  <si>
    <t>------------------G-AQD-----------------LYL-T---------------</t>
  </si>
  <si>
    <t>---------------SN---------------------------P---------------</t>
  </si>
  <si>
    <t>------TNFATESV----------------------------------------------</t>
  </si>
  <si>
    <t>---------------EQPFS----------------------------------------</t>
  </si>
  <si>
    <t>------------------------------------------GTPDF-------------</t>
  </si>
  <si>
    <t>----------------------------------------RKATC---------------</t>
  </si>
  <si>
    <t>-----------EFQR-S-------------------------------------------</t>
  </si>
  <si>
    <t>------GD--------------------LISK----------------------------</t>
  </si>
  <si>
    <t>----------------------------------MYVRIE--------------------</t>
  </si>
  <si>
    <t>------------------L--PA-------------------------------------</t>
  </si>
  <si>
    <t>-----------I------------------------------------------------</t>
  </si>
  <si>
    <t>--------------------------DAGA------------------------------</t>
  </si>
  <si>
    <t>AVIS-----SVELNIGGVQID-KQY-----------------------------------</t>
  </si>
  <si>
    <t>T------------YDHMIGNTVAL----------------TTM-----------------</t>
  </si>
  <si>
    <t>-------------TLWVP---L--------------------KFA---------------</t>
  </si>
  <si>
    <t>---------CCR------------------------------------------------</t>
  </si>
  <si>
    <t>---NDGLAL-------PVIAL-----QYHEIRVNVEFR----------------------</t>
  </si>
  <si>
    <t>-------------------------------------AIASLINKTVGATT---------</t>
  </si>
  <si>
    <t>------------------------PTESMN------------------------------</t>
  </si>
  <si>
    <t>---------------------------ASM------------------------------</t>
  </si>
  <si>
    <t>---------YVDFV-------------------------YLDN-DERKR-FAQATH----</t>
  </si>
  <si>
    <t>-----EY--------------------L-------FEQ--------------LQ------</t>
  </si>
  <si>
    <t>GDE------------------------T--------------------------------</t>
  </si>
  <si>
    <t>-----------------------------------VSTSNP-------------------</t>
  </si>
  <si>
    <t>--------------------------------------------------------KY--</t>
  </si>
  <si>
    <t>---RLN-L-NHP----CKELVWVARHSKYQG--GRFL-----------------------</t>
  </si>
  <si>
    <t>--------------------------------------------A---------VNP---</t>
  </si>
  <si>
    <t>-----------------------NNWNS--------------------------------</t>
  </si>
  <si>
    <t>----------------------------------ARIEATKR------------------</t>
  </si>
  <si>
    <t>LFGAAQQTLSQLYAAINPV-----------------------YISTTSTSVDNITIL-GD</t>
  </si>
  <si>
    <t>LLP------------------------------------------LDVMSIDTTVLFANA</t>
  </si>
  <si>
    <t>AIDDQIE---------GDG------LAANDVITYQHDNYGVN------IDG-SVNPTTNA</t>
  </si>
  <si>
    <t>--------------LL----------------------QLNGHD----------------</t>
  </si>
  <si>
    <t>----------------------RFTRR---------------------------------</t>
  </si>
  <si>
    <t>----EGM----Y-----------FNYVQP-YQ--C-----HTNGP-----A---------</t>
  </si>
  <si>
    <t>---------------DGVNVY-------------SFALT-P-EE--HQP-SG-----AC-</t>
  </si>
  <si>
    <t>-------------NMSRI-DNA-SLN----------------------------------</t>
  </si>
  <si>
    <t>-----LTVN----------------------------STFT---------GTN-------</t>
  </si>
  <si>
    <t>-------------------STISI--------YAVNYNVLRV------------------</t>
  </si>
  <si>
    <t>----------------LA------------------YSN---------------------</t>
  </si>
  <si>
    <t>&gt;1705MEGAvirome_4-NODE_2402_length_2897_cov_21.057459_2 [2821 - 2225] (REVERSE SENSE)</t>
  </si>
  <si>
    <t>--------------------------YRH-------------------------------</t>
  </si>
  <si>
    <t>-------------------------------------TNPSLYSSASGSDA---------</t>
  </si>
  <si>
    <t>------------------------TLSLSN------------------------------</t>
  </si>
  <si>
    <t>---------------------------TVL------------------------------</t>
  </si>
  <si>
    <t>---------LVDYV-------------------------YLDS-EERKR-FAQASH----</t>
  </si>
  <si>
    <t>QES----------------------IST--------------------------------</t>
  </si>
  <si>
    <t>-----------------------------------SGGVN--------------------</t>
  </si>
  <si>
    <t>--------------------------------------------------------RF--</t>
  </si>
  <si>
    <t>---RLN-F-NHP----CKELVWVTKANATFH--KNL------------------------</t>
  </si>
  <si>
    <t>-----------DADG---------------------------------------------</t>
  </si>
  <si>
    <t>--------------IL----------------------RLNGHD----------------</t>
  </si>
  <si>
    <t>----------------------RFASQ---------------------------------</t>
  </si>
  <si>
    <t>----TGT----Y-----------FNSVQP-YQ--H-----HTRSP-----T---------</t>
  </si>
  <si>
    <t>---------------DGIYVY-------------SFALN-P-EE--HQP-SG-----SC-</t>
  </si>
  <si>
    <t>-------------NFSRI-DNA-ELS----------------------------------</t>
  </si>
  <si>
    <t>-----VTTA----------------------------SGCT---------A---------</t>
  </si>
  <si>
    <t>---------------------VDV--------YAVNYNVLRI------------------</t>
  </si>
  <si>
    <t>&gt;1705MEGAvirome_4-NODE_5628_length_1261_cov_5.966552_1 [1 - 642]</t>
  </si>
  <si>
    <t>--------L-------PIISL-----YYHDVTLEFLFE----------------------</t>
  </si>
  <si>
    <t>-------------------------------------SNANLRSDNSDFTI---------</t>
  </si>
  <si>
    <t>--------------------------EMSS------------------------------</t>
  </si>
  <si>
    <t>---------------------------TSV------------------------------</t>
  </si>
  <si>
    <t>---------MVDYI-------------------------YLNT-EERKR-FAQASH----</t>
  </si>
  <si>
    <t>-----EY--------------------L-------IEQ--------------IQ------</t>
  </si>
  <si>
    <t>GRE----------------------DLT--------------------------------</t>
  </si>
  <si>
    <t>-----------------------------------ANVSN--------------------</t>
  </si>
  <si>
    <t>---KLY-F-NHP----CKELIWVTKTPYNQH-----------------------------</t>
  </si>
  <si>
    <t>-----------------------SHFTDL-------------------------------</t>
  </si>
  <si>
    <t>--------------VL----------------------ILNGEN----------------</t>
  </si>
  <si>
    <t>----------------------RFDSR---------------------------------</t>
  </si>
  <si>
    <t>----TGK----Y-----------FNATQP-YH--------HSRSP-----K---------</t>
  </si>
  <si>
    <t>---------------DGIYVY-------------SFAIN-P-EY--HQP-SG-----TC-</t>
  </si>
  <si>
    <t>-------------NFSRV-DAI-ELD----------------------------------</t>
  </si>
  <si>
    <t>-----IT------------------------------STSA---------QAST------</t>
  </si>
  <si>
    <t>-------------------NYVHI--------YTKNYNILRV------------------</t>
  </si>
  <si>
    <t>----------------MSGMA-----------------------------G---------</t>
  </si>
  <si>
    <t>----------------VA------------------FSN---------------------</t>
  </si>
  <si>
    <t>&gt;1705MEGAvirome_4-NODE_5791_length_1228_cov_4.209179_1 [875 - 372] (REVERSE SENSE)</t>
  </si>
  <si>
    <t>-------MT---------------------------------------------------</t>
  </si>
  <si>
    <t>------------------G-AQD-----------------IYL-T---------------</t>
  </si>
  <si>
    <t>------TNFAMESI----------------------------------------------</t>
  </si>
  <si>
    <t>---------------EQVFN----------------------------------------</t>
  </si>
  <si>
    <t>------------------------------------------GQPDF-------------</t>
  </si>
  <si>
    <t>----------------------------------------KKVQA---------------</t>
  </si>
  <si>
    <t>-----------TVNR-N-------------------------------------------</t>
  </si>
  <si>
    <t>------GD--------------------LMHR----------------------------</t>
  </si>
  <si>
    <t>----------------------------------VYLQVT--------------------</t>
  </si>
  <si>
    <t>--------------------------ECPG------------------------------</t>
  </si>
  <si>
    <t>---------------------------------------------T--------------</t>
  </si>
  <si>
    <t>QLIR-----HVDIEIGGQRID-RHY-----------------------------------</t>
  </si>
  <si>
    <t>G------------YDNMVGNTIHLT--------------GTGL-----------------</t>
  </si>
  <si>
    <t>--------------LYIP---L--------------------QFW---------------</t>
  </si>
  <si>
    <t>&gt;0507MEGAvirome_4-NODE_8_length_33211_cov_104.433597_30 [19000 - 17384] (REVERSE SENSE)</t>
  </si>
  <si>
    <t>------------------------------------------EYN---------------</t>
  </si>
  <si>
    <t>------TNFSMESI----------------------------------------------</t>
  </si>
  <si>
    <t>---------------EQTFN----------------------------------------</t>
  </si>
  <si>
    <t>------------------------------------------GTADF-------------</t>
  </si>
  <si>
    <t>----------------------------------------KRVTC---------------</t>
  </si>
  <si>
    <t>------GD--------------------LIHR----------------------------</t>
  </si>
  <si>
    <t>------------------L--PL-------------------------------------</t>
  </si>
  <si>
    <t>--------------------------ECPT------------------------------</t>
  </si>
  <si>
    <t>---------------------------------------------AA-------------</t>
  </si>
  <si>
    <t>ILIR-----NVEVEIGGQRID-KQY-----------------------------------</t>
  </si>
  <si>
    <t>G------------YDNMVGNTFALT--------------GTAL-----------------</t>
  </si>
  <si>
    <t>--------------LYVP---F--------------------QFW---------------</t>
  </si>
  <si>
    <t>---------FCR------------------------------------------------</t>
  </si>
  <si>
    <t>---NPGLSL-------PLIAL-----QYHEVKVILEFR----------------------</t>
  </si>
  <si>
    <t>-----Q---------------KNEC------------YVTADT-----------------</t>
  </si>
  <si>
    <t>---------------------------------------------LGNCGINIDS-----</t>
  </si>
  <si>
    <t>-----------------KSDSLFCVPSLEA------------------------------</t>
  </si>
  <si>
    <t>---------------------------ASL------------------------------</t>
  </si>
  <si>
    <t>---------YVDYI-------------------------YLDT-DERRR-FAQVSH----</t>
  </si>
  <si>
    <t>GDE----------------------SI---------------------------------</t>
  </si>
  <si>
    <t>-----------------------------------TSQNV--------------------</t>
  </si>
  <si>
    <t>--------------------------------------------------------KV--</t>
  </si>
  <si>
    <t>---KLN-F-NHP----VKELVWVIQRDSVI------------------------------</t>
  </si>
  <si>
    <t>--------------------------------------------QLGM------NQW---</t>
  </si>
  <si>
    <t>-----------------------NNYTD--------------------------------</t>
  </si>
  <si>
    <t>----------------------------------D-------------------------</t>
  </si>
  <si>
    <t>LRTNVESGYSA-VSFPAQLVDKLYGPQG------------DAFQTTPEVGV--------S</t>
  </si>
  <si>
    <t>FLPQ-------------------------------------------GGGAGTNNNAPVN</t>
  </si>
  <si>
    <t>FSDYNEA------------------AGGADHAGLAPQRA-------------GRNPVVRA</t>
  </si>
  <si>
    <t>--------------KL----------------------QLNGHD----------------</t>
  </si>
  <si>
    <t>----------------------RFSER---------------------------------</t>
  </si>
  <si>
    <t>----LGS----Y-----------FNLVQP-YQ--H-----HTNIP-----A---------</t>
  </si>
  <si>
    <t>---------------TGINVY-------------SFALQ-P-EQ--HQP-SG-----TC-</t>
  </si>
  <si>
    <t>-------------NFSRI-DNA-TLQ----------------------------------</t>
  </si>
  <si>
    <t>-----LQVT----------------------------PKTS---------IS--------</t>
  </si>
  <si>
    <t>-------------------SKIRV--------YATNYNVLRI------------------</t>
  </si>
  <si>
    <t>----------------MSGINACAKQLAALLAVVS-------------LIG---------</t>
  </si>
  <si>
    <t>----------------IN------------------SVNT--------------------</t>
  </si>
  <si>
    <t>---------------TSMVF----------------------------------------</t>
  </si>
  <si>
    <t>-------MG---------------------------------------------------</t>
  </si>
  <si>
    <t>------------------------------------------GSADF-------------</t>
  </si>
  <si>
    <t>-----------TVSR-N-------------------------------------------</t>
  </si>
  <si>
    <t>------GD--------------------LLSR----------------------------</t>
  </si>
  <si>
    <t>------------------I--PQ-------------------------------------</t>
  </si>
  <si>
    <t>--------------------------SVPS------------------------------</t>
  </si>
  <si>
    <t>NLIK-----YAEVEIGGQRID-KHY-----------------------------------</t>
  </si>
  <si>
    <t>G------------YQNMIGNVPTL----------------TQLTAP--------------</t>
  </si>
  <si>
    <t>TA----------------------------------------------------------</t>
  </si>
  <si>
    <t>-------FVP-EMDLYIP---L--------------------EFW---------------</t>
  </si>
  <si>
    <t>---NPGLAL-------PLIAL-----QYHEVKINLEFR----------------------</t>
  </si>
  <si>
    <t>-----A---------------ASDC------------YFSSGNAVV--------------</t>
  </si>
  <si>
    <t>------------------------VPSFEA------------------------------</t>
  </si>
  <si>
    <t>---------YADYI-------------------------FLDT-DERRR-FAQVSH----</t>
  </si>
  <si>
    <t>GDE----------------------SV---------------------------------</t>
  </si>
  <si>
    <t>-----------------------------------SSVSN--------------------</t>
  </si>
  <si>
    <t>--------------------------------------------------------KI--</t>
  </si>
  <si>
    <t>---KLN-F-NHP----CKELVWVVQKDSIVD-----------------------------</t>
  </si>
  <si>
    <t>---------------------------------------------TTAMAPVFGKQW---</t>
  </si>
  <si>
    <t>-----------------------FNYTD--------------------------------</t>
  </si>
  <si>
    <t>----------------------------------A-------------------------</t>
  </si>
  <si>
    <t>MSATIVSDASGETSFAA------------VGD--------KFFPNSNATP----------</t>
  </si>
  <si>
    <t>----MGR----Y-----------FNLVQP-YQ--H-----HTNVP-----A---------</t>
  </si>
  <si>
    <t>---------------TGINVY-------------SFGLK-P-EE--HQP-SG-----TC-</t>
  </si>
  <si>
    <t>-------------NMSRI-DNA-TLQ----------------------------------</t>
  </si>
  <si>
    <t>-----LTLT----------------------------AATT---------ASGD------</t>
  </si>
  <si>
    <t>-------------------AKVRV--------YATNYNVLRI------------------</t>
  </si>
  <si>
    <t>SCNVRLLCFIRQI----------------------GKNEENN------------------</t>
  </si>
  <si>
    <t>----------------------RNICCYF-------------------------------</t>
  </si>
  <si>
    <t>-----------------------------------------VKVK---------------</t>
  </si>
  <si>
    <t>---------------EQTLN----------------------------------------</t>
  </si>
  <si>
    <t>------------------------------------------GNANF-------------</t>
  </si>
  <si>
    <t>----------------------------------------SKVSC---------------</t>
  </si>
  <si>
    <t>--------------------------ELQE------------------------------</t>
  </si>
  <si>
    <t>---------------------------------------------SD-------------</t>
  </si>
  <si>
    <t>--------------------------------------------------------GS--</t>
  </si>
  <si>
    <t>RLVK-----NIELEIGGQKID-KQY-----------------------------------</t>
  </si>
  <si>
    <t>G------------YAQMVGNVPEL----------------TNLLTH--------------</t>
  </si>
  <si>
    <t>RK----------------------------------------------------------</t>
  </si>
  <si>
    <t>-------CAP-QYTMYIP---L--------------------QFW---------------</t>
  </si>
  <si>
    <t>---NPGLAL-------PLIAL-----QYHEVRLQLDFE----------------------</t>
  </si>
  <si>
    <t>-----E--------------LRNLC------------WDSSTNN----------------</t>
  </si>
  <si>
    <t>----------------------------------------VVRTRVGNAGL---------</t>
  </si>
  <si>
    <t>------------------------V----A------------------------------</t>
  </si>
  <si>
    <t>---------------------------ASF------------------------------</t>
  </si>
  <si>
    <t>---------WVDYI-------------------------YLDT-EERRR-MAQLTH----</t>
  </si>
  <si>
    <t>-----------------------------------TSSSN--------------------</t>
  </si>
  <si>
    <t>---RLN-F-NHP----VKELVWVVQRDSFVS-----C-----------------------</t>
  </si>
  <si>
    <t>--------------------------------------------DDAIVDEWKGQQP---</t>
  </si>
  <si>
    <t>-----------------------FNYSD--------------------------------</t>
  </si>
  <si>
    <t>----------------------------------W-------------------------</t>
  </si>
  <si>
    <t>------------WDR---------------------------------------------</t>
  </si>
  <si>
    <t>--AVLDSGYSS-------------------------------------------------</t>
  </si>
  <si>
    <t>--------------LV----------------------KLNGHD----------------</t>
  </si>
  <si>
    <t>----------------------RFDER---------------------------------</t>
  </si>
  <si>
    <t>----EGR----Y-----------FNLVQP-YQ--H-----HTNVP-----A---------</t>
  </si>
  <si>
    <t>---------------VGVNVY-------------SFGLK-P-EE--HQP-SG-----TC-</t>
  </si>
  <si>
    <t>-------------NFSRI-DNA-TLH----------------------------------</t>
  </si>
  <si>
    <t>-----LTISN---------------------------NAVN---------ADNS------</t>
  </si>
  <si>
    <t>-------------------AKVRV--------YAVNYNVLRI------------------</t>
  </si>
  <si>
    <t>-------------------------------------------LT---------------</t>
  </si>
  <si>
    <t>------------------G-QQD-----------------MYL-T---------------</t>
  </si>
  <si>
    <t>------------------------------------------GQADF-------------</t>
  </si>
  <si>
    <t>----------------------------------------RRVTC---------------</t>
  </si>
  <si>
    <t>-----------VIAR-N-------------------------------------------</t>
  </si>
  <si>
    <t>------GD--------------------LAYR----------------------------</t>
  </si>
  <si>
    <t>----------------------------------TYLQVT--------------------</t>
  </si>
  <si>
    <t>------------------L--PE-------------------------------------</t>
  </si>
  <si>
    <t>--------------------------NQDL------------------------------</t>
  </si>
  <si>
    <t>--------------------------------------------------------G---</t>
  </si>
  <si>
    <t>HMVS-----QVEVEIGGQRID-RQY-----------------------------------</t>
  </si>
  <si>
    <t>G------------YAAMVGNTTQL----------------TYVVEP--------------</t>
  </si>
  <si>
    <t>-------ALP-ETTLYVP---L--------------------TFW---------------</t>
  </si>
  <si>
    <t>---NPGLAL-------PLIAL-----QYHEVRINVDLR----------------------</t>
  </si>
  <si>
    <t>-----P---------------IDEC------------LWAMSAI----------------</t>
  </si>
  <si>
    <t>-----------------------------------GSPTATKVSRAYSQSL---------</t>
  </si>
  <si>
    <t>---------YVDYV-------------------------FLDS-DERRK-MAQNPH----</t>
  </si>
  <si>
    <t>-----------------------------------GSSSN--------------------</t>
  </si>
  <si>
    <t>---KLN-F-NHP----CKELVWVVQPDSNVDYCSSFE-----------------------</t>
  </si>
  <si>
    <t>--------------------------------------------GGEALYNLLGAQP---</t>
  </si>
  <si>
    <t>FGGANVSGANQFIDNSANL-----------------------FVDAGAVG----------</t>
  </si>
  <si>
    <t>ESDQ---------------------SSVSDAGVFVLAETGLN------LHCWGQNPVVTA</t>
  </si>
  <si>
    <t>--------------KL----------------------QLNGQD----------------</t>
  </si>
  <si>
    <t>----EGT----Y-----------FDLVQP-WQ--H-----HTRTP-----D---------</t>
  </si>
  <si>
    <t>---------------TGINVY-------------SFALR-P-EE--HQP-CG-----TC-</t>
  </si>
  <si>
    <t>-----LIVSN---------------------------STVA---------GTST------</t>
  </si>
  <si>
    <t>-------------------AKVRV--------YATNYNVLRV------------------</t>
  </si>
  <si>
    <t>-----------------------------------------QYYK---------------</t>
  </si>
  <si>
    <t>YRRP--------------------------------------------------------</t>
  </si>
  <si>
    <t>----------------------------------------RRVQC---------------</t>
  </si>
  <si>
    <t>--------------------------SSSD------------------------------</t>
  </si>
  <si>
    <t>QMIN-----MVEVEIGGQRID-RQY-----------------------------------</t>
  </si>
  <si>
    <t>G------------YNAMVGNTTQL----------------TYITDP--------------</t>
  </si>
  <si>
    <t>-------ALP-ETTLYVP---L--------------------QFW---------------</t>
  </si>
  <si>
    <t>---------YCR------------------------------------------------</t>
  </si>
  <si>
    <t>---NPGLAL-------PLIAL-----QYHEVKINVELR----------------------</t>
  </si>
  <si>
    <t>-----P---------------LDEC------------LWAVSAL----------------</t>
  </si>
  <si>
    <t>-------------------------------------TDGVKATAAYNKSL---------</t>
  </si>
  <si>
    <t>---------YVDYV-------------------------FLDT-DERRR-MAQNPH----</t>
  </si>
  <si>
    <t>---KLN-F-NHP----CKELVWVVQPDAHVDYCDSFD-----------------------</t>
  </si>
  <si>
    <t>--------------------------------------------STGLLYKALGAQP---</t>
  </si>
  <si>
    <t>FNSPLGAGGSAAVIGASGL-----------------------FQNGGAVD----------</t>
  </si>
  <si>
    <t>PFDQEEA------------------AGVSDAGAFVLAETALN------LHCWGLNPVVTA</t>
  </si>
  <si>
    <t>----EGS----Y-----------FDTVQP-FQ--H-----HTRTP-----D---------</t>
  </si>
  <si>
    <t>---------------TGINVY-------------SFGLR-P-EE--HQP-SG-----TC-</t>
  </si>
  <si>
    <t>-----LVLSN---------------------------PTVS---------GNNT------</t>
  </si>
  <si>
    <t>--------------------------NQQM------------------------------</t>
  </si>
  <si>
    <t>---------------------------------------------KN-------------</t>
  </si>
  <si>
    <t>AGAND-------------------------------------------------------</t>
  </si>
  <si>
    <t>QLIA-----QVEVEIGGQRID-RQY-----------------------------------</t>
  </si>
  <si>
    <t>G------------YYKMVGETTQL----------------TYITDP--------------</t>
  </si>
  <si>
    <t>RN----------------------------------------------------------</t>
  </si>
  <si>
    <t>---NPGLAL-------PLIAL-----QYHEVRINLDLR----------------------</t>
  </si>
  <si>
    <t>-----P---------------IDEC------------LWAVSSLA---------------</t>
  </si>
  <si>
    <t>-----------------------------------CSSGSAKVSAAYNQSL---------</t>
  </si>
  <si>
    <t>---KLN-F-NHP----CKELVWVVQPDNNVDYCSSLE-----------------------</t>
  </si>
  <si>
    <t>--------------------------------------------CNQPLYKLLGAQP---</t>
  </si>
  <si>
    <t>FAGPASVGAEANDFLRSDM-----------------------FVDAGAAD----------</t>
  </si>
  <si>
    <t>AANGRYSVAG-GLGGFGNAAQDSVMSGVSDAGAFVLAETALD------MHCWGENPVVTA</t>
  </si>
  <si>
    <t>----EGT----Y-----------FDLVQP-YQ--H-----HTRNP-----D---------</t>
  </si>
  <si>
    <t>---------------TGINVY-------------SFALR-P-EE--HQP-SG-----SC-</t>
  </si>
  <si>
    <t>-----LVLSN---------------------------ATVE---------GTKT------</t>
  </si>
  <si>
    <t>--------------------------NQQMLPAG--------------------------</t>
  </si>
  <si>
    <t>---------------------------------------VGQNLASNV------------</t>
  </si>
  <si>
    <t>PGANN-------------------------------------------------------</t>
  </si>
  <si>
    <t>------------------------KGLEY-------------------------------</t>
  </si>
  <si>
    <t>QMIS-----MVEVEIGGQRID-RQY-----------------------------------</t>
  </si>
  <si>
    <t>G------------YYKMVGNTTQL----------------TFITDP--------------</t>
  </si>
  <si>
    <t>-------ALP-ETTLYVP---F--------------------QFW---------------</t>
  </si>
  <si>
    <t>---NPGLAL-------PLIAL-----QYHEIKINLDLR----------------------</t>
  </si>
  <si>
    <t>-----P---------------IDEC------------LWAVSSLH---------------</t>
  </si>
  <si>
    <t>-------------------------------NVCDSAATPTKVATAYQQSL---------</t>
  </si>
  <si>
    <t>---KLN-F-NHP----CKELIWVVQPDQNVDYCASLI-----------------------</t>
  </si>
  <si>
    <t>--------------------------------------------CGTTLFQVLGAQP---</t>
  </si>
  <si>
    <t>FAGPGSVEGPNAFITTAGI-----------------------FDQAGATD--------AV</t>
  </si>
  <si>
    <t>TFPGWEYDEPN------------------FEH-----------VSLGSASAGGGFFPPAS</t>
  </si>
  <si>
    <t>AASSRAN---------GGAV--DFQSAVSDAGTFVLTETSLD------MHCWGENPVVTA</t>
  </si>
  <si>
    <t>----EGT----Y-----------FDLVQP-YQ--H-----HTRSP-----D---------</t>
  </si>
  <si>
    <t>---------------TGINLY-------------SFALR-P-EE--HQP-SG-----TC-</t>
  </si>
  <si>
    <t>-----LVLSN---------------------------ATVG---------GTNT------</t>
  </si>
  <si>
    <t>---------------GD---------------------------P---------------</t>
  </si>
  <si>
    <t>------TNFAIESI----------------------------------------------</t>
  </si>
  <si>
    <t>----------------------------------------KKVTC---------------</t>
  </si>
  <si>
    <t>------GD--------------------LINH----------------------------</t>
  </si>
  <si>
    <t>----------------------------------VYLQVQ--------------------</t>
  </si>
  <si>
    <t>------------------L--PS-------------------------------------</t>
  </si>
  <si>
    <t>--------------------------STGLV-----------------------------</t>
  </si>
  <si>
    <t>---------------------------------------------AS-------------</t>
  </si>
  <si>
    <t>ALIR-----NVEVEIGGQRID-RQF-----------------------------------</t>
  </si>
  <si>
    <t>G------------YNQMIGKYASE----------------LGLIGN--------------</t>
  </si>
  <si>
    <t>---------SYY------------------------------------------------</t>
  </si>
  <si>
    <t>-----------ERIYYIP---L--------------------QFW---------------</t>
  </si>
  <si>
    <t>---NPGLSL-------PLVAL-----QYHEVKIIIEFR----------------------</t>
  </si>
  <si>
    <t>-----N---------------AHEC------------IVALKAN----------------</t>
  </si>
  <si>
    <t>---------------------------------------GDRVAIGDNATT---------</t>
  </si>
  <si>
    <t>---------------------FTTTPTITN------------------------------</t>
  </si>
  <si>
    <t>---------------------------AQL------------------------------</t>
  </si>
  <si>
    <t>---------YVDYI-------------------------YLDT-NERKL-FAATSH----</t>
  </si>
  <si>
    <t>-----EY--------------------L-------VEQ--------------LQ------</t>
  </si>
  <si>
    <t>GAE----------------------SLS--------------------------------</t>
  </si>
  <si>
    <t>----------------------------------FSQQNQ--------------------</t>
  </si>
  <si>
    <t>--------------------------------------------------------KL--</t>
  </si>
  <si>
    <t>---RLN-F-NHP----VKELLWVLQRDENST-----------------------------</t>
  </si>
  <si>
    <t>--------------------------------------------SAGTAY----NDW---</t>
  </si>
  <si>
    <t>-----------------------FNFSA--------------------------------</t>
  </si>
  <si>
    <t>--------------KL----------------------LLNGHE----------------</t>
  </si>
  <si>
    <t>----------------------RFTVR---------------------------------</t>
  </si>
  <si>
    <t>----PQT----Y-----------FRLVQP-YQ--H-----HTRIP-----D---------</t>
  </si>
  <si>
    <t>---------------KHIYLY-------------SFAIR-P-EE--HQP-SG-----TC-</t>
  </si>
  <si>
    <t>-------------NFSRI-DTV-QLV----------------------------------</t>
  </si>
  <si>
    <t>-----YDLTSLSTL--TGI-----------------GTGMD---------TAST------</t>
  </si>
  <si>
    <t>-------------------GQISV--------FAVNYNVLRI------------------</t>
  </si>
  <si>
    <t>----------------VSGMA-----------------------------G---------</t>
  </si>
  <si>
    <t>----------------LA------------------YAN---------------------</t>
  </si>
  <si>
    <t>------------------------------------------GFN---------------</t>
  </si>
  <si>
    <t>-------LT---------------------------------------------------</t>
  </si>
  <si>
    <t>---------------------------------------------KKL------------</t>
  </si>
  <si>
    <t>---------------------------------------------VE-------------</t>
  </si>
  <si>
    <t>------SSVAMESI----------------------------------------------</t>
  </si>
  <si>
    <t>------GD--------------------LIHK----------------------------</t>
  </si>
  <si>
    <t>----------------------------------VYLQAD--------------------</t>
  </si>
  <si>
    <t>--------------------------SSSN------------------------------</t>
  </si>
  <si>
    <t>---------------------------------------------DT-------------</t>
  </si>
  <si>
    <t>ALIK-----EVTVEIGGQQID-KHY-----------------------------------</t>
  </si>
  <si>
    <t>G------------YNKMI------------------------------------------</t>
  </si>
  <si>
    <t>--------------DGDWE----------------------GN-----------------</t>
  </si>
  <si>
    <t>-------------TVYVP---L--------------------QFW---------------</t>
  </si>
  <si>
    <t>---NPGLAL-------PLIAL-----QYHEVKFNITFD----------------------</t>
  </si>
  <si>
    <t>-----S---------------ADHC------------VSSG-------------------</t>
  </si>
  <si>
    <t>-------------------------------------------SVASGGDL---------</t>
  </si>
  <si>
    <t>---------------------------GSL------------------------------</t>
  </si>
  <si>
    <t>---------YVDYI-------------------------YLDT-DERRQ-FAQVQH----</t>
  </si>
  <si>
    <t>GAE----------------------SLT--------------------------------</t>
  </si>
  <si>
    <t>-----------------------------------SGGSA--------------------</t>
  </si>
  <si>
    <t>--------------------------------------------------------KS--</t>
  </si>
  <si>
    <t>---KLA-F-NHP----VKELIWVIQAD---------------------------------</t>
  </si>
  <si>
    <t>-----------------------------------------------------GNAP---</t>
  </si>
  <si>
    <t>-----------------------NEYTG--------------------------------</t>
  </si>
  <si>
    <t>----------------------------------S-------------------------</t>
  </si>
  <si>
    <t>----KAS----Y-----------FNLVQP-YQ--H-----HTRIP-----S---------</t>
  </si>
  <si>
    <t>---------------SNVYVY-------------SFALH-P-EQ--HQP-SG-----TV-</t>
  </si>
  <si>
    <t>-------------NMSRI-DNA-TLH----------------------------------</t>
  </si>
  <si>
    <t>-----L-------------------------------GAVS---------GSS-------</t>
  </si>
  <si>
    <t>-------------------PSLHT--------YAVNYNVLRI------------------</t>
  </si>
  <si>
    <t>----------------MAGINFLLCQTVSCLMSF----------------M---------</t>
  </si>
  <si>
    <t>----------------IT------------------YQGK--------------------</t>
  </si>
  <si>
    <t>---------------QWKVMNQFFELV--I------------------------------</t>
  </si>
  <si>
    <t>------TNFSVESI----------------------------------------------</t>
  </si>
  <si>
    <t>------------------------------------------GTCDF-------------</t>
  </si>
  <si>
    <t>----------------------------------------KTVTC---------------</t>
  </si>
  <si>
    <t>-----------EINR-N-------------------------------------------</t>
  </si>
  <si>
    <t>------GD--------------------LVTK----------------------------</t>
  </si>
  <si>
    <t>----------------------------------MHLFLH--------------------</t>
  </si>
  <si>
    <t>--------------------------EAVET-----------------------------</t>
  </si>
  <si>
    <t>AVID-----EVKIEIGGSEID-EHY-----------------------------------</t>
  </si>
  <si>
    <t>G------------YDQMIGNIPEL----------------TNV-----------------</t>
  </si>
  <si>
    <t>KN----------------------------------------------------------</t>
  </si>
  <si>
    <t>-------AKP-EHKLYIP---L--------------------QFW---------------</t>
  </si>
  <si>
    <t>---NNGLAL-------PLIAL-----QYHDVRLKLKLR----------------------</t>
  </si>
  <si>
    <t>-----P------------------------------------------------------</t>
  </si>
  <si>
    <t>-----------------------------------L------------------------</t>
  </si>
  <si>
    <t>---------------------------------------KDVTNKKSGAQVP--------</t>
  </si>
  <si>
    <t>------------------------NVNVED------------------------------</t>
  </si>
  <si>
    <t>---------------------------SFL------------------------------</t>
  </si>
  <si>
    <t>---------LVDYI-------------------------FLDA-QERKK-FAQATH----</t>
  </si>
  <si>
    <t>GAE----------------------SF---------------------------------</t>
  </si>
  <si>
    <t>-----------------------------------KNSNE--------------------</t>
  </si>
  <si>
    <t>--------------------------------------------------------SY--</t>
  </si>
  <si>
    <t>---RLN-F-NHP----SKAIVWAPQLAKYTT-----------------------------</t>
  </si>
  <si>
    <t>-----------------------------------------------------GATF---</t>
  </si>
  <si>
    <t>-----------------------VDWA---------------------------------</t>
  </si>
  <si>
    <t>LSEDDTTEGEAVTYNGETLVD----AQF------------VFHNDADANDLNNIVLL---</t>
  </si>
  <si>
    <t>VANTNVG--S-NLTG----------FVVKDYMTYSLHADG------------TGNPVKSA</t>
  </si>
  <si>
    <t>----------------------RFQKR---------------------------------</t>
  </si>
  <si>
    <t>----DGT----Y-----------FNYVQP-YQ--H-----WANTP-----A---------</t>
  </si>
  <si>
    <t>---------------DGINSY-------------SFALN-P-MD--HQP-SG-----TC-</t>
  </si>
  <si>
    <t>-------------NFSRI-DNT-TLK----------------------------------</t>
  </si>
  <si>
    <t>-----LELAQVQ---------------------------------------NDD------</t>
  </si>
  <si>
    <t>-------------------SRIRI--------YDINYNVLRV------------------</t>
  </si>
  <si>
    <t>&gt;1704MEGAvirome_5-NODE_259_length_16214_cov_19.779577_4 [1725 - 3521]</t>
  </si>
  <si>
    <t>-----------------------------------------VTSS---------------</t>
  </si>
  <si>
    <t>-------TT---------------------------------------------------</t>
  </si>
  <si>
    <t>---------------------------------------------GRLWVETKF------</t>
  </si>
  <si>
    <t>-----------------------------------------L-LKVQSSPL---------</t>
  </si>
  <si>
    <t>------------------G-K---------------------L-R---------------</t>
  </si>
  <si>
    <t>---------------GN---------------------------R---------------</t>
  </si>
  <si>
    <t>---------------EQFFG----------------------------------------</t>
  </si>
  <si>
    <t>------------------------------------------GNLGF-------------</t>
  </si>
  <si>
    <t>----------------------------------------KKSSA---------------</t>
  </si>
  <si>
    <t>-----------EINR-S-------------------------------------------</t>
  </si>
  <si>
    <t>------GD--------------------LITQ----------------------------</t>
  </si>
  <si>
    <t>----------------------------------VFLKVT--------------------</t>
  </si>
  <si>
    <t>--------------------------RYCGDF----------------------------</t>
  </si>
  <si>
    <t>-------------------------------------------------------FG---</t>
  </si>
  <si>
    <t>AIVE-----ETELEIGGSPID-KHY-----------------------------------</t>
  </si>
  <si>
    <t>G------------LAKMLGDVPEL----------------TSISTL--------------</t>
  </si>
  <si>
    <t>TV----------------------------------------------------------</t>
  </si>
  <si>
    <t>-------LKP-SYTLYVP---L--------------------QFY---------------</t>
  </si>
  <si>
    <t>---NNGLAL-------PLIAL-----QYHQVRIYVKFR----------------------</t>
  </si>
  <si>
    <t>-----Q---------------ADQC------------YIASDAFK---------------</t>
  </si>
  <si>
    <t>-------------------------------------------SGCGNLQLD--------</t>
  </si>
  <si>
    <t>-----------------------------D------------------------------</t>
  </si>
  <si>
    <t>---------YVNYV-------------------------FLDT-EERRR-FAQVSH----</t>
  </si>
  <si>
    <t>GEE----------------------SAG--------------------------------</t>
  </si>
  <si>
    <t>-----------------------------------SSNSA--------------------</t>
  </si>
  <si>
    <t>---KLN-F-NHP----VKAIYWVTKLGNYQG--GKF------------------------</t>
  </si>
  <si>
    <t>----------------------------------------------------MTYDP---</t>
  </si>
  <si>
    <t>-----------------------VCWEN--------------------------------</t>
  </si>
  <si>
    <t>----------------------------------ARENAAK-------------------</t>
  </si>
  <si>
    <t>YVGDCGVQYTAVDPSNPSE-----EPSY------------I-FNDTTTAEAFDGSLLIGK</t>
  </si>
  <si>
    <t>LAPCVPLLKRNKDVDLKDKVEGIIRIHTDFENDRMKYPEVEKITRNDLTLHDLSVPISKY</t>
  </si>
  <si>
    <t>DVDNRVDY-----------------IKKFDVTVWQHNNFGLL------IDG-SGNPTHEA</t>
  </si>
  <si>
    <t>--------------EL----------------------QLNGQP----------------</t>
  </si>
  <si>
    <t>----------------------RQSKR---------------------------------</t>
  </si>
  <si>
    <t>----GGI----W-----------YDTVNP-TV--H-----HTKSP-----R---------</t>
  </si>
  <si>
    <t>---------------DGVNVF-------------SFALN-P-EE--HQP-SC-----TC-</t>
  </si>
  <si>
    <t>-------------NFSRI-DTA-QLN----------------------------------</t>
  </si>
  <si>
    <t>-----LWFQHFTNH--KF-------------------ADVF---------ADND------</t>
  </si>
  <si>
    <t>-------------------NKVLI--------FAVNYNVLRM------------------</t>
  </si>
  <si>
    <t>----------------LSGMA-----------------------------G---------</t>
  </si>
  <si>
    <t>---------------------------------------------LQLVAY---------</t>
  </si>
  <si>
    <t>&gt;0507MEGAvirome_4-NODE_108_length_14310_cov_72.969891_2 [3028 - 4431]</t>
  </si>
  <si>
    <t>-------IIIYIF----------------------FSDSLSNLFCKSIINSLVDI-----</t>
  </si>
  <si>
    <t>------------------FFILNPVNFYF-------------------------------</t>
  </si>
  <si>
    <t>------------------------FVSI------FYLKIKIQYRL---------------</t>
  </si>
  <si>
    <t>---------------------------------------------LQLAAY---------</t>
  </si>
  <si>
    <t>------------------G-PQD-----------------VYL-T---------------</t>
  </si>
  <si>
    <t>---------------QQLFH----------------------------------------</t>
  </si>
  <si>
    <t>------------------------------------------GDINF-------------</t>
  </si>
  <si>
    <t>----------------------------------------QTIYC---------------</t>
  </si>
  <si>
    <t>-----------DIDP-N-------------------------------------------</t>
  </si>
  <si>
    <t>------AD--------------------LVNE----------------------------</t>
  </si>
  <si>
    <t>----------------------------------MFLNIK--------------------</t>
  </si>
  <si>
    <t>------------------L--PN-------------------------------------</t>
  </si>
  <si>
    <t>--------------------------NVEPD-----------------------------</t>
  </si>
  <si>
    <t>---------------------------------------------KNP------------</t>
  </si>
  <si>
    <t>AIIR-----HIDVEIGGTIID-RQF-----------------------------------</t>
  </si>
  <si>
    <t>A------------YNLMIGKQLNF------------------------------------</t>
  </si>
  <si>
    <t>TD----------------------------------------------------------</t>
  </si>
  <si>
    <t>-------SQPGPLNLYIP---L--------------------QFW---------------</t>
  </si>
  <si>
    <t>---YIGMSL-------PLISL-----QYSKVRIVLGLR----------------------</t>
  </si>
  <si>
    <t>-----Q---------------FDEL------------WISSNGKP---------------</t>
  </si>
  <si>
    <t>-----------------------------------PGKGGEESSIIESKNIN--------</t>
  </si>
  <si>
    <t>-----------------------------E------------------------------</t>
  </si>
  <si>
    <t>---------------------------ASI------------------------------</t>
  </si>
  <si>
    <t>---------WVDYI-------------------------FLEN-EERKK-FASCNL----</t>
  </si>
  <si>
    <t>-------------------------TIG--------------------------------</t>
  </si>
  <si>
    <t>-----------------------------------VDQKDV-------------------</t>
  </si>
  <si>
    <t>--------------------------------------------------------II--</t>
  </si>
  <si>
    <t>---PMY-F-NHP----IKEIIWVLQTNRIFQ-TGPN------------------------</t>
  </si>
  <si>
    <t>----------------------------------------------------KSYDF---</t>
  </si>
  <si>
    <t>-----------------------FDFSN--------------------------------</t>
  </si>
  <si>
    <t>----------------------------------G-------------------------</t>
  </si>
  <si>
    <t>--------------------EAI-------------------------------------</t>
  </si>
  <si>
    <t>--------------TI----------------------RMEGQE----------------</t>
  </si>
  <si>
    <t>----------------------RFRKR---------------------------------</t>
  </si>
  <si>
    <t>----EPI----V-----------FRVVQP-YQ--Y-----HTRVP-----R---------</t>
  </si>
  <si>
    <t>---------------NFIYVY-------------SFAFK-P-EQ--HQP-TG-----TC-</t>
  </si>
  <si>
    <t>-------------NFSRL-DNA-SLE----------------------------------</t>
  </si>
  <si>
    <t>-----LTLNDCVI--------------------------------------QKE------</t>
  </si>
  <si>
    <t>-------------------TQLNI--------YAKNYNVLRI------------------</t>
  </si>
  <si>
    <t>----------------EAGIA-----------------------------G---------</t>
  </si>
  <si>
    <t>----------------LV------------------YAD---------------------</t>
  </si>
  <si>
    <t>&gt;1705MEGAvirome_4-NODE_2716_length_2594_cov_13.281313_3 [975 - 2120]</t>
  </si>
  <si>
    <t>-----------NTSK-D-------------------------------------------</t>
  </si>
  <si>
    <t>------G-----------------------------------------------------</t>
  </si>
  <si>
    <t>-------------------------------------------VFRN-------------</t>
  </si>
  <si>
    <t>-----------R------------------------------------------------</t>
  </si>
  <si>
    <t>---NAGLAL-------PLIAL-----QYHEVRFIFEFR----------------------</t>
  </si>
  <si>
    <t>-----N---------------KREL------------YVST-------------------</t>
  </si>
  <si>
    <t>-------------------------------------AGAELSSCGFGMDND--------</t>
  </si>
  <si>
    <t>----------------------FCVPSLEF------------------------------</t>
  </si>
  <si>
    <t>---------WIDYI-------------------------YLDT-DERRR-FAQVSH----</t>
  </si>
  <si>
    <t>GDE----------------------GV---------------------------------</t>
  </si>
  <si>
    <t>-----------------------------------TNSNV--------------------</t>
  </si>
  <si>
    <t>---RLN-F-NHP----CKEIIWVGQRDDVVE-CG--------------------------</t>
  </si>
  <si>
    <t>-----------------------------------------------------VNQW---</t>
  </si>
  <si>
    <t>LNTNVESGWSATSFPYVGI-D---------------------GNCATSSEV--ATLL---</t>
  </si>
  <si>
    <t>SCDAPVNF-S-AITT---------AAEGADHAGLAPRNA-------------GRNPTVRA</t>
  </si>
  <si>
    <t>----------------------RFQER---------------------------------</t>
  </si>
  <si>
    <t>---------------TGINVY-------------SFALK-P-EE--HQP-SG-----TC-</t>
  </si>
  <si>
    <t>-----LQLTP------KFV--------------------------------ENG------</t>
  </si>
  <si>
    <t>-------------------GKIRV--------YGVNYNILRI------------------</t>
  </si>
  <si>
    <t>----------------MSGIN----ESGNTFTPVPNSQ---------LPNE---------</t>
  </si>
  <si>
    <t>----------------LP------------------YSLI--------------------</t>
  </si>
  <si>
    <t>---------------GANSVNYGHVTA--IA----------------VAC----------</t>
  </si>
  <si>
    <t>---------------------I------------</t>
  </si>
  <si>
    <t>---------------------------------------------GAI------------</t>
  </si>
  <si>
    <t>---------------------------------------------SQLVSY---------</t>
  </si>
  <si>
    <t>---------------QQTFD----------------------------------------</t>
  </si>
  <si>
    <t>------------------------------------------GTTDF-------------</t>
  </si>
  <si>
    <t>----------------------------------------KYPTV---------------</t>
  </si>
  <si>
    <t>------GD--------------------LAGP----------------------------</t>
  </si>
  <si>
    <t>----------------------------------IWVEVT--------------------</t>
  </si>
  <si>
    <t>-----------LLGYNIT----PTPA----------------------------------</t>
  </si>
  <si>
    <t>------------------------EGNTSNVET---------------------------</t>
  </si>
  <si>
    <t>----------------------------------------LTTAVTNT------------</t>
  </si>
  <si>
    <t>---------------------------------------------------VYKDA----</t>
  </si>
  <si>
    <t>AGNGQ-----------------YSN-LVAAF-----------------------------</t>
  </si>
  <si>
    <t>------------------------SNVDYQYY----------------------------</t>
  </si>
  <si>
    <t>NRTAVA-------------------------------------IPTANLRYVNGI---GL</t>
  </si>
  <si>
    <t>ALFN-----SIELELGGQRID-KHY-----------------------------------</t>
  </si>
  <si>
    <t>G------------YNTMVGRYDPAV-----------------------------------</t>
  </si>
  <si>
    <t>RT----------------------------------------------------------</t>
  </si>
  <si>
    <t>-------QAQ-GGTYYVP---L--------------------KFC---------------</t>
  </si>
  <si>
    <t>---------YNR------------------------------------------------</t>
  </si>
  <si>
    <t>---NPGLYM-------PLVAL-----SYHQLKLNFNIN----------------------</t>
  </si>
  <si>
    <t>-----N---------------YLNC------------VKCN-------------------</t>
  </si>
  <si>
    <t>-----------------------------------V------------------------</t>
  </si>
  <si>
    <t>-------------------------------------PVSALTSKNGANPL---------</t>
  </si>
  <si>
    <t>--------------------------SITN------------------------------</t>
  </si>
  <si>
    <t>---------------------------MKL------------------------------</t>
  </si>
  <si>
    <t>---------YADFV-------------------------FLDA-PERIR-MSEIQH----</t>
  </si>
  <si>
    <t>-----EY--------------------L-------VTQ--------------LQ------</t>
  </si>
  <si>
    <t>GSE----------------------PVTA-------------------------------</t>
  </si>
  <si>
    <t>-------------------------------PGDPSGSTNR-------------------</t>
  </si>
  <si>
    <t>---TLN-F-NHP----VRELVFVYQAASNYD-----------------------------</t>
  </si>
  <si>
    <t>------------------------------------------------VDAVTGNDI---</t>
  </si>
  <si>
    <t>-----------------------FNYEI--------------------------------</t>
  </si>
  <si>
    <t>----------------------------------PANSAAV-------------------</t>
  </si>
  <si>
    <t>--P---------------------------------------------------------</t>
  </si>
  <si>
    <t>--------------KL----------------------IINGSD----------------</t>
  </si>
  <si>
    <t>----------------------RFSGR---------------------------------</t>
  </si>
  <si>
    <t>----PGA----Y-----------FRLVQP-YE--H-----HVRVP-----S---------</t>
  </si>
  <si>
    <t>---------------KSVYVY-------------SFALEDA-DS--RQP-NG-----SA-</t>
  </si>
  <si>
    <t>-------------NFTRY-DSA-QLQ----------------------------------</t>
  </si>
  <si>
    <t>-----LTLNE--------------------------------------------------</t>
  </si>
  <si>
    <t>AS-----------------GRVQI--------YAPNFNILRI------------------</t>
  </si>
  <si>
    <t>----------------AAGMG-----------------------------G---------</t>
  </si>
  <si>
    <t>&gt;1705MEGAvirome_4-NODE_3753_length_1907_cov_6.668322_3 [1899 - 1] (REVERSE SENSE)</t>
  </si>
  <si>
    <t>--------------------------------------------L---------------</t>
  </si>
  <si>
    <t>------------------G-SQD-----------------TYL-T---------------</t>
  </si>
  <si>
    <t>------TNFAIETV----------------------------------------------</t>
  </si>
  <si>
    <t>---------------NLTFN----------------------------------------</t>
  </si>
  <si>
    <t>------------------------------------------GNADF-------------</t>
  </si>
  <si>
    <t>----------------------------------------KEANV---------------</t>
  </si>
  <si>
    <t>-----------LITR-N-------------------------------------------</t>
  </si>
  <si>
    <t>------GD--------------------LVTR----------------------------</t>
  </si>
  <si>
    <t>----------------------------------MFLRVQ--------------------</t>
  </si>
  <si>
    <t>------------------L--NR-------------------------------------</t>
  </si>
  <si>
    <t>-----------LL-----------------------------------------------</t>
  </si>
  <si>
    <t>---------------------------------------------MNQ------------</t>
  </si>
  <si>
    <t>---------------------------------------------------LT-------</t>
  </si>
  <si>
    <t>--------------------------LDRE------------------------------</t>
  </si>
  <si>
    <t>FLID-----YIRFEIGGTQID-KQW-----------------------------------</t>
  </si>
  <si>
    <t>A------------YRALVGDVDEL----------------TALRS---------------</t>
  </si>
  <si>
    <t>TQ----------------------------------------------------------</t>
  </si>
  <si>
    <t>-----------DYILFVP---L--------------------MFW---------------</t>
  </si>
  <si>
    <t>---------CNT------------------------------------------------</t>
  </si>
  <si>
    <t>---NTGLAL-------PLIAL-----QYHEVRLWFQFN----------------------</t>
  </si>
  <si>
    <t>-----V---------------FERL------------IVHSNNI----------------</t>
  </si>
  <si>
    <t>----------------------------------------NLARLNNGVGV---------</t>
  </si>
  <si>
    <t>---------------------------FNN------------------------------</t>
  </si>
  <si>
    <t>---------LVDYV-------------------------YIDT-EERRR-FAQIGH----</t>
  </si>
  <si>
    <t>-----EY--------------------L-------ITQ--------------LQ------</t>
  </si>
  <si>
    <t>GSQ----------------------AVTQN------------------------------</t>
  </si>
  <si>
    <t>-------------------------------PL---------------------------</t>
  </si>
  <si>
    <t>--------------------------------------------------------RV--</t>
  </si>
  <si>
    <t>-EKALRYAAS-----------------------NIIAGEVAVGDS---------------</t>
  </si>
  <si>
    <t>-------------------------NN----------------ANEDTIVDITTENY---</t>
  </si>
  <si>
    <t>-----------------------NSWNQ--------------------------------</t>
  </si>
  <si>
    <t>----------------------------------PHVVSSNTRNASK-------------</t>
  </si>
  <si>
    <t>ALYDNGVTENGVFLFRRNVFTNPDRPEYNLGDYVTRFNIVVFYTQVDSDGNGIAASLTYQ</t>
  </si>
  <si>
    <t>VRP----------------------------------------VEHDITVRDVSVPVSDW</t>
  </si>
  <si>
    <t>VDNRFTTEA-------GNG-----LGSPMDIWACLQTVSGL-------LINNQYNPVVEA</t>
  </si>
  <si>
    <t>--------------VI----------------------QLNGQD----------------</t>
  </si>
  <si>
    <t>----------------------RFQPR---------------------------------</t>
  </si>
  <si>
    <t>----EGA----Y-----------FNLIQT-YN--Y-----HTSTP-----A---------</t>
  </si>
  <si>
    <t>---------------NGVNVF-------------SFALH-P-EQ--HQP-SG-----TA-</t>
  </si>
  <si>
    <t>-------------NLSRI-DNT-VLS----------------------------------</t>
  </si>
  <si>
    <t>-----MGLYREI-------------------------PYAD---------PSRTP-----</t>
  </si>
  <si>
    <t>VG----------NT-----SQAFI--------YCTNYNVLRI------------------</t>
  </si>
  <si>
    <t>------------------------IISI--------------------------------</t>
  </si>
  <si>
    <t>---------------------------------------------GAV------------</t>
  </si>
  <si>
    <t>---------------------------------------------IQLVSK---------</t>
  </si>
  <si>
    <t>------------------G-NED-----------------MYL-T---------------</t>
  </si>
  <si>
    <t>---------------YE---------------------------P---------------</t>
  </si>
  <si>
    <t>------TNFSSESV----------------------------------------------</t>
  </si>
  <si>
    <t>---------------VQDFK----------------------------------------</t>
  </si>
  <si>
    <t>------------------------------------------SKPDF-------------</t>
  </si>
  <si>
    <t>----------------------------------------KKITC---------------</t>
  </si>
  <si>
    <t>-----------TLGK-Q-------------------------------------------</t>
  </si>
  <si>
    <t>------AD--------------------LISK----------------------------</t>
  </si>
  <si>
    <t>----------------------------------TYVVVV--------------------</t>
  </si>
  <si>
    <t>-----------IN-YY--------------------------------------------</t>
  </si>
  <si>
    <t>---------------------------------------------QES------------</t>
  </si>
  <si>
    <t>---------------------------------------------------KE-------</t>
  </si>
  <si>
    <t>--------------------------LP--------------------------------</t>
  </si>
  <si>
    <t>NIIK-----SVEIEIGGYVID-RQY-----------------------------------</t>
  </si>
  <si>
    <t>I------------LDKMIGNVPILT-------------DFTLNKD---------------</t>
  </si>
  <si>
    <t>-----------SYTLYIP---L--------------------SFW---------------</t>
  </si>
  <si>
    <t>---------FCN------------------------------------------------</t>
  </si>
  <si>
    <t>---NPGLAI-------PIVAL-----EFADVKINIEFA----------------------</t>
  </si>
  <si>
    <t>-----N---------------VNDV------------LILAPTNYIDIEN----------</t>
  </si>
  <si>
    <t>--DVVQFKTGDIL-----------------------------------------------</t>
  </si>
  <si>
    <t>----------------------------FQHVNNKINYIK--------------------</t>
  </si>
  <si>
    <t>---------FIDF-----------------------------------------------</t>
  </si>
  <si>
    <t>---------------------------------------------------------Q--</t>
  </si>
  <si>
    <t>---KII-T-NG-------------------------------------------------</t>
  </si>
  <si>
    <t>------------------------NTTT--------------------------------</t>
  </si>
  <si>
    <t>----------------------------------NRL-----------------------</t>
  </si>
  <si>
    <t>-----------Y-----------YNKI---------------------------------</t>
  </si>
  <si>
    <t>----------------------------------------------------NT------</t>
  </si>
  <si>
    <t>-------------------DPI--------------------------------------</t>
  </si>
  <si>
    <t>&gt;1704MEGAvirome_5-NODE_691_length_8698_cov_13.799024_2 [914 - 2485]</t>
  </si>
  <si>
    <t>----------------------------FQ------------------------------</t>
  </si>
  <si>
    <t>-----------------------NISNI------CDL------LL---------------</t>
  </si>
  <si>
    <t>---------------------------------------------IQLVAY---------</t>
  </si>
  <si>
    <t>------------------G-IQD-----------------LYL-T---------------</t>
  </si>
  <si>
    <t>---------------IQNFT----------------------------------------</t>
  </si>
  <si>
    <t>------------------------------------------SVPDF-------------</t>
  </si>
  <si>
    <t>----------------------------------------STVSC---------------</t>
  </si>
  <si>
    <t>-----------TLSK-S-------------------------------------------</t>
  </si>
  <si>
    <t>------GD--------------------MINK----------------------------</t>
  </si>
  <si>
    <t>----------------------------------IYVYIE--------------------</t>
  </si>
  <si>
    <t>-----------VNVFY--------------------------------------------</t>
  </si>
  <si>
    <t>---------------------------------------------DES------------</t>
  </si>
  <si>
    <t>---------------------------------------------------GN-------</t>
  </si>
  <si>
    <t>--------------------------LD--------------------------------</t>
  </si>
  <si>
    <t>ALIK-----DVSIEIGGKLID-KQY-----------------------------------</t>
  </si>
  <si>
    <t>G------------LDKMIGNIPLLY-------------DFSNGKP---------------</t>
  </si>
  <si>
    <t>-----------KYSLYVP---L--------------------EFW---------------</t>
  </si>
  <si>
    <t>---NSGLSL-------PLVAL-----SSSEVKITISFR----------------------</t>
  </si>
  <si>
    <t>-----S---------------AEEC------------YRIGPTHSIEIME----------</t>
  </si>
  <si>
    <t>--DIVPFEFGDYIEQKIGQKTIHG------------------------------------</t>
  </si>
  <si>
    <t>------------------------LYMGYDYMTKKLYYIKI-------------------</t>
  </si>
  <si>
    <t>---------------------HSPTAIKKS------------------------------</t>
  </si>
  <si>
    <t>----------------------------FE-SQQLRNSTSQREN---------YRI----</t>
  </si>
  <si>
    <t>-------------------------------------------------YNSLT------</t>
  </si>
  <si>
    <t>-----------GSYCTPKPD----------------------------------------</t>
  </si>
  <si>
    <t>------------HSEMSEPTELSQKLHFIN------------------------------</t>
  </si>
  <si>
    <t>---------------------------AYL------------------------------</t>
  </si>
  <si>
    <t>---------YVDYV-------------------------YLDN-DERMM-LIKNPQ----</t>
  </si>
  <si>
    <t>QEI----------------------NV---------------------------------</t>
  </si>
  <si>
    <t>-----------------------------------KNSNV--------------------</t>
  </si>
  <si>
    <t>--------------------------------------------------------KQ--</t>
  </si>
  <si>
    <t>---KLT-L-NHP----CKAHYWVVQSDSLVG-----------------------------</t>
  </si>
  <si>
    <t>--------------------------------------------------PGTINDV---</t>
  </si>
  <si>
    <t>-----------------------FNFTT--------------------------------</t>
  </si>
  <si>
    <t>----------------------------------SHIHNHD-------------------</t>
  </si>
  <si>
    <t>--------------KL----------------------MLNSRE----------------</t>
  </si>
  <si>
    <t>----------------------RFKQR---------------------------------</t>
  </si>
  <si>
    <t>----DGK----Y-----------FNIVQP-YQ--H-----HYRGP-----D---------</t>
  </si>
  <si>
    <t>---------------TGINMY-------------SVSIN-S-QC--HQP-SS-----TI-</t>
  </si>
  <si>
    <t>-------------NMSRI-DDI-SME----------------------------------</t>
  </si>
  <si>
    <t>-----MQL-----------------------------KNVN---------PNNT------</t>
  </si>
  <si>
    <t>-------------------HKIRS--------YTTSYNILRV------------------</t>
  </si>
  <si>
    <t>----------------CFNIG-----------------------------G---------</t>
  </si>
  <si>
    <t>----------------LA------------------FESM--------------------</t>
  </si>
  <si>
    <t>---------------D--------------------------------------------</t>
  </si>
  <si>
    <t>----------------------------------SHIRNHD-------------------</t>
  </si>
  <si>
    <t>&gt;1704MEGAvirome_5-NODE_443_length_12006_cov_117.892620_10 [7914 - 6301] (REVERSE SENSE)</t>
  </si>
  <si>
    <t>------------------------YISY--------------------------------</t>
  </si>
  <si>
    <t>---------------------------------------------GSI------------</t>
  </si>
  <si>
    <t>---------------------------------------------IQLVAL---------</t>
  </si>
  <si>
    <t>------------------G-REN-----------------LYL-V---------------</t>
  </si>
  <si>
    <t>---------------EE---------------------------P---------------</t>
  </si>
  <si>
    <t>------TNFSRESI----------------------------------------------</t>
  </si>
  <si>
    <t>---------------KVNFSQ---------------------------------------</t>
  </si>
  <si>
    <t>------------------------------------------DNPDF-------------</t>
  </si>
  <si>
    <t>----------------------------------------QKVSC---------------</t>
  </si>
  <si>
    <t>-----------TIPS-E-------------------------------------------</t>
  </si>
  <si>
    <t>------GD--------------------MIDR----------------------------</t>
  </si>
  <si>
    <t>----------------------------------MTLVIK--------------------</t>
  </si>
  <si>
    <t>-----------IKSMT--------------------------------------------</t>
  </si>
  <si>
    <t>---------------------------------------------TDT------------</t>
  </si>
  <si>
    <t>---------------------------------------------------KV-------</t>
  </si>
  <si>
    <t>--------------------------VDVN------------------------------</t>
  </si>
  <si>
    <t>------------------------------------GYQT--------------------</t>
  </si>
  <si>
    <t>ALIK-----KIEIEINGRVID-RHY-----------------------------------</t>
  </si>
  <si>
    <t>G------------NDKLIGNVPEMY-------------NFTESKK---------------</t>
  </si>
  <si>
    <t>-----------EYTLMIP---L--------------------QFW---------------</t>
  </si>
  <si>
    <t>---DSGLAL-------PLIAL-----KYSDVKVNIEFN----------------------</t>
  </si>
  <si>
    <t>-----D---------------LNKC------------YITAPTHYIECND----------</t>
  </si>
  <si>
    <t>--NLAIFKKYEYIEQSVDNVKRTG------------------------------------</t>
  </si>
  <si>
    <t>------------------------LFVNYDVVNKRLYYVKL-------------------</t>
  </si>
  <si>
    <t>---------------------SQERMIGVE------------------------------</t>
  </si>
  <si>
    <t>----------------------------YD-GDESLLTQSQKDAILTSSTSTPYKI----</t>
  </si>
  <si>
    <t>-------------------------------------------------TGVDT------</t>
  </si>
  <si>
    <t>-----------SFSVTPNIN----------------------------------------</t>
  </si>
  <si>
    <t>-----------VKSKTNYMTSLSY-ISFVD------------------------------</t>
  </si>
  <si>
    <t>---------------------------CYL------------------------------</t>
  </si>
  <si>
    <t>---------LTDYV-------------------------YLDT-EERQK-MAESKH----</t>
  </si>
  <si>
    <t>-----DY--------------------L-------IEQ--------------VY------</t>
  </si>
  <si>
    <t>PSA----------------------KL---------------------------------</t>
  </si>
  <si>
    <t>-----------------------------------EGINH--------------------</t>
  </si>
  <si>
    <t>---RIQ-A-NQP----AKLMVWVVQSDDV-------------------------------</t>
  </si>
  <si>
    <t>---------------------------------------------------KSANDH---</t>
  </si>
  <si>
    <t>-----------------------FNYTN--------------------------------</t>
  </si>
  <si>
    <t>----------------------------------SARRTRT-------------------</t>
  </si>
  <si>
    <t>------------------------------------------ETALGTVTL---------</t>
  </si>
  <si>
    <t>--------------CI----------------------MLNGRE----------------</t>
  </si>
  <si>
    <t>----------------------RVSNR---------------------------------</t>
  </si>
  <si>
    <t>----DPG----Y-----------FSYMHA-LQ--Y-----LKYAP-----S---------</t>
  </si>
  <si>
    <t>---------------EGINIY-------------SYAIS-P-KA--TQP-SG-----VC-</t>
  </si>
  <si>
    <t>-------------NMGQF-ESI-EAK----------------------------------</t>
  </si>
  <si>
    <t>-----MRL------------------------------NTS---------VYES------</t>
  </si>
  <si>
    <t>-------------------TRFRC--------YVLQENILRI------------------</t>
  </si>
  <si>
    <t>----------------A---G-----------------------------G---------</t>
  </si>
  <si>
    <t>----------------LAAK---------------MFVSE--------------------</t>
  </si>
  <si>
    <t>&gt;0507MEGAvirome_4-NODE_443_length_6414_cov_98.031809_5 [5924 - 4275] (REVERSE SENSE)</t>
  </si>
  <si>
    <t>-----TPLFIKI------------------------------------------------</t>
  </si>
  <si>
    <t>----------------------------FC------------------------------</t>
  </si>
  <si>
    <t>------------------------FCSL------IKNKITKYNRP---------------</t>
  </si>
  <si>
    <t>------TNFSMEYI----------------------------------------------</t>
  </si>
  <si>
    <t>---------------PQYFR----------------------------------------</t>
  </si>
  <si>
    <t>------------------------------------------VLPTF-------------</t>
  </si>
  <si>
    <t>---------------------------------------------STT------------</t>
  </si>
  <si>
    <t>--------------------------------------QRNKLSV---------------</t>
  </si>
  <si>
    <t>-----------KIDR-N-------------------------------------------</t>
  </si>
  <si>
    <t>------GD--------------------LLYD----------------------------</t>
  </si>
  <si>
    <t>----------------------------------CYVLVD--------------------</t>
  </si>
  <si>
    <t>-----------I--YS--------------------------------------------</t>
  </si>
  <si>
    <t>---------------------------------------------TE-------------</t>
  </si>
  <si>
    <t>NFIA-----NADITVNGVLLD-RHY-----------------------------------</t>
  </si>
  <si>
    <t>S------------YDEITGNIWQMRYPDKY----FGSYSPTTRPSI--------------</t>
  </si>
  <si>
    <t>---------S--------------------------------------------------</t>
  </si>
  <si>
    <t>-----------GRRLYIP---L--------------------IFW---------------</t>
  </si>
  <si>
    <t>---NPGLAI-------PLIAL-----QYTEIYINVEFR----------------------</t>
  </si>
  <si>
    <t>-----A---------------LNEL------------FTMWYGVSPE-------------</t>
  </si>
  <si>
    <t>----TLYEYG-----KTGTSPTTG------------------------------------</t>
  </si>
  <si>
    <t>----------------------------IPQFDKVLL-----------------------</t>
  </si>
  <si>
    <t>----------------------------------EQIENAGLPSVPASDLVNELELQ---</t>
  </si>
  <si>
    <t>------------------------------------------------GFGPLT------</t>
  </si>
  <si>
    <t>-----------YFW----------------------------------------------</t>
  </si>
  <si>
    <t>--------------KFVNGTQAPNGIWTQN------------------------------</t>
  </si>
  <si>
    <t>---------------------------SYL------------------------------</t>
  </si>
  <si>
    <t>---------YCNYI-------------------------FLDE-DERRR-FAQTSH----</t>
  </si>
  <si>
    <t>-----EY--------------------L-------ITQ--------------VQHQ----</t>
  </si>
  <si>
    <t>GID----------------------GEQ--------------------------------</t>
  </si>
  <si>
    <t>--------------------------------------------------------IL--</t>
  </si>
  <si>
    <t>---ELR-I-SQP----VKELIFSTQRTDVYV-----------------------------</t>
  </si>
  <si>
    <t>------F-----------------------------------------------------</t>
  </si>
  <si>
    <t>------------------------------------------------------NQW---</t>
  </si>
  <si>
    <t>-----------------------NNYTN--------------------------------</t>
  </si>
  <si>
    <t>----------------------------------CSYFKSL-------------------</t>
  </si>
  <si>
    <t>------------YDVSFVKN-------------AFNFRQERAFFD---------------</t>
  </si>
  <si>
    <t>IDPCLP------DVQ------------------------------------------QQF</t>
  </si>
  <si>
    <t>NNDKQFDI--------------D-----------------------------ERNIFFSG</t>
  </si>
  <si>
    <t>--------------KL----------------------ILNGND----------------</t>
  </si>
  <si>
    <t>----DSI----F-----------WNWLQS-YK--Y-----HTNSP-----N---------</t>
  </si>
  <si>
    <t>---------------TGIYMY-------------NFGIN-P-EE--FQP-SG-----TC-</t>
  </si>
  <si>
    <t>-------------NFSRI-NRA-QLQ----------------------------------</t>
  </si>
  <si>
    <t>-----LSLRQVV------------------------------------------------</t>
  </si>
  <si>
    <t>------------NTE-IE-YNIDV--------YAINVNVFRI------------------</t>
  </si>
  <si>
    <t>----------------MGGIG-----------------------------N---------</t>
  </si>
  <si>
    <t>----------------IV------------------FSN---------------------</t>
  </si>
  <si>
    <t>&gt;1705MEGAvirome_4-NODE_2331_length_2971_cov_19.004868_2 [1967 - 2971]</t>
  </si>
  <si>
    <t>---------------------------IYC------------------------------</t>
  </si>
  <si>
    <t>-----------------------------------------LFII---------------</t>
  </si>
  <si>
    <t>---------------------------------------------LQLVSY---------</t>
  </si>
  <si>
    <t>------------------G-VQD-----------------LYL-S---------------</t>
  </si>
  <si>
    <t>------TNFSSEIM----------------------------------------------</t>
  </si>
  <si>
    <t>---------------KLPVT----------------------------------------</t>
  </si>
  <si>
    <t>----------------------------------------NTLTC---------------</t>
  </si>
  <si>
    <t>-----------KIPM-R-------------------------------------------</t>
  </si>
  <si>
    <t>----------------------------------MYFKIV--------------------</t>
  </si>
  <si>
    <t>------------------I--SG-------------------------------------</t>
  </si>
  <si>
    <t>-----------TS-----------------------------------------------</t>
  </si>
  <si>
    <t>YLME-----YVSFLVNGAAID-KHF-----------------------------------</t>
  </si>
  <si>
    <t>G------------YDIMIGNTSAA----------------TTLSA---------------</t>
  </si>
  <si>
    <t>-------------ADK--------------------------------------------</t>
  </si>
  <si>
    <t>-----------SVTLYIP---L--------------------KFF---------------</t>
  </si>
  <si>
    <t>---HNGLAL-------PLIAL-----QHSSVRLDIKLK----------------------</t>
  </si>
  <si>
    <t>-----D---------------SIYC------------YVKEDQYY---------------</t>
  </si>
  <si>
    <t>-------------------------------------TGSAFASTSVTLSLS--------</t>
  </si>
  <si>
    <t>-----------------------------N------------------------------</t>
  </si>
  <si>
    <t>---------------------------AEV------------------------------</t>
  </si>
  <si>
    <t>---------YAIYI-------------------------YLDS-KERKR-FSRFKH----</t>
  </si>
  <si>
    <t>GPA----------------------DIA--------------------------------</t>
  </si>
  <si>
    <t>-----------------------------------ANTLSV-------------------</t>
  </si>
  <si>
    <t>--------------------------------------------------------DY--</t>
  </si>
  <si>
    <t>---QLI-L-NHP----CKALFWVVKRNNLRN-----------------------------</t>
  </si>
  <si>
    <t>--------------DL----------------------TI--------------------</t>
  </si>
  <si>
    <t>---------------------A-TKR----------------------------------</t>
  </si>
  <si>
    <t>-----IILAY---------------------------TDFS---------SAYT------</t>
  </si>
  <si>
    <t>-------------------IG----------------------------EY---------</t>
  </si>
  <si>
    <t>----------------LTP-----------------VSNI--------------------</t>
  </si>
  <si>
    <t>---------------SS-------------------------------------------</t>
  </si>
  <si>
    <t>---------------------------------------------NQLVAV---------</t>
  </si>
  <si>
    <t>------------------G-KQD-----------------AFI-T---------------</t>
  </si>
  <si>
    <t>---------------GD---------------------------N---------------</t>
  </si>
  <si>
    <t>TKKV--------------------------------------------------------</t>
  </si>
  <si>
    <t>------SNFAMESI----------------------------------------------</t>
  </si>
  <si>
    <t>---------------ENYIN----------------------------------------</t>
  </si>
  <si>
    <t>--------------------------------------------VNP-------------</t>
  </si>
  <si>
    <t>----------------------------------------STTSI---------------</t>
  </si>
  <si>
    <t>-----------VVGR-F-------------------------------------------</t>
  </si>
  <si>
    <t>------GD--------------------LVRK----------------------------</t>
  </si>
  <si>
    <t>----------------------------------VTLEIT--------------------</t>
  </si>
  <si>
    <t>-----------G------------------------------------------------</t>
  </si>
  <si>
    <t>--------------------------------------------STTN------------</t>
  </si>
  <si>
    <t>QYVK-----YAHLSIGGQIVY-RIDD----------------------------------</t>
  </si>
  <si>
    <t>T------------NQRVNN-----------------------------------------</t>
  </si>
  <si>
    <t>GA----------------------------------------------------------</t>
  </si>
  <si>
    <t>-----------IRKFYLD---I--------------------PLF---------------</t>
  </si>
  <si>
    <t>---------FTD------------------------------------------------</t>
  </si>
  <si>
    <t>---DASKAL-------PLIAL-----QYHEVKLDVLFA----------------------</t>
  </si>
  <si>
    <t>-----------------------PGDIP--------------------------------</t>
  </si>
  <si>
    <t>---------------------------------------------GIDAS----------</t>
  </si>
  <si>
    <t>--------------------------YTPT------------------------------</t>
  </si>
  <si>
    <t>---------------------------VEC------------------------------</t>
  </si>
  <si>
    <t>---------YIDYV-------------------------FLDT-PEREW-FARNTH----</t>
  </si>
  <si>
    <t>-----MY--------------------V-------IEQ--------------LQH-----</t>
  </si>
  <si>
    <t>NVF----------------------SVA--------------------------------</t>
  </si>
  <si>
    <t>-----------------------------------AVEQTK-------------------</t>
  </si>
  <si>
    <t>--------------------------------------------------------RL--</t>
  </si>
  <si>
    <t>---NLP-F-TMP----TRYLIWLL--KTGAD-----------------------------</t>
  </si>
  <si>
    <t>-------------------------------------GV---------------------</t>
  </si>
  <si>
    <t>-------------------------YTT--------------------------------</t>
  </si>
  <si>
    <t>----------------------------------SGYPFENN------------------</t>
  </si>
  <si>
    <t>--------------KL----------------------QFNGTD----------------</t>
  </si>
  <si>
    <t>----PGY----Y-----------FTTVQP-QD--A-----FGRSP-----S---------</t>
  </si>
  <si>
    <t>---------------AGIYVY-------------SFGL-DV-TG--MTS-KG-----AL-</t>
  </si>
  <si>
    <t>-------------NFSRM-DNA-TLS----------------------------------</t>
  </si>
  <si>
    <t>-----ITTKA---------------------------ATAA-----------TI------</t>
  </si>
  <si>
    <t>YN-----QSTTLASAITDFTSIAI--------YAKSFNVLKI------------------</t>
  </si>
  <si>
    <t>----------------DYGMG-----------------------------G---------</t>
  </si>
  <si>
    <t>----------------ML------------------FAN---------------------</t>
  </si>
  <si>
    <t>-MRKRTVLLSNLC----------------------WKASLSHR--KS-------------</t>
  </si>
  <si>
    <t>------------------------HVKM------IKNK---SLCY---------------</t>
  </si>
  <si>
    <t>-------KM---------------------------------------------------</t>
  </si>
  <si>
    <t>---------------------------------------------TQLIAT---------</t>
  </si>
  <si>
    <t>------------------G-VQD-----------------VFL-T---------------</t>
  </si>
  <si>
    <t>SVRR--------------------------------------------------------</t>
  </si>
  <si>
    <t>---------------ESTVT----------------------------------------</t>
  </si>
  <si>
    <t>--------------------------------------------LSY-------------</t>
  </si>
  <si>
    <t>----------------------------------------TPTMI---------------</t>
  </si>
  <si>
    <t>-----------TIAR-K-------------------------------------------</t>
  </si>
  <si>
    <t>------GD--------------------LVKS----------------------------</t>
  </si>
  <si>
    <t>----------------------------------CVLEIT--------------------</t>
  </si>
  <si>
    <t>------------------M--MK-------------------------------------</t>
  </si>
  <si>
    <t>--------------------------------------------SNIA------------</t>
  </si>
  <si>
    <t>---------------------------------------------------SF-------</t>
  </si>
  <si>
    <t>QFIK-----SITVVVGGQDIE-IIED----------------------------------</t>
  </si>
  <si>
    <t>A------------NQRMLN-----------------------------------------</t>
  </si>
  <si>
    <t>GS----------------------------------------------------------</t>
  </si>
  <si>
    <t>-----------VRTFYLD---L--------------------PLF---------------</t>
  </si>
  <si>
    <t>---YLSTAL-------PLVAL-----QYHEVQLRVVYN----------------------</t>
  </si>
  <si>
    <t>-----------------------PVNIP--------------------------------</t>
  </si>
  <si>
    <t>---------------------------------------------GIDAT----------</t>
  </si>
  <si>
    <t>---------------------------VRF------------------------------</t>
  </si>
  <si>
    <t>---------YADYV-------------------------FLDR-PERAH-FAQAPH----</t>
  </si>
  <si>
    <t>-----EY--------------------M-------IEQ--------------LQI-----</t>
  </si>
  <si>
    <t>ANP----------------------VIN--------------------------------</t>
  </si>
  <si>
    <t>-----------------------------------ATTTTQ-------------------</t>
  </si>
  <si>
    <t>--------------------------------------------------------TV--</t>
  </si>
  <si>
    <t>---TLP-F-NHP----VRYIMWVY--QSNLH-----------------------------</t>
  </si>
  <si>
    <t>-------------------------------------GI---------------------</t>
  </si>
  <si>
    <t>----------------------------------GKTPFETN------------------</t>
  </si>
  <si>
    <t>--------------KI----------------------QANGVD----------------</t>
  </si>
  <si>
    <t>----------------------RFTTR---------------------------------</t>
  </si>
  <si>
    <t>----PGS----Y-----------FNLVQP-TQ--A-----VNQAP-----S---------</t>
  </si>
  <si>
    <t>---------------AGIYMY-------------SFGV-MA-NE--QDS-AG-----TL-</t>
  </si>
  <si>
    <t>-------------NFSQL-DTV-TLQ----------------------------------</t>
  </si>
  <si>
    <t>-----LTAKA---------------------------ASAS-----------TI------</t>
  </si>
  <si>
    <t>LT-----PGVTLDTALTKFTTIAI--------FAVNYNVFRV------------------</t>
  </si>
  <si>
    <t>----------------MDGMG-----------------------------G---------</t>
  </si>
  <si>
    <t>----------------IM------------------WAN---------------------</t>
  </si>
  <si>
    <t>--------------------------------------------M---------------</t>
  </si>
  <si>
    <t>-------VS---------------------------------------------------</t>
  </si>
  <si>
    <t>---------------------------------------------GGV------------</t>
  </si>
  <si>
    <t>---------------------------------------------VQLISY---------</t>
  </si>
  <si>
    <t>------------------G-AQD-----------------VYI-S---------------</t>
  </si>
  <si>
    <t>---------------GG---------------------------P---------------</t>
  </si>
  <si>
    <t>VKKV--------------------------------------------------------</t>
  </si>
  <si>
    <t>------NNFAIDSV----------------------------------------------</t>
  </si>
  <si>
    <t>---------------KIPIN----------------------------------------</t>
  </si>
  <si>
    <t>--------------------------------------------GMG-------------</t>
  </si>
  <si>
    <t>---------------------------------------------N--------------</t>
  </si>
  <si>
    <t>----------------------------------------GNPSV---------------</t>
  </si>
  <si>
    <t>-----------LIPR-N-------------------------------------------</t>
  </si>
  <si>
    <t>------GD--------------------LIKS----------------------------</t>
  </si>
  <si>
    <t>----------------------------------IRLEIT--------------------</t>
  </si>
  <si>
    <t>--------------------------------------------GTGQ------------</t>
  </si>
  <si>
    <t>QLIS-----YLALKIGGNIIQ-KIDD----------------------------------</t>
  </si>
  <si>
    <t>T------------DYRVNN-----------------------------------------</t>
  </si>
  <si>
    <t>-----------VKYFFLD---L--------------------PLF---------------</t>
  </si>
  <si>
    <t>---------FSK------------------------------------------------</t>
  </si>
  <si>
    <t>---DTSVAL-------PLIAL-----QYHDIELDFRFN----------------------</t>
  </si>
  <si>
    <t>-----D------------------------------------------------------</t>
  </si>
  <si>
    <t>-----------------------VSTIQ--------------------------------</t>
  </si>
  <si>
    <t>---------------------------------------------GVDAS----------</t>
  </si>
  <si>
    <t>---------------------------IEM------------------------------</t>
  </si>
  <si>
    <t>---------YIDYV-------------------------YLEQ-QERIK-LVEKPL----</t>
  </si>
  <si>
    <t>-----FY--------------------N-------IEQ--------------CNF-----</t>
  </si>
  <si>
    <t>KDI----------------------TFP--------------------------------</t>
  </si>
  <si>
    <t>-----------------------------------ALSSTF-------------------</t>
  </si>
  <si>
    <t>---DIP-F-NNP----SRFLVWYF--NTDSF-----------------------------</t>
  </si>
  <si>
    <t>-------------------------YNT--------------------------------</t>
  </si>
  <si>
    <t>----------------------------------SGLYFNSN------------------</t>
  </si>
  <si>
    <t>--------------VM----------------------LLNGTE----------------</t>
  </si>
  <si>
    <t>----------------------RFKSR---------------------------------</t>
  </si>
  <si>
    <t>----EGM----Y-----------FNCVQP-QQ--A-----LGRSP-----S---------</t>
  </si>
  <si>
    <t>---------------SGIYMY-------------AFGE-DV-AN--ATS-KG-----AL-</t>
  </si>
  <si>
    <t>-------------DMSRV-NEL-SLQ----------------------------------</t>
  </si>
  <si>
    <t>-----LTTKN---------------------------ATAA-----------NV------</t>
  </si>
  <si>
    <t>YN-----PQETLASSTSTYKGITL--------FSTNWNVLQV------------------</t>
  </si>
  <si>
    <t>----------------RSGLG-----------------------------A---------</t>
  </si>
  <si>
    <t>----------------VM------------------FDS---------------------</t>
  </si>
  <si>
    <t>---------------------------------------------TQLVAV---------</t>
  </si>
  <si>
    <t>------------------G-YQD-----------------VYL-T---------------</t>
  </si>
  <si>
    <t>---------------GD---------------------------A---------------</t>
  </si>
  <si>
    <t>YKRY--------------------------------------------------------</t>
  </si>
  <si>
    <t>------TNFALESI----------------------------------------------</t>
  </si>
  <si>
    <t>---------------EQNIS----------------------------------------</t>
  </si>
  <si>
    <t>------------------------------------------GAVDY-------------</t>
  </si>
  <si>
    <t>----------------------------------------NEVTI---------------</t>
  </si>
  <si>
    <t>-----------KISK-S-------------------------------------------</t>
  </si>
  <si>
    <t>------GD--------------------LINA----------------------------</t>
  </si>
  <si>
    <t>----------------------------------IALQIT--------------------</t>
  </si>
  <si>
    <t>------------------L--QR-------------------------------------</t>
  </si>
  <si>
    <t>-----------------------------------------ADLSLPQ------------</t>
  </si>
  <si>
    <t>---------------------------------------------------PY-------</t>
  </si>
  <si>
    <t>HFID-----YVEVYVGGQKVF-EFD-----------------------------------</t>
  </si>
  <si>
    <t>A------------YNTMCD-----------------------------------------</t>
  </si>
  <si>
    <t>GY----------------------------------------------------------</t>
  </si>
  <si>
    <t>-----------ERTFYLP---L--------------------PLW---------------</t>
  </si>
  <si>
    <t>---------FNAF-----------------------------------------------</t>
  </si>
  <si>
    <t>---NNGNAL-------PLVAL-----QYHDVQIRLKLT----------------------</t>
  </si>
  <si>
    <t>-----Q------------------------------------------------------</t>
  </si>
  <si>
    <t>-----------------------SQYIV--------------------------------</t>
  </si>
  <si>
    <t>---------------------------------------------GINES----------</t>
  </si>
  <si>
    <t>--------------------------FTPT------------------------------</t>
  </si>
  <si>
    <t>---------------------------MRC------------------------------</t>
  </si>
  <si>
    <t>---------YADYV-------------------------FLDP-PERKW-FAQTPH----</t>
  </si>
  <si>
    <t>-----KY--------------------I-------IQQ--------------VQR-----</t>
  </si>
  <si>
    <t>SPA----------------------QVS--------------------------------</t>
  </si>
  <si>
    <t>-----------------------------------NTNNNY-------------------</t>
  </si>
  <si>
    <t>---TLP-F-NHP----VQCLLWALIPNMTTH-----------------------------</t>
  </si>
  <si>
    <t>-------------------------------------GQ---------------------</t>
  </si>
  <si>
    <t>-------------------------YT---------------------------------</t>
  </si>
  <si>
    <t>-----------------------------------GLPGEQN------------------</t>
  </si>
  <si>
    <t>--------------KI----------------------SFNGVD----------------</t>
  </si>
  <si>
    <t>----------------------RFTAR---------------------------------</t>
  </si>
  <si>
    <t>----QGR----Y-----------FQSYQPWYS--A-----KGQWM-----T---------</t>
  </si>
  <si>
    <t>---------------SGVYLY-------------SFGT-NI-KY--GVP-SG-----TM-</t>
  </si>
  <si>
    <t>-------------NFSRV-DTA-LLH----------------------------------</t>
  </si>
  <si>
    <t>-----ITTKA---------------------------AVVA---------DTTT------</t>
  </si>
  <si>
    <t>VT-----ELMTTTTA-NALTTLLT--------YAVNFNVLRV------------------</t>
  </si>
  <si>
    <t>----------------DSGMG-----------------------------G---------</t>
  </si>
  <si>
    <t>----------------IE------------------FAN---------------------</t>
  </si>
  <si>
    <t>------------------------------------------MAS---------------</t>
  </si>
  <si>
    <t>-------TG---------------------------------------------------</t>
  </si>
  <si>
    <t>---------------------------------------------MQLVAV---------</t>
  </si>
  <si>
    <t>------------------G-AQD-----------------VNL-T---------------</t>
  </si>
  <si>
    <t>HRKT--------------------------------------------------------</t>
  </si>
  <si>
    <t>------KLFAVESI----------------------------------------------</t>
  </si>
  <si>
    <t>---------------RQTLE----------------------------------------</t>
  </si>
  <si>
    <t>------------------------------------------GDATY-------------</t>
  </si>
  <si>
    <t>----------------------------------------GQATC---------------</t>
  </si>
  <si>
    <t>-----------KLTR-S-------------------------------------------</t>
  </si>
  <si>
    <t>------GD--------------------LICG----------------------------</t>
  </si>
  <si>
    <t>----------------------------------LMFQIT--------------------</t>
  </si>
  <si>
    <t>-----------GP-----------------------------------------------</t>
  </si>
  <si>
    <t>-----------------------------------------SGPNDPI------------</t>
  </si>
  <si>
    <t>HLIQ-----NIELRIGGQRID-WIP-----------------------------------</t>
  </si>
  <si>
    <t>A------------YTDMAD-----------------------------------------</t>
  </si>
  <si>
    <t>GQ----------------------------------------------------------</t>
  </si>
  <si>
    <t>-----------QRTFFLP---I--------------------PFF---------------</t>
  </si>
  <si>
    <t>---------FSQW-----------------------------------------------</t>
  </si>
  <si>
    <t>---DWSRAL-------PLIAL-----QYHEVELWINFT----------------------</t>
  </si>
  <si>
    <t>-----------------------ANEIV--------------------------------</t>
  </si>
  <si>
    <t>---------------------------------------------GIDTS----------</t>
  </si>
  <si>
    <t>--------------------------FFPQ------------------------------</t>
  </si>
  <si>
    <t>---------------------------INL------------------------------</t>
  </si>
  <si>
    <t>---------YADYA-------------------------FVDS-PERVW-FAQNPH----</t>
  </si>
  <si>
    <t>-----EY--------------------L-------VTQ--------------LQY-----</t>
  </si>
  <si>
    <t>QSI----------------------IVD--------------------------------</t>
  </si>
  <si>
    <t>-----------------------------------ALTRDY-------------------</t>
  </si>
  <si>
    <t>---PIN-F-NHP----CKFLAWNFSPGTQTH-----------------------------</t>
  </si>
  <si>
    <t>-------------------------FT---------------------------------</t>
  </si>
  <si>
    <t>-----------------------------------YLQGETD------------------</t>
  </si>
  <si>
    <t>--------------DI----------------------YLNGRE----------------</t>
  </si>
  <si>
    <t>----------------------RFRVR---------------------------------</t>
  </si>
  <si>
    <t>----PGK----Y-----------FKDANPWLS--Q-----YGGYF-----T---------</t>
  </si>
  <si>
    <t>---------------SGLYAY-------------NFGLNNC-LG--RGP-AG-----TL-</t>
  </si>
  <si>
    <t>-------------NFSRI-DNS-ILR----------------------------------</t>
  </si>
  <si>
    <t>-----IVTKQ---------------------------AVLT-----------GS------</t>
  </si>
  <si>
    <t>TT-----EAQTNVEN-SVLGLVEM--------YALNYNVLRI------------------</t>
  </si>
  <si>
    <t>---------------------------------------------MSI------------</t>
  </si>
  <si>
    <t>---------------------------------------------TQLIAS---------</t>
  </si>
  <si>
    <t>------------------S-PAD-----------------SFL-Y---------------</t>
  </si>
  <si>
    <t>---------------GT---------------------------P---------------</t>
  </si>
  <si>
    <t>SCRV--------------------------------------------------------</t>
  </si>
  <si>
    <t>------P-YSTEMI----------------------------------------------</t>
  </si>
  <si>
    <t>---------------RMDLT----------------------------------------</t>
  </si>
  <si>
    <t>-------------------------------------------SYTT-------------</t>
  </si>
  <si>
    <t>---------------------------------------------P--------------</t>
  </si>
  <si>
    <t>----------------------------------------GKGSL---------------</t>
  </si>
  <si>
    <t>-----------IIPR-K-------------------------------------------</t>
  </si>
  <si>
    <t>------GD--------------------MLTN----------------------------</t>
  </si>
  <si>
    <t>----------------------------------VFLQIQ--------------------</t>
  </si>
  <si>
    <t>-----------LS-----------------------------------------------</t>
  </si>
  <si>
    <t>--------------------------------------------STGT------------</t>
  </si>
  <si>
    <t>---------------------------------------------------QF-------</t>
  </si>
  <si>
    <t>NLVS-----SVRLYIGGQLIE-QFD-----------------------------------</t>
  </si>
  <si>
    <t>A------------LITMEQ-----------------------------------------</t>
  </si>
  <si>
    <t>GM----------------------------------------------------------</t>
  </si>
  <si>
    <t>-----------IRSLWLS---L--------------------PFW---------------</t>
  </si>
  <si>
    <t>---------FNT------------------------------------------------</t>
  </si>
  <si>
    <t>----TSLAI-------PMIAL-----QYHEIRLEFDFE----------------------</t>
  </si>
  <si>
    <t>-----------------------PNNIP--------------------------------</t>
  </si>
  <si>
    <t>---------------------------------------------GIDPA----------</t>
  </si>
  <si>
    <t>--------------------------FLPV------------------------------</t>
  </si>
  <si>
    <t>---------------------------ITA------------------------------</t>
  </si>
  <si>
    <t>---------WGEYA-------------------------FLPS-EERVL-FVKTPH----</t>
  </si>
  <si>
    <t>-----KY--------------------I-------FEQ--------------TQT-----</t>
  </si>
  <si>
    <t>FPS----------------------RIS--------------------------------</t>
  </si>
  <si>
    <t>-----------------------------------TTSSRT-------------------</t>
  </si>
  <si>
    <t>--------------------------------------------------------TL--</t>
  </si>
  <si>
    <t>--YTLP-F-NLP----VKYLLFVFR-NQNVF-----------------------------</t>
  </si>
  <si>
    <t>-------------------------YSG--------------------------------</t>
  </si>
  <si>
    <t>----------------------------------DTTVGLSA------------------</t>
  </si>
  <si>
    <t>--------------KL----------------------QINGVD----------------</t>
  </si>
  <si>
    <t>----------------------RFEEQ---------------------------------</t>
  </si>
  <si>
    <t>----TGS----Y-----------FRLIEP-YR--T-----MQCVP-----P---------</t>
  </si>
  <si>
    <t>---------------AGIYSY-------------FFSKAPL-NV--HAA-SG-----TL-</t>
  </si>
  <si>
    <t>-------------NFSAL-DTV-KLL----------------------------------</t>
  </si>
  <si>
    <t>-----VTTKA---------------------------ASAA-----------TI------</t>
  </si>
  <si>
    <t>FD-----EQTSVNSA-ANLTTFTV--------IARSMNVLRI------------------</t>
  </si>
  <si>
    <t>----------------QDGMG-----------------------------G---------</t>
  </si>
  <si>
    <t>----------------VM------------------FAN---------------------</t>
  </si>
  <si>
    <t>--------------------------------------------V---------------</t>
  </si>
  <si>
    <t>---------------------------------------------SGL------------</t>
  </si>
  <si>
    <t>---------------------------------------------IQIVAY---------</t>
  </si>
  <si>
    <t>------------------G-SQD-----------------IYL-T---------------</t>
  </si>
  <si>
    <t>---------------SA---------------------------P---------------</t>
  </si>
  <si>
    <t>YRKY--------------------------------------------------------</t>
  </si>
  <si>
    <t>------SNFAMESV----------------------------------------------</t>
  </si>
  <si>
    <t>---------------EVPLN----------------------------------------</t>
  </si>
  <si>
    <t>------------------------------------------GTPKF-------------</t>
  </si>
  <si>
    <t>----------------------------------------HRFIT---------------</t>
  </si>
  <si>
    <t>-----------SIPK-T-------------------------------------------</t>
  </si>
  <si>
    <t>----------------------------------LYLKVE--------------------</t>
  </si>
  <si>
    <t>------------------I--PA-------------------------------------</t>
  </si>
  <si>
    <t>-----------INLIANQ------------------------------------------</t>
  </si>
  <si>
    <t>-----------------NDV----------------------------------------</t>
  </si>
  <si>
    <t>--YIDNSI----------------------------------------------------</t>
  </si>
  <si>
    <t>------------------------VNAAKSKLS---------------------------</t>
  </si>
  <si>
    <t>-------------------------------------------INQALLTKYL-------</t>
  </si>
  <si>
    <t>------EFFKYN------------------------------------------------</t>
  </si>
  <si>
    <t>MT----------------------------------------------------------</t>
  </si>
  <si>
    <t>K-TL--------INNYK-------------------------------ASLQLKINT---</t>
  </si>
  <si>
    <t>----------------------------------------IGVVLDDVLSK---------</t>
  </si>
  <si>
    <t>----YDITYPDS------------------------------------------AKS---</t>
  </si>
  <si>
    <t>N-----------------------------------------------VVLISSIQSFIN</t>
  </si>
  <si>
    <t>TMNIY-----------------YQNQEKIILDNIAH------------------------</t>
  </si>
  <si>
    <t>---------------------------------------------LNEGISNLITS----</t>
  </si>
  <si>
    <t>NLID-----KCSVLIGGQEIV-NMD-----------------------------------</t>
  </si>
  <si>
    <t>M------------LNEMIGNVPELT-----------------------------------</t>
  </si>
  <si>
    <t>--------------------------------------------SYS-------------</t>
  </si>
  <si>
    <t>-----RNQKN-NYILYIP---I--------------------PAW---------------</t>
  </si>
  <si>
    <t>---------FTE------------------------------------------------</t>
  </si>
  <si>
    <t>---HSGNAF-------PLIAL-----VYGELEIAIEFS----------------------</t>
  </si>
  <si>
    <t>-----S---------------LDKC------------CI---------------------</t>
  </si>
  <si>
    <t>-----------------------------------YNGQSN-----IN------------</t>
  </si>
  <si>
    <t>-----------------------NLVQLGA------------------------------</t>
  </si>
  <si>
    <t>---------------------------CSL------------------------------</t>
  </si>
  <si>
    <t>---------LVDYI-------------------------FLDV-DERKK-FGQFSH----</t>
  </si>
  <si>
    <t>-----EY--------------------L-------VQS--------------VQ------</t>
  </si>
  <si>
    <t>SSE----------------------NFNI-------------------------------</t>
  </si>
  <si>
    <t>-----------------------------------------------------VEASV--</t>
  </si>
  <si>
    <t>---ELD-V-FHP----VKELFWYAQEQKYLLNNKLYN-----------------------</t>
  </si>
  <si>
    <t>-----KYYCA--------------------------------------------------</t>
  </si>
  <si>
    <t>-----------------------YVYDI--------------------------------</t>
  </si>
  <si>
    <t>----------------------------------SFITQSSS------------------</t>
  </si>
  <si>
    <t>TPTTD-------LLTI----------------------YFNRIDGDSEIFEKGSLINIKY</t>
  </si>
  <si>
    <t>SKYYDDQYVVLDTSADYVIIKVKYQEYVDYH----DRLYG------------------II</t>
  </si>
  <si>
    <t>YNEVDHH----T-----------FNPINT--E--HISFGGVTRTP-----KT-DYM--YY</t>
  </si>
  <si>
    <t>NGVMPYQTYKN-EVDSGINSY-------------SFSLH-P-HQ--FQP-SG-----SC-</t>
  </si>
  <si>
    <t>-------------NFSLL-KSK-MLY----------------------------------</t>
  </si>
  <si>
    <t>-----FRLNNTY-------------------------YNYL---------TEQ-------</t>
  </si>
  <si>
    <t>------------ETS----YRINI--------YATNYNVLRI------------------</t>
  </si>
  <si>
    <t>----------------SNGIG-----------------------------T---------</t>
  </si>
  <si>
    <t>----------------LV------------------FSS---------------------</t>
  </si>
  <si>
    <t>&gt;1704MEGAvirome_5-NODE_443_length_12006_cov_117.892620_13 [4497 - 2689] (REVERSE SENSE)</t>
  </si>
  <si>
    <t>---------------------------------------------INIISY---------</t>
  </si>
  <si>
    <t>------------------G-SQD-----------------LYL-S---------------</t>
  </si>
  <si>
    <t>------TNFSMESV----------------------------------------------</t>
  </si>
  <si>
    <t>---------------QLAID----------------------------------------</t>
  </si>
  <si>
    <t>------------------------------------------DKLKF-------------</t>
  </si>
  <si>
    <t>----------------------------------------ESSQI---------------</t>
  </si>
  <si>
    <t>-----------VIPP-I-------------------------------------------</t>
  </si>
  <si>
    <t>------GD--------------------AIHK----------------------------</t>
  </si>
  <si>
    <t>----------------------------------GYLEIT--------------------</t>
  </si>
  <si>
    <t>------------------V--PR-------------------------------------</t>
  </si>
  <si>
    <t>-----------VAI--KK------------------------------------------</t>
  </si>
  <si>
    <t>-----------------TDV----------------------------------------</t>
  </si>
  <si>
    <t>--GLRPT-----------------------------------------------------</t>
  </si>
  <si>
    <t>-------------------------SYTQEQLN---------------------------</t>
  </si>
  <si>
    <t>-------------------------------------------ANMADYNKVV-------</t>
  </si>
  <si>
    <t>------DFMKINTE----------------------------------------------</t>
  </si>
  <si>
    <t>AYRAAYEDIEVENINED--------------TIIDHALEQ------------------FK</t>
  </si>
  <si>
    <t>DV----------------------------------------------------------</t>
  </si>
  <si>
    <t>KSTI--------IDNYDY---------------------LMDTTRFTGITASKNATS---</t>
  </si>
  <si>
    <t>----------------------------------------IYIIMTNLRDK---------</t>
  </si>
  <si>
    <t>----ID-------------------------------------------------ND---</t>
  </si>
  <si>
    <t>K-----------------------------------------------TLLDDAIKRSIE</t>
  </si>
  <si>
    <t>TQEYF-----------------YNK----TLEHKAT------------------------</t>
  </si>
  <si>
    <t>---------------------------------------------VEDGTSEYIK-----</t>
  </si>
  <si>
    <t>AIID-----NIEVSIGGQVID-KHY-----------------------------------</t>
  </si>
  <si>
    <t>M------------YKIVIGDISSMT-----------------------------------</t>
  </si>
  <si>
    <t>--------------------------------------------TFD-------------</t>
  </si>
  <si>
    <t>-----RNPKP-EYKIRIP---L--------------------SFW---------------</t>
  </si>
  <si>
    <t>---FNGLAF-------PLVAL-----QYSEFIINVKLN----------------------</t>
  </si>
  <si>
    <t>-----S---------------LAKC------------CY---------------------</t>
  </si>
  <si>
    <t>-----------------------------------IERLTNSSDEEINVSLDDL------</t>
  </si>
  <si>
    <t>-------------------------------------------------FN---------</t>
  </si>
  <si>
    <t>----------------------DNSYQLDG------------------------------</t>
  </si>
  <si>
    <t>---------------------------V-I------------------------------</t>
  </si>
  <si>
    <t>---------VMDYI-------------------------YMEG-KERKK-FAQSSH----</t>
  </si>
  <si>
    <t>-----EY--------------------L-------ITT--------------VQ------</t>
  </si>
  <si>
    <t>DFK----------------------HITK-------------------------------</t>
  </si>
  <si>
    <t>-----------------------------------------------------YKQKL--</t>
  </si>
  <si>
    <t>---KLD-F-RHP----CKELIWVAKKDVMSENTNSFR-----------------------</t>
  </si>
  <si>
    <t>-----R-TSP--------------------------------------------------</t>
  </si>
  <si>
    <t>-----------------------LQYSM--------------------------------</t>
  </si>
  <si>
    <t>----------------------------------NYSSTASS------------------</t>
  </si>
  <si>
    <t>--------------SI----------------------YLN-------------------</t>
  </si>
  <si>
    <t>---------------DYVRVE-KY------------------------------------</t>
  </si>
  <si>
    <t>----DGT----F-----------FNILQT-MK--H------NRTP-----A---------</t>
  </si>
  <si>
    <t>---------------DGINAY-------------SFGLA-P-EE--YQP-SG-----SC-</t>
  </si>
  <si>
    <t>-------------NLSVI-PGV-SMY----------------------------------</t>
  </si>
  <si>
    <t>-----VEMDTGM-------------------------FTVK---------SSDV------</t>
  </si>
  <si>
    <t>TA--GSVDDIDIATK----VTIHV--------FAVAHNILRV------------------</t>
  </si>
  <si>
    <t>----------------IGGFA-----------------------------A---------</t>
  </si>
  <si>
    <t>----------------TA------------------Y-----------------------</t>
  </si>
  <si>
    <t>---------------------------------------------LQLQRY---------</t>
  </si>
  <si>
    <t>------------------G-QQN-----------------EYL-N---------------</t>
  </si>
  <si>
    <t>FKKH--------------------------------------------------------</t>
  </si>
  <si>
    <t>------THFSMETK----------------------------------------------</t>
  </si>
  <si>
    <t>---------------RIEFE----------------------------------------</t>
  </si>
  <si>
    <t>------------------------------------------GIQSL-------------</t>
  </si>
  <si>
    <t>---------------------------------------------ATD------------</t>
  </si>
  <si>
    <t>--------------------------------------VDTIMRC---------------</t>
  </si>
  <si>
    <t>------GD--------------------LLKD----------------------------</t>
  </si>
  <si>
    <t>----------------------------------LYFVMN--------------------</t>
  </si>
  <si>
    <t>-----------IY-----------------------------------------------</t>
  </si>
  <si>
    <t>-----------------SGY---------EP-----------------------------</t>
  </si>
  <si>
    <t>-------------------------DSTGTNIGN--------------------------</t>
  </si>
  <si>
    <t>---------------------------------------------------AY-------</t>
  </si>
  <si>
    <t>QIIK-----KATLTIGGSKVS-ELY-----------------------------------</t>
  </si>
  <si>
    <t>N------------FDRLIGHVPEIFFP-----------AYNGLNNG--------------</t>
  </si>
  <si>
    <t>QFFFSNFAK---------------------------------------------------</t>
  </si>
  <si>
    <t>-NPYLQPPSIAARTIHVP---I--------------------PFW---------------</t>
  </si>
  <si>
    <t>---------FTR------------------------------------------------</t>
  </si>
  <si>
    <t>---NPGLAL-------PLIAL-----QYHEVHIEFELR----------------------</t>
  </si>
  <si>
    <t>-----P---------------ISQL------------YTILETKE---------------</t>
  </si>
  <si>
    <t>-----------NMNVSVGERTAPD------------------------------------</t>
  </si>
  <si>
    <t>------------------------ATLSHHNISN--------------------------</t>
  </si>
  <si>
    <t>----------------------FITSIPV-------------------------------</t>
  </si>
  <si>
    <t>---------------------------------ESFNPDTSVMTSLNDGENN---LQ---</t>
  </si>
  <si>
    <t>------------------------------------------------GWNF--------</t>
  </si>
  <si>
    <t>---------------------------CHL------------------------------</t>
  </si>
  <si>
    <t>---------LANYV-------------------------FLDK-EERTK-FALGSH----</t>
  </si>
  <si>
    <t>-----DY--------------------L-------IEQ--------------TFKN----</t>
  </si>
  <si>
    <t>GIKG--------------------------------------------------------</t>
  </si>
  <si>
    <t>------------------------------------------------------TRSV--</t>
  </si>
  <si>
    <t>---KLE-F-SHP----VKYLLWTAQRNDVSK-----------------------------</t>
  </si>
  <si>
    <t>-----KF-----------------------------NGHNN-------------------</t>
  </si>
  <si>
    <t>GSAA--------------YIRRFG------------------------------------</t>
  </si>
  <si>
    <t>---------------VDDADPLYFQYEN--------------------------------</t>
  </si>
  <si>
    <t>----------------------------------GSIREVNGIK----------------</t>
  </si>
  <si>
    <t>----------QTLDML--------------------------------------------</t>
  </si>
  <si>
    <t>LIP---------------------------------------------------------</t>
  </si>
  <si>
    <t>--------------RL----------------------LFDGVE----------------</t>
  </si>
  <si>
    <t>----------------------RYA-----------------------------------</t>
  </si>
  <si>
    <t>----SGSS--IY-----------HQSLQA-FQ--H-----KTKID-----K---------</t>
  </si>
  <si>
    <t>---------------FGLNMY-------------SFELD-A-SN--LSP-NG-----SC-</t>
  </si>
  <si>
    <t>-------------NFSRI-DNV-QLE----------------------------------</t>
  </si>
  <si>
    <t>-----VITIDPP-------------------------PEKD---------NANS------</t>
  </si>
  <si>
    <t>---YD--------------FNLDV--------YAINYNILRI------------------</t>
  </si>
  <si>
    <t>----------------QNGMG-----------------------------S---------</t>
  </si>
  <si>
    <t>----------------TV------------------FAN---------------------</t>
  </si>
  <si>
    <t>---------------------------------------------GGN------------</t>
  </si>
  <si>
    <t>---------------------------------------------LVVISL---------</t>
  </si>
  <si>
    <t>------------------G-AKD-----------------IYL-T---------------</t>
  </si>
  <si>
    <t>------TPFAICRK----------------------------------------------</t>
  </si>
  <si>
    <t>---------------ELNCE----------------------------------------</t>
  </si>
  <si>
    <t>------------------------------------------GVPTF-------------</t>
  </si>
  <si>
    <t>----------------------------------------NKATY---------------</t>
  </si>
  <si>
    <t>-----------NFGN-N-------------------------------------------</t>
  </si>
  <si>
    <t>------GD--------------------LFKN----------------------------</t>
  </si>
  <si>
    <t>----------------------------------LHIEFE--------------------</t>
  </si>
  <si>
    <t>------------------V--PG-------------------------------------</t>
  </si>
  <si>
    <t>-----------LQQVQEG------------------------------------------</t>
  </si>
  <si>
    <t>NVIE-----YIEITFNGQIID-KIY-----------------------------------</t>
  </si>
  <si>
    <t>G------------QDIMMGKYESNFSLQ--------------------------------</t>
  </si>
  <si>
    <t>ED----------------------------------------------------------</t>
  </si>
  <si>
    <t>-----------NYFFSID---V--------------------PFW---------------</t>
  </si>
  <si>
    <t>---------FNG------------------------------------------------</t>
  </si>
  <si>
    <t>---NSCMAI-------PLLAL-----QYTEIKVNIQFR----------------------</t>
  </si>
  <si>
    <t>-----E------------------------------------------------------</t>
  </si>
  <si>
    <t>--------------------------------ALGSVVSDVRLTNVLDKTGTRW------</t>
  </si>
  <si>
    <t>--------------------------EITD------------------------------</t>
  </si>
  <si>
    <t>---------------------------CRL------------------------------</t>
  </si>
  <si>
    <t>---------YADYI-------------------------TLSP-EERTF-FANKPH----</t>
  </si>
  <si>
    <t>-----EY--------------------L-------ITQ--------------HQ------</t>
  </si>
  <si>
    <t>EDFI--------------------------------------------------------</t>
  </si>
  <si>
    <t>----------------------------------EAGITNK-------------------</t>
  </si>
  <si>
    <t>---NMT-F-EHP----VRYFHWIIQNNPEIN-----------------------------</t>
  </si>
  <si>
    <t>----------------------------------------------TDISSVAGNKW---</t>
  </si>
  <si>
    <t>-----------------------SVYEA--------------------------------</t>
  </si>
  <si>
    <t>----------------------------------T-------------------------</t>
  </si>
  <si>
    <t>--------------TL----------------------RLNGID----------------</t>
  </si>
  <si>
    <t>---YQD----------------RMKYH---------------------------------</t>
  </si>
  <si>
    <t>-----------Y-----------YLSMMA-HQ--Y-----FKNNP-----R---------</t>
  </si>
  <si>
    <t>---------------KYVYSY-------------SFSLH-P-LQ--WKP-SG-----QV-</t>
  </si>
  <si>
    <t>-------------NFSKF-DKK-ELI----------------------------------</t>
  </si>
  <si>
    <t>-----L-------------------------------NTPV---------SEND------</t>
  </si>
  <si>
    <t>-------------------RRINI--------YATNYNVLRI------------------</t>
  </si>
  <si>
    <t>----------------ASGLG-----------------------------S---------</t>
  </si>
  <si>
    <t>----------------LA------------------FRH---------------------</t>
  </si>
  <si>
    <t>&gt;1705MEGAvirome_4-NODE_13947_length_486_cov_1.237852_3 [485 - 3] (REVERSE SENSE)</t>
  </si>
  <si>
    <t>--------------------------------------------I---------------</t>
  </si>
  <si>
    <t>--------------------------------------------T---------------</t>
  </si>
  <si>
    <t>---------------AN---------------------------P---------------</t>
  </si>
  <si>
    <t>------TNFAQGSI----------------------------------------------</t>
  </si>
  <si>
    <t>---------------EITFQ----------------------------------------</t>
  </si>
  <si>
    <t>------------------------------------------GETSF-------------</t>
  </si>
  <si>
    <t>----------------------------------------KQLAA---------------</t>
  </si>
  <si>
    <t>-----------VIQR-S-------------------------------------------</t>
  </si>
  <si>
    <t>------GD--------------------LVKE----------------------------</t>
  </si>
  <si>
    <t>----------------------------------IYFVFD--------------------</t>
  </si>
  <si>
    <t>------------------L--PAI------------------------------------</t>
  </si>
  <si>
    <t>-------------------------------------------INPNE------------</t>
  </si>
  <si>
    <t>-------------------------------------------D----------------</t>
  </si>
  <si>
    <t>AIIE-----RVQVLVGGQCID-EQF-----------------------------------</t>
  </si>
  <si>
    <t>---------------GEFLEIWEELTA---------DSAR------------------R-</t>
  </si>
  <si>
    <t>-------------LEEMIGKRFSRAQ----------------------------------</t>
  </si>
  <si>
    <t>--------------------------------------------LIEDAK----------</t>
  </si>
  <si>
    <t>------------L-----------------------------------------------</t>
  </si>
  <si>
    <t>-----------PRRYYTP---L--------------------QFW---------------</t>
  </si>
  <si>
    <t>---NAGLAL-------P-------------------------------------------</t>
  </si>
  <si>
    <t>&gt;1705MEGAvirome_4-NODE_9426_length_745_cov_96.990769_1 [262 - 744]</t>
  </si>
  <si>
    <t>--------------------------------------------SGSN------------</t>
  </si>
  <si>
    <t>------------------G-AQD-----------------LYT-T---------------</t>
  </si>
  <si>
    <t>------TNFAMEMIR---------------------------------------------</t>
  </si>
  <si>
    <t>---------------EEFFVSPTL------------------------------------</t>
  </si>
  <si>
    <t>------------------------------------------STINR-------------</t>
  </si>
  <si>
    <t>----------------------------------------TKATV---------------</t>
  </si>
  <si>
    <t>-----------KIKR-H-------------------------------------------</t>
  </si>
  <si>
    <t>------GD--------------------LMSD----------------------------</t>
  </si>
  <si>
    <t>----------------------------------TYLVFE--------------------</t>
  </si>
  <si>
    <t>---------------------------------------------------IY-------</t>
  </si>
  <si>
    <t>RLIN-----HVEIFLGSHRLD-IQY-----------------------------------</t>
  </si>
  <si>
    <t>S------------YYKMIGN----------------------------------------</t>
  </si>
  <si>
    <t>---------------------------AEL------------------------------</t>
  </si>
  <si>
    <t>----------RP------------------------------------------------</t>
  </si>
  <si>
    <t>--------------SI--------------------------------------------</t>
  </si>
  <si>
    <t>-----------Y------------------------------------------------</t>
  </si>
  <si>
    <t>---------------------------------------------------------AL-</t>
  </si>
  <si>
    <t>-------------------DDI--------------------------------------</t>
  </si>
  <si>
    <t>---------------HL-------------------------------------------</t>
  </si>
  <si>
    <t>&gt;1704MEGAvirome_5-NODE_12096_length_338_cov_2.037037_1 [337 - 2] (REVERSE SENSE)</t>
  </si>
  <si>
    <t>---------------------------------------------------------Y--</t>
  </si>
  <si>
    <t>-NSHLN-F-SHP----TKYIVWFVQPSHYRE-----------------------------</t>
  </si>
  <si>
    <t>-------------------------------------------------NPTGKTKCQW-</t>
  </si>
  <si>
    <t>-----------------------NNFGT--------------------------------</t>
  </si>
  <si>
    <t>--------------HL----------------------RINSYE----------------</t>
  </si>
  <si>
    <t>----------------------RTDPN----------------LG---------------</t>
  </si>
  <si>
    <t>---------VGY-----------YNYVQP-YW--Y-----FISTP---------------</t>
  </si>
  <si>
    <t>--------------TDGLYVY-------------SFSLK-P-TE--HQP-SS-----TL-</t>
  </si>
  <si>
    <t>-------------NLSRI-H----------------------------------------</t>
  </si>
  <si>
    <t>---------------------------------------------VQLAVY---------</t>
  </si>
  <si>
    <t>------------------G-SQD-----------------IFL-T---------------</t>
  </si>
  <si>
    <t>------TNFAIEPI----------------------------------------------</t>
  </si>
  <si>
    <t>---------------TQHLI----------------------------------------</t>
  </si>
  <si>
    <t>------------------------------------------GITNF-------------</t>
  </si>
  <si>
    <t>----------------------------------------EEMNC---------------</t>
  </si>
  <si>
    <t>-----------RIEK---------------------------------------------</t>
  </si>
  <si>
    <t>-----IGD--------------------LMSR----------------------------</t>
  </si>
  <si>
    <t>----------------------------------VYIEID--------------------</t>
  </si>
  <si>
    <t>------------------I--PKV-------------------D----------------</t>
  </si>
  <si>
    <t>-----------LKIRNDSMWSTNLQIAE-----------KQY---------NLLKNYY--</t>
  </si>
  <si>
    <t>-----------------SQVYNF-------------------------------------</t>
  </si>
  <si>
    <t>-------------------------------------------ISE--------------</t>
  </si>
  <si>
    <t>------------------------NSQTARNLVK--------------------------</t>
  </si>
  <si>
    <t>----------------------------------------------------L-------</t>
  </si>
  <si>
    <t>----------------------------------------------LRINNIDLD-----</t>
  </si>
  <si>
    <t>--------------------------------------EISKIVGDEKFSKNLN------</t>
  </si>
  <si>
    <t>DE-ISNIPEFKDIM---AKNR---YHLLQDIKCLDV------------IAIYKSISNNKN</t>
  </si>
  <si>
    <t>CNLVD---------------EQYNNIIKNKLLNV--------------------------</t>
  </si>
  <si>
    <t>-------------------------------------------------IQNSLYTQ---</t>
  </si>
  <si>
    <t>----------------------------------------MYDFYMPIYNAYLIAQ----</t>
  </si>
  <si>
    <t>--------------------------------KKY-QSIK--------------------</t>
  </si>
  <si>
    <t>----------------------------------NNSY----------------------</t>
  </si>
  <si>
    <t>SIFD-----FIEIRIGDQIID-RHT-----------------------------------</t>
  </si>
  <si>
    <t>---------------GDWMIIFNKLFIHDH------HIDN--------------------</t>
  </si>
  <si>
    <t>-------------YNKMIGNVKELTV----------------------------------</t>
  </si>
  <si>
    <t>--------------------------------------------FDDSIKN---------</t>
  </si>
  <si>
    <t>-----------SYKLIIP---L--------------------QFW---------------</t>
  </si>
  <si>
    <t>---HTGLSL-------PLIAL-----RYSDVIITIKLK----------------------</t>
  </si>
  <si>
    <t>-----D---------------LSKVCYY--------------------------------</t>
  </si>
  <si>
    <t>-------------------------------QDDPALSNMSTVQSQYDINIV--------</t>
  </si>
  <si>
    <t>-----------------------------------------------------N------</t>
  </si>
  <si>
    <t>---------------------------AKL------------------------------</t>
  </si>
  <si>
    <t>---------YVDYV-------------------------FLDS-DERKR-FAKSTH----</t>
  </si>
  <si>
    <t>-----EY--------------------L-------IET--------------IQMNEFD-</t>
  </si>
  <si>
    <t>---------------------------------------------------DIFSEKY--</t>
  </si>
  <si>
    <t>-NANLS-F-SNP----TKFITWFVQPNFYRE-----------------------------</t>
  </si>
  <si>
    <t>-------------------------------------------------NPTGTNKCQW-</t>
  </si>
  <si>
    <t>-----------------------NNFGI--------------------------------</t>
  </si>
  <si>
    <t>--------------YI----------------------LINGYN----------------</t>
  </si>
  <si>
    <t>----------------------ITNNN----------------GD---------------</t>
  </si>
  <si>
    <t>---------MKF-----------FNYMHP-YW--Y-----FNHSP---------------</t>
  </si>
  <si>
    <t>--------------PDGLNVY-------------SFSIK-P-TI--HQP-SA-----TI-</t>
  </si>
  <si>
    <t>-------------NLSRI-DKF-SIL----------------------------------</t>
  </si>
  <si>
    <t>-----MEFTKKF------------------------------------------------</t>
  </si>
  <si>
    <t>IN-----------------DEYQITKGAYMGAYTMNYNILRI------------------</t>
  </si>
  <si>
    <t>----------------MNGMA-----------------------------G---------</t>
  </si>
  <si>
    <t>----------------LA------------------FQTSH-------------------</t>
  </si>
  <si>
    <t>&gt;1704MEGAvirome_5-NODE_5474_length_912_cov_1.938800_1 [43 - 525]</t>
  </si>
  <si>
    <t>------------------------YIDI--------------------------------</t>
  </si>
  <si>
    <t>---------------------------------------------IQLAVY---------</t>
  </si>
  <si>
    <t>------------------G-TQD-----------------IFL-T---------------</t>
  </si>
  <si>
    <t>---------------VQHFI----------------------------------------</t>
  </si>
  <si>
    <t>----------------------------------------QEIVS---------------</t>
  </si>
  <si>
    <t>-----------VVEK---------------------------------------------</t>
  </si>
  <si>
    <t>-----MGD--------------------LMSR----------------------------</t>
  </si>
  <si>
    <t>----------------------------------VYLEID--------------------</t>
  </si>
  <si>
    <t>------------------I--PKI-------------------N----------------</t>
  </si>
  <si>
    <t>-----------L-VKNSSNW----------------------------------------</t>
  </si>
  <si>
    <t>-------------------------------------------IKDKSTAKN--------</t>
  </si>
  <si>
    <t>---------------------------------------------------DY-------</t>
  </si>
  <si>
    <t>----------------------------------------------DKISN---------</t>
  </si>
  <si>
    <t>-----------FYGLV--------------------------------------------</t>
  </si>
  <si>
    <t>-ISRLT-F-ELS----TPFLNIAIK---YR------------------------------</t>
  </si>
  <si>
    <t>-------------------------------------------------NQGVYNKC---</t>
  </si>
  <si>
    <t>--------------IF----------------------RI--------------------</t>
  </si>
  <si>
    <t>---------IIF-----------F------------------------------------</t>
  </si>
  <si>
    <t>-----------------MHVF-------------KFSCS-K-------------------</t>
  </si>
  <si>
    <t>&gt;1704MEGAvirome_5-NODE_10225_length_411_cov_1.392405_1 [1 - 411]</t>
  </si>
  <si>
    <t>IQNTGKYLANNFVNSVLPAVNN---------LGNNFGKDFYHRLNTHN-AIIGAIESLSI</t>
  </si>
  <si>
    <t>SVPTVIIKPFVLNDCYDIYRPNNQNVYFDSTYYSSIIDPNFKLNFMLK--------SNQV</t>
  </si>
  <si>
    <t>EKYIQSNEFIPIDIIGTNDFIY--------------------------------------</t>
  </si>
  <si>
    <t>-------------------------------------------PEI--------------</t>
  </si>
  <si>
    <t>-------------DNN--------------------------------------------</t>
  </si>
  <si>
    <t>&gt;1704MEGAvirome_5-NODE_2777_length_2016_cov_6.150963_1 [2015 - 72] (REVERSE SENSE)</t>
  </si>
  <si>
    <t>ITVLKNDNNTN----------RILSVKDCLNYFMDY----LWDHSYPSMKQFGFNEKISD</t>
  </si>
  <si>
    <t>V-----------------------INKYSS--------NKSNKSNKSNESDKSSESDKS-</t>
  </si>
  <si>
    <t>-IIYGLNLYLGKLLILL-----------------EQQYNSGLEI-KN-------------</t>
  </si>
  <si>
    <t>YLVD-----EISISTNSETID-SHK-----------------------------------</t>
  </si>
  <si>
    <t>G------------YYKMIGNIDELTIFSN-------------------------------</t>
  </si>
  <si>
    <t>KS----------------------------------------------------------</t>
  </si>
  <si>
    <t>-----------SRTIILP---L--------------------CFY---------------</t>
  </si>
  <si>
    <t>---NIALSL-------PLNAS-----INLTYTINIKLK----------------------</t>
  </si>
  <si>
    <t>-----E---------------LSDV-----------------------------------</t>
  </si>
  <si>
    <t>-------------------------------------LFKEEFSEYIDNTGSIVK-----</t>
  </si>
  <si>
    <t>-------------------------PKLSN------------------------------</t>
  </si>
  <si>
    <t>---------------------------VHL------------------------------</t>
  </si>
  <si>
    <t>---------MCEYI-------------------------YLSN-EERQA-FVTKHL----</t>
  </si>
  <si>
    <t>TDNNLT--PVY-----KIGT--------------------------NKISCVVK----KN</t>
  </si>
  <si>
    <t>GKKTTETYFNKGIYVDQNNVNVDDNELILR------------------------------</t>
  </si>
  <si>
    <t>-KDLEVKPSKNKS---------------------GISSTMIQHTIID-------------</t>
  </si>
  <si>
    <t>---ENH-F-SNP----TKMMAILIRPDLHII-----------------------------</t>
  </si>
  <si>
    <t>EDYYTKFRQKINNLEDPVYGFLNIINHTI--ENMKI-------PEIPD-------KLIKY</t>
  </si>
  <si>
    <t>ICYNMDVSLPTNSIIIDEFRRLDSNFTL--------------------------------</t>
  </si>
  <si>
    <t>--------------------------DD------DNLYVNYEFFKD--------------</t>
  </si>
  <si>
    <t>---------------------------------------------LQLVCNAT-------</t>
  </si>
  <si>
    <t>------------------A-AEN-----------------MWI-----------------</t>
  </si>
  <si>
    <t>---------------NND--------------------------P---------------</t>
  </si>
  <si>
    <t>FRRH--------------------------------------------------------</t>
  </si>
  <si>
    <t>------TPFASEYI----------------------------------------------</t>
  </si>
  <si>
    <t>---------------PLYFK----------------------------------------</t>
  </si>
  <si>
    <t>------------------------------------------SNLDF-------------</t>
  </si>
  <si>
    <t>----------------------------------------QSSSA---------------</t>
  </si>
  <si>
    <t>-----------TILS-N-------------------------------------------</t>
  </si>
  <si>
    <t>------GD--------------------LVHK----------------------------</t>
  </si>
  <si>
    <t>----------------------------------IFFVCD--------------------</t>
  </si>
  <si>
    <t>NGTIIEYDNICNIIDENIQYYDYYKPIIISIINTLSKYQNK------------DVLIN--</t>
  </si>
  <si>
    <t>LEQQFYSQKIPII----------------------------------------------P</t>
  </si>
  <si>
    <t>EKYIQSNEFIPIDIIGTNDFIYPEIDNN-YNLLFNTQANIMF--DNIQSFTDLLFEHYRN</t>
  </si>
  <si>
    <t>LLFDSTENLFFNKSPTPSNIYSY-----ILPTKAY----DTKSNNLSDEKINDGPNVFNL</t>
  </si>
  <si>
    <t>NIWFFYFFKYLDQFDVDKFIVYVK-------------DNVHKNLSNACYSFLRNM-----</t>
  </si>
  <si>
    <t>YQGFYNYFMNKYNKMHFEA---------------------------------EYHCEEIN</t>
  </si>
  <si>
    <t>PLVQEYVNHFLTGTSIHDK--FYQKRNLNDIIHQLEFYFISETIHIRELQKFYYNIFSNN</t>
  </si>
  <si>
    <t>NLIK-----------NYVDDYGCELID------------------YFNSVLKTDL-----</t>
  </si>
  <si>
    <t>EQKYYKVNNIHRYNGESYKMTPYNTRFYGL----NDNLPLVYPFDHPPVNPYGVNPDYYS</t>
  </si>
  <si>
    <t>HYRSVTDYVTIPTSNNQILCTEI---PINLNNTEPINNR---------------------</t>
  </si>
  <si>
    <t>KHEIFHGTIDNPISDLYKI------------FISEYDFNVLKLYHLLQQLLDQSNTKPML</t>
  </si>
  <si>
    <t>SDDLLYKLYITTIY-LMNYINED-AGNDTVMSKSIMHQFLEMIED--YLNN-QTEN-ISE</t>
  </si>
  <si>
    <t>NTINEMVELSDILLK------N-------NQHNYTTDDLIKCNQYI-NLIKNTDKYDNGI</t>
  </si>
  <si>
    <t>IDRL-QIIKYNFLSQYFIYS-LESQNISMLKN-------LDNKFFFKNTGQIIN------</t>
  </si>
  <si>
    <t>-EILQLVDNNPVLDDLSNME-----YLYS-----------GEF-----ETEH--------</t>
  </si>
  <si>
    <t>--------------------------------------NHLLCTDSSNLSR---------</t>
  </si>
  <si>
    <t>YNICMNNGSINNILVKLDKYQDKLLNKLVLTNKIGQYFYDFLQNKPIEQQN---KKDLIK</t>
  </si>
  <si>
    <t>II--------------------------DSFGID------LENYMCNKIIPLYNQLVLNN</t>
  </si>
  <si>
    <t>N--------------------------------------------KNSTIIILAI-ISKD</t>
  </si>
  <si>
    <t>LDSFF-----------------LPNSSASSFKQVIIEDLTN-----GNKEDPLYLY-LKL</t>
  </si>
  <si>
    <t>IGNEYYSY------------------------LKFFLDYCCENDLDYDSITNPLES--LD</t>
  </si>
  <si>
    <t>--------------------------DD------DNLYVNYEFFKDCICS----------</t>
  </si>
  <si>
    <t>-ILKLSILQGRSDELYQLIQQIYDKHNENQINLLINKLSEIIPISNHTYSFTNI------</t>
  </si>
  <si>
    <t>MYKAKNLCLLHKCDNH--IVN----------------LINQIQDKIDFMNSSELSCV---</t>
  </si>
  <si>
    <t>IPSYIIDTISNKMLETLNIIIDKQYIKIIPY-------------NKLIKPNPKINPLISG</t>
  </si>
  <si>
    <t>--------------HL----------------------TFNNIS----------------</t>
  </si>
  <si>
    <t>----------------------TMPEN---------------------------------</t>
  </si>
  <si>
    <t>----SDH---TF-----------WTACQT-YQ--H-----FKHDT---------------</t>
  </si>
  <si>
    <t>--------------ETGINLY-------------SWAIK-P-FN--EQN-SG-----SA-</t>
  </si>
  <si>
    <t>-------------NLSRI-DRFMSIL----N-----------------------------</t>
  </si>
  <si>
    <t>-----------------------------------IHPIIS---------SKNS------</t>
  </si>
  <si>
    <t>-------------------ASIIT--------MTLSINIINY------------------</t>
  </si>
  <si>
    <t>----------------LSGLC-----------------------------G---------</t>
  </si>
  <si>
    <t>----------------KA------------------WEKY--------------------</t>
  </si>
  <si>
    <t>&gt;1704MEGAvirome_5-NODE_691_length_8698_cov_13.799024_1 [12 - 854]</t>
  </si>
  <si>
    <t>-----------------WLE----------------------------------------</t>
  </si>
  <si>
    <t>-----------------------------------------EFFKDCICS----------</t>
  </si>
  <si>
    <t>-------------NLSRI-DRFMSIL----------------------------------</t>
  </si>
  <si>
    <t>-----N-----------------------------IHPIIS---------SKNS------</t>
  </si>
  <si>
    <t>&gt;1704MEGAvirome_5-NODE_8748_length_502_cov_2.235872_1 [1 - 333]</t>
  </si>
  <si>
    <t>Y-----------------G-CE--------------------------------------</t>
  </si>
  <si>
    <t>LKT---------------------------------------------------------</t>
  </si>
  <si>
    <t>-------D--------------------LEQK----------------------------</t>
  </si>
  <si>
    <t>----------------------------------YY------------------------</t>
  </si>
  <si>
    <t>-----KVN--------------------------------------------N-------</t>
  </si>
  <si>
    <t>HYRSVTDYVTIPT-----------------------------------------------</t>
  </si>
  <si>
    <t>NNQIL-------------------------------------------------------</t>
  </si>
  <si>
    <t>---------------------CTE------------------------------------</t>
  </si>
  <si>
    <t>----------------------------------------IPIISKN-------------</t>
  </si>
  <si>
    <t>N-----------------A-AQN-----------------VWL-N---------------</t>
  </si>
  <si>
    <t>------TPFAREMI----------------------------------------------</t>
  </si>
  <si>
    <t>---------------PLFFK----------------------------------------</t>
  </si>
  <si>
    <t>------------------------------------------NNVDF-------------</t>
  </si>
  <si>
    <t>----------------------------------------KSACL---------------</t>
  </si>
  <si>
    <t>-----------DIVP-N-------------------------------------------</t>
  </si>
  <si>
    <t>------GD--------------------LLHR----------------------------</t>
  </si>
  <si>
    <t>----------------------------------MFLTFE--------------------</t>
  </si>
  <si>
    <t>HNDIIEYQKLMDIISNT---YKQYKNDQDDALNAIYSLENKPKSRVSITDLNLDSEINNF</t>
  </si>
  <si>
    <t>ILETDSYQH-IYQNMYQSAKSN--KNPDF--NLIKIKLMDKIMLHKKNYFSIYELVKIMT</t>
  </si>
  <si>
    <t>MMDKNIISQIPIINSKQVPNILLWSNIFQEIFPHNDIINSFITKNNLSITDTYIYDKIYH</t>
  </si>
  <si>
    <t>LQNLDKSFPN---KSFLSQINDHSININKNQLYHDFGPEFYRSLNDYN-SVINLLNTLSK</t>
  </si>
  <si>
    <t>TVPIIVIKPFECETEY-IY-TNKQDTLLAGTKYSTVIDPNYKSKFFLNLNTPSRNIVNHI</t>
  </si>
  <si>
    <t>NLFTSTSNLMFNNMLPLSNIYSY----------------------LTTDETDRSNKVINI</t>
  </si>
  <si>
    <t>NSWFFYFFKYLDGIDESAYIDYLS--------------KLNINVSDNGLNMLKYM-----</t>
  </si>
  <si>
    <t>IYITIIFHRNIVASITEMFEYIHHFISTIDQNNISKYLDIQIPHVNKDEISDIRAIASLL</t>
  </si>
  <si>
    <t>YYHIYKHFMDSYDNCNFEAPA--------------------------NYFTNNFN-SAHN</t>
  </si>
  <si>
    <t>DIVEKYVKYYIFGQNM-NDMPIISQNILSN-IDQMEFYFNLEMINTRQQQKFYYCVLSDM</t>
  </si>
  <si>
    <t>NTIKQKSTDTILSIIKLINDYIIKKNDN-NIQMSDIKN----------------------</t>
  </si>
  <si>
    <t>DNIYYVTTNTSRYSGEAYLNTPYVSRYYDKISE--TELPLNDPIPLPNTKPYGVDPSFFD</t>
  </si>
  <si>
    <t>HNQTISNYDLLTEITLCSINTNM---PIYITTSEIINCS---------------------</t>
  </si>
  <si>
    <t>RHDLFQNRGN-TFTNIK--------------FINEYDLNTLKFQKMMEFIKFNKY-----</t>
  </si>
  <si>
    <t>DNKIYYWLLETIDH-LAKYTNPILTLDDANHISSILYDSLDYIQQHLKFDN-KLDN---N</t>
  </si>
  <si>
    <t>W-IDQLLNVANIIAE------NKKTANLLNSKDYTIDDLISNNKIIYDHVYKINSFDLTI</t>
  </si>
  <si>
    <t>SENI-VVLRDNFVSQYYLY--CKN--IDTINY-LYKNSLTSDNFSYMN------------</t>
  </si>
  <si>
    <t>--LMPCVFNSINVNMLENV---FNIYQHP-----------DKY---PNDID---------</t>
  </si>
  <si>
    <t>--------------------------------------KIVQKINSGK----FT------</t>
  </si>
  <si>
    <t>YRYCLDNNLVKKILKLLSKFQTVFLKKLSLFQDINNYFTDHIGDKYVSDNDAEFISKLAS</t>
  </si>
  <si>
    <t>LDKFFIKSFFIKSFFIKSFFEQESNVNILTLKNILLQEIC--KQFRKHPEIINYVE---N</t>
  </si>
  <si>
    <t>IGNEYLSY------------------------IYFFIDYHHKNNIYPNTIINPLIY--IN</t>
  </si>
  <si>
    <t>KYTIDDYIKST-----------GETVYDFMNNIIDY----VFNDAITNHGRYIINID-HD</t>
  </si>
  <si>
    <t>T-----------------------INNVTSMINNLNPNNNVNNTNNKNNTENNTENNTEL</t>
  </si>
  <si>
    <t>NIVES-----NIIDNIIEALNT---DNTQISIEKYIQQLSN-KSKSSNSLNYSNIDIASK</t>
  </si>
  <si>
    <t>--ISDILINICQKIIVL-----------------TNDYQKDLEIITN-------------</t>
  </si>
  <si>
    <t>YLVE-----KVSFKCGDDILD-NHI-----------------------------------</t>
  </si>
  <si>
    <t>G------------YLKMIGHRNDLINFNE-------------------------------</t>
  </si>
  <si>
    <t>-----------SYVITLP---L--------------------IFY---------------</t>
  </si>
  <si>
    <t>---FIASSL-------PLNAS-----LHTKYQLIIKLR----------------------</t>
  </si>
  <si>
    <t>-----S---------------LDDV-----------------------------------</t>
  </si>
  <si>
    <t>-------------------------------------TYKQEFSDFIDP--DIII-----</t>
  </si>
  <si>
    <t>-----------------NQQTQPFVPKIKK------------------------------</t>
  </si>
  <si>
    <t>---------------------------AYV------------------------------</t>
  </si>
  <si>
    <t>---------MCEYI-------------------------FLGE-EERKL-FITSHL----</t>
  </si>
  <si>
    <t>DSTNIKSIPVY-----KLGI--------------------------EPEKYYIK----EN</t>
  </si>
  <si>
    <t>GIKTAKYKYQKSVEIIDKDLDT-DIDM-NRLIPRQ-------------------------</t>
  </si>
  <si>
    <t>--NIKWSTYFNKSGI---------------ISTKTIDASNNLKDI---------------</t>
  </si>
  <si>
    <t>---KNY-F-ENP----TKYLVLLIKPNNHTK-----------------------------</t>
  </si>
  <si>
    <t>SCYYDNIHKQLDNLDHGVFGFLNIINELL--LDYTV-------RDVSYNNDADVNK----</t>
  </si>
  <si>
    <t>ICQEIKQPMYHENIILDSFKEIFKNFDL--------------------------------</t>
  </si>
  <si>
    <t>----------------------------------TNIYVDKYIFRNIVYQ----------</t>
  </si>
  <si>
    <t>MYHSKS-------DNNPTIIN----------------IIQLIWQKINSIKKYELESF---</t>
  </si>
  <si>
    <t>IPIKIINEIVHKMTQKLNEIIDSHNVDIVDY-------------NQYIIKNPEINPLNGG</t>
  </si>
  <si>
    <t>--------------YL----------------------MFNGSA----------------</t>
  </si>
  <si>
    <t>----------------------IMPEN---------------------------------</t>
  </si>
  <si>
    <t>----STG---IM-----------WNNVKA-YQ--Y-----FNHSP---------------</t>
  </si>
  <si>
    <t>--------------NCGVNLY-------------SWSLD-P-LG--NII-AG-----SV-</t>
  </si>
  <si>
    <t>-------------NLTRI-DDFTSIY----------------------------------</t>
  </si>
  <si>
    <t>-----H-----------------------------IDPEIN---------ANNS------</t>
  </si>
  <si>
    <t>-------------------AEIVT--------MIQSINMVNY------------------</t>
  </si>
  <si>
    <t>----------------LSGMC-----------------------------G---------</t>
  </si>
  <si>
    <t>----------------KS------------------W-----------------------</t>
  </si>
  <si>
    <t>-----SNNFMPINFKNTNDYIYPNDMTNPYIDYINQQVQNMY--DTIKSNCDTVFNIYN-</t>
  </si>
  <si>
    <t>NLFTSKNKLMFNNTPPISNIYSY----------------------LT--NTTEKSQIINI</t>
  </si>
  <si>
    <t>NIWYFYFFKYLDLLNECTFSNYLY--------------HQSCKISENGQKITKYL-----</t>
  </si>
  <si>
    <t>TIISIIFHRNIVPTILEMFQFIYNFISTISLKEISERLDICLEPICNDEMTYIKNMIKLL</t>
  </si>
  <si>
    <t>YYNIYKHFMDKYDTCHFEAPS--------------------------NFSTNEYD-KFDN</t>
  </si>
  <si>
    <t>EIIEEYVKYFLTGYTINNDLILNNQVTLSKVISQMEFYFILEMINMRQQQKFYHNTLSNF</t>
  </si>
  <si>
    <t>KTLNEKTGSTIRTVLKFINESIKKINHNDDINLEKIKSGVDPTRKYFDTIFRNNISKNLP</t>
  </si>
  <si>
    <t>DEVYYSTFNISRYSGEAYINTPYKSRFFGNVPKDPSKLPLKDPIPLPNSNPYGIKQNYYD</t>
  </si>
  <si>
    <t>HDQLIYDYSIITNPEL-NFNVNI---PINLNEEQINNFL---------------------</t>
  </si>
  <si>
    <t>KHNIFEDRGNYGFQNIN---------------IDEYDFNMLRLLKLCERLLKGNN-----</t>
  </si>
  <si>
    <t>NNEIYFWLFETINF-LIKNIN---TGDE--NIINILNELLNYTYQ--KINNIEMEN---N</t>
  </si>
  <si>
    <t>FNMENLRNLVSFLLK------N------INTKSLKIDDLCQNNEYIYDKIFTINNTNNTI</t>
  </si>
  <si>
    <t>LENI-IAIKNNFLAQYYIFL-CESNLFDTIN----NNIITSDKYSFMG------------</t>
  </si>
  <si>
    <t>--LLPAIYQIIGVDDYDNIQARTSIYLYP-----------DKY---SNEI----------</t>
  </si>
  <si>
    <t>-------------------------------------------INKNKKQENMS------</t>
  </si>
  <si>
    <t>YRYLVDNNIFDLVICELKKYQLLMLRKLSIFGDILNYFDEH-GNKYLDENN---INDLIN</t>
  </si>
  <si>
    <t>F---------------------------GEKELDQNL---FINYLKNIFVPKYNTYLSNG</t>
  </si>
  <si>
    <t>Q--------------------------------------------NIEKLILINIELNRQ</t>
  </si>
  <si>
    <t>IEIFLLQKIL-------------PNTTITRLKDLIINHFTSHKILQNHSELINLIY---F</t>
  </si>
  <si>
    <t>IGNEYLSY------------------------LYFFLQFHRKNNINPHEIMNPLVD--IN</t>
  </si>
  <si>
    <t>KYTFESKINTN-----------MSTMGDFLLNVLDY----IFDDTLTNHQRYLIN-----</t>
  </si>
  <si>
    <t>------------------------INNYHEMVNEI---NKIILTKNNNNDNNNNEK----</t>
  </si>
  <si>
    <t>--IHNILLETCQKIIII-----------------INEYKNNLNILKN-------------</t>
  </si>
  <si>
    <t>YLVK-----EVSIKCGDQLLD-CHI-----------------------------------</t>
  </si>
  <si>
    <t>A------------YMKMIGHRDNLIEFNE-------------------------------</t>
  </si>
  <si>
    <t>KE----------------------------------------------------------</t>
  </si>
  <si>
    <t>-----------SHLIVLP---L--------------------IFY---------------</t>
  </si>
  <si>
    <t>---NVASSL-------PLNAS-----INVKYQLNLYLR----------------------</t>
  </si>
  <si>
    <t>-----D---------------LNDV-----------------------------------</t>
  </si>
  <si>
    <t>-------------------------------------VYKEEFSDFVDP--HNF------</t>
  </si>
  <si>
    <t>------------------NQTNGYKPHIKK------------------------------</t>
  </si>
  <si>
    <t>---------MCEYI-------------------------YLSN-EERKI-FVSNRL----</t>
  </si>
  <si>
    <t>NTSDIKSIPIY-----KVGT--------------------------KVKNYFVV----EN</t>
  </si>
  <si>
    <t>GVKTKKEKFIDYMYLSENEINV-N-DMENKLIPNV-------------------------</t>
  </si>
  <si>
    <t>--ETEIKPYITKSGI---------------CYTKAIKTKN--------------------</t>
  </si>
  <si>
    <t>---KNH-F-ENP----TKLITVLIKPVMHTE-----------------------------</t>
  </si>
  <si>
    <t>SQHYCNMHSRIKDLDDPVLGFVYIINNIL--LDYT---------NINTDNLTTTNKYDKW</t>
  </si>
  <si>
    <t>INCNTQYFMQTLQKLKEKYMNYHGEIIYKTKTIKLKENILSLNINYPIYDYDSLMELIKY</t>
  </si>
  <si>
    <t>VYNDINEKIPTDSIILEAFKNAYHNFNW--------------------------------</t>
  </si>
  <si>
    <t>----------------------------------DNIYVDKTIFKNATLE----------</t>
  </si>
  <si>
    <t>IYSMRS-------NNEDDILN----------------ILEMIYKKINNLQEYEITQL---</t>
  </si>
  <si>
    <t>IPQYIVNIISYKMTQKMNYLIDNLNVEVVDY-------------KNYLVENPKINPLMGG</t>
  </si>
  <si>
    <t>--------------YM----------------------SFNGFE----------------</t>
  </si>
  <si>
    <t>----------------------IMPKN---------------------------------</t>
  </si>
  <si>
    <t>----SDS---IM-----------WSEMTA-YQ--Y-----FNHSV---------------</t>
  </si>
  <si>
    <t>--------------SCGINSR-------------SLSLH-P-LK--EMN-SG-----SA-</t>
  </si>
  <si>
    <t>-------------NLSRI-DDFSSTY----------------------------------</t>
  </si>
  <si>
    <t>-----Y-----------------------------LNPRID---------NNNS------</t>
  </si>
  <si>
    <t>-------------------AKIIT--------MALGMNLNNY------------------</t>
  </si>
  <si>
    <t>----------------ISGMC-----------------------------G---------</t>
  </si>
  <si>
    <t>----------------KA------------------W-----------------------</t>
  </si>
  <si>
    <t>QPEEQTEALEELS-----EETEEQP---------EEQTEASEELSEE-------------</t>
  </si>
  <si>
    <t>--------TEEQPEEQTDALEETEE-----------------------------------</t>
  </si>
  <si>
    <t>---------------------------------------------GTI------------</t>
  </si>
  <si>
    <t>---------------------------------------------LQLQSV---------</t>
  </si>
  <si>
    <t>------------------G-LQD-----------------TYL-T---------------</t>
  </si>
  <si>
    <t>---------------EN---------------------------P---------------</t>
  </si>
  <si>
    <t>YYRY--------------------------------------------------------</t>
  </si>
  <si>
    <t>------VNFAVETL----------------------------------------------</t>
  </si>
  <si>
    <t>---------------SLPLQ----------------------------------------</t>
  </si>
  <si>
    <t>------------------------------------------AIPKF-------------</t>
  </si>
  <si>
    <t>----------------------------------------GKTSF---------------</t>
  </si>
  <si>
    <t>-----------IVPF-K-------------------------------------------</t>
  </si>
  <si>
    <t>------GH--------------------LLSN----------------------------</t>
  </si>
  <si>
    <t>----------------------------------IFLHLQ--------------------</t>
  </si>
  <si>
    <t>------------------L--PP-------------------------------------</t>
  </si>
  <si>
    <t>--------------------------------------------HTSG------------</t>
  </si>
  <si>
    <t>---------------------------------------------------TF-------</t>
  </si>
  <si>
    <t>AILE-----YYELEINGVVVE-KRY-----------------------------------</t>
  </si>
  <si>
    <t>---------------DILQDIVDELYK---------PIDK--------------------</t>
  </si>
  <si>
    <t>G------------KNLMLLKSDLHVAAR--------------------------------</t>
  </si>
  <si>
    <t>-----HNAKK-SVDILIP---L--------------------DFF---------------</t>
  </si>
  <si>
    <t>---QPSSAL-------PLFGM-----YNHQIRLNFKFR----------------------</t>
  </si>
  <si>
    <t>-----D---------------FSQC------------VN---------------------</t>
  </si>
  <si>
    <t>----------------------------------------------YDGDSP--------</t>
  </si>
  <si>
    <t>----------------------PDPVEIIN------------------------------</t>
  </si>
  <si>
    <t>---------LVDYI-------------------------HLDN-AVLKS-LTESEH----</t>
  </si>
  <si>
    <t>-----KF--------------------L-------IEQ--------------VQ------</t>
  </si>
  <si>
    <t>EVE---------------------------------------------------------</t>
  </si>
  <si>
    <t>----------------------------------PLSNGKTDFIT---------------</t>
  </si>
  <si>
    <t>---NLH-F-NHC----CKELLFVFVEQESLN-----------------------------</t>
  </si>
  <si>
    <t>-----------------------------------------------------NNDF---</t>
  </si>
  <si>
    <t>-----------------------YNYS---------------------------------</t>
  </si>
  <si>
    <t>-------------NRSSG------------------------------------------</t>
  </si>
  <si>
    <t>-------------ISM----------------------YLNGIT----------------</t>
  </si>
  <si>
    <t>----------------------RFDKLPES------------------------------</t>
  </si>
  <si>
    <t>-----------Y-----------YRLGFP-FK--T-----HTRVT-----N---------</t>
  </si>
  <si>
    <t>---------------KHIYCI-------------PFSLN-P-EK--HQP-TG-----TI-</t>
  </si>
  <si>
    <t>-------------NFSRF-DNV-SLS----------------------------------</t>
  </si>
  <si>
    <t>-----FKMQ---EQ--NPA-----------------------------------------</t>
  </si>
  <si>
    <t>-------------------CVLYL--------YAITLNILTV------------------</t>
  </si>
  <si>
    <t>----------------HNGLF-----------------------------K---------</t>
  </si>
  <si>
    <t>----------------LE------------------FSV---------------------</t>
  </si>
  <si>
    <t>------------------FLVVVNYLILFL------------------------------</t>
  </si>
  <si>
    <t>------------------------------------------YFI---------------</t>
  </si>
  <si>
    <t>---------------------------------------------SAI------------</t>
  </si>
  <si>
    <t>---------------------------------------------LQLIST---------</t>
  </si>
  <si>
    <t>------------------G-RQD-----------------VYL-T---------------</t>
  </si>
  <si>
    <t>---------------QE---------------------------P---------------</t>
  </si>
  <si>
    <t>YNRY--------------------------------------------------------</t>
  </si>
  <si>
    <t>------YNFANELV----------------------------------------------</t>
  </si>
  <si>
    <t>---------------KLNLV----------------------------------------</t>
  </si>
  <si>
    <t>------------------------------------------ELPRL-------------</t>
  </si>
  <si>
    <t>----------------------------------------KSNHC---------------</t>
  </si>
  <si>
    <t>-----------YLEN-R-------------------------------------------</t>
  </si>
  <si>
    <t>------GH--------------------LISK----------------------------</t>
  </si>
  <si>
    <t>----------------------------------LYLHIS--------------------</t>
  </si>
  <si>
    <t>-----------LQ-----------------------------------------------</t>
  </si>
  <si>
    <t>--------------------------------------------ITSG------------</t>
  </si>
  <si>
    <t>AIFDG----PIELEIDGIIVD-RIY-----------------------------------</t>
  </si>
  <si>
    <t>G------------RSIMTLKSDNYSAVK--------------------------------</t>
  </si>
  <si>
    <t>-----NNAKR-KVDLLIP---I--------------------DFW---------------</t>
  </si>
  <si>
    <t>---QRSMAL-------PIISM-----FNHTIKVNFKLK----------------------</t>
  </si>
  <si>
    <t>-----G---------------FYDI------------IN---------------------</t>
  </si>
  <si>
    <t>----------------------------------------------YDGSTP--------</t>
  </si>
  <si>
    <t>----------------------PNYVDISD------------------------------</t>
  </si>
  <si>
    <t>---------------------------SYM------------------------------</t>
  </si>
  <si>
    <t>---------YCEYT-------------------------YLDD-SVLTN-FINTKH----</t>
  </si>
  <si>
    <t>-----TY--------------------L-------IEQ--------------IQ------</t>
  </si>
  <si>
    <t>EHE---------------------------------------------------------</t>
  </si>
  <si>
    <t>----------------------------------YIDSNKTVHMS---------------</t>
  </si>
  <si>
    <t>---YIR-F-NHP----VKELIFALIPKRNLL-----------------------------</t>
  </si>
  <si>
    <t>-----------------------------------------------------SNNY---</t>
  </si>
  <si>
    <t>-----------------------FSYQ---------------------------------</t>
  </si>
  <si>
    <t>-------------DENNL------------------------------------------</t>
  </si>
  <si>
    <t>-------------AGL----------------------LLDGKY----------------</t>
  </si>
  <si>
    <t>----------------------RFDMTNEF------------------------------</t>
  </si>
  <si>
    <t>-----------I-----------YRTYYP-DT--V-----HSTIP-----L---------</t>
  </si>
  <si>
    <t>---------------RYIYCI-------------PFS-----------------------</t>
  </si>
  <si>
    <t>-----------------------IVR----------------------------------</t>
  </si>
  <si>
    <t>-----IL-----------------------------------------------------</t>
  </si>
  <si>
    <t>---------------------------FFL------------------------------</t>
  </si>
  <si>
    <t>------------------------------------------YLS---------------</t>
  </si>
  <si>
    <t>----------------------------------------KPNYC---------------</t>
  </si>
  <si>
    <t>AIFDG----PIELEIDGIVVD-RIY-----------------------------------</t>
  </si>
  <si>
    <t>S------------RSILTLKSDNYSAIK--------------------------------</t>
  </si>
  <si>
    <t>-----NNATR-KVDLLIP---L--------------------DFW---------------</t>
  </si>
  <si>
    <t>---KRSMAL-------PIVSM-----FNQTVKVNFKLK----------------------</t>
  </si>
  <si>
    <t>-----N---------------FYDI------------IN---------------------</t>
  </si>
  <si>
    <t>----------------------------------------------YDGATP--------</t>
  </si>
  <si>
    <t>----------------------PSYVDISD------------------------------</t>
  </si>
  <si>
    <t>---------YCEYT-------------------------YLDD-SILTD-FINKKH----</t>
  </si>
  <si>
    <t>ESE---------------------------------------------------------</t>
  </si>
  <si>
    <t>----------------------------------YIDSNKTIHMS---------------</t>
  </si>
  <si>
    <t>---YIR-F-NHP----VKELVFALIPKKNLL-----------------------------</t>
  </si>
  <si>
    <t>-----------------------------------------------------TNNY---</t>
  </si>
  <si>
    <t>-------------DQNNL------------------------------------------</t>
  </si>
  <si>
    <t>----------------------RFDMMNEF------------------------------</t>
  </si>
  <si>
    <t>-----------I-----------YRSFYP-DT--V-----HSTVP-----M---------</t>
  </si>
  <si>
    <t>---------------RYIYCM-------------PFSNN-P-EE--NQP-SG-----TL-</t>
  </si>
  <si>
    <t>-------------NMSSF-TDV-ILS----------------------------------</t>
  </si>
  <si>
    <t>-----MKLE---PT--QEP-----------------------------------------</t>
  </si>
  <si>
    <t>-------------------SELFL--------YGVTYNFLTI------------------</t>
  </si>
  <si>
    <t>----------------ENGMF-----------------------------T---------</t>
  </si>
  <si>
    <t>----------------VE------------------FAV---------------------</t>
  </si>
  <si>
    <t>---------------------------------------------VGL------------</t>
  </si>
  <si>
    <t>---------------------------------------------LILATN---------</t>
  </si>
  <si>
    <t>------------------S-GEK-----------------HFI-T---------------</t>
  </si>
  <si>
    <t>---------------NK---------------------------P---------------</t>
  </si>
  <si>
    <t>------TNFSVEVI----------------------------------------------</t>
  </si>
  <si>
    <t>---------------PSYFI----------------------------------------</t>
  </si>
  <si>
    <t>------------------------------------------NPIDF-------------</t>
  </si>
  <si>
    <t>----------------------------------------RNTTL---------------</t>
  </si>
  <si>
    <t>-----------NVSK-H-------------------------------------------</t>
  </si>
  <si>
    <t>------GD--------------------LINE----------------------------</t>
  </si>
  <si>
    <t>----------------------------------IYLHLK--------------------</t>
  </si>
  <si>
    <t>-----------LI-----------------------------------------------</t>
  </si>
  <si>
    <t>--------------------------------------------SSND------------</t>
  </si>
  <si>
    <t>---------------------------------------------------SLD------</t>
  </si>
  <si>
    <t>SLIK-----KIELEIGGNVLT-REY-----------------------------------</t>
  </si>
  <si>
    <t>G------------VNIILGNTDIYTKAE--------------------------------</t>
  </si>
  <si>
    <t>------PTKN-SLSLNIP---L--------------------YFW---------------</t>
  </si>
  <si>
    <t>---------FNN------------------------------------------------</t>
  </si>
  <si>
    <t>LKEGDE---------------FYQI------------INGKKSVGI--------------</t>
  </si>
  <si>
    <t>-------------------------FYKFDLTKNLIYYNSL-------------------</t>
  </si>
  <si>
    <t>-----------------------IGEIVY-------------------------------</t>
  </si>
  <si>
    <t>----------------------------------SENPNENILYTSYD------------</t>
  </si>
  <si>
    <t>-----------------------DTFEISNEINS-----------------IGKV-----</t>
  </si>
  <si>
    <t>--------------GDYFNLNYPSLVEGYC------------------------------</t>
  </si>
  <si>
    <t>---------LINYI-------------------------FLDN-EERYL-YLTKNH----</t>
  </si>
  <si>
    <t>-----EY--------------------L-------VQV--------------PQ------</t>
  </si>
  <si>
    <t>TEE---------------------------------------------------------</t>
  </si>
  <si>
    <t>----------------------------------SFSSSNIKY-----------------</t>
  </si>
  <si>
    <t>---NLH-L-VHP----VVSIYFRVILEQNII-----------------------------</t>
  </si>
  <si>
    <t>-----------------------------------------------------NKDY---</t>
  </si>
  <si>
    <t>-----------------------FEYSK--------------------------------</t>
  </si>
  <si>
    <t>----------------------------------YPLTDKDVIEN---------------</t>
  </si>
  <si>
    <t>----------KMYNGNKLL-----------------------------------------</t>
  </si>
  <si>
    <t>-------------IKL----------------------FINGQQ----------------</t>
  </si>
  <si>
    <t>----------------------LSNIDNPY------------------------------</t>
  </si>
  <si>
    <t>-----------F-----------FNLLQN-VK--Y-----YGGRG-----N---------</t>
  </si>
  <si>
    <t>---------------EFIYKY-------------SFSIN-PLSK--CQP-FG-----SL-</t>
  </si>
  <si>
    <t>-------------NFSKI-DDS-YLQ----------------------------------</t>
  </si>
  <si>
    <t>-----LTLDGVIDY--QNP-----------------------------------------</t>
  </si>
  <si>
    <t>-------------------VRIKG--------YAVNHNIFRI------------------</t>
  </si>
  <si>
    <t>----------------INGIG-----------------------------K---------</t>
  </si>
  <si>
    <t>----------------FV------------------FAS---------------------</t>
  </si>
  <si>
    <t>----------------------------------------MYL-VM--------------</t>
  </si>
  <si>
    <t>---------------DL---------------------------P---------------</t>
  </si>
  <si>
    <t>---------------EIDLSV---------------------------------------</t>
  </si>
  <si>
    <t>--------------------------------------LRNAVSD---------------</t>
  </si>
  <si>
    <t>-----------TLSS---------------------------------------------</t>
  </si>
  <si>
    <t>--------------------------------------------SSST------------</t>
  </si>
  <si>
    <t>RVVE-----SAELQIGGVKID-TIY-----------------------------------</t>
  </si>
  <si>
    <t>C------------YRSMVGDTVVHTQPRS-----------TTAGD---------------</t>
  </si>
  <si>
    <t>AR----------------------------------------------------------</t>
  </si>
  <si>
    <t>--STVSDRLP-PLELFIP---L--------------------PFW---------------</t>
  </si>
  <si>
    <t>---------FHS------------------------------------------------</t>
  </si>
  <si>
    <t>---NPGLAL-------PLVAL-----QYHEVRVKIVLA----------------------</t>
  </si>
  <si>
    <t>-----H---------------LSQM------------IV---------------------</t>
  </si>
  <si>
    <t>----------------------------------VENTQGEMLNATIDANSL--------</t>
  </si>
  <si>
    <t>---------------------RGNNQSAIN------------------------------</t>
  </si>
  <si>
    <t>---------------------------PKL------------------------------</t>
  </si>
  <si>
    <t>---------FVNYI-------------------------YLDT-QERQK-FAQYSH----</t>
  </si>
  <si>
    <t>-----EY--------------------L-------IET----------------------</t>
  </si>
  <si>
    <t>----------------------------------------H-------------------</t>
  </si>
  <si>
    <t>---------------------------------------------GGQ------------</t>
  </si>
  <si>
    <t>---------------------------------------------VQLVAT---------</t>
  </si>
  <si>
    <t>------------------G-AQD-----------------AWL-T---------------</t>
  </si>
  <si>
    <t>------THYANTVE----------------------------------------------</t>
  </si>
  <si>
    <t>---------------RQVIQ----------------------------------------</t>
  </si>
  <si>
    <t>------------------------------------------GTPSS-------------</t>
  </si>
  <si>
    <t>----------------------------------------GISTI---------------</t>
  </si>
  <si>
    <t>-----------RLEK-K-------------------------------------------</t>
  </si>
  <si>
    <t>------GD--------------------LVNY----------------------------</t>
  </si>
  <si>
    <t>----------------------------------MYFTAR--------------------</t>
  </si>
  <si>
    <t>--------------------------------------------DTTG------------</t>
  </si>
  <si>
    <t>---------------------------------------------------AV-------</t>
  </si>
  <si>
    <t>TVID-----RIELLIGGQVID-TQD-----------------------------------</t>
  </si>
  <si>
    <t>Y------------LNNAVPGQYTPTN----------------------------------</t>
  </si>
  <si>
    <t>-----------QETTFLP---L--------------------KFF---------------</t>
  </si>
  <si>
    <t>---DYSSSI-------PLVAL-----QYHDVELRITWS----------------------</t>
  </si>
  <si>
    <t>-----A--------------ALNTT-----------------------------------</t>
  </si>
  <si>
    <t>----------------------------------TATSGGTSLASGVKNSG---------</t>
  </si>
  <si>
    <t>---------------------------LQFVA----------------------------</t>
  </si>
  <si>
    <t>---------WANFV-------------------------YLDQ-SERKF-FAENAH----</t>
  </si>
  <si>
    <t>-----DM--------------------L-------ITQ--------------VQRI----</t>
  </si>
  <si>
    <t>----------------------------------PISKSATQ------------------</t>
  </si>
  <si>
    <t>---ELA-L-AHP----VKYIAWPSANYGDKY-----------------------------</t>
  </si>
  <si>
    <t>-------------------------------------GLDGS------------------</t>
  </si>
  <si>
    <t>--------------------------------------------------GVNVKDYQ--</t>
  </si>
  <si>
    <t>-------------LKV----------------------QINGSD----------------</t>
  </si>
  <si>
    <t>-------------IGEF-----RHLPA---------------------------------</t>
  </si>
  <si>
    <t>---FTDIA--QY-----------YNTPFG-YQ--H-----------GN--Q---------</t>
  </si>
  <si>
    <t>--------------SANVAVI-------------SYALD-T-SK--LQP-TG-----TL-</t>
  </si>
  <si>
    <t>-------------NFSRI-DTY-RLVVP--------------------------------</t>
  </si>
  <si>
    <t>-----VTLSNGVQA--------L--------------TNAA-------------------</t>
  </si>
  <si>
    <t>------------------VSNPYL--------YAVNYNVLRI------------------</t>
  </si>
  <si>
    <t>----------------QNGVG-----------------------------A---------</t>
  </si>
  <si>
    <t>----------------VL------------------YAN---------------------</t>
  </si>
  <si>
    <t>------------------G-AQD-----------------AWL-S---------------</t>
  </si>
  <si>
    <t>------THYAHSIE----------------------------------------------</t>
  </si>
  <si>
    <t>------------------------------------------GNPQA-------------</t>
  </si>
  <si>
    <t>----------------------------------------NISLV---------------</t>
  </si>
  <si>
    <t>-----------RFEK-K-------------------------------------------</t>
  </si>
  <si>
    <t>------GD--------------------LLSY----------------------------</t>
  </si>
  <si>
    <t>----------------------------------VYFSAR--------------------</t>
  </si>
  <si>
    <t>--------------------------------------------DSNN------------</t>
  </si>
  <si>
    <t>KIID-----KVELMIGGQVID-TQD-----------------------------------</t>
  </si>
  <si>
    <t>Y------------LNFNTSGVTN-------------------------------------</t>
  </si>
  <si>
    <t>-----------QKNSFFP---L--------------------KFF---------------</t>
  </si>
  <si>
    <t>---DYFLAL-------PLVAI-----QFHDVELRITWA----------------------</t>
  </si>
  <si>
    <t>-----SQLGSTLTFGPTTNPSLSAVPQATI-NVS-AAVVTGAGANTAFLAYN--------</t>
  </si>
  <si>
    <t>---------------SVNGPLFTG------------------------------------</t>
  </si>
  <si>
    <t>------------SLVTTSATPDANTLAIVKTIGNATIYSNVTISF---------------</t>
  </si>
  <si>
    <t>---------------------ANTTTIANV------------------------------</t>
  </si>
  <si>
    <t>------------------LPAANSTLNVFA-PVTSALVTANTIITGISTSATLTI-----</t>
  </si>
  <si>
    <t>---------N--------------------------------------SVNSPT------</t>
  </si>
  <si>
    <t>----------------------------VGAGIQG-------------------------</t>
  </si>
  <si>
    <t>-----------GQYVAGLPLTGPVVVTASNATTVNVSFGVQ-ASPPLTAAIVG-------</t>
  </si>
  <si>
    <t>L----TFACWANFI-------------------------YLDQ-AERKF-FADNSH----</t>
  </si>
  <si>
    <t>-----DM--------------------L-------IHQ--------------VQRV----</t>
  </si>
  <si>
    <t>----------------------------------PMSSNPVQ------------------</t>
  </si>
  <si>
    <t>---ELA-L-AHP----VKFIAFQSQRYDTVI---------------------Q-------</t>
  </si>
  <si>
    <t>----------------------------------------------------NGNNAQ--</t>
  </si>
  <si>
    <t>---------------------AASNYML--------------------------------</t>
  </si>
  <si>
    <t>--------------KT----------------------QINGTD----------------</t>
  </si>
  <si>
    <t>-------------VGEF-----RHLNM---------------------------------</t>
  </si>
  <si>
    <t>---WVDVP--QY-----------YNTPFG-YV--H---------------NNL-------</t>
  </si>
  <si>
    <t>--------------QANVAVI-------------SYCLD-T-SK--NQP-TG-----TI-</t>
  </si>
  <si>
    <t>-------------NFSRL-DTY-RIVTP--------------------------------</t>
  </si>
  <si>
    <t>-----VQLSDPATG-RTGP---L--------------ALAS-------------------</t>
  </si>
  <si>
    <t>----------------PLITNPYL--------YAVNYNVLRI------------------</t>
  </si>
  <si>
    <t>----------------QNGLA-----------------------------S---------</t>
  </si>
  <si>
    <t>----------------LL------------------YAN---------------------</t>
  </si>
  <si>
    <t>---------------------------------------------AQLVAV---------</t>
  </si>
  <si>
    <t>------------------G-AQD-----------------AHL-V---------------</t>
  </si>
  <si>
    <t>------TNFSQTVE----------------------------------------------</t>
  </si>
  <si>
    <t>------------------------------------------GNVSN-------------</t>
  </si>
  <si>
    <t>----------------------------------------GMSTV---------------</t>
  </si>
  <si>
    <t>-----------RFER-K-------------------------------------------</t>
  </si>
  <si>
    <t>----------------------------------VYLVPN--------------------</t>
  </si>
  <si>
    <t>--------------------------------------------DGSA------------</t>
  </si>
  <si>
    <t>---------------------------------------------------AQ-------</t>
  </si>
  <si>
    <t>--------------------------------------------GYSAADW--------R</t>
  </si>
  <si>
    <t>TKIA-----KVELLVGGQVID-DQD-----------------------------------</t>
  </si>
  <si>
    <t>---------------STYSTLIAPVLS---------ATNSS-----------------K-</t>
  </si>
  <si>
    <t>----------------SVSGDLFGGA----------------------------------</t>
  </si>
  <si>
    <t>-----------NTSRFYP---L--------------------RFA---------------</t>
  </si>
  <si>
    <t>---------FCE------------------------------------------------</t>
  </si>
  <si>
    <t>---NLQTAL-------PLIAL-----QYHDVELRITWG----------------------</t>
  </si>
  <si>
    <t>-----S--------------AAAT------------------------------------</t>
  </si>
  <si>
    <t>-------------------------DKWDV------------------------------</t>
  </si>
  <si>
    <t>---------YANYV-------------------------YLDT-QEREH-FAANPQ----</t>
  </si>
  <si>
    <t>-----NM--------------------I-------ITQ--------------VQKA----</t>
  </si>
  <si>
    <t>----------------------------------TASLTKIQ------------------</t>
  </si>
  <si>
    <t>---ELN-F-NHP----VKYLAAGKASALEIL-----------------------------</t>
  </si>
  <si>
    <t>-----------------------------------------------------NDDNK--</t>
  </si>
  <si>
    <t>-------------LKL----------------------QINGTD----------------</t>
  </si>
  <si>
    <t>-------------VADF-----KFADP---------------------------------</t>
  </si>
  <si>
    <t>--NFSHIP--LY-----------YNTTNA-GK--P-----------ATL-K---------</t>
  </si>
  <si>
    <t>----------------TLFVY-------------PFCLE-T-GK--LQP-TG-----TL-</t>
  </si>
  <si>
    <t>-------------NFSRL-DSA-RIV----------------------------------</t>
  </si>
  <si>
    <t>-----NDTRD---------------------------CDDD-------------------</t>
  </si>
  <si>
    <t>-----------------------I--------YAVNYNILRI------------------</t>
  </si>
  <si>
    <t>----------------ENGMG-----------------------------G---------</t>
  </si>
  <si>
    <t>----------------LL------------------YSN---------------------</t>
  </si>
  <si>
    <t>---------------------------------------------AAL------------</t>
  </si>
  <si>
    <t>---------------------------------------------IDLVSV---------</t>
  </si>
  <si>
    <t>------------------G-AQD-----------------VYI-T---------------</t>
  </si>
  <si>
    <t>------TNFSIKPE----------------------------------------------</t>
  </si>
  <si>
    <t>---------------RMDYI----------------------------------------</t>
  </si>
  <si>
    <t>------------------------------------------GTFES-------------</t>
  </si>
  <si>
    <t>----------------------------------------NEISI---------------</t>
  </si>
  <si>
    <t>-----------PIKS-K-------------------------------------------</t>
  </si>
  <si>
    <t>----------------------------------VWIEHA--------------------</t>
  </si>
  <si>
    <t>-----------------NI--NN-------------------------------------</t>
  </si>
  <si>
    <t>-----------NN-----------------------------------------------</t>
  </si>
  <si>
    <t>-------------------------HNNS-IF----------------------------</t>
  </si>
  <si>
    <t>--------------------------------------------KSAN------------</t>
  </si>
  <si>
    <t>---------------------------------------------------GTSD-----</t>
  </si>
  <si>
    <t>TSPT-----EFSLWIGGQEVT-KLD-----------------------------------</t>
  </si>
  <si>
    <t>T------------CASTTQD----------------------------------------</t>
  </si>
  <si>
    <t>-------NVS-TGSYVIP-------------------------FF---------------</t>
  </si>
  <si>
    <t>---------FSE------------------------------------------------</t>
  </si>
  <si>
    <t>---DWTKSL-------PLVGL-----QYHEVEIRIKCR----------------------</t>
  </si>
  <si>
    <t>-----------------------G------------------------------------</t>
  </si>
  <si>
    <t>------------------------TFS---------------------------------</t>
  </si>
  <si>
    <t>--------------------------LGST------------------------------</t>
  </si>
  <si>
    <t>---------------------------PKV------------------------------</t>
  </si>
  <si>
    <t>---------YGSYV-------------------------FVDT-EEREF-FANGEH----</t>
  </si>
  <si>
    <t>-----EL--------------------L-------ITQ--------------TQHQ----</t>
  </si>
  <si>
    <t>----------------------------------PMSASDT-------------------</t>
  </si>
  <si>
    <t>--------------------------------------------------------SI--</t>
  </si>
  <si>
    <t>--DLTY-F-NHP----VKAVHIAA----GNH-----------------------------</t>
  </si>
  <si>
    <t>-------------------------------------------LN---------------</t>
  </si>
  <si>
    <t>--------------SM----------------------FINGVP----------------</t>
  </si>
  <si>
    <t>----------------------LFENM---------------------------------</t>
  </si>
  <si>
    <t>----THE----Y-----------HRNVVP-SR--H-----CSVLN-NTVDS---------</t>
  </si>
  <si>
    <t>---------------EQIYTW-------------PFCLT-M-NK--SQP-TG-----TL-</t>
  </si>
  <si>
    <t>-------------NFSRI-DNA-KIN----------------------------------</t>
  </si>
  <si>
    <t>-----I-------------------------------NTPA---------SSNL------</t>
  </si>
  <si>
    <t>-------------------DMIRA--------YAVNYNILRI------------------</t>
  </si>
  <si>
    <t>----------------KNGMG-----------------------------G---------</t>
  </si>
  <si>
    <t>----------------IA------------------FGN---------------------</t>
  </si>
  <si>
    <t>---------------------------------------------VDVIST---------</t>
  </si>
  <si>
    <t>------------------G-VQD-----------------VHL-T---------------</t>
  </si>
  <si>
    <t>---------------SR---------------------------P---------------</t>
  </si>
  <si>
    <t>------TNFAVNTQ----------------------------------------------</t>
  </si>
  <si>
    <t>---------------RVDYI----------------------------------------</t>
  </si>
  <si>
    <t>------------------------------------------GSFSA-------------</t>
  </si>
  <si>
    <t>----------------------------------------GDITC---------------</t>
  </si>
  <si>
    <t>-----------EIPV-K-------------------------------------------</t>
  </si>
  <si>
    <t>------GD--------------------LLTH----------------------------</t>
  </si>
  <si>
    <t>----------------------------------IHIEAP--------------------</t>
  </si>
  <si>
    <t>-----------------RI--GT-------------------------------------</t>
  </si>
  <si>
    <t>-----------AG-----------------------------------------------</t>
  </si>
  <si>
    <t>-------------------------QNSTGLF----------------------------</t>
  </si>
  <si>
    <t>--------------------------------------------SSNA------------</t>
  </si>
  <si>
    <t>---------------------------------------------------G--------</t>
  </si>
  <si>
    <t>QRPT-----TFELWVGGQMVC-SLD-----------------------------------</t>
  </si>
  <si>
    <t>S------------GAQLTGETLENA-----------------------------------</t>
  </si>
  <si>
    <t>AE----------------------------------------------------------</t>
  </si>
  <si>
    <t>-------SGY-ADCYTIP-------------------------FW---------------</t>
  </si>
  <si>
    <t>---------FSD------------------------------------------------</t>
  </si>
  <si>
    <t>---DWTKSL-------PLVCM-----QFSSVKLKIKCR----------------------</t>
  </si>
  <si>
    <t>--------------------------PRAT------------------------------</t>
  </si>
  <si>
    <t>---------------------------PKI------------------------------</t>
  </si>
  <si>
    <t>---------YCTYA-------------------------TLDT-DERSW-FVNNVH----</t>
  </si>
  <si>
    <t>-----EL--------------------L-------IRQ--------------VQYQ----</t>
  </si>
  <si>
    <t>----------------------------------LSSQTET-------------------</t>
  </si>
  <si>
    <t>--------------------------------------------------------EI--</t>
  </si>
  <si>
    <t>--DLST-F-NHP----VMALHVASGAGTGGH-----------------------------</t>
  </si>
  <si>
    <t>-------------------------------------------WS---------------</t>
  </si>
  <si>
    <t>--------------TL----------------------YINGTP----------------</t>
  </si>
  <si>
    <t>----------------------LFEET---------------------------------</t>
  </si>
  <si>
    <t>----SNV----F-----------HHTTVP-LT--H-----CTNLPVASLDN---------</t>
  </si>
  <si>
    <t>---------------SPTFTW-------------PFALY-L-NK--SSP-SG-----SL-</t>
  </si>
  <si>
    <t>-------------NYSRL-DNS-KLQ----------------------------------</t>
  </si>
  <si>
    <t>-----I-------------------------------YNPH---------GNGN------</t>
  </si>
  <si>
    <t>-------------------TQHRV--------YAVNWNILKI------------------</t>
  </si>
  <si>
    <t>----------------KDGLA-----------------------------G---------</t>
  </si>
  <si>
    <t>----------------VL------------------YGS---------------------</t>
  </si>
  <si>
    <t>---------------------------------------SHK------------------</t>
  </si>
  <si>
    <t>-----------------------SYIII--------------------------------</t>
  </si>
  <si>
    <t>-CLYSKTMP---------------------------------------------------</t>
  </si>
  <si>
    <t>---------------------------------------------SGI------------</t>
  </si>
  <si>
    <t>---------------------------------------------VILAAY---------</t>
  </si>
  <si>
    <t>------------------N-AED-----------------QFL-V---------------</t>
  </si>
  <si>
    <t>YIHH--------------------------------------------------------</t>
  </si>
  <si>
    <t>------RPFSTEYR----------------------------------------------</t>
  </si>
  <si>
    <t>---------------KVSFD----------------------------------------</t>
  </si>
  <si>
    <t>------------------------------------------TRTAL-------------</t>
  </si>
  <si>
    <t>---------------------------------------------GQ-------------</t>
  </si>
  <si>
    <t>----------------------------------------NTMSV---------------</t>
  </si>
  <si>
    <t>-----------EFPR-D-------------------------------------------</t>
  </si>
  <si>
    <t>----------------------------------VYLQAN--------------------</t>
  </si>
  <si>
    <t>------------------F--PS-------------------------------------</t>
  </si>
  <si>
    <t>-----------------------------------------P------------------</t>
  </si>
  <si>
    <t>-------------------PS---------------------------------------</t>
  </si>
  <si>
    <t>---------------------------------------------------GY-------</t>
  </si>
  <si>
    <t>ACIK-----EARLRTGETMLD-RQT-----------------------------------</t>
  </si>
  <si>
    <t>G------------FNDMIGKDETTNKLTG-------------------------------</t>
  </si>
  <si>
    <t>-----------PQDLLIP---L--------------------PFW---------------</t>
  </si>
  <si>
    <t>---HSETAF-------PLISL-----QKQTLRLEIDTR----------------------</t>
  </si>
  <si>
    <t>-----P---------------LEDL------------VVNSPEC----------------</t>
  </si>
  <si>
    <t>----------------------GTRISLSD------------A-----------------</t>
  </si>
  <si>
    <t>-------------------------VSFSL------------------------------</t>
  </si>
  <si>
    <t>---------IVEYV-------------------------YLDR-EEARW-FTNRPQ----</t>
  </si>
  <si>
    <t>-----VY--------------------L-------IEQ--------------VQQDLNN-</t>
  </si>
  <si>
    <t>--------------------------------------------------ENCGGSDI--</t>
  </si>
  <si>
    <t>IRKELP-F-NGL----MKELIFLTRYRVRSR-----------------------------</t>
  </si>
  <si>
    <t>-----------------------------------------------------ENLW---</t>
  </si>
  <si>
    <t>-----------------------FFYSNQEPGV---------------------------</t>
  </si>
  <si>
    <t>--------------------------AGGGEFMSGEHTLAEGV-----------------</t>
  </si>
  <si>
    <t>--------------KI----------------------QYDSYD----------IVD---</t>
  </si>
  <si>
    <t>----------------------NYPAR---------------------------------</t>
  </si>
  <si>
    <t>-----------F-----------YRVLQP-YQ--H-----HTVTP---------------</t>
  </si>
  <si>
    <t>--------------DDYIYCY-------------SWAIN-P-EQ--WNP-SG-----HI-</t>
  </si>
  <si>
    <t>-------------NTFRS-SNM-TLV----------------------------------</t>
  </si>
  <si>
    <t>-----LRKSD---------------------------EAIE-------------------</t>
  </si>
  <si>
    <t>---------------YP-------------------------------------------</t>
  </si>
  <si>
    <t>-------------------TILHS--------YALMYNIMKI------------------</t>
  </si>
  <si>
    <t>----------------NGGVC-----------------------------G---------</t>
  </si>
  <si>
    <t>----------------LE------------------FQYN--------------------</t>
  </si>
  <si>
    <t>------IMG---------------------------------------------------</t>
  </si>
  <si>
    <t>---------------------------------------------KGQ------------</t>
  </si>
  <si>
    <t>---------------------------------------------ILLVYS---------</t>
  </si>
  <si>
    <t>------------------G-DDD-----------------QIF-I---------------</t>
  </si>
  <si>
    <t>------TNYSYEHI----------------------------------------------</t>
  </si>
  <si>
    <t>---------------THTLR----------------------------------------</t>
  </si>
  <si>
    <t>------------------------------------------GSVKF-------------</t>
  </si>
  <si>
    <t>-----------------------------------------TITF---------------</t>
  </si>
  <si>
    <t>-----------ELTH-V-------------------------------------------</t>
  </si>
  <si>
    <t>------GD--------------------LLQN----------------------------</t>
  </si>
  <si>
    <t>----------------------------------MYLHLI--------------------</t>
  </si>
  <si>
    <t>-----------LE-----------------------------------------------</t>
  </si>
  <si>
    <t>--------------------------------------------DDET------------</t>
  </si>
  <si>
    <t>---------------------------------------------------EYN------</t>
  </si>
  <si>
    <t>AIIE-----NIRFMLGEQTFD-QFN-----------------------------------</t>
  </si>
  <si>
    <t>A------------MDLLLSKTGYYD-----------------------------------</t>
  </si>
  <si>
    <t>PNRG--------------------------------------------------------</t>
  </si>
  <si>
    <t>-----------EQNLWIP---L--------------------PFW---------------</t>
  </si>
  <si>
    <t>---TPSSSL-------PISAL-----GNSTIKVEIRLR----------------------</t>
  </si>
  <si>
    <t>-----K---------------FTDV------------VSGE---EI--------------</t>
  </si>
  <si>
    <t>---------------------LSCQKYPN-------------------------------</t>
  </si>
  <si>
    <t>-------------------------KKITK------------------------------</t>
  </si>
  <si>
    <t>---------------------------CEL------------------------------</t>
  </si>
  <si>
    <t>---------VAKHY-------------------------FLDT-RERTT-FISKPL----</t>
  </si>
  <si>
    <t>-----EY--------------------C-------ITQ--------------VQRF----</t>
  </si>
  <si>
    <t>NAG---------------------------------------------------------</t>
  </si>
  <si>
    <t>----------------------------------QADATQCTI-----------------</t>
  </si>
  <si>
    <t>---------------------------------------------------NPVKANV--</t>
  </si>
  <si>
    <t>---DIP-F-KCL----LKELFWTVNTEANLD-----------------------------</t>
  </si>
  <si>
    <t>-----------------------------------------------------ANKY---</t>
  </si>
  <si>
    <t>-----------------------FKYTN--------------------------------</t>
  </si>
  <si>
    <t>----------------------------------DNDV----------------------</t>
  </si>
  <si>
    <t>--------------RI----------------------QINGED----------------</t>
  </si>
  <si>
    <t>----------------------IMNDM---------------------------------</t>
  </si>
  <si>
    <t>----DKE----Y-----------FTKIIP-YE--L-----YSSVP----HN---------</t>
  </si>
  <si>
    <t>---------------RSFPIY-------------TFCVD-P-IE--NNP-TG-----HF-</t>
  </si>
  <si>
    <t>-------------NLFMA-KSL-TIQ----------------------------------</t>
  </si>
  <si>
    <t>-----ME-------------------------------TAE---------TDTK------</t>
  </si>
  <si>
    <t>-------------------QFVNV--------YGTCYNVIRI------------------</t>
  </si>
  <si>
    <t>----------------HDGYA-----------------------------Q---------</t>
  </si>
  <si>
    <t>----------------MYFV----------------YV----------------------</t>
  </si>
  <si>
    <t>-------MSQ--------------------------------------------------</t>
  </si>
  <si>
    <t>--------------------------------------------DGPL------------</t>
  </si>
  <si>
    <t>---------------------------------------------IDLVSR---------</t>
  </si>
  <si>
    <t>------------------G-VQD-----------------QQIIT---------------</t>
  </si>
  <si>
    <t>---------------ND---------------------------L---------------</t>
  </si>
  <si>
    <t>INQH--------------------------------------------------------</t>
  </si>
  <si>
    <t>------TNFSRGTI----------------------------------------------</t>
  </si>
  <si>
    <t>---------------TVDFK----------------------------------------</t>
  </si>
  <si>
    <t>------------------------------------------GNGNW-------------</t>
  </si>
  <si>
    <t>---------------------------------------------GSTI-----------</t>
  </si>
  <si>
    <t>-----------------------------------K--------F---------------</t>
  </si>
  <si>
    <t>-----------TIPQ-E-------------------------------------------</t>
  </si>
  <si>
    <t>------GD--------------------LLSS----------------------------</t>
  </si>
  <si>
    <t>----------------------------------MYLNLK--------------------</t>
  </si>
  <si>
    <t>-----------MS-----------------------------------------------</t>
  </si>
  <si>
    <t>------------------------------------------------------VDD---</t>
  </si>
  <si>
    <t>----------------------------------------IKGINPNEKD----------</t>
  </si>
  <si>
    <t>---------------------------------------------------NY-------</t>
  </si>
  <si>
    <t>ALID-----KVTLKIGGKIID-EQY-----------------------------------</t>
  </si>
  <si>
    <t>---------------GIYMQLHTDLYD---------DDWN--------------------</t>
  </si>
  <si>
    <t>----------------------------------------KMMMI---------------</t>
  </si>
  <si>
    <t>PQKILY------------------------------------------------------</t>
  </si>
  <si>
    <t>-----------SEELFIP---L--------------------KFW---------------</t>
  </si>
  <si>
    <t>---DPSKAL-------PLIAL-----KHEDVEIEVKFT----------------------</t>
  </si>
  <si>
    <t>-----E---------------FHKC-----------------------------------</t>
  </si>
  <si>
    <t>--------------------------------YSILKVTGSSSELVHTTKKI--------</t>
  </si>
  <si>
    <t>-----------------------NLKQFEK------------------------------</t>
  </si>
  <si>
    <t>---------------------------IQL------------------------------</t>
  </si>
  <si>
    <t>---------ETNMV-------------------------YLSC-KERNQ-ILIKDH----</t>
  </si>
  <si>
    <t>-----EI--------------------L-------ITQ--------------VQRRQK--</t>
  </si>
  <si>
    <t>-------------------------SVN--------------------------------</t>
  </si>
  <si>
    <t>-------------------------------------TDSFI------------------</t>
  </si>
  <si>
    <t>--------------------------------------------------------EL--</t>
  </si>
  <si>
    <t>---DL----NHP----VKELIFFIQPLRNLN-----------------------------</t>
  </si>
  <si>
    <t>-----------------------------------------------------QGEI---</t>
  </si>
  <si>
    <t>-----------------------FNFSS--------------------------------</t>
  </si>
  <si>
    <t>----------------------------------KLDYLSHEYENI--------------</t>
  </si>
  <si>
    <t>----------KGYDVV--------------------------------------------</t>
  </si>
  <si>
    <t>LMP---------------------------------------------------------</t>
  </si>
  <si>
    <t>--------------RI----------------------LFNGKE----------------</t>
  </si>
  <si>
    <t>----------------------RVSWK---------------------------------</t>
  </si>
  <si>
    <t>----NYK----Y-----------YYYLQN-YE--H-----YRNSA----DQ---Y-----</t>
  </si>
  <si>
    <t>-----------------IYLY-------------SFSVN-P-LS--NNP-SG-----SC-</t>
  </si>
  <si>
    <t>-------------NFSRI-DNA-QLQ----------------------------------</t>
  </si>
  <si>
    <t>-----FKLRTVPK------------------------TSLT---------ITNSE-----</t>
  </si>
  <si>
    <t>IKV---NGSIKDDNA----GLLTL--------YATNYNYLII------------------</t>
  </si>
  <si>
    <t>----------------KNGVA-----------------------------G---------</t>
  </si>
  <si>
    <t>----------------LK------------------FNN---------------------</t>
  </si>
  <si>
    <t>---------------------------------------------IQLVAK---------</t>
  </si>
  <si>
    <t>------------------G-AQD-----------------VFYMS---------------</t>
  </si>
  <si>
    <t>---------------GE-------------------------------------------</t>
  </si>
  <si>
    <t>YTRH--------------------------------------------------------</t>
  </si>
  <si>
    <t>------TNFAQAP-----------------------------------------------</t>
  </si>
  <si>
    <t>----------------------------------------------KLI-----------</t>
  </si>
  <si>
    <t>-----------------------------------KEFSLAEDSC---------------</t>
  </si>
  <si>
    <t>-----------VIPT-S-------------------------------------------</t>
  </si>
  <si>
    <t>------GD--------------------LLTG----------------------------</t>
  </si>
  <si>
    <t>----------------------------------LWF-----------------------</t>
  </si>
  <si>
    <t>-----------------------------------------EG-----------------</t>
  </si>
  <si>
    <t>SIID--------LYIGGQKVD-SQ------------------------------------</t>
  </si>
  <si>
    <t>---------------------PFDFIS---------DIYQ--------------------</t>
  </si>
  <si>
    <t>----------------------------------------NYLAD---------------</t>
  </si>
  <si>
    <t>NNKCSV------------------------------------------------------</t>
  </si>
  <si>
    <t>-----------SNTNFIP---L--------------------TFF---------------</t>
  </si>
  <si>
    <t>---------FNS------------------------------------------------</t>
  </si>
  <si>
    <t>---K-SSYI-------PMVAL-----QYHQVEIRVRFK----------------------</t>
  </si>
  <si>
    <t>-----K------------------------------------------------------</t>
  </si>
  <si>
    <t>-----------------------------------------NSNTPFTA-----------</t>
  </si>
  <si>
    <t>----------------------------KL------------------------------</t>
  </si>
  <si>
    <t>---------YGNYV-------------------------YLDA-PERKR-FTSGKH----</t>
  </si>
  <si>
    <t>-----DF--------------------I-------VTQ--------------TQSIKE--</t>
  </si>
  <si>
    <t>-------------------------KM---------------------------------</t>
  </si>
  <si>
    <t>-------------------------------------VTGYN------------------</t>
  </si>
  <si>
    <t>---DLSTF-NHP----VKS-LFFGVPTKSSN-----------------------------</t>
  </si>
  <si>
    <t>----------------------------------------------------VIEDR---</t>
  </si>
  <si>
    <t>-----------------------FTF----------------------------------</t>
  </si>
  <si>
    <t>--------------DI----------------------LLNGTH----------------</t>
  </si>
  <si>
    <t>----------------------LLEGM---------------------------------</t>
  </si>
  <si>
    <t>NEVYNTPFY------TRYYAY-------------HFCTN-A-SD--YKS-TG-----TC-</t>
  </si>
  <si>
    <t>-------------NFSRL-DNA-NLQ----------------------------------</t>
  </si>
  <si>
    <t>-------LRDIKL------------------------GTLR---------TGE-D-----</t>
  </si>
  <si>
    <t>---------------------IRI--------YAVNFNVLRV------------------</t>
  </si>
  <si>
    <t>----------------QDGMA-----------------------------G---------</t>
  </si>
  <si>
    <t>----------------IL------------------FGN---------------------</t>
  </si>
  <si>
    <t>------------------G-VQD-----------------VYLNS---------------</t>
  </si>
  <si>
    <t>---------------EE-------------------------------------------</t>
  </si>
  <si>
    <t>FTRH--------------------------------------------------------</t>
  </si>
  <si>
    <t>------TNFSQAP-----------------------------------------------</t>
  </si>
  <si>
    <t>-----------------------------------KTVTDKDPTF---------------</t>
  </si>
  <si>
    <t>-----------TVPV-L-------------------------------------------</t>
  </si>
  <si>
    <t>------GD--------------------VVNC----------------------------</t>
  </si>
  <si>
    <t>-----------------------------------------EGLDKNSN-----------</t>
  </si>
  <si>
    <t>STID--------LYIGGQKID-SQ------------------------------------</t>
  </si>
  <si>
    <t>---------------------HYDYYA---------DIWP--------------------</t>
  </si>
  <si>
    <t>----------------------------------------NYLAE---------------</t>
  </si>
  <si>
    <t>TNKTST------------------------------------------------------</t>
  </si>
  <si>
    <t>-----------SNRNFQP---L--------------------HFF---------------</t>
  </si>
  <si>
    <t>---------FCD------------------------------------------------</t>
  </si>
  <si>
    <t>---H-GAFL-------PLVSL-----AHHQVEVRINFD----------------------</t>
  </si>
  <si>
    <t>-----------------------------------------TSLIGYGASQ---------</t>
  </si>
  <si>
    <t>----------------------------KR------------------------------</t>
  </si>
  <si>
    <t>---------------------------INV------------------------------</t>
  </si>
  <si>
    <t>---------YGNYI-------------------------YLDK-EERES-LVKRQM----</t>
  </si>
  <si>
    <t>-----DF--------------------V-------ITQ--------------TQKINF--</t>
  </si>
  <si>
    <t>-------------------------PMSNVFDNS--------------------------</t>
  </si>
  <si>
    <t>----------------------------------IQTAGGYN------------------</t>
  </si>
  <si>
    <t>--------------------------------------------------------DL--</t>
  </si>
  <si>
    <t>---DIGAF-NHP----VKS-IFFGMSATNVD-----------------------------</t>
  </si>
  <si>
    <t>----------------------------------------------------PTNDR---</t>
  </si>
  <si>
    <t>--------------DI----------------------HINGTP----------------</t>
  </si>
  <si>
    <t>----------------------LLENM---------------------------------</t>
  </si>
  <si>
    <t>RVDSEDLMY------TRYFAY-------------HFGLN-V-SD--YNP-SG-----TC-</t>
  </si>
  <si>
    <t>-------------NFSRL-DNA-KLI----------------------------------</t>
  </si>
  <si>
    <t>-------LRGVEK------------------------GIFR---------ADDNE-----</t>
  </si>
  <si>
    <t>---------------------MSV--------FAVNYNVLRI------------------</t>
  </si>
  <si>
    <t>------AVN---------------------------------------------------</t>
  </si>
  <si>
    <t>---------------------------------------------KHL------------</t>
  </si>
  <si>
    <t>---------------------------------------------IDMQSF---------</t>
  </si>
  <si>
    <t>------------------G-ELE-----------------NHL-Y---------------</t>
  </si>
  <si>
    <t>---------------DT-------------------------------------------</t>
  </si>
  <si>
    <t>YSY---------------------------------------------------------</t>
  </si>
  <si>
    <t>------FKRDYKKT----------------------------------------------</t>
  </si>
  <si>
    <t>---------------SPVFK----------------------------------------</t>
  </si>
  <si>
    <t>------------------------------------------TPVVL-------------</t>
  </si>
  <si>
    <t>---------------------------------------------DK-------------</t>
  </si>
  <si>
    <t>----------------------------------------TTGTS---------------</t>
  </si>
  <si>
    <t>-----------SFSY-DWSA----------------------------------------</t>
  </si>
  <si>
    <t>-----------------------------FVDK---------------------------</t>
  </si>
  <si>
    <t>----TQGD--------------------YLTN----------------------------</t>
  </si>
  <si>
    <t>----------------------------------LTLIVK--------------------</t>
  </si>
  <si>
    <t>-----------LK-----------------------------------------------</t>
  </si>
  <si>
    <t>-------------------------------------------LKPDN------------</t>
  </si>
  <si>
    <t>---------------------------------------------------AFKE-----</t>
  </si>
  <si>
    <t>NLLE-----ECTLTFNDTVVN-RLD-----------------------------------</t>
  </si>
  <si>
    <t>Q------------YMKNIGNQQC-------------------------------------</t>
  </si>
  <si>
    <t>PSR---------------------------------------------------------</t>
  </si>
  <si>
    <t>-------------CMVIP---I--------------------PFF---------------</t>
  </si>
  <si>
    <t>---------FNE------------------------------------------------</t>
  </si>
  <si>
    <t>---SVRNAL-------PLSEM-----PYTEIKINFKFR----------------------</t>
  </si>
  <si>
    <t>-----A---------------WESL------------VLLENKTEL--------------</t>
  </si>
  <si>
    <t>---------------------TPVPIVPVA------------------------------</t>
  </si>
  <si>
    <t>-------------------GRDLDTPVLEE------------------------------</t>
  </si>
  <si>
    <t>---------------------------VKL------------------------------</t>
  </si>
  <si>
    <t>---------YGTFV-------------------------SVSE-EERRT-IGVRPS----</t>
  </si>
  <si>
    <t>-----TM--------------------V-------FKQ--------------YQIL----</t>
  </si>
  <si>
    <t>DEK---------------------------------------------------------</t>
  </si>
  <si>
    <t>-------------------------------------------------------TKI--</t>
  </si>
  <si>
    <t>---QLM-F-KHS----VTKIYFGIRN--STF-----------------------------</t>
  </si>
  <si>
    <t>-----------------------------------------------------KNQW---</t>
  </si>
  <si>
    <t>-----------------------SNYTA--------------------------------</t>
  </si>
  <si>
    <t>----------------------------------DNDIVV--------------------</t>
  </si>
  <si>
    <t>--------------RI----------------------SYNGKD----------------</t>
  </si>
  <si>
    <t>----------------------RIPET---------------------------------</t>
  </si>
  <si>
    <t>----DAS----Y-----------FKMIEP-IY--C-----NRRVP----EK---------</t>
  </si>
  <si>
    <t>---------------EGHFVY-------------NFDIM-S-DS--PYA-SG-----SL-</t>
  </si>
  <si>
    <t>-------------AVSRL-NNP-TME----------------------------------</t>
  </si>
  <si>
    <t>-----LTVDR---------------------------EAIR---------SDRQ------</t>
  </si>
  <si>
    <t>------------------FEFITI---------AENTNVITI------------------</t>
  </si>
  <si>
    <t>----------------SEGNA-----------------------------Q---------</t>
  </si>
  <si>
    <t>----------------VPVL----------------H-----------------------</t>
  </si>
  <si>
    <t>HKRY--------------------------------------------------------</t>
  </si>
  <si>
    <t>------TNFAEDFE----------------------------------------------</t>
  </si>
  <si>
    <t>---------------ENDFSA---------------------------------------</t>
  </si>
  <si>
    <t>----------------------------------------QRVSA---------------</t>
  </si>
  <si>
    <t>-----------NVSR-Y-------------------------------------------</t>
  </si>
  <si>
    <t>------GD--------------------LVSD----------------------------</t>
  </si>
  <si>
    <t>----------------------------------VLLEVT--------------------</t>
  </si>
  <si>
    <t>------------------L--P--------------------------------------</t>
  </si>
  <si>
    <t>--------------------------AIQASES---------------------------</t>
  </si>
  <si>
    <t>--------------------------------------------VVNGAGTE--------</t>
  </si>
  <si>
    <t>--------------------------------------------VADADK----------</t>
  </si>
  <si>
    <t>AIIS-----EVEIEIGGTEVD-TLY-----------------------------------</t>
  </si>
  <si>
    <t>---------------SEWMFLWEELTQ---------RPGA--------------------</t>
  </si>
  <si>
    <t>R------------LGEQIGKFAYSADV---------------------------------</t>
  </si>
  <si>
    <t>SQ----------------------------------------------------------</t>
  </si>
  <si>
    <t>-----------ERKLYVP---L--------------------PFW---------------</t>
  </si>
  <si>
    <t>---------FNKYW----------------------------------------------</t>
  </si>
  <si>
    <t>--MEHGLSI-------PLIAL-----TYHEIKIKVSFR----------------------</t>
  </si>
  <si>
    <t>-----P---------------LADCC----------AVVYRESDPTWGD-----------</t>
  </si>
  <si>
    <t>-------------------------------------YWAL-------------------</t>
  </si>
  <si>
    <t>---------------------AADK-IPI-------------------------------</t>
  </si>
  <si>
    <t>------------------------------------NTASASAMAASD--MD--------</t>
  </si>
  <si>
    <t>---------------------------ARL------------------------------</t>
  </si>
  <si>
    <t>---------LVSYV-------------------------YLDQ-EERQA-FASVQH----</t>
  </si>
  <si>
    <t>-----EY--------------------L-------ITT--------------TQRQ----</t>
  </si>
  <si>
    <t>--------------------------------MHSITSASAKSD----------------</t>
  </si>
  <si>
    <t>--------------------------------------------------------QL--</t>
  </si>
  <si>
    <t>---KLY-F-NHP----SNALIWFVRPTDFKN-----------------------------</t>
  </si>
  <si>
    <t>----LR------------------------------------------------------</t>
  </si>
  <si>
    <t>-----------------------------------------------RRFSVGHKDM---</t>
  </si>
  <si>
    <t>-----------------------FDFSL--------------------------------</t>
  </si>
  <si>
    <t>----------------------------------QKEDATVS------------------</t>
  </si>
  <si>
    <t>--------------SL----------------------TLNGHS----------------</t>
  </si>
  <si>
    <t>----------------------RFPDS---------------------------------</t>
  </si>
  <si>
    <t>---LPGL----F-----------FRQVQPALK--W-----PNTPA---------------</t>
  </si>
  <si>
    <t>--------------G---YTY-------------LFTFA-ALGG-VWNP-TS-----TL-</t>
  </si>
  <si>
    <t>-------------NMSRI-DHV-QLE----------------------------------</t>
  </si>
  <si>
    <t>-----LKYGDN--------------------------I--------------PT------</t>
  </si>
  <si>
    <t>-------------------SDVIV--------FNEAYNLLVI------------------</t>
  </si>
  <si>
    <t>GILDAANRVSWGREAPLLS----------CGLTQERYSSPG-------------------</t>
  </si>
  <si>
    <t>-------------------------------------------ALGLLVC----------</t>
  </si>
  <si>
    <t>-------MSGF------------------------------GG-----------------</t>
  </si>
  <si>
    <t>----------------------------------------GSSGAGSL------------</t>
  </si>
  <si>
    <t>---------------------------------------------TQLLAT---------</t>
  </si>
  <si>
    <t>------------------G-SMD-----------------AAL-T---------------</t>
  </si>
  <si>
    <t>---------------QNA------------------------------------------</t>
  </si>
  <si>
    <t>YQKH--------------------------------------------------------</t>
  </si>
  <si>
    <t>------SLFALESI----------------------------------------------</t>
  </si>
  <si>
    <t>---------------NQPFT----------------------------------------</t>
  </si>
  <si>
    <t>------------------------------------------TQVQF-------------</t>
  </si>
  <si>
    <t>----------------------------------------AESHI---------------</t>
  </si>
  <si>
    <t>-----------TVNR-Q-------------------------------------------</t>
  </si>
  <si>
    <t>------GD--------------------LLSW----------------------------</t>
  </si>
  <si>
    <t>----------------------------------MYLKIV--------------------</t>
  </si>
  <si>
    <t>------------------L--PG-------------------------------------</t>
  </si>
  <si>
    <t>-----------LKVQNQADTVQPTQQS---------------------------------</t>
  </si>
  <si>
    <t>----------------FASL-----DN---------------------------------</t>
  </si>
  <si>
    <t>------------------------DVAAQADVSH--------------------------</t>
  </si>
  <si>
    <t>------------------------------------VLPYIE------------------</t>
  </si>
  <si>
    <t>--------------------------------------GAYTEASLNTKEQ---------</t>
  </si>
  <si>
    <t>A--------------------------PLPV-----------------------------</t>
  </si>
  <si>
    <t>----------------------AAQMQSTEM-----------------------------</t>
  </si>
  <si>
    <t>HLIK-----RAEFKVGGATID-TIW-----------------------------------</t>
  </si>
  <si>
    <t>GRR----------LTETIGRTLRRPTE---------------------------------</t>
  </si>
  <si>
    <t>--------------------------------------------LMKASRQ---------</t>
  </si>
  <si>
    <t>-----------EQILYVP---L--------------------PWY---------------</t>
  </si>
  <si>
    <t>---HPSLAF-------PLVAA-----TYHNIQLWVQWA----------------------</t>
  </si>
  <si>
    <t>-----Q---------------LNSC------------IIKSRSNLVVLHA----------</t>
  </si>
  <si>
    <t>----------------------ERNVPISDDHLR--------------------------</t>
  </si>
  <si>
    <t>---------ECTYV-------------------------HLEA-AERDA-LTANAG----</t>
  </si>
  <si>
    <t>-----TQ--------------------L-------IVQHQA---H-------LQQVSSN-</t>
  </si>
  <si>
    <t>--------------------------------------------------------NV--</t>
  </si>
  <si>
    <t>-TARLN-F-NFP----VLEFYYFLRRKANKD-----------------------------</t>
  </si>
  <si>
    <t>-----------------------------------------------------AGDH---</t>
  </si>
  <si>
    <t>-----------------------FNFSGI-------------------------------</t>
  </si>
  <si>
    <t>--------------EL----------------------LFNNTA----------------</t>
  </si>
  <si>
    <t>----------------------RVTQK--------------P------------------</t>
  </si>
  <si>
    <t>---------AVW-----------WRAVQA-LQ--F-----HSSAP---------------</t>
  </si>
  <si>
    <t>--------------LTNIYSY-------------SFSLS-P-ED-PITP-SG-----SA-</t>
  </si>
  <si>
    <t>-------------NFSRL-DSV-ELA----------------------------------</t>
  </si>
  <si>
    <t>-----LTLQDDFGA------------------------------------AHDAN-----</t>
  </si>
  <si>
    <t>-------------------SELFV--------FARSYNILKF------------------</t>
  </si>
  <si>
    <t>----------------TNGLA-----------------------------G---------</t>
  </si>
  <si>
    <t>&gt;1705MEGAvirome_4-NODE_8600_length_824_cov_29.404664_1 [1 - 489]</t>
  </si>
  <si>
    <t>----------------------------------------------AI------------</t>
  </si>
  <si>
    <t>------------------------------------------ECDTLLTSA---------</t>
  </si>
  <si>
    <t>------------------Q-MSD---------E-------NWITTL--------------</t>
  </si>
  <si>
    <t>---------------GST------------------------------------------</t>
  </si>
  <si>
    <t>------------------------------------------GTRNT-------------</t>
  </si>
  <si>
    <t>---------------------------------------------GTV------------</t>
  </si>
  <si>
    <t>----------------N-------------------------------------------</t>
  </si>
  <si>
    <t>AGFD--------------------------------------------------------</t>
  </si>
  <si>
    <t>---------------------V--------------------VVY---------------</t>
  </si>
  <si>
    <t>---------QNN------------------------------------------------</t>
  </si>
  <si>
    <t>---------------------------YSL------------------------------</t>
  </si>
  <si>
    <t>---------YNDY-----------------------------------------------</t>
  </si>
  <si>
    <t>--------------II----------------------KLNGQN----------------</t>
  </si>
  <si>
    <t>----------------------RFTVQ---------------------------------</t>
  </si>
  <si>
    <t>----NAN----Y-----------FTYVQN-YE--I-----GKTTP-----K---------</t>
  </si>
  <si>
    <t>---------------DGLYIY-------------SFALF-P-FE--HQP-SG-----SC-</t>
  </si>
  <si>
    <t>-------------NFSKL-DTS-ILT----------------------------------</t>
  </si>
  <si>
    <t>-----LTFADNIP-----------------------------------------------</t>
  </si>
  <si>
    <t>-------------------SSVIVA-------YAINYNVFKI------------------</t>
  </si>
  <si>
    <t>----------------MEGIG-----------------------------S---------</t>
  </si>
  <si>
    <t>----------------LS------------------HTS---------------------</t>
  </si>
  <si>
    <t>-----------ATL----------------------------------------------</t>
  </si>
  <si>
    <t>---------------DMGVAL---------------------------------------</t>
  </si>
  <si>
    <t>-----------------------------------------PSPITY-------------</t>
  </si>
  <si>
    <t>----------------------------------------QTLRF---------------</t>
  </si>
  <si>
    <t>-----------LVPR-K-------------------------------------------</t>
  </si>
  <si>
    <t>----------------------------------LTVRMR--------------------</t>
  </si>
  <si>
    <t>------------------V--KR-------------------------------------</t>
  </si>
  <si>
    <t>----------------------------------------------ER------------</t>
  </si>
  <si>
    <t>---------------------------------------------------GH-------</t>
  </si>
  <si>
    <t>ELIE-----SASLIMGKQVIE-ELT-----------------------------------</t>
  </si>
  <si>
    <t>A------------RYRMSD-----------------------------------------</t>
  </si>
  <si>
    <t>-----------EKLLYCN---I--------------------PFY---------------</t>
  </si>
  <si>
    <t>---------FTH------------------------------------------------</t>
  </si>
  <si>
    <t>----KGCCL-------PLISL-----QYTQPEIVIKFK----------------------</t>
  </si>
  <si>
    <t>-----------------------------------------SSVMSFDPTYQPQ------</t>
  </si>
  <si>
    <t>---------------------------IQV------------------------------</t>
  </si>
  <si>
    <t>---------TGEYV-------------------------YLDD-TEREW-WASQEH----</t>
  </si>
  <si>
    <t>DIEQSRIENKYTPLDIQTGVPSSILGPAEPYEDS---IIVTQGGQDGFTYINLVDPEKYP</t>
  </si>
  <si>
    <t>GNSVILYDTGSNA----RTFTI-KAAMLLPKDGNNNGSVSALWARRAGDIGYECEFIVEP</t>
  </si>
  <si>
    <t>--SNQMHINVYRNGQVIVSLDENTVFTSAMTTVTG-DSSSYDIRSDTFAADNPSIDV---</t>
  </si>
  <si>
    <t>YFEVSEGYSAVDTLGIPTQMGFAATSNTFPAIITD------ISMSTRQIEKTPIDDNLTH</t>
  </si>
  <si>
    <t>HKTPIY-T-RGP----VRFMAWVTTP----------------------------------</t>
  </si>
  <si>
    <t>--------------------------------------------------LDPNHQW---</t>
  </si>
  <si>
    <t>-----------------------GAFST--------------------------------</t>
  </si>
  <si>
    <t>----------------------------------G--DRGTYV-----------------</t>
  </si>
  <si>
    <t>--------------QI----------------------LINGKP----------------</t>
  </si>
  <si>
    <t>----------------------RTEME---------------------------------</t>
  </si>
  <si>
    <t>----DAS----Y-----------FSVYHP-LE--TI----QRSLP---------------</t>
  </si>
  <si>
    <t>---------------SGVHFY-------------SFSHD-P-TD--FSP-DA-----SM-</t>
  </si>
  <si>
    <t>-------------NFSRA-GSV-VLS----------------------------------</t>
  </si>
  <si>
    <t>-----QRFKKWN-------------------------PTAT---------S---------</t>
  </si>
  <si>
    <t>GEL---RASETFAAA-RDFKRIRI--------YMVGYNVLMH------------------</t>
  </si>
  <si>
    <t>----------------RDGQV-----------------------------A---------</t>
  </si>
  <si>
    <t>----------------LQ------------------CV----------------------</t>
  </si>
  <si>
    <t>-------------------------------------------SM---------------</t>
  </si>
  <si>
    <t>-------SS---------------------------------------------------</t>
  </si>
  <si>
    <t>--------------------------------------------SGAL------------</t>
  </si>
  <si>
    <t>---------------------------------------------LQLLLE---------</t>
  </si>
  <si>
    <t>------------------G-EED-----------------VHL-H---------------</t>
  </si>
  <si>
    <t>---------------SQ---------------------------D---------------</t>
  </si>
  <si>
    <t>FKKV--------------------------------------------------------</t>
  </si>
  <si>
    <t>------TPYSIATL----------------------------------------------</t>
  </si>
  <si>
    <t>----------------------------------------------ET------------</t>
  </si>
  <si>
    <t>-----------------------------------------SSVVSFDPTYQPQ------</t>
  </si>
  <si>
    <t>DIEQSRIENKYTPLGIQTGVPSSILGPAEPYEDS---IIVTQGGQDGFTYINLVDPEKYP</t>
  </si>
  <si>
    <t>GNSVILYDTGSNA----RTFTI-KAAMLLPKDGNNNGSVSALWARRAGDIGYECEFIIEP</t>
  </si>
  <si>
    <t>-TQGSDYEIWAE------------------------------------------------</t>
  </si>
  <si>
    <t>----SRGSNLV-------------------------------------------------</t>
  </si>
  <si>
    <t>----------------------------------------TYV-----------------</t>
  </si>
  <si>
    <t>----------------------RSPVL---------------------------------</t>
  </si>
  <si>
    <t>----NAP----H------------------------------------------------</t>
  </si>
  <si>
    <t>-------------------------VHI-L----IF-----CNSM---------------</t>
  </si>
  <si>
    <t>-------SQ---------------------------------------------------</t>
  </si>
  <si>
    <t>------------------G-EED-----------------VFI-H---------------</t>
  </si>
  <si>
    <t>------TPFSVATL----------------------------------------------</t>
  </si>
  <si>
    <t>---------------DMGASL---------------------------------------</t>
  </si>
  <si>
    <t>-----------------------------------------PTPISY-------------</t>
  </si>
  <si>
    <t>-----------TVPR-K-------------------------------------------</t>
  </si>
  <si>
    <t>------GD--------------------LLKS----------------------------</t>
  </si>
  <si>
    <t>----------------------------------LTVRIR--------------------</t>
  </si>
  <si>
    <t>------------------A--KK-------------------------------------</t>
  </si>
  <si>
    <t>----------------------------------------------DM------------</t>
  </si>
  <si>
    <t>EFIE-----SASIIMGKQVIE-ELT-----------------------------------</t>
  </si>
  <si>
    <t>G------------RYRMSD-----------------------------------------</t>
  </si>
  <si>
    <t>-----------EKLLYCN---I--------------------PFF---------------</t>
  </si>
  <si>
    <t>---------FSH------------------------------------------------</t>
  </si>
  <si>
    <t>----HGCCL-------PLITL-----QYMQPEIVIKFK----------------------</t>
  </si>
  <si>
    <t>-----------------------------------------SRVTSFDETYQPQ------</t>
  </si>
  <si>
    <t>---------------------------ISV------------------------------</t>
  </si>
  <si>
    <t>---------SGEYV-------------------------FLDD-TEREW-WARQEH----</t>
  </si>
  <si>
    <t>DIERSKINRQYTPVSNQIGVIDSILGPAKDQYDSDPTNVITSGTGGSLSYITLVDKTTHP</t>
  </si>
  <si>
    <t>GNSMILYDTGTNA----GEFNI-KASLLLPKDYNNGGSISVLWARREGDLGYECEFF-NP</t>
  </si>
  <si>
    <t>TGTNDINVNVYRNGSRIVGLSTDTVFTSTMTKVRD-DTNEYDIRT-SFFLDNP--NVTDF</t>
  </si>
  <si>
    <t>NVMGPGYDVWIDVDITHNLEDISRMTCNYTLRVYESAAPGSQFPYTKFALETPVSSKQ-K</t>
  </si>
  <si>
    <t>FFEISEGYSAVQTLGVNTYMGFAASSASFDGIIADIDENTPIDLSTKQVTITPVDENLTT</t>
  </si>
  <si>
    <t>KKTKIY-N-RGP----VKFLAWTLTP----------------------------------</t>
  </si>
  <si>
    <t>--------------------------------------------------QDPESQW---</t>
  </si>
  <si>
    <t>-----------------------GQWST--------------------------------</t>
  </si>
  <si>
    <t>----------------------------------G--QRGTYV-----------------</t>
  </si>
  <si>
    <t>--------------QI----------------------LVNGKP----------------</t>
  </si>
  <si>
    <t>----------------------RTELE---------------------------------</t>
  </si>
  <si>
    <t>----DAV----Y-----------FSVYHP-ME--VA----GKSLP---------------</t>
  </si>
  <si>
    <t>---------------SGIHMY-------------SFARD-P-MG--TSP-DA-----SM-</t>
  </si>
  <si>
    <t>-------------NFSRA-GDI-ALY----------------------------------</t>
  </si>
  <si>
    <t>-----QRYKRWN-------------------------PTAT---------S---------</t>
  </si>
  <si>
    <t>AEL---RPSESLPSA-REYTRLRI--------YLVGYNVLLI------------------</t>
  </si>
  <si>
    <t>----------------KDGQM-----------------------------A---------</t>
  </si>
  <si>
    <t>------------------CC----------------------------------------</t>
  </si>
  <si>
    <t>-----------------------------------------PCTM---------------</t>
  </si>
  <si>
    <t>---------------------------------------------LQLLLK---------</t>
  </si>
  <si>
    <t>------------------G-DQD-----------------AYI-H---------------</t>
  </si>
  <si>
    <t>---------------SE---------------------------D---------------</t>
  </si>
  <si>
    <t>YKKV--------------------------------------------------------</t>
  </si>
  <si>
    <t>------TPYSVATL----------------------------------------------</t>
  </si>
  <si>
    <t>---------------DMNVAL---------------------------------------</t>
  </si>
  <si>
    <t>-----------------------------------------PTNVTY-------------</t>
  </si>
  <si>
    <t>-----------FIPR-K-------------------------------------------</t>
  </si>
  <si>
    <t>----------------------------------MTIRMR--------------------</t>
  </si>
  <si>
    <t>------------------V--KK-------------------------------------</t>
  </si>
  <si>
    <t>EAIE-----SVSLVVGKQVIE-EFT-----------------------------------</t>
  </si>
  <si>
    <t>-----------EKLLYCS---I--------------------PFY---------------</t>
  </si>
  <si>
    <t>---------FSY------------------------------------------------</t>
  </si>
  <si>
    <t>----PGCCL-------PLITL-----QYTQPEVVIKFK----------------------</t>
  </si>
  <si>
    <t>-----------------------------------------SSVTSFDPTYQPQ------</t>
  </si>
  <si>
    <t>---------------------------IQI------------------------------</t>
  </si>
  <si>
    <t>---------TGEYV-------------------------FLDD-TERDW-WTRQDH----</t>
  </si>
  <si>
    <t>DIDETRLSRLYTTLASQFGVPDSITGAAAAVDES---TVITVRGEGEISYATLVDPSTYP</t>
  </si>
  <si>
    <t>GTSTITYGSGSNA----STFNM-QASLLLPKDPNNGGVTSVFWARTQGNQGYRLDFRFDP</t>
  </si>
  <si>
    <t>DRTNQIIVSMYRNTQQIVELTSDTVFTSALTAVQG-DTSSFDARSQQFIDDYGLFNLLT-</t>
  </si>
  <si>
    <t>YLQVTEGYSAVNTIDIPSSMGFTATSTLFPCRVAD------ITLSARQVQIAPVDENLTP</t>
  </si>
  <si>
    <t>KKTKIY-N-PGP----IRYMVWVTTP----------------------------------</t>
  </si>
  <si>
    <t>--------------------------------------------------LNPEDQW---</t>
  </si>
  <si>
    <t>-----------------------GNFST--------------------------------</t>
  </si>
  <si>
    <t>----------------------------------G--ETGTYT-----------------</t>
  </si>
  <si>
    <t>----DAT----Y-----------FSVYHP-MM--VA----QKSLP---------------</t>
  </si>
  <si>
    <t>---------------AGVHMY-------------SFCND-I-RS--FHP-DA-----SM-</t>
  </si>
  <si>
    <t>-------------NFSRA-GDV-TLY----------------------------------</t>
  </si>
  <si>
    <t>-----SRYKKYN-------------------------PTAT---------S---------</t>
  </si>
  <si>
    <t>SDL---LDSESLPSA-QDYKRIRI--------YLMGYNVLTI------------------</t>
  </si>
  <si>
    <t>----------------RDGTM-----------------------------A---------</t>
  </si>
  <si>
    <t>----------------LM------------------QV----------------------</t>
  </si>
  <si>
    <t>TQQ---------------------------------------------------------</t>
  </si>
  <si>
    <t>----------ETPPKHRACASIIDASDFYV--------------------------NRC-</t>
  </si>
  <si>
    <t>-----------------------NTVEI-L----VL-----SSSM---------------</t>
  </si>
  <si>
    <t>ETIE-----SVSLIMGKQVIE-EFT-----------------------------------</t>
  </si>
  <si>
    <t>-----------EKLLYCS---V--------------------PFY---------------</t>
  </si>
  <si>
    <t>----PGCCL-------PLIAL-----QYTQPEVVVKFK----------------------</t>
  </si>
  <si>
    <t>DIEPTKLSRLYTTLASQFGVPDSITGAAAAVPED---TVITVRGEGEISYITLADPSTYP</t>
  </si>
  <si>
    <t>GTSTITYSGGSNA----SSFTI-QASLLLPKDPNTGGLTSVFWAKTPSNQGYRLDFRFDQ</t>
  </si>
  <si>
    <t>TRPNHAIVSMYRANQKIMEVSTDTVFTSALTAVQA-DTSSFDVRSQQFIDDYGLFNLLT-</t>
  </si>
  <si>
    <t>YLQVTEGYSAVNTIDTASSMGFTATSTLFPCHVAD------ITLSTRQVAIAPVDDNLTP</t>
  </si>
  <si>
    <t>KKTKIY-N-PGP----IRYMAWVTTP----------------------------------</t>
  </si>
  <si>
    <t>---------------AGVHMY-------------SFCND-I-RS--FQP-DA-----SM-</t>
  </si>
  <si>
    <t>SEL---LESESLPSA-RDYKRIRI--------YLVGYNVLTI------------------</t>
  </si>
  <si>
    <t>-------------------------AVWY-------------------------------</t>
  </si>
  <si>
    <t>YKKT--------------------------------------------------------</t>
  </si>
  <si>
    <t>-----------------------------------------PTTITY-------------</t>
  </si>
  <si>
    <t>-----------YIPR-K-------------------------------------------</t>
  </si>
  <si>
    <t>EAIE-----SISLVMGKQVIE-ELT-----------------------------------</t>
  </si>
  <si>
    <t>G------------RSRMSD-----------------------------------------</t>
  </si>
  <si>
    <t>---------TGEYV-------------------------FLDD-TEREW-WTRQDH----</t>
  </si>
  <si>
    <t>DIDQTKLSRIYTVLASQFGVPASITGEAAAVPEN---TVITVRGEGEISYITVVDPSAYP</t>
  </si>
  <si>
    <t>GTSTITYGSGSNA----STFNM-QASLLLPKDNNTGGVTSLFWARTQGNQGYRLDFRFDP</t>
  </si>
  <si>
    <t>NRTNHIIVSMYRNNQRIVELATDSVFTSALTAVQD-DTTSFDARTQQFIDDYGIFNLLT-</t>
  </si>
  <si>
    <t>YLQVTEGYSAVNTIDIPSTMGFTATSTLFPCRVAD------ITMSTRQVEIAPVDDNLTV</t>
  </si>
  <si>
    <t>----DAT----Y-----------FSVYHP-LM--VA----NKALP---------------</t>
  </si>
  <si>
    <t>---------------AGVHMY-------------SFSND-I-TR--FHP-DA-----SM-</t>
  </si>
  <si>
    <t>-----SRYKKWN-------------------------PTAT---------S---------</t>
  </si>
  <si>
    <t>SEL---LDSESLPNA-RDHKRIRI--------YLVGYNVLTI------------------</t>
  </si>
  <si>
    <t>----------------RDGAM-----------------------------A---------</t>
  </si>
  <si>
    <t>-----------STL----------------------------------------------</t>
  </si>
  <si>
    <t>---------------DMDVAL---------------------------------------</t>
  </si>
  <si>
    <t>-----------LIPR-K-------------------------------------------</t>
  </si>
  <si>
    <t>-----------TN-----------------------------------------------</t>
  </si>
  <si>
    <t>----------------------------------------------EL------------</t>
  </si>
  <si>
    <t>A------------RYRLSD-----------------------------------------</t>
  </si>
  <si>
    <t>-----------EKTLYCS---I--------------------PFY---------------</t>
  </si>
  <si>
    <t>----PGCCL-------PLISL-----QYTQPEIVIKFK----------------------</t>
  </si>
  <si>
    <t>-----------------------------------------SRAVSFDPTYQPQ------</t>
  </si>
  <si>
    <t>---------TGEYI-------------------------YLDD-TEREW-WTRQDH----</t>
  </si>
  <si>
    <t>DIEETKLTRIYTNVANQFGSPDSITGAAATVPQE---DVITIRGEGESSYITLVDPNDYP</t>
  </si>
  <si>
    <t>GTSTVLWNGDSSA----AVFNI-KGSLLVPKDGNTGGATRVVWARSASNQGYMLEFQRNS</t>
  </si>
  <si>
    <t>TLVNEIDVNVYRNGTRIVALRSDTVTTAAMTSVNA-DTSSFDIRSQSFIDTYGLFDVLD-</t>
  </si>
  <si>
    <t>FLRVSEGYSAIPTLGFSTEYGFTATSALFPAIVAD------LELSTRQVEISPTDENLTL</t>
  </si>
  <si>
    <t>KKTKIY-T-RGP----VRYMAWVTTP----------------------------------</t>
  </si>
  <si>
    <t>--------------------------------------------------LDVESQW---</t>
  </si>
  <si>
    <t>----------------------------------G--DQGTYS-----------------</t>
  </si>
  <si>
    <t>--------------QL----------------------LINGKP----------------</t>
  </si>
  <si>
    <t>----DAR----Y-----------YTVYHP-LQ--KI----HRALP---------------</t>
  </si>
  <si>
    <t>---------------AGIHLY-------------VFGGD-P-TV--FEP-DA-----SM-</t>
  </si>
  <si>
    <t>-----QRYKKWN-------------------------PTAT---------T---------</t>
  </si>
  <si>
    <t>GDL---RLSESLPIA-RDYKRIRI--------YLVGYNVLVI------------------</t>
  </si>
  <si>
    <t>----------------KDGTM-----------------------------G---------</t>
  </si>
  <si>
    <t>----------------LK------------------RV----------------------</t>
  </si>
  <si>
    <t>MRR---------------------------------------------------------</t>
  </si>
  <si>
    <t>-----------------------------------------IARM---------------</t>
  </si>
  <si>
    <t>-------GA---------------------------------------------------</t>
  </si>
  <si>
    <t>---------------------------------------------LQLLLH---------</t>
  </si>
  <si>
    <t>------------------G-EED-----------------ITL-H---------------</t>
  </si>
  <si>
    <t>---------------GT---------------------------D---------------</t>
  </si>
  <si>
    <t>WKKS--------------------------------------------------------</t>
  </si>
  <si>
    <t>------TPYAVAHI----------------------------------------------</t>
  </si>
  <si>
    <t>---------------DTNVNM---------------------------------------</t>
  </si>
  <si>
    <t>-----------------------------------------PTQVTY-------------</t>
  </si>
  <si>
    <t>----------------------------------------QAMRF---------------</t>
  </si>
  <si>
    <t>------AD--------------------LLRG----------------------------</t>
  </si>
  <si>
    <t>----------------------------------LQVRMR--------------------</t>
  </si>
  <si>
    <t>------------------V--KS-------------------------------------</t>
  </si>
  <si>
    <t>-----------TTA----------------------------------------------</t>
  </si>
  <si>
    <t>---------------------------------------------AST------------</t>
  </si>
  <si>
    <t>DLIQ-----TATLICGKQVME-EIT-----------------------------------</t>
  </si>
  <si>
    <t>A------------RDRLAA-----------------------------------------</t>
  </si>
  <si>
    <t>RR----------------------------------------------------------</t>
  </si>
  <si>
    <t>-----------YKTLYVD---L--------------------PFF---------------</t>
  </si>
  <si>
    <t>---------FA-------------------------------------------------</t>
  </si>
  <si>
    <t>-----KTPL-------PLIAA-----QYQDIEVHLQFR----------------------</t>
  </si>
  <si>
    <t>----------------------------------------ASEVLALDPTIEPD------</t>
  </si>
  <si>
    <t>---------FGEYV-------------------------FLDE-SERLW-WTSTPH----</t>
  </si>
  <si>
    <t>DTEESQLTKTYDTENILFGTPTSVTGAGT---ES---DVV------QADFLQLTKYPDYN</t>
  </si>
  <si>
    <t>GTTTVLYNTGQNT----VNHTI-NVAMSIPYD----GRASMIWARTSANLGYQIDWVIN-</t>
  </si>
  <si>
    <t>--GNDLEIYIKRNGTTIAYLTSTEVFSIALTTVTG-SDTSYDITAQV-------------</t>
  </si>
  <si>
    <t>FFQVAEGYSSVDTLARESSLGFEGVSNAYDALVTD------FDMTIQRVNIEPVSDNYTY</t>
  </si>
  <si>
    <t>RKSKIF-A-RGP----LRWLAWTCSP----------------------------------</t>
  </si>
  <si>
    <t>--------------------------------------------------QTTPTRF---</t>
  </si>
  <si>
    <t>-----------------------NTSSD--------------------------------</t>
  </si>
  <si>
    <t>----------------------------------R--QSTNMV-----------------</t>
  </si>
  <si>
    <t>--------------QL----------------------LFNGKD----------------</t>
  </si>
  <si>
    <t>----------------------RTQME---------------------------------</t>
  </si>
  <si>
    <t>----LNS----Y-----------FTVDHP-LR--HL----HKALP---------------</t>
  </si>
  <si>
    <t>---------------TGIHLY-------------SFAER-P-MT--LQS-DG-----HV-</t>
  </si>
  <si>
    <t>-------------NVNRL-GDL-TLY----------------------------------</t>
  </si>
  <si>
    <t>-----QRFRRYS-------------------------SSVT---------DEAS------</t>
  </si>
  <si>
    <t>DDL---YDDEGLNDS-KNFTRIVI--------YAMCFNVLRV------------------</t>
  </si>
  <si>
    <t>----------------VNGTL-----------------------------S---------</t>
  </si>
  <si>
    <t>----------------LA------------------YV----------------------</t>
  </si>
  <si>
    <t>----------------------------------------HGTVHARPDRR---------</t>
  </si>
  <si>
    <t>VRRHN-----R-----------------------------REYG-CD---A---------</t>
  </si>
  <si>
    <t>PW-----PQQNQGQLVREAAVRPDPVKF-A----SFIMCVCINDM---------------</t>
  </si>
  <si>
    <t>---------------------------------------------LQILLH---------</t>
  </si>
  <si>
    <t>------------------G-DED-----------------VTL-H---------------</t>
  </si>
  <si>
    <t>---------------ST---------------------------Q---------------</t>
  </si>
  <si>
    <t>LKKA--------------------------------------------------------</t>
  </si>
  <si>
    <t>------TPYAIAHI----------------------------------------------</t>
  </si>
  <si>
    <t>---------------DTNMNM---------------------------------------</t>
  </si>
  <si>
    <t>-----------------------------------------PTSVTY-------------</t>
  </si>
  <si>
    <t>------AD--------------------LLKS----------------------------</t>
  </si>
  <si>
    <t>----------------------------------LQLRLR--------------------</t>
  </si>
  <si>
    <t>---------------------------------------------AAT------------</t>
  </si>
  <si>
    <t>DLIQ-----SATITAGKQVLE-EIT-----------------------------------</t>
  </si>
  <si>
    <t>A------------RERVCQ-----------------------------------------</t>
  </si>
  <si>
    <t>-----------FKTLFVD---L--------------------PFF---------------</t>
  </si>
  <si>
    <t>-----STPL-------PLIAA-----QYQDLEVRIHFR----------------------</t>
  </si>
  <si>
    <t>----------------------------------------ASEVLALDPTVEPD------</t>
  </si>
  <si>
    <t>---------------------------VQV------------------------------</t>
  </si>
  <si>
    <t>---------VGEYV-------------------------YLDD-SERRW-WTESPH----</t>
  </si>
  <si>
    <t>DTEESQLVKTYDTENILFGVPTSVTGAGT---ES---DVV------QADFLQLTKFPDYT</t>
  </si>
  <si>
    <t>GTTTVLYNTGENT----VNHSI-NAAMSIPYD----GRASVIWARTPDNMGYQIDWVIN-</t>
  </si>
  <si>
    <t>--GNDLEIYIKRNGTTIAYLKSAEVFSIALTTVTG-SDTSYDMTAEV-------------</t>
  </si>
  <si>
    <t>FFGVAEGYSSVNTLARDSSIGFEGVSSAYDALVTD------FDMTIQRVNIEPVSDNYTY</t>
  </si>
  <si>
    <t>RKTKVF-A-RGP----LRWLAWTCSP----------------------------------</t>
  </si>
  <si>
    <t>--------------------------------------------------QTGVARF---</t>
  </si>
  <si>
    <t>-----------------------NTSTD--------------------------------</t>
  </si>
  <si>
    <t>----------------------------------R--QSTKMV-----------------</t>
  </si>
  <si>
    <t>--------------QI----------------------LFNGKD----------------</t>
  </si>
  <si>
    <t>----------------------RTAME---------------------------------</t>
  </si>
  <si>
    <t>----LNT----Y-----------FSVDHP-RR--HI----HKALP---------------</t>
  </si>
  <si>
    <t>---------------CGVHMY-------------SFAEN-P-LR--LQS-DG-----HV-</t>
  </si>
  <si>
    <t>-------------NVNRL-GEV-QIL----------------------------------</t>
  </si>
  <si>
    <t>-----QRFRRYS-------------------------SSVS---------DEAS------</t>
  </si>
  <si>
    <t>ADL---FEDEGLNGS-KNFTRITV--------YSMCFNVLRV------------------</t>
  </si>
  <si>
    <t>----------------VNGTI-----------------------------S---------</t>
  </si>
  <si>
    <t>----------------IA------------------YV----------------------</t>
  </si>
  <si>
    <t>PH-----P---------------------------------YNDM---------------</t>
  </si>
  <si>
    <t>------------------G-QED-----------------ILL-H---------------</t>
  </si>
  <si>
    <t>---------------DT---------------------------S---------------</t>
  </si>
  <si>
    <t>WKKA--------------------------------------------------------</t>
  </si>
  <si>
    <t>------TPFAIAHI----------------------------------------------</t>
  </si>
  <si>
    <t>---------------DTNQNM---------------------------------------</t>
  </si>
  <si>
    <t>----------------------------------------QTMRF---------------</t>
  </si>
  <si>
    <t>------AD--------------------MLKG----------------------------</t>
  </si>
  <si>
    <t>----------------------------------LQLRIR--------------------</t>
  </si>
  <si>
    <t>DFIQ-----SATLVAGKQVLE-EIT-----------------------------------</t>
  </si>
  <si>
    <t>T------------RERLGQ-----------------------------------------</t>
  </si>
  <si>
    <t>---------FT-------------------------------------------------</t>
  </si>
  <si>
    <t>-----KTPL-------PLVAA-----QYQDVEVRIQFR----------------------</t>
  </si>
  <si>
    <t>----------------------------------------ASEVLAFDPTIEPD------</t>
  </si>
  <si>
    <t>---------VGEYV-------------------------FLDD-AERRW-WAENAH----</t>
  </si>
  <si>
    <t>DTEESQLVKTYDTENILFGVPTSVTGAGT---ES---DVV------QVDFLQLTKYPDYT</t>
  </si>
  <si>
    <t>GTTTVLYNTGENT----VNHSI-SAAMAIPYD----GRASVIWARTAANQGYQIDWVIN-</t>
  </si>
  <si>
    <t>--GNDLEIYIKRNGSNIAYLTSTEVFSIALTSVTG-SDTSYDITPEV-------------</t>
  </si>
  <si>
    <t>FFRVAEGYSSVNTLGRESSIGFEGVSNAYDALVTD------FDMTIQRVNIEPVSDNYTY</t>
  </si>
  <si>
    <t>RKTKIF-A-RGP----LRWLAWTCSP----------------------------------</t>
  </si>
  <si>
    <t>--------------------------------------------------QTEPTRF---</t>
  </si>
  <si>
    <t>----------------------------------K--QSSSLV-----------------</t>
  </si>
  <si>
    <t>--------------QI----------------------LFNGKE----------------</t>
  </si>
  <si>
    <t>----PNT----Y-----------FSVDHP-QR--HV----HKSLP---------------</t>
  </si>
  <si>
    <t>---------------AGIHMY-------------SFAQH-P-LT--LQS-DG-----HV-</t>
  </si>
  <si>
    <t>-------------NVNRL-GDV-TLY----------------------------------</t>
  </si>
  <si>
    <t>DEGLNGSKNFTRITVYSMCFNVLRVVXXXXXXXXXXXXXXXXXXXXXXXXXXXXXXXXXT</t>
  </si>
  <si>
    <t>ADL---YEDEGLNGS-KNFTRITV--------YSMCFNVLRV------------------</t>
  </si>
  <si>
    <t>--R---------------------------------------------------------</t>
  </si>
  <si>
    <t>----------------------------YI------------------------------</t>
  </si>
  <si>
    <t>---------------------------------------------LQLLLR---------</t>
  </si>
  <si>
    <t>------------------G-EED-----------------THI-I---------------</t>
  </si>
  <si>
    <t>---------------SE---------------------------S---------------</t>
  </si>
  <si>
    <t>YKKA--------------------------------------------------------</t>
  </si>
  <si>
    <t>------VAFATQWI----------------------------------------------</t>
  </si>
  <si>
    <t>---------------DIDARL---------------------------------------</t>
  </si>
  <si>
    <t>-----------------------------------------PSTKVY-------------</t>
  </si>
  <si>
    <t>----------------------------------------ETLRF---------------</t>
  </si>
  <si>
    <t>-----------RVPR-K-------------------------------------------</t>
  </si>
  <si>
    <t>------GD--------------------ILKG----------------------------</t>
  </si>
  <si>
    <t>----------------------------------IMIGFK--------------------</t>
  </si>
  <si>
    <t>------------------V--RR-------------------------------------</t>
  </si>
  <si>
    <t>-----------AA-----------------------------------------------</t>
  </si>
  <si>
    <t>----------------------------------------------GQ------------</t>
  </si>
  <si>
    <t>QLIR-----EASVYAGRQTIE-TIP-----------------------------------</t>
  </si>
  <si>
    <t>T------------TSRLTT-----------------------------------------</t>
  </si>
  <si>
    <t>-----------YKTMYVK---I--------------------PFF---------------</t>
  </si>
  <si>
    <t>---------FE-------------------------------------------------</t>
  </si>
  <si>
    <t>-----KTPL-------PLIAV-----QNQHIDIEVEFG----------------------</t>
  </si>
  <si>
    <t>-----------------------------------------KATLALDPSYEPL------</t>
  </si>
  <si>
    <t>---------------------------VDI------------------------------</t>
  </si>
  <si>
    <t>---------YLEYA-------------------------YIDD-DERRY-YTSNEH----</t>
  </si>
  <si>
    <t>QMRQSQINKLFSTQQDALGEYVSVVGSGENRNIS------------QGDSIALVNNPEWT</t>
  </si>
  <si>
    <t>GRTEIVY-TVESP----SKFDF-RGRFLLPTTGTF-GMKYATYTSNGVNYGYTVEFQTV-</t>
  </si>
  <si>
    <t>--NNVFGVYIKRNGVVIASINNTKAYTDYRTTVSGNSTSSTDVSAQV-------------</t>
  </si>
  <si>
    <t>VYTFVEGYNPIDTVSKQTTYSFFADSS-FNVTLTE------TQYIINKVEILPLTNNLKT</t>
  </si>
  <si>
    <t>LQSRLF-F-RGP----IRYLLWIYSKG---------------------------------</t>
  </si>
  <si>
    <t>-------------------------------------------------GVVDEETW---</t>
  </si>
  <si>
    <t>-----------------------GKFST--------------------------------</t>
  </si>
  <si>
    <t>----------------------------------ASDERNTLE-----------------</t>
  </si>
  <si>
    <t>--------------RL----------------------LLNGQD----------------</t>
  </si>
  <si>
    <t>----------------------KTGWM---------------------------------</t>
  </si>
  <si>
    <t>----DSV----F-----------YNVVEM-AR--VF----KKPLP---------------</t>
  </si>
  <si>
    <t>---------------TGVHCI-------------SFAMD-P-LT--MAP-NG-----SA-</t>
  </si>
  <si>
    <t>-------------NFSQL-QSI-LLV----------------------------------</t>
  </si>
  <si>
    <t>-----QNLKSYS-------------------------DTIT---------SEND------</t>
  </si>
  <si>
    <t>LSL---DETEVLANG-KDFDTISV--------FAVGWNVLRI------------------</t>
  </si>
  <si>
    <t>----------------ANGAM-----------------------------A---------</t>
  </si>
  <si>
    <t>----------------LG------------------YL----------------------</t>
  </si>
  <si>
    <t>---------------------------------------AQEQ-----------------</t>
  </si>
  <si>
    <t>-----------------------------------------MVG--H-SLA---------</t>
  </si>
  <si>
    <t>-------VMDGAIISQETPPAIQQSAYYYYTN----------------------------</t>
  </si>
  <si>
    <t>--------------------------------------------------KIVVYSPEK-</t>
  </si>
  <si>
    <t>-ISYLESMEEA-------------------------------------------------</t>
  </si>
  <si>
    <t>--------------------------------------------PGAI------------</t>
  </si>
  <si>
    <t>---------------------------------------------VQLLAR---------</t>
  </si>
  <si>
    <t>------------------G-KQD-----------------EYL-Q---------------</t>
  </si>
  <si>
    <t>---------------GQ-------------------------------------------</t>
  </si>
  <si>
    <t>HKRA--------------------------------------------------------</t>
  </si>
  <si>
    <t>------TPFALEHR----------------------------------------------</t>
  </si>
  <si>
    <t>---------------EEYFR----------------------------------------</t>
  </si>
  <si>
    <t>------------------------------------------QGLRF-------------</t>
  </si>
  <si>
    <t>----------------------------------------QKCRV---------------</t>
  </si>
  <si>
    <t>-----------DIPK-R-------------------------------------------</t>
  </si>
  <si>
    <t>------SD--------------------SIGE----------------------------</t>
  </si>
  <si>
    <t>----------------------------------MLLEVK--------------------</t>
  </si>
  <si>
    <t>-----------LPNADD-------------------------------------------</t>
  </si>
  <si>
    <t>TLIR-----RVQIFMGGVLVV-DHE-----------------------------------</t>
  </si>
  <si>
    <t>---------------RLWNYIGDTLYT---------PSSKR-------------------</t>
  </si>
  <si>
    <t>-------------YNSQPQKTRYVNT----------------------------------</t>
  </si>
  <si>
    <t>-----------EHTILIP---LMRMPWST------------TRFF---------------</t>
  </si>
  <si>
    <t>----------------PIVSV--DVPIHMEVEVETGDA----CI----------------</t>
  </si>
  <si>
    <t>-------------------GTVPYIPPLDK------------------------------</t>
  </si>
  <si>
    <t>---------------------------AAL------------------------------</t>
  </si>
  <si>
    <t>---------LIQNV-------------------------FMEK-AERFT-FLFKPL----</t>
  </si>
  <si>
    <t>-----AYP-------------------ITW-----IAD--------------VETVFTN-</t>
  </si>
  <si>
    <t>-----------------------------------------------------RSRQI--</t>
  </si>
  <si>
    <t>-RIDLSEL-DFP----VKSLWWVAYPVGDES-----------------------------</t>
  </si>
  <si>
    <t>-----------------------FAFVK--------------------------------</t>
  </si>
  <si>
    <t>-----------------DGFVED-------------------------------------</t>
  </si>
  <si>
    <t>--------------AL----------------------CLESQN----------------</t>
  </si>
  <si>
    <t>----------------------LTSET---------------------------------</t>
  </si>
  <si>
    <t>----PSTL-TSFASR---------------WA--------RSSNS-----SN--------</t>
  </si>
  <si>
    <t>--------------DDGIYGL--HIG--------------P-------P-GGVLVRGGL-</t>
  </si>
  <si>
    <t>-------------DFSKT-KRP-FLR----------------------------------</t>
  </si>
  <si>
    <t>-----LTLRQ---------------------------EAFQ---------SGTE------</t>
  </si>
  <si>
    <t>-------------------YVCKV--------FAECSRSIRI------------------</t>
  </si>
  <si>
    <t>----------------QYGQV-----------------------------G---------</t>
  </si>
  <si>
    <t>----------------LF------------------------------------------</t>
  </si>
  <si>
    <t>&gt;1109MEGAvirome_6-GSNCC_NODE_1528_length_2749_cov_44.446496_3 [1834 - 2349]</t>
  </si>
  <si>
    <t>--------YHKK---------------------------HHQQ-----------------</t>
  </si>
  <si>
    <t>-----------------------------------------YSN-QH-TIT---------</t>
  </si>
  <si>
    <t>-----------------------------------------------------QI-----</t>
  </si>
  <si>
    <t>HIVILESMEEA-------------------------------------------------</t>
  </si>
  <si>
    <t>---------------------------------------------VQLLAK---------</t>
  </si>
  <si>
    <t>------CD--------------------SMGE----------------------------</t>
  </si>
  <si>
    <t>----------------------------------MVLEIK--------------------</t>
  </si>
  <si>
    <t>-----------LPNTDQ-------------------------------------------</t>
  </si>
  <si>
    <t>RLIR-----RVQIFMGGVLVV-DHE-----------------------------------</t>
  </si>
  <si>
    <t>---------------RLWNYIGDTLYT---------PSSK--------------------</t>
  </si>
  <si>
    <t>-----RYN----------------------------------------------------</t>
  </si>
  <si>
    <t>---------SQP------------------------------------------------</t>
  </si>
  <si>
    <t>----STRMNDT-------------------------------------------------</t>
  </si>
  <si>
    <t>------------------G-PQE---------E-------MYL-----------------</t>
  </si>
  <si>
    <t>----D----------GS-------------------------------------------</t>
  </si>
  <si>
    <t>HRRS--------------------------------------------------------</t>
  </si>
  <si>
    <t>------SNFAIEHR----------------------------------------------</t>
  </si>
  <si>
    <t>-------------------------PTP--------------------------------</t>
  </si>
  <si>
    <t>----------------------------------------LPKEFNF-------------</t>
  </si>
  <si>
    <t>----------------------------------------NICRL---------------</t>
  </si>
  <si>
    <t>-----------EIPH-H-------------------------------------------</t>
  </si>
  <si>
    <t>--CDMAGD----------------------------------------------------</t>
  </si>
  <si>
    <t>----------------------------------MYIEIH--------------------</t>
  </si>
  <si>
    <t>------------------L--PQIFG----------------------------------</t>
  </si>
  <si>
    <t>IIFR-----RIKIWMDEVLVV-DQE-----------------------------------</t>
  </si>
  <si>
    <t>G------------YHKMIGFDQNLSLSQ--------------------------------</t>
  </si>
  <si>
    <t>-----------SHTLLIP---I-------------------HTPW---------------</t>
  </si>
  <si>
    <t>---STKRFL-------PMITL-----FNTKVFMDIELE----------------------</t>
  </si>
  <si>
    <t>-----Q---------------FEKCIDLY-------------------------------</t>
  </si>
  <si>
    <t>-----------------------PNRIPN-------------------------------</t>
  </si>
  <si>
    <t>-----------------------------------ARYISGGQLMSTDGILLPTD-----</t>
  </si>
  <si>
    <t>----------------------HPSIILEK------------------------------</t>
  </si>
  <si>
    <t>-------------------LRKPSNISSNL------------------------------</t>
  </si>
  <si>
    <t>---------IMQCV-------------------------YIET-PERHT-FVGKTI----</t>
  </si>
  <si>
    <t>-----GYQ---------------------------VEH-----------VLDTETIFTR-</t>
  </si>
  <si>
    <t>---------------------------------------------------TNQDVKI--</t>
  </si>
  <si>
    <t>---DLRDI-TEP----CKALYWVVYPYGDQT-----------------------------</t>
  </si>
  <si>
    <t>-----------------------FTFIE--------------------------------</t>
  </si>
  <si>
    <t>--------------TI----------------------SIGSQL----------------</t>
  </si>
  <si>
    <t>--------------------LLRQSPRE--------------------------------</t>
  </si>
  <si>
    <t>------------------------------FSIPHI----RSDTN---------------</t>
  </si>
  <si>
    <t>----------------------------------TISIL-PLNT--LFP-TDQFIEGSI-</t>
  </si>
  <si>
    <t>-------------DFGKI-SQPSSLV----------------------------------</t>
  </si>
  <si>
    <t>-----LTVNK---------------------------DAFT---------PGTE------</t>
  </si>
  <si>
    <t>-------------------YMLKV--------FTITKRLLFF------------------</t>
  </si>
  <si>
    <t>----------------RNGRA-----------------------------T---------</t>
  </si>
  <si>
    <t>KKKLQEASH---------------------------------------------------</t>
  </si>
  <si>
    <t>-------------------PQMMKKKMVFL------------------------------</t>
  </si>
  <si>
    <t>------------------------WYRL-CKKT--------TMSK---------------</t>
  </si>
  <si>
    <t>-ILMKKIFSNT-------------------------------------------------</t>
  </si>
  <si>
    <t>--------------------------------------------MGSL------------</t>
  </si>
  <si>
    <t>---------------------------------------------IQLQIT---------</t>
  </si>
  <si>
    <t>------------------D-GQD---------K--------AL-M---------------</t>
  </si>
  <si>
    <t>---------------TPR--------------------------P---------------</t>
  </si>
  <si>
    <t>YARY--------------------------------------------------------</t>
  </si>
  <si>
    <t>------HHFATEHR----------------------------------------------</t>
  </si>
  <si>
    <t>---------------TVTCLR---------------------------------------</t>
  </si>
  <si>
    <t>-----------------------------------------HKND---------------</t>
  </si>
  <si>
    <t>----------------------------------------DRMVV---------------</t>
  </si>
  <si>
    <t>-----------KVPR-A-------------------------------------------</t>
  </si>
  <si>
    <t>------AD--------------------LLSA----------------------------</t>
  </si>
  <si>
    <t>----------------------------------IVLTAT--------------------</t>
  </si>
  <si>
    <t>------------------V--TR-------------------------------------</t>
  </si>
  <si>
    <t>-----------TPD--I-------------------------------------------</t>
  </si>
  <si>
    <t>GAID-----RIELHIGGILIE-EFS-----------------------------------</t>
  </si>
  <si>
    <t>S------------YATMGNFH---------------------------------------</t>
  </si>
  <si>
    <t>-----------TKQIFMP---L--------------------PFP---------------</t>
  </si>
  <si>
    <t>---------CC-------------------------------------------------</t>
  </si>
  <si>
    <t>------TPL-------PLIGL-----PYAEVEVIIHLR----------------------</t>
  </si>
  <si>
    <t>-------------------------DRK--------------------------------</t>
  </si>
  <si>
    <t>---------------------------------------VEFEKIGVD------------</t>
  </si>
  <si>
    <t>----------CEYI-------------------------YCLP-NDRIQ-WMEPTE----</t>
  </si>
  <si>
    <t>------I--------------------Q-------IKQ--------------VQHR----</t>
  </si>
  <si>
    <t>-------------------------SFSLR------------------------------</t>
  </si>
  <si>
    <t>------------------------------PSMFINNTTHTF------------------</t>
  </si>
  <si>
    <t>--------------------------------------------------------HI--</t>
  </si>
  <si>
    <t>---D--EF-NHP----VYKLIIAATHKDRHG--------------A--------------</t>
  </si>
  <si>
    <t>-------------------------FTG--------------------------------</t>
  </si>
  <si>
    <t>----------------------------------SGIPFEDA------------------</t>
  </si>
  <si>
    <t>--------------RL----------------------LLNGQE----------------</t>
  </si>
  <si>
    <t>----------------------STPWR---------------------------------</t>
  </si>
  <si>
    <t>----HGS----H-----------NRQLNI-I---S-----EKLLP-----S---------</t>
  </si>
  <si>
    <t>---------------AGVYIF-------------DMGLT--------NG-QG-----TV-</t>
  </si>
  <si>
    <t>-------------NFSKL-HSA-VLQ----------------------------------</t>
  </si>
  <si>
    <t>-----IVFKKD------------------------VEDTSK---------DDREGIGL--</t>
  </si>
  <si>
    <t>----------------RNLTELHV--------FALNYNWIKI------------------</t>
  </si>
  <si>
    <t>----------------ADGQG-----------------------------G---------</t>
  </si>
  <si>
    <t>----------------II------------------FSS---------------------</t>
  </si>
  <si>
    <t>KKKNLQASH---------------------------------------------------</t>
  </si>
  <si>
    <t>------------------------WYRL-CK-----------TSK---------------</t>
  </si>
  <si>
    <t>---------------TVTCIR---------------------------------------</t>
  </si>
  <si>
    <t>----------------------------------VVLTAT--------------------</t>
  </si>
  <si>
    <t>------------------V--TK-------------------------------------</t>
  </si>
  <si>
    <t>GAID-----RIELHIGGIVIE-EFS-----------------------------------</t>
  </si>
  <si>
    <t>-----------TKQIYMP---L--------------------PFP---------------</t>
  </si>
  <si>
    <t>------L--------------------Q-------IKQ--------------VQHR----</t>
  </si>
  <si>
    <t>-------------------------SFSLK------------------------------</t>
  </si>
  <si>
    <t>------------------------------PSMFVSNTAHTF------------------</t>
  </si>
  <si>
    <t>---D--EF-NHP----VYKIIVAATHKDRHG--------------A--------------</t>
  </si>
  <si>
    <t>----------------------------------SGLPFEDA------------------</t>
  </si>
  <si>
    <t>----------------------TTPWR---------------------------------</t>
  </si>
  <si>
    <t>----YGS----H-----------HRQLNI-F---S-----EKLLP-----S---------</t>
  </si>
  <si>
    <t>---------------AGVYIF-------------DIGFS--------QG-QG-----TV-</t>
  </si>
  <si>
    <t>-----IVFKQN------------------------VEETTT---------DDQEGIGL--</t>
  </si>
  <si>
    <t>----------------HNLTDLHV--------FALNYNWVKI------------------</t>
  </si>
  <si>
    <t>----------------VI------------------FSS---------------------</t>
  </si>
  <si>
    <t>NKKKKNLPH---------------------------------------------------</t>
  </si>
  <si>
    <t>-------------------PK--KKKTVFQ------------------------------</t>
  </si>
  <si>
    <t>------------------------WYRL-CCK----------TSK---------------</t>
  </si>
  <si>
    <t>-----------TEA--I-------------------------------------------</t>
  </si>
  <si>
    <t>SAID-----RLELHIGGIVIE-EFS-----------------------------------</t>
  </si>
  <si>
    <t>------TPL-------PLIGL-----PYAEVEVVIHLR----------------------</t>
  </si>
  <si>
    <t>-------------------------DRP--------------------------------</t>
  </si>
  <si>
    <t>---------------------------------------IEFKTFGID------------</t>
  </si>
  <si>
    <t>----------CEYI-------------------------YCLP-MDRRQ-WMEPTE----</t>
  </si>
  <si>
    <t>------------------------------PSMFISNTAHTF------------------</t>
  </si>
  <si>
    <t>--------------RL----------------------LINGQE----------------</t>
  </si>
  <si>
    <t>----HGS----H-----------HRQLNI-F---S-----EKLLP-----S---------</t>
  </si>
  <si>
    <t>---------------AGVYVF-------------DIGFH--------GG-QG-----TV-</t>
  </si>
  <si>
    <t>-------------NFSKL-HTA-ALQ----------------------------------</t>
  </si>
  <si>
    <t>-----IVFKNN------------------------TEDTIQ---------DDQEGIGL--</t>
  </si>
  <si>
    <t>--------GID-------------------------------------------------</t>
  </si>
  <si>
    <t>---------------------------------------------LQILSK---------</t>
  </si>
  <si>
    <t>------------------G-VQD---------T--------PL-F---------------</t>
  </si>
  <si>
    <t>---------------SKN-------------------------VL---------------</t>
  </si>
  <si>
    <t>---------------ESSL------------------FVS-------------------R</t>
  </si>
  <si>
    <t>YQRH--------------------------------------------------------</t>
  </si>
  <si>
    <t>------ADFSIEHR----------------------------------------------</t>
  </si>
  <si>
    <t>---------------SIIFDN---------------------------------------</t>
  </si>
  <si>
    <t>-----------------------------------------NTEDGI-------------</t>
  </si>
  <si>
    <t>----------------------------------------KRLTM---------------</t>
  </si>
  <si>
    <t>-----------EIPR-V-------------------------------------------</t>
  </si>
  <si>
    <t>------GD--------------------MVTN----------------------------</t>
  </si>
  <si>
    <t>----------------------------------MVLRAK--------------------</t>
  </si>
  <si>
    <t>------------------M--TR-------------------------------------</t>
  </si>
  <si>
    <t>-----------STSDGI-------------------------------------------</t>
  </si>
  <si>
    <t>NIID-----RVQVYVGGVLVE-ERH-----------------------------------</t>
  </si>
  <si>
    <t>A------------YSNMGNFN---------------------------------------</t>
  </si>
  <si>
    <t>-----------QRTLYMP---L--------------------DLS---------------</t>
  </si>
  <si>
    <t>---------CCH------------------------------------------------</t>
  </si>
  <si>
    <t>---P-KNPL-------PLLAL-----AYAEVQLVITLK----------------------</t>
  </si>
  <si>
    <t>-------------------------DIGP-------------------------------</t>
  </si>
  <si>
    <t>------------------------------------GIILDNISFGLD------------</t>
  </si>
  <si>
    <t>----------CEYV-------------------------YLVH-DQRNA-LLEPMQ----</t>
  </si>
  <si>
    <t>------Y--------------------M-------IKQ--------------IQHR----</t>
  </si>
  <si>
    <t>-------------------------SFPLD------------------------------</t>
  </si>
  <si>
    <t>------------------------------ESVW--GTVQQY------------------</t>
  </si>
  <si>
    <t>--------------------------------------------------------PL--</t>
  </si>
  <si>
    <t>------TF-NHP----CTRLYIAASHTSRHG--------------S--------------</t>
  </si>
  <si>
    <t>----------------------------------SGINFEDA------------------</t>
  </si>
  <si>
    <t>--------------KL----------------------VVNGQE----------------</t>
  </si>
  <si>
    <t>----------------------MMKSH---------------------------------</t>
  </si>
  <si>
    <t>----MGS----F-----------YRQQSL-F---H-----HKLLP-----S---------</t>
  </si>
  <si>
    <t>---------------AGIYVI-------------DF--------------RS-----TL-</t>
  </si>
  <si>
    <t>-------------NFSRV-DSA-VLV----------------------------------</t>
  </si>
  <si>
    <t>-----ITFKKN------------------------TEQTQQ---------DDTQGVGL--</t>
  </si>
  <si>
    <t>----------------PDLDILHV--------FTENYNWLKI------------------</t>
  </si>
  <si>
    <t>----------------QDGQG-----------------------------S---------</t>
  </si>
  <si>
    <t>----------------IA------------------FSC---------------------</t>
  </si>
  <si>
    <t>-------------------------------------------ST---------------</t>
  </si>
  <si>
    <t>-RT------HT-------------------------------------------------</t>
  </si>
  <si>
    <t>--------------------------------------------M-TS------------</t>
  </si>
  <si>
    <t>---------------------------------------------IQIQAT---------</t>
  </si>
  <si>
    <t>------------------N-KYD---------D--------FL-L---------------</t>
  </si>
  <si>
    <t>---------------GS---------------------------K---------------</t>
  </si>
  <si>
    <t>---------------R-SL------------------FQN-------------------P</t>
  </si>
  <si>
    <t>PKQH--------------------------------------------------------</t>
  </si>
  <si>
    <t>------TPYATRYV----------------------------------------------</t>
  </si>
  <si>
    <t>---------------NIPV-----------------------------------------</t>
  </si>
  <si>
    <t>-----------------------------------------HGGHGF-------------</t>
  </si>
  <si>
    <t>----------------------------------------TTCVV---------------</t>
  </si>
  <si>
    <t>-----------PIPE-Y-------------------------------------------</t>
  </si>
  <si>
    <t>------GD--------------------VLHS----------------------------</t>
  </si>
  <si>
    <t>----------------------------------VMIKVD--------------------</t>
  </si>
  <si>
    <t>-----------LGES---------------------------------------------</t>
  </si>
  <si>
    <t>QLFK-----RVWIEIAGETID-THT-----------------------------------</t>
  </si>
  <si>
    <t>A------------YKHMTNFH---------------------------------------</t>
  </si>
  <si>
    <t>-----------TTTMYLP---L--------------------VFW---------------</t>
  </si>
  <si>
    <t>---DLSRSL-------PIT---------PTLEIHMELS----------------------</t>
  </si>
  <si>
    <t>-------------------------DVV--------------------------------</t>
  </si>
  <si>
    <t>---------------------------------------------GVDTSKPLSI-----</t>
  </si>
  <si>
    <t>----------------------------EL------------------------------</t>
  </si>
  <si>
    <t>---------VCEYV-------------------------HVSP-QEKQL-LYNRE-----</t>
  </si>
  <si>
    <t>------Y--------------------V-------FDT--------------VHKL----</t>
  </si>
  <si>
    <t>-------------------------EST--------------------------------</t>
  </si>
  <si>
    <t>--------------------------------IDFSSNHNIV------------------</t>
  </si>
  <si>
    <t>---DLRQF-KHP----MQSLIWFCRDPNVHA--------------V--------------</t>
  </si>
  <si>
    <t>-------------------------YTG--------------------------------</t>
  </si>
  <si>
    <t>----------------------------------SGMPLEKA------------------</t>
  </si>
  <si>
    <t>--------------SL----------------------YLAGLQ----------------</t>
  </si>
  <si>
    <t>----------------------LTDVT---------------------------------</t>
  </si>
  <si>
    <t>----DAS----W-----------FGISNA-LR--K-----HQRIP-----S---------</t>
  </si>
  <si>
    <t>---------------KGIYMH-------------DFGID-P-DV-A----SG-----TI-</t>
  </si>
  <si>
    <t>-------------NMSVI-RNP-VLT----------------------------------</t>
  </si>
  <si>
    <t>-----VETKKIIDV-------------NDDAPVDTKTETLR---------GASR------</t>
  </si>
  <si>
    <t>------------------LTRITV--------FAHCWNSLVI------------------</t>
  </si>
  <si>
    <t>----------------KQGRP-----------------------------Y---------</t>
  </si>
  <si>
    <t>----------------LR------------------YV----------------------</t>
  </si>
  <si>
    <t>A------------YRNTGDFI---------------------------------------</t>
  </si>
  <si>
    <t>---------------------------------------------AEP----------V-</t>
  </si>
  <si>
    <t>-----------IKTLYIP---L--------------------LFW---------------</t>
  </si>
  <si>
    <t>---DISHSL-------PILAL-----Q-KPVELVFTFA----------------------</t>
  </si>
  <si>
    <t>-------------------------SIP--------------------------------</t>
  </si>
  <si>
    <t>---------------------------------------------GVDLTMPPRP-----</t>
  </si>
  <si>
    <t>---------YVEHI-------------------------FLGT-EERQK-FSTGKH----</t>
  </si>
  <si>
    <t>-----LI--------------------L-------MEQ--------------LQQQ----</t>
  </si>
  <si>
    <t>-------------------------NNI--------------------------------</t>
  </si>
  <si>
    <t>--------------------------------IRIQDSMTTQ------------------</t>
  </si>
  <si>
    <t>---AL-EA-RRP----VKTLIWLCKHPTMHG--------------I--------------</t>
  </si>
  <si>
    <t>-------------------------FSG--------------------------------</t>
  </si>
  <si>
    <t>----------------------------------SLTPLESN------------------</t>
  </si>
  <si>
    <t>--------------RF----------------------LIDGTE----------------</t>
  </si>
  <si>
    <t>----------------------HTQER---------------------------------</t>
  </si>
  <si>
    <t>----SGS----W-----------YRTIHP-FT--R-----IGRIP-----T---------</t>
  </si>
  <si>
    <t>---------------VGVYSI-------------IFAQD-P-QS-STQP-SG-----SL-</t>
  </si>
  <si>
    <t>-------------NCSVV--EP-LLQ----------------------------------</t>
  </si>
  <si>
    <t>-----IATKRT-IP-------------PPQNLVYKEDETVE---------DSAE------</t>
  </si>
  <si>
    <t>------------------LTNLVI--------YAQSWNILEI------------------</t>
  </si>
  <si>
    <t>----------------ENGVA-----------------------------A---------</t>
  </si>
  <si>
    <t>----------------IH------------------WTS---------------------</t>
  </si>
  <si>
    <t>-------VSLE-------------------------------------------------</t>
  </si>
  <si>
    <t>--------------------------------------------------------KIK-</t>
  </si>
  <si>
    <t>--------------------------Y-------------IVEHKMAL------------</t>
  </si>
  <si>
    <t>---------------------------------------------VQLMAK---------</t>
  </si>
  <si>
    <t>------------------G-VQD-----------------TYL-T---------------</t>
  </si>
  <si>
    <t>---------------SK---------------------------P---------------</t>
  </si>
  <si>
    <t>HKRH--------------------------------------------------------</t>
  </si>
  <si>
    <t>------TAFAQQWS----------------------------------------------</t>
  </si>
  <si>
    <t>---------------EETFS----------------------------------------</t>
  </si>
  <si>
    <t>------------------------------------------GEAKY-------------</t>
  </si>
  <si>
    <t>----------------------------------------HRCVV---------------</t>
  </si>
  <si>
    <t>-----------ELNK-S-------------------------------------------</t>
  </si>
  <si>
    <t>------SD--------------------LVHN----------------------------</t>
  </si>
  <si>
    <t>----------------------------------IVLEAT--------------------</t>
  </si>
  <si>
    <t>-----------TGDP---------------------------------------------</t>
  </si>
  <si>
    <t>---------------------------------------------------FY-------</t>
  </si>
  <si>
    <t>ELIQ-----LVEIYIGGVKVT-HYD-----------------------------------</t>
  </si>
  <si>
    <t>A------------YREMCDFT---------------------------------------</t>
  </si>
  <si>
    <t>---------------------------------------------SEPIGN---------</t>
  </si>
  <si>
    <t>-----------TKTLRIP---L--------------------LFW---------------</t>
  </si>
  <si>
    <t>---ALSQSL-------PLISL-----AYSTVEIVFHFA----------------------</t>
  </si>
  <si>
    <t>-------------------------SIK--------------------------------</t>
  </si>
  <si>
    <t>---------------------------------------------GVDMNVDPK------</t>
  </si>
  <si>
    <t>---------------------------FKL------------------------------</t>
  </si>
  <si>
    <t>---------HVERI-------------------------YLDN-DERAI-FAKSKH----</t>
  </si>
  <si>
    <t>-----SY--------------------L-------FEQ--------------LQMY----</t>
  </si>
  <si>
    <t>-------------------------RTST-------------------------------</t>
  </si>
  <si>
    <t>------------------------------LDIRSSSNAQLL------------------</t>
  </si>
  <si>
    <t>---GLP-F-NHP----CKSIVFVFKDETQHG--------------V--------------</t>
  </si>
  <si>
    <t>-------------------------FSS--------------------------------</t>
  </si>
  <si>
    <t>----------------------------------SLLPFENR------------------</t>
  </si>
  <si>
    <t>--------------KL----------------------VIDGNE----------------</t>
  </si>
  <si>
    <t>----------------------RQEER---------------------------------</t>
  </si>
  <si>
    <t>----SGS----W-----------LRNVEN-YL--R-----MNTTP-----S---------</t>
  </si>
  <si>
    <t>---------------VGVYCF-------------HYAMH-P-ED-SVNP-SG-----SL-</t>
  </si>
  <si>
    <t>-------------NLSQF--ET-ELL----------------------------------</t>
  </si>
  <si>
    <t>-----LRLKHTSAP-------------TVDDIVDIEEETVQ---------QATN------</t>
  </si>
  <si>
    <t>------------------LNYIHI--------YATNWNVLHI------------------</t>
  </si>
  <si>
    <t>----------------EKGMA-----------------------------G---------</t>
  </si>
  <si>
    <t>----------------VK------------------WSN---------------------</t>
  </si>
  <si>
    <t>----------------------------------------FRSSIMAL------------</t>
  </si>
  <si>
    <t>---------------------------------------------LQLAAT---------</t>
  </si>
  <si>
    <t>------------------G-PQD-----------------MRL-T---------------</t>
  </si>
  <si>
    <t>---------------SE---------------------------P---------------</t>
  </si>
  <si>
    <t>---------------QFSL------------------FKS-------------------R</t>
  </si>
  <si>
    <t>------TPFAVEWT----------------------------------------------</t>
  </si>
  <si>
    <t>---------------EEAFQ----------------------------------------</t>
  </si>
  <si>
    <t>------------------------------------------NEAKL-------------</t>
  </si>
  <si>
    <t>----------------------------------------QRCTL---------------</t>
  </si>
  <si>
    <t>-----------ELGQ-S-------------------------------------------</t>
  </si>
  <si>
    <t>------SD--------------------LVKN----------------------------</t>
  </si>
  <si>
    <t>----------------------------------IVVEAT--------------------</t>
  </si>
  <si>
    <t>-----------VGDT---------------------------------------------</t>
  </si>
  <si>
    <t>ELLQ-----SVELWIGGNKIA-EYD-----------------------------------</t>
  </si>
  <si>
    <t>A------------YREMTGFT---------------------------------------</t>
  </si>
  <si>
    <t>---------------------------------------------NEPVYN---------</t>
  </si>
  <si>
    <t>---STAQAL-------PLIAL-----SYSPVEIVFHFA----------------------</t>
  </si>
  <si>
    <t>-------------------------SIR--------------------------------</t>
  </si>
  <si>
    <t>---------------------------------------------GIDTTLDPM------</t>
  </si>
  <si>
    <t>---------------------------IKA------------------------------</t>
  </si>
  <si>
    <t>---------YVERI-------------------------YLGN-EERTQ-FAKAKH----</t>
  </si>
  <si>
    <t>-----SY--------------------L-------IER--------------VQMH----</t>
  </si>
  <si>
    <t>-------------------------TTST-------------------------------</t>
  </si>
  <si>
    <t>------------------------------LHVHAPGSKQNL------------------</t>
  </si>
  <si>
    <t>--------------------------------------------------------QI--</t>
  </si>
  <si>
    <t>---DLP-L-NHP----TKSLVFVFVYPEKHG--------------V--------------</t>
  </si>
  <si>
    <t>-------------------------FAS--------------------------------</t>
  </si>
  <si>
    <t>----------------------------------SLVPFENR------------------</t>
  </si>
  <si>
    <t>--------------TL----------------------LVNGQE----------------</t>
  </si>
  <si>
    <t>----------------------RQEEK---------------------------------</t>
  </si>
  <si>
    <t>----SGS----W-----------LRNVEN-YL--R-----LGSTP-----S---------</t>
  </si>
  <si>
    <t>---------------VGVYAM-------------HFCMK-P-HD-PLQP-SG-----SL-</t>
  </si>
  <si>
    <t>-------------NMSQL--DG-KLL----------------------------------</t>
  </si>
  <si>
    <t>-----LTLKKTDAP-------------TPDAITNVEEETVD---------DAKQ------</t>
  </si>
  <si>
    <t>------------------LNYVHI--------YGVHWNELNI------------------</t>
  </si>
  <si>
    <t>----------------QKGMA-----------------------------G---------</t>
  </si>
  <si>
    <t>----------------LR------------------WSN---------------------</t>
  </si>
  <si>
    <t>----------------------------------------FRIGIMAL------------</t>
  </si>
  <si>
    <t>-----------EIGQ-S-------------------------------------------</t>
  </si>
  <si>
    <t>----------------------------------IVVEAS--------------------</t>
  </si>
  <si>
    <t>------------------L--KR-------------------------------------</t>
  </si>
  <si>
    <t>-----------IGDT---------------------------------------------</t>
  </si>
  <si>
    <t>ELLK-----SVELWIGGNKIA-EYD-----------------------------------</t>
  </si>
  <si>
    <t>---------------------------------------------NEPLYN---------</t>
  </si>
  <si>
    <t>-----------TKTMRIP---L--------------------LFW---------------</t>
  </si>
  <si>
    <t>---STSQAL-------PLIAL-----SYSPVEIVFHFS----------------------</t>
  </si>
  <si>
    <t>-------------------------TIK--------------------------------</t>
  </si>
  <si>
    <t>---------------------------------------------GVDTSLDPM------</t>
  </si>
  <si>
    <t>---------------------------IKV------------------------------</t>
  </si>
  <si>
    <t>-------------------------TTTT-------------------------------</t>
  </si>
  <si>
    <t>------------------------------TQA-TQDVKQHL------------------</t>
  </si>
  <si>
    <t>--------------------------------------------------------SV--</t>
  </si>
  <si>
    <t>---DLP-L-NHP----TKSLIFVFVDPKQHG--------------V--------------</t>
  </si>
  <si>
    <t>----------------------------------SLQTFENM------------------</t>
  </si>
  <si>
    <t>--------------RL----------------------LVNGQE----------------</t>
  </si>
  <si>
    <t>----SGS----W-----------LRNVEN-YL--R-----LGNTP-----S---------</t>
  </si>
  <si>
    <t>---------------VGVYAM-------------HFCMK-P-HD-PVQP-TG-----SL-</t>
  </si>
  <si>
    <t>-------------NMSQL--EG-KLL----------------------------------</t>
  </si>
  <si>
    <t>-----LKLKKTGVD-------------TFQEITNVEEETVN---------DAKH------</t>
  </si>
  <si>
    <t>------------------LNYLHI--------YGVHWNELNI------------------</t>
  </si>
  <si>
    <t>&gt;1705MEGAvirome_4-NODE_2331_length_2971_cov_19.004868_1 [1 - 1482]</t>
  </si>
  <si>
    <t>-------NFSIEQK----------------------------------------------</t>
  </si>
  <si>
    <t>---------------ELTLY----------------------------------------</t>
  </si>
  <si>
    <t>------------------------------------------GPPEF-------------</t>
  </si>
  <si>
    <t>---------------------------------------------GA-------------</t>
  </si>
  <si>
    <t>----------------------------------------KNSYV---------------</t>
  </si>
  <si>
    <t>-----------KIIK-G-------------------------------------------</t>
  </si>
  <si>
    <t>------PD--------------------LINK----------------------------</t>
  </si>
  <si>
    <t>----------------------------------LYLKMT--------------------</t>
  </si>
  <si>
    <t>------------------------SS----------------------------------</t>
  </si>
  <si>
    <t>--------------------------------------------DQNYK-----------</t>
  </si>
  <si>
    <t>------------------------------W-----------------------------</t>
  </si>
  <si>
    <t>TIIE-----DYCIKIGNVQVD-KQY-----------------------------------</t>
  </si>
  <si>
    <t>S------------YDEMIGNTSDLTTL---------------------------------</t>
  </si>
  <si>
    <t>NDK---------------------------------------------------------</t>
  </si>
  <si>
    <t>-----------STELYIP---L--------------------RFS---------------</t>
  </si>
  <si>
    <t>---------FCT------------------------------------------------</t>
  </si>
  <si>
    <t>---DSGLSL-------PIVSL-----YKKDIEIIFNFRTA--------------------</t>
  </si>
  <si>
    <t>-----X--------------XXXEC------------IIKEQGLT---------------</t>
  </si>
  <si>
    <t>----------------------GLTLEMTN------------------------------</t>
  </si>
  <si>
    <t>---------------------------VRL------------------------------</t>
  </si>
  <si>
    <t>---------IVNYI-------------------------FLDN-KERHK-FINEKQ----</t>
  </si>
  <si>
    <t>-----EY--------------------L-------INQ--------------IQ------</t>
  </si>
  <si>
    <t>GYQIV-------------------------------------------------------</t>
  </si>
  <si>
    <t>---------------------------------------------------NPRKNKL--</t>
  </si>
  <si>
    <t>---KLT-L-NLP----CKTIFWLTKRRNFIT--GKYF---FSEDRI--------------</t>
  </si>
  <si>
    <t>-LATKRFVLAFCKKSSTAFLDSLDSDLSVGDNLVALSGISSS------------------</t>
  </si>
  <si>
    <t>------------------------VSDII--TNATVKRNFKSGTAGSVGDINVSSDYL--</t>
  </si>
  <si>
    <t>-------------LTSTQMTMTIINFVNM-------------------------------</t>
  </si>
  <si>
    <t>--------------------------------YASGVTRNTTGEGS--------------</t>
  </si>
  <si>
    <t>----------SSYDISVYQWDNYN-----------------LNLD---------------</t>
  </si>
  <si>
    <t>--------------DF----------------------TVDGKN----------------</t>
  </si>
  <si>
    <t>----------------------LYHSNI-------ND-----------------------</t>
  </si>
  <si>
    <t>---------FEY-----------TNLVQS-HK--Y-----FKNVL-----S---------</t>
  </si>
  <si>
    <t>---------------TNINLY-------------TFSLI-P-NG--FEP-LG-----IL-</t>
  </si>
  <si>
    <t>-------------NFSKI-NNT-RLR----------------------------------</t>
  </si>
  <si>
    <t>-----IKFNSVFE------------------------SDFY---------SNNS------</t>
  </si>
  <si>
    <t>-----------------SFSILST--------YAQNYNILEI------------------</t>
  </si>
  <si>
    <t>----------------EDGDF-----------------------------S---------</t>
  </si>
  <si>
    <t>----------------LK------------------YS----------------------</t>
  </si>
  <si>
    <t>&gt;1705MEGAvirome_4-NODE_9214_length_763_cov_17.353293_1 [761 - 3] (REVERSE SENSE)</t>
  </si>
  <si>
    <t>---------SI-------------------------------------------------</t>
  </si>
  <si>
    <t>------------LTK-S-------------------------------------------</t>
  </si>
  <si>
    <t>------GD--------------------LASN----------------------------</t>
  </si>
  <si>
    <t>----------------------------------MYLKTT--------------------</t>
  </si>
  <si>
    <t>------------------L--TA-------------------------------------</t>
  </si>
  <si>
    <t>------------------------TSGSTSLVKS--------------------------</t>
  </si>
  <si>
    <t>----------------------------------------VTMKDGNAKNK---------</t>
  </si>
  <si>
    <t>K--------------------------------ITL--------------------GSGT</t>
  </si>
  <si>
    <t>IPNYVKKGDIIS----------YTNSGTTTWFEI--------------------------</t>
  </si>
  <si>
    <t>--------------------------TDISNETFFY----ITNDETTNFSSF--------</t>
  </si>
  <si>
    <t>-------------------------DTNDFSIKFY-------------------------</t>
  </si>
  <si>
    <t>ALID-----YVELQIGGSRID-KKY-----------------------------------</t>
  </si>
  <si>
    <t>S------------FDKIIGNTSNEVN----------------------------------</t>
  </si>
  <si>
    <t>SDG---------------------------------------------------------</t>
  </si>
  <si>
    <t>-----------SLELMIP---L--------------------NLF---------------</t>
  </si>
  <si>
    <t>---------CCN------------------------------------------------</t>
  </si>
  <si>
    <t>---NYGLAL-------PIISL-----YYHDVTLEFLFE----------------------</t>
  </si>
  <si>
    <t>--------------------------------------------------S---------</t>
  </si>
  <si>
    <t>---------------SNANL----------------------------------------</t>
  </si>
  <si>
    <t>----------------------------------------R---------SDNS------</t>
  </si>
  <si>
    <t>-----------------DF-----------------------------------------</t>
  </si>
  <si>
    <t>&gt;1705MEGAvirome_4-NODE_7777_length_915_cov_2.331707_1 [913 - 5] (REVERSE SENSE)</t>
  </si>
  <si>
    <t>---------------STTY-----------------------------------------</t>
  </si>
  <si>
    <t>----------------K-------------------------------------------</t>
  </si>
  <si>
    <t>------TT--------------------LINK----------------------------</t>
  </si>
  <si>
    <t>----------------------------------MSGNLS--------------------</t>
  </si>
  <si>
    <t>----------------------KLT-----------------------------------</t>
  </si>
  <si>
    <t>--------------------TYDSVTK---------------------------------</t>
  </si>
  <si>
    <t>-------------------------------D----------------------------</t>
  </si>
  <si>
    <t>-----------SYSLLVP---L--------------------KFW---------------</t>
  </si>
  <si>
    <t>---YSGCAL-------PLIAS-----RYETISIVLKTNKRENCI----------------</t>
  </si>
  <si>
    <t>---------------------YTDC------------ITES-------------------</t>
  </si>
  <si>
    <t>-------------------------------------------------L----------</t>
  </si>
  <si>
    <t>---------------------LSKYVTIDN------------------------------</t>
  </si>
  <si>
    <t>---------------------------VEL------------------------------</t>
  </si>
  <si>
    <t>---------MVDYV-------------------------FLGR-DERKI-FANSKL----</t>
  </si>
  <si>
    <t>-----EY--------------------L-------IEQ--------------TVYSTF--</t>
  </si>
  <si>
    <t>----------------------------------LLNSSNLQQ-----------------</t>
  </si>
  <si>
    <t>--------------------------------------------------------HV--</t>
  </si>
  <si>
    <t>---SID-S-EHP----TKYIIWTSQINDYIN-----------------------------</t>
  </si>
  <si>
    <t>-------------------------------------------------KYNLHNKY---</t>
  </si>
  <si>
    <t>-----------------------DVFTA--------------------------------</t>
  </si>
  <si>
    <t>---------------------------------SKTTDLTKSIYPNIT------------</t>
  </si>
  <si>
    <t>--------------II----------------------SLNTHD----------LTP---</t>
  </si>
  <si>
    <t>----------------------KLNNH---------------------------------</t>
  </si>
  <si>
    <t>-----------Y-----------YNYVVP-YE--V-----FGRTP-----A---------</t>
  </si>
  <si>
    <t>---------------DGINCY-------------SFSLD-P-TV--YQP-HG-----SC-</t>
  </si>
  <si>
    <t>-------------NLTKI-DDT-RLE----------------------------------</t>
  </si>
  <si>
    <t>-----FKFNTTF-------------------------LNIA---------GSSD------</t>
  </si>
  <si>
    <t>-------------------VLIKL--------FAINYNILTF------------------</t>
  </si>
  <si>
    <t>----------------DRGNV-----------------------------K---------</t>
  </si>
  <si>
    <t>----------------LL------------------FLR---------------------</t>
  </si>
  <si>
    <t>&gt;1109MEGAvirome_7-GSNCB_NODE_1191_length_2933_cov_22.682523_2 [527 - 865]</t>
  </si>
  <si>
    <t>-----------------------------------FYC----------------------</t>
  </si>
  <si>
    <t>----------------------------------RHT-I-S-HM-MYIS-AG-----SC-</t>
  </si>
  <si>
    <t>-------------NFSRI-DNA-TLV----------------------------------</t>
  </si>
  <si>
    <t>-----VTTKA---------------------------ASVA---------ITDP------</t>
  </si>
  <si>
    <t>IT----TEDVTYANAEGNLTSLLV--------FAESYNVLRI------------------</t>
  </si>
  <si>
    <t>----------------LSGMG-----------------------------G---------</t>
  </si>
  <si>
    <t>----------------FT--------TCRSEKHHAE--NM--------------------</t>
  </si>
  <si>
    <t>---------------HSLFSGKSFRPM----------------PQRV-RC----------</t>
  </si>
  <si>
    <t>--------T---------------------------------------------------</t>
  </si>
  <si>
    <t>---------------------------------------------GTVR-----------</t>
  </si>
  <si>
    <t>-------YC-------------------------CYYCRLLCRCEYVIVTF---------</t>
  </si>
  <si>
    <t>----------------------DIVY----------MQIALIL-A---------------</t>
  </si>
  <si>
    <t>---------------RE---------------------------PIST------------</t>
  </si>
  <si>
    <t>---------------RCRY---------------V-------------------------</t>
  </si>
  <si>
    <t>----------------------------------IFFHVFF-------------------</t>
  </si>
  <si>
    <t>------------LILCRYDISSSLY-----------------------------------</t>
  </si>
  <si>
    <t>----------------------------------------------------VCSH----</t>
  </si>
  <si>
    <t>-----MS--------------------T-------SPQ--------------LQSQ----</t>
  </si>
  <si>
    <t>----------------------------------PPECTPT-------------------</t>
  </si>
  <si>
    <t>--------------IS----------------------AFALMS----------------</t>
  </si>
  <si>
    <t>----------------------RFSHQ---------------------------------</t>
  </si>
  <si>
    <t>----VC------------------NFF---------------------------------</t>
  </si>
  <si>
    <t>----------------AWFLF-------------RHD-I-S-PF-CCVY-AG-----SC-</t>
  </si>
  <si>
    <t>-----VTTKA---------------------------ASVA---------TTDP------</t>
  </si>
  <si>
    <t>---------------HSLFSGKSFRPM----------------PLRV-RC----------</t>
  </si>
  <si>
    <t>&gt;1109MEGAvirome_5-GSNCG_NODE_298_length_18299_cov_22.423808_40 [10218 - 9832] (REVERSE SENSE)</t>
  </si>
  <si>
    <t>-------RT---------------------------------------------------</t>
  </si>
  <si>
    <t>---------------------------------------------GSA------------</t>
  </si>
  <si>
    <t>----------------IRY---------------V-------------------------</t>
  </si>
  <si>
    <t>----------------------------------IFLH----------------------</t>
  </si>
  <si>
    <t>------------------------------------------KT----------------</t>
  </si>
  <si>
    <t>----------------------RFS-----------------------------------</t>
  </si>
  <si>
    <t>----------------------------------RIDMI-S-HR-FCIY-AG-----SC-</t>
  </si>
  <si>
    <t>IV----TEDITYANAEGNLNSLLV--------FAESYNVLRI------------------</t>
  </si>
  <si>
    <t>&gt;1109MEGAvirome_7-GSNCB_NODE_532_length_5763_cov_40.019936_2 [763 - 1242]</t>
  </si>
  <si>
    <t>----------------------------------------------SL------------</t>
  </si>
  <si>
    <t>----------------S---------------------------P---------------</t>
  </si>
  <si>
    <t>----------------VGY---------------P-------------------------</t>
  </si>
  <si>
    <t>----------------------------------TFTHMYLL------------------</t>
  </si>
  <si>
    <t>NMQD-----TIALILARAPISTR-------------------------------------</t>
  </si>
  <si>
    <t>-----------------------------------------------------CSH----</t>
  </si>
  <si>
    <t>-----MS--------------------T-------SAQ--------------LQSQ----</t>
  </si>
  <si>
    <t>----------------------------------PPECTHT-------------------</t>
  </si>
  <si>
    <t>--------------IS----------------------VFALMS----------------</t>
  </si>
  <si>
    <t>----------------------RSSHQ---------------------------------</t>
  </si>
  <si>
    <t>----------------TWFSF-------------RHN-N-S-SI-VCIY-VG-----SC-</t>
  </si>
  <si>
    <t>----------------LA--------YSS-------------------------------</t>
  </si>
  <si>
    <t>&gt;1109MEGAvirome_7-GSNCB_NODE_718_length_4684_cov_9.943779_3 [805 - 1323]</t>
  </si>
  <si>
    <t>--MD-----MIDLIQDMELTSTR-------------------------------------</t>
  </si>
  <si>
    <t>-----------------------------------------------------SSH----</t>
  </si>
  <si>
    <t>-----MS--------------------T-------SPQ--------------PQSQ----</t>
  </si>
  <si>
    <t>----------------------------------LQESTLT-------------------</t>
  </si>
  <si>
    <t>--------------TL----------------------DFAPTS----------------</t>
  </si>
  <si>
    <t>----------------------RCSHQ---------------------------------</t>
  </si>
  <si>
    <t>----VC------------------NL----------------------------------</t>
  </si>
  <si>
    <t>-----------------CYNP-------------LQSLV-S-HK-NNVC-AG-----SC-</t>
  </si>
  <si>
    <t>-----VTSKA---------------------------ASVA---------TTEP------</t>
  </si>
  <si>
    <t>----------------LA--------YVIDELKSTPPGAM--------------------</t>
  </si>
  <si>
    <t>---------------HTMCSRES----------------------RLGQCA---------</t>
  </si>
  <si>
    <t>-----------------------VGQVLVV----</t>
  </si>
  <si>
    <t>&gt;1109MEGAvirome_6-GSNCC_NODE_1034_length_3953_cov_46.662519_1 [3 - 338]</t>
  </si>
  <si>
    <t>-------------------------------------H----------------------</t>
  </si>
  <si>
    <t>-----------------------------------------------------QSQ----</t>
  </si>
  <si>
    <t>----------------------------------PPVYTHI-------------------</t>
  </si>
  <si>
    <t>--------------TS----------------------AFALTS----------------</t>
  </si>
  <si>
    <t>----VCYTCMNT-----------SNV----------------------------------</t>
  </si>
  <si>
    <t>-------------------SS-------------RHD-I-S-PF-CCVS-AG-----SC-</t>
  </si>
  <si>
    <t>IT----SE------------------------------VCSI------------------</t>
  </si>
  <si>
    <t>----------------LNCMN-----------------------------S---------</t>
  </si>
  <si>
    <t>----------------DM--------CPHDSMSHTPYIYV--------------------</t>
  </si>
  <si>
    <t>---------------RRM------------------------------------------</t>
  </si>
  <si>
    <t>&gt;1109MEGAvirome_6-GSNCC_NODE_903_length_4390_cov_42.281490_6 [2914 - 2567] (REVERSE SENSE)</t>
  </si>
  <si>
    <t>---------------------------------------------CLVC-AG-----SC-</t>
  </si>
  <si>
    <t>-------------NFSRI-DNS-TLV----------------------------------</t>
  </si>
  <si>
    <t>-----VSTKA---------------------------GSVA---------DGSD------</t>
  </si>
  <si>
    <t>IS----DDTITYANIEGNLTSLLV--------YAESYNVLRI------------------</t>
  </si>
  <si>
    <t>----------------LSGMS-----------------------------S---------</t>
  </si>
  <si>
    <t>----------------MC--------VRLLRCHLSNHVHL--------------------</t>
  </si>
  <si>
    <t>---------------YPLQVWEDWPTH----------------PKQA--CLHA-------</t>
  </si>
  <si>
    <t>---------------------FSTSQLLLT----</t>
  </si>
  <si>
    <t>&gt;1109MEGAvirome_6-GSNCC_NODE_1121_length_3715_cov_42.469061_4 [1938 - 2366]</t>
  </si>
  <si>
    <t>-----------------------------------YISPVC-------------------</t>
  </si>
  <si>
    <t>--------------------PMMIN-----------------------------------</t>
  </si>
  <si>
    <t>----------------------------------------------------TCSH----</t>
  </si>
  <si>
    <t>-----V------------------------------------------------------</t>
  </si>
  <si>
    <t>---------------C----------------------MYAGHD----------------</t>
  </si>
  <si>
    <t>----------------------RFESR---------------------------------</t>
  </si>
  <si>
    <t>----TG----KY-----------FNAVQP-WE--HV----KGSYP-----S---------</t>
  </si>
  <si>
    <t>---------------AGIYFY-------------SFALS-P-GE-VVQP-SG-----SV-</t>
  </si>
  <si>
    <t>-------------NMSRI-DNA-SLI----------------------------------</t>
  </si>
  <si>
    <t>-----VQTKA---------------------------GSVT---------FDDE------</t>
  </si>
  <si>
    <t>LD----AESTTLANVEGNLTNLLV--------FAESMNVLRI------------------</t>
  </si>
  <si>
    <t>----------------LSG-----------------------------------------</t>
  </si>
  <si>
    <t>----------------------------------TPFTSI--------------------</t>
  </si>
  <si>
    <t>---------------RYLLVYI--------------------------------------</t>
  </si>
  <si>
    <t>&gt;1109MEGAvirome_6-GSNCC_NODE_494_length_6990_cov_38.013343_4 [1994 - 2446]</t>
  </si>
  <si>
    <t>---------------------------------------------VAV------------</t>
  </si>
  <si>
    <t>----------------ERY---------------V-------------------------</t>
  </si>
  <si>
    <t>----------------------------------IYIS----------------------</t>
  </si>
  <si>
    <t>----------------------RMS-----------------------------------</t>
  </si>
  <si>
    <t>----------------------------------------------------DDDH----</t>
  </si>
  <si>
    <t>-----MY-----------------------------------------------------</t>
  </si>
  <si>
    <t>--------------------------------------AHM-------------------</t>
  </si>
  <si>
    <t>--------------YC----------------------MYAGHD----------------</t>
  </si>
  <si>
    <t>----SG----KY-----------FNAVQP-FE--HV----KGSYP-----S---------</t>
  </si>
  <si>
    <t>----------------------------------TSFTSI--------------------</t>
  </si>
  <si>
    <t>-----------------------------------TFR----------------------</t>
  </si>
  <si>
    <t>-----N---------------WTDL------------LILDDSTPV--------------</t>
  </si>
  <si>
    <t>-------------------------------AGTNPSSP---PTA-SDLV----------</t>
  </si>
  <si>
    <t>-----------------------AVPSIPS------------------------------</t>
  </si>
  <si>
    <t>---------------------------AQV------------------------------</t>
  </si>
  <si>
    <t>---------WANYA-------------------------IVSN-EERKR-MACAPR----</t>
  </si>
  <si>
    <t>-----DI--------------------L-------IEQ--------------VQTAPV--</t>
  </si>
  <si>
    <t>------------------------------QTFNPSQ-SVNP------------------</t>
  </si>
  <si>
    <t>---DIR-F-AHA----IKALFFSVRNRTTAS-----------------------------</t>
  </si>
  <si>
    <t>---------------------EWSNYTA--------------------------------</t>
  </si>
  <si>
    <t>----------------------------------ASPVPQPN------------------</t>
  </si>
  <si>
    <t>FVP---------------------------------------------------------</t>
  </si>
  <si>
    <t>--------------SI----------------------IYENTQ----------------</t>
  </si>
  <si>
    <t>----------------------RLAQM--------------G------------------</t>
  </si>
  <si>
    <t>---------SDY-----------FSLVQP-YY--N-----APVIP-----LN--------</t>
  </si>
  <si>
    <t>---------------TGFHMY-------------SYSLD---FI-SLDP-MG-----ST-</t>
  </si>
  <si>
    <t>-------------NFGKL-TNV-SVV----------------------------------</t>
  </si>
  <si>
    <t>-----PRASAGA-------------------------QSGS---------AGSGAAGS--</t>
  </si>
  <si>
    <t>YD-------------------FIT--------TAVNNNIIRI------------------</t>
  </si>
  <si>
    <t>----------------SGG-----------------------------ALG-----FPV-</t>
  </si>
  <si>
    <t>----------------L-------------------------------------------</t>
  </si>
  <si>
    <t>-----MSMSSS-------------------------------------------------</t>
  </si>
  <si>
    <t>----------------------------------------NIT--SGF------------</t>
  </si>
  <si>
    <t>---------------------------------------------IDIATF---------</t>
  </si>
  <si>
    <t>------------------D-EIE-----------------KYM-Y---------------</t>
  </si>
  <si>
    <t>---------------GG---------------------------PT--------------</t>
  </si>
  <si>
    <t>IRKS--------------------------------------------------------</t>
  </si>
  <si>
    <t>------TWFTQVPV----------------------------------------------</t>
  </si>
  <si>
    <t>---------------PLSRNT---------------------------------------</t>
  </si>
  <si>
    <t>------------------------------------------GNAAF-------------</t>
  </si>
  <si>
    <t>----------------------------------------QEWSV---------------</t>
  </si>
  <si>
    <t>-----------SISR-A-------------------------------------------</t>
  </si>
  <si>
    <t>------GD--------------------YLLQ----------------------------</t>
  </si>
  <si>
    <t>----------------------------------TWLRVN--------------------</t>
  </si>
  <si>
    <t>-----------VTLN---------------------------------------------</t>
  </si>
  <si>
    <t>-----------------------------------------PLLAATF------------</t>
  </si>
  <si>
    <t>NLIR-----EATITFNDLVAA-RFD-----------------------------------</t>
  </si>
  <si>
    <t>G------------YDNMIGNVSSLINPVAPGG----------------------------</t>
  </si>
  <si>
    <t>G--STG------------------------------------------------------</t>
  </si>
  <si>
    <t>-----------GTNLNLP---L--------------------PFF---------------</t>
  </si>
  <si>
    <t>---------FSR------------------------------------------------</t>
  </si>
  <si>
    <t>---DTGVAL-------PTAAL-----PYNEMQINFNFR----------------------</t>
  </si>
  <si>
    <t>-----D---------------WTEL------------LVLQNSALV--------------</t>
  </si>
  <si>
    <t>-------------------------------APASPYVPIVVPT---HLT----------</t>
  </si>
  <si>
    <t>-----------------------VAPVLGP------------------------------</t>
  </si>
  <si>
    <t>---------WANYA-------------------------IVSN-EERRR-MGCAIR----</t>
  </si>
  <si>
    <t>-----DI--------------------L-------IEQ--------------VQTAPR--</t>
  </si>
  <si>
    <t>------------------------------QNYTPLT-NASP------------------</t>
  </si>
  <si>
    <t>--------------------------------------------------------TF--</t>
  </si>
  <si>
    <t>---DIR-F-SHA----IKALFFSVRNKTSAS-----------------------------</t>
  </si>
  <si>
    <t>---------------------EWSNYAT--------------------------------</t>
  </si>
  <si>
    <t>----------------------------------SSPVVTGA------------------</t>
  </si>
  <si>
    <t>FEP---------------------------------------------------------</t>
  </si>
  <si>
    <t>--------------TL----------------------IYENTN----------------</t>
  </si>
  <si>
    <t>----------------------RLGAM--------------G------------------</t>
  </si>
  <si>
    <t>---------SDY-----------FSLINP-FY--H-----APTIP-----SF--------</t>
  </si>
  <si>
    <t>---------------IGYHLY-------------SYSLH---FY-DLDP-MG-----ST-</t>
  </si>
  <si>
    <t>-------------NYGKL-TNV-SVV----------------------------------</t>
  </si>
  <si>
    <t>-----PQASPAA-------------------------VNAA---------SGAGGF-P--</t>
  </si>
  <si>
    <t>YE-------------------FVI--------VAVNNNIVRI------------------</t>
  </si>
  <si>
    <t>----------------SGGET----------------------PQNYLSGS-----FVT-</t>
  </si>
  <si>
    <t>----------------LLNRRK-WSREGPMIMVQ--------------------------</t>
  </si>
  <si>
    <t>--------------------------------------------MLR------FIYEKK-</t>
  </si>
  <si>
    <t>-ILLIKNCKMA-------------------------------------------------</t>
  </si>
  <si>
    <t>----------------------------------------NIA--GAL------------</t>
  </si>
  <si>
    <t>---------------------------------------------QDMANL---------</t>
  </si>
  <si>
    <t>------------------G-AVE-----------------RYQ-Y---------------</t>
  </si>
  <si>
    <t>---------------GT---------------------------TN--------------</t>
  </si>
  <si>
    <t>TRKS--------------------------------------------------------</t>
  </si>
  <si>
    <t>------TLFSQLPI----------------------------------------------</t>
  </si>
  <si>
    <t>---------------QLSSKN---------------------------------------</t>
  </si>
  <si>
    <t>------------------------------------------GNPDF-------------</t>
  </si>
  <si>
    <t>----------------------------------------REWSV---------------</t>
  </si>
  <si>
    <t>-----------EPSK-A-------------------------------------------</t>
  </si>
  <si>
    <t>------FD--------------------YLIH----------------------------</t>
  </si>
  <si>
    <t>----------------------------------MWIRVT--------------------</t>
  </si>
  <si>
    <t>------------------V--PE-------------------------------------</t>
  </si>
  <si>
    <t>-----------VK-----------------------------------------------</t>
  </si>
  <si>
    <t>------------------------------------------LLAGNVYK----------</t>
  </si>
  <si>
    <t>NLIK-----KVSFNVNDLEIE-KFD-----------------------------------</t>
  </si>
  <si>
    <t>G------------YNNMIGNDDDLLIPKSKDG----------------------------</t>
  </si>
  <si>
    <t>E--S--------------------------------------------------------</t>
  </si>
  <si>
    <t>------------KSLTLP---I--------------------PFF---------------</t>
  </si>
  <si>
    <t>---DSGLAL-------PVGGV-----KWNKLRIDFEFR----------------------</t>
  </si>
  <si>
    <t>-----N---------------WTEL------------LILENVG-A--------------</t>
  </si>
  <si>
    <t>-------------------------------AHNGEKNPCKVPQVGSDIA----------</t>
  </si>
  <si>
    <t>-----------------------VAPSLSN------------------------------</t>
  </si>
  <si>
    <t>---------------------------VQC------------------------------</t>
  </si>
  <si>
    <t>---------WVNGG-------------------------LIPE-AERAR-MGCVHR----</t>
  </si>
  <si>
    <t>-----DM--------------------L-------IES--------------IQTSSK--</t>
  </si>
  <si>
    <t>------------------------------LNFNPVL-NPNP------------------</t>
  </si>
  <si>
    <t>---DIR-F-QRT----VKALFFGVRNTTNPN-----------------------------</t>
  </si>
  <si>
    <t>---------------------VWSNYTT--------------------------------</t>
  </si>
  <si>
    <t>----------------------------------ASPVPDAD------------------</t>
  </si>
  <si>
    <t>FDP---------------------------------------------------------</t>
  </si>
  <si>
    <t>--------------NI----------------------RYESSD----------------</t>
  </si>
  <si>
    <t>----------------------RIPVM--------------T------------------</t>
  </si>
  <si>
    <t>---------ADY-----------FSLIEP-YY--K-----APAIP-----EL--------</t>
  </si>
  <si>
    <t>---------------TGYHMF-------------SYALK---MN-NVDP-SG-----SA-</t>
  </si>
  <si>
    <t>-------------NYSIL-NNV-SIQ----------------------------------</t>
  </si>
  <si>
    <t>-----LQCSEAA-------------------------IKAA---------KGEGEAKT--</t>
  </si>
  <si>
    <t>FQ-------------------FLV--------IAISQNVLTL------------------</t>
  </si>
  <si>
    <t>----------------KNG-----------------------------MLG-----LPF-</t>
  </si>
  <si>
    <t>----------------M-------------------------------------------</t>
  </si>
  <si>
    <t>----MSSVTGS-------------------------------------------------</t>
  </si>
  <si>
    <t>----------------------------------------GIT--SGF------------</t>
  </si>
  <si>
    <t>---------------------------------------------IDLATY---------</t>
  </si>
  <si>
    <t>------------------D-NLE-----------------RAI-Y---------------</t>
  </si>
  <si>
    <t>---------------GG---------------------------SD--------------</t>
  </si>
  <si>
    <t>HYPV--------------------------------------------------------</t>
  </si>
  <si>
    <t>------GWFTKLPS----------------------------------------------</t>
  </si>
  <si>
    <t>---------------LAAKMS---------------------------------------</t>
  </si>
  <si>
    <t>------------------------------------------GNPAF-------------</t>
  </si>
  <si>
    <t>----------------------------------------QQFSV---------------</t>
  </si>
  <si>
    <t>-----------GVPR-S-------------------------------------------</t>
  </si>
  <si>
    <t>------GD--------------------YIIN----------------------------</t>
  </si>
  <si>
    <t>----------------------------------AWLVLK--------------------</t>
  </si>
  <si>
    <t>------------------T--PE-------------------------------------</t>
  </si>
  <si>
    <t>------------------------------------------LLAANQLG----------</t>
  </si>
  <si>
    <t>NIVE-----NVNLSFNDISAQ-SFN-----------------------------------</t>
  </si>
  <si>
    <t>G------------YYNMIGNTSDLINPAPATG----------------------------</t>
  </si>
  <si>
    <t>EARVLP------------------------------------------------------</t>
  </si>
  <si>
    <t>-----------AKNLVLP---L--------------------PFF---------------</t>
  </si>
  <si>
    <t>---DSGLAL-------PVVSL-----PYNEIRITVKLR----------------------</t>
  </si>
  <si>
    <t>-----A---------------IQDL------------LILQHNT----------------</t>
  </si>
  <si>
    <t>------------------------------------TGVISPIVA-ADLE----------</t>
  </si>
  <si>
    <t>----------------------GGLPDTVE------------------------------</t>
  </si>
  <si>
    <t>---------------------------ANV------------------------------</t>
  </si>
  <si>
    <t>---------YMTVA-------------------------LITG-DERQA-MSSTVR----</t>
  </si>
  <si>
    <t>-----DM--------------------V-------VEQ--------------VQAAPV--</t>
  </si>
  <si>
    <t>------------------------------HMVNPRN-AATF------------------</t>
  </si>
  <si>
    <t>--------------------------------------------------------HT--</t>
  </si>
  <si>
    <t>---DMR-F-SHA----VKALMFMVQNVTHPS-----------------------------</t>
  </si>
  <si>
    <t>---------------------VGSNYTC--------------------------------</t>
  </si>
  <si>
    <t>----------------------------------ATPVVGVG------------------</t>
  </si>
  <si>
    <t>LEP---------------------------------------------------------</t>
  </si>
  <si>
    <t>--------------SL----------------------VYENTT----------------</t>
  </si>
  <si>
    <t>----------------------RLPDL--------------G------------------</t>
  </si>
  <si>
    <t>---------VEY-----------YSLVQP-WY--Y-----ATSIP-----VS--------</t>
  </si>
  <si>
    <t>---------------TGHHLY-------------SYALS---LQ-DPHP-SG-----ST-</t>
  </si>
  <si>
    <t>-------------NYGRL-TNA-SLN----------------------------------</t>
  </si>
  <si>
    <t>-----VTLSAEA-------------------------TAAA---------AGGGGDNS--</t>
  </si>
  <si>
    <t>YA-------------------LIV--------LAINHNIIRI------------------</t>
  </si>
  <si>
    <t>----------------MNG-----------------------------SMG-----FPI-</t>
  </si>
  <si>
    <t>----MSSIAGA-------------------------------------------------</t>
  </si>
  <si>
    <t>----------------------------------------NVT--SGF------------</t>
  </si>
  <si>
    <t>---------------------------------------------IDLAAY---------</t>
  </si>
  <si>
    <t>------------------D-AME-----------------THL-Y---------------</t>
  </si>
  <si>
    <t>---------------GG---------------------------DN--------------</t>
  </si>
  <si>
    <t>TTRS--------------------------------------------------------</t>
  </si>
  <si>
    <t>------SWFSKLPV----------------------------------------------</t>
  </si>
  <si>
    <t>---------------QLSKQT---------------------------------------</t>
  </si>
  <si>
    <t>------------------------------------------GTANF-------------</t>
  </si>
  <si>
    <t>----------------------------------------QEFSV---------------</t>
  </si>
  <si>
    <t>-----------VVAR-G-------------------------------------------</t>
  </si>
  <si>
    <t>------GD--------------------YLMN----------------------------</t>
  </si>
  <si>
    <t>----------------------------------VWLRVK--------------------</t>
  </si>
  <si>
    <t>------------------V--PA-------------------------------------</t>
  </si>
  <si>
    <t>-----------LKNT---------------------------------------------</t>
  </si>
  <si>
    <t>NLVQ-----EVTISFNDLTAQ-TIT-----------------------------------</t>
  </si>
  <si>
    <t>G------------YANMIGYTHDLVG----------------------------------</t>
  </si>
  <si>
    <t>QNATMP------------------------------------------------------</t>
  </si>
  <si>
    <t>-----------SKYLNLP---I--------------------PFF---------------</t>
  </si>
  <si>
    <t>---DTGLAL-------PTAAL-----PYNEIKIHFKLR----------------------</t>
  </si>
  <si>
    <t>-----D---------------WKDL------------LISQSTN----------------</t>
  </si>
  <si>
    <t>------------------------------------DNAISVPLT-SDME----------</t>
  </si>
  <si>
    <t>----------------------NVTPALTE------------------------------</t>
  </si>
  <si>
    <t>---------------------------VSV------------------------------</t>
  </si>
  <si>
    <t>---------MGTYA-------------------------ILTN-EEREA-MSLVSR----</t>
  </si>
  <si>
    <t>-----DM--------------------I-------IEQ--------------CQMAPR--</t>
  </si>
  <si>
    <t>------------------------------IPIRPLE-NEMP------------------</t>
  </si>
  <si>
    <t>---DLR-F-SHP----IKELFFAVKNVTHPN-----------------------------</t>
  </si>
  <si>
    <t>---------------------IHSNYTA--------------------------------</t>
  </si>
  <si>
    <t>----------------------------------ASPIIASGT-----------------</t>
  </si>
  <si>
    <t>MPP---------------------------------------------------------</t>
  </si>
  <si>
    <t>--------------SL----------------------IYENTA----------------</t>
  </si>
  <si>
    <t>----------------------RLNNM--------------G------------------</t>
  </si>
  <si>
    <t>---------VDY-----------FSYVDP-YF--F-----APCIP---------------</t>
  </si>
  <si>
    <t>-------------KIDGVMAY-------------CYTMN---MG-HVDP-MG-----ST-</t>
  </si>
  <si>
    <t>-------------NFGRL-SNI-TLS----------------------------------</t>
  </si>
  <si>
    <t>-----AKVTANSKT-----------------------TSAA---------SGNTD-----</t>
  </si>
  <si>
    <t>FE-------------------LVV--------IGVNHNVARI------------------</t>
  </si>
  <si>
    <t>----------------SNGSF-----------------------------G-----FPI-</t>
  </si>
  <si>
    <t>----------------------------------------MGSNM---------------</t>
  </si>
  <si>
    <t>----NSVVSGT-------------------------------------------------</t>
  </si>
  <si>
    <t>----------------------------------------RVTAASGF------------</t>
  </si>
  <si>
    <t>---------------------------------------------VDLATF---------</t>
  </si>
  <si>
    <t>------------------S-DLE-----------------AYL-Y---------------</t>
  </si>
  <si>
    <t>---------------GG---------------------------CS--------------</t>
  </si>
  <si>
    <t>IKKA--------------------------------------------------------</t>
  </si>
  <si>
    <t>------NWFSFLPV----------------------------------------------</t>
  </si>
  <si>
    <t>---------------VLRNIA---------------------------------------</t>
  </si>
  <si>
    <t>------------------------------------------GLPGF-------------</t>
  </si>
  <si>
    <t>----------------------------------------SEFSA---------------</t>
  </si>
  <si>
    <t>-----------SVNR-S-------------------------------------------</t>
  </si>
  <si>
    <t>------GD--------------------YVLN----------------------------</t>
  </si>
  <si>
    <t>----------------------------------TWLRVR--------------------</t>
  </si>
  <si>
    <t>------------------V--PL-------------------------------------</t>
  </si>
  <si>
    <t>-----------IAIR---------------------------------------------</t>
  </si>
  <si>
    <t>-----------------------------------------PTNGAGAIN----------</t>
  </si>
  <si>
    <t>NLVE-----KINITFNDLIVH-EFD-----------------------------------</t>
  </si>
  <si>
    <t>G------------YRNMIGDIPAMINPVTTGN----------------------------</t>
  </si>
  <si>
    <t>G----T------------------------------------------------------</t>
  </si>
  <si>
    <t>-----------GDFFNLP---V--------------------PLF---------------</t>
  </si>
  <si>
    <t>---------YSE------------------------------------------------</t>
  </si>
  <si>
    <t>---DSGLAL-------AVSAL-----PFNDIKINYTLR----------------------</t>
  </si>
  <si>
    <t>-----R---------------WQDL------------LVLNTGV----------------</t>
  </si>
  <si>
    <t>-----------------------------------GANP---PTY-DDVVQVSYD-----</t>
  </si>
  <si>
    <t>--------------STFTLIYSTSAPALTN------------------------------</t>
  </si>
  <si>
    <t>---------------------------VET------------------------------</t>
  </si>
  <si>
    <t>---------WCHYA-------------------------VVHN-DERVK-MGKNPR----</t>
  </si>
  <si>
    <t>-----DM--------------------V-------IKQ--------------VQKVNE--</t>
  </si>
  <si>
    <t>------------------------------TTINLSQLNALL------------------</t>
  </si>
  <si>
    <t>--------------------------------------------------------PI--</t>
  </si>
  <si>
    <t>---DIR-I-SHA----VVAYFFAIQNSSDSRR-------------V--------------</t>
  </si>
  <si>
    <t>--------------------VQLHHRTP--------------------------------</t>
  </si>
  <si>
    <t>----------------------------------PMPVLTRSRLLS--------------</t>
  </si>
  <si>
    <t>RLP---------------------------------------------------------</t>
  </si>
  <si>
    <t>--------------LLSP-GI----------------GKSRSPK----------------</t>
  </si>
  <si>
    <t>----------------------RLDTT--------------R------------------</t>
  </si>
  <si>
    <t>---------TLI-----------LSTVSP-LIPRV-----RPIIP-----S---------</t>
  </si>
  <si>
    <t>-----------------------------------------------SP-TS-----RT-</t>
  </si>
  <si>
    <t>LLPILPSLSSCR-------------------------LSGT---------S------S--</t>
  </si>
  <si>
    <t>FAC--LAEAWVFRSYKWFFYFLVI--------QTFSHSSLRA------------------</t>
  </si>
  <si>
    <t>----------------CNAS----------------------------KKY-----FMF-</t>
  </si>
  <si>
    <t>----------------L----------------QT-------------------------</t>
  </si>
  <si>
    <t>--------------------------------------------M------------SG-</t>
  </si>
  <si>
    <t>-DPKIEATAVA-------------------------------------------------</t>
  </si>
  <si>
    <t>----------------------------------------KTKEDTNK------------</t>
  </si>
  <si>
    <t>FVE-------------IKG-GIE-----------------NEI-Y---------------</t>
  </si>
  <si>
    <t>---------------NP---------------------------EN--------------</t>
  </si>
  <si>
    <t>VRRS--------------------------------------------------------</t>
  </si>
  <si>
    <t>------VPFIKVPE----------------------------------------------</t>
  </si>
  <si>
    <t>---------------II-KPN---------------------------------------</t>
  </si>
  <si>
    <t>------------------------------------------GSVNF-------------</t>
  </si>
  <si>
    <t>----------------------------------------GQCQF---------------</t>
  </si>
  <si>
    <t>-----------NIPR-C-------------------------------------------</t>
  </si>
  <si>
    <t>------GD--------------------YLLN----------------------------</t>
  </si>
  <si>
    <t>----------------------------------LTLYIE--------------------</t>
  </si>
  <si>
    <t>------------------I--PK-------------------------------------</t>
  </si>
  <si>
    <t>-----------IELNITE------------------------------------------</t>
  </si>
  <si>
    <t>----------------------------------------TAAVPGGAAA----------</t>
  </si>
  <si>
    <t>QLVK-----EIKLNIDDTTVV-NID-----------------------------------</t>
  </si>
  <si>
    <t>G------------YKEMIGGSKELWD----------------------------------</t>
  </si>
  <si>
    <t>DDKVAG------------------------------------------------------</t>
  </si>
  <si>
    <t>-----------AGTIILP---L--------------------PLF---------------</t>
  </si>
  <si>
    <t>---DSGLAL-------PLSSL-----ISSDISVEVLLR----------------------</t>
  </si>
  <si>
    <t>-----K---------------WDEV------------LLLEDIN----------------</t>
  </si>
  <si>
    <t>------------------------------------NSKNKVIKA-DDIK----------</t>
  </si>
  <si>
    <t>----------------------DGEPKLTS------------------------------</t>
  </si>
  <si>
    <t>---------------------------IKL------------------------------</t>
  </si>
  <si>
    <t>---------IGTYA-------------------------VASK-YEVNK-TRCDDR----</t>
  </si>
  <si>
    <t>-----RM--------------------L-------IEK--------------PFKASE--</t>
  </si>
  <si>
    <t>------------------------------YELPVFDSGKLD------------------</t>
  </si>
  <si>
    <t>-------------------------------------------------------EPI--</t>
  </si>
  <si>
    <t>---PIN-M-EKIN-GAIKALFFAVKNTSRSN-----------------------------</t>
  </si>
  <si>
    <t>---------------------EHSVYKV--------------------------------</t>
  </si>
  <si>
    <t>----------------------------------GLPIPGTLRID---------------</t>
  </si>
  <si>
    <t>--------------GI----------------------NLAEHV----------------</t>
  </si>
  <si>
    <t>----------------------FVPSL--------------P------------------</t>
  </si>
  <si>
    <t>---------IEY-----------YSYQQP-YE--H-----AKRIP-----NN--------</t>
  </si>
  <si>
    <t>---------------RDLFMY-------------SFCLD---VG-DVDP-MG-----SI-</t>
  </si>
  <si>
    <t>-------------NPKLLAKRL-TFQ----------------------------------</t>
  </si>
  <si>
    <t>-----IKPTKDL-------------------------AEAT---------KNK-------</t>
  </si>
  <si>
    <t>FK-------------------FIT--------YALCNRLVSI------------------</t>
  </si>
  <si>
    <t>----------------RQGK------------------------------------FTL-</t>
  </si>
  <si>
    <t>----------------L---------------SQSMYGEDGE------------------</t>
  </si>
  <si>
    <t>--------------DE--------------------------------------------</t>
  </si>
  <si>
    <t>--------------------------------------------M------------ST-</t>
  </si>
  <si>
    <t>-PTISADTTAQ-------------------------------------------------</t>
  </si>
  <si>
    <t>----------------------------------------NATSTEVR------------</t>
  </si>
  <si>
    <t>---------------------------------------------EDVNKR---------</t>
  </si>
  <si>
    <t>------------------G-NID-----------------NYI-Y---------------</t>
  </si>
  <si>
    <t>---------------GP---------------------------DE--------------</t>
  </si>
  <si>
    <t>IRPC--------------------------------------------------------</t>
  </si>
  <si>
    <t>------AAFSKLPV----------------------------------------------</t>
  </si>
  <si>
    <t>---------------LLTNGN---------------------------------------</t>
  </si>
  <si>
    <t>------------------------------------------GMKKF-------------</t>
  </si>
  <si>
    <t>----------------------------------------GTFTM---------------</t>
  </si>
  <si>
    <t>-----------PINA-S-------------------------------------------</t>
  </si>
  <si>
    <t>------GD--------------------YLLS----------------------------</t>
  </si>
  <si>
    <t>----------------------------------LTAYAT--------------------</t>
  </si>
  <si>
    <t>------------------L--SA-------------------------------------</t>
  </si>
  <si>
    <t>------------------------------------------ITGAGD------------</t>
  </si>
  <si>
    <t>KLIK-----SVKLKIDGKPLV-ELS-----------------------------------</t>
  </si>
  <si>
    <t>A------------YNNMVGGEYEFNK----------------------------------</t>
  </si>
  <si>
    <t>--DRIN------------------------------------------------------</t>
  </si>
  <si>
    <t>-----------NKSVVLP---I--------------------PMY---------------</t>
  </si>
  <si>
    <t>---DTGIAL-------PIGAM-----VNNRVTVEFVFR----------------------</t>
  </si>
  <si>
    <t>-----K---------------VTDL------------LVLENKP----------------</t>
  </si>
  <si>
    <t>-------------------------------ATGAGTGVVRTLTE-ADFS----------</t>
  </si>
  <si>
    <t>-----------------------VVPTIAS------------------------------</t>
  </si>
  <si>
    <t>---------------------------FEV------------------------------</t>
  </si>
  <si>
    <t>---------VADFA-------------------------VVTD-FEIDR-TSCTPH----</t>
  </si>
  <si>
    <t>-----YM--------------------Y-------MEK-------------PVDVPAT--</t>
  </si>
  <si>
    <t>------------------------------ELVKPTDGTTAP------------------</t>
  </si>
  <si>
    <t>-------------------------------------------------------DTM--</t>
  </si>
  <si>
    <t>---SFE-I-EHTN-GIVKALFFGVRNITRPE-----------------------------</t>
  </si>
  <si>
    <t>---------------------YLDFYKV--------------------------------</t>
  </si>
  <si>
    <t>----------------------------------GLPRFNLG------------------</t>
  </si>
  <si>
    <t>--------------TVSRIGI-----------------KCNDKY----------------</t>
  </si>
  <si>
    <t>----------------------RVPLL--------------P------------------</t>
  </si>
  <si>
    <t>---------SEH-----------FVYTEP-YH--A-----AKRVP-----TT--------</t>
  </si>
  <si>
    <t>--------------NNGLYMY-------------SFALD---LH-TIDP-KG-----SI-</t>
  </si>
  <si>
    <t>-------------NPSNFNSNI-SVV----------------------------------</t>
  </si>
  <si>
    <t>-----LRPSETL-------------------------NAAT---------T---------</t>
  </si>
  <si>
    <t>FE----FNATVLTG-------YIL--------YVENGNLRKI------------------</t>
  </si>
  <si>
    <t>----------------DNGG----------------------------DFN---------</t>
  </si>
  <si>
    <t>&gt;1109MEGAvirome_7-GSNCB_NODE_1088_length_3222_cov_2.923569_1 [81 - 656]</t>
  </si>
  <si>
    <t>CDWYTIRMGTC-------------------------------------------------</t>
  </si>
  <si>
    <t>----------------------------------------------NPG-----------</t>
  </si>
  <si>
    <t>---------------------------------------------IQLAAV---------</t>
  </si>
  <si>
    <t>------------------G-KQN-----------------TFL-Y---------------</t>
  </si>
  <si>
    <t>---------------GKC-------------------------SP---------------</t>
  </si>
  <si>
    <t>YRRA--------------------------------------------------------</t>
  </si>
  <si>
    <t>------TRFAQWTE----------------------------------------------</t>
  </si>
  <si>
    <t>------------------------------------------APIQYD------------</t>
  </si>
  <si>
    <t>--------------------------------------------PG--------------</t>
  </si>
  <si>
    <t>----------------------------------------KRTQL---------------</t>
  </si>
  <si>
    <t>-----------EIPK-N-------------------------------------------</t>
  </si>
  <si>
    <t>------GD--------------------ILGD----------------------------</t>
  </si>
  <si>
    <t>----------------------------------MYLEVR--------------------</t>
  </si>
  <si>
    <t>----------------------------------------ITGIPADVLN----------</t>
  </si>
  <si>
    <t>TLFR-----RVRFLLNDQEVH-NIE-----------------------------------</t>
  </si>
  <si>
    <t>G------------VEDMVGRKPLPMNS---------------------------------</t>
  </si>
  <si>
    <t>-----------SHLLYIP---L--------------------RFL---------------</t>
  </si>
  <si>
    <t>---------TCR------------------------------------------------</t>
  </si>
  <si>
    <t>-PGVSRAPL-------PLQAL---------------------------------------</t>
  </si>
  <si>
    <t>-------------------SNA--------------------------------------</t>
  </si>
  <si>
    <t>------------KHNLASLYVLAMSTVIRS------------------------------</t>
  </si>
  <si>
    <t>GEQEQRQTPGA-------------------------------------------------</t>
  </si>
  <si>
    <t>------------------G-KQD-----------------TYL-YALK------------</t>
  </si>
  <si>
    <t>------EEDTSSKQGGN---------------------------P---------------</t>
  </si>
  <si>
    <t>FLAS--------------------------------------------------------</t>
  </si>
  <si>
    <t>------SRGAIEHK----------------------------------------------</t>
  </si>
  <si>
    <t>---------------EEVFEP---------------------------------------</t>
  </si>
  <si>
    <t>--------------------------------------------FYF-------------</t>
  </si>
  <si>
    <t>----------------------------------------KTNTI---------------</t>
  </si>
  <si>
    <t>-----------SVPR-R-------------------------------------------</t>
  </si>
  <si>
    <t>------GD--------------------LLGD----------------------------</t>
  </si>
  <si>
    <t>----------------------------------IYLQIT--------------------</t>
  </si>
  <si>
    <t>-----------------------------------------PGAGVDD------------</t>
  </si>
  <si>
    <t>ILLR-----RVKLLLNETEIN-SDE-----------------------------------</t>
  </si>
  <si>
    <t>G------------VQEMIGT----------------------------------------</t>
  </si>
  <si>
    <t>-----------AHSFLIP---L--------------------KFF---------------</t>
  </si>
  <si>
    <t>---------CCKKRY---------------------------------------------</t>
  </si>
  <si>
    <t>-GNARQTFM-------PLLAT-----PGSTIYIDIEAE----------------------</t>
  </si>
  <si>
    <t>-----S---------------FENC------------ITSYAGNTPPE------------</t>
  </si>
  <si>
    <t>------------------------------------------------TLT---------</t>
  </si>
  <si>
    <t>---------VCEFV-------------------------FVDN-PERES-LINQPQ----</t>
  </si>
  <si>
    <t>-----LL--------------------M-------IEK--------------VQDAEGF-</t>
  </si>
  <si>
    <t>-------------------------SSR--------------------------------</t>
  </si>
  <si>
    <t>---------------------------------EIVSADGTSVIY---------------</t>
  </si>
  <si>
    <t>---------------------------------------------------ATDTVVI--</t>
  </si>
  <si>
    <t>---PLNEI-NFP----VKCLLFVAYFVDDVTQK---------------------------</t>
  </si>
  <si>
    <t>---------------------RYFQYADI-------------------------------</t>
  </si>
  <si>
    <t>--------------SV----------------------RFDGND----------------</t>
  </si>
  <si>
    <t>----------------------RTDQLQ--------------------------------</t>
  </si>
  <si>
    <t>---------STY-----------FQLLQP-YL--HA----PRCNT---------------</t>
  </si>
  <si>
    <t>---------------NNIYLY-------------SFALD-P-GL--LQP-TG-----AF-</t>
  </si>
  <si>
    <t>-------------TFANV-RRP-ELY----------------------------------</t>
  </si>
  <si>
    <t>-----VKLAEARRD----------------------------------------------</t>
  </si>
  <si>
    <t>-------------------VVVKV--------FALGYTWIQF------------------</t>
  </si>
  <si>
    <t>----------------VNGRA-----------------------------S---------</t>
  </si>
  <si>
    <t>----------------PL------------------FS----------------------</t>
  </si>
  <si>
    <t>------------------SRITVDMSTVQP------------------------------</t>
  </si>
  <si>
    <t>GSQEQRQTPGS-------------------------------------------------</t>
  </si>
  <si>
    <t>---------------------------------------------LQLQSL---------</t>
  </si>
  <si>
    <t>------------------G-KQD-----------------TYL-Y---------------</t>
  </si>
  <si>
    <t>--------DLTREARGN---------------------------P---------------</t>
  </si>
  <si>
    <t>----------------------------------------NTNTI---------------</t>
  </si>
  <si>
    <t>----------------------------------MYLQIT--------------------</t>
  </si>
  <si>
    <t>-----------------------------------------PGAGIDD------------</t>
  </si>
  <si>
    <t>ILLR-----RVRLLLNETEIN-SDE-----------------------------------</t>
  </si>
  <si>
    <t>TE----------------------------------------------------------</t>
  </si>
  <si>
    <t>-----------PHSFLIP---L--------------------KFF---------------</t>
  </si>
  <si>
    <t>-GNARQTFM-------PLLAT-----PGSTIYISIEAE----------------------</t>
  </si>
  <si>
    <t>-----S---------------FENC------------ITSYAGNTPPD------------</t>
  </si>
  <si>
    <t>---------VCEFV-------------------------FVDD-PERESLIINRPQ----</t>
  </si>
  <si>
    <t>-----TL--------------------M-------IEK--------------VQDVEAF-</t>
  </si>
  <si>
    <t>---------------------------------EIVSSDGTSIVY---------------</t>
  </si>
  <si>
    <t>---------------------------------------------------ATDTVVV--</t>
  </si>
  <si>
    <t>---PLSEI-NYP----VKALLFVAYFTSDVAQR---------------------------</t>
  </si>
  <si>
    <t>----------------------RTDQLD--------------------------------</t>
  </si>
  <si>
    <t>---------ASY-----------FQLLQP-YF--HA----PRCDT---------------</t>
  </si>
  <si>
    <t>-----VKLKEPRRD----------------------------------------------</t>
  </si>
  <si>
    <t>-------------------VVIKV--------FAMGYTWLQF------------------</t>
  </si>
  <si>
    <t>----------------LNGRA-----------------------------S---------</t>
  </si>
  <si>
    <t>---------------KQNLRWLQTMSVIHA------------------------------</t>
  </si>
  <si>
    <t>AEKEERQTPGA-------------------------------------------------</t>
  </si>
  <si>
    <t>--------DLERKGAGN---------------------------P---------------</t>
  </si>
  <si>
    <t>FLSS--------------------------------------------------------</t>
  </si>
  <si>
    <t>------SRGALEHK----------------------------------------------</t>
  </si>
  <si>
    <t>-----------------------------------------EGAGIDD------------</t>
  </si>
  <si>
    <t>---------VCEFV-------------------------FVDD-PEREA-IINRPQ----</t>
  </si>
  <si>
    <t>-----TL--------------------M-------IEK--------------VQDAEGF-</t>
  </si>
  <si>
    <t>-------------------------SQR--------------------------------</t>
  </si>
  <si>
    <t>---------------------------------EIVSSDGTAVVY---------------</t>
  </si>
  <si>
    <t>---------------------------------------------------PTDTVVV--</t>
  </si>
  <si>
    <t>---PLNEI-NYP----VKALMFVAYFQDDVEQK---------------------------</t>
  </si>
  <si>
    <t>---------------------RFFQYADI-------------------------------</t>
  </si>
  <si>
    <t>----------------------RTDQLS--------------------------------</t>
  </si>
  <si>
    <t>---------ATY-----------FGLLQP-FF--HA----PRCDT---------------</t>
  </si>
  <si>
    <t>---------------SNIYLY-------------SFALD-P-GL--LQP-TG-----AF-</t>
  </si>
  <si>
    <t>-----VKLKEARRD----------------------------------------------</t>
  </si>
  <si>
    <t>-------------------VVIKV--------FALGYTWLQF------------------</t>
  </si>
  <si>
    <t>-------WIRKTKTQKKKIPLHGRMA----------------------------------</t>
  </si>
  <si>
    <t>---ESREIPGV-------------------------------------------------</t>
  </si>
  <si>
    <t>---------------------------------------------LQTQAI---------</t>
  </si>
  <si>
    <t>------------------G-PQD-----------------TKL-Y---------------</t>
  </si>
  <si>
    <t>--------TLGDQPACN---------------------------P---------------</t>
  </si>
  <si>
    <t>TERP--------------------------------------------------------</t>
  </si>
  <si>
    <t>------TRGAIEVK----------------------------------------------</t>
  </si>
  <si>
    <t>---------------EQVFSP---------------------------------------</t>
  </si>
  <si>
    <t>--------------------------------------------FAF-------------</t>
  </si>
  <si>
    <t>----------------------------------------SINTV---------------</t>
  </si>
  <si>
    <t>-----------EIQR-S-------------------------------------------</t>
  </si>
  <si>
    <t>------GD--------------------LIGD----------------------------</t>
  </si>
  <si>
    <t>----------------------------------IMLEIT--------------------</t>
  </si>
  <si>
    <t>-----------FA-----------------------------------------------</t>
  </si>
  <si>
    <t>----------------------------------------NRGGTADN------------</t>
  </si>
  <si>
    <t>ILVK-----HVRLLLNETELN-SSE-----------------------------------</t>
  </si>
  <si>
    <t>A------------IRQMIGGRSTEKTDS--------------------------------</t>
  </si>
  <si>
    <t>NF----------------------------------------------------------</t>
  </si>
  <si>
    <t>-----------EHTIIIP---L--------------------KVF---------------</t>
  </si>
  <si>
    <t>---------SSKRR----------------------------------------------</t>
  </si>
  <si>
    <t>--GARQTFM-------PIVAT-----PGSSLYLEIETE----------------------</t>
  </si>
  <si>
    <t>-----A---------------FTNC------------VTSYSGNDPPR------------</t>
  </si>
  <si>
    <t>------------------------------------------------TLE---------</t>
  </si>
  <si>
    <t>---------LTEYV-------------------------FLDE-FEKER-LINKPQ----</t>
  </si>
  <si>
    <t>-----TM--------------------M-------IET--------------VQDSEGF-</t>
  </si>
  <si>
    <t>-------------------------SFR--------------------------------</t>
  </si>
  <si>
    <t>---------------------------------EVFSSDGKNQII---------------</t>
  </si>
  <si>
    <t>---------------------------------------------------SSDTVRV--</t>
  </si>
  <si>
    <t>---SLKEI-NAP----VKAIMFAAYRTTDLQQQ---------------------------</t>
  </si>
  <si>
    <t>---------------------RYFRYLDV-------------------------------</t>
  </si>
  <si>
    <t>--------------TL----------------------RFDGND----------------</t>
  </si>
  <si>
    <t>----------------------RTEGYE-------------P------------------</t>
  </si>
  <si>
    <t>---------ADY-----------YRLVQP-YM--HA----PRCTD---------------</t>
  </si>
  <si>
    <t>---------------DNIFFY-------------SFALQ-P-VL--LQP-TG-----TF-</t>
  </si>
  <si>
    <t>-------------SFSNI-REG-EIV----------------------------------</t>
  </si>
  <si>
    <t>-----IKLKEPAND----------------------------------------------</t>
  </si>
  <si>
    <t>-------------------IVIKA--------FIIGYSWLTF------------------</t>
  </si>
  <si>
    <t>----------------ENGFA-----------------------------T---------</t>
  </si>
  <si>
    <t>----------------TL------------------YS----------------------</t>
  </si>
  <si>
    <t>&gt;1109MEGAvirome_6-GSNCC_NODE_430_length_7661_cov_61.383294_29 [2006 - 1524] (REVERSE SENSE)</t>
  </si>
  <si>
    <t>----------------KIIHIDGRMA----------------------------------</t>
  </si>
  <si>
    <t>---ETRDTPGM-------------------------------------------------</t>
  </si>
  <si>
    <t>------------------G-PQD-----------------KKL-Y---------------</t>
  </si>
  <si>
    <t>--------TLS-------------------------------------------------</t>
  </si>
  <si>
    <t>---------------------XXXXXXXXXXXX---------------------------</t>
  </si>
  <si>
    <t>---------------------XXXXXXXX-------------------------------</t>
  </si>
  <si>
    <t>--------------XX----------------------XXXXXX----------------</t>
  </si>
  <si>
    <t>----------------------XXEGFE-------------P------------------</t>
  </si>
  <si>
    <t>---------ADY-----------YRLVQP-YM--HA----PRCTN---------------</t>
  </si>
  <si>
    <t>---------------DNIFFY-------------SFALD-P-VL--LQP-TG-----TF-</t>
  </si>
  <si>
    <t>-------------NFSNI-REG-QLV----------------------------------</t>
  </si>
  <si>
    <t>-----VKLKQPAND----------------------------------------------</t>
  </si>
  <si>
    <t>-------------------VTVKA--------FILGYSWVQF------------------</t>
  </si>
  <si>
    <t>----------------QNGYA-----------------------------T---------</t>
  </si>
  <si>
    <t>----------------VL------------------FS----------------------</t>
  </si>
  <si>
    <t>--------------------------------------------F---------------</t>
  </si>
  <si>
    <t>---------TSKRR----------------------------------------------</t>
  </si>
  <si>
    <t>--ENRQTFM-------PLLST-----PGSSLYLEIETD----------------------</t>
  </si>
  <si>
    <t>-----S---------------FENC------------VTSYSGNDPPK------------</t>
  </si>
  <si>
    <t>------------------------------------------------SFE---------</t>
  </si>
  <si>
    <t>---------LTEYV-------------------------FLEE-EEKER-IINEPQ----</t>
  </si>
  <si>
    <t>-----TM--------------------L-------VET--------------VRDAEGY-</t>
  </si>
  <si>
    <t>---------------------------------EVTSNDGLDQII---------------</t>
  </si>
  <si>
    <t>---SLREM-NFP----AKAIIFAAYRTTDLQEG---------------------------</t>
  </si>
  <si>
    <t>---------------------KFFNYADV-------------------------------</t>
  </si>
  <si>
    <t>--------------SI----------------------RFDGND----------------</t>
  </si>
  <si>
    <t>----------------------RTEGRE-------------P------------------</t>
  </si>
  <si>
    <t>---------IDY-----------YRLIQP-YL--HA----PRCTN---------------</t>
  </si>
  <si>
    <t>---------------DNIFFY-------------SFALK-P-NL--LQP-TG-----TF-</t>
  </si>
  <si>
    <t>-------------SFSNI-REG-DIS----------------------------------</t>
  </si>
  <si>
    <t>-----IKLREKASD----------------------------------------------</t>
  </si>
  <si>
    <t>-------------------IVVKA--------FVIGYTWVQF------------------</t>
  </si>
  <si>
    <t>----------------KGGFA-----------------------------T---------</t>
  </si>
  <si>
    <t>----------------TL------------------FS----------------------</t>
  </si>
  <si>
    <t>-----------FYGKKNSVCMVGHMSTT--------------------------------</t>
  </si>
  <si>
    <t>-NAEGREDPGV-------------------------------------------------</t>
  </si>
  <si>
    <t>---------------------------------------------IQTQAV---------</t>
  </si>
  <si>
    <t>------------------G-LQD-----------------TYL-Y---------------</t>
  </si>
  <si>
    <t>--------TLGKDAACN---------------------------P---------------</t>
  </si>
  <si>
    <t>RLRS--------------------------------------------------------</t>
  </si>
  <si>
    <t>------TQGAIEVK----------------------------------------------</t>
  </si>
  <si>
    <t>--------------------------------------------FLL-------------</t>
  </si>
  <si>
    <t>----------------------------------------TINRI---------------</t>
  </si>
  <si>
    <t>-----------EIQR-A-------------------------------------------</t>
  </si>
  <si>
    <t>----------------------------------IVLEIT--------------------</t>
  </si>
  <si>
    <t>----------------------------------------DRGGRGDE------------</t>
  </si>
  <si>
    <t>IIIK-----HIRLMLNDTELN-SSE-----------------------------------</t>
  </si>
  <si>
    <t>A------------IRDMIGG----------------------------------------</t>
  </si>
  <si>
    <t>NR----------------------------------------------------------</t>
  </si>
  <si>
    <t>-----------EHRILVP---L--------------------KLF---------------</t>
  </si>
  <si>
    <t>--GSRQTFM-------PLIST-----PGSALYLEIETE----------------------</t>
  </si>
  <si>
    <t>-----S---------------FENC------------VTSYSGNDPPR------------</t>
  </si>
  <si>
    <t>---------------------------------DVVSGDGLNQII---------------</t>
  </si>
  <si>
    <t>---SLKEM-NFP----AKAIVFAAYRTTDLQRG---------------------------</t>
  </si>
  <si>
    <t>---------------------EYFQYADV-------------------------------</t>
  </si>
  <si>
    <t>---------IDY-----------YRLIQP-YM--HA----PRCTN---------------</t>
  </si>
  <si>
    <t>---------------DNVFFY-------------SFALQ-P-GL--LQP-TG-----AF-</t>
  </si>
  <si>
    <t>-------------SFSNI-REG-DLY----------------------------------</t>
  </si>
  <si>
    <t>-----IKLKEKAGD----------------------------------------------</t>
  </si>
  <si>
    <t>-------------------VVVKA--------FVIGYSWVQF------------------</t>
  </si>
  <si>
    <t>----------------NNIPPYGRMS----------------------------------</t>
  </si>
  <si>
    <t>--GESREIPGV-------------------------------------------------</t>
  </si>
  <si>
    <t>------------------G-PQD-----------------TYL-Y---------------</t>
  </si>
  <si>
    <t>--------ELDASPHCN---------------------------P---------------</t>
  </si>
  <si>
    <t>SIRT--------------------------------------------------------</t>
  </si>
  <si>
    <t>---------------EQQFSP---------------------------------------</t>
  </si>
  <si>
    <t>--------------------------------------------FFF-------------</t>
  </si>
  <si>
    <t>----------------------------------------TVNRI---------------</t>
  </si>
  <si>
    <t>----------------------------------VMLEIT--------------------</t>
  </si>
  <si>
    <t>-----------FL-----------------------------------------------</t>
  </si>
  <si>
    <t>----------------------------------------DRGGRSDD------------</t>
  </si>
  <si>
    <t>ILVK-----HVRLLLNDTELN-SSE-----------------------------------</t>
  </si>
  <si>
    <t>A------------IREMIGG----------------------------------------</t>
  </si>
  <si>
    <t>-----------EHTIIIP---L--------------------KLF---------------</t>
  </si>
  <si>
    <t>---------MSKRR----------------------------------------------</t>
  </si>
  <si>
    <t>--GSRQTFM-------PMIST-----PGSSLYLEIETE----------------------</t>
  </si>
  <si>
    <t>-----S---------------FENC------------VTSYTGNDPPR------------</t>
  </si>
  <si>
    <t>---------LTEYV-------------------------FIED-DEKEK-IVNQPQ----</t>
  </si>
  <si>
    <t>-----TM--------------------L-------IET--------------VRDAEGY-</t>
  </si>
  <si>
    <t>---------------------------------EVVSSDGMNQII---------------</t>
  </si>
  <si>
    <t>---------------------------------------------------SSDTVVV--</t>
  </si>
  <si>
    <t>---SLKEM-NFP----AKAIIFAAYRTSDLQAR---------------------------</t>
  </si>
  <si>
    <t>---------------------RYFDYADV-------------------------------</t>
  </si>
  <si>
    <t>----------------------RTEGQE-------------P------------------</t>
  </si>
  <si>
    <t>---------------DNIFFY-------------SFALQ-P-VL--LQP-TG-----VF-</t>
  </si>
  <si>
    <t>-----IKLREPAND----------------------------------------------</t>
  </si>
  <si>
    <t>-------------------IVVKC--------FVIGYSWVQF------------------</t>
  </si>
  <si>
    <t>----------------KDGIA-----------------------------S---------</t>
  </si>
  <si>
    <t>----------------TL------------------FQ----------------------</t>
  </si>
  <si>
    <t>--------------QENYVSVYQTVSTDMT------------------------------</t>
  </si>
  <si>
    <t>-TYPTSNTPGV------------------------------GP-----------------</t>
  </si>
  <si>
    <t>-----------------------------------------------L------------</t>
  </si>
  <si>
    <t>---------------------------------------------LQLNAL---------</t>
  </si>
  <si>
    <t>------------------G-EQD-----------------NAM-Y---------------</t>
  </si>
  <si>
    <t>--------DLLGE-GSN---------------------------P---------------</t>
  </si>
  <si>
    <t>FVKS--------------------------------------------------------</t>
  </si>
  <si>
    <t>------TAGAVEQK----------------------------------------------</t>
  </si>
  <si>
    <t>---------------EESFQT---------------------------------------</t>
  </si>
  <si>
    <t>--------------------------------------------FTL-------------</t>
  </si>
  <si>
    <t>----------------------------------------QTNNI---------------</t>
  </si>
  <si>
    <t>-----------LLDR-R-------------------------------------------</t>
  </si>
  <si>
    <t>------GD--------------------MLGG----------------------------</t>
  </si>
  <si>
    <t>----------------------------------VALEIK--------------------</t>
  </si>
  <si>
    <t>-----------------------------------------ANAGIND------------</t>
  </si>
  <si>
    <t>ILLR-----KIRLFLNDAELE-SSE-----------------------------------</t>
  </si>
  <si>
    <t>G------------VLSMIGG----------------------------------------</t>
  </si>
  <si>
    <t>-----------EHIILVP---L--------------------KLF---------------</t>
  </si>
  <si>
    <t>---------HCKRH----------------------------------------------</t>
  </si>
  <si>
    <t>--GQRQVFL-------PMITY----YKGSTLSIEIETE----------------------</t>
  </si>
  <si>
    <t>-----S---------------FENS------------ITSYAGNDEVT------------</t>
  </si>
  <si>
    <t>---------------------------TKL------------------------------</t>
  </si>
  <si>
    <t>---------IVDYV-------------------------FLSQ-FERER-LINKSF----</t>
  </si>
  <si>
    <t>-----PV--------------------M-------VET--------------VQDVEGY-</t>
  </si>
  <si>
    <t>-------------------------SFK--------------------------------</t>
  </si>
  <si>
    <t>---------------------------------EVRSSEG-DIFL---------------</t>
  </si>
  <si>
    <t>---------------------------------------------------PTNTVSI--</t>
  </si>
  <si>
    <t>---DMSEV-NYP----VKYLAFVAYSSSDLRNK---------------------------</t>
  </si>
  <si>
    <t>---------------------NYFKYSDI-------------------------------</t>
  </si>
  <si>
    <t>--------------TI----------------------RFDGQD----------------</t>
  </si>
  <si>
    <t>----------------------RTEKFD--------------------------------</t>
  </si>
  <si>
    <t>---------SKY-----------FNLVQP-FY--YA----KRCTD---------------</t>
  </si>
  <si>
    <t>---------------DHIFMY-------------SFALH-P-HD--MQP-SG-----HF-</t>
  </si>
  <si>
    <t>-------------TFRNI-RKP-SVY----------------------------------</t>
  </si>
  <si>
    <t>-----ITLKEKRRD----------------------------------------------</t>
  </si>
  <si>
    <t>-------------------IVVKC--------FIVGYRWITF------------------</t>
  </si>
  <si>
    <t>----------------AHGEA-----------------------------Q---------</t>
  </si>
  <si>
    <t>----------------VL------------------YL----------------------</t>
  </si>
  <si>
    <t>-------------------------------------------------MNDQI------</t>
  </si>
  <si>
    <t>---------------------------------------------CEV------------</t>
  </si>
  <si>
    <t>----------NNADNASDFVVYDESFMAFAKP----------------------------</t>
  </si>
  <si>
    <t>-----------------------EGVGL-PGIKRFTNHTTQAREM---------------</t>
  </si>
  <si>
    <t>-TFDNLYTPPS------------------------------GNLDIRPD-----------</t>
  </si>
  <si>
    <t>------------------------------------NVYAP-------------------</t>
  </si>
  <si>
    <t>----------------------------------------------EPGKF---------</t>
  </si>
  <si>
    <t>--------------DI------------------KPV----------VNDEVPLSKRAR-</t>
  </si>
  <si>
    <t>----------------------------------------GTASEGTF------------</t>
  </si>
  <si>
    <t>---------------------------------------------YQLVGR---------</t>
  </si>
  <si>
    <t>------------------G-PQD-----------------VFL-TY--------------</t>
  </si>
  <si>
    <t>----------------N---------------------------P---------------</t>
  </si>
  <si>
    <t>------TNFAVQTT----------------------------------------------</t>
  </si>
  <si>
    <t>---------------EERFST---------------------------------------</t>
  </si>
  <si>
    <t>-------------------------------------------TVRF-------------</t>
  </si>
  <si>
    <t>----------------------------------------TKNIC---------------</t>
  </si>
  <si>
    <t>-----------QLSK-I-------------------------------------------</t>
  </si>
  <si>
    <t>------GD--------------------LAGH----------------------------</t>
  </si>
  <si>
    <t>----------------------------------MSFKLT--------------------</t>
  </si>
  <si>
    <t>-----------LG-----------------------------------------------</t>
  </si>
  <si>
    <t>----------------------------------------ISGG----------------</t>
  </si>
  <si>
    <t>NCIG-----LVRLRIGDTVVQ-AHE-----------------------------------</t>
  </si>
  <si>
    <t>G------------LSRTIGRGQV-------------------------------------</t>
  </si>
  <si>
    <t>DE----------------------------------------------------------</t>
  </si>
  <si>
    <t>-----------ENTITVP---L--------------------KFF---------------</t>
  </si>
  <si>
    <t>---------NCYRP----------------------------------------------</t>
  </si>
  <si>
    <t>--STKQQFI-------PILNL----QTNIEVFLEFVLK----------------------</t>
  </si>
  <si>
    <t>-----P---------------ISLL------------VTLPAGSSIPDIP----------</t>
  </si>
  <si>
    <t>------------------------------------------------SVS---------</t>
  </si>
  <si>
    <t>---------------------------ASV------------------------------</t>
  </si>
  <si>
    <t>---------LVDYV-------------------------FLDE-SERYR-FAQNPS----</t>
  </si>
  <si>
    <t>-----RF--------------------L-------IEQ--------------TPTVDTP-</t>
  </si>
  <si>
    <t>-------------------------TY---------------------------------</t>
  </si>
  <si>
    <t>----------------------------------LTSSGG--AIT---------------</t>
  </si>
  <si>
    <t>---------------------------------------------------MKDITQV--</t>
  </si>
  <si>
    <t>---QLREL-NKP----VKFLATVALMLNDFSS----------------------------</t>
  </si>
  <si>
    <t>-----------------------FVYYDI-------------------------------</t>
  </si>
  <si>
    <t>--------------TF----------------------YINSDK----------------</t>
  </si>
  <si>
    <t>----------------------QFQERS--------------------------------</t>
  </si>
  <si>
    <t>---------GDY-----------WRLTQT-YQ--HF----TRSIP---------------</t>
  </si>
  <si>
    <t>--------------EDNIFAY-------------SFALN-S-GS--FQP-NG-----FV-</t>
  </si>
  <si>
    <t>-------------NFAPY-VRT-FLS----------------------------------</t>
  </si>
  <si>
    <t>-----FQMDRTQPP----------------------------------------------</t>
  </si>
  <si>
    <t>-------------------MRLKT--------VAVALNFLDF------------------</t>
  </si>
  <si>
    <t>----------------SSGTA-----------------------------K---------</t>
  </si>
  <si>
    <t>----------------LM------------------FN----------------------</t>
  </si>
  <si>
    <t>---------------------------------------------MDP------------</t>
  </si>
  <si>
    <t>----------TTRFRGSDVPVHNEDHMVFAKP----------------------------</t>
  </si>
  <si>
    <t>-----------------------SEIGL-QGRQGFYTNTNVVTN----------------</t>
  </si>
  <si>
    <t>-TYNHVYTPPG------------------------------GH-----------------</t>
  </si>
  <si>
    <t>----------------------------------------------TGGKFT--------</t>
  </si>
  <si>
    <t>-------------QDIYTT---------DLLIAAKDE----------KADKIPLDKRMD-</t>
  </si>
  <si>
    <t>----------------------------------------GTFSEGTF------------</t>
  </si>
  <si>
    <t>---------------------------------------------VQLLSR---------</t>
  </si>
  <si>
    <t>------------------G-PQD-----------------VYL-TY--------------</t>
  </si>
  <si>
    <t>------TNFAIENF----------------------------------------------</t>
  </si>
  <si>
    <t>-------------------------------------------VVKF-------------</t>
  </si>
  <si>
    <t>----------------------------------------TRNIC---------------</t>
  </si>
  <si>
    <t>-----------QLSK-N-------------------------------------------</t>
  </si>
  <si>
    <t>------GD--------------------LIGN----------------------------</t>
  </si>
  <si>
    <t>----------------------------------MCFRVT--------------------</t>
  </si>
  <si>
    <t>----------------------------------------IPGG----------------</t>
  </si>
  <si>
    <t>NIFS-----TIRMRIGDTIVQ-SHD-----------------------------------</t>
  </si>
  <si>
    <t>G------------LDELIKRNVT-------------------------------------</t>
  </si>
  <si>
    <t>DQ----------------------------------------------------------</t>
  </si>
  <si>
    <t>-----------EWELIIP---L--------------------KFF---------------</t>
  </si>
  <si>
    <t>---------CCKRN----------------------------------------------</t>
  </si>
  <si>
    <t>--TGKQQFL-------PILNM----DTNINVYLEFNLL----------------------</t>
  </si>
  <si>
    <t>-----P---------------LNSL------------VTLPTGSILPDIQ----------</t>
  </si>
  <si>
    <t>------------------------------------------------SID---------</t>
  </si>
  <si>
    <t>---------WVDYI-------------------------FLDD-TEKFR-FAQDPC----</t>
  </si>
  <si>
    <t>-----VY--------------------L-------IEQ--------------TASMDSL-</t>
  </si>
  <si>
    <t>-------------------------SY---------------------------------</t>
  </si>
  <si>
    <t>----------------------------------ATTTSG--QTY---------------</t>
  </si>
  <si>
    <t>---------------------------------------------------NKTDVYV--</t>
  </si>
  <si>
    <t>---DMKEL-NKP----VKYVEIIAYEQGS-TS----------------------------</t>
  </si>
  <si>
    <t>-----------------------FDYVDI-------------------------------</t>
  </si>
  <si>
    <t>--------------TF----------------------YLNSDE----------------</t>
  </si>
  <si>
    <t>----------------------QFKTRA--------------------------------</t>
  </si>
  <si>
    <t>---------GEY-----------FSLVQP-YQ--HF----KRSDP---------------</t>
  </si>
  <si>
    <t>----------------------------------------------FGT-DG-----EP-</t>
  </si>
  <si>
    <t>-------------HFY--------------------------------------------</t>
  </si>
  <si>
    <t>---------QCEPG----------------------------------------------</t>
  </si>
  <si>
    <t>-------------------RNAAT--------KMPCASGLVW------------------</t>
  </si>
  <si>
    <t>----------------DNSTK-----------------------------G---------</t>
  </si>
  <si>
    <t>----------------CN------------------FPK---------------------</t>
  </si>
  <si>
    <t>------------------------------------------------N-----------</t>
  </si>
  <si>
    <t>---------------------------------------------FVLQAY---------</t>
  </si>
  <si>
    <t>------------------G-DAD-----------------LKF-S---------------</t>
  </si>
  <si>
    <t>------THFAQEPS----------------------------------------------</t>
  </si>
  <si>
    <t>---------------YSQFDG---------------------------------------</t>
  </si>
  <si>
    <t>-----------------------------------------PQQLSF-------------</t>
  </si>
  <si>
    <t>---------------------------------------QDTILLKH-------------</t>
  </si>
  <si>
    <t>-----------KIKR-K-------------------------------------------</t>
  </si>
  <si>
    <t>----------------------------------MFLSIQ--------------------</t>
  </si>
  <si>
    <t>------------------L--PDIYS----------------------------------</t>
  </si>
  <si>
    <t>----------KLELDGGD------------------------------------------</t>
  </si>
  <si>
    <t>MIID-----EAEIFIGGNKVD-SFT-----------------------------------</t>
  </si>
  <si>
    <t>---------------GLYSYLYKKLNYE-------EDSQR--------------------</t>
  </si>
  <si>
    <t>------------IFDSIAGNTAEFVDPAN-------------------------------</t>
  </si>
  <si>
    <t>SNSNAI------------------------------------------------------</t>
  </si>
  <si>
    <t>----LNPSIR-GKQLFIP---L--------------------PFW---------------</t>
  </si>
  <si>
    <t>---------FYD------------------------------------------------</t>
  </si>
  <si>
    <t>---EPGQSI-------PLIGL-----QNHEVEVHLRLR----------------------</t>
  </si>
  <si>
    <t>-----P---------------IIDLY----------------------------------</t>
  </si>
  <si>
    <t>----------------------------------------QVRAYGSDTWTRPEP-----</t>
  </si>
  <si>
    <t>----------------------GTTTAIRH-------FLS--------------------</t>
  </si>
  <si>
    <t>PF------------FNDNTGADTWNLVPQI------------------------------</t>
  </si>
  <si>
    <t>---------LSHYI-------------------------YLSN-DERRE-IALKNS----</t>
  </si>
  <si>
    <t>-----EY--------------------L-------IVQRN----HFT-----IRTPVSY-</t>
  </si>
  <si>
    <t>-RYKIE---QHN---LINRILFTVRRTDFIE-----------------------------</t>
  </si>
  <si>
    <t>----------------------------------------------------TYNDST--</t>
  </si>
  <si>
    <t>---------------------NLTNWSD--------------------------------</t>
  </si>
  <si>
    <t>------------------------------PSQAPKTELSNAEISGIN------------</t>
  </si>
  <si>
    <t>------T-----------------------------------------------------</t>
  </si>
  <si>
    <t>--------------TI----------------------YVNGNA----------------</t>
  </si>
  <si>
    <t>----------------------IFETQT--------------------------------</t>
  </si>
  <si>
    <t>---------APY-----------YNGVQA-FL--------ANKIT---------------</t>
  </si>
  <si>
    <t>-------------NEDGIYQY-------------NFGLF-P-KE--YQP-SG-----AL-</t>
  </si>
  <si>
    <t>-------------NASRV-KSL-ELD----------------------------------</t>
  </si>
  <si>
    <t>-----FQLEGIP----------F--------------TSVT-DLSGV---TTSRYNYE--</t>
  </si>
  <si>
    <t>-------------------YLIDI--------FTENYNFLTI------------------</t>
  </si>
  <si>
    <t>----------------TSGLG-----------------------------G---------</t>
  </si>
  <si>
    <t>----------------LM------------------YAR---------------------</t>
  </si>
  <si>
    <t>LERKAQAP----------------------------------------------------</t>
  </si>
  <si>
    <t>PELVVPPPVAPPASV-PGVNIVLNPIEI-NGFYLLTGNNYVTFYATT-------------</t>
  </si>
  <si>
    <t>NNPTRPTLSDS--------WVATGITGLSGQLAVT------LPVDTNSSMQPRVVAISDT</t>
  </si>
  <si>
    <t>TSESYIWSFNIQSDTEQIVAPY--------QTVTGATLYPPGQIDYTSLKRKGVISGYYD</t>
  </si>
  <si>
    <t>VVQNVTNYILTADPPAGFGIGWTVEDLTGLPPCRVVSYTDLTYKKWIAGTLVPKREMFAI</t>
  </si>
  <si>
    <t>LTPIDGSTPENTNEHVYTKAIVKEPGFMSTFVPANFTNFDKSIETSLQKFQIEINQNVK-</t>
  </si>
  <si>
    <t>-GGATTVPLRDLNTGFK---------YENQERGPMSDVVGRGFSSGSV------------</t>
  </si>
  <si>
    <t>---------------------------------------------MALHAI---------</t>
  </si>
  <si>
    <t>------------------GPQED-----H-----------LLL-----------------</t>
  </si>
  <si>
    <t>---------------ED-------------------------------------------</t>
  </si>
  <si>
    <t>------TNSVMYQR----------------------------------------------</t>
  </si>
  <si>
    <t>---------------VIPFPP---------------------------------------</t>
  </si>
  <si>
    <t>------------------------------------------PNPSY-------------</t>
  </si>
  <si>
    <t>--------------------------------------------QN--------------</t>
  </si>
  <si>
    <t>----------------------------------------QTIQLE--------------</t>
  </si>
  <si>
    <t>-----------LLPT-E-------------------------------------------</t>
  </si>
  <si>
    <t>-----LGH--------------------LLSN----------------------------</t>
  </si>
  <si>
    <t>----------------------------------MYLKVT--------------------</t>
  </si>
  <si>
    <t>------------------M--PAL------------------------------------</t>
  </si>
  <si>
    <t>ALIK-----QVDLLVNETVIE-TLY-----------------------------------</t>
  </si>
  <si>
    <t>G-----------MFQAVGGSNINSQV----------------------------------</t>
  </si>
  <si>
    <t>-----------STDYIIP---L--------------------EFF---------------</t>
  </si>
  <si>
    <t>---------FCRRKTHNDHD----------------------------------------</t>
  </si>
  <si>
    <t>DDRLRRPYF-------PLCAM-----WNQRLYVRFTFQ----------------------</t>
  </si>
  <si>
    <t>-----PN------------TWWCNV-----------------------------------</t>
  </si>
  <si>
    <t>-----------------------AAPHTTD-------LVL--------------------</t>
  </si>
  <si>
    <t>---------VTEEI-------------------------LLEN-AEKLY-YTNTPL----</t>
  </si>
  <si>
    <t>-----KY--------------------I-------VNR--------------VKKESTL-</t>
  </si>
  <si>
    <t>-------------------------TFSAG------------------------------</t>
  </si>
  <si>
    <t>-NPQLQLTASFP----VQTLAWFFRNKNYED-----------------------------</t>
  </si>
  <si>
    <t>--------------------VSSGLYSDSRY-----------------------------</t>
  </si>
  <si>
    <t>------------------------------NYGYTTQYIQTGVQLNF-------------</t>
  </si>
  <si>
    <t>--P------------------------S--------------------------------</t>
  </si>
  <si>
    <t>--------------KI----------------------TLNNVD----------------</t>
  </si>
  <si>
    <t>----------------------ILSTF---------------------------------</t>
  </si>
  <si>
    <t>----QGS---LY-----------YTFKQP-LE--H-----GLSIP---------------</t>
  </si>
  <si>
    <t>--------------SKSIYSY-------------SFGLT-P-KE--YNQ-GG-----YL-</t>
  </si>
  <si>
    <t>-------------NFSKL-NSQ-TTT----------------------------------</t>
  </si>
  <si>
    <t>-----LTL-------------------------VFNPSYAT---------QISQG-----</t>
  </si>
  <si>
    <t>-------------------YNLYM--------FYYGYTLLEF------------------</t>
  </si>
  <si>
    <t>----------------QGGFA-----------------------------R---------</t>
  </si>
  <si>
    <t>----------------LP------------------YV----------------------</t>
  </si>
  <si>
    <t>VTRQ--------------------------------------------------------</t>
  </si>
  <si>
    <t>PAFV--PPEAPSGPV--EAPVVLQPVQL-SGFFTATSQNVITFYV---------------</t>
  </si>
  <si>
    <t>SSESYLWSFECQTDTEQNIQNY--------QGVIGAVLYPPDAGSLVTNSITGILDGFYY</t>
  </si>
  <si>
    <t>VTQGRLVYYIRGTVPMMFGPQWSVSGLKGLKSINVMTNNFVT----TPGTVKDSYAYDSY</t>
  </si>
  <si>
    <t>VTLTSEQVEDNTMDPVYGTVTVQQPPDQSRVIGANVM-YKSDYSSNL---SVVINSNIKT</t>
  </si>
  <si>
    <t>TGGA---PLRDLGQDVKGHQPIFQDTYKDLEK--------EGYNAGTT------------</t>
  </si>
  <si>
    <t>---------------------------------------------YSLYAV---------</t>
  </si>
  <si>
    <t>------------------G-PQE-----------------KYT-T---------------</t>
  </si>
  <si>
    <t>---------------GK-------------------------------------------</t>
  </si>
  <si>
    <t>YPQH--------------------------------------------------------</t>
  </si>
  <si>
    <t>------TNFVCYQR----------------------------------------------</t>
  </si>
  <si>
    <t>--------------------------------------------------------YV--</t>
  </si>
  <si>
    <t>----------------------------------------PIQGSKF-L-----------</t>
  </si>
  <si>
    <t>----------------------------------------ETITIE--------------</t>
  </si>
  <si>
    <t>-----------LKPK-E-------------------------------------------</t>
  </si>
  <si>
    <t>-----LGD--------------------LMCN----------------------------</t>
  </si>
  <si>
    <t>----------------------------------MYFTCQ--------------------</t>
  </si>
  <si>
    <t>------------------L--PT-------------------------------------</t>
  </si>
  <si>
    <t>-----------LTNSSNI------------------------------------------</t>
  </si>
  <si>
    <t>ALIA-----QCDFMINDTVVE-TVY-----------------------------------</t>
  </si>
  <si>
    <t>A-----------MFSAVNAGSTSSLSPTTT------------------------------</t>
  </si>
  <si>
    <t>-----------TTTICLP---L--------------------EYF---------------</t>
  </si>
  <si>
    <t>---------FCRRHSHLTKG----------------------------------------</t>
  </si>
  <si>
    <t>RERLRRPYF-------PLCAL-----YNQRIYIRIQFN----------------------</t>
  </si>
  <si>
    <t>-----PW------------PWISND------------WNPSAAVPSTTYK----------</t>
  </si>
  <si>
    <t>--------------------------EIIN------------------------------</t>
  </si>
  <si>
    <t>---------------------------PAL------------------------------</t>
  </si>
  <si>
    <t>---------ILEEI-------------------------KLTE-EEKLY-YKTKKL----</t>
  </si>
  <si>
    <t>-----RY--------------------V-------VNR---------LKKEGVQAFNSA-</t>
  </si>
  <si>
    <t>-TTQLQLTASFP----VQMLIWFIRNKKYET-----------------------------</t>
  </si>
  <si>
    <t>--------------------VTSSLYTDVRY-----------------------------</t>
  </si>
  <si>
    <t>------------------------------EYGFTTKYIQTAVSLPF-------------</t>
  </si>
  <si>
    <t>--------------KI----------------------VLNNMD----------------</t>
  </si>
  <si>
    <t>----------------------ITSTF---------------------------------</t>
  </si>
  <si>
    <t>----QGS---LY-----------YAFKQP-SE--H-----NLSIP---------------</t>
  </si>
  <si>
    <t>--------------AKNIYMY-------------SFGLN-P-KE--YNA-GG-----YI-</t>
  </si>
  <si>
    <t>-------------NFSKL-DSQ-TTT----------------------------------</t>
  </si>
  <si>
    <t>-----LKL-------------------------VFVQQYAT---------QVNQG-----</t>
  </si>
  <si>
    <t>-------------------YNLYL--------FYYGYTILEF------------------</t>
  </si>
  <si>
    <t>----------------ENGFA-----------------------------R---------</t>
  </si>
  <si>
    <t>----------------LP------------------FM----------------------</t>
  </si>
  <si>
    <t>-------MPTS-------------------------------------------------</t>
  </si>
  <si>
    <t>--------------------------------------------SGAA------------</t>
  </si>
  <si>
    <t>---------------------------------------------VSLHAI---------</t>
  </si>
  <si>
    <t>------------------G-KQE-----------------SYIHS---------------</t>
  </si>
  <si>
    <t>---------------EN-------------------------------------------</t>
  </si>
  <si>
    <t>---------L--------------------------------------------------</t>
  </si>
  <si>
    <t>PKTH--------------------------------------------------------</t>
  </si>
  <si>
    <t>------SHFTKFHR----------------------------------------------</t>
  </si>
  <si>
    <t>---------------TTVVNKSP-------------------------------------</t>
  </si>
  <si>
    <t>----------------------------------------TSPTWPF-------------</t>
  </si>
  <si>
    <t>----------------------------------------ERIKVT--------------</t>
  </si>
  <si>
    <t>-----------FNPQ-N-------------------------------------------</t>
  </si>
  <si>
    <t>-----MGD--------------------LLSN----------------------------</t>
  </si>
  <si>
    <t>----------------------------------MYIMIN--------------------</t>
  </si>
  <si>
    <t>-----------LTNDKN-------------------------------------------</t>
  </si>
  <si>
    <t>HLIK-----SVTMRVDEIEVE-KIF-----------------------------------</t>
  </si>
  <si>
    <t>ANR--------FILNRMLGFDTSSAQRAYASL----------------------------</t>
  </si>
  <si>
    <t>-----------DSEVIIP---L--------------------PFF---------------</t>
  </si>
  <si>
    <t>---------FSRKYSSDEYL----------------------------------------</t>
  </si>
  <si>
    <t>SNEPNRPFF-------PLCAV-----HKQKIEFEFEFH----------------------</t>
  </si>
  <si>
    <t>-----PQ------------NFFTNS-----------------------------------</t>
  </si>
  <si>
    <t>----------------------VDTIQLDN------------------------------</t>
  </si>
  <si>
    <t>---------------------------FKI------------------------------</t>
  </si>
  <si>
    <t>---------ITEEF-------------------------TIDP-VERLY-LKNKEY----</t>
  </si>
  <si>
    <t>-----TM-----------------ITDL-------VKK------HPT-----IETLPGV-</t>
  </si>
  <si>
    <t>-----------------------------------D------------------------</t>
  </si>
  <si>
    <t>TLKNLSFFTALTQRGVTTF-----SRVNF-SGAPVLNGTNTIDTVG--------------</t>
  </si>
  <si>
    <t>FTFE--------------Y-----------------------------------------</t>
  </si>
  <si>
    <t>FVSDTEDTFTQSYSITLDTSVFRVPDANFSDYHYLQNRFNFSKNPDFD------------</t>
  </si>
  <si>
    <t>---------------------------E--------------------------------</t>
  </si>
  <si>
    <t>--------------KF----------------------FIQGVD----------LPN---</t>
  </si>
  <si>
    <t>----------------------ISSTTD-------------G------------------</t>
  </si>
  <si>
    <t>-----------Y-----------YKYMVP-YQ--K-----RLSRP---------------</t>
  </si>
  <si>
    <t>--------------VRNIYTY-------------SFSIN-P-IN--VNP-SG-----SL-</t>
  </si>
  <si>
    <t>-------------DFSEI-QSE-KTK----------------------------------</t>
  </si>
  <si>
    <t>-----IELKLDPGL----------------------------------------------</t>
  </si>
  <si>
    <t>----------------TDVYTLYI--------YYTGYQTFKF------------------</t>
  </si>
  <si>
    <t>----------------DQGFM-----------------------------S---------</t>
  </si>
  <si>
    <t>----------------LV------------------Y-----------------------</t>
  </si>
  <si>
    <t>--------------------------------------------EAAK------------</t>
  </si>
  <si>
    <t>---------------------------------------------ISLKAI---------</t>
  </si>
  <si>
    <t>------------------G-KQD-----------------TYLLS---------------</t>
  </si>
  <si>
    <t>---------------KD---------------------------P---------------</t>
  </si>
  <si>
    <t>DKRH--------------------------------------------------------</t>
  </si>
  <si>
    <t>------SDFRKYHR------------N---------------------------------</t>
  </si>
  <si>
    <t>---------------KNIVRPGN-------------------------------------</t>
  </si>
  <si>
    <t>----------------------------------------ATVGWPF-------------</t>
  </si>
  <si>
    <t>----------------------------------------QTLKVE--------------</t>
  </si>
  <si>
    <t>-----------FHPR-N-------------------------------------------</t>
  </si>
  <si>
    <t>----------------------------------MWLSIT--------------------</t>
  </si>
  <si>
    <t>-----------LRNPTDG------------------------------------------</t>
  </si>
  <si>
    <t>HILK-----SVTMYVDDIEVE-KIH-----------------------------------</t>
  </si>
  <si>
    <t>ANR--------FLVNRNLGFDDAPLV----------------------------------</t>
  </si>
  <si>
    <t>-------------------------------------------GFQDEAQY---------</t>
  </si>
  <si>
    <t>-----------DADVVIP---I--------------------HFF---------------</t>
  </si>
  <si>
    <t>---------FSRKFASDEYD----------------------------------------</t>
  </si>
  <si>
    <t>TNKPNRPYF-------PVCSV-----YRQKIEFELEFH----------------------</t>
  </si>
  <si>
    <t>-----KA------------SFFTDR-----------------------------------</t>
  </si>
  <si>
    <t>------------------------------------------------DLV---------</t>
  </si>
  <si>
    <t>----------------------TNPIQLDS------------------------------</t>
  </si>
  <si>
    <t>---------------------------FNI------------------------------</t>
  </si>
  <si>
    <t>---------VTEEI-------------------------TVSP-EERNY-LMSQRQ----</t>
  </si>
  <si>
    <t>-----VF-----------------ITDL-------VRK------HPTI----VSDLGKD-</t>
  </si>
  <si>
    <t>---RNNLVPNIP----VKCIHWFLRNTIFENED---------------------------</t>
  </si>
  <si>
    <t>------------------------------------------ESIG--------------</t>
  </si>
  <si>
    <t>---------------DP-----------VP----------ATEGQR--------------</t>
  </si>
  <si>
    <t>-----------------LY-----------------------------------------</t>
  </si>
  <si>
    <t>--------------------QNRFNFSSA-------LDFQ--------------------</t>
  </si>
  <si>
    <t>------------------------------G-----------------------------</t>
  </si>
  <si>
    <t>--------------SF----------------------FINGNK----------LP----</t>
  </si>
  <si>
    <t>----------------------NVSKTD--------------------------------</t>
  </si>
  <si>
    <t>---------HSY-----------YKYLIP-FQ--K-----RLSRP---------------</t>
  </si>
  <si>
    <t>--------------IRNIYTY-------------SFSIN-P-VN--VEP-SG-----NL-</t>
  </si>
  <si>
    <t>-------------DFSAI-QSE-KTN----------------------------------</t>
  </si>
  <si>
    <t>-----IEVKMDTSV-----------------------IDIN-------------------</t>
  </si>
  <si>
    <t>----------------TETFSLHM--------YYTGYQTFVF------------------</t>
  </si>
  <si>
    <t>----------------DKGFM-----------------------------S---------</t>
  </si>
  <si>
    <t>----------------IA------------------Y-----------------------</t>
  </si>
  <si>
    <t>&gt;1704MEGAvirome_6-GSNBU_NODE_210_length_13502_cov_35.614977_5 [5530 - 5985]</t>
  </si>
  <si>
    <t>---------------------------------------------LQIISI---------</t>
  </si>
  <si>
    <t>------------------G-RQD-----------------TIL-I---------------</t>
  </si>
  <si>
    <t>YKKP--------------------------------------------------------</t>
  </si>
  <si>
    <t>------TLFSIEN-----------------------------------------------</t>
  </si>
  <si>
    <t>------------------------------------------HTKSI-------------</t>
  </si>
  <si>
    <t>---------------------------------------------EIT------------</t>
  </si>
  <si>
    <t>-------------------------------------NFNQTKNI---------------</t>
  </si>
  <si>
    <t>-----------IIPH---------------------------------------------</t>
  </si>
  <si>
    <t>-----------------------------Y------------------------------</t>
  </si>
  <si>
    <t>------GD--------------------LLKN----------------------------</t>
  </si>
  <si>
    <t>----------------------------------LNIKMN--------------------</t>
  </si>
  <si>
    <t>------------------L--PAV------------------------------------</t>
  </si>
  <si>
    <t>------------NFSYE-------------------------------------------</t>
  </si>
  <si>
    <t>----------------IP---I--------------------HT----------------</t>
  </si>
  <si>
    <t>-------------------------------------LIKDILH----------------</t>
  </si>
  <si>
    <t>-----------------------------SETYK--------------------------</t>
  </si>
  <si>
    <t>--------------------------------------------------FQMNCI----</t>
  </si>
  <si>
    <t>-----YY--------------------N-------INE----------------------</t>
  </si>
  <si>
    <t>--------------EL----------------------LL--------------------</t>
  </si>
  <si>
    <t>-----------------------YNNIKK-----------ISRLT----NNF--------</t>
  </si>
  <si>
    <t>--------------NE----Y-------------N-------------------------</t>
  </si>
  <si>
    <t>----------------KL-KKV--------------------------------------</t>
  </si>
  <si>
    <t>-----------PDG----------------------------------------------</t>
  </si>
  <si>
    <t>--------------------------------------IIFF------------------</t>
  </si>
  <si>
    <t>----------------KK------------------------------------------</t>
  </si>
  <si>
    <t>&gt;1705MEGAvirome_4-NODE_1799_length_3690_cov_10.280389_2 [3558 - 1858] (REVERSE SENSE)</t>
  </si>
  <si>
    <t>LYFLYVNMP---------------------------------------------------</t>
  </si>
  <si>
    <t>---------------------------------------------MNIQSF---------</t>
  </si>
  <si>
    <t>------------------G-NEN-----------------VYF-T---------------</t>
  </si>
  <si>
    <t>YKKY--------------------------------------------------------</t>
  </si>
  <si>
    <t>------TNFGMQKF----------------------------------------------</t>
  </si>
  <si>
    <t>---------------RIDFD----------------------------------------</t>
  </si>
  <si>
    <t>------------------------------------------GQRTL-------------</t>
  </si>
  <si>
    <t>-----------------------------------RLSEDSTFTF---------------</t>
  </si>
  <si>
    <t>-----------KFKR---------------------------------------------</t>
  </si>
  <si>
    <t>------AD--------------------LLMD----------------------------</t>
  </si>
  <si>
    <t>----------------------------------TYLVIN--------------------</t>
  </si>
  <si>
    <t>------------------L--PTIWS----------------------------------</t>
  </si>
  <si>
    <t>----------PIF-----------------------------------------------</t>
  </si>
  <si>
    <t>--------------------------------------------------------P---</t>
  </si>
  <si>
    <t>---------------------------------------PNCDNNPN-------------</t>
  </si>
  <si>
    <t>-------------------------------------------------WIEY-------</t>
  </si>
  <si>
    <t>QLIK-----NIKISAGGQLIG-NFT-----------------------------------</t>
  </si>
  <si>
    <t>L------------YYKMTGNIPELNDPANAYD------NIN-------------------</t>
  </si>
  <si>
    <t>---------QYPNAYY--------------------------------------------</t>
  </si>
  <si>
    <t>TNNAQG------------------------------------------------------</t>
  </si>
  <si>
    <t>----PDPSIR-NYKLYIP---I--------------------NAW---------------</t>
  </si>
  <si>
    <t>---------FSL------------------------------------------------</t>
  </si>
  <si>
    <t>---NSKMAF-------PLVSM-----QYNELIIDVTLR----------------------</t>
  </si>
  <si>
    <t>-----P---------------IQEIC-----------IIKDVS-----------------</t>
  </si>
  <si>
    <t>-----------------------------------------------DPE-YPA------</t>
  </si>
  <si>
    <t>-----------------------------YVQPNFN-DINHA-------F----------</t>
  </si>
  <si>
    <t>----------YRFLQPPP------------------------------------------</t>
  </si>
  <si>
    <t>------------------------SIELNSEDYE--------------------------</t>
  </si>
  <si>
    <t>------------------DKRTNWNADIHI------------------------------</t>
  </si>
  <si>
    <t>---------IANYA-------------------------FLSK-DEQYL-FATDPP----</t>
  </si>
  <si>
    <t>-----EY--------------------I-------IKQ--------------INEYKYY-</t>
  </si>
  <si>
    <t>-------------------------SIA--------------------------------</t>
  </si>
  <si>
    <t>-----------------------------------------------------GAKKI--</t>
  </si>
  <si>
    <t>---KIETY------GMVSNWMWYFQRNDAYMRN---------------------------</t>
  </si>
  <si>
    <t>-------------------------------------------------------EW---</t>
  </si>
  <si>
    <t>-----------------------SNYTN--------WPYD--------------------</t>
  </si>
  <si>
    <t>---------YLPYSLI--------------------EP-NSSTAI---------------</t>
  </si>
  <si>
    <t>---------LGGYDTGI---------------------------------TDCSNN----</t>
  </si>
  <si>
    <t>----------------------------------------YILPNIN-------------</t>
  </si>
  <si>
    <t>---LD-------------------------------------------------------</t>
  </si>
  <si>
    <t>--------------GI----------------------LIGGDY----------------</t>
  </si>
  <si>
    <t>----------------------RENVYD--------------------------------</t>
  </si>
  <si>
    <t>----AGI----------------YNYIEK-----------YTRTS----GNS--------</t>
  </si>
  <si>
    <t>--------------DNGLYCY-------------NFGIN-N-NIFELQP-SG-----AM-</t>
  </si>
  <si>
    <t>-------------NMSKY-NNV-EFE----------------------------------</t>
  </si>
  <si>
    <t>-----IYTLT-PIL-------------DP----SASFYVIC---------DPVTSTPI--</t>
  </si>
  <si>
    <t>YDY---T------------YDLVI--------YEEKYNILTF------------------</t>
  </si>
  <si>
    <t>----------------KSGHA-----------------------------G---------</t>
  </si>
  <si>
    <t>----------------LK------------------WA----------------------</t>
  </si>
  <si>
    <t>------IMP---------------------------------------------------</t>
  </si>
  <si>
    <t>---------------------------------------------MNLIAY---------</t>
  </si>
  <si>
    <t>------------------G-NQN-----------------IIL-N---------------</t>
  </si>
  <si>
    <t>YSKY--------------------------------------------------------</t>
  </si>
  <si>
    <t>------TNFGLQKF----------------------------------------------</t>
  </si>
  <si>
    <t>---------------RIDHQ----------------------------------------</t>
  </si>
  <si>
    <t>------------------------------------------GQKTL-------------</t>
  </si>
  <si>
    <t>-----------------------------------NMTQPSVFTF---------------</t>
  </si>
  <si>
    <t>-----------QVPR---------------------------------------------</t>
  </si>
  <si>
    <t>----------------------------------TYLVLN--------------------</t>
  </si>
  <si>
    <t>----------PVM-----------------------------------------------</t>
  </si>
  <si>
    <t>---------------------------------------PECGAPVNT------------</t>
  </si>
  <si>
    <t>---------------------------------------------VKHSWQPY-------</t>
  </si>
  <si>
    <t>QMIE-----RVRFTVGGHVIQ-EFT-----------------------------------</t>
  </si>
  <si>
    <t>L------------FYNMTGNVAELNDPANANG------RVN-------------------</t>
  </si>
  <si>
    <t>ESNTLG------------------------------------------------------</t>
  </si>
  <si>
    <t>----PEPSIR-GRKIYVP---L--------------------NIW---------------</t>
  </si>
  <si>
    <t>---AAKMAF-------PLVSL-----QYAELEIEITIR----------------------</t>
  </si>
  <si>
    <t>-----P---------------VRELF-----------VVRNVT-----------------</t>
  </si>
  <si>
    <t>-----------------------------------------------DETGFGY------</t>
  </si>
  <si>
    <t>-----------------------------YMRPDLS-RYEYA-------F----------</t>
  </si>
  <si>
    <t>----------HRFIHPPP------------------------------------------</t>
  </si>
  <si>
    <t>------------------------TIELEQDDYK--------------------------</t>
  </si>
  <si>
    <t>------------------DKRDKWNTDIHL------------------------------</t>
  </si>
  <si>
    <t>---------ISTYC-------------------------FLSD-DEVRV-FASNPQ----</t>
  </si>
  <si>
    <t>-----SY--------------------L-------IKQ--------------VYQTTFN-</t>
  </si>
  <si>
    <t>-------------------------NIV--------------------------------</t>
  </si>
  <si>
    <t>-----------------------------------------------------GSTRI--</t>
  </si>
  <si>
    <t>---DLKSI------GMVINWMWYLQRTDCYLRN---------------------------</t>
  </si>
  <si>
    <t>---------YLPYNLV--------------------EPYNEYT-----------------</t>
  </si>
  <si>
    <t>----------GTINTRP---------------------------------VICNET----</t>
  </si>
  <si>
    <t>----------------------------------------EIYPDKD-------------</t>
  </si>
  <si>
    <t>---LS-------------------------------------------------------</t>
  </si>
  <si>
    <t>--------------AL----------------------LLDGKY----------------</t>
  </si>
  <si>
    <t>----------------------RENELD--------------------------------</t>
  </si>
  <si>
    <t>----EGV----------------LRYVEK-----------YIRTK----GSG--------</t>
  </si>
  <si>
    <t>--------------DDNVYSY-------------NFCLN-T-DPFEFQP-NG-----AI-</t>
  </si>
  <si>
    <t>-------------NLSKF-NKV-EFE----------------------------------</t>
  </si>
  <si>
    <t>-----VKTYQ-PPL-------------DP----QAQFLTIC---------DPSGGEII--</t>
  </si>
  <si>
    <t>YDY---T------------YDLTV--------LEERYNVLEF------------------</t>
  </si>
  <si>
    <t>----------------TSGMA-----------------------------A---------</t>
  </si>
  <si>
    <t>----------------LK------------------FTR---------------------</t>
  </si>
  <si>
    <t>---------------------------------------------LNLVSQ---------</t>
  </si>
  <si>
    <t>------------------G-QQN-----------------IIL-N---------------</t>
  </si>
  <si>
    <t>YAKY--------------------------------------------------------</t>
  </si>
  <si>
    <t>---------------RVDFD----------------------------------------</t>
  </si>
  <si>
    <t>------------------------------------------GSRTL-------------</t>
  </si>
  <si>
    <t>-----------------------------------RLTEESTFTF---------------</t>
  </si>
  <si>
    <t>-----------KIPR---------------------------------------------</t>
  </si>
  <si>
    <t>----------------------------------CYISID--------------------</t>
  </si>
  <si>
    <t>------------------L--PSIWS----------------------------------</t>
  </si>
  <si>
    <t>---------------------------------------PQQNIPNE-------------</t>
  </si>
  <si>
    <t>----------------------------------------------NPDWVPY-------</t>
  </si>
  <si>
    <t>QMIK-----NVTITCGNQTLQ-EFS-----------------------------------</t>
  </si>
  <si>
    <t>L------------FDRMIGNVVDLTDPANAGG------RVN-------------------</t>
  </si>
  <si>
    <t>---------TYPNAYY--------------------------------------------</t>
  </si>
  <si>
    <t>SPSVPG------------------------------------------------------</t>
  </si>
  <si>
    <t>----PEPSIF-GRTLYIP---L--------------------NAW---------------</t>
  </si>
  <si>
    <t>---------FNL------------------------------------------------</t>
  </si>
  <si>
    <t>---KTQMAF-------PLVAL-----QYNELHITVTLR----------------------</t>
  </si>
  <si>
    <t>-----P---------------IYELF-----------TIRDVM-----------------</t>
  </si>
  <si>
    <t>-----------------------------------------------DPLNQYP------</t>
  </si>
  <si>
    <t>-----------------------------RVAPNFN-LYYMQ-------F----------</t>
  </si>
  <si>
    <t>------------------------DVCLGVNSYV--------------------------</t>
  </si>
  <si>
    <t>------------------DTRTLWNSDINL------------------------------</t>
  </si>
  <si>
    <t>---------NCTYC-------------------------FLSN-DEARL-FALNEQ----</t>
  </si>
  <si>
    <t>-----KY--------------------I-------FKQ--------------VRQTIFY-</t>
  </si>
  <si>
    <t>-------------------------NVT--------------------------------</t>
  </si>
  <si>
    <t>-----------------------------------------------------GPNKI--</t>
  </si>
  <si>
    <t>---QLDSL------GLVSSWMFFFQRSDANLRN---------------------------</t>
  </si>
  <si>
    <t>-------------------------------------------------------QW---</t>
  </si>
  <si>
    <t>-----------------------SNYTN--------YPYD--------------------</t>
  </si>
  <si>
    <t>--------GQVPFNVIP-------------------APVDGVFPI---------------</t>
  </si>
  <si>
    <t>----------QEFDS-------------------------------------CSS-----</t>
  </si>
  <si>
    <t>-----------------------------------------IGPGINIGTSG--------</t>
  </si>
  <si>
    <t>--PLS-------------------------------------------------------</t>
  </si>
  <si>
    <t>--------------GI----------------------LLDGQY----------------</t>
  </si>
  <si>
    <t>----------------------RENLQP--------------------------------</t>
  </si>
  <si>
    <t>----VGV----------------FNYIEK-----------YVRTA----SNA--------</t>
  </si>
  <si>
    <t>--------------PDGLYCY-------------NFCLT-T-DPFDLQP-SG-----AL-</t>
  </si>
  <si>
    <t>-------------NTNRF-NLV-EFE----------------------------------</t>
  </si>
  <si>
    <t>-----FTTIT-PAL-------------DP----FAQTLTIC---------NPETGNII--</t>
  </si>
  <si>
    <t>YDY---N------------FNMVL--------FEERINVVTF------------------</t>
  </si>
  <si>
    <t>----------------VGGNA-----------------------------G---------</t>
  </si>
  <si>
    <t>----------------LM------------------YAT---------------------</t>
  </si>
  <si>
    <t>---------------------------------------------LNLIAV---------</t>
  </si>
  <si>
    <t>------TNFGLQKY----------------------------------------------</t>
  </si>
  <si>
    <t>---------------RVDQQ----------------------------------------</t>
  </si>
  <si>
    <t>------------------------------------------GQTNI-------------</t>
  </si>
  <si>
    <t>-----------------------------------HLTQNTNVSF---------------</t>
  </si>
  <si>
    <t>-----------KMPR---------------------------------------------</t>
  </si>
  <si>
    <t>------GD--------------------LLLD----------------------------</t>
  </si>
  <si>
    <t>----------------------------------TYLVIK--------------------</t>
  </si>
  <si>
    <t>------------------L--PNIWS----------------------------------</t>
  </si>
  <si>
    <t>----------PVY-----------------------------------------------</t>
  </si>
  <si>
    <t>--------------------------------------------------------K---</t>
  </si>
  <si>
    <t>---------------------------------------HIENSIPE-------------</t>
  </si>
  <si>
    <t>-------------------------------------------------YRPY-------</t>
  </si>
  <si>
    <t>QLIE-----EVTFTIGGRTIQ-KFS-----------------------------------</t>
  </si>
  <si>
    <t>L------------FNIMTGNVSELNDPANYSN------RGN-------------------</t>
  </si>
  <si>
    <t>DANLDP------------------------------------------------------</t>
  </si>
  <si>
    <t>----IEPSIS-SHNLFIP---L--------------------NTW---------------</t>
  </si>
  <si>
    <t>---LTSMAL-------PLVCL-----QYAELEIHFTLK----------------------</t>
  </si>
  <si>
    <t>-----P---------------LQSLF-----------TIKDVLY----------------</t>
  </si>
  <si>
    <t>-------------------------------------------DLPYNNYNEIP------</t>
  </si>
  <si>
    <t>-----------------------------RIQAEQNKDRRYG-------F----------</t>
  </si>
  <si>
    <t>----------YRFIQQPPI-----------------------------------------</t>
  </si>
  <si>
    <t>-----------------------RDI-VEETVYE--------------------------</t>
  </si>
  <si>
    <t>------------------DQRTNINADIHL------------------------------</t>
  </si>
  <si>
    <t>---------ITTQC-------------------------FLDT-IERTL-FANNTQ----</t>
  </si>
  <si>
    <t>-----EY--------------------L-------IKE--------------VYEYKFE-</t>
  </si>
  <si>
    <t>-------------------------KVN--------------------------------</t>
  </si>
  <si>
    <t>-----------------------------------------------------KSNKI--</t>
  </si>
  <si>
    <t>---NLESN------GLISNWMWYNQRDDVYKRN---------------------------</t>
  </si>
  <si>
    <t>-----------------------SNYTN--------WPYE--------------------</t>
  </si>
  <si>
    <t>--------NILPNSLQKL-----------------TSTVSGNTPV---------------</t>
  </si>
  <si>
    <t>---------FYTTNN---------------------------------------------</t>
  </si>
  <si>
    <t>-----------------------------------------IYQTND-------------</t>
  </si>
  <si>
    <t>--------------AI----------------------IMDGKY----------------</t>
  </si>
  <si>
    <t>----------------------RENSLP--------------------------------</t>
  </si>
  <si>
    <t>----MGV----------------YDKIEK-----------YNKTQ----GNS--------</t>
  </si>
  <si>
    <t>--------------CDGLYHY-------------NFSLS-T-DQRKYQP-SG-----AF-</t>
  </si>
  <si>
    <t>-------------NTNKF-KNI-EFE----------------------------------</t>
  </si>
  <si>
    <t>-----FNNHSNPPL-------------DLS---NVTFTTIC---------DPETGDVI--</t>
  </si>
  <si>
    <t>YTY---N------------YNLTV--------MEERFNILRF------------------</t>
  </si>
  <si>
    <t>----------------QSGTA-----------------------------D---------</t>
  </si>
  <si>
    <t>----------------LI------------------YSR---------------------</t>
  </si>
  <si>
    <t>------------------------------------------------S-----------</t>
  </si>
  <si>
    <t>ICF-YFNMA---------------------------------------------------</t>
  </si>
  <si>
    <t>---------------------------------------------LNLVSI---------</t>
  </si>
  <si>
    <t>------------------G-QEN-----------------IIL-Y---------------</t>
  </si>
  <si>
    <t>FKRI--------------------------------------------------------</t>
  </si>
  <si>
    <t>---------------RIDYQ----------------------------------------</t>
  </si>
  <si>
    <t>------------------------------------------GSRML-------------</t>
  </si>
  <si>
    <t>-----------------------------------RMDSETKMTF---------------</t>
  </si>
  <si>
    <t>------AD--------------------LLYD----------------------------</t>
  </si>
  <si>
    <t>----------------------------------SYLVIN--------------------</t>
  </si>
  <si>
    <t>------------------L--PDIWS----------------------------------</t>
  </si>
  <si>
    <t>----------PLY-----------------------------------------------</t>
  </si>
  <si>
    <t>--------------------------------------------------------D---</t>
  </si>
  <si>
    <t>---------------------------------------GG-------------------</t>
  </si>
  <si>
    <t>----------------------------------------------EEGWIEY-------</t>
  </si>
  <si>
    <t>NLLK-----EIEIEAGGHILS-RYT-----------------------------------</t>
  </si>
  <si>
    <t>L------------WNRMTGNVPELNDPANAQG------RVN-------------------</t>
  </si>
  <si>
    <t>NSNV--------------------------------------------------------</t>
  </si>
  <si>
    <t>-----RPSIR-GRKLYIP---I--------------------DAW---------------</t>
  </si>
  <si>
    <t>---------FGR------------------------------------------------</t>
  </si>
  <si>
    <t>---LSKMAF-------PLISL-----QYQELHFNITLR----------------------</t>
  </si>
  <si>
    <t>-----S---------------IRELY-----------TIRDVT-----------------</t>
  </si>
  <si>
    <t>-----------------------------------------------DSTNDYP------</t>
  </si>
  <si>
    <t>-----------------------------YIAPNIN-ESEFQ-------F----------</t>
  </si>
  <si>
    <t>----------WRFLNPPV------------------------------------------</t>
  </si>
  <si>
    <t>------------------------D---NNQNTN--------------------------</t>
  </si>
  <si>
    <t>------------------TTNEKWNADIHI------------------------------</t>
  </si>
  <si>
    <t>---------MSTYI-------------------------FLSN-EERAV-FAKKPQ----</t>
  </si>
  <si>
    <t>-----SY--------------------L-------IKD--------------VYTWELP-</t>
  </si>
  <si>
    <t>-------------------------NVA--------------------------------</t>
  </si>
  <si>
    <t>-----------------------------------------------------GSKTV--</t>
  </si>
  <si>
    <t>---DIDSR------GLISGYMFRFRRSDAYLRN---------------------------</t>
  </si>
  <si>
    <t>-------------------------------------------------------TW---</t>
  </si>
  <si>
    <t>-----------------------SNYSN--------WPYN--------------------</t>
  </si>
  <si>
    <t>---------NLPYQVT--------------------------------------------</t>
  </si>
  <si>
    <t>---------------------------------------------TN-GSPD--------</t>
  </si>
  <si>
    <t>--PL--------------------------------------------------------</t>
  </si>
  <si>
    <t>--------------GL----------------------LLDGKY----------------</t>
  </si>
  <si>
    <t>----------------------REDMID--------------------------------</t>
  </si>
  <si>
    <t>----GGI----------------YNYVEK-----------YNNTP----GGA--------</t>
  </si>
  <si>
    <t>--------------KDGLYIY-------------SFALN-S-DNWNEQP-SG-----AM-</t>
  </si>
  <si>
    <t>-------------NMDKF-EKV-QFQ----------------------------------</t>
  </si>
  <si>
    <t>-----FNTIE-PPS-------------NPD--LSNSYVNLC---------DPD-GNII--</t>
  </si>
  <si>
    <t>NDY---N------------FDLTI--------FEERYNVVYF------------------</t>
  </si>
  <si>
    <t>----------------ESGMV-----------------------------G---------</t>
  </si>
  <si>
    <t>----------------LK------------------YAR---------------------</t>
  </si>
  <si>
    <t>IYYNLSKMP---------------------------------------------------</t>
  </si>
  <si>
    <t>---------------------------------------------MNIIAY---------</t>
  </si>
  <si>
    <t>------------------G-NLN-----------------VIL-N---------------</t>
  </si>
  <si>
    <t>---------------RIEHE----------------------------------------</t>
  </si>
  <si>
    <t>------------------------------------------GLRQL-------------</t>
  </si>
  <si>
    <t>-----------------------------------DPTKETHYTF---------------</t>
  </si>
  <si>
    <t>------GD--------------------LLMD----------------------------</t>
  </si>
  <si>
    <t>----------------------------------TYLAIK--------------------</t>
  </si>
  <si>
    <t>---------------------------------------RTAIVEENGE-----------</t>
  </si>
  <si>
    <t>-------------------------------------------QIEKFTYIPY-------</t>
  </si>
  <si>
    <t>QMIK-----EIRVRCGNTTLQ-QYS-----------------------------------</t>
  </si>
  <si>
    <t>V------------FNEMTGNTPLLNNPTLPYT------KVNPALNAG-------------</t>
  </si>
  <si>
    <t>SLQGGG------------------------------------------------------</t>
  </si>
  <si>
    <t>----PEPSIR-GRYLYIP---L--------------------NAW---------------</t>
  </si>
  <si>
    <t>---NSEQPF-------PMVAS-----QYSELFIDITLR----------------------</t>
  </si>
  <si>
    <t>-----P---------------LKDLF-----------VIRDVSNYYNGSQDN-LSYTA--</t>
  </si>
  <si>
    <t>YDNVLNEETEEFIKNPNGNNENTTITKMINKTFLNGGIISEEIINYNKITMVINYKINFV</t>
  </si>
  <si>
    <t>YNYKANYENIQEVLKEFTTES-MRDFIRIDKYTTNIG-G---INQYEEIVKKFENMLSVQ</t>
  </si>
  <si>
    <t>VTFYNVEGNNLLSMDENFYNINEDGTIEFINKITTYNYINNVNINSKNIITRSRNIRIAG</t>
  </si>
  <si>
    <t>RNVNIGMIGENNKTETFNPPIINSSIEYYNIHEDKANNIRDNNNMSVSFLNDYP------</t>
  </si>
  <si>
    <t>-----------------------------HIAPNFN-LSEHA-------L----------</t>
  </si>
  <si>
    <t>----------YRFLHPPP------------------------------------------</t>
  </si>
  <si>
    <t>-----------------------------NTNYDY-------------------------</t>
  </si>
  <si>
    <t>---------------TNADKRIDFNSDIHL------------------------------</t>
  </si>
  <si>
    <t>---------VSTYG-------------------------FLSE-EENRQ-LSQYEQ----</t>
  </si>
  <si>
    <t>-----SY--------------------L-------IKD--------------VREYTIQ-</t>
  </si>
  <si>
    <t>-------------------------DIV--------------------------------</t>
  </si>
  <si>
    <t>-----------------------------------------------------GTQKV--</t>
  </si>
  <si>
    <t>---ELEST------GLINNWTFFMRRSDVDIRN---------------------------</t>
  </si>
  <si>
    <t>-----------------------NNYTN--------WRYK--------------------</t>
  </si>
  <si>
    <t>---------YLKPQLILN-----------------SQTINNLYIQ---------------</t>
  </si>
  <si>
    <t>---------EGQLYD-P---------------------------------AIIGTN----</t>
  </si>
  <si>
    <t>----------------------------------------VFYNDGNLFLNDP--NFI--</t>
  </si>
  <si>
    <t>RPPLD-------------------------------------------------------</t>
  </si>
  <si>
    <t>--------------EI----------------------LLDGKI----------------</t>
  </si>
  <si>
    <t>----------------------RESKFD--------------------------------</t>
  </si>
  <si>
    <t>----IGV----------------FQYIEP-----------FMRTS----GGY--------</t>
  </si>
  <si>
    <t>--------------EEGLHVY-------------NFGLK-T-NPYSLQP-NG-----AI-</t>
  </si>
  <si>
    <t>-------------NLSKF-SKI-ELE----------------------------------</t>
  </si>
  <si>
    <t>-----IETEL-PPL-------------DP----DAEFNVVCANVDGTNTTNNNGNQII--</t>
  </si>
  <si>
    <t>YKY---T------------YDMRV--------FEEKYNVVTF------------------</t>
  </si>
  <si>
    <t>----------------VAGHC-----------------------------G---------</t>
  </si>
  <si>
    <t>----------------LM------------------TAR---------------------</t>
  </si>
  <si>
    <t>---------------------------------------------LNLVSY---------</t>
  </si>
  <si>
    <t>------------------G-NLN-----------------IFI-T---------------</t>
  </si>
  <si>
    <t>------TNFGLQKH----------------------------------------------</t>
  </si>
  <si>
    <t>---------------IITCNV---------------------------------------</t>
  </si>
  <si>
    <t>------------------------------------------TNRSL-------------</t>
  </si>
  <si>
    <t>-----------------------------------RENELSRFEY---------------</t>
  </si>
  <si>
    <t>-----------TIPR---------------------------------------------</t>
  </si>
  <si>
    <t>-----------------------------W------------------------------</t>
  </si>
  <si>
    <t>----------------------------------TFFVIN--------------------</t>
  </si>
  <si>
    <t>------------------M--PYIWS----------------------------------</t>
  </si>
  <si>
    <t>----------PVWV----------------------------------------------</t>
  </si>
  <si>
    <t>-------------------------------------------------------EP---</t>
  </si>
  <si>
    <t>---------------------------------------SDRNITPGGCGTIRHPGCYK-</t>
  </si>
  <si>
    <t>----------------------------SQFAIPHKL-----GSAQIPYCQPY-------</t>
  </si>
  <si>
    <t>QLIK-----NITVSIGSTIIQ-EFT-----------------------------------</t>
  </si>
  <si>
    <t>I------------FDRMTGNIVDMNNPGFSGL------RKG-------------------</t>
  </si>
  <si>
    <t>GSNL--------------------------------------------------------</t>
  </si>
  <si>
    <t>-----TPSID-RRLLTIP---L--------------------NLW---------------</t>
  </si>
  <si>
    <t>---------YML------------------------------------------------</t>
  </si>
  <si>
    <t>---SNSQSF-------PLVSM-----TQNALKITIECR----------------------</t>
  </si>
  <si>
    <t>-----P---------------IRELF-----------VVRDIRQFIN-------------</t>
  </si>
  <si>
    <t>-----NYYSHSFAK---GN-----------------------------------------</t>
  </si>
  <si>
    <t>--------------------------------TTSTGTG---VSIYTDLSK---------</t>
  </si>
  <si>
    <t>----------------NYYK-------KFL------------------------------</t>
  </si>
  <si>
    <t>D---------------------------TNVSGKLY-YSQFN-------I----------</t>
  </si>
  <si>
    <t>----------FRPYVPPPF-----------------------------------------</t>
  </si>
  <si>
    <t>----------------------ISTIYTKDPLYQMYMFTTQQAAT--NQAFVQQAGL---</t>
  </si>
  <si>
    <t>------QTQLSADIASNFRSRGVWTANPRL------------------------------</t>
  </si>
  <si>
    <t>---------CSTYV-------------------------YLEE-DEQRV-FRSRPQ----</t>
  </si>
  <si>
    <t>-----SY--------------------L-------IKQ--------------IQTILFE-</t>
  </si>
  <si>
    <t>-------------------------KVNH-------------------------------</t>
  </si>
  <si>
    <t>----------------------------------------------------KAYAKD--</t>
  </si>
  <si>
    <t>---RFNSN------NIVSNWTWFLQRSDVDLRN---------------------------</t>
  </si>
  <si>
    <t>-----------------------SNYSN--------WEYN--------------------</t>
  </si>
  <si>
    <t>FSVKPHMFEITTANTLPSNFSLAAKY--------------SVDFSYGFQGVICYSAGFSG</t>
  </si>
  <si>
    <t>L-----------------------AP-------------GAIYVGPGMMRNPP--YF---</t>
  </si>
  <si>
    <t>--PFSW------------------------------------------------------</t>
  </si>
  <si>
    <t>--------------AL----------------------SLDGKL----------------</t>
  </si>
  <si>
    <t>----------------------REENFE--------------------------------</t>
  </si>
  <si>
    <t>----SLY----------------FNTVEQ-----------LLRNN----GGW--------</t>
  </si>
  <si>
    <t>--------------KEGLYSY-------------NFSLN-G-SPYEIEP-NG-----AM-</t>
  </si>
  <si>
    <t>-------------NLIHY-RDI-DFE----------------------------------</t>
  </si>
  <si>
    <t>-----YETF--PLLE----------IKDPS---RVAIIPIC---------DSS-GNSY--</t>
  </si>
  <si>
    <t>YDY---T------------FNMKI--------FEEHYNILTI------------------</t>
  </si>
  <si>
    <t>----------------ENGLA-----------------------------S---------</t>
  </si>
  <si>
    <t>----------------LE------------------FHSYR-------------------</t>
  </si>
  <si>
    <t>---------------------------------------------LNLISE---------</t>
  </si>
  <si>
    <t>------------------G-KES-----------------IIL-V---------------</t>
  </si>
  <si>
    <t>YMSH--------------------------------------------------------</t>
  </si>
  <si>
    <t>------TNFGQQKF----------------------------------------------</t>
  </si>
  <si>
    <t>---------------KINFE----------------------------------------</t>
  </si>
  <si>
    <t>------------------------------------------GDKQL-------------</t>
  </si>
  <si>
    <t>-----------------------------------NYNSPTIYQF---------------</t>
  </si>
  <si>
    <t>------GD--------------------LLNQ----------------------------</t>
  </si>
  <si>
    <t>----------------------------------LYFSFT--------------------</t>
  </si>
  <si>
    <t>----------PILSFGGV------------------------------------------</t>
  </si>
  <si>
    <t>------------------------------PAM---------------------------</t>
  </si>
  <si>
    <t>-----------------------FCSACRTQISS--------------------------</t>
  </si>
  <si>
    <t>---------------------------------------LDTHTIRSGEVYSTFVND---</t>
  </si>
  <si>
    <t>----------------------------T----PTKG-----GMKWVNRVFPF-------</t>
  </si>
  <si>
    <t>QIIR-----SVKVYSNNTIIQ-EFT-----------------------------------</t>
  </si>
  <si>
    <t>L------------FNRMIGNTADLNDPKYYKN------RNG-------------------</t>
  </si>
  <si>
    <t>---------NYPNAAY-------------------------FGSMYDKMPY---------</t>
  </si>
  <si>
    <t>-----G------------------------------------------------------</t>
  </si>
  <si>
    <t>----LEPSIR-GKKLYVP---I--------------------NLW---------------</t>
  </si>
  <si>
    <t>---------STM------------------------------------------------</t>
  </si>
  <si>
    <t>---NNKTAI-------PLIAM-----QYSELKVEVELR----------------------</t>
  </si>
  <si>
    <t>-----P---------------VNEWW-----------VVKNIINRFS-------------</t>
  </si>
  <si>
    <t>--------------------------LAIQESKQIIGVQ---LDIYEDSNRI--------</t>
  </si>
  <si>
    <t>-------------------------TVKDLSNI---------------------------</t>
  </si>
  <si>
    <t>DSVFNQISTNKIGVNMDDIITLFAAIPNLYTSPRPNEFSIYN-------L----------</t>
  </si>
  <si>
    <t>----------KYFLKAPP------------------------------------------</t>
  </si>
  <si>
    <t>PVNINETIERYYD-----EVLEPWFADIHL------------------------------</t>
  </si>
  <si>
    <t>---------IGNYT-------------------------FLTE-DERNS-FANQCQ----</t>
  </si>
  <si>
    <t>-----SY--------------------L-------IKE--------------VHEQDIY-</t>
  </si>
  <si>
    <t>-------------------------DLL--------------------------------</t>
  </si>
  <si>
    <t>----------------------------------------------------GGDHYI--</t>
  </si>
  <si>
    <t>---PIQTQ------GLVITWMWYYQRSDVDLRN---------------------------</t>
  </si>
  <si>
    <t>-----------------------SNYTN--------TSYK--------------------</t>
  </si>
  <si>
    <t>------------------------------------NGIN--------------------</t>
  </si>
  <si>
    <t>---------QGALNT------------------------------IGVANAECKIQ----</t>
  </si>
  <si>
    <t>-LPLK-------------------------------------------------------</t>
  </si>
  <si>
    <t>--------------GL----------------------FFNSTV----------------</t>
  </si>
  <si>
    <t>----------------------RELQLD--------------------------------</t>
  </si>
  <si>
    <t>----NGI----------------LAWVDL-----------YSRGE----GAG--------</t>
  </si>
  <si>
    <t>--------------IEGTYYY-------------NFCLN-S-SPFIYQP-SG-----AV-</t>
  </si>
  <si>
    <t>-------------NLSAF-NSI-NWK----------------------------------</t>
  </si>
  <si>
    <t>-----FKLN--PSGRKASLPKKLEVLWEQS---LITGSVTC---------DPISNDPV--</t>
  </si>
  <si>
    <t>FLW---T------------YTLHI--------MEERYNILTI------------------</t>
  </si>
  <si>
    <t>----------------KNGVA-----------------------------S---------</t>
  </si>
  <si>
    <t>----------------LA------------------LTRTI-------------------</t>
  </si>
  <si>
    <t>----VLTMS---------------------------------------------------</t>
  </si>
  <si>
    <t>--------------------------------------------AAGV------------</t>
  </si>
  <si>
    <t>---------------------------------------------FNLQTN---------</t>
  </si>
  <si>
    <t>--------D---------G-KAD---------R-------IILALDY--LKKRLSDI---</t>
  </si>
  <si>
    <t>-------TCYRKAQ-GMKD-----------------------IMPT-LR-----------</t>
  </si>
  <si>
    <t>FKPF--------------------------------------------------------</t>
  </si>
  <si>
    <t>------VACAQEYM----------------------------------------------</t>
  </si>
  <si>
    <t>---------------KVRPSS---------------------------------------</t>
  </si>
  <si>
    <t>------------------------------------------GTPSL-------------</t>
  </si>
  <si>
    <t>----------------------------------------NTIQF---------------</t>
  </si>
  <si>
    <t>-----------QIPQ---------------------------------------------</t>
  </si>
  <si>
    <t>-----------------------------F------------------------------</t>
  </si>
  <si>
    <t>------GD--------------------FFHD----------------------------</t>
  </si>
  <si>
    <t>----------------------------------IVMRAT--------------------</t>
  </si>
  <si>
    <t>-----------VNSSVQT------------------------------------------</t>
  </si>
  <si>
    <t>-----------------------------VPTQ---------------------------</t>
  </si>
  <si>
    <t>-------------------------ATANNALTSSQIPGS--------------------</t>
  </si>
  <si>
    <t>----------------------------------------T---AAGA------------</t>
  </si>
  <si>
    <t>--------------------------------------------------EGYDWDN---</t>
  </si>
  <si>
    <t>TYSLV---------------DAFGNAVSVTDGDNTY------------------------</t>
  </si>
  <si>
    <t>RLAQ-----EVKFDVNGNPLD-SYE-----------------------------------</t>
  </si>
  <si>
    <t>G------------YKRLVGQETELTGYSGPHRGQVHDNEVSTSAHL--------------</t>
  </si>
  <si>
    <t>KHQNNPGAAHSTTGADFMAANFPDEAWSCSTAAGAALGGVTQSATVGYQDVYRQSLRAVD</t>
  </si>
  <si>
    <t>GLQTPKYQQP-EHDLWCK---F--------------------KFW---------------</t>
  </si>
  <si>
    <t>---RVDNSI-------VSASI-----PSGQRYITVKLA----------------------</t>
  </si>
  <si>
    <t>-----T---------------QAQL------------VVEEPS-----------------</t>
  </si>
  <si>
    <t>-----------------------------LYIKRVI------------------------</t>
  </si>
  <si>
    <t>-------------------------------------DSGVVTGSAVNK--RTVE-----</t>
  </si>
  <si>
    <t>-------------------------------------------------Y----------</t>
  </si>
  <si>
    <t>------------RPFVRAGTL--STITLTQ------------------------------</t>
  </si>
  <si>
    <t>---------YINNL-------------------------FVVP-EVHDI-YISRIG----</t>
  </si>
  <si>
    <t>-----FT--------------------L-------IRV--------------YRQHTV--</t>
  </si>
  <si>
    <t>----------------------------------TVNTAGSDEK----------------</t>
  </si>
  <si>
    <t>---QLSQL-KWP----VEYMFVGLRPTWNIS-----------------------------</t>
  </si>
  <si>
    <t>-----------------------------------------------ASNNTMYRDW---</t>
  </si>
  <si>
    <t>-----------------------HRMCKVVDVESQEWANQ--------------------</t>
  </si>
  <si>
    <t>------------------------------SSVADGYKANVSAT----------------</t>
  </si>
  <si>
    <t>VVPVRY------------------------------------------------------</t>
  </si>
  <si>
    <t>--------------SL----------------------SAHGIK----------IFD---</t>
  </si>
  <si>
    <t>----------------------EFSER---------------------------------</t>
  </si>
  <si>
    <t>-----------F-----------FSAYTP-LA--F--GGPNVITP-----DD--------</t>
  </si>
  <si>
    <t>---------------QGVMMF-------------NFACY-P--G-VYQP-SG-----HI-</t>
  </si>
  <si>
    <t>-------------NVSRA-REF--------------------------------------</t>
  </si>
  <si>
    <t>----YLKWNS---------------------------SYTS---------STSS------</t>
  </si>
  <si>
    <t>-------------------SDLIV--------LATTINFLLV------------------</t>
  </si>
  <si>
    <t>----------------AKGSC---------------------------------------</t>
  </si>
  <si>
    <t>---------------VLR------------------FST---------------------</t>
  </si>
  <si>
    <t>--------------------------------------------SGGA------------</t>
  </si>
  <si>
    <t>---------------------------------------------FCLIAN---------</t>
  </si>
  <si>
    <t>--------D---------G-KAD---------K-------IILAQDL--LNSRISNI---</t>
  </si>
  <si>
    <t>-------KNVNKSY-GKPD-----------------------PEPT-LS-----------</t>
  </si>
  <si>
    <t>FKPY--------------------------------------------------------</t>
  </si>
  <si>
    <t>------VPVGFEYN----------------------------------------------</t>
  </si>
  <si>
    <t>---------------KVRPHT---------------------------------------</t>
  </si>
  <si>
    <t>------------------------------------------GTPTL-------------</t>
  </si>
  <si>
    <t>----------------------------------------NKLTF---------------</t>
  </si>
  <si>
    <t>-----------GIPQ---------------------------------------------</t>
  </si>
  <si>
    <t>----------------------------------MVGHHI--------------------</t>
  </si>
  <si>
    <t>------------------L--GA-------------------------------------</t>
  </si>
  <si>
    <t>-----------CHSSWQD------------------------------------------</t>
  </si>
  <si>
    <t>-----------------------------APIQ---------------------------</t>
  </si>
  <si>
    <t>-------------------------GTAQ-------------------------------</t>
  </si>
  <si>
    <t>---------------------------------------------MGAHGQ---------</t>
  </si>
  <si>
    <t>--------------------------------------------LQTFPRNGYDWDN---</t>
  </si>
  <si>
    <t>-----------------------------------------------QTPLEGA------</t>
  </si>
  <si>
    <t>VYTLV---------------DPFGRPI-VPGTKNA-------------------------</t>
  </si>
  <si>
    <t>RLYE-----NVRFDVNGNSLD-EYS-----------------------------------</t>
  </si>
  <si>
    <t>G------------YKHLVGQEVSVEGTSGPLLCNIHDLH---KPHQ--------------</t>
  </si>
  <si>
    <t>CSHTNP---------KFLSQHFPENSHNIQTAGKQDITPITDAT---YLDIRRNVHYSCN</t>
  </si>
  <si>
    <t>GPQTPKYYQP-PLALWIK---L--------------------RFW---------------</t>
  </si>
  <si>
    <t>---NVNLAI-------PSVSI-----PFGERFITIKLA----------------------</t>
  </si>
  <si>
    <t>-----S---------------QKDL------------VNEFPG-----------------</t>
  </si>
  <si>
    <t>-----------------------------LFIRQ--------------------------</t>
  </si>
  <si>
    <t>--------------------------------------SRFIPGRP-SR--RNIR-----</t>
  </si>
  <si>
    <t>-------------------------------------------------F----------</t>
  </si>
  <si>
    <t>------------KPWFIPGVI--NEISLTN------------------------------</t>
  </si>
  <si>
    <t>---------------------------NEL------------------------------</t>
  </si>
  <si>
    <t>---------YINNL-------------------------FVTP-EIHNL-FVKRVR----</t>
  </si>
  <si>
    <t>-----FS--------------------L-------IRV--------------HKTQVT--</t>
  </si>
  <si>
    <t>----------------------------------HTNNNHHDEK----------------</t>
  </si>
  <si>
    <t>---LMSAL-KWP----IEYMFIGLKPTWNIS-----------------------------</t>
  </si>
  <si>
    <t>-----------------------------------------------DQNPHQHRDW---</t>
  </si>
  <si>
    <t>-----------------------HKFGHVVNAIMQ-------------------------</t>
  </si>
  <si>
    <t>----------------------------------PTHHAEISF-----------------</t>
  </si>
  <si>
    <t>----------QDRDTALPDACSSI------------------------------S-----</t>
  </si>
  <si>
    <t>ISPVTY------------------------------------------------------</t>
  </si>
  <si>
    <t>--------------SV----------------------TAHGIN----------LID---</t>
  </si>
  <si>
    <t>----------------------KFPSK---------------------------------</t>
  </si>
  <si>
    <t>-----------F-----------CSSYIP-FH--Y--GGNAIKTP-----DD--------</t>
  </si>
  <si>
    <t>---------------PGAMMI-------------TFALK-P-RE-EYQP-SG-----HI-</t>
  </si>
  <si>
    <t>----YISWDT---------------------------DYVG---------SITT------</t>
  </si>
  <si>
    <t>-------------------ADLVV--------SASAINFLLL------------------</t>
  </si>
  <si>
    <t>----------------QNGSA---------------------------------------</t>
  </si>
  <si>
    <t>---------------VLR------------------YST---------------------</t>
  </si>
  <si>
    <t>--------------------------------------------AGGV------------</t>
  </si>
  <si>
    <t>---------------------------------------------FKLIAN---------</t>
  </si>
  <si>
    <t>--------D---------G-KAD---------R-------MIMATEL--LNSRIKDI---</t>
  </si>
  <si>
    <t>-------MCMRAKQ-GFPD-----------------------PTPT-LV-----------</t>
  </si>
  <si>
    <t>------AAIGYEYN----------------------------------------------</t>
  </si>
  <si>
    <t>---------------KVRANT---------------------------------------</t>
  </si>
  <si>
    <t>------------------------------------------GTPQF-------------</t>
  </si>
  <si>
    <t>----------------------------------------GSVQF---------------</t>
  </si>
  <si>
    <t>-----------SIPQ---------------------------------------------</t>
  </si>
  <si>
    <t>------GD--------------------FFND----------------------------</t>
  </si>
  <si>
    <t>----------------------------------MVVHVQ--------------------</t>
  </si>
  <si>
    <t>------------------L--AA-------------------------------------</t>
  </si>
  <si>
    <t>-----------TSATAGT------------------------------------------</t>
  </si>
  <si>
    <t>-----------------------------VPALPA-------------------------</t>
  </si>
  <si>
    <t>-----------------------YIGTSNQAVSSTSKVSA--------------------</t>
  </si>
  <si>
    <t>----------------------------------------TVDETSGVY-----------</t>
  </si>
  <si>
    <t>--------------------------------------------------TKY-------</t>
  </si>
  <si>
    <t>THEYV---------------DLAGTVKAVGAA----------------------------</t>
  </si>
  <si>
    <t>RLFK-----KVKFEVNGNPLD-EYT-----------------------------------</t>
  </si>
  <si>
    <t>G------------WMRLVGQEVPVDAYSSL-------VSVSGASNF--------------</t>
  </si>
  <si>
    <t>GAPTNA--------------------------------SVT----------ARKVARVVS</t>
  </si>
  <si>
    <t>GAQTPKATQP-ALDLWVP---L--------------------IFW---------------</t>
  </si>
  <si>
    <t>---DPRLSI-------ASVSI-----PYGQRFITIDIE----------------------</t>
  </si>
  <si>
    <t>-----Q---------------QSNV------------LFTAPGN----------------</t>
  </si>
  <si>
    <t>-----------------------------LFLKLTVEQQ---------------------</t>
  </si>
  <si>
    <t>--------------------------------TSAGTGKGTAAAQAVADVKKWVT-----</t>
  </si>
  <si>
    <t>------------TPVLATGSTIDTTQQISL------------------------------</t>
  </si>
  <si>
    <t>---------------------------MEL------------------------------</t>
  </si>
  <si>
    <t>---------YINNI-------------------------FVNP-EIHDI-YIKRIG----</t>
  </si>
  <si>
    <t>-----FS--------------------L-------IRV--------------HRFQST--</t>
  </si>
  <si>
    <t>----------------------------------RTAVS-SDNI----------------</t>
  </si>
  <si>
    <t>---LLSQL-KWP----IETMCVGLRPAVNIS-----------------------------</t>
  </si>
  <si>
    <t>-----------------------------------------------ASNTNQYRDW---</t>
  </si>
  <si>
    <t>-----------------------HRLTLLTDNVIE-------------------------</t>
  </si>
  <si>
    <t>--------------------------------TASKSHSDVMI-----------------</t>
  </si>
  <si>
    <t>--------------QL----------------------QAHGIN----------IFS---</t>
  </si>
  <si>
    <t>----------------------TFAAQ---------------------------------</t>
  </si>
  <si>
    <t>-----------F-----------FRDYMS-YT--F--GGANVITP-----ED--------</t>
  </si>
  <si>
    <t>---------------LGAYML-------------NFCLY-P--G-TYQP-SG-----HI-</t>
  </si>
  <si>
    <t>----YLQFAS---------------------------SYCT---------SSTP------</t>
  </si>
  <si>
    <t>MLDKQCK--FDHYIKPSRGLY-----------------------------NVY-------</t>
  </si>
  <si>
    <t>---------------NLL------------------VSSATA------------------</t>
  </si>
  <si>
    <t>--------D---------G-KAD---------R-------MIMANDL--LNDRIKSI---</t>
  </si>
  <si>
    <t>-------MCLRAKQ-GFSD-----------------------PTPT-LV-----------</t>
  </si>
  <si>
    <t>YKPF--------------------------------------------------------</t>
  </si>
  <si>
    <t>------AAMGYEYQ----------------------------------------------</t>
  </si>
  <si>
    <t>---------------KTRPNT---------------------------------------</t>
  </si>
  <si>
    <t>------------------------------------------GNPTY-------------</t>
  </si>
  <si>
    <t>----------------------------------------STIQF---------------</t>
  </si>
  <si>
    <t>------GD--------------------FFSD----------------------------</t>
  </si>
  <si>
    <t>-----------TSASAGT------------------------------------------</t>
  </si>
  <si>
    <t>-----------------------FIGADDQVLTSTSVVSA--------------------</t>
  </si>
  <si>
    <t>----------------------------------------TENTTSGVY-----------</t>
  </si>
  <si>
    <t>--------------------------------------------------TLY-------</t>
  </si>
  <si>
    <t>TQSYV---------------NQQGTTQTVAAA----------------------------</t>
  </si>
  <si>
    <t>RLFK-----RVKFEVNGNPLD-EYT-----------------------------------</t>
  </si>
  <si>
    <t>G------------WKRLIGQEVPVEAASNL-------VNIASTTPW--------------</t>
  </si>
  <si>
    <t>GSPVNA--------------------------------AIT----------ARKLTQVVF</t>
  </si>
  <si>
    <t>GAQTPKATQE-QLNMFVP---L--------------------LFW---------------</t>
  </si>
  <si>
    <t>---------F-R------------------------------------------------</t>
  </si>
  <si>
    <t>---DPRLAI-------ASVSI-----PYGQRFITVDIE----------------------</t>
  </si>
  <si>
    <t>-----Q---------------QSNI------------LFTAPGN----------------</t>
  </si>
  <si>
    <t>-----------------------------LFLQTTVETL---------------------</t>
  </si>
  <si>
    <t>--------------------------------LTTGAGKGTATGVLLTQYNRYTT-----</t>
  </si>
  <si>
    <t>------------TPTLASGSSIDGTQAVQN------------------------------</t>
  </si>
  <si>
    <t>---------------------------IEL------------------------------</t>
  </si>
  <si>
    <t>---------YINNI-------------------------FVTP-EIHDI-YIKRIG----</t>
  </si>
  <si>
    <t>-----FT--------------------L-------IRV--------------YREQVQ--</t>
  </si>
  <si>
    <t>----------------------------------REVNA-ADQV----------------</t>
  </si>
  <si>
    <t>---LQSQL-KWP----VEFIYLGLRPANNIA-----------------------------</t>
  </si>
  <si>
    <t>-----------------------------------------------AGNTYQWRDW---</t>
  </si>
  <si>
    <t>-----------------------HHLTSVTNEPVY-------------------------</t>
  </si>
  <si>
    <t>--------------------------------DVSQSYARVSI-----------------</t>
  </si>
  <si>
    <t>VMQNQY------------------------------------------------------</t>
  </si>
  <si>
    <t>--------------RV----------------------KAHGIE----------LYA---</t>
  </si>
  <si>
    <t>----------------------QYRAQ---------------------------------</t>
  </si>
  <si>
    <t>-----------F-----------YRDYIP-WN--Y--GSFNLVTP-----QD--------</t>
  </si>
  <si>
    <t>---------------KGALFL-------------NFCLY-P--G-TYQP--G-----HV-</t>
  </si>
  <si>
    <t>-------------NISRA-REF--------------------------------------</t>
  </si>
  <si>
    <t>----YIEYTS---------------------------SFCD---------SSNP------</t>
  </si>
  <si>
    <t>-------------------CDLIS--------IAKCINFLLI------------------</t>
  </si>
  <si>
    <t>----------------SDGSA---------------------------------------</t>
  </si>
  <si>
    <t>--------------------------------------------TGGI------------</t>
  </si>
  <si>
    <t>---------------------------------------------FQIITN---------</t>
  </si>
  <si>
    <t>--------D---------GKKQD---------Q-------MLMATDL--LSKRLSAIVE-</t>
  </si>
  <si>
    <t>---------------ANKRNP---------------TIKD--PTPT-LA-----------</t>
  </si>
  <si>
    <t>------AAFGYEYQ----------------------------------------------</t>
  </si>
  <si>
    <t>-------------------------------------------NTKF-------------</t>
  </si>
  <si>
    <t>-----------PIPQ---------------------------------------------</t>
  </si>
  <si>
    <t>----------------------------------MVLHVT--------------------</t>
  </si>
  <si>
    <t>------------------L--TG-------------------------------------</t>
  </si>
  <si>
    <t>-----------LQATSSS------------------------------------------</t>
  </si>
  <si>
    <t>RLCQ-----TVEMEVNGNLLD-SYD-----------------------------------</t>
  </si>
  <si>
    <t>G------------WKRNVGQEVPKTGY---------------------------------</t>
  </si>
  <si>
    <t>--------------------------------------------LTQNPGT---------</t>
  </si>
  <si>
    <t>GPQTPRRTQG-DVDMWIP---L--------------------LFW---------------</t>
  </si>
  <si>
    <t>---DPRLAI--------SVSI-----PYGQRFINVTFA----------------------</t>
  </si>
  <si>
    <t>-----T---------------SAQICDALT-----NGVTTGAS-----------------</t>
  </si>
  <si>
    <t>-----------------------TAPTISA------------------------------</t>
  </si>
  <si>
    <t>---------YINNI-------------------------FVNP-EVHDI-YIRRIG----</t>
  </si>
  <si>
    <t>--------------------------------------KSQDEK----------------</t>
  </si>
  <si>
    <t>---LLNNM-KWP----IETMYIGARPTANLS-----------------------------</t>
  </si>
  <si>
    <t>----------------------------------------------------SVTDW---</t>
  </si>
  <si>
    <t>-----------------------HKFVQVTNNTIN-------------------------</t>
  </si>
  <si>
    <t>-------------------V----PAVIPNSSPPPTHQVVVATA----------------</t>
  </si>
  <si>
    <t>--------------TI----------------------SAHSIP----------IYN---</t>
  </si>
  <si>
    <t>----------------------QIPAQ---------------------------------</t>
  </si>
  <si>
    <t>-----------F-----------FNSYIP-TT--Y--GGHNINAP-----ED--------</t>
  </si>
  <si>
    <t>---------------AGLLMV-------------TFNLY-P--G-SYQPKAG-----HL-</t>
  </si>
  <si>
    <t>-------------NVSRA-REF-QTE----------------------------------</t>
  </si>
  <si>
    <t>----YFNYVS---------------------------SNVG---------PSLN------</t>
  </si>
  <si>
    <t>-------------------ADLVI--------LGIAINFLLI------------------</t>
  </si>
  <si>
    <t>---------------ILR------------------YST---------------------</t>
  </si>
  <si>
    <t>------------------G-QQD-----------------AYL-T---------------</t>
  </si>
  <si>
    <t>---------------DIPFQD---------------------------------------</t>
  </si>
  <si>
    <t>------------------------------------------QQVLY-------------</t>
  </si>
  <si>
    <t>----------------------------------------SLNIC---------------</t>
  </si>
  <si>
    <t>-----------RIPP-K-------------------------------------------</t>
  </si>
  <si>
    <t>------GD--------------------LIRG----------------------------</t>
  </si>
  <si>
    <t>----------------------------------LTLKMN--------------------</t>
  </si>
  <si>
    <t>HFIVSN----------LAGVRTY---N-ETPLLGN--------VTYYSTVNSPS------</t>
  </si>
  <si>
    <t>--WITGNIAY--------YVSYNAVTN---------------------------------</t>
  </si>
  <si>
    <t>--------------------KFTFSNCLSVEVD--SSFGV--------------------</t>
  </si>
  <si>
    <t>P-----------------GDFTLEQS------------------GWL-------------</t>
  </si>
  <si>
    <t>---------------QSPGIIDPKTGLFIQATLTQAVTPASTYI----------------</t>
  </si>
  <si>
    <t>------NFGATNTQGG-PVWTNYYPKPTAFIVSSTGRVR---------------------</t>
  </si>
  <si>
    <t>-----FGGQGYYILRAS-------------------------------------------</t>
  </si>
  <si>
    <t>DPSMPIVL---------------------------------------------------P</t>
  </si>
  <si>
    <t>INVSDPTRYYSFYVT------SSTAATILTGSWLSVNPV--------EEFYKFNSSSSTL</t>
  </si>
  <si>
    <t>SAQYSRMQFAGNVTSQN----TYAN-LAS-----------DSSFSFKGGAGMYLASG---</t>
  </si>
  <si>
    <t>----------------------------------------SIALVNPAVGQ---------</t>
  </si>
  <si>
    <t>R-----DPTFF-------------FSMPIQVLSTT-------------DKFAFNVGLTSG</t>
  </si>
  <si>
    <t>TSATI-----------------NAD-TFVAFSQFGVYPGTQ-------------------</t>
  </si>
  <si>
    <t>--------------------------------SGYVL------------PYNGLL-----</t>
  </si>
  <si>
    <t>G-----------------------LTFSNTGI----------------------------</t>
  </si>
  <si>
    <t>----------YMMTATLSGTTP--------------------------------------</t>
  </si>
  <si>
    <t>ITTP------------------------------------FLG-----------------</t>
  </si>
  <si>
    <t>N------------ISFVTGNTSAQTL----------------------------------</t>
  </si>
  <si>
    <t>-G----------------------------------------------------------</t>
  </si>
  <si>
    <t>-----------ANSFHFR---V--------------------P-----------------</t>
  </si>
  <si>
    <t>--------------------------DR--------------------------------</t>
  </si>
  <si>
    <t>----------IEH-----------------------------------------------</t>
  </si>
  <si>
    <t>------------------------------------------------------NSEY--</t>
  </si>
  <si>
    <t>---KLQ-L----------------------------------------------------</t>
  </si>
  <si>
    <t>-------------------------------------------Q----------------</t>
  </si>
  <si>
    <t>----------------------RFGRD---------------------------------</t>
  </si>
  <si>
    <t>----VGD-----------------QVCRA-QD--W-----WSVHP-----D---------</t>
  </si>
  <si>
    <t>----------------AHG-----------------------------------------</t>
  </si>
  <si>
    <t>&gt;1109MEGAvirome_5-GSNCG_NODE_1397_length_6422_cov_3.878932_13 [1553 - 1032] (REVERSE SENSE)</t>
  </si>
  <si>
    <t>-----------------------------------------IDSL---------------</t>
  </si>
  <si>
    <t>------SMS---------------------------------------------------</t>
  </si>
  <si>
    <t>---------------------------------------------MNLVAY---------</t>
  </si>
  <si>
    <t>------------------G-ANDA----------------AYM-----------------</t>
  </si>
  <si>
    <t>WRSMNS------------------------------------------------------</t>
  </si>
  <si>
    <t>----GASPFFDEQQ----------------------------------------------</t>
  </si>
  <si>
    <t>------------------------------------------------------HED---</t>
  </si>
  <si>
    <t>---------------------------------------------GRT------------</t>
  </si>
  <si>
    <t>----------------------------------------NMSRL---------------</t>
  </si>
  <si>
    <t>-----------VITR-D-------------------------------------------</t>
  </si>
  <si>
    <t>------GDRCIPH-------------SILIRN----------------------------</t>
  </si>
  <si>
    <t>---------------------------------PRNFRLK--------------------</t>
  </si>
  <si>
    <t>---------SIQFLIGGSKVM-SFD-----------------------------------</t>
  </si>
  <si>
    <t>---------------SHFFETNTSLKR---------TTNQ--------------------</t>
  </si>
  <si>
    <t>-----------TIRYEFP-----------------------EGFG---------------</t>
  </si>
  <si>
    <t>---------LDR---------------------------------------------L--</t>
  </si>
  <si>
    <t>--------L-------TLIGL-----QYHEVVLEVKYTGL--------------------</t>
  </si>
  <si>
    <t>----CD------------------------------------------------------</t>
  </si>
  <si>
    <t>---------FRSYV-------------------------YMDT-EERRA-----------</t>
  </si>
  <si>
    <t>-------IANEP------------------------------------------------</t>
  </si>
  <si>
    <t>&gt;1705MEGAvirome_4-NODE_4318_length_1648_cov_16.847392_3 [907 - 47] (REVERSE SENSE)</t>
  </si>
  <si>
    <t>-------------------------------------------KL---------------</t>
  </si>
  <si>
    <t>NCVIIVRMT---------------------------------------------------</t>
  </si>
  <si>
    <t>---------------------------------------------GSL------------</t>
  </si>
  <si>
    <t>---------------------------------------------LQLVTY---------</t>
  </si>
  <si>
    <t>------------------G-VQD-----------------IFL-T---------------</t>
  </si>
  <si>
    <t>---------------SD---------------------------P---------------</t>
  </si>
  <si>
    <t>FKRY--------------------------------------------------------</t>
  </si>
  <si>
    <t>------TNFSIETI----------------------------------------------</t>
  </si>
  <si>
    <t>---------------PLQFN----------------------------------------</t>
  </si>
  <si>
    <t>------------------------------------------NIYEF-------------</t>
  </si>
  <si>
    <t>---------------------------------------DKTLSC---------------</t>
  </si>
  <si>
    <t>-----------EIPQ-N-------------------------------------------</t>
  </si>
  <si>
    <t>------GD--------------------LIKN----------------------------</t>
  </si>
  <si>
    <t>----------------------------------CYLKIV--------------------</t>
  </si>
  <si>
    <t>-----------------------------------------VGIPKSS------------</t>
  </si>
  <si>
    <t>DITDE----TLTLNVHQTNMD-NFN-----------------------------------</t>
  </si>
  <si>
    <t>-----------SYIQYIY------------------------------------------</t>
  </si>
  <si>
    <t>-------------------------EAIRKINTDIDKD----------------------</t>
  </si>
  <si>
    <t>-----N-------------ITVSDL-----------------------------------</t>
  </si>
  <si>
    <t>-----RT--------------------I-------VDN----------------------</t>
  </si>
  <si>
    <t>---YLS---SSP------------------------------------------------</t>
  </si>
  <si>
    <t>---------------------VIYDYAN--------------------------------</t>
  </si>
  <si>
    <t>-------------YNI--------------------LQILDDID-------DLSLTEV--</t>
  </si>
  <si>
    <t>-----DKKI-------------RLKKKI-------KNLNK--------------------</t>
  </si>
  <si>
    <t>----QANL--------------------------H---------------NK--------</t>
  </si>
  <si>
    <t>---------------SQMSNYI------------TTSDDIT-----SQN-LD-----QY-</t>
  </si>
  <si>
    <t>-------------NFAWV-DNI--------------------------------------</t>
  </si>
  <si>
    <t>-----------------------------------GYNIIKYLE----------------</t>
  </si>
  <si>
    <t>NEINSTT-----YKTTLI------------------FIN---------------------</t>
  </si>
  <si>
    <t>------IMEKK-------------------------------------------------</t>
  </si>
  <si>
    <t>----------------------------------------EEHNEAHLR-----------</t>
  </si>
  <si>
    <t>--------------------TRD-----------------MYKIT----PP---------</t>
  </si>
  <si>
    <t>-------SAYNPIFYTN---------------------------P---------------</t>
  </si>
  <si>
    <t>MPKQ--------------------------------------------------------</t>
  </si>
  <si>
    <t>------PNHSREFI----------------------------------------------</t>
  </si>
  <si>
    <t>---------------RIRPE----------------------------------------</t>
  </si>
  <si>
    <t>------------------------------------------NDPEF-------------</t>
  </si>
  <si>
    <t>----------------------------------------NTITF---------------</t>
  </si>
  <si>
    <t>-----------KIEK-K-------------------------------------------</t>
  </si>
  <si>
    <t>------FD--------------------ICEK----------------------------</t>
  </si>
  <si>
    <t>----------------------------------VWIKMK--------------------</t>
  </si>
  <si>
    <t>-----------LFDDQT-------------------------------------------</t>
  </si>
  <si>
    <t>----------------------------------------MEGLRSGS------------</t>
  </si>
  <si>
    <t>--------------------------------I------------------TY-------</t>
  </si>
  <si>
    <t>YLFQ-----FIQLKVDGIVVQ-EIT-----------------------------------</t>
  </si>
  <si>
    <t>Q------------YHGYFGSK---------------------------------------</t>
  </si>
  <si>
    <t>-------------------------------------------GVYNQTST------T--</t>
  </si>
  <si>
    <t>-----------------------------------------------Y------------</t>
  </si>
  <si>
    <t>-----------NNEYLVE---I--------------------PFF---------------</t>
  </si>
  <si>
    <t>---------FNNDY----------------------------------------------</t>
  </si>
  <si>
    <t>-NGGCDTKL-------PLPIL-----RNKSVEVVCSLR----------------------</t>
  </si>
  <si>
    <t>-----N---------------LDELWQ--------RPFVQEENCDISPY-----------</t>
  </si>
  <si>
    <t>-------------------------------------GVSVNLSSGTQTTRN--------</t>
  </si>
  <si>
    <t>----------------------KNEMILEE------------------------------</t>
  </si>
  <si>
    <t>---------------------------FEL------------------------------</t>
  </si>
  <si>
    <t>---------LCSAI-------------------------YVDL-PLREA-IVRADIK---</t>
  </si>
  <si>
    <t>----KDF--------------------V-------FYQ-------------QFEET----</t>
  </si>
  <si>
    <t>EGGIV-------------------------------------------------------</t>
  </si>
  <si>
    <t>---NME---IEP-TGVAKNIYIFARTKSNYS-----------------------------</t>
  </si>
  <si>
    <t>----------------------------------------------YGD-----------</t>
  </si>
  <si>
    <t>-----------------------------------------------------LTNWS--</t>
  </si>
  <si>
    <t>-----------------------GEYQS--------------------------------</t>
  </si>
  <si>
    <t>--------------SL----------------------MINRER----------------</t>
  </si>
  <si>
    <t>----------------------LFLAK---------------------------------</t>
  </si>
  <si>
    <t>----KSE---LFE----------YQEAERTFY-FQ-----NTSEP-------L-------</t>
  </si>
  <si>
    <t>----------LVI---------------------------PMLN--TKT-NG-----SI-</t>
  </si>
  <si>
    <t>-------------IWERF-DDI-RLQ----------------------------------</t>
  </si>
  <si>
    <t>-----INLETTEE-----------------------------------------------</t>
  </si>
  <si>
    <t>-------------------VTVYV--------VCENKNIIRF------------------</t>
  </si>
  <si>
    <t>----------------FNNQG-----------------------------G---------</t>
  </si>
  <si>
    <t>----------------LL------------------FN----------------------</t>
  </si>
  <si>
    <t>-------MD---------------------------------------------------</t>
  </si>
  <si>
    <t>---------------------------------------------LQLIAK---------</t>
  </si>
  <si>
    <t>------------------G-VED-----------------MPF-I---------------</t>
  </si>
  <si>
    <t>YRKTGIFSIMDSEVILDDLAFEKIKLSKIPKVGDLISKVYLELTIPDFKVNKIQSQNYTK</t>
  </si>
  <si>
    <t>DIFKDINYYTKMNILKKFLEIE-------NTQELHIDDTTLIKLSPYSSGKNILLSKINQ</t>
  </si>
  <si>
    <t>INNEYTLEFPIENYKIISYLL--TSNLKDEDIILADFILRFL--DISNEIVLTSTEYLTN</t>
  </si>
  <si>
    <t>KYNSIYQNLITNYFTNISFQNPEKYQLTEEILQELTKYLVEDVKNNEFQIIGQYNEDPID</t>
  </si>
  <si>
    <t>FIKNKFVYEAEILTNLIKLIFPTDNFRKGFLKDQIILPFFIYLNYDV----NNNNKIIYD</t>
  </si>
  <si>
    <t>LTDTKLISSNFIKDNVSKLQNKVIINTPLTNIIQSTFEK--IKVESENYFKSVNYQKM--</t>
  </si>
  <si>
    <t>ILNLTQVEGNTLTEYISSVSFFKDLEGTNFEKIIQEHITLDFERKKKISNDELFFDSQYH</t>
  </si>
  <si>
    <t>NLEKIIDLVKSKIPSIKPFNLSTLSLNSSYLNRTAIDLSLILVYISYLFRNKLLNNSFLK</t>
  </si>
  <si>
    <t>KELSHSWVNFLNETICSKFYTKWFSEFTSRIDETYVGPETYLESNGESNIKLDNKIPLVI</t>
  </si>
  <si>
    <t>FPNNTYNITSVSIKNLIKLQTHKFNYYLNIVPNSTYTPAPEPDPGPEPAQMVQKSIKTIK</t>
  </si>
  <si>
    <t>KIINLQYSLLSENKKTFVVIENNLINIWYHSFTNEYYLLTDNFNFNLTFYSIKNNKIYFQ</t>
  </si>
  <si>
    <t>IKDNINKLNLNNVKYLKIIIQQKINYLNENIQNVTPTLITSNISFTDKELTNLYFYKILY</t>
  </si>
  <si>
    <t>DDLNNIIDILYIPTRFIIKNNNEISSSFTLENEPQYSYSEIKYINQLELPNFLNNFDFTG</t>
  </si>
  <si>
    <t>NYLTFTKLESTSIGN-N-------------------------------------------</t>
  </si>
  <si>
    <t>NGIIIKCETYLNDQLIEIKGRFSNKFNLREKINDDTLHIYSEGIDYFDDNIDYNKINILS</t>
  </si>
  <si>
    <t>INEDDHLNEINNLLQLYYSEIESNYKKIVDAHDLITQNLFKKFVDSLEEIKNLGPIYASF</t>
  </si>
  <si>
    <t>IDNFMKNTNINIDNLKYFQTSSFYDAALWDNNLEITGNTLNYINDWADSKNIAFNNWNII</t>
  </si>
  <si>
    <t>DFTGTSSNNIFIDNKLTYL--PNK------------------------------------</t>
  </si>
  <si>
    <t>----------IY-----PEN--L-------------------------------------</t>
  </si>
  <si>
    <t>NLDLIENHP-------KIIKS---------------------------------------</t>
  </si>
  <si>
    <t>---------V-LNQNELDFITQKSFSEINQKNYLLETKTMMNTSNL--------------</t>
  </si>
  <si>
    <t>-LYIDNNQVNFNNNLITSDVLLDNIHN-IKPFKINKHEIDVYPINFYDYAITLNNKL---</t>
  </si>
  <si>
    <t>-IFLPEDFYDID----NNYTLY--------------------------------------</t>
  </si>
  <si>
    <t>----------------------FINTSLSSNITYQKITFDY-------------------</t>
  </si>
  <si>
    <t>----IIFNESI-------------------------------------NISQIENLSK--</t>
  </si>
  <si>
    <t>--NNLLVLIDS--NGNY-LPF--------------------------GRLTPDFN-----</t>
  </si>
  <si>
    <t>----NPYKYYRLGKTSKN--KKLKEKLLFE---------NNLIENYHKLNNVIY------</t>
  </si>
  <si>
    <t>-----------------INSFN--------------------------------------</t>
  </si>
  <si>
    <t>-------------------------------NTTNIITPIYDSLKLP--IEYYNN-----</t>
  </si>
  <si>
    <t>LNTNNINSNKFFIVRLISNTCKNIDLFENQNEYIFTNITWENLITLSENLNFLEIKDNKI</t>
  </si>
  <si>
    <t>IHNNILSDGDII-YN--TT----DKTIY---QVINYQNNIL-----------------ET</t>
  </si>
  <si>
    <t>SPE--IILNDNKEYRFFKNI---------------------------YFNS-GLNNELLS</t>
  </si>
  <si>
    <t>YNINLPHGSYTFELL------TSYTFYQLPVVYLP-NPWEYRQVKQGDLFYKNNT-----</t>
  </si>
  <si>
    <t>LQIGDFIFNLNKLEKDDYLN-DANTYLHNGTIQSQVLGRFGKYYYLSNDITDGEWLVKSY</t>
  </si>
  <si>
    <t>PLHIKPTTTQLQNKLYQVNDDNIIIEKINYPSIQLTSTKFLININSNILSIVS--GYDNH</t>
  </si>
  <si>
    <t>QKEVVTFSKSLIYPEQKILIDNKYWTTIKNFETLELTDIFEDLENNEMIIPETTTS----</t>
  </si>
  <si>
    <t>KLLTKDNNTFDKL-----EYLSSIPINESVFCCL-IGFDSYYKNMAVFNEKIVLIKNEKN</t>
  </si>
  <si>
    <t>VLTFKFENKSFENKFISIINTEKENLYMTDFYININNKFILNS--------SYDLNKKEI</t>
  </si>
  <si>
    <t>KCFTNLDSSFDLIANYNLNNIHYWLTTPLNLTTKYIFDTNKSQVKYKINNFNVNLLNSQY</t>
  </si>
  <si>
    <t>LQ--SINPVIPVNETNTNHIFYSSEIYNISLNYNILTEYSYDNKFIEEYCQINLDYNQVF</t>
  </si>
  <si>
    <t>IKNDYYLLELDTNPLNQMDDKIIYQIIDNKINMGYII-----------ENEDGVFLKFVS</t>
  </si>
  <si>
    <t>KINLNLPFYQKKKHLIYTLHENILPSYDINNYSYEYFHYRIGVESIIQFDSADLNIPLTN</t>
  </si>
  <si>
    <t>------------------------IPYSNNIIRI---------------SDYLYDADFF-</t>
  </si>
  <si>
    <t>HSLNNITLYKNTFLIKIPDNDFNFEFVKNLNNSFEVYYQTDILVEQI--KKP--------</t>
  </si>
  <si>
    <t>LMME-----YV---IDNYLVT-KVIPELHWDKIITLSNNQGINQPDDIFYNNYTYLEDYN</t>
  </si>
  <si>
    <t>KFNNVILTLDLQVKHNKILEIVNEIYYRIPVWIFIDEFKNDPDHYLSKYIETSYQLLFKN</t>
  </si>
  <si>
    <t>N-----------MFYNLDGTEYIPIKIPTY-------FKISDIGST--------------</t>
  </si>
  <si>
    <t>ND-----------------------------------D----------------------</t>
  </si>
  <si>
    <t>IYLTNNVTNLRLNQIYRKKILNLYSDNIYKGTVIENNNTNKLEYHNQDIFEYLVNLTSFE</t>
  </si>
  <si>
    <t>NNLEFYQIDFRERNLVLTDFETEFILSKNGKARMKLNKFMLNQGIDLYGKINYSINLINY</t>
  </si>
  <si>
    <t>IGTKYQITV-------PLNSL-------PSTNFSVGIN----------------------</t>
  </si>
  <si>
    <t>VKTSLKFKKGKY-------------------------YFLNDAV-VNWIDNNTYIK----</t>
  </si>
  <si>
    <t>------YGNDLLSLNINNNE-----IVTPKPISNNITLCKI-VKITSKIN----------</t>
  </si>
  <si>
    <t>-------------LNQYTYQLN---LTKEFNNNPSYGY------KVK-------------</t>
  </si>
  <si>
    <t>Q-IFKLNYQNKYKITMND---LNKTIIEYGDENNINLLNEFY-----LNLTDINNAELGN</t>
  </si>
  <si>
    <t>YIYKVNINGNFNGLTTPVYYINNNNLERLGNLLDGYLITINYINPNNIVVFELNNNNLLE</t>
  </si>
  <si>
    <t>LTDLEFIYKNYYKINDLSLSFINLIPNISN------------------------------</t>
  </si>
  <si>
    <t>LKETKQYEKYEEFI-------------------------IKEEPVYKEN-FGYDILE---</t>
  </si>
  <si>
    <t>-----SF--------------------Q-------VKL------------HNTQIEKFD-</t>
  </si>
  <si>
    <t>-------------------------KMFKEY-----------------------------</t>
  </si>
  <si>
    <t>---------------------------C-----------------Y--------------</t>
  </si>
  <si>
    <t>--------------------------------------------------YFLKPEKI--</t>
  </si>
  <si>
    <t>-KN-LNKMLNNPKQIIIPLPFWFCRNWSNSL-------------PI--------------</t>
  </si>
  <si>
    <t>----------------------------------VIANESQF-----YI-----------</t>
  </si>
  <si>
    <t>-------------------------IINK-------------------------------</t>
  </si>
  <si>
    <t>LIE-----TFQKSQIEII------------TSIYKTIDLKVL------------------</t>
  </si>
  <si>
    <t>VIIDPLYLKYHELIKLPDNNIKYIV-DSDNFTNIY-NDILNRFTP---------------</t>
  </si>
  <si>
    <t>YLKTKTT--KYYPLKNASLNINSYQYIRN-KS--DLFWSVKNQQNY--CKSG--------</t>
  </si>
  <si>
    <t>--------------DKGLYGL-------------SYSLY-P-LE--QQP-SG-----YL-</t>
  </si>
  <si>
    <t>-------------NHTLI-NST-LLV----------------------------------</t>
  </si>
  <si>
    <t>----ELNRDY---------------------------LNMV---------KNIKG-----</t>
  </si>
  <si>
    <t>------------------TINMNL--------FYRRYRLIRF------------------</t>
  </si>
  <si>
    <t>----------------MGNQS-----------------------------G---------</t>
  </si>
  <si>
    <t>----------------IL------------------W-----------------------</t>
  </si>
  <si>
    <t>---------------------------------------------LQLVSF---------</t>
  </si>
  <si>
    <t>------------------G-IQN-----------------RYL-T---------------</t>
  </si>
  <si>
    <t>---------------VN---------------------------P---------------</t>
  </si>
  <si>
    <t>YHRH--------------------------------------------------------</t>
  </si>
  <si>
    <t>------THFGKENV----------------------------------------------</t>
  </si>
  <si>
    <t>-----------------------------------------LLNYD--------------</t>
  </si>
  <si>
    <t>------------------------------------------QTPDF-------------</t>
  </si>
  <si>
    <t>---------------------------------------NKNISF---------------</t>
  </si>
  <si>
    <t>-----------TVPN-N-------------------------------------------</t>
  </si>
  <si>
    <t>------GD--------------------ILSN----------------------------</t>
  </si>
  <si>
    <t>----------------------------------ITLHFN--------------------</t>
  </si>
  <si>
    <t>---------------FSSFY-PNLNSL---------------------------------</t>
  </si>
  <si>
    <t>-----------------SDN--L-------------------------------------</t>
  </si>
  <si>
    <t>----------------KI------------------------------------------</t>
  </si>
  <si>
    <t>-----------LNQNKIN------------------------------------------</t>
  </si>
  <si>
    <t>-------------------------------------------------------LEK--</t>
  </si>
  <si>
    <t>------------------------EELLFL---------KANRDNLNKYSNIIF------</t>
  </si>
  <si>
    <t>--------------------------------------------GAIK------------</t>
  </si>
  <si>
    <t>------------------------------------------------IIEKYQN-----</t>
  </si>
  <si>
    <t>----------------------------TINISLPLIIN---------------------</t>
  </si>
  <si>
    <t>-------------------------------LISSYQKSIVS------------------</t>
  </si>
  <si>
    <t>-----------------------------------------------DFNN---------</t>
  </si>
  <si>
    <t>---------------------------------------IKDLISSNILEKSN-------</t>
  </si>
  <si>
    <t>--------------------------------------IFK-------------------</t>
  </si>
  <si>
    <t>-----------------LNN----------------------------------------</t>
  </si>
  <si>
    <t>TKN-----------------KLIYQ-----------------------------------</t>
  </si>
  <si>
    <t>----------------------------MENY----------------------------</t>
  </si>
  <si>
    <t>---------------------------------------------------PI-------</t>
  </si>
  <si>
    <t>LLVE-----HVELEIDGEIID-RIT-----------------------------------</t>
  </si>
  <si>
    <t>K-----------MLKLIEGKA---------------------------------------</t>
  </si>
  <si>
    <t>-----------------------------------------------YQ-----------</t>
  </si>
  <si>
    <t>-----------DFELFLP---L--------------------NFW---------------</t>
  </si>
  <si>
    <t>---------FKE------------------------------------------------</t>
  </si>
  <si>
    <t>---SYGLGI-------PIVSL-----RYSTIKFNVSLK----------------------</t>
  </si>
  <si>
    <t>-----P---------------VENLIDI--------IILDDEYEKIKKISFE--------</t>
  </si>
  <si>
    <t>VEGLLYEKYEGYIQ----------------------------------IDNNLY------</t>
  </si>
  <si>
    <t>---------DATTLNYNKNT----ETLT--------------------------------</t>
  </si>
  <si>
    <t>------------LSSEFIYKDN---LIENL-------Y-----INSE-------------</t>
  </si>
  <si>
    <t>----------------------SADL-----ILNTFGSIKNDLNLSLD------------</t>
  </si>
  <si>
    <t>-------------------------------------LNEFK------NFVN--------</t>
  </si>
  <si>
    <t>------------NISSLNIAVLSLELNLNR------------------------------</t>
  </si>
  <si>
    <t>L--------YCEYI-------------------------YLDQ-IEREK-FASSRL----</t>
  </si>
  <si>
    <t>-----NY--------------------L-------IKL------------HSVNTFELD-</t>
  </si>
  <si>
    <t>--------------------------------------------------NTYFNKNL--</t>
  </si>
  <si>
    <t>---EIENY--------VTEMYWTLQKKSELT-----------------------------</t>
  </si>
  <si>
    <t>-----------------------TNFES--------------------------------</t>
  </si>
  <si>
    <t>--------------QM----------------------TLNNYG----------------</t>
  </si>
  <si>
    <t>---------------------LFFKKNS--------------------------------</t>
  </si>
  <si>
    <t>---------PEY-----------FQYITS-FN--HL-------------NSNF-------</t>
  </si>
  <si>
    <t>--------------LNNIFFY-------------SFCLY-P-EH--VQP-SG-----GI-</t>
  </si>
  <si>
    <t>-------------SFNDI-NGK-QFQ----------------------------------</t>
  </si>
  <si>
    <t>-----INLKN---------------------------LTVD---------ENNK------</t>
  </si>
  <si>
    <t>-------------------VVFKI--------FYKKLSILTI------------------</t>
  </si>
  <si>
    <t>----------------SSGKG---------------------------------------</t>
  </si>
  <si>
    <t>---------------KLA------------------FFN---------------------</t>
  </si>
  <si>
    <t>&gt;1109MEGAvirome_7-GSNCB_NODE_437_length_6605_cov_39.219662_16 [4466 - 4167] (REVERSE SENSE)</t>
  </si>
  <si>
    <t>----------------------------------------LPSSLCAVLP----------</t>
  </si>
  <si>
    <t>-------MAPRIF----------------------------TSVEMLPSR--------S-</t>
  </si>
  <si>
    <t>-------GSQCTADTRLLLWRYV-------------------------------------</t>
  </si>
  <si>
    <t>----------------------------------------EKKQNPSLT-----------</t>
  </si>
  <si>
    <t>---------------------------------------------IQLTRV---------</t>
  </si>
  <si>
    <t>-------SYVLQSI----------------------------------------------</t>
  </si>
  <si>
    <t>------------------------------------------GTIDY-------------</t>
  </si>
  <si>
    <t>------G------------------------T----------------------------</t>
  </si>
  <si>
    <t>----------------------------------SCVRVR--------------------</t>
  </si>
  <si>
    <t>---------------------Y--------------------------------------</t>
  </si>
  <si>
    <t>---------------M--------------------------------------------</t>
  </si>
  <si>
    <t>--------------------------------------------------IA-----TR-</t>
  </si>
  <si>
    <t>-------------Q----------------------------------------------</t>
  </si>
  <si>
    <t>&gt;1704MEGAvirome_5-NODE_9941_length_426_cov_1.163142_1 [83 - 424]</t>
  </si>
  <si>
    <t>-------------------------------------------QLCHFF-----------</t>
  </si>
  <si>
    <t>---------ICVYDTR--------------------------------------------</t>
  </si>
  <si>
    <t>--------------------------------------------NGSLK-----------</t>
  </si>
  <si>
    <t>---------------------------------------------LYIISVP--------</t>
  </si>
  <si>
    <t>--------------------SSD---W---SKKFILEVVKFSLET---------------</t>
  </si>
  <si>
    <t>----------------------------------Y---------PY--------------</t>
  </si>
  <si>
    <t>------TNFSVETI----------------------------------------------</t>
  </si>
  <si>
    <t>---------------EQSFD----------------------------------------</t>
  </si>
  <si>
    <t>------------------------------------------G--KP-------------</t>
  </si>
  <si>
    <t>----------------------------------------GKSTV---------------</t>
  </si>
  <si>
    <t>-----------LVTR-N-------------------------------------------</t>
  </si>
  <si>
    <t>------GD--------------------LATN----------------------------</t>
  </si>
  <si>
    <t>----------------------------------ACLKVK--------------------</t>
  </si>
  <si>
    <t>--------------AV--------------------------------------------</t>
  </si>
  <si>
    <t>--------------------------------------------------DA-----TS-</t>
  </si>
  <si>
    <t>-------------NLSGV-EKV--------------------------------------</t>
  </si>
  <si>
    <t>--------------------------------------------------A---------</t>
  </si>
  <si>
    <t>------------------------------------WVR---------------------</t>
  </si>
  <si>
    <t>-------MTDH-------------------------------------------------</t>
  </si>
  <si>
    <t>-------------------------------------LLAST------------------</t>
  </si>
  <si>
    <t>----------------------------------------SHRFNNAI------------</t>
  </si>
  <si>
    <t>HQQANGA-----------G-AMS---------------VASIL-T---------------</t>
  </si>
  <si>
    <t>---------------SDAK-----------------------ASP---------------</t>
  </si>
  <si>
    <t>-------------------------------------FRL-------------------R</t>
  </si>
  <si>
    <t>FCKV--------------------------------------------------------</t>
  </si>
  <si>
    <t>------GGFSMSSH----------------------------------------------</t>
  </si>
  <si>
    <t>---------------NLPFNE---------------------------------------</t>
  </si>
  <si>
    <t>------------------------------------------GEVAF-------------</t>
  </si>
  <si>
    <t>----------------------------------------GAATC---------------</t>
  </si>
  <si>
    <t>-----------TLKH---------------------------------------------</t>
  </si>
  <si>
    <t>-----LGH--------------------MIYH----------------------------</t>
  </si>
  <si>
    <t>----------------------------------TYLVMDFEAI----------------</t>
  </si>
  <si>
    <t>-------------KAARRV--PT-------------------------------------</t>
  </si>
  <si>
    <t>-----------------SDDPN--------------------------------------</t>
  </si>
  <si>
    <t>-------CSIEY------------------------------------------------</t>
  </si>
  <si>
    <t>--------PSE----Y--------------------------------------------</t>
  </si>
  <si>
    <t>----------PVEGAVIR------------------------------------------</t>
  </si>
  <si>
    <t>-------------KADERAVARY-------------------------------------</t>
  </si>
  <si>
    <t>------------------------AAERTGTLATARAGKA--------------------</t>
  </si>
  <si>
    <t>--------------------------------------------------IYNAE-----</t>
  </si>
  <si>
    <t>------AYGAT-------------------------------------------------</t>
  </si>
  <si>
    <t>----------------------------------------RGAADASSKWD---------</t>
  </si>
  <si>
    <t>---------------------------------------------------PFEESL---</t>
  </si>
  <si>
    <t>--------------------------------------------VRGWVRWINGVA----</t>
  </si>
  <si>
    <t>---------QYTAELNTLIVEDGIWDT----------------QP---------------</t>
  </si>
  <si>
    <t>---------------NLWLYGWEQVAG--------MACKR--------------------</t>
  </si>
  <si>
    <t>-------------LNEHVGLRDNTKQL---------------------------------</t>
  </si>
  <si>
    <t>--------------------------------------------VMDSAE----------</t>
  </si>
  <si>
    <t>-----------RQRFYVP---L--------------------PFF---------------</t>
  </si>
  <si>
    <t>---------FTL------------------------------------------------</t>
  </si>
  <si>
    <t>---CSGSVF-------PYSQFN-KKDSNSTVKIETKFA----------------------</t>
  </si>
  <si>
    <t>-----D---------------LRQL-----------IVVSGDGVVPVRA-----------</t>
  </si>
  <si>
    <t>----------------------SDGKPLTNNDLK--------------------------</t>
  </si>
  <si>
    <t>---------------------------AHI------------------------------</t>
  </si>
  <si>
    <t>---------RATYV-------------------------HLNK-TDART-FANGNQ----</t>
  </si>
  <si>
    <t>-----IM--------------------V-------ITQ--------------VQHHSTT-</t>
  </si>
  <si>
    <t>---------------------------------------------------LPQGKQV--</t>
  </si>
  <si>
    <t>----------------------------VDV-----------------------------</t>
  </si>
  <si>
    <t>---PVP-F-GGP----IIFYMWMLRRKASVD-----------------------------</t>
  </si>
  <si>
    <t>-----------------------------------------------------QNSH---</t>
  </si>
  <si>
    <t>-----------------------WNFSGV-------------------------------</t>
  </si>
  <si>
    <t>--------------VF----------------------YINGKP----------------</t>
  </si>
  <si>
    <t>----------LFGVGDEARV---YRLLEP-LQ--S-----FRSTP---------------</t>
  </si>
  <si>
    <t>--------------CGNIYVK-------------SFAID---AT-AVVP-NG-----FL-</t>
  </si>
  <si>
    <t>-------------DATG--KST-SMR----------------------------------</t>
  </si>
  <si>
    <t>-----LTLQQALVHEE--------------------------------------------</t>
  </si>
  <si>
    <t>-------------------VEFII--------MARSFEVAIF------------------</t>
  </si>
  <si>
    <t>----------------EDHHA-----------------------------S---------</t>
  </si>
  <si>
    <t>----------------LL------------------------------------------</t>
  </si>
  <si>
    <t>-----------------------------------GN-----H-----VCRA--------</t>
  </si>
  <si>
    <t>&gt;1705MEGAvirome_4-NODE_7218_length_989_cov_100.762864_1 [2 - 988]</t>
  </si>
  <si>
    <t>--------------------LKD-------------------------------------</t>
  </si>
  <si>
    <t>---------------EQ-------------------------------------------</t>
  </si>
  <si>
    <t>---------------KRSY------------------YKMI-------------------</t>
  </si>
  <si>
    <t>------ND----------------------------------------------------</t>
  </si>
  <si>
    <t>----------------AELR-PSIYA----------------------------------</t>
  </si>
  <si>
    <t>-----------LD-----------------------------------------------</t>
  </si>
  <si>
    <t>---------DIHL---------TIP-----------------------------------</t>
  </si>
  <si>
    <t>-----------ARRLYIP---L--------------------DFW---------------</t>
  </si>
  <si>
    <t>---NPGLAI-------PLIAT-----QYDEIIINFEFN----------------------</t>
  </si>
  <si>
    <t>-----P---------------LNDLFTIGSPGLSPNAFFSEHNN----------------</t>
  </si>
  <si>
    <t>-------------------------------SDENLVLKQKLMSQGFDISN---------</t>
  </si>
  <si>
    <t>--IF------------------------------------------W-LF----------</t>
  </si>
  <si>
    <t>----INQT------TSPGG-----------------------------------------</t>
  </si>
  <si>
    <t>-----------------------WKQDTYL------------------------------</t>
  </si>
  <si>
    <t>---------DINYI-------------------------YLDS-AERNK-FALSSH----</t>
  </si>
  <si>
    <t>-----EY--------------------L-------ITQ--------------VQRNNFE-</t>
  </si>
  <si>
    <t>--------------------------------------------------ALGAENPV--</t>
  </si>
  <si>
    <t>-----------------------------------------------------V------</t>
  </si>
  <si>
    <t>---ELR-M-QHP----VKELVWIFQREDVER-----------------------------</t>
  </si>
  <si>
    <t>-----------------------------------------------------TNDW---</t>
  </si>
  <si>
    <t>LTD----S----------V--------NVRDFYKNSRGISSST-----------------</t>
  </si>
  <si>
    <t>--------------KV----------------------KINGND----------------</t>
  </si>
  <si>
    <t>----------------------RFEERD--------------------------------</t>
  </si>
  <si>
    <t>---------HVF-----------FENLQV-FK--Y-----HSGSP---------------</t>
  </si>
  <si>
    <t>-------------NLNGIHVY-------------SFALN-P-EK----------------</t>
  </si>
  <si>
    <t>-------MAGN-------------------------------------------------</t>
  </si>
  <si>
    <t>-----------------------DTTAPILEVIVSQH-----HSEHTSLNPE--------</t>
  </si>
  <si>
    <t>----------------------------------------------EPRVVRPQ------</t>
  </si>
  <si>
    <t>-------------PPIY-------------------------------------------</t>
  </si>
  <si>
    <t>SRETDIHFLESAWLEIDTLPGYDPASDIDNQIAPAIFRAIKT---IELLTL------DKI</t>
  </si>
  <si>
    <t>HIETLTPLDILTWTQTTT--PRDAY-------DTL-----QHLSY---------------</t>
  </si>
  <si>
    <t>---------------GDSFNAGSAGSNVVQLSIPFSILKDGAPFPL-VSLSKTG------</t>
  </si>
  <si>
    <t>IKKMET----------------------------------MNLILP--------------</t>
  </si>
  <si>
    <t>KGSAATLE---------TFLLEDTRDLRSLVFMMGEL-----------------------</t>
  </si>
  <si>
    <t>------------GETTTTLQRFK----------------------------GAYYKDP--</t>
  </si>
  <si>
    <t>-------------------------DAP--------------------------------</t>
  </si>
  <si>
    <t>-----------------------------DVYRSLRECWLDIGSQSMSR----PLRP---</t>
  </si>
  <si>
    <t>----------EVVRYITRLG-----------------------RCGRISKN---------</t>
  </si>
  <si>
    <t>---------------------------------TQGEDGLHILPISTVYRASLHGYSA--</t>
  </si>
  <si>
    <t>--------------------------------------------PGALTR----------</t>
  </si>
  <si>
    <t>-------------------------------------N-SSKVSLR--------------</t>
  </si>
  <si>
    <t>AGSQLHDITPSQYGSTGNQEDGIPDEVLGYLTQSPTHEAFSRTTRSVALRGSHRFGETIV</t>
  </si>
  <si>
    <t>ADLPLTAD--------------------LVGG----------------------------</t>
  </si>
  <si>
    <t>----------------------------------LTLQFR--------------------</t>
  </si>
  <si>
    <t>-----------LP-----------------------------------------------</t>
  </si>
  <si>
    <t>YILS-----RVVVRHEDTILY-DCP-----------------------------------</t>
  </si>
  <si>
    <t>RE-----------DANNVGYI---------------------------------------</t>
  </si>
  <si>
    <t>GS------------------------------------P---------------------</t>
  </si>
  <si>
    <t>-----------DGRIHVR---I--------------------PWS---------------</t>
  </si>
  <si>
    <t>---------FGT------------------------------------------------</t>
  </si>
  <si>
    <t>---KGYSPL-------PTAAL-----RHRHLRLEIRLA----------------------</t>
  </si>
  <si>
    <t>-----E---------------PSQV------------IVPTTVDPYNPP-----------</t>
  </si>
  <si>
    <t>--------------------------------TISGGKGGHIGCAGSNPAPNLLPAG---</t>
  </si>
  <si>
    <t>------------------------------------------VEGG---F----------</t>
  </si>
  <si>
    <t>-VI---------------------------------------------------------</t>
  </si>
  <si>
    <t>---------------------------TET------------------------------</t>
  </si>
  <si>
    <t>---------TANLIG-----------------------YTIPS-ELRTQ-LMSRPR----</t>
  </si>
  <si>
    <t>-----QM--------------------I-------LRQ--------------LHMY----</t>
  </si>
  <si>
    <t>DPE----------------------GLMR-------------------------------</t>
  </si>
  <si>
    <t>---TIP-I-NHG----LRRLIYVSPQNSEAV-----------------------------</t>
  </si>
  <si>
    <t>------------------------------------GGE---------------------</t>
  </si>
  <si>
    <t>-----------------------RGYNPV-------------------------------</t>
  </si>
  <si>
    <t>--------------GLQQ--------------------IYAGSK----------------</t>
  </si>
  <si>
    <t>----------HW-----------YHCIPP-SEFFQDWSRLTSTSPS--TGSG--------</t>
  </si>
  <si>
    <t>--------------SPDIALY-------------SVDFN-P----------G-----FI-</t>
  </si>
  <si>
    <t>-------------NASRF-DEF-RFQ----------------------------------</t>
  </si>
  <si>
    <t>----------------TTPGRLVV--------VAISDEPFRI------------------</t>
  </si>
  <si>
    <t>----------------QKGKI-----------------------------G------PL-</t>
  </si>
  <si>
    <t>------------------------------------YAD---------------------</t>
  </si>
  <si>
    <t>&gt;1704MEGAvirome_5-NODE_6262_length_768_cov_1.774146_1 [3 - 686]</t>
  </si>
  <si>
    <t>-------YL---W---------------------HIYSQYHHILQLNLCMKSPIV-----</t>
  </si>
  <si>
    <t>--------------------ESD-------------------------------------</t>
  </si>
  <si>
    <t>---------------GDTIL------------------------PL-VVFDDG-------</t>
  </si>
  <si>
    <t>---------------STTYKTSEDVADV----DSIE-YNY-------------------R</t>
  </si>
  <si>
    <t>YKVFDS------------------------------------------------------</t>
  </si>
  <si>
    <t>------NDYTVE------------------------------------------------</t>
  </si>
  <si>
    <t>----------------------------------------STLDT---------------</t>
  </si>
  <si>
    <t>-----------TISN---------------------------------------------</t>
  </si>
  <si>
    <t>----------------------------MITQ----------------------------</t>
  </si>
  <si>
    <t>-----------------NA--PK-------------------------------------</t>
  </si>
  <si>
    <t>KLIK-----KSTIMFDTHAVS-TITD----------------------------------</t>
  </si>
  <si>
    <t>G------------YDELTGNTAEMQ-----------------------------------</t>
  </si>
  <si>
    <t>--------------------------------------------AWNSDQR------R--</t>
  </si>
  <si>
    <t>-----------RKRLTIP---L--------------------THW---------------</t>
  </si>
  <si>
    <t>---------FEL---------------------------------D--------------</t>
  </si>
  <si>
    <t>---DIGNSI-------PDIAL-----LHTDIIHKLELE----------------------</t>
  </si>
  <si>
    <t>-----T------------------------------------------------------</t>
  </si>
  <si>
    <t>---------YENLII-----------------------------KEAGS-----------</t>
  </si>
  <si>
    <t>-----RY-----------------------------------------------------</t>
  </si>
  <si>
    <t>-------V-RKP------------------------------------------------</t>
  </si>
  <si>
    <t>----------------------RIKCQL--------------------------------</t>
  </si>
  <si>
    <t>------------------------------LK----------------------------</t>
  </si>
  <si>
    <t>---------------------------------------------------------RC-</t>
  </si>
  <si>
    <t>-------------NR---------------------------------------------</t>
  </si>
  <si>
    <t>-------MSAT-------------------------------------------------</t>
  </si>
  <si>
    <t>---------------------------------------------TGI-------F----</t>
  </si>
  <si>
    <t>---------------------------------------------LQ-------------</t>
  </si>
  <si>
    <t>------------------A-QRDIRY------DGL-----FFLNT---RLRERLAEIKQ-</t>
  </si>
  <si>
    <t>---------------GRINS------------------KQDNIQPF-IS-----------</t>
  </si>
  <si>
    <t>FRPH--------------------------------------------------------</t>
  </si>
  <si>
    <t>--VKTTSVYSVSRS----------------------------------------------</t>
  </si>
  <si>
    <t>--------------------------------------------KGTT------------</t>
  </si>
  <si>
    <t>--------------------------CIDN-------NTNTKLNF---------------</t>
  </si>
  <si>
    <t>-----------SVQS---------------------------------------------</t>
  </si>
  <si>
    <t>-----VGS--------------------FTSD----------------------------</t>
  </si>
  <si>
    <t>----------------------------------MAIRIK--------------------</t>
  </si>
  <si>
    <t>---------------FNNL-----------------------------------------</t>
  </si>
  <si>
    <t>---------------------------------------GSQNASDSA------------</t>
  </si>
  <si>
    <t>RLFE-----NVKFKSKGTVLE-EYS---------------------------------Y-</t>
  </si>
  <si>
    <t>S------------WNNSIGQDVPKKVK---------------------------------</t>
  </si>
  <si>
    <t>--------------------------------------------AFNTRGFVQYM-----</t>
  </si>
  <si>
    <t>GFQTPKTFHE-NIELVIP---L--------------------NFF---------------</t>
  </si>
  <si>
    <t>---------FTN---------------------------------D--------------</t>
  </si>
  <si>
    <t>----------------PSTALYNKLIPESRREVEVTLA----------------------</t>
  </si>
  <si>
    <t>-----K---------------LSDIVQCLD------------------------------</t>
  </si>
  <si>
    <t>------------RT----------------------------------------------</t>
  </si>
  <si>
    <t>----------------------PIALPIES------------------------------</t>
  </si>
  <si>
    <t>---------------------------LEFEA------------------------VL--</t>
  </si>
  <si>
    <t>-KVKKEY-----------------TKTL-------ISE----------------------</t>
  </si>
  <si>
    <t>------------------------------------------------------SGTI--</t>
  </si>
  <si>
    <t>---PLSHL-KGP----IETLYVGFRDKTNSS-----------------------------</t>
  </si>
  <si>
    <t>-----------------------------------------------------FDNW---</t>
  </si>
  <si>
    <t>-----------------------HQFGKV-------------------------------</t>
  </si>
  <si>
    <t>N-------------KIMMPALQHTIKDGEEVPHLV---ALNGKE----------------</t>
  </si>
  <si>
    <t>----QSSGISLFPTTNTKF----FRNYFP-QR--YV------------NKSNL-------</t>
  </si>
  <si>
    <t>----------VSNKDSSAYAI-------------PCCLF-P----EYEKTNGCYYA-SA-</t>
  </si>
  <si>
    <t>---NK--------EFKILYDNETNIS----------------------------------</t>
  </si>
  <si>
    <t>--------------------------------------------------NNNH------</t>
  </si>
  <si>
    <t>-------------------AEVII--------VATCLAVLTR-----D------------</t>
  </si>
  <si>
    <t>----------------NEGNS---------------------------------------</t>
  </si>
  <si>
    <t>---------------VLK------------------FTI---------------------</t>
  </si>
  <si>
    <t>-------MI---------------------------------------------------</t>
  </si>
  <si>
    <t>---------------------------------------------GNL------------</t>
  </si>
  <si>
    <t>---------------------------------------------IQVISK---------</t>
  </si>
  <si>
    <t>------------------G---------------------KVFET---------------</t>
  </si>
  <si>
    <t>-----------------------------Q------------------------------</t>
  </si>
  <si>
    <t>YSEY----IF--------------------------------------------------</t>
  </si>
  <si>
    <t>-VVKRTTRFSNYVR----------------------------------------------</t>
  </si>
  <si>
    <t>---------------EVITN----------------------------------------</t>
  </si>
  <si>
    <t>------------------------------------------ERIDF-------------</t>
  </si>
  <si>
    <t>----------------------------------------KTITF---------------</t>
  </si>
  <si>
    <t>-----------DIPK---------------------------------------------</t>
  </si>
  <si>
    <t>-----VGD--------------------FIWK----------------------------</t>
  </si>
  <si>
    <t>----------------------------------LYIETV--------------------</t>
  </si>
  <si>
    <t>-----------LSEKSEQ------------------------------------------</t>
  </si>
  <si>
    <t>----------------------------------------AREIAESR-------GL---</t>
  </si>
  <si>
    <t>-------------------------------------------------TGP--------</t>
  </si>
  <si>
    <t>HIFE-----RVELLIDGVTIC-HYS-----------------------------------</t>
  </si>
  <si>
    <t>D----------IYLSQMVARDQLSVVG---------------------------------</t>
  </si>
  <si>
    <t>-----------EKVIYTP---L--------------------HFW---------------</t>
  </si>
  <si>
    <t>---------FTN------------------------------------------------</t>
  </si>
  <si>
    <t>---EIHQAL-------PLFKM-----ENTRVQIRVKIR----------------------</t>
  </si>
  <si>
    <t>-----S---------------IDDLIVS-------NMLLDSRNTEIQYTE----------</t>
  </si>
  <si>
    <t>------------RN----AP----------------------------------------</t>
  </si>
  <si>
    <t>----------------------------------------------W-------------</t>
  </si>
  <si>
    <t>-----------------------VAASLESNISQPM------------------------</t>
  </si>
  <si>
    <t>---------------------------VKF------------------T-----------</t>
  </si>
  <si>
    <t>---------GARYFGINPVDPLLPQIYGYNGINTSNQGRYIPEVDNGRQ-----------</t>
  </si>
  <si>
    <t>-D---EYHLTSCSLICQCFDIGNEEKTLMAEKTYPVYQ--------------IQELYYP-</t>
  </si>
  <si>
    <t>--------------------------------------------------NQSTRGRI--</t>
  </si>
  <si>
    <t>-LSELV-F-SNP----VAHIHWFYRNPEIIS-----------------------------</t>
  </si>
  <si>
    <t>---------------------VFNNYVNV-------------------------------</t>
  </si>
  <si>
    <t>----------------------------------SKNVVNNTSKMPIY------------</t>
  </si>
  <si>
    <t>-------------------------P----------------------------------</t>
  </si>
  <si>
    <t>VLP---------------------------------------------------------</t>
  </si>
  <si>
    <t>--------------KI----------------------KVDNHD----------------</t>
  </si>
  <si>
    <t>-----------------------FRDIVYQTR--------KGILP-----SIY-------</t>
  </si>
  <si>
    <t>--------------EKYIYSY-------------HFGKEVA----PHKKFSA-----CL-</t>
  </si>
  <si>
    <t>-------------NFDKL-NRL-YLE----------------------------------</t>
  </si>
  <si>
    <t>-----SEFDYNPDD------------------------------------SLNQE-----</t>
  </si>
  <si>
    <t>-------------------TNIHI--------LAESLNLLVF------------------</t>
  </si>
  <si>
    <t>----------------SGGKA-----------------------------S---------</t>
  </si>
  <si>
    <t>----------------LL------------------FDSP--------------------</t>
  </si>
  <si>
    <t>&gt;1109MEGAvirome_6-GSNCC_NODE_903_length_4390_cov_42.281490_4 [3717 - 3277] (REVERSE SENSE)</t>
  </si>
  <si>
    <t>--RY--------------------------------------------------------</t>
  </si>
  <si>
    <t>---------------------F--------------------EFF---------------</t>
  </si>
  <si>
    <t>---------V--------------------------------------------------</t>
  </si>
  <si>
    <t>--------------------------QYHEVKVNILFE----------------------</t>
  </si>
  <si>
    <t>--------------------------------------EANMALVGADTTYTPS------</t>
  </si>
  <si>
    <t>---------YSTFV-------------------------FLDT-EERKR-FSQQSHG---</t>
  </si>
  <si>
    <t>---TLTY--------------------S-------IVS----------------------</t>
  </si>
  <si>
    <t>-------YITHI----CSPLFLLC------------------------------------</t>
  </si>
  <si>
    <t>--------------RV-------------------FGDLVAAHRS---------------</t>
  </si>
  <si>
    <t>----------------------RVSQP---------------------------------</t>
  </si>
  <si>
    <t>----SCHC--------------------P-YHQRQV----VLQPP-----SQ--------</t>
  </si>
  <si>
    <t>----------------------------------DIGMG-C-QE-WKHPRTL-----YN-</t>
  </si>
  <si>
    <t>-------------SESRR-DKR-QVC----------------------------------</t>
  </si>
  <si>
    <t>------------------------------------Y-----------------------</t>
  </si>
  <si>
    <t>&gt;1704MEGAvirome_5-NODE_443_length_12006_cov_117.892620_15 [895 - 2] (REVERSE SENSE)</t>
  </si>
  <si>
    <t>-------MP---------------------------------------G-----------</t>
  </si>
  <si>
    <t>---------------------------------------------FQLVTT---------</t>
  </si>
  <si>
    <t>------------------SPSESVET--------------LYL-N---------------</t>
  </si>
  <si>
    <t>------TNFSLFDK----------------------------------------------</t>
  </si>
  <si>
    <t>-----------------------------------------FLN----------------</t>
  </si>
  <si>
    <t>----------------------------------------IGNKVSY-------------</t>
  </si>
  <si>
    <t>----------------------------------------STIIE---------------</t>
  </si>
  <si>
    <t>-----------KIKR-A-------------------------------------------</t>
  </si>
  <si>
    <t>------GD--------------------IMHG----------------------------</t>
  </si>
  <si>
    <t>----------------------------------LSLVVD--------------------</t>
  </si>
  <si>
    <t>---------DVELEFDKPTVT-NVKKTL--------------------------------</t>
  </si>
  <si>
    <t>---------------KSYGIVWDPTDM---------------------------------</t>
  </si>
  <si>
    <t>-----------EDDLVTD--AI--------------------------------------</t>
  </si>
  <si>
    <t>---------YTSEIK---------------------------------------------</t>
  </si>
  <si>
    <t>----------------PIIEN---------------------------------------</t>
  </si>
  <si>
    <t>--------------------YVTDR-----------------------------------</t>
  </si>
  <si>
    <t>FDG--DYA-------------------L------------------------VQAT----</t>
  </si>
  <si>
    <t>--------------------------------------------------------DI--</t>
  </si>
  <si>
    <t>---RMNNI----------------------------------------------------</t>
  </si>
  <si>
    <t>--------------VLDM-----------------D--NIDGMEWD----SL--------</t>
  </si>
  <si>
    <t>----------------------SFKNR---------------------------------</t>
  </si>
  <si>
    <t>---------SDI-----------YYYVDS-TE--------HTITA-----ST--------</t>
  </si>
  <si>
    <t>QVTERYLDLQVEHNATELAKSG-AIY----------------------------------</t>
  </si>
  <si>
    <t>-----VAVKKSAVT----------------------------------------------</t>
  </si>
  <si>
    <t>-------------------GALNVSQ-----SVTLTSNVYFVS-----------------</t>
  </si>
  <si>
    <t>--------------------------------------------------G---------</t>
  </si>
  <si>
    <t>---------------DVQ--------------K---FH----------------------</t>
  </si>
  <si>
    <t>&gt;1109MEGAvirome_7-GSNCB_NODE_1191_length_2933_cov_22.682523_1 [2 - 376]</t>
  </si>
  <si>
    <t>--------------------------------------------SLP-------------</t>
  </si>
  <si>
    <t>---------------SR-------------------------YVP---------------</t>
  </si>
  <si>
    <t>-----------------YC-----------------------------------------</t>
  </si>
  <si>
    <t>----------------RRL-----------------------------------------</t>
  </si>
  <si>
    <t>--------------------------------------------C---------------</t>
  </si>
  <si>
    <t>-----------PIDM---------------------------------------------</t>
  </si>
  <si>
    <t>-------I---------------SHMCLYIV-----------------------------</t>
  </si>
  <si>
    <t>-----------------------------------------------------QHTGAE-</t>
  </si>
  <si>
    <t>-------------------------TVTPG------------------------------</t>
  </si>
  <si>
    <t>--------------------------------------------------SGARTHNV--</t>
  </si>
  <si>
    <t>---RLS-L-NHP----VRVLSWVIKNS---------------------------------</t>
  </si>
  <si>
    <t>--------------------GHHGVFTTQAGG----------------------------</t>
  </si>
  <si>
    <t>--------------RL----------------------QLNGHD----------------</t>
  </si>
  <si>
    <t>----------------------RFDSRQ--------------------------------</t>
  </si>
  <si>
    <t>---------GAY-----------FNKVQP-Y---------EHVSP-----A---------</t>
  </si>
  <si>
    <t>----------------------------------------P------KPAAG-----M--</t>
  </si>
  <si>
    <t>&gt;1109MEGAvirome_7-GSNCB_NODE_390_length_7028_cov_47.215635_22 [1542 - 1066] (REVERSE SENSE)</t>
  </si>
  <si>
    <t>----------------R-------------------------YVPC--------------</t>
  </si>
  <si>
    <t>-----------------FC-----------------------------------------</t>
  </si>
  <si>
    <t>-----------------CL-----------------------------------------</t>
  </si>
  <si>
    <t>-------I---------------SHTCFLSMQ----------------------------</t>
  </si>
  <si>
    <t>-------------LNI--------------------------------------------</t>
  </si>
  <si>
    <t>------------------LFE---------------------------------------</t>
  </si>
  <si>
    <t>---------------------M--------------------------------------</t>
  </si>
  <si>
    <t>---------ANA------------------------------------------------</t>
  </si>
  <si>
    <t>---GVDSTV-------EPTCQ---------------------------------------</t>
  </si>
  <si>
    <t>---------LFSTF------------------------VYLDT-EERKR-FSQQSH----</t>
  </si>
  <si>
    <t>-----EY--------------------L-------ITT--------------LQHTGAE-</t>
  </si>
  <si>
    <t>--------------------GHHGVFTTQAAG----------------------------</t>
  </si>
  <si>
    <t>--------------RL----------------------QLNGH-----------------</t>
  </si>
  <si>
    <t>LL-------LLSTIVSL-------------------------------------------</t>
  </si>
  <si>
    <t>&gt;1109MEGAvirome_8-GSNCH_NODE_5285_length_4026_cov_2.281608_5 [2029 - 2355]</t>
  </si>
  <si>
    <t>--------------------------------------------SPH-------------</t>
  </si>
  <si>
    <t>---------------SR-------------------------YVPC--------------</t>
  </si>
  <si>
    <t>-------I---------------SHMCFICM-----------------------------</t>
  </si>
  <si>
    <t>&gt;1109MEGAvirome_7-GSNCB_NODE_718_length_4684_cov_9.943779_2 [519 - 956]</t>
  </si>
  <si>
    <t>------------------G-------------------------T---------------</t>
  </si>
  <si>
    <t>---------------SR-------------------------IV----------------</t>
  </si>
  <si>
    <t>------------------C-----------------------------------------</t>
  </si>
  <si>
    <t>---------------VVYF------------------FESR-------------------</t>
  </si>
  <si>
    <t>------GN---------------IFVCL--------------------------------</t>
  </si>
  <si>
    <t>-----QY--------------------L-------ITT--------------LQHTGAE-</t>
  </si>
  <si>
    <t>-------------------------SVTPG------------------------------</t>
  </si>
  <si>
    <t>--------------------------------------------------SSARTHNV--</t>
  </si>
  <si>
    <t>---RLS-L-NHP----VRVLSWVIKQA---------------------------------</t>
  </si>
  <si>
    <t>--------------------GIHGKFTTQSPG----------------------------</t>
  </si>
  <si>
    <t>----------------------RFDSRH--------------------------------</t>
  </si>
  <si>
    <t>---------GAY-----------FNKVQP-YE---------HVSP-----AP--------</t>
  </si>
  <si>
    <t>------------KPAAGVYSY-------------HFGLR-SNEQ--VQP-SG-----M--</t>
  </si>
  <si>
    <t>&gt;1109MEGAvirome_7-GSNCB_NODE_423_length_6727_cov_22.299759_10 [4318 - 3836] (REVERSE SENSE)</t>
  </si>
  <si>
    <t>--------------------------------------------TSC-------------</t>
  </si>
  <si>
    <t>---------------SK-------------------------TLPT--------------</t>
  </si>
  <si>
    <t>-----------------WP-----------------------------------------</t>
  </si>
  <si>
    <t>SSQH--------------------------------------------------------</t>
  </si>
  <si>
    <t>------------------------------------------ASC---------------</t>
  </si>
  <si>
    <t>-----------SL-----------------------------------------------</t>
  </si>
  <si>
    <t>------------------------HSCTLIPR----------------------------</t>
  </si>
  <si>
    <t>-------------RESASV-----------------------------------------</t>
  </si>
  <si>
    <t>-LMR-----YVR------------------------------------------------</t>
  </si>
  <si>
    <t>---------FFN------------------------------------------------</t>
  </si>
  <si>
    <t>------------------LCLY--------------------------------------</t>
  </si>
  <si>
    <t>---------MNRYLLT---------------------RLFFSL-----------------</t>
  </si>
  <si>
    <t>--------------------------------------------------SSARTHNI--</t>
  </si>
  <si>
    <t>---RLS-L-NHP----VRVLSWVIKN----------------------------------</t>
  </si>
  <si>
    <t>--------------------GVHGRFTTQAPG----------------------------</t>
  </si>
  <si>
    <t>--------------RL----------------------QLNGHG----------------</t>
  </si>
  <si>
    <t>-------------TLSLHIDHD--LS----------------------------------</t>
  </si>
  <si>
    <t>-------------------S----------------------------------------</t>
  </si>
  <si>
    <t>&gt;1109MEGAvirome_6-GSNCC_NODE_1689_length_2480_cov_41.566038_5 [715 - 146] (REVERSE SENSE)</t>
  </si>
  <si>
    <t>--------------------------------------------TFS-------------</t>
  </si>
  <si>
    <t>---------------SK-------------------------TPPI--------------</t>
  </si>
  <si>
    <t>-----------SLLS---------------------------------------------</t>
  </si>
  <si>
    <t>--------------------------CTSIPK----------------------------</t>
  </si>
  <si>
    <t>SLMR-----YVRYSI---------------------------------------------</t>
  </si>
  <si>
    <t>-----------------IS-----------------------------------------</t>
  </si>
  <si>
    <t>-----------TKEQCISH--V--------------------------------------</t>
  </si>
  <si>
    <t>----------------PCLCL---------------------------------------</t>
  </si>
  <si>
    <t>--------------------GMHGRFTTQAPG----------------------------</t>
  </si>
  <si>
    <t>---------GAY-----------FNKVCNFLE--H---------------ASL-------</t>
  </si>
  <si>
    <t>----------------------------------VFVID------------------MI-</t>
  </si>
  <si>
    <t>-------------------SHR-SCT----------------------------------</t>
  </si>
  <si>
    <t>----------------YAGST---------------------------------------</t>
  </si>
  <si>
    <t>&gt;1109MEGAvirome_7-GSNCB_NODE_91_length_14376_cov_49.248162_65 [1818 - 1351] (REVERSE SENSE)</t>
  </si>
  <si>
    <t>------------------S-------------------------TSS-------------</t>
  </si>
  <si>
    <t>---------------SK-------------------------TRPT--------------</t>
  </si>
  <si>
    <t>-------------------------------------WSEPM-----------------R</t>
  </si>
  <si>
    <t>HTRH--------------------------------------------------------</t>
  </si>
  <si>
    <t>---------------L--------------------------VYC---------------</t>
  </si>
  <si>
    <t>-----------TLHL---------------------------------------------</t>
  </si>
  <si>
    <t>--------------------------CSLTQK----------------------------</t>
  </si>
  <si>
    <t>-------------KERDSV-----------------------------------------</t>
  </si>
  <si>
    <t>SVFR-----YLKIMHDKTHLT---------------------------------------</t>
  </si>
  <si>
    <t>---------------------L--------------------LLY---------------</t>
  </si>
  <si>
    <t>-------------------------------------RVFVQS-----------------</t>
  </si>
  <si>
    <t>----HEY--------------------L-------VTL--------------LQHTGAE-</t>
  </si>
  <si>
    <t>-------------------------SLSPA------------------------------</t>
  </si>
  <si>
    <t>--------------------------------------------------ATSRTTNV--</t>
  </si>
  <si>
    <t>---RLS-F-NHP----VKTLAWVVKNG---------------------------------</t>
  </si>
  <si>
    <t>--------------------NTHGRYTTQASG----------------------------</t>
  </si>
  <si>
    <t>--------------RL----------------------QLNGTY----------------</t>
  </si>
  <si>
    <t>------------------------------FL----------------------------</t>
  </si>
  <si>
    <t>--------------------------------------------------NA--------</t>
  </si>
  <si>
    <t>-------------DLTR-------------------------------------------</t>
  </si>
  <si>
    <t>----------------------------------LVSINIILINLF--------------</t>
  </si>
  <si>
    <t>CECMLDMMNNSLSY--------------------------N-----RP------------</t>
  </si>
  <si>
    <t>---------EC-------------------------------------------------</t>
  </si>
  <si>
    <t>----------------------------------------INFQNNSVQKNV--------</t>
  </si>
  <si>
    <t>FVGSGIPSQII-------GKQGD-----------------IYLDRITRIYYKKINGVWVK</t>
  </si>
  <si>
    <t>NVCNNHRCCYPKECKGNPHTKGEKG----------------ETGPKGIKGEKGDRGLKGE</t>
  </si>
  <si>
    <t>KGNNGDPGEKGEKGAKGDKGESGEKGAKGDKGDKGDIGEKGEKGDKGDIGEKGEKGDKGD</t>
  </si>
  <si>
    <t>IGEKGDKGDLGEKGEKGDPGQKGEKGDKGDFGDKGDKGDIGEKGDKGDIGDKGEIGNKGD</t>
  </si>
  <si>
    <t>VGEKGSKGDKGIDGTSILF----G-------------FGIPSPDLGVDGDLYLDANTDEL</t>
  </si>
  <si>
    <t>YGKVNGQWI---------------------------------------------------</t>
  </si>
  <si>
    <t>KGDQG---------------------------IKGDIGDKGEKGDIGEK-----------</t>
  </si>
  <si>
    <t>GIKGD---KGDI----------GEKGDKG----------------DIGEKGNKGEK--GD</t>
  </si>
  <si>
    <t>KGDKGDIGEKGDKGDTGSKGDKG--DKGEKGDKGDKGEKGDIGDKGEKGDKGDKGDKGDK</t>
  </si>
  <si>
    <t>GDKGDKGDTGDKGDKGDKGDKGDKGD--------------NGTSILFGSG---PPSP---</t>
  </si>
  <si>
    <t>-----------------DLGMVGD------------------------------------</t>
  </si>
  <si>
    <t>------------------------------------------LYIDVT-TDELY------</t>
  </si>
  <si>
    <t>---------------------------------------------GKVNAKMN-------</t>
  </si>
  <si>
    <t>----------------------------DNIRVSAKVNVNKQITLQA-------------</t>
  </si>
  <si>
    <t>KGDKGNPGTNAGKGEKGDKGD---------------------------------------</t>
  </si>
  <si>
    <t>-----KGDAGTSI---------------LFGQGAPDPNQGVDGD-IYI------------</t>
  </si>
  <si>
    <t>------------DTL---TG-------------ELYRKVNG-------------------</t>
  </si>
  <si>
    <t>------------------LWVPEIDIKG--------------------------------</t>
  </si>
  <si>
    <t>------------DKGEKGDKGNA-------------------------------------</t>
  </si>
  <si>
    <t>---GDKGTSGEK------------------------------G-----------------</t>
  </si>
  <si>
    <t>----------DLGSKGEK-------------GDTGEKGDKGNKGDR--------------</t>
  </si>
  <si>
    <t>-----------GDKGIKGDI----------------------------------------</t>
  </si>
  <si>
    <t>-----------------------GSKGDKGDIGNKGDKGD--------------------</t>
  </si>
  <si>
    <t>-------RGDKGIKGDAGLKGD------------------------KGDIGQKGD-----</t>
  </si>
  <si>
    <t>-------------KGTKGDRGDKGEK----------------------------------</t>
  </si>
  <si>
    <t>------------------GDAGLKGNKGD--------------IGLK-------------</t>
  </si>
  <si>
    <t>--------------------GDKGT-----K-----------------------------</t>
  </si>
  <si>
    <t>-----GDRGDKGTKGD-------------------------------------------R</t>
  </si>
  <si>
    <t>GDKGDIGNKG--------------------------------------------------</t>
  </si>
  <si>
    <t>------DKGD-----KGTKGDRGDKGV---------------------------------</t>
  </si>
  <si>
    <t>---------------------------------------------KGDKGDKGN------</t>
  </si>
  <si>
    <t>----------------------------------------------KGDKGNIGIKG---</t>
  </si>
  <si>
    <t>-------------DKGD-------------------------------------------</t>
  </si>
  <si>
    <t>--------------------------------------RSDKGLKGDKGDKGDT------</t>
  </si>
  <si>
    <t>G--SKGDKG------------------------------NKGDKGSKGDKGDIGIKGSKG</t>
  </si>
  <si>
    <t>DKGDKGDKGSKGDKGDIGSKGDKGDKGDIGTKGDKGTKGDKG------------------</t>
  </si>
  <si>
    <t>IKGD----------IGSKGDK----------------------------GSKG-------</t>
  </si>
  <si>
    <t>GDKGDKGSKGDKGSKGIKGDKGDKGTKGDKGIKGD-------------KGDKGIKGD---</t>
  </si>
  <si>
    <t>GS-------------KGDKGDKGDKGDKGEKGS-------------------K-------</t>
  </si>
  <si>
    <t>TRVSACNTGFVKIEASGYEIT-TAPNGSS-DL-----------APDPF------------</t>
  </si>
  <si>
    <t>GNFTATNLSDIGQYSAVFGYQTTATGSGSIVYGINNSSGISSGSNGSLVGGLANTGGIIR</t>
  </si>
  <si>
    <t>SFSGAEGSIAFGSSEINGIITTGFGAQGSIVGGYSSGGTIATGSGANASEAFG---QATT</t>
  </si>
  <si>
    <t>GSLITTG-----------------------------PGAIGSSTR-GYSV----------</t>
  </si>
  <si>
    <t>-----------GNSVITT--GL--------------------ASWASQITGYASN-----</t>
  </si>
  <si>
    <t>-----------------------------SGI----------------------------</t>
  </si>
  <si>
    <t>GDGSIGSSIRGYCSSGSLISL---GPNSNGSIINATVN----------------------</t>
  </si>
  <si>
    <t>-----N---------------FSTLITSS--GVNGSSIVARANNS---------------</t>
  </si>
  <si>
    <t>--------------------------------------------GLISISGNCFGS----</t>
  </si>
  <si>
    <t>------------------------QFVFNSINGGNITIGSTH------------------</t>
  </si>
  <si>
    <t>------------AGSQIVGSANTSGIITVVGG----------------------------</t>
  </si>
  <si>
    <t>-------------------------------LNGTLVAANSSSTSGVRISTSFGS-----</t>
  </si>
  <si>
    <t>--LLAGNA----------------------------------TTGGW--FR---------</t>
  </si>
  <si>
    <t>----------------PGQA--------QGSVIAG------QASASGVILTAFN------</t>
  </si>
  <si>
    <t>-----------AGCNVIGYANRGSTLGINQNAFGY-------------------------</t>
  </si>
  <si>
    <t>----------------------SVMGYADLNS-TITSNAL--------------------</t>
  </si>
  <si>
    <t>---GANACRIMGYA-------------------LNNSTIFMDS-------LVAANAT---</t>
  </si>
  <si>
    <t>TR------------------------------------------------------G---</t>
  </si>
  <si>
    <t>-----------------------NGSMTFG------------------------------</t>
  </si>
  <si>
    <t>--------------------------------------------------FSNNNSTI--</t>
  </si>
  <si>
    <t>----------------------------FTGQFSD------GCFVGGYANSGG-------</t>
  </si>
  <si>
    <t>---TISTGSTSP----ASHVFGFSNSGSFIT-----------------------------</t>
  </si>
  <si>
    <t>-------------------TGNNTNASTV-------------------------------</t>
  </si>
  <si>
    <t>ANSNG---------SL--------------------AVGYTGSS--------GELLG---</t>
  </si>
  <si>
    <t>----------------------ALGQTSFA------------------------------</t>
  </si>
  <si>
    <t>-IGRNNTASGAY-SGAIGIS--SYANMEGSFA--HS-SFQDTVNP----VSA--------</t>
  </si>
  <si>
    <t>------------GRSQNIKVMGRKVGTQIVLANGSYATL-PYDG------YG--------</t>
  </si>
  <si>
    <t>-------D-----VFARLIGSSGTAV----------------------------------</t>
  </si>
  <si>
    <t>----GLTFQVTRTA----------------------------------------------</t>
  </si>
  <si>
    <t>-------------------GTYTVAP-----PITPSGGILWL------------S-----</t>
  </si>
  <si>
    <t>----------------PSGVAA--------------------PPLAITALG--TSGFTI-</t>
  </si>
  <si>
    <t>---------------TLTDAQN-YN----CYFDIVNYSS---------------------</t>
  </si>
  <si>
    <t>-------MQ---------------------------------------------------</t>
  </si>
  <si>
    <t>------------------------------------------EQQCSL------------</t>
  </si>
  <si>
    <t>---------------------------------------------IRMI-----------</t>
  </si>
  <si>
    <t>--------------------TED-------------------------------------</t>
  </si>
  <si>
    <t>---------------ETEHEKII------------------------------------R</t>
  </si>
  <si>
    <t>YKSGDDK---------------------------------------------------KV</t>
  </si>
  <si>
    <t>DEVTSLFDFNPKEYA---------------------------------------------</t>
  </si>
  <si>
    <t>------------------------------------------RNHHLPR-----------</t>
  </si>
  <si>
    <t>-----------EMARGERSGQ---------------------------------------</t>
  </si>
  <si>
    <t>---------------------------YEY------------------------------</t>
  </si>
  <si>
    <t>-----NADSSYS----------------YLYE----------------------------</t>
  </si>
  <si>
    <t>----------------------------------MTLYQV--------------------</t>
  </si>
  <si>
    <t>------------------L--PQVTVK---------------------------------</t>
  </si>
  <si>
    <t>---------------------------------------------------KY-------</t>
  </si>
  <si>
    <t>NVVK-----NAIMFGGEKTVIQTSD-----------------------------------</t>
  </si>
  <si>
    <t>ID----------HINHYLGHVPALI-----------------------------------</t>
  </si>
  <si>
    <t>-----------EWTHKLPKFPLRVL----------------QPWS---------------</t>
  </si>
  <si>
    <t>-----GVPF-------PLFKA------KEKIYFSYKTC----------------------</t>
  </si>
  <si>
    <t>-----S--------------SIFELLRV--------------------------------</t>
  </si>
  <si>
    <t>----------------------------------------RVLKDGQ-------------</t>
  </si>
  <si>
    <t>---------------------------TYI------------------------------</t>
  </si>
  <si>
    <t>-----SPTKEANTI-----------------------SKYLNF-PDKGS-LPSPIMIA--</t>
  </si>
  <si>
    <t>VN----------------------------------------------------------</t>
  </si>
  <si>
    <t>--------------------------------------------------KTNPKVTI--</t>
  </si>
  <si>
    <t>---EVD-I-EDS----IKGIFYVAENLDATL-----------------------------</t>
  </si>
  <si>
    <t>-------------------TNNLSNFSTNAT-----------------------------</t>
  </si>
  <si>
    <t>--------------SL----------------------KYENSP----------------</t>
  </si>
  <si>
    <t>--------L------------VPLSAEL--------------------------------</t>
  </si>
  <si>
    <t>----TPSVLADY-----------IESHYA-IN--Y-----FKGYP---------------</t>
  </si>
  <si>
    <t>-------------RDPGYAAI-----------PLAYDMHTANHE-TFKS--GKF---TA-</t>
  </si>
  <si>
    <t>-----------EFELSDKDDDS--------------DDDSDEREKDEF------------</t>
  </si>
  <si>
    <t>-----LKIGSISSDEV---------------------K-LS-------------------</t>
  </si>
  <si>
    <t>---------------HS-------------------------------------------</t>
  </si>
  <si>
    <t>-------------------YKVHM--------YVLYLKRISF------------------</t>
  </si>
  <si>
    <t>----------------IDGKV---------------------------------------</t>
  </si>
  <si>
    <t>--------------------------------EINKIAPPRN------------------</t>
  </si>
  <si>
    <t>----------------------KK----------</t>
  </si>
  <si>
    <t>-----------------------------------------GDQRDVL------------</t>
  </si>
  <si>
    <t>---------------------------------------------SQMV-----------</t>
  </si>
  <si>
    <t>---------------ETEYEKAL------------------------------------R</t>
  </si>
  <si>
    <t>YSE---------------------------------------------------------</t>
  </si>
  <si>
    <t>EGCQSLFDYAVRKPS---------------------------------------------</t>
  </si>
  <si>
    <t>------------------------------------------RNHHFPR-----------</t>
  </si>
  <si>
    <t>-----------EMKRADTSGS---------------------------------------</t>
  </si>
  <si>
    <t>---------------------------FMY------------------------------</t>
  </si>
  <si>
    <t>-----AADSEYS----------------FLYD----------------------------</t>
  </si>
  <si>
    <t>----------------------------------MQMYLK--------------------</t>
  </si>
  <si>
    <t>------------------L--PKVVVK---------------------------------</t>
  </si>
  <si>
    <t>NVVT-----QAAMYCGKKKSPYQFD-----------------------------------</t>
  </si>
  <si>
    <t>TE----------HFNRFCGHIPTLT-----------------------------------</t>
  </si>
  <si>
    <t>-----------DWGYSLPSHQLQVQ----------------QPWF---------------</t>
  </si>
  <si>
    <t>----EGFPF-------PLFRV------KESVQFEYTFK----------------------</t>
  </si>
  <si>
    <t>-----K--------------SIFDLLRF--------------------------------</t>
  </si>
  <si>
    <t>----------------------------------------KIRAEGED------------</t>
  </si>
  <si>
    <t>---------------------------EEV------------------------------</t>
  </si>
  <si>
    <t>-----PFHK--NFI------------------------EFVSV-ADGGI-LSPPIMIG--</t>
  </si>
  <si>
    <t>VD----------------------------------------------------------</t>
  </si>
  <si>
    <t>--------------------------------------------------KVTPLAQV--</t>
  </si>
  <si>
    <t>---QIK-T-KYP----LKGIFYVAENVDATR-----------------------------</t>
  </si>
  <si>
    <t>-------------------LNNFSNFSTCAE-----------------------------</t>
  </si>
  <si>
    <t>--------------EP----------------------KINGST----------------</t>
  </si>
  <si>
    <t>-------RL------------IPFSSEF--------------------------------</t>
  </si>
  <si>
    <t>----TGEVLAAY-----------YQSNSA-LR--Y-----FPGFP---------------</t>
  </si>
  <si>
    <t>-------------QDPGYAAI-----------PIAYSMADPAHD-GFKSFQGDT---SI-</t>
  </si>
  <si>
    <t>-----------TFQLSDAVENP--------------EEEEGKEEGPNFSKFT--------</t>
  </si>
  <si>
    <t>---ELLKDKSSAGGKV---------------------KSLR-------------------</t>
  </si>
  <si>
    <t>---------------HN-------------------------------------------</t>
  </si>
  <si>
    <t>-------------------FRIHV--------YVVYIKRLTY------------------</t>
  </si>
  <si>
    <t>---------------GDDGEL---------------------------------------</t>
  </si>
  <si>
    <t>--------------------------------KVNDFSDIPK------------------</t>
  </si>
  <si>
    <t>----------------------KA------D---</t>
  </si>
  <si>
    <t>-------MC--V------------------------------------------------</t>
  </si>
  <si>
    <t>----------------------------------------FVNARGFIYENHKVRF----</t>
  </si>
  <si>
    <t>----------------------------------RIF--------FSLKTRSTEC--K--</t>
  </si>
  <si>
    <t>-----------E--SLNMN-SND----------------------IN-------------</t>
  </si>
  <si>
    <t>---------------NN-------------------------------------------</t>
  </si>
  <si>
    <t>YKKHD-------------------------------------------------------</t>
  </si>
  <si>
    <t>NENSPISSFAPTPER---------------------------------------------</t>
  </si>
  <si>
    <t>---------------SLIYSP---------------------------------------</t>
  </si>
  <si>
    <t>------------------------------------------SSHIVPHYL---------</t>
  </si>
  <si>
    <t>-------------------------------------------CVDKAKTEQ--N-----</t>
  </si>
  <si>
    <t>-------------------------------------------KTGLNRLH---------</t>
  </si>
  <si>
    <t>-----------------------------------ELY-DKTLSY---------------</t>
  </si>
  <si>
    <t>-----------NLNHIS-------------------------------------------</t>
  </si>
  <si>
    <t>-----DAD--------------------FIIA----------------------------</t>
  </si>
  <si>
    <t>----------------------------------AILEQV--------------------</t>
  </si>
  <si>
    <t>------------------L--PRTEVK---------------------------------</t>
  </si>
  <si>
    <t>-----R------------------------------------------------------</t>
  </si>
  <si>
    <t>NIPQ-----SFYLKYASDVNFS--------------------------------------</t>
  </si>
  <si>
    <t>H-----------NYNKHIGNVPELT-----------------------------------</t>
  </si>
  <si>
    <t>-----------EWNTILPRYELGIL----------------LPAC---------------</t>
  </si>
  <si>
    <t>---GGPTAL-------PIFLG----GKNSNFELIINIR----------------------</t>
  </si>
  <si>
    <t>-----N--------------RLSNLLR---------------------------------</t>
  </si>
  <si>
    <t>-----------------------------------------MRRKGKDGV----------</t>
  </si>
  <si>
    <t>---------------------------QEI------------------------------</t>
  </si>
  <si>
    <t>---------RANTK-------------------------YLVGFKKEES-ISLPTLRC--</t>
  </si>
  <si>
    <t>-------------------------NLDRDE-----------------------------</t>
  </si>
  <si>
    <t>--------------------------------------------------TARLGSTV--</t>
  </si>
  <si>
    <t>---KIP-I-NKP---GLSQAIFVTSSAVSLHKPT--------------------------</t>
  </si>
  <si>
    <t>-----------------------------------------------------SKDTSL-</t>
  </si>
  <si>
    <t>------------------VPLNYSNYTTN-------------------------------</t>
  </si>
  <si>
    <t>--------------AV----------------------KYGDKY----------------</t>
  </si>
  <si>
    <t>----------------------KISPM---------------------------------</t>
  </si>
  <si>
    <t>----SASA-LAF----------------------RA-GGDFLGTP---------------</t>
  </si>
  <si>
    <t>-------------EVNGYNAI-------------ALSNA-PLSDLVYIP-----------</t>
  </si>
  <si>
    <t>----------ISWPLSEL-DASLEIKLGDTNPYLMEGDKSDEEEFENSMEESTTDV----</t>
  </si>
  <si>
    <t>---KNVEVENIFTDIN---------------------SKIS--------PASSVYDKV--</t>
  </si>
  <si>
    <t>LHE---KAINDKVFSVPEDYNVYV--------RLVTIRRLVF------------R-----</t>
  </si>
  <si>
    <t>----------------RKGVD-----------------------------GPWVASFEE-</t>
  </si>
  <si>
    <t>-------------EKDLNIED-----------EI--YTN---------------------</t>
  </si>
  <si>
    <t>----------------------K-----------</t>
  </si>
  <si>
    <t>-------------------------------------------QLYN-------------</t>
  </si>
  <si>
    <t>-------MH---------------------------------------------------</t>
  </si>
  <si>
    <t>--------------------------------------------NAQLP-----------</t>
  </si>
  <si>
    <t>--------------------YEQ-----------------SYL-----------------</t>
  </si>
  <si>
    <t>--C------------EN---------------------------P---------------</t>
  </si>
  <si>
    <t>------TNFETDKE----------------------------------------------</t>
  </si>
  <si>
    <t>---------------KYKFK----------------------------------------</t>
  </si>
  <si>
    <t>------------------------------------------NNCVF-------------</t>
  </si>
  <si>
    <t>---------------------------IDNI---------AKINI---------------</t>
  </si>
  <si>
    <t>----------------------------------------IK------------------</t>
  </si>
  <si>
    <t>-----------TVSLSN-------------------------------------------</t>
  </si>
  <si>
    <t>-----IGN-------------LSKIFCVLVPK----------------------------</t>
  </si>
  <si>
    <t>----------------EI----------------TTLTSD--------------------</t>
  </si>
  <si>
    <t>------------------I-----------------------------------------</t>
  </si>
  <si>
    <t>RDIK-----ILNIF-SEQTLK-MYN-----------------------------------</t>
  </si>
  <si>
    <t>-----------------P------------------------------------------</t>
  </si>
  <si>
    <t>--------EFCR-------------------------------MIDIC------------</t>
  </si>
  <si>
    <t>---DKRFALL------PHGNS---------------------------------------</t>
  </si>
  <si>
    <t>-----S--------------FVREFIDSA-------------------------------</t>
  </si>
  <si>
    <t>--------------------------------------------G---------------</t>
  </si>
  <si>
    <t>---------------------------FKLGYCIMTHD----------------------</t>
  </si>
  <si>
    <t>-----DKA-YDGYLHIKCI-------------------TALDD-MEIKR-FHTVGH----</t>
  </si>
  <si>
    <t>-----EY--------------------M-------IQN----------------------</t>
  </si>
  <si>
    <t>--------------------------------------------------HIMMTHSV--</t>
  </si>
  <si>
    <t>I--DMH-VTNTP----VTYFAVICPKKVDLD-----------------------------</t>
  </si>
  <si>
    <t>-------------VKF----------------------LYNGKM---------TTVD---</t>
  </si>
  <si>
    <t>----------------------EVGSDP--------------------------------</t>
  </si>
  <si>
    <t>---------GTFV-----------------LE------------------SK--------</t>
  </si>
  <si>
    <t>E--NRH-D-----PMIKIITST--------------------------------------</t>
  </si>
  <si>
    <t>-------------------TDIEI--------VYSMYNVMRYIKNI-DKTKWCLSI----</t>
  </si>
  <si>
    <t>MKDHNIRSVTDFFF--SGGHLA--------------------SDYNIKTPGQM------T</t>
  </si>
  <si>
    <t>-------------STSIACPEYGY------------FDKGGD------------------</t>
  </si>
  <si>
    <t>----------------------------------D-------------GCPLF-------</t>
  </si>
  <si>
    <t>&gt;1109MEGAvirome_8-GSNCH_NODE_3368_length_7122_cov_7.590579_9 [5187 - 4825] (REVERSE SENSE)</t>
  </si>
  <si>
    <t>--------------------NQD-------------------------------------</t>
  </si>
  <si>
    <t>-----------QLSE---------------------------------------------</t>
  </si>
  <si>
    <t>-----TGK----------------------------------------------------</t>
  </si>
  <si>
    <t>-------------------------------------------VW---------------</t>
  </si>
  <si>
    <t>----------------PLFFL---------------------------------------</t>
  </si>
  <si>
    <t>---------------------IKRL-----------------------------------</t>
  </si>
  <si>
    <t>--------RYSPFS-------------------------YIRK-------------MSH-</t>
  </si>
  <si>
    <t>-----EY--------------------L-------ITQKQWVGW------ETVQ------</t>
  </si>
  <si>
    <t>-------------------------------------------------PDVANKKSI--</t>
  </si>
  <si>
    <t>-TSRLN-F-NHP------------------------------------------------</t>
  </si>
  <si>
    <t>---------CKY------------------------------------------------</t>
  </si>
  <si>
    <t>-------------I--------------------AFALTKP-DV------HG-KY--ST-</t>
  </si>
  <si>
    <t>------SD-----DFTAKNDSFAPLY----------------------------------</t>
  </si>
  <si>
    <t>-------------------ARLTLLL-----QRAIKYGAVFI------------------</t>
  </si>
  <si>
    <t>&gt;1704MEGAvirome_5-NODE_9291_length_465_cov_0.783784_1 [465 - 1] (REVERSE SENSE)</t>
  </si>
  <si>
    <t>---------------------------------------------DDLSNM---------</t>
  </si>
  <si>
    <t>----------------------------------------YYLYS---------------</t>
  </si>
  <si>
    <t>---------------GE-----------------F-------------------------</t>
  </si>
  <si>
    <t>LSRY-----F------------------------------------------------MN</t>
  </si>
  <si>
    <t>----TFNIFTAHEL----------------------------------------------</t>
  </si>
  <si>
    <t>-----------PIKKLS-------------------------------------------</t>
  </si>
  <si>
    <t>-----VRD----------IYD-------IIDT----------------------------</t>
  </si>
  <si>
    <t>----------------------------------TFMSVR--------------------</t>
  </si>
  <si>
    <t>-----------EIYN---------------------------------------------</t>
  </si>
  <si>
    <t>---------------------I--------------------C-----------------</t>
  </si>
  <si>
    <t>---------MNN------------------------------------------------</t>
  </si>
  <si>
    <t>--------------------------------------G---------------------</t>
  </si>
  <si>
    <t>-----S---------------INNI-----------------------------------</t>
  </si>
  <si>
    <t>---------------------------VKLDK----------------------------</t>
  </si>
  <si>
    <t>---------------------------------------YQDK-----------------</t>
  </si>
  <si>
    <t>---------------------------L-------LNK----------------------</t>
  </si>
  <si>
    <t>-------L----------------------------------------------------</t>
  </si>
  <si>
    <t>--------------VL--------------------------------------------</t>
  </si>
  <si>
    <t>--------------------------------------------------TN--------</t>
  </si>
  <si>
    <t>--------------KIGQYFY-------------DFLQNKPIEQ-QNKK-----------</t>
  </si>
  <si>
    <t>-------------DLIKIIDSF--------------------------------------</t>
  </si>
  <si>
    <t>----GIDLENYMCNK---------------------------------------------</t>
  </si>
  <si>
    <t>--------------------------------IIPLYNQLVL------------------</t>
  </si>
  <si>
    <t>--------------------------------------------------N---------</t>
  </si>
  <si>
    <t>-------------------------------------------------RRLFSSASRTA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</si>
</sst>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1009]#,##0"/>
    <numFmt numFmtId="165" formatCode="[$-1009]#,##0.00"/>
    <numFmt numFmtId="166" formatCode="[$-1009]0.00"/>
    <numFmt numFmtId="167" formatCode="[$-1009]0"/>
    <numFmt numFmtId="168" formatCode="0&quot; &quot;%"/>
    <numFmt numFmtId="169" formatCode="0.0&quot; &quot;%"/>
    <numFmt numFmtId="170" formatCode="0.00&quot; &quot;%"/>
    <numFmt numFmtId="171" formatCode="0.000"/>
    <numFmt numFmtId="172" formatCode="#"/>
  </numFmts>
  <fonts count="25"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rgb="FFFFFFFF"/>
      <name val="Arial"/>
      <family val="2"/>
      <charset val="1"/>
    </font>
    <font>
      <b/>
      <sz val="10"/>
      <color rgb="FF0066FF"/>
      <name val="Liberation Sans"/>
    </font>
    <font>
      <b/>
      <sz val="10"/>
      <color theme="1"/>
      <name val="Liberation Sans"/>
    </font>
    <font>
      <b/>
      <sz val="12"/>
      <color rgb="FFFFFFFF"/>
      <name val="Liberation Sans"/>
    </font>
    <font>
      <b/>
      <sz val="12"/>
      <color rgb="FFC9211E"/>
      <name val="Liberation Sans"/>
    </font>
    <font>
      <sz val="12"/>
      <color rgb="FF000000"/>
      <name val="Liberation Sans"/>
    </font>
    <font>
      <sz val="12"/>
      <color rgb="FFC9211E"/>
      <name val="Liberation Sans"/>
    </font>
    <font>
      <sz val="10"/>
      <color rgb="FF000000"/>
      <name val="Liberation Serif"/>
    </font>
    <font>
      <sz val="12"/>
      <color rgb="FFFFFFFF"/>
      <name val="Liberation Sans"/>
    </font>
    <font>
      <b/>
      <sz val="12"/>
      <color theme="1"/>
      <name val="Liberation Sans"/>
    </font>
    <font>
      <sz val="10"/>
      <color rgb="FFC9211E"/>
      <name val="Liberation Sans"/>
    </font>
    <font>
      <b/>
      <sz val="12"/>
      <color theme="0"/>
      <name val="Times New Roman"/>
      <family val="1"/>
    </font>
    <font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11"/>
      <color rgb="FFFFFFFF"/>
      <name val="DejaVu Sans"/>
    </font>
    <font>
      <b/>
      <sz val="11"/>
      <color rgb="FF000000"/>
      <name val="DejaVu Sans"/>
    </font>
    <font>
      <sz val="12"/>
      <color rgb="FF000000"/>
      <name val="Calibri"/>
      <family val="2"/>
    </font>
    <font>
      <sz val="11"/>
      <color rgb="FF000000"/>
      <name val="DejaVu Sans"/>
    </font>
    <font>
      <b/>
      <sz val="12"/>
      <color rgb="FF000000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Liberation Mono"/>
    </font>
    <font>
      <sz val="10"/>
      <color rgb="FF000000"/>
      <name val="Arial"/>
      <family val="2"/>
    </font>
    <font>
      <sz val="12"/>
      <color rgb="FF000000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666666"/>
        <bgColor rgb="FF666666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rgb="FF01579B"/>
        <bgColor rgb="FF01579B"/>
      </patternFill>
    </fill>
    <fill>
      <patternFill patternType="solid">
        <fgColor rgb="FF0D47A1"/>
        <bgColor rgb="FF0D47A1"/>
      </patternFill>
    </fill>
    <fill>
      <patternFill patternType="solid">
        <fgColor rgb="FFBF360C"/>
        <bgColor rgb="FFBF360C"/>
      </patternFill>
    </fill>
    <fill>
      <patternFill patternType="solid">
        <fgColor rgb="FFB71C1C"/>
        <bgColor rgb="FFB71C1C"/>
      </patternFill>
    </fill>
    <fill>
      <patternFill patternType="solid">
        <fgColor rgb="FFFFEA00"/>
        <bgColor rgb="FFFFEA00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EEEEEE"/>
        <bgColor rgb="FFEEEEEE"/>
      </patternFill>
    </fill>
    <fill>
      <patternFill patternType="solid">
        <fgColor rgb="FFFFFF00"/>
        <bgColor rgb="FFEEEEEE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CD4D1"/>
        <bgColor rgb="FFFCD4D1"/>
      </patternFill>
    </fill>
    <fill>
      <patternFill patternType="solid">
        <fgColor rgb="FFDFCCE4"/>
        <bgColor rgb="FFDFCCE4"/>
      </patternFill>
    </fill>
    <fill>
      <patternFill patternType="solid">
        <fgColor rgb="FFE0CDE4"/>
        <bgColor rgb="FFE0CDE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0" fontId="3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69" fontId="0" fillId="0" borderId="0" xfId="0" applyNumberFormat="1"/>
    <xf numFmtId="170" fontId="0" fillId="0" borderId="0" xfId="0" applyNumberFormat="1"/>
    <xf numFmtId="0" fontId="4" fillId="0" borderId="4" xfId="0" applyFont="1" applyBorder="1" applyAlignment="1">
      <alignment horizontal="center"/>
    </xf>
    <xf numFmtId="0" fontId="0" fillId="0" borderId="5" xfId="0" applyBorder="1"/>
    <xf numFmtId="0" fontId="0" fillId="0" borderId="4" xfId="0" applyBorder="1" applyAlignment="1">
      <alignment horizontal="center"/>
    </xf>
    <xf numFmtId="169" fontId="0" fillId="0" borderId="5" xfId="0" applyNumberFormat="1" applyBorder="1"/>
    <xf numFmtId="0" fontId="5" fillId="3" borderId="0" xfId="0" applyFont="1" applyFill="1"/>
    <xf numFmtId="0" fontId="6" fillId="3" borderId="0" xfId="0" applyFont="1" applyFill="1"/>
    <xf numFmtId="0" fontId="0" fillId="4" borderId="0" xfId="0" applyFill="1"/>
    <xf numFmtId="0" fontId="7" fillId="4" borderId="0" xfId="0" applyFont="1" applyFill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0" fontId="9" fillId="0" borderId="0" xfId="0" applyFont="1" applyAlignment="1">
      <alignment wrapText="1"/>
    </xf>
    <xf numFmtId="0" fontId="0" fillId="5" borderId="0" xfId="0" applyFill="1"/>
    <xf numFmtId="49" fontId="0" fillId="0" borderId="0" xfId="0" applyNumberFormat="1"/>
    <xf numFmtId="1" fontId="0" fillId="0" borderId="0" xfId="0" applyNumberFormat="1"/>
    <xf numFmtId="0" fontId="10" fillId="6" borderId="0" xfId="0" applyFont="1" applyFill="1"/>
    <xf numFmtId="170" fontId="10" fillId="6" borderId="0" xfId="0" applyNumberFormat="1" applyFont="1" applyFill="1"/>
    <xf numFmtId="3" fontId="0" fillId="0" borderId="0" xfId="0" applyNumberFormat="1"/>
    <xf numFmtId="0" fontId="10" fillId="7" borderId="0" xfId="0" applyFont="1" applyFill="1"/>
    <xf numFmtId="170" fontId="10" fillId="7" borderId="0" xfId="0" applyNumberFormat="1" applyFont="1" applyFill="1"/>
    <xf numFmtId="0" fontId="10" fillId="8" borderId="0" xfId="0" applyFont="1" applyFill="1"/>
    <xf numFmtId="170" fontId="10" fillId="8" borderId="0" xfId="0" applyNumberFormat="1" applyFont="1" applyFill="1"/>
    <xf numFmtId="0" fontId="10" fillId="9" borderId="0" xfId="0" applyFont="1" applyFill="1"/>
    <xf numFmtId="170" fontId="10" fillId="9" borderId="0" xfId="0" applyNumberFormat="1" applyFont="1" applyFill="1"/>
    <xf numFmtId="0" fontId="0" fillId="10" borderId="0" xfId="0" applyFill="1"/>
    <xf numFmtId="170" fontId="0" fillId="10" borderId="0" xfId="0" applyNumberFormat="1" applyFill="1"/>
    <xf numFmtId="0" fontId="11" fillId="0" borderId="0" xfId="0" applyFont="1"/>
    <xf numFmtId="0" fontId="11" fillId="0" borderId="5" xfId="0" applyFont="1" applyBorder="1"/>
    <xf numFmtId="0" fontId="11" fillId="0" borderId="5" xfId="0" applyFont="1" applyBorder="1" applyAlignment="1">
      <alignment wrapText="1"/>
    </xf>
    <xf numFmtId="0" fontId="12" fillId="0" borderId="0" xfId="0" applyFont="1"/>
    <xf numFmtId="49" fontId="0" fillId="0" borderId="5" xfId="0" applyNumberFormat="1" applyBorder="1"/>
    <xf numFmtId="0" fontId="1" fillId="0" borderId="0" xfId="0" applyFont="1"/>
    <xf numFmtId="2" fontId="0" fillId="0" borderId="0" xfId="0" applyNumberFormat="1"/>
    <xf numFmtId="0" fontId="13" fillId="11" borderId="6" xfId="0" applyFont="1" applyFill="1" applyBorder="1"/>
    <xf numFmtId="0" fontId="14" fillId="11" borderId="6" xfId="0" applyFont="1" applyFill="1" applyBorder="1"/>
    <xf numFmtId="0" fontId="15" fillId="0" borderId="6" xfId="0" applyFont="1" applyBorder="1"/>
    <xf numFmtId="0" fontId="16" fillId="12" borderId="0" xfId="0" applyFont="1" applyFill="1" applyAlignment="1">
      <alignment horizontal="center" vertical="center" wrapText="1"/>
    </xf>
    <xf numFmtId="0" fontId="17" fillId="12" borderId="0" xfId="0" applyFont="1" applyFill="1" applyAlignment="1">
      <alignment horizontal="center" vertical="center" wrapText="1"/>
    </xf>
    <xf numFmtId="0" fontId="18" fillId="0" borderId="0" xfId="0" applyFont="1"/>
    <xf numFmtId="0" fontId="18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171" fontId="19" fillId="0" borderId="7" xfId="0" applyNumberFormat="1" applyFont="1" applyBorder="1" applyAlignment="1">
      <alignment horizontal="center"/>
    </xf>
    <xf numFmtId="0" fontId="19" fillId="0" borderId="0" xfId="0" applyFont="1"/>
    <xf numFmtId="0" fontId="19" fillId="0" borderId="4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171" fontId="19" fillId="0" borderId="8" xfId="0" applyNumberFormat="1" applyFont="1" applyBorder="1" applyAlignment="1">
      <alignment horizontal="center"/>
    </xf>
    <xf numFmtId="0" fontId="19" fillId="13" borderId="4" xfId="0" applyFont="1" applyFill="1" applyBorder="1" applyAlignment="1">
      <alignment horizontal="center"/>
    </xf>
    <xf numFmtId="0" fontId="19" fillId="13" borderId="8" xfId="0" applyFont="1" applyFill="1" applyBorder="1" applyAlignment="1">
      <alignment horizontal="center"/>
    </xf>
    <xf numFmtId="171" fontId="19" fillId="13" borderId="8" xfId="0" applyNumberFormat="1" applyFont="1" applyFill="1" applyBorder="1" applyAlignment="1">
      <alignment horizontal="center"/>
    </xf>
    <xf numFmtId="0" fontId="19" fillId="14" borderId="4" xfId="0" applyFont="1" applyFill="1" applyBorder="1" applyAlignment="1">
      <alignment horizontal="center"/>
    </xf>
    <xf numFmtId="0" fontId="17" fillId="14" borderId="8" xfId="0" applyFont="1" applyFill="1" applyBorder="1" applyAlignment="1">
      <alignment horizontal="center"/>
    </xf>
    <xf numFmtId="0" fontId="19" fillId="14" borderId="8" xfId="0" applyFont="1" applyFill="1" applyBorder="1" applyAlignment="1">
      <alignment horizontal="center"/>
    </xf>
    <xf numFmtId="172" fontId="19" fillId="14" borderId="8" xfId="0" applyNumberFormat="1" applyFont="1" applyFill="1" applyBorder="1" applyAlignment="1">
      <alignment horizontal="center"/>
    </xf>
    <xf numFmtId="171" fontId="19" fillId="14" borderId="8" xfId="0" applyNumberFormat="1" applyFont="1" applyFill="1" applyBorder="1" applyAlignment="1">
      <alignment horizontal="center"/>
    </xf>
    <xf numFmtId="0" fontId="19" fillId="15" borderId="0" xfId="0" applyFont="1" applyFill="1"/>
    <xf numFmtId="0" fontId="18" fillId="15" borderId="0" xfId="0" applyFont="1" applyFill="1"/>
    <xf numFmtId="0" fontId="19" fillId="15" borderId="4" xfId="0" applyFont="1" applyFill="1" applyBorder="1" applyAlignment="1">
      <alignment horizontal="center"/>
    </xf>
    <xf numFmtId="0" fontId="17" fillId="15" borderId="8" xfId="0" applyFont="1" applyFill="1" applyBorder="1" applyAlignment="1">
      <alignment horizontal="center"/>
    </xf>
    <xf numFmtId="0" fontId="19" fillId="15" borderId="8" xfId="0" applyFont="1" applyFill="1" applyBorder="1" applyAlignment="1">
      <alignment horizontal="center"/>
    </xf>
    <xf numFmtId="172" fontId="19" fillId="15" borderId="8" xfId="0" applyNumberFormat="1" applyFont="1" applyFill="1" applyBorder="1" applyAlignment="1">
      <alignment horizontal="center"/>
    </xf>
    <xf numFmtId="171" fontId="19" fillId="15" borderId="8" xfId="0" applyNumberFormat="1" applyFont="1" applyFill="1" applyBorder="1" applyAlignment="1">
      <alignment horizontal="center"/>
    </xf>
    <xf numFmtId="11" fontId="0" fillId="0" borderId="0" xfId="0" applyNumberFormat="1"/>
    <xf numFmtId="0" fontId="20" fillId="16" borderId="0" xfId="0" applyFont="1" applyFill="1"/>
    <xf numFmtId="11" fontId="20" fillId="16" borderId="0" xfId="0" applyNumberFormat="1" applyFont="1" applyFill="1"/>
    <xf numFmtId="49" fontId="21" fillId="17" borderId="1" xfId="0" applyNumberFormat="1" applyFont="1" applyFill="1" applyBorder="1" applyAlignment="1">
      <alignment horizontal="center"/>
    </xf>
    <xf numFmtId="0" fontId="21" fillId="17" borderId="1" xfId="0" applyFont="1" applyFill="1" applyBorder="1"/>
    <xf numFmtId="0" fontId="21" fillId="17" borderId="1" xfId="0" applyFont="1" applyFill="1" applyBorder="1" applyAlignment="1">
      <alignment horizontal="center"/>
    </xf>
    <xf numFmtId="0" fontId="21" fillId="17" borderId="1" xfId="0" applyFont="1" applyFill="1" applyBorder="1" applyAlignment="1">
      <alignment horizontal="fill" shrinkToFit="1"/>
    </xf>
    <xf numFmtId="0" fontId="0" fillId="0" borderId="1" xfId="0" applyBorder="1"/>
    <xf numFmtId="0" fontId="22" fillId="0" borderId="1" xfId="0" applyFont="1" applyBorder="1" applyAlignment="1">
      <alignment wrapText="1"/>
    </xf>
    <xf numFmtId="0" fontId="0" fillId="0" borderId="1" xfId="0" applyBorder="1" applyAlignment="1">
      <alignment horizontal="fill"/>
    </xf>
    <xf numFmtId="0" fontId="0" fillId="18" borderId="1" xfId="0" applyFill="1" applyBorder="1"/>
    <xf numFmtId="0" fontId="0" fillId="18" borderId="1" xfId="0" applyFill="1" applyBorder="1" applyAlignment="1">
      <alignment horizontal="fill"/>
    </xf>
    <xf numFmtId="0" fontId="0" fillId="19" borderId="1" xfId="0" applyFill="1" applyBorder="1"/>
    <xf numFmtId="0" fontId="0" fillId="19" borderId="1" xfId="0" applyFill="1" applyBorder="1" applyAlignment="1">
      <alignment horizontal="fill"/>
    </xf>
    <xf numFmtId="0" fontId="21" fillId="17" borderId="1" xfId="0" applyFont="1" applyFill="1" applyBorder="1" applyAlignment="1">
      <alignment horizontal="center" shrinkToFit="1"/>
    </xf>
    <xf numFmtId="49" fontId="23" fillId="18" borderId="1" xfId="0" applyNumberFormat="1" applyFont="1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23" fillId="18" borderId="1" xfId="0" applyFont="1" applyFill="1" applyBorder="1" applyAlignment="1">
      <alignment horizontal="center"/>
    </xf>
    <xf numFmtId="0" fontId="23" fillId="18" borderId="1" xfId="0" applyFont="1" applyFill="1" applyBorder="1"/>
    <xf numFmtId="0" fontId="24" fillId="18" borderId="1" xfId="0" applyFont="1" applyFill="1" applyBorder="1" applyAlignment="1">
      <alignment horizontal="center" shrinkToFit="1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24" fillId="0" borderId="1" xfId="0" applyFont="1" applyBorder="1" applyAlignment="1">
      <alignment horizontal="center" shrinkToFit="1"/>
    </xf>
    <xf numFmtId="49" fontId="0" fillId="18" borderId="1" xfId="0" applyNumberFormat="1" applyFill="1" applyBorder="1" applyAlignment="1">
      <alignment horizontal="center"/>
    </xf>
    <xf numFmtId="0" fontId="11" fillId="0" borderId="5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6470239-886E-A046-AC66-440B3FD0EB12}" name="__Anonymous_Sheet_DB__3" displayName="__Anonymous_Sheet_DB__3" ref="A24:A44" headerRowCount="0" totalsRowShown="0">
  <sortState xmlns:xlrd2="http://schemas.microsoft.com/office/spreadsheetml/2017/richdata2" ref="A24:A44">
    <sortCondition ref="A24:A44"/>
  </sortState>
  <tableColumns count="1">
    <tableColumn id="1" xr3:uid="{09E20966-95FC-B34A-B248-90D3B9A91227}" name="Column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C367320-FCC2-E947-B5CD-66CB963AFDCA}" name="__Anonymous_Sheet_DB__1" displayName="__Anonymous_Sheet_DB__1" ref="A1:G10238" totalsRowShown="0">
  <autoFilter ref="A1:G10238" xr:uid="{4C367320-FCC2-E947-B5CD-66CB963AFDCA}"/>
  <sortState xmlns:xlrd2="http://schemas.microsoft.com/office/spreadsheetml/2017/richdata2" ref="A2:G10237">
    <sortCondition ref="E2:E10238"/>
    <sortCondition ref="D2:D10238"/>
  </sortState>
  <tableColumns count="7">
    <tableColumn id="1" xr3:uid="{CCC8D317-93F8-8D43-B5CC-9D3C5B1AC912}" name="id"/>
    <tableColumn id="2" xr3:uid="{6E436097-BC59-AC4B-A397-6D478B038FC8}" name="ViralMatch"/>
    <tableColumn id="3" xr3:uid="{997E924D-F03C-C24D-B16B-E7036462D173}" name="SP"/>
    <tableColumn id="4" xr3:uid="{E7E86978-3444-2E45-8522-77E412CE3C74}" name="COG"/>
    <tableColumn id="5" xr3:uid="{8B63DE12-BD1C-EE48-B787-6708A43A03B1}" name="hj"/>
    <tableColumn id="6" xr3:uid="{B623AD57-E241-6E44-8FCA-6F262191C393}" name="VOG"/>
    <tableColumn id="7" xr3:uid="{3FB5680F-1369-BC46-9236-40AF41A83B67}" name="uniref10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76A3BC8-FAD0-7B4E-8A44-BFFBF2F9FB97}" name="__Anonymous_Sheet_DB__2" displayName="__Anonymous_Sheet_DB__2" ref="A9:D35" headerRowCount="0" totalsRowShown="0">
  <sortState xmlns:xlrd2="http://schemas.microsoft.com/office/spreadsheetml/2017/richdata2" ref="A9:D35">
    <sortCondition ref="D9:D35"/>
  </sortState>
  <tableColumns count="4">
    <tableColumn id="1" xr3:uid="{340D21BB-631F-3248-8FCE-1F3B09070BD9}" name="Column1"/>
    <tableColumn id="2" xr3:uid="{1491EEAA-80E7-0D4F-9305-F5632470AD7F}" name="Column2"/>
    <tableColumn id="3" xr3:uid="{83BB2BB7-4945-9A4F-8C77-CDD334F83104}" name="Column3"/>
    <tableColumn id="4" xr3:uid="{F9C1134D-1357-9D4E-BDDC-1D333BA8B94F}" name="Column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9951E-29DA-114D-BCEA-8B7B5B83330E}">
  <dimension ref="A1:J1048576"/>
  <sheetViews>
    <sheetView workbookViewId="0">
      <selection activeCell="B45" sqref="B45"/>
    </sheetView>
  </sheetViews>
  <sheetFormatPr baseColWidth="10" defaultColWidth="10" defaultRowHeight="16"/>
  <cols>
    <col min="1" max="1" width="11.6640625" customWidth="1"/>
    <col min="2" max="2" width="22.83203125" customWidth="1"/>
    <col min="3" max="3" width="19.83203125" customWidth="1"/>
    <col min="4" max="4" width="15.5" customWidth="1"/>
    <col min="5" max="5" width="13.33203125" customWidth="1"/>
    <col min="6" max="6" width="7" customWidth="1"/>
    <col min="7" max="7" width="8.1640625" customWidth="1"/>
    <col min="8" max="8" width="7" customWidth="1"/>
    <col min="9" max="10" width="10.5" customWidth="1"/>
    <col min="11" max="11" width="15.83203125" customWidth="1"/>
  </cols>
  <sheetData>
    <row r="1" spans="1:10" ht="34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>
      <c r="A2" s="1" t="s">
        <v>10</v>
      </c>
      <c r="B2" t="s">
        <v>11</v>
      </c>
      <c r="C2" s="3">
        <v>1579</v>
      </c>
      <c r="D2" s="4">
        <v>75.540999999999997</v>
      </c>
      <c r="E2" s="3">
        <v>9497670</v>
      </c>
      <c r="F2" s="4">
        <v>52.82</v>
      </c>
      <c r="G2" s="3">
        <v>8255</v>
      </c>
      <c r="H2" s="3">
        <v>2491</v>
      </c>
      <c r="I2" s="3">
        <v>230</v>
      </c>
      <c r="J2" s="3">
        <v>1154</v>
      </c>
    </row>
    <row r="3" spans="1:10">
      <c r="A3" s="1" t="s">
        <v>12</v>
      </c>
      <c r="B3" t="s">
        <v>11</v>
      </c>
      <c r="C3" s="3">
        <v>1234</v>
      </c>
      <c r="D3" s="4">
        <v>71.820999999999998</v>
      </c>
      <c r="E3" s="3">
        <v>7771477</v>
      </c>
      <c r="F3" s="4">
        <v>54.54</v>
      </c>
      <c r="G3" s="3">
        <v>9457</v>
      </c>
      <c r="H3" s="3">
        <v>2547</v>
      </c>
      <c r="I3" s="3">
        <v>164</v>
      </c>
      <c r="J3" s="3">
        <v>887</v>
      </c>
    </row>
    <row r="4" spans="1:10">
      <c r="A4" s="1" t="s">
        <v>13</v>
      </c>
      <c r="B4" t="s">
        <v>11</v>
      </c>
      <c r="C4" s="3">
        <v>74</v>
      </c>
      <c r="D4" s="4">
        <v>35.807000000000002</v>
      </c>
      <c r="E4" s="3">
        <v>307886</v>
      </c>
      <c r="F4" s="4">
        <v>49.65</v>
      </c>
      <c r="G4" s="3">
        <v>3760</v>
      </c>
      <c r="H4" s="3">
        <v>2346</v>
      </c>
      <c r="I4" s="3">
        <v>18</v>
      </c>
      <c r="J4" s="3">
        <v>60</v>
      </c>
    </row>
    <row r="5" spans="1:10">
      <c r="A5" s="1" t="s">
        <v>14</v>
      </c>
      <c r="B5" t="s">
        <v>11</v>
      </c>
      <c r="C5" s="3">
        <v>1252</v>
      </c>
      <c r="D5" s="4">
        <v>71.81</v>
      </c>
      <c r="E5" s="3">
        <v>7142379</v>
      </c>
      <c r="F5" s="4">
        <v>53.72</v>
      </c>
      <c r="G5" s="3">
        <v>7757</v>
      </c>
      <c r="H5" s="3">
        <v>2444</v>
      </c>
      <c r="I5" s="3">
        <v>187</v>
      </c>
      <c r="J5" s="3">
        <v>928</v>
      </c>
    </row>
    <row r="6" spans="1:10">
      <c r="A6" s="1" t="s">
        <v>15</v>
      </c>
      <c r="B6" t="s">
        <v>11</v>
      </c>
      <c r="C6" s="3">
        <v>1968</v>
      </c>
      <c r="D6" s="4">
        <v>78.454999999999998</v>
      </c>
      <c r="E6" s="3">
        <v>10885833</v>
      </c>
      <c r="F6" s="4">
        <v>50.46</v>
      </c>
      <c r="G6" s="3">
        <v>6839</v>
      </c>
      <c r="H6" s="3">
        <v>2442</v>
      </c>
      <c r="I6" s="3">
        <v>309</v>
      </c>
      <c r="J6" s="3">
        <v>1475</v>
      </c>
    </row>
    <row r="7" spans="1:10">
      <c r="A7" s="1" t="s">
        <v>16</v>
      </c>
      <c r="B7" t="s">
        <v>17</v>
      </c>
      <c r="C7" s="3">
        <v>9107</v>
      </c>
      <c r="D7" s="4">
        <v>159.88999999999999</v>
      </c>
      <c r="E7" s="3">
        <v>73552794</v>
      </c>
      <c r="F7" s="4">
        <v>50.08</v>
      </c>
      <c r="G7" s="3">
        <v>16099</v>
      </c>
      <c r="H7" s="3">
        <v>2923</v>
      </c>
      <c r="I7" s="3">
        <v>1061</v>
      </c>
      <c r="J7" s="3">
        <v>6042</v>
      </c>
    </row>
    <row r="8" spans="1:10">
      <c r="A8" s="1" t="s">
        <v>18</v>
      </c>
      <c r="B8" t="s">
        <v>19</v>
      </c>
      <c r="C8" s="3">
        <v>2422</v>
      </c>
      <c r="D8" s="4">
        <v>85.206000000000003</v>
      </c>
      <c r="E8" s="3">
        <v>15490443</v>
      </c>
      <c r="F8" s="5" t="s">
        <v>20</v>
      </c>
      <c r="G8">
        <v>8463</v>
      </c>
      <c r="H8">
        <v>2891</v>
      </c>
      <c r="I8">
        <v>532</v>
      </c>
      <c r="J8">
        <v>1781</v>
      </c>
    </row>
    <row r="9" spans="1:10">
      <c r="A9" s="1" t="s">
        <v>21</v>
      </c>
      <c r="B9" t="s">
        <v>19</v>
      </c>
      <c r="C9" s="3">
        <v>10045</v>
      </c>
      <c r="D9" s="4">
        <v>721.45899999999995</v>
      </c>
      <c r="E9" s="3">
        <v>78573839</v>
      </c>
      <c r="F9" s="4">
        <v>43.91</v>
      </c>
      <c r="G9" s="3">
        <v>11605</v>
      </c>
      <c r="H9" s="3">
        <v>3120</v>
      </c>
      <c r="I9" s="3">
        <v>1412</v>
      </c>
      <c r="J9" s="3">
        <v>6882</v>
      </c>
    </row>
    <row r="10" spans="1:10">
      <c r="A10" s="1" t="s">
        <v>22</v>
      </c>
      <c r="B10" t="s">
        <v>19</v>
      </c>
      <c r="C10" s="3">
        <v>2809</v>
      </c>
      <c r="D10" s="4">
        <v>145.56399999999999</v>
      </c>
      <c r="E10" s="3">
        <v>22802562</v>
      </c>
      <c r="F10" s="4">
        <v>39.75</v>
      </c>
      <c r="G10" s="3">
        <v>11827</v>
      </c>
      <c r="H10" s="3">
        <v>3361</v>
      </c>
      <c r="I10" s="3">
        <v>467</v>
      </c>
      <c r="J10" s="3">
        <v>1931</v>
      </c>
    </row>
    <row r="11" spans="1:10">
      <c r="A11" s="1" t="s">
        <v>23</v>
      </c>
      <c r="B11" t="s">
        <v>19</v>
      </c>
      <c r="C11" s="3">
        <v>2124</v>
      </c>
      <c r="D11" s="4">
        <v>273.63</v>
      </c>
      <c r="E11" s="3">
        <v>19990235</v>
      </c>
      <c r="F11" s="4">
        <v>49.03</v>
      </c>
      <c r="G11" s="3">
        <v>16806</v>
      </c>
      <c r="H11" s="3">
        <v>3426</v>
      </c>
      <c r="I11" s="3">
        <v>230</v>
      </c>
      <c r="J11" s="3">
        <v>1367</v>
      </c>
    </row>
    <row r="12" spans="1:10">
      <c r="A12" s="1" t="s">
        <v>24</v>
      </c>
      <c r="B12" t="s">
        <v>19</v>
      </c>
      <c r="C12" s="3">
        <v>2863</v>
      </c>
      <c r="D12" s="4">
        <v>525.06100000000004</v>
      </c>
      <c r="E12" s="3">
        <v>20105695</v>
      </c>
      <c r="F12" s="4">
        <v>43.89</v>
      </c>
      <c r="G12" s="3">
        <v>9146</v>
      </c>
      <c r="H12" s="3">
        <v>3093</v>
      </c>
      <c r="I12" s="3">
        <v>553</v>
      </c>
      <c r="J12" s="3">
        <v>2056</v>
      </c>
    </row>
    <row r="13" spans="1:10">
      <c r="A13" s="1" t="s">
        <v>25</v>
      </c>
      <c r="B13" t="s">
        <v>19</v>
      </c>
      <c r="C13" s="3">
        <v>5062</v>
      </c>
      <c r="D13" s="4">
        <v>24.678999999999998</v>
      </c>
      <c r="E13" s="3">
        <v>38249740</v>
      </c>
      <c r="F13" s="4">
        <v>43.77</v>
      </c>
      <c r="G13" s="3">
        <v>10409</v>
      </c>
      <c r="H13" s="3">
        <v>3257</v>
      </c>
      <c r="I13" s="3">
        <v>955</v>
      </c>
      <c r="J13" s="3">
        <v>3571</v>
      </c>
    </row>
    <row r="14" spans="1:10">
      <c r="A14" s="1" t="s">
        <v>26</v>
      </c>
      <c r="B14" t="s">
        <v>19</v>
      </c>
      <c r="C14" s="3">
        <v>1117</v>
      </c>
      <c r="D14" s="4">
        <v>65.236999999999995</v>
      </c>
      <c r="E14" s="3">
        <v>7876538</v>
      </c>
      <c r="F14" s="4">
        <v>45.5</v>
      </c>
      <c r="G14" s="3">
        <v>9824</v>
      </c>
      <c r="H14" s="3">
        <v>3140</v>
      </c>
      <c r="I14" s="3">
        <v>233</v>
      </c>
      <c r="J14" s="3">
        <v>804</v>
      </c>
    </row>
    <row r="15" spans="1:10">
      <c r="A15" s="1" t="s">
        <v>27</v>
      </c>
      <c r="B15" t="s">
        <v>19</v>
      </c>
      <c r="C15" s="3">
        <v>1883</v>
      </c>
      <c r="D15" s="4">
        <v>95.188999999999993</v>
      </c>
      <c r="E15" s="3">
        <v>13445926</v>
      </c>
      <c r="F15" s="4">
        <v>48.94</v>
      </c>
      <c r="G15" s="3">
        <v>10031</v>
      </c>
      <c r="H15" s="3">
        <v>3185</v>
      </c>
      <c r="I15" s="3">
        <v>389</v>
      </c>
      <c r="J15" s="3">
        <v>1349</v>
      </c>
    </row>
    <row r="16" spans="1:10">
      <c r="A16" s="1" t="s">
        <v>28</v>
      </c>
      <c r="B16" t="s">
        <v>19</v>
      </c>
      <c r="C16" s="3">
        <v>1429</v>
      </c>
      <c r="D16" s="4">
        <v>49.222000000000001</v>
      </c>
      <c r="E16" s="3">
        <v>8263009</v>
      </c>
      <c r="F16" s="4">
        <v>51.13</v>
      </c>
      <c r="G16" s="3">
        <v>7232</v>
      </c>
      <c r="H16" s="3">
        <v>2703</v>
      </c>
      <c r="I16" s="3">
        <v>324</v>
      </c>
      <c r="J16" s="3">
        <v>1073</v>
      </c>
    </row>
    <row r="17" spans="1:10">
      <c r="A17" s="1" t="s">
        <v>29</v>
      </c>
      <c r="B17" t="s">
        <v>19</v>
      </c>
      <c r="C17" s="3">
        <v>1729</v>
      </c>
      <c r="D17" s="4">
        <v>78.313999999999993</v>
      </c>
      <c r="E17" s="3">
        <v>10827708</v>
      </c>
      <c r="F17" s="4">
        <v>49.76</v>
      </c>
      <c r="G17" s="3">
        <v>8304</v>
      </c>
      <c r="H17" s="3">
        <v>2844</v>
      </c>
      <c r="I17" s="3">
        <v>350</v>
      </c>
      <c r="J17" s="3">
        <v>1274</v>
      </c>
    </row>
    <row r="18" spans="1:10">
      <c r="A18" s="1" t="s">
        <v>30</v>
      </c>
      <c r="B18" t="s">
        <v>19</v>
      </c>
      <c r="C18" s="3">
        <v>2988</v>
      </c>
      <c r="D18" s="4">
        <v>236.822</v>
      </c>
      <c r="E18" s="3">
        <v>25324303</v>
      </c>
      <c r="F18" s="4">
        <v>41.86</v>
      </c>
      <c r="G18" s="3">
        <v>12192</v>
      </c>
      <c r="H18" s="3">
        <v>3618</v>
      </c>
      <c r="I18" s="3">
        <v>566</v>
      </c>
      <c r="J18" s="3">
        <v>2050</v>
      </c>
    </row>
    <row r="19" spans="1:10">
      <c r="A19" s="1" t="s">
        <v>31</v>
      </c>
      <c r="B19" t="s">
        <v>19</v>
      </c>
      <c r="C19" s="3">
        <v>7527</v>
      </c>
      <c r="D19" s="4">
        <v>581.82600000000002</v>
      </c>
      <c r="E19" s="3">
        <v>72523489</v>
      </c>
      <c r="F19" s="4">
        <v>41.52</v>
      </c>
      <c r="G19" s="3">
        <v>14883</v>
      </c>
      <c r="H19" s="3">
        <v>3957</v>
      </c>
      <c r="I19" s="3">
        <v>1313</v>
      </c>
      <c r="J19" s="3">
        <v>4947</v>
      </c>
    </row>
    <row r="20" spans="1:10">
      <c r="A20" s="1" t="s">
        <v>32</v>
      </c>
      <c r="B20" t="s">
        <v>19</v>
      </c>
      <c r="C20" s="3">
        <v>740</v>
      </c>
      <c r="D20" s="4">
        <v>115.114</v>
      </c>
      <c r="E20" s="3">
        <v>5359767</v>
      </c>
      <c r="F20" s="4">
        <v>53.21</v>
      </c>
      <c r="G20" s="3">
        <v>10087</v>
      </c>
      <c r="H20" s="3">
        <v>3178</v>
      </c>
      <c r="I20" s="3">
        <v>140</v>
      </c>
      <c r="J20" s="3">
        <v>530</v>
      </c>
    </row>
    <row r="21" spans="1:10">
      <c r="A21" s="1" t="s">
        <v>33</v>
      </c>
      <c r="B21" t="s">
        <v>19</v>
      </c>
      <c r="C21" s="3">
        <v>5359</v>
      </c>
      <c r="D21" s="4">
        <v>723.745</v>
      </c>
      <c r="E21" s="3">
        <v>37827334</v>
      </c>
      <c r="F21" s="4">
        <v>42.64</v>
      </c>
      <c r="G21" s="3">
        <v>9568</v>
      </c>
      <c r="H21" s="3">
        <v>2944</v>
      </c>
      <c r="I21" s="3">
        <v>915</v>
      </c>
      <c r="J21" s="3">
        <v>3804</v>
      </c>
    </row>
    <row r="22" spans="1:10">
      <c r="G22" s="3"/>
    </row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ABCB6-DCDA-EE43-94CF-C928EFB9BDEA}">
  <dimension ref="A1:BL413"/>
  <sheetViews>
    <sheetView workbookViewId="0">
      <selection sqref="A1:XFD1048576"/>
    </sheetView>
  </sheetViews>
  <sheetFormatPr baseColWidth="10" defaultRowHeight="16"/>
  <sheetData>
    <row r="1" spans="1:64">
      <c r="A1" t="s">
        <v>38547</v>
      </c>
      <c r="B1" t="s">
        <v>38548</v>
      </c>
      <c r="C1" t="s">
        <v>38549</v>
      </c>
      <c r="D1" t="s">
        <v>38550</v>
      </c>
      <c r="E1" t="s">
        <v>38551</v>
      </c>
      <c r="F1" t="s">
        <v>38552</v>
      </c>
      <c r="G1" t="s">
        <v>38553</v>
      </c>
      <c r="H1" t="s">
        <v>38554</v>
      </c>
      <c r="I1" t="s">
        <v>38555</v>
      </c>
      <c r="J1" t="s">
        <v>38556</v>
      </c>
      <c r="K1" t="s">
        <v>38557</v>
      </c>
      <c r="L1" t="s">
        <v>38558</v>
      </c>
      <c r="M1" t="s">
        <v>38559</v>
      </c>
      <c r="N1" t="s">
        <v>38560</v>
      </c>
      <c r="O1" t="s">
        <v>38561</v>
      </c>
      <c r="P1" t="s">
        <v>38562</v>
      </c>
      <c r="Q1" t="s">
        <v>38563</v>
      </c>
      <c r="R1" t="s">
        <v>38564</v>
      </c>
      <c r="S1" t="s">
        <v>38565</v>
      </c>
      <c r="T1" t="s">
        <v>38566</v>
      </c>
      <c r="U1" t="s">
        <v>38567</v>
      </c>
      <c r="V1" t="s">
        <v>38568</v>
      </c>
      <c r="W1" t="s">
        <v>38569</v>
      </c>
      <c r="X1" t="s">
        <v>38570</v>
      </c>
      <c r="Y1" t="s">
        <v>38571</v>
      </c>
      <c r="Z1" t="s">
        <v>38572</v>
      </c>
      <c r="AA1" t="s">
        <v>38573</v>
      </c>
      <c r="AB1" t="s">
        <v>38574</v>
      </c>
      <c r="AC1" t="s">
        <v>38575</v>
      </c>
      <c r="AD1" t="s">
        <v>38576</v>
      </c>
      <c r="AE1" t="s">
        <v>38577</v>
      </c>
      <c r="AF1" t="s">
        <v>38578</v>
      </c>
      <c r="AG1" t="s">
        <v>38579</v>
      </c>
      <c r="AH1" t="s">
        <v>38580</v>
      </c>
      <c r="AI1" t="s">
        <v>38581</v>
      </c>
      <c r="AJ1" t="s">
        <v>38582</v>
      </c>
      <c r="AK1" t="s">
        <v>38583</v>
      </c>
      <c r="AL1" t="s">
        <v>38584</v>
      </c>
      <c r="AM1" t="s">
        <v>38585</v>
      </c>
      <c r="AN1" t="s">
        <v>38586</v>
      </c>
      <c r="AO1" t="s">
        <v>38587</v>
      </c>
      <c r="AP1" t="s">
        <v>38588</v>
      </c>
      <c r="AQ1" t="s">
        <v>38589</v>
      </c>
      <c r="AR1" t="s">
        <v>38590</v>
      </c>
      <c r="AS1" t="s">
        <v>38591</v>
      </c>
      <c r="AT1" t="s">
        <v>38592</v>
      </c>
      <c r="AU1" t="s">
        <v>38593</v>
      </c>
      <c r="AV1" t="s">
        <v>38594</v>
      </c>
      <c r="AW1" t="s">
        <v>38595</v>
      </c>
      <c r="AX1" t="s">
        <v>38596</v>
      </c>
      <c r="AY1" t="s">
        <v>38597</v>
      </c>
      <c r="AZ1" t="s">
        <v>38598</v>
      </c>
      <c r="BA1" t="s">
        <v>38599</v>
      </c>
      <c r="BB1" t="s">
        <v>38600</v>
      </c>
      <c r="BC1" t="s">
        <v>38601</v>
      </c>
      <c r="BD1" t="s">
        <v>38602</v>
      </c>
      <c r="BE1" t="s">
        <v>38603</v>
      </c>
      <c r="BF1" t="s">
        <v>38604</v>
      </c>
      <c r="BG1" t="s">
        <v>38605</v>
      </c>
      <c r="BH1" t="s">
        <v>38606</v>
      </c>
      <c r="BI1" t="s">
        <v>38607</v>
      </c>
      <c r="BJ1" t="s">
        <v>38608</v>
      </c>
      <c r="BK1" t="s">
        <v>38609</v>
      </c>
      <c r="BL1" t="s">
        <v>38610</v>
      </c>
    </row>
    <row r="2" spans="1:64">
      <c r="A2" t="s">
        <v>38611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7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</row>
    <row r="3" spans="1:64">
      <c r="A3" t="s">
        <v>38612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69</v>
      </c>
      <c r="AY3">
        <v>1731</v>
      </c>
      <c r="AZ3">
        <v>15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</row>
    <row r="4" spans="1:64">
      <c r="A4" t="s">
        <v>38613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</v>
      </c>
      <c r="AF4">
        <v>0</v>
      </c>
      <c r="AG4">
        <v>0</v>
      </c>
      <c r="AH4">
        <v>0</v>
      </c>
      <c r="AI4">
        <v>0</v>
      </c>
      <c r="AJ4">
        <v>0</v>
      </c>
      <c r="AK4">
        <v>6</v>
      </c>
      <c r="AL4">
        <v>125</v>
      </c>
      <c r="AM4">
        <v>315</v>
      </c>
      <c r="AN4">
        <v>6</v>
      </c>
      <c r="AO4">
        <v>4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</row>
    <row r="5" spans="1:64">
      <c r="A5" t="s">
        <v>38614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</row>
    <row r="6" spans="1:64">
      <c r="A6" t="s">
        <v>38615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8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</row>
    <row r="7" spans="1:64">
      <c r="A7" t="s">
        <v>38616</v>
      </c>
      <c r="B7">
        <v>0</v>
      </c>
      <c r="C7">
        <v>123</v>
      </c>
      <c r="D7">
        <v>0</v>
      </c>
      <c r="E7">
        <v>0</v>
      </c>
      <c r="F7">
        <v>60</v>
      </c>
      <c r="G7">
        <v>0</v>
      </c>
      <c r="H7">
        <v>6</v>
      </c>
      <c r="I7">
        <v>846</v>
      </c>
      <c r="J7">
        <v>9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</row>
    <row r="8" spans="1:64">
      <c r="A8" t="s">
        <v>38617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9</v>
      </c>
      <c r="U8">
        <v>0</v>
      </c>
      <c r="V8">
        <v>48</v>
      </c>
      <c r="W8">
        <v>12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</row>
    <row r="9" spans="1:64">
      <c r="A9" t="s">
        <v>38618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59</v>
      </c>
      <c r="J9">
        <v>0</v>
      </c>
      <c r="K9">
        <v>3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</row>
    <row r="10" spans="1:64">
      <c r="A10" t="s">
        <v>38619</v>
      </c>
      <c r="B10">
        <v>0</v>
      </c>
      <c r="C10">
        <v>0</v>
      </c>
      <c r="D10">
        <v>0</v>
      </c>
      <c r="E10">
        <v>0</v>
      </c>
      <c r="F10">
        <v>2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</row>
    <row r="11" spans="1:64">
      <c r="A11" t="s">
        <v>38620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13</v>
      </c>
      <c r="AA11">
        <v>0</v>
      </c>
      <c r="AB11">
        <v>0</v>
      </c>
      <c r="AC11">
        <v>54</v>
      </c>
      <c r="AD11">
        <v>0</v>
      </c>
      <c r="AE11">
        <v>239</v>
      </c>
      <c r="AF11">
        <v>0</v>
      </c>
      <c r="AG11">
        <v>1706</v>
      </c>
      <c r="AH11">
        <v>155</v>
      </c>
      <c r="AI11">
        <v>0</v>
      </c>
      <c r="AJ11">
        <v>21</v>
      </c>
      <c r="AK11">
        <v>38</v>
      </c>
      <c r="AL11">
        <v>9</v>
      </c>
      <c r="AM11">
        <v>0</v>
      </c>
      <c r="AN11">
        <v>0</v>
      </c>
      <c r="AO11">
        <v>0</v>
      </c>
      <c r="AP11">
        <v>8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</row>
    <row r="12" spans="1:64">
      <c r="A12" t="s">
        <v>38621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81</v>
      </c>
      <c r="AF12">
        <v>0</v>
      </c>
      <c r="AG12">
        <v>428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60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</row>
    <row r="13" spans="1:64">
      <c r="A13" t="s">
        <v>38622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82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</row>
    <row r="14" spans="1:64">
      <c r="A14" t="s">
        <v>38623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9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20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37</v>
      </c>
      <c r="AV14">
        <v>30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</row>
    <row r="15" spans="1:64">
      <c r="A15" t="s">
        <v>38624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</row>
    <row r="16" spans="1:64">
      <c r="A16" t="s">
        <v>38625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33</v>
      </c>
      <c r="AD16">
        <v>0</v>
      </c>
      <c r="AE16">
        <v>26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</row>
    <row r="17" spans="1:64">
      <c r="A17" t="s">
        <v>38626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144</v>
      </c>
      <c r="AD17">
        <v>0</v>
      </c>
      <c r="AE17">
        <v>0</v>
      </c>
      <c r="AF17">
        <v>0</v>
      </c>
      <c r="AG17">
        <v>59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</row>
    <row r="18" spans="1:64">
      <c r="A18" t="s">
        <v>38627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23</v>
      </c>
      <c r="W18">
        <v>0</v>
      </c>
      <c r="X18">
        <v>0</v>
      </c>
      <c r="Y18">
        <v>0</v>
      </c>
      <c r="Z18">
        <v>0</v>
      </c>
      <c r="AA18">
        <v>7</v>
      </c>
      <c r="AB18">
        <v>46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22</v>
      </c>
      <c r="AR18">
        <v>21</v>
      </c>
      <c r="AS18">
        <v>172</v>
      </c>
      <c r="AT18">
        <v>229</v>
      </c>
      <c r="AU18">
        <v>483</v>
      </c>
      <c r="AV18">
        <v>398</v>
      </c>
      <c r="AW18">
        <v>62</v>
      </c>
      <c r="AX18">
        <v>605</v>
      </c>
      <c r="AY18">
        <v>39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9</v>
      </c>
      <c r="BK18">
        <v>0</v>
      </c>
      <c r="BL18">
        <v>58</v>
      </c>
    </row>
    <row r="19" spans="1:64">
      <c r="A19" t="s">
        <v>38628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14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</row>
    <row r="20" spans="1:64">
      <c r="A20" t="s">
        <v>38629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28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24</v>
      </c>
      <c r="Z20">
        <v>0</v>
      </c>
      <c r="AA20">
        <v>0</v>
      </c>
      <c r="AB20">
        <v>0</v>
      </c>
      <c r="AC20">
        <v>14785</v>
      </c>
      <c r="AD20">
        <v>0</v>
      </c>
      <c r="AE20">
        <v>11930</v>
      </c>
      <c r="AF20">
        <v>727</v>
      </c>
      <c r="AG20">
        <v>966</v>
      </c>
      <c r="AH20">
        <v>141</v>
      </c>
      <c r="AI20">
        <v>0</v>
      </c>
      <c r="AJ20">
        <v>26</v>
      </c>
      <c r="AK20">
        <v>474</v>
      </c>
      <c r="AL20">
        <v>544</v>
      </c>
      <c r="AM20">
        <v>511</v>
      </c>
      <c r="AN20">
        <v>603</v>
      </c>
      <c r="AO20">
        <v>17</v>
      </c>
      <c r="AP20">
        <v>7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</row>
    <row r="21" spans="1:64">
      <c r="A21" t="s">
        <v>38630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301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</row>
    <row r="22" spans="1:64">
      <c r="A22" t="s">
        <v>38631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6</v>
      </c>
      <c r="AM22">
        <v>0</v>
      </c>
      <c r="AN22">
        <v>0</v>
      </c>
      <c r="AO22">
        <v>0</v>
      </c>
      <c r="AP22">
        <v>18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</row>
    <row r="23" spans="1:64">
      <c r="A23" t="s">
        <v>38632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4</v>
      </c>
      <c r="AK23">
        <v>0</v>
      </c>
      <c r="AL23">
        <v>45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</row>
    <row r="24" spans="1:64">
      <c r="A24" t="s">
        <v>38633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4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4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12</v>
      </c>
      <c r="AA24">
        <v>18</v>
      </c>
      <c r="AB24">
        <v>0</v>
      </c>
      <c r="AC24">
        <v>1031</v>
      </c>
      <c r="AD24">
        <v>0</v>
      </c>
      <c r="AE24">
        <v>0</v>
      </c>
      <c r="AF24">
        <v>22</v>
      </c>
      <c r="AG24">
        <v>11</v>
      </c>
      <c r="AH24">
        <v>24</v>
      </c>
      <c r="AI24">
        <v>10</v>
      </c>
      <c r="AJ24">
        <v>774</v>
      </c>
      <c r="AK24">
        <v>7749</v>
      </c>
      <c r="AL24">
        <v>10631</v>
      </c>
      <c r="AM24">
        <v>4694</v>
      </c>
      <c r="AN24">
        <v>0</v>
      </c>
      <c r="AO24">
        <v>65</v>
      </c>
      <c r="AP24">
        <v>37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</row>
    <row r="25" spans="1:64">
      <c r="A25" t="s">
        <v>38634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25</v>
      </c>
      <c r="AL25">
        <v>0</v>
      </c>
      <c r="AM25">
        <v>0</v>
      </c>
      <c r="AN25">
        <v>0</v>
      </c>
      <c r="AO25">
        <v>26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</row>
    <row r="26" spans="1:64">
      <c r="A26" t="s">
        <v>38635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15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</row>
    <row r="27" spans="1:64">
      <c r="A27" t="s">
        <v>38636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8</v>
      </c>
      <c r="P27">
        <v>4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</row>
    <row r="28" spans="1:64">
      <c r="A28" t="s">
        <v>38637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63</v>
      </c>
      <c r="BG28">
        <v>22</v>
      </c>
      <c r="BH28">
        <v>17</v>
      </c>
      <c r="BI28">
        <v>0</v>
      </c>
      <c r="BJ28">
        <v>0</v>
      </c>
      <c r="BK28">
        <v>0</v>
      </c>
      <c r="BL28">
        <v>0</v>
      </c>
    </row>
    <row r="29" spans="1:64">
      <c r="A29" t="s">
        <v>38638</v>
      </c>
      <c r="B29">
        <v>0</v>
      </c>
      <c r="C29">
        <v>0</v>
      </c>
      <c r="D29">
        <v>0</v>
      </c>
      <c r="E29">
        <v>0</v>
      </c>
      <c r="F29">
        <v>144</v>
      </c>
      <c r="G29">
        <v>0</v>
      </c>
      <c r="H29">
        <v>0</v>
      </c>
      <c r="I29">
        <v>0</v>
      </c>
      <c r="J29">
        <v>0</v>
      </c>
      <c r="K29">
        <v>0</v>
      </c>
      <c r="L29">
        <v>12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17</v>
      </c>
      <c r="W29">
        <v>0</v>
      </c>
      <c r="X29">
        <v>0</v>
      </c>
      <c r="Y29">
        <v>0</v>
      </c>
      <c r="Z29">
        <v>0</v>
      </c>
      <c r="AA29">
        <v>5</v>
      </c>
      <c r="AB29">
        <v>0</v>
      </c>
      <c r="AC29">
        <v>0</v>
      </c>
      <c r="AD29">
        <v>0</v>
      </c>
      <c r="AE29">
        <v>14</v>
      </c>
      <c r="AF29">
        <v>0</v>
      </c>
      <c r="AG29">
        <v>29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37</v>
      </c>
      <c r="AN29">
        <v>286</v>
      </c>
      <c r="AO29">
        <v>451</v>
      </c>
      <c r="AP29">
        <v>132</v>
      </c>
      <c r="AQ29">
        <v>0</v>
      </c>
      <c r="AR29">
        <v>22</v>
      </c>
      <c r="AS29">
        <v>35</v>
      </c>
      <c r="AT29">
        <v>0</v>
      </c>
      <c r="AU29">
        <v>88</v>
      </c>
      <c r="AV29">
        <v>123</v>
      </c>
      <c r="AW29">
        <v>0</v>
      </c>
      <c r="AX29">
        <v>15</v>
      </c>
      <c r="AY29">
        <v>0</v>
      </c>
      <c r="AZ29">
        <v>25</v>
      </c>
      <c r="BA29">
        <v>6</v>
      </c>
      <c r="BB29">
        <v>0</v>
      </c>
      <c r="BC29">
        <v>0</v>
      </c>
      <c r="BD29">
        <v>0</v>
      </c>
      <c r="BE29">
        <v>0</v>
      </c>
      <c r="BF29">
        <v>345</v>
      </c>
      <c r="BG29">
        <v>337</v>
      </c>
      <c r="BH29">
        <v>199</v>
      </c>
      <c r="BI29">
        <v>33</v>
      </c>
      <c r="BJ29">
        <v>0</v>
      </c>
      <c r="BK29">
        <v>0</v>
      </c>
      <c r="BL29">
        <v>134</v>
      </c>
    </row>
    <row r="30" spans="1:64">
      <c r="A30" t="s">
        <v>38639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22</v>
      </c>
      <c r="AD30">
        <v>0</v>
      </c>
      <c r="AE30">
        <v>0</v>
      </c>
      <c r="AF30">
        <v>0</v>
      </c>
      <c r="AG30">
        <v>0</v>
      </c>
      <c r="AH30">
        <v>18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81</v>
      </c>
      <c r="BG30">
        <v>60</v>
      </c>
      <c r="BH30">
        <v>0</v>
      </c>
      <c r="BI30">
        <v>0</v>
      </c>
      <c r="BJ30">
        <v>0</v>
      </c>
      <c r="BK30">
        <v>0</v>
      </c>
      <c r="BL30">
        <v>0</v>
      </c>
    </row>
    <row r="31" spans="1:64">
      <c r="A31" t="s">
        <v>38640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32</v>
      </c>
    </row>
    <row r="32" spans="1:64">
      <c r="A32" t="s">
        <v>38641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12</v>
      </c>
      <c r="AF32">
        <v>0</v>
      </c>
      <c r="AG32">
        <v>27</v>
      </c>
      <c r="AH32">
        <v>0</v>
      </c>
      <c r="AI32">
        <v>3</v>
      </c>
      <c r="AJ32">
        <v>0</v>
      </c>
      <c r="AK32">
        <v>78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</row>
    <row r="33" spans="1:64">
      <c r="A33" t="s">
        <v>38642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21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</row>
    <row r="34" spans="1:64">
      <c r="A34" t="s">
        <v>38643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5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</row>
    <row r="35" spans="1:64">
      <c r="A35" t="s">
        <v>38644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175</v>
      </c>
      <c r="AB35">
        <v>101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14</v>
      </c>
      <c r="AS35">
        <v>20</v>
      </c>
      <c r="AT35">
        <v>76</v>
      </c>
      <c r="AU35">
        <v>100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</row>
    <row r="36" spans="1:64">
      <c r="A36" t="s">
        <v>38645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3</v>
      </c>
      <c r="AI36">
        <v>0</v>
      </c>
      <c r="AJ36">
        <v>0</v>
      </c>
      <c r="AK36">
        <v>0</v>
      </c>
      <c r="AL36">
        <v>32</v>
      </c>
      <c r="AM36">
        <v>509</v>
      </c>
      <c r="AN36">
        <v>8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</row>
    <row r="37" spans="1:64">
      <c r="A37" t="s">
        <v>38646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7</v>
      </c>
      <c r="AK37">
        <v>0</v>
      </c>
      <c r="AL37">
        <v>31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539</v>
      </c>
      <c r="AX37">
        <v>155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</row>
    <row r="38" spans="1:64">
      <c r="A38" t="s">
        <v>38647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347</v>
      </c>
      <c r="AB38">
        <v>22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</row>
    <row r="39" spans="1:64">
      <c r="A39" t="s">
        <v>38648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4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</row>
    <row r="40" spans="1:64">
      <c r="A40" t="s">
        <v>38649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3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</row>
    <row r="41" spans="1:64">
      <c r="A41" t="s">
        <v>38650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2014</v>
      </c>
      <c r="AF41">
        <v>0</v>
      </c>
      <c r="AG41">
        <v>0</v>
      </c>
      <c r="AH41">
        <v>0</v>
      </c>
      <c r="AI41">
        <v>0</v>
      </c>
      <c r="AJ41">
        <v>48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10</v>
      </c>
    </row>
    <row r="42" spans="1:64">
      <c r="A42" t="s">
        <v>38651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16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</row>
    <row r="43" spans="1:64">
      <c r="A43" t="s">
        <v>38652</v>
      </c>
      <c r="B43">
        <v>0</v>
      </c>
      <c r="C43">
        <v>0</v>
      </c>
      <c r="D43">
        <v>0</v>
      </c>
      <c r="E43">
        <v>0</v>
      </c>
      <c r="F43">
        <v>5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</row>
    <row r="44" spans="1:64">
      <c r="A44" t="s">
        <v>38653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9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</row>
    <row r="45" spans="1:64">
      <c r="A45" t="s">
        <v>38654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5</v>
      </c>
      <c r="N45">
        <v>0</v>
      </c>
      <c r="O45">
        <v>0</v>
      </c>
      <c r="P45">
        <v>2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</row>
    <row r="46" spans="1:64">
      <c r="A46" t="s">
        <v>38655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13</v>
      </c>
      <c r="Z46">
        <v>0</v>
      </c>
      <c r="AA46">
        <v>0</v>
      </c>
      <c r="AB46">
        <v>0</v>
      </c>
      <c r="AC46">
        <v>34</v>
      </c>
      <c r="AD46">
        <v>0</v>
      </c>
      <c r="AE46">
        <v>336</v>
      </c>
      <c r="AF46">
        <v>4</v>
      </c>
      <c r="AG46">
        <v>51</v>
      </c>
      <c r="AH46">
        <v>7</v>
      </c>
      <c r="AI46">
        <v>0</v>
      </c>
      <c r="AJ46">
        <v>87</v>
      </c>
      <c r="AK46">
        <v>475</v>
      </c>
      <c r="AL46">
        <v>110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11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</row>
    <row r="47" spans="1:64">
      <c r="A47" t="s">
        <v>38656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19</v>
      </c>
      <c r="W47">
        <v>0</v>
      </c>
      <c r="X47">
        <v>0</v>
      </c>
      <c r="Y47">
        <v>18</v>
      </c>
      <c r="Z47">
        <v>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</row>
    <row r="48" spans="1:64">
      <c r="A48" t="s">
        <v>38657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18</v>
      </c>
    </row>
    <row r="49" spans="1:64">
      <c r="A49" t="s">
        <v>38658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8</v>
      </c>
      <c r="BJ49">
        <v>0</v>
      </c>
      <c r="BK49">
        <v>0</v>
      </c>
      <c r="BL49">
        <v>0</v>
      </c>
    </row>
    <row r="50" spans="1:64">
      <c r="A50" t="s">
        <v>38659</v>
      </c>
      <c r="B50">
        <v>0</v>
      </c>
      <c r="C50">
        <v>144</v>
      </c>
      <c r="D50">
        <v>7</v>
      </c>
      <c r="E50">
        <v>0</v>
      </c>
      <c r="F50">
        <v>106</v>
      </c>
      <c r="G50">
        <v>0</v>
      </c>
      <c r="H50">
        <v>31</v>
      </c>
      <c r="I50">
        <v>134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106</v>
      </c>
      <c r="AY50">
        <v>0</v>
      </c>
      <c r="AZ50">
        <v>0</v>
      </c>
      <c r="BA50">
        <v>25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4</v>
      </c>
      <c r="BH50">
        <v>0</v>
      </c>
      <c r="BI50">
        <v>0</v>
      </c>
      <c r="BJ50">
        <v>0</v>
      </c>
      <c r="BK50">
        <v>0</v>
      </c>
      <c r="BL50">
        <v>5</v>
      </c>
    </row>
    <row r="51" spans="1:64">
      <c r="A51" t="s">
        <v>38660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5</v>
      </c>
      <c r="AY51">
        <v>0</v>
      </c>
      <c r="AZ51">
        <v>9</v>
      </c>
      <c r="BA51">
        <v>5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</row>
    <row r="52" spans="1:64">
      <c r="A52" t="s">
        <v>38661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243</v>
      </c>
      <c r="AF52">
        <v>34</v>
      </c>
      <c r="AG52">
        <v>55</v>
      </c>
      <c r="AH52">
        <v>55</v>
      </c>
      <c r="AI52">
        <v>7</v>
      </c>
      <c r="AJ52">
        <v>31</v>
      </c>
      <c r="AK52">
        <v>15</v>
      </c>
      <c r="AL52">
        <v>44</v>
      </c>
      <c r="AM52">
        <v>12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589</v>
      </c>
      <c r="AY52">
        <v>11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</row>
    <row r="53" spans="1:64">
      <c r="A53" t="s">
        <v>38662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42</v>
      </c>
      <c r="N53">
        <v>48</v>
      </c>
      <c r="O53">
        <v>0</v>
      </c>
      <c r="P53">
        <v>0</v>
      </c>
      <c r="Q53">
        <v>201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</row>
    <row r="54" spans="1:64">
      <c r="A54" t="s">
        <v>38663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12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</row>
    <row r="55" spans="1:64">
      <c r="A55" t="s">
        <v>38664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40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</row>
    <row r="56" spans="1:64">
      <c r="A56" t="s">
        <v>38665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431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</row>
    <row r="57" spans="1:64">
      <c r="A57" t="s">
        <v>38666</v>
      </c>
      <c r="B57">
        <v>323</v>
      </c>
      <c r="C57">
        <v>361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</row>
    <row r="58" spans="1:64">
      <c r="A58" t="s">
        <v>38667</v>
      </c>
      <c r="B58">
        <v>740</v>
      </c>
      <c r="C58">
        <v>4743</v>
      </c>
      <c r="D58">
        <v>7</v>
      </c>
      <c r="E58">
        <v>5</v>
      </c>
      <c r="F58">
        <v>1031</v>
      </c>
      <c r="G58">
        <v>154</v>
      </c>
      <c r="H58">
        <v>473</v>
      </c>
      <c r="I58">
        <v>47</v>
      </c>
      <c r="J58">
        <v>8</v>
      </c>
      <c r="K58">
        <v>0</v>
      </c>
      <c r="L58">
        <v>35</v>
      </c>
      <c r="M58">
        <v>8</v>
      </c>
      <c r="N58">
        <v>0</v>
      </c>
      <c r="O58">
        <v>0</v>
      </c>
      <c r="P58">
        <v>14</v>
      </c>
      <c r="Q58">
        <v>0</v>
      </c>
      <c r="R58">
        <v>0</v>
      </c>
      <c r="S58">
        <v>0</v>
      </c>
      <c r="T58">
        <v>749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6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</row>
    <row r="59" spans="1:64">
      <c r="A59" t="s">
        <v>38668</v>
      </c>
      <c r="B59">
        <v>0</v>
      </c>
      <c r="C59">
        <v>20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</row>
    <row r="60" spans="1:64">
      <c r="A60" t="s">
        <v>38669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9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</row>
    <row r="61" spans="1:64">
      <c r="A61" t="s">
        <v>38670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30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</row>
    <row r="62" spans="1:64">
      <c r="A62" t="s">
        <v>38671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224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13</v>
      </c>
      <c r="AS62">
        <v>0</v>
      </c>
      <c r="AT62">
        <v>0</v>
      </c>
      <c r="AU62">
        <v>5</v>
      </c>
      <c r="AV62">
        <v>5</v>
      </c>
      <c r="AW62">
        <v>0</v>
      </c>
      <c r="AX62">
        <v>0</v>
      </c>
      <c r="AY62">
        <v>0</v>
      </c>
      <c r="AZ62">
        <v>0</v>
      </c>
      <c r="BA62">
        <v>12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8</v>
      </c>
      <c r="BJ62">
        <v>0</v>
      </c>
      <c r="BK62">
        <v>0</v>
      </c>
      <c r="BL62">
        <v>0</v>
      </c>
    </row>
    <row r="63" spans="1:64">
      <c r="A63" t="s">
        <v>38672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28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</row>
    <row r="64" spans="1:64">
      <c r="A64" t="s">
        <v>38673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52</v>
      </c>
      <c r="AH64">
        <v>10</v>
      </c>
      <c r="AI64">
        <v>21</v>
      </c>
      <c r="AJ64">
        <v>0</v>
      </c>
      <c r="AK64">
        <v>24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</row>
    <row r="65" spans="1:64">
      <c r="A65" t="s">
        <v>38674</v>
      </c>
      <c r="B65">
        <v>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140</v>
      </c>
      <c r="AB65">
        <v>7</v>
      </c>
      <c r="AC65">
        <v>0</v>
      </c>
      <c r="AD65">
        <v>0</v>
      </c>
      <c r="AE65">
        <v>0</v>
      </c>
      <c r="AF65">
        <v>0</v>
      </c>
      <c r="AG65">
        <v>97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</row>
    <row r="66" spans="1:64">
      <c r="A66" t="s">
        <v>38675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9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14</v>
      </c>
      <c r="AQ66">
        <v>10</v>
      </c>
      <c r="AR66">
        <v>110</v>
      </c>
      <c r="AS66">
        <v>193</v>
      </c>
      <c r="AT66">
        <v>7</v>
      </c>
      <c r="AU66">
        <v>2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</row>
    <row r="67" spans="1:64">
      <c r="A67" t="s">
        <v>38676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5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</row>
    <row r="68" spans="1:64">
      <c r="A68" t="s">
        <v>38677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522</v>
      </c>
    </row>
    <row r="69" spans="1:64">
      <c r="A69" t="s">
        <v>38678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31</v>
      </c>
      <c r="AH69">
        <v>2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</row>
    <row r="70" spans="1:64">
      <c r="A70" t="s">
        <v>38679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355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</row>
    <row r="71" spans="1:64">
      <c r="A71" t="s">
        <v>38680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10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</row>
    <row r="72" spans="1:64">
      <c r="A72" t="s">
        <v>38681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25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34</v>
      </c>
      <c r="AO72">
        <v>0</v>
      </c>
      <c r="AP72">
        <v>14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3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</v>
      </c>
      <c r="BD72">
        <v>0</v>
      </c>
      <c r="BE72">
        <v>17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</row>
    <row r="73" spans="1:64">
      <c r="A73" t="s">
        <v>38682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721</v>
      </c>
      <c r="BJ73">
        <v>0</v>
      </c>
      <c r="BK73">
        <v>0</v>
      </c>
      <c r="BL73">
        <v>0</v>
      </c>
    </row>
    <row r="74" spans="1:64">
      <c r="A74" t="s">
        <v>38683</v>
      </c>
      <c r="B74">
        <v>0</v>
      </c>
      <c r="C74">
        <v>0</v>
      </c>
      <c r="D74">
        <v>0</v>
      </c>
      <c r="E74">
        <v>0</v>
      </c>
      <c r="F74">
        <v>207</v>
      </c>
      <c r="G74">
        <v>6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</row>
    <row r="75" spans="1:64">
      <c r="A75" t="s">
        <v>38684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34</v>
      </c>
      <c r="AH75">
        <v>0</v>
      </c>
      <c r="AI75">
        <v>0</v>
      </c>
      <c r="AJ75">
        <v>0</v>
      </c>
      <c r="AK75">
        <v>705</v>
      </c>
      <c r="AL75">
        <v>21211</v>
      </c>
      <c r="AM75">
        <v>35</v>
      </c>
      <c r="AN75">
        <v>0</v>
      </c>
      <c r="AO75">
        <v>0</v>
      </c>
      <c r="AP75">
        <v>89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</row>
    <row r="76" spans="1:64">
      <c r="A76" t="s">
        <v>38685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38</v>
      </c>
      <c r="T76">
        <v>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</row>
    <row r="77" spans="1:64">
      <c r="A77" t="s">
        <v>38686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139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</row>
    <row r="78" spans="1:64">
      <c r="A78" t="s">
        <v>38687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4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</row>
    <row r="79" spans="1:64">
      <c r="A79" t="s">
        <v>38688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3</v>
      </c>
      <c r="P79">
        <v>127</v>
      </c>
      <c r="Q79">
        <v>79</v>
      </c>
      <c r="R79">
        <v>75</v>
      </c>
      <c r="S79">
        <v>367</v>
      </c>
      <c r="T79">
        <v>43</v>
      </c>
      <c r="U79">
        <v>29</v>
      </c>
      <c r="V79">
        <v>160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</row>
    <row r="80" spans="1:64">
      <c r="A80" t="s">
        <v>38689</v>
      </c>
      <c r="B80">
        <v>18</v>
      </c>
      <c r="C80">
        <v>32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</row>
    <row r="81" spans="1:64">
      <c r="A81" t="s">
        <v>38690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17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</row>
    <row r="82" spans="1:64">
      <c r="A82" t="s">
        <v>38691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16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</row>
    <row r="83" spans="1:64">
      <c r="A83" t="s">
        <v>38692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8</v>
      </c>
      <c r="AI83">
        <v>23</v>
      </c>
      <c r="AJ83">
        <v>17</v>
      </c>
      <c r="AK83">
        <v>60</v>
      </c>
      <c r="AL83">
        <v>16</v>
      </c>
      <c r="AM83">
        <v>0</v>
      </c>
      <c r="AN83">
        <v>8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</row>
    <row r="84" spans="1:64">
      <c r="A84" t="s">
        <v>38693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7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</row>
    <row r="85" spans="1:64">
      <c r="A85" t="s">
        <v>38694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24</v>
      </c>
      <c r="AN85">
        <v>719</v>
      </c>
      <c r="AO85">
        <v>872</v>
      </c>
      <c r="AP85">
        <v>2004</v>
      </c>
      <c r="AQ85">
        <v>35</v>
      </c>
      <c r="AR85">
        <v>197</v>
      </c>
      <c r="AS85">
        <v>31</v>
      </c>
      <c r="AT85">
        <v>0</v>
      </c>
      <c r="AU85">
        <v>16</v>
      </c>
      <c r="AV85">
        <v>30</v>
      </c>
      <c r="AW85">
        <v>0</v>
      </c>
      <c r="AX85">
        <v>7</v>
      </c>
      <c r="AY85">
        <v>84</v>
      </c>
      <c r="AZ85">
        <v>7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</row>
    <row r="86" spans="1:64">
      <c r="A86" t="s">
        <v>38695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4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</row>
    <row r="87" spans="1:64">
      <c r="A87" t="s">
        <v>38696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180</v>
      </c>
      <c r="AO87">
        <v>108</v>
      </c>
      <c r="AP87">
        <v>267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</row>
    <row r="88" spans="1:64">
      <c r="A88" t="s">
        <v>38697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5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</row>
    <row r="89" spans="1:64">
      <c r="A89" t="s">
        <v>38698</v>
      </c>
      <c r="B89">
        <v>0</v>
      </c>
      <c r="C89">
        <v>0</v>
      </c>
      <c r="D89">
        <v>0</v>
      </c>
      <c r="E89">
        <v>0</v>
      </c>
      <c r="F89">
        <v>10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</row>
    <row r="90" spans="1:64">
      <c r="A90" t="s">
        <v>38699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28</v>
      </c>
      <c r="BJ90">
        <v>0</v>
      </c>
      <c r="BK90">
        <v>0</v>
      </c>
      <c r="BL90">
        <v>0</v>
      </c>
    </row>
    <row r="91" spans="1:64">
      <c r="A91" t="s">
        <v>38700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18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</row>
    <row r="92" spans="1:64">
      <c r="A92" t="s">
        <v>38701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94</v>
      </c>
      <c r="W92">
        <v>6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</row>
    <row r="93" spans="1:64">
      <c r="A93" t="s">
        <v>38702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17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</row>
    <row r="94" spans="1:64">
      <c r="A94" t="s">
        <v>38703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2020</v>
      </c>
      <c r="J94">
        <v>0</v>
      </c>
      <c r="K94">
        <v>23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10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</row>
    <row r="95" spans="1:64">
      <c r="A95" t="s">
        <v>38704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15</v>
      </c>
      <c r="T95">
        <v>18</v>
      </c>
      <c r="U95">
        <v>31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</row>
    <row r="96" spans="1:64">
      <c r="A96" t="s">
        <v>38705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31</v>
      </c>
      <c r="U96">
        <v>131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</row>
    <row r="97" spans="1:64">
      <c r="A97" t="s">
        <v>38706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</row>
    <row r="98" spans="1:64">
      <c r="A98" t="s">
        <v>38707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30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</row>
    <row r="99" spans="1:64">
      <c r="A99" t="s">
        <v>38708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159</v>
      </c>
      <c r="AX99">
        <v>14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</row>
    <row r="100" spans="1:64">
      <c r="A100" t="s">
        <v>38709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8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</row>
    <row r="101" spans="1:64">
      <c r="A101" t="s">
        <v>38710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2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</row>
    <row r="102" spans="1:64">
      <c r="A102" t="s">
        <v>38711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3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</row>
    <row r="103" spans="1:64">
      <c r="A103" t="s">
        <v>38712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42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</row>
    <row r="104" spans="1:64">
      <c r="A104" t="s">
        <v>38713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33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</row>
    <row r="105" spans="1:64">
      <c r="A105" t="s">
        <v>38714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37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</row>
    <row r="106" spans="1:64">
      <c r="A106" t="s">
        <v>38715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48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</row>
    <row r="107" spans="1:64">
      <c r="A107" t="s">
        <v>38716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63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</row>
    <row r="108" spans="1:64">
      <c r="A108" t="s">
        <v>38717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59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</row>
    <row r="109" spans="1:64">
      <c r="A109" t="s">
        <v>38718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34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</row>
    <row r="110" spans="1:64">
      <c r="A110" t="s">
        <v>38719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24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</row>
    <row r="111" spans="1:64">
      <c r="A111" t="s">
        <v>38720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25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</row>
    <row r="112" spans="1:64">
      <c r="A112" t="s">
        <v>38721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7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</row>
    <row r="113" spans="1:64">
      <c r="A113" t="s">
        <v>38722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8</v>
      </c>
      <c r="AB113">
        <v>0</v>
      </c>
      <c r="AC113">
        <v>107</v>
      </c>
      <c r="AD113">
        <v>0</v>
      </c>
      <c r="AE113">
        <v>68</v>
      </c>
      <c r="AF113">
        <v>9</v>
      </c>
      <c r="AG113">
        <v>35</v>
      </c>
      <c r="AH113">
        <v>0</v>
      </c>
      <c r="AI113">
        <v>0</v>
      </c>
      <c r="AJ113">
        <v>4</v>
      </c>
      <c r="AK113">
        <v>68</v>
      </c>
      <c r="AL113">
        <v>408</v>
      </c>
      <c r="AM113">
        <v>134</v>
      </c>
      <c r="AN113">
        <v>196</v>
      </c>
      <c r="AO113">
        <v>51</v>
      </c>
      <c r="AP113">
        <v>19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8</v>
      </c>
      <c r="BA113">
        <v>9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</row>
    <row r="114" spans="1:64">
      <c r="A114" t="s">
        <v>38723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35</v>
      </c>
      <c r="AF114">
        <v>34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</row>
    <row r="115" spans="1:64">
      <c r="A115" t="s">
        <v>38724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6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</row>
    <row r="116" spans="1:64">
      <c r="A116" t="s">
        <v>38725</v>
      </c>
      <c r="B116">
        <v>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</row>
    <row r="117" spans="1:64">
      <c r="A117" t="s">
        <v>38726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4</v>
      </c>
      <c r="AX117">
        <v>622</v>
      </c>
      <c r="AY117">
        <v>106</v>
      </c>
      <c r="AZ117">
        <v>2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</row>
    <row r="118" spans="1:64">
      <c r="A118" t="s">
        <v>38727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6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</row>
    <row r="119" spans="1:64">
      <c r="A119" t="s">
        <v>38728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10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</row>
    <row r="120" spans="1:64">
      <c r="A120" t="s">
        <v>38729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6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</row>
    <row r="121" spans="1:64">
      <c r="A121" t="s">
        <v>38730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5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</row>
    <row r="122" spans="1:64">
      <c r="A122" t="s">
        <v>38731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6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</row>
    <row r="123" spans="1:64">
      <c r="A123" t="s">
        <v>38732</v>
      </c>
      <c r="B123">
        <v>0</v>
      </c>
      <c r="C123">
        <v>15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11</v>
      </c>
      <c r="AD123">
        <v>0</v>
      </c>
      <c r="AE123">
        <v>6</v>
      </c>
      <c r="AF123">
        <v>0</v>
      </c>
      <c r="AG123">
        <v>26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15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</row>
    <row r="124" spans="1:64">
      <c r="A124" t="s">
        <v>38733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7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</row>
    <row r="125" spans="1:64">
      <c r="A125" t="s">
        <v>38734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30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</row>
    <row r="126" spans="1:64">
      <c r="A126" t="s">
        <v>38735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3</v>
      </c>
      <c r="BH126">
        <v>0</v>
      </c>
      <c r="BI126">
        <v>0</v>
      </c>
      <c r="BJ126">
        <v>0</v>
      </c>
      <c r="BK126">
        <v>0</v>
      </c>
      <c r="BL126">
        <v>0</v>
      </c>
    </row>
    <row r="127" spans="1:64">
      <c r="A127" t="s">
        <v>38736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13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</row>
    <row r="128" spans="1:64">
      <c r="A128" t="s">
        <v>38737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39</v>
      </c>
      <c r="BL128">
        <v>0</v>
      </c>
    </row>
    <row r="129" spans="1:64">
      <c r="A129" t="s">
        <v>38738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59</v>
      </c>
      <c r="R129">
        <v>52</v>
      </c>
      <c r="S129">
        <v>0</v>
      </c>
      <c r="T129">
        <v>7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</row>
    <row r="130" spans="1:64">
      <c r="A130" t="s">
        <v>38739</v>
      </c>
      <c r="B130">
        <v>0</v>
      </c>
      <c r="C130">
        <v>0</v>
      </c>
      <c r="D130">
        <v>0</v>
      </c>
      <c r="E130">
        <v>0</v>
      </c>
      <c r="F130">
        <v>20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49</v>
      </c>
      <c r="T130">
        <v>0</v>
      </c>
      <c r="U130">
        <v>9</v>
      </c>
      <c r="V130">
        <v>283</v>
      </c>
      <c r="W130">
        <v>43</v>
      </c>
      <c r="X130">
        <v>4088</v>
      </c>
      <c r="Y130">
        <v>6186</v>
      </c>
      <c r="Z130">
        <v>409</v>
      </c>
      <c r="AA130">
        <v>149</v>
      </c>
      <c r="AB130">
        <v>68</v>
      </c>
      <c r="AC130">
        <v>116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</row>
    <row r="131" spans="1:64">
      <c r="A131" t="s">
        <v>38740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7</v>
      </c>
      <c r="Y131">
        <v>0</v>
      </c>
      <c r="Z131">
        <v>0</v>
      </c>
      <c r="AA131">
        <v>0</v>
      </c>
      <c r="AB131">
        <v>8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</row>
    <row r="132" spans="1:64">
      <c r="A132" t="s">
        <v>38741</v>
      </c>
      <c r="B132">
        <v>0</v>
      </c>
      <c r="C132">
        <v>0</v>
      </c>
      <c r="D132">
        <v>0</v>
      </c>
      <c r="E132">
        <v>0</v>
      </c>
      <c r="F132">
        <v>55</v>
      </c>
      <c r="G132">
        <v>9</v>
      </c>
      <c r="H132">
        <v>0</v>
      </c>
      <c r="I132">
        <v>0</v>
      </c>
      <c r="J132">
        <v>0</v>
      </c>
      <c r="K132">
        <v>21</v>
      </c>
      <c r="L132">
        <v>285</v>
      </c>
      <c r="M132">
        <v>0</v>
      </c>
      <c r="N132">
        <v>21</v>
      </c>
      <c r="O132">
        <v>55</v>
      </c>
      <c r="P132">
        <v>28</v>
      </c>
      <c r="Q132">
        <v>171</v>
      </c>
      <c r="R132">
        <v>24</v>
      </c>
      <c r="S132">
        <v>0</v>
      </c>
      <c r="T132">
        <v>16</v>
      </c>
      <c r="U132">
        <v>0</v>
      </c>
      <c r="V132">
        <v>52</v>
      </c>
      <c r="W132">
        <v>0</v>
      </c>
      <c r="X132">
        <v>381</v>
      </c>
      <c r="Y132">
        <v>793</v>
      </c>
      <c r="Z132">
        <v>53</v>
      </c>
      <c r="AA132">
        <v>229</v>
      </c>
      <c r="AB132">
        <v>137</v>
      </c>
      <c r="AC132">
        <v>324</v>
      </c>
      <c r="AD132">
        <v>0</v>
      </c>
      <c r="AE132">
        <v>348</v>
      </c>
      <c r="AF132">
        <v>289</v>
      </c>
      <c r="AG132">
        <v>539</v>
      </c>
      <c r="AH132">
        <v>123</v>
      </c>
      <c r="AI132">
        <v>0</v>
      </c>
      <c r="AJ132">
        <v>38</v>
      </c>
      <c r="AK132">
        <v>77</v>
      </c>
      <c r="AL132">
        <v>68</v>
      </c>
      <c r="AM132">
        <v>48</v>
      </c>
      <c r="AN132">
        <v>111</v>
      </c>
      <c r="AO132">
        <v>62</v>
      </c>
      <c r="AP132">
        <v>63</v>
      </c>
      <c r="AQ132">
        <v>0</v>
      </c>
      <c r="AR132">
        <v>0</v>
      </c>
      <c r="AS132">
        <v>0</v>
      </c>
      <c r="AT132">
        <v>6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61</v>
      </c>
      <c r="BJ132">
        <v>165</v>
      </c>
      <c r="BK132">
        <v>1240</v>
      </c>
      <c r="BL132">
        <v>122</v>
      </c>
    </row>
    <row r="133" spans="1:64">
      <c r="A133" t="s">
        <v>38742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126</v>
      </c>
      <c r="Y133">
        <v>329</v>
      </c>
      <c r="Z133">
        <v>0</v>
      </c>
      <c r="AA133">
        <v>37</v>
      </c>
      <c r="AB133">
        <v>92</v>
      </c>
      <c r="AC133">
        <v>811</v>
      </c>
      <c r="AD133">
        <v>0</v>
      </c>
      <c r="AE133">
        <v>127</v>
      </c>
      <c r="AF133">
        <v>160</v>
      </c>
      <c r="AG133">
        <v>3004</v>
      </c>
      <c r="AH133">
        <v>1254</v>
      </c>
      <c r="AI133">
        <v>64</v>
      </c>
      <c r="AJ133">
        <v>789</v>
      </c>
      <c r="AK133">
        <v>333</v>
      </c>
      <c r="AL133">
        <v>482</v>
      </c>
      <c r="AM133">
        <v>298</v>
      </c>
      <c r="AN133">
        <v>499</v>
      </c>
      <c r="AO133">
        <v>428</v>
      </c>
      <c r="AP133">
        <v>156</v>
      </c>
      <c r="AQ133">
        <v>54</v>
      </c>
      <c r="AR133">
        <v>93</v>
      </c>
      <c r="AS133">
        <v>31</v>
      </c>
      <c r="AT133">
        <v>21</v>
      </c>
      <c r="AU133">
        <v>100</v>
      </c>
      <c r="AV133">
        <v>70</v>
      </c>
      <c r="AW133">
        <v>9</v>
      </c>
      <c r="AX133">
        <v>21</v>
      </c>
      <c r="AY133">
        <v>0</v>
      </c>
      <c r="AZ133">
        <v>0</v>
      </c>
      <c r="BA133">
        <v>0</v>
      </c>
      <c r="BB133">
        <v>0</v>
      </c>
      <c r="BC133">
        <v>34</v>
      </c>
      <c r="BD133">
        <v>115</v>
      </c>
      <c r="BE133">
        <v>22</v>
      </c>
      <c r="BF133">
        <v>50</v>
      </c>
      <c r="BG133">
        <v>40</v>
      </c>
      <c r="BH133">
        <v>31</v>
      </c>
      <c r="BI133">
        <v>473</v>
      </c>
      <c r="BJ133">
        <v>183</v>
      </c>
      <c r="BK133">
        <v>1384</v>
      </c>
      <c r="BL133">
        <v>62</v>
      </c>
    </row>
    <row r="134" spans="1:64">
      <c r="A134" t="s">
        <v>38743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345</v>
      </c>
      <c r="AF134">
        <v>311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</row>
    <row r="135" spans="1:64">
      <c r="A135" t="s">
        <v>38744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797</v>
      </c>
      <c r="Y135">
        <v>3425</v>
      </c>
      <c r="Z135">
        <v>371</v>
      </c>
      <c r="AA135">
        <v>976</v>
      </c>
      <c r="AB135">
        <v>550</v>
      </c>
      <c r="AC135">
        <v>5533</v>
      </c>
      <c r="AD135">
        <v>0</v>
      </c>
      <c r="AE135">
        <v>1136</v>
      </c>
      <c r="AF135">
        <v>355</v>
      </c>
      <c r="AG135">
        <v>455</v>
      </c>
      <c r="AH135">
        <v>107</v>
      </c>
      <c r="AI135">
        <v>10</v>
      </c>
      <c r="AJ135">
        <v>181</v>
      </c>
      <c r="AK135">
        <v>61</v>
      </c>
      <c r="AL135">
        <v>80</v>
      </c>
      <c r="AM135">
        <v>95</v>
      </c>
      <c r="AN135">
        <v>101</v>
      </c>
      <c r="AO135">
        <v>62</v>
      </c>
      <c r="AP135">
        <v>64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</row>
    <row r="136" spans="1:64">
      <c r="A136" t="s">
        <v>38745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23</v>
      </c>
      <c r="BL136">
        <v>0</v>
      </c>
    </row>
    <row r="137" spans="1:64">
      <c r="A137" t="s">
        <v>38746</v>
      </c>
      <c r="B137">
        <v>60</v>
      </c>
      <c r="C137">
        <v>109</v>
      </c>
      <c r="D137">
        <v>20</v>
      </c>
      <c r="E137">
        <v>0</v>
      </c>
      <c r="F137">
        <v>79</v>
      </c>
      <c r="G137">
        <v>0</v>
      </c>
      <c r="H137">
        <v>0</v>
      </c>
      <c r="I137">
        <v>31</v>
      </c>
      <c r="J137">
        <v>4</v>
      </c>
      <c r="K137">
        <v>0</v>
      </c>
      <c r="L137">
        <v>67</v>
      </c>
      <c r="M137">
        <v>0</v>
      </c>
      <c r="N137">
        <v>0</v>
      </c>
      <c r="O137">
        <v>0</v>
      </c>
      <c r="P137">
        <v>0</v>
      </c>
      <c r="Q137">
        <v>241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36</v>
      </c>
      <c r="X137">
        <v>294</v>
      </c>
      <c r="Y137">
        <v>785</v>
      </c>
      <c r="Z137">
        <v>274</v>
      </c>
      <c r="AA137">
        <v>332</v>
      </c>
      <c r="AB137">
        <v>208</v>
      </c>
      <c r="AC137">
        <v>2568</v>
      </c>
      <c r="AD137">
        <v>0</v>
      </c>
      <c r="AE137">
        <v>25282</v>
      </c>
      <c r="AF137">
        <v>13657</v>
      </c>
      <c r="AG137">
        <v>2783</v>
      </c>
      <c r="AH137">
        <v>1051</v>
      </c>
      <c r="AI137">
        <v>144</v>
      </c>
      <c r="AJ137">
        <v>1407</v>
      </c>
      <c r="AK137">
        <v>881</v>
      </c>
      <c r="AL137">
        <v>1398</v>
      </c>
      <c r="AM137">
        <v>748</v>
      </c>
      <c r="AN137">
        <v>1112</v>
      </c>
      <c r="AO137">
        <v>668</v>
      </c>
      <c r="AP137">
        <v>261</v>
      </c>
      <c r="AQ137">
        <v>29</v>
      </c>
      <c r="AR137">
        <v>45</v>
      </c>
      <c r="AS137">
        <v>25</v>
      </c>
      <c r="AT137">
        <v>18</v>
      </c>
      <c r="AU137">
        <v>61</v>
      </c>
      <c r="AV137">
        <v>70</v>
      </c>
      <c r="AW137">
        <v>0</v>
      </c>
      <c r="AX137">
        <v>9</v>
      </c>
      <c r="AY137">
        <v>0</v>
      </c>
      <c r="AZ137">
        <v>0</v>
      </c>
      <c r="BA137">
        <v>322</v>
      </c>
      <c r="BB137">
        <v>294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</row>
    <row r="138" spans="1:64">
      <c r="A138" t="s">
        <v>38747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38</v>
      </c>
      <c r="Y138">
        <v>55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</row>
    <row r="139" spans="1:64">
      <c r="A139" t="s">
        <v>38748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10</v>
      </c>
      <c r="Y139">
        <v>26</v>
      </c>
      <c r="Z139">
        <v>0</v>
      </c>
      <c r="AA139">
        <v>0</v>
      </c>
      <c r="AB139">
        <v>0</v>
      </c>
      <c r="AC139">
        <v>22</v>
      </c>
      <c r="AD139">
        <v>0</v>
      </c>
      <c r="AE139">
        <v>15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</row>
    <row r="140" spans="1:64">
      <c r="A140" t="s">
        <v>38749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2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13</v>
      </c>
      <c r="BJ140">
        <v>0</v>
      </c>
      <c r="BK140">
        <v>0</v>
      </c>
      <c r="BL140">
        <v>0</v>
      </c>
    </row>
    <row r="141" spans="1:64">
      <c r="A141" t="s">
        <v>38750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59</v>
      </c>
      <c r="Y141">
        <v>129</v>
      </c>
      <c r="Z141">
        <v>0</v>
      </c>
      <c r="AA141">
        <v>30</v>
      </c>
      <c r="AB141">
        <v>0</v>
      </c>
      <c r="AC141">
        <v>94</v>
      </c>
      <c r="AD141">
        <v>0</v>
      </c>
      <c r="AE141">
        <v>221</v>
      </c>
      <c r="AF141">
        <v>0</v>
      </c>
      <c r="AG141">
        <v>0</v>
      </c>
      <c r="AH141">
        <v>0</v>
      </c>
      <c r="AI141">
        <v>3</v>
      </c>
      <c r="AJ141">
        <v>7</v>
      </c>
      <c r="AK141">
        <v>18</v>
      </c>
      <c r="AL141">
        <v>0</v>
      </c>
      <c r="AM141">
        <v>5</v>
      </c>
      <c r="AN141">
        <v>73</v>
      </c>
      <c r="AO141">
        <v>11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59</v>
      </c>
      <c r="BJ141">
        <v>0</v>
      </c>
      <c r="BK141">
        <v>124</v>
      </c>
      <c r="BL141">
        <v>9</v>
      </c>
    </row>
    <row r="142" spans="1:64">
      <c r="A142" t="s">
        <v>38751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24</v>
      </c>
      <c r="BL142">
        <v>0</v>
      </c>
    </row>
    <row r="143" spans="1:64">
      <c r="A143" t="s">
        <v>38752</v>
      </c>
      <c r="B143">
        <v>0</v>
      </c>
      <c r="C143">
        <v>0</v>
      </c>
      <c r="D143">
        <v>0</v>
      </c>
      <c r="E143">
        <v>0</v>
      </c>
      <c r="F143">
        <v>21</v>
      </c>
      <c r="G143">
        <v>0</v>
      </c>
      <c r="H143">
        <v>0</v>
      </c>
      <c r="I143">
        <v>11</v>
      </c>
      <c r="J143">
        <v>0</v>
      </c>
      <c r="K143">
        <v>0</v>
      </c>
      <c r="L143">
        <v>19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2858</v>
      </c>
      <c r="W143">
        <v>75</v>
      </c>
      <c r="X143">
        <v>1772</v>
      </c>
      <c r="Y143">
        <v>2980</v>
      </c>
      <c r="Z143">
        <v>77</v>
      </c>
      <c r="AA143">
        <v>311</v>
      </c>
      <c r="AB143">
        <v>115</v>
      </c>
      <c r="AC143">
        <v>306</v>
      </c>
      <c r="AD143">
        <v>0</v>
      </c>
      <c r="AE143">
        <v>42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</row>
    <row r="144" spans="1:64">
      <c r="A144" t="s">
        <v>38753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9</v>
      </c>
      <c r="Y144">
        <v>25</v>
      </c>
      <c r="Z144">
        <v>0</v>
      </c>
      <c r="AA144">
        <v>9</v>
      </c>
      <c r="AB144">
        <v>0</v>
      </c>
      <c r="AC144">
        <v>339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</row>
    <row r="145" spans="1:64">
      <c r="A145" t="s">
        <v>38754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12</v>
      </c>
      <c r="AL145">
        <v>0</v>
      </c>
      <c r="AM145">
        <v>0</v>
      </c>
      <c r="AN145">
        <v>0</v>
      </c>
      <c r="AO145">
        <v>25</v>
      </c>
      <c r="AP145">
        <v>12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</row>
    <row r="146" spans="1:64">
      <c r="A146" t="s">
        <v>38755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10</v>
      </c>
      <c r="M146">
        <v>0</v>
      </c>
      <c r="N146">
        <v>4</v>
      </c>
      <c r="O146">
        <v>6</v>
      </c>
      <c r="P146">
        <v>0</v>
      </c>
      <c r="Q146">
        <v>43</v>
      </c>
      <c r="R146">
        <v>13</v>
      </c>
      <c r="S146">
        <v>13</v>
      </c>
      <c r="T146">
        <v>0</v>
      </c>
      <c r="U146">
        <v>5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399</v>
      </c>
      <c r="AH146">
        <v>138</v>
      </c>
      <c r="AI146">
        <v>43</v>
      </c>
      <c r="AJ146">
        <v>577</v>
      </c>
      <c r="AK146">
        <v>791</v>
      </c>
      <c r="AL146">
        <v>577</v>
      </c>
      <c r="AM146">
        <v>317</v>
      </c>
      <c r="AN146">
        <v>490</v>
      </c>
      <c r="AO146">
        <v>393</v>
      </c>
      <c r="AP146">
        <v>480</v>
      </c>
      <c r="AQ146">
        <v>17</v>
      </c>
      <c r="AR146">
        <v>31</v>
      </c>
      <c r="AS146">
        <v>12</v>
      </c>
      <c r="AT146">
        <v>28</v>
      </c>
      <c r="AU146">
        <v>107</v>
      </c>
      <c r="AV146">
        <v>191</v>
      </c>
      <c r="AW146">
        <v>0</v>
      </c>
      <c r="AX146">
        <v>34</v>
      </c>
      <c r="AY146">
        <v>0</v>
      </c>
      <c r="AZ146">
        <v>4</v>
      </c>
      <c r="BA146">
        <v>9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</row>
    <row r="147" spans="1:64">
      <c r="A147" t="s">
        <v>38756</v>
      </c>
      <c r="B147">
        <v>0</v>
      </c>
      <c r="C147">
        <v>0</v>
      </c>
      <c r="D147">
        <v>0</v>
      </c>
      <c r="E147">
        <v>0</v>
      </c>
      <c r="F147">
        <v>16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17</v>
      </c>
      <c r="Z147">
        <v>23</v>
      </c>
      <c r="AA147">
        <v>0</v>
      </c>
      <c r="AB147">
        <v>0</v>
      </c>
      <c r="AC147">
        <v>0</v>
      </c>
      <c r="AD147">
        <v>0</v>
      </c>
      <c r="AE147">
        <v>31</v>
      </c>
      <c r="AF147">
        <v>50</v>
      </c>
      <c r="AG147">
        <v>0</v>
      </c>
      <c r="AH147">
        <v>0</v>
      </c>
      <c r="AI147">
        <v>0</v>
      </c>
      <c r="AJ147">
        <v>0</v>
      </c>
      <c r="AK147">
        <v>435</v>
      </c>
      <c r="AL147">
        <v>0</v>
      </c>
      <c r="AM147">
        <v>0</v>
      </c>
      <c r="AN147">
        <v>124</v>
      </c>
      <c r="AO147">
        <v>635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</row>
    <row r="148" spans="1:64">
      <c r="A148" t="s">
        <v>38757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13</v>
      </c>
      <c r="BJ148">
        <v>0</v>
      </c>
      <c r="BK148">
        <v>0</v>
      </c>
      <c r="BL148">
        <v>0</v>
      </c>
    </row>
    <row r="149" spans="1:64">
      <c r="A149" t="s">
        <v>38758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21</v>
      </c>
      <c r="BJ149">
        <v>0</v>
      </c>
      <c r="BK149">
        <v>92</v>
      </c>
      <c r="BL149">
        <v>0</v>
      </c>
    </row>
    <row r="150" spans="1:64">
      <c r="A150" t="s">
        <v>38759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45</v>
      </c>
      <c r="BJ150">
        <v>0</v>
      </c>
      <c r="BK150">
        <v>0</v>
      </c>
      <c r="BL150">
        <v>0</v>
      </c>
    </row>
    <row r="151" spans="1:64">
      <c r="A151" t="s">
        <v>38760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28</v>
      </c>
      <c r="J151">
        <v>0</v>
      </c>
      <c r="K151">
        <v>21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</row>
    <row r="152" spans="1:64">
      <c r="A152" t="s">
        <v>38761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30</v>
      </c>
      <c r="BJ152">
        <v>0</v>
      </c>
      <c r="BK152">
        <v>0</v>
      </c>
      <c r="BL152">
        <v>0</v>
      </c>
    </row>
    <row r="153" spans="1:64">
      <c r="A153" t="s">
        <v>38762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9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</row>
    <row r="154" spans="1:64">
      <c r="A154" t="s">
        <v>38763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19</v>
      </c>
      <c r="BJ154">
        <v>0</v>
      </c>
      <c r="BK154">
        <v>8</v>
      </c>
      <c r="BL154">
        <v>0</v>
      </c>
    </row>
    <row r="155" spans="1:64">
      <c r="A155" t="s">
        <v>38764</v>
      </c>
      <c r="B155">
        <v>42</v>
      </c>
      <c r="C155">
        <v>648</v>
      </c>
      <c r="D155">
        <v>60</v>
      </c>
      <c r="E155">
        <v>55</v>
      </c>
      <c r="F155">
        <v>1135</v>
      </c>
      <c r="G155">
        <v>61</v>
      </c>
      <c r="H155">
        <v>145</v>
      </c>
      <c r="I155">
        <v>2856</v>
      </c>
      <c r="J155">
        <v>691</v>
      </c>
      <c r="K155">
        <v>4922</v>
      </c>
      <c r="L155">
        <v>48048</v>
      </c>
      <c r="M155">
        <v>9127</v>
      </c>
      <c r="N155">
        <v>9088</v>
      </c>
      <c r="O155">
        <v>16006</v>
      </c>
      <c r="P155">
        <v>11840</v>
      </c>
      <c r="Q155">
        <v>61995</v>
      </c>
      <c r="R155">
        <v>21593</v>
      </c>
      <c r="S155">
        <v>20150</v>
      </c>
      <c r="T155">
        <v>13539</v>
      </c>
      <c r="U155">
        <v>14172</v>
      </c>
      <c r="V155">
        <v>13327</v>
      </c>
      <c r="W155">
        <v>20279</v>
      </c>
      <c r="X155">
        <v>12223</v>
      </c>
      <c r="Y155">
        <v>44689</v>
      </c>
      <c r="Z155">
        <v>13111</v>
      </c>
      <c r="AA155">
        <v>10050</v>
      </c>
      <c r="AB155">
        <v>11926</v>
      </c>
      <c r="AC155">
        <v>28328</v>
      </c>
      <c r="AD155">
        <v>0</v>
      </c>
      <c r="AE155">
        <v>3847</v>
      </c>
      <c r="AF155">
        <v>1685</v>
      </c>
      <c r="AG155">
        <v>281</v>
      </c>
      <c r="AH155">
        <v>701</v>
      </c>
      <c r="AI155">
        <v>106</v>
      </c>
      <c r="AJ155">
        <v>228</v>
      </c>
      <c r="AK155">
        <v>222</v>
      </c>
      <c r="AL155">
        <v>91</v>
      </c>
      <c r="AM155">
        <v>73</v>
      </c>
      <c r="AN155">
        <v>70</v>
      </c>
      <c r="AO155">
        <v>0</v>
      </c>
      <c r="AP155">
        <v>22</v>
      </c>
      <c r="AQ155">
        <v>47</v>
      </c>
      <c r="AR155">
        <v>219</v>
      </c>
      <c r="AS155">
        <v>0</v>
      </c>
      <c r="AT155">
        <v>0</v>
      </c>
      <c r="AU155">
        <v>0</v>
      </c>
      <c r="AV155">
        <v>19</v>
      </c>
      <c r="AW155">
        <v>0</v>
      </c>
      <c r="AX155">
        <v>0</v>
      </c>
      <c r="AY155">
        <v>0</v>
      </c>
      <c r="AZ155">
        <v>232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37</v>
      </c>
      <c r="BL155">
        <v>7</v>
      </c>
    </row>
    <row r="156" spans="1:64">
      <c r="A156" t="s">
        <v>38765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1172</v>
      </c>
      <c r="BD156">
        <v>4377</v>
      </c>
      <c r="BE156">
        <v>1002</v>
      </c>
      <c r="BF156">
        <v>48</v>
      </c>
      <c r="BG156">
        <v>33</v>
      </c>
      <c r="BH156">
        <v>52</v>
      </c>
      <c r="BI156">
        <v>2011</v>
      </c>
      <c r="BJ156">
        <v>3112</v>
      </c>
      <c r="BK156">
        <v>3839</v>
      </c>
      <c r="BL156">
        <v>408</v>
      </c>
    </row>
    <row r="157" spans="1:64">
      <c r="A157" t="s">
        <v>38766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88</v>
      </c>
      <c r="AL157">
        <v>0</v>
      </c>
      <c r="AM157">
        <v>0</v>
      </c>
      <c r="AN157">
        <v>0</v>
      </c>
      <c r="AO157">
        <v>117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</row>
    <row r="158" spans="1:64">
      <c r="A158" t="s">
        <v>38767</v>
      </c>
      <c r="B158">
        <v>0</v>
      </c>
      <c r="C158">
        <v>0</v>
      </c>
      <c r="D158">
        <v>0</v>
      </c>
      <c r="E158">
        <v>0</v>
      </c>
      <c r="F158">
        <v>7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</row>
    <row r="159" spans="1:64">
      <c r="A159" t="s">
        <v>38768</v>
      </c>
      <c r="B159">
        <v>0</v>
      </c>
      <c r="C159">
        <v>20</v>
      </c>
      <c r="D159">
        <v>0</v>
      </c>
      <c r="E159">
        <v>0</v>
      </c>
      <c r="F159">
        <v>31</v>
      </c>
      <c r="G159">
        <v>0</v>
      </c>
      <c r="H159">
        <v>0</v>
      </c>
      <c r="I159">
        <v>17</v>
      </c>
      <c r="J159">
        <v>0</v>
      </c>
      <c r="K159">
        <v>0</v>
      </c>
      <c r="L159">
        <v>95</v>
      </c>
      <c r="M159">
        <v>0</v>
      </c>
      <c r="N159">
        <v>0</v>
      </c>
      <c r="O159">
        <v>14</v>
      </c>
      <c r="P159">
        <v>0</v>
      </c>
      <c r="Q159">
        <v>132</v>
      </c>
      <c r="R159">
        <v>12</v>
      </c>
      <c r="S159">
        <v>0</v>
      </c>
      <c r="T159">
        <v>26</v>
      </c>
      <c r="U159">
        <v>23</v>
      </c>
      <c r="V159">
        <v>24</v>
      </c>
      <c r="W159">
        <v>40</v>
      </c>
      <c r="X159">
        <v>160</v>
      </c>
      <c r="Y159">
        <v>104</v>
      </c>
      <c r="Z159">
        <v>39</v>
      </c>
      <c r="AA159">
        <v>502</v>
      </c>
      <c r="AB159">
        <v>163</v>
      </c>
      <c r="AC159">
        <v>1649</v>
      </c>
      <c r="AD159">
        <v>0</v>
      </c>
      <c r="AE159">
        <v>1859</v>
      </c>
      <c r="AF159">
        <v>1148</v>
      </c>
      <c r="AG159">
        <v>106812</v>
      </c>
      <c r="AH159">
        <v>52825</v>
      </c>
      <c r="AI159">
        <v>20401</v>
      </c>
      <c r="AJ159">
        <v>69921</v>
      </c>
      <c r="AK159">
        <v>61906</v>
      </c>
      <c r="AL159">
        <v>69118</v>
      </c>
      <c r="AM159">
        <v>44074</v>
      </c>
      <c r="AN159">
        <v>61843</v>
      </c>
      <c r="AO159">
        <v>51370</v>
      </c>
      <c r="AP159">
        <v>31577</v>
      </c>
      <c r="AQ159">
        <v>12263</v>
      </c>
      <c r="AR159">
        <v>12806</v>
      </c>
      <c r="AS159">
        <v>10311</v>
      </c>
      <c r="AT159">
        <v>14063</v>
      </c>
      <c r="AU159">
        <v>12645</v>
      </c>
      <c r="AV159">
        <v>20401</v>
      </c>
      <c r="AW159">
        <v>2537</v>
      </c>
      <c r="AX159">
        <v>12271</v>
      </c>
      <c r="AY159">
        <v>2776</v>
      </c>
      <c r="AZ159">
        <v>3415</v>
      </c>
      <c r="BA159">
        <v>2225</v>
      </c>
      <c r="BB159">
        <v>100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8</v>
      </c>
    </row>
    <row r="160" spans="1:64">
      <c r="A160" t="s">
        <v>38769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853</v>
      </c>
      <c r="AH160">
        <v>395</v>
      </c>
      <c r="AI160">
        <v>0</v>
      </c>
      <c r="AJ160">
        <v>622</v>
      </c>
      <c r="AK160">
        <v>547</v>
      </c>
      <c r="AL160">
        <v>478</v>
      </c>
      <c r="AM160">
        <v>465</v>
      </c>
      <c r="AN160">
        <v>675</v>
      </c>
      <c r="AO160">
        <v>427</v>
      </c>
      <c r="AP160">
        <v>231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</row>
    <row r="161" spans="1:64">
      <c r="A161" t="s">
        <v>38770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24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12</v>
      </c>
      <c r="BA161">
        <v>0</v>
      </c>
      <c r="BB161">
        <v>0</v>
      </c>
      <c r="BC161">
        <v>340</v>
      </c>
      <c r="BD161">
        <v>443</v>
      </c>
      <c r="BE161">
        <v>279</v>
      </c>
      <c r="BF161">
        <v>154</v>
      </c>
      <c r="BG161">
        <v>144</v>
      </c>
      <c r="BH161">
        <v>80</v>
      </c>
      <c r="BI161">
        <v>279</v>
      </c>
      <c r="BJ161">
        <v>0</v>
      </c>
      <c r="BK161">
        <v>0</v>
      </c>
      <c r="BL161">
        <v>7</v>
      </c>
    </row>
    <row r="162" spans="1:64">
      <c r="A162" t="s">
        <v>38771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23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342</v>
      </c>
      <c r="AS162">
        <v>7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1261</v>
      </c>
      <c r="BA162">
        <v>0</v>
      </c>
      <c r="BB162">
        <v>0</v>
      </c>
      <c r="BC162">
        <v>10233</v>
      </c>
      <c r="BD162">
        <v>6801</v>
      </c>
      <c r="BE162">
        <v>9787</v>
      </c>
      <c r="BF162">
        <v>12852</v>
      </c>
      <c r="BG162">
        <v>12370</v>
      </c>
      <c r="BH162">
        <v>10024</v>
      </c>
      <c r="BI162">
        <v>6548</v>
      </c>
      <c r="BJ162">
        <v>5226</v>
      </c>
      <c r="BK162">
        <v>6740</v>
      </c>
      <c r="BL162">
        <v>8837</v>
      </c>
    </row>
    <row r="163" spans="1:64">
      <c r="A163" t="s">
        <v>38772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43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101</v>
      </c>
      <c r="BA163">
        <v>0</v>
      </c>
      <c r="BB163">
        <v>0</v>
      </c>
      <c r="BC163">
        <v>1421</v>
      </c>
      <c r="BD163">
        <v>2337</v>
      </c>
      <c r="BE163">
        <v>1291</v>
      </c>
      <c r="BF163">
        <v>862</v>
      </c>
      <c r="BG163">
        <v>703</v>
      </c>
      <c r="BH163">
        <v>922</v>
      </c>
      <c r="BI163">
        <v>425</v>
      </c>
      <c r="BJ163">
        <v>0</v>
      </c>
      <c r="BK163">
        <v>39</v>
      </c>
      <c r="BL163">
        <v>0</v>
      </c>
    </row>
    <row r="164" spans="1:64">
      <c r="A164" t="s">
        <v>38773</v>
      </c>
      <c r="B164">
        <v>13874</v>
      </c>
      <c r="C164">
        <v>18045</v>
      </c>
      <c r="D164">
        <v>21709</v>
      </c>
      <c r="E164">
        <v>17147</v>
      </c>
      <c r="F164">
        <v>29826</v>
      </c>
      <c r="G164">
        <v>12567</v>
      </c>
      <c r="H164">
        <v>21007</v>
      </c>
      <c r="I164">
        <v>46983</v>
      </c>
      <c r="J164">
        <v>12928</v>
      </c>
      <c r="K164">
        <v>19123</v>
      </c>
      <c r="L164">
        <v>29988</v>
      </c>
      <c r="M164">
        <v>11646</v>
      </c>
      <c r="N164">
        <v>5872</v>
      </c>
      <c r="O164">
        <v>7089</v>
      </c>
      <c r="P164">
        <v>3613</v>
      </c>
      <c r="Q164">
        <v>15001</v>
      </c>
      <c r="R164">
        <v>2769</v>
      </c>
      <c r="S164">
        <v>1050</v>
      </c>
      <c r="T164">
        <v>1527</v>
      </c>
      <c r="U164">
        <v>720</v>
      </c>
      <c r="V164">
        <v>104</v>
      </c>
      <c r="W164">
        <v>11</v>
      </c>
      <c r="X164">
        <v>0</v>
      </c>
      <c r="Y164">
        <v>0</v>
      </c>
      <c r="Z164">
        <v>142</v>
      </c>
      <c r="AA164">
        <v>6</v>
      </c>
      <c r="AB164">
        <v>0</v>
      </c>
      <c r="AC164">
        <v>249</v>
      </c>
      <c r="AD164">
        <v>0</v>
      </c>
      <c r="AE164">
        <v>78</v>
      </c>
      <c r="AF164">
        <v>161</v>
      </c>
      <c r="AG164">
        <v>0</v>
      </c>
      <c r="AH164">
        <v>248</v>
      </c>
      <c r="AI164">
        <v>0</v>
      </c>
      <c r="AJ164">
        <v>29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114</v>
      </c>
      <c r="AW164">
        <v>0</v>
      </c>
      <c r="AX164">
        <v>92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234</v>
      </c>
      <c r="BL164">
        <v>0</v>
      </c>
    </row>
    <row r="165" spans="1:64">
      <c r="A165" t="s">
        <v>38774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157</v>
      </c>
      <c r="AH165">
        <v>165</v>
      </c>
      <c r="AI165">
        <v>136</v>
      </c>
      <c r="AJ165">
        <v>402</v>
      </c>
      <c r="AK165">
        <v>286</v>
      </c>
      <c r="AL165">
        <v>670</v>
      </c>
      <c r="AM165">
        <v>418</v>
      </c>
      <c r="AN165">
        <v>754</v>
      </c>
      <c r="AO165">
        <v>607</v>
      </c>
      <c r="AP165">
        <v>330</v>
      </c>
      <c r="AQ165">
        <v>186</v>
      </c>
      <c r="AR165">
        <v>221</v>
      </c>
      <c r="AS165">
        <v>203</v>
      </c>
      <c r="AT165">
        <v>197</v>
      </c>
      <c r="AU165">
        <v>153</v>
      </c>
      <c r="AV165">
        <v>346</v>
      </c>
      <c r="AW165">
        <v>19</v>
      </c>
      <c r="AX165">
        <v>146</v>
      </c>
      <c r="AY165">
        <v>0</v>
      </c>
      <c r="AZ165">
        <v>0</v>
      </c>
      <c r="BA165">
        <v>181</v>
      </c>
      <c r="BB165">
        <v>90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5</v>
      </c>
      <c r="BJ165">
        <v>0</v>
      </c>
      <c r="BK165">
        <v>0</v>
      </c>
      <c r="BL165">
        <v>0</v>
      </c>
    </row>
    <row r="166" spans="1:64">
      <c r="A166" t="s">
        <v>38775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5</v>
      </c>
      <c r="BJ166">
        <v>0</v>
      </c>
      <c r="BK166">
        <v>0</v>
      </c>
      <c r="BL166">
        <v>0</v>
      </c>
    </row>
    <row r="167" spans="1:64">
      <c r="A167" t="s">
        <v>38776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10</v>
      </c>
      <c r="BF167">
        <v>18</v>
      </c>
      <c r="BG167">
        <v>0</v>
      </c>
      <c r="BH167">
        <v>17</v>
      </c>
      <c r="BI167">
        <v>3042</v>
      </c>
      <c r="BJ167">
        <v>0</v>
      </c>
      <c r="BK167">
        <v>574</v>
      </c>
      <c r="BL167">
        <v>0</v>
      </c>
    </row>
    <row r="168" spans="1:64">
      <c r="A168" t="s">
        <v>38777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26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</row>
    <row r="169" spans="1:64">
      <c r="A169" t="s">
        <v>38778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27</v>
      </c>
      <c r="AD169">
        <v>0</v>
      </c>
      <c r="AE169">
        <v>0</v>
      </c>
      <c r="AF169">
        <v>29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</row>
    <row r="170" spans="1:64">
      <c r="A170" t="s">
        <v>38779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11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11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</row>
    <row r="171" spans="1:64">
      <c r="A171" t="s">
        <v>38780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3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</row>
    <row r="172" spans="1:64">
      <c r="A172" t="s">
        <v>38781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336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</row>
    <row r="173" spans="1:64">
      <c r="A173" t="s">
        <v>38782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13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</row>
    <row r="174" spans="1:64">
      <c r="A174" t="s">
        <v>38783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12</v>
      </c>
      <c r="J174">
        <v>0</v>
      </c>
      <c r="K174">
        <v>0</v>
      </c>
      <c r="L174">
        <v>17</v>
      </c>
      <c r="M174">
        <v>0</v>
      </c>
      <c r="N174">
        <v>0</v>
      </c>
      <c r="O174">
        <v>0</v>
      </c>
      <c r="P174">
        <v>0</v>
      </c>
      <c r="Q174">
        <v>18</v>
      </c>
      <c r="R174">
        <v>11</v>
      </c>
      <c r="S174">
        <v>7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14</v>
      </c>
      <c r="AF174">
        <v>17</v>
      </c>
      <c r="AG174">
        <v>37</v>
      </c>
      <c r="AH174">
        <v>0</v>
      </c>
      <c r="AI174">
        <v>0</v>
      </c>
      <c r="AJ174">
        <v>24</v>
      </c>
      <c r="AK174">
        <v>25</v>
      </c>
      <c r="AL174">
        <v>15</v>
      </c>
      <c r="AM174">
        <v>0</v>
      </c>
      <c r="AN174">
        <v>16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4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</row>
    <row r="175" spans="1:64">
      <c r="A175" t="s">
        <v>38784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18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</row>
    <row r="176" spans="1:64">
      <c r="A176" t="s">
        <v>38785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4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</row>
    <row r="177" spans="1:64">
      <c r="A177" t="s">
        <v>38786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10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10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</row>
    <row r="178" spans="1:64">
      <c r="A178" t="s">
        <v>38787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8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</row>
    <row r="179" spans="1:64">
      <c r="A179" t="s">
        <v>38788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85</v>
      </c>
      <c r="AK179">
        <v>0</v>
      </c>
      <c r="AL179">
        <v>0</v>
      </c>
      <c r="AM179">
        <v>0</v>
      </c>
      <c r="AN179">
        <v>0</v>
      </c>
      <c r="AO179">
        <v>16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18</v>
      </c>
      <c r="BJ179">
        <v>0</v>
      </c>
      <c r="BK179">
        <v>0</v>
      </c>
      <c r="BL179">
        <v>0</v>
      </c>
    </row>
    <row r="180" spans="1:64">
      <c r="A180" t="s">
        <v>38789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76</v>
      </c>
      <c r="P180">
        <v>11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</row>
    <row r="181" spans="1:64">
      <c r="A181" t="s">
        <v>38790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125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</row>
    <row r="182" spans="1:64">
      <c r="A182" t="s">
        <v>38791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11</v>
      </c>
      <c r="BL182">
        <v>0</v>
      </c>
    </row>
    <row r="183" spans="1:64">
      <c r="A183" t="s">
        <v>38792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5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</row>
    <row r="184" spans="1:64">
      <c r="A184" t="s">
        <v>38793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3</v>
      </c>
      <c r="BL184">
        <v>0</v>
      </c>
    </row>
    <row r="185" spans="1:64">
      <c r="A185" t="s">
        <v>38794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26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</row>
    <row r="186" spans="1:64">
      <c r="A186" t="s">
        <v>38795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23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</row>
    <row r="187" spans="1:64">
      <c r="A187" t="s">
        <v>38796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</row>
    <row r="188" spans="1:64">
      <c r="A188" t="s">
        <v>38797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21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</row>
    <row r="189" spans="1:64">
      <c r="A189" t="s">
        <v>38798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5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</row>
    <row r="190" spans="1:64">
      <c r="A190" t="s">
        <v>38799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13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</row>
    <row r="191" spans="1:64">
      <c r="A191" t="s">
        <v>38800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7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</row>
    <row r="192" spans="1:64">
      <c r="A192" t="s">
        <v>38801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6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</row>
    <row r="193" spans="1:64">
      <c r="A193" t="s">
        <v>38802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81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</row>
    <row r="194" spans="1:64">
      <c r="A194" t="s">
        <v>38803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14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</row>
    <row r="195" spans="1:64">
      <c r="A195" t="s">
        <v>38804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65</v>
      </c>
      <c r="AH195">
        <v>0</v>
      </c>
      <c r="AI195">
        <v>106</v>
      </c>
      <c r="AJ195">
        <v>16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</row>
    <row r="196" spans="1:64">
      <c r="A196" t="s">
        <v>38805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4</v>
      </c>
      <c r="X196">
        <v>11</v>
      </c>
      <c r="Y196">
        <v>25</v>
      </c>
      <c r="Z196">
        <v>0</v>
      </c>
      <c r="AA196">
        <v>9</v>
      </c>
      <c r="AB196">
        <v>0</v>
      </c>
      <c r="AC196">
        <v>14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154</v>
      </c>
      <c r="BL196">
        <v>0</v>
      </c>
    </row>
    <row r="197" spans="1:64">
      <c r="A197" t="s">
        <v>38806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82</v>
      </c>
      <c r="AJ197">
        <v>0</v>
      </c>
      <c r="AK197">
        <v>0</v>
      </c>
      <c r="AL197">
        <v>13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</row>
    <row r="198" spans="1:64">
      <c r="A198" t="s">
        <v>38807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371</v>
      </c>
      <c r="AH198">
        <v>18</v>
      </c>
      <c r="AI198">
        <v>1000</v>
      </c>
      <c r="AJ198">
        <v>0</v>
      </c>
      <c r="AK198">
        <v>34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11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</row>
    <row r="199" spans="1:64">
      <c r="A199" t="s">
        <v>38808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19</v>
      </c>
      <c r="T199">
        <v>61</v>
      </c>
      <c r="U199">
        <v>196</v>
      </c>
      <c r="V199">
        <v>979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</row>
    <row r="200" spans="1:64">
      <c r="A200" t="s">
        <v>38809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144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</row>
    <row r="201" spans="1:64">
      <c r="A201" t="s">
        <v>38810</v>
      </c>
      <c r="B201">
        <v>21</v>
      </c>
      <c r="C201">
        <v>51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59</v>
      </c>
      <c r="M201">
        <v>5</v>
      </c>
      <c r="N201">
        <v>14</v>
      </c>
      <c r="O201">
        <v>68</v>
      </c>
      <c r="P201">
        <v>13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163</v>
      </c>
      <c r="W201">
        <v>367</v>
      </c>
      <c r="X201">
        <v>230</v>
      </c>
      <c r="Y201">
        <v>471</v>
      </c>
      <c r="Z201">
        <v>126</v>
      </c>
      <c r="AA201">
        <v>2055</v>
      </c>
      <c r="AB201">
        <v>1878</v>
      </c>
      <c r="AC201">
        <v>11698</v>
      </c>
      <c r="AD201">
        <v>0</v>
      </c>
      <c r="AE201">
        <v>2750</v>
      </c>
      <c r="AF201">
        <v>53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</row>
    <row r="202" spans="1:64">
      <c r="A202" t="s">
        <v>38811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515</v>
      </c>
      <c r="AB202">
        <v>491</v>
      </c>
      <c r="AC202">
        <v>2362</v>
      </c>
      <c r="AD202">
        <v>0</v>
      </c>
      <c r="AE202">
        <v>604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</row>
    <row r="203" spans="1:64">
      <c r="A203" t="s">
        <v>38812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177</v>
      </c>
      <c r="AB203">
        <v>161</v>
      </c>
      <c r="AC203">
        <v>1278</v>
      </c>
      <c r="AD203">
        <v>0</v>
      </c>
      <c r="AE203">
        <v>240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</row>
    <row r="204" spans="1:64">
      <c r="A204" t="s">
        <v>38813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36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</row>
    <row r="205" spans="1:64">
      <c r="A205" t="s">
        <v>38814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49</v>
      </c>
      <c r="Q205">
        <v>0</v>
      </c>
      <c r="R205">
        <v>39</v>
      </c>
      <c r="S205">
        <v>42</v>
      </c>
      <c r="T205">
        <v>17</v>
      </c>
      <c r="U205">
        <v>21</v>
      </c>
      <c r="V205">
        <v>0</v>
      </c>
      <c r="W205">
        <v>227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</row>
    <row r="206" spans="1:64">
      <c r="A206" t="s">
        <v>38815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11</v>
      </c>
      <c r="BJ206">
        <v>0</v>
      </c>
      <c r="BK206">
        <v>0</v>
      </c>
      <c r="BL206">
        <v>0</v>
      </c>
    </row>
    <row r="207" spans="1:64">
      <c r="A207" t="s">
        <v>38816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199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</row>
    <row r="208" spans="1:64">
      <c r="A208" t="s">
        <v>38817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63</v>
      </c>
      <c r="P208">
        <v>3800</v>
      </c>
      <c r="Q208">
        <v>29</v>
      </c>
      <c r="R208">
        <v>41</v>
      </c>
      <c r="S208">
        <v>48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</row>
    <row r="209" spans="1:64">
      <c r="A209" t="s">
        <v>38818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261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</row>
    <row r="210" spans="1:64">
      <c r="A210" t="s">
        <v>38819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3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</row>
    <row r="211" spans="1:64">
      <c r="A211" t="s">
        <v>38820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71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8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35</v>
      </c>
      <c r="AW211">
        <v>0</v>
      </c>
      <c r="AX211">
        <v>53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</row>
    <row r="212" spans="1:64">
      <c r="A212" t="s">
        <v>38821</v>
      </c>
      <c r="B212">
        <v>0</v>
      </c>
      <c r="C212">
        <v>113</v>
      </c>
      <c r="D212">
        <v>0</v>
      </c>
      <c r="E212">
        <v>0</v>
      </c>
      <c r="F212">
        <v>19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</row>
    <row r="213" spans="1:64">
      <c r="A213" t="s">
        <v>38822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330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11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</row>
    <row r="214" spans="1:64">
      <c r="A214" t="s">
        <v>38823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11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</row>
    <row r="215" spans="1:64">
      <c r="A215" t="s">
        <v>38824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4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</row>
    <row r="216" spans="1:64">
      <c r="A216" t="s">
        <v>38825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25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</row>
    <row r="217" spans="1:64">
      <c r="A217" t="s">
        <v>38826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4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</row>
    <row r="218" spans="1:64">
      <c r="A218" t="s">
        <v>38827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4</v>
      </c>
      <c r="AL218">
        <v>55</v>
      </c>
      <c r="AM218">
        <v>65</v>
      </c>
      <c r="AN218">
        <v>102</v>
      </c>
      <c r="AO218">
        <v>70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</row>
    <row r="219" spans="1:64">
      <c r="A219" t="s">
        <v>38828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4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</row>
    <row r="220" spans="1:64">
      <c r="A220" t="s">
        <v>38829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9</v>
      </c>
      <c r="AN220">
        <v>0</v>
      </c>
      <c r="AO220">
        <v>0</v>
      </c>
      <c r="AP220">
        <v>41</v>
      </c>
      <c r="AQ220">
        <v>0</v>
      </c>
      <c r="AR220">
        <v>4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</row>
    <row r="221" spans="1:64">
      <c r="A221" t="s">
        <v>38830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3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</row>
    <row r="222" spans="1:64">
      <c r="A222" t="s">
        <v>38831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8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</row>
    <row r="223" spans="1:64">
      <c r="A223" t="s">
        <v>38832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8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</row>
    <row r="224" spans="1:64">
      <c r="A224" t="s">
        <v>38833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2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</row>
    <row r="225" spans="1:64">
      <c r="A225" t="s">
        <v>38834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54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</row>
    <row r="226" spans="1:64">
      <c r="A226" t="s">
        <v>38835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5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</row>
    <row r="227" spans="1:64">
      <c r="A227" t="s">
        <v>38836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4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</row>
    <row r="228" spans="1:64">
      <c r="A228" t="s">
        <v>38837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10</v>
      </c>
      <c r="V228">
        <v>97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</row>
    <row r="229" spans="1:64">
      <c r="A229" t="s">
        <v>38838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56</v>
      </c>
      <c r="J229">
        <v>0</v>
      </c>
      <c r="K229">
        <v>55</v>
      </c>
      <c r="L229">
        <v>203</v>
      </c>
      <c r="M229">
        <v>0</v>
      </c>
      <c r="N229">
        <v>20</v>
      </c>
      <c r="O229">
        <v>85</v>
      </c>
      <c r="P229">
        <v>156</v>
      </c>
      <c r="Q229">
        <v>0</v>
      </c>
      <c r="R229">
        <v>10</v>
      </c>
      <c r="S229">
        <v>11</v>
      </c>
      <c r="T229">
        <v>129</v>
      </c>
      <c r="U229">
        <v>173</v>
      </c>
      <c r="V229">
        <v>146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6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</row>
    <row r="230" spans="1:64">
      <c r="A230" t="s">
        <v>38839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154</v>
      </c>
      <c r="J230">
        <v>9</v>
      </c>
      <c r="K230">
        <v>0</v>
      </c>
      <c r="L230">
        <v>77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</row>
    <row r="231" spans="1:64">
      <c r="A231" t="s">
        <v>38840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64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</row>
    <row r="232" spans="1:64">
      <c r="A232" t="s">
        <v>38841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199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</row>
    <row r="233" spans="1:64">
      <c r="A233" t="s">
        <v>38842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106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</row>
    <row r="234" spans="1:64">
      <c r="A234" t="s">
        <v>38843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61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</row>
    <row r="235" spans="1:64">
      <c r="A235" t="s">
        <v>38844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19</v>
      </c>
      <c r="L235">
        <v>0</v>
      </c>
      <c r="M235">
        <v>0</v>
      </c>
      <c r="N235">
        <v>0</v>
      </c>
      <c r="O235">
        <v>0</v>
      </c>
      <c r="P235">
        <v>7</v>
      </c>
      <c r="Q235">
        <v>0</v>
      </c>
      <c r="R235">
        <v>0</v>
      </c>
      <c r="S235">
        <v>12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19</v>
      </c>
      <c r="AT235">
        <v>0</v>
      </c>
      <c r="AU235">
        <v>8</v>
      </c>
      <c r="AV235">
        <v>119</v>
      </c>
      <c r="AW235">
        <v>0</v>
      </c>
      <c r="AX235">
        <v>61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</row>
    <row r="236" spans="1:64">
      <c r="A236" t="s">
        <v>38845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24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</row>
    <row r="237" spans="1:64">
      <c r="A237" t="s">
        <v>38846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17</v>
      </c>
      <c r="Q237">
        <v>13</v>
      </c>
      <c r="R237">
        <v>69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</row>
    <row r="238" spans="1:64">
      <c r="A238" t="s">
        <v>38847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22</v>
      </c>
      <c r="J238">
        <v>0</v>
      </c>
      <c r="K238">
        <v>0</v>
      </c>
      <c r="L238">
        <v>78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</row>
    <row r="239" spans="1:64">
      <c r="A239" t="s">
        <v>38848</v>
      </c>
      <c r="B239">
        <v>0</v>
      </c>
      <c r="C239">
        <v>0</v>
      </c>
      <c r="D239">
        <v>0</v>
      </c>
      <c r="E239">
        <v>0</v>
      </c>
      <c r="F239">
        <v>15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</row>
    <row r="240" spans="1:64">
      <c r="A240" t="s">
        <v>38849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7</v>
      </c>
      <c r="W240">
        <v>0</v>
      </c>
      <c r="X240">
        <v>6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4</v>
      </c>
      <c r="AR240">
        <v>74</v>
      </c>
      <c r="AS240">
        <v>116</v>
      </c>
      <c r="AT240">
        <v>23</v>
      </c>
      <c r="AU240">
        <v>66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</row>
    <row r="241" spans="1:64">
      <c r="A241" t="s">
        <v>38850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27</v>
      </c>
      <c r="AB241">
        <v>54</v>
      </c>
      <c r="AC241">
        <v>1407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14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14</v>
      </c>
      <c r="AX241">
        <v>311</v>
      </c>
      <c r="AY241">
        <v>9</v>
      </c>
      <c r="AZ241">
        <v>20</v>
      </c>
      <c r="BA241">
        <v>49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</row>
    <row r="242" spans="1:64">
      <c r="A242" t="s">
        <v>38851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13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</row>
    <row r="243" spans="1:64">
      <c r="A243" t="s">
        <v>38852</v>
      </c>
      <c r="B243">
        <v>0</v>
      </c>
      <c r="C243">
        <v>14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5</v>
      </c>
      <c r="L243">
        <v>155</v>
      </c>
      <c r="M243">
        <v>0</v>
      </c>
      <c r="N243">
        <v>0</v>
      </c>
      <c r="O243">
        <v>32</v>
      </c>
      <c r="P243">
        <v>11</v>
      </c>
      <c r="Q243">
        <v>20</v>
      </c>
      <c r="R243">
        <v>13</v>
      </c>
      <c r="S243">
        <v>7</v>
      </c>
      <c r="T243">
        <v>0</v>
      </c>
      <c r="U243">
        <v>8</v>
      </c>
      <c r="V243">
        <v>5</v>
      </c>
      <c r="W243">
        <v>0</v>
      </c>
      <c r="X243">
        <v>0</v>
      </c>
      <c r="Y243">
        <v>11</v>
      </c>
      <c r="Z243">
        <v>3</v>
      </c>
      <c r="AA243">
        <v>574</v>
      </c>
      <c r="AB243">
        <v>629</v>
      </c>
      <c r="AC243">
        <v>472</v>
      </c>
      <c r="AD243">
        <v>0</v>
      </c>
      <c r="AE243">
        <v>2191</v>
      </c>
      <c r="AF243">
        <v>51</v>
      </c>
      <c r="AG243">
        <v>2322</v>
      </c>
      <c r="AH243">
        <v>402</v>
      </c>
      <c r="AI243">
        <v>758</v>
      </c>
      <c r="AJ243">
        <v>1706</v>
      </c>
      <c r="AK243">
        <v>1329</v>
      </c>
      <c r="AL243">
        <v>8107</v>
      </c>
      <c r="AM243">
        <v>2739</v>
      </c>
      <c r="AN243">
        <v>6537</v>
      </c>
      <c r="AO243">
        <v>3253</v>
      </c>
      <c r="AP243">
        <v>2714</v>
      </c>
      <c r="AQ243">
        <v>879</v>
      </c>
      <c r="AR243">
        <v>1092</v>
      </c>
      <c r="AS243">
        <v>1303</v>
      </c>
      <c r="AT243">
        <v>237</v>
      </c>
      <c r="AU243">
        <v>204</v>
      </c>
      <c r="AV243">
        <v>74</v>
      </c>
      <c r="AW243">
        <v>9</v>
      </c>
      <c r="AX243">
        <v>49</v>
      </c>
      <c r="AY243">
        <v>16</v>
      </c>
      <c r="AZ243">
        <v>296</v>
      </c>
      <c r="BA243">
        <v>903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15</v>
      </c>
      <c r="BL243">
        <v>12</v>
      </c>
    </row>
    <row r="244" spans="1:64">
      <c r="A244" t="s">
        <v>38853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143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</row>
    <row r="245" spans="1:64">
      <c r="A245" t="s">
        <v>38854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7</v>
      </c>
      <c r="AU245">
        <v>20</v>
      </c>
      <c r="AV245">
        <v>66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</row>
    <row r="246" spans="1:64">
      <c r="A246" t="s">
        <v>38855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13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</row>
    <row r="247" spans="1:64">
      <c r="A247" t="s">
        <v>38856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292</v>
      </c>
      <c r="AK247">
        <v>10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9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</row>
    <row r="248" spans="1:64">
      <c r="A248" t="s">
        <v>38857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20</v>
      </c>
      <c r="BA248">
        <v>14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</row>
    <row r="249" spans="1:64">
      <c r="A249" t="s">
        <v>38858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15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</row>
    <row r="250" spans="1:64">
      <c r="A250" t="s">
        <v>38859</v>
      </c>
      <c r="B250">
        <v>0</v>
      </c>
      <c r="C250">
        <v>0</v>
      </c>
      <c r="D250">
        <v>0</v>
      </c>
      <c r="E250">
        <v>0</v>
      </c>
      <c r="F250">
        <v>21</v>
      </c>
      <c r="G250">
        <v>0</v>
      </c>
      <c r="H250">
        <v>0</v>
      </c>
      <c r="I250">
        <v>26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6</v>
      </c>
      <c r="P250">
        <v>46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</row>
    <row r="251" spans="1:64">
      <c r="A251" t="s">
        <v>38860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6</v>
      </c>
      <c r="AJ251">
        <v>57</v>
      </c>
      <c r="AK251">
        <v>31</v>
      </c>
      <c r="AL251">
        <v>8</v>
      </c>
      <c r="AM251">
        <v>0</v>
      </c>
      <c r="AN251">
        <v>16</v>
      </c>
      <c r="AO251">
        <v>51</v>
      </c>
      <c r="AP251">
        <v>21</v>
      </c>
      <c r="AQ251">
        <v>5</v>
      </c>
      <c r="AR251">
        <v>14</v>
      </c>
      <c r="AS251">
        <v>11</v>
      </c>
      <c r="AT251">
        <v>0</v>
      </c>
      <c r="AU251">
        <v>21</v>
      </c>
      <c r="AV251">
        <v>43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</row>
    <row r="252" spans="1:64">
      <c r="A252" t="s">
        <v>38861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5</v>
      </c>
      <c r="P252">
        <v>12</v>
      </c>
      <c r="Q252">
        <v>101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10</v>
      </c>
      <c r="AB252">
        <v>39</v>
      </c>
      <c r="AC252">
        <v>86</v>
      </c>
      <c r="AD252">
        <v>0</v>
      </c>
      <c r="AE252">
        <v>19</v>
      </c>
      <c r="AF252">
        <v>0</v>
      </c>
      <c r="AG252">
        <v>0</v>
      </c>
      <c r="AH252">
        <v>6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33</v>
      </c>
      <c r="AP252">
        <v>51</v>
      </c>
      <c r="AQ252">
        <v>84</v>
      </c>
      <c r="AR252">
        <v>293</v>
      </c>
      <c r="AS252">
        <v>248</v>
      </c>
      <c r="AT252">
        <v>26</v>
      </c>
      <c r="AU252">
        <v>23</v>
      </c>
      <c r="AV252">
        <v>18</v>
      </c>
      <c r="AW252">
        <v>9</v>
      </c>
      <c r="AX252">
        <v>210</v>
      </c>
      <c r="AY252">
        <v>0</v>
      </c>
      <c r="AZ252">
        <v>15</v>
      </c>
      <c r="BA252">
        <v>10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</row>
    <row r="253" spans="1:64">
      <c r="A253" t="s">
        <v>38862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3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</row>
    <row r="254" spans="1:64">
      <c r="A254" t="s">
        <v>38863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15</v>
      </c>
      <c r="AL254">
        <v>32</v>
      </c>
      <c r="AM254">
        <v>16</v>
      </c>
      <c r="AN254">
        <v>23</v>
      </c>
      <c r="AO254">
        <v>0</v>
      </c>
      <c r="AP254">
        <v>24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</row>
    <row r="255" spans="1:64">
      <c r="A255" t="s">
        <v>38864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4</v>
      </c>
      <c r="AV255">
        <v>31</v>
      </c>
      <c r="AW255">
        <v>132</v>
      </c>
      <c r="AX255">
        <v>625</v>
      </c>
      <c r="AY255">
        <v>0</v>
      </c>
      <c r="AZ255">
        <v>6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</row>
    <row r="256" spans="1:64">
      <c r="A256" t="s">
        <v>38865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7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</row>
    <row r="257" spans="1:64">
      <c r="A257" t="s">
        <v>38866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24</v>
      </c>
      <c r="AH257">
        <v>52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10</v>
      </c>
      <c r="BD257">
        <v>0</v>
      </c>
      <c r="BE257">
        <v>13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</row>
    <row r="258" spans="1:64">
      <c r="A258" t="s">
        <v>38867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805</v>
      </c>
      <c r="AH258">
        <v>70</v>
      </c>
      <c r="AI258">
        <v>20</v>
      </c>
      <c r="AJ258">
        <v>22</v>
      </c>
      <c r="AK258">
        <v>0</v>
      </c>
      <c r="AL258">
        <v>11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</row>
    <row r="259" spans="1:64">
      <c r="A259" t="s">
        <v>38868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117</v>
      </c>
      <c r="AH259">
        <v>0</v>
      </c>
      <c r="AI259">
        <v>30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</row>
    <row r="260" spans="1:64">
      <c r="A260" t="s">
        <v>38869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13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</row>
    <row r="261" spans="1:64">
      <c r="A261" t="s">
        <v>38870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11</v>
      </c>
      <c r="AJ261">
        <v>0</v>
      </c>
      <c r="AK261">
        <v>22</v>
      </c>
      <c r="AL261">
        <v>0</v>
      </c>
      <c r="AM261">
        <v>0</v>
      </c>
      <c r="AN261">
        <v>0</v>
      </c>
      <c r="AO261">
        <v>29</v>
      </c>
      <c r="AP261">
        <v>44</v>
      </c>
      <c r="AQ261">
        <v>0</v>
      </c>
      <c r="AR261">
        <v>27</v>
      </c>
      <c r="AS261">
        <v>5</v>
      </c>
      <c r="AT261">
        <v>0</v>
      </c>
      <c r="AU261">
        <v>10</v>
      </c>
      <c r="AV261">
        <v>21</v>
      </c>
      <c r="AW261">
        <v>0</v>
      </c>
      <c r="AX261">
        <v>8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6</v>
      </c>
      <c r="BJ261">
        <v>0</v>
      </c>
      <c r="BK261">
        <v>0</v>
      </c>
      <c r="BL261">
        <v>0</v>
      </c>
    </row>
    <row r="262" spans="1:64">
      <c r="A262" t="s">
        <v>38871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9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</row>
    <row r="263" spans="1:64">
      <c r="A263" t="s">
        <v>38872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35</v>
      </c>
      <c r="AM263">
        <v>17</v>
      </c>
      <c r="AN263">
        <v>0</v>
      </c>
      <c r="AO263">
        <v>0</v>
      </c>
      <c r="AP263">
        <v>22</v>
      </c>
      <c r="AQ263">
        <v>6</v>
      </c>
      <c r="AR263">
        <v>47</v>
      </c>
      <c r="AS263">
        <v>22</v>
      </c>
      <c r="AT263">
        <v>0</v>
      </c>
      <c r="AU263">
        <v>12</v>
      </c>
      <c r="AV263">
        <v>8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</row>
    <row r="264" spans="1:64">
      <c r="A264" t="s">
        <v>38873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15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6</v>
      </c>
      <c r="AJ264">
        <v>0</v>
      </c>
      <c r="AK264">
        <v>0</v>
      </c>
      <c r="AL264">
        <v>0</v>
      </c>
      <c r="AM264">
        <v>34</v>
      </c>
      <c r="AN264">
        <v>125</v>
      </c>
      <c r="AO264">
        <v>0</v>
      </c>
      <c r="AP264">
        <v>0</v>
      </c>
      <c r="AQ264">
        <v>30</v>
      </c>
      <c r="AR264">
        <v>116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</row>
    <row r="265" spans="1:64">
      <c r="A265" t="s">
        <v>38874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22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</row>
    <row r="266" spans="1:64">
      <c r="A266" t="s">
        <v>38875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56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</row>
    <row r="267" spans="1:64">
      <c r="A267" t="s">
        <v>38876</v>
      </c>
      <c r="B267">
        <v>0</v>
      </c>
      <c r="C267">
        <v>4</v>
      </c>
      <c r="D267">
        <v>0</v>
      </c>
      <c r="E267">
        <v>0</v>
      </c>
      <c r="F267">
        <v>51</v>
      </c>
      <c r="G267">
        <v>0</v>
      </c>
      <c r="H267">
        <v>0</v>
      </c>
      <c r="I267">
        <v>0</v>
      </c>
      <c r="J267">
        <v>0</v>
      </c>
      <c r="K267">
        <v>18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36</v>
      </c>
      <c r="R267">
        <v>0</v>
      </c>
      <c r="S267">
        <v>0</v>
      </c>
      <c r="T267">
        <v>80</v>
      </c>
      <c r="U267">
        <v>0</v>
      </c>
      <c r="V267">
        <v>0</v>
      </c>
      <c r="W267">
        <v>0</v>
      </c>
      <c r="X267">
        <v>183</v>
      </c>
      <c r="Y267">
        <v>16</v>
      </c>
      <c r="Z267">
        <v>0</v>
      </c>
      <c r="AA267">
        <v>49</v>
      </c>
      <c r="AB267">
        <v>0</v>
      </c>
      <c r="AC267">
        <v>0</v>
      </c>
      <c r="AD267">
        <v>0</v>
      </c>
      <c r="AE267">
        <v>40</v>
      </c>
      <c r="AF267">
        <v>19</v>
      </c>
      <c r="AG267">
        <v>0</v>
      </c>
      <c r="AH267">
        <v>11</v>
      </c>
      <c r="AI267">
        <v>22</v>
      </c>
      <c r="AJ267">
        <v>81</v>
      </c>
      <c r="AK267">
        <v>0</v>
      </c>
      <c r="AL267">
        <v>20</v>
      </c>
      <c r="AM267">
        <v>31</v>
      </c>
      <c r="AN267">
        <v>299</v>
      </c>
      <c r="AO267">
        <v>29</v>
      </c>
      <c r="AP267">
        <v>0</v>
      </c>
      <c r="AQ267">
        <v>269</v>
      </c>
      <c r="AR267">
        <v>501</v>
      </c>
      <c r="AS267">
        <v>15</v>
      </c>
      <c r="AT267">
        <v>2932</v>
      </c>
      <c r="AU267">
        <v>1340</v>
      </c>
      <c r="AV267">
        <v>795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34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</row>
    <row r="268" spans="1:64">
      <c r="A268" t="s">
        <v>38877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8</v>
      </c>
      <c r="Y268">
        <v>0</v>
      </c>
      <c r="Z268">
        <v>0</v>
      </c>
      <c r="AA268">
        <v>24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28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916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</row>
    <row r="269" spans="1:64">
      <c r="A269" t="s">
        <v>38878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7</v>
      </c>
      <c r="BJ269">
        <v>0</v>
      </c>
      <c r="BK269">
        <v>0</v>
      </c>
      <c r="BL269">
        <v>0</v>
      </c>
    </row>
    <row r="270" spans="1:64">
      <c r="A270" t="s">
        <v>38879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91</v>
      </c>
      <c r="R270">
        <v>0</v>
      </c>
      <c r="S270">
        <v>0</v>
      </c>
      <c r="T270">
        <v>12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10</v>
      </c>
      <c r="AK270">
        <v>36</v>
      </c>
      <c r="AL270">
        <v>0</v>
      </c>
      <c r="AM270">
        <v>0</v>
      </c>
      <c r="AN270">
        <v>137</v>
      </c>
      <c r="AO270">
        <v>27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</row>
    <row r="271" spans="1:64">
      <c r="A271" t="s">
        <v>38880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36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</row>
    <row r="272" spans="1:64">
      <c r="A272" t="s">
        <v>38881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82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18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37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</row>
    <row r="273" spans="1:64">
      <c r="A273" t="s">
        <v>38882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28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</row>
    <row r="274" spans="1:64">
      <c r="A274" t="s">
        <v>38883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6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</row>
    <row r="275" spans="1:64">
      <c r="A275" t="s">
        <v>38884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8</v>
      </c>
      <c r="BJ275">
        <v>0</v>
      </c>
      <c r="BK275">
        <v>0</v>
      </c>
      <c r="BL275">
        <v>0</v>
      </c>
    </row>
    <row r="276" spans="1:64">
      <c r="A276" t="s">
        <v>38885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72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</row>
    <row r="277" spans="1:64">
      <c r="A277" t="s">
        <v>38886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10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</row>
    <row r="278" spans="1:64">
      <c r="A278" t="s">
        <v>38887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14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</row>
    <row r="279" spans="1:64">
      <c r="A279" t="s">
        <v>38888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10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</row>
    <row r="280" spans="1:64">
      <c r="A280" t="s">
        <v>38889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20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</row>
    <row r="281" spans="1:64">
      <c r="A281" t="s">
        <v>38890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3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</row>
    <row r="282" spans="1:64">
      <c r="A282" t="s">
        <v>38891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17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</row>
    <row r="283" spans="1:64">
      <c r="A283" t="s">
        <v>38892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4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</row>
    <row r="284" spans="1:64">
      <c r="A284" t="s">
        <v>38893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10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</row>
    <row r="285" spans="1:64">
      <c r="A285" t="s">
        <v>38894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60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26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80</v>
      </c>
      <c r="BJ285">
        <v>0</v>
      </c>
      <c r="BK285">
        <v>0</v>
      </c>
      <c r="BL285">
        <v>0</v>
      </c>
    </row>
    <row r="286" spans="1:64">
      <c r="A286" t="s">
        <v>38895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13</v>
      </c>
      <c r="M286">
        <v>0</v>
      </c>
      <c r="N286">
        <v>0</v>
      </c>
      <c r="O286">
        <v>0</v>
      </c>
      <c r="P286">
        <v>0</v>
      </c>
      <c r="Q286">
        <v>6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</row>
    <row r="287" spans="1:64">
      <c r="A287" t="s">
        <v>38896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16</v>
      </c>
      <c r="BL287">
        <v>0</v>
      </c>
    </row>
    <row r="288" spans="1:64">
      <c r="A288" t="s">
        <v>38897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13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10</v>
      </c>
      <c r="BJ288">
        <v>0</v>
      </c>
      <c r="BK288">
        <v>38</v>
      </c>
      <c r="BL288">
        <v>0</v>
      </c>
    </row>
    <row r="289" spans="1:64">
      <c r="A289" t="s">
        <v>38898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44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</row>
    <row r="290" spans="1:64">
      <c r="A290" t="s">
        <v>38899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11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</row>
    <row r="291" spans="1:64">
      <c r="A291" t="s">
        <v>38900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4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</row>
    <row r="292" spans="1:64">
      <c r="A292" t="s">
        <v>38901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168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267</v>
      </c>
      <c r="AY292">
        <v>10878</v>
      </c>
      <c r="AZ292">
        <v>9483</v>
      </c>
      <c r="BA292">
        <v>471</v>
      </c>
      <c r="BB292">
        <v>123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</row>
    <row r="293" spans="1:64">
      <c r="A293" t="s">
        <v>38902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10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</row>
    <row r="294" spans="1:64">
      <c r="A294" t="s">
        <v>38903</v>
      </c>
      <c r="B294">
        <v>0</v>
      </c>
      <c r="C294">
        <v>0</v>
      </c>
      <c r="D294">
        <v>0</v>
      </c>
      <c r="E294">
        <v>0</v>
      </c>
      <c r="F294">
        <v>16</v>
      </c>
      <c r="G294">
        <v>0</v>
      </c>
      <c r="H294">
        <v>0</v>
      </c>
      <c r="I294">
        <v>179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10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225</v>
      </c>
      <c r="Y294">
        <v>2495</v>
      </c>
      <c r="Z294">
        <v>63194</v>
      </c>
      <c r="AA294">
        <v>1693</v>
      </c>
      <c r="AB294">
        <v>901</v>
      </c>
      <c r="AC294">
        <v>1548</v>
      </c>
      <c r="AD294">
        <v>0</v>
      </c>
      <c r="AE294">
        <v>101</v>
      </c>
      <c r="AF294">
        <v>534</v>
      </c>
      <c r="AG294">
        <v>249</v>
      </c>
      <c r="AH294">
        <v>21</v>
      </c>
      <c r="AI294">
        <v>0</v>
      </c>
      <c r="AJ294">
        <v>324</v>
      </c>
      <c r="AK294">
        <v>939</v>
      </c>
      <c r="AL294">
        <v>22</v>
      </c>
      <c r="AM294">
        <v>25</v>
      </c>
      <c r="AN294">
        <v>29</v>
      </c>
      <c r="AO294">
        <v>27</v>
      </c>
      <c r="AP294">
        <v>8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11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</row>
    <row r="295" spans="1:64">
      <c r="A295" t="s">
        <v>38904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129</v>
      </c>
      <c r="AF295">
        <v>48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81</v>
      </c>
      <c r="AM295">
        <v>8</v>
      </c>
      <c r="AN295">
        <v>0</v>
      </c>
      <c r="AO295">
        <v>11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9</v>
      </c>
      <c r="BJ295">
        <v>0</v>
      </c>
      <c r="BK295">
        <v>25</v>
      </c>
      <c r="BL295">
        <v>0</v>
      </c>
    </row>
    <row r="296" spans="1:64">
      <c r="A296" t="s">
        <v>38905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118</v>
      </c>
      <c r="W296">
        <v>0</v>
      </c>
      <c r="X296">
        <v>0</v>
      </c>
      <c r="Y296">
        <v>0</v>
      </c>
      <c r="Z296">
        <v>0</v>
      </c>
      <c r="AA296">
        <v>14</v>
      </c>
      <c r="AB296">
        <v>15</v>
      </c>
      <c r="AC296">
        <v>24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</row>
    <row r="297" spans="1:64">
      <c r="A297" t="s">
        <v>38906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54</v>
      </c>
      <c r="Z297">
        <v>10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</row>
    <row r="298" spans="1:64">
      <c r="A298" t="s">
        <v>38907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8</v>
      </c>
      <c r="R298">
        <v>0</v>
      </c>
      <c r="S298">
        <v>0</v>
      </c>
      <c r="T298">
        <v>27</v>
      </c>
      <c r="U298">
        <v>27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31</v>
      </c>
      <c r="AY298">
        <v>0</v>
      </c>
      <c r="AZ298">
        <v>10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</row>
    <row r="299" spans="1:64">
      <c r="A299" t="s">
        <v>38908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10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</row>
    <row r="300" spans="1:64">
      <c r="A300" t="s">
        <v>38909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25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17</v>
      </c>
      <c r="AS300">
        <v>4</v>
      </c>
      <c r="AT300">
        <v>0</v>
      </c>
      <c r="AU300">
        <v>0</v>
      </c>
      <c r="AV300">
        <v>0</v>
      </c>
      <c r="AW300">
        <v>15042</v>
      </c>
      <c r="AX300">
        <v>3001</v>
      </c>
      <c r="AY300">
        <v>183</v>
      </c>
      <c r="AZ300">
        <v>1115</v>
      </c>
      <c r="BA300">
        <v>37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</row>
    <row r="301" spans="1:64">
      <c r="A301" t="s">
        <v>38910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15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</row>
    <row r="302" spans="1:64">
      <c r="A302" t="s">
        <v>38911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20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</row>
    <row r="303" spans="1:64">
      <c r="A303" t="s">
        <v>38912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11</v>
      </c>
      <c r="AL303">
        <v>0</v>
      </c>
      <c r="AM303">
        <v>0</v>
      </c>
      <c r="AN303">
        <v>0</v>
      </c>
      <c r="AO303">
        <v>11</v>
      </c>
      <c r="AP303">
        <v>6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</row>
    <row r="304" spans="1:64">
      <c r="A304" t="s">
        <v>38913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9</v>
      </c>
      <c r="AL304">
        <v>0</v>
      </c>
      <c r="AM304">
        <v>0</v>
      </c>
      <c r="AN304">
        <v>0</v>
      </c>
      <c r="AO304">
        <v>9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</row>
    <row r="305" spans="1:64">
      <c r="A305" t="s">
        <v>38914</v>
      </c>
      <c r="B305">
        <v>4160</v>
      </c>
      <c r="C305">
        <v>8321</v>
      </c>
      <c r="D305">
        <v>2000</v>
      </c>
      <c r="E305">
        <v>30</v>
      </c>
      <c r="F305">
        <v>818</v>
      </c>
      <c r="G305">
        <v>45</v>
      </c>
      <c r="H305">
        <v>58</v>
      </c>
      <c r="I305">
        <v>9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14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134</v>
      </c>
      <c r="BA305">
        <v>0</v>
      </c>
      <c r="BB305">
        <v>0</v>
      </c>
      <c r="BC305">
        <v>4830</v>
      </c>
      <c r="BD305">
        <v>6718</v>
      </c>
      <c r="BE305">
        <v>5035</v>
      </c>
      <c r="BF305">
        <v>2098</v>
      </c>
      <c r="BG305">
        <v>1850</v>
      </c>
      <c r="BH305">
        <v>1180</v>
      </c>
      <c r="BI305">
        <v>93</v>
      </c>
      <c r="BJ305">
        <v>4597</v>
      </c>
      <c r="BK305">
        <v>78</v>
      </c>
      <c r="BL305">
        <v>433</v>
      </c>
    </row>
    <row r="306" spans="1:64">
      <c r="A306" t="s">
        <v>38915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29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</row>
    <row r="307" spans="1:64">
      <c r="A307" t="s">
        <v>38916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12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</row>
    <row r="308" spans="1:64">
      <c r="A308" t="s">
        <v>38917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20</v>
      </c>
      <c r="J308">
        <v>0</v>
      </c>
      <c r="K308">
        <v>0</v>
      </c>
      <c r="L308">
        <v>37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43</v>
      </c>
      <c r="AK308">
        <v>219</v>
      </c>
      <c r="AL308">
        <v>308</v>
      </c>
      <c r="AM308">
        <v>0</v>
      </c>
      <c r="AN308">
        <v>12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</row>
    <row r="309" spans="1:64">
      <c r="A309" t="s">
        <v>38918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3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</row>
    <row r="310" spans="1:64">
      <c r="A310" t="s">
        <v>38919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35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</row>
    <row r="311" spans="1:64">
      <c r="A311" t="s">
        <v>38920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4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</row>
    <row r="312" spans="1:64">
      <c r="A312" t="s">
        <v>38921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6</v>
      </c>
      <c r="AM312">
        <v>41</v>
      </c>
      <c r="AN312">
        <v>86</v>
      </c>
      <c r="AO312">
        <v>48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</row>
    <row r="313" spans="1:64">
      <c r="A313" t="s">
        <v>38922</v>
      </c>
      <c r="B313">
        <v>0</v>
      </c>
      <c r="C313">
        <v>10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493</v>
      </c>
      <c r="AD313">
        <v>0</v>
      </c>
      <c r="AE313">
        <v>10</v>
      </c>
      <c r="AF313">
        <v>0</v>
      </c>
      <c r="AG313">
        <v>37</v>
      </c>
      <c r="AH313">
        <v>43</v>
      </c>
      <c r="AI313">
        <v>0</v>
      </c>
      <c r="AJ313">
        <v>0</v>
      </c>
      <c r="AK313">
        <v>0</v>
      </c>
      <c r="AL313">
        <v>0</v>
      </c>
      <c r="AM313">
        <v>3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</row>
    <row r="314" spans="1:64">
      <c r="A314" t="s">
        <v>38923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8</v>
      </c>
    </row>
    <row r="315" spans="1:64">
      <c r="A315" t="s">
        <v>38924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236</v>
      </c>
      <c r="P315">
        <v>60</v>
      </c>
      <c r="Q315">
        <v>0</v>
      </c>
      <c r="R315">
        <v>29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</row>
    <row r="316" spans="1:64">
      <c r="A316" t="s">
        <v>38925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13</v>
      </c>
      <c r="AM316">
        <v>0</v>
      </c>
      <c r="AN316">
        <v>0</v>
      </c>
      <c r="AO316">
        <v>0</v>
      </c>
      <c r="AP316">
        <v>37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</row>
    <row r="317" spans="1:64">
      <c r="A317" t="s">
        <v>38926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9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</row>
    <row r="318" spans="1:64">
      <c r="A318" t="s">
        <v>38927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18</v>
      </c>
      <c r="AS318">
        <v>0</v>
      </c>
      <c r="AT318">
        <v>0</v>
      </c>
      <c r="AU318">
        <v>4</v>
      </c>
      <c r="AV318">
        <v>5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</row>
    <row r="319" spans="1:64">
      <c r="A319" t="s">
        <v>38928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37</v>
      </c>
      <c r="H319">
        <v>8</v>
      </c>
      <c r="I319">
        <v>140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24</v>
      </c>
      <c r="AB319">
        <v>10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534</v>
      </c>
      <c r="BB319">
        <v>2649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</row>
    <row r="320" spans="1:64">
      <c r="A320" t="s">
        <v>38929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9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</row>
    <row r="321" spans="1:64">
      <c r="A321" t="s">
        <v>38930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26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73</v>
      </c>
      <c r="BJ321">
        <v>0</v>
      </c>
      <c r="BK321">
        <v>455</v>
      </c>
      <c r="BL321">
        <v>0</v>
      </c>
    </row>
    <row r="322" spans="1:64">
      <c r="A322" t="s">
        <v>38931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8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</row>
    <row r="323" spans="1:64">
      <c r="A323" t="s">
        <v>38932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53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11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</row>
    <row r="324" spans="1:64">
      <c r="A324" t="s">
        <v>38933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27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</row>
    <row r="325" spans="1:64">
      <c r="A325" t="s">
        <v>38934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16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</row>
    <row r="326" spans="1:64">
      <c r="A326" t="s">
        <v>38935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14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</row>
    <row r="327" spans="1:64">
      <c r="A327" t="s">
        <v>38936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23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</row>
    <row r="328" spans="1:64">
      <c r="A328" t="s">
        <v>38937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20</v>
      </c>
      <c r="L328">
        <v>23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</row>
    <row r="329" spans="1:64">
      <c r="A329" t="s">
        <v>38938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29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19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</row>
    <row r="330" spans="1:64">
      <c r="A330" t="s">
        <v>38939</v>
      </c>
      <c r="B330">
        <v>0</v>
      </c>
      <c r="C330">
        <v>0</v>
      </c>
      <c r="D330">
        <v>0</v>
      </c>
      <c r="E330">
        <v>0</v>
      </c>
      <c r="F330">
        <v>20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</row>
    <row r="331" spans="1:64">
      <c r="A331" t="s">
        <v>38940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7</v>
      </c>
      <c r="AD331">
        <v>0</v>
      </c>
      <c r="AE331">
        <v>124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29</v>
      </c>
      <c r="AL331">
        <v>163</v>
      </c>
      <c r="AM331">
        <v>0</v>
      </c>
      <c r="AN331">
        <v>45</v>
      </c>
      <c r="AO331">
        <v>406</v>
      </c>
      <c r="AP331">
        <v>149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</row>
    <row r="332" spans="1:64">
      <c r="A332" t="s">
        <v>38941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30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</row>
    <row r="333" spans="1:64">
      <c r="A333" t="s">
        <v>38942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77</v>
      </c>
      <c r="AM333">
        <v>0</v>
      </c>
      <c r="AN333">
        <v>0</v>
      </c>
      <c r="AO333">
        <v>26</v>
      </c>
      <c r="AP333">
        <v>28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</row>
    <row r="334" spans="1:64">
      <c r="A334" t="s">
        <v>38943</v>
      </c>
      <c r="B334">
        <v>0</v>
      </c>
      <c r="C334">
        <v>4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5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</row>
    <row r="335" spans="1:64">
      <c r="A335" t="s">
        <v>38944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46</v>
      </c>
      <c r="AL335">
        <v>0</v>
      </c>
      <c r="AM335">
        <v>0</v>
      </c>
      <c r="AN335">
        <v>0</v>
      </c>
      <c r="AO335">
        <v>43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</row>
    <row r="336" spans="1:64">
      <c r="A336" t="s">
        <v>38945</v>
      </c>
      <c r="B336">
        <v>0</v>
      </c>
      <c r="C336">
        <v>0</v>
      </c>
      <c r="D336">
        <v>0</v>
      </c>
      <c r="E336">
        <v>0</v>
      </c>
      <c r="F336">
        <v>31</v>
      </c>
      <c r="G336">
        <v>0</v>
      </c>
      <c r="H336">
        <v>0</v>
      </c>
      <c r="I336">
        <v>22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73</v>
      </c>
      <c r="Z336">
        <v>63</v>
      </c>
      <c r="AA336">
        <v>0</v>
      </c>
      <c r="AB336">
        <v>0</v>
      </c>
      <c r="AC336">
        <v>0</v>
      </c>
      <c r="AD336">
        <v>0</v>
      </c>
      <c r="AE336">
        <v>32854</v>
      </c>
      <c r="AF336">
        <v>28956</v>
      </c>
      <c r="AG336">
        <v>340</v>
      </c>
      <c r="AH336">
        <v>358</v>
      </c>
      <c r="AI336">
        <v>592</v>
      </c>
      <c r="AJ336">
        <v>16001</v>
      </c>
      <c r="AK336">
        <v>5264</v>
      </c>
      <c r="AL336">
        <v>5359</v>
      </c>
      <c r="AM336">
        <v>2038</v>
      </c>
      <c r="AN336">
        <v>1340</v>
      </c>
      <c r="AO336">
        <v>962</v>
      </c>
      <c r="AP336">
        <v>19</v>
      </c>
      <c r="AQ336">
        <v>0</v>
      </c>
      <c r="AR336">
        <v>125</v>
      </c>
      <c r="AS336">
        <v>0</v>
      </c>
      <c r="AT336">
        <v>0</v>
      </c>
      <c r="AU336">
        <v>9</v>
      </c>
      <c r="AV336">
        <v>0</v>
      </c>
      <c r="AW336">
        <v>0</v>
      </c>
      <c r="AX336">
        <v>3</v>
      </c>
      <c r="AY336">
        <v>0</v>
      </c>
      <c r="AZ336">
        <v>420</v>
      </c>
      <c r="BA336">
        <v>16209</v>
      </c>
      <c r="BB336">
        <v>14170</v>
      </c>
      <c r="BC336">
        <v>7</v>
      </c>
      <c r="BD336">
        <v>0</v>
      </c>
      <c r="BE336">
        <v>0</v>
      </c>
      <c r="BF336">
        <v>1226</v>
      </c>
      <c r="BG336">
        <v>1206</v>
      </c>
      <c r="BH336">
        <v>6009</v>
      </c>
      <c r="BI336">
        <v>213</v>
      </c>
      <c r="BJ336">
        <v>0</v>
      </c>
      <c r="BK336">
        <v>0</v>
      </c>
      <c r="BL336">
        <v>507</v>
      </c>
    </row>
    <row r="337" spans="1:64">
      <c r="A337" t="s">
        <v>38946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11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</row>
    <row r="338" spans="1:64">
      <c r="A338" t="s">
        <v>38947</v>
      </c>
      <c r="B338">
        <v>0</v>
      </c>
      <c r="C338">
        <v>0</v>
      </c>
      <c r="D338">
        <v>0</v>
      </c>
      <c r="E338">
        <v>0</v>
      </c>
      <c r="F338">
        <v>11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</row>
    <row r="339" spans="1:64">
      <c r="A339" t="s">
        <v>38948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4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</row>
    <row r="340" spans="1:64">
      <c r="A340" t="s">
        <v>38949</v>
      </c>
      <c r="B340">
        <v>0</v>
      </c>
      <c r="C340">
        <v>0</v>
      </c>
      <c r="D340">
        <v>0</v>
      </c>
      <c r="E340">
        <v>0</v>
      </c>
      <c r="F340">
        <v>951</v>
      </c>
      <c r="G340">
        <v>9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5</v>
      </c>
      <c r="W340">
        <v>0</v>
      </c>
      <c r="X340">
        <v>19</v>
      </c>
      <c r="Y340">
        <v>8</v>
      </c>
      <c r="Z340">
        <v>0</v>
      </c>
      <c r="AA340">
        <v>416</v>
      </c>
      <c r="AB340">
        <v>0</v>
      </c>
      <c r="AC340">
        <v>13</v>
      </c>
      <c r="AD340">
        <v>0</v>
      </c>
      <c r="AE340">
        <v>0</v>
      </c>
      <c r="AF340">
        <v>0</v>
      </c>
      <c r="AG340">
        <v>3356</v>
      </c>
      <c r="AH340">
        <v>2712</v>
      </c>
      <c r="AI340">
        <v>255</v>
      </c>
      <c r="AJ340">
        <v>215</v>
      </c>
      <c r="AK340">
        <v>45</v>
      </c>
      <c r="AL340">
        <v>31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42</v>
      </c>
      <c r="AS340">
        <v>171</v>
      </c>
      <c r="AT340">
        <v>259</v>
      </c>
      <c r="AU340">
        <v>1404</v>
      </c>
      <c r="AV340">
        <v>15</v>
      </c>
      <c r="AW340">
        <v>0</v>
      </c>
      <c r="AX340">
        <v>19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</row>
    <row r="341" spans="1:64">
      <c r="A341" t="s">
        <v>38950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6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</row>
    <row r="342" spans="1:64">
      <c r="A342" t="s">
        <v>38951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6</v>
      </c>
      <c r="AN342">
        <v>0</v>
      </c>
      <c r="AO342">
        <v>20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</row>
    <row r="343" spans="1:64">
      <c r="A343" t="s">
        <v>38952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60</v>
      </c>
      <c r="M343">
        <v>0</v>
      </c>
      <c r="N343">
        <v>0</v>
      </c>
      <c r="O343">
        <v>0</v>
      </c>
      <c r="P343">
        <v>0</v>
      </c>
      <c r="Q343">
        <v>24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5</v>
      </c>
      <c r="AA343">
        <v>0</v>
      </c>
      <c r="AB343">
        <v>0</v>
      </c>
      <c r="AC343">
        <v>28322</v>
      </c>
      <c r="AD343">
        <v>0</v>
      </c>
      <c r="AE343">
        <v>3892</v>
      </c>
      <c r="AF343">
        <v>675</v>
      </c>
      <c r="AG343">
        <v>570</v>
      </c>
      <c r="AH343">
        <v>223</v>
      </c>
      <c r="AI343">
        <v>36</v>
      </c>
      <c r="AJ343">
        <v>201</v>
      </c>
      <c r="AK343">
        <v>96</v>
      </c>
      <c r="AL343">
        <v>163</v>
      </c>
      <c r="AM343">
        <v>76</v>
      </c>
      <c r="AN343">
        <v>106</v>
      </c>
      <c r="AO343">
        <v>65</v>
      </c>
      <c r="AP343">
        <v>69</v>
      </c>
      <c r="AQ343">
        <v>22</v>
      </c>
      <c r="AR343">
        <v>75</v>
      </c>
      <c r="AS343">
        <v>13</v>
      </c>
      <c r="AT343">
        <v>0</v>
      </c>
      <c r="AU343">
        <v>88</v>
      </c>
      <c r="AV343">
        <v>253</v>
      </c>
      <c r="AW343">
        <v>0</v>
      </c>
      <c r="AX343">
        <v>6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</row>
    <row r="344" spans="1:64">
      <c r="A344" t="s">
        <v>38953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6</v>
      </c>
      <c r="BJ344">
        <v>0</v>
      </c>
      <c r="BK344">
        <v>0</v>
      </c>
      <c r="BL344">
        <v>0</v>
      </c>
    </row>
    <row r="345" spans="1:64">
      <c r="A345" t="s">
        <v>38954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23</v>
      </c>
      <c r="AH345">
        <v>0</v>
      </c>
      <c r="AI345">
        <v>114</v>
      </c>
      <c r="AJ345">
        <v>77</v>
      </c>
      <c r="AK345">
        <v>0</v>
      </c>
      <c r="AL345">
        <v>0</v>
      </c>
      <c r="AM345">
        <v>0</v>
      </c>
      <c r="AN345">
        <v>0</v>
      </c>
      <c r="AO345">
        <v>9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157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</row>
    <row r="346" spans="1:64">
      <c r="A346" t="s">
        <v>38955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497</v>
      </c>
      <c r="AH346">
        <v>66</v>
      </c>
      <c r="AI346">
        <v>483</v>
      </c>
      <c r="AJ346">
        <v>978</v>
      </c>
      <c r="AK346">
        <v>122</v>
      </c>
      <c r="AL346">
        <v>24</v>
      </c>
      <c r="AM346">
        <v>0</v>
      </c>
      <c r="AN346">
        <v>24</v>
      </c>
      <c r="AO346">
        <v>35</v>
      </c>
      <c r="AP346">
        <v>0</v>
      </c>
      <c r="AQ346">
        <v>0</v>
      </c>
      <c r="AR346">
        <v>10</v>
      </c>
      <c r="AS346">
        <v>6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</row>
    <row r="347" spans="1:64">
      <c r="A347" t="s">
        <v>38956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12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10</v>
      </c>
      <c r="AV347">
        <v>118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</row>
    <row r="348" spans="1:64">
      <c r="A348" t="s">
        <v>38957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14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</row>
    <row r="349" spans="1:64">
      <c r="A349" t="s">
        <v>38958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23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</row>
    <row r="350" spans="1:64">
      <c r="A350" t="s">
        <v>38959</v>
      </c>
      <c r="B350">
        <v>0</v>
      </c>
      <c r="C350">
        <v>0</v>
      </c>
      <c r="D350">
        <v>0</v>
      </c>
      <c r="E350">
        <v>0</v>
      </c>
      <c r="F350">
        <v>31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</row>
    <row r="351" spans="1:64">
      <c r="A351" t="s">
        <v>38960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9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</row>
    <row r="352" spans="1:64">
      <c r="A352" t="s">
        <v>38961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652</v>
      </c>
      <c r="AK352">
        <v>151</v>
      </c>
      <c r="AL352">
        <v>55</v>
      </c>
      <c r="AM352">
        <v>28</v>
      </c>
      <c r="AN352">
        <v>47</v>
      </c>
      <c r="AO352">
        <v>24</v>
      </c>
      <c r="AP352">
        <v>7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</row>
    <row r="353" spans="1:64">
      <c r="A353" t="s">
        <v>38962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78</v>
      </c>
      <c r="AB353">
        <v>3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</row>
    <row r="354" spans="1:64">
      <c r="A354" t="s">
        <v>38963</v>
      </c>
      <c r="B354">
        <v>0</v>
      </c>
      <c r="C354">
        <v>0</v>
      </c>
      <c r="D354">
        <v>0</v>
      </c>
      <c r="E354">
        <v>0</v>
      </c>
      <c r="F354">
        <v>132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81</v>
      </c>
      <c r="Z354">
        <v>22</v>
      </c>
      <c r="AA354">
        <v>60</v>
      </c>
      <c r="AB354">
        <v>0</v>
      </c>
      <c r="AC354">
        <v>10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20</v>
      </c>
      <c r="BL354">
        <v>0</v>
      </c>
    </row>
    <row r="355" spans="1:64">
      <c r="A355" t="s">
        <v>38964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5</v>
      </c>
      <c r="L355">
        <v>16</v>
      </c>
      <c r="M355">
        <v>0</v>
      </c>
      <c r="N355">
        <v>0</v>
      </c>
      <c r="O355">
        <v>2</v>
      </c>
      <c r="P355">
        <v>32</v>
      </c>
      <c r="Q355">
        <v>0</v>
      </c>
      <c r="R355">
        <v>0</v>
      </c>
      <c r="S355">
        <v>0</v>
      </c>
      <c r="T355">
        <v>0</v>
      </c>
      <c r="U355">
        <v>4</v>
      </c>
      <c r="V355">
        <v>20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</row>
    <row r="356" spans="1:64">
      <c r="A356" t="s">
        <v>38965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128</v>
      </c>
      <c r="AH356">
        <v>0</v>
      </c>
      <c r="AI356">
        <v>0</v>
      </c>
      <c r="AJ356">
        <v>0</v>
      </c>
      <c r="AK356">
        <v>53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</row>
    <row r="357" spans="1:64">
      <c r="A357" t="s">
        <v>38966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4</v>
      </c>
      <c r="X357">
        <v>0</v>
      </c>
      <c r="Y357">
        <v>17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16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</row>
    <row r="358" spans="1:64">
      <c r="A358" t="s">
        <v>38967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21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</row>
    <row r="359" spans="1:64">
      <c r="A359" t="s">
        <v>38968</v>
      </c>
      <c r="B359">
        <v>0</v>
      </c>
      <c r="C359">
        <v>0</v>
      </c>
      <c r="D359">
        <v>0</v>
      </c>
      <c r="E359">
        <v>0</v>
      </c>
      <c r="F359">
        <v>16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93</v>
      </c>
      <c r="AD359">
        <v>0</v>
      </c>
      <c r="AE359">
        <v>0</v>
      </c>
      <c r="AF359">
        <v>0</v>
      </c>
      <c r="AG359">
        <v>99</v>
      </c>
      <c r="AH359">
        <v>10</v>
      </c>
      <c r="AI359">
        <v>0</v>
      </c>
      <c r="AJ359">
        <v>22</v>
      </c>
      <c r="AK359">
        <v>232</v>
      </c>
      <c r="AL359">
        <v>75</v>
      </c>
      <c r="AM359">
        <v>52</v>
      </c>
      <c r="AN359">
        <v>297</v>
      </c>
      <c r="AO359">
        <v>175</v>
      </c>
      <c r="AP359">
        <v>70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2</v>
      </c>
      <c r="AY359">
        <v>0</v>
      </c>
      <c r="AZ359">
        <v>0</v>
      </c>
      <c r="BA359">
        <v>10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20</v>
      </c>
      <c r="BI359">
        <v>33</v>
      </c>
      <c r="BJ359">
        <v>0</v>
      </c>
      <c r="BK359">
        <v>0</v>
      </c>
      <c r="BL359">
        <v>0</v>
      </c>
    </row>
    <row r="360" spans="1:64">
      <c r="A360" t="s">
        <v>38969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10</v>
      </c>
      <c r="BL360">
        <v>0</v>
      </c>
    </row>
    <row r="361" spans="1:64">
      <c r="A361" t="s">
        <v>38970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7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</row>
    <row r="362" spans="1:64">
      <c r="A362" t="s">
        <v>38971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10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</row>
    <row r="363" spans="1:64">
      <c r="A363" t="s">
        <v>38972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4</v>
      </c>
      <c r="BJ363">
        <v>0</v>
      </c>
      <c r="BK363">
        <v>0</v>
      </c>
      <c r="BL363">
        <v>0</v>
      </c>
    </row>
    <row r="364" spans="1:64">
      <c r="A364" t="s">
        <v>38973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6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</row>
    <row r="365" spans="1:64">
      <c r="A365" t="s">
        <v>38974</v>
      </c>
      <c r="B365">
        <v>0</v>
      </c>
      <c r="C365">
        <v>9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32</v>
      </c>
      <c r="Z365">
        <v>0</v>
      </c>
      <c r="AA365">
        <v>0</v>
      </c>
      <c r="AB365">
        <v>5</v>
      </c>
      <c r="AC365">
        <v>3153</v>
      </c>
      <c r="AD365">
        <v>0</v>
      </c>
      <c r="AE365">
        <v>219</v>
      </c>
      <c r="AF365">
        <v>11</v>
      </c>
      <c r="AG365">
        <v>0</v>
      </c>
      <c r="AH365">
        <v>29</v>
      </c>
      <c r="AI365">
        <v>0</v>
      </c>
      <c r="AJ365">
        <v>9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</row>
    <row r="366" spans="1:64">
      <c r="A366" t="s">
        <v>38975</v>
      </c>
      <c r="B366">
        <v>0</v>
      </c>
      <c r="C366">
        <v>0</v>
      </c>
      <c r="D366">
        <v>0</v>
      </c>
      <c r="E366">
        <v>0</v>
      </c>
      <c r="F366">
        <v>229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7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</row>
    <row r="367" spans="1:64">
      <c r="A367" t="s">
        <v>38976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2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</row>
    <row r="368" spans="1:64">
      <c r="A368" t="s">
        <v>38977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248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</row>
    <row r="369" spans="1:64">
      <c r="A369" t="s">
        <v>38978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12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23</v>
      </c>
      <c r="AP369">
        <v>447</v>
      </c>
      <c r="AQ369">
        <v>35</v>
      </c>
      <c r="AR369">
        <v>23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</row>
    <row r="370" spans="1:64">
      <c r="A370" t="s">
        <v>38979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5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</row>
    <row r="371" spans="1:64">
      <c r="A371" t="s">
        <v>38980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67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</row>
    <row r="372" spans="1:64">
      <c r="A372" t="s">
        <v>38981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11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</row>
    <row r="373" spans="1:64">
      <c r="A373" t="s">
        <v>38982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182</v>
      </c>
      <c r="AS373">
        <v>60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</row>
    <row r="374" spans="1:64">
      <c r="A374" t="s">
        <v>38983</v>
      </c>
      <c r="B374">
        <v>0</v>
      </c>
      <c r="C374">
        <v>32</v>
      </c>
      <c r="D374">
        <v>5</v>
      </c>
      <c r="E374">
        <v>0</v>
      </c>
      <c r="F374">
        <v>463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930</v>
      </c>
      <c r="AH374">
        <v>1113</v>
      </c>
      <c r="AI374">
        <v>0</v>
      </c>
      <c r="AJ374">
        <v>10</v>
      </c>
      <c r="AK374">
        <v>0</v>
      </c>
      <c r="AL374">
        <v>5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15</v>
      </c>
      <c r="AW374">
        <v>0</v>
      </c>
      <c r="AX374">
        <v>42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</row>
    <row r="375" spans="1:64">
      <c r="A375" t="s">
        <v>38984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48</v>
      </c>
      <c r="L375">
        <v>47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204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</row>
    <row r="376" spans="1:64">
      <c r="A376" t="s">
        <v>38985</v>
      </c>
      <c r="B376">
        <v>0</v>
      </c>
      <c r="C376">
        <v>0</v>
      </c>
      <c r="D376">
        <v>0</v>
      </c>
      <c r="E376">
        <v>0</v>
      </c>
      <c r="F376">
        <v>28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</row>
    <row r="377" spans="1:64">
      <c r="A377" t="s">
        <v>38986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118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</row>
    <row r="378" spans="1:64">
      <c r="A378" t="s">
        <v>38987</v>
      </c>
      <c r="B378">
        <v>0</v>
      </c>
      <c r="C378">
        <v>0</v>
      </c>
      <c r="D378">
        <v>0</v>
      </c>
      <c r="E378">
        <v>0</v>
      </c>
      <c r="F378">
        <v>71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</row>
    <row r="379" spans="1:64">
      <c r="A379" t="s">
        <v>38988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64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</row>
    <row r="380" spans="1:64">
      <c r="A380" t="s">
        <v>38989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12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</row>
    <row r="381" spans="1:64">
      <c r="A381" t="s">
        <v>38990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171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</row>
    <row r="382" spans="1:64">
      <c r="A382" t="s">
        <v>38991</v>
      </c>
      <c r="B382">
        <v>0</v>
      </c>
      <c r="C382">
        <v>0</v>
      </c>
      <c r="D382">
        <v>0</v>
      </c>
      <c r="E382">
        <v>0</v>
      </c>
      <c r="F382">
        <v>8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38</v>
      </c>
      <c r="M382">
        <v>0</v>
      </c>
      <c r="N382">
        <v>0</v>
      </c>
      <c r="O382">
        <v>0</v>
      </c>
      <c r="P382">
        <v>0</v>
      </c>
      <c r="Q382">
        <v>33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</row>
    <row r="383" spans="1:64">
      <c r="A383" t="s">
        <v>38992</v>
      </c>
      <c r="B383">
        <v>525</v>
      </c>
      <c r="C383">
        <v>9625</v>
      </c>
      <c r="D383">
        <v>500</v>
      </c>
      <c r="E383">
        <v>352</v>
      </c>
      <c r="F383">
        <v>7762</v>
      </c>
      <c r="G383">
        <v>100</v>
      </c>
      <c r="H383">
        <v>191</v>
      </c>
      <c r="I383">
        <v>7135</v>
      </c>
      <c r="J383">
        <v>88</v>
      </c>
      <c r="K383">
        <v>106</v>
      </c>
      <c r="L383">
        <v>1082</v>
      </c>
      <c r="M383">
        <v>0</v>
      </c>
      <c r="N383">
        <v>30</v>
      </c>
      <c r="O383">
        <v>98</v>
      </c>
      <c r="P383">
        <v>76</v>
      </c>
      <c r="Q383">
        <v>2617</v>
      </c>
      <c r="R383">
        <v>225</v>
      </c>
      <c r="S383">
        <v>191</v>
      </c>
      <c r="T383">
        <v>189</v>
      </c>
      <c r="U383">
        <v>190</v>
      </c>
      <c r="V383">
        <v>96</v>
      </c>
      <c r="W383">
        <v>0</v>
      </c>
      <c r="X383">
        <v>6</v>
      </c>
      <c r="Y383">
        <v>35</v>
      </c>
      <c r="Z383">
        <v>26</v>
      </c>
      <c r="AA383">
        <v>20</v>
      </c>
      <c r="AB383">
        <v>13</v>
      </c>
      <c r="AC383">
        <v>219</v>
      </c>
      <c r="AD383">
        <v>0</v>
      </c>
      <c r="AE383">
        <v>31</v>
      </c>
      <c r="AF383">
        <v>34</v>
      </c>
      <c r="AG383">
        <v>0</v>
      </c>
      <c r="AH383">
        <v>24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</row>
    <row r="384" spans="1:64">
      <c r="A384" t="s">
        <v>38993</v>
      </c>
      <c r="B384">
        <v>0</v>
      </c>
      <c r="C384">
        <v>238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</row>
    <row r="385" spans="1:64">
      <c r="A385" t="s">
        <v>38994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24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</row>
    <row r="386" spans="1:64">
      <c r="A386" t="s">
        <v>38995</v>
      </c>
      <c r="B386">
        <v>0</v>
      </c>
      <c r="C386">
        <v>84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22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</row>
    <row r="387" spans="1:64">
      <c r="A387" t="s">
        <v>38996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13</v>
      </c>
      <c r="AL387">
        <v>0</v>
      </c>
      <c r="AM387">
        <v>0</v>
      </c>
      <c r="AN387">
        <v>4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</row>
    <row r="388" spans="1:64">
      <c r="A388" t="s">
        <v>38997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5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</row>
    <row r="389" spans="1:64">
      <c r="A389" t="s">
        <v>38998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52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</row>
    <row r="390" spans="1:64">
      <c r="A390" t="s">
        <v>38999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13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</row>
    <row r="391" spans="1:64">
      <c r="A391" t="s">
        <v>39000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10</v>
      </c>
      <c r="AJ391">
        <v>1181</v>
      </c>
      <c r="AK391">
        <v>114</v>
      </c>
      <c r="AL391">
        <v>87</v>
      </c>
      <c r="AM391">
        <v>0</v>
      </c>
      <c r="AN391">
        <v>10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</row>
    <row r="392" spans="1:64">
      <c r="A392" t="s">
        <v>39001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13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</row>
    <row r="393" spans="1:64">
      <c r="A393" t="s">
        <v>39002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88</v>
      </c>
      <c r="AK393">
        <v>156</v>
      </c>
      <c r="AL393">
        <v>389</v>
      </c>
      <c r="AM393">
        <v>44</v>
      </c>
      <c r="AN393">
        <v>22</v>
      </c>
      <c r="AO393">
        <v>27</v>
      </c>
      <c r="AP393">
        <v>0</v>
      </c>
      <c r="AQ393">
        <v>0</v>
      </c>
      <c r="AR393">
        <v>5</v>
      </c>
      <c r="AS393">
        <v>10</v>
      </c>
      <c r="AT393">
        <v>7</v>
      </c>
      <c r="AU393">
        <v>14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</row>
    <row r="394" spans="1:64">
      <c r="A394" t="s">
        <v>39003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43</v>
      </c>
      <c r="AM394">
        <v>0</v>
      </c>
      <c r="AN394">
        <v>5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</row>
    <row r="395" spans="1:64">
      <c r="A395" t="s">
        <v>39004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6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</row>
    <row r="396" spans="1:64">
      <c r="A396" t="s">
        <v>39005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25</v>
      </c>
      <c r="L396">
        <v>252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</row>
    <row r="397" spans="1:64">
      <c r="A397" t="s">
        <v>39006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0</v>
      </c>
      <c r="Z397">
        <v>6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</row>
    <row r="398" spans="1:64">
      <c r="A398" t="s">
        <v>39007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9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</row>
    <row r="399" spans="1:64">
      <c r="A399" t="s">
        <v>39008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6</v>
      </c>
      <c r="V399">
        <v>11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</row>
    <row r="400" spans="1:64">
      <c r="A400" t="s">
        <v>39009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6</v>
      </c>
      <c r="AG400">
        <v>0</v>
      </c>
      <c r="AH400">
        <v>8</v>
      </c>
      <c r="AI400">
        <v>0</v>
      </c>
      <c r="AJ400">
        <v>9</v>
      </c>
      <c r="AK400">
        <v>198</v>
      </c>
      <c r="AL400">
        <v>208</v>
      </c>
      <c r="AM400">
        <v>13</v>
      </c>
      <c r="AN400">
        <v>138</v>
      </c>
      <c r="AO400">
        <v>2968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</row>
    <row r="401" spans="1:64">
      <c r="A401" t="s">
        <v>39010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13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</row>
    <row r="402" spans="1:64">
      <c r="A402" t="s">
        <v>39011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4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</row>
    <row r="403" spans="1:64">
      <c r="A403" t="s">
        <v>39012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64</v>
      </c>
      <c r="AD403">
        <v>0</v>
      </c>
      <c r="AE403">
        <v>23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</row>
    <row r="404" spans="1:64">
      <c r="A404" t="s">
        <v>39013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144</v>
      </c>
      <c r="AH404">
        <v>18</v>
      </c>
      <c r="AI404">
        <v>0</v>
      </c>
      <c r="AJ404">
        <v>22</v>
      </c>
      <c r="AK404">
        <v>23</v>
      </c>
      <c r="AL404">
        <v>20</v>
      </c>
      <c r="AM404">
        <v>7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</row>
    <row r="405" spans="1:64">
      <c r="A405" t="s">
        <v>39014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9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</row>
    <row r="406" spans="1:64">
      <c r="A406" t="s">
        <v>39015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6</v>
      </c>
      <c r="AM406">
        <v>0</v>
      </c>
      <c r="AN406">
        <v>0</v>
      </c>
      <c r="AO406">
        <v>0</v>
      </c>
      <c r="AP406">
        <v>19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</row>
    <row r="407" spans="1:64">
      <c r="A407" t="s">
        <v>39016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6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</row>
    <row r="408" spans="1:64">
      <c r="A408" t="s">
        <v>39017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14</v>
      </c>
      <c r="AH408">
        <v>0</v>
      </c>
      <c r="AI408">
        <v>0</v>
      </c>
      <c r="AJ408">
        <v>6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</row>
    <row r="409" spans="1:64">
      <c r="A409" t="s">
        <v>39018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14</v>
      </c>
      <c r="AP409">
        <v>32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</row>
    <row r="410" spans="1:64">
      <c r="A410" t="s">
        <v>39019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3</v>
      </c>
      <c r="AL410">
        <v>0</v>
      </c>
      <c r="AM410">
        <v>11</v>
      </c>
      <c r="AN410">
        <v>51</v>
      </c>
      <c r="AO410">
        <v>0</v>
      </c>
      <c r="AP410">
        <v>53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</row>
    <row r="411" spans="1:64">
      <c r="A411" t="s">
        <v>39020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11</v>
      </c>
      <c r="AO411">
        <v>0</v>
      </c>
      <c r="AP411">
        <v>32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</row>
    <row r="412" spans="1:64">
      <c r="A412" t="s">
        <v>39021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36</v>
      </c>
      <c r="AP412">
        <v>56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</row>
    <row r="413" spans="1:64">
      <c r="A413" t="s">
        <v>39022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3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BCB8C-A972-824E-A934-6298021A743D}">
  <dimension ref="A1:G414"/>
  <sheetViews>
    <sheetView workbookViewId="0">
      <selection sqref="A1:XFD1048576"/>
    </sheetView>
  </sheetViews>
  <sheetFormatPr baseColWidth="10" defaultRowHeight="16"/>
  <cols>
    <col min="3" max="3" width="26.6640625" bestFit="1" customWidth="1"/>
    <col min="4" max="4" width="47" bestFit="1" customWidth="1"/>
  </cols>
  <sheetData>
    <row r="1" spans="1:7">
      <c r="A1" t="s">
        <v>38547</v>
      </c>
      <c r="B1" t="s">
        <v>39023</v>
      </c>
      <c r="C1" t="s">
        <v>39024</v>
      </c>
      <c r="D1" t="s">
        <v>39025</v>
      </c>
      <c r="E1" t="s">
        <v>39026</v>
      </c>
      <c r="F1" t="s">
        <v>39027</v>
      </c>
      <c r="G1" t="s">
        <v>39028</v>
      </c>
    </row>
    <row r="2" spans="1:7">
      <c r="A2" t="s">
        <v>38611</v>
      </c>
      <c r="B2" t="s">
        <v>39029</v>
      </c>
      <c r="C2" t="s">
        <v>39030</v>
      </c>
      <c r="D2" t="s">
        <v>39031</v>
      </c>
      <c r="E2" t="s">
        <v>39032</v>
      </c>
      <c r="F2" t="s">
        <v>39033</v>
      </c>
      <c r="G2" t="s">
        <v>39034</v>
      </c>
    </row>
    <row r="3" spans="1:7">
      <c r="A3" t="s">
        <v>38612</v>
      </c>
      <c r="B3" t="s">
        <v>39029</v>
      </c>
      <c r="C3" t="s">
        <v>39035</v>
      </c>
      <c r="D3" t="s">
        <v>39036</v>
      </c>
      <c r="E3" t="s">
        <v>39037</v>
      </c>
      <c r="F3" t="s">
        <v>39038</v>
      </c>
      <c r="G3" t="s">
        <v>39039</v>
      </c>
    </row>
    <row r="4" spans="1:7">
      <c r="A4" t="s">
        <v>38613</v>
      </c>
      <c r="B4" t="s">
        <v>39029</v>
      </c>
      <c r="C4" t="s">
        <v>39035</v>
      </c>
      <c r="D4" t="s">
        <v>39036</v>
      </c>
      <c r="E4" t="s">
        <v>39037</v>
      </c>
      <c r="F4" t="s">
        <v>39038</v>
      </c>
      <c r="G4" t="s">
        <v>39039</v>
      </c>
    </row>
    <row r="5" spans="1:7">
      <c r="A5" t="s">
        <v>38614</v>
      </c>
      <c r="B5" t="s">
        <v>39029</v>
      </c>
      <c r="C5" t="s">
        <v>39035</v>
      </c>
      <c r="D5" t="s">
        <v>39036</v>
      </c>
      <c r="E5" t="s">
        <v>39037</v>
      </c>
      <c r="F5" t="s">
        <v>39038</v>
      </c>
      <c r="G5" t="s">
        <v>39039</v>
      </c>
    </row>
    <row r="6" spans="1:7">
      <c r="A6" t="s">
        <v>38615</v>
      </c>
      <c r="B6" t="s">
        <v>39029</v>
      </c>
      <c r="C6" t="s">
        <v>39035</v>
      </c>
      <c r="D6" t="s">
        <v>39040</v>
      </c>
      <c r="E6" t="s">
        <v>39041</v>
      </c>
      <c r="F6" t="s">
        <v>39042</v>
      </c>
      <c r="G6" t="s">
        <v>39043</v>
      </c>
    </row>
    <row r="7" spans="1:7">
      <c r="A7" t="s">
        <v>38616</v>
      </c>
      <c r="B7" t="s">
        <v>39029</v>
      </c>
      <c r="C7" t="s">
        <v>39035</v>
      </c>
      <c r="D7" t="s">
        <v>39040</v>
      </c>
      <c r="E7" t="s">
        <v>39041</v>
      </c>
      <c r="F7" t="s">
        <v>39042</v>
      </c>
      <c r="G7" t="s">
        <v>39043</v>
      </c>
    </row>
    <row r="8" spans="1:7">
      <c r="A8" t="s">
        <v>38617</v>
      </c>
      <c r="B8" t="s">
        <v>39029</v>
      </c>
      <c r="C8" t="s">
        <v>39035</v>
      </c>
      <c r="D8" t="s">
        <v>39040</v>
      </c>
      <c r="E8" t="s">
        <v>39041</v>
      </c>
      <c r="F8" t="s">
        <v>39042</v>
      </c>
      <c r="G8" t="s">
        <v>39043</v>
      </c>
    </row>
    <row r="9" spans="1:7">
      <c r="A9" t="s">
        <v>38618</v>
      </c>
      <c r="B9" t="s">
        <v>39029</v>
      </c>
      <c r="C9" t="s">
        <v>39035</v>
      </c>
      <c r="D9" t="s">
        <v>39040</v>
      </c>
      <c r="E9" t="s">
        <v>39041</v>
      </c>
      <c r="F9" t="s">
        <v>39042</v>
      </c>
      <c r="G9" t="s">
        <v>39043</v>
      </c>
    </row>
    <row r="10" spans="1:7">
      <c r="A10" t="s">
        <v>38619</v>
      </c>
      <c r="B10" t="s">
        <v>39029</v>
      </c>
      <c r="C10" t="s">
        <v>39035</v>
      </c>
      <c r="D10" t="s">
        <v>39044</v>
      </c>
      <c r="E10" t="s">
        <v>39045</v>
      </c>
      <c r="F10" t="s">
        <v>39046</v>
      </c>
      <c r="G10" t="s">
        <v>39047</v>
      </c>
    </row>
    <row r="11" spans="1:7">
      <c r="A11" t="s">
        <v>38620</v>
      </c>
      <c r="B11" t="s">
        <v>39029</v>
      </c>
      <c r="C11" t="s">
        <v>39035</v>
      </c>
      <c r="D11" t="s">
        <v>39044</v>
      </c>
      <c r="E11" t="s">
        <v>39048</v>
      </c>
      <c r="F11" t="s">
        <v>39049</v>
      </c>
      <c r="G11" t="s">
        <v>39050</v>
      </c>
    </row>
    <row r="12" spans="1:7">
      <c r="A12" t="s">
        <v>38621</v>
      </c>
      <c r="B12" t="s">
        <v>39029</v>
      </c>
      <c r="C12" t="s">
        <v>39035</v>
      </c>
      <c r="D12" t="s">
        <v>39044</v>
      </c>
      <c r="E12" t="s">
        <v>39048</v>
      </c>
      <c r="F12" t="s">
        <v>39049</v>
      </c>
      <c r="G12" t="s">
        <v>39050</v>
      </c>
    </row>
    <row r="13" spans="1:7">
      <c r="A13" t="s">
        <v>38622</v>
      </c>
      <c r="B13" t="s">
        <v>39029</v>
      </c>
      <c r="C13" t="s">
        <v>39035</v>
      </c>
      <c r="D13" t="s">
        <v>39044</v>
      </c>
      <c r="E13" t="s">
        <v>39048</v>
      </c>
      <c r="F13" t="s">
        <v>39049</v>
      </c>
      <c r="G13" t="s">
        <v>39050</v>
      </c>
    </row>
    <row r="14" spans="1:7">
      <c r="A14" t="s">
        <v>38623</v>
      </c>
      <c r="B14" t="s">
        <v>39029</v>
      </c>
      <c r="C14" t="s">
        <v>39035</v>
      </c>
      <c r="D14" t="s">
        <v>39044</v>
      </c>
      <c r="E14" t="s">
        <v>39048</v>
      </c>
      <c r="F14" t="s">
        <v>39049</v>
      </c>
      <c r="G14" t="s">
        <v>39050</v>
      </c>
    </row>
    <row r="15" spans="1:7">
      <c r="A15" t="s">
        <v>38624</v>
      </c>
      <c r="B15" t="s">
        <v>39029</v>
      </c>
      <c r="C15" t="s">
        <v>39035</v>
      </c>
      <c r="D15" t="s">
        <v>39044</v>
      </c>
      <c r="E15" t="s">
        <v>39051</v>
      </c>
      <c r="F15" t="s">
        <v>39052</v>
      </c>
      <c r="G15" t="s">
        <v>39053</v>
      </c>
    </row>
    <row r="16" spans="1:7">
      <c r="A16" t="s">
        <v>38625</v>
      </c>
      <c r="B16" t="s">
        <v>39029</v>
      </c>
      <c r="C16" t="s">
        <v>39035</v>
      </c>
      <c r="D16" t="s">
        <v>39044</v>
      </c>
      <c r="E16" t="s">
        <v>39051</v>
      </c>
      <c r="F16" t="s">
        <v>39052</v>
      </c>
      <c r="G16" t="s">
        <v>39053</v>
      </c>
    </row>
    <row r="17" spans="1:7">
      <c r="A17" t="s">
        <v>38626</v>
      </c>
      <c r="B17" t="s">
        <v>39029</v>
      </c>
      <c r="C17" t="s">
        <v>39035</v>
      </c>
      <c r="D17" t="s">
        <v>39044</v>
      </c>
      <c r="E17" t="s">
        <v>39051</v>
      </c>
      <c r="F17" t="s">
        <v>39052</v>
      </c>
      <c r="G17" t="s">
        <v>39054</v>
      </c>
    </row>
    <row r="18" spans="1:7">
      <c r="A18" t="s">
        <v>38627</v>
      </c>
      <c r="B18" t="s">
        <v>39029</v>
      </c>
      <c r="C18" t="s">
        <v>39035</v>
      </c>
      <c r="D18" t="s">
        <v>39044</v>
      </c>
      <c r="E18" t="s">
        <v>39051</v>
      </c>
      <c r="F18" t="s">
        <v>39052</v>
      </c>
      <c r="G18" t="s">
        <v>39055</v>
      </c>
    </row>
    <row r="19" spans="1:7">
      <c r="A19" t="s">
        <v>38628</v>
      </c>
      <c r="B19" t="s">
        <v>39029</v>
      </c>
      <c r="C19" t="s">
        <v>39035</v>
      </c>
      <c r="D19" t="s">
        <v>39044</v>
      </c>
      <c r="E19" t="s">
        <v>39051</v>
      </c>
      <c r="F19" t="s">
        <v>39052</v>
      </c>
      <c r="G19" t="s">
        <v>39055</v>
      </c>
    </row>
    <row r="20" spans="1:7">
      <c r="A20" t="s">
        <v>38629</v>
      </c>
      <c r="B20" t="s">
        <v>39029</v>
      </c>
      <c r="C20" t="s">
        <v>39035</v>
      </c>
      <c r="D20" t="s">
        <v>39044</v>
      </c>
      <c r="E20" t="s">
        <v>39051</v>
      </c>
      <c r="F20" t="s">
        <v>39052</v>
      </c>
      <c r="G20" t="s">
        <v>39055</v>
      </c>
    </row>
    <row r="21" spans="1:7">
      <c r="A21" t="s">
        <v>38630</v>
      </c>
      <c r="B21" t="s">
        <v>39029</v>
      </c>
      <c r="C21" t="s">
        <v>39035</v>
      </c>
      <c r="D21" t="s">
        <v>39044</v>
      </c>
      <c r="E21" t="s">
        <v>39051</v>
      </c>
      <c r="F21" t="s">
        <v>39052</v>
      </c>
      <c r="G21" t="s">
        <v>39055</v>
      </c>
    </row>
    <row r="22" spans="1:7">
      <c r="A22" t="s">
        <v>38631</v>
      </c>
      <c r="B22" t="s">
        <v>39029</v>
      </c>
      <c r="C22" t="s">
        <v>39035</v>
      </c>
      <c r="D22" t="s">
        <v>39044</v>
      </c>
      <c r="E22" t="s">
        <v>39056</v>
      </c>
      <c r="F22" t="s">
        <v>39057</v>
      </c>
      <c r="G22" t="s">
        <v>39058</v>
      </c>
    </row>
    <row r="23" spans="1:7">
      <c r="A23" t="s">
        <v>38632</v>
      </c>
      <c r="B23" t="s">
        <v>39029</v>
      </c>
      <c r="C23" t="s">
        <v>39035</v>
      </c>
      <c r="D23" t="s">
        <v>39059</v>
      </c>
      <c r="E23" t="s">
        <v>39060</v>
      </c>
      <c r="F23" t="s">
        <v>39061</v>
      </c>
      <c r="G23" t="s">
        <v>39062</v>
      </c>
    </row>
    <row r="24" spans="1:7">
      <c r="A24" t="s">
        <v>38633</v>
      </c>
      <c r="B24" t="s">
        <v>39029</v>
      </c>
      <c r="C24" t="s">
        <v>39035</v>
      </c>
      <c r="D24" t="s">
        <v>39063</v>
      </c>
      <c r="E24" t="s">
        <v>39064</v>
      </c>
      <c r="F24" t="s">
        <v>39065</v>
      </c>
      <c r="G24" t="s">
        <v>39066</v>
      </c>
    </row>
    <row r="25" spans="1:7">
      <c r="A25" t="s">
        <v>38634</v>
      </c>
      <c r="B25" t="s">
        <v>39029</v>
      </c>
      <c r="C25" t="s">
        <v>39035</v>
      </c>
      <c r="D25" t="s">
        <v>39063</v>
      </c>
      <c r="E25" t="s">
        <v>39067</v>
      </c>
      <c r="F25" t="s">
        <v>39068</v>
      </c>
      <c r="G25" t="s">
        <v>39069</v>
      </c>
    </row>
    <row r="26" spans="1:7">
      <c r="A26" t="s">
        <v>38635</v>
      </c>
      <c r="B26" t="s">
        <v>39029</v>
      </c>
      <c r="C26" t="s">
        <v>39035</v>
      </c>
      <c r="D26" t="s">
        <v>39063</v>
      </c>
      <c r="E26" t="s">
        <v>39067</v>
      </c>
      <c r="F26" t="s">
        <v>39068</v>
      </c>
      <c r="G26" t="s">
        <v>39070</v>
      </c>
    </row>
    <row r="27" spans="1:7">
      <c r="A27" t="s">
        <v>38636</v>
      </c>
      <c r="B27" t="s">
        <v>39029</v>
      </c>
      <c r="C27" t="s">
        <v>39035</v>
      </c>
      <c r="D27" t="s">
        <v>39063</v>
      </c>
      <c r="E27" t="s">
        <v>39067</v>
      </c>
      <c r="F27" t="s">
        <v>39068</v>
      </c>
      <c r="G27" t="s">
        <v>39070</v>
      </c>
    </row>
    <row r="28" spans="1:7">
      <c r="A28" t="s">
        <v>38637</v>
      </c>
      <c r="B28" t="s">
        <v>39029</v>
      </c>
      <c r="C28" t="s">
        <v>39035</v>
      </c>
      <c r="D28" t="s">
        <v>39063</v>
      </c>
      <c r="E28" t="s">
        <v>39067</v>
      </c>
      <c r="F28" t="s">
        <v>39068</v>
      </c>
      <c r="G28" t="s">
        <v>39071</v>
      </c>
    </row>
    <row r="29" spans="1:7">
      <c r="A29" t="s">
        <v>38638</v>
      </c>
      <c r="B29" t="s">
        <v>39029</v>
      </c>
      <c r="C29" t="s">
        <v>39035</v>
      </c>
      <c r="D29" t="s">
        <v>39063</v>
      </c>
      <c r="E29" t="s">
        <v>39067</v>
      </c>
      <c r="F29" t="s">
        <v>39068</v>
      </c>
      <c r="G29" t="s">
        <v>39071</v>
      </c>
    </row>
    <row r="30" spans="1:7">
      <c r="A30" t="s">
        <v>38639</v>
      </c>
      <c r="B30" t="s">
        <v>39029</v>
      </c>
      <c r="C30" t="s">
        <v>39035</v>
      </c>
      <c r="D30" t="s">
        <v>39063</v>
      </c>
      <c r="E30" t="s">
        <v>39067</v>
      </c>
      <c r="F30" t="s">
        <v>39068</v>
      </c>
      <c r="G30" t="s">
        <v>39071</v>
      </c>
    </row>
    <row r="31" spans="1:7">
      <c r="A31" t="s">
        <v>38640</v>
      </c>
      <c r="B31" t="s">
        <v>39029</v>
      </c>
      <c r="C31" t="s">
        <v>39035</v>
      </c>
      <c r="D31" t="s">
        <v>39063</v>
      </c>
      <c r="E31" t="s">
        <v>39067</v>
      </c>
      <c r="F31" t="s">
        <v>39068</v>
      </c>
      <c r="G31" t="s">
        <v>39072</v>
      </c>
    </row>
    <row r="32" spans="1:7">
      <c r="A32" t="s">
        <v>38641</v>
      </c>
      <c r="B32" t="s">
        <v>39029</v>
      </c>
      <c r="C32" t="s">
        <v>39035</v>
      </c>
      <c r="D32" t="s">
        <v>39063</v>
      </c>
      <c r="E32" t="s">
        <v>39073</v>
      </c>
      <c r="F32" t="s">
        <v>39074</v>
      </c>
      <c r="G32" t="s">
        <v>39075</v>
      </c>
    </row>
    <row r="33" spans="1:7">
      <c r="A33" t="s">
        <v>38642</v>
      </c>
      <c r="B33" t="s">
        <v>39029</v>
      </c>
      <c r="C33" t="s">
        <v>39035</v>
      </c>
      <c r="D33" t="s">
        <v>39063</v>
      </c>
      <c r="E33" t="s">
        <v>39073</v>
      </c>
      <c r="F33" t="s">
        <v>39076</v>
      </c>
      <c r="G33" t="s">
        <v>39077</v>
      </c>
    </row>
    <row r="34" spans="1:7">
      <c r="A34" t="s">
        <v>38643</v>
      </c>
      <c r="B34" t="s">
        <v>39029</v>
      </c>
      <c r="C34" t="s">
        <v>39035</v>
      </c>
      <c r="D34" t="s">
        <v>39063</v>
      </c>
      <c r="E34" t="s">
        <v>39073</v>
      </c>
      <c r="F34" t="s">
        <v>39076</v>
      </c>
      <c r="G34" t="s">
        <v>39078</v>
      </c>
    </row>
    <row r="35" spans="1:7">
      <c r="A35" t="s">
        <v>38644</v>
      </c>
      <c r="B35" t="s">
        <v>39029</v>
      </c>
      <c r="C35" t="s">
        <v>39035</v>
      </c>
      <c r="D35" t="s">
        <v>39063</v>
      </c>
      <c r="E35" t="s">
        <v>39073</v>
      </c>
      <c r="F35" t="s">
        <v>39076</v>
      </c>
      <c r="G35" t="s">
        <v>39079</v>
      </c>
    </row>
    <row r="36" spans="1:7">
      <c r="A36" t="s">
        <v>38645</v>
      </c>
      <c r="B36" t="s">
        <v>39029</v>
      </c>
      <c r="C36" t="s">
        <v>39035</v>
      </c>
      <c r="D36" t="s">
        <v>39063</v>
      </c>
      <c r="E36" t="s">
        <v>39073</v>
      </c>
      <c r="F36" t="s">
        <v>39076</v>
      </c>
      <c r="G36" t="s">
        <v>39080</v>
      </c>
    </row>
    <row r="37" spans="1:7">
      <c r="A37" t="s">
        <v>38646</v>
      </c>
      <c r="B37" t="s">
        <v>39029</v>
      </c>
      <c r="C37" t="s">
        <v>39035</v>
      </c>
      <c r="D37" t="s">
        <v>39063</v>
      </c>
      <c r="E37" t="s">
        <v>39073</v>
      </c>
      <c r="F37" t="s">
        <v>39076</v>
      </c>
      <c r="G37" t="s">
        <v>39081</v>
      </c>
    </row>
    <row r="38" spans="1:7">
      <c r="A38" t="s">
        <v>38647</v>
      </c>
      <c r="B38" t="s">
        <v>39029</v>
      </c>
      <c r="C38" t="s">
        <v>39035</v>
      </c>
      <c r="D38" t="s">
        <v>39063</v>
      </c>
      <c r="E38" t="s">
        <v>39073</v>
      </c>
      <c r="F38" t="s">
        <v>39076</v>
      </c>
      <c r="G38" t="s">
        <v>39081</v>
      </c>
    </row>
    <row r="39" spans="1:7">
      <c r="A39" t="s">
        <v>38648</v>
      </c>
      <c r="B39" t="s">
        <v>39029</v>
      </c>
      <c r="C39" t="s">
        <v>39035</v>
      </c>
      <c r="D39" t="s">
        <v>39063</v>
      </c>
      <c r="E39" t="s">
        <v>39073</v>
      </c>
      <c r="F39" t="s">
        <v>39082</v>
      </c>
      <c r="G39" t="s">
        <v>39083</v>
      </c>
    </row>
    <row r="40" spans="1:7">
      <c r="A40" t="s">
        <v>38649</v>
      </c>
      <c r="B40" t="s">
        <v>39029</v>
      </c>
      <c r="C40" t="s">
        <v>39035</v>
      </c>
      <c r="D40" t="s">
        <v>39084</v>
      </c>
      <c r="E40" t="s">
        <v>39085</v>
      </c>
      <c r="F40" t="s">
        <v>39086</v>
      </c>
      <c r="G40" t="s">
        <v>39087</v>
      </c>
    </row>
    <row r="41" spans="1:7">
      <c r="A41" t="s">
        <v>38650</v>
      </c>
      <c r="B41" t="s">
        <v>39029</v>
      </c>
      <c r="C41" t="s">
        <v>39035</v>
      </c>
      <c r="D41" t="s">
        <v>39084</v>
      </c>
      <c r="E41" t="s">
        <v>39085</v>
      </c>
      <c r="F41" t="s">
        <v>39086</v>
      </c>
      <c r="G41" t="s">
        <v>39088</v>
      </c>
    </row>
    <row r="42" spans="1:7">
      <c r="A42" t="s">
        <v>38651</v>
      </c>
      <c r="B42" t="s">
        <v>39029</v>
      </c>
      <c r="C42" t="s">
        <v>39035</v>
      </c>
      <c r="D42" t="s">
        <v>39084</v>
      </c>
      <c r="E42" t="s">
        <v>39089</v>
      </c>
      <c r="F42" t="s">
        <v>39090</v>
      </c>
      <c r="G42" t="s">
        <v>39091</v>
      </c>
    </row>
    <row r="43" spans="1:7">
      <c r="A43" t="s">
        <v>38652</v>
      </c>
      <c r="B43" t="s">
        <v>39029</v>
      </c>
      <c r="C43" t="s">
        <v>39035</v>
      </c>
      <c r="D43" t="s">
        <v>39084</v>
      </c>
      <c r="E43" t="s">
        <v>39089</v>
      </c>
      <c r="F43" t="s">
        <v>39090</v>
      </c>
      <c r="G43" t="s">
        <v>39092</v>
      </c>
    </row>
    <row r="44" spans="1:7">
      <c r="A44" t="s">
        <v>38653</v>
      </c>
      <c r="B44" t="s">
        <v>39029</v>
      </c>
      <c r="C44" t="s">
        <v>39035</v>
      </c>
      <c r="D44" t="s">
        <v>39084</v>
      </c>
      <c r="E44" t="s">
        <v>39089</v>
      </c>
      <c r="F44" t="s">
        <v>39090</v>
      </c>
      <c r="G44" t="s">
        <v>39092</v>
      </c>
    </row>
    <row r="45" spans="1:7">
      <c r="A45" t="s">
        <v>38654</v>
      </c>
      <c r="B45" t="s">
        <v>39029</v>
      </c>
      <c r="C45" t="s">
        <v>39035</v>
      </c>
      <c r="D45" t="s">
        <v>39084</v>
      </c>
      <c r="E45" t="s">
        <v>39093</v>
      </c>
      <c r="F45" t="s">
        <v>39094</v>
      </c>
      <c r="G45" t="s">
        <v>39095</v>
      </c>
    </row>
    <row r="46" spans="1:7">
      <c r="A46" t="s">
        <v>38655</v>
      </c>
      <c r="B46" t="s">
        <v>39029</v>
      </c>
      <c r="C46" t="s">
        <v>39035</v>
      </c>
      <c r="D46" t="s">
        <v>39084</v>
      </c>
      <c r="E46" t="s">
        <v>39093</v>
      </c>
      <c r="F46" t="s">
        <v>39094</v>
      </c>
      <c r="G46" t="s">
        <v>39096</v>
      </c>
    </row>
    <row r="47" spans="1:7">
      <c r="A47" t="s">
        <v>38656</v>
      </c>
      <c r="B47" t="s">
        <v>39029</v>
      </c>
      <c r="C47" t="s">
        <v>39035</v>
      </c>
      <c r="D47" t="s">
        <v>39084</v>
      </c>
      <c r="E47" t="s">
        <v>39097</v>
      </c>
      <c r="F47" t="s">
        <v>39098</v>
      </c>
      <c r="G47" t="s">
        <v>39099</v>
      </c>
    </row>
    <row r="48" spans="1:7">
      <c r="A48" t="s">
        <v>38657</v>
      </c>
      <c r="B48" t="s">
        <v>39029</v>
      </c>
      <c r="C48" t="s">
        <v>39035</v>
      </c>
      <c r="D48" t="s">
        <v>39084</v>
      </c>
      <c r="E48" t="s">
        <v>39097</v>
      </c>
      <c r="F48" t="s">
        <v>39098</v>
      </c>
      <c r="G48" t="s">
        <v>39099</v>
      </c>
    </row>
    <row r="49" spans="1:7">
      <c r="A49" t="s">
        <v>38658</v>
      </c>
      <c r="B49" t="s">
        <v>39029</v>
      </c>
      <c r="C49" t="s">
        <v>39035</v>
      </c>
      <c r="D49" t="s">
        <v>39084</v>
      </c>
      <c r="E49" t="s">
        <v>39097</v>
      </c>
      <c r="F49" t="s">
        <v>39100</v>
      </c>
      <c r="G49" t="s">
        <v>39101</v>
      </c>
    </row>
    <row r="50" spans="1:7">
      <c r="A50" t="s">
        <v>38659</v>
      </c>
      <c r="B50" t="s">
        <v>39029</v>
      </c>
      <c r="C50" t="s">
        <v>39035</v>
      </c>
      <c r="D50" t="s">
        <v>39084</v>
      </c>
      <c r="E50" t="s">
        <v>39097</v>
      </c>
      <c r="F50" t="s">
        <v>39100</v>
      </c>
      <c r="G50" t="s">
        <v>39101</v>
      </c>
    </row>
    <row r="51" spans="1:7">
      <c r="A51" t="s">
        <v>38660</v>
      </c>
      <c r="B51" t="s">
        <v>39029</v>
      </c>
      <c r="C51" t="s">
        <v>39035</v>
      </c>
      <c r="D51" t="s">
        <v>39084</v>
      </c>
      <c r="E51" t="s">
        <v>39097</v>
      </c>
      <c r="F51" t="s">
        <v>39102</v>
      </c>
      <c r="G51" t="s">
        <v>39103</v>
      </c>
    </row>
    <row r="52" spans="1:7">
      <c r="A52" t="s">
        <v>38661</v>
      </c>
      <c r="B52" t="s">
        <v>39029</v>
      </c>
      <c r="C52" t="s">
        <v>39035</v>
      </c>
      <c r="D52" t="s">
        <v>39084</v>
      </c>
      <c r="E52" t="s">
        <v>39097</v>
      </c>
      <c r="F52" t="s">
        <v>39102</v>
      </c>
      <c r="G52" t="s">
        <v>39103</v>
      </c>
    </row>
    <row r="53" spans="1:7">
      <c r="A53" t="s">
        <v>38662</v>
      </c>
      <c r="B53" t="s">
        <v>39029</v>
      </c>
      <c r="C53" t="s">
        <v>39035</v>
      </c>
      <c r="D53" t="s">
        <v>39084</v>
      </c>
      <c r="E53" t="s">
        <v>39097</v>
      </c>
      <c r="F53" t="s">
        <v>39104</v>
      </c>
      <c r="G53" t="s">
        <v>39105</v>
      </c>
    </row>
    <row r="54" spans="1:7">
      <c r="A54" t="s">
        <v>38663</v>
      </c>
      <c r="B54" t="s">
        <v>39029</v>
      </c>
      <c r="C54" t="s">
        <v>39035</v>
      </c>
      <c r="D54" t="s">
        <v>39084</v>
      </c>
      <c r="E54" t="s">
        <v>39097</v>
      </c>
      <c r="F54" t="s">
        <v>39106</v>
      </c>
      <c r="G54" t="s">
        <v>39107</v>
      </c>
    </row>
    <row r="55" spans="1:7">
      <c r="A55" t="s">
        <v>38664</v>
      </c>
      <c r="B55" t="s">
        <v>39029</v>
      </c>
      <c r="C55" t="s">
        <v>39035</v>
      </c>
      <c r="D55" t="s">
        <v>39108</v>
      </c>
      <c r="E55" t="s">
        <v>39109</v>
      </c>
      <c r="F55" t="s">
        <v>39110</v>
      </c>
      <c r="G55" t="s">
        <v>39111</v>
      </c>
    </row>
    <row r="56" spans="1:7">
      <c r="A56" t="s">
        <v>38665</v>
      </c>
      <c r="B56" t="s">
        <v>39029</v>
      </c>
      <c r="C56" t="s">
        <v>39035</v>
      </c>
      <c r="D56" t="s">
        <v>39112</v>
      </c>
      <c r="E56" t="s">
        <v>39113</v>
      </c>
      <c r="F56" t="s">
        <v>39114</v>
      </c>
      <c r="G56" t="s">
        <v>39115</v>
      </c>
    </row>
    <row r="57" spans="1:7">
      <c r="A57" t="s">
        <v>38666</v>
      </c>
      <c r="B57" t="s">
        <v>39029</v>
      </c>
      <c r="C57" t="s">
        <v>39035</v>
      </c>
      <c r="D57" t="s">
        <v>39112</v>
      </c>
      <c r="E57" t="s">
        <v>39113</v>
      </c>
      <c r="F57" t="s">
        <v>39114</v>
      </c>
      <c r="G57" t="s">
        <v>39115</v>
      </c>
    </row>
    <row r="58" spans="1:7">
      <c r="A58" t="s">
        <v>38667</v>
      </c>
      <c r="B58" t="s">
        <v>39029</v>
      </c>
      <c r="C58" t="s">
        <v>39035</v>
      </c>
      <c r="D58" t="s">
        <v>39112</v>
      </c>
      <c r="E58" t="s">
        <v>39113</v>
      </c>
      <c r="F58" t="s">
        <v>39116</v>
      </c>
      <c r="G58" t="s">
        <v>39117</v>
      </c>
    </row>
    <row r="59" spans="1:7">
      <c r="A59" t="s">
        <v>38668</v>
      </c>
      <c r="B59" t="s">
        <v>39029</v>
      </c>
      <c r="C59" t="s">
        <v>39035</v>
      </c>
      <c r="D59" t="s">
        <v>39112</v>
      </c>
      <c r="E59" t="s">
        <v>39113</v>
      </c>
      <c r="F59" t="s">
        <v>39116</v>
      </c>
      <c r="G59" t="s">
        <v>39117</v>
      </c>
    </row>
    <row r="60" spans="1:7">
      <c r="A60" t="s">
        <v>38669</v>
      </c>
      <c r="B60" t="s">
        <v>39029</v>
      </c>
      <c r="C60" t="s">
        <v>39035</v>
      </c>
      <c r="D60" t="s">
        <v>39112</v>
      </c>
      <c r="E60" t="s">
        <v>39118</v>
      </c>
      <c r="F60" t="s">
        <v>39119</v>
      </c>
      <c r="G60" t="s">
        <v>39120</v>
      </c>
    </row>
    <row r="61" spans="1:7">
      <c r="A61" t="s">
        <v>38670</v>
      </c>
      <c r="B61" t="s">
        <v>39029</v>
      </c>
      <c r="C61" t="s">
        <v>39035</v>
      </c>
      <c r="D61" t="s">
        <v>39112</v>
      </c>
      <c r="E61" t="s">
        <v>39118</v>
      </c>
      <c r="F61" t="s">
        <v>39119</v>
      </c>
      <c r="G61" t="s">
        <v>39120</v>
      </c>
    </row>
    <row r="62" spans="1:7">
      <c r="A62" t="s">
        <v>38671</v>
      </c>
      <c r="B62" t="s">
        <v>39029</v>
      </c>
      <c r="C62" t="s">
        <v>39035</v>
      </c>
      <c r="D62" t="s">
        <v>39112</v>
      </c>
      <c r="E62" t="s">
        <v>39118</v>
      </c>
      <c r="F62" t="s">
        <v>39119</v>
      </c>
      <c r="G62" t="s">
        <v>39120</v>
      </c>
    </row>
    <row r="63" spans="1:7">
      <c r="A63" t="s">
        <v>38672</v>
      </c>
      <c r="B63" t="s">
        <v>39029</v>
      </c>
      <c r="C63" t="s">
        <v>39035</v>
      </c>
      <c r="D63" t="s">
        <v>39112</v>
      </c>
      <c r="E63" t="s">
        <v>39118</v>
      </c>
      <c r="F63" t="s">
        <v>39119</v>
      </c>
      <c r="G63" t="s">
        <v>39120</v>
      </c>
    </row>
    <row r="64" spans="1:7">
      <c r="A64" t="s">
        <v>38673</v>
      </c>
      <c r="B64" t="s">
        <v>39029</v>
      </c>
      <c r="C64" t="s">
        <v>39035</v>
      </c>
      <c r="D64" t="s">
        <v>39112</v>
      </c>
      <c r="E64" t="s">
        <v>39118</v>
      </c>
      <c r="F64" t="s">
        <v>39119</v>
      </c>
      <c r="G64" t="s">
        <v>39120</v>
      </c>
    </row>
    <row r="65" spans="1:7">
      <c r="A65" t="s">
        <v>38674</v>
      </c>
      <c r="B65" t="s">
        <v>39029</v>
      </c>
      <c r="C65" t="s">
        <v>39035</v>
      </c>
      <c r="D65" t="s">
        <v>39112</v>
      </c>
      <c r="E65" t="s">
        <v>39118</v>
      </c>
      <c r="F65" t="s">
        <v>39121</v>
      </c>
      <c r="G65" t="s">
        <v>39122</v>
      </c>
    </row>
    <row r="66" spans="1:7">
      <c r="A66" t="s">
        <v>38675</v>
      </c>
      <c r="B66" t="s">
        <v>39029</v>
      </c>
      <c r="C66" t="s">
        <v>39035</v>
      </c>
      <c r="D66" t="s">
        <v>39112</v>
      </c>
      <c r="E66" t="s">
        <v>39123</v>
      </c>
      <c r="F66" t="s">
        <v>39124</v>
      </c>
      <c r="G66" t="s">
        <v>39125</v>
      </c>
    </row>
    <row r="67" spans="1:7">
      <c r="A67" t="s">
        <v>38676</v>
      </c>
      <c r="B67" t="s">
        <v>39029</v>
      </c>
      <c r="C67" t="s">
        <v>39035</v>
      </c>
      <c r="D67" t="s">
        <v>39112</v>
      </c>
      <c r="E67" t="s">
        <v>39123</v>
      </c>
      <c r="F67" t="s">
        <v>39126</v>
      </c>
      <c r="G67" t="s">
        <v>39127</v>
      </c>
    </row>
    <row r="68" spans="1:7">
      <c r="A68" t="s">
        <v>38677</v>
      </c>
      <c r="B68" t="s">
        <v>39029</v>
      </c>
      <c r="C68" t="s">
        <v>39035</v>
      </c>
      <c r="D68" t="s">
        <v>39112</v>
      </c>
      <c r="E68" t="s">
        <v>39128</v>
      </c>
      <c r="F68" t="s">
        <v>39129</v>
      </c>
      <c r="G68" t="s">
        <v>39130</v>
      </c>
    </row>
    <row r="69" spans="1:7">
      <c r="A69" t="s">
        <v>38678</v>
      </c>
      <c r="B69" t="s">
        <v>39029</v>
      </c>
      <c r="C69" t="s">
        <v>39035</v>
      </c>
      <c r="D69" t="s">
        <v>39112</v>
      </c>
      <c r="E69" t="s">
        <v>39128</v>
      </c>
      <c r="F69" t="s">
        <v>39131</v>
      </c>
      <c r="G69" t="s">
        <v>39132</v>
      </c>
    </row>
    <row r="70" spans="1:7">
      <c r="A70" t="s">
        <v>38679</v>
      </c>
      <c r="B70" t="s">
        <v>39029</v>
      </c>
      <c r="C70" t="s">
        <v>39035</v>
      </c>
      <c r="D70" t="s">
        <v>39112</v>
      </c>
      <c r="E70" t="s">
        <v>39128</v>
      </c>
      <c r="F70" t="s">
        <v>39133</v>
      </c>
      <c r="G70" t="s">
        <v>39134</v>
      </c>
    </row>
    <row r="71" spans="1:7">
      <c r="A71" t="s">
        <v>38680</v>
      </c>
      <c r="B71" t="s">
        <v>39029</v>
      </c>
      <c r="C71" t="s">
        <v>39035</v>
      </c>
      <c r="D71" t="s">
        <v>39112</v>
      </c>
      <c r="E71" t="s">
        <v>39128</v>
      </c>
      <c r="F71" t="s">
        <v>39133</v>
      </c>
      <c r="G71" t="s">
        <v>39134</v>
      </c>
    </row>
    <row r="72" spans="1:7">
      <c r="A72" t="s">
        <v>38681</v>
      </c>
      <c r="B72" t="s">
        <v>39029</v>
      </c>
      <c r="C72" t="s">
        <v>39035</v>
      </c>
      <c r="D72" t="s">
        <v>39112</v>
      </c>
      <c r="E72" t="s">
        <v>39128</v>
      </c>
      <c r="F72" t="s">
        <v>39135</v>
      </c>
      <c r="G72" t="s">
        <v>39136</v>
      </c>
    </row>
    <row r="73" spans="1:7">
      <c r="A73" t="s">
        <v>38682</v>
      </c>
      <c r="B73" t="s">
        <v>39029</v>
      </c>
      <c r="C73" t="s">
        <v>39035</v>
      </c>
      <c r="D73" t="s">
        <v>39112</v>
      </c>
      <c r="E73" t="s">
        <v>39128</v>
      </c>
      <c r="F73" t="s">
        <v>39135</v>
      </c>
      <c r="G73" t="s">
        <v>39136</v>
      </c>
    </row>
    <row r="74" spans="1:7">
      <c r="A74" t="s">
        <v>38683</v>
      </c>
      <c r="B74" t="s">
        <v>39029</v>
      </c>
      <c r="C74" t="s">
        <v>39035</v>
      </c>
      <c r="D74" t="s">
        <v>39112</v>
      </c>
      <c r="E74" t="s">
        <v>39128</v>
      </c>
      <c r="F74" t="s">
        <v>39137</v>
      </c>
      <c r="G74" t="s">
        <v>39138</v>
      </c>
    </row>
    <row r="75" spans="1:7">
      <c r="A75" t="s">
        <v>38684</v>
      </c>
      <c r="B75" t="s">
        <v>39029</v>
      </c>
      <c r="C75" t="s">
        <v>39035</v>
      </c>
      <c r="D75" t="s">
        <v>39112</v>
      </c>
      <c r="E75" t="s">
        <v>39128</v>
      </c>
      <c r="F75" t="s">
        <v>39137</v>
      </c>
      <c r="G75" t="s">
        <v>39139</v>
      </c>
    </row>
    <row r="76" spans="1:7">
      <c r="A76" t="s">
        <v>38685</v>
      </c>
      <c r="B76" t="s">
        <v>39029</v>
      </c>
      <c r="C76" t="s">
        <v>39035</v>
      </c>
      <c r="D76" t="s">
        <v>39112</v>
      </c>
      <c r="E76" t="s">
        <v>39128</v>
      </c>
      <c r="F76" t="s">
        <v>39137</v>
      </c>
      <c r="G76" t="s">
        <v>39140</v>
      </c>
    </row>
    <row r="77" spans="1:7">
      <c r="A77" t="s">
        <v>38686</v>
      </c>
      <c r="B77" t="s">
        <v>39029</v>
      </c>
      <c r="C77" t="s">
        <v>39035</v>
      </c>
      <c r="D77" t="s">
        <v>39112</v>
      </c>
      <c r="E77" t="s">
        <v>39141</v>
      </c>
      <c r="F77" t="s">
        <v>39142</v>
      </c>
      <c r="G77" t="s">
        <v>39143</v>
      </c>
    </row>
    <row r="78" spans="1:7">
      <c r="A78" t="s">
        <v>38687</v>
      </c>
      <c r="B78" t="s">
        <v>39029</v>
      </c>
      <c r="C78" t="s">
        <v>39035</v>
      </c>
      <c r="D78" t="s">
        <v>39112</v>
      </c>
      <c r="E78" t="s">
        <v>39141</v>
      </c>
      <c r="F78" t="s">
        <v>39144</v>
      </c>
      <c r="G78" t="s">
        <v>39145</v>
      </c>
    </row>
    <row r="79" spans="1:7">
      <c r="A79" t="s">
        <v>38688</v>
      </c>
      <c r="B79" t="s">
        <v>39029</v>
      </c>
      <c r="C79" t="s">
        <v>39146</v>
      </c>
      <c r="D79" t="s">
        <v>39147</v>
      </c>
      <c r="E79" t="s">
        <v>39148</v>
      </c>
      <c r="F79" t="s">
        <v>39149</v>
      </c>
      <c r="G79" t="s">
        <v>39150</v>
      </c>
    </row>
    <row r="80" spans="1:7">
      <c r="A80" t="s">
        <v>38689</v>
      </c>
      <c r="B80" t="s">
        <v>39029</v>
      </c>
      <c r="C80" t="s">
        <v>39146</v>
      </c>
      <c r="D80" t="s">
        <v>39147</v>
      </c>
      <c r="E80" t="s">
        <v>39148</v>
      </c>
      <c r="F80" t="s">
        <v>39149</v>
      </c>
      <c r="G80" t="s">
        <v>39151</v>
      </c>
    </row>
    <row r="81" spans="1:7">
      <c r="A81" t="s">
        <v>38690</v>
      </c>
      <c r="B81" t="s">
        <v>39029</v>
      </c>
      <c r="C81" t="s">
        <v>39146</v>
      </c>
      <c r="D81" t="s">
        <v>39147</v>
      </c>
      <c r="E81" t="s">
        <v>39148</v>
      </c>
      <c r="F81" t="s">
        <v>39149</v>
      </c>
      <c r="G81" t="s">
        <v>39151</v>
      </c>
    </row>
    <row r="82" spans="1:7">
      <c r="A82" t="s">
        <v>38691</v>
      </c>
      <c r="B82" t="s">
        <v>39029</v>
      </c>
      <c r="C82" t="s">
        <v>39146</v>
      </c>
      <c r="D82" t="s">
        <v>39147</v>
      </c>
      <c r="E82" t="s">
        <v>39148</v>
      </c>
      <c r="F82" t="s">
        <v>39149</v>
      </c>
      <c r="G82" t="s">
        <v>39152</v>
      </c>
    </row>
    <row r="83" spans="1:7">
      <c r="A83" t="s">
        <v>38692</v>
      </c>
      <c r="B83" t="s">
        <v>39029</v>
      </c>
      <c r="C83" t="s">
        <v>39146</v>
      </c>
      <c r="D83" t="s">
        <v>39147</v>
      </c>
      <c r="E83" t="s">
        <v>39153</v>
      </c>
      <c r="F83" t="s">
        <v>39154</v>
      </c>
      <c r="G83" t="s">
        <v>39155</v>
      </c>
    </row>
    <row r="84" spans="1:7">
      <c r="A84" t="s">
        <v>38693</v>
      </c>
      <c r="B84" t="s">
        <v>39029</v>
      </c>
      <c r="C84" t="s">
        <v>39146</v>
      </c>
      <c r="D84" t="s">
        <v>39147</v>
      </c>
      <c r="E84" t="s">
        <v>39153</v>
      </c>
      <c r="F84" t="s">
        <v>39154</v>
      </c>
      <c r="G84" t="s">
        <v>39155</v>
      </c>
    </row>
    <row r="85" spans="1:7">
      <c r="A85" t="s">
        <v>38694</v>
      </c>
      <c r="B85" t="s">
        <v>39029</v>
      </c>
      <c r="C85" t="s">
        <v>39146</v>
      </c>
      <c r="D85" t="s">
        <v>39147</v>
      </c>
      <c r="E85" t="s">
        <v>39156</v>
      </c>
      <c r="F85" t="s">
        <v>39157</v>
      </c>
      <c r="G85" t="s">
        <v>39158</v>
      </c>
    </row>
    <row r="86" spans="1:7">
      <c r="A86" t="s">
        <v>38695</v>
      </c>
      <c r="B86" t="s">
        <v>39029</v>
      </c>
      <c r="C86" t="s">
        <v>39146</v>
      </c>
      <c r="D86" t="s">
        <v>39147</v>
      </c>
      <c r="E86" t="s">
        <v>39156</v>
      </c>
      <c r="F86" t="s">
        <v>39157</v>
      </c>
      <c r="G86" t="s">
        <v>39158</v>
      </c>
    </row>
    <row r="87" spans="1:7">
      <c r="A87" t="s">
        <v>38696</v>
      </c>
      <c r="B87" t="s">
        <v>39029</v>
      </c>
      <c r="C87" t="s">
        <v>39146</v>
      </c>
      <c r="D87" t="s">
        <v>39147</v>
      </c>
      <c r="E87" t="s">
        <v>39156</v>
      </c>
      <c r="F87" t="s">
        <v>39157</v>
      </c>
      <c r="G87" t="s">
        <v>39158</v>
      </c>
    </row>
    <row r="88" spans="1:7">
      <c r="A88" t="s">
        <v>38697</v>
      </c>
      <c r="B88" t="s">
        <v>39029</v>
      </c>
      <c r="C88" t="s">
        <v>39146</v>
      </c>
      <c r="D88" t="s">
        <v>39147</v>
      </c>
      <c r="E88" t="s">
        <v>39156</v>
      </c>
      <c r="F88" t="s">
        <v>39157</v>
      </c>
      <c r="G88" t="s">
        <v>39158</v>
      </c>
    </row>
    <row r="89" spans="1:7">
      <c r="A89" t="s">
        <v>38698</v>
      </c>
      <c r="B89" t="s">
        <v>39029</v>
      </c>
      <c r="C89" t="s">
        <v>39146</v>
      </c>
      <c r="D89" t="s">
        <v>39147</v>
      </c>
      <c r="E89" t="s">
        <v>39156</v>
      </c>
      <c r="F89" t="s">
        <v>39159</v>
      </c>
      <c r="G89" t="s">
        <v>39160</v>
      </c>
    </row>
    <row r="90" spans="1:7">
      <c r="A90" t="s">
        <v>38699</v>
      </c>
      <c r="B90" t="s">
        <v>39029</v>
      </c>
      <c r="C90" t="s">
        <v>39146</v>
      </c>
      <c r="D90" t="s">
        <v>39147</v>
      </c>
      <c r="E90" t="s">
        <v>39156</v>
      </c>
      <c r="F90" t="s">
        <v>39159</v>
      </c>
      <c r="G90" t="s">
        <v>39160</v>
      </c>
    </row>
    <row r="91" spans="1:7">
      <c r="A91" t="s">
        <v>38700</v>
      </c>
      <c r="B91" t="s">
        <v>39029</v>
      </c>
      <c r="C91" t="s">
        <v>39146</v>
      </c>
      <c r="D91" t="s">
        <v>39147</v>
      </c>
      <c r="E91" t="s">
        <v>39156</v>
      </c>
      <c r="F91" t="s">
        <v>39161</v>
      </c>
      <c r="G91" t="s">
        <v>39162</v>
      </c>
    </row>
    <row r="92" spans="1:7">
      <c r="A92" t="s">
        <v>38701</v>
      </c>
      <c r="B92" t="s">
        <v>39029</v>
      </c>
      <c r="C92" t="s">
        <v>39146</v>
      </c>
      <c r="D92" t="s">
        <v>39147</v>
      </c>
      <c r="E92" t="s">
        <v>39156</v>
      </c>
      <c r="F92" t="s">
        <v>39163</v>
      </c>
      <c r="G92" t="s">
        <v>39164</v>
      </c>
    </row>
    <row r="93" spans="1:7">
      <c r="A93" t="s">
        <v>38702</v>
      </c>
      <c r="B93" t="s">
        <v>39029</v>
      </c>
      <c r="C93" t="s">
        <v>39146</v>
      </c>
      <c r="D93" t="s">
        <v>39147</v>
      </c>
      <c r="E93" t="s">
        <v>39156</v>
      </c>
      <c r="F93" t="s">
        <v>39163</v>
      </c>
      <c r="G93" t="s">
        <v>39164</v>
      </c>
    </row>
    <row r="94" spans="1:7">
      <c r="A94" t="s">
        <v>38703</v>
      </c>
      <c r="B94" t="s">
        <v>39029</v>
      </c>
      <c r="C94" t="s">
        <v>39146</v>
      </c>
      <c r="D94" t="s">
        <v>39147</v>
      </c>
      <c r="E94" t="s">
        <v>39156</v>
      </c>
      <c r="F94" t="s">
        <v>39163</v>
      </c>
      <c r="G94" t="s">
        <v>39165</v>
      </c>
    </row>
    <row r="95" spans="1:7">
      <c r="A95" t="s">
        <v>38704</v>
      </c>
      <c r="B95" t="s">
        <v>39029</v>
      </c>
      <c r="C95" t="s">
        <v>39146</v>
      </c>
      <c r="D95" t="s">
        <v>39147</v>
      </c>
      <c r="E95" t="s">
        <v>39166</v>
      </c>
      <c r="F95" t="s">
        <v>39167</v>
      </c>
      <c r="G95" t="s">
        <v>39168</v>
      </c>
    </row>
    <row r="96" spans="1:7">
      <c r="A96" t="s">
        <v>38705</v>
      </c>
      <c r="B96" t="s">
        <v>39029</v>
      </c>
      <c r="C96" t="s">
        <v>39146</v>
      </c>
      <c r="D96" t="s">
        <v>39147</v>
      </c>
      <c r="E96" t="s">
        <v>39166</v>
      </c>
      <c r="F96" t="s">
        <v>39167</v>
      </c>
      <c r="G96" t="s">
        <v>39169</v>
      </c>
    </row>
    <row r="97" spans="1:7">
      <c r="A97" t="s">
        <v>38706</v>
      </c>
      <c r="B97" t="s">
        <v>39029</v>
      </c>
      <c r="C97" t="s">
        <v>39146</v>
      </c>
      <c r="D97" t="s">
        <v>39170</v>
      </c>
      <c r="E97" t="s">
        <v>39171</v>
      </c>
      <c r="F97" t="s">
        <v>39172</v>
      </c>
      <c r="G97" t="s">
        <v>39173</v>
      </c>
    </row>
    <row r="98" spans="1:7">
      <c r="A98" t="s">
        <v>38707</v>
      </c>
      <c r="B98" t="s">
        <v>39029</v>
      </c>
      <c r="C98" t="s">
        <v>39174</v>
      </c>
      <c r="D98" t="s">
        <v>39175</v>
      </c>
      <c r="E98" t="s">
        <v>39176</v>
      </c>
      <c r="F98" t="s">
        <v>39177</v>
      </c>
      <c r="G98" t="s">
        <v>39178</v>
      </c>
    </row>
    <row r="99" spans="1:7">
      <c r="A99" t="s">
        <v>38708</v>
      </c>
      <c r="B99" t="s">
        <v>39029</v>
      </c>
      <c r="C99" t="s">
        <v>39179</v>
      </c>
      <c r="D99" t="s">
        <v>39180</v>
      </c>
      <c r="E99" t="s">
        <v>39181</v>
      </c>
      <c r="F99" t="s">
        <v>39182</v>
      </c>
      <c r="G99" t="s">
        <v>39183</v>
      </c>
    </row>
    <row r="100" spans="1:7">
      <c r="A100" t="s">
        <v>38709</v>
      </c>
      <c r="B100" t="s">
        <v>39184</v>
      </c>
      <c r="C100" t="s">
        <v>39185</v>
      </c>
      <c r="D100" t="s">
        <v>39186</v>
      </c>
      <c r="E100" t="s">
        <v>39187</v>
      </c>
      <c r="F100" t="s">
        <v>39188</v>
      </c>
      <c r="G100" t="s">
        <v>39189</v>
      </c>
    </row>
    <row r="101" spans="1:7">
      <c r="A101" t="s">
        <v>38710</v>
      </c>
      <c r="B101" t="s">
        <v>39184</v>
      </c>
      <c r="C101" t="s">
        <v>39185</v>
      </c>
      <c r="D101" t="s">
        <v>39186</v>
      </c>
      <c r="E101" t="s">
        <v>39187</v>
      </c>
      <c r="F101" t="s">
        <v>39188</v>
      </c>
      <c r="G101" t="s">
        <v>39189</v>
      </c>
    </row>
    <row r="102" spans="1:7">
      <c r="A102" t="s">
        <v>38711</v>
      </c>
      <c r="B102" t="s">
        <v>39184</v>
      </c>
      <c r="C102" t="s">
        <v>39190</v>
      </c>
      <c r="D102" t="s">
        <v>39191</v>
      </c>
      <c r="E102" t="s">
        <v>39192</v>
      </c>
      <c r="F102" t="s">
        <v>39193</v>
      </c>
      <c r="G102" t="s">
        <v>39194</v>
      </c>
    </row>
    <row r="103" spans="1:7">
      <c r="A103" t="s">
        <v>38712</v>
      </c>
      <c r="B103" t="s">
        <v>39184</v>
      </c>
      <c r="C103" t="s">
        <v>39190</v>
      </c>
      <c r="D103" t="s">
        <v>39191</v>
      </c>
      <c r="E103" t="s">
        <v>39195</v>
      </c>
      <c r="F103" t="s">
        <v>39196</v>
      </c>
      <c r="G103" t="s">
        <v>39197</v>
      </c>
    </row>
    <row r="104" spans="1:7">
      <c r="A104" t="s">
        <v>38713</v>
      </c>
      <c r="B104" t="s">
        <v>39184</v>
      </c>
      <c r="C104" t="s">
        <v>39190</v>
      </c>
      <c r="D104" t="s">
        <v>39191</v>
      </c>
      <c r="E104" t="s">
        <v>39195</v>
      </c>
      <c r="F104" t="s">
        <v>39196</v>
      </c>
      <c r="G104" t="s">
        <v>39197</v>
      </c>
    </row>
    <row r="105" spans="1:7">
      <c r="A105" t="s">
        <v>38714</v>
      </c>
      <c r="B105" t="s">
        <v>39184</v>
      </c>
      <c r="C105" t="s">
        <v>39190</v>
      </c>
      <c r="D105" t="s">
        <v>39191</v>
      </c>
      <c r="E105" t="s">
        <v>39195</v>
      </c>
      <c r="F105" t="s">
        <v>39196</v>
      </c>
      <c r="G105" t="s">
        <v>39197</v>
      </c>
    </row>
    <row r="106" spans="1:7">
      <c r="A106" t="s">
        <v>38715</v>
      </c>
      <c r="B106" t="s">
        <v>39184</v>
      </c>
      <c r="C106" t="s">
        <v>39190</v>
      </c>
      <c r="D106" t="s">
        <v>39191</v>
      </c>
      <c r="E106" t="s">
        <v>39195</v>
      </c>
      <c r="F106" t="s">
        <v>39196</v>
      </c>
      <c r="G106" t="s">
        <v>39197</v>
      </c>
    </row>
    <row r="107" spans="1:7">
      <c r="A107" t="s">
        <v>38716</v>
      </c>
      <c r="B107" t="s">
        <v>39184</v>
      </c>
      <c r="C107" t="s">
        <v>39190</v>
      </c>
      <c r="D107" t="s">
        <v>39191</v>
      </c>
      <c r="E107" t="s">
        <v>39195</v>
      </c>
      <c r="F107" t="s">
        <v>39196</v>
      </c>
      <c r="G107" t="s">
        <v>39197</v>
      </c>
    </row>
    <row r="108" spans="1:7">
      <c r="A108" t="s">
        <v>38717</v>
      </c>
      <c r="B108" t="s">
        <v>39184</v>
      </c>
      <c r="C108" t="s">
        <v>39190</v>
      </c>
      <c r="D108" t="s">
        <v>39191</v>
      </c>
      <c r="E108" t="s">
        <v>39195</v>
      </c>
      <c r="F108" t="s">
        <v>39196</v>
      </c>
      <c r="G108" t="s">
        <v>39197</v>
      </c>
    </row>
    <row r="109" spans="1:7">
      <c r="A109" t="s">
        <v>38718</v>
      </c>
      <c r="B109" t="s">
        <v>39184</v>
      </c>
      <c r="C109" t="s">
        <v>39190</v>
      </c>
      <c r="D109" t="s">
        <v>39191</v>
      </c>
      <c r="E109" t="s">
        <v>39195</v>
      </c>
      <c r="F109" t="s">
        <v>39196</v>
      </c>
      <c r="G109" t="s">
        <v>39197</v>
      </c>
    </row>
    <row r="110" spans="1:7">
      <c r="A110" t="s">
        <v>38719</v>
      </c>
      <c r="B110" t="s">
        <v>39184</v>
      </c>
      <c r="C110" t="s">
        <v>39190</v>
      </c>
      <c r="D110" t="s">
        <v>39191</v>
      </c>
      <c r="E110" t="s">
        <v>39195</v>
      </c>
      <c r="F110" t="s">
        <v>39196</v>
      </c>
      <c r="G110" t="s">
        <v>39197</v>
      </c>
    </row>
    <row r="111" spans="1:7">
      <c r="A111" t="s">
        <v>38720</v>
      </c>
      <c r="B111" t="s">
        <v>39184</v>
      </c>
      <c r="C111" t="s">
        <v>39190</v>
      </c>
      <c r="D111" t="s">
        <v>39191</v>
      </c>
      <c r="E111" t="s">
        <v>39195</v>
      </c>
      <c r="F111" t="s">
        <v>39196</v>
      </c>
      <c r="G111" t="s">
        <v>39197</v>
      </c>
    </row>
    <row r="112" spans="1:7">
      <c r="A112" t="s">
        <v>38721</v>
      </c>
      <c r="B112" t="s">
        <v>39184</v>
      </c>
      <c r="C112" t="s">
        <v>39190</v>
      </c>
      <c r="D112" t="s">
        <v>39198</v>
      </c>
      <c r="E112" t="s">
        <v>39199</v>
      </c>
      <c r="F112" t="s">
        <v>39200</v>
      </c>
      <c r="G112" t="s">
        <v>39201</v>
      </c>
    </row>
    <row r="113" spans="1:7">
      <c r="A113" t="s">
        <v>38722</v>
      </c>
      <c r="B113" t="s">
        <v>39184</v>
      </c>
      <c r="C113" t="s">
        <v>39190</v>
      </c>
      <c r="D113" t="s">
        <v>39198</v>
      </c>
      <c r="E113" t="s">
        <v>39199</v>
      </c>
      <c r="F113" t="s">
        <v>39200</v>
      </c>
      <c r="G113" t="s">
        <v>39201</v>
      </c>
    </row>
    <row r="114" spans="1:7">
      <c r="A114" t="s">
        <v>38723</v>
      </c>
      <c r="B114" t="s">
        <v>39184</v>
      </c>
      <c r="C114" t="s">
        <v>39190</v>
      </c>
      <c r="D114" t="s">
        <v>39198</v>
      </c>
      <c r="E114" t="s">
        <v>39199</v>
      </c>
      <c r="F114" t="s">
        <v>39202</v>
      </c>
      <c r="G114" t="s">
        <v>39203</v>
      </c>
    </row>
    <row r="115" spans="1:7">
      <c r="A115" t="s">
        <v>38724</v>
      </c>
      <c r="B115" t="s">
        <v>39184</v>
      </c>
      <c r="C115" t="s">
        <v>39190</v>
      </c>
      <c r="D115" t="s">
        <v>39204</v>
      </c>
      <c r="E115" t="s">
        <v>39205</v>
      </c>
      <c r="F115" t="s">
        <v>39206</v>
      </c>
      <c r="G115" t="s">
        <v>39207</v>
      </c>
    </row>
    <row r="116" spans="1:7">
      <c r="A116" t="s">
        <v>38725</v>
      </c>
      <c r="B116" t="s">
        <v>39184</v>
      </c>
      <c r="C116" t="s">
        <v>39190</v>
      </c>
      <c r="D116" t="s">
        <v>39208</v>
      </c>
      <c r="E116" t="s">
        <v>39209</v>
      </c>
      <c r="F116" t="s">
        <v>39210</v>
      </c>
      <c r="G116" t="s">
        <v>39211</v>
      </c>
    </row>
    <row r="117" spans="1:7">
      <c r="A117" t="s">
        <v>38726</v>
      </c>
      <c r="B117" t="s">
        <v>39184</v>
      </c>
      <c r="C117" t="s">
        <v>39190</v>
      </c>
      <c r="D117" t="s">
        <v>39208</v>
      </c>
      <c r="E117" t="s">
        <v>39209</v>
      </c>
      <c r="F117" t="s">
        <v>39210</v>
      </c>
      <c r="G117" t="s">
        <v>39211</v>
      </c>
    </row>
    <row r="118" spans="1:7">
      <c r="A118" t="s">
        <v>38727</v>
      </c>
      <c r="B118" t="s">
        <v>39184</v>
      </c>
      <c r="C118" t="s">
        <v>39190</v>
      </c>
      <c r="D118" t="s">
        <v>39208</v>
      </c>
      <c r="E118" t="s">
        <v>39209</v>
      </c>
      <c r="F118" t="s">
        <v>39210</v>
      </c>
      <c r="G118" t="s">
        <v>39211</v>
      </c>
    </row>
    <row r="119" spans="1:7">
      <c r="A119" t="s">
        <v>38728</v>
      </c>
      <c r="B119" t="s">
        <v>39184</v>
      </c>
      <c r="C119" t="s">
        <v>39190</v>
      </c>
      <c r="D119" t="s">
        <v>39208</v>
      </c>
      <c r="E119" t="s">
        <v>39209</v>
      </c>
      <c r="F119" t="s">
        <v>39212</v>
      </c>
      <c r="G119" t="s">
        <v>39213</v>
      </c>
    </row>
    <row r="120" spans="1:7">
      <c r="A120" t="s">
        <v>38729</v>
      </c>
      <c r="B120" t="s">
        <v>39184</v>
      </c>
      <c r="C120" t="s">
        <v>39214</v>
      </c>
      <c r="D120" t="s">
        <v>39215</v>
      </c>
      <c r="E120" t="s">
        <v>39216</v>
      </c>
      <c r="F120" t="s">
        <v>39217</v>
      </c>
      <c r="G120" t="s">
        <v>39218</v>
      </c>
    </row>
    <row r="121" spans="1:7">
      <c r="A121" t="s">
        <v>38730</v>
      </c>
      <c r="B121" t="s">
        <v>39219</v>
      </c>
      <c r="C121" t="s">
        <v>39220</v>
      </c>
      <c r="D121" t="s">
        <v>39221</v>
      </c>
      <c r="E121" t="s">
        <v>39222</v>
      </c>
      <c r="F121" t="s">
        <v>39223</v>
      </c>
      <c r="G121" t="s">
        <v>39224</v>
      </c>
    </row>
    <row r="122" spans="1:7">
      <c r="A122" t="s">
        <v>38731</v>
      </c>
      <c r="B122" t="s">
        <v>39219</v>
      </c>
      <c r="C122" t="s">
        <v>39220</v>
      </c>
      <c r="D122" t="s">
        <v>39221</v>
      </c>
      <c r="E122" t="s">
        <v>39222</v>
      </c>
      <c r="F122" t="s">
        <v>39223</v>
      </c>
      <c r="G122" t="s">
        <v>39225</v>
      </c>
    </row>
    <row r="123" spans="1:7">
      <c r="A123" t="s">
        <v>38732</v>
      </c>
      <c r="B123" t="s">
        <v>39219</v>
      </c>
      <c r="C123" t="s">
        <v>39226</v>
      </c>
      <c r="D123" t="s">
        <v>39227</v>
      </c>
      <c r="E123" t="s">
        <v>39228</v>
      </c>
      <c r="F123" t="s">
        <v>39229</v>
      </c>
      <c r="G123" t="s">
        <v>39230</v>
      </c>
    </row>
    <row r="124" spans="1:7">
      <c r="A124" t="s">
        <v>38733</v>
      </c>
      <c r="B124" t="s">
        <v>39219</v>
      </c>
      <c r="C124" t="s">
        <v>39226</v>
      </c>
      <c r="D124" t="s">
        <v>39227</v>
      </c>
      <c r="E124" t="s">
        <v>39228</v>
      </c>
      <c r="F124" t="s">
        <v>39229</v>
      </c>
      <c r="G124" t="s">
        <v>39231</v>
      </c>
    </row>
    <row r="125" spans="1:7">
      <c r="A125" t="s">
        <v>38734</v>
      </c>
      <c r="B125" t="s">
        <v>39219</v>
      </c>
      <c r="C125" t="s">
        <v>39226</v>
      </c>
      <c r="D125" t="s">
        <v>39227</v>
      </c>
      <c r="E125" t="s">
        <v>39228</v>
      </c>
      <c r="F125" t="s">
        <v>39229</v>
      </c>
      <c r="G125" t="s">
        <v>39232</v>
      </c>
    </row>
    <row r="126" spans="1:7">
      <c r="A126" t="s">
        <v>38735</v>
      </c>
      <c r="B126" t="s">
        <v>39219</v>
      </c>
      <c r="C126" t="s">
        <v>39226</v>
      </c>
      <c r="D126" t="s">
        <v>39227</v>
      </c>
      <c r="E126" t="s">
        <v>39228</v>
      </c>
      <c r="F126" t="s">
        <v>39233</v>
      </c>
      <c r="G126" t="s">
        <v>39234</v>
      </c>
    </row>
    <row r="127" spans="1:7">
      <c r="A127" t="s">
        <v>38736</v>
      </c>
      <c r="B127" t="s">
        <v>39235</v>
      </c>
      <c r="C127" t="s">
        <v>39236</v>
      </c>
      <c r="D127" t="s">
        <v>39237</v>
      </c>
      <c r="E127" t="s">
        <v>39238</v>
      </c>
      <c r="F127" t="s">
        <v>39239</v>
      </c>
      <c r="G127" t="s">
        <v>39240</v>
      </c>
    </row>
    <row r="128" spans="1:7">
      <c r="A128" t="s">
        <v>38737</v>
      </c>
      <c r="B128" t="s">
        <v>39235</v>
      </c>
      <c r="C128" t="s">
        <v>39236</v>
      </c>
      <c r="D128" t="s">
        <v>39237</v>
      </c>
      <c r="E128" t="s">
        <v>39238</v>
      </c>
      <c r="F128" t="s">
        <v>39239</v>
      </c>
      <c r="G128" t="s">
        <v>39240</v>
      </c>
    </row>
    <row r="129" spans="1:7">
      <c r="A129" t="s">
        <v>38738</v>
      </c>
      <c r="B129" t="s">
        <v>39235</v>
      </c>
      <c r="C129" t="s">
        <v>39236</v>
      </c>
      <c r="D129" t="s">
        <v>39237</v>
      </c>
      <c r="E129" t="s">
        <v>39238</v>
      </c>
      <c r="F129" t="s">
        <v>39239</v>
      </c>
      <c r="G129" t="s">
        <v>39240</v>
      </c>
    </row>
    <row r="130" spans="1:7">
      <c r="A130" t="s">
        <v>38739</v>
      </c>
      <c r="B130" t="s">
        <v>39235</v>
      </c>
      <c r="C130" t="s">
        <v>39236</v>
      </c>
      <c r="D130" t="s">
        <v>39237</v>
      </c>
      <c r="E130" t="s">
        <v>39238</v>
      </c>
      <c r="F130" t="s">
        <v>39239</v>
      </c>
      <c r="G130" t="s">
        <v>39240</v>
      </c>
    </row>
    <row r="131" spans="1:7">
      <c r="A131" t="s">
        <v>38740</v>
      </c>
      <c r="B131" t="s">
        <v>39235</v>
      </c>
      <c r="C131" t="s">
        <v>39236</v>
      </c>
      <c r="D131" t="s">
        <v>39237</v>
      </c>
      <c r="E131" t="s">
        <v>39238</v>
      </c>
      <c r="F131" t="s">
        <v>39239</v>
      </c>
      <c r="G131" t="s">
        <v>39241</v>
      </c>
    </row>
    <row r="132" spans="1:7">
      <c r="A132" t="s">
        <v>38741</v>
      </c>
      <c r="B132" t="s">
        <v>39235</v>
      </c>
      <c r="C132" t="s">
        <v>39236</v>
      </c>
      <c r="D132" t="s">
        <v>39237</v>
      </c>
      <c r="E132" t="s">
        <v>39238</v>
      </c>
      <c r="F132" t="s">
        <v>39239</v>
      </c>
      <c r="G132" t="s">
        <v>39242</v>
      </c>
    </row>
    <row r="133" spans="1:7">
      <c r="A133" t="s">
        <v>38742</v>
      </c>
      <c r="B133" t="s">
        <v>39235</v>
      </c>
      <c r="C133" t="s">
        <v>39236</v>
      </c>
      <c r="D133" t="s">
        <v>39237</v>
      </c>
      <c r="E133" t="s">
        <v>39238</v>
      </c>
      <c r="F133" t="s">
        <v>39239</v>
      </c>
      <c r="G133" t="s">
        <v>39242</v>
      </c>
    </row>
    <row r="134" spans="1:7">
      <c r="A134" t="s">
        <v>38743</v>
      </c>
      <c r="B134" t="s">
        <v>39235</v>
      </c>
      <c r="C134" t="s">
        <v>39236</v>
      </c>
      <c r="D134" t="s">
        <v>39237</v>
      </c>
      <c r="E134" t="s">
        <v>39238</v>
      </c>
      <c r="F134" t="s">
        <v>39239</v>
      </c>
      <c r="G134" t="s">
        <v>39242</v>
      </c>
    </row>
    <row r="135" spans="1:7">
      <c r="A135" t="s">
        <v>38744</v>
      </c>
      <c r="B135" t="s">
        <v>39235</v>
      </c>
      <c r="C135" t="s">
        <v>39236</v>
      </c>
      <c r="D135" t="s">
        <v>39237</v>
      </c>
      <c r="E135" t="s">
        <v>39238</v>
      </c>
      <c r="F135" t="s">
        <v>39239</v>
      </c>
      <c r="G135" t="s">
        <v>39242</v>
      </c>
    </row>
    <row r="136" spans="1:7">
      <c r="A136" t="s">
        <v>38745</v>
      </c>
      <c r="B136" t="s">
        <v>39235</v>
      </c>
      <c r="C136" t="s">
        <v>39236</v>
      </c>
      <c r="D136" t="s">
        <v>39237</v>
      </c>
      <c r="E136" t="s">
        <v>39238</v>
      </c>
      <c r="F136" t="s">
        <v>39239</v>
      </c>
      <c r="G136" t="s">
        <v>39242</v>
      </c>
    </row>
    <row r="137" spans="1:7">
      <c r="A137" t="s">
        <v>38746</v>
      </c>
      <c r="B137" t="s">
        <v>39235</v>
      </c>
      <c r="C137" t="s">
        <v>39236</v>
      </c>
      <c r="D137" t="s">
        <v>39237</v>
      </c>
      <c r="E137" t="s">
        <v>39238</v>
      </c>
      <c r="F137" t="s">
        <v>39239</v>
      </c>
      <c r="G137" t="s">
        <v>39242</v>
      </c>
    </row>
    <row r="138" spans="1:7">
      <c r="A138" t="s">
        <v>38747</v>
      </c>
      <c r="B138" t="s">
        <v>39235</v>
      </c>
      <c r="C138" t="s">
        <v>39236</v>
      </c>
      <c r="D138" t="s">
        <v>39237</v>
      </c>
      <c r="E138" t="s">
        <v>39238</v>
      </c>
      <c r="F138" t="s">
        <v>39239</v>
      </c>
      <c r="G138" t="s">
        <v>39242</v>
      </c>
    </row>
    <row r="139" spans="1:7">
      <c r="A139" t="s">
        <v>38748</v>
      </c>
      <c r="B139" t="s">
        <v>39235</v>
      </c>
      <c r="C139" t="s">
        <v>39236</v>
      </c>
      <c r="D139" t="s">
        <v>39237</v>
      </c>
      <c r="E139" t="s">
        <v>39238</v>
      </c>
      <c r="F139" t="s">
        <v>39239</v>
      </c>
      <c r="G139" t="s">
        <v>39242</v>
      </c>
    </row>
    <row r="140" spans="1:7">
      <c r="A140" t="s">
        <v>38749</v>
      </c>
      <c r="B140" t="s">
        <v>39235</v>
      </c>
      <c r="C140" t="s">
        <v>39236</v>
      </c>
      <c r="D140" t="s">
        <v>39243</v>
      </c>
      <c r="E140" t="s">
        <v>39244</v>
      </c>
      <c r="F140" t="s">
        <v>39245</v>
      </c>
      <c r="G140" t="s">
        <v>39246</v>
      </c>
    </row>
    <row r="141" spans="1:7">
      <c r="A141" t="s">
        <v>38750</v>
      </c>
      <c r="B141" t="s">
        <v>39235</v>
      </c>
      <c r="C141" t="s">
        <v>39236</v>
      </c>
      <c r="D141" t="s">
        <v>39243</v>
      </c>
      <c r="E141" t="s">
        <v>39244</v>
      </c>
      <c r="F141" t="s">
        <v>39245</v>
      </c>
      <c r="G141" t="s">
        <v>39247</v>
      </c>
    </row>
    <row r="142" spans="1:7">
      <c r="A142" t="s">
        <v>38751</v>
      </c>
      <c r="B142" t="s">
        <v>39235</v>
      </c>
      <c r="C142" t="s">
        <v>39236</v>
      </c>
      <c r="D142" t="s">
        <v>39243</v>
      </c>
      <c r="E142" t="s">
        <v>39244</v>
      </c>
      <c r="F142" t="s">
        <v>39245</v>
      </c>
      <c r="G142" t="s">
        <v>39247</v>
      </c>
    </row>
    <row r="143" spans="1:7">
      <c r="A143" t="s">
        <v>38752</v>
      </c>
      <c r="B143" t="s">
        <v>39235</v>
      </c>
      <c r="C143" t="s">
        <v>39236</v>
      </c>
      <c r="D143" t="s">
        <v>39243</v>
      </c>
      <c r="E143" t="s">
        <v>39244</v>
      </c>
      <c r="F143" t="s">
        <v>39245</v>
      </c>
      <c r="G143" t="s">
        <v>39247</v>
      </c>
    </row>
    <row r="144" spans="1:7">
      <c r="A144" t="s">
        <v>38753</v>
      </c>
      <c r="B144" t="s">
        <v>39235</v>
      </c>
      <c r="C144" t="s">
        <v>39236</v>
      </c>
      <c r="D144" t="s">
        <v>39243</v>
      </c>
      <c r="E144" t="s">
        <v>39244</v>
      </c>
      <c r="F144" t="s">
        <v>39245</v>
      </c>
      <c r="G144" t="s">
        <v>39248</v>
      </c>
    </row>
    <row r="145" spans="1:7">
      <c r="A145" t="s">
        <v>38754</v>
      </c>
      <c r="B145" t="s">
        <v>39235</v>
      </c>
      <c r="C145" t="s">
        <v>39236</v>
      </c>
      <c r="D145" t="s">
        <v>39243</v>
      </c>
      <c r="E145" t="s">
        <v>39249</v>
      </c>
      <c r="F145" t="s">
        <v>39250</v>
      </c>
      <c r="G145" t="s">
        <v>39251</v>
      </c>
    </row>
    <row r="146" spans="1:7">
      <c r="A146" t="s">
        <v>38755</v>
      </c>
      <c r="B146" t="s">
        <v>39235</v>
      </c>
      <c r="C146" t="s">
        <v>39236</v>
      </c>
      <c r="D146" t="s">
        <v>39243</v>
      </c>
      <c r="E146" t="s">
        <v>39249</v>
      </c>
      <c r="F146" t="s">
        <v>39250</v>
      </c>
      <c r="G146" t="s">
        <v>39252</v>
      </c>
    </row>
    <row r="147" spans="1:7">
      <c r="A147" t="s">
        <v>38756</v>
      </c>
      <c r="B147" t="s">
        <v>39235</v>
      </c>
      <c r="C147" t="s">
        <v>39236</v>
      </c>
      <c r="D147" t="s">
        <v>39243</v>
      </c>
      <c r="E147" t="s">
        <v>39249</v>
      </c>
      <c r="F147" t="s">
        <v>39250</v>
      </c>
      <c r="G147" t="s">
        <v>39252</v>
      </c>
    </row>
    <row r="148" spans="1:7">
      <c r="A148" t="s">
        <v>38757</v>
      </c>
      <c r="B148" t="s">
        <v>39235</v>
      </c>
      <c r="C148" t="s">
        <v>39236</v>
      </c>
      <c r="D148" t="s">
        <v>39253</v>
      </c>
      <c r="E148" t="s">
        <v>39254</v>
      </c>
      <c r="F148" t="s">
        <v>39255</v>
      </c>
      <c r="G148" t="s">
        <v>39256</v>
      </c>
    </row>
    <row r="149" spans="1:7">
      <c r="A149" t="s">
        <v>38758</v>
      </c>
      <c r="B149" t="s">
        <v>39235</v>
      </c>
      <c r="C149" t="s">
        <v>39236</v>
      </c>
      <c r="D149" t="s">
        <v>39253</v>
      </c>
      <c r="E149" t="s">
        <v>39254</v>
      </c>
      <c r="F149" t="s">
        <v>39257</v>
      </c>
      <c r="G149" t="s">
        <v>39258</v>
      </c>
    </row>
    <row r="150" spans="1:7">
      <c r="A150" t="s">
        <v>38759</v>
      </c>
      <c r="B150" t="s">
        <v>39235</v>
      </c>
      <c r="C150" t="s">
        <v>39236</v>
      </c>
      <c r="D150" t="s">
        <v>39253</v>
      </c>
      <c r="E150" t="s">
        <v>39254</v>
      </c>
      <c r="F150" t="s">
        <v>39257</v>
      </c>
      <c r="G150" t="s">
        <v>39259</v>
      </c>
    </row>
    <row r="151" spans="1:7">
      <c r="A151" t="s">
        <v>38760</v>
      </c>
      <c r="B151" t="s">
        <v>39235</v>
      </c>
      <c r="C151" t="s">
        <v>39236</v>
      </c>
      <c r="D151" t="s">
        <v>39253</v>
      </c>
      <c r="E151" t="s">
        <v>39254</v>
      </c>
      <c r="F151" t="s">
        <v>39257</v>
      </c>
      <c r="G151" t="s">
        <v>39259</v>
      </c>
    </row>
    <row r="152" spans="1:7">
      <c r="A152" t="s">
        <v>38761</v>
      </c>
      <c r="B152" t="s">
        <v>39235</v>
      </c>
      <c r="C152" t="s">
        <v>39236</v>
      </c>
      <c r="D152" t="s">
        <v>39253</v>
      </c>
      <c r="E152" t="s">
        <v>39254</v>
      </c>
      <c r="F152" t="s">
        <v>39257</v>
      </c>
      <c r="G152" t="s">
        <v>39259</v>
      </c>
    </row>
    <row r="153" spans="1:7">
      <c r="A153" t="s">
        <v>38762</v>
      </c>
      <c r="B153" t="s">
        <v>39235</v>
      </c>
      <c r="C153" t="s">
        <v>39236</v>
      </c>
      <c r="D153" t="s">
        <v>39260</v>
      </c>
      <c r="E153" t="s">
        <v>39261</v>
      </c>
      <c r="F153" t="s">
        <v>39262</v>
      </c>
      <c r="G153" t="s">
        <v>39263</v>
      </c>
    </row>
    <row r="154" spans="1:7">
      <c r="A154" t="s">
        <v>38763</v>
      </c>
      <c r="B154" t="s">
        <v>39235</v>
      </c>
      <c r="C154" t="s">
        <v>39236</v>
      </c>
      <c r="D154" t="s">
        <v>39260</v>
      </c>
      <c r="E154" t="s">
        <v>39261</v>
      </c>
      <c r="F154" t="s">
        <v>39262</v>
      </c>
      <c r="G154" t="s">
        <v>39263</v>
      </c>
    </row>
    <row r="155" spans="1:7">
      <c r="A155" t="s">
        <v>38764</v>
      </c>
      <c r="B155" t="s">
        <v>39235</v>
      </c>
      <c r="C155" t="s">
        <v>39236</v>
      </c>
      <c r="D155" t="s">
        <v>39264</v>
      </c>
      <c r="E155" t="s">
        <v>39265</v>
      </c>
      <c r="F155" t="s">
        <v>39266</v>
      </c>
      <c r="G155" t="s">
        <v>39267</v>
      </c>
    </row>
    <row r="156" spans="1:7">
      <c r="A156" t="s">
        <v>38765</v>
      </c>
      <c r="B156" t="s">
        <v>39235</v>
      </c>
      <c r="C156" t="s">
        <v>39236</v>
      </c>
      <c r="D156" t="s">
        <v>39264</v>
      </c>
      <c r="E156" t="s">
        <v>39265</v>
      </c>
      <c r="F156" t="s">
        <v>39266</v>
      </c>
      <c r="G156" t="s">
        <v>39268</v>
      </c>
    </row>
    <row r="157" spans="1:7">
      <c r="A157" t="s">
        <v>38766</v>
      </c>
      <c r="B157" t="s">
        <v>39235</v>
      </c>
      <c r="C157" t="s">
        <v>39236</v>
      </c>
      <c r="D157" t="s">
        <v>39264</v>
      </c>
      <c r="E157" t="s">
        <v>39265</v>
      </c>
      <c r="F157" t="s">
        <v>39266</v>
      </c>
      <c r="G157" t="s">
        <v>39268</v>
      </c>
    </row>
    <row r="158" spans="1:7">
      <c r="A158" t="s">
        <v>38767</v>
      </c>
      <c r="B158" t="s">
        <v>39235</v>
      </c>
      <c r="C158" t="s">
        <v>39236</v>
      </c>
      <c r="D158" t="s">
        <v>39264</v>
      </c>
      <c r="E158" t="s">
        <v>39265</v>
      </c>
      <c r="F158" t="s">
        <v>39266</v>
      </c>
      <c r="G158" t="s">
        <v>39269</v>
      </c>
    </row>
    <row r="159" spans="1:7">
      <c r="A159" t="s">
        <v>38768</v>
      </c>
      <c r="B159" t="s">
        <v>39235</v>
      </c>
      <c r="C159" t="s">
        <v>39236</v>
      </c>
      <c r="D159" t="s">
        <v>39264</v>
      </c>
      <c r="E159" t="s">
        <v>39265</v>
      </c>
      <c r="F159" t="s">
        <v>39266</v>
      </c>
      <c r="G159" t="s">
        <v>39269</v>
      </c>
    </row>
    <row r="160" spans="1:7">
      <c r="A160" t="s">
        <v>38769</v>
      </c>
      <c r="B160" t="s">
        <v>39235</v>
      </c>
      <c r="C160" t="s">
        <v>39236</v>
      </c>
      <c r="D160" t="s">
        <v>39264</v>
      </c>
      <c r="E160" t="s">
        <v>39265</v>
      </c>
      <c r="F160" t="s">
        <v>39266</v>
      </c>
      <c r="G160" t="s">
        <v>39269</v>
      </c>
    </row>
    <row r="161" spans="1:7">
      <c r="A161" t="s">
        <v>38770</v>
      </c>
      <c r="B161" t="s">
        <v>39235</v>
      </c>
      <c r="C161" t="s">
        <v>39236</v>
      </c>
      <c r="D161" t="s">
        <v>39264</v>
      </c>
      <c r="E161" t="s">
        <v>39265</v>
      </c>
      <c r="F161" t="s">
        <v>39266</v>
      </c>
      <c r="G161" t="s">
        <v>39269</v>
      </c>
    </row>
    <row r="162" spans="1:7">
      <c r="A162" t="s">
        <v>38771</v>
      </c>
      <c r="B162" t="s">
        <v>39235</v>
      </c>
      <c r="C162" t="s">
        <v>39236</v>
      </c>
      <c r="D162" t="s">
        <v>39264</v>
      </c>
      <c r="E162" t="s">
        <v>39265</v>
      </c>
      <c r="F162" t="s">
        <v>39266</v>
      </c>
      <c r="G162" t="s">
        <v>39270</v>
      </c>
    </row>
    <row r="163" spans="1:7">
      <c r="A163" t="s">
        <v>38772</v>
      </c>
      <c r="B163" t="s">
        <v>39235</v>
      </c>
      <c r="C163" t="s">
        <v>39236</v>
      </c>
      <c r="D163" t="s">
        <v>39264</v>
      </c>
      <c r="E163" t="s">
        <v>39265</v>
      </c>
      <c r="F163" t="s">
        <v>39266</v>
      </c>
      <c r="G163" t="s">
        <v>39270</v>
      </c>
    </row>
    <row r="164" spans="1:7">
      <c r="A164" t="s">
        <v>38773</v>
      </c>
      <c r="B164" t="s">
        <v>39235</v>
      </c>
      <c r="C164" t="s">
        <v>39236</v>
      </c>
      <c r="D164" t="s">
        <v>39264</v>
      </c>
      <c r="E164" t="s">
        <v>39265</v>
      </c>
      <c r="F164" t="s">
        <v>39266</v>
      </c>
      <c r="G164" t="s">
        <v>39270</v>
      </c>
    </row>
    <row r="165" spans="1:7">
      <c r="A165" t="s">
        <v>38774</v>
      </c>
      <c r="B165" t="s">
        <v>39235</v>
      </c>
      <c r="C165" t="s">
        <v>39236</v>
      </c>
      <c r="D165" t="s">
        <v>39264</v>
      </c>
      <c r="E165" t="s">
        <v>39265</v>
      </c>
      <c r="F165" t="s">
        <v>39266</v>
      </c>
      <c r="G165" t="s">
        <v>39271</v>
      </c>
    </row>
    <row r="166" spans="1:7">
      <c r="A166" t="s">
        <v>38775</v>
      </c>
      <c r="B166" t="s">
        <v>39235</v>
      </c>
      <c r="C166" t="s">
        <v>39236</v>
      </c>
      <c r="D166" t="s">
        <v>39264</v>
      </c>
      <c r="E166" t="s">
        <v>39272</v>
      </c>
      <c r="F166" t="s">
        <v>39273</v>
      </c>
      <c r="G166" t="s">
        <v>39274</v>
      </c>
    </row>
    <row r="167" spans="1:7">
      <c r="A167" t="s">
        <v>38776</v>
      </c>
      <c r="B167" t="s">
        <v>39235</v>
      </c>
      <c r="C167" t="s">
        <v>39236</v>
      </c>
      <c r="D167" t="s">
        <v>39275</v>
      </c>
      <c r="E167" t="s">
        <v>39276</v>
      </c>
      <c r="F167" t="s">
        <v>39277</v>
      </c>
      <c r="G167" t="s">
        <v>39278</v>
      </c>
    </row>
    <row r="168" spans="1:7">
      <c r="A168" t="s">
        <v>38777</v>
      </c>
      <c r="B168" t="s">
        <v>39235</v>
      </c>
      <c r="C168" t="s">
        <v>39236</v>
      </c>
      <c r="D168" t="s">
        <v>39275</v>
      </c>
      <c r="E168" t="s">
        <v>39279</v>
      </c>
      <c r="F168" t="s">
        <v>39280</v>
      </c>
      <c r="G168" t="s">
        <v>39281</v>
      </c>
    </row>
    <row r="169" spans="1:7">
      <c r="A169" t="s">
        <v>38778</v>
      </c>
      <c r="B169" t="s">
        <v>39235</v>
      </c>
      <c r="C169" t="s">
        <v>39236</v>
      </c>
      <c r="D169" t="s">
        <v>39275</v>
      </c>
      <c r="E169" t="s">
        <v>39282</v>
      </c>
      <c r="F169" t="s">
        <v>39283</v>
      </c>
      <c r="G169" t="s">
        <v>39284</v>
      </c>
    </row>
    <row r="170" spans="1:7">
      <c r="A170" t="s">
        <v>38779</v>
      </c>
      <c r="B170" t="s">
        <v>39235</v>
      </c>
      <c r="C170" t="s">
        <v>39236</v>
      </c>
      <c r="D170" t="s">
        <v>39275</v>
      </c>
      <c r="E170" t="s">
        <v>39282</v>
      </c>
      <c r="F170" t="s">
        <v>39283</v>
      </c>
      <c r="G170" t="s">
        <v>39285</v>
      </c>
    </row>
    <row r="171" spans="1:7">
      <c r="A171" t="s">
        <v>38780</v>
      </c>
      <c r="B171" t="s">
        <v>39235</v>
      </c>
      <c r="C171" t="s">
        <v>39236</v>
      </c>
      <c r="D171" t="s">
        <v>39275</v>
      </c>
      <c r="E171" t="s">
        <v>39282</v>
      </c>
      <c r="F171" t="s">
        <v>39283</v>
      </c>
      <c r="G171" t="s">
        <v>39286</v>
      </c>
    </row>
    <row r="172" spans="1:7">
      <c r="A172" t="s">
        <v>38781</v>
      </c>
      <c r="B172" t="s">
        <v>39235</v>
      </c>
      <c r="C172" t="s">
        <v>39236</v>
      </c>
      <c r="D172" t="s">
        <v>39275</v>
      </c>
      <c r="E172" t="s">
        <v>39282</v>
      </c>
      <c r="F172" t="s">
        <v>39283</v>
      </c>
      <c r="G172" t="s">
        <v>39286</v>
      </c>
    </row>
    <row r="173" spans="1:7">
      <c r="A173" t="s">
        <v>38782</v>
      </c>
      <c r="B173" t="s">
        <v>39235</v>
      </c>
      <c r="C173" t="s">
        <v>39236</v>
      </c>
      <c r="D173" t="s">
        <v>39275</v>
      </c>
      <c r="E173" t="s">
        <v>39282</v>
      </c>
      <c r="F173" t="s">
        <v>39283</v>
      </c>
      <c r="G173" t="s">
        <v>39286</v>
      </c>
    </row>
    <row r="174" spans="1:7">
      <c r="A174" t="s">
        <v>38783</v>
      </c>
      <c r="B174" t="s">
        <v>39235</v>
      </c>
      <c r="C174" t="s">
        <v>39236</v>
      </c>
      <c r="D174" t="s">
        <v>39275</v>
      </c>
      <c r="E174" t="s">
        <v>39282</v>
      </c>
      <c r="F174" t="s">
        <v>39283</v>
      </c>
      <c r="G174" t="s">
        <v>39287</v>
      </c>
    </row>
    <row r="175" spans="1:7">
      <c r="A175" t="s">
        <v>38784</v>
      </c>
      <c r="B175" t="s">
        <v>39235</v>
      </c>
      <c r="C175" t="s">
        <v>39288</v>
      </c>
      <c r="D175" t="s">
        <v>39289</v>
      </c>
      <c r="E175" t="s">
        <v>39290</v>
      </c>
      <c r="F175" t="s">
        <v>39291</v>
      </c>
      <c r="G175" t="s">
        <v>39292</v>
      </c>
    </row>
    <row r="176" spans="1:7">
      <c r="A176" t="s">
        <v>38785</v>
      </c>
      <c r="B176" t="s">
        <v>39235</v>
      </c>
      <c r="C176" t="s">
        <v>39288</v>
      </c>
      <c r="D176" t="s">
        <v>39289</v>
      </c>
      <c r="E176" t="s">
        <v>39290</v>
      </c>
      <c r="F176" t="s">
        <v>39291</v>
      </c>
      <c r="G176" t="s">
        <v>39293</v>
      </c>
    </row>
    <row r="177" spans="1:7">
      <c r="A177" t="s">
        <v>38786</v>
      </c>
      <c r="B177" t="s">
        <v>39235</v>
      </c>
      <c r="C177" t="s">
        <v>39288</v>
      </c>
      <c r="D177" t="s">
        <v>39289</v>
      </c>
      <c r="E177" t="s">
        <v>39290</v>
      </c>
      <c r="F177" t="s">
        <v>39291</v>
      </c>
      <c r="G177" t="s">
        <v>39294</v>
      </c>
    </row>
    <row r="178" spans="1:7">
      <c r="A178" t="s">
        <v>38787</v>
      </c>
      <c r="B178" t="s">
        <v>39235</v>
      </c>
      <c r="C178" t="s">
        <v>39288</v>
      </c>
      <c r="D178" t="s">
        <v>39289</v>
      </c>
      <c r="E178" t="s">
        <v>39290</v>
      </c>
      <c r="F178" t="s">
        <v>39291</v>
      </c>
      <c r="G178" t="s">
        <v>39295</v>
      </c>
    </row>
    <row r="179" spans="1:7">
      <c r="A179" t="s">
        <v>38788</v>
      </c>
      <c r="B179" t="s">
        <v>39235</v>
      </c>
      <c r="C179" t="s">
        <v>39288</v>
      </c>
      <c r="D179" t="s">
        <v>39289</v>
      </c>
      <c r="E179" t="s">
        <v>39290</v>
      </c>
      <c r="F179" t="s">
        <v>39291</v>
      </c>
      <c r="G179" t="s">
        <v>39295</v>
      </c>
    </row>
    <row r="180" spans="1:7">
      <c r="A180" t="s">
        <v>38789</v>
      </c>
      <c r="B180" t="s">
        <v>39235</v>
      </c>
      <c r="C180" t="s">
        <v>39288</v>
      </c>
      <c r="D180" t="s">
        <v>39289</v>
      </c>
      <c r="E180" t="s">
        <v>39290</v>
      </c>
      <c r="F180" t="s">
        <v>39291</v>
      </c>
      <c r="G180" t="s">
        <v>39296</v>
      </c>
    </row>
    <row r="181" spans="1:7">
      <c r="A181" t="s">
        <v>38790</v>
      </c>
      <c r="B181" t="s">
        <v>39235</v>
      </c>
      <c r="C181" t="s">
        <v>39288</v>
      </c>
      <c r="D181" t="s">
        <v>39289</v>
      </c>
      <c r="E181" t="s">
        <v>39290</v>
      </c>
      <c r="F181" t="s">
        <v>39291</v>
      </c>
      <c r="G181" t="s">
        <v>39297</v>
      </c>
    </row>
    <row r="182" spans="1:7">
      <c r="A182" t="s">
        <v>38791</v>
      </c>
      <c r="B182" t="s">
        <v>39235</v>
      </c>
      <c r="C182" t="s">
        <v>39288</v>
      </c>
      <c r="D182" t="s">
        <v>39289</v>
      </c>
      <c r="E182" t="s">
        <v>39290</v>
      </c>
      <c r="F182" t="s">
        <v>39291</v>
      </c>
      <c r="G182" t="s">
        <v>39297</v>
      </c>
    </row>
    <row r="183" spans="1:7">
      <c r="A183" t="s">
        <v>38792</v>
      </c>
      <c r="B183" t="s">
        <v>39235</v>
      </c>
      <c r="C183" t="s">
        <v>39288</v>
      </c>
      <c r="D183" t="s">
        <v>39289</v>
      </c>
      <c r="E183" t="s">
        <v>39290</v>
      </c>
      <c r="F183" t="s">
        <v>39291</v>
      </c>
      <c r="G183" t="s">
        <v>39297</v>
      </c>
    </row>
    <row r="184" spans="1:7">
      <c r="A184" t="s">
        <v>38793</v>
      </c>
      <c r="B184" t="s">
        <v>39235</v>
      </c>
      <c r="C184" t="s">
        <v>39288</v>
      </c>
      <c r="D184" t="s">
        <v>39289</v>
      </c>
      <c r="E184" t="s">
        <v>39290</v>
      </c>
      <c r="F184" t="s">
        <v>39291</v>
      </c>
      <c r="G184" t="s">
        <v>39298</v>
      </c>
    </row>
    <row r="185" spans="1:7">
      <c r="A185" t="s">
        <v>38794</v>
      </c>
      <c r="B185" t="s">
        <v>39235</v>
      </c>
      <c r="C185" t="s">
        <v>39288</v>
      </c>
      <c r="D185" t="s">
        <v>39289</v>
      </c>
      <c r="E185" t="s">
        <v>39290</v>
      </c>
      <c r="F185" t="s">
        <v>39291</v>
      </c>
      <c r="G185" t="s">
        <v>39298</v>
      </c>
    </row>
    <row r="186" spans="1:7">
      <c r="A186" t="s">
        <v>38795</v>
      </c>
      <c r="B186" t="s">
        <v>39235</v>
      </c>
      <c r="C186" t="s">
        <v>39288</v>
      </c>
      <c r="D186" t="s">
        <v>39289</v>
      </c>
      <c r="E186" t="s">
        <v>39290</v>
      </c>
      <c r="F186" t="s">
        <v>39291</v>
      </c>
      <c r="G186" t="s">
        <v>39298</v>
      </c>
    </row>
    <row r="187" spans="1:7">
      <c r="A187" t="s">
        <v>38796</v>
      </c>
      <c r="B187" t="s">
        <v>39235</v>
      </c>
      <c r="C187" t="s">
        <v>39288</v>
      </c>
      <c r="D187" t="s">
        <v>39289</v>
      </c>
      <c r="E187" t="s">
        <v>39290</v>
      </c>
      <c r="F187" t="s">
        <v>39291</v>
      </c>
      <c r="G187" t="s">
        <v>39298</v>
      </c>
    </row>
    <row r="188" spans="1:7">
      <c r="A188" t="s">
        <v>38797</v>
      </c>
      <c r="B188" t="s">
        <v>39235</v>
      </c>
      <c r="C188" t="s">
        <v>39288</v>
      </c>
      <c r="D188" t="s">
        <v>39289</v>
      </c>
      <c r="E188" t="s">
        <v>39290</v>
      </c>
      <c r="F188" t="s">
        <v>39291</v>
      </c>
      <c r="G188" t="s">
        <v>39298</v>
      </c>
    </row>
    <row r="189" spans="1:7">
      <c r="A189" t="s">
        <v>38798</v>
      </c>
      <c r="B189" t="s">
        <v>39235</v>
      </c>
      <c r="C189" t="s">
        <v>39288</v>
      </c>
      <c r="D189" t="s">
        <v>39289</v>
      </c>
      <c r="E189" t="s">
        <v>39290</v>
      </c>
      <c r="F189" t="s">
        <v>39291</v>
      </c>
      <c r="G189" t="s">
        <v>39299</v>
      </c>
    </row>
    <row r="190" spans="1:7">
      <c r="A190" t="s">
        <v>38799</v>
      </c>
      <c r="B190" t="s">
        <v>39235</v>
      </c>
      <c r="C190" t="s">
        <v>39288</v>
      </c>
      <c r="D190" t="s">
        <v>39289</v>
      </c>
      <c r="E190" t="s">
        <v>39290</v>
      </c>
      <c r="F190" t="s">
        <v>39291</v>
      </c>
      <c r="G190" t="s">
        <v>39300</v>
      </c>
    </row>
    <row r="191" spans="1:7">
      <c r="A191" t="s">
        <v>38800</v>
      </c>
      <c r="B191" t="s">
        <v>39235</v>
      </c>
      <c r="C191" t="s">
        <v>39288</v>
      </c>
      <c r="D191" t="s">
        <v>39289</v>
      </c>
      <c r="E191" t="s">
        <v>39290</v>
      </c>
      <c r="F191" t="s">
        <v>39291</v>
      </c>
      <c r="G191" t="s">
        <v>39301</v>
      </c>
    </row>
    <row r="192" spans="1:7">
      <c r="A192" t="s">
        <v>38801</v>
      </c>
      <c r="B192" t="s">
        <v>39235</v>
      </c>
      <c r="C192" t="s">
        <v>39288</v>
      </c>
      <c r="D192" t="s">
        <v>39289</v>
      </c>
      <c r="E192" t="s">
        <v>39290</v>
      </c>
      <c r="F192" t="s">
        <v>39291</v>
      </c>
      <c r="G192" t="s">
        <v>39302</v>
      </c>
    </row>
    <row r="193" spans="1:7">
      <c r="A193" t="s">
        <v>38802</v>
      </c>
      <c r="B193" t="s">
        <v>39303</v>
      </c>
      <c r="C193" t="s">
        <v>39304</v>
      </c>
      <c r="D193" t="s">
        <v>39305</v>
      </c>
      <c r="E193" t="s">
        <v>39306</v>
      </c>
      <c r="F193" t="s">
        <v>39307</v>
      </c>
      <c r="G193" t="s">
        <v>39308</v>
      </c>
    </row>
    <row r="194" spans="1:7">
      <c r="A194" t="s">
        <v>38803</v>
      </c>
      <c r="B194" t="s">
        <v>39303</v>
      </c>
      <c r="C194" t="s">
        <v>39304</v>
      </c>
      <c r="D194" t="s">
        <v>39305</v>
      </c>
      <c r="E194" t="s">
        <v>39306</v>
      </c>
      <c r="F194" t="s">
        <v>39307</v>
      </c>
      <c r="G194" t="s">
        <v>39308</v>
      </c>
    </row>
    <row r="195" spans="1:7">
      <c r="A195" t="s">
        <v>38804</v>
      </c>
      <c r="B195" t="s">
        <v>39303</v>
      </c>
      <c r="C195" t="s">
        <v>39304</v>
      </c>
      <c r="D195" t="s">
        <v>39305</v>
      </c>
      <c r="E195" t="s">
        <v>39309</v>
      </c>
      <c r="F195" t="s">
        <v>39310</v>
      </c>
      <c r="G195" t="s">
        <v>39311</v>
      </c>
    </row>
    <row r="196" spans="1:7">
      <c r="A196" t="s">
        <v>38805</v>
      </c>
      <c r="B196" t="s">
        <v>39303</v>
      </c>
      <c r="C196" t="s">
        <v>39304</v>
      </c>
      <c r="D196" t="s">
        <v>39305</v>
      </c>
      <c r="E196" t="s">
        <v>39312</v>
      </c>
      <c r="F196" t="s">
        <v>39313</v>
      </c>
      <c r="G196" t="s">
        <v>39314</v>
      </c>
    </row>
    <row r="197" spans="1:7">
      <c r="A197" t="s">
        <v>38806</v>
      </c>
      <c r="B197" t="s">
        <v>39303</v>
      </c>
      <c r="C197" t="s">
        <v>39304</v>
      </c>
      <c r="D197" t="s">
        <v>39305</v>
      </c>
      <c r="E197" t="s">
        <v>39312</v>
      </c>
      <c r="F197" t="s">
        <v>39315</v>
      </c>
      <c r="G197" t="s">
        <v>39316</v>
      </c>
    </row>
    <row r="198" spans="1:7">
      <c r="A198" t="s">
        <v>38807</v>
      </c>
      <c r="B198" t="s">
        <v>39303</v>
      </c>
      <c r="C198" t="s">
        <v>39304</v>
      </c>
      <c r="D198" t="s">
        <v>39305</v>
      </c>
      <c r="E198" t="s">
        <v>39312</v>
      </c>
      <c r="F198" t="s">
        <v>39315</v>
      </c>
      <c r="G198" t="s">
        <v>39316</v>
      </c>
    </row>
    <row r="199" spans="1:7">
      <c r="A199" t="s">
        <v>38808</v>
      </c>
      <c r="B199" t="s">
        <v>39303</v>
      </c>
      <c r="C199" t="s">
        <v>39317</v>
      </c>
      <c r="D199" t="s">
        <v>39318</v>
      </c>
      <c r="E199" t="s">
        <v>39319</v>
      </c>
      <c r="F199" t="s">
        <v>39320</v>
      </c>
      <c r="G199" t="s">
        <v>39321</v>
      </c>
    </row>
    <row r="200" spans="1:7">
      <c r="A200" t="s">
        <v>38809</v>
      </c>
      <c r="B200" t="s">
        <v>39303</v>
      </c>
      <c r="C200" t="s">
        <v>39317</v>
      </c>
      <c r="D200" t="s">
        <v>39318</v>
      </c>
      <c r="E200" t="s">
        <v>39319</v>
      </c>
      <c r="F200" t="s">
        <v>39320</v>
      </c>
      <c r="G200" t="s">
        <v>39321</v>
      </c>
    </row>
    <row r="201" spans="1:7">
      <c r="A201" t="s">
        <v>38810</v>
      </c>
      <c r="B201" t="s">
        <v>39303</v>
      </c>
      <c r="C201" t="s">
        <v>39317</v>
      </c>
      <c r="D201" t="s">
        <v>39318</v>
      </c>
      <c r="E201" t="s">
        <v>39319</v>
      </c>
      <c r="F201" t="s">
        <v>39320</v>
      </c>
      <c r="G201" t="s">
        <v>39321</v>
      </c>
    </row>
    <row r="202" spans="1:7">
      <c r="A202" t="s">
        <v>38811</v>
      </c>
      <c r="B202" t="s">
        <v>39303</v>
      </c>
      <c r="C202" t="s">
        <v>39317</v>
      </c>
      <c r="D202" t="s">
        <v>39318</v>
      </c>
      <c r="E202" t="s">
        <v>39319</v>
      </c>
      <c r="F202" t="s">
        <v>39320</v>
      </c>
      <c r="G202" t="s">
        <v>39321</v>
      </c>
    </row>
    <row r="203" spans="1:7">
      <c r="A203" t="s">
        <v>38812</v>
      </c>
      <c r="B203" t="s">
        <v>39303</v>
      </c>
      <c r="C203" t="s">
        <v>39317</v>
      </c>
      <c r="D203" t="s">
        <v>39318</v>
      </c>
      <c r="E203" t="s">
        <v>39319</v>
      </c>
      <c r="F203" t="s">
        <v>39320</v>
      </c>
      <c r="G203" t="s">
        <v>39321</v>
      </c>
    </row>
    <row r="204" spans="1:7">
      <c r="A204" t="s">
        <v>38813</v>
      </c>
      <c r="B204" t="s">
        <v>39303</v>
      </c>
      <c r="C204" t="s">
        <v>39317</v>
      </c>
      <c r="D204" t="s">
        <v>39318</v>
      </c>
      <c r="E204" t="s">
        <v>39322</v>
      </c>
      <c r="F204" t="s">
        <v>39323</v>
      </c>
      <c r="G204" t="s">
        <v>39324</v>
      </c>
    </row>
    <row r="205" spans="1:7">
      <c r="A205" t="s">
        <v>38814</v>
      </c>
      <c r="B205" t="s">
        <v>39303</v>
      </c>
      <c r="C205" t="s">
        <v>39317</v>
      </c>
      <c r="D205" t="s">
        <v>39318</v>
      </c>
      <c r="E205" t="s">
        <v>39322</v>
      </c>
      <c r="F205" t="s">
        <v>39323</v>
      </c>
      <c r="G205" t="s">
        <v>39324</v>
      </c>
    </row>
    <row r="206" spans="1:7">
      <c r="A206" t="s">
        <v>38815</v>
      </c>
      <c r="B206" t="s">
        <v>39303</v>
      </c>
      <c r="C206" t="s">
        <v>39317</v>
      </c>
      <c r="D206" t="s">
        <v>39318</v>
      </c>
      <c r="E206" t="s">
        <v>39322</v>
      </c>
      <c r="F206" t="s">
        <v>39323</v>
      </c>
      <c r="G206" t="s">
        <v>39324</v>
      </c>
    </row>
    <row r="207" spans="1:7">
      <c r="A207" t="s">
        <v>38816</v>
      </c>
      <c r="B207" t="s">
        <v>39303</v>
      </c>
      <c r="C207" t="s">
        <v>39317</v>
      </c>
      <c r="D207" t="s">
        <v>39318</v>
      </c>
      <c r="E207" t="s">
        <v>39322</v>
      </c>
      <c r="F207" t="s">
        <v>39325</v>
      </c>
      <c r="G207" t="s">
        <v>39326</v>
      </c>
    </row>
    <row r="208" spans="1:7">
      <c r="A208" t="s">
        <v>38817</v>
      </c>
      <c r="B208" t="s">
        <v>39303</v>
      </c>
      <c r="C208" t="s">
        <v>39317</v>
      </c>
      <c r="D208" t="s">
        <v>39318</v>
      </c>
      <c r="E208" t="s">
        <v>39322</v>
      </c>
      <c r="F208" t="s">
        <v>39325</v>
      </c>
      <c r="G208" t="s">
        <v>39326</v>
      </c>
    </row>
    <row r="209" spans="1:7">
      <c r="A209" t="s">
        <v>38818</v>
      </c>
      <c r="B209" t="s">
        <v>39303</v>
      </c>
      <c r="C209" t="s">
        <v>39317</v>
      </c>
      <c r="D209" t="s">
        <v>39318</v>
      </c>
      <c r="E209" t="s">
        <v>39327</v>
      </c>
      <c r="F209" t="s">
        <v>39328</v>
      </c>
      <c r="G209" t="s">
        <v>39329</v>
      </c>
    </row>
    <row r="210" spans="1:7">
      <c r="A210" t="s">
        <v>38819</v>
      </c>
      <c r="B210" t="s">
        <v>39303</v>
      </c>
      <c r="C210" t="s">
        <v>39317</v>
      </c>
      <c r="D210" t="s">
        <v>39318</v>
      </c>
      <c r="E210" t="s">
        <v>39327</v>
      </c>
      <c r="F210" t="s">
        <v>39328</v>
      </c>
      <c r="G210" t="s">
        <v>39329</v>
      </c>
    </row>
    <row r="211" spans="1:7">
      <c r="A211" t="s">
        <v>38820</v>
      </c>
      <c r="B211" t="s">
        <v>39303</v>
      </c>
      <c r="C211" t="s">
        <v>39330</v>
      </c>
      <c r="D211" t="s">
        <v>39331</v>
      </c>
      <c r="E211" t="s">
        <v>39332</v>
      </c>
      <c r="F211" t="s">
        <v>39333</v>
      </c>
      <c r="G211" t="s">
        <v>39334</v>
      </c>
    </row>
    <row r="212" spans="1:7">
      <c r="A212" t="s">
        <v>38821</v>
      </c>
      <c r="B212" t="s">
        <v>39303</v>
      </c>
      <c r="C212" t="s">
        <v>39330</v>
      </c>
      <c r="D212" t="s">
        <v>39331</v>
      </c>
      <c r="E212" t="s">
        <v>39332</v>
      </c>
      <c r="F212" t="s">
        <v>39333</v>
      </c>
      <c r="G212" t="s">
        <v>39334</v>
      </c>
    </row>
    <row r="213" spans="1:7">
      <c r="A213" t="s">
        <v>38822</v>
      </c>
      <c r="B213" t="s">
        <v>39303</v>
      </c>
      <c r="C213" t="s">
        <v>39335</v>
      </c>
      <c r="D213" t="s">
        <v>39336</v>
      </c>
      <c r="E213" t="s">
        <v>39337</v>
      </c>
      <c r="F213" t="s">
        <v>39338</v>
      </c>
      <c r="G213" t="s">
        <v>39339</v>
      </c>
    </row>
    <row r="214" spans="1:7">
      <c r="A214" t="s">
        <v>38823</v>
      </c>
      <c r="B214" t="s">
        <v>39340</v>
      </c>
      <c r="C214" t="s">
        <v>39341</v>
      </c>
      <c r="D214" t="s">
        <v>39342</v>
      </c>
      <c r="E214" t="s">
        <v>39343</v>
      </c>
      <c r="F214" t="s">
        <v>39344</v>
      </c>
      <c r="G214" t="s">
        <v>39345</v>
      </c>
    </row>
    <row r="215" spans="1:7">
      <c r="A215" t="s">
        <v>38824</v>
      </c>
      <c r="B215" t="s">
        <v>39340</v>
      </c>
      <c r="C215" t="s">
        <v>39341</v>
      </c>
      <c r="D215" t="s">
        <v>39342</v>
      </c>
      <c r="E215" t="s">
        <v>39343</v>
      </c>
      <c r="F215" t="s">
        <v>39344</v>
      </c>
      <c r="G215" t="s">
        <v>39345</v>
      </c>
    </row>
    <row r="216" spans="1:7">
      <c r="A216" t="s">
        <v>38825</v>
      </c>
      <c r="B216" t="s">
        <v>39340</v>
      </c>
      <c r="C216" t="s">
        <v>39341</v>
      </c>
      <c r="D216" t="s">
        <v>39342</v>
      </c>
      <c r="E216" t="s">
        <v>39343</v>
      </c>
      <c r="F216" t="s">
        <v>39344</v>
      </c>
      <c r="G216" t="s">
        <v>39345</v>
      </c>
    </row>
    <row r="217" spans="1:7">
      <c r="A217" t="s">
        <v>38826</v>
      </c>
      <c r="B217" t="s">
        <v>39340</v>
      </c>
      <c r="C217" t="s">
        <v>39341</v>
      </c>
      <c r="D217" t="s">
        <v>39342</v>
      </c>
      <c r="E217" t="s">
        <v>39343</v>
      </c>
      <c r="F217" t="s">
        <v>39344</v>
      </c>
      <c r="G217" t="s">
        <v>39345</v>
      </c>
    </row>
    <row r="218" spans="1:7">
      <c r="A218" t="s">
        <v>38827</v>
      </c>
      <c r="B218" t="s">
        <v>39340</v>
      </c>
      <c r="C218" t="s">
        <v>39341</v>
      </c>
      <c r="D218" t="s">
        <v>39342</v>
      </c>
      <c r="E218" t="s">
        <v>39343</v>
      </c>
      <c r="F218" t="s">
        <v>39344</v>
      </c>
      <c r="G218" t="s">
        <v>39345</v>
      </c>
    </row>
    <row r="219" spans="1:7">
      <c r="A219" t="s">
        <v>38828</v>
      </c>
      <c r="B219" t="s">
        <v>39340</v>
      </c>
      <c r="C219" t="s">
        <v>39341</v>
      </c>
      <c r="D219" t="s">
        <v>39342</v>
      </c>
      <c r="E219" t="s">
        <v>39343</v>
      </c>
      <c r="F219" t="s">
        <v>39344</v>
      </c>
      <c r="G219" t="s">
        <v>39345</v>
      </c>
    </row>
    <row r="220" spans="1:7">
      <c r="A220" t="s">
        <v>38829</v>
      </c>
      <c r="B220" t="s">
        <v>39340</v>
      </c>
      <c r="C220" t="s">
        <v>39341</v>
      </c>
      <c r="D220" t="s">
        <v>39342</v>
      </c>
      <c r="E220" t="s">
        <v>39343</v>
      </c>
      <c r="F220" t="s">
        <v>39344</v>
      </c>
      <c r="G220" t="s">
        <v>39345</v>
      </c>
    </row>
    <row r="221" spans="1:7">
      <c r="A221" t="s">
        <v>38830</v>
      </c>
      <c r="B221" t="s">
        <v>39340</v>
      </c>
      <c r="C221" t="s">
        <v>39341</v>
      </c>
      <c r="D221" t="s">
        <v>39342</v>
      </c>
      <c r="E221" t="s">
        <v>39343</v>
      </c>
      <c r="F221" t="s">
        <v>39344</v>
      </c>
      <c r="G221" t="s">
        <v>39345</v>
      </c>
    </row>
    <row r="222" spans="1:7">
      <c r="A222" t="s">
        <v>38831</v>
      </c>
      <c r="B222" t="s">
        <v>39340</v>
      </c>
      <c r="C222" t="s">
        <v>39341</v>
      </c>
      <c r="D222" t="s">
        <v>39342</v>
      </c>
      <c r="E222" t="s">
        <v>39343</v>
      </c>
      <c r="F222" t="s">
        <v>39344</v>
      </c>
      <c r="G222" t="s">
        <v>39345</v>
      </c>
    </row>
    <row r="223" spans="1:7">
      <c r="A223" t="s">
        <v>38832</v>
      </c>
      <c r="B223" t="s">
        <v>39340</v>
      </c>
      <c r="C223" t="s">
        <v>39341</v>
      </c>
      <c r="D223" t="s">
        <v>39342</v>
      </c>
      <c r="E223" t="s">
        <v>39343</v>
      </c>
      <c r="F223" t="s">
        <v>39344</v>
      </c>
      <c r="G223" t="s">
        <v>39345</v>
      </c>
    </row>
    <row r="224" spans="1:7">
      <c r="A224" t="s">
        <v>38833</v>
      </c>
      <c r="B224" t="s">
        <v>39340</v>
      </c>
      <c r="C224" t="s">
        <v>39341</v>
      </c>
      <c r="D224" t="s">
        <v>39342</v>
      </c>
      <c r="E224" t="s">
        <v>39343</v>
      </c>
      <c r="F224" t="s">
        <v>39344</v>
      </c>
      <c r="G224" t="s">
        <v>39345</v>
      </c>
    </row>
    <row r="225" spans="1:7">
      <c r="A225" t="s">
        <v>38834</v>
      </c>
      <c r="B225" t="s">
        <v>39340</v>
      </c>
      <c r="C225" t="s">
        <v>39341</v>
      </c>
      <c r="D225" t="s">
        <v>39342</v>
      </c>
      <c r="E225" t="s">
        <v>39343</v>
      </c>
      <c r="F225" t="s">
        <v>39344</v>
      </c>
      <c r="G225" t="s">
        <v>39345</v>
      </c>
    </row>
    <row r="226" spans="1:7">
      <c r="A226" t="s">
        <v>38835</v>
      </c>
      <c r="B226" t="s">
        <v>39340</v>
      </c>
      <c r="C226" t="s">
        <v>39341</v>
      </c>
      <c r="D226" t="s">
        <v>39342</v>
      </c>
      <c r="E226" t="s">
        <v>39343</v>
      </c>
      <c r="F226" t="s">
        <v>39344</v>
      </c>
      <c r="G226" t="s">
        <v>39345</v>
      </c>
    </row>
    <row r="227" spans="1:7">
      <c r="A227" t="s">
        <v>38836</v>
      </c>
      <c r="B227" t="s">
        <v>39340</v>
      </c>
      <c r="C227" t="s">
        <v>39341</v>
      </c>
      <c r="D227" t="s">
        <v>39342</v>
      </c>
      <c r="E227" t="s">
        <v>39343</v>
      </c>
      <c r="F227" t="s">
        <v>39344</v>
      </c>
      <c r="G227" t="s">
        <v>39345</v>
      </c>
    </row>
    <row r="228" spans="1:7">
      <c r="A228" t="s">
        <v>38837</v>
      </c>
      <c r="B228" t="s">
        <v>39346</v>
      </c>
      <c r="C228" t="s">
        <v>39347</v>
      </c>
      <c r="D228" t="s">
        <v>39348</v>
      </c>
      <c r="E228" t="s">
        <v>39349</v>
      </c>
      <c r="F228" t="s">
        <v>39350</v>
      </c>
      <c r="G228" t="s">
        <v>39351</v>
      </c>
    </row>
    <row r="229" spans="1:7">
      <c r="A229" t="s">
        <v>38838</v>
      </c>
      <c r="B229" t="s">
        <v>39346</v>
      </c>
      <c r="C229" t="s">
        <v>39347</v>
      </c>
      <c r="D229" t="s">
        <v>39348</v>
      </c>
      <c r="E229" t="s">
        <v>39349</v>
      </c>
      <c r="F229" t="s">
        <v>39352</v>
      </c>
      <c r="G229" t="s">
        <v>39353</v>
      </c>
    </row>
    <row r="230" spans="1:7">
      <c r="A230" t="s">
        <v>38839</v>
      </c>
      <c r="B230" t="s">
        <v>39346</v>
      </c>
      <c r="C230" t="s">
        <v>39347</v>
      </c>
      <c r="D230" t="s">
        <v>39348</v>
      </c>
      <c r="E230" t="s">
        <v>39349</v>
      </c>
      <c r="F230" t="s">
        <v>39352</v>
      </c>
      <c r="G230" t="s">
        <v>39353</v>
      </c>
    </row>
    <row r="231" spans="1:7">
      <c r="A231" t="s">
        <v>38840</v>
      </c>
      <c r="B231" t="s">
        <v>39346</v>
      </c>
      <c r="C231" t="s">
        <v>39347</v>
      </c>
      <c r="D231" t="s">
        <v>39348</v>
      </c>
      <c r="E231" t="s">
        <v>39349</v>
      </c>
      <c r="F231" t="s">
        <v>39354</v>
      </c>
      <c r="G231" t="s">
        <v>39355</v>
      </c>
    </row>
    <row r="232" spans="1:7">
      <c r="A232" t="s">
        <v>38841</v>
      </c>
      <c r="B232" t="s">
        <v>39346</v>
      </c>
      <c r="C232" t="s">
        <v>39347</v>
      </c>
      <c r="D232" t="s">
        <v>39348</v>
      </c>
      <c r="E232" t="s">
        <v>39349</v>
      </c>
      <c r="F232" t="s">
        <v>39354</v>
      </c>
      <c r="G232" t="s">
        <v>39355</v>
      </c>
    </row>
    <row r="233" spans="1:7">
      <c r="A233" t="s">
        <v>38842</v>
      </c>
      <c r="B233" t="s">
        <v>39346</v>
      </c>
      <c r="C233" t="s">
        <v>39347</v>
      </c>
      <c r="D233" t="s">
        <v>39348</v>
      </c>
      <c r="E233" t="s">
        <v>39349</v>
      </c>
      <c r="F233" t="s">
        <v>39354</v>
      </c>
      <c r="G233" t="s">
        <v>39355</v>
      </c>
    </row>
    <row r="234" spans="1:7">
      <c r="A234" t="s">
        <v>38843</v>
      </c>
      <c r="B234" t="s">
        <v>39346</v>
      </c>
      <c r="C234" t="s">
        <v>39347</v>
      </c>
      <c r="D234" t="s">
        <v>39348</v>
      </c>
      <c r="E234" t="s">
        <v>39349</v>
      </c>
      <c r="F234" t="s">
        <v>39354</v>
      </c>
      <c r="G234" t="s">
        <v>39355</v>
      </c>
    </row>
    <row r="235" spans="1:7">
      <c r="A235" t="s">
        <v>38844</v>
      </c>
      <c r="B235" t="s">
        <v>39346</v>
      </c>
      <c r="C235" t="s">
        <v>39347</v>
      </c>
      <c r="D235" t="s">
        <v>39348</v>
      </c>
      <c r="E235" t="s">
        <v>39349</v>
      </c>
      <c r="F235" t="s">
        <v>39354</v>
      </c>
      <c r="G235" t="s">
        <v>39355</v>
      </c>
    </row>
    <row r="236" spans="1:7">
      <c r="A236" t="s">
        <v>38845</v>
      </c>
      <c r="B236" t="s">
        <v>39346</v>
      </c>
      <c r="C236" t="s">
        <v>39347</v>
      </c>
      <c r="D236" t="s">
        <v>39348</v>
      </c>
      <c r="E236" t="s">
        <v>39349</v>
      </c>
      <c r="F236" t="s">
        <v>39354</v>
      </c>
      <c r="G236" t="s">
        <v>39355</v>
      </c>
    </row>
    <row r="237" spans="1:7">
      <c r="A237" t="s">
        <v>38846</v>
      </c>
      <c r="B237" t="s">
        <v>39346</v>
      </c>
      <c r="C237" t="s">
        <v>39347</v>
      </c>
      <c r="D237" t="s">
        <v>39348</v>
      </c>
      <c r="E237" t="s">
        <v>39349</v>
      </c>
      <c r="F237" t="s">
        <v>39354</v>
      </c>
      <c r="G237" t="s">
        <v>39355</v>
      </c>
    </row>
    <row r="238" spans="1:7">
      <c r="A238" t="s">
        <v>38847</v>
      </c>
      <c r="B238" t="s">
        <v>39346</v>
      </c>
      <c r="C238" t="s">
        <v>39347</v>
      </c>
      <c r="D238" t="s">
        <v>39348</v>
      </c>
      <c r="E238" t="s">
        <v>39349</v>
      </c>
      <c r="F238" t="s">
        <v>39354</v>
      </c>
      <c r="G238" t="s">
        <v>39355</v>
      </c>
    </row>
    <row r="239" spans="1:7">
      <c r="A239" t="s">
        <v>38848</v>
      </c>
      <c r="B239" t="s">
        <v>39346</v>
      </c>
      <c r="C239" t="s">
        <v>39347</v>
      </c>
      <c r="D239" t="s">
        <v>39348</v>
      </c>
      <c r="E239" t="s">
        <v>39356</v>
      </c>
      <c r="F239" t="s">
        <v>39357</v>
      </c>
      <c r="G239" t="s">
        <v>39358</v>
      </c>
    </row>
    <row r="240" spans="1:7">
      <c r="A240" t="s">
        <v>38849</v>
      </c>
      <c r="B240" t="s">
        <v>39346</v>
      </c>
      <c r="C240" t="s">
        <v>39347</v>
      </c>
      <c r="D240" t="s">
        <v>39348</v>
      </c>
      <c r="E240" t="s">
        <v>39356</v>
      </c>
      <c r="F240" t="s">
        <v>39359</v>
      </c>
      <c r="G240" t="s">
        <v>39360</v>
      </c>
    </row>
    <row r="241" spans="1:7">
      <c r="A241" t="s">
        <v>38850</v>
      </c>
      <c r="B241" t="s">
        <v>39346</v>
      </c>
      <c r="C241" t="s">
        <v>39347</v>
      </c>
      <c r="D241" t="s">
        <v>39348</v>
      </c>
      <c r="E241" t="s">
        <v>39361</v>
      </c>
      <c r="F241" t="s">
        <v>39362</v>
      </c>
      <c r="G241" t="s">
        <v>39363</v>
      </c>
    </row>
    <row r="242" spans="1:7">
      <c r="A242" t="s">
        <v>38851</v>
      </c>
      <c r="B242" t="s">
        <v>39346</v>
      </c>
      <c r="C242" t="s">
        <v>39347</v>
      </c>
      <c r="D242" t="s">
        <v>39348</v>
      </c>
      <c r="E242" t="s">
        <v>39361</v>
      </c>
      <c r="F242" t="s">
        <v>39362</v>
      </c>
      <c r="G242" t="s">
        <v>39363</v>
      </c>
    </row>
    <row r="243" spans="1:7">
      <c r="A243" t="s">
        <v>38852</v>
      </c>
      <c r="B243" t="s">
        <v>39346</v>
      </c>
      <c r="C243" t="s">
        <v>39347</v>
      </c>
      <c r="D243" t="s">
        <v>39348</v>
      </c>
      <c r="E243" t="s">
        <v>39361</v>
      </c>
      <c r="F243" t="s">
        <v>39362</v>
      </c>
      <c r="G243" t="s">
        <v>39363</v>
      </c>
    </row>
    <row r="244" spans="1:7">
      <c r="A244" t="s">
        <v>38853</v>
      </c>
      <c r="B244" t="s">
        <v>39346</v>
      </c>
      <c r="C244" t="s">
        <v>39347</v>
      </c>
      <c r="D244" t="s">
        <v>39348</v>
      </c>
      <c r="E244" t="s">
        <v>39361</v>
      </c>
      <c r="F244" t="s">
        <v>39362</v>
      </c>
      <c r="G244" t="s">
        <v>39364</v>
      </c>
    </row>
    <row r="245" spans="1:7">
      <c r="A245" t="s">
        <v>38854</v>
      </c>
      <c r="B245" t="s">
        <v>39346</v>
      </c>
      <c r="C245" t="s">
        <v>39347</v>
      </c>
      <c r="D245" t="s">
        <v>39348</v>
      </c>
      <c r="E245" t="s">
        <v>39361</v>
      </c>
      <c r="F245" t="s">
        <v>39362</v>
      </c>
      <c r="G245" t="s">
        <v>39365</v>
      </c>
    </row>
    <row r="246" spans="1:7">
      <c r="A246" t="s">
        <v>38855</v>
      </c>
      <c r="B246" t="s">
        <v>39346</v>
      </c>
      <c r="C246" t="s">
        <v>39347</v>
      </c>
      <c r="D246" t="s">
        <v>39348</v>
      </c>
      <c r="E246" t="s">
        <v>39361</v>
      </c>
      <c r="F246" t="s">
        <v>39362</v>
      </c>
      <c r="G246" t="s">
        <v>39365</v>
      </c>
    </row>
    <row r="247" spans="1:7">
      <c r="A247" t="s">
        <v>38856</v>
      </c>
      <c r="B247" t="s">
        <v>39346</v>
      </c>
      <c r="C247" t="s">
        <v>39347</v>
      </c>
      <c r="D247" t="s">
        <v>39348</v>
      </c>
      <c r="E247" t="s">
        <v>39361</v>
      </c>
      <c r="F247" t="s">
        <v>39362</v>
      </c>
      <c r="G247" t="s">
        <v>39366</v>
      </c>
    </row>
    <row r="248" spans="1:7">
      <c r="A248" t="s">
        <v>38857</v>
      </c>
      <c r="B248" t="s">
        <v>39346</v>
      </c>
      <c r="C248" t="s">
        <v>39347</v>
      </c>
      <c r="D248" t="s">
        <v>39348</v>
      </c>
      <c r="E248" t="s">
        <v>39361</v>
      </c>
      <c r="F248" t="s">
        <v>39367</v>
      </c>
      <c r="G248" t="s">
        <v>39368</v>
      </c>
    </row>
    <row r="249" spans="1:7">
      <c r="A249" t="s">
        <v>38858</v>
      </c>
      <c r="B249" t="s">
        <v>39346</v>
      </c>
      <c r="C249" t="s">
        <v>39347</v>
      </c>
      <c r="D249" t="s">
        <v>39348</v>
      </c>
      <c r="E249" t="s">
        <v>39361</v>
      </c>
      <c r="F249" t="s">
        <v>39367</v>
      </c>
      <c r="G249" t="s">
        <v>39368</v>
      </c>
    </row>
    <row r="250" spans="1:7">
      <c r="A250" t="s">
        <v>38859</v>
      </c>
      <c r="B250" t="s">
        <v>39346</v>
      </c>
      <c r="C250" t="s">
        <v>39347</v>
      </c>
      <c r="D250" t="s">
        <v>39348</v>
      </c>
      <c r="E250" t="s">
        <v>39361</v>
      </c>
      <c r="F250" t="s">
        <v>39369</v>
      </c>
      <c r="G250" t="s">
        <v>39370</v>
      </c>
    </row>
    <row r="251" spans="1:7">
      <c r="A251" t="s">
        <v>38860</v>
      </c>
      <c r="B251" t="s">
        <v>39346</v>
      </c>
      <c r="C251" t="s">
        <v>39347</v>
      </c>
      <c r="D251" t="s">
        <v>39348</v>
      </c>
      <c r="E251" t="s">
        <v>39361</v>
      </c>
      <c r="F251" t="s">
        <v>39369</v>
      </c>
      <c r="G251" t="s">
        <v>39371</v>
      </c>
    </row>
    <row r="252" spans="1:7">
      <c r="A252" t="s">
        <v>38861</v>
      </c>
      <c r="B252" t="s">
        <v>39346</v>
      </c>
      <c r="C252" t="s">
        <v>39347</v>
      </c>
      <c r="D252" t="s">
        <v>39348</v>
      </c>
      <c r="E252" t="s">
        <v>39361</v>
      </c>
      <c r="F252" t="s">
        <v>39369</v>
      </c>
      <c r="G252" t="s">
        <v>39371</v>
      </c>
    </row>
    <row r="253" spans="1:7">
      <c r="A253" t="s">
        <v>38862</v>
      </c>
      <c r="B253" t="s">
        <v>39346</v>
      </c>
      <c r="C253" t="s">
        <v>39347</v>
      </c>
      <c r="D253" t="s">
        <v>39348</v>
      </c>
      <c r="E253" t="s">
        <v>39361</v>
      </c>
      <c r="F253" t="s">
        <v>39372</v>
      </c>
      <c r="G253" t="s">
        <v>39373</v>
      </c>
    </row>
    <row r="254" spans="1:7">
      <c r="A254" t="s">
        <v>38863</v>
      </c>
      <c r="B254" t="s">
        <v>39346</v>
      </c>
      <c r="C254" t="s">
        <v>39347</v>
      </c>
      <c r="D254" t="s">
        <v>39348</v>
      </c>
      <c r="E254" t="s">
        <v>39361</v>
      </c>
      <c r="F254" t="s">
        <v>39372</v>
      </c>
      <c r="G254" t="s">
        <v>39374</v>
      </c>
    </row>
    <row r="255" spans="1:7">
      <c r="A255" t="s">
        <v>38864</v>
      </c>
      <c r="B255" t="s">
        <v>39346</v>
      </c>
      <c r="C255" t="s">
        <v>39347</v>
      </c>
      <c r="D255" t="s">
        <v>39348</v>
      </c>
      <c r="E255" t="s">
        <v>39361</v>
      </c>
      <c r="F255" t="s">
        <v>39372</v>
      </c>
      <c r="G255" t="s">
        <v>39374</v>
      </c>
    </row>
    <row r="256" spans="1:7">
      <c r="A256" t="s">
        <v>38865</v>
      </c>
      <c r="B256" t="s">
        <v>39346</v>
      </c>
      <c r="C256" t="s">
        <v>39347</v>
      </c>
      <c r="D256" t="s">
        <v>39348</v>
      </c>
      <c r="E256" t="s">
        <v>39361</v>
      </c>
      <c r="F256" t="s">
        <v>39372</v>
      </c>
      <c r="G256" t="s">
        <v>39374</v>
      </c>
    </row>
    <row r="257" spans="1:7">
      <c r="A257" t="s">
        <v>38866</v>
      </c>
      <c r="B257" t="s">
        <v>39346</v>
      </c>
      <c r="C257" t="s">
        <v>39347</v>
      </c>
      <c r="D257" t="s">
        <v>39348</v>
      </c>
      <c r="E257" t="s">
        <v>39375</v>
      </c>
      <c r="F257" t="s">
        <v>39376</v>
      </c>
      <c r="G257" t="s">
        <v>39377</v>
      </c>
    </row>
    <row r="258" spans="1:7">
      <c r="A258" t="s">
        <v>38867</v>
      </c>
      <c r="B258" t="s">
        <v>39346</v>
      </c>
      <c r="C258" t="s">
        <v>39347</v>
      </c>
      <c r="D258" t="s">
        <v>39348</v>
      </c>
      <c r="E258" t="s">
        <v>39375</v>
      </c>
      <c r="F258" t="s">
        <v>39376</v>
      </c>
      <c r="G258" t="s">
        <v>39377</v>
      </c>
    </row>
    <row r="259" spans="1:7">
      <c r="A259" t="s">
        <v>38868</v>
      </c>
      <c r="B259" t="s">
        <v>39346</v>
      </c>
      <c r="C259" t="s">
        <v>39347</v>
      </c>
      <c r="D259" t="s">
        <v>39348</v>
      </c>
      <c r="E259" t="s">
        <v>39375</v>
      </c>
      <c r="F259" t="s">
        <v>39376</v>
      </c>
      <c r="G259" t="s">
        <v>39377</v>
      </c>
    </row>
    <row r="260" spans="1:7">
      <c r="A260" t="s">
        <v>38869</v>
      </c>
      <c r="B260" t="s">
        <v>39346</v>
      </c>
      <c r="C260" t="s">
        <v>39347</v>
      </c>
      <c r="D260" t="s">
        <v>39348</v>
      </c>
      <c r="E260" t="s">
        <v>39375</v>
      </c>
      <c r="F260" t="s">
        <v>39376</v>
      </c>
      <c r="G260" t="s">
        <v>39377</v>
      </c>
    </row>
    <row r="261" spans="1:7">
      <c r="A261" t="s">
        <v>38870</v>
      </c>
      <c r="B261" t="s">
        <v>39346</v>
      </c>
      <c r="C261" t="s">
        <v>39347</v>
      </c>
      <c r="D261" t="s">
        <v>39348</v>
      </c>
      <c r="E261" t="s">
        <v>39375</v>
      </c>
      <c r="F261" t="s">
        <v>39376</v>
      </c>
      <c r="G261" t="s">
        <v>39377</v>
      </c>
    </row>
    <row r="262" spans="1:7">
      <c r="A262" t="s">
        <v>38871</v>
      </c>
      <c r="B262" t="s">
        <v>39346</v>
      </c>
      <c r="C262" t="s">
        <v>39347</v>
      </c>
      <c r="D262" t="s">
        <v>39348</v>
      </c>
      <c r="E262" t="s">
        <v>39375</v>
      </c>
      <c r="F262" t="s">
        <v>39376</v>
      </c>
      <c r="G262" t="s">
        <v>39377</v>
      </c>
    </row>
    <row r="263" spans="1:7">
      <c r="A263" t="s">
        <v>38872</v>
      </c>
      <c r="B263" t="s">
        <v>39346</v>
      </c>
      <c r="C263" t="s">
        <v>39347</v>
      </c>
      <c r="D263" t="s">
        <v>39348</v>
      </c>
      <c r="E263" t="s">
        <v>39375</v>
      </c>
      <c r="F263" t="s">
        <v>39376</v>
      </c>
      <c r="G263" t="s">
        <v>39377</v>
      </c>
    </row>
    <row r="264" spans="1:7">
      <c r="A264" t="s">
        <v>38873</v>
      </c>
      <c r="B264" t="s">
        <v>39346</v>
      </c>
      <c r="C264" t="s">
        <v>39378</v>
      </c>
      <c r="D264" t="s">
        <v>39379</v>
      </c>
      <c r="E264" t="s">
        <v>39380</v>
      </c>
      <c r="F264" t="s">
        <v>39381</v>
      </c>
      <c r="G264" t="s">
        <v>39382</v>
      </c>
    </row>
    <row r="265" spans="1:7">
      <c r="A265" t="s">
        <v>38874</v>
      </c>
      <c r="B265" t="s">
        <v>39346</v>
      </c>
      <c r="C265" t="s">
        <v>39378</v>
      </c>
      <c r="D265" t="s">
        <v>39379</v>
      </c>
      <c r="E265" t="s">
        <v>39380</v>
      </c>
      <c r="F265" t="s">
        <v>39381</v>
      </c>
      <c r="G265" t="s">
        <v>39383</v>
      </c>
    </row>
    <row r="266" spans="1:7">
      <c r="A266" t="s">
        <v>38875</v>
      </c>
      <c r="B266" t="s">
        <v>39346</v>
      </c>
      <c r="C266" t="s">
        <v>39378</v>
      </c>
      <c r="D266" t="s">
        <v>39379</v>
      </c>
      <c r="E266" t="s">
        <v>39380</v>
      </c>
      <c r="F266" t="s">
        <v>39381</v>
      </c>
      <c r="G266" t="s">
        <v>39384</v>
      </c>
    </row>
    <row r="267" spans="1:7">
      <c r="A267" t="s">
        <v>38876</v>
      </c>
      <c r="B267" t="s">
        <v>39346</v>
      </c>
      <c r="C267" t="s">
        <v>39378</v>
      </c>
      <c r="D267" t="s">
        <v>39379</v>
      </c>
      <c r="E267" t="s">
        <v>39380</v>
      </c>
      <c r="F267" t="s">
        <v>39381</v>
      </c>
      <c r="G267" t="s">
        <v>39385</v>
      </c>
    </row>
    <row r="268" spans="1:7">
      <c r="A268" t="s">
        <v>38877</v>
      </c>
      <c r="B268" t="s">
        <v>39346</v>
      </c>
      <c r="C268" t="s">
        <v>39378</v>
      </c>
      <c r="D268" t="s">
        <v>39379</v>
      </c>
      <c r="E268" t="s">
        <v>39380</v>
      </c>
      <c r="F268" t="s">
        <v>39381</v>
      </c>
      <c r="G268" t="s">
        <v>39386</v>
      </c>
    </row>
    <row r="269" spans="1:7">
      <c r="A269" t="s">
        <v>38878</v>
      </c>
      <c r="B269" t="s">
        <v>39346</v>
      </c>
      <c r="C269" t="s">
        <v>39378</v>
      </c>
      <c r="D269" t="s">
        <v>39379</v>
      </c>
      <c r="E269" t="s">
        <v>39380</v>
      </c>
      <c r="F269" t="s">
        <v>39381</v>
      </c>
      <c r="G269" t="s">
        <v>39387</v>
      </c>
    </row>
    <row r="270" spans="1:7">
      <c r="A270" t="s">
        <v>38879</v>
      </c>
      <c r="B270" t="s">
        <v>39346</v>
      </c>
      <c r="C270" t="s">
        <v>39378</v>
      </c>
      <c r="D270" t="s">
        <v>39379</v>
      </c>
      <c r="E270" t="s">
        <v>39380</v>
      </c>
      <c r="F270" t="s">
        <v>39381</v>
      </c>
      <c r="G270" t="s">
        <v>39388</v>
      </c>
    </row>
    <row r="271" spans="1:7">
      <c r="A271" t="s">
        <v>38880</v>
      </c>
      <c r="B271" t="s">
        <v>39346</v>
      </c>
      <c r="C271" t="s">
        <v>39378</v>
      </c>
      <c r="D271" t="s">
        <v>39379</v>
      </c>
      <c r="E271" t="s">
        <v>39380</v>
      </c>
      <c r="F271" t="s">
        <v>39381</v>
      </c>
      <c r="G271" t="s">
        <v>39388</v>
      </c>
    </row>
    <row r="272" spans="1:7">
      <c r="A272" t="s">
        <v>38881</v>
      </c>
      <c r="B272" t="s">
        <v>39346</v>
      </c>
      <c r="C272" t="s">
        <v>39378</v>
      </c>
      <c r="D272" t="s">
        <v>39379</v>
      </c>
      <c r="E272" t="s">
        <v>39380</v>
      </c>
      <c r="F272" t="s">
        <v>39381</v>
      </c>
      <c r="G272" t="s">
        <v>39388</v>
      </c>
    </row>
    <row r="273" spans="1:7">
      <c r="A273" t="s">
        <v>38882</v>
      </c>
      <c r="B273" t="s">
        <v>39346</v>
      </c>
      <c r="C273" t="s">
        <v>39378</v>
      </c>
      <c r="D273" t="s">
        <v>39379</v>
      </c>
      <c r="E273" t="s">
        <v>39380</v>
      </c>
      <c r="F273" t="s">
        <v>39381</v>
      </c>
      <c r="G273" t="s">
        <v>39388</v>
      </c>
    </row>
    <row r="274" spans="1:7">
      <c r="A274" t="s">
        <v>38883</v>
      </c>
      <c r="B274" t="s">
        <v>39346</v>
      </c>
      <c r="C274" t="s">
        <v>39378</v>
      </c>
      <c r="D274" t="s">
        <v>39379</v>
      </c>
      <c r="E274" t="s">
        <v>39380</v>
      </c>
      <c r="F274" t="s">
        <v>39389</v>
      </c>
      <c r="G274" t="s">
        <v>39390</v>
      </c>
    </row>
    <row r="275" spans="1:7">
      <c r="A275" t="s">
        <v>38884</v>
      </c>
      <c r="B275" t="s">
        <v>39346</v>
      </c>
      <c r="C275" t="s">
        <v>39378</v>
      </c>
      <c r="D275" t="s">
        <v>39379</v>
      </c>
      <c r="E275" t="s">
        <v>39380</v>
      </c>
      <c r="F275" t="s">
        <v>39391</v>
      </c>
      <c r="G275" t="s">
        <v>39392</v>
      </c>
    </row>
    <row r="276" spans="1:7">
      <c r="A276" t="s">
        <v>38885</v>
      </c>
      <c r="B276" t="s">
        <v>39346</v>
      </c>
      <c r="C276" t="s">
        <v>39378</v>
      </c>
      <c r="D276" t="s">
        <v>39379</v>
      </c>
      <c r="E276" t="s">
        <v>39380</v>
      </c>
      <c r="F276" t="s">
        <v>39393</v>
      </c>
      <c r="G276" t="s">
        <v>39394</v>
      </c>
    </row>
    <row r="277" spans="1:7">
      <c r="A277" t="s">
        <v>38886</v>
      </c>
      <c r="B277" t="s">
        <v>39346</v>
      </c>
      <c r="C277" t="s">
        <v>39378</v>
      </c>
      <c r="D277" t="s">
        <v>39379</v>
      </c>
      <c r="E277" t="s">
        <v>39380</v>
      </c>
      <c r="F277" t="s">
        <v>39395</v>
      </c>
      <c r="G277" t="s">
        <v>39396</v>
      </c>
    </row>
    <row r="278" spans="1:7">
      <c r="A278" t="s">
        <v>38887</v>
      </c>
      <c r="B278" t="s">
        <v>39346</v>
      </c>
      <c r="C278" t="s">
        <v>39378</v>
      </c>
      <c r="D278" t="s">
        <v>39379</v>
      </c>
      <c r="E278" t="s">
        <v>39397</v>
      </c>
      <c r="F278" t="s">
        <v>39398</v>
      </c>
      <c r="G278" t="s">
        <v>39399</v>
      </c>
    </row>
    <row r="279" spans="1:7">
      <c r="A279" t="s">
        <v>38888</v>
      </c>
      <c r="B279" t="s">
        <v>39346</v>
      </c>
      <c r="C279" t="s">
        <v>39378</v>
      </c>
      <c r="D279" t="s">
        <v>39379</v>
      </c>
      <c r="E279" t="s">
        <v>39397</v>
      </c>
      <c r="F279" t="s">
        <v>39398</v>
      </c>
      <c r="G279" t="s">
        <v>39399</v>
      </c>
    </row>
    <row r="280" spans="1:7">
      <c r="A280" t="s">
        <v>38889</v>
      </c>
      <c r="B280" t="s">
        <v>39346</v>
      </c>
      <c r="C280" t="s">
        <v>39378</v>
      </c>
      <c r="D280" t="s">
        <v>39400</v>
      </c>
      <c r="E280" t="s">
        <v>39401</v>
      </c>
      <c r="F280" t="s">
        <v>39402</v>
      </c>
      <c r="G280" t="s">
        <v>39403</v>
      </c>
    </row>
    <row r="281" spans="1:7">
      <c r="A281" t="s">
        <v>38890</v>
      </c>
      <c r="B281" t="s">
        <v>39346</v>
      </c>
      <c r="C281" t="s">
        <v>39378</v>
      </c>
      <c r="D281" t="s">
        <v>39400</v>
      </c>
      <c r="E281" t="s">
        <v>39401</v>
      </c>
      <c r="F281" t="s">
        <v>39402</v>
      </c>
      <c r="G281" t="s">
        <v>39403</v>
      </c>
    </row>
    <row r="282" spans="1:7">
      <c r="A282" t="s">
        <v>38891</v>
      </c>
      <c r="B282" t="s">
        <v>39346</v>
      </c>
      <c r="C282" t="s">
        <v>39378</v>
      </c>
      <c r="D282" t="s">
        <v>39400</v>
      </c>
      <c r="E282" t="s">
        <v>39401</v>
      </c>
      <c r="F282" t="s">
        <v>39402</v>
      </c>
      <c r="G282" t="s">
        <v>39403</v>
      </c>
    </row>
    <row r="283" spans="1:7">
      <c r="A283" t="s">
        <v>38892</v>
      </c>
      <c r="B283" t="s">
        <v>39346</v>
      </c>
      <c r="C283" t="s">
        <v>39378</v>
      </c>
      <c r="D283" t="s">
        <v>39400</v>
      </c>
      <c r="E283" t="s">
        <v>39401</v>
      </c>
      <c r="F283" t="s">
        <v>39402</v>
      </c>
      <c r="G283" t="s">
        <v>39403</v>
      </c>
    </row>
    <row r="284" spans="1:7">
      <c r="A284" t="s">
        <v>38893</v>
      </c>
      <c r="B284" t="s">
        <v>39346</v>
      </c>
      <c r="C284" t="s">
        <v>39378</v>
      </c>
      <c r="D284" t="s">
        <v>39400</v>
      </c>
      <c r="E284" t="s">
        <v>39401</v>
      </c>
      <c r="F284" t="s">
        <v>39402</v>
      </c>
      <c r="G284" t="s">
        <v>39404</v>
      </c>
    </row>
    <row r="285" spans="1:7">
      <c r="A285" t="s">
        <v>38894</v>
      </c>
      <c r="B285" t="s">
        <v>39346</v>
      </c>
      <c r="C285" t="s">
        <v>39378</v>
      </c>
      <c r="D285" t="s">
        <v>39400</v>
      </c>
      <c r="E285" t="s">
        <v>39401</v>
      </c>
      <c r="F285" t="s">
        <v>39405</v>
      </c>
      <c r="G285" t="s">
        <v>39406</v>
      </c>
    </row>
    <row r="286" spans="1:7">
      <c r="A286" t="s">
        <v>38895</v>
      </c>
      <c r="B286" t="s">
        <v>39346</v>
      </c>
      <c r="C286" t="s">
        <v>39378</v>
      </c>
      <c r="D286" t="s">
        <v>39400</v>
      </c>
      <c r="E286" t="s">
        <v>39407</v>
      </c>
      <c r="F286" t="s">
        <v>39408</v>
      </c>
      <c r="G286" t="s">
        <v>39409</v>
      </c>
    </row>
    <row r="287" spans="1:7">
      <c r="A287" t="s">
        <v>38896</v>
      </c>
      <c r="B287" t="s">
        <v>39346</v>
      </c>
      <c r="C287" t="s">
        <v>39378</v>
      </c>
      <c r="D287" t="s">
        <v>39400</v>
      </c>
      <c r="E287" t="s">
        <v>39407</v>
      </c>
      <c r="F287" t="s">
        <v>39410</v>
      </c>
      <c r="G287" t="s">
        <v>39411</v>
      </c>
    </row>
    <row r="288" spans="1:7">
      <c r="A288" t="s">
        <v>38897</v>
      </c>
      <c r="B288" t="s">
        <v>39346</v>
      </c>
      <c r="C288" t="s">
        <v>39378</v>
      </c>
      <c r="D288" t="s">
        <v>39400</v>
      </c>
      <c r="E288" t="s">
        <v>39412</v>
      </c>
      <c r="F288" t="s">
        <v>39413</v>
      </c>
      <c r="G288" t="s">
        <v>39414</v>
      </c>
    </row>
    <row r="289" spans="1:7">
      <c r="A289" t="s">
        <v>38898</v>
      </c>
      <c r="B289" t="s">
        <v>39346</v>
      </c>
      <c r="C289" t="s">
        <v>39378</v>
      </c>
      <c r="D289" t="s">
        <v>39400</v>
      </c>
      <c r="E289" t="s">
        <v>39412</v>
      </c>
      <c r="F289" t="s">
        <v>39413</v>
      </c>
      <c r="G289" t="s">
        <v>39414</v>
      </c>
    </row>
    <row r="290" spans="1:7">
      <c r="A290" t="s">
        <v>38899</v>
      </c>
      <c r="B290" t="s">
        <v>39346</v>
      </c>
      <c r="C290" t="s">
        <v>39378</v>
      </c>
      <c r="D290" t="s">
        <v>39400</v>
      </c>
      <c r="E290" t="s">
        <v>39412</v>
      </c>
      <c r="F290" t="s">
        <v>39415</v>
      </c>
      <c r="G290" t="s">
        <v>39416</v>
      </c>
    </row>
    <row r="291" spans="1:7">
      <c r="A291" t="s">
        <v>38900</v>
      </c>
      <c r="B291" t="s">
        <v>39346</v>
      </c>
      <c r="C291" t="s">
        <v>39378</v>
      </c>
      <c r="D291" t="s">
        <v>39400</v>
      </c>
      <c r="E291" t="s">
        <v>39412</v>
      </c>
      <c r="F291" t="s">
        <v>39415</v>
      </c>
      <c r="G291" t="s">
        <v>39417</v>
      </c>
    </row>
    <row r="292" spans="1:7">
      <c r="A292" t="s">
        <v>38901</v>
      </c>
      <c r="B292" t="s">
        <v>39346</v>
      </c>
      <c r="C292" t="s">
        <v>39378</v>
      </c>
      <c r="D292" t="s">
        <v>39418</v>
      </c>
      <c r="E292" t="s">
        <v>39419</v>
      </c>
      <c r="F292" t="s">
        <v>39420</v>
      </c>
      <c r="G292" t="s">
        <v>39421</v>
      </c>
    </row>
    <row r="293" spans="1:7">
      <c r="A293" t="s">
        <v>38902</v>
      </c>
      <c r="B293" t="s">
        <v>39346</v>
      </c>
      <c r="C293" t="s">
        <v>39378</v>
      </c>
      <c r="D293" t="s">
        <v>39418</v>
      </c>
      <c r="E293" t="s">
        <v>39419</v>
      </c>
      <c r="F293" t="s">
        <v>39420</v>
      </c>
      <c r="G293" t="s">
        <v>39421</v>
      </c>
    </row>
    <row r="294" spans="1:7">
      <c r="A294" t="s">
        <v>38903</v>
      </c>
      <c r="B294" t="s">
        <v>39346</v>
      </c>
      <c r="C294" t="s">
        <v>39378</v>
      </c>
      <c r="D294" t="s">
        <v>39418</v>
      </c>
      <c r="E294" t="s">
        <v>39419</v>
      </c>
      <c r="F294" t="s">
        <v>39420</v>
      </c>
      <c r="G294" t="s">
        <v>39422</v>
      </c>
    </row>
    <row r="295" spans="1:7">
      <c r="A295" t="s">
        <v>38904</v>
      </c>
      <c r="B295" t="s">
        <v>39346</v>
      </c>
      <c r="C295" t="s">
        <v>39378</v>
      </c>
      <c r="D295" t="s">
        <v>39418</v>
      </c>
      <c r="E295" t="s">
        <v>39419</v>
      </c>
      <c r="F295" t="s">
        <v>39420</v>
      </c>
      <c r="G295" t="s">
        <v>39422</v>
      </c>
    </row>
    <row r="296" spans="1:7">
      <c r="A296" t="s">
        <v>38905</v>
      </c>
      <c r="B296" t="s">
        <v>39346</v>
      </c>
      <c r="C296" t="s">
        <v>39378</v>
      </c>
      <c r="D296" t="s">
        <v>39418</v>
      </c>
      <c r="E296" t="s">
        <v>39419</v>
      </c>
      <c r="F296" t="s">
        <v>39420</v>
      </c>
      <c r="G296" t="s">
        <v>39422</v>
      </c>
    </row>
    <row r="297" spans="1:7">
      <c r="A297" t="s">
        <v>38906</v>
      </c>
      <c r="B297" t="s">
        <v>39346</v>
      </c>
      <c r="C297" t="s">
        <v>39378</v>
      </c>
      <c r="D297" t="s">
        <v>39418</v>
      </c>
      <c r="E297" t="s">
        <v>39419</v>
      </c>
      <c r="F297" t="s">
        <v>39420</v>
      </c>
      <c r="G297" t="s">
        <v>39422</v>
      </c>
    </row>
    <row r="298" spans="1:7">
      <c r="A298" t="s">
        <v>38907</v>
      </c>
      <c r="B298" t="s">
        <v>39346</v>
      </c>
      <c r="C298" t="s">
        <v>39378</v>
      </c>
      <c r="D298" t="s">
        <v>39418</v>
      </c>
      <c r="E298" t="s">
        <v>39419</v>
      </c>
      <c r="F298" t="s">
        <v>39420</v>
      </c>
      <c r="G298" t="s">
        <v>39422</v>
      </c>
    </row>
    <row r="299" spans="1:7">
      <c r="A299" t="s">
        <v>38908</v>
      </c>
      <c r="B299" t="s">
        <v>39346</v>
      </c>
      <c r="C299" t="s">
        <v>39378</v>
      </c>
      <c r="D299" t="s">
        <v>39418</v>
      </c>
      <c r="E299" t="s">
        <v>39419</v>
      </c>
      <c r="F299" t="s">
        <v>39420</v>
      </c>
      <c r="G299" t="s">
        <v>39422</v>
      </c>
    </row>
    <row r="300" spans="1:7">
      <c r="A300" t="s">
        <v>38909</v>
      </c>
      <c r="B300" t="s">
        <v>39346</v>
      </c>
      <c r="C300" t="s">
        <v>39378</v>
      </c>
      <c r="D300" t="s">
        <v>39418</v>
      </c>
      <c r="E300" t="s">
        <v>39419</v>
      </c>
      <c r="F300" t="s">
        <v>39420</v>
      </c>
      <c r="G300" t="s">
        <v>39423</v>
      </c>
    </row>
    <row r="301" spans="1:7">
      <c r="A301" t="s">
        <v>38910</v>
      </c>
      <c r="B301" t="s">
        <v>39346</v>
      </c>
      <c r="C301" t="s">
        <v>39378</v>
      </c>
      <c r="D301" t="s">
        <v>39418</v>
      </c>
      <c r="E301" t="s">
        <v>39419</v>
      </c>
      <c r="F301" t="s">
        <v>39424</v>
      </c>
      <c r="G301" t="s">
        <v>39425</v>
      </c>
    </row>
    <row r="302" spans="1:7">
      <c r="A302" t="s">
        <v>38911</v>
      </c>
      <c r="B302" t="s">
        <v>39346</v>
      </c>
      <c r="C302" t="s">
        <v>39378</v>
      </c>
      <c r="D302" t="s">
        <v>39418</v>
      </c>
      <c r="E302" t="s">
        <v>39419</v>
      </c>
      <c r="F302" t="s">
        <v>39426</v>
      </c>
      <c r="G302" t="s">
        <v>39427</v>
      </c>
    </row>
    <row r="303" spans="1:7">
      <c r="A303" t="s">
        <v>38912</v>
      </c>
      <c r="B303" t="s">
        <v>39346</v>
      </c>
      <c r="C303" t="s">
        <v>39378</v>
      </c>
      <c r="D303" t="s">
        <v>39428</v>
      </c>
      <c r="E303" t="s">
        <v>39429</v>
      </c>
      <c r="F303" t="s">
        <v>39430</v>
      </c>
      <c r="G303" t="s">
        <v>39431</v>
      </c>
    </row>
    <row r="304" spans="1:7">
      <c r="A304" t="s">
        <v>38913</v>
      </c>
      <c r="B304" t="s">
        <v>39346</v>
      </c>
      <c r="C304" t="s">
        <v>39378</v>
      </c>
      <c r="D304" t="s">
        <v>39432</v>
      </c>
      <c r="E304" t="s">
        <v>39433</v>
      </c>
      <c r="F304" t="s">
        <v>39434</v>
      </c>
      <c r="G304" t="s">
        <v>39435</v>
      </c>
    </row>
    <row r="305" spans="1:7">
      <c r="A305" t="s">
        <v>38914</v>
      </c>
      <c r="B305" t="s">
        <v>39346</v>
      </c>
      <c r="C305" t="s">
        <v>39378</v>
      </c>
      <c r="D305" t="s">
        <v>39432</v>
      </c>
      <c r="E305" t="s">
        <v>39433</v>
      </c>
      <c r="F305" t="s">
        <v>39434</v>
      </c>
      <c r="G305" t="s">
        <v>39435</v>
      </c>
    </row>
    <row r="306" spans="1:7">
      <c r="A306" t="s">
        <v>38915</v>
      </c>
      <c r="B306" t="s">
        <v>39346</v>
      </c>
      <c r="C306" t="s">
        <v>39378</v>
      </c>
      <c r="D306" t="s">
        <v>39432</v>
      </c>
      <c r="E306" t="s">
        <v>39433</v>
      </c>
      <c r="F306" t="s">
        <v>39434</v>
      </c>
      <c r="G306" t="s">
        <v>39435</v>
      </c>
    </row>
    <row r="307" spans="1:7">
      <c r="A307" t="s">
        <v>38916</v>
      </c>
      <c r="B307" t="s">
        <v>39346</v>
      </c>
      <c r="C307" t="s">
        <v>39378</v>
      </c>
      <c r="D307" t="s">
        <v>39432</v>
      </c>
      <c r="E307" t="s">
        <v>39433</v>
      </c>
      <c r="F307" t="s">
        <v>39434</v>
      </c>
      <c r="G307" t="s">
        <v>39435</v>
      </c>
    </row>
    <row r="308" spans="1:7">
      <c r="A308" t="s">
        <v>38917</v>
      </c>
      <c r="B308" t="s">
        <v>39346</v>
      </c>
      <c r="C308" t="s">
        <v>39378</v>
      </c>
      <c r="D308" t="s">
        <v>39432</v>
      </c>
      <c r="E308" t="s">
        <v>39433</v>
      </c>
      <c r="F308" t="s">
        <v>39434</v>
      </c>
      <c r="G308" t="s">
        <v>39435</v>
      </c>
    </row>
    <row r="309" spans="1:7">
      <c r="A309" t="s">
        <v>38918</v>
      </c>
      <c r="B309" t="s">
        <v>39346</v>
      </c>
      <c r="C309" t="s">
        <v>39378</v>
      </c>
      <c r="D309" t="s">
        <v>39432</v>
      </c>
      <c r="E309" t="s">
        <v>39433</v>
      </c>
      <c r="F309" t="s">
        <v>39434</v>
      </c>
      <c r="G309" t="s">
        <v>39435</v>
      </c>
    </row>
    <row r="310" spans="1:7">
      <c r="A310" t="s">
        <v>38919</v>
      </c>
      <c r="B310" t="s">
        <v>39346</v>
      </c>
      <c r="C310" t="s">
        <v>39436</v>
      </c>
      <c r="D310" t="s">
        <v>39437</v>
      </c>
      <c r="E310" t="s">
        <v>39438</v>
      </c>
      <c r="F310" t="s">
        <v>39439</v>
      </c>
      <c r="G310" t="s">
        <v>39440</v>
      </c>
    </row>
    <row r="311" spans="1:7">
      <c r="A311" t="s">
        <v>38920</v>
      </c>
      <c r="B311" t="s">
        <v>39346</v>
      </c>
      <c r="C311" t="s">
        <v>39436</v>
      </c>
      <c r="D311" t="s">
        <v>39437</v>
      </c>
      <c r="E311" t="s">
        <v>39438</v>
      </c>
      <c r="F311" t="s">
        <v>39441</v>
      </c>
      <c r="G311" t="s">
        <v>39442</v>
      </c>
    </row>
    <row r="312" spans="1:7">
      <c r="A312" t="s">
        <v>38921</v>
      </c>
      <c r="B312" t="s">
        <v>39346</v>
      </c>
      <c r="C312" t="s">
        <v>39436</v>
      </c>
      <c r="D312" t="s">
        <v>39437</v>
      </c>
      <c r="E312" t="s">
        <v>39443</v>
      </c>
      <c r="F312" t="s">
        <v>39444</v>
      </c>
      <c r="G312" t="s">
        <v>39445</v>
      </c>
    </row>
    <row r="313" spans="1:7">
      <c r="A313" t="s">
        <v>38922</v>
      </c>
      <c r="B313" t="s">
        <v>39346</v>
      </c>
      <c r="C313" t="s">
        <v>39436</v>
      </c>
      <c r="D313" t="s">
        <v>39446</v>
      </c>
      <c r="E313" t="s">
        <v>39447</v>
      </c>
      <c r="F313" t="s">
        <v>39448</v>
      </c>
      <c r="G313" t="s">
        <v>39449</v>
      </c>
    </row>
    <row r="314" spans="1:7">
      <c r="A314" t="s">
        <v>38923</v>
      </c>
      <c r="B314" t="s">
        <v>39346</v>
      </c>
      <c r="C314" t="s">
        <v>39436</v>
      </c>
      <c r="D314" t="s">
        <v>39446</v>
      </c>
      <c r="E314" t="s">
        <v>39447</v>
      </c>
      <c r="F314" t="s">
        <v>39448</v>
      </c>
      <c r="G314" t="s">
        <v>39449</v>
      </c>
    </row>
    <row r="315" spans="1:7">
      <c r="A315" t="s">
        <v>38924</v>
      </c>
      <c r="B315" t="s">
        <v>39346</v>
      </c>
      <c r="C315" t="s">
        <v>39450</v>
      </c>
      <c r="D315" t="s">
        <v>39451</v>
      </c>
      <c r="E315" t="s">
        <v>39452</v>
      </c>
      <c r="F315" t="s">
        <v>39453</v>
      </c>
      <c r="G315" t="s">
        <v>39454</v>
      </c>
    </row>
    <row r="316" spans="1:7">
      <c r="A316" t="s">
        <v>38925</v>
      </c>
      <c r="B316" t="s">
        <v>39346</v>
      </c>
      <c r="C316" t="s">
        <v>39450</v>
      </c>
      <c r="D316" t="s">
        <v>39455</v>
      </c>
      <c r="E316" t="s">
        <v>39456</v>
      </c>
      <c r="F316" t="s">
        <v>39457</v>
      </c>
      <c r="G316" t="s">
        <v>39458</v>
      </c>
    </row>
    <row r="317" spans="1:7">
      <c r="A317" t="s">
        <v>38926</v>
      </c>
      <c r="B317" t="s">
        <v>39346</v>
      </c>
      <c r="C317" t="s">
        <v>39450</v>
      </c>
      <c r="D317" t="s">
        <v>39455</v>
      </c>
      <c r="E317" t="s">
        <v>39456</v>
      </c>
      <c r="F317" t="s">
        <v>39457</v>
      </c>
      <c r="G317" t="s">
        <v>39458</v>
      </c>
    </row>
    <row r="318" spans="1:7">
      <c r="A318" t="s">
        <v>38927</v>
      </c>
      <c r="B318" t="s">
        <v>39346</v>
      </c>
      <c r="C318" t="s">
        <v>39450</v>
      </c>
      <c r="D318" t="s">
        <v>39455</v>
      </c>
      <c r="E318" t="s">
        <v>39459</v>
      </c>
      <c r="F318" t="s">
        <v>39460</v>
      </c>
      <c r="G318" t="s">
        <v>39461</v>
      </c>
    </row>
    <row r="319" spans="1:7">
      <c r="A319" t="s">
        <v>38928</v>
      </c>
      <c r="B319" t="s">
        <v>39346</v>
      </c>
      <c r="C319" t="s">
        <v>39450</v>
      </c>
      <c r="D319" t="s">
        <v>39455</v>
      </c>
      <c r="E319" t="s">
        <v>39459</v>
      </c>
      <c r="F319" t="s">
        <v>39460</v>
      </c>
      <c r="G319" t="s">
        <v>39461</v>
      </c>
    </row>
    <row r="320" spans="1:7">
      <c r="A320" t="s">
        <v>38929</v>
      </c>
      <c r="B320" t="s">
        <v>39346</v>
      </c>
      <c r="C320" t="s">
        <v>39450</v>
      </c>
      <c r="D320" t="s">
        <v>39462</v>
      </c>
      <c r="E320" t="s">
        <v>39463</v>
      </c>
      <c r="F320" t="s">
        <v>39464</v>
      </c>
      <c r="G320" t="s">
        <v>39465</v>
      </c>
    </row>
    <row r="321" spans="1:7">
      <c r="A321" t="s">
        <v>38930</v>
      </c>
      <c r="B321" t="s">
        <v>39346</v>
      </c>
      <c r="C321" t="s">
        <v>39450</v>
      </c>
      <c r="D321" t="s">
        <v>39466</v>
      </c>
      <c r="E321" t="s">
        <v>39467</v>
      </c>
      <c r="F321" t="s">
        <v>39468</v>
      </c>
      <c r="G321" t="s">
        <v>39469</v>
      </c>
    </row>
    <row r="322" spans="1:7">
      <c r="A322" t="s">
        <v>38931</v>
      </c>
      <c r="B322" t="s">
        <v>39346</v>
      </c>
      <c r="C322" t="s">
        <v>39450</v>
      </c>
      <c r="D322" t="s">
        <v>39466</v>
      </c>
      <c r="E322" t="s">
        <v>39467</v>
      </c>
      <c r="F322" t="s">
        <v>39468</v>
      </c>
      <c r="G322" t="s">
        <v>39470</v>
      </c>
    </row>
    <row r="323" spans="1:7">
      <c r="A323" t="s">
        <v>38932</v>
      </c>
      <c r="B323" t="s">
        <v>39346</v>
      </c>
      <c r="C323" t="s">
        <v>39450</v>
      </c>
      <c r="D323" t="s">
        <v>39466</v>
      </c>
      <c r="E323" t="s">
        <v>39467</v>
      </c>
      <c r="F323" t="s">
        <v>39468</v>
      </c>
      <c r="G323" t="s">
        <v>39470</v>
      </c>
    </row>
    <row r="324" spans="1:7">
      <c r="A324" t="s">
        <v>38933</v>
      </c>
      <c r="B324" t="s">
        <v>39346</v>
      </c>
      <c r="C324" t="s">
        <v>39450</v>
      </c>
      <c r="D324" t="s">
        <v>39466</v>
      </c>
      <c r="E324" t="s">
        <v>39467</v>
      </c>
      <c r="F324" t="s">
        <v>39468</v>
      </c>
      <c r="G324" t="s">
        <v>39470</v>
      </c>
    </row>
    <row r="325" spans="1:7">
      <c r="A325" t="s">
        <v>38934</v>
      </c>
      <c r="B325" t="s">
        <v>39346</v>
      </c>
      <c r="C325" t="s">
        <v>39450</v>
      </c>
      <c r="D325" t="s">
        <v>39466</v>
      </c>
      <c r="E325" t="s">
        <v>39467</v>
      </c>
      <c r="F325" t="s">
        <v>39471</v>
      </c>
      <c r="G325" t="s">
        <v>39472</v>
      </c>
    </row>
    <row r="326" spans="1:7">
      <c r="A326" t="s">
        <v>38935</v>
      </c>
      <c r="B326" t="s">
        <v>39346</v>
      </c>
      <c r="C326" t="s">
        <v>39450</v>
      </c>
      <c r="D326" t="s">
        <v>39466</v>
      </c>
      <c r="E326" t="s">
        <v>39467</v>
      </c>
      <c r="F326" t="s">
        <v>39471</v>
      </c>
      <c r="G326" t="s">
        <v>39472</v>
      </c>
    </row>
    <row r="327" spans="1:7">
      <c r="A327" t="s">
        <v>38936</v>
      </c>
      <c r="B327" t="s">
        <v>39346</v>
      </c>
      <c r="C327" t="s">
        <v>39450</v>
      </c>
      <c r="D327" t="s">
        <v>39466</v>
      </c>
      <c r="E327" t="s">
        <v>39467</v>
      </c>
      <c r="F327" t="s">
        <v>39471</v>
      </c>
      <c r="G327" t="s">
        <v>39472</v>
      </c>
    </row>
    <row r="328" spans="1:7">
      <c r="A328" t="s">
        <v>38937</v>
      </c>
      <c r="B328" t="s">
        <v>39346</v>
      </c>
      <c r="C328" t="s">
        <v>39450</v>
      </c>
      <c r="D328" t="s">
        <v>39466</v>
      </c>
      <c r="E328" t="s">
        <v>39467</v>
      </c>
      <c r="F328" t="s">
        <v>39473</v>
      </c>
      <c r="G328" t="s">
        <v>39474</v>
      </c>
    </row>
    <row r="329" spans="1:7">
      <c r="A329" t="s">
        <v>38938</v>
      </c>
      <c r="B329" t="s">
        <v>39346</v>
      </c>
      <c r="C329" t="s">
        <v>39450</v>
      </c>
      <c r="D329" t="s">
        <v>39466</v>
      </c>
      <c r="E329" t="s">
        <v>39467</v>
      </c>
      <c r="F329" t="s">
        <v>39473</v>
      </c>
      <c r="G329" t="s">
        <v>39475</v>
      </c>
    </row>
    <row r="330" spans="1:7">
      <c r="A330" t="s">
        <v>38939</v>
      </c>
      <c r="B330" t="s">
        <v>39346</v>
      </c>
      <c r="C330" t="s">
        <v>39450</v>
      </c>
      <c r="D330" t="s">
        <v>39476</v>
      </c>
      <c r="E330" t="s">
        <v>39477</v>
      </c>
      <c r="F330" t="s">
        <v>39478</v>
      </c>
      <c r="G330" t="s">
        <v>39479</v>
      </c>
    </row>
    <row r="331" spans="1:7">
      <c r="A331" t="s">
        <v>38940</v>
      </c>
      <c r="B331" t="s">
        <v>39346</v>
      </c>
      <c r="C331" t="s">
        <v>39450</v>
      </c>
      <c r="D331" t="s">
        <v>39476</v>
      </c>
      <c r="E331" t="s">
        <v>39477</v>
      </c>
      <c r="F331" t="s">
        <v>39478</v>
      </c>
      <c r="G331" t="s">
        <v>39479</v>
      </c>
    </row>
    <row r="332" spans="1:7">
      <c r="A332" t="s">
        <v>38941</v>
      </c>
      <c r="B332" t="s">
        <v>39346</v>
      </c>
      <c r="C332" t="s">
        <v>39450</v>
      </c>
      <c r="D332" t="s">
        <v>39476</v>
      </c>
      <c r="E332" t="s">
        <v>39477</v>
      </c>
      <c r="F332" t="s">
        <v>39478</v>
      </c>
      <c r="G332" t="s">
        <v>39479</v>
      </c>
    </row>
    <row r="333" spans="1:7">
      <c r="A333" t="s">
        <v>38942</v>
      </c>
      <c r="B333" t="s">
        <v>39346</v>
      </c>
      <c r="C333" t="s">
        <v>39450</v>
      </c>
      <c r="D333" t="s">
        <v>39476</v>
      </c>
      <c r="E333" t="s">
        <v>39477</v>
      </c>
      <c r="F333" t="s">
        <v>39478</v>
      </c>
      <c r="G333" t="s">
        <v>39479</v>
      </c>
    </row>
    <row r="334" spans="1:7">
      <c r="A334" t="s">
        <v>38943</v>
      </c>
      <c r="B334" t="s">
        <v>39346</v>
      </c>
      <c r="C334" t="s">
        <v>39450</v>
      </c>
      <c r="D334" t="s">
        <v>39480</v>
      </c>
      <c r="E334" t="s">
        <v>39481</v>
      </c>
      <c r="F334" t="s">
        <v>39482</v>
      </c>
      <c r="G334" t="s">
        <v>39483</v>
      </c>
    </row>
    <row r="335" spans="1:7">
      <c r="A335" t="s">
        <v>38944</v>
      </c>
      <c r="B335" t="s">
        <v>39346</v>
      </c>
      <c r="C335" t="s">
        <v>39450</v>
      </c>
      <c r="D335" t="s">
        <v>39480</v>
      </c>
      <c r="E335" t="s">
        <v>39484</v>
      </c>
      <c r="F335" t="s">
        <v>39485</v>
      </c>
      <c r="G335" t="s">
        <v>39486</v>
      </c>
    </row>
    <row r="336" spans="1:7">
      <c r="A336" t="s">
        <v>38945</v>
      </c>
      <c r="B336" t="s">
        <v>39346</v>
      </c>
      <c r="C336" t="s">
        <v>39450</v>
      </c>
      <c r="D336" t="s">
        <v>39487</v>
      </c>
      <c r="E336" t="s">
        <v>39488</v>
      </c>
      <c r="F336" t="s">
        <v>39489</v>
      </c>
      <c r="G336" t="s">
        <v>39490</v>
      </c>
    </row>
    <row r="337" spans="1:7">
      <c r="A337" t="s">
        <v>38946</v>
      </c>
      <c r="B337" t="s">
        <v>39346</v>
      </c>
      <c r="C337" t="s">
        <v>39450</v>
      </c>
      <c r="D337" t="s">
        <v>39487</v>
      </c>
      <c r="E337" t="s">
        <v>39488</v>
      </c>
      <c r="F337" t="s">
        <v>39489</v>
      </c>
      <c r="G337" t="s">
        <v>39491</v>
      </c>
    </row>
    <row r="338" spans="1:7">
      <c r="A338" t="s">
        <v>38947</v>
      </c>
      <c r="B338" t="s">
        <v>39346</v>
      </c>
      <c r="C338" t="s">
        <v>39450</v>
      </c>
      <c r="D338" t="s">
        <v>39487</v>
      </c>
      <c r="E338" t="s">
        <v>39488</v>
      </c>
      <c r="F338" t="s">
        <v>39489</v>
      </c>
      <c r="G338" t="s">
        <v>39491</v>
      </c>
    </row>
    <row r="339" spans="1:7">
      <c r="A339" t="s">
        <v>38948</v>
      </c>
      <c r="B339" t="s">
        <v>39346</v>
      </c>
      <c r="C339" t="s">
        <v>39450</v>
      </c>
      <c r="D339" t="s">
        <v>39487</v>
      </c>
      <c r="E339" t="s">
        <v>39488</v>
      </c>
      <c r="F339" t="s">
        <v>39489</v>
      </c>
      <c r="G339" t="s">
        <v>39491</v>
      </c>
    </row>
    <row r="340" spans="1:7">
      <c r="A340" t="s">
        <v>38949</v>
      </c>
      <c r="B340" t="s">
        <v>39346</v>
      </c>
      <c r="C340" t="s">
        <v>39492</v>
      </c>
      <c r="D340" t="s">
        <v>39493</v>
      </c>
      <c r="E340" t="s">
        <v>39494</v>
      </c>
      <c r="F340" t="s">
        <v>39495</v>
      </c>
      <c r="G340" t="s">
        <v>39496</v>
      </c>
    </row>
    <row r="341" spans="1:7">
      <c r="A341" t="s">
        <v>38950</v>
      </c>
      <c r="B341" t="s">
        <v>39346</v>
      </c>
      <c r="C341" t="s">
        <v>39492</v>
      </c>
      <c r="D341" t="s">
        <v>39493</v>
      </c>
      <c r="E341" t="s">
        <v>39494</v>
      </c>
      <c r="F341" t="s">
        <v>39495</v>
      </c>
      <c r="G341" t="s">
        <v>39496</v>
      </c>
    </row>
    <row r="342" spans="1:7">
      <c r="A342" t="s">
        <v>38951</v>
      </c>
      <c r="B342" t="s">
        <v>39346</v>
      </c>
      <c r="C342" t="s">
        <v>39492</v>
      </c>
      <c r="D342" t="s">
        <v>39493</v>
      </c>
      <c r="E342" t="s">
        <v>39494</v>
      </c>
      <c r="F342" t="s">
        <v>39495</v>
      </c>
      <c r="G342" t="s">
        <v>39496</v>
      </c>
    </row>
    <row r="343" spans="1:7">
      <c r="A343" t="s">
        <v>38952</v>
      </c>
      <c r="B343" t="s">
        <v>39346</v>
      </c>
      <c r="C343" t="s">
        <v>39492</v>
      </c>
      <c r="D343" t="s">
        <v>39493</v>
      </c>
      <c r="E343" t="s">
        <v>39494</v>
      </c>
      <c r="F343" t="s">
        <v>39495</v>
      </c>
      <c r="G343" t="s">
        <v>39496</v>
      </c>
    </row>
    <row r="344" spans="1:7">
      <c r="A344" t="s">
        <v>38953</v>
      </c>
      <c r="B344" t="s">
        <v>39346</v>
      </c>
      <c r="C344" t="s">
        <v>39492</v>
      </c>
      <c r="D344" t="s">
        <v>39493</v>
      </c>
      <c r="E344" t="s">
        <v>39494</v>
      </c>
      <c r="F344" t="s">
        <v>39495</v>
      </c>
      <c r="G344" t="s">
        <v>39496</v>
      </c>
    </row>
    <row r="345" spans="1:7">
      <c r="A345" t="s">
        <v>38954</v>
      </c>
      <c r="B345" t="s">
        <v>39346</v>
      </c>
      <c r="C345" t="s">
        <v>39492</v>
      </c>
      <c r="D345" t="s">
        <v>39493</v>
      </c>
      <c r="E345" t="s">
        <v>39494</v>
      </c>
      <c r="F345" t="s">
        <v>39495</v>
      </c>
      <c r="G345" t="s">
        <v>39496</v>
      </c>
    </row>
    <row r="346" spans="1:7">
      <c r="A346" t="s">
        <v>38955</v>
      </c>
      <c r="B346" t="s">
        <v>39346</v>
      </c>
      <c r="C346" t="s">
        <v>39492</v>
      </c>
      <c r="D346" t="s">
        <v>39493</v>
      </c>
      <c r="E346" t="s">
        <v>39494</v>
      </c>
      <c r="F346" t="s">
        <v>39495</v>
      </c>
      <c r="G346" t="s">
        <v>39496</v>
      </c>
    </row>
    <row r="347" spans="1:7">
      <c r="A347" t="s">
        <v>38956</v>
      </c>
      <c r="B347" t="s">
        <v>39346</v>
      </c>
      <c r="C347" t="s">
        <v>39492</v>
      </c>
      <c r="D347" t="s">
        <v>39493</v>
      </c>
      <c r="E347" t="s">
        <v>39494</v>
      </c>
      <c r="F347" t="s">
        <v>39495</v>
      </c>
      <c r="G347" t="s">
        <v>39496</v>
      </c>
    </row>
    <row r="348" spans="1:7">
      <c r="A348" t="s">
        <v>38957</v>
      </c>
      <c r="B348" t="s">
        <v>39346</v>
      </c>
      <c r="C348" t="s">
        <v>39492</v>
      </c>
      <c r="D348" t="s">
        <v>39493</v>
      </c>
      <c r="E348" t="s">
        <v>39494</v>
      </c>
      <c r="F348" t="s">
        <v>39495</v>
      </c>
      <c r="G348" t="s">
        <v>39496</v>
      </c>
    </row>
    <row r="349" spans="1:7">
      <c r="A349" t="s">
        <v>38958</v>
      </c>
      <c r="B349" t="s">
        <v>39346</v>
      </c>
      <c r="C349" t="s">
        <v>39492</v>
      </c>
      <c r="D349" t="s">
        <v>39493</v>
      </c>
      <c r="E349" t="s">
        <v>39494</v>
      </c>
      <c r="F349" t="s">
        <v>39495</v>
      </c>
      <c r="G349" t="s">
        <v>39496</v>
      </c>
    </row>
    <row r="350" spans="1:7">
      <c r="A350" t="s">
        <v>38959</v>
      </c>
      <c r="B350" t="s">
        <v>39497</v>
      </c>
      <c r="C350" t="s">
        <v>39498</v>
      </c>
      <c r="D350" t="s">
        <v>39499</v>
      </c>
      <c r="E350" t="s">
        <v>39500</v>
      </c>
      <c r="F350" t="s">
        <v>39501</v>
      </c>
      <c r="G350" t="s">
        <v>39502</v>
      </c>
    </row>
    <row r="351" spans="1:7">
      <c r="A351" t="s">
        <v>38960</v>
      </c>
      <c r="B351" t="s">
        <v>39497</v>
      </c>
      <c r="C351" t="s">
        <v>39498</v>
      </c>
      <c r="D351" t="s">
        <v>39503</v>
      </c>
      <c r="E351" t="s">
        <v>39504</v>
      </c>
      <c r="F351" t="s">
        <v>39505</v>
      </c>
      <c r="G351" t="s">
        <v>39506</v>
      </c>
    </row>
    <row r="352" spans="1:7">
      <c r="A352" t="s">
        <v>38961</v>
      </c>
      <c r="B352" t="s">
        <v>39507</v>
      </c>
      <c r="C352" t="s">
        <v>39508</v>
      </c>
      <c r="D352" t="s">
        <v>39509</v>
      </c>
      <c r="E352" t="s">
        <v>39510</v>
      </c>
      <c r="F352" t="s">
        <v>39511</v>
      </c>
      <c r="G352" t="s">
        <v>39512</v>
      </c>
    </row>
    <row r="353" spans="1:7">
      <c r="A353" t="s">
        <v>38962</v>
      </c>
      <c r="B353" t="s">
        <v>39507</v>
      </c>
      <c r="C353" t="s">
        <v>39508</v>
      </c>
      <c r="D353" t="s">
        <v>39509</v>
      </c>
      <c r="E353" t="s">
        <v>39510</v>
      </c>
      <c r="F353" t="s">
        <v>39511</v>
      </c>
      <c r="G353" t="s">
        <v>39512</v>
      </c>
    </row>
    <row r="354" spans="1:7">
      <c r="A354" t="s">
        <v>38963</v>
      </c>
      <c r="B354" t="s">
        <v>39507</v>
      </c>
      <c r="C354" t="s">
        <v>39508</v>
      </c>
      <c r="D354" t="s">
        <v>39509</v>
      </c>
      <c r="E354" t="s">
        <v>39510</v>
      </c>
      <c r="F354" t="s">
        <v>39511</v>
      </c>
      <c r="G354" t="s">
        <v>39512</v>
      </c>
    </row>
    <row r="355" spans="1:7">
      <c r="A355" t="s">
        <v>38964</v>
      </c>
      <c r="B355" t="s">
        <v>39507</v>
      </c>
      <c r="C355" t="s">
        <v>39513</v>
      </c>
      <c r="D355" t="s">
        <v>39514</v>
      </c>
      <c r="E355" t="s">
        <v>39515</v>
      </c>
      <c r="F355" t="s">
        <v>39516</v>
      </c>
      <c r="G355" t="s">
        <v>39517</v>
      </c>
    </row>
    <row r="356" spans="1:7">
      <c r="A356" t="s">
        <v>38965</v>
      </c>
      <c r="B356" t="s">
        <v>39507</v>
      </c>
      <c r="C356" t="s">
        <v>39513</v>
      </c>
      <c r="D356" t="s">
        <v>39514</v>
      </c>
      <c r="E356" t="s">
        <v>39515</v>
      </c>
      <c r="F356" t="s">
        <v>39518</v>
      </c>
      <c r="G356" t="s">
        <v>39519</v>
      </c>
    </row>
    <row r="357" spans="1:7">
      <c r="A357" t="s">
        <v>38966</v>
      </c>
      <c r="B357" t="s">
        <v>39507</v>
      </c>
      <c r="C357" t="s">
        <v>39513</v>
      </c>
      <c r="D357" t="s">
        <v>39514</v>
      </c>
      <c r="E357" t="s">
        <v>39515</v>
      </c>
      <c r="F357" t="s">
        <v>39518</v>
      </c>
      <c r="G357" t="s">
        <v>39519</v>
      </c>
    </row>
    <row r="358" spans="1:7">
      <c r="A358" t="s">
        <v>38967</v>
      </c>
      <c r="B358" t="s">
        <v>39507</v>
      </c>
      <c r="C358" t="s">
        <v>39513</v>
      </c>
      <c r="D358" t="s">
        <v>39514</v>
      </c>
      <c r="E358" t="s">
        <v>39515</v>
      </c>
      <c r="F358" t="s">
        <v>39518</v>
      </c>
      <c r="G358" t="s">
        <v>39519</v>
      </c>
    </row>
    <row r="359" spans="1:7">
      <c r="A359" t="s">
        <v>38968</v>
      </c>
      <c r="B359" t="s">
        <v>39507</v>
      </c>
      <c r="C359" t="s">
        <v>39513</v>
      </c>
      <c r="D359" t="s">
        <v>39514</v>
      </c>
      <c r="E359" t="s">
        <v>39515</v>
      </c>
      <c r="F359" t="s">
        <v>39518</v>
      </c>
      <c r="G359" t="s">
        <v>39519</v>
      </c>
    </row>
    <row r="360" spans="1:7">
      <c r="A360" t="s">
        <v>38969</v>
      </c>
      <c r="B360" t="s">
        <v>39507</v>
      </c>
      <c r="C360" t="s">
        <v>39513</v>
      </c>
      <c r="D360" t="s">
        <v>39514</v>
      </c>
      <c r="E360" t="s">
        <v>39515</v>
      </c>
      <c r="F360" t="s">
        <v>39518</v>
      </c>
      <c r="G360" t="s">
        <v>39519</v>
      </c>
    </row>
    <row r="361" spans="1:7">
      <c r="A361" t="s">
        <v>38970</v>
      </c>
      <c r="B361" t="s">
        <v>39507</v>
      </c>
      <c r="C361" t="s">
        <v>39513</v>
      </c>
      <c r="D361" t="s">
        <v>39514</v>
      </c>
      <c r="E361" t="s">
        <v>39515</v>
      </c>
      <c r="F361" t="s">
        <v>39518</v>
      </c>
      <c r="G361" t="s">
        <v>39520</v>
      </c>
    </row>
    <row r="362" spans="1:7">
      <c r="A362" t="s">
        <v>38971</v>
      </c>
      <c r="B362" t="s">
        <v>39507</v>
      </c>
      <c r="C362" t="s">
        <v>39513</v>
      </c>
      <c r="D362" t="s">
        <v>39514</v>
      </c>
      <c r="E362" t="s">
        <v>39515</v>
      </c>
      <c r="F362" t="s">
        <v>39518</v>
      </c>
      <c r="G362" t="s">
        <v>39520</v>
      </c>
    </row>
    <row r="363" spans="1:7">
      <c r="A363" t="s">
        <v>38972</v>
      </c>
      <c r="B363" t="s">
        <v>39507</v>
      </c>
      <c r="C363" t="s">
        <v>39513</v>
      </c>
      <c r="D363" t="s">
        <v>39514</v>
      </c>
      <c r="E363" t="s">
        <v>39515</v>
      </c>
      <c r="F363" t="s">
        <v>39518</v>
      </c>
      <c r="G363" t="s">
        <v>39520</v>
      </c>
    </row>
    <row r="364" spans="1:7">
      <c r="A364" t="s">
        <v>38973</v>
      </c>
      <c r="B364" t="s">
        <v>39507</v>
      </c>
      <c r="C364" t="s">
        <v>39513</v>
      </c>
      <c r="D364" t="s">
        <v>39514</v>
      </c>
      <c r="E364" t="s">
        <v>39515</v>
      </c>
      <c r="F364" t="s">
        <v>39518</v>
      </c>
      <c r="G364" t="s">
        <v>39521</v>
      </c>
    </row>
    <row r="365" spans="1:7">
      <c r="A365" t="s">
        <v>38974</v>
      </c>
      <c r="B365" t="s">
        <v>39507</v>
      </c>
      <c r="C365" t="s">
        <v>39513</v>
      </c>
      <c r="D365" t="s">
        <v>39514</v>
      </c>
      <c r="E365" t="s">
        <v>39515</v>
      </c>
      <c r="F365" t="s">
        <v>39518</v>
      </c>
      <c r="G365" t="s">
        <v>39522</v>
      </c>
    </row>
    <row r="366" spans="1:7">
      <c r="A366" t="s">
        <v>38975</v>
      </c>
      <c r="B366" t="s">
        <v>39507</v>
      </c>
      <c r="C366" t="s">
        <v>39513</v>
      </c>
      <c r="D366" t="s">
        <v>39523</v>
      </c>
      <c r="E366" t="s">
        <v>39524</v>
      </c>
      <c r="F366" t="s">
        <v>39525</v>
      </c>
      <c r="G366" t="s">
        <v>39526</v>
      </c>
    </row>
    <row r="367" spans="1:7">
      <c r="A367" t="s">
        <v>38976</v>
      </c>
      <c r="B367" t="s">
        <v>39507</v>
      </c>
      <c r="C367" t="s">
        <v>39513</v>
      </c>
      <c r="D367" t="s">
        <v>39523</v>
      </c>
      <c r="E367" t="s">
        <v>39524</v>
      </c>
      <c r="F367" t="s">
        <v>39525</v>
      </c>
      <c r="G367" t="s">
        <v>39527</v>
      </c>
    </row>
    <row r="368" spans="1:7">
      <c r="A368" t="s">
        <v>38977</v>
      </c>
      <c r="B368" t="s">
        <v>39507</v>
      </c>
      <c r="C368" t="s">
        <v>39513</v>
      </c>
      <c r="D368" t="s">
        <v>39523</v>
      </c>
      <c r="E368" t="s">
        <v>39524</v>
      </c>
      <c r="F368" t="s">
        <v>39528</v>
      </c>
      <c r="G368" t="s">
        <v>39529</v>
      </c>
    </row>
    <row r="369" spans="1:7">
      <c r="A369" t="s">
        <v>38978</v>
      </c>
      <c r="B369" t="s">
        <v>39507</v>
      </c>
      <c r="C369" t="s">
        <v>39513</v>
      </c>
      <c r="D369" t="s">
        <v>39523</v>
      </c>
      <c r="E369" t="s">
        <v>39524</v>
      </c>
      <c r="F369" t="s">
        <v>39528</v>
      </c>
      <c r="G369" t="s">
        <v>39529</v>
      </c>
    </row>
    <row r="370" spans="1:7">
      <c r="A370" t="s">
        <v>38979</v>
      </c>
      <c r="B370" t="s">
        <v>39507</v>
      </c>
      <c r="C370" t="s">
        <v>39513</v>
      </c>
      <c r="D370" t="s">
        <v>39523</v>
      </c>
      <c r="E370" t="s">
        <v>39524</v>
      </c>
      <c r="F370" t="s">
        <v>39528</v>
      </c>
      <c r="G370" t="s">
        <v>39529</v>
      </c>
    </row>
    <row r="371" spans="1:7">
      <c r="A371" t="s">
        <v>38980</v>
      </c>
      <c r="B371" t="s">
        <v>39507</v>
      </c>
      <c r="C371" t="s">
        <v>39513</v>
      </c>
      <c r="D371" t="s">
        <v>39523</v>
      </c>
      <c r="E371" t="s">
        <v>39524</v>
      </c>
      <c r="F371" t="s">
        <v>39528</v>
      </c>
      <c r="G371" t="s">
        <v>39529</v>
      </c>
    </row>
    <row r="372" spans="1:7">
      <c r="A372" t="s">
        <v>38981</v>
      </c>
      <c r="B372" t="s">
        <v>39507</v>
      </c>
      <c r="C372" t="s">
        <v>39513</v>
      </c>
      <c r="D372" t="s">
        <v>39523</v>
      </c>
      <c r="E372" t="s">
        <v>39524</v>
      </c>
      <c r="F372" t="s">
        <v>39528</v>
      </c>
      <c r="G372" t="s">
        <v>39530</v>
      </c>
    </row>
    <row r="373" spans="1:7">
      <c r="A373" t="s">
        <v>38982</v>
      </c>
      <c r="B373" t="s">
        <v>39507</v>
      </c>
      <c r="C373" t="s">
        <v>39513</v>
      </c>
      <c r="D373" t="s">
        <v>39523</v>
      </c>
      <c r="E373" t="s">
        <v>39524</v>
      </c>
      <c r="F373" t="s">
        <v>39528</v>
      </c>
      <c r="G373" t="s">
        <v>39531</v>
      </c>
    </row>
    <row r="374" spans="1:7">
      <c r="A374" t="s">
        <v>38983</v>
      </c>
      <c r="B374" t="s">
        <v>39507</v>
      </c>
      <c r="C374" t="s">
        <v>39513</v>
      </c>
      <c r="D374" t="s">
        <v>39523</v>
      </c>
      <c r="E374" t="s">
        <v>39524</v>
      </c>
      <c r="F374" t="s">
        <v>39528</v>
      </c>
      <c r="G374" t="s">
        <v>39532</v>
      </c>
    </row>
    <row r="375" spans="1:7">
      <c r="A375" t="s">
        <v>38984</v>
      </c>
      <c r="B375" t="s">
        <v>39507</v>
      </c>
      <c r="C375" t="s">
        <v>39513</v>
      </c>
      <c r="D375" t="s">
        <v>39523</v>
      </c>
      <c r="E375" t="s">
        <v>39524</v>
      </c>
      <c r="F375" t="s">
        <v>39528</v>
      </c>
      <c r="G375" t="s">
        <v>39532</v>
      </c>
    </row>
    <row r="376" spans="1:7">
      <c r="A376" t="s">
        <v>38985</v>
      </c>
      <c r="B376" t="s">
        <v>39507</v>
      </c>
      <c r="C376" t="s">
        <v>39513</v>
      </c>
      <c r="D376" t="s">
        <v>39523</v>
      </c>
      <c r="E376" t="s">
        <v>39524</v>
      </c>
      <c r="F376" t="s">
        <v>39533</v>
      </c>
      <c r="G376" t="s">
        <v>39534</v>
      </c>
    </row>
    <row r="377" spans="1:7">
      <c r="A377" t="s">
        <v>38986</v>
      </c>
      <c r="B377" t="s">
        <v>39507</v>
      </c>
      <c r="C377" t="s">
        <v>39513</v>
      </c>
      <c r="D377" t="s">
        <v>39523</v>
      </c>
      <c r="E377" t="s">
        <v>39524</v>
      </c>
      <c r="F377" t="s">
        <v>39533</v>
      </c>
      <c r="G377" t="s">
        <v>39534</v>
      </c>
    </row>
    <row r="378" spans="1:7">
      <c r="A378" t="s">
        <v>38987</v>
      </c>
      <c r="B378" t="s">
        <v>39507</v>
      </c>
      <c r="C378" t="s">
        <v>39513</v>
      </c>
      <c r="D378" t="s">
        <v>39523</v>
      </c>
      <c r="E378" t="s">
        <v>39524</v>
      </c>
      <c r="F378" t="s">
        <v>39535</v>
      </c>
      <c r="G378" t="s">
        <v>39536</v>
      </c>
    </row>
    <row r="379" spans="1:7">
      <c r="A379" t="s">
        <v>38988</v>
      </c>
      <c r="B379" t="s">
        <v>39507</v>
      </c>
      <c r="C379" t="s">
        <v>39513</v>
      </c>
      <c r="D379" t="s">
        <v>39523</v>
      </c>
      <c r="E379" t="s">
        <v>39524</v>
      </c>
      <c r="F379" t="s">
        <v>39537</v>
      </c>
      <c r="G379" t="s">
        <v>39538</v>
      </c>
    </row>
    <row r="380" spans="1:7">
      <c r="A380" t="s">
        <v>38989</v>
      </c>
      <c r="B380" t="s">
        <v>39507</v>
      </c>
      <c r="C380" t="s">
        <v>39513</v>
      </c>
      <c r="D380" t="s">
        <v>39539</v>
      </c>
      <c r="E380" t="s">
        <v>39540</v>
      </c>
      <c r="F380" t="s">
        <v>39541</v>
      </c>
      <c r="G380" t="s">
        <v>39542</v>
      </c>
    </row>
    <row r="381" spans="1:7">
      <c r="A381" t="s">
        <v>38990</v>
      </c>
      <c r="B381" t="s">
        <v>39507</v>
      </c>
      <c r="C381" t="s">
        <v>39513</v>
      </c>
      <c r="D381" t="s">
        <v>39539</v>
      </c>
      <c r="E381" t="s">
        <v>39540</v>
      </c>
      <c r="F381" t="s">
        <v>39541</v>
      </c>
      <c r="G381" t="s">
        <v>39542</v>
      </c>
    </row>
    <row r="382" spans="1:7">
      <c r="A382" t="s">
        <v>38991</v>
      </c>
      <c r="B382" t="s">
        <v>39507</v>
      </c>
      <c r="C382" t="s">
        <v>39513</v>
      </c>
      <c r="D382" t="s">
        <v>39543</v>
      </c>
      <c r="E382" t="s">
        <v>39544</v>
      </c>
      <c r="F382" t="s">
        <v>39545</v>
      </c>
      <c r="G382" t="s">
        <v>39546</v>
      </c>
    </row>
    <row r="383" spans="1:7">
      <c r="A383" t="s">
        <v>38992</v>
      </c>
      <c r="B383" t="s">
        <v>39507</v>
      </c>
      <c r="C383" t="s">
        <v>39513</v>
      </c>
      <c r="D383" t="s">
        <v>39543</v>
      </c>
      <c r="E383" t="s">
        <v>39544</v>
      </c>
      <c r="F383" t="s">
        <v>39545</v>
      </c>
      <c r="G383" t="s">
        <v>39546</v>
      </c>
    </row>
    <row r="384" spans="1:7">
      <c r="A384" t="s">
        <v>38993</v>
      </c>
      <c r="B384" t="s">
        <v>39507</v>
      </c>
      <c r="C384" t="s">
        <v>39513</v>
      </c>
      <c r="D384" t="s">
        <v>39543</v>
      </c>
      <c r="E384" t="s">
        <v>39544</v>
      </c>
      <c r="F384" t="s">
        <v>39545</v>
      </c>
      <c r="G384" t="s">
        <v>39546</v>
      </c>
    </row>
    <row r="385" spans="1:7">
      <c r="A385" t="s">
        <v>38994</v>
      </c>
      <c r="B385" t="s">
        <v>39507</v>
      </c>
      <c r="C385" t="s">
        <v>39513</v>
      </c>
      <c r="D385" t="s">
        <v>39547</v>
      </c>
      <c r="E385" t="s">
        <v>39548</v>
      </c>
      <c r="F385" t="s">
        <v>39549</v>
      </c>
      <c r="G385" t="s">
        <v>39550</v>
      </c>
    </row>
    <row r="386" spans="1:7">
      <c r="A386" t="s">
        <v>38995</v>
      </c>
      <c r="B386" t="s">
        <v>39507</v>
      </c>
      <c r="C386" t="s">
        <v>39513</v>
      </c>
      <c r="D386" t="s">
        <v>39551</v>
      </c>
      <c r="E386" t="s">
        <v>39552</v>
      </c>
      <c r="F386" t="s">
        <v>39553</v>
      </c>
      <c r="G386" t="s">
        <v>39554</v>
      </c>
    </row>
    <row r="387" spans="1:7">
      <c r="A387" t="s">
        <v>38996</v>
      </c>
      <c r="B387" t="s">
        <v>39507</v>
      </c>
      <c r="C387" t="s">
        <v>39555</v>
      </c>
      <c r="D387" t="s">
        <v>39556</v>
      </c>
      <c r="E387" t="s">
        <v>39557</v>
      </c>
      <c r="F387" t="s">
        <v>39558</v>
      </c>
      <c r="G387" t="s">
        <v>39559</v>
      </c>
    </row>
    <row r="388" spans="1:7">
      <c r="A388" t="s">
        <v>38997</v>
      </c>
      <c r="B388" t="s">
        <v>39507</v>
      </c>
      <c r="C388" t="s">
        <v>39555</v>
      </c>
      <c r="D388" t="s">
        <v>39556</v>
      </c>
      <c r="E388" t="s">
        <v>39557</v>
      </c>
      <c r="F388" t="s">
        <v>39558</v>
      </c>
      <c r="G388" t="s">
        <v>39559</v>
      </c>
    </row>
    <row r="389" spans="1:7">
      <c r="A389" t="s">
        <v>38998</v>
      </c>
      <c r="B389" t="s">
        <v>39507</v>
      </c>
      <c r="C389" t="s">
        <v>39555</v>
      </c>
      <c r="D389" t="s">
        <v>39556</v>
      </c>
      <c r="E389" t="s">
        <v>39557</v>
      </c>
      <c r="F389" t="s">
        <v>39560</v>
      </c>
      <c r="G389" t="s">
        <v>39561</v>
      </c>
    </row>
    <row r="390" spans="1:7">
      <c r="A390" t="s">
        <v>38999</v>
      </c>
      <c r="B390" t="s">
        <v>39507</v>
      </c>
      <c r="C390" t="s">
        <v>39555</v>
      </c>
      <c r="D390" t="s">
        <v>39556</v>
      </c>
      <c r="E390" t="s">
        <v>39557</v>
      </c>
      <c r="F390" t="s">
        <v>39560</v>
      </c>
      <c r="G390" t="s">
        <v>39561</v>
      </c>
    </row>
    <row r="391" spans="1:7">
      <c r="A391" t="s">
        <v>39000</v>
      </c>
      <c r="B391" t="s">
        <v>39507</v>
      </c>
      <c r="C391" t="s">
        <v>39555</v>
      </c>
      <c r="D391" t="s">
        <v>39556</v>
      </c>
      <c r="E391" t="s">
        <v>39557</v>
      </c>
      <c r="F391" t="s">
        <v>39562</v>
      </c>
      <c r="G391" t="s">
        <v>39563</v>
      </c>
    </row>
    <row r="392" spans="1:7">
      <c r="A392" t="s">
        <v>39001</v>
      </c>
      <c r="B392" t="s">
        <v>39507</v>
      </c>
      <c r="C392" t="s">
        <v>39555</v>
      </c>
      <c r="D392" t="s">
        <v>39556</v>
      </c>
      <c r="E392" t="s">
        <v>39557</v>
      </c>
      <c r="F392" t="s">
        <v>39562</v>
      </c>
      <c r="G392" t="s">
        <v>39563</v>
      </c>
    </row>
    <row r="393" spans="1:7">
      <c r="A393" t="s">
        <v>39002</v>
      </c>
      <c r="B393" t="s">
        <v>39507</v>
      </c>
      <c r="C393" t="s">
        <v>39555</v>
      </c>
      <c r="D393" t="s">
        <v>39556</v>
      </c>
      <c r="E393" t="s">
        <v>39557</v>
      </c>
      <c r="F393" t="s">
        <v>39562</v>
      </c>
      <c r="G393" t="s">
        <v>39563</v>
      </c>
    </row>
    <row r="394" spans="1:7">
      <c r="A394" t="s">
        <v>39003</v>
      </c>
      <c r="B394" t="s">
        <v>39507</v>
      </c>
      <c r="C394" t="s">
        <v>39555</v>
      </c>
      <c r="D394" t="s">
        <v>39556</v>
      </c>
      <c r="E394" t="s">
        <v>39557</v>
      </c>
      <c r="F394" t="s">
        <v>39562</v>
      </c>
      <c r="G394" t="s">
        <v>39563</v>
      </c>
    </row>
    <row r="395" spans="1:7">
      <c r="A395" t="s">
        <v>39004</v>
      </c>
      <c r="B395" t="s">
        <v>39507</v>
      </c>
      <c r="C395" t="s">
        <v>39555</v>
      </c>
      <c r="D395" t="s">
        <v>39556</v>
      </c>
      <c r="E395" t="s">
        <v>39564</v>
      </c>
      <c r="F395" t="s">
        <v>39565</v>
      </c>
      <c r="G395" t="s">
        <v>39566</v>
      </c>
    </row>
    <row r="396" spans="1:7">
      <c r="A396" t="s">
        <v>39005</v>
      </c>
      <c r="B396" t="s">
        <v>39507</v>
      </c>
      <c r="C396" t="s">
        <v>39555</v>
      </c>
      <c r="D396" t="s">
        <v>39556</v>
      </c>
      <c r="E396" t="s">
        <v>39564</v>
      </c>
      <c r="F396" t="s">
        <v>39565</v>
      </c>
      <c r="G396" t="s">
        <v>39566</v>
      </c>
    </row>
    <row r="397" spans="1:7">
      <c r="A397" t="s">
        <v>39006</v>
      </c>
      <c r="B397" t="s">
        <v>39507</v>
      </c>
      <c r="C397" t="s">
        <v>39555</v>
      </c>
      <c r="D397" t="s">
        <v>39567</v>
      </c>
      <c r="E397" t="s">
        <v>39568</v>
      </c>
      <c r="F397" t="s">
        <v>39569</v>
      </c>
      <c r="G397" t="s">
        <v>39570</v>
      </c>
    </row>
    <row r="398" spans="1:7">
      <c r="A398" t="s">
        <v>39007</v>
      </c>
      <c r="B398" t="s">
        <v>39507</v>
      </c>
      <c r="C398" t="s">
        <v>39555</v>
      </c>
      <c r="D398" t="s">
        <v>39571</v>
      </c>
      <c r="E398" t="s">
        <v>39572</v>
      </c>
      <c r="F398" t="s">
        <v>39573</v>
      </c>
      <c r="G398" t="s">
        <v>39574</v>
      </c>
    </row>
    <row r="399" spans="1:7">
      <c r="A399" t="s">
        <v>39008</v>
      </c>
      <c r="B399" t="s">
        <v>39507</v>
      </c>
      <c r="C399" t="s">
        <v>39555</v>
      </c>
      <c r="D399" t="s">
        <v>39575</v>
      </c>
      <c r="E399" t="s">
        <v>39576</v>
      </c>
      <c r="F399" t="s">
        <v>39577</v>
      </c>
      <c r="G399" t="s">
        <v>39578</v>
      </c>
    </row>
    <row r="400" spans="1:7">
      <c r="A400" t="s">
        <v>39009</v>
      </c>
      <c r="B400" t="s">
        <v>39507</v>
      </c>
      <c r="C400" t="s">
        <v>39555</v>
      </c>
      <c r="D400" t="s">
        <v>39575</v>
      </c>
      <c r="E400" t="s">
        <v>39576</v>
      </c>
      <c r="F400" t="s">
        <v>39577</v>
      </c>
      <c r="G400" t="s">
        <v>39578</v>
      </c>
    </row>
    <row r="401" spans="1:7">
      <c r="A401" t="s">
        <v>39010</v>
      </c>
      <c r="B401" t="s">
        <v>39507</v>
      </c>
      <c r="C401" t="s">
        <v>39555</v>
      </c>
      <c r="D401" t="s">
        <v>39575</v>
      </c>
      <c r="E401" t="s">
        <v>39576</v>
      </c>
      <c r="F401" t="s">
        <v>39577</v>
      </c>
      <c r="G401" t="s">
        <v>39578</v>
      </c>
    </row>
    <row r="402" spans="1:7">
      <c r="A402" t="s">
        <v>39011</v>
      </c>
      <c r="B402" t="s">
        <v>39507</v>
      </c>
      <c r="C402" t="s">
        <v>39579</v>
      </c>
      <c r="D402" t="s">
        <v>39580</v>
      </c>
      <c r="E402" t="s">
        <v>39581</v>
      </c>
      <c r="F402" t="s">
        <v>39582</v>
      </c>
      <c r="G402" t="s">
        <v>39583</v>
      </c>
    </row>
    <row r="403" spans="1:7">
      <c r="A403" t="s">
        <v>39012</v>
      </c>
      <c r="B403" t="s">
        <v>39507</v>
      </c>
      <c r="C403" t="s">
        <v>39579</v>
      </c>
      <c r="D403" t="s">
        <v>39580</v>
      </c>
      <c r="E403" t="s">
        <v>39581</v>
      </c>
      <c r="F403" t="s">
        <v>39582</v>
      </c>
      <c r="G403" t="s">
        <v>39584</v>
      </c>
    </row>
    <row r="404" spans="1:7">
      <c r="A404" t="s">
        <v>39013</v>
      </c>
      <c r="B404" t="s">
        <v>39507</v>
      </c>
      <c r="C404" t="s">
        <v>39579</v>
      </c>
      <c r="D404" t="s">
        <v>39580</v>
      </c>
      <c r="E404" t="s">
        <v>39581</v>
      </c>
      <c r="F404" t="s">
        <v>39582</v>
      </c>
      <c r="G404" t="s">
        <v>39584</v>
      </c>
    </row>
    <row r="405" spans="1:7">
      <c r="A405" t="s">
        <v>39014</v>
      </c>
      <c r="B405" t="s">
        <v>39507</v>
      </c>
      <c r="C405" t="s">
        <v>39579</v>
      </c>
      <c r="D405" t="s">
        <v>39580</v>
      </c>
      <c r="E405" t="s">
        <v>39581</v>
      </c>
      <c r="F405" t="s">
        <v>39582</v>
      </c>
      <c r="G405" t="s">
        <v>39585</v>
      </c>
    </row>
    <row r="406" spans="1:7">
      <c r="A406" t="s">
        <v>39015</v>
      </c>
      <c r="B406" t="s">
        <v>39507</v>
      </c>
      <c r="C406" t="s">
        <v>39579</v>
      </c>
      <c r="D406" t="s">
        <v>39580</v>
      </c>
      <c r="E406" t="s">
        <v>39581</v>
      </c>
      <c r="F406" t="s">
        <v>39582</v>
      </c>
      <c r="G406" t="s">
        <v>39585</v>
      </c>
    </row>
    <row r="407" spans="1:7">
      <c r="A407" t="s">
        <v>39016</v>
      </c>
      <c r="B407" t="s">
        <v>39507</v>
      </c>
      <c r="C407" t="s">
        <v>39579</v>
      </c>
      <c r="D407" t="s">
        <v>39580</v>
      </c>
      <c r="E407" t="s">
        <v>39586</v>
      </c>
      <c r="F407" t="s">
        <v>39587</v>
      </c>
      <c r="G407" t="s">
        <v>39588</v>
      </c>
    </row>
    <row r="408" spans="1:7">
      <c r="A408" t="s">
        <v>39017</v>
      </c>
      <c r="B408" t="s">
        <v>39507</v>
      </c>
      <c r="C408" t="s">
        <v>39579</v>
      </c>
      <c r="D408" t="s">
        <v>39580</v>
      </c>
      <c r="E408" t="s">
        <v>39589</v>
      </c>
      <c r="F408" t="s">
        <v>39590</v>
      </c>
      <c r="G408" t="s">
        <v>39591</v>
      </c>
    </row>
    <row r="409" spans="1:7">
      <c r="A409" t="s">
        <v>39018</v>
      </c>
      <c r="B409" t="s">
        <v>39507</v>
      </c>
      <c r="C409" t="s">
        <v>39579</v>
      </c>
      <c r="D409" t="s">
        <v>39580</v>
      </c>
      <c r="E409" t="s">
        <v>39589</v>
      </c>
      <c r="F409" t="s">
        <v>39590</v>
      </c>
      <c r="G409" t="s">
        <v>39592</v>
      </c>
    </row>
    <row r="410" spans="1:7">
      <c r="A410" t="s">
        <v>39019</v>
      </c>
      <c r="B410" t="s">
        <v>39507</v>
      </c>
      <c r="C410" t="s">
        <v>39579</v>
      </c>
      <c r="D410" t="s">
        <v>39580</v>
      </c>
      <c r="E410" t="s">
        <v>39589</v>
      </c>
      <c r="F410" t="s">
        <v>39590</v>
      </c>
      <c r="G410" t="s">
        <v>39592</v>
      </c>
    </row>
    <row r="411" spans="1:7">
      <c r="A411" t="s">
        <v>39020</v>
      </c>
      <c r="B411" t="s">
        <v>39507</v>
      </c>
      <c r="C411" t="s">
        <v>39579</v>
      </c>
      <c r="D411" t="s">
        <v>39580</v>
      </c>
      <c r="E411" t="s">
        <v>39589</v>
      </c>
      <c r="F411" t="s">
        <v>39590</v>
      </c>
      <c r="G411" t="s">
        <v>39592</v>
      </c>
    </row>
    <row r="412" spans="1:7">
      <c r="A412" t="s">
        <v>39021</v>
      </c>
      <c r="B412" t="s">
        <v>39507</v>
      </c>
      <c r="C412" t="s">
        <v>39579</v>
      </c>
      <c r="D412" t="s">
        <v>39580</v>
      </c>
      <c r="E412" t="s">
        <v>39589</v>
      </c>
      <c r="F412" t="s">
        <v>39590</v>
      </c>
      <c r="G412" t="s">
        <v>39592</v>
      </c>
    </row>
    <row r="413" spans="1:7">
      <c r="A413" t="s">
        <v>39022</v>
      </c>
      <c r="B413" t="s">
        <v>39507</v>
      </c>
      <c r="C413" t="s">
        <v>39579</v>
      </c>
      <c r="D413" t="s">
        <v>39580</v>
      </c>
      <c r="E413" t="s">
        <v>39589</v>
      </c>
      <c r="F413" t="s">
        <v>39590</v>
      </c>
      <c r="G413" t="s">
        <v>39592</v>
      </c>
    </row>
    <row r="414" spans="1:7">
      <c r="A414" s="53"/>
      <c r="B414" s="53"/>
      <c r="C414" s="53"/>
      <c r="D414" s="53"/>
      <c r="E414" s="53"/>
      <c r="F414" s="53"/>
      <c r="G414" s="5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DE6C7-9BD8-8C4A-B85C-E407D3418ECD}">
  <dimension ref="A1:D64"/>
  <sheetViews>
    <sheetView workbookViewId="0">
      <selection sqref="A1:XFD1048576"/>
    </sheetView>
  </sheetViews>
  <sheetFormatPr baseColWidth="10" defaultRowHeight="16"/>
  <cols>
    <col min="1" max="1" width="12" bestFit="1" customWidth="1"/>
  </cols>
  <sheetData>
    <row r="1" spans="1:4">
      <c r="A1" t="s">
        <v>39593</v>
      </c>
      <c r="B1" t="s">
        <v>39594</v>
      </c>
      <c r="C1" t="s">
        <v>39595</v>
      </c>
      <c r="D1" s="35" t="s">
        <v>39596</v>
      </c>
    </row>
    <row r="2" spans="1:4">
      <c r="A2" t="s">
        <v>38548</v>
      </c>
      <c r="B2">
        <v>2016</v>
      </c>
      <c r="C2" s="35" t="s">
        <v>39597</v>
      </c>
      <c r="D2" s="54" t="s">
        <v>39598</v>
      </c>
    </row>
    <row r="3" spans="1:4">
      <c r="A3" t="s">
        <v>38549</v>
      </c>
      <c r="B3">
        <v>2016</v>
      </c>
      <c r="C3" s="35" t="s">
        <v>39597</v>
      </c>
      <c r="D3" s="54" t="s">
        <v>39598</v>
      </c>
    </row>
    <row r="4" spans="1:4">
      <c r="A4" t="s">
        <v>38550</v>
      </c>
      <c r="B4">
        <v>2016</v>
      </c>
      <c r="C4" s="35" t="s">
        <v>39597</v>
      </c>
      <c r="D4" s="54" t="s">
        <v>39598</v>
      </c>
    </row>
    <row r="5" spans="1:4">
      <c r="A5" t="s">
        <v>38551</v>
      </c>
      <c r="B5">
        <v>2016</v>
      </c>
      <c r="C5" s="35" t="s">
        <v>39597</v>
      </c>
      <c r="D5" s="54" t="s">
        <v>39598</v>
      </c>
    </row>
    <row r="6" spans="1:4">
      <c r="A6" t="s">
        <v>38552</v>
      </c>
      <c r="B6">
        <v>2016</v>
      </c>
      <c r="C6" s="35" t="s">
        <v>39599</v>
      </c>
      <c r="D6" s="54" t="s">
        <v>39600</v>
      </c>
    </row>
    <row r="7" spans="1:4">
      <c r="A7" t="s">
        <v>38553</v>
      </c>
      <c r="B7">
        <v>2016</v>
      </c>
      <c r="C7" s="35" t="s">
        <v>39599</v>
      </c>
      <c r="D7" s="54" t="s">
        <v>39600</v>
      </c>
    </row>
    <row r="8" spans="1:4">
      <c r="A8" t="s">
        <v>38554</v>
      </c>
      <c r="B8">
        <v>2016</v>
      </c>
      <c r="C8" s="35" t="s">
        <v>39599</v>
      </c>
      <c r="D8" s="54" t="s">
        <v>39600</v>
      </c>
    </row>
    <row r="9" spans="1:4">
      <c r="A9" t="s">
        <v>38555</v>
      </c>
      <c r="B9">
        <v>2017</v>
      </c>
      <c r="C9" s="35" t="s">
        <v>39601</v>
      </c>
      <c r="D9" s="54" t="s">
        <v>39602</v>
      </c>
    </row>
    <row r="10" spans="1:4">
      <c r="A10" t="s">
        <v>38556</v>
      </c>
      <c r="B10">
        <v>2017</v>
      </c>
      <c r="C10" s="35" t="s">
        <v>39601</v>
      </c>
      <c r="D10" s="54" t="s">
        <v>39602</v>
      </c>
    </row>
    <row r="11" spans="1:4">
      <c r="A11" t="s">
        <v>38557</v>
      </c>
      <c r="B11">
        <v>2017</v>
      </c>
      <c r="C11" s="35" t="s">
        <v>39601</v>
      </c>
      <c r="D11" s="54" t="s">
        <v>39602</v>
      </c>
    </row>
    <row r="12" spans="1:4">
      <c r="A12" t="s">
        <v>38558</v>
      </c>
      <c r="B12">
        <v>2017</v>
      </c>
      <c r="C12" s="35" t="s">
        <v>39603</v>
      </c>
      <c r="D12" s="54" t="s">
        <v>39604</v>
      </c>
    </row>
    <row r="13" spans="1:4">
      <c r="A13" t="s">
        <v>38559</v>
      </c>
      <c r="B13">
        <v>2017</v>
      </c>
      <c r="C13" s="35" t="s">
        <v>39603</v>
      </c>
      <c r="D13" s="54" t="s">
        <v>39604</v>
      </c>
    </row>
    <row r="14" spans="1:4">
      <c r="A14" t="s">
        <v>38560</v>
      </c>
      <c r="B14">
        <v>2017</v>
      </c>
      <c r="C14" s="35" t="s">
        <v>39603</v>
      </c>
      <c r="D14" s="54" t="s">
        <v>39604</v>
      </c>
    </row>
    <row r="15" spans="1:4">
      <c r="A15" t="s">
        <v>38561</v>
      </c>
      <c r="B15">
        <v>2017</v>
      </c>
      <c r="C15" s="35" t="s">
        <v>39603</v>
      </c>
      <c r="D15" s="54" t="s">
        <v>39604</v>
      </c>
    </row>
    <row r="16" spans="1:4">
      <c r="A16" t="s">
        <v>38562</v>
      </c>
      <c r="B16">
        <v>2017</v>
      </c>
      <c r="C16" s="35" t="s">
        <v>39605</v>
      </c>
      <c r="D16" s="54" t="s">
        <v>39606</v>
      </c>
    </row>
    <row r="17" spans="1:4">
      <c r="A17" t="s">
        <v>38563</v>
      </c>
      <c r="B17">
        <v>2017</v>
      </c>
      <c r="C17" s="35" t="s">
        <v>39605</v>
      </c>
      <c r="D17" s="54" t="s">
        <v>39606</v>
      </c>
    </row>
    <row r="18" spans="1:4">
      <c r="A18" t="s">
        <v>38564</v>
      </c>
      <c r="B18">
        <v>2017</v>
      </c>
      <c r="C18" s="35" t="s">
        <v>39605</v>
      </c>
      <c r="D18" s="54" t="s">
        <v>39606</v>
      </c>
    </row>
    <row r="19" spans="1:4">
      <c r="A19" t="s">
        <v>38565</v>
      </c>
      <c r="B19">
        <v>2017</v>
      </c>
      <c r="C19" s="35" t="s">
        <v>39605</v>
      </c>
      <c r="D19" s="54" t="s">
        <v>39606</v>
      </c>
    </row>
    <row r="20" spans="1:4">
      <c r="A20" t="s">
        <v>38566</v>
      </c>
      <c r="B20">
        <v>2017</v>
      </c>
      <c r="C20" s="35" t="s">
        <v>39607</v>
      </c>
      <c r="D20" s="54" t="s">
        <v>39608</v>
      </c>
    </row>
    <row r="21" spans="1:4">
      <c r="A21" t="s">
        <v>38567</v>
      </c>
      <c r="B21">
        <v>2017</v>
      </c>
      <c r="C21" s="35" t="s">
        <v>39607</v>
      </c>
      <c r="D21" s="54" t="s">
        <v>39608</v>
      </c>
    </row>
    <row r="22" spans="1:4">
      <c r="A22" t="s">
        <v>38568</v>
      </c>
      <c r="B22">
        <v>2017</v>
      </c>
      <c r="C22" s="35" t="s">
        <v>39607</v>
      </c>
      <c r="D22" s="54" t="s">
        <v>39608</v>
      </c>
    </row>
    <row r="23" spans="1:4">
      <c r="A23" t="s">
        <v>38569</v>
      </c>
      <c r="B23">
        <v>2017</v>
      </c>
      <c r="C23" s="35" t="s">
        <v>39607</v>
      </c>
      <c r="D23" s="54" t="s">
        <v>39608</v>
      </c>
    </row>
    <row r="24" spans="1:4">
      <c r="A24" t="s">
        <v>38570</v>
      </c>
      <c r="B24">
        <v>2017</v>
      </c>
      <c r="C24" s="35" t="s">
        <v>39609</v>
      </c>
      <c r="D24" s="54" t="s">
        <v>39610</v>
      </c>
    </row>
    <row r="25" spans="1:4">
      <c r="A25" t="s">
        <v>38571</v>
      </c>
      <c r="B25">
        <v>2017</v>
      </c>
      <c r="C25" s="35" t="s">
        <v>39609</v>
      </c>
      <c r="D25" s="54" t="s">
        <v>39610</v>
      </c>
    </row>
    <row r="26" spans="1:4">
      <c r="A26" t="s">
        <v>38572</v>
      </c>
      <c r="B26">
        <v>2017</v>
      </c>
      <c r="C26" s="35" t="s">
        <v>39609</v>
      </c>
      <c r="D26" s="54" t="s">
        <v>39610</v>
      </c>
    </row>
    <row r="27" spans="1:4">
      <c r="A27" t="s">
        <v>38573</v>
      </c>
      <c r="B27">
        <v>2017</v>
      </c>
      <c r="C27" s="35" t="s">
        <v>39609</v>
      </c>
      <c r="D27" s="54" t="s">
        <v>39610</v>
      </c>
    </row>
    <row r="28" spans="1:4">
      <c r="A28" t="s">
        <v>38574</v>
      </c>
      <c r="B28">
        <v>2017</v>
      </c>
      <c r="C28" s="35" t="s">
        <v>39609</v>
      </c>
      <c r="D28" s="54" t="s">
        <v>39610</v>
      </c>
    </row>
    <row r="29" spans="1:4">
      <c r="A29" t="s">
        <v>38575</v>
      </c>
      <c r="B29">
        <v>2017</v>
      </c>
      <c r="C29" s="35" t="s">
        <v>39611</v>
      </c>
      <c r="D29" s="54" t="s">
        <v>39612</v>
      </c>
    </row>
    <row r="30" spans="1:4">
      <c r="A30" t="s">
        <v>38576</v>
      </c>
      <c r="B30">
        <v>2017</v>
      </c>
      <c r="C30" s="35" t="s">
        <v>39611</v>
      </c>
      <c r="D30" s="54" t="s">
        <v>39612</v>
      </c>
    </row>
    <row r="31" spans="1:4">
      <c r="A31" t="s">
        <v>38577</v>
      </c>
      <c r="B31">
        <v>2017</v>
      </c>
      <c r="C31" s="35" t="s">
        <v>39611</v>
      </c>
      <c r="D31" s="54" t="s">
        <v>39612</v>
      </c>
    </row>
    <row r="32" spans="1:4">
      <c r="A32" t="s">
        <v>38578</v>
      </c>
      <c r="B32">
        <v>2017</v>
      </c>
      <c r="C32" s="35" t="s">
        <v>39611</v>
      </c>
      <c r="D32" s="54" t="s">
        <v>39612</v>
      </c>
    </row>
    <row r="33" spans="1:4">
      <c r="A33" t="s">
        <v>38579</v>
      </c>
      <c r="B33">
        <v>2017</v>
      </c>
      <c r="C33" s="35" t="s">
        <v>39613</v>
      </c>
      <c r="D33" s="54" t="s">
        <v>39614</v>
      </c>
    </row>
    <row r="34" spans="1:4">
      <c r="A34" t="s">
        <v>38580</v>
      </c>
      <c r="B34">
        <v>2017</v>
      </c>
      <c r="C34" s="35" t="s">
        <v>39613</v>
      </c>
      <c r="D34" s="54" t="s">
        <v>39614</v>
      </c>
    </row>
    <row r="35" spans="1:4">
      <c r="A35" t="s">
        <v>38581</v>
      </c>
      <c r="B35">
        <v>2017</v>
      </c>
      <c r="C35" s="35" t="s">
        <v>39613</v>
      </c>
      <c r="D35" s="54" t="s">
        <v>39614</v>
      </c>
    </row>
    <row r="36" spans="1:4">
      <c r="A36" t="s">
        <v>38582</v>
      </c>
      <c r="B36">
        <v>2017</v>
      </c>
      <c r="C36" s="35" t="s">
        <v>39615</v>
      </c>
      <c r="D36" s="54" t="s">
        <v>39616</v>
      </c>
    </row>
    <row r="37" spans="1:4">
      <c r="A37" t="s">
        <v>38583</v>
      </c>
      <c r="B37">
        <v>2017</v>
      </c>
      <c r="C37" s="35" t="s">
        <v>39615</v>
      </c>
      <c r="D37" s="54" t="s">
        <v>39616</v>
      </c>
    </row>
    <row r="38" spans="1:4">
      <c r="A38" t="s">
        <v>38584</v>
      </c>
      <c r="B38">
        <v>2017</v>
      </c>
      <c r="C38" s="35" t="s">
        <v>39615</v>
      </c>
      <c r="D38" s="54" t="s">
        <v>39616</v>
      </c>
    </row>
    <row r="39" spans="1:4">
      <c r="A39" t="s">
        <v>38585</v>
      </c>
      <c r="B39">
        <v>2017</v>
      </c>
      <c r="C39" s="35" t="s">
        <v>39615</v>
      </c>
      <c r="D39" s="54" t="s">
        <v>39616</v>
      </c>
    </row>
    <row r="40" spans="1:4">
      <c r="A40" t="s">
        <v>38586</v>
      </c>
      <c r="B40">
        <v>2017</v>
      </c>
      <c r="C40" s="35" t="s">
        <v>39597</v>
      </c>
      <c r="D40" s="54" t="s">
        <v>39617</v>
      </c>
    </row>
    <row r="41" spans="1:4">
      <c r="A41" t="s">
        <v>38587</v>
      </c>
      <c r="B41">
        <v>2017</v>
      </c>
      <c r="C41" s="35" t="s">
        <v>39597</v>
      </c>
      <c r="D41" s="54" t="s">
        <v>39617</v>
      </c>
    </row>
    <row r="42" spans="1:4">
      <c r="A42" t="s">
        <v>38588</v>
      </c>
      <c r="B42">
        <v>2017</v>
      </c>
      <c r="C42" s="35" t="s">
        <v>39597</v>
      </c>
      <c r="D42" s="54" t="s">
        <v>39617</v>
      </c>
    </row>
    <row r="43" spans="1:4">
      <c r="A43" t="s">
        <v>38589</v>
      </c>
      <c r="B43">
        <v>2017</v>
      </c>
      <c r="C43" s="35" t="s">
        <v>39599</v>
      </c>
      <c r="D43" s="54" t="s">
        <v>39618</v>
      </c>
    </row>
    <row r="44" spans="1:4">
      <c r="A44" t="s">
        <v>38590</v>
      </c>
      <c r="B44">
        <v>2017</v>
      </c>
      <c r="C44" s="35" t="s">
        <v>39599</v>
      </c>
      <c r="D44" s="54" t="s">
        <v>39618</v>
      </c>
    </row>
    <row r="45" spans="1:4">
      <c r="A45" t="s">
        <v>38591</v>
      </c>
      <c r="B45">
        <v>2018</v>
      </c>
      <c r="C45" s="35" t="s">
        <v>39601</v>
      </c>
      <c r="D45" s="54" t="s">
        <v>39619</v>
      </c>
    </row>
    <row r="46" spans="1:4">
      <c r="A46" t="s">
        <v>38592</v>
      </c>
      <c r="B46">
        <v>2018</v>
      </c>
      <c r="C46" s="35" t="s">
        <v>39601</v>
      </c>
      <c r="D46" s="54" t="s">
        <v>39619</v>
      </c>
    </row>
    <row r="47" spans="1:4">
      <c r="A47" t="s">
        <v>38593</v>
      </c>
      <c r="B47">
        <v>2018</v>
      </c>
      <c r="C47" s="35" t="s">
        <v>39601</v>
      </c>
      <c r="D47" s="54" t="s">
        <v>39619</v>
      </c>
    </row>
    <row r="48" spans="1:4">
      <c r="A48" t="s">
        <v>38594</v>
      </c>
      <c r="B48">
        <v>2018</v>
      </c>
      <c r="C48" s="35" t="s">
        <v>39603</v>
      </c>
      <c r="D48" s="54" t="s">
        <v>39620</v>
      </c>
    </row>
    <row r="49" spans="1:4">
      <c r="A49" t="s">
        <v>38595</v>
      </c>
      <c r="B49">
        <v>2018</v>
      </c>
      <c r="C49" s="35" t="s">
        <v>39607</v>
      </c>
      <c r="D49" s="54" t="s">
        <v>39621</v>
      </c>
    </row>
    <row r="50" spans="1:4">
      <c r="A50" t="s">
        <v>38596</v>
      </c>
      <c r="B50">
        <v>2018</v>
      </c>
      <c r="C50" s="35" t="s">
        <v>39607</v>
      </c>
      <c r="D50" s="54" t="s">
        <v>39621</v>
      </c>
    </row>
    <row r="51" spans="1:4">
      <c r="A51" t="s">
        <v>38597</v>
      </c>
      <c r="B51">
        <v>2018</v>
      </c>
      <c r="C51" s="35" t="s">
        <v>39607</v>
      </c>
      <c r="D51" s="54" t="s">
        <v>39621</v>
      </c>
    </row>
    <row r="52" spans="1:4">
      <c r="A52" t="s">
        <v>38598</v>
      </c>
      <c r="B52">
        <v>2018</v>
      </c>
      <c r="C52" s="35" t="s">
        <v>39609</v>
      </c>
      <c r="D52" s="54" t="s">
        <v>39622</v>
      </c>
    </row>
    <row r="53" spans="1:4">
      <c r="A53" t="s">
        <v>38599</v>
      </c>
      <c r="B53">
        <v>2018</v>
      </c>
      <c r="C53" s="35" t="s">
        <v>39609</v>
      </c>
      <c r="D53" s="54" t="s">
        <v>39622</v>
      </c>
    </row>
    <row r="54" spans="1:4">
      <c r="A54" t="s">
        <v>38600</v>
      </c>
      <c r="B54">
        <v>2018</v>
      </c>
      <c r="C54" s="35" t="s">
        <v>39609</v>
      </c>
      <c r="D54" s="54" t="s">
        <v>39622</v>
      </c>
    </row>
    <row r="55" spans="1:4">
      <c r="A55" t="s">
        <v>38601</v>
      </c>
      <c r="B55">
        <v>2018</v>
      </c>
      <c r="C55" s="35" t="s">
        <v>39623</v>
      </c>
      <c r="D55" s="54" t="s">
        <v>39624</v>
      </c>
    </row>
    <row r="56" spans="1:4">
      <c r="A56" t="s">
        <v>38602</v>
      </c>
      <c r="B56">
        <v>2018</v>
      </c>
      <c r="C56" s="35" t="s">
        <v>39623</v>
      </c>
      <c r="D56" s="54" t="s">
        <v>39624</v>
      </c>
    </row>
    <row r="57" spans="1:4">
      <c r="A57" t="s">
        <v>38603</v>
      </c>
      <c r="B57">
        <v>2018</v>
      </c>
      <c r="C57" s="35" t="s">
        <v>39613</v>
      </c>
      <c r="D57" s="54" t="s">
        <v>39625</v>
      </c>
    </row>
    <row r="58" spans="1:4">
      <c r="A58" t="s">
        <v>38604</v>
      </c>
      <c r="B58">
        <v>2018</v>
      </c>
      <c r="C58" s="35" t="s">
        <v>39613</v>
      </c>
      <c r="D58" s="54" t="s">
        <v>39625</v>
      </c>
    </row>
    <row r="59" spans="1:4">
      <c r="A59" t="s">
        <v>38605</v>
      </c>
      <c r="B59">
        <v>2018</v>
      </c>
      <c r="C59" s="35" t="s">
        <v>39613</v>
      </c>
      <c r="D59" s="54" t="s">
        <v>39625</v>
      </c>
    </row>
    <row r="60" spans="1:4">
      <c r="A60" t="s">
        <v>38606</v>
      </c>
      <c r="B60">
        <v>2018</v>
      </c>
      <c r="C60" s="35" t="s">
        <v>39613</v>
      </c>
      <c r="D60" s="54" t="s">
        <v>39625</v>
      </c>
    </row>
    <row r="61" spans="1:4">
      <c r="A61" t="s">
        <v>38607</v>
      </c>
      <c r="B61">
        <v>2018</v>
      </c>
      <c r="C61" s="35" t="s">
        <v>39613</v>
      </c>
      <c r="D61" s="54" t="s">
        <v>39625</v>
      </c>
    </row>
    <row r="62" spans="1:4">
      <c r="A62" t="s">
        <v>38608</v>
      </c>
      <c r="B62">
        <v>2018</v>
      </c>
      <c r="C62" s="35" t="s">
        <v>39615</v>
      </c>
      <c r="D62" s="54" t="s">
        <v>39626</v>
      </c>
    </row>
    <row r="63" spans="1:4">
      <c r="A63" t="s">
        <v>38609</v>
      </c>
      <c r="B63">
        <v>2018</v>
      </c>
      <c r="C63" s="35" t="s">
        <v>39615</v>
      </c>
      <c r="D63" s="54" t="s">
        <v>39626</v>
      </c>
    </row>
    <row r="64" spans="1:4">
      <c r="A64" t="s">
        <v>38610</v>
      </c>
      <c r="B64">
        <v>2018</v>
      </c>
      <c r="C64" s="35" t="s">
        <v>39615</v>
      </c>
      <c r="D64" s="54" t="s">
        <v>39626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BA02E-2379-1545-814C-1582511B454B}">
  <dimension ref="A1:AJ36"/>
  <sheetViews>
    <sheetView workbookViewId="0">
      <selection sqref="A1:AJ36"/>
    </sheetView>
  </sheetViews>
  <sheetFormatPr baseColWidth="10" defaultRowHeight="16"/>
  <sheetData>
    <row r="1" spans="1:36">
      <c r="A1" s="55"/>
      <c r="B1" s="56" t="s">
        <v>38465</v>
      </c>
      <c r="C1" s="56" t="s">
        <v>39627</v>
      </c>
      <c r="D1" s="56" t="s">
        <v>39628</v>
      </c>
      <c r="E1" s="56" t="s">
        <v>39629</v>
      </c>
      <c r="F1" s="56" t="s">
        <v>39630</v>
      </c>
      <c r="G1" s="56" t="s">
        <v>39631</v>
      </c>
      <c r="H1" s="56" t="s">
        <v>39632</v>
      </c>
      <c r="I1" s="56" t="s">
        <v>39633</v>
      </c>
      <c r="J1" s="56" t="s">
        <v>39634</v>
      </c>
      <c r="K1" s="56" t="s">
        <v>39635</v>
      </c>
      <c r="L1" s="56" t="s">
        <v>39636</v>
      </c>
      <c r="M1" s="56" t="s">
        <v>39637</v>
      </c>
      <c r="N1" s="56" t="s">
        <v>39638</v>
      </c>
      <c r="O1" s="56" t="s">
        <v>39635</v>
      </c>
      <c r="P1" s="56" t="s">
        <v>39639</v>
      </c>
      <c r="Q1" s="56" t="s">
        <v>39640</v>
      </c>
      <c r="R1" s="56" t="s">
        <v>39641</v>
      </c>
      <c r="S1" s="56" t="s">
        <v>39642</v>
      </c>
      <c r="T1" s="56" t="s">
        <v>39643</v>
      </c>
      <c r="U1" s="56" t="s">
        <v>39644</v>
      </c>
      <c r="V1" s="56" t="s">
        <v>39645</v>
      </c>
      <c r="W1" s="56" t="s">
        <v>39646</v>
      </c>
      <c r="X1" s="56" t="s">
        <v>39647</v>
      </c>
      <c r="Y1" s="56" t="s">
        <v>39648</v>
      </c>
      <c r="Z1" s="56" t="s">
        <v>39649</v>
      </c>
      <c r="AA1" s="56" t="s">
        <v>39650</v>
      </c>
      <c r="AB1" s="56" t="s">
        <v>39651</v>
      </c>
      <c r="AC1" s="56" t="s">
        <v>39652</v>
      </c>
      <c r="AD1" s="56" t="s">
        <v>39653</v>
      </c>
      <c r="AE1" s="56" t="s">
        <v>39654</v>
      </c>
      <c r="AF1" s="56" t="s">
        <v>39655</v>
      </c>
      <c r="AG1" s="56" t="s">
        <v>39656</v>
      </c>
      <c r="AH1" s="56" t="s">
        <v>39657</v>
      </c>
      <c r="AI1" s="56" t="s">
        <v>39658</v>
      </c>
      <c r="AJ1" s="56" t="s">
        <v>39659</v>
      </c>
    </row>
    <row r="2" spans="1:36">
      <c r="A2" s="55" t="s">
        <v>38465</v>
      </c>
      <c r="B2" s="57">
        <v>1</v>
      </c>
      <c r="C2" s="57">
        <v>0.53245106849982105</v>
      </c>
      <c r="D2" s="57">
        <v>-0.34099121772625701</v>
      </c>
      <c r="E2" s="57">
        <v>0.41363735247557198</v>
      </c>
      <c r="F2" s="57">
        <v>0.72457254011497796</v>
      </c>
      <c r="G2" s="57">
        <v>0.83433777956845301</v>
      </c>
      <c r="H2" s="57">
        <v>0.54585899469655297</v>
      </c>
      <c r="I2" s="57">
        <v>0.70757413303189698</v>
      </c>
      <c r="J2" s="57">
        <v>0.85840294685349605</v>
      </c>
      <c r="K2" s="57">
        <v>0.67844309741850095</v>
      </c>
      <c r="L2" s="57">
        <v>0.46798605668410997</v>
      </c>
      <c r="M2" s="57">
        <v>0.33994397198507298</v>
      </c>
      <c r="N2" s="57">
        <v>0.41391516268369699</v>
      </c>
      <c r="O2" s="57">
        <v>0.60617524693301095</v>
      </c>
      <c r="P2" s="57">
        <v>0.80419729520576599</v>
      </c>
      <c r="Q2" s="57">
        <v>0.80277179447053404</v>
      </c>
      <c r="R2" s="57">
        <v>0.61539559913824204</v>
      </c>
      <c r="S2" s="57">
        <v>0.80143020928824005</v>
      </c>
      <c r="T2" s="57">
        <v>0.79220854368513105</v>
      </c>
      <c r="U2" s="57">
        <v>0.38458121218751301</v>
      </c>
      <c r="V2" s="57">
        <v>0.377353586034467</v>
      </c>
      <c r="W2" s="57">
        <v>-0.274715384925309</v>
      </c>
      <c r="X2" s="57">
        <v>0.45036822547718303</v>
      </c>
      <c r="Y2" s="57">
        <v>-0.28147084559955499</v>
      </c>
      <c r="Z2" s="57">
        <v>-0.24031159608083399</v>
      </c>
      <c r="AA2" s="57">
        <v>-0.32651916153715299</v>
      </c>
      <c r="AB2" s="57">
        <v>-0.24031159608083399</v>
      </c>
      <c r="AC2" s="57">
        <v>-0.49067930098853102</v>
      </c>
      <c r="AD2" s="57">
        <v>0.61996547343361796</v>
      </c>
      <c r="AE2" s="57">
        <v>-0.44437196450991601</v>
      </c>
      <c r="AF2" s="57">
        <v>0.27568120684402803</v>
      </c>
      <c r="AG2" s="57">
        <v>0.79589484087385398</v>
      </c>
      <c r="AH2" s="57">
        <v>0.346540450820708</v>
      </c>
      <c r="AI2" s="57">
        <v>-0.20233768693811</v>
      </c>
      <c r="AJ2" s="57">
        <v>-0.112746414133364</v>
      </c>
    </row>
    <row r="3" spans="1:36">
      <c r="A3" s="55" t="s">
        <v>39627</v>
      </c>
      <c r="B3" s="57">
        <v>0.53245106849982105</v>
      </c>
      <c r="C3" s="57">
        <v>1</v>
      </c>
      <c r="D3" s="57">
        <v>-0.24401325483792599</v>
      </c>
      <c r="E3" s="57">
        <v>-0.11665193672230099</v>
      </c>
      <c r="F3" s="57">
        <v>0.16671482162033999</v>
      </c>
      <c r="G3" s="57">
        <v>0.44291394663309502</v>
      </c>
      <c r="H3" s="57">
        <v>8.0780419426384795E-2</v>
      </c>
      <c r="I3" s="57">
        <v>0.29414332858351599</v>
      </c>
      <c r="J3" s="57">
        <v>0.39148646916634899</v>
      </c>
      <c r="K3" s="57">
        <v>0.300387424212534</v>
      </c>
      <c r="L3" s="57">
        <v>-3.6056729517701801E-2</v>
      </c>
      <c r="M3" s="57">
        <v>-0.217307261235481</v>
      </c>
      <c r="N3" s="57">
        <v>0.22155758090958899</v>
      </c>
      <c r="O3" s="57">
        <v>0.51382337308269299</v>
      </c>
      <c r="P3" s="57">
        <v>8.2883962429826596E-2</v>
      </c>
      <c r="Q3" s="57">
        <v>0.26590422866607799</v>
      </c>
      <c r="R3" s="57">
        <v>4.0420621586126602E-2</v>
      </c>
      <c r="S3" s="57">
        <v>0.17610997243743601</v>
      </c>
      <c r="T3" s="57">
        <v>0.197866159763393</v>
      </c>
      <c r="U3" s="57">
        <v>0.71699229695314703</v>
      </c>
      <c r="V3" s="57">
        <v>0.73766097397857</v>
      </c>
      <c r="W3" s="57">
        <v>-0.177847329239681</v>
      </c>
      <c r="X3" s="57">
        <v>0.78606378285147904</v>
      </c>
      <c r="Y3" s="57">
        <v>-0.19177927222719601</v>
      </c>
      <c r="Z3" s="57">
        <v>-0.155574743511075</v>
      </c>
      <c r="AA3" s="57">
        <v>-0.21138445100463099</v>
      </c>
      <c r="AB3" s="57">
        <v>-0.155574743511075</v>
      </c>
      <c r="AC3" s="57">
        <v>-0.31690412079618202</v>
      </c>
      <c r="AD3" s="57">
        <v>0.86875614699189796</v>
      </c>
      <c r="AE3" s="57">
        <v>-0.28958194218154898</v>
      </c>
      <c r="AF3" s="57">
        <v>0.37998254028668899</v>
      </c>
      <c r="AG3" s="57">
        <v>0.40159943945323501</v>
      </c>
      <c r="AH3" s="57">
        <v>0.33469267316899198</v>
      </c>
      <c r="AI3" s="57">
        <v>-2.70651204052678E-2</v>
      </c>
      <c r="AJ3" s="57">
        <v>-0.14780900392747001</v>
      </c>
    </row>
    <row r="4" spans="1:36">
      <c r="A4" s="55" t="s">
        <v>39628</v>
      </c>
      <c r="B4" s="57">
        <v>-0.34099121772625701</v>
      </c>
      <c r="C4" s="57">
        <v>-0.24401325483792599</v>
      </c>
      <c r="D4" s="57">
        <v>1</v>
      </c>
      <c r="E4" s="57">
        <v>-0.18696239668738601</v>
      </c>
      <c r="F4" s="57">
        <v>-0.23380372747356801</v>
      </c>
      <c r="G4" s="57">
        <v>-0.38086457343000302</v>
      </c>
      <c r="H4" s="57">
        <v>-0.28591157809265599</v>
      </c>
      <c r="I4" s="57">
        <v>-0.27374178136883998</v>
      </c>
      <c r="J4" s="57">
        <v>-0.320492525418416</v>
      </c>
      <c r="K4" s="57">
        <v>-0.31627931069364301</v>
      </c>
      <c r="L4" s="57">
        <v>-0.123464965821369</v>
      </c>
      <c r="M4" s="57">
        <v>-0.14605559890293299</v>
      </c>
      <c r="N4" s="57">
        <v>-0.211715981672675</v>
      </c>
      <c r="O4" s="57">
        <v>-0.226733829784419</v>
      </c>
      <c r="P4" s="57">
        <v>-0.29464845154536401</v>
      </c>
      <c r="Q4" s="57">
        <v>-0.30357642378754801</v>
      </c>
      <c r="R4" s="57">
        <v>-0.22710666939531901</v>
      </c>
      <c r="S4" s="57">
        <v>-0.25243149362323097</v>
      </c>
      <c r="T4" s="57">
        <v>-0.29665714002562898</v>
      </c>
      <c r="U4" s="57">
        <v>-0.21832555546870999</v>
      </c>
      <c r="V4" s="57">
        <v>-0.24892698333331101</v>
      </c>
      <c r="W4" s="57">
        <v>-0.119533963281792</v>
      </c>
      <c r="X4" s="57">
        <v>-0.15306633186240101</v>
      </c>
      <c r="Y4" s="57">
        <v>-9.4669297292898302E-2</v>
      </c>
      <c r="Z4" s="57">
        <v>-0.104564211101337</v>
      </c>
      <c r="AA4" s="57">
        <v>-0.14207478578818999</v>
      </c>
      <c r="AB4" s="57">
        <v>0.26080958401138099</v>
      </c>
      <c r="AC4" s="57">
        <v>-0.211475227812052</v>
      </c>
      <c r="AD4" s="57">
        <v>-0.28393448947428401</v>
      </c>
      <c r="AE4" s="57">
        <v>0.73723198873403695</v>
      </c>
      <c r="AF4" s="57">
        <v>-0.22853669229315801</v>
      </c>
      <c r="AG4" s="57">
        <v>-0.36096696996622701</v>
      </c>
      <c r="AH4" s="57">
        <v>-0.22228244587402801</v>
      </c>
      <c r="AI4" s="57">
        <v>-0.16139425435704</v>
      </c>
      <c r="AJ4" s="57">
        <v>0.188101594361302</v>
      </c>
    </row>
    <row r="5" spans="1:36">
      <c r="A5" s="55" t="s">
        <v>39629</v>
      </c>
      <c r="B5" s="57">
        <v>0.41363735247557198</v>
      </c>
      <c r="C5" s="57">
        <v>-0.11665193672230099</v>
      </c>
      <c r="D5" s="57">
        <v>-0.18696239668738601</v>
      </c>
      <c r="E5" s="57">
        <v>1</v>
      </c>
      <c r="F5" s="57">
        <v>0.49638221150039202</v>
      </c>
      <c r="G5" s="57">
        <v>0.59552346067695605</v>
      </c>
      <c r="H5" s="57">
        <v>0.60877103697951196</v>
      </c>
      <c r="I5" s="57">
        <v>0.61304294583621999</v>
      </c>
      <c r="J5" s="57">
        <v>0.61164192831619602</v>
      </c>
      <c r="K5" s="57">
        <v>0.60411589372752805</v>
      </c>
      <c r="L5" s="57">
        <v>0.86437079942952399</v>
      </c>
      <c r="M5" s="57">
        <v>0.94950697432073905</v>
      </c>
      <c r="N5" s="57">
        <v>0.39548441393325401</v>
      </c>
      <c r="O5" s="57">
        <v>1.5967683019615299E-2</v>
      </c>
      <c r="P5" s="57">
        <v>0.49056516898508001</v>
      </c>
      <c r="Q5" s="57">
        <v>0.56450878611129596</v>
      </c>
      <c r="R5" s="57">
        <v>0.39545419146453498</v>
      </c>
      <c r="S5" s="57">
        <v>0.64180933886915603</v>
      </c>
      <c r="T5" s="57">
        <v>0.57548669355760895</v>
      </c>
      <c r="U5" s="57">
        <v>-0.23260511785225199</v>
      </c>
      <c r="V5" s="57">
        <v>-0.21742548239988499</v>
      </c>
      <c r="W5" s="57">
        <v>-0.13626621611677001</v>
      </c>
      <c r="X5" s="57">
        <v>-0.17449241441608199</v>
      </c>
      <c r="Y5" s="57">
        <v>-0.14694083890801099</v>
      </c>
      <c r="Z5" s="57">
        <v>-0.119201011970334</v>
      </c>
      <c r="AA5" s="57">
        <v>-0.16196228196096599</v>
      </c>
      <c r="AB5" s="57">
        <v>-0.119201011970334</v>
      </c>
      <c r="AC5" s="57">
        <v>-0.24399807066756399</v>
      </c>
      <c r="AD5" s="57">
        <v>-4.4661713078896298E-2</v>
      </c>
      <c r="AE5" s="57">
        <v>-0.22187702050698399</v>
      </c>
      <c r="AF5" s="57">
        <v>0.30978417876211101</v>
      </c>
      <c r="AG5" s="57">
        <v>0.68875188483280303</v>
      </c>
      <c r="AH5" s="57">
        <v>0.46909324901083599</v>
      </c>
      <c r="AI5" s="57">
        <v>-0.183986071744108</v>
      </c>
      <c r="AJ5" s="57">
        <v>-0.12609601500401499</v>
      </c>
    </row>
    <row r="6" spans="1:36">
      <c r="A6" s="55" t="s">
        <v>39630</v>
      </c>
      <c r="B6" s="57">
        <v>0.72457254011497796</v>
      </c>
      <c r="C6" s="57">
        <v>0.16671482162033999</v>
      </c>
      <c r="D6" s="57">
        <v>-0.23380372747356801</v>
      </c>
      <c r="E6" s="57">
        <v>0.49638221150039202</v>
      </c>
      <c r="F6" s="57">
        <v>1</v>
      </c>
      <c r="G6" s="57">
        <v>0.831843658311894</v>
      </c>
      <c r="H6" s="57">
        <v>0.84498305429319498</v>
      </c>
      <c r="I6" s="57">
        <v>0.90656911156500597</v>
      </c>
      <c r="J6" s="57">
        <v>0.83130576810078605</v>
      </c>
      <c r="K6" s="57">
        <v>0.82175405058093498</v>
      </c>
      <c r="L6" s="57">
        <v>0.40433564169776198</v>
      </c>
      <c r="M6" s="57">
        <v>0.418348663852599</v>
      </c>
      <c r="N6" s="57">
        <v>0.76571725041028604</v>
      </c>
      <c r="O6" s="57">
        <v>0.641433159245691</v>
      </c>
      <c r="P6" s="57">
        <v>0.80066087088654603</v>
      </c>
      <c r="Q6" s="57">
        <v>0.89914881644735201</v>
      </c>
      <c r="R6" s="57">
        <v>0.83480529802629699</v>
      </c>
      <c r="S6" s="57">
        <v>0.92459022755683995</v>
      </c>
      <c r="T6" s="57">
        <v>0.89492649792781698</v>
      </c>
      <c r="U6" s="57">
        <v>-7.1347287966811099E-2</v>
      </c>
      <c r="V6" s="57">
        <v>-9.8871594144600797E-2</v>
      </c>
      <c r="W6" s="57">
        <v>-0.27084908660236801</v>
      </c>
      <c r="X6" s="57">
        <v>1.86913973107092E-2</v>
      </c>
      <c r="Y6" s="57">
        <v>-0.263392468325721</v>
      </c>
      <c r="Z6" s="57">
        <v>-0.236929490920748</v>
      </c>
      <c r="AA6" s="57">
        <v>-0.32192378553736101</v>
      </c>
      <c r="AB6" s="57">
        <v>-3.83059655979653E-2</v>
      </c>
      <c r="AC6" s="57">
        <v>-0.483030652315664</v>
      </c>
      <c r="AD6" s="57">
        <v>0.27732291084167898</v>
      </c>
      <c r="AE6" s="57">
        <v>-0.28039432677133402</v>
      </c>
      <c r="AF6" s="57">
        <v>0.45198511917100997</v>
      </c>
      <c r="AG6" s="57">
        <v>0.78776272031746297</v>
      </c>
      <c r="AH6" s="57">
        <v>0.60119049314612005</v>
      </c>
      <c r="AI6" s="57">
        <v>-0.28888039748355998</v>
      </c>
      <c r="AJ6" s="57">
        <v>-3.9494850383394099E-4</v>
      </c>
    </row>
    <row r="7" spans="1:36">
      <c r="A7" s="55" t="s">
        <v>39631</v>
      </c>
      <c r="B7" s="57">
        <v>0.83433777956845301</v>
      </c>
      <c r="C7" s="57">
        <v>0.44291394663309502</v>
      </c>
      <c r="D7" s="57">
        <v>-0.38086457343000302</v>
      </c>
      <c r="E7" s="57">
        <v>0.59552346067695605</v>
      </c>
      <c r="F7" s="57">
        <v>0.831843658311894</v>
      </c>
      <c r="G7" s="57">
        <v>1</v>
      </c>
      <c r="H7" s="57">
        <v>0.82957652281661998</v>
      </c>
      <c r="I7" s="57">
        <v>0.91814344828187899</v>
      </c>
      <c r="J7" s="57">
        <v>0.92832994030001903</v>
      </c>
      <c r="K7" s="57">
        <v>0.92592214199109701</v>
      </c>
      <c r="L7" s="57">
        <v>0.47407839117574102</v>
      </c>
      <c r="M7" s="57">
        <v>0.453810202691801</v>
      </c>
      <c r="N7" s="57">
        <v>0.71791689519146495</v>
      </c>
      <c r="O7" s="57">
        <v>0.68365920607520403</v>
      </c>
      <c r="P7" s="57">
        <v>0.76440200850848505</v>
      </c>
      <c r="Q7" s="57">
        <v>0.91113497324959203</v>
      </c>
      <c r="R7" s="57">
        <v>0.69398303942490702</v>
      </c>
      <c r="S7" s="57">
        <v>0.912002084493159</v>
      </c>
      <c r="T7" s="57">
        <v>0.91922059307049697</v>
      </c>
      <c r="U7" s="57">
        <v>7.6544506442324495E-2</v>
      </c>
      <c r="V7" s="57">
        <v>0.15239901009965701</v>
      </c>
      <c r="W7" s="57">
        <v>-0.15223564771488399</v>
      </c>
      <c r="X7" s="57">
        <v>0.14165295670264699</v>
      </c>
      <c r="Y7" s="57">
        <v>-0.17612755905865099</v>
      </c>
      <c r="Z7" s="57">
        <v>-0.27364348444679099</v>
      </c>
      <c r="AA7" s="57">
        <v>-0.22168694198705299</v>
      </c>
      <c r="AB7" s="57">
        <v>-0.132534579306817</v>
      </c>
      <c r="AC7" s="57">
        <v>-0.42071442356115402</v>
      </c>
      <c r="AD7" s="57">
        <v>0.56474723974639596</v>
      </c>
      <c r="AE7" s="57">
        <v>-0.33876932315522301</v>
      </c>
      <c r="AF7" s="57">
        <v>0.65619441683250701</v>
      </c>
      <c r="AG7" s="57">
        <v>0.91230702106157102</v>
      </c>
      <c r="AH7" s="57">
        <v>0.73546179717773397</v>
      </c>
      <c r="AI7" s="57">
        <v>-0.28210609180961599</v>
      </c>
      <c r="AJ7" s="57">
        <v>-0.27157690186829397</v>
      </c>
    </row>
    <row r="8" spans="1:36">
      <c r="A8" s="55" t="s">
        <v>39632</v>
      </c>
      <c r="B8" s="57">
        <v>0.54585899469655297</v>
      </c>
      <c r="C8" s="57">
        <v>8.0780419426384795E-2</v>
      </c>
      <c r="D8" s="57">
        <v>-0.28591157809265599</v>
      </c>
      <c r="E8" s="57">
        <v>0.60877103697951196</v>
      </c>
      <c r="F8" s="57">
        <v>0.84498305429319498</v>
      </c>
      <c r="G8" s="57">
        <v>0.82957652281661998</v>
      </c>
      <c r="H8" s="57">
        <v>1</v>
      </c>
      <c r="I8" s="57">
        <v>0.91487482832447198</v>
      </c>
      <c r="J8" s="57">
        <v>0.85178308514866696</v>
      </c>
      <c r="K8" s="57">
        <v>0.93023630238265997</v>
      </c>
      <c r="L8" s="57">
        <v>0.33169239273346501</v>
      </c>
      <c r="M8" s="57">
        <v>0.44003924791096999</v>
      </c>
      <c r="N8" s="57">
        <v>0.88272647230623802</v>
      </c>
      <c r="O8" s="57">
        <v>0.68939251368413601</v>
      </c>
      <c r="P8" s="57">
        <v>0.65033168286075005</v>
      </c>
      <c r="Q8" s="57">
        <v>0.91081926346767295</v>
      </c>
      <c r="R8" s="57">
        <v>0.77294569957769499</v>
      </c>
      <c r="S8" s="57">
        <v>0.89496772483032805</v>
      </c>
      <c r="T8" s="57">
        <v>0.88763782823720305</v>
      </c>
      <c r="U8" s="57">
        <v>-0.33475387353402603</v>
      </c>
      <c r="V8" s="57">
        <v>-0.322627156779492</v>
      </c>
      <c r="W8" s="57">
        <v>-0.20838462482808601</v>
      </c>
      <c r="X8" s="57">
        <v>-0.26684190219447401</v>
      </c>
      <c r="Y8" s="57">
        <v>-0.22470875364683801</v>
      </c>
      <c r="Z8" s="57">
        <v>-0.18228772227211901</v>
      </c>
      <c r="AA8" s="57">
        <v>-0.247680241842298</v>
      </c>
      <c r="AB8" s="57">
        <v>-0.18228772227211901</v>
      </c>
      <c r="AC8" s="57">
        <v>-0.30726000995993202</v>
      </c>
      <c r="AD8" s="57">
        <v>0.25665469763579102</v>
      </c>
      <c r="AE8" s="57">
        <v>-0.33834876980418499</v>
      </c>
      <c r="AF8" s="57">
        <v>0.67896752410179495</v>
      </c>
      <c r="AG8" s="57">
        <v>0.707692155315639</v>
      </c>
      <c r="AH8" s="57">
        <v>0.82576006383667599</v>
      </c>
      <c r="AI8" s="57">
        <v>-0.11977630363234899</v>
      </c>
      <c r="AJ8" s="57">
        <v>-0.19283188106148999</v>
      </c>
    </row>
    <row r="9" spans="1:36">
      <c r="A9" s="55" t="s">
        <v>39633</v>
      </c>
      <c r="B9" s="57">
        <v>0.70757413303189698</v>
      </c>
      <c r="C9" s="57">
        <v>0.29414332858351599</v>
      </c>
      <c r="D9" s="57">
        <v>-0.27374178136883998</v>
      </c>
      <c r="E9" s="57">
        <v>0.61304294583621999</v>
      </c>
      <c r="F9" s="57">
        <v>0.90656911156500597</v>
      </c>
      <c r="G9" s="57">
        <v>0.91814344828187899</v>
      </c>
      <c r="H9" s="57">
        <v>0.91487482832447198</v>
      </c>
      <c r="I9" s="57">
        <v>1</v>
      </c>
      <c r="J9" s="57">
        <v>0.91805056015063702</v>
      </c>
      <c r="K9" s="57">
        <v>0.90532510313620096</v>
      </c>
      <c r="L9" s="57">
        <v>0.440774655414233</v>
      </c>
      <c r="M9" s="57">
        <v>0.44461284253970901</v>
      </c>
      <c r="N9" s="57">
        <v>0.84884065878020198</v>
      </c>
      <c r="O9" s="57">
        <v>0.725249647588183</v>
      </c>
      <c r="P9" s="57">
        <v>0.69556279507364904</v>
      </c>
      <c r="Q9" s="57">
        <v>0.93876566421955299</v>
      </c>
      <c r="R9" s="57">
        <v>0.80363149321749405</v>
      </c>
      <c r="S9" s="57">
        <v>0.95163958333242105</v>
      </c>
      <c r="T9" s="57">
        <v>0.91335538477171097</v>
      </c>
      <c r="U9" s="57">
        <v>-5.5740838862816E-2</v>
      </c>
      <c r="V9" s="57">
        <v>-6.4646958405841407E-2</v>
      </c>
      <c r="W9" s="57">
        <v>-0.25399671855601202</v>
      </c>
      <c r="X9" s="57">
        <v>2.5118268025388898E-2</v>
      </c>
      <c r="Y9" s="57">
        <v>-0.27389394061195499</v>
      </c>
      <c r="Z9" s="57">
        <v>-0.22218761738475201</v>
      </c>
      <c r="AA9" s="57">
        <v>-0.30189352372327399</v>
      </c>
      <c r="AB9" s="57">
        <v>-3.95977931972825E-3</v>
      </c>
      <c r="AC9" s="57">
        <v>-0.45274051104096502</v>
      </c>
      <c r="AD9" s="57">
        <v>0.452279618106885</v>
      </c>
      <c r="AE9" s="57">
        <v>-0.24336675327085799</v>
      </c>
      <c r="AF9" s="57">
        <v>0.60324458276957904</v>
      </c>
      <c r="AG9" s="57">
        <v>0.80988318497439105</v>
      </c>
      <c r="AH9" s="57">
        <v>0.75338826563476702</v>
      </c>
      <c r="AI9" s="57">
        <v>-0.26931100494525501</v>
      </c>
      <c r="AJ9" s="57">
        <v>-0.23503972552201699</v>
      </c>
    </row>
    <row r="10" spans="1:36">
      <c r="A10" s="55" t="s">
        <v>39634</v>
      </c>
      <c r="B10" s="57">
        <v>0.85840294685349605</v>
      </c>
      <c r="C10" s="57">
        <v>0.39148646916634899</v>
      </c>
      <c r="D10" s="57">
        <v>-0.320492525418416</v>
      </c>
      <c r="E10" s="57">
        <v>0.61164192831619602</v>
      </c>
      <c r="F10" s="57">
        <v>0.83130576810078605</v>
      </c>
      <c r="G10" s="57">
        <v>0.92832994030001903</v>
      </c>
      <c r="H10" s="57">
        <v>0.85178308514866696</v>
      </c>
      <c r="I10" s="57">
        <v>0.91805056015063702</v>
      </c>
      <c r="J10" s="57">
        <v>1</v>
      </c>
      <c r="K10" s="57">
        <v>0.90615406712162005</v>
      </c>
      <c r="L10" s="57">
        <v>0.50619393442613403</v>
      </c>
      <c r="M10" s="57">
        <v>0.45554279692694699</v>
      </c>
      <c r="N10" s="57">
        <v>0.734232808473675</v>
      </c>
      <c r="O10" s="57">
        <v>0.755990597616506</v>
      </c>
      <c r="P10" s="57">
        <v>0.74686279854137405</v>
      </c>
      <c r="Q10" s="57">
        <v>0.97161462412501298</v>
      </c>
      <c r="R10" s="57">
        <v>0.73084907246081399</v>
      </c>
      <c r="S10" s="57">
        <v>0.94798886838308805</v>
      </c>
      <c r="T10" s="57">
        <v>0.91623548069834004</v>
      </c>
      <c r="U10" s="57">
        <v>5.5692638211045198E-2</v>
      </c>
      <c r="V10" s="57">
        <v>4.5453394424612999E-2</v>
      </c>
      <c r="W10" s="57">
        <v>-0.23358870289568601</v>
      </c>
      <c r="X10" s="57">
        <v>0.126098080117128</v>
      </c>
      <c r="Y10" s="57">
        <v>-0.25188723178101202</v>
      </c>
      <c r="Z10" s="57">
        <v>-0.20433538527365699</v>
      </c>
      <c r="AA10" s="57">
        <v>-0.27763711681013897</v>
      </c>
      <c r="AB10" s="57">
        <v>-0.20433538527365699</v>
      </c>
      <c r="AC10" s="57">
        <v>-0.41761386050133198</v>
      </c>
      <c r="AD10" s="57">
        <v>0.50509871707118903</v>
      </c>
      <c r="AE10" s="57">
        <v>-0.38034346956675802</v>
      </c>
      <c r="AF10" s="57">
        <v>0.53659866592723604</v>
      </c>
      <c r="AG10" s="57">
        <v>0.80890354036495304</v>
      </c>
      <c r="AH10" s="57">
        <v>0.69726432133905702</v>
      </c>
      <c r="AI10" s="57">
        <v>-0.22602615954487901</v>
      </c>
      <c r="AJ10" s="57">
        <v>-0.21615485792797301</v>
      </c>
    </row>
    <row r="11" spans="1:36">
      <c r="A11" s="55" t="s">
        <v>39635</v>
      </c>
      <c r="B11" s="57">
        <v>0.67844309741850095</v>
      </c>
      <c r="C11" s="57">
        <v>0.300387424212534</v>
      </c>
      <c r="D11" s="57">
        <v>-0.31627931069364301</v>
      </c>
      <c r="E11" s="57">
        <v>0.60411589372752805</v>
      </c>
      <c r="F11" s="57">
        <v>0.82175405058093498</v>
      </c>
      <c r="G11" s="57">
        <v>0.92592214199109701</v>
      </c>
      <c r="H11" s="57">
        <v>0.93023630238265997</v>
      </c>
      <c r="I11" s="57">
        <v>0.90532510313620096</v>
      </c>
      <c r="J11" s="57">
        <v>0.90615406712162005</v>
      </c>
      <c r="K11" s="57">
        <v>1</v>
      </c>
      <c r="L11" s="57">
        <v>0.40455032992398299</v>
      </c>
      <c r="M11" s="57">
        <v>0.44655969019584901</v>
      </c>
      <c r="N11" s="57">
        <v>0.86437534987866704</v>
      </c>
      <c r="O11" s="57">
        <v>0.72723025396379204</v>
      </c>
      <c r="P11" s="57">
        <v>0.72024606511496403</v>
      </c>
      <c r="Q11" s="57">
        <v>0.92988760315646202</v>
      </c>
      <c r="R11" s="57">
        <v>0.72867594240108302</v>
      </c>
      <c r="S11" s="57">
        <v>0.89057879370592297</v>
      </c>
      <c r="T11" s="57">
        <v>0.93023534911810302</v>
      </c>
      <c r="U11" s="57">
        <v>-0.204817630956733</v>
      </c>
      <c r="V11" s="57">
        <v>-0.14631892456975501</v>
      </c>
      <c r="W11" s="57">
        <v>-0.23051793124104</v>
      </c>
      <c r="X11" s="57">
        <v>-0.12540504105450501</v>
      </c>
      <c r="Y11" s="57">
        <v>-0.24857590652455999</v>
      </c>
      <c r="Z11" s="57">
        <v>-0.20164917955667999</v>
      </c>
      <c r="AA11" s="57">
        <v>-0.27398728195935501</v>
      </c>
      <c r="AB11" s="57">
        <v>-0.20164917955667999</v>
      </c>
      <c r="AC11" s="57">
        <v>-0.41250563065606899</v>
      </c>
      <c r="AD11" s="57">
        <v>0.39364537339342898</v>
      </c>
      <c r="AE11" s="57">
        <v>-0.37534345059795998</v>
      </c>
      <c r="AF11" s="57">
        <v>0.80777696000718002</v>
      </c>
      <c r="AG11" s="57">
        <v>0.83304849750180199</v>
      </c>
      <c r="AH11" s="57">
        <v>0.87855265929228799</v>
      </c>
      <c r="AI11" s="57">
        <v>-0.27556305769329298</v>
      </c>
      <c r="AJ11" s="57">
        <v>-0.199420148172511</v>
      </c>
    </row>
    <row r="12" spans="1:36">
      <c r="A12" s="55" t="s">
        <v>39636</v>
      </c>
      <c r="B12" s="57">
        <v>0.46798605668410997</v>
      </c>
      <c r="C12" s="57">
        <v>-3.6056729517701801E-2</v>
      </c>
      <c r="D12" s="57">
        <v>-0.123464965821369</v>
      </c>
      <c r="E12" s="57">
        <v>0.86437079942952399</v>
      </c>
      <c r="F12" s="57">
        <v>0.40433564169776198</v>
      </c>
      <c r="G12" s="57">
        <v>0.47407839117574102</v>
      </c>
      <c r="H12" s="57">
        <v>0.33169239273346501</v>
      </c>
      <c r="I12" s="57">
        <v>0.440774655414233</v>
      </c>
      <c r="J12" s="57">
        <v>0.50619393442613403</v>
      </c>
      <c r="K12" s="57">
        <v>0.40455032992398299</v>
      </c>
      <c r="L12" s="57">
        <v>1</v>
      </c>
      <c r="M12" s="57">
        <v>0.92713796500765899</v>
      </c>
      <c r="N12" s="57">
        <v>0.141618891439352</v>
      </c>
      <c r="O12" s="57">
        <v>-0.13205363789181501</v>
      </c>
      <c r="P12" s="57">
        <v>0.50740192110502902</v>
      </c>
      <c r="Q12" s="57">
        <v>0.42872967194867601</v>
      </c>
      <c r="R12" s="57">
        <v>0.25507161221559699</v>
      </c>
      <c r="S12" s="57">
        <v>0.524410007187187</v>
      </c>
      <c r="T12" s="57">
        <v>0.447558174092057</v>
      </c>
      <c r="U12" s="57">
        <v>-1.3641988769058601E-3</v>
      </c>
      <c r="V12" s="57">
        <v>-1.43557929462145E-2</v>
      </c>
      <c r="W12" s="57">
        <v>-0.144616450429814</v>
      </c>
      <c r="X12" s="57">
        <v>7.3255041710516902E-2</v>
      </c>
      <c r="Y12" s="57">
        <v>-0.15594520161802899</v>
      </c>
      <c r="Z12" s="57">
        <v>-0.12650551053695899</v>
      </c>
      <c r="AA12" s="57">
        <v>-0.171887141128483</v>
      </c>
      <c r="AB12" s="57">
        <v>9.2314832013456402E-2</v>
      </c>
      <c r="AC12" s="57">
        <v>-0.25702068083434998</v>
      </c>
      <c r="AD12" s="57">
        <v>-0.131499739168251</v>
      </c>
      <c r="AE12" s="57">
        <v>-6.4804961702404407E-2</v>
      </c>
      <c r="AF12" s="57">
        <v>5.61701216816601E-2</v>
      </c>
      <c r="AG12" s="57">
        <v>0.64687588965278198</v>
      </c>
      <c r="AH12" s="57">
        <v>0.20909410894331701</v>
      </c>
      <c r="AI12" s="57">
        <v>-0.14094597930737399</v>
      </c>
      <c r="AJ12" s="57">
        <v>-0.13382303129044601</v>
      </c>
    </row>
    <row r="13" spans="1:36">
      <c r="A13" s="55" t="s">
        <v>39637</v>
      </c>
      <c r="B13" s="57">
        <v>0.33994397198507298</v>
      </c>
      <c r="C13" s="57">
        <v>-0.217307261235481</v>
      </c>
      <c r="D13" s="57">
        <v>-0.14605559890293299</v>
      </c>
      <c r="E13" s="57">
        <v>0.94950697432073905</v>
      </c>
      <c r="F13" s="57">
        <v>0.418348663852599</v>
      </c>
      <c r="G13" s="57">
        <v>0.453810202691801</v>
      </c>
      <c r="H13" s="57">
        <v>0.44003924791096999</v>
      </c>
      <c r="I13" s="57">
        <v>0.44461284253970901</v>
      </c>
      <c r="J13" s="57">
        <v>0.45554279692694699</v>
      </c>
      <c r="K13" s="57">
        <v>0.44655969019584901</v>
      </c>
      <c r="L13" s="57">
        <v>0.92713796500765899</v>
      </c>
      <c r="M13" s="57">
        <v>1</v>
      </c>
      <c r="N13" s="57">
        <v>0.21702119141852499</v>
      </c>
      <c r="O13" s="57">
        <v>-0.20191898023166699</v>
      </c>
      <c r="P13" s="57">
        <v>0.48887644402583402</v>
      </c>
      <c r="Q13" s="57">
        <v>0.41834564718213302</v>
      </c>
      <c r="R13" s="57">
        <v>0.29182272405570903</v>
      </c>
      <c r="S13" s="57">
        <v>0.51899862345298498</v>
      </c>
      <c r="T13" s="57">
        <v>0.44076623912108498</v>
      </c>
      <c r="U13" s="57">
        <v>-0.19443094822095899</v>
      </c>
      <c r="V13" s="57">
        <v>-0.188153343702118</v>
      </c>
      <c r="W13" s="57">
        <v>-0.106451586831386</v>
      </c>
      <c r="X13" s="57">
        <v>-0.136314010427313</v>
      </c>
      <c r="Y13" s="57">
        <v>-0.114790634963319</v>
      </c>
      <c r="Z13" s="57">
        <v>-9.3120196903945296E-2</v>
      </c>
      <c r="AA13" s="57">
        <v>-0.126525432443232</v>
      </c>
      <c r="AB13" s="57">
        <v>-9.3120196903945296E-2</v>
      </c>
      <c r="AC13" s="57">
        <v>-0.190612042709847</v>
      </c>
      <c r="AD13" s="57">
        <v>-0.241923089754711</v>
      </c>
      <c r="AE13" s="57">
        <v>-0.173331010337505</v>
      </c>
      <c r="AF13" s="57">
        <v>0.134880136574479</v>
      </c>
      <c r="AG13" s="57">
        <v>0.64563062616979106</v>
      </c>
      <c r="AH13" s="57">
        <v>0.28367018574708702</v>
      </c>
      <c r="AI13" s="57">
        <v>-0.14373048470979899</v>
      </c>
      <c r="AJ13" s="57">
        <v>-9.8506594464977906E-2</v>
      </c>
    </row>
    <row r="14" spans="1:36">
      <c r="A14" s="55" t="s">
        <v>39638</v>
      </c>
      <c r="B14" s="57">
        <v>0.41391516268369699</v>
      </c>
      <c r="C14" s="57">
        <v>0.22155758090958899</v>
      </c>
      <c r="D14" s="57">
        <v>-0.211715981672675</v>
      </c>
      <c r="E14" s="57">
        <v>0.39548441393325401</v>
      </c>
      <c r="F14" s="57">
        <v>0.76571725041028604</v>
      </c>
      <c r="G14" s="57">
        <v>0.71791689519146495</v>
      </c>
      <c r="H14" s="57">
        <v>0.88272647230623802</v>
      </c>
      <c r="I14" s="57">
        <v>0.84884065878020198</v>
      </c>
      <c r="J14" s="57">
        <v>0.734232808473675</v>
      </c>
      <c r="K14" s="57">
        <v>0.86437534987866704</v>
      </c>
      <c r="L14" s="57">
        <v>0.141618891439352</v>
      </c>
      <c r="M14" s="57">
        <v>0.21702119141852499</v>
      </c>
      <c r="N14" s="57">
        <v>1</v>
      </c>
      <c r="O14" s="57">
        <v>0.78295519680400705</v>
      </c>
      <c r="P14" s="57">
        <v>0.53888179542058001</v>
      </c>
      <c r="Q14" s="57">
        <v>0.823441661724991</v>
      </c>
      <c r="R14" s="57">
        <v>0.80925219598609499</v>
      </c>
      <c r="S14" s="57">
        <v>0.75335091172874102</v>
      </c>
      <c r="T14" s="57">
        <v>0.77790056746457303</v>
      </c>
      <c r="U14" s="57">
        <v>-0.25905540376807201</v>
      </c>
      <c r="V14" s="57">
        <v>-0.238011284330024</v>
      </c>
      <c r="W14" s="57">
        <v>-0.15430769087872601</v>
      </c>
      <c r="X14" s="57">
        <v>-0.197594989511753</v>
      </c>
      <c r="Y14" s="57">
        <v>-0.16639562023391</v>
      </c>
      <c r="Z14" s="57">
        <v>-0.13498307527514899</v>
      </c>
      <c r="AA14" s="57">
        <v>-0.18340588335871499</v>
      </c>
      <c r="AB14" s="57">
        <v>-0.13498307527514899</v>
      </c>
      <c r="AC14" s="57">
        <v>-0.276303106789963</v>
      </c>
      <c r="AD14" s="57">
        <v>0.303861678954712</v>
      </c>
      <c r="AE14" s="57">
        <v>-0.25125325755098099</v>
      </c>
      <c r="AF14" s="57">
        <v>0.77134710134064699</v>
      </c>
      <c r="AG14" s="57">
        <v>0.59038807159525197</v>
      </c>
      <c r="AH14" s="57">
        <v>0.82464150951302495</v>
      </c>
      <c r="AI14" s="57">
        <v>-0.208345595069232</v>
      </c>
      <c r="AJ14" s="57">
        <v>-0.14279096799462801</v>
      </c>
    </row>
    <row r="15" spans="1:36">
      <c r="A15" s="55" t="s">
        <v>39635</v>
      </c>
      <c r="B15" s="57">
        <v>0.60617524693301095</v>
      </c>
      <c r="C15" s="57">
        <v>0.51382337308269299</v>
      </c>
      <c r="D15" s="57">
        <v>-0.226733829784419</v>
      </c>
      <c r="E15" s="57">
        <v>1.5967683019615299E-2</v>
      </c>
      <c r="F15" s="57">
        <v>0.641433159245691</v>
      </c>
      <c r="G15" s="57">
        <v>0.68365920607520403</v>
      </c>
      <c r="H15" s="57">
        <v>0.68939251368413601</v>
      </c>
      <c r="I15" s="57">
        <v>0.725249647588183</v>
      </c>
      <c r="J15" s="57">
        <v>0.755990597616506</v>
      </c>
      <c r="K15" s="57">
        <v>0.72723025396379204</v>
      </c>
      <c r="L15" s="57">
        <v>-0.13205363789181501</v>
      </c>
      <c r="M15" s="57">
        <v>-0.20191898023166699</v>
      </c>
      <c r="N15" s="57">
        <v>0.78295519680400705</v>
      </c>
      <c r="O15" s="57">
        <v>1</v>
      </c>
      <c r="P15" s="57">
        <v>0.47027519704012799</v>
      </c>
      <c r="Q15" s="57">
        <v>0.78719377828784298</v>
      </c>
      <c r="R15" s="57">
        <v>0.674367285094569</v>
      </c>
      <c r="S15" s="57">
        <v>0.67600355316544003</v>
      </c>
      <c r="T15" s="57">
        <v>0.71485917416949096</v>
      </c>
      <c r="U15" s="57">
        <v>6.5383224500939502E-2</v>
      </c>
      <c r="V15" s="57">
        <v>6.16535502202065E-2</v>
      </c>
      <c r="W15" s="57">
        <v>-0.16525334290641899</v>
      </c>
      <c r="X15" s="57">
        <v>0.102928700872569</v>
      </c>
      <c r="Y15" s="57">
        <v>-0.17819871668128101</v>
      </c>
      <c r="Z15" s="57">
        <v>-0.144557956236532</v>
      </c>
      <c r="AA15" s="57">
        <v>-0.19641558473940601</v>
      </c>
      <c r="AB15" s="57">
        <v>-0.144557956236532</v>
      </c>
      <c r="AC15" s="57">
        <v>-0.29542177692954802</v>
      </c>
      <c r="AD15" s="57">
        <v>0.64543991831695102</v>
      </c>
      <c r="AE15" s="57">
        <v>-0.26907564030012598</v>
      </c>
      <c r="AF15" s="57">
        <v>0.59889273438500801</v>
      </c>
      <c r="AG15" s="57">
        <v>0.41750270667996098</v>
      </c>
      <c r="AH15" s="57">
        <v>0.64446419322902704</v>
      </c>
      <c r="AI15" s="57">
        <v>-0.15701973917793099</v>
      </c>
      <c r="AJ15" s="57">
        <v>-0.15291969352649401</v>
      </c>
    </row>
    <row r="16" spans="1:36">
      <c r="A16" s="55" t="s">
        <v>39639</v>
      </c>
      <c r="B16" s="57">
        <v>0.80419729520576599</v>
      </c>
      <c r="C16" s="57">
        <v>8.2883962429826596E-2</v>
      </c>
      <c r="D16" s="57">
        <v>-0.29464845154536401</v>
      </c>
      <c r="E16" s="57">
        <v>0.49056516898508001</v>
      </c>
      <c r="F16" s="57">
        <v>0.80066087088654603</v>
      </c>
      <c r="G16" s="57">
        <v>0.76440200850848505</v>
      </c>
      <c r="H16" s="57">
        <v>0.65033168286075005</v>
      </c>
      <c r="I16" s="57">
        <v>0.69556279507364904</v>
      </c>
      <c r="J16" s="57">
        <v>0.74686279854137405</v>
      </c>
      <c r="K16" s="57">
        <v>0.72024606511496403</v>
      </c>
      <c r="L16" s="57">
        <v>0.50740192110502902</v>
      </c>
      <c r="M16" s="57">
        <v>0.48887644402583402</v>
      </c>
      <c r="N16" s="57">
        <v>0.53888179542058001</v>
      </c>
      <c r="O16" s="57">
        <v>0.47027519704012799</v>
      </c>
      <c r="P16" s="57">
        <v>1</v>
      </c>
      <c r="Q16" s="57">
        <v>0.815751960302461</v>
      </c>
      <c r="R16" s="57">
        <v>0.83535091057099198</v>
      </c>
      <c r="S16" s="57">
        <v>0.84142719069816596</v>
      </c>
      <c r="T16" s="57">
        <v>0.86757362761144197</v>
      </c>
      <c r="U16" s="57">
        <v>-3.0696649998564599E-2</v>
      </c>
      <c r="V16" s="57">
        <v>-5.6658206478093099E-3</v>
      </c>
      <c r="W16" s="57">
        <v>-0.21475243304613201</v>
      </c>
      <c r="X16" s="57">
        <v>1.3802890306047901E-2</v>
      </c>
      <c r="Y16" s="57">
        <v>-0.231575393876748</v>
      </c>
      <c r="Z16" s="57">
        <v>-0.187858062487434</v>
      </c>
      <c r="AA16" s="57">
        <v>-0.25524884380010598</v>
      </c>
      <c r="AB16" s="57">
        <v>-0.187858062487434</v>
      </c>
      <c r="AC16" s="57">
        <v>-0.38409409983924098</v>
      </c>
      <c r="AD16" s="57">
        <v>0.18395647864701001</v>
      </c>
      <c r="AE16" s="57">
        <v>-0.34967309835674798</v>
      </c>
      <c r="AF16" s="57">
        <v>0.31666598479026398</v>
      </c>
      <c r="AG16" s="57">
        <v>0.79536314305525302</v>
      </c>
      <c r="AH16" s="57">
        <v>0.31684034587804599</v>
      </c>
      <c r="AI16" s="57">
        <v>-0.229262995441402</v>
      </c>
      <c r="AJ16" s="57">
        <v>-0.18240972297881899</v>
      </c>
    </row>
    <row r="17" spans="1:36">
      <c r="A17" s="55" t="s">
        <v>39640</v>
      </c>
      <c r="B17" s="57">
        <v>0.80277179447053404</v>
      </c>
      <c r="C17" s="57">
        <v>0.26590422866607799</v>
      </c>
      <c r="D17" s="57">
        <v>-0.30357642378754801</v>
      </c>
      <c r="E17" s="57">
        <v>0.56450878611129596</v>
      </c>
      <c r="F17" s="57">
        <v>0.89914881644735201</v>
      </c>
      <c r="G17" s="57">
        <v>0.91113497324959203</v>
      </c>
      <c r="H17" s="57">
        <v>0.91081926346767295</v>
      </c>
      <c r="I17" s="57">
        <v>0.93876566421955299</v>
      </c>
      <c r="J17" s="57">
        <v>0.97161462412501298</v>
      </c>
      <c r="K17" s="57">
        <v>0.92988760315646202</v>
      </c>
      <c r="L17" s="57">
        <v>0.42872967194867601</v>
      </c>
      <c r="M17" s="57">
        <v>0.41834564718213302</v>
      </c>
      <c r="N17" s="57">
        <v>0.823441661724991</v>
      </c>
      <c r="O17" s="57">
        <v>0.78719377828784298</v>
      </c>
      <c r="P17" s="57">
        <v>0.815751960302461</v>
      </c>
      <c r="Q17" s="57">
        <v>1</v>
      </c>
      <c r="R17" s="57">
        <v>0.85107033208236404</v>
      </c>
      <c r="S17" s="57">
        <v>0.97597366074646297</v>
      </c>
      <c r="T17" s="57">
        <v>0.95919829053414696</v>
      </c>
      <c r="U17" s="57">
        <v>-7.2075119427470594E-2</v>
      </c>
      <c r="V17" s="57">
        <v>-7.8737692269081103E-2</v>
      </c>
      <c r="W17" s="57">
        <v>-0.22125952226082601</v>
      </c>
      <c r="X17" s="57">
        <v>-9.2894603731398292E-3</v>
      </c>
      <c r="Y17" s="57">
        <v>-0.238592225893549</v>
      </c>
      <c r="Z17" s="57">
        <v>-0.193550240941323</v>
      </c>
      <c r="AA17" s="57">
        <v>-0.26298299132521602</v>
      </c>
      <c r="AB17" s="57">
        <v>-0.193550240941323</v>
      </c>
      <c r="AC17" s="57">
        <v>-0.39576823560077601</v>
      </c>
      <c r="AD17" s="57">
        <v>0.40410441000689901</v>
      </c>
      <c r="AE17" s="57">
        <v>-0.36026834058386398</v>
      </c>
      <c r="AF17" s="57">
        <v>0.56328435098685503</v>
      </c>
      <c r="AG17" s="57">
        <v>0.78854862925570801</v>
      </c>
      <c r="AH17" s="57">
        <v>0.69900747590412304</v>
      </c>
      <c r="AI17" s="57">
        <v>-0.241150814511738</v>
      </c>
      <c r="AJ17" s="57">
        <v>-0.20474586316298801</v>
      </c>
    </row>
    <row r="18" spans="1:36">
      <c r="A18" s="55" t="s">
        <v>39641</v>
      </c>
      <c r="B18" s="57">
        <v>0.61539559913824204</v>
      </c>
      <c r="C18" s="57">
        <v>4.0420621586126602E-2</v>
      </c>
      <c r="D18" s="57">
        <v>-0.22710666939531901</v>
      </c>
      <c r="E18" s="57">
        <v>0.39545419146453498</v>
      </c>
      <c r="F18" s="57">
        <v>0.83480529802629699</v>
      </c>
      <c r="G18" s="57">
        <v>0.69398303942490702</v>
      </c>
      <c r="H18" s="57">
        <v>0.77294569957769499</v>
      </c>
      <c r="I18" s="57">
        <v>0.80363149321749405</v>
      </c>
      <c r="J18" s="57">
        <v>0.73084907246081399</v>
      </c>
      <c r="K18" s="57">
        <v>0.72867594240108302</v>
      </c>
      <c r="L18" s="57">
        <v>0.25507161221559699</v>
      </c>
      <c r="M18" s="57">
        <v>0.29182272405570903</v>
      </c>
      <c r="N18" s="57">
        <v>0.80925219598609499</v>
      </c>
      <c r="O18" s="57">
        <v>0.674367285094569</v>
      </c>
      <c r="P18" s="57">
        <v>0.83535091057099198</v>
      </c>
      <c r="Q18" s="57">
        <v>0.85107033208236404</v>
      </c>
      <c r="R18" s="57">
        <v>1</v>
      </c>
      <c r="S18" s="57">
        <v>0.84186646568438295</v>
      </c>
      <c r="T18" s="57">
        <v>0.84507080393536804</v>
      </c>
      <c r="U18" s="57">
        <v>-0.139219546944019</v>
      </c>
      <c r="V18" s="57">
        <v>-0.15183773949703899</v>
      </c>
      <c r="W18" s="57">
        <v>-0.165525084411107</v>
      </c>
      <c r="X18" s="57">
        <v>-0.11186733026467401</v>
      </c>
      <c r="Y18" s="57">
        <v>-0.17849174547302901</v>
      </c>
      <c r="Z18" s="57">
        <v>-0.14479566638418401</v>
      </c>
      <c r="AA18" s="57">
        <v>-0.196738569228569</v>
      </c>
      <c r="AB18" s="57">
        <v>-0.14479566638418401</v>
      </c>
      <c r="AC18" s="57">
        <v>-0.29623601990408899</v>
      </c>
      <c r="AD18" s="57">
        <v>0.22672336051601499</v>
      </c>
      <c r="AE18" s="57">
        <v>-0.26951810650434199</v>
      </c>
      <c r="AF18" s="57">
        <v>0.39800487804451201</v>
      </c>
      <c r="AG18" s="57">
        <v>0.61417878114811597</v>
      </c>
      <c r="AH18" s="57">
        <v>0.42216414487844101</v>
      </c>
      <c r="AI18" s="57">
        <v>-0.202455680100598</v>
      </c>
      <c r="AJ18" s="57">
        <v>-0.15317115365967099</v>
      </c>
    </row>
    <row r="19" spans="1:36">
      <c r="A19" s="55" t="s">
        <v>39642</v>
      </c>
      <c r="B19" s="57">
        <v>0.80143020928824005</v>
      </c>
      <c r="C19" s="57">
        <v>0.17610997243743601</v>
      </c>
      <c r="D19" s="57">
        <v>-0.25243149362323097</v>
      </c>
      <c r="E19" s="57">
        <v>0.64180933886915603</v>
      </c>
      <c r="F19" s="57">
        <v>0.92459022755683995</v>
      </c>
      <c r="G19" s="57">
        <v>0.912002084493159</v>
      </c>
      <c r="H19" s="57">
        <v>0.89496772483032805</v>
      </c>
      <c r="I19" s="57">
        <v>0.95163958333242105</v>
      </c>
      <c r="J19" s="57">
        <v>0.94798886838308805</v>
      </c>
      <c r="K19" s="57">
        <v>0.89057879370592297</v>
      </c>
      <c r="L19" s="57">
        <v>0.524410007187187</v>
      </c>
      <c r="M19" s="57">
        <v>0.51899862345298498</v>
      </c>
      <c r="N19" s="57">
        <v>0.75335091172874102</v>
      </c>
      <c r="O19" s="57">
        <v>0.67600355316544003</v>
      </c>
      <c r="P19" s="57">
        <v>0.84142719069816596</v>
      </c>
      <c r="Q19" s="57">
        <v>0.97597366074646297</v>
      </c>
      <c r="R19" s="57">
        <v>0.84186646568438295</v>
      </c>
      <c r="S19" s="57">
        <v>1</v>
      </c>
      <c r="T19" s="57">
        <v>0.95780386513160598</v>
      </c>
      <c r="U19" s="57">
        <v>-8.3642810800821296E-2</v>
      </c>
      <c r="V19" s="57">
        <v>-9.9281620920866606E-2</v>
      </c>
      <c r="W19" s="57">
        <v>-0.24732405760784201</v>
      </c>
      <c r="X19" s="57">
        <v>-1.46061855751673E-2</v>
      </c>
      <c r="Y19" s="57">
        <v>-0.26669856654628998</v>
      </c>
      <c r="Z19" s="57">
        <v>-0.216350602457478</v>
      </c>
      <c r="AA19" s="57">
        <v>-0.29396258218313898</v>
      </c>
      <c r="AB19" s="57">
        <v>-9.1748230738435396E-2</v>
      </c>
      <c r="AC19" s="57">
        <v>-0.44152273331945302</v>
      </c>
      <c r="AD19" s="57">
        <v>0.34440366078035001</v>
      </c>
      <c r="AE19" s="57">
        <v>-0.27590033075123899</v>
      </c>
      <c r="AF19" s="57">
        <v>0.473126044912347</v>
      </c>
      <c r="AG19" s="57">
        <v>0.82294975752636002</v>
      </c>
      <c r="AH19" s="57">
        <v>0.63174456735956097</v>
      </c>
      <c r="AI19" s="57">
        <v>-0.27044595501746199</v>
      </c>
      <c r="AJ19" s="57">
        <v>-0.22886507725618299</v>
      </c>
    </row>
    <row r="20" spans="1:36">
      <c r="A20" s="55" t="s">
        <v>39643</v>
      </c>
      <c r="B20" s="57">
        <v>0.79220854368513105</v>
      </c>
      <c r="C20" s="57">
        <v>0.197866159763393</v>
      </c>
      <c r="D20" s="57">
        <v>-0.29665714002562898</v>
      </c>
      <c r="E20" s="57">
        <v>0.57548669355760895</v>
      </c>
      <c r="F20" s="57">
        <v>0.89492649792781698</v>
      </c>
      <c r="G20" s="57">
        <v>0.91922059307049697</v>
      </c>
      <c r="H20" s="57">
        <v>0.88763782823720305</v>
      </c>
      <c r="I20" s="57">
        <v>0.91335538477171097</v>
      </c>
      <c r="J20" s="57">
        <v>0.91623548069834004</v>
      </c>
      <c r="K20" s="57">
        <v>0.93023534911810302</v>
      </c>
      <c r="L20" s="57">
        <v>0.447558174092057</v>
      </c>
      <c r="M20" s="57">
        <v>0.44076623912108498</v>
      </c>
      <c r="N20" s="57">
        <v>0.77790056746457303</v>
      </c>
      <c r="O20" s="57">
        <v>0.71485917416949096</v>
      </c>
      <c r="P20" s="57">
        <v>0.86757362761144197</v>
      </c>
      <c r="Q20" s="57">
        <v>0.95919829053414696</v>
      </c>
      <c r="R20" s="57">
        <v>0.84507080393536804</v>
      </c>
      <c r="S20" s="57">
        <v>0.95780386513160598</v>
      </c>
      <c r="T20" s="57">
        <v>1</v>
      </c>
      <c r="U20" s="57">
        <v>-0.175418477459997</v>
      </c>
      <c r="V20" s="57">
        <v>-0.14084327174769801</v>
      </c>
      <c r="W20" s="57">
        <v>-0.27654101762306899</v>
      </c>
      <c r="X20" s="57">
        <v>-0.10177170649548301</v>
      </c>
      <c r="Y20" s="57">
        <v>-0.28662560522563302</v>
      </c>
      <c r="Z20" s="57">
        <v>-0.24190859694620301</v>
      </c>
      <c r="AA20" s="57">
        <v>-0.328689058421193</v>
      </c>
      <c r="AB20" s="57">
        <v>-8.2533521311057498E-2</v>
      </c>
      <c r="AC20" s="57">
        <v>-0.46971258682898998</v>
      </c>
      <c r="AD20" s="57">
        <v>0.36981613849836198</v>
      </c>
      <c r="AE20" s="57">
        <v>-0.32332636567404499</v>
      </c>
      <c r="AF20" s="57">
        <v>0.61011597731280898</v>
      </c>
      <c r="AG20" s="57">
        <v>0.81916253071353795</v>
      </c>
      <c r="AH20" s="57">
        <v>0.67265882611073902</v>
      </c>
      <c r="AI20" s="57">
        <v>-0.26158244008967402</v>
      </c>
      <c r="AJ20" s="57">
        <v>-0.140547723370196</v>
      </c>
    </row>
    <row r="21" spans="1:36">
      <c r="A21" s="55" t="s">
        <v>39644</v>
      </c>
      <c r="B21" s="57">
        <v>0.38458121218751301</v>
      </c>
      <c r="C21" s="57">
        <v>0.71699229695314703</v>
      </c>
      <c r="D21" s="57">
        <v>-0.21832555546870999</v>
      </c>
      <c r="E21" s="57">
        <v>-0.23260511785225199</v>
      </c>
      <c r="F21" s="57">
        <v>-7.1347287966811099E-2</v>
      </c>
      <c r="G21" s="57">
        <v>7.6544506442324495E-2</v>
      </c>
      <c r="H21" s="57">
        <v>-0.33475387353402603</v>
      </c>
      <c r="I21" s="57">
        <v>-5.5740838862816E-2</v>
      </c>
      <c r="J21" s="57">
        <v>5.5692638211045198E-2</v>
      </c>
      <c r="K21" s="57">
        <v>-0.204817630956733</v>
      </c>
      <c r="L21" s="57">
        <v>-1.3641988769058601E-3</v>
      </c>
      <c r="M21" s="57">
        <v>-0.19443094822095899</v>
      </c>
      <c r="N21" s="57">
        <v>-0.25905540376807201</v>
      </c>
      <c r="O21" s="57">
        <v>6.5383224500939502E-2</v>
      </c>
      <c r="P21" s="57">
        <v>-3.0696649998564599E-2</v>
      </c>
      <c r="Q21" s="57">
        <v>-7.2075119427470594E-2</v>
      </c>
      <c r="R21" s="57">
        <v>-0.139219546944019</v>
      </c>
      <c r="S21" s="57">
        <v>-8.3642810800821296E-2</v>
      </c>
      <c r="T21" s="57">
        <v>-0.175418477459997</v>
      </c>
      <c r="U21" s="57">
        <v>1</v>
      </c>
      <c r="V21" s="57">
        <v>0.93406657408785299</v>
      </c>
      <c r="W21" s="57">
        <v>8.3236636338164693E-2</v>
      </c>
      <c r="X21" s="57">
        <v>0.95825760565823004</v>
      </c>
      <c r="Y21" s="57">
        <v>6.4465390101134307E-2</v>
      </c>
      <c r="Z21" s="57">
        <v>0.104707922624742</v>
      </c>
      <c r="AA21" s="57">
        <v>0.108183951884368</v>
      </c>
      <c r="AB21" s="57">
        <v>-0.139197119912677</v>
      </c>
      <c r="AC21" s="57">
        <v>2.1497728999589202E-3</v>
      </c>
      <c r="AD21" s="57">
        <v>0.587884040507756</v>
      </c>
      <c r="AE21" s="57">
        <v>-0.17182570500475899</v>
      </c>
      <c r="AF21" s="57">
        <v>-0.29505645922205898</v>
      </c>
      <c r="AG21" s="57">
        <v>0.130308028438018</v>
      </c>
      <c r="AH21" s="57">
        <v>-0.28487327684894598</v>
      </c>
      <c r="AI21" s="57">
        <v>7.5871903240912406E-2</v>
      </c>
      <c r="AJ21" s="57">
        <v>-0.14507459790855201</v>
      </c>
    </row>
    <row r="22" spans="1:36">
      <c r="A22" s="55" t="s">
        <v>39645</v>
      </c>
      <c r="B22" s="57">
        <v>0.377353586034467</v>
      </c>
      <c r="C22" s="57">
        <v>0.73766097397857</v>
      </c>
      <c r="D22" s="57">
        <v>-0.24892698333331101</v>
      </c>
      <c r="E22" s="57">
        <v>-0.21742548239988499</v>
      </c>
      <c r="F22" s="57">
        <v>-9.8871594144600797E-2</v>
      </c>
      <c r="G22" s="57">
        <v>0.15239901009965701</v>
      </c>
      <c r="H22" s="57">
        <v>-0.322627156779492</v>
      </c>
      <c r="I22" s="57">
        <v>-6.4646958405841407E-2</v>
      </c>
      <c r="J22" s="57">
        <v>4.5453394424612999E-2</v>
      </c>
      <c r="K22" s="57">
        <v>-0.14631892456975501</v>
      </c>
      <c r="L22" s="57">
        <v>-1.43557929462145E-2</v>
      </c>
      <c r="M22" s="57">
        <v>-0.188153343702118</v>
      </c>
      <c r="N22" s="57">
        <v>-0.238011284330024</v>
      </c>
      <c r="O22" s="57">
        <v>6.16535502202065E-2</v>
      </c>
      <c r="P22" s="57">
        <v>-5.6658206478093099E-3</v>
      </c>
      <c r="Q22" s="57">
        <v>-7.8737692269081103E-2</v>
      </c>
      <c r="R22" s="57">
        <v>-0.15183773949703899</v>
      </c>
      <c r="S22" s="57">
        <v>-9.9281620920866606E-2</v>
      </c>
      <c r="T22" s="57">
        <v>-0.14084327174769801</v>
      </c>
      <c r="U22" s="57">
        <v>0.93406657408785299</v>
      </c>
      <c r="V22" s="57">
        <v>1</v>
      </c>
      <c r="W22" s="57">
        <v>0.27802860237778498</v>
      </c>
      <c r="X22" s="57">
        <v>0.89119301088781699</v>
      </c>
      <c r="Y22" s="57">
        <v>0.26349905339834401</v>
      </c>
      <c r="Z22" s="57">
        <v>-8.8833262931532694E-2</v>
      </c>
      <c r="AA22" s="57">
        <v>0.234148873624621</v>
      </c>
      <c r="AB22" s="57">
        <v>-0.15870757353237899</v>
      </c>
      <c r="AC22" s="57">
        <v>8.7748105658458794E-2</v>
      </c>
      <c r="AD22" s="57">
        <v>0.61329289247127905</v>
      </c>
      <c r="AE22" s="57">
        <v>-0.123479485074429</v>
      </c>
      <c r="AF22" s="57">
        <v>-0.15855881820210399</v>
      </c>
      <c r="AG22" s="57">
        <v>0.179656191457787</v>
      </c>
      <c r="AH22" s="57">
        <v>-0.21730527348831</v>
      </c>
      <c r="AI22" s="57">
        <v>6.4773769288905894E-2</v>
      </c>
      <c r="AJ22" s="57">
        <v>-0.15328363538617901</v>
      </c>
    </row>
    <row r="23" spans="1:36">
      <c r="A23" s="55" t="s">
        <v>39646</v>
      </c>
      <c r="B23" s="57">
        <v>-0.274715384925309</v>
      </c>
      <c r="C23" s="57">
        <v>-0.177847329239681</v>
      </c>
      <c r="D23" s="57">
        <v>-0.119533963281792</v>
      </c>
      <c r="E23" s="57">
        <v>-0.13626621611677001</v>
      </c>
      <c r="F23" s="57">
        <v>-0.27084908660236801</v>
      </c>
      <c r="G23" s="57">
        <v>-0.15223564771488399</v>
      </c>
      <c r="H23" s="57">
        <v>-0.20838462482808601</v>
      </c>
      <c r="I23" s="57">
        <v>-0.25399671855601202</v>
      </c>
      <c r="J23" s="57">
        <v>-0.23358870289568601</v>
      </c>
      <c r="K23" s="57">
        <v>-0.23051793124104</v>
      </c>
      <c r="L23" s="57">
        <v>-0.144616450429814</v>
      </c>
      <c r="M23" s="57">
        <v>-0.106451586831386</v>
      </c>
      <c r="N23" s="57">
        <v>-0.15430769087872601</v>
      </c>
      <c r="O23" s="57">
        <v>-0.16525334290641899</v>
      </c>
      <c r="P23" s="57">
        <v>-0.21475243304613201</v>
      </c>
      <c r="Q23" s="57">
        <v>-0.22125952226082601</v>
      </c>
      <c r="R23" s="57">
        <v>-0.165525084411107</v>
      </c>
      <c r="S23" s="57">
        <v>-0.24732405760784201</v>
      </c>
      <c r="T23" s="57">
        <v>-0.27654101762306899</v>
      </c>
      <c r="U23" s="57">
        <v>8.3236636338164693E-2</v>
      </c>
      <c r="V23" s="57">
        <v>0.27802860237778498</v>
      </c>
      <c r="W23" s="57">
        <v>1</v>
      </c>
      <c r="X23" s="57">
        <v>-0.11156130979984601</v>
      </c>
      <c r="Y23" s="57">
        <v>0.99277487875553905</v>
      </c>
      <c r="Z23" s="57">
        <v>7.73185295889188E-2</v>
      </c>
      <c r="AA23" s="57">
        <v>0.95727497170488196</v>
      </c>
      <c r="AB23" s="57">
        <v>-7.6210883260332596E-2</v>
      </c>
      <c r="AC23" s="57">
        <v>0.81332012560105105</v>
      </c>
      <c r="AD23" s="57">
        <v>-0.206943637818256</v>
      </c>
      <c r="AE23" s="57">
        <v>0.26516484921978301</v>
      </c>
      <c r="AF23" s="57">
        <v>-0.172363148475245</v>
      </c>
      <c r="AG23" s="57">
        <v>-0.28191526479985002</v>
      </c>
      <c r="AH23" s="57">
        <v>-0.17210527921023799</v>
      </c>
      <c r="AI23" s="57">
        <v>5.6830681901242602E-2</v>
      </c>
      <c r="AJ23" s="57">
        <v>-8.0619187037235404E-2</v>
      </c>
    </row>
    <row r="24" spans="1:36">
      <c r="A24" s="55" t="s">
        <v>39647</v>
      </c>
      <c r="B24" s="57">
        <v>0.45036822547718303</v>
      </c>
      <c r="C24" s="57">
        <v>0.78606378285147904</v>
      </c>
      <c r="D24" s="57">
        <v>-0.15306633186240101</v>
      </c>
      <c r="E24" s="57">
        <v>-0.17449241441608199</v>
      </c>
      <c r="F24" s="57">
        <v>1.86913973107092E-2</v>
      </c>
      <c r="G24" s="57">
        <v>0.14165295670264699</v>
      </c>
      <c r="H24" s="57">
        <v>-0.26684190219447401</v>
      </c>
      <c r="I24" s="57">
        <v>2.5118268025388898E-2</v>
      </c>
      <c r="J24" s="57">
        <v>0.126098080117128</v>
      </c>
      <c r="K24" s="57">
        <v>-0.12540504105450501</v>
      </c>
      <c r="L24" s="57">
        <v>7.3255041710516902E-2</v>
      </c>
      <c r="M24" s="57">
        <v>-0.136314010427313</v>
      </c>
      <c r="N24" s="57">
        <v>-0.197594989511753</v>
      </c>
      <c r="O24" s="57">
        <v>0.102928700872569</v>
      </c>
      <c r="P24" s="57">
        <v>1.3802890306047901E-2</v>
      </c>
      <c r="Q24" s="57">
        <v>-9.2894603731398292E-3</v>
      </c>
      <c r="R24" s="57">
        <v>-0.11186733026467401</v>
      </c>
      <c r="S24" s="57">
        <v>-1.46061855751673E-2</v>
      </c>
      <c r="T24" s="57">
        <v>-0.10177170649548301</v>
      </c>
      <c r="U24" s="57">
        <v>0.95825760565823004</v>
      </c>
      <c r="V24" s="57">
        <v>0.89119301088781699</v>
      </c>
      <c r="W24" s="57">
        <v>-0.11156130979984601</v>
      </c>
      <c r="X24" s="57">
        <v>1</v>
      </c>
      <c r="Y24" s="57">
        <v>-0.120300635908305</v>
      </c>
      <c r="Z24" s="57">
        <v>-9.7590007294853301E-2</v>
      </c>
      <c r="AA24" s="57">
        <v>-0.13259870882635899</v>
      </c>
      <c r="AB24" s="57">
        <v>-9.7590007294853301E-2</v>
      </c>
      <c r="AC24" s="57">
        <v>-0.19801529115188099</v>
      </c>
      <c r="AD24" s="57">
        <v>0.62543855620703503</v>
      </c>
      <c r="AE24" s="57">
        <v>-0.18165097503723901</v>
      </c>
      <c r="AF24" s="57">
        <v>-0.22071546998876301</v>
      </c>
      <c r="AG24" s="57">
        <v>0.22903972706277101</v>
      </c>
      <c r="AH24" s="57">
        <v>-0.19752615213104399</v>
      </c>
      <c r="AI24" s="57">
        <v>8.9556617200778801E-2</v>
      </c>
      <c r="AJ24" s="57">
        <v>-0.1032349543069</v>
      </c>
    </row>
    <row r="25" spans="1:36">
      <c r="A25" s="55" t="s">
        <v>39648</v>
      </c>
      <c r="B25" s="57">
        <v>-0.28147084559955499</v>
      </c>
      <c r="C25" s="57">
        <v>-0.19177927222719601</v>
      </c>
      <c r="D25" s="57">
        <v>-9.4669297292898302E-2</v>
      </c>
      <c r="E25" s="57">
        <v>-0.14694083890801099</v>
      </c>
      <c r="F25" s="57">
        <v>-0.263392468325721</v>
      </c>
      <c r="G25" s="57">
        <v>-0.17612755905865099</v>
      </c>
      <c r="H25" s="57">
        <v>-0.22470875364683801</v>
      </c>
      <c r="I25" s="57">
        <v>-0.27389394061195499</v>
      </c>
      <c r="J25" s="57">
        <v>-0.25188723178101202</v>
      </c>
      <c r="K25" s="57">
        <v>-0.24857590652455999</v>
      </c>
      <c r="L25" s="57">
        <v>-0.15594520161802899</v>
      </c>
      <c r="M25" s="57">
        <v>-0.114790634963319</v>
      </c>
      <c r="N25" s="57">
        <v>-0.16639562023391</v>
      </c>
      <c r="O25" s="57">
        <v>-0.17819871668128101</v>
      </c>
      <c r="P25" s="57">
        <v>-0.231575393876748</v>
      </c>
      <c r="Q25" s="57">
        <v>-0.238592225893549</v>
      </c>
      <c r="R25" s="57">
        <v>-0.17849174547302901</v>
      </c>
      <c r="S25" s="57">
        <v>-0.26669856654628998</v>
      </c>
      <c r="T25" s="57">
        <v>-0.28662560522563302</v>
      </c>
      <c r="U25" s="57">
        <v>6.4465390101134307E-2</v>
      </c>
      <c r="V25" s="57">
        <v>0.26349905339834401</v>
      </c>
      <c r="W25" s="57">
        <v>0.99277487875553905</v>
      </c>
      <c r="X25" s="57">
        <v>-0.120300635908305</v>
      </c>
      <c r="Y25" s="57">
        <v>1</v>
      </c>
      <c r="Z25" s="57">
        <v>4.0309301756987999E-2</v>
      </c>
      <c r="AA25" s="57">
        <v>0.93978614062062404</v>
      </c>
      <c r="AB25" s="57">
        <v>-8.2180979551068595E-2</v>
      </c>
      <c r="AC25" s="57">
        <v>0.79311760909727003</v>
      </c>
      <c r="AD25" s="57">
        <v>-0.223154884712087</v>
      </c>
      <c r="AE25" s="57">
        <v>0.25724856433996701</v>
      </c>
      <c r="AF25" s="57">
        <v>-0.18586547976114001</v>
      </c>
      <c r="AG25" s="57">
        <v>-0.30399952894535498</v>
      </c>
      <c r="AH25" s="57">
        <v>-0.185587409912218</v>
      </c>
      <c r="AI25" s="57">
        <v>4.8282130753236799E-2</v>
      </c>
      <c r="AJ25" s="57">
        <v>3.5821166975002303E-2</v>
      </c>
    </row>
    <row r="26" spans="1:36">
      <c r="A26" s="55" t="s">
        <v>39649</v>
      </c>
      <c r="B26" s="57">
        <v>-0.24031159608083399</v>
      </c>
      <c r="C26" s="57">
        <v>-0.155574743511075</v>
      </c>
      <c r="D26" s="57">
        <v>-0.104564211101337</v>
      </c>
      <c r="E26" s="57">
        <v>-0.119201011970334</v>
      </c>
      <c r="F26" s="57">
        <v>-0.236929490920748</v>
      </c>
      <c r="G26" s="57">
        <v>-0.27364348444679099</v>
      </c>
      <c r="H26" s="57">
        <v>-0.18228772227211901</v>
      </c>
      <c r="I26" s="57">
        <v>-0.22218761738475201</v>
      </c>
      <c r="J26" s="57">
        <v>-0.20433538527365699</v>
      </c>
      <c r="K26" s="57">
        <v>-0.20164917955667999</v>
      </c>
      <c r="L26" s="57">
        <v>-0.12650551053695899</v>
      </c>
      <c r="M26" s="57">
        <v>-9.3120196903945296E-2</v>
      </c>
      <c r="N26" s="57">
        <v>-0.13498307527514899</v>
      </c>
      <c r="O26" s="57">
        <v>-0.144557956236532</v>
      </c>
      <c r="P26" s="57">
        <v>-0.187858062487434</v>
      </c>
      <c r="Q26" s="57">
        <v>-0.193550240941323</v>
      </c>
      <c r="R26" s="57">
        <v>-0.14479566638418401</v>
      </c>
      <c r="S26" s="57">
        <v>-0.216350602457478</v>
      </c>
      <c r="T26" s="57">
        <v>-0.24190859694620301</v>
      </c>
      <c r="U26" s="57">
        <v>0.104707922624742</v>
      </c>
      <c r="V26" s="57">
        <v>-8.8833262931532694E-2</v>
      </c>
      <c r="W26" s="57">
        <v>7.73185295889188E-2</v>
      </c>
      <c r="X26" s="57">
        <v>-9.7590007294853301E-2</v>
      </c>
      <c r="Y26" s="57">
        <v>4.0309301756987999E-2</v>
      </c>
      <c r="Z26" s="57">
        <v>1</v>
      </c>
      <c r="AA26" s="57">
        <v>0.36232865092627098</v>
      </c>
      <c r="AB26" s="57">
        <v>-6.6666666666666693E-2</v>
      </c>
      <c r="AC26" s="57">
        <v>0.25761001924593502</v>
      </c>
      <c r="AD26" s="57">
        <v>-0.18102719626132399</v>
      </c>
      <c r="AE26" s="57">
        <v>-8.5112887212064406E-2</v>
      </c>
      <c r="AF26" s="57">
        <v>-0.15077737028403301</v>
      </c>
      <c r="AG26" s="57">
        <v>-0.246609804041453</v>
      </c>
      <c r="AH26" s="57">
        <v>-0.15055179509583999</v>
      </c>
      <c r="AI26" s="57">
        <v>-0.102899613967426</v>
      </c>
      <c r="AJ26" s="57">
        <v>-7.0522899607259701E-2</v>
      </c>
    </row>
    <row r="27" spans="1:36">
      <c r="A27" s="55" t="s">
        <v>39650</v>
      </c>
      <c r="B27" s="57">
        <v>-0.32651916153715299</v>
      </c>
      <c r="C27" s="57">
        <v>-0.21138445100463099</v>
      </c>
      <c r="D27" s="57">
        <v>-0.14207478578818999</v>
      </c>
      <c r="E27" s="57">
        <v>-0.16196228196096599</v>
      </c>
      <c r="F27" s="57">
        <v>-0.32192378553736101</v>
      </c>
      <c r="G27" s="57">
        <v>-0.22168694198705299</v>
      </c>
      <c r="H27" s="57">
        <v>-0.247680241842298</v>
      </c>
      <c r="I27" s="57">
        <v>-0.30189352372327399</v>
      </c>
      <c r="J27" s="57">
        <v>-0.27763711681013897</v>
      </c>
      <c r="K27" s="57">
        <v>-0.27398728195935501</v>
      </c>
      <c r="L27" s="57">
        <v>-0.171887141128483</v>
      </c>
      <c r="M27" s="57">
        <v>-0.126525432443232</v>
      </c>
      <c r="N27" s="57">
        <v>-0.18340588335871499</v>
      </c>
      <c r="O27" s="57">
        <v>-0.19641558473940601</v>
      </c>
      <c r="P27" s="57">
        <v>-0.25524884380010598</v>
      </c>
      <c r="Q27" s="57">
        <v>-0.26298299132521602</v>
      </c>
      <c r="R27" s="57">
        <v>-0.196738569228569</v>
      </c>
      <c r="S27" s="57">
        <v>-0.29396258218313898</v>
      </c>
      <c r="T27" s="57">
        <v>-0.328689058421193</v>
      </c>
      <c r="U27" s="57">
        <v>0.108183951884368</v>
      </c>
      <c r="V27" s="57">
        <v>0.234148873624621</v>
      </c>
      <c r="W27" s="57">
        <v>0.95727497170488196</v>
      </c>
      <c r="X27" s="57">
        <v>-0.13259870882635899</v>
      </c>
      <c r="Y27" s="57">
        <v>0.93978614062062404</v>
      </c>
      <c r="Z27" s="57">
        <v>0.36232865092627098</v>
      </c>
      <c r="AA27" s="57">
        <v>1</v>
      </c>
      <c r="AB27" s="57">
        <v>-9.0582162731567703E-2</v>
      </c>
      <c r="AC27" s="57">
        <v>0.83505058885467198</v>
      </c>
      <c r="AD27" s="57">
        <v>-0.24596752425873999</v>
      </c>
      <c r="AE27" s="57">
        <v>0.22320229351493401</v>
      </c>
      <c r="AF27" s="57">
        <v>-0.20486610436959099</v>
      </c>
      <c r="AG27" s="57">
        <v>-0.33507674101324397</v>
      </c>
      <c r="AH27" s="57">
        <v>-0.204559608043515</v>
      </c>
      <c r="AI27" s="57">
        <v>2.32823254137676E-2</v>
      </c>
      <c r="AJ27" s="57">
        <v>-9.5821751527902205E-2</v>
      </c>
    </row>
    <row r="28" spans="1:36">
      <c r="A28" s="55" t="s">
        <v>39651</v>
      </c>
      <c r="B28" s="57">
        <v>-0.24031159608083399</v>
      </c>
      <c r="C28" s="57">
        <v>-0.155574743511075</v>
      </c>
      <c r="D28" s="57">
        <v>0.26080958401138099</v>
      </c>
      <c r="E28" s="57">
        <v>-0.119201011970334</v>
      </c>
      <c r="F28" s="57">
        <v>-3.83059655979653E-2</v>
      </c>
      <c r="G28" s="57">
        <v>-0.132534579306817</v>
      </c>
      <c r="H28" s="57">
        <v>-0.18228772227211901</v>
      </c>
      <c r="I28" s="57">
        <v>-3.95977931972825E-3</v>
      </c>
      <c r="J28" s="57">
        <v>-0.20433538527365699</v>
      </c>
      <c r="K28" s="57">
        <v>-0.20164917955667999</v>
      </c>
      <c r="L28" s="57">
        <v>9.2314832013456402E-2</v>
      </c>
      <c r="M28" s="57">
        <v>-9.3120196903945296E-2</v>
      </c>
      <c r="N28" s="57">
        <v>-0.13498307527514899</v>
      </c>
      <c r="O28" s="57">
        <v>-0.144557956236532</v>
      </c>
      <c r="P28" s="57">
        <v>-0.187858062487434</v>
      </c>
      <c r="Q28" s="57">
        <v>-0.193550240941323</v>
      </c>
      <c r="R28" s="57">
        <v>-0.14479566638418401</v>
      </c>
      <c r="S28" s="57">
        <v>-9.1748230738435396E-2</v>
      </c>
      <c r="T28" s="57">
        <v>-8.2533521311057498E-2</v>
      </c>
      <c r="U28" s="57">
        <v>-0.139197119912677</v>
      </c>
      <c r="V28" s="57">
        <v>-0.15870757353237899</v>
      </c>
      <c r="W28" s="57">
        <v>-7.6210883260332596E-2</v>
      </c>
      <c r="X28" s="57">
        <v>-9.7590007294853301E-2</v>
      </c>
      <c r="Y28" s="57">
        <v>-8.2180979551068595E-2</v>
      </c>
      <c r="Z28" s="57">
        <v>-6.6666666666666693E-2</v>
      </c>
      <c r="AA28" s="57">
        <v>-9.0582162731567703E-2</v>
      </c>
      <c r="AB28" s="57">
        <v>1</v>
      </c>
      <c r="AC28" s="57">
        <v>-0.12898333874575901</v>
      </c>
      <c r="AD28" s="57">
        <v>-0.18102719626132399</v>
      </c>
      <c r="AE28" s="57">
        <v>0.70785297432716898</v>
      </c>
      <c r="AF28" s="57">
        <v>-0.12756224991953</v>
      </c>
      <c r="AG28" s="57">
        <v>-0.17119793956426499</v>
      </c>
      <c r="AH28" s="57">
        <v>-0.110111020349351</v>
      </c>
      <c r="AI28" s="57">
        <v>-0.102899613967426</v>
      </c>
      <c r="AJ28" s="57">
        <v>-7.0522899607259701E-2</v>
      </c>
    </row>
    <row r="29" spans="1:36">
      <c r="A29" s="55" t="s">
        <v>39652</v>
      </c>
      <c r="B29" s="57">
        <v>-0.49067930098853102</v>
      </c>
      <c r="C29" s="57">
        <v>-0.31690412079618202</v>
      </c>
      <c r="D29" s="57">
        <v>-0.211475227812052</v>
      </c>
      <c r="E29" s="57">
        <v>-0.24399807066756399</v>
      </c>
      <c r="F29" s="57">
        <v>-0.483030652315664</v>
      </c>
      <c r="G29" s="57">
        <v>-0.42071442356115402</v>
      </c>
      <c r="H29" s="57">
        <v>-0.30726000995993202</v>
      </c>
      <c r="I29" s="57">
        <v>-0.45274051104096502</v>
      </c>
      <c r="J29" s="57">
        <v>-0.41761386050133198</v>
      </c>
      <c r="K29" s="57">
        <v>-0.41250563065606899</v>
      </c>
      <c r="L29" s="57">
        <v>-0.25702068083434998</v>
      </c>
      <c r="M29" s="57">
        <v>-0.190612042709847</v>
      </c>
      <c r="N29" s="57">
        <v>-0.276303106789963</v>
      </c>
      <c r="O29" s="57">
        <v>-0.29542177692954802</v>
      </c>
      <c r="P29" s="57">
        <v>-0.38409409983924098</v>
      </c>
      <c r="Q29" s="57">
        <v>-0.39576823560077601</v>
      </c>
      <c r="R29" s="57">
        <v>-0.29623601990408899</v>
      </c>
      <c r="S29" s="57">
        <v>-0.44152273331945302</v>
      </c>
      <c r="T29" s="57">
        <v>-0.46971258682898998</v>
      </c>
      <c r="U29" s="57">
        <v>2.1497728999589202E-3</v>
      </c>
      <c r="V29" s="57">
        <v>8.7748105658458794E-2</v>
      </c>
      <c r="W29" s="57">
        <v>0.81332012560105105</v>
      </c>
      <c r="X29" s="57">
        <v>-0.19801529115188099</v>
      </c>
      <c r="Y29" s="57">
        <v>0.79311760909727003</v>
      </c>
      <c r="Z29" s="57">
        <v>0.25761001924593502</v>
      </c>
      <c r="AA29" s="57">
        <v>0.83505058885467198</v>
      </c>
      <c r="AB29" s="57">
        <v>-0.12898333874575901</v>
      </c>
      <c r="AC29" s="57">
        <v>1</v>
      </c>
      <c r="AD29" s="57">
        <v>-0.36919242127198099</v>
      </c>
      <c r="AE29" s="57">
        <v>0.11513503575837</v>
      </c>
      <c r="AF29" s="57">
        <v>-0.30847039000536403</v>
      </c>
      <c r="AG29" s="57">
        <v>-0.50336667552332803</v>
      </c>
      <c r="AH29" s="57">
        <v>-0.30785293160194999</v>
      </c>
      <c r="AI29" s="57">
        <v>0.40676347027406301</v>
      </c>
      <c r="AJ29" s="57">
        <v>-0.14435658856936601</v>
      </c>
    </row>
    <row r="30" spans="1:36">
      <c r="A30" s="55" t="s">
        <v>39653</v>
      </c>
      <c r="B30" s="57">
        <v>0.61996547343361796</v>
      </c>
      <c r="C30" s="57">
        <v>0.86875614699189796</v>
      </c>
      <c r="D30" s="57">
        <v>-0.28393448947428401</v>
      </c>
      <c r="E30" s="57">
        <v>-4.4661713078896298E-2</v>
      </c>
      <c r="F30" s="57">
        <v>0.27732291084167898</v>
      </c>
      <c r="G30" s="57">
        <v>0.56474723974639596</v>
      </c>
      <c r="H30" s="57">
        <v>0.25665469763579102</v>
      </c>
      <c r="I30" s="57">
        <v>0.452279618106885</v>
      </c>
      <c r="J30" s="57">
        <v>0.50509871707118903</v>
      </c>
      <c r="K30" s="57">
        <v>0.39364537339342898</v>
      </c>
      <c r="L30" s="57">
        <v>-0.131499739168251</v>
      </c>
      <c r="M30" s="57">
        <v>-0.241923089754711</v>
      </c>
      <c r="N30" s="57">
        <v>0.303861678954712</v>
      </c>
      <c r="O30" s="57">
        <v>0.64543991831695102</v>
      </c>
      <c r="P30" s="57">
        <v>0.18395647864701001</v>
      </c>
      <c r="Q30" s="57">
        <v>0.40410441000689901</v>
      </c>
      <c r="R30" s="57">
        <v>0.22672336051601499</v>
      </c>
      <c r="S30" s="57">
        <v>0.34440366078035001</v>
      </c>
      <c r="T30" s="57">
        <v>0.36981613849836198</v>
      </c>
      <c r="U30" s="57">
        <v>0.587884040507756</v>
      </c>
      <c r="V30" s="57">
        <v>0.61329289247127905</v>
      </c>
      <c r="W30" s="57">
        <v>-0.206943637818256</v>
      </c>
      <c r="X30" s="57">
        <v>0.62543855620703503</v>
      </c>
      <c r="Y30" s="57">
        <v>-0.223154884712087</v>
      </c>
      <c r="Z30" s="57">
        <v>-0.18102719626132399</v>
      </c>
      <c r="AA30" s="57">
        <v>-0.24596752425873999</v>
      </c>
      <c r="AB30" s="57">
        <v>-0.18102719626132399</v>
      </c>
      <c r="AC30" s="57">
        <v>-0.36919242127198099</v>
      </c>
      <c r="AD30" s="57">
        <v>1</v>
      </c>
      <c r="AE30" s="57">
        <v>-0.33695833846772699</v>
      </c>
      <c r="AF30" s="57">
        <v>0.39269542247918698</v>
      </c>
      <c r="AG30" s="57">
        <v>0.41319540056606602</v>
      </c>
      <c r="AH30" s="57">
        <v>0.35049175267196803</v>
      </c>
      <c r="AI30" s="57">
        <v>-9.2277933105980703E-2</v>
      </c>
      <c r="AJ30" s="57">
        <v>-0.173757874437102</v>
      </c>
    </row>
    <row r="31" spans="1:36">
      <c r="A31" s="55" t="s">
        <v>39654</v>
      </c>
      <c r="B31" s="57">
        <v>-0.44437196450991601</v>
      </c>
      <c r="C31" s="57">
        <v>-0.28958194218154898</v>
      </c>
      <c r="D31" s="57">
        <v>0.73723198873403695</v>
      </c>
      <c r="E31" s="57">
        <v>-0.22187702050698399</v>
      </c>
      <c r="F31" s="57">
        <v>-0.28039432677133402</v>
      </c>
      <c r="G31" s="57">
        <v>-0.33876932315522301</v>
      </c>
      <c r="H31" s="57">
        <v>-0.33834876980418499</v>
      </c>
      <c r="I31" s="57">
        <v>-0.24336675327085799</v>
      </c>
      <c r="J31" s="57">
        <v>-0.38034346956675802</v>
      </c>
      <c r="K31" s="57">
        <v>-0.37534345059795998</v>
      </c>
      <c r="L31" s="57">
        <v>-6.4804961702404407E-2</v>
      </c>
      <c r="M31" s="57">
        <v>-0.173331010337505</v>
      </c>
      <c r="N31" s="57">
        <v>-0.25125325755098099</v>
      </c>
      <c r="O31" s="57">
        <v>-0.26907564030012598</v>
      </c>
      <c r="P31" s="57">
        <v>-0.34967309835674798</v>
      </c>
      <c r="Q31" s="57">
        <v>-0.36026834058386398</v>
      </c>
      <c r="R31" s="57">
        <v>-0.26951810650434199</v>
      </c>
      <c r="S31" s="57">
        <v>-0.27590033075123899</v>
      </c>
      <c r="T31" s="57">
        <v>-0.32332636567404499</v>
      </c>
      <c r="U31" s="57">
        <v>-0.17182570500475899</v>
      </c>
      <c r="V31" s="57">
        <v>-0.123479485074429</v>
      </c>
      <c r="W31" s="57">
        <v>0.26516484921978301</v>
      </c>
      <c r="X31" s="57">
        <v>-0.18165097503723901</v>
      </c>
      <c r="Y31" s="57">
        <v>0.25724856433996701</v>
      </c>
      <c r="Z31" s="57">
        <v>-8.5112887212064406E-2</v>
      </c>
      <c r="AA31" s="57">
        <v>0.22320229351493401</v>
      </c>
      <c r="AB31" s="57">
        <v>0.70785297432716898</v>
      </c>
      <c r="AC31" s="57">
        <v>0.11513503575837</v>
      </c>
      <c r="AD31" s="57">
        <v>-0.33695833846772699</v>
      </c>
      <c r="AE31" s="57">
        <v>1</v>
      </c>
      <c r="AF31" s="57">
        <v>-0.26254568255288202</v>
      </c>
      <c r="AG31" s="57">
        <v>-0.40021443483961</v>
      </c>
      <c r="AH31" s="57">
        <v>-0.24869069445123701</v>
      </c>
      <c r="AI31" s="57">
        <v>-0.119021110886824</v>
      </c>
      <c r="AJ31" s="57">
        <v>-0.10685483636159999</v>
      </c>
    </row>
    <row r="32" spans="1:36">
      <c r="A32" s="55" t="s">
        <v>39655</v>
      </c>
      <c r="B32" s="57">
        <v>0.27568120684402803</v>
      </c>
      <c r="C32" s="57">
        <v>0.37998254028668899</v>
      </c>
      <c r="D32" s="57">
        <v>-0.22853669229315801</v>
      </c>
      <c r="E32" s="57">
        <v>0.30978417876211101</v>
      </c>
      <c r="F32" s="57">
        <v>0.45198511917100997</v>
      </c>
      <c r="G32" s="57">
        <v>0.65619441683250701</v>
      </c>
      <c r="H32" s="57">
        <v>0.67896752410179495</v>
      </c>
      <c r="I32" s="57">
        <v>0.60324458276957904</v>
      </c>
      <c r="J32" s="57">
        <v>0.53659866592723604</v>
      </c>
      <c r="K32" s="57">
        <v>0.80777696000718002</v>
      </c>
      <c r="L32" s="57">
        <v>5.61701216816601E-2</v>
      </c>
      <c r="M32" s="57">
        <v>0.134880136574479</v>
      </c>
      <c r="N32" s="57">
        <v>0.77134710134064699</v>
      </c>
      <c r="O32" s="57">
        <v>0.59889273438500801</v>
      </c>
      <c r="P32" s="57">
        <v>0.31666598479026398</v>
      </c>
      <c r="Q32" s="57">
        <v>0.56328435098685503</v>
      </c>
      <c r="R32" s="57">
        <v>0.39800487804451201</v>
      </c>
      <c r="S32" s="57">
        <v>0.473126044912347</v>
      </c>
      <c r="T32" s="57">
        <v>0.61011597731280898</v>
      </c>
      <c r="U32" s="57">
        <v>-0.29505645922205898</v>
      </c>
      <c r="V32" s="57">
        <v>-0.15855881820210399</v>
      </c>
      <c r="W32" s="57">
        <v>-0.172363148475245</v>
      </c>
      <c r="X32" s="57">
        <v>-0.22071546998876301</v>
      </c>
      <c r="Y32" s="57">
        <v>-0.18586547976114001</v>
      </c>
      <c r="Z32" s="57">
        <v>-0.15077737028403301</v>
      </c>
      <c r="AA32" s="57">
        <v>-0.20486610436959099</v>
      </c>
      <c r="AB32" s="57">
        <v>-0.12756224991953</v>
      </c>
      <c r="AC32" s="57">
        <v>-0.30847039000536403</v>
      </c>
      <c r="AD32" s="57">
        <v>0.39269542247918698</v>
      </c>
      <c r="AE32" s="57">
        <v>-0.26254568255288202</v>
      </c>
      <c r="AF32" s="57">
        <v>1</v>
      </c>
      <c r="AG32" s="57">
        <v>0.566651623871262</v>
      </c>
      <c r="AH32" s="57">
        <v>0.90986406392633801</v>
      </c>
      <c r="AI32" s="57">
        <v>-0.23272399795875801</v>
      </c>
      <c r="AJ32" s="57">
        <v>-0.129447667372278</v>
      </c>
    </row>
    <row r="33" spans="1:36">
      <c r="A33" s="55" t="s">
        <v>39656</v>
      </c>
      <c r="B33" s="57">
        <v>0.79589484087385398</v>
      </c>
      <c r="C33" s="57">
        <v>0.40159943945323501</v>
      </c>
      <c r="D33" s="57">
        <v>-0.36096696996622701</v>
      </c>
      <c r="E33" s="57">
        <v>0.68875188483280303</v>
      </c>
      <c r="F33" s="57">
        <v>0.78776272031746297</v>
      </c>
      <c r="G33" s="57">
        <v>0.91230702106157102</v>
      </c>
      <c r="H33" s="57">
        <v>0.707692155315639</v>
      </c>
      <c r="I33" s="57">
        <v>0.80988318497439105</v>
      </c>
      <c r="J33" s="57">
        <v>0.80890354036495304</v>
      </c>
      <c r="K33" s="57">
        <v>0.83304849750180199</v>
      </c>
      <c r="L33" s="57">
        <v>0.64687588965278198</v>
      </c>
      <c r="M33" s="57">
        <v>0.64563062616979106</v>
      </c>
      <c r="N33" s="57">
        <v>0.59038807159525197</v>
      </c>
      <c r="O33" s="57">
        <v>0.41750270667996098</v>
      </c>
      <c r="P33" s="57">
        <v>0.79536314305525302</v>
      </c>
      <c r="Q33" s="57">
        <v>0.78854862925570801</v>
      </c>
      <c r="R33" s="57">
        <v>0.61417878114811597</v>
      </c>
      <c r="S33" s="57">
        <v>0.82294975752636002</v>
      </c>
      <c r="T33" s="57">
        <v>0.81916253071353795</v>
      </c>
      <c r="U33" s="57">
        <v>0.130308028438018</v>
      </c>
      <c r="V33" s="57">
        <v>0.179656191457787</v>
      </c>
      <c r="W33" s="57">
        <v>-0.28191526479985002</v>
      </c>
      <c r="X33" s="57">
        <v>0.22903972706277101</v>
      </c>
      <c r="Y33" s="57">
        <v>-0.30399952894535498</v>
      </c>
      <c r="Z33" s="57">
        <v>-0.246609804041453</v>
      </c>
      <c r="AA33" s="57">
        <v>-0.33507674101324397</v>
      </c>
      <c r="AB33" s="57">
        <v>-0.17119793956426499</v>
      </c>
      <c r="AC33" s="57">
        <v>-0.50336667552332803</v>
      </c>
      <c r="AD33" s="57">
        <v>0.41319540056606602</v>
      </c>
      <c r="AE33" s="57">
        <v>-0.40021443483961</v>
      </c>
      <c r="AF33" s="57">
        <v>0.566651623871262</v>
      </c>
      <c r="AG33" s="57">
        <v>1</v>
      </c>
      <c r="AH33" s="57">
        <v>0.61683545533037698</v>
      </c>
      <c r="AI33" s="57">
        <v>-0.25663635941775498</v>
      </c>
      <c r="AJ33" s="57">
        <v>-0.23907233854784499</v>
      </c>
    </row>
    <row r="34" spans="1:36">
      <c r="A34" s="55" t="s">
        <v>39657</v>
      </c>
      <c r="B34" s="57">
        <v>0.346540450820708</v>
      </c>
      <c r="C34" s="57">
        <v>0.33469267316899198</v>
      </c>
      <c r="D34" s="57">
        <v>-0.22228244587402801</v>
      </c>
      <c r="E34" s="57">
        <v>0.46909324901083599</v>
      </c>
      <c r="F34" s="57">
        <v>0.60119049314612005</v>
      </c>
      <c r="G34" s="57">
        <v>0.73546179717773397</v>
      </c>
      <c r="H34" s="57">
        <v>0.82576006383667599</v>
      </c>
      <c r="I34" s="57">
        <v>0.75338826563476702</v>
      </c>
      <c r="J34" s="57">
        <v>0.69726432133905702</v>
      </c>
      <c r="K34" s="57">
        <v>0.87855265929228799</v>
      </c>
      <c r="L34" s="57">
        <v>0.20909410894331701</v>
      </c>
      <c r="M34" s="57">
        <v>0.28367018574708702</v>
      </c>
      <c r="N34" s="57">
        <v>0.82464150951302495</v>
      </c>
      <c r="O34" s="57">
        <v>0.64446419322902704</v>
      </c>
      <c r="P34" s="57">
        <v>0.31684034587804599</v>
      </c>
      <c r="Q34" s="57">
        <v>0.69900747590412304</v>
      </c>
      <c r="R34" s="57">
        <v>0.42216414487844101</v>
      </c>
      <c r="S34" s="57">
        <v>0.63174456735956097</v>
      </c>
      <c r="T34" s="57">
        <v>0.67265882611073902</v>
      </c>
      <c r="U34" s="57">
        <v>-0.28487327684894598</v>
      </c>
      <c r="V34" s="57">
        <v>-0.21730527348831</v>
      </c>
      <c r="W34" s="57">
        <v>-0.17210527921023799</v>
      </c>
      <c r="X34" s="57">
        <v>-0.19752615213104399</v>
      </c>
      <c r="Y34" s="57">
        <v>-0.185587409912218</v>
      </c>
      <c r="Z34" s="57">
        <v>-0.15055179509583999</v>
      </c>
      <c r="AA34" s="57">
        <v>-0.204559608043515</v>
      </c>
      <c r="AB34" s="57">
        <v>-0.110111020349351</v>
      </c>
      <c r="AC34" s="57">
        <v>-0.30785293160194999</v>
      </c>
      <c r="AD34" s="57">
        <v>0.35049175267196803</v>
      </c>
      <c r="AE34" s="57">
        <v>-0.24869069445123701</v>
      </c>
      <c r="AF34" s="57">
        <v>0.90986406392633801</v>
      </c>
      <c r="AG34" s="57">
        <v>0.61683545533037698</v>
      </c>
      <c r="AH34" s="57">
        <v>1</v>
      </c>
      <c r="AI34" s="57">
        <v>-0.22757168605946501</v>
      </c>
      <c r="AJ34" s="57">
        <v>-0.14978576878383101</v>
      </c>
    </row>
    <row r="35" spans="1:36">
      <c r="A35" s="55" t="s">
        <v>39658</v>
      </c>
      <c r="B35" s="57">
        <v>-0.20233768693811</v>
      </c>
      <c r="C35" s="57">
        <v>-2.70651204052678E-2</v>
      </c>
      <c r="D35" s="57">
        <v>-0.16139425435704</v>
      </c>
      <c r="E35" s="57">
        <v>-0.183986071744108</v>
      </c>
      <c r="F35" s="57">
        <v>-0.28888039748355998</v>
      </c>
      <c r="G35" s="57">
        <v>-0.28210609180961599</v>
      </c>
      <c r="H35" s="57">
        <v>-0.11977630363234899</v>
      </c>
      <c r="I35" s="57">
        <v>-0.26931100494525501</v>
      </c>
      <c r="J35" s="57">
        <v>-0.22602615954487901</v>
      </c>
      <c r="K35" s="57">
        <v>-0.27556305769329298</v>
      </c>
      <c r="L35" s="57">
        <v>-0.14094597930737399</v>
      </c>
      <c r="M35" s="57">
        <v>-0.14373048470979899</v>
      </c>
      <c r="N35" s="57">
        <v>-0.208345595069232</v>
      </c>
      <c r="O35" s="57">
        <v>-0.15701973917793099</v>
      </c>
      <c r="P35" s="57">
        <v>-0.229262995441402</v>
      </c>
      <c r="Q35" s="57">
        <v>-0.241150814511738</v>
      </c>
      <c r="R35" s="57">
        <v>-0.202455680100598</v>
      </c>
      <c r="S35" s="57">
        <v>-0.27044595501746199</v>
      </c>
      <c r="T35" s="57">
        <v>-0.26158244008967402</v>
      </c>
      <c r="U35" s="57">
        <v>7.5871903240912406E-2</v>
      </c>
      <c r="V35" s="57">
        <v>6.4773769288905894E-2</v>
      </c>
      <c r="W35" s="57">
        <v>5.6830681901242602E-2</v>
      </c>
      <c r="X35" s="57">
        <v>8.9556617200778801E-2</v>
      </c>
      <c r="Y35" s="57">
        <v>4.8282130753236799E-2</v>
      </c>
      <c r="Z35" s="57">
        <v>-0.102899613967426</v>
      </c>
      <c r="AA35" s="57">
        <v>2.32823254137676E-2</v>
      </c>
      <c r="AB35" s="57">
        <v>-0.102899613967426</v>
      </c>
      <c r="AC35" s="57">
        <v>0.40676347027406301</v>
      </c>
      <c r="AD35" s="57">
        <v>-9.2277933105980703E-2</v>
      </c>
      <c r="AE35" s="57">
        <v>-0.119021110886824</v>
      </c>
      <c r="AF35" s="57">
        <v>-0.23272399795875801</v>
      </c>
      <c r="AG35" s="57">
        <v>-0.25663635941775498</v>
      </c>
      <c r="AH35" s="57">
        <v>-0.22757168605946501</v>
      </c>
      <c r="AI35" s="57">
        <v>1</v>
      </c>
      <c r="AJ35" s="57">
        <v>-0.108851687181758</v>
      </c>
    </row>
    <row r="36" spans="1:36">
      <c r="A36" s="55" t="s">
        <v>39659</v>
      </c>
      <c r="B36" s="57">
        <v>-0.112746414133364</v>
      </c>
      <c r="C36" s="57">
        <v>-0.14780900392747001</v>
      </c>
      <c r="D36" s="57">
        <v>0.188101594361302</v>
      </c>
      <c r="E36" s="57">
        <v>-0.12609601500401499</v>
      </c>
      <c r="F36" s="57">
        <v>-3.9494850383394099E-4</v>
      </c>
      <c r="G36" s="57">
        <v>-0.27157690186829397</v>
      </c>
      <c r="H36" s="57">
        <v>-0.19283188106148999</v>
      </c>
      <c r="I36" s="57">
        <v>-0.23503972552201699</v>
      </c>
      <c r="J36" s="57">
        <v>-0.21615485792797301</v>
      </c>
      <c r="K36" s="57">
        <v>-0.199420148172511</v>
      </c>
      <c r="L36" s="57">
        <v>-0.13382303129044601</v>
      </c>
      <c r="M36" s="57">
        <v>-9.8506594464977906E-2</v>
      </c>
      <c r="N36" s="57">
        <v>-0.14279096799462801</v>
      </c>
      <c r="O36" s="57">
        <v>-0.15291969352649401</v>
      </c>
      <c r="P36" s="57">
        <v>-0.18240972297881899</v>
      </c>
      <c r="Q36" s="57">
        <v>-0.20474586316298801</v>
      </c>
      <c r="R36" s="57">
        <v>-0.15317115365967099</v>
      </c>
      <c r="S36" s="57">
        <v>-0.22886507725618299</v>
      </c>
      <c r="T36" s="57">
        <v>-0.140547723370196</v>
      </c>
      <c r="U36" s="57">
        <v>-0.14507459790855201</v>
      </c>
      <c r="V36" s="57">
        <v>-0.15328363538617901</v>
      </c>
      <c r="W36" s="57">
        <v>-8.0619187037235404E-2</v>
      </c>
      <c r="X36" s="57">
        <v>-0.1032349543069</v>
      </c>
      <c r="Y36" s="57">
        <v>3.5821166975002303E-2</v>
      </c>
      <c r="Z36" s="57">
        <v>-7.0522899607259701E-2</v>
      </c>
      <c r="AA36" s="57">
        <v>-9.5821751527902205E-2</v>
      </c>
      <c r="AB36" s="57">
        <v>-7.0522899607259701E-2</v>
      </c>
      <c r="AC36" s="57">
        <v>-0.14435658856936601</v>
      </c>
      <c r="AD36" s="57">
        <v>-0.173757874437102</v>
      </c>
      <c r="AE36" s="57">
        <v>-0.10685483636159999</v>
      </c>
      <c r="AF36" s="57">
        <v>-0.129447667372278</v>
      </c>
      <c r="AG36" s="57">
        <v>-0.23907233854784499</v>
      </c>
      <c r="AH36" s="57">
        <v>-0.14978576878383101</v>
      </c>
      <c r="AI36" s="57">
        <v>-0.108851687181758</v>
      </c>
      <c r="AJ36" s="57">
        <v>1</v>
      </c>
    </row>
  </sheetData>
  <conditionalFormatting sqref="A21:AJ36 A1 B2:AJ20 U1:AJ1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7DBB1-BA38-9C4B-9818-20D44C8790EF}">
  <dimension ref="A1:X24"/>
  <sheetViews>
    <sheetView workbookViewId="0">
      <selection activeCell="N45" sqref="N45"/>
    </sheetView>
  </sheetViews>
  <sheetFormatPr baseColWidth="10" defaultColWidth="19.6640625" defaultRowHeight="16"/>
  <cols>
    <col min="1" max="16384" width="19.6640625" style="57"/>
  </cols>
  <sheetData>
    <row r="1" spans="1:24">
      <c r="A1" s="55"/>
      <c r="B1" s="55" t="s">
        <v>39660</v>
      </c>
      <c r="C1" s="55" t="s">
        <v>39661</v>
      </c>
      <c r="D1" s="55" t="s">
        <v>39662</v>
      </c>
      <c r="E1" s="55" t="s">
        <v>39663</v>
      </c>
      <c r="F1" s="55" t="s">
        <v>39664</v>
      </c>
      <c r="G1" s="55" t="s">
        <v>39665</v>
      </c>
      <c r="H1" s="55" t="s">
        <v>39666</v>
      </c>
      <c r="I1" s="55" t="s">
        <v>39667</v>
      </c>
      <c r="J1" s="55" t="s">
        <v>39644</v>
      </c>
      <c r="K1" s="55" t="s">
        <v>39645</v>
      </c>
      <c r="L1" s="55" t="s">
        <v>39646</v>
      </c>
      <c r="M1" s="55" t="s">
        <v>39647</v>
      </c>
      <c r="N1" s="55" t="s">
        <v>39648</v>
      </c>
      <c r="O1" s="55" t="s">
        <v>39649</v>
      </c>
      <c r="P1" s="55" t="s">
        <v>39650</v>
      </c>
      <c r="Q1" s="55" t="s">
        <v>39652</v>
      </c>
      <c r="R1" s="55" t="s">
        <v>39653</v>
      </c>
      <c r="S1" s="55" t="s">
        <v>39654</v>
      </c>
      <c r="T1" s="55" t="s">
        <v>39655</v>
      </c>
      <c r="U1" s="55" t="s">
        <v>39656</v>
      </c>
      <c r="V1" s="55" t="s">
        <v>39657</v>
      </c>
      <c r="W1" s="55" t="s">
        <v>39658</v>
      </c>
      <c r="X1" s="55" t="s">
        <v>39659</v>
      </c>
    </row>
    <row r="2" spans="1:24">
      <c r="A2" s="55" t="s">
        <v>39660</v>
      </c>
      <c r="B2" s="57">
        <v>1</v>
      </c>
      <c r="C2" s="57">
        <v>0.20661966463661399</v>
      </c>
      <c r="D2" s="57">
        <v>0.85898232119742401</v>
      </c>
      <c r="E2" s="57">
        <v>0.39370979571933401</v>
      </c>
      <c r="F2" s="57">
        <v>0.48009817341643701</v>
      </c>
      <c r="G2" s="57">
        <v>0.96434547451036901</v>
      </c>
      <c r="H2" s="57">
        <v>0.784437028573721</v>
      </c>
      <c r="I2" s="57">
        <v>-0.19903050200467301</v>
      </c>
      <c r="J2" s="57">
        <v>0.294499214821067</v>
      </c>
      <c r="K2" s="57">
        <v>0.33142270372913901</v>
      </c>
      <c r="L2" s="57">
        <v>6.5945166371392999E-2</v>
      </c>
      <c r="M2" s="57">
        <v>0.315609546160384</v>
      </c>
      <c r="N2" s="57">
        <v>4.5033859458309802E-2</v>
      </c>
      <c r="O2" s="57">
        <v>-0.248435212905352</v>
      </c>
      <c r="P2" s="57">
        <v>-1.0409246179659199E-2</v>
      </c>
      <c r="Q2" s="57">
        <v>-0.20763224970958699</v>
      </c>
      <c r="R2" s="57">
        <v>0.471855952956511</v>
      </c>
      <c r="S2" s="57">
        <v>-0.33053317643151903</v>
      </c>
      <c r="T2" s="57">
        <v>0.30585883444713502</v>
      </c>
      <c r="U2" s="57">
        <v>0.80348889215424202</v>
      </c>
      <c r="V2" s="57">
        <v>0.48296827771297202</v>
      </c>
      <c r="W2" s="57">
        <v>-0.183373587302847</v>
      </c>
      <c r="X2" s="57">
        <v>-0.26280557367948498</v>
      </c>
    </row>
    <row r="3" spans="1:24">
      <c r="A3" s="55" t="s">
        <v>39661</v>
      </c>
      <c r="B3" s="57">
        <v>0.20661966463661399</v>
      </c>
      <c r="C3" s="57">
        <v>1</v>
      </c>
      <c r="D3" s="57">
        <v>0.15660607014227601</v>
      </c>
      <c r="E3" s="57">
        <v>0.47858042230283399</v>
      </c>
      <c r="F3" s="57">
        <v>0.64963699887833404</v>
      </c>
      <c r="G3" s="57">
        <v>0.21677222101153401</v>
      </c>
      <c r="H3" s="57">
        <v>0.26894158726856798</v>
      </c>
      <c r="I3" s="57">
        <v>-5.3232720498463698E-2</v>
      </c>
      <c r="J3" s="57">
        <v>0.27141421020649098</v>
      </c>
      <c r="K3" s="57">
        <v>0.215735477974178</v>
      </c>
      <c r="L3" s="57">
        <v>0.24773509524968401</v>
      </c>
      <c r="M3" s="57">
        <v>0.10367319694076101</v>
      </c>
      <c r="N3" s="57">
        <v>0.221007139748331</v>
      </c>
      <c r="O3" s="57">
        <v>0.30788428910707799</v>
      </c>
      <c r="P3" s="57">
        <v>0.32089595786877401</v>
      </c>
      <c r="Q3" s="57">
        <v>0.15593683714056999</v>
      </c>
      <c r="R3" s="57">
        <v>0.220949167784179</v>
      </c>
      <c r="S3" s="57">
        <v>-0.14596372915533301</v>
      </c>
      <c r="T3" s="57">
        <v>-0.36525477845308502</v>
      </c>
      <c r="U3" s="57">
        <v>-0.17177552941148899</v>
      </c>
      <c r="V3" s="57">
        <v>-0.35790608663550399</v>
      </c>
      <c r="W3" s="57">
        <v>-0.11804216961583899</v>
      </c>
      <c r="X3" s="57">
        <v>-0.170840133525307</v>
      </c>
    </row>
    <row r="4" spans="1:24">
      <c r="A4" s="55" t="s">
        <v>39662</v>
      </c>
      <c r="B4" s="57">
        <v>0.85898232119742401</v>
      </c>
      <c r="C4" s="57">
        <v>0.15660607014227601</v>
      </c>
      <c r="D4" s="57">
        <v>1</v>
      </c>
      <c r="E4" s="57">
        <v>0.369618328406707</v>
      </c>
      <c r="F4" s="57">
        <v>0.50852042984994295</v>
      </c>
      <c r="G4" s="57">
        <v>0.91511676506329198</v>
      </c>
      <c r="H4" s="57">
        <v>0.78439087161327603</v>
      </c>
      <c r="I4" s="57">
        <v>-0.18727162866041</v>
      </c>
      <c r="J4" s="57">
        <v>0.201326488009307</v>
      </c>
      <c r="K4" s="57">
        <v>0.229103391259804</v>
      </c>
      <c r="L4" s="57">
        <v>-0.27996412729023801</v>
      </c>
      <c r="M4" s="57">
        <v>0.26077220546204199</v>
      </c>
      <c r="N4" s="57">
        <v>-0.30189554608990099</v>
      </c>
      <c r="O4" s="57">
        <v>-0.244903015871451</v>
      </c>
      <c r="P4" s="57">
        <v>-0.33275767255679201</v>
      </c>
      <c r="Q4" s="57">
        <v>-0.500357111981511</v>
      </c>
      <c r="R4" s="57">
        <v>0.58002745019770596</v>
      </c>
      <c r="S4" s="57">
        <v>-0.45585478324844497</v>
      </c>
      <c r="T4" s="57">
        <v>0.42439309857134</v>
      </c>
      <c r="U4" s="57">
        <v>0.88882362807350301</v>
      </c>
      <c r="V4" s="57">
        <v>0.47404801529424201</v>
      </c>
      <c r="W4" s="57">
        <v>-0.247858038852561</v>
      </c>
      <c r="X4" s="57">
        <v>-0.23993191986458401</v>
      </c>
    </row>
    <row r="5" spans="1:24">
      <c r="A5" s="55" t="s">
        <v>39663</v>
      </c>
      <c r="B5" s="57">
        <v>0.39370979571933401</v>
      </c>
      <c r="C5" s="57">
        <v>0.47858042230283399</v>
      </c>
      <c r="D5" s="57">
        <v>0.369618328406707</v>
      </c>
      <c r="E5" s="57">
        <v>1</v>
      </c>
      <c r="F5" s="57">
        <v>0.78389279844940196</v>
      </c>
      <c r="G5" s="57">
        <v>0.41043813724421602</v>
      </c>
      <c r="H5" s="57">
        <v>0.45836761853908897</v>
      </c>
      <c r="I5" s="57">
        <v>0.37894621573735698</v>
      </c>
      <c r="J5" s="57">
        <v>0.64660721300814805</v>
      </c>
      <c r="K5" s="57">
        <v>0.57050868098455298</v>
      </c>
      <c r="L5" s="57">
        <v>-0.17950315663594499</v>
      </c>
      <c r="M5" s="57">
        <v>0.67344488886873199</v>
      </c>
      <c r="N5" s="57">
        <v>-0.193564811399175</v>
      </c>
      <c r="O5" s="57">
        <v>-0.157023204522965</v>
      </c>
      <c r="P5" s="57">
        <v>-0.21335252197097099</v>
      </c>
      <c r="Q5" s="57">
        <v>-0.31818341329668498</v>
      </c>
      <c r="R5" s="57">
        <v>0.54008612125400401</v>
      </c>
      <c r="S5" s="57">
        <v>0.10028661893542699</v>
      </c>
      <c r="T5" s="57">
        <v>-0.326993932669149</v>
      </c>
      <c r="U5" s="57">
        <v>0.15664038595770599</v>
      </c>
      <c r="V5" s="57">
        <v>-0.27311558548127202</v>
      </c>
      <c r="W5" s="57">
        <v>-5.25235157871662E-2</v>
      </c>
      <c r="X5" s="57">
        <v>-0.16610597532874899</v>
      </c>
    </row>
    <row r="6" spans="1:24">
      <c r="A6" s="55" t="s">
        <v>39664</v>
      </c>
      <c r="B6" s="57">
        <v>0.48009817341643701</v>
      </c>
      <c r="C6" s="57">
        <v>0.64963699887833404</v>
      </c>
      <c r="D6" s="57">
        <v>0.50852042984994295</v>
      </c>
      <c r="E6" s="57">
        <v>0.78389279844940196</v>
      </c>
      <c r="F6" s="57">
        <v>1</v>
      </c>
      <c r="G6" s="57">
        <v>0.48677885478904898</v>
      </c>
      <c r="H6" s="57">
        <v>0.50368352342136702</v>
      </c>
      <c r="I6" s="57">
        <v>-1.77120801349883E-2</v>
      </c>
      <c r="J6" s="57">
        <v>0.730502904714318</v>
      </c>
      <c r="K6" s="57">
        <v>0.59760218001232202</v>
      </c>
      <c r="L6" s="57">
        <v>-0.132307558319088</v>
      </c>
      <c r="M6" s="57">
        <v>0.66664436052185805</v>
      </c>
      <c r="N6" s="57">
        <v>-0.15663176550381799</v>
      </c>
      <c r="O6" s="57">
        <v>0.18648386200077299</v>
      </c>
      <c r="P6" s="57">
        <v>-6.9598399455719495E-2</v>
      </c>
      <c r="Q6" s="57">
        <v>-0.196908504651787</v>
      </c>
      <c r="R6" s="57">
        <v>0.63217647492512297</v>
      </c>
      <c r="S6" s="57">
        <v>-0.28382853252102003</v>
      </c>
      <c r="T6" s="57">
        <v>-0.22089979961811601</v>
      </c>
      <c r="U6" s="57">
        <v>0.230942158600425</v>
      </c>
      <c r="V6" s="57">
        <v>-0.208256334856146</v>
      </c>
      <c r="W6" s="57">
        <v>-5.6731438468233301E-2</v>
      </c>
      <c r="X6" s="57">
        <v>-0.16848445190811201</v>
      </c>
    </row>
    <row r="7" spans="1:24">
      <c r="A7" s="55" t="s">
        <v>39665</v>
      </c>
      <c r="B7" s="57">
        <v>0.96434547451036901</v>
      </c>
      <c r="C7" s="57">
        <v>0.21677222101153401</v>
      </c>
      <c r="D7" s="57">
        <v>0.91511676506329198</v>
      </c>
      <c r="E7" s="57">
        <v>0.41043813724421602</v>
      </c>
      <c r="F7" s="57">
        <v>0.48677885478904898</v>
      </c>
      <c r="G7" s="57">
        <v>1</v>
      </c>
      <c r="H7" s="57">
        <v>0.79997254088005798</v>
      </c>
      <c r="I7" s="57">
        <v>-0.23500049129727801</v>
      </c>
      <c r="J7" s="57">
        <v>0.29673433122451298</v>
      </c>
      <c r="K7" s="57">
        <v>0.38574775743325102</v>
      </c>
      <c r="L7" s="57">
        <v>4.9423337043995902E-2</v>
      </c>
      <c r="M7" s="57">
        <v>0.314118555948532</v>
      </c>
      <c r="N7" s="57">
        <v>2.6384759220908601E-2</v>
      </c>
      <c r="O7" s="57">
        <v>-0.27266666505961901</v>
      </c>
      <c r="P7" s="57">
        <v>-3.2882932845138803E-2</v>
      </c>
      <c r="Q7" s="57">
        <v>-0.247602006302375</v>
      </c>
      <c r="R7" s="57">
        <v>0.54439904930152305</v>
      </c>
      <c r="S7" s="57">
        <v>-0.37142355791134701</v>
      </c>
      <c r="T7" s="57">
        <v>0.38277532812549803</v>
      </c>
      <c r="U7" s="57">
        <v>0.84054564250736397</v>
      </c>
      <c r="V7" s="57">
        <v>0.47195120096277099</v>
      </c>
      <c r="W7" s="57">
        <v>-0.21180212771707099</v>
      </c>
      <c r="X7" s="57">
        <v>-0.27298819082252102</v>
      </c>
    </row>
    <row r="8" spans="1:24">
      <c r="A8" s="55" t="s">
        <v>39666</v>
      </c>
      <c r="B8" s="57">
        <v>0.784437028573721</v>
      </c>
      <c r="C8" s="57">
        <v>0.26894158726856798</v>
      </c>
      <c r="D8" s="57">
        <v>0.78439087161327603</v>
      </c>
      <c r="E8" s="57">
        <v>0.45836761853908897</v>
      </c>
      <c r="F8" s="57">
        <v>0.50368352342136702</v>
      </c>
      <c r="G8" s="57">
        <v>0.79997254088005798</v>
      </c>
      <c r="H8" s="57">
        <v>1</v>
      </c>
      <c r="I8" s="57">
        <v>0.14237458468490599</v>
      </c>
      <c r="J8" s="57">
        <v>8.1657495819161999E-2</v>
      </c>
      <c r="K8" s="57">
        <v>0.122685401126767</v>
      </c>
      <c r="L8" s="57">
        <v>-0.15403205993123301</v>
      </c>
      <c r="M8" s="57">
        <v>0.12740758399129001</v>
      </c>
      <c r="N8" s="57">
        <v>-0.167776692907395</v>
      </c>
      <c r="O8" s="57">
        <v>-0.26327023190870202</v>
      </c>
      <c r="P8" s="57">
        <v>-0.22035757998170899</v>
      </c>
      <c r="Q8" s="57">
        <v>-0.411083700624369</v>
      </c>
      <c r="R8" s="57">
        <v>0.62589581043607201</v>
      </c>
      <c r="S8" s="57">
        <v>-0.19355913244599199</v>
      </c>
      <c r="T8" s="57">
        <v>0.53342893644231604</v>
      </c>
      <c r="U8" s="57">
        <v>0.64282909294074198</v>
      </c>
      <c r="V8" s="57">
        <v>0.58083322103838797</v>
      </c>
      <c r="W8" s="57">
        <v>-0.27451697187747698</v>
      </c>
      <c r="X8" s="57">
        <v>-0.185876488788211</v>
      </c>
    </row>
    <row r="9" spans="1:24">
      <c r="A9" s="55" t="s">
        <v>39667</v>
      </c>
      <c r="B9" s="57">
        <v>-0.19903050200467301</v>
      </c>
      <c r="C9" s="57">
        <v>-5.3232720498463698E-2</v>
      </c>
      <c r="D9" s="57">
        <v>-0.18727162866041</v>
      </c>
      <c r="E9" s="57">
        <v>0.37894621573735698</v>
      </c>
      <c r="F9" s="57">
        <v>-1.77120801349883E-2</v>
      </c>
      <c r="G9" s="57">
        <v>-0.23500049129727801</v>
      </c>
      <c r="H9" s="57">
        <v>0.14237458468490599</v>
      </c>
      <c r="I9" s="57">
        <v>1</v>
      </c>
      <c r="J9" s="57">
        <v>-8.4193972766574601E-2</v>
      </c>
      <c r="K9" s="57">
        <v>-0.122602207262034</v>
      </c>
      <c r="L9" s="57">
        <v>-0.20118359501244101</v>
      </c>
      <c r="M9" s="57">
        <v>-7.2230130070885801E-3</v>
      </c>
      <c r="N9" s="57">
        <v>-0.19518527204431299</v>
      </c>
      <c r="O9" s="57">
        <v>-0.17598850838246399</v>
      </c>
      <c r="P9" s="57">
        <v>-0.23912129557779399</v>
      </c>
      <c r="Q9" s="57">
        <v>-0.355796664366826</v>
      </c>
      <c r="R9" s="57">
        <v>9.7416534155633894E-2</v>
      </c>
      <c r="S9" s="57">
        <v>0.72560810723162295</v>
      </c>
      <c r="T9" s="57">
        <v>-8.0953595093771896E-2</v>
      </c>
      <c r="U9" s="57">
        <v>-0.25148894498528601</v>
      </c>
      <c r="V9" s="57">
        <v>-3.8034102683957398E-2</v>
      </c>
      <c r="W9" s="57">
        <v>-0.21901290666321799</v>
      </c>
      <c r="X9" s="57">
        <v>3.7178715811072198E-3</v>
      </c>
    </row>
    <row r="10" spans="1:24">
      <c r="A10" s="55" t="s">
        <v>39644</v>
      </c>
      <c r="B10" s="57">
        <v>0.294499214821067</v>
      </c>
      <c r="C10" s="57">
        <v>0.27141421020649098</v>
      </c>
      <c r="D10" s="57">
        <v>0.201326488009307</v>
      </c>
      <c r="E10" s="57">
        <v>0.64660721300814805</v>
      </c>
      <c r="F10" s="57">
        <v>0.730502904714318</v>
      </c>
      <c r="G10" s="57">
        <v>0.29673433122451298</v>
      </c>
      <c r="H10" s="57">
        <v>8.1657495819161999E-2</v>
      </c>
      <c r="I10" s="57">
        <v>-8.4193972766574601E-2</v>
      </c>
      <c r="J10" s="57">
        <v>1</v>
      </c>
      <c r="K10" s="57">
        <v>0.93406657408785299</v>
      </c>
      <c r="L10" s="57">
        <v>8.3236636338164693E-2</v>
      </c>
      <c r="M10" s="57">
        <v>0.95825760565823004</v>
      </c>
      <c r="N10" s="57">
        <v>6.4465390101134307E-2</v>
      </c>
      <c r="O10" s="57">
        <v>0.104707922624742</v>
      </c>
      <c r="P10" s="57">
        <v>0.108183951884368</v>
      </c>
      <c r="Q10" s="57">
        <v>2.1497728999589202E-3</v>
      </c>
      <c r="R10" s="57">
        <v>0.587884040507756</v>
      </c>
      <c r="S10" s="57">
        <v>-0.17182570500475899</v>
      </c>
      <c r="T10" s="57">
        <v>-0.29505645922205898</v>
      </c>
      <c r="U10" s="57">
        <v>0.130308028438018</v>
      </c>
      <c r="V10" s="57">
        <v>-0.28487327684894598</v>
      </c>
      <c r="W10" s="57">
        <v>7.5871903240912406E-2</v>
      </c>
      <c r="X10" s="57">
        <v>-0.14507459790855201</v>
      </c>
    </row>
    <row r="11" spans="1:24">
      <c r="A11" s="55" t="s">
        <v>39645</v>
      </c>
      <c r="B11" s="57">
        <v>0.33142270372913901</v>
      </c>
      <c r="C11" s="57">
        <v>0.215735477974178</v>
      </c>
      <c r="D11" s="57">
        <v>0.229103391259804</v>
      </c>
      <c r="E11" s="57">
        <v>0.57050868098455298</v>
      </c>
      <c r="F11" s="57">
        <v>0.59760218001232202</v>
      </c>
      <c r="G11" s="57">
        <v>0.38574775743325102</v>
      </c>
      <c r="H11" s="57">
        <v>0.122685401126767</v>
      </c>
      <c r="I11" s="57">
        <v>-0.122602207262034</v>
      </c>
      <c r="J11" s="57">
        <v>0.93406657408785299</v>
      </c>
      <c r="K11" s="57">
        <v>1</v>
      </c>
      <c r="L11" s="57">
        <v>0.27802860237778498</v>
      </c>
      <c r="M11" s="57">
        <v>0.89119301088781699</v>
      </c>
      <c r="N11" s="57">
        <v>0.26349905339834401</v>
      </c>
      <c r="O11" s="57">
        <v>-8.8833262931532694E-2</v>
      </c>
      <c r="P11" s="57">
        <v>0.234148873624621</v>
      </c>
      <c r="Q11" s="57">
        <v>8.7748105658458794E-2</v>
      </c>
      <c r="R11" s="57">
        <v>0.61329289247127905</v>
      </c>
      <c r="S11" s="57">
        <v>-0.123479485074429</v>
      </c>
      <c r="T11" s="57">
        <v>-0.15855881820210399</v>
      </c>
      <c r="U11" s="57">
        <v>0.179656191457787</v>
      </c>
      <c r="V11" s="57">
        <v>-0.21730527348831</v>
      </c>
      <c r="W11" s="57">
        <v>6.4773769288905894E-2</v>
      </c>
      <c r="X11" s="57">
        <v>-0.15328363538617901</v>
      </c>
    </row>
    <row r="12" spans="1:24">
      <c r="A12" s="55" t="s">
        <v>39646</v>
      </c>
      <c r="B12" s="57">
        <v>6.5945166371392999E-2</v>
      </c>
      <c r="C12" s="57">
        <v>0.24773509524968401</v>
      </c>
      <c r="D12" s="57">
        <v>-0.27996412729023801</v>
      </c>
      <c r="E12" s="57">
        <v>-0.17950315663594499</v>
      </c>
      <c r="F12" s="57">
        <v>-0.132307558319088</v>
      </c>
      <c r="G12" s="57">
        <v>4.9423337043995902E-2</v>
      </c>
      <c r="H12" s="57">
        <v>-0.15403205993123301</v>
      </c>
      <c r="I12" s="57">
        <v>-0.20118359501244101</v>
      </c>
      <c r="J12" s="57">
        <v>8.3236636338164693E-2</v>
      </c>
      <c r="K12" s="57">
        <v>0.27802860237778498</v>
      </c>
      <c r="L12" s="57">
        <v>1</v>
      </c>
      <c r="M12" s="57">
        <v>-0.11156130979984601</v>
      </c>
      <c r="N12" s="57">
        <v>0.99277487875553905</v>
      </c>
      <c r="O12" s="57">
        <v>7.73185295889188E-2</v>
      </c>
      <c r="P12" s="57">
        <v>0.95727497170488196</v>
      </c>
      <c r="Q12" s="57">
        <v>0.81332012560105105</v>
      </c>
      <c r="R12" s="57">
        <v>-0.206943637818256</v>
      </c>
      <c r="S12" s="57">
        <v>0.26516484921978301</v>
      </c>
      <c r="T12" s="57">
        <v>-0.172363148475245</v>
      </c>
      <c r="U12" s="57">
        <v>-0.28191526479985002</v>
      </c>
      <c r="V12" s="57">
        <v>-0.17210527921023799</v>
      </c>
      <c r="W12" s="57">
        <v>5.6830681901242602E-2</v>
      </c>
      <c r="X12" s="57">
        <v>-8.0619187037235404E-2</v>
      </c>
    </row>
    <row r="13" spans="1:24">
      <c r="A13" s="55" t="s">
        <v>39647</v>
      </c>
      <c r="B13" s="57">
        <v>0.315609546160384</v>
      </c>
      <c r="C13" s="57">
        <v>0.10367319694076101</v>
      </c>
      <c r="D13" s="57">
        <v>0.26077220546204199</v>
      </c>
      <c r="E13" s="57">
        <v>0.67344488886873199</v>
      </c>
      <c r="F13" s="57">
        <v>0.66664436052185805</v>
      </c>
      <c r="G13" s="57">
        <v>0.314118555948532</v>
      </c>
      <c r="H13" s="57">
        <v>0.12740758399129001</v>
      </c>
      <c r="I13" s="57">
        <v>-7.2230130070885801E-3</v>
      </c>
      <c r="J13" s="57">
        <v>0.95825760565823004</v>
      </c>
      <c r="K13" s="57">
        <v>0.89119301088781699</v>
      </c>
      <c r="L13" s="57">
        <v>-0.11156130979984601</v>
      </c>
      <c r="M13" s="57">
        <v>1</v>
      </c>
      <c r="N13" s="57">
        <v>-0.120300635908305</v>
      </c>
      <c r="O13" s="57">
        <v>-9.7590007294853301E-2</v>
      </c>
      <c r="P13" s="57">
        <v>-0.13259870882635899</v>
      </c>
      <c r="Q13" s="57">
        <v>-0.19801529115188099</v>
      </c>
      <c r="R13" s="57">
        <v>0.62543855620703503</v>
      </c>
      <c r="S13" s="57">
        <v>-0.18165097503723901</v>
      </c>
      <c r="T13" s="57">
        <v>-0.22071546998876301</v>
      </c>
      <c r="U13" s="57">
        <v>0.22903972706277101</v>
      </c>
      <c r="V13" s="57">
        <v>-0.19752615213104399</v>
      </c>
      <c r="W13" s="57">
        <v>8.9556617200778801E-2</v>
      </c>
      <c r="X13" s="57">
        <v>-0.1032349543069</v>
      </c>
    </row>
    <row r="14" spans="1:24">
      <c r="A14" s="55" t="s">
        <v>39648</v>
      </c>
      <c r="B14" s="57">
        <v>4.5033859458309802E-2</v>
      </c>
      <c r="C14" s="57">
        <v>0.221007139748331</v>
      </c>
      <c r="D14" s="57">
        <v>-0.30189554608990099</v>
      </c>
      <c r="E14" s="57">
        <v>-0.193564811399175</v>
      </c>
      <c r="F14" s="57">
        <v>-0.15663176550381799</v>
      </c>
      <c r="G14" s="57">
        <v>2.6384759220908601E-2</v>
      </c>
      <c r="H14" s="57">
        <v>-0.167776692907395</v>
      </c>
      <c r="I14" s="57">
        <v>-0.19518527204431299</v>
      </c>
      <c r="J14" s="57">
        <v>6.4465390101134307E-2</v>
      </c>
      <c r="K14" s="57">
        <v>0.26349905339834401</v>
      </c>
      <c r="L14" s="57">
        <v>0.99277487875553905</v>
      </c>
      <c r="M14" s="57">
        <v>-0.120300635908305</v>
      </c>
      <c r="N14" s="57">
        <v>1</v>
      </c>
      <c r="O14" s="57">
        <v>4.0309301756987999E-2</v>
      </c>
      <c r="P14" s="57">
        <v>0.93978614062062404</v>
      </c>
      <c r="Q14" s="57">
        <v>0.79311760909727003</v>
      </c>
      <c r="R14" s="57">
        <v>-0.223154884712087</v>
      </c>
      <c r="S14" s="57">
        <v>0.25724856433996701</v>
      </c>
      <c r="T14" s="57">
        <v>-0.18586547976114001</v>
      </c>
      <c r="U14" s="57">
        <v>-0.30399952894535498</v>
      </c>
      <c r="V14" s="57">
        <v>-0.185587409912218</v>
      </c>
      <c r="W14" s="57">
        <v>4.8282130753236799E-2</v>
      </c>
      <c r="X14" s="57">
        <v>3.5821166975002303E-2</v>
      </c>
    </row>
    <row r="15" spans="1:24">
      <c r="A15" s="55" t="s">
        <v>39649</v>
      </c>
      <c r="B15" s="57">
        <v>-0.248435212905352</v>
      </c>
      <c r="C15" s="57">
        <v>0.30788428910707799</v>
      </c>
      <c r="D15" s="57">
        <v>-0.244903015871451</v>
      </c>
      <c r="E15" s="57">
        <v>-0.157023204522965</v>
      </c>
      <c r="F15" s="57">
        <v>0.18648386200077299</v>
      </c>
      <c r="G15" s="57">
        <v>-0.27266666505961901</v>
      </c>
      <c r="H15" s="57">
        <v>-0.26327023190870202</v>
      </c>
      <c r="I15" s="57">
        <v>-0.17598850838246399</v>
      </c>
      <c r="J15" s="57">
        <v>0.104707922624742</v>
      </c>
      <c r="K15" s="57">
        <v>-8.8833262931532694E-2</v>
      </c>
      <c r="L15" s="57">
        <v>7.73185295889188E-2</v>
      </c>
      <c r="M15" s="57">
        <v>-9.7590007294853301E-2</v>
      </c>
      <c r="N15" s="57">
        <v>4.0309301756987999E-2</v>
      </c>
      <c r="O15" s="57">
        <v>1</v>
      </c>
      <c r="P15" s="57">
        <v>0.36232865092627098</v>
      </c>
      <c r="Q15" s="57">
        <v>0.25761001924593502</v>
      </c>
      <c r="R15" s="57">
        <v>-0.18102719626132399</v>
      </c>
      <c r="S15" s="57">
        <v>-8.5112887212064406E-2</v>
      </c>
      <c r="T15" s="57">
        <v>-0.15077737028403301</v>
      </c>
      <c r="U15" s="57">
        <v>-0.246609804041453</v>
      </c>
      <c r="V15" s="57">
        <v>-0.15055179509583999</v>
      </c>
      <c r="W15" s="57">
        <v>-0.102899613967426</v>
      </c>
      <c r="X15" s="57">
        <v>-7.0522899607259701E-2</v>
      </c>
    </row>
    <row r="16" spans="1:24">
      <c r="A16" s="55" t="s">
        <v>39650</v>
      </c>
      <c r="B16" s="57">
        <v>-1.0409246179659199E-2</v>
      </c>
      <c r="C16" s="57">
        <v>0.32089595786877401</v>
      </c>
      <c r="D16" s="57">
        <v>-0.33275767255679201</v>
      </c>
      <c r="E16" s="57">
        <v>-0.21335252197097099</v>
      </c>
      <c r="F16" s="57">
        <v>-6.9598399455719495E-2</v>
      </c>
      <c r="G16" s="57">
        <v>-3.2882932845138803E-2</v>
      </c>
      <c r="H16" s="57">
        <v>-0.22035757998170899</v>
      </c>
      <c r="I16" s="57">
        <v>-0.23912129557779399</v>
      </c>
      <c r="J16" s="57">
        <v>0.108183951884368</v>
      </c>
      <c r="K16" s="57">
        <v>0.234148873624621</v>
      </c>
      <c r="L16" s="57">
        <v>0.95727497170488196</v>
      </c>
      <c r="M16" s="57">
        <v>-0.13259870882635899</v>
      </c>
      <c r="N16" s="57">
        <v>0.93978614062062404</v>
      </c>
      <c r="O16" s="57">
        <v>0.36232865092627098</v>
      </c>
      <c r="P16" s="57">
        <v>1</v>
      </c>
      <c r="Q16" s="57">
        <v>0.83505058885467198</v>
      </c>
      <c r="R16" s="57">
        <v>-0.24596752425873999</v>
      </c>
      <c r="S16" s="57">
        <v>0.22320229351493401</v>
      </c>
      <c r="T16" s="57">
        <v>-0.20486610436959099</v>
      </c>
      <c r="U16" s="57">
        <v>-0.33507674101324397</v>
      </c>
      <c r="V16" s="57">
        <v>-0.204559608043515</v>
      </c>
      <c r="W16" s="57">
        <v>2.32823254137676E-2</v>
      </c>
      <c r="X16" s="57">
        <v>-9.5821751527902205E-2</v>
      </c>
    </row>
    <row r="17" spans="1:24">
      <c r="A17" s="55" t="s">
        <v>39652</v>
      </c>
      <c r="B17" s="57">
        <v>-0.20763224970958699</v>
      </c>
      <c r="C17" s="57">
        <v>0.15593683714056999</v>
      </c>
      <c r="D17" s="57">
        <v>-0.500357111981511</v>
      </c>
      <c r="E17" s="57">
        <v>-0.31818341329668498</v>
      </c>
      <c r="F17" s="57">
        <v>-0.196908504651787</v>
      </c>
      <c r="G17" s="57">
        <v>-0.247602006302375</v>
      </c>
      <c r="H17" s="57">
        <v>-0.411083700624369</v>
      </c>
      <c r="I17" s="57">
        <v>-0.355796664366826</v>
      </c>
      <c r="J17" s="57">
        <v>2.1497728999589202E-3</v>
      </c>
      <c r="K17" s="57">
        <v>8.7748105658458794E-2</v>
      </c>
      <c r="L17" s="57">
        <v>0.81332012560105105</v>
      </c>
      <c r="M17" s="57">
        <v>-0.19801529115188099</v>
      </c>
      <c r="N17" s="57">
        <v>0.79311760909727003</v>
      </c>
      <c r="O17" s="57">
        <v>0.25761001924593502</v>
      </c>
      <c r="P17" s="57">
        <v>0.83505058885467198</v>
      </c>
      <c r="Q17" s="57">
        <v>1</v>
      </c>
      <c r="R17" s="57">
        <v>-0.36919242127198099</v>
      </c>
      <c r="S17" s="57">
        <v>0.11513503575837</v>
      </c>
      <c r="T17" s="57">
        <v>-0.30847039000536403</v>
      </c>
      <c r="U17" s="57">
        <v>-0.50336667552332803</v>
      </c>
      <c r="V17" s="57">
        <v>-0.30785293160194999</v>
      </c>
      <c r="W17" s="57">
        <v>0.40676347027406301</v>
      </c>
      <c r="X17" s="57">
        <v>-0.14435658856936601</v>
      </c>
    </row>
    <row r="18" spans="1:24">
      <c r="A18" s="55" t="s">
        <v>39653</v>
      </c>
      <c r="B18" s="57">
        <v>0.471855952956511</v>
      </c>
      <c r="C18" s="57">
        <v>0.220949167784179</v>
      </c>
      <c r="D18" s="57">
        <v>0.58002745019770596</v>
      </c>
      <c r="E18" s="57">
        <v>0.54008612125400401</v>
      </c>
      <c r="F18" s="57">
        <v>0.63217647492512297</v>
      </c>
      <c r="G18" s="57">
        <v>0.54439904930152305</v>
      </c>
      <c r="H18" s="57">
        <v>0.62589581043607201</v>
      </c>
      <c r="I18" s="57">
        <v>9.7416534155633894E-2</v>
      </c>
      <c r="J18" s="57">
        <v>0.587884040507756</v>
      </c>
      <c r="K18" s="57">
        <v>0.61329289247127905</v>
      </c>
      <c r="L18" s="57">
        <v>-0.206943637818256</v>
      </c>
      <c r="M18" s="57">
        <v>0.62543855620703503</v>
      </c>
      <c r="N18" s="57">
        <v>-0.223154884712087</v>
      </c>
      <c r="O18" s="57">
        <v>-0.18102719626132399</v>
      </c>
      <c r="P18" s="57">
        <v>-0.24596752425873999</v>
      </c>
      <c r="Q18" s="57">
        <v>-0.36919242127198099</v>
      </c>
      <c r="R18" s="57">
        <v>1</v>
      </c>
      <c r="S18" s="57">
        <v>-0.33695833846772699</v>
      </c>
      <c r="T18" s="57">
        <v>0.39269542247918698</v>
      </c>
      <c r="U18" s="57">
        <v>0.41319540056606602</v>
      </c>
      <c r="V18" s="57">
        <v>0.35049175267196803</v>
      </c>
      <c r="W18" s="57">
        <v>-9.2277933105980703E-2</v>
      </c>
      <c r="X18" s="57">
        <v>-0.173757874437102</v>
      </c>
    </row>
    <row r="19" spans="1:24">
      <c r="A19" s="55" t="s">
        <v>39654</v>
      </c>
      <c r="B19" s="57">
        <v>-0.33053317643151903</v>
      </c>
      <c r="C19" s="57">
        <v>-0.14596372915533301</v>
      </c>
      <c r="D19" s="57">
        <v>-0.45585478324844497</v>
      </c>
      <c r="E19" s="57">
        <v>0.10028661893542699</v>
      </c>
      <c r="F19" s="57">
        <v>-0.28382853252102003</v>
      </c>
      <c r="G19" s="57">
        <v>-0.37142355791134701</v>
      </c>
      <c r="H19" s="57">
        <v>-0.19355913244599199</v>
      </c>
      <c r="I19" s="57">
        <v>0.72560810723162295</v>
      </c>
      <c r="J19" s="57">
        <v>-0.17182570500475899</v>
      </c>
      <c r="K19" s="57">
        <v>-0.123479485074429</v>
      </c>
      <c r="L19" s="57">
        <v>0.26516484921978301</v>
      </c>
      <c r="M19" s="57">
        <v>-0.18165097503723901</v>
      </c>
      <c r="N19" s="57">
        <v>0.25724856433996701</v>
      </c>
      <c r="O19" s="57">
        <v>-8.5112887212064406E-2</v>
      </c>
      <c r="P19" s="57">
        <v>0.22320229351493401</v>
      </c>
      <c r="Q19" s="57">
        <v>0.11513503575837</v>
      </c>
      <c r="R19" s="57">
        <v>-0.33695833846772699</v>
      </c>
      <c r="S19" s="57">
        <v>1</v>
      </c>
      <c r="T19" s="57">
        <v>-0.26254568255288202</v>
      </c>
      <c r="U19" s="57">
        <v>-0.40021443483961</v>
      </c>
      <c r="V19" s="57">
        <v>-0.24869069445123701</v>
      </c>
      <c r="W19" s="57">
        <v>-0.119021110886824</v>
      </c>
      <c r="X19" s="57">
        <v>-0.10685483636159999</v>
      </c>
    </row>
    <row r="20" spans="1:24">
      <c r="A20" s="55" t="s">
        <v>39655</v>
      </c>
      <c r="B20" s="57">
        <v>0.30585883444713502</v>
      </c>
      <c r="C20" s="57">
        <v>-0.36525477845308502</v>
      </c>
      <c r="D20" s="57">
        <v>0.42439309857134</v>
      </c>
      <c r="E20" s="57">
        <v>-0.326993932669149</v>
      </c>
      <c r="F20" s="57">
        <v>-0.22089979961811601</v>
      </c>
      <c r="G20" s="57">
        <v>0.38277532812549803</v>
      </c>
      <c r="H20" s="57">
        <v>0.53342893644231604</v>
      </c>
      <c r="I20" s="57">
        <v>-8.0953595093771896E-2</v>
      </c>
      <c r="J20" s="57">
        <v>-0.29505645922205898</v>
      </c>
      <c r="K20" s="57">
        <v>-0.15855881820210399</v>
      </c>
      <c r="L20" s="57">
        <v>-0.172363148475245</v>
      </c>
      <c r="M20" s="57">
        <v>-0.22071546998876301</v>
      </c>
      <c r="N20" s="57">
        <v>-0.18586547976114001</v>
      </c>
      <c r="O20" s="57">
        <v>-0.15077737028403301</v>
      </c>
      <c r="P20" s="57">
        <v>-0.20486610436959099</v>
      </c>
      <c r="Q20" s="57">
        <v>-0.30847039000536403</v>
      </c>
      <c r="R20" s="57">
        <v>0.39269542247918698</v>
      </c>
      <c r="S20" s="57">
        <v>-0.26254568255288202</v>
      </c>
      <c r="T20" s="57">
        <v>1</v>
      </c>
      <c r="U20" s="57">
        <v>0.566651623871262</v>
      </c>
      <c r="V20" s="57">
        <v>0.90986406392633801</v>
      </c>
      <c r="W20" s="57">
        <v>-0.23272399795875801</v>
      </c>
      <c r="X20" s="57">
        <v>-0.129447667372278</v>
      </c>
    </row>
    <row r="21" spans="1:24">
      <c r="A21" s="55" t="s">
        <v>39656</v>
      </c>
      <c r="B21" s="57">
        <v>0.80348889215424202</v>
      </c>
      <c r="C21" s="57">
        <v>-0.17177552941148899</v>
      </c>
      <c r="D21" s="57">
        <v>0.88882362807350301</v>
      </c>
      <c r="E21" s="57">
        <v>0.15664038595770599</v>
      </c>
      <c r="F21" s="57">
        <v>0.230942158600425</v>
      </c>
      <c r="G21" s="57">
        <v>0.84054564250736397</v>
      </c>
      <c r="H21" s="57">
        <v>0.64282909294074198</v>
      </c>
      <c r="I21" s="57">
        <v>-0.25148894498528601</v>
      </c>
      <c r="J21" s="57">
        <v>0.130308028438018</v>
      </c>
      <c r="K21" s="57">
        <v>0.179656191457787</v>
      </c>
      <c r="L21" s="57">
        <v>-0.28191526479985002</v>
      </c>
      <c r="M21" s="57">
        <v>0.22903972706277101</v>
      </c>
      <c r="N21" s="57">
        <v>-0.30399952894535498</v>
      </c>
      <c r="O21" s="57">
        <v>-0.246609804041453</v>
      </c>
      <c r="P21" s="57">
        <v>-0.33507674101324397</v>
      </c>
      <c r="Q21" s="57">
        <v>-0.50336667552332803</v>
      </c>
      <c r="R21" s="57">
        <v>0.41319540056606602</v>
      </c>
      <c r="S21" s="57">
        <v>-0.40021443483961</v>
      </c>
      <c r="T21" s="57">
        <v>0.566651623871262</v>
      </c>
      <c r="U21" s="57">
        <v>1</v>
      </c>
      <c r="V21" s="57">
        <v>0.61683545533037698</v>
      </c>
      <c r="W21" s="57">
        <v>-0.25663635941775498</v>
      </c>
      <c r="X21" s="57">
        <v>-0.23907233854784499</v>
      </c>
    </row>
    <row r="22" spans="1:24">
      <c r="A22" s="55" t="s">
        <v>39657</v>
      </c>
      <c r="B22" s="57">
        <v>0.48296827771297202</v>
      </c>
      <c r="C22" s="57">
        <v>-0.35790608663550399</v>
      </c>
      <c r="D22" s="57">
        <v>0.47404801529424201</v>
      </c>
      <c r="E22" s="57">
        <v>-0.27311558548127202</v>
      </c>
      <c r="F22" s="57">
        <v>-0.208256334856146</v>
      </c>
      <c r="G22" s="57">
        <v>0.47195120096277099</v>
      </c>
      <c r="H22" s="57">
        <v>0.58083322103838797</v>
      </c>
      <c r="I22" s="57">
        <v>-3.8034102683957398E-2</v>
      </c>
      <c r="J22" s="57">
        <v>-0.28487327684894598</v>
      </c>
      <c r="K22" s="57">
        <v>-0.21730527348831</v>
      </c>
      <c r="L22" s="57">
        <v>-0.17210527921023799</v>
      </c>
      <c r="M22" s="57">
        <v>-0.19752615213104399</v>
      </c>
      <c r="N22" s="57">
        <v>-0.185587409912218</v>
      </c>
      <c r="O22" s="57">
        <v>-0.15055179509583999</v>
      </c>
      <c r="P22" s="57">
        <v>-0.204559608043515</v>
      </c>
      <c r="Q22" s="57">
        <v>-0.30785293160194999</v>
      </c>
      <c r="R22" s="57">
        <v>0.35049175267196803</v>
      </c>
      <c r="S22" s="57">
        <v>-0.24869069445123701</v>
      </c>
      <c r="T22" s="57">
        <v>0.90986406392633801</v>
      </c>
      <c r="U22" s="57">
        <v>0.61683545533037698</v>
      </c>
      <c r="V22" s="57">
        <v>1</v>
      </c>
      <c r="W22" s="57">
        <v>-0.22757168605946501</v>
      </c>
      <c r="X22" s="57">
        <v>-0.14978576878383101</v>
      </c>
    </row>
    <row r="23" spans="1:24">
      <c r="A23" s="55" t="s">
        <v>39658</v>
      </c>
      <c r="B23" s="57">
        <v>-0.183373587302847</v>
      </c>
      <c r="C23" s="57">
        <v>-0.11804216961583899</v>
      </c>
      <c r="D23" s="57">
        <v>-0.247858038852561</v>
      </c>
      <c r="E23" s="57">
        <v>-5.25235157871662E-2</v>
      </c>
      <c r="F23" s="57">
        <v>-5.6731438468233301E-2</v>
      </c>
      <c r="G23" s="57">
        <v>-0.21180212771707099</v>
      </c>
      <c r="H23" s="57">
        <v>-0.27451697187747698</v>
      </c>
      <c r="I23" s="57">
        <v>-0.21901290666321799</v>
      </c>
      <c r="J23" s="57">
        <v>7.5871903240912406E-2</v>
      </c>
      <c r="K23" s="57">
        <v>6.4773769288905894E-2</v>
      </c>
      <c r="L23" s="57">
        <v>5.6830681901242602E-2</v>
      </c>
      <c r="M23" s="57">
        <v>8.9556617200778801E-2</v>
      </c>
      <c r="N23" s="57">
        <v>4.8282130753236799E-2</v>
      </c>
      <c r="O23" s="57">
        <v>-0.102899613967426</v>
      </c>
      <c r="P23" s="57">
        <v>2.32823254137676E-2</v>
      </c>
      <c r="Q23" s="57">
        <v>0.40676347027406301</v>
      </c>
      <c r="R23" s="57">
        <v>-9.2277933105980703E-2</v>
      </c>
      <c r="S23" s="57">
        <v>-0.119021110886824</v>
      </c>
      <c r="T23" s="57">
        <v>-0.23272399795875801</v>
      </c>
      <c r="U23" s="57">
        <v>-0.25663635941775498</v>
      </c>
      <c r="V23" s="57">
        <v>-0.22757168605946501</v>
      </c>
      <c r="W23" s="57">
        <v>1</v>
      </c>
      <c r="X23" s="57">
        <v>-0.108851687181758</v>
      </c>
    </row>
    <row r="24" spans="1:24">
      <c r="A24" s="55" t="s">
        <v>39659</v>
      </c>
      <c r="B24" s="57">
        <v>-0.26280557367948498</v>
      </c>
      <c r="C24" s="57">
        <v>-0.170840133525307</v>
      </c>
      <c r="D24" s="57">
        <v>-0.23993191986458401</v>
      </c>
      <c r="E24" s="57">
        <v>-0.16610597532874899</v>
      </c>
      <c r="F24" s="57">
        <v>-0.16848445190811201</v>
      </c>
      <c r="G24" s="57">
        <v>-0.27298819082252102</v>
      </c>
      <c r="H24" s="57">
        <v>-0.185876488788211</v>
      </c>
      <c r="I24" s="57">
        <v>3.7178715811072198E-3</v>
      </c>
      <c r="J24" s="57">
        <v>-0.14507459790855201</v>
      </c>
      <c r="K24" s="57">
        <v>-0.15328363538617901</v>
      </c>
      <c r="L24" s="57">
        <v>-8.0619187037235404E-2</v>
      </c>
      <c r="M24" s="57">
        <v>-0.1032349543069</v>
      </c>
      <c r="N24" s="57">
        <v>3.5821166975002303E-2</v>
      </c>
      <c r="O24" s="57">
        <v>-7.0522899607259701E-2</v>
      </c>
      <c r="P24" s="57">
        <v>-9.5821751527902205E-2</v>
      </c>
      <c r="Q24" s="57">
        <v>-0.14435658856936601</v>
      </c>
      <c r="R24" s="57">
        <v>-0.173757874437102</v>
      </c>
      <c r="S24" s="57">
        <v>-0.10685483636159999</v>
      </c>
      <c r="T24" s="57">
        <v>-0.129447667372278</v>
      </c>
      <c r="U24" s="57">
        <v>-0.23907233854784499</v>
      </c>
      <c r="V24" s="57">
        <v>-0.14978576878383101</v>
      </c>
      <c r="W24" s="57">
        <v>-0.108851687181758</v>
      </c>
      <c r="X24" s="57">
        <v>1</v>
      </c>
    </row>
  </sheetData>
  <conditionalFormatting sqref="A10:X24 A1 B2:X9 J1:X1">
    <cfRule type="colorScale" priority="1">
      <colorScale>
        <cfvo type="num" val="0"/>
        <cfvo type="num" val="1"/>
        <color rgb="FFFF7128"/>
        <color rgb="FFFFEF9C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DA941-0382-9B40-B044-CE3AD06A8FB7}">
  <dimension ref="A1:AQ43"/>
  <sheetViews>
    <sheetView workbookViewId="0">
      <selection sqref="A1:XFD1048576"/>
    </sheetView>
  </sheetViews>
  <sheetFormatPr baseColWidth="10" defaultRowHeight="16"/>
  <cols>
    <col min="1" max="1" width="19.33203125" customWidth="1"/>
    <col min="2" max="43" width="17" customWidth="1"/>
  </cols>
  <sheetData>
    <row r="1" spans="1:43">
      <c r="A1" s="56"/>
      <c r="B1" s="56" t="s">
        <v>39627</v>
      </c>
      <c r="C1" s="56" t="s">
        <v>39628</v>
      </c>
      <c r="D1" s="56" t="s">
        <v>39629</v>
      </c>
      <c r="E1" s="56" t="s">
        <v>39630</v>
      </c>
      <c r="F1" s="56" t="s">
        <v>39631</v>
      </c>
      <c r="G1" s="56" t="s">
        <v>39632</v>
      </c>
      <c r="H1" s="56" t="s">
        <v>39633</v>
      </c>
      <c r="I1" s="56" t="s">
        <v>39634</v>
      </c>
      <c r="J1" s="56" t="s">
        <v>39635</v>
      </c>
      <c r="K1" s="56" t="s">
        <v>39636</v>
      </c>
      <c r="L1" s="56" t="s">
        <v>39637</v>
      </c>
      <c r="M1" s="56" t="s">
        <v>39638</v>
      </c>
      <c r="N1" s="56" t="s">
        <v>39635</v>
      </c>
      <c r="O1" s="56" t="s">
        <v>39639</v>
      </c>
      <c r="P1" s="56" t="s">
        <v>39640</v>
      </c>
      <c r="Q1" s="56" t="s">
        <v>39641</v>
      </c>
      <c r="R1" s="56" t="s">
        <v>39642</v>
      </c>
      <c r="S1" s="56" t="s">
        <v>39643</v>
      </c>
      <c r="T1" s="56" t="s">
        <v>39644</v>
      </c>
      <c r="U1" s="56" t="s">
        <v>39645</v>
      </c>
      <c r="V1" s="56" t="s">
        <v>39646</v>
      </c>
      <c r="W1" s="56" t="s">
        <v>39647</v>
      </c>
      <c r="X1" s="56" t="s">
        <v>39648</v>
      </c>
      <c r="Y1" s="56" t="s">
        <v>39649</v>
      </c>
      <c r="Z1" s="56" t="s">
        <v>39650</v>
      </c>
      <c r="AA1" s="56" t="s">
        <v>39651</v>
      </c>
      <c r="AB1" s="56" t="s">
        <v>39652</v>
      </c>
      <c r="AC1" s="56" t="s">
        <v>39653</v>
      </c>
      <c r="AD1" s="56" t="s">
        <v>39654</v>
      </c>
      <c r="AE1" s="56" t="s">
        <v>39655</v>
      </c>
      <c r="AF1" s="56" t="s">
        <v>39656</v>
      </c>
      <c r="AG1" s="56" t="s">
        <v>39657</v>
      </c>
      <c r="AH1" s="56" t="s">
        <v>39658</v>
      </c>
      <c r="AI1" s="56" t="s">
        <v>39659</v>
      </c>
      <c r="AJ1" s="56" t="s">
        <v>39660</v>
      </c>
      <c r="AK1" s="56" t="s">
        <v>39661</v>
      </c>
      <c r="AL1" s="56" t="s">
        <v>39662</v>
      </c>
      <c r="AM1" s="56" t="s">
        <v>39663</v>
      </c>
      <c r="AN1" s="56" t="s">
        <v>39664</v>
      </c>
      <c r="AO1" s="56" t="s">
        <v>39665</v>
      </c>
      <c r="AP1" s="56" t="s">
        <v>39666</v>
      </c>
      <c r="AQ1" s="56" t="s">
        <v>39667</v>
      </c>
    </row>
    <row r="2" spans="1:43">
      <c r="A2" s="55" t="s">
        <v>39627</v>
      </c>
      <c r="B2" s="57">
        <v>1</v>
      </c>
      <c r="C2" s="57">
        <v>-0.24401325483792599</v>
      </c>
      <c r="D2" s="57">
        <v>-0.11665193672230099</v>
      </c>
      <c r="E2" s="57">
        <v>0.16671482162033999</v>
      </c>
      <c r="F2" s="57">
        <v>0.44291394663309502</v>
      </c>
      <c r="G2" s="57">
        <v>8.0780419426384795E-2</v>
      </c>
      <c r="H2" s="57">
        <v>0.29414332858351599</v>
      </c>
      <c r="I2" s="57">
        <v>0.39148646916634899</v>
      </c>
      <c r="J2" s="57">
        <v>0.300387424212534</v>
      </c>
      <c r="K2" s="57">
        <v>-3.6056729517701801E-2</v>
      </c>
      <c r="L2" s="57">
        <v>-0.217307261235481</v>
      </c>
      <c r="M2" s="57">
        <v>0.22155758090958899</v>
      </c>
      <c r="N2" s="57">
        <v>0.51382337308269299</v>
      </c>
      <c r="O2" s="57">
        <v>8.2883962429826596E-2</v>
      </c>
      <c r="P2" s="57">
        <v>0.26590422866607799</v>
      </c>
      <c r="Q2" s="57">
        <v>4.0420621586126602E-2</v>
      </c>
      <c r="R2" s="57">
        <v>0.17610997243743601</v>
      </c>
      <c r="S2" s="57">
        <v>0.197866159763393</v>
      </c>
      <c r="T2" s="57">
        <v>0.71699229695314703</v>
      </c>
      <c r="U2" s="57">
        <v>0.73766097397857</v>
      </c>
      <c r="V2" s="57">
        <v>-0.177847329239681</v>
      </c>
      <c r="W2" s="57">
        <v>0.78606378285147904</v>
      </c>
      <c r="X2" s="57">
        <v>-0.19177927222719601</v>
      </c>
      <c r="Y2" s="57">
        <v>-0.155574743511075</v>
      </c>
      <c r="Z2" s="57">
        <v>-0.21138445100463099</v>
      </c>
      <c r="AA2" s="57">
        <v>-0.155574743511075</v>
      </c>
      <c r="AB2" s="57">
        <v>-0.31690412079618202</v>
      </c>
      <c r="AC2" s="57">
        <v>0.86875614699189796</v>
      </c>
      <c r="AD2" s="57">
        <v>-0.28958194218154898</v>
      </c>
      <c r="AE2" s="57">
        <v>0.37998254028668899</v>
      </c>
      <c r="AF2" s="57">
        <v>0.40159943945323501</v>
      </c>
      <c r="AG2" s="57">
        <v>0.33469267316899198</v>
      </c>
      <c r="AH2" s="57">
        <v>-2.70651204052678E-2</v>
      </c>
      <c r="AI2" s="57">
        <v>-0.14780900392747001</v>
      </c>
      <c r="AJ2" s="57">
        <v>0.38706816577263897</v>
      </c>
      <c r="AK2" s="57">
        <v>-3.5847305425241199E-2</v>
      </c>
      <c r="AL2" s="57">
        <v>0.38993903967618299</v>
      </c>
      <c r="AM2" s="57">
        <v>0.48836951978667897</v>
      </c>
      <c r="AN2" s="57">
        <v>0.50573493809433301</v>
      </c>
      <c r="AO2" s="57">
        <v>0.44094095843121001</v>
      </c>
      <c r="AP2" s="57">
        <v>0.444403375172163</v>
      </c>
      <c r="AQ2" s="57">
        <v>2.93934055091792E-2</v>
      </c>
    </row>
    <row r="3" spans="1:43">
      <c r="A3" s="55" t="s">
        <v>39628</v>
      </c>
      <c r="B3" s="57">
        <v>-0.24401325483792599</v>
      </c>
      <c r="C3" s="57">
        <v>1</v>
      </c>
      <c r="D3" s="57">
        <v>-0.18696239668738601</v>
      </c>
      <c r="E3" s="57">
        <v>-0.23380372747356801</v>
      </c>
      <c r="F3" s="57">
        <v>-0.38086457343000302</v>
      </c>
      <c r="G3" s="57">
        <v>-0.28591157809265599</v>
      </c>
      <c r="H3" s="57">
        <v>-0.27374178136883998</v>
      </c>
      <c r="I3" s="57">
        <v>-0.320492525418416</v>
      </c>
      <c r="J3" s="57">
        <v>-0.31627931069364301</v>
      </c>
      <c r="K3" s="57">
        <v>-0.123464965821369</v>
      </c>
      <c r="L3" s="57">
        <v>-0.14605559890293299</v>
      </c>
      <c r="M3" s="57">
        <v>-0.211715981672675</v>
      </c>
      <c r="N3" s="57">
        <v>-0.226733829784419</v>
      </c>
      <c r="O3" s="57">
        <v>-0.29464845154536401</v>
      </c>
      <c r="P3" s="57">
        <v>-0.30357642378754801</v>
      </c>
      <c r="Q3" s="57">
        <v>-0.22710666939531901</v>
      </c>
      <c r="R3" s="57">
        <v>-0.25243149362323097</v>
      </c>
      <c r="S3" s="57">
        <v>-0.29665714002562898</v>
      </c>
      <c r="T3" s="57">
        <v>-0.21832555546870999</v>
      </c>
      <c r="U3" s="57">
        <v>-0.24892698333331101</v>
      </c>
      <c r="V3" s="57">
        <v>-0.119533963281792</v>
      </c>
      <c r="W3" s="57">
        <v>-0.15306633186240101</v>
      </c>
      <c r="X3" s="57">
        <v>-9.4669297292898302E-2</v>
      </c>
      <c r="Y3" s="57">
        <v>-0.104564211101337</v>
      </c>
      <c r="Z3" s="57">
        <v>-0.14207478578818999</v>
      </c>
      <c r="AA3" s="57">
        <v>0.26080958401138099</v>
      </c>
      <c r="AB3" s="57">
        <v>-0.211475227812052</v>
      </c>
      <c r="AC3" s="57">
        <v>-0.28393448947428401</v>
      </c>
      <c r="AD3" s="57">
        <v>0.73723198873403695</v>
      </c>
      <c r="AE3" s="57">
        <v>-0.22853669229315801</v>
      </c>
      <c r="AF3" s="57">
        <v>-0.36096696996622701</v>
      </c>
      <c r="AG3" s="57">
        <v>-0.22228244587402801</v>
      </c>
      <c r="AH3" s="57">
        <v>-0.16139425435704</v>
      </c>
      <c r="AI3" s="57">
        <v>0.188101594361302</v>
      </c>
      <c r="AJ3" s="57">
        <v>-0.38966148070861201</v>
      </c>
      <c r="AK3" s="57">
        <v>-0.25330444275552599</v>
      </c>
      <c r="AL3" s="57">
        <v>-0.38412135976404799</v>
      </c>
      <c r="AM3" s="57">
        <v>0.12242242438346999</v>
      </c>
      <c r="AN3" s="57">
        <v>-0.24981167669968199</v>
      </c>
      <c r="AO3" s="57">
        <v>-0.427667620883874</v>
      </c>
      <c r="AP3" s="57">
        <v>-0.16587422872952301</v>
      </c>
      <c r="AQ3" s="57">
        <v>0.86692688280230001</v>
      </c>
    </row>
    <row r="4" spans="1:43">
      <c r="A4" s="55" t="s">
        <v>39629</v>
      </c>
      <c r="B4" s="57">
        <v>-0.11665193672230099</v>
      </c>
      <c r="C4" s="57">
        <v>-0.18696239668738601</v>
      </c>
      <c r="D4" s="57">
        <v>1</v>
      </c>
      <c r="E4" s="57">
        <v>0.49638221150039202</v>
      </c>
      <c r="F4" s="57">
        <v>0.59552346067695605</v>
      </c>
      <c r="G4" s="57">
        <v>0.60877103697951196</v>
      </c>
      <c r="H4" s="57">
        <v>0.61304294583621999</v>
      </c>
      <c r="I4" s="57">
        <v>0.61164192831619602</v>
      </c>
      <c r="J4" s="57">
        <v>0.60411589372752805</v>
      </c>
      <c r="K4" s="57">
        <v>0.86437079942952399</v>
      </c>
      <c r="L4" s="57">
        <v>0.94950697432073905</v>
      </c>
      <c r="M4" s="57">
        <v>0.39548441393325401</v>
      </c>
      <c r="N4" s="57">
        <v>1.5967683019615299E-2</v>
      </c>
      <c r="O4" s="57">
        <v>0.49056516898508001</v>
      </c>
      <c r="P4" s="57">
        <v>0.56450878611129596</v>
      </c>
      <c r="Q4" s="57">
        <v>0.39545419146453498</v>
      </c>
      <c r="R4" s="57">
        <v>0.64180933886915603</v>
      </c>
      <c r="S4" s="57">
        <v>0.57548669355760895</v>
      </c>
      <c r="T4" s="57">
        <v>-0.23260511785225199</v>
      </c>
      <c r="U4" s="57">
        <v>-0.21742548239988499</v>
      </c>
      <c r="V4" s="57">
        <v>-0.13626621611677001</v>
      </c>
      <c r="W4" s="57">
        <v>-0.17449241441608199</v>
      </c>
      <c r="X4" s="57">
        <v>-0.14694083890801099</v>
      </c>
      <c r="Y4" s="57">
        <v>-0.119201011970334</v>
      </c>
      <c r="Z4" s="57">
        <v>-0.16196228196096599</v>
      </c>
      <c r="AA4" s="57">
        <v>-0.119201011970334</v>
      </c>
      <c r="AB4" s="57">
        <v>-0.24399807066756399</v>
      </c>
      <c r="AC4" s="57">
        <v>-4.4661713078896298E-2</v>
      </c>
      <c r="AD4" s="57">
        <v>-0.22187702050698399</v>
      </c>
      <c r="AE4" s="57">
        <v>0.30978417876211101</v>
      </c>
      <c r="AF4" s="57">
        <v>0.68875188483280303</v>
      </c>
      <c r="AG4" s="57">
        <v>0.46909324901083599</v>
      </c>
      <c r="AH4" s="57">
        <v>-0.183986071744108</v>
      </c>
      <c r="AI4" s="57">
        <v>-0.12609601500401499</v>
      </c>
      <c r="AJ4" s="57">
        <v>0.51655106113760796</v>
      </c>
      <c r="AK4" s="57">
        <v>-0.15721575248594499</v>
      </c>
      <c r="AL4" s="57">
        <v>0.498954635613582</v>
      </c>
      <c r="AM4" s="57">
        <v>-0.126197571572576</v>
      </c>
      <c r="AN4" s="57">
        <v>-0.177204171942273</v>
      </c>
      <c r="AO4" s="57">
        <v>0.47130096009301398</v>
      </c>
      <c r="AP4" s="57">
        <v>0.26962781674521102</v>
      </c>
      <c r="AQ4" s="57">
        <v>-0.164910266298363</v>
      </c>
    </row>
    <row r="5" spans="1:43">
      <c r="A5" s="55" t="s">
        <v>39630</v>
      </c>
      <c r="B5" s="57">
        <v>0.16671482162033999</v>
      </c>
      <c r="C5" s="57">
        <v>-0.23380372747356801</v>
      </c>
      <c r="D5" s="57">
        <v>0.49638221150039202</v>
      </c>
      <c r="E5" s="57">
        <v>1</v>
      </c>
      <c r="F5" s="57">
        <v>0.831843658311894</v>
      </c>
      <c r="G5" s="57">
        <v>0.84498305429319498</v>
      </c>
      <c r="H5" s="57">
        <v>0.90656911156500597</v>
      </c>
      <c r="I5" s="57">
        <v>0.83130576810078605</v>
      </c>
      <c r="J5" s="57">
        <v>0.82175405058093498</v>
      </c>
      <c r="K5" s="57">
        <v>0.40433564169776198</v>
      </c>
      <c r="L5" s="57">
        <v>0.418348663852599</v>
      </c>
      <c r="M5" s="57">
        <v>0.76571725041028604</v>
      </c>
      <c r="N5" s="57">
        <v>0.641433159245691</v>
      </c>
      <c r="O5" s="57">
        <v>0.80066087088654603</v>
      </c>
      <c r="P5" s="57">
        <v>0.89914881644735201</v>
      </c>
      <c r="Q5" s="57">
        <v>0.83480529802629699</v>
      </c>
      <c r="R5" s="57">
        <v>0.92459022755683995</v>
      </c>
      <c r="S5" s="57">
        <v>0.89492649792781698</v>
      </c>
      <c r="T5" s="57">
        <v>-7.1347287966811099E-2</v>
      </c>
      <c r="U5" s="57">
        <v>-9.8871594144600797E-2</v>
      </c>
      <c r="V5" s="57">
        <v>-0.27084908660236801</v>
      </c>
      <c r="W5" s="57">
        <v>1.86913973107092E-2</v>
      </c>
      <c r="X5" s="57">
        <v>-0.263392468325721</v>
      </c>
      <c r="Y5" s="57">
        <v>-0.236929490920748</v>
      </c>
      <c r="Z5" s="57">
        <v>-0.32192378553736101</v>
      </c>
      <c r="AA5" s="57">
        <v>-3.83059655979653E-2</v>
      </c>
      <c r="AB5" s="57">
        <v>-0.483030652315664</v>
      </c>
      <c r="AC5" s="57">
        <v>0.27732291084167898</v>
      </c>
      <c r="AD5" s="57">
        <v>-0.28039432677133402</v>
      </c>
      <c r="AE5" s="57">
        <v>0.45198511917100997</v>
      </c>
      <c r="AF5" s="57">
        <v>0.78776272031746297</v>
      </c>
      <c r="AG5" s="57">
        <v>0.60119049314612005</v>
      </c>
      <c r="AH5" s="57">
        <v>-0.28888039748355998</v>
      </c>
      <c r="AI5" s="57">
        <v>-3.9494850383394099E-4</v>
      </c>
      <c r="AJ5" s="57">
        <v>0.80326116280717597</v>
      </c>
      <c r="AK5" s="57">
        <v>-4.7466565145339298E-2</v>
      </c>
      <c r="AL5" s="57">
        <v>0.80369387757387001</v>
      </c>
      <c r="AM5" s="57">
        <v>0.130831468568091</v>
      </c>
      <c r="AN5" s="57">
        <v>0.28599326409231701</v>
      </c>
      <c r="AO5" s="57">
        <v>0.74507327299552695</v>
      </c>
      <c r="AP5" s="57">
        <v>0.76833385435850798</v>
      </c>
      <c r="AQ5" s="57">
        <v>-0.11038970956598899</v>
      </c>
    </row>
    <row r="6" spans="1:43">
      <c r="A6" s="55" t="s">
        <v>39631</v>
      </c>
      <c r="B6" s="57">
        <v>0.44291394663309502</v>
      </c>
      <c r="C6" s="57">
        <v>-0.38086457343000302</v>
      </c>
      <c r="D6" s="57">
        <v>0.59552346067695605</v>
      </c>
      <c r="E6" s="57">
        <v>0.831843658311894</v>
      </c>
      <c r="F6" s="57">
        <v>1</v>
      </c>
      <c r="G6" s="57">
        <v>0.82957652281661998</v>
      </c>
      <c r="H6" s="57">
        <v>0.91814344828187899</v>
      </c>
      <c r="I6" s="57">
        <v>0.92832994030001903</v>
      </c>
      <c r="J6" s="57">
        <v>0.92592214199109701</v>
      </c>
      <c r="K6" s="57">
        <v>0.47407839117574102</v>
      </c>
      <c r="L6" s="57">
        <v>0.453810202691801</v>
      </c>
      <c r="M6" s="57">
        <v>0.71791689519146495</v>
      </c>
      <c r="N6" s="57">
        <v>0.68365920607520403</v>
      </c>
      <c r="O6" s="57">
        <v>0.76440200850848505</v>
      </c>
      <c r="P6" s="57">
        <v>0.91113497324959203</v>
      </c>
      <c r="Q6" s="57">
        <v>0.69398303942490702</v>
      </c>
      <c r="R6" s="57">
        <v>0.912002084493159</v>
      </c>
      <c r="S6" s="57">
        <v>0.91922059307049697</v>
      </c>
      <c r="T6" s="57">
        <v>7.6544506442324495E-2</v>
      </c>
      <c r="U6" s="57">
        <v>0.15239901009965701</v>
      </c>
      <c r="V6" s="57">
        <v>-0.15223564771488399</v>
      </c>
      <c r="W6" s="57">
        <v>0.14165295670264699</v>
      </c>
      <c r="X6" s="57">
        <v>-0.17612755905865099</v>
      </c>
      <c r="Y6" s="57">
        <v>-0.27364348444679099</v>
      </c>
      <c r="Z6" s="57">
        <v>-0.22168694198705299</v>
      </c>
      <c r="AA6" s="57">
        <v>-0.132534579306817</v>
      </c>
      <c r="AB6" s="57">
        <v>-0.42071442356115402</v>
      </c>
      <c r="AC6" s="57">
        <v>0.56474723974639596</v>
      </c>
      <c r="AD6" s="57">
        <v>-0.33876932315522301</v>
      </c>
      <c r="AE6" s="57">
        <v>0.65619441683250701</v>
      </c>
      <c r="AF6" s="57">
        <v>0.91230702106157102</v>
      </c>
      <c r="AG6" s="57">
        <v>0.73546179717773397</v>
      </c>
      <c r="AH6" s="57">
        <v>-0.28210609180961599</v>
      </c>
      <c r="AI6" s="57">
        <v>-0.27157690186829397</v>
      </c>
      <c r="AJ6" s="57">
        <v>0.884567349656041</v>
      </c>
      <c r="AK6" s="57">
        <v>2.1241523498800801E-2</v>
      </c>
      <c r="AL6" s="57">
        <v>0.90976952160574398</v>
      </c>
      <c r="AM6" s="57">
        <v>0.234534626835537</v>
      </c>
      <c r="AN6" s="57">
        <v>0.30669995949937701</v>
      </c>
      <c r="AO6" s="57">
        <v>0.91317521965665005</v>
      </c>
      <c r="AP6" s="57">
        <v>0.85721787511863901</v>
      </c>
      <c r="AQ6" s="57">
        <v>-0.13075688647332101</v>
      </c>
    </row>
    <row r="7" spans="1:43">
      <c r="A7" s="55" t="s">
        <v>39632</v>
      </c>
      <c r="B7" s="57">
        <v>8.0780419426384795E-2</v>
      </c>
      <c r="C7" s="57">
        <v>-0.28591157809265599</v>
      </c>
      <c r="D7" s="57">
        <v>0.60877103697951196</v>
      </c>
      <c r="E7" s="57">
        <v>0.84498305429319498</v>
      </c>
      <c r="F7" s="57">
        <v>0.82957652281661998</v>
      </c>
      <c r="G7" s="57">
        <v>1</v>
      </c>
      <c r="H7" s="57">
        <v>0.91487482832447198</v>
      </c>
      <c r="I7" s="57">
        <v>0.85178308514866696</v>
      </c>
      <c r="J7" s="57">
        <v>0.93023630238265997</v>
      </c>
      <c r="K7" s="57">
        <v>0.33169239273346501</v>
      </c>
      <c r="L7" s="57">
        <v>0.44003924791096999</v>
      </c>
      <c r="M7" s="57">
        <v>0.88272647230623802</v>
      </c>
      <c r="N7" s="57">
        <v>0.68939251368413601</v>
      </c>
      <c r="O7" s="57">
        <v>0.65033168286075005</v>
      </c>
      <c r="P7" s="57">
        <v>0.91081926346767295</v>
      </c>
      <c r="Q7" s="57">
        <v>0.77294569957769499</v>
      </c>
      <c r="R7" s="57">
        <v>0.89496772483032805</v>
      </c>
      <c r="S7" s="57">
        <v>0.88763782823720305</v>
      </c>
      <c r="T7" s="57">
        <v>-0.33475387353402603</v>
      </c>
      <c r="U7" s="57">
        <v>-0.322627156779492</v>
      </c>
      <c r="V7" s="57">
        <v>-0.20838462482808601</v>
      </c>
      <c r="W7" s="57">
        <v>-0.26684190219447401</v>
      </c>
      <c r="X7" s="57">
        <v>-0.22470875364683801</v>
      </c>
      <c r="Y7" s="57">
        <v>-0.18228772227211901</v>
      </c>
      <c r="Z7" s="57">
        <v>-0.247680241842298</v>
      </c>
      <c r="AA7" s="57">
        <v>-0.18228772227211901</v>
      </c>
      <c r="AB7" s="57">
        <v>-0.30726000995993202</v>
      </c>
      <c r="AC7" s="57">
        <v>0.25665469763579102</v>
      </c>
      <c r="AD7" s="57">
        <v>-0.33834876980418499</v>
      </c>
      <c r="AE7" s="57">
        <v>0.67896752410179495</v>
      </c>
      <c r="AF7" s="57">
        <v>0.707692155315639</v>
      </c>
      <c r="AG7" s="57">
        <v>0.82576006383667599</v>
      </c>
      <c r="AH7" s="57">
        <v>-0.11977630363234899</v>
      </c>
      <c r="AI7" s="57">
        <v>-0.19283188106148999</v>
      </c>
      <c r="AJ7" s="57">
        <v>0.69686350139931696</v>
      </c>
      <c r="AK7" s="57">
        <v>-8.3590976804065395E-2</v>
      </c>
      <c r="AL7" s="57">
        <v>0.70104093140535995</v>
      </c>
      <c r="AM7" s="57">
        <v>-0.12932978850905799</v>
      </c>
      <c r="AN7" s="57">
        <v>2.9800818184645601E-2</v>
      </c>
      <c r="AO7" s="57">
        <v>0.64662847130384404</v>
      </c>
      <c r="AP7" s="57">
        <v>0.73453863195746005</v>
      </c>
      <c r="AQ7" s="57">
        <v>-0.120362832280679</v>
      </c>
    </row>
    <row r="8" spans="1:43">
      <c r="A8" s="55" t="s">
        <v>39633</v>
      </c>
      <c r="B8" s="57">
        <v>0.29414332858351599</v>
      </c>
      <c r="C8" s="57">
        <v>-0.27374178136883998</v>
      </c>
      <c r="D8" s="57">
        <v>0.61304294583621999</v>
      </c>
      <c r="E8" s="57">
        <v>0.90656911156500597</v>
      </c>
      <c r="F8" s="57">
        <v>0.91814344828187899</v>
      </c>
      <c r="G8" s="57">
        <v>0.91487482832447198</v>
      </c>
      <c r="H8" s="57">
        <v>1</v>
      </c>
      <c r="I8" s="57">
        <v>0.91805056015063702</v>
      </c>
      <c r="J8" s="57">
        <v>0.90532510313620096</v>
      </c>
      <c r="K8" s="57">
        <v>0.440774655414233</v>
      </c>
      <c r="L8" s="57">
        <v>0.44461284253970901</v>
      </c>
      <c r="M8" s="57">
        <v>0.84884065878020198</v>
      </c>
      <c r="N8" s="57">
        <v>0.725249647588183</v>
      </c>
      <c r="O8" s="57">
        <v>0.69556279507364904</v>
      </c>
      <c r="P8" s="57">
        <v>0.93876566421955299</v>
      </c>
      <c r="Q8" s="57">
        <v>0.80363149321749405</v>
      </c>
      <c r="R8" s="57">
        <v>0.95163958333242105</v>
      </c>
      <c r="S8" s="57">
        <v>0.91335538477171097</v>
      </c>
      <c r="T8" s="57">
        <v>-5.5740838862816E-2</v>
      </c>
      <c r="U8" s="57">
        <v>-6.4646958405841407E-2</v>
      </c>
      <c r="V8" s="57">
        <v>-0.25399671855601202</v>
      </c>
      <c r="W8" s="57">
        <v>2.5118268025388898E-2</v>
      </c>
      <c r="X8" s="57">
        <v>-0.27389394061195499</v>
      </c>
      <c r="Y8" s="57">
        <v>-0.22218761738475201</v>
      </c>
      <c r="Z8" s="57">
        <v>-0.30189352372327399</v>
      </c>
      <c r="AA8" s="57">
        <v>-3.95977931972825E-3</v>
      </c>
      <c r="AB8" s="57">
        <v>-0.45274051104096502</v>
      </c>
      <c r="AC8" s="57">
        <v>0.452279618106885</v>
      </c>
      <c r="AD8" s="57">
        <v>-0.24336675327085799</v>
      </c>
      <c r="AE8" s="57">
        <v>0.60324458276957904</v>
      </c>
      <c r="AF8" s="57">
        <v>0.80988318497439105</v>
      </c>
      <c r="AG8" s="57">
        <v>0.75338826563476702</v>
      </c>
      <c r="AH8" s="57">
        <v>-0.26931100494525501</v>
      </c>
      <c r="AI8" s="57">
        <v>-0.23503972552201699</v>
      </c>
      <c r="AJ8" s="57">
        <v>0.80675042898460303</v>
      </c>
      <c r="AK8" s="57">
        <v>-1.2846682035147199E-2</v>
      </c>
      <c r="AL8" s="57">
        <v>0.80408442467861097</v>
      </c>
      <c r="AM8" s="57">
        <v>0.142372443002342</v>
      </c>
      <c r="AN8" s="57">
        <v>0.25893289845648598</v>
      </c>
      <c r="AO8" s="57">
        <v>0.75187143781569798</v>
      </c>
      <c r="AP8" s="57">
        <v>0.82901186924807801</v>
      </c>
      <c r="AQ8" s="57">
        <v>-1.0974163367892999E-2</v>
      </c>
    </row>
    <row r="9" spans="1:43">
      <c r="A9" s="55" t="s">
        <v>39634</v>
      </c>
      <c r="B9" s="57">
        <v>0.39148646916634899</v>
      </c>
      <c r="C9" s="57">
        <v>-0.320492525418416</v>
      </c>
      <c r="D9" s="57">
        <v>0.61164192831619602</v>
      </c>
      <c r="E9" s="57">
        <v>0.83130576810078605</v>
      </c>
      <c r="F9" s="57">
        <v>0.92832994030001903</v>
      </c>
      <c r="G9" s="57">
        <v>0.85178308514866696</v>
      </c>
      <c r="H9" s="57">
        <v>0.91805056015063702</v>
      </c>
      <c r="I9" s="57">
        <v>1</v>
      </c>
      <c r="J9" s="57">
        <v>0.90615406712162005</v>
      </c>
      <c r="K9" s="57">
        <v>0.50619393442613403</v>
      </c>
      <c r="L9" s="57">
        <v>0.45554279692694699</v>
      </c>
      <c r="M9" s="57">
        <v>0.734232808473675</v>
      </c>
      <c r="N9" s="57">
        <v>0.755990597616506</v>
      </c>
      <c r="O9" s="57">
        <v>0.74686279854137405</v>
      </c>
      <c r="P9" s="57">
        <v>0.97161462412501298</v>
      </c>
      <c r="Q9" s="57">
        <v>0.73084907246081399</v>
      </c>
      <c r="R9" s="57">
        <v>0.94798886838308805</v>
      </c>
      <c r="S9" s="57">
        <v>0.91623548069834004</v>
      </c>
      <c r="T9" s="57">
        <v>5.5692638211045198E-2</v>
      </c>
      <c r="U9" s="57">
        <v>4.5453394424612999E-2</v>
      </c>
      <c r="V9" s="57">
        <v>-0.23358870289568601</v>
      </c>
      <c r="W9" s="57">
        <v>0.126098080117128</v>
      </c>
      <c r="X9" s="57">
        <v>-0.25188723178101202</v>
      </c>
      <c r="Y9" s="57">
        <v>-0.20433538527365699</v>
      </c>
      <c r="Z9" s="57">
        <v>-0.27763711681013897</v>
      </c>
      <c r="AA9" s="57">
        <v>-0.20433538527365699</v>
      </c>
      <c r="AB9" s="57">
        <v>-0.41761386050133198</v>
      </c>
      <c r="AC9" s="57">
        <v>0.50509871707118903</v>
      </c>
      <c r="AD9" s="57">
        <v>-0.38034346956675802</v>
      </c>
      <c r="AE9" s="57">
        <v>0.53659866592723604</v>
      </c>
      <c r="AF9" s="57">
        <v>0.80890354036495304</v>
      </c>
      <c r="AG9" s="57">
        <v>0.69726432133905702</v>
      </c>
      <c r="AH9" s="57">
        <v>-0.22602615954487901</v>
      </c>
      <c r="AI9" s="57">
        <v>-0.21615485792797301</v>
      </c>
      <c r="AJ9" s="57">
        <v>0.87918325728545899</v>
      </c>
      <c r="AK9" s="57">
        <v>0.13404745115171099</v>
      </c>
      <c r="AL9" s="57">
        <v>0.82741495608842697</v>
      </c>
      <c r="AM9" s="57">
        <v>0.32206807164044798</v>
      </c>
      <c r="AN9" s="57">
        <v>0.36913560785613803</v>
      </c>
      <c r="AO9" s="57">
        <v>0.84539174784082605</v>
      </c>
      <c r="AP9" s="57">
        <v>0.88331319905933803</v>
      </c>
      <c r="AQ9" s="57">
        <v>-5.78454913122926E-2</v>
      </c>
    </row>
    <row r="10" spans="1:43">
      <c r="A10" s="55" t="s">
        <v>39635</v>
      </c>
      <c r="B10" s="57">
        <v>0.300387424212534</v>
      </c>
      <c r="C10" s="57">
        <v>-0.31627931069364301</v>
      </c>
      <c r="D10" s="57">
        <v>0.60411589372752805</v>
      </c>
      <c r="E10" s="57">
        <v>0.82175405058093498</v>
      </c>
      <c r="F10" s="57">
        <v>0.92592214199109701</v>
      </c>
      <c r="G10" s="57">
        <v>0.93023630238265997</v>
      </c>
      <c r="H10" s="57">
        <v>0.90532510313620096</v>
      </c>
      <c r="I10" s="57">
        <v>0.90615406712162005</v>
      </c>
      <c r="J10" s="57">
        <v>1</v>
      </c>
      <c r="K10" s="57">
        <v>0.40455032992398299</v>
      </c>
      <c r="L10" s="57">
        <v>0.44655969019584901</v>
      </c>
      <c r="M10" s="57">
        <v>0.86437534987866704</v>
      </c>
      <c r="N10" s="57">
        <v>0.72723025396379204</v>
      </c>
      <c r="O10" s="57">
        <v>0.72024606511496403</v>
      </c>
      <c r="P10" s="57">
        <v>0.92988760315646202</v>
      </c>
      <c r="Q10" s="57">
        <v>0.72867594240108302</v>
      </c>
      <c r="R10" s="57">
        <v>0.89057879370592297</v>
      </c>
      <c r="S10" s="57">
        <v>0.93023534911810302</v>
      </c>
      <c r="T10" s="57">
        <v>-0.204817630956733</v>
      </c>
      <c r="U10" s="57">
        <v>-0.14631892456975501</v>
      </c>
      <c r="V10" s="57">
        <v>-0.23051793124104</v>
      </c>
      <c r="W10" s="57">
        <v>-0.12540504105450501</v>
      </c>
      <c r="X10" s="57">
        <v>-0.24857590652455999</v>
      </c>
      <c r="Y10" s="57">
        <v>-0.20164917955667999</v>
      </c>
      <c r="Z10" s="57">
        <v>-0.27398728195935501</v>
      </c>
      <c r="AA10" s="57">
        <v>-0.20164917955667999</v>
      </c>
      <c r="AB10" s="57">
        <v>-0.41250563065606899</v>
      </c>
      <c r="AC10" s="57">
        <v>0.39364537339342898</v>
      </c>
      <c r="AD10" s="57">
        <v>-0.37534345059795998</v>
      </c>
      <c r="AE10" s="57">
        <v>0.80777696000718002</v>
      </c>
      <c r="AF10" s="57">
        <v>0.83304849750180199</v>
      </c>
      <c r="AG10" s="57">
        <v>0.87855265929228799</v>
      </c>
      <c r="AH10" s="57">
        <v>-0.27556305769329298</v>
      </c>
      <c r="AI10" s="57">
        <v>-0.199420148172511</v>
      </c>
      <c r="AJ10" s="57">
        <v>0.73818972539290695</v>
      </c>
      <c r="AK10" s="57">
        <v>-0.109063132382585</v>
      </c>
      <c r="AL10" s="57">
        <v>0.772038609244597</v>
      </c>
      <c r="AM10" s="57">
        <v>-2.30006774799042E-2</v>
      </c>
      <c r="AN10" s="57">
        <v>8.1386887087355503E-2</v>
      </c>
      <c r="AO10" s="57">
        <v>0.74845958982180205</v>
      </c>
      <c r="AP10" s="57">
        <v>0.80985354949576305</v>
      </c>
      <c r="AQ10" s="57">
        <v>-0.131670201081411</v>
      </c>
    </row>
    <row r="11" spans="1:43">
      <c r="A11" s="55" t="s">
        <v>39636</v>
      </c>
      <c r="B11" s="57">
        <v>-3.6056729517701801E-2</v>
      </c>
      <c r="C11" s="57">
        <v>-0.123464965821369</v>
      </c>
      <c r="D11" s="57">
        <v>0.86437079942952399</v>
      </c>
      <c r="E11" s="57">
        <v>0.40433564169776198</v>
      </c>
      <c r="F11" s="57">
        <v>0.47407839117574102</v>
      </c>
      <c r="G11" s="57">
        <v>0.33169239273346501</v>
      </c>
      <c r="H11" s="57">
        <v>0.440774655414233</v>
      </c>
      <c r="I11" s="57">
        <v>0.50619393442613403</v>
      </c>
      <c r="J11" s="57">
        <v>0.40455032992398299</v>
      </c>
      <c r="K11" s="57">
        <v>1</v>
      </c>
      <c r="L11" s="57">
        <v>0.92713796500765899</v>
      </c>
      <c r="M11" s="57">
        <v>0.141618891439352</v>
      </c>
      <c r="N11" s="57">
        <v>-0.13205363789181501</v>
      </c>
      <c r="O11" s="57">
        <v>0.50740192110502902</v>
      </c>
      <c r="P11" s="57">
        <v>0.42872967194867601</v>
      </c>
      <c r="Q11" s="57">
        <v>0.25507161221559699</v>
      </c>
      <c r="R11" s="57">
        <v>0.524410007187187</v>
      </c>
      <c r="S11" s="57">
        <v>0.447558174092057</v>
      </c>
      <c r="T11" s="57">
        <v>-1.3641988769058601E-3</v>
      </c>
      <c r="U11" s="57">
        <v>-1.43557929462145E-2</v>
      </c>
      <c r="V11" s="57">
        <v>-0.144616450429814</v>
      </c>
      <c r="W11" s="57">
        <v>7.3255041710516902E-2</v>
      </c>
      <c r="X11" s="57">
        <v>-0.15594520161802899</v>
      </c>
      <c r="Y11" s="57">
        <v>-0.12650551053695899</v>
      </c>
      <c r="Z11" s="57">
        <v>-0.171887141128483</v>
      </c>
      <c r="AA11" s="57">
        <v>9.2314832013456402E-2</v>
      </c>
      <c r="AB11" s="57">
        <v>-0.25702068083434998</v>
      </c>
      <c r="AC11" s="57">
        <v>-0.131499739168251</v>
      </c>
      <c r="AD11" s="57">
        <v>-6.4804961702404407E-2</v>
      </c>
      <c r="AE11" s="57">
        <v>5.61701216816601E-2</v>
      </c>
      <c r="AF11" s="57">
        <v>0.64687588965278198</v>
      </c>
      <c r="AG11" s="57">
        <v>0.20909410894331701</v>
      </c>
      <c r="AH11" s="57">
        <v>-0.14094597930737399</v>
      </c>
      <c r="AI11" s="57">
        <v>-0.13382303129044601</v>
      </c>
      <c r="AJ11" s="57">
        <v>0.48487891022697799</v>
      </c>
      <c r="AK11" s="57">
        <v>-0.152647415474569</v>
      </c>
      <c r="AL11" s="57">
        <v>0.40262125386300401</v>
      </c>
      <c r="AM11" s="57">
        <v>0.13848668762996499</v>
      </c>
      <c r="AN11" s="57">
        <v>-5.5305603325711099E-2</v>
      </c>
      <c r="AO11" s="57">
        <v>0.44149231117315701</v>
      </c>
      <c r="AP11" s="57">
        <v>0.17566316796192799</v>
      </c>
      <c r="AQ11" s="57">
        <v>-0.13678190200815801</v>
      </c>
    </row>
    <row r="12" spans="1:43">
      <c r="A12" s="55" t="s">
        <v>39637</v>
      </c>
      <c r="B12" s="57">
        <v>-0.217307261235481</v>
      </c>
      <c r="C12" s="57">
        <v>-0.14605559890293299</v>
      </c>
      <c r="D12" s="57">
        <v>0.94950697432073905</v>
      </c>
      <c r="E12" s="57">
        <v>0.418348663852599</v>
      </c>
      <c r="F12" s="57">
        <v>0.453810202691801</v>
      </c>
      <c r="G12" s="57">
        <v>0.44003924791096999</v>
      </c>
      <c r="H12" s="57">
        <v>0.44461284253970901</v>
      </c>
      <c r="I12" s="57">
        <v>0.45554279692694699</v>
      </c>
      <c r="J12" s="57">
        <v>0.44655969019584901</v>
      </c>
      <c r="K12" s="57">
        <v>0.92713796500765899</v>
      </c>
      <c r="L12" s="57">
        <v>1</v>
      </c>
      <c r="M12" s="57">
        <v>0.21702119141852499</v>
      </c>
      <c r="N12" s="57">
        <v>-0.20191898023166699</v>
      </c>
      <c r="O12" s="57">
        <v>0.48887644402583402</v>
      </c>
      <c r="P12" s="57">
        <v>0.41834564718213302</v>
      </c>
      <c r="Q12" s="57">
        <v>0.29182272405570903</v>
      </c>
      <c r="R12" s="57">
        <v>0.51899862345298498</v>
      </c>
      <c r="S12" s="57">
        <v>0.44076623912108498</v>
      </c>
      <c r="T12" s="57">
        <v>-0.19443094822095899</v>
      </c>
      <c r="U12" s="57">
        <v>-0.188153343702118</v>
      </c>
      <c r="V12" s="57">
        <v>-0.106451586831386</v>
      </c>
      <c r="W12" s="57">
        <v>-0.136314010427313</v>
      </c>
      <c r="X12" s="57">
        <v>-0.114790634963319</v>
      </c>
      <c r="Y12" s="57">
        <v>-9.3120196903945296E-2</v>
      </c>
      <c r="Z12" s="57">
        <v>-0.126525432443232</v>
      </c>
      <c r="AA12" s="57">
        <v>-9.3120196903945296E-2</v>
      </c>
      <c r="AB12" s="57">
        <v>-0.190612042709847</v>
      </c>
      <c r="AC12" s="57">
        <v>-0.241923089754711</v>
      </c>
      <c r="AD12" s="57">
        <v>-0.173331010337505</v>
      </c>
      <c r="AE12" s="57">
        <v>0.134880136574479</v>
      </c>
      <c r="AF12" s="57">
        <v>0.64563062616979106</v>
      </c>
      <c r="AG12" s="57">
        <v>0.28367018574708702</v>
      </c>
      <c r="AH12" s="57">
        <v>-0.14373048470979899</v>
      </c>
      <c r="AI12" s="57">
        <v>-9.8506594464977906E-2</v>
      </c>
      <c r="AJ12" s="57">
        <v>0.44060608799207202</v>
      </c>
      <c r="AK12" s="57">
        <v>-0.22558157650306301</v>
      </c>
      <c r="AL12" s="57">
        <v>0.40724378504540099</v>
      </c>
      <c r="AM12" s="57">
        <v>-0.14318822399287401</v>
      </c>
      <c r="AN12" s="57">
        <v>-0.22247107569753899</v>
      </c>
      <c r="AO12" s="57">
        <v>0.396581192539883</v>
      </c>
      <c r="AP12" s="57">
        <v>8.7070218139799496E-2</v>
      </c>
      <c r="AQ12" s="57">
        <v>-0.24582126830110099</v>
      </c>
    </row>
    <row r="13" spans="1:43">
      <c r="A13" s="55" t="s">
        <v>39638</v>
      </c>
      <c r="B13" s="57">
        <v>0.22155758090958899</v>
      </c>
      <c r="C13" s="57">
        <v>-0.211715981672675</v>
      </c>
      <c r="D13" s="57">
        <v>0.39548441393325401</v>
      </c>
      <c r="E13" s="57">
        <v>0.76571725041028604</v>
      </c>
      <c r="F13" s="57">
        <v>0.71791689519146495</v>
      </c>
      <c r="G13" s="57">
        <v>0.88272647230623802</v>
      </c>
      <c r="H13" s="57">
        <v>0.84884065878020198</v>
      </c>
      <c r="I13" s="57">
        <v>0.734232808473675</v>
      </c>
      <c r="J13" s="57">
        <v>0.86437534987866704</v>
      </c>
      <c r="K13" s="57">
        <v>0.141618891439352</v>
      </c>
      <c r="L13" s="57">
        <v>0.21702119141852499</v>
      </c>
      <c r="M13" s="57">
        <v>1</v>
      </c>
      <c r="N13" s="57">
        <v>0.78295519680400705</v>
      </c>
      <c r="O13" s="57">
        <v>0.53888179542058001</v>
      </c>
      <c r="P13" s="57">
        <v>0.823441661724991</v>
      </c>
      <c r="Q13" s="57">
        <v>0.80925219598609499</v>
      </c>
      <c r="R13" s="57">
        <v>0.75335091172874102</v>
      </c>
      <c r="S13" s="57">
        <v>0.77790056746457303</v>
      </c>
      <c r="T13" s="57">
        <v>-0.25905540376807201</v>
      </c>
      <c r="U13" s="57">
        <v>-0.238011284330024</v>
      </c>
      <c r="V13" s="57">
        <v>-0.15430769087872601</v>
      </c>
      <c r="W13" s="57">
        <v>-0.197594989511753</v>
      </c>
      <c r="X13" s="57">
        <v>-0.16639562023391</v>
      </c>
      <c r="Y13" s="57">
        <v>-0.13498307527514899</v>
      </c>
      <c r="Z13" s="57">
        <v>-0.18340588335871499</v>
      </c>
      <c r="AA13" s="57">
        <v>-0.13498307527514899</v>
      </c>
      <c r="AB13" s="57">
        <v>-0.276303106789963</v>
      </c>
      <c r="AC13" s="57">
        <v>0.303861678954712</v>
      </c>
      <c r="AD13" s="57">
        <v>-0.25125325755098099</v>
      </c>
      <c r="AE13" s="57">
        <v>0.77134710134064699</v>
      </c>
      <c r="AF13" s="57">
        <v>0.59038807159525197</v>
      </c>
      <c r="AG13" s="57">
        <v>0.82464150951302495</v>
      </c>
      <c r="AH13" s="57">
        <v>-0.208345595069232</v>
      </c>
      <c r="AI13" s="57">
        <v>-0.14279096799462801</v>
      </c>
      <c r="AJ13" s="57">
        <v>0.54971592143155901</v>
      </c>
      <c r="AK13" s="57">
        <v>-0.14291466526508101</v>
      </c>
      <c r="AL13" s="57">
        <v>0.52327314279080295</v>
      </c>
      <c r="AM13" s="57">
        <v>-0.19592429070387599</v>
      </c>
      <c r="AN13" s="57">
        <v>3.4944324701864801E-2</v>
      </c>
      <c r="AO13" s="57">
        <v>0.48828372624365302</v>
      </c>
      <c r="AP13" s="57">
        <v>0.71618326724342596</v>
      </c>
      <c r="AQ13" s="57">
        <v>-5.26355665579014E-2</v>
      </c>
    </row>
    <row r="14" spans="1:43">
      <c r="A14" s="55" t="s">
        <v>39635</v>
      </c>
      <c r="B14" s="57">
        <v>0.51382337308269299</v>
      </c>
      <c r="C14" s="57">
        <v>-0.226733829784419</v>
      </c>
      <c r="D14" s="57">
        <v>1.5967683019615299E-2</v>
      </c>
      <c r="E14" s="57">
        <v>0.641433159245691</v>
      </c>
      <c r="F14" s="57">
        <v>0.68365920607520403</v>
      </c>
      <c r="G14" s="57">
        <v>0.68939251368413601</v>
      </c>
      <c r="H14" s="57">
        <v>0.725249647588183</v>
      </c>
      <c r="I14" s="57">
        <v>0.755990597616506</v>
      </c>
      <c r="J14" s="57">
        <v>0.72723025396379204</v>
      </c>
      <c r="K14" s="57">
        <v>-0.13205363789181501</v>
      </c>
      <c r="L14" s="57">
        <v>-0.20191898023166699</v>
      </c>
      <c r="M14" s="57">
        <v>0.78295519680400705</v>
      </c>
      <c r="N14" s="57">
        <v>1</v>
      </c>
      <c r="O14" s="57">
        <v>0.47027519704012799</v>
      </c>
      <c r="P14" s="57">
        <v>0.78719377828784298</v>
      </c>
      <c r="Q14" s="57">
        <v>0.674367285094569</v>
      </c>
      <c r="R14" s="57">
        <v>0.67600355316544003</v>
      </c>
      <c r="S14" s="57">
        <v>0.71485917416949096</v>
      </c>
      <c r="T14" s="57">
        <v>6.5383224500939502E-2</v>
      </c>
      <c r="U14" s="57">
        <v>6.16535502202065E-2</v>
      </c>
      <c r="V14" s="57">
        <v>-0.16525334290641899</v>
      </c>
      <c r="W14" s="57">
        <v>0.102928700872569</v>
      </c>
      <c r="X14" s="57">
        <v>-0.17819871668128101</v>
      </c>
      <c r="Y14" s="57">
        <v>-0.144557956236532</v>
      </c>
      <c r="Z14" s="57">
        <v>-0.19641558473940601</v>
      </c>
      <c r="AA14" s="57">
        <v>-0.144557956236532</v>
      </c>
      <c r="AB14" s="57">
        <v>-0.29542177692954802</v>
      </c>
      <c r="AC14" s="57">
        <v>0.64543991831695102</v>
      </c>
      <c r="AD14" s="57">
        <v>-0.26907564030012598</v>
      </c>
      <c r="AE14" s="57">
        <v>0.59889273438500801</v>
      </c>
      <c r="AF14" s="57">
        <v>0.41750270667996098</v>
      </c>
      <c r="AG14" s="57">
        <v>0.64446419322902704</v>
      </c>
      <c r="AH14" s="57">
        <v>-0.15701973917793099</v>
      </c>
      <c r="AI14" s="57">
        <v>-0.15291969352649401</v>
      </c>
      <c r="AJ14" s="57">
        <v>0.59388484390442897</v>
      </c>
      <c r="AK14" s="57">
        <v>0.21997448702661701</v>
      </c>
      <c r="AL14" s="57">
        <v>0.55930361736981105</v>
      </c>
      <c r="AM14" s="57">
        <v>0.28922006324564398</v>
      </c>
      <c r="AN14" s="57">
        <v>0.44420318865068298</v>
      </c>
      <c r="AO14" s="57">
        <v>0.57517653944386204</v>
      </c>
      <c r="AP14" s="57">
        <v>0.89579285178025203</v>
      </c>
      <c r="AQ14" s="57">
        <v>0.100650924082619</v>
      </c>
    </row>
    <row r="15" spans="1:43">
      <c r="A15" s="55" t="s">
        <v>39639</v>
      </c>
      <c r="B15" s="57">
        <v>8.2883962429826596E-2</v>
      </c>
      <c r="C15" s="57">
        <v>-0.29464845154536401</v>
      </c>
      <c r="D15" s="57">
        <v>0.49056516898508001</v>
      </c>
      <c r="E15" s="57">
        <v>0.80066087088654603</v>
      </c>
      <c r="F15" s="57">
        <v>0.76440200850848505</v>
      </c>
      <c r="G15" s="57">
        <v>0.65033168286075005</v>
      </c>
      <c r="H15" s="57">
        <v>0.69556279507364904</v>
      </c>
      <c r="I15" s="57">
        <v>0.74686279854137405</v>
      </c>
      <c r="J15" s="57">
        <v>0.72024606511496403</v>
      </c>
      <c r="K15" s="57">
        <v>0.50740192110502902</v>
      </c>
      <c r="L15" s="57">
        <v>0.48887644402583402</v>
      </c>
      <c r="M15" s="57">
        <v>0.53888179542058001</v>
      </c>
      <c r="N15" s="57">
        <v>0.47027519704012799</v>
      </c>
      <c r="O15" s="57">
        <v>1</v>
      </c>
      <c r="P15" s="57">
        <v>0.815751960302461</v>
      </c>
      <c r="Q15" s="57">
        <v>0.83535091057099198</v>
      </c>
      <c r="R15" s="57">
        <v>0.84142719069816596</v>
      </c>
      <c r="S15" s="57">
        <v>0.86757362761144197</v>
      </c>
      <c r="T15" s="57">
        <v>-3.0696649998564599E-2</v>
      </c>
      <c r="U15" s="57">
        <v>-5.6658206478093099E-3</v>
      </c>
      <c r="V15" s="57">
        <v>-0.21475243304613201</v>
      </c>
      <c r="W15" s="57">
        <v>1.3802890306047901E-2</v>
      </c>
      <c r="X15" s="57">
        <v>-0.231575393876748</v>
      </c>
      <c r="Y15" s="57">
        <v>-0.187858062487434</v>
      </c>
      <c r="Z15" s="57">
        <v>-0.25524884380010598</v>
      </c>
      <c r="AA15" s="57">
        <v>-0.187858062487434</v>
      </c>
      <c r="AB15" s="57">
        <v>-0.38409409983924098</v>
      </c>
      <c r="AC15" s="57">
        <v>0.18395647864701001</v>
      </c>
      <c r="AD15" s="57">
        <v>-0.34967309835674798</v>
      </c>
      <c r="AE15" s="57">
        <v>0.31666598479026398</v>
      </c>
      <c r="AF15" s="57">
        <v>0.79536314305525302</v>
      </c>
      <c r="AG15" s="57">
        <v>0.31684034587804599</v>
      </c>
      <c r="AH15" s="57">
        <v>-0.229262995441402</v>
      </c>
      <c r="AI15" s="57">
        <v>-0.18240972297881899</v>
      </c>
      <c r="AJ15" s="57">
        <v>0.75100677401215199</v>
      </c>
      <c r="AK15" s="57">
        <v>0.178728180635913</v>
      </c>
      <c r="AL15" s="57">
        <v>0.83317535154665601</v>
      </c>
      <c r="AM15" s="57">
        <v>0.26923512236418101</v>
      </c>
      <c r="AN15" s="57">
        <v>0.39060418528452401</v>
      </c>
      <c r="AO15" s="57">
        <v>0.78881576797632103</v>
      </c>
      <c r="AP15" s="57">
        <v>0.72168771017972</v>
      </c>
      <c r="AQ15" s="57">
        <v>-0.25161589615313701</v>
      </c>
    </row>
    <row r="16" spans="1:43">
      <c r="A16" s="55" t="s">
        <v>39640</v>
      </c>
      <c r="B16" s="57">
        <v>0.26590422866607799</v>
      </c>
      <c r="C16" s="57">
        <v>-0.30357642378754801</v>
      </c>
      <c r="D16" s="57">
        <v>0.56450878611129596</v>
      </c>
      <c r="E16" s="57">
        <v>0.89914881644735201</v>
      </c>
      <c r="F16" s="57">
        <v>0.91113497324959203</v>
      </c>
      <c r="G16" s="57">
        <v>0.91081926346767295</v>
      </c>
      <c r="H16" s="57">
        <v>0.93876566421955299</v>
      </c>
      <c r="I16" s="57">
        <v>0.97161462412501298</v>
      </c>
      <c r="J16" s="57">
        <v>0.92988760315646202</v>
      </c>
      <c r="K16" s="57">
        <v>0.42872967194867601</v>
      </c>
      <c r="L16" s="57">
        <v>0.41834564718213302</v>
      </c>
      <c r="M16" s="57">
        <v>0.823441661724991</v>
      </c>
      <c r="N16" s="57">
        <v>0.78719377828784298</v>
      </c>
      <c r="O16" s="57">
        <v>0.815751960302461</v>
      </c>
      <c r="P16" s="57">
        <v>1</v>
      </c>
      <c r="Q16" s="57">
        <v>0.85107033208236404</v>
      </c>
      <c r="R16" s="57">
        <v>0.97597366074646297</v>
      </c>
      <c r="S16" s="57">
        <v>0.95919829053414696</v>
      </c>
      <c r="T16" s="57">
        <v>-7.2075119427470594E-2</v>
      </c>
      <c r="U16" s="57">
        <v>-7.8737692269081103E-2</v>
      </c>
      <c r="V16" s="57">
        <v>-0.22125952226082601</v>
      </c>
      <c r="W16" s="57">
        <v>-9.2894603731398292E-3</v>
      </c>
      <c r="X16" s="57">
        <v>-0.238592225893549</v>
      </c>
      <c r="Y16" s="57">
        <v>-0.193550240941323</v>
      </c>
      <c r="Z16" s="57">
        <v>-0.26298299132521602</v>
      </c>
      <c r="AA16" s="57">
        <v>-0.193550240941323</v>
      </c>
      <c r="AB16" s="57">
        <v>-0.39576823560077601</v>
      </c>
      <c r="AC16" s="57">
        <v>0.40410441000689901</v>
      </c>
      <c r="AD16" s="57">
        <v>-0.36026834058386398</v>
      </c>
      <c r="AE16" s="57">
        <v>0.56328435098685503</v>
      </c>
      <c r="AF16" s="57">
        <v>0.78854862925570801</v>
      </c>
      <c r="AG16" s="57">
        <v>0.69900747590412304</v>
      </c>
      <c r="AH16" s="57">
        <v>-0.241150814511738</v>
      </c>
      <c r="AI16" s="57">
        <v>-0.20474586316298801</v>
      </c>
      <c r="AJ16" s="57">
        <v>0.85354414457469996</v>
      </c>
      <c r="AK16" s="57">
        <v>0.12578917962646999</v>
      </c>
      <c r="AL16" s="57">
        <v>0.82155873731939699</v>
      </c>
      <c r="AM16" s="57">
        <v>0.21500265901488999</v>
      </c>
      <c r="AN16" s="57">
        <v>0.33089126143564901</v>
      </c>
      <c r="AO16" s="57">
        <v>0.81506040238289201</v>
      </c>
      <c r="AP16" s="57">
        <v>0.89767805035345005</v>
      </c>
      <c r="AQ16" s="57">
        <v>-8.6406430142923998E-2</v>
      </c>
    </row>
    <row r="17" spans="1:43">
      <c r="A17" s="55" t="s">
        <v>39641</v>
      </c>
      <c r="B17" s="57">
        <v>4.0420621586126602E-2</v>
      </c>
      <c r="C17" s="57">
        <v>-0.22710666939531901</v>
      </c>
      <c r="D17" s="57">
        <v>0.39545419146453498</v>
      </c>
      <c r="E17" s="57">
        <v>0.83480529802629699</v>
      </c>
      <c r="F17" s="57">
        <v>0.69398303942490702</v>
      </c>
      <c r="G17" s="57">
        <v>0.77294569957769499</v>
      </c>
      <c r="H17" s="57">
        <v>0.80363149321749405</v>
      </c>
      <c r="I17" s="57">
        <v>0.73084907246081399</v>
      </c>
      <c r="J17" s="57">
        <v>0.72867594240108302</v>
      </c>
      <c r="K17" s="57">
        <v>0.25507161221559699</v>
      </c>
      <c r="L17" s="57">
        <v>0.29182272405570903</v>
      </c>
      <c r="M17" s="57">
        <v>0.80925219598609499</v>
      </c>
      <c r="N17" s="57">
        <v>0.674367285094569</v>
      </c>
      <c r="O17" s="57">
        <v>0.83535091057099198</v>
      </c>
      <c r="P17" s="57">
        <v>0.85107033208236404</v>
      </c>
      <c r="Q17" s="57">
        <v>1</v>
      </c>
      <c r="R17" s="57">
        <v>0.84186646568438295</v>
      </c>
      <c r="S17" s="57">
        <v>0.84507080393536804</v>
      </c>
      <c r="T17" s="57">
        <v>-0.139219546944019</v>
      </c>
      <c r="U17" s="57">
        <v>-0.15183773949703899</v>
      </c>
      <c r="V17" s="57">
        <v>-0.165525084411107</v>
      </c>
      <c r="W17" s="57">
        <v>-0.11186733026467401</v>
      </c>
      <c r="X17" s="57">
        <v>-0.17849174547302901</v>
      </c>
      <c r="Y17" s="57">
        <v>-0.14479566638418401</v>
      </c>
      <c r="Z17" s="57">
        <v>-0.196738569228569</v>
      </c>
      <c r="AA17" s="57">
        <v>-0.14479566638418401</v>
      </c>
      <c r="AB17" s="57">
        <v>-0.29623601990408899</v>
      </c>
      <c r="AC17" s="57">
        <v>0.22672336051601499</v>
      </c>
      <c r="AD17" s="57">
        <v>-0.26951810650434199</v>
      </c>
      <c r="AE17" s="57">
        <v>0.39800487804451201</v>
      </c>
      <c r="AF17" s="57">
        <v>0.61417878114811597</v>
      </c>
      <c r="AG17" s="57">
        <v>0.42216414487844101</v>
      </c>
      <c r="AH17" s="57">
        <v>-0.202455680100598</v>
      </c>
      <c r="AI17" s="57">
        <v>-0.15317115365967099</v>
      </c>
      <c r="AJ17" s="57">
        <v>0.65933447197412698</v>
      </c>
      <c r="AK17" s="57">
        <v>0.20438005822321501</v>
      </c>
      <c r="AL17" s="57">
        <v>0.68670590198013304</v>
      </c>
      <c r="AM17" s="57">
        <v>0.10703336273116699</v>
      </c>
      <c r="AN17" s="57">
        <v>0.36468709031352198</v>
      </c>
      <c r="AO17" s="57">
        <v>0.61508908364564796</v>
      </c>
      <c r="AP17" s="57">
        <v>0.77149648113735403</v>
      </c>
      <c r="AQ17" s="57">
        <v>-0.112328842013347</v>
      </c>
    </row>
    <row r="18" spans="1:43">
      <c r="A18" s="55" t="s">
        <v>39642</v>
      </c>
      <c r="B18" s="57">
        <v>0.17610997243743601</v>
      </c>
      <c r="C18" s="57">
        <v>-0.25243149362323097</v>
      </c>
      <c r="D18" s="57">
        <v>0.64180933886915603</v>
      </c>
      <c r="E18" s="57">
        <v>0.92459022755683995</v>
      </c>
      <c r="F18" s="57">
        <v>0.912002084493159</v>
      </c>
      <c r="G18" s="57">
        <v>0.89496772483032805</v>
      </c>
      <c r="H18" s="57">
        <v>0.95163958333242105</v>
      </c>
      <c r="I18" s="57">
        <v>0.94798886838308805</v>
      </c>
      <c r="J18" s="57">
        <v>0.89057879370592297</v>
      </c>
      <c r="K18" s="57">
        <v>0.524410007187187</v>
      </c>
      <c r="L18" s="57">
        <v>0.51899862345298498</v>
      </c>
      <c r="M18" s="57">
        <v>0.75335091172874102</v>
      </c>
      <c r="N18" s="57">
        <v>0.67600355316544003</v>
      </c>
      <c r="O18" s="57">
        <v>0.84142719069816596</v>
      </c>
      <c r="P18" s="57">
        <v>0.97597366074646297</v>
      </c>
      <c r="Q18" s="57">
        <v>0.84186646568438295</v>
      </c>
      <c r="R18" s="57">
        <v>1</v>
      </c>
      <c r="S18" s="57">
        <v>0.95780386513160598</v>
      </c>
      <c r="T18" s="57">
        <v>-8.3642810800821296E-2</v>
      </c>
      <c r="U18" s="57">
        <v>-9.9281620920866606E-2</v>
      </c>
      <c r="V18" s="57">
        <v>-0.24732405760784201</v>
      </c>
      <c r="W18" s="57">
        <v>-1.46061855751673E-2</v>
      </c>
      <c r="X18" s="57">
        <v>-0.26669856654628998</v>
      </c>
      <c r="Y18" s="57">
        <v>-0.216350602457478</v>
      </c>
      <c r="Z18" s="57">
        <v>-0.29396258218313898</v>
      </c>
      <c r="AA18" s="57">
        <v>-9.1748230738435396E-2</v>
      </c>
      <c r="AB18" s="57">
        <v>-0.44152273331945302</v>
      </c>
      <c r="AC18" s="57">
        <v>0.34440366078035001</v>
      </c>
      <c r="AD18" s="57">
        <v>-0.27590033075123899</v>
      </c>
      <c r="AE18" s="57">
        <v>0.473126044912347</v>
      </c>
      <c r="AF18" s="57">
        <v>0.82294975752636002</v>
      </c>
      <c r="AG18" s="57">
        <v>0.63174456735956097</v>
      </c>
      <c r="AH18" s="57">
        <v>-0.27044595501746199</v>
      </c>
      <c r="AI18" s="57">
        <v>-0.22886507725618299</v>
      </c>
      <c r="AJ18" s="57">
        <v>0.865264408290077</v>
      </c>
      <c r="AK18" s="57">
        <v>0.11060382892977801</v>
      </c>
      <c r="AL18" s="57">
        <v>0.85856082317194404</v>
      </c>
      <c r="AM18" s="57">
        <v>0.24335148850722399</v>
      </c>
      <c r="AN18" s="57">
        <v>0.32206576868792403</v>
      </c>
      <c r="AO18" s="57">
        <v>0.82306747908644295</v>
      </c>
      <c r="AP18" s="57">
        <v>0.85374202548418399</v>
      </c>
      <c r="AQ18" s="57">
        <v>-4.6801983503129703E-2</v>
      </c>
    </row>
    <row r="19" spans="1:43">
      <c r="A19" s="55" t="s">
        <v>39643</v>
      </c>
      <c r="B19" s="57">
        <v>0.197866159763393</v>
      </c>
      <c r="C19" s="57">
        <v>-0.29665714002562898</v>
      </c>
      <c r="D19" s="57">
        <v>0.57548669355760895</v>
      </c>
      <c r="E19" s="57">
        <v>0.89492649792781698</v>
      </c>
      <c r="F19" s="57">
        <v>0.91922059307049697</v>
      </c>
      <c r="G19" s="57">
        <v>0.88763782823720305</v>
      </c>
      <c r="H19" s="57">
        <v>0.91335538477171097</v>
      </c>
      <c r="I19" s="57">
        <v>0.91623548069834004</v>
      </c>
      <c r="J19" s="57">
        <v>0.93023534911810302</v>
      </c>
      <c r="K19" s="57">
        <v>0.447558174092057</v>
      </c>
      <c r="L19" s="57">
        <v>0.44076623912108498</v>
      </c>
      <c r="M19" s="57">
        <v>0.77790056746457303</v>
      </c>
      <c r="N19" s="57">
        <v>0.71485917416949096</v>
      </c>
      <c r="O19" s="57">
        <v>0.86757362761144197</v>
      </c>
      <c r="P19" s="57">
        <v>0.95919829053414696</v>
      </c>
      <c r="Q19" s="57">
        <v>0.84507080393536804</v>
      </c>
      <c r="R19" s="57">
        <v>0.95780386513160598</v>
      </c>
      <c r="S19" s="57">
        <v>1</v>
      </c>
      <c r="T19" s="57">
        <v>-0.175418477459997</v>
      </c>
      <c r="U19" s="57">
        <v>-0.14084327174769801</v>
      </c>
      <c r="V19" s="57">
        <v>-0.27654101762306899</v>
      </c>
      <c r="W19" s="57">
        <v>-0.10177170649548301</v>
      </c>
      <c r="X19" s="57">
        <v>-0.28662560522563302</v>
      </c>
      <c r="Y19" s="57">
        <v>-0.24190859694620301</v>
      </c>
      <c r="Z19" s="57">
        <v>-0.328689058421193</v>
      </c>
      <c r="AA19" s="57">
        <v>-8.2533521311057498E-2</v>
      </c>
      <c r="AB19" s="57">
        <v>-0.46971258682898998</v>
      </c>
      <c r="AC19" s="57">
        <v>0.36981613849836198</v>
      </c>
      <c r="AD19" s="57">
        <v>-0.32332636567404499</v>
      </c>
      <c r="AE19" s="57">
        <v>0.61011597731280898</v>
      </c>
      <c r="AF19" s="57">
        <v>0.81916253071353795</v>
      </c>
      <c r="AG19" s="57">
        <v>0.67265882611073902</v>
      </c>
      <c r="AH19" s="57">
        <v>-0.26158244008967402</v>
      </c>
      <c r="AI19" s="57">
        <v>-0.140547723370196</v>
      </c>
      <c r="AJ19" s="57">
        <v>0.78072844813584397</v>
      </c>
      <c r="AK19" s="57">
        <v>7.42184200017343E-2</v>
      </c>
      <c r="AL19" s="57">
        <v>0.85016043391277696</v>
      </c>
      <c r="AM19" s="57">
        <v>0.17567974178482801</v>
      </c>
      <c r="AN19" s="57">
        <v>0.26413660552603602</v>
      </c>
      <c r="AO19" s="57">
        <v>0.79571653134829401</v>
      </c>
      <c r="AP19" s="57">
        <v>0.88101450898907296</v>
      </c>
      <c r="AQ19" s="57">
        <v>-9.6271519028919395E-2</v>
      </c>
    </row>
    <row r="20" spans="1:43">
      <c r="A20" s="55" t="s">
        <v>39644</v>
      </c>
      <c r="B20" s="57">
        <v>0.71699229695314703</v>
      </c>
      <c r="C20" s="57">
        <v>-0.21832555546870999</v>
      </c>
      <c r="D20" s="57">
        <v>-0.23260511785225199</v>
      </c>
      <c r="E20" s="57">
        <v>-7.1347287966811099E-2</v>
      </c>
      <c r="F20" s="57">
        <v>7.6544506442324495E-2</v>
      </c>
      <c r="G20" s="57">
        <v>-0.33475387353402603</v>
      </c>
      <c r="H20" s="57">
        <v>-5.5740838862816E-2</v>
      </c>
      <c r="I20" s="57">
        <v>5.5692638211045198E-2</v>
      </c>
      <c r="J20" s="57">
        <v>-0.204817630956733</v>
      </c>
      <c r="K20" s="57">
        <v>-1.3641988769058601E-3</v>
      </c>
      <c r="L20" s="57">
        <v>-0.19443094822095899</v>
      </c>
      <c r="M20" s="57">
        <v>-0.25905540376807201</v>
      </c>
      <c r="N20" s="57">
        <v>6.5383224500939502E-2</v>
      </c>
      <c r="O20" s="57">
        <v>-3.0696649998564599E-2</v>
      </c>
      <c r="P20" s="57">
        <v>-7.2075119427470594E-2</v>
      </c>
      <c r="Q20" s="57">
        <v>-0.139219546944019</v>
      </c>
      <c r="R20" s="57">
        <v>-8.3642810800821296E-2</v>
      </c>
      <c r="S20" s="57">
        <v>-0.175418477459997</v>
      </c>
      <c r="T20" s="57">
        <v>1</v>
      </c>
      <c r="U20" s="57">
        <v>0.93406657408785299</v>
      </c>
      <c r="V20" s="57">
        <v>8.3236636338164693E-2</v>
      </c>
      <c r="W20" s="57">
        <v>0.95825760565823004</v>
      </c>
      <c r="X20" s="57">
        <v>6.4465390101134307E-2</v>
      </c>
      <c r="Y20" s="57">
        <v>0.104707922624742</v>
      </c>
      <c r="Z20" s="57">
        <v>0.108183951884368</v>
      </c>
      <c r="AA20" s="57">
        <v>-0.139197119912677</v>
      </c>
      <c r="AB20" s="57">
        <v>2.1497728999589202E-3</v>
      </c>
      <c r="AC20" s="57">
        <v>0.587884040507756</v>
      </c>
      <c r="AD20" s="57">
        <v>-0.17182570500475899</v>
      </c>
      <c r="AE20" s="57">
        <v>-0.29505645922205898</v>
      </c>
      <c r="AF20" s="57">
        <v>0.130308028438018</v>
      </c>
      <c r="AG20" s="57">
        <v>-0.28487327684894598</v>
      </c>
      <c r="AH20" s="57">
        <v>7.5871903240912406E-2</v>
      </c>
      <c r="AI20" s="57">
        <v>-0.14507459790855201</v>
      </c>
      <c r="AJ20" s="57">
        <v>0.294499214821067</v>
      </c>
      <c r="AK20" s="57">
        <v>0.27141421020649098</v>
      </c>
      <c r="AL20" s="57">
        <v>0.201326488009307</v>
      </c>
      <c r="AM20" s="57">
        <v>0.64660721300814805</v>
      </c>
      <c r="AN20" s="57">
        <v>0.730502904714318</v>
      </c>
      <c r="AO20" s="57">
        <v>0.29673433122451298</v>
      </c>
      <c r="AP20" s="57">
        <v>8.1657495819161999E-2</v>
      </c>
      <c r="AQ20" s="57">
        <v>-8.4193972766574601E-2</v>
      </c>
    </row>
    <row r="21" spans="1:43">
      <c r="A21" s="55" t="s">
        <v>39645</v>
      </c>
      <c r="B21" s="57">
        <v>0.73766097397857</v>
      </c>
      <c r="C21" s="57">
        <v>-0.24892698333331101</v>
      </c>
      <c r="D21" s="57">
        <v>-0.21742548239988499</v>
      </c>
      <c r="E21" s="57">
        <v>-9.8871594144600797E-2</v>
      </c>
      <c r="F21" s="57">
        <v>0.15239901009965701</v>
      </c>
      <c r="G21" s="57">
        <v>-0.322627156779492</v>
      </c>
      <c r="H21" s="57">
        <v>-6.4646958405841407E-2</v>
      </c>
      <c r="I21" s="57">
        <v>4.5453394424612999E-2</v>
      </c>
      <c r="J21" s="57">
        <v>-0.14631892456975501</v>
      </c>
      <c r="K21" s="57">
        <v>-1.43557929462145E-2</v>
      </c>
      <c r="L21" s="57">
        <v>-0.188153343702118</v>
      </c>
      <c r="M21" s="57">
        <v>-0.238011284330024</v>
      </c>
      <c r="N21" s="57">
        <v>6.16535502202065E-2</v>
      </c>
      <c r="O21" s="57">
        <v>-5.6658206478093099E-3</v>
      </c>
      <c r="P21" s="57">
        <v>-7.8737692269081103E-2</v>
      </c>
      <c r="Q21" s="57">
        <v>-0.15183773949703899</v>
      </c>
      <c r="R21" s="57">
        <v>-9.9281620920866606E-2</v>
      </c>
      <c r="S21" s="57">
        <v>-0.14084327174769801</v>
      </c>
      <c r="T21" s="57">
        <v>0.93406657408785299</v>
      </c>
      <c r="U21" s="57">
        <v>1</v>
      </c>
      <c r="V21" s="57">
        <v>0.27802860237778498</v>
      </c>
      <c r="W21" s="57">
        <v>0.89119301088781699</v>
      </c>
      <c r="X21" s="57">
        <v>0.26349905339834401</v>
      </c>
      <c r="Y21" s="57">
        <v>-8.8833262931532694E-2</v>
      </c>
      <c r="Z21" s="57">
        <v>0.234148873624621</v>
      </c>
      <c r="AA21" s="57">
        <v>-0.15870757353237899</v>
      </c>
      <c r="AB21" s="57">
        <v>8.7748105658458794E-2</v>
      </c>
      <c r="AC21" s="57">
        <v>0.61329289247127905</v>
      </c>
      <c r="AD21" s="57">
        <v>-0.123479485074429</v>
      </c>
      <c r="AE21" s="57">
        <v>-0.15855881820210399</v>
      </c>
      <c r="AF21" s="57">
        <v>0.179656191457787</v>
      </c>
      <c r="AG21" s="57">
        <v>-0.21730527348831</v>
      </c>
      <c r="AH21" s="57">
        <v>6.4773769288905894E-2</v>
      </c>
      <c r="AI21" s="57">
        <v>-0.15328363538617901</v>
      </c>
      <c r="AJ21" s="57">
        <v>0.33142270372913901</v>
      </c>
      <c r="AK21" s="57">
        <v>0.215735477974178</v>
      </c>
      <c r="AL21" s="57">
        <v>0.229103391259804</v>
      </c>
      <c r="AM21" s="57">
        <v>0.57050868098455298</v>
      </c>
      <c r="AN21" s="57">
        <v>0.59760218001232202</v>
      </c>
      <c r="AO21" s="57">
        <v>0.38574775743325102</v>
      </c>
      <c r="AP21" s="57">
        <v>0.122685401126767</v>
      </c>
      <c r="AQ21" s="57">
        <v>-0.122602207262034</v>
      </c>
    </row>
    <row r="22" spans="1:43">
      <c r="A22" s="55" t="s">
        <v>39646</v>
      </c>
      <c r="B22" s="57">
        <v>-0.177847329239681</v>
      </c>
      <c r="C22" s="57">
        <v>-0.119533963281792</v>
      </c>
      <c r="D22" s="57">
        <v>-0.13626621611677001</v>
      </c>
      <c r="E22" s="57">
        <v>-0.27084908660236801</v>
      </c>
      <c r="F22" s="57">
        <v>-0.15223564771488399</v>
      </c>
      <c r="G22" s="57">
        <v>-0.20838462482808601</v>
      </c>
      <c r="H22" s="57">
        <v>-0.25399671855601202</v>
      </c>
      <c r="I22" s="57">
        <v>-0.23358870289568601</v>
      </c>
      <c r="J22" s="57">
        <v>-0.23051793124104</v>
      </c>
      <c r="K22" s="57">
        <v>-0.144616450429814</v>
      </c>
      <c r="L22" s="57">
        <v>-0.106451586831386</v>
      </c>
      <c r="M22" s="57">
        <v>-0.15430769087872601</v>
      </c>
      <c r="N22" s="57">
        <v>-0.16525334290641899</v>
      </c>
      <c r="O22" s="57">
        <v>-0.21475243304613201</v>
      </c>
      <c r="P22" s="57">
        <v>-0.22125952226082601</v>
      </c>
      <c r="Q22" s="57">
        <v>-0.165525084411107</v>
      </c>
      <c r="R22" s="57">
        <v>-0.24732405760784201</v>
      </c>
      <c r="S22" s="57">
        <v>-0.27654101762306899</v>
      </c>
      <c r="T22" s="57">
        <v>8.3236636338164693E-2</v>
      </c>
      <c r="U22" s="57">
        <v>0.27802860237778498</v>
      </c>
      <c r="V22" s="57">
        <v>1</v>
      </c>
      <c r="W22" s="57">
        <v>-0.11156130979984601</v>
      </c>
      <c r="X22" s="57">
        <v>0.99277487875553905</v>
      </c>
      <c r="Y22" s="57">
        <v>7.73185295889188E-2</v>
      </c>
      <c r="Z22" s="57">
        <v>0.95727497170488196</v>
      </c>
      <c r="AA22" s="57">
        <v>-7.6210883260332596E-2</v>
      </c>
      <c r="AB22" s="57">
        <v>0.81332012560105105</v>
      </c>
      <c r="AC22" s="57">
        <v>-0.206943637818256</v>
      </c>
      <c r="AD22" s="57">
        <v>0.26516484921978301</v>
      </c>
      <c r="AE22" s="57">
        <v>-0.172363148475245</v>
      </c>
      <c r="AF22" s="57">
        <v>-0.28191526479985002</v>
      </c>
      <c r="AG22" s="57">
        <v>-0.17210527921023799</v>
      </c>
      <c r="AH22" s="57">
        <v>5.6830681901242602E-2</v>
      </c>
      <c r="AI22" s="57">
        <v>-8.0619187037235404E-2</v>
      </c>
      <c r="AJ22" s="57">
        <v>6.5945166371392999E-2</v>
      </c>
      <c r="AK22" s="57">
        <v>0.24773509524968401</v>
      </c>
      <c r="AL22" s="57">
        <v>-0.27996412729023801</v>
      </c>
      <c r="AM22" s="57">
        <v>-0.17950315663594499</v>
      </c>
      <c r="AN22" s="57">
        <v>-0.132307558319088</v>
      </c>
      <c r="AO22" s="57">
        <v>4.9423337043995902E-2</v>
      </c>
      <c r="AP22" s="57">
        <v>-0.15403205993123301</v>
      </c>
      <c r="AQ22" s="57">
        <v>-0.20118359501244101</v>
      </c>
    </row>
    <row r="23" spans="1:43">
      <c r="A23" s="55" t="s">
        <v>39647</v>
      </c>
      <c r="B23" s="57">
        <v>0.78606378285147904</v>
      </c>
      <c r="C23" s="57">
        <v>-0.15306633186240101</v>
      </c>
      <c r="D23" s="57">
        <v>-0.17449241441608199</v>
      </c>
      <c r="E23" s="57">
        <v>1.86913973107092E-2</v>
      </c>
      <c r="F23" s="57">
        <v>0.14165295670264699</v>
      </c>
      <c r="G23" s="57">
        <v>-0.26684190219447401</v>
      </c>
      <c r="H23" s="57">
        <v>2.5118268025388898E-2</v>
      </c>
      <c r="I23" s="57">
        <v>0.126098080117128</v>
      </c>
      <c r="J23" s="57">
        <v>-0.12540504105450501</v>
      </c>
      <c r="K23" s="57">
        <v>7.3255041710516902E-2</v>
      </c>
      <c r="L23" s="57">
        <v>-0.136314010427313</v>
      </c>
      <c r="M23" s="57">
        <v>-0.197594989511753</v>
      </c>
      <c r="N23" s="57">
        <v>0.102928700872569</v>
      </c>
      <c r="O23" s="57">
        <v>1.3802890306047901E-2</v>
      </c>
      <c r="P23" s="57">
        <v>-9.2894603731398292E-3</v>
      </c>
      <c r="Q23" s="57">
        <v>-0.11186733026467401</v>
      </c>
      <c r="R23" s="57">
        <v>-1.46061855751673E-2</v>
      </c>
      <c r="S23" s="57">
        <v>-0.10177170649548301</v>
      </c>
      <c r="T23" s="57">
        <v>0.95825760565823004</v>
      </c>
      <c r="U23" s="57">
        <v>0.89119301088781699</v>
      </c>
      <c r="V23" s="57">
        <v>-0.11156130979984601</v>
      </c>
      <c r="W23" s="57">
        <v>1</v>
      </c>
      <c r="X23" s="57">
        <v>-0.120300635908305</v>
      </c>
      <c r="Y23" s="57">
        <v>-9.7590007294853301E-2</v>
      </c>
      <c r="Z23" s="57">
        <v>-0.13259870882635899</v>
      </c>
      <c r="AA23" s="57">
        <v>-9.7590007294853301E-2</v>
      </c>
      <c r="AB23" s="57">
        <v>-0.19801529115188099</v>
      </c>
      <c r="AC23" s="57">
        <v>0.62543855620703503</v>
      </c>
      <c r="AD23" s="57">
        <v>-0.18165097503723901</v>
      </c>
      <c r="AE23" s="57">
        <v>-0.22071546998876301</v>
      </c>
      <c r="AF23" s="57">
        <v>0.22903972706277101</v>
      </c>
      <c r="AG23" s="57">
        <v>-0.19752615213104399</v>
      </c>
      <c r="AH23" s="57">
        <v>8.9556617200778801E-2</v>
      </c>
      <c r="AI23" s="57">
        <v>-0.1032349543069</v>
      </c>
      <c r="AJ23" s="57">
        <v>0.315609546160384</v>
      </c>
      <c r="AK23" s="57">
        <v>0.10367319694076101</v>
      </c>
      <c r="AL23" s="57">
        <v>0.26077220546204199</v>
      </c>
      <c r="AM23" s="57">
        <v>0.67344488886873199</v>
      </c>
      <c r="AN23" s="57">
        <v>0.66664436052185805</v>
      </c>
      <c r="AO23" s="57">
        <v>0.314118555948532</v>
      </c>
      <c r="AP23" s="57">
        <v>0.12740758399129001</v>
      </c>
      <c r="AQ23" s="57">
        <v>-7.2230130070885801E-3</v>
      </c>
    </row>
    <row r="24" spans="1:43">
      <c r="A24" s="55" t="s">
        <v>39648</v>
      </c>
      <c r="B24" s="57">
        <v>-0.19177927222719601</v>
      </c>
      <c r="C24" s="57">
        <v>-9.4669297292898302E-2</v>
      </c>
      <c r="D24" s="57">
        <v>-0.14694083890801099</v>
      </c>
      <c r="E24" s="57">
        <v>-0.263392468325721</v>
      </c>
      <c r="F24" s="57">
        <v>-0.17612755905865099</v>
      </c>
      <c r="G24" s="57">
        <v>-0.22470875364683801</v>
      </c>
      <c r="H24" s="57">
        <v>-0.27389394061195499</v>
      </c>
      <c r="I24" s="57">
        <v>-0.25188723178101202</v>
      </c>
      <c r="J24" s="57">
        <v>-0.24857590652455999</v>
      </c>
      <c r="K24" s="57">
        <v>-0.15594520161802899</v>
      </c>
      <c r="L24" s="57">
        <v>-0.114790634963319</v>
      </c>
      <c r="M24" s="57">
        <v>-0.16639562023391</v>
      </c>
      <c r="N24" s="57">
        <v>-0.17819871668128101</v>
      </c>
      <c r="O24" s="57">
        <v>-0.231575393876748</v>
      </c>
      <c r="P24" s="57">
        <v>-0.238592225893549</v>
      </c>
      <c r="Q24" s="57">
        <v>-0.17849174547302901</v>
      </c>
      <c r="R24" s="57">
        <v>-0.26669856654628998</v>
      </c>
      <c r="S24" s="57">
        <v>-0.28662560522563302</v>
      </c>
      <c r="T24" s="57">
        <v>6.4465390101134307E-2</v>
      </c>
      <c r="U24" s="57">
        <v>0.26349905339834401</v>
      </c>
      <c r="V24" s="57">
        <v>0.99277487875553905</v>
      </c>
      <c r="W24" s="57">
        <v>-0.120300635908305</v>
      </c>
      <c r="X24" s="57">
        <v>1</v>
      </c>
      <c r="Y24" s="57">
        <v>4.0309301756987999E-2</v>
      </c>
      <c r="Z24" s="57">
        <v>0.93978614062062404</v>
      </c>
      <c r="AA24" s="57">
        <v>-8.2180979551068595E-2</v>
      </c>
      <c r="AB24" s="57">
        <v>0.79311760909727003</v>
      </c>
      <c r="AC24" s="57">
        <v>-0.223154884712087</v>
      </c>
      <c r="AD24" s="57">
        <v>0.25724856433996701</v>
      </c>
      <c r="AE24" s="57">
        <v>-0.18586547976114001</v>
      </c>
      <c r="AF24" s="57">
        <v>-0.30399952894535498</v>
      </c>
      <c r="AG24" s="57">
        <v>-0.185587409912218</v>
      </c>
      <c r="AH24" s="57">
        <v>4.8282130753236799E-2</v>
      </c>
      <c r="AI24" s="57">
        <v>3.5821166975002303E-2</v>
      </c>
      <c r="AJ24" s="57">
        <v>4.5033859458309802E-2</v>
      </c>
      <c r="AK24" s="57">
        <v>0.221007139748331</v>
      </c>
      <c r="AL24" s="57">
        <v>-0.30189554608990099</v>
      </c>
      <c r="AM24" s="57">
        <v>-0.193564811399175</v>
      </c>
      <c r="AN24" s="57">
        <v>-0.15663176550381799</v>
      </c>
      <c r="AO24" s="57">
        <v>2.6384759220908601E-2</v>
      </c>
      <c r="AP24" s="57">
        <v>-0.167776692907395</v>
      </c>
      <c r="AQ24" s="57">
        <v>-0.19518527204431299</v>
      </c>
    </row>
    <row r="25" spans="1:43">
      <c r="A25" s="55" t="s">
        <v>39649</v>
      </c>
      <c r="B25" s="57">
        <v>-0.155574743511075</v>
      </c>
      <c r="C25" s="57">
        <v>-0.104564211101337</v>
      </c>
      <c r="D25" s="57">
        <v>-0.119201011970334</v>
      </c>
      <c r="E25" s="57">
        <v>-0.236929490920748</v>
      </c>
      <c r="F25" s="57">
        <v>-0.27364348444679099</v>
      </c>
      <c r="G25" s="57">
        <v>-0.18228772227211901</v>
      </c>
      <c r="H25" s="57">
        <v>-0.22218761738475201</v>
      </c>
      <c r="I25" s="57">
        <v>-0.20433538527365699</v>
      </c>
      <c r="J25" s="57">
        <v>-0.20164917955667999</v>
      </c>
      <c r="K25" s="57">
        <v>-0.12650551053695899</v>
      </c>
      <c r="L25" s="57">
        <v>-9.3120196903945296E-2</v>
      </c>
      <c r="M25" s="57">
        <v>-0.13498307527514899</v>
      </c>
      <c r="N25" s="57">
        <v>-0.144557956236532</v>
      </c>
      <c r="O25" s="57">
        <v>-0.187858062487434</v>
      </c>
      <c r="P25" s="57">
        <v>-0.193550240941323</v>
      </c>
      <c r="Q25" s="57">
        <v>-0.14479566638418401</v>
      </c>
      <c r="R25" s="57">
        <v>-0.216350602457478</v>
      </c>
      <c r="S25" s="57">
        <v>-0.24190859694620301</v>
      </c>
      <c r="T25" s="57">
        <v>0.104707922624742</v>
      </c>
      <c r="U25" s="57">
        <v>-8.8833262931532694E-2</v>
      </c>
      <c r="V25" s="57">
        <v>7.73185295889188E-2</v>
      </c>
      <c r="W25" s="57">
        <v>-9.7590007294853301E-2</v>
      </c>
      <c r="X25" s="57">
        <v>4.0309301756987999E-2</v>
      </c>
      <c r="Y25" s="57">
        <v>1</v>
      </c>
      <c r="Z25" s="57">
        <v>0.36232865092627098</v>
      </c>
      <c r="AA25" s="57">
        <v>-6.6666666666666693E-2</v>
      </c>
      <c r="AB25" s="57">
        <v>0.25761001924593502</v>
      </c>
      <c r="AC25" s="57">
        <v>-0.18102719626132399</v>
      </c>
      <c r="AD25" s="57">
        <v>-8.5112887212064406E-2</v>
      </c>
      <c r="AE25" s="57">
        <v>-0.15077737028403301</v>
      </c>
      <c r="AF25" s="57">
        <v>-0.246609804041453</v>
      </c>
      <c r="AG25" s="57">
        <v>-0.15055179509583999</v>
      </c>
      <c r="AH25" s="57">
        <v>-0.102899613967426</v>
      </c>
      <c r="AI25" s="57">
        <v>-7.0522899607259701E-2</v>
      </c>
      <c r="AJ25" s="57">
        <v>-0.248435212905352</v>
      </c>
      <c r="AK25" s="57">
        <v>0.30788428910707799</v>
      </c>
      <c r="AL25" s="57">
        <v>-0.244903015871451</v>
      </c>
      <c r="AM25" s="57">
        <v>-0.157023204522965</v>
      </c>
      <c r="AN25" s="57">
        <v>0.18648386200077299</v>
      </c>
      <c r="AO25" s="57">
        <v>-0.27266666505961901</v>
      </c>
      <c r="AP25" s="57">
        <v>-0.26327023190870202</v>
      </c>
      <c r="AQ25" s="57">
        <v>-0.17598850838246399</v>
      </c>
    </row>
    <row r="26" spans="1:43">
      <c r="A26" s="55" t="s">
        <v>39650</v>
      </c>
      <c r="B26" s="57">
        <v>-0.21138445100463099</v>
      </c>
      <c r="C26" s="57">
        <v>-0.14207478578818999</v>
      </c>
      <c r="D26" s="57">
        <v>-0.16196228196096599</v>
      </c>
      <c r="E26" s="57">
        <v>-0.32192378553736101</v>
      </c>
      <c r="F26" s="57">
        <v>-0.22168694198705299</v>
      </c>
      <c r="G26" s="57">
        <v>-0.247680241842298</v>
      </c>
      <c r="H26" s="57">
        <v>-0.30189352372327399</v>
      </c>
      <c r="I26" s="57">
        <v>-0.27763711681013897</v>
      </c>
      <c r="J26" s="57">
        <v>-0.27398728195935501</v>
      </c>
      <c r="K26" s="57">
        <v>-0.171887141128483</v>
      </c>
      <c r="L26" s="57">
        <v>-0.126525432443232</v>
      </c>
      <c r="M26" s="57">
        <v>-0.18340588335871499</v>
      </c>
      <c r="N26" s="57">
        <v>-0.19641558473940601</v>
      </c>
      <c r="O26" s="57">
        <v>-0.25524884380010598</v>
      </c>
      <c r="P26" s="57">
        <v>-0.26298299132521602</v>
      </c>
      <c r="Q26" s="57">
        <v>-0.196738569228569</v>
      </c>
      <c r="R26" s="57">
        <v>-0.29396258218313898</v>
      </c>
      <c r="S26" s="57">
        <v>-0.328689058421193</v>
      </c>
      <c r="T26" s="57">
        <v>0.108183951884368</v>
      </c>
      <c r="U26" s="57">
        <v>0.234148873624621</v>
      </c>
      <c r="V26" s="57">
        <v>0.95727497170488196</v>
      </c>
      <c r="W26" s="57">
        <v>-0.13259870882635899</v>
      </c>
      <c r="X26" s="57">
        <v>0.93978614062062404</v>
      </c>
      <c r="Y26" s="57">
        <v>0.36232865092627098</v>
      </c>
      <c r="Z26" s="57">
        <v>1</v>
      </c>
      <c r="AA26" s="57">
        <v>-9.0582162731567703E-2</v>
      </c>
      <c r="AB26" s="57">
        <v>0.83505058885467198</v>
      </c>
      <c r="AC26" s="57">
        <v>-0.24596752425873999</v>
      </c>
      <c r="AD26" s="57">
        <v>0.22320229351493401</v>
      </c>
      <c r="AE26" s="57">
        <v>-0.20486610436959099</v>
      </c>
      <c r="AF26" s="57">
        <v>-0.33507674101324397</v>
      </c>
      <c r="AG26" s="57">
        <v>-0.204559608043515</v>
      </c>
      <c r="AH26" s="57">
        <v>2.32823254137676E-2</v>
      </c>
      <c r="AI26" s="57">
        <v>-9.5821751527902205E-2</v>
      </c>
      <c r="AJ26" s="57">
        <v>-1.0409246179659199E-2</v>
      </c>
      <c r="AK26" s="57">
        <v>0.32089595786877401</v>
      </c>
      <c r="AL26" s="57">
        <v>-0.33275767255679201</v>
      </c>
      <c r="AM26" s="57">
        <v>-0.21335252197097099</v>
      </c>
      <c r="AN26" s="57">
        <v>-6.9598399455719495E-2</v>
      </c>
      <c r="AO26" s="57">
        <v>-3.2882932845138803E-2</v>
      </c>
      <c r="AP26" s="57">
        <v>-0.22035757998170899</v>
      </c>
      <c r="AQ26" s="57">
        <v>-0.23912129557779399</v>
      </c>
    </row>
    <row r="27" spans="1:43">
      <c r="A27" s="55" t="s">
        <v>39651</v>
      </c>
      <c r="B27" s="57">
        <v>-0.155574743511075</v>
      </c>
      <c r="C27" s="57">
        <v>0.26080958401138099</v>
      </c>
      <c r="D27" s="57">
        <v>-0.119201011970334</v>
      </c>
      <c r="E27" s="57">
        <v>-3.83059655979653E-2</v>
      </c>
      <c r="F27" s="57">
        <v>-0.132534579306817</v>
      </c>
      <c r="G27" s="57">
        <v>-0.18228772227211901</v>
      </c>
      <c r="H27" s="57">
        <v>-3.95977931972825E-3</v>
      </c>
      <c r="I27" s="57">
        <v>-0.20433538527365699</v>
      </c>
      <c r="J27" s="57">
        <v>-0.20164917955667999</v>
      </c>
      <c r="K27" s="57">
        <v>9.2314832013456402E-2</v>
      </c>
      <c r="L27" s="57">
        <v>-9.3120196903945296E-2</v>
      </c>
      <c r="M27" s="57">
        <v>-0.13498307527514899</v>
      </c>
      <c r="N27" s="57">
        <v>-0.144557956236532</v>
      </c>
      <c r="O27" s="57">
        <v>-0.187858062487434</v>
      </c>
      <c r="P27" s="57">
        <v>-0.193550240941323</v>
      </c>
      <c r="Q27" s="57">
        <v>-0.14479566638418401</v>
      </c>
      <c r="R27" s="57">
        <v>-9.1748230738435396E-2</v>
      </c>
      <c r="S27" s="57">
        <v>-8.2533521311057498E-2</v>
      </c>
      <c r="T27" s="57">
        <v>-0.139197119912677</v>
      </c>
      <c r="U27" s="57">
        <v>-0.15870757353237899</v>
      </c>
      <c r="V27" s="57">
        <v>-7.6210883260332596E-2</v>
      </c>
      <c r="W27" s="57">
        <v>-9.7590007294853301E-2</v>
      </c>
      <c r="X27" s="57">
        <v>-8.2180979551068595E-2</v>
      </c>
      <c r="Y27" s="57">
        <v>-6.6666666666666693E-2</v>
      </c>
      <c r="Z27" s="57">
        <v>-9.0582162731567703E-2</v>
      </c>
      <c r="AA27" s="57">
        <v>1</v>
      </c>
      <c r="AB27" s="57">
        <v>-0.12898333874575901</v>
      </c>
      <c r="AC27" s="57">
        <v>-0.18102719626132399</v>
      </c>
      <c r="AD27" s="57">
        <v>0.70785297432716898</v>
      </c>
      <c r="AE27" s="57">
        <v>-0.12756224991953</v>
      </c>
      <c r="AF27" s="57">
        <v>-0.17119793956426499</v>
      </c>
      <c r="AG27" s="57">
        <v>-0.110111020349351</v>
      </c>
      <c r="AH27" s="57">
        <v>-0.102899613967426</v>
      </c>
      <c r="AI27" s="57">
        <v>-7.0522899607259701E-2</v>
      </c>
      <c r="AJ27" s="57">
        <v>-0.248435212905352</v>
      </c>
      <c r="AK27" s="57">
        <v>-0.161498496211124</v>
      </c>
      <c r="AL27" s="57">
        <v>-0.244903015871451</v>
      </c>
      <c r="AM27" s="57">
        <v>0.10743692941044999</v>
      </c>
      <c r="AN27" s="57">
        <v>-0.15927162462726999</v>
      </c>
      <c r="AO27" s="57">
        <v>-0.27266666505961901</v>
      </c>
      <c r="AP27" s="57">
        <v>-0.101812238896931</v>
      </c>
      <c r="AQ27" s="57">
        <v>0.4029643416234</v>
      </c>
    </row>
    <row r="28" spans="1:43">
      <c r="A28" s="55" t="s">
        <v>39652</v>
      </c>
      <c r="B28" s="57">
        <v>-0.31690412079618202</v>
      </c>
      <c r="C28" s="57">
        <v>-0.211475227812052</v>
      </c>
      <c r="D28" s="57">
        <v>-0.24399807066756399</v>
      </c>
      <c r="E28" s="57">
        <v>-0.483030652315664</v>
      </c>
      <c r="F28" s="57">
        <v>-0.42071442356115402</v>
      </c>
      <c r="G28" s="57">
        <v>-0.30726000995993202</v>
      </c>
      <c r="H28" s="57">
        <v>-0.45274051104096502</v>
      </c>
      <c r="I28" s="57">
        <v>-0.41761386050133198</v>
      </c>
      <c r="J28" s="57">
        <v>-0.41250563065606899</v>
      </c>
      <c r="K28" s="57">
        <v>-0.25702068083434998</v>
      </c>
      <c r="L28" s="57">
        <v>-0.190612042709847</v>
      </c>
      <c r="M28" s="57">
        <v>-0.276303106789963</v>
      </c>
      <c r="N28" s="57">
        <v>-0.29542177692954802</v>
      </c>
      <c r="O28" s="57">
        <v>-0.38409409983924098</v>
      </c>
      <c r="P28" s="57">
        <v>-0.39576823560077601</v>
      </c>
      <c r="Q28" s="57">
        <v>-0.29623601990408899</v>
      </c>
      <c r="R28" s="57">
        <v>-0.44152273331945302</v>
      </c>
      <c r="S28" s="57">
        <v>-0.46971258682898998</v>
      </c>
      <c r="T28" s="57">
        <v>2.1497728999589202E-3</v>
      </c>
      <c r="U28" s="57">
        <v>8.7748105658458794E-2</v>
      </c>
      <c r="V28" s="57">
        <v>0.81332012560105105</v>
      </c>
      <c r="W28" s="57">
        <v>-0.19801529115188099</v>
      </c>
      <c r="X28" s="57">
        <v>0.79311760909727003</v>
      </c>
      <c r="Y28" s="57">
        <v>0.25761001924593502</v>
      </c>
      <c r="Z28" s="57">
        <v>0.83505058885467198</v>
      </c>
      <c r="AA28" s="57">
        <v>-0.12898333874575901</v>
      </c>
      <c r="AB28" s="57">
        <v>1</v>
      </c>
      <c r="AC28" s="57">
        <v>-0.36919242127198099</v>
      </c>
      <c r="AD28" s="57">
        <v>0.11513503575837</v>
      </c>
      <c r="AE28" s="57">
        <v>-0.30847039000536403</v>
      </c>
      <c r="AF28" s="57">
        <v>-0.50336667552332803</v>
      </c>
      <c r="AG28" s="57">
        <v>-0.30785293160194999</v>
      </c>
      <c r="AH28" s="57">
        <v>0.40676347027406301</v>
      </c>
      <c r="AI28" s="57">
        <v>-0.14435658856936601</v>
      </c>
      <c r="AJ28" s="57">
        <v>-0.20763224970958699</v>
      </c>
      <c r="AK28" s="57">
        <v>0.15593683714056999</v>
      </c>
      <c r="AL28" s="57">
        <v>-0.500357111981511</v>
      </c>
      <c r="AM28" s="57">
        <v>-0.31818341329668498</v>
      </c>
      <c r="AN28" s="57">
        <v>-0.196908504651787</v>
      </c>
      <c r="AO28" s="57">
        <v>-0.247602006302375</v>
      </c>
      <c r="AP28" s="57">
        <v>-0.411083700624369</v>
      </c>
      <c r="AQ28" s="57">
        <v>-0.355796664366826</v>
      </c>
    </row>
    <row r="29" spans="1:43">
      <c r="A29" s="55" t="s">
        <v>39653</v>
      </c>
      <c r="B29" s="57">
        <v>0.86875614699189796</v>
      </c>
      <c r="C29" s="57">
        <v>-0.28393448947428401</v>
      </c>
      <c r="D29" s="57">
        <v>-4.4661713078896298E-2</v>
      </c>
      <c r="E29" s="57">
        <v>0.27732291084167898</v>
      </c>
      <c r="F29" s="57">
        <v>0.56474723974639596</v>
      </c>
      <c r="G29" s="57">
        <v>0.25665469763579102</v>
      </c>
      <c r="H29" s="57">
        <v>0.452279618106885</v>
      </c>
      <c r="I29" s="57">
        <v>0.50509871707118903</v>
      </c>
      <c r="J29" s="57">
        <v>0.39364537339342898</v>
      </c>
      <c r="K29" s="57">
        <v>-0.131499739168251</v>
      </c>
      <c r="L29" s="57">
        <v>-0.241923089754711</v>
      </c>
      <c r="M29" s="57">
        <v>0.303861678954712</v>
      </c>
      <c r="N29" s="57">
        <v>0.64543991831695102</v>
      </c>
      <c r="O29" s="57">
        <v>0.18395647864701001</v>
      </c>
      <c r="P29" s="57">
        <v>0.40410441000689901</v>
      </c>
      <c r="Q29" s="57">
        <v>0.22672336051601499</v>
      </c>
      <c r="R29" s="57">
        <v>0.34440366078035001</v>
      </c>
      <c r="S29" s="57">
        <v>0.36981613849836198</v>
      </c>
      <c r="T29" s="57">
        <v>0.587884040507756</v>
      </c>
      <c r="U29" s="57">
        <v>0.61329289247127905</v>
      </c>
      <c r="V29" s="57">
        <v>-0.206943637818256</v>
      </c>
      <c r="W29" s="57">
        <v>0.62543855620703503</v>
      </c>
      <c r="X29" s="57">
        <v>-0.223154884712087</v>
      </c>
      <c r="Y29" s="57">
        <v>-0.18102719626132399</v>
      </c>
      <c r="Z29" s="57">
        <v>-0.24596752425873999</v>
      </c>
      <c r="AA29" s="57">
        <v>-0.18102719626132399</v>
      </c>
      <c r="AB29" s="57">
        <v>-0.36919242127198099</v>
      </c>
      <c r="AC29" s="57">
        <v>1</v>
      </c>
      <c r="AD29" s="57">
        <v>-0.33695833846772699</v>
      </c>
      <c r="AE29" s="57">
        <v>0.39269542247918698</v>
      </c>
      <c r="AF29" s="57">
        <v>0.41319540056606602</v>
      </c>
      <c r="AG29" s="57">
        <v>0.35049175267196803</v>
      </c>
      <c r="AH29" s="57">
        <v>-9.2277933105980703E-2</v>
      </c>
      <c r="AI29" s="57">
        <v>-0.173757874437102</v>
      </c>
      <c r="AJ29" s="57">
        <v>0.471855952956511</v>
      </c>
      <c r="AK29" s="57">
        <v>0.220949167784179</v>
      </c>
      <c r="AL29" s="57">
        <v>0.58002745019770596</v>
      </c>
      <c r="AM29" s="57">
        <v>0.54008612125400401</v>
      </c>
      <c r="AN29" s="57">
        <v>0.63217647492512297</v>
      </c>
      <c r="AO29" s="57">
        <v>0.54439904930152305</v>
      </c>
      <c r="AP29" s="57">
        <v>0.62589581043607201</v>
      </c>
      <c r="AQ29" s="57">
        <v>9.7416534155633894E-2</v>
      </c>
    </row>
    <row r="30" spans="1:43">
      <c r="A30" s="55" t="s">
        <v>39654</v>
      </c>
      <c r="B30" s="57">
        <v>-0.28958194218154898</v>
      </c>
      <c r="C30" s="57">
        <v>0.73723198873403695</v>
      </c>
      <c r="D30" s="57">
        <v>-0.22187702050698399</v>
      </c>
      <c r="E30" s="57">
        <v>-0.28039432677133402</v>
      </c>
      <c r="F30" s="57">
        <v>-0.33876932315522301</v>
      </c>
      <c r="G30" s="57">
        <v>-0.33834876980418499</v>
      </c>
      <c r="H30" s="57">
        <v>-0.24336675327085799</v>
      </c>
      <c r="I30" s="57">
        <v>-0.38034346956675802</v>
      </c>
      <c r="J30" s="57">
        <v>-0.37534345059795998</v>
      </c>
      <c r="K30" s="57">
        <v>-6.4804961702404407E-2</v>
      </c>
      <c r="L30" s="57">
        <v>-0.173331010337505</v>
      </c>
      <c r="M30" s="57">
        <v>-0.25125325755098099</v>
      </c>
      <c r="N30" s="57">
        <v>-0.26907564030012598</v>
      </c>
      <c r="O30" s="57">
        <v>-0.34967309835674798</v>
      </c>
      <c r="P30" s="57">
        <v>-0.36026834058386398</v>
      </c>
      <c r="Q30" s="57">
        <v>-0.26951810650434199</v>
      </c>
      <c r="R30" s="57">
        <v>-0.27590033075123899</v>
      </c>
      <c r="S30" s="57">
        <v>-0.32332636567404499</v>
      </c>
      <c r="T30" s="57">
        <v>-0.17182570500475899</v>
      </c>
      <c r="U30" s="57">
        <v>-0.123479485074429</v>
      </c>
      <c r="V30" s="57">
        <v>0.26516484921978301</v>
      </c>
      <c r="W30" s="57">
        <v>-0.18165097503723901</v>
      </c>
      <c r="X30" s="57">
        <v>0.25724856433996701</v>
      </c>
      <c r="Y30" s="57">
        <v>-8.5112887212064406E-2</v>
      </c>
      <c r="Z30" s="57">
        <v>0.22320229351493401</v>
      </c>
      <c r="AA30" s="57">
        <v>0.70785297432716898</v>
      </c>
      <c r="AB30" s="57">
        <v>0.11513503575837</v>
      </c>
      <c r="AC30" s="57">
        <v>-0.33695833846772699</v>
      </c>
      <c r="AD30" s="57">
        <v>1</v>
      </c>
      <c r="AE30" s="57">
        <v>-0.26254568255288202</v>
      </c>
      <c r="AF30" s="57">
        <v>-0.40021443483961</v>
      </c>
      <c r="AG30" s="57">
        <v>-0.24869069445123701</v>
      </c>
      <c r="AH30" s="57">
        <v>-0.119021110886824</v>
      </c>
      <c r="AI30" s="57">
        <v>-0.10685483636159999</v>
      </c>
      <c r="AJ30" s="57">
        <v>-0.33053317643151903</v>
      </c>
      <c r="AK30" s="57">
        <v>-0.14596372915533301</v>
      </c>
      <c r="AL30" s="57">
        <v>-0.45585478324844497</v>
      </c>
      <c r="AM30" s="57">
        <v>0.10028661893542699</v>
      </c>
      <c r="AN30" s="57">
        <v>-0.28382853252102003</v>
      </c>
      <c r="AO30" s="57">
        <v>-0.37142355791134701</v>
      </c>
      <c r="AP30" s="57">
        <v>-0.19355913244599199</v>
      </c>
      <c r="AQ30" s="57">
        <v>0.72560810723162295</v>
      </c>
    </row>
    <row r="31" spans="1:43">
      <c r="A31" s="55" t="s">
        <v>39655</v>
      </c>
      <c r="B31" s="57">
        <v>0.37998254028668899</v>
      </c>
      <c r="C31" s="57">
        <v>-0.22853669229315801</v>
      </c>
      <c r="D31" s="57">
        <v>0.30978417876211101</v>
      </c>
      <c r="E31" s="57">
        <v>0.45198511917100997</v>
      </c>
      <c r="F31" s="57">
        <v>0.65619441683250701</v>
      </c>
      <c r="G31" s="57">
        <v>0.67896752410179495</v>
      </c>
      <c r="H31" s="57">
        <v>0.60324458276957904</v>
      </c>
      <c r="I31" s="57">
        <v>0.53659866592723604</v>
      </c>
      <c r="J31" s="57">
        <v>0.80777696000718002</v>
      </c>
      <c r="K31" s="57">
        <v>5.61701216816601E-2</v>
      </c>
      <c r="L31" s="57">
        <v>0.134880136574479</v>
      </c>
      <c r="M31" s="57">
        <v>0.77134710134064699</v>
      </c>
      <c r="N31" s="57">
        <v>0.59889273438500801</v>
      </c>
      <c r="O31" s="57">
        <v>0.31666598479026398</v>
      </c>
      <c r="P31" s="57">
        <v>0.56328435098685503</v>
      </c>
      <c r="Q31" s="57">
        <v>0.39800487804451201</v>
      </c>
      <c r="R31" s="57">
        <v>0.473126044912347</v>
      </c>
      <c r="S31" s="57">
        <v>0.61011597731280898</v>
      </c>
      <c r="T31" s="57">
        <v>-0.29505645922205898</v>
      </c>
      <c r="U31" s="57">
        <v>-0.15855881820210399</v>
      </c>
      <c r="V31" s="57">
        <v>-0.172363148475245</v>
      </c>
      <c r="W31" s="57">
        <v>-0.22071546998876301</v>
      </c>
      <c r="X31" s="57">
        <v>-0.18586547976114001</v>
      </c>
      <c r="Y31" s="57">
        <v>-0.15077737028403301</v>
      </c>
      <c r="Z31" s="57">
        <v>-0.20486610436959099</v>
      </c>
      <c r="AA31" s="57">
        <v>-0.12756224991953</v>
      </c>
      <c r="AB31" s="57">
        <v>-0.30847039000536403</v>
      </c>
      <c r="AC31" s="57">
        <v>0.39269542247918698</v>
      </c>
      <c r="AD31" s="57">
        <v>-0.26254568255288202</v>
      </c>
      <c r="AE31" s="57">
        <v>1</v>
      </c>
      <c r="AF31" s="57">
        <v>0.566651623871262</v>
      </c>
      <c r="AG31" s="57">
        <v>0.90986406392633801</v>
      </c>
      <c r="AH31" s="57">
        <v>-0.23272399795875801</v>
      </c>
      <c r="AI31" s="57">
        <v>-0.129447667372278</v>
      </c>
      <c r="AJ31" s="57">
        <v>0.30585883444713502</v>
      </c>
      <c r="AK31" s="57">
        <v>-0.36525477845308502</v>
      </c>
      <c r="AL31" s="57">
        <v>0.42439309857134</v>
      </c>
      <c r="AM31" s="57">
        <v>-0.326993932669149</v>
      </c>
      <c r="AN31" s="57">
        <v>-0.22089979961811601</v>
      </c>
      <c r="AO31" s="57">
        <v>0.38277532812549803</v>
      </c>
      <c r="AP31" s="57">
        <v>0.53342893644231604</v>
      </c>
      <c r="AQ31" s="57">
        <v>-8.0953595093771896E-2</v>
      </c>
    </row>
    <row r="32" spans="1:43">
      <c r="A32" s="55" t="s">
        <v>39656</v>
      </c>
      <c r="B32" s="57">
        <v>0.40159943945323501</v>
      </c>
      <c r="C32" s="57">
        <v>-0.36096696996622701</v>
      </c>
      <c r="D32" s="57">
        <v>0.68875188483280303</v>
      </c>
      <c r="E32" s="57">
        <v>0.78776272031746297</v>
      </c>
      <c r="F32" s="57">
        <v>0.91230702106157102</v>
      </c>
      <c r="G32" s="57">
        <v>0.707692155315639</v>
      </c>
      <c r="H32" s="57">
        <v>0.80988318497439105</v>
      </c>
      <c r="I32" s="57">
        <v>0.80890354036495304</v>
      </c>
      <c r="J32" s="57">
        <v>0.83304849750180199</v>
      </c>
      <c r="K32" s="57">
        <v>0.64687588965278198</v>
      </c>
      <c r="L32" s="57">
        <v>0.64563062616979106</v>
      </c>
      <c r="M32" s="57">
        <v>0.59038807159525197</v>
      </c>
      <c r="N32" s="57">
        <v>0.41750270667996098</v>
      </c>
      <c r="O32" s="57">
        <v>0.79536314305525302</v>
      </c>
      <c r="P32" s="57">
        <v>0.78854862925570801</v>
      </c>
      <c r="Q32" s="57">
        <v>0.61417878114811597</v>
      </c>
      <c r="R32" s="57">
        <v>0.82294975752636002</v>
      </c>
      <c r="S32" s="57">
        <v>0.81916253071353795</v>
      </c>
      <c r="T32" s="57">
        <v>0.130308028438018</v>
      </c>
      <c r="U32" s="57">
        <v>0.179656191457787</v>
      </c>
      <c r="V32" s="57">
        <v>-0.28191526479985002</v>
      </c>
      <c r="W32" s="57">
        <v>0.22903972706277101</v>
      </c>
      <c r="X32" s="57">
        <v>-0.30399952894535498</v>
      </c>
      <c r="Y32" s="57">
        <v>-0.246609804041453</v>
      </c>
      <c r="Z32" s="57">
        <v>-0.33507674101324397</v>
      </c>
      <c r="AA32" s="57">
        <v>-0.17119793956426499</v>
      </c>
      <c r="AB32" s="57">
        <v>-0.50336667552332803</v>
      </c>
      <c r="AC32" s="57">
        <v>0.41319540056606602</v>
      </c>
      <c r="AD32" s="57">
        <v>-0.40021443483961</v>
      </c>
      <c r="AE32" s="57">
        <v>0.566651623871262</v>
      </c>
      <c r="AF32" s="57">
        <v>1</v>
      </c>
      <c r="AG32" s="57">
        <v>0.61683545533037698</v>
      </c>
      <c r="AH32" s="57">
        <v>-0.25663635941775498</v>
      </c>
      <c r="AI32" s="57">
        <v>-0.23907233854784499</v>
      </c>
      <c r="AJ32" s="57">
        <v>0.80348889215424202</v>
      </c>
      <c r="AK32" s="57">
        <v>-0.17177552941148899</v>
      </c>
      <c r="AL32" s="57">
        <v>0.88882362807350301</v>
      </c>
      <c r="AM32" s="57">
        <v>0.15664038595770599</v>
      </c>
      <c r="AN32" s="57">
        <v>0.230942158600425</v>
      </c>
      <c r="AO32" s="57">
        <v>0.84054564250736397</v>
      </c>
      <c r="AP32" s="57">
        <v>0.64282909294074198</v>
      </c>
      <c r="AQ32" s="57">
        <v>-0.25148894498528601</v>
      </c>
    </row>
    <row r="33" spans="1:43">
      <c r="A33" s="55" t="s">
        <v>39657</v>
      </c>
      <c r="B33" s="57">
        <v>0.33469267316899198</v>
      </c>
      <c r="C33" s="57">
        <v>-0.22228244587402801</v>
      </c>
      <c r="D33" s="57">
        <v>0.46909324901083599</v>
      </c>
      <c r="E33" s="57">
        <v>0.60119049314612005</v>
      </c>
      <c r="F33" s="57">
        <v>0.73546179717773397</v>
      </c>
      <c r="G33" s="57">
        <v>0.82576006383667599</v>
      </c>
      <c r="H33" s="57">
        <v>0.75338826563476702</v>
      </c>
      <c r="I33" s="57">
        <v>0.69726432133905702</v>
      </c>
      <c r="J33" s="57">
        <v>0.87855265929228799</v>
      </c>
      <c r="K33" s="57">
        <v>0.20909410894331701</v>
      </c>
      <c r="L33" s="57">
        <v>0.28367018574708702</v>
      </c>
      <c r="M33" s="57">
        <v>0.82464150951302495</v>
      </c>
      <c r="N33" s="57">
        <v>0.64446419322902704</v>
      </c>
      <c r="O33" s="57">
        <v>0.31684034587804599</v>
      </c>
      <c r="P33" s="57">
        <v>0.69900747590412304</v>
      </c>
      <c r="Q33" s="57">
        <v>0.42216414487844101</v>
      </c>
      <c r="R33" s="57">
        <v>0.63174456735956097</v>
      </c>
      <c r="S33" s="57">
        <v>0.67265882611073902</v>
      </c>
      <c r="T33" s="57">
        <v>-0.28487327684894598</v>
      </c>
      <c r="U33" s="57">
        <v>-0.21730527348831</v>
      </c>
      <c r="V33" s="57">
        <v>-0.17210527921023799</v>
      </c>
      <c r="W33" s="57">
        <v>-0.19752615213104399</v>
      </c>
      <c r="X33" s="57">
        <v>-0.185587409912218</v>
      </c>
      <c r="Y33" s="57">
        <v>-0.15055179509583999</v>
      </c>
      <c r="Z33" s="57">
        <v>-0.204559608043515</v>
      </c>
      <c r="AA33" s="57">
        <v>-0.110111020349351</v>
      </c>
      <c r="AB33" s="57">
        <v>-0.30785293160194999</v>
      </c>
      <c r="AC33" s="57">
        <v>0.35049175267196803</v>
      </c>
      <c r="AD33" s="57">
        <v>-0.24869069445123701</v>
      </c>
      <c r="AE33" s="57">
        <v>0.90986406392633801</v>
      </c>
      <c r="AF33" s="57">
        <v>0.61683545533037698</v>
      </c>
      <c r="AG33" s="57">
        <v>1</v>
      </c>
      <c r="AH33" s="57">
        <v>-0.22757168605946501</v>
      </c>
      <c r="AI33" s="57">
        <v>-0.14978576878383101</v>
      </c>
      <c r="AJ33" s="57">
        <v>0.48296827771297202</v>
      </c>
      <c r="AK33" s="57">
        <v>-0.35790608663550399</v>
      </c>
      <c r="AL33" s="57">
        <v>0.47404801529424201</v>
      </c>
      <c r="AM33" s="57">
        <v>-0.27311558548127202</v>
      </c>
      <c r="AN33" s="57">
        <v>-0.208256334856146</v>
      </c>
      <c r="AO33" s="57">
        <v>0.47195120096277099</v>
      </c>
      <c r="AP33" s="57">
        <v>0.58083322103838797</v>
      </c>
      <c r="AQ33" s="57">
        <v>-3.8034102683957398E-2</v>
      </c>
    </row>
    <row r="34" spans="1:43">
      <c r="A34" s="55" t="s">
        <v>39658</v>
      </c>
      <c r="B34" s="57">
        <v>-2.70651204052678E-2</v>
      </c>
      <c r="C34" s="57">
        <v>-0.16139425435704</v>
      </c>
      <c r="D34" s="57">
        <v>-0.183986071744108</v>
      </c>
      <c r="E34" s="57">
        <v>-0.28888039748355998</v>
      </c>
      <c r="F34" s="57">
        <v>-0.28210609180961599</v>
      </c>
      <c r="G34" s="57">
        <v>-0.11977630363234899</v>
      </c>
      <c r="H34" s="57">
        <v>-0.26931100494525501</v>
      </c>
      <c r="I34" s="57">
        <v>-0.22602615954487901</v>
      </c>
      <c r="J34" s="57">
        <v>-0.27556305769329298</v>
      </c>
      <c r="K34" s="57">
        <v>-0.14094597930737399</v>
      </c>
      <c r="L34" s="57">
        <v>-0.14373048470979899</v>
      </c>
      <c r="M34" s="57">
        <v>-0.208345595069232</v>
      </c>
      <c r="N34" s="57">
        <v>-0.15701973917793099</v>
      </c>
      <c r="O34" s="57">
        <v>-0.229262995441402</v>
      </c>
      <c r="P34" s="57">
        <v>-0.241150814511738</v>
      </c>
      <c r="Q34" s="57">
        <v>-0.202455680100598</v>
      </c>
      <c r="R34" s="57">
        <v>-0.27044595501746199</v>
      </c>
      <c r="S34" s="57">
        <v>-0.26158244008967402</v>
      </c>
      <c r="T34" s="57">
        <v>7.5871903240912406E-2</v>
      </c>
      <c r="U34" s="57">
        <v>6.4773769288905894E-2</v>
      </c>
      <c r="V34" s="57">
        <v>5.6830681901242602E-2</v>
      </c>
      <c r="W34" s="57">
        <v>8.9556617200778801E-2</v>
      </c>
      <c r="X34" s="57">
        <v>4.8282130753236799E-2</v>
      </c>
      <c r="Y34" s="57">
        <v>-0.102899613967426</v>
      </c>
      <c r="Z34" s="57">
        <v>2.32823254137676E-2</v>
      </c>
      <c r="AA34" s="57">
        <v>-0.102899613967426</v>
      </c>
      <c r="AB34" s="57">
        <v>0.40676347027406301</v>
      </c>
      <c r="AC34" s="57">
        <v>-9.2277933105980703E-2</v>
      </c>
      <c r="AD34" s="57">
        <v>-0.119021110886824</v>
      </c>
      <c r="AE34" s="57">
        <v>-0.23272399795875801</v>
      </c>
      <c r="AF34" s="57">
        <v>-0.25663635941775498</v>
      </c>
      <c r="AG34" s="57">
        <v>-0.22757168605946501</v>
      </c>
      <c r="AH34" s="57">
        <v>1</v>
      </c>
      <c r="AI34" s="57">
        <v>-0.108851687181758</v>
      </c>
      <c r="AJ34" s="57">
        <v>-0.183373587302847</v>
      </c>
      <c r="AK34" s="57">
        <v>-0.11804216961583899</v>
      </c>
      <c r="AL34" s="57">
        <v>-0.247858038852561</v>
      </c>
      <c r="AM34" s="57">
        <v>-5.25235157871662E-2</v>
      </c>
      <c r="AN34" s="57">
        <v>-5.6731438468233301E-2</v>
      </c>
      <c r="AO34" s="57">
        <v>-0.21180212771707099</v>
      </c>
      <c r="AP34" s="57">
        <v>-0.27451697187747698</v>
      </c>
      <c r="AQ34" s="57">
        <v>-0.21901290666321799</v>
      </c>
    </row>
    <row r="35" spans="1:43">
      <c r="A35" s="55" t="s">
        <v>39659</v>
      </c>
      <c r="B35" s="57">
        <v>-0.14780900392747001</v>
      </c>
      <c r="C35" s="57">
        <v>0.188101594361302</v>
      </c>
      <c r="D35" s="57">
        <v>-0.12609601500401499</v>
      </c>
      <c r="E35" s="57">
        <v>-3.9494850383394099E-4</v>
      </c>
      <c r="F35" s="57">
        <v>-0.27157690186829397</v>
      </c>
      <c r="G35" s="57">
        <v>-0.19283188106148999</v>
      </c>
      <c r="H35" s="57">
        <v>-0.23503972552201699</v>
      </c>
      <c r="I35" s="57">
        <v>-0.21615485792797301</v>
      </c>
      <c r="J35" s="57">
        <v>-0.199420148172511</v>
      </c>
      <c r="K35" s="57">
        <v>-0.13382303129044601</v>
      </c>
      <c r="L35" s="57">
        <v>-9.8506594464977906E-2</v>
      </c>
      <c r="M35" s="57">
        <v>-0.14279096799462801</v>
      </c>
      <c r="N35" s="57">
        <v>-0.15291969352649401</v>
      </c>
      <c r="O35" s="57">
        <v>-0.18240972297881899</v>
      </c>
      <c r="P35" s="57">
        <v>-0.20474586316298801</v>
      </c>
      <c r="Q35" s="57">
        <v>-0.15317115365967099</v>
      </c>
      <c r="R35" s="57">
        <v>-0.22886507725618299</v>
      </c>
      <c r="S35" s="57">
        <v>-0.140547723370196</v>
      </c>
      <c r="T35" s="57">
        <v>-0.14507459790855201</v>
      </c>
      <c r="U35" s="57">
        <v>-0.15328363538617901</v>
      </c>
      <c r="V35" s="57">
        <v>-8.0619187037235404E-2</v>
      </c>
      <c r="W35" s="57">
        <v>-0.1032349543069</v>
      </c>
      <c r="X35" s="57">
        <v>3.5821166975002303E-2</v>
      </c>
      <c r="Y35" s="57">
        <v>-7.0522899607259701E-2</v>
      </c>
      <c r="Z35" s="57">
        <v>-9.5821751527902205E-2</v>
      </c>
      <c r="AA35" s="57">
        <v>-7.0522899607259701E-2</v>
      </c>
      <c r="AB35" s="57">
        <v>-0.14435658856936601</v>
      </c>
      <c r="AC35" s="57">
        <v>-0.173757874437102</v>
      </c>
      <c r="AD35" s="57">
        <v>-0.10685483636159999</v>
      </c>
      <c r="AE35" s="57">
        <v>-0.129447667372278</v>
      </c>
      <c r="AF35" s="57">
        <v>-0.23907233854784499</v>
      </c>
      <c r="AG35" s="57">
        <v>-0.14978576878383101</v>
      </c>
      <c r="AH35" s="57">
        <v>-0.108851687181758</v>
      </c>
      <c r="AI35" s="57">
        <v>1</v>
      </c>
      <c r="AJ35" s="57">
        <v>-0.26280557367948498</v>
      </c>
      <c r="AK35" s="57">
        <v>-0.170840133525307</v>
      </c>
      <c r="AL35" s="57">
        <v>-0.23993191986458401</v>
      </c>
      <c r="AM35" s="57">
        <v>-0.16610597532874899</v>
      </c>
      <c r="AN35" s="57">
        <v>-0.16848445190811201</v>
      </c>
      <c r="AO35" s="57">
        <v>-0.27298819082252102</v>
      </c>
      <c r="AP35" s="57">
        <v>-0.185876488788211</v>
      </c>
      <c r="AQ35" s="57">
        <v>3.7178715811072198E-3</v>
      </c>
    </row>
    <row r="36" spans="1:43">
      <c r="A36" s="55" t="s">
        <v>39660</v>
      </c>
      <c r="B36" s="57">
        <v>0.38706816577263897</v>
      </c>
      <c r="C36" s="57">
        <v>-0.38966148070861201</v>
      </c>
      <c r="D36" s="57">
        <v>0.51655106113760796</v>
      </c>
      <c r="E36" s="57">
        <v>0.80326116280717597</v>
      </c>
      <c r="F36" s="57">
        <v>0.884567349656041</v>
      </c>
      <c r="G36" s="57">
        <v>0.69686350139931696</v>
      </c>
      <c r="H36" s="57">
        <v>0.80675042898460303</v>
      </c>
      <c r="I36" s="57">
        <v>0.87918325728545899</v>
      </c>
      <c r="J36" s="57">
        <v>0.73818972539290695</v>
      </c>
      <c r="K36" s="57">
        <v>0.48487891022697799</v>
      </c>
      <c r="L36" s="57">
        <v>0.44060608799207202</v>
      </c>
      <c r="M36" s="57">
        <v>0.54971592143155901</v>
      </c>
      <c r="N36" s="57">
        <v>0.59388484390442897</v>
      </c>
      <c r="O36" s="57">
        <v>0.75100677401215199</v>
      </c>
      <c r="P36" s="57">
        <v>0.85354414457469996</v>
      </c>
      <c r="Q36" s="57">
        <v>0.65933447197412698</v>
      </c>
      <c r="R36" s="57">
        <v>0.865264408290077</v>
      </c>
      <c r="S36" s="57">
        <v>0.78072844813584397</v>
      </c>
      <c r="T36" s="57">
        <v>0.294499214821067</v>
      </c>
      <c r="U36" s="57">
        <v>0.33142270372913901</v>
      </c>
      <c r="V36" s="57">
        <v>6.5945166371392999E-2</v>
      </c>
      <c r="W36" s="57">
        <v>0.315609546160384</v>
      </c>
      <c r="X36" s="57">
        <v>4.5033859458309802E-2</v>
      </c>
      <c r="Y36" s="57">
        <v>-0.248435212905352</v>
      </c>
      <c r="Z36" s="57">
        <v>-1.0409246179659199E-2</v>
      </c>
      <c r="AA36" s="57">
        <v>-0.248435212905352</v>
      </c>
      <c r="AB36" s="57">
        <v>-0.20763224970958699</v>
      </c>
      <c r="AC36" s="57">
        <v>0.471855952956511</v>
      </c>
      <c r="AD36" s="57">
        <v>-0.33053317643151903</v>
      </c>
      <c r="AE36" s="57">
        <v>0.30585883444713502</v>
      </c>
      <c r="AF36" s="57">
        <v>0.80348889215424202</v>
      </c>
      <c r="AG36" s="57">
        <v>0.48296827771297202</v>
      </c>
      <c r="AH36" s="57">
        <v>-0.183373587302847</v>
      </c>
      <c r="AI36" s="57">
        <v>-0.26280557367948498</v>
      </c>
      <c r="AJ36" s="57">
        <v>1</v>
      </c>
      <c r="AK36" s="57">
        <v>0.20661966463661399</v>
      </c>
      <c r="AL36" s="57">
        <v>0.85898232119742401</v>
      </c>
      <c r="AM36" s="57">
        <v>0.39370979571933401</v>
      </c>
      <c r="AN36" s="57">
        <v>0.48009817341643701</v>
      </c>
      <c r="AO36" s="57">
        <v>0.96434547451036901</v>
      </c>
      <c r="AP36" s="57">
        <v>0.784437028573721</v>
      </c>
      <c r="AQ36" s="57">
        <v>-0.19903050200467301</v>
      </c>
    </row>
    <row r="37" spans="1:43">
      <c r="A37" s="55" t="s">
        <v>39661</v>
      </c>
      <c r="B37" s="57">
        <v>-3.5847305425241199E-2</v>
      </c>
      <c r="C37" s="57">
        <v>-0.25330444275552599</v>
      </c>
      <c r="D37" s="57">
        <v>-0.15721575248594499</v>
      </c>
      <c r="E37" s="57">
        <v>-4.7466565145339298E-2</v>
      </c>
      <c r="F37" s="57">
        <v>2.1241523498800801E-2</v>
      </c>
      <c r="G37" s="57">
        <v>-8.3590976804065395E-2</v>
      </c>
      <c r="H37" s="57">
        <v>-1.2846682035147199E-2</v>
      </c>
      <c r="I37" s="57">
        <v>0.13404745115171099</v>
      </c>
      <c r="J37" s="57">
        <v>-0.109063132382585</v>
      </c>
      <c r="K37" s="57">
        <v>-0.152647415474569</v>
      </c>
      <c r="L37" s="57">
        <v>-0.22558157650306301</v>
      </c>
      <c r="M37" s="57">
        <v>-0.14291466526508101</v>
      </c>
      <c r="N37" s="57">
        <v>0.21997448702661701</v>
      </c>
      <c r="O37" s="57">
        <v>0.178728180635913</v>
      </c>
      <c r="P37" s="57">
        <v>0.12578917962646999</v>
      </c>
      <c r="Q37" s="57">
        <v>0.20438005822321501</v>
      </c>
      <c r="R37" s="57">
        <v>0.11060382892977801</v>
      </c>
      <c r="S37" s="57">
        <v>7.42184200017343E-2</v>
      </c>
      <c r="T37" s="57">
        <v>0.27141421020649098</v>
      </c>
      <c r="U37" s="57">
        <v>0.215735477974178</v>
      </c>
      <c r="V37" s="57">
        <v>0.24773509524968401</v>
      </c>
      <c r="W37" s="57">
        <v>0.10367319694076101</v>
      </c>
      <c r="X37" s="57">
        <v>0.221007139748331</v>
      </c>
      <c r="Y37" s="57">
        <v>0.30788428910707799</v>
      </c>
      <c r="Z37" s="57">
        <v>0.32089595786877401</v>
      </c>
      <c r="AA37" s="57">
        <v>-0.161498496211124</v>
      </c>
      <c r="AB37" s="57">
        <v>0.15593683714056999</v>
      </c>
      <c r="AC37" s="57">
        <v>0.220949167784179</v>
      </c>
      <c r="AD37" s="57">
        <v>-0.14596372915533301</v>
      </c>
      <c r="AE37" s="57">
        <v>-0.36525477845308502</v>
      </c>
      <c r="AF37" s="57">
        <v>-0.17177552941148899</v>
      </c>
      <c r="AG37" s="57">
        <v>-0.35790608663550399</v>
      </c>
      <c r="AH37" s="57">
        <v>-0.11804216961583899</v>
      </c>
      <c r="AI37" s="57">
        <v>-0.170840133525307</v>
      </c>
      <c r="AJ37" s="57">
        <v>0.20661966463661399</v>
      </c>
      <c r="AK37" s="57">
        <v>1</v>
      </c>
      <c r="AL37" s="57">
        <v>0.15660607014227601</v>
      </c>
      <c r="AM37" s="57">
        <v>0.47858042230283399</v>
      </c>
      <c r="AN37" s="57">
        <v>0.64963699887833404</v>
      </c>
      <c r="AO37" s="57">
        <v>0.21677222101153401</v>
      </c>
      <c r="AP37" s="57">
        <v>0.26894158726856798</v>
      </c>
      <c r="AQ37" s="57">
        <v>-5.3232720498463698E-2</v>
      </c>
    </row>
    <row r="38" spans="1:43">
      <c r="A38" s="55" t="s">
        <v>39662</v>
      </c>
      <c r="B38" s="57">
        <v>0.38993903967618299</v>
      </c>
      <c r="C38" s="57">
        <v>-0.38412135976404799</v>
      </c>
      <c r="D38" s="57">
        <v>0.498954635613582</v>
      </c>
      <c r="E38" s="57">
        <v>0.80369387757387001</v>
      </c>
      <c r="F38" s="57">
        <v>0.90976952160574398</v>
      </c>
      <c r="G38" s="57">
        <v>0.70104093140535995</v>
      </c>
      <c r="H38" s="57">
        <v>0.80408442467861097</v>
      </c>
      <c r="I38" s="57">
        <v>0.82741495608842697</v>
      </c>
      <c r="J38" s="57">
        <v>0.772038609244597</v>
      </c>
      <c r="K38" s="57">
        <v>0.40262125386300401</v>
      </c>
      <c r="L38" s="57">
        <v>0.40724378504540099</v>
      </c>
      <c r="M38" s="57">
        <v>0.52327314279080295</v>
      </c>
      <c r="N38" s="57">
        <v>0.55930361736981105</v>
      </c>
      <c r="O38" s="57">
        <v>0.83317535154665601</v>
      </c>
      <c r="P38" s="57">
        <v>0.82155873731939699</v>
      </c>
      <c r="Q38" s="57">
        <v>0.68670590198013304</v>
      </c>
      <c r="R38" s="57">
        <v>0.85856082317194404</v>
      </c>
      <c r="S38" s="57">
        <v>0.85016043391277696</v>
      </c>
      <c r="T38" s="57">
        <v>0.201326488009307</v>
      </c>
      <c r="U38" s="57">
        <v>0.229103391259804</v>
      </c>
      <c r="V38" s="57">
        <v>-0.27996412729023801</v>
      </c>
      <c r="W38" s="57">
        <v>0.26077220546204199</v>
      </c>
      <c r="X38" s="57">
        <v>-0.30189554608990099</v>
      </c>
      <c r="Y38" s="57">
        <v>-0.244903015871451</v>
      </c>
      <c r="Z38" s="57">
        <v>-0.33275767255679201</v>
      </c>
      <c r="AA38" s="57">
        <v>-0.244903015871451</v>
      </c>
      <c r="AB38" s="57">
        <v>-0.500357111981511</v>
      </c>
      <c r="AC38" s="57">
        <v>0.58002745019770596</v>
      </c>
      <c r="AD38" s="57">
        <v>-0.45585478324844497</v>
      </c>
      <c r="AE38" s="57">
        <v>0.42439309857134</v>
      </c>
      <c r="AF38" s="57">
        <v>0.88882362807350301</v>
      </c>
      <c r="AG38" s="57">
        <v>0.47404801529424201</v>
      </c>
      <c r="AH38" s="57">
        <v>-0.247858038852561</v>
      </c>
      <c r="AI38" s="57">
        <v>-0.23993191986458401</v>
      </c>
      <c r="AJ38" s="57">
        <v>0.85898232119742401</v>
      </c>
      <c r="AK38" s="57">
        <v>0.15660607014227601</v>
      </c>
      <c r="AL38" s="57">
        <v>1</v>
      </c>
      <c r="AM38" s="57">
        <v>0.369618328406707</v>
      </c>
      <c r="AN38" s="57">
        <v>0.50852042984994295</v>
      </c>
      <c r="AO38" s="57">
        <v>0.91511676506329198</v>
      </c>
      <c r="AP38" s="57">
        <v>0.78439087161327603</v>
      </c>
      <c r="AQ38" s="57">
        <v>-0.18727162866041</v>
      </c>
    </row>
    <row r="39" spans="1:43">
      <c r="A39" s="55" t="s">
        <v>39663</v>
      </c>
      <c r="B39" s="57">
        <v>0.48836951978667897</v>
      </c>
      <c r="C39" s="57">
        <v>0.12242242438346999</v>
      </c>
      <c r="D39" s="57">
        <v>-0.126197571572576</v>
      </c>
      <c r="E39" s="57">
        <v>0.130831468568091</v>
      </c>
      <c r="F39" s="57">
        <v>0.234534626835537</v>
      </c>
      <c r="G39" s="57">
        <v>-0.12932978850905799</v>
      </c>
      <c r="H39" s="57">
        <v>0.142372443002342</v>
      </c>
      <c r="I39" s="57">
        <v>0.32206807164044798</v>
      </c>
      <c r="J39" s="57">
        <v>-2.30006774799042E-2</v>
      </c>
      <c r="K39" s="57">
        <v>0.13848668762996499</v>
      </c>
      <c r="L39" s="57">
        <v>-0.14318822399287401</v>
      </c>
      <c r="M39" s="57">
        <v>-0.19592429070387599</v>
      </c>
      <c r="N39" s="57">
        <v>0.28922006324564398</v>
      </c>
      <c r="O39" s="57">
        <v>0.26923512236418101</v>
      </c>
      <c r="P39" s="57">
        <v>0.21500265901488999</v>
      </c>
      <c r="Q39" s="57">
        <v>0.10703336273116699</v>
      </c>
      <c r="R39" s="57">
        <v>0.24335148850722399</v>
      </c>
      <c r="S39" s="57">
        <v>0.17567974178482801</v>
      </c>
      <c r="T39" s="57">
        <v>0.64660721300814805</v>
      </c>
      <c r="U39" s="57">
        <v>0.57050868098455298</v>
      </c>
      <c r="V39" s="57">
        <v>-0.17950315663594499</v>
      </c>
      <c r="W39" s="57">
        <v>0.67344488886873199</v>
      </c>
      <c r="X39" s="57">
        <v>-0.193564811399175</v>
      </c>
      <c r="Y39" s="57">
        <v>-0.157023204522965</v>
      </c>
      <c r="Z39" s="57">
        <v>-0.21335252197097099</v>
      </c>
      <c r="AA39" s="57">
        <v>0.10743692941044999</v>
      </c>
      <c r="AB39" s="57">
        <v>-0.31818341329668498</v>
      </c>
      <c r="AC39" s="57">
        <v>0.54008612125400401</v>
      </c>
      <c r="AD39" s="57">
        <v>0.10028661893542699</v>
      </c>
      <c r="AE39" s="57">
        <v>-0.326993932669149</v>
      </c>
      <c r="AF39" s="57">
        <v>0.15664038595770599</v>
      </c>
      <c r="AG39" s="57">
        <v>-0.27311558548127202</v>
      </c>
      <c r="AH39" s="57">
        <v>-5.25235157871662E-2</v>
      </c>
      <c r="AI39" s="57">
        <v>-0.16610597532874899</v>
      </c>
      <c r="AJ39" s="57">
        <v>0.39370979571933401</v>
      </c>
      <c r="AK39" s="57">
        <v>0.47858042230283399</v>
      </c>
      <c r="AL39" s="57">
        <v>0.369618328406707</v>
      </c>
      <c r="AM39" s="57">
        <v>1</v>
      </c>
      <c r="AN39" s="57">
        <v>0.78389279844940196</v>
      </c>
      <c r="AO39" s="57">
        <v>0.41043813724421602</v>
      </c>
      <c r="AP39" s="57">
        <v>0.45836761853908897</v>
      </c>
      <c r="AQ39" s="57">
        <v>0.37894621573735698</v>
      </c>
    </row>
    <row r="40" spans="1:43">
      <c r="A40" s="55" t="s">
        <v>39664</v>
      </c>
      <c r="B40" s="57">
        <v>0.50573493809433301</v>
      </c>
      <c r="C40" s="57">
        <v>-0.24981167669968199</v>
      </c>
      <c r="D40" s="57">
        <v>-0.177204171942273</v>
      </c>
      <c r="E40" s="57">
        <v>0.28599326409231701</v>
      </c>
      <c r="F40" s="57">
        <v>0.30669995949937701</v>
      </c>
      <c r="G40" s="57">
        <v>2.9800818184645601E-2</v>
      </c>
      <c r="H40" s="57">
        <v>0.25893289845648598</v>
      </c>
      <c r="I40" s="57">
        <v>0.36913560785613803</v>
      </c>
      <c r="J40" s="57">
        <v>8.1386887087355503E-2</v>
      </c>
      <c r="K40" s="57">
        <v>-5.5305603325711099E-2</v>
      </c>
      <c r="L40" s="57">
        <v>-0.22247107569753899</v>
      </c>
      <c r="M40" s="57">
        <v>3.4944324701864801E-2</v>
      </c>
      <c r="N40" s="57">
        <v>0.44420318865068298</v>
      </c>
      <c r="O40" s="57">
        <v>0.39060418528452401</v>
      </c>
      <c r="P40" s="57">
        <v>0.33089126143564901</v>
      </c>
      <c r="Q40" s="57">
        <v>0.36468709031352198</v>
      </c>
      <c r="R40" s="57">
        <v>0.32206576868792403</v>
      </c>
      <c r="S40" s="57">
        <v>0.26413660552603602</v>
      </c>
      <c r="T40" s="57">
        <v>0.730502904714318</v>
      </c>
      <c r="U40" s="57">
        <v>0.59760218001232202</v>
      </c>
      <c r="V40" s="57">
        <v>-0.132307558319088</v>
      </c>
      <c r="W40" s="57">
        <v>0.66664436052185805</v>
      </c>
      <c r="X40" s="57">
        <v>-0.15663176550381799</v>
      </c>
      <c r="Y40" s="57">
        <v>0.18648386200077299</v>
      </c>
      <c r="Z40" s="57">
        <v>-6.9598399455719495E-2</v>
      </c>
      <c r="AA40" s="57">
        <v>-0.15927162462726999</v>
      </c>
      <c r="AB40" s="57">
        <v>-0.196908504651787</v>
      </c>
      <c r="AC40" s="57">
        <v>0.63217647492512297</v>
      </c>
      <c r="AD40" s="57">
        <v>-0.28382853252102003</v>
      </c>
      <c r="AE40" s="57">
        <v>-0.22089979961811601</v>
      </c>
      <c r="AF40" s="57">
        <v>0.230942158600425</v>
      </c>
      <c r="AG40" s="57">
        <v>-0.208256334856146</v>
      </c>
      <c r="AH40" s="57">
        <v>-5.6731438468233301E-2</v>
      </c>
      <c r="AI40" s="57">
        <v>-0.16848445190811201</v>
      </c>
      <c r="AJ40" s="57">
        <v>0.48009817341643701</v>
      </c>
      <c r="AK40" s="57">
        <v>0.64963699887833404</v>
      </c>
      <c r="AL40" s="57">
        <v>0.50852042984994295</v>
      </c>
      <c r="AM40" s="57">
        <v>0.78389279844940196</v>
      </c>
      <c r="AN40" s="57">
        <v>1</v>
      </c>
      <c r="AO40" s="57">
        <v>0.48677885478904898</v>
      </c>
      <c r="AP40" s="57">
        <v>0.50368352342136702</v>
      </c>
      <c r="AQ40" s="57">
        <v>-1.77120801349883E-2</v>
      </c>
    </row>
    <row r="41" spans="1:43">
      <c r="A41" s="55" t="s">
        <v>39665</v>
      </c>
      <c r="B41" s="57">
        <v>0.44094095843121001</v>
      </c>
      <c r="C41" s="57">
        <v>-0.427667620883874</v>
      </c>
      <c r="D41" s="57">
        <v>0.47130096009301398</v>
      </c>
      <c r="E41" s="57">
        <v>0.74507327299552695</v>
      </c>
      <c r="F41" s="57">
        <v>0.91317521965665005</v>
      </c>
      <c r="G41" s="57">
        <v>0.64662847130384404</v>
      </c>
      <c r="H41" s="57">
        <v>0.75187143781569798</v>
      </c>
      <c r="I41" s="57">
        <v>0.84539174784082605</v>
      </c>
      <c r="J41" s="57">
        <v>0.74845958982180205</v>
      </c>
      <c r="K41" s="57">
        <v>0.44149231117315701</v>
      </c>
      <c r="L41" s="57">
        <v>0.396581192539883</v>
      </c>
      <c r="M41" s="57">
        <v>0.48828372624365302</v>
      </c>
      <c r="N41" s="57">
        <v>0.57517653944386204</v>
      </c>
      <c r="O41" s="57">
        <v>0.78881576797632103</v>
      </c>
      <c r="P41" s="57">
        <v>0.81506040238289201</v>
      </c>
      <c r="Q41" s="57">
        <v>0.61508908364564796</v>
      </c>
      <c r="R41" s="57">
        <v>0.82306747908644295</v>
      </c>
      <c r="S41" s="57">
        <v>0.79571653134829401</v>
      </c>
      <c r="T41" s="57">
        <v>0.29673433122451298</v>
      </c>
      <c r="U41" s="57">
        <v>0.38574775743325102</v>
      </c>
      <c r="V41" s="57">
        <v>4.9423337043995902E-2</v>
      </c>
      <c r="W41" s="57">
        <v>0.314118555948532</v>
      </c>
      <c r="X41" s="57">
        <v>2.6384759220908601E-2</v>
      </c>
      <c r="Y41" s="57">
        <v>-0.27266666505961901</v>
      </c>
      <c r="Z41" s="57">
        <v>-3.2882932845138803E-2</v>
      </c>
      <c r="AA41" s="57">
        <v>-0.27266666505961901</v>
      </c>
      <c r="AB41" s="57">
        <v>-0.247602006302375</v>
      </c>
      <c r="AC41" s="57">
        <v>0.54439904930152305</v>
      </c>
      <c r="AD41" s="57">
        <v>-0.37142355791134701</v>
      </c>
      <c r="AE41" s="57">
        <v>0.38277532812549803</v>
      </c>
      <c r="AF41" s="57">
        <v>0.84054564250736397</v>
      </c>
      <c r="AG41" s="57">
        <v>0.47195120096277099</v>
      </c>
      <c r="AH41" s="57">
        <v>-0.21180212771707099</v>
      </c>
      <c r="AI41" s="57">
        <v>-0.27298819082252102</v>
      </c>
      <c r="AJ41" s="57">
        <v>0.96434547451036901</v>
      </c>
      <c r="AK41" s="57">
        <v>0.21677222101153401</v>
      </c>
      <c r="AL41" s="57">
        <v>0.91511676506329198</v>
      </c>
      <c r="AM41" s="57">
        <v>0.41043813724421602</v>
      </c>
      <c r="AN41" s="57">
        <v>0.48677885478904898</v>
      </c>
      <c r="AO41" s="57">
        <v>1</v>
      </c>
      <c r="AP41" s="57">
        <v>0.79997254088005798</v>
      </c>
      <c r="AQ41" s="57">
        <v>-0.23500049129727801</v>
      </c>
    </row>
    <row r="42" spans="1:43">
      <c r="A42" s="55" t="s">
        <v>39666</v>
      </c>
      <c r="B42" s="57">
        <v>0.444403375172163</v>
      </c>
      <c r="C42" s="57">
        <v>-0.16587422872952301</v>
      </c>
      <c r="D42" s="57">
        <v>0.26962781674521102</v>
      </c>
      <c r="E42" s="57">
        <v>0.76833385435850798</v>
      </c>
      <c r="F42" s="57">
        <v>0.85721787511863901</v>
      </c>
      <c r="G42" s="57">
        <v>0.73453863195746005</v>
      </c>
      <c r="H42" s="57">
        <v>0.82901186924807801</v>
      </c>
      <c r="I42" s="57">
        <v>0.88331319905933803</v>
      </c>
      <c r="J42" s="57">
        <v>0.80985354949576305</v>
      </c>
      <c r="K42" s="57">
        <v>0.17566316796192799</v>
      </c>
      <c r="L42" s="57">
        <v>8.7070218139799496E-2</v>
      </c>
      <c r="M42" s="57">
        <v>0.71618326724342596</v>
      </c>
      <c r="N42" s="57">
        <v>0.89579285178025203</v>
      </c>
      <c r="O42" s="57">
        <v>0.72168771017972</v>
      </c>
      <c r="P42" s="57">
        <v>0.89767805035345005</v>
      </c>
      <c r="Q42" s="57">
        <v>0.77149648113735403</v>
      </c>
      <c r="R42" s="57">
        <v>0.85374202548418399</v>
      </c>
      <c r="S42" s="57">
        <v>0.88101450898907296</v>
      </c>
      <c r="T42" s="57">
        <v>8.1657495819161999E-2</v>
      </c>
      <c r="U42" s="57">
        <v>0.122685401126767</v>
      </c>
      <c r="V42" s="57">
        <v>-0.15403205993123301</v>
      </c>
      <c r="W42" s="57">
        <v>0.12740758399129001</v>
      </c>
      <c r="X42" s="57">
        <v>-0.167776692907395</v>
      </c>
      <c r="Y42" s="57">
        <v>-0.26327023190870202</v>
      </c>
      <c r="Z42" s="57">
        <v>-0.22035757998170899</v>
      </c>
      <c r="AA42" s="57">
        <v>-0.101812238896931</v>
      </c>
      <c r="AB42" s="57">
        <v>-0.411083700624369</v>
      </c>
      <c r="AC42" s="57">
        <v>0.62589581043607201</v>
      </c>
      <c r="AD42" s="57">
        <v>-0.19355913244599199</v>
      </c>
      <c r="AE42" s="57">
        <v>0.53342893644231604</v>
      </c>
      <c r="AF42" s="57">
        <v>0.64282909294074198</v>
      </c>
      <c r="AG42" s="57">
        <v>0.58083322103838797</v>
      </c>
      <c r="AH42" s="57">
        <v>-0.27451697187747698</v>
      </c>
      <c r="AI42" s="57">
        <v>-0.185876488788211</v>
      </c>
      <c r="AJ42" s="57">
        <v>0.784437028573721</v>
      </c>
      <c r="AK42" s="57">
        <v>0.26894158726856798</v>
      </c>
      <c r="AL42" s="57">
        <v>0.78439087161327603</v>
      </c>
      <c r="AM42" s="57">
        <v>0.45836761853908897</v>
      </c>
      <c r="AN42" s="57">
        <v>0.50368352342136702</v>
      </c>
      <c r="AO42" s="57">
        <v>0.79997254088005798</v>
      </c>
      <c r="AP42" s="57">
        <v>1</v>
      </c>
      <c r="AQ42" s="57">
        <v>0.14237458468490599</v>
      </c>
    </row>
    <row r="43" spans="1:43">
      <c r="A43" s="55" t="s">
        <v>39667</v>
      </c>
      <c r="B43" s="57">
        <v>2.93934055091792E-2</v>
      </c>
      <c r="C43" s="57">
        <v>0.86692688280230001</v>
      </c>
      <c r="D43" s="57">
        <v>-0.164910266298363</v>
      </c>
      <c r="E43" s="57">
        <v>-0.11038970956598899</v>
      </c>
      <c r="F43" s="57">
        <v>-0.13075688647332101</v>
      </c>
      <c r="G43" s="57">
        <v>-0.120362832280679</v>
      </c>
      <c r="H43" s="57">
        <v>-1.0974163367892999E-2</v>
      </c>
      <c r="I43" s="57">
        <v>-5.78454913122926E-2</v>
      </c>
      <c r="J43" s="57">
        <v>-0.131670201081411</v>
      </c>
      <c r="K43" s="57">
        <v>-0.13678190200815801</v>
      </c>
      <c r="L43" s="57">
        <v>-0.24582126830110099</v>
      </c>
      <c r="M43" s="57">
        <v>-5.26355665579014E-2</v>
      </c>
      <c r="N43" s="57">
        <v>0.100650924082619</v>
      </c>
      <c r="O43" s="57">
        <v>-0.25161589615313701</v>
      </c>
      <c r="P43" s="57">
        <v>-8.6406430142923998E-2</v>
      </c>
      <c r="Q43" s="57">
        <v>-0.112328842013347</v>
      </c>
      <c r="R43" s="57">
        <v>-4.6801983503129703E-2</v>
      </c>
      <c r="S43" s="57">
        <v>-9.6271519028919395E-2</v>
      </c>
      <c r="T43" s="57">
        <v>-8.4193972766574601E-2</v>
      </c>
      <c r="U43" s="57">
        <v>-0.122602207262034</v>
      </c>
      <c r="V43" s="57">
        <v>-0.20118359501244101</v>
      </c>
      <c r="W43" s="57">
        <v>-7.2230130070885801E-3</v>
      </c>
      <c r="X43" s="57">
        <v>-0.19518527204431299</v>
      </c>
      <c r="Y43" s="57">
        <v>-0.17598850838246399</v>
      </c>
      <c r="Z43" s="57">
        <v>-0.23912129557779399</v>
      </c>
      <c r="AA43" s="57">
        <v>0.4029643416234</v>
      </c>
      <c r="AB43" s="57">
        <v>-0.355796664366826</v>
      </c>
      <c r="AC43" s="57">
        <v>9.7416534155633894E-2</v>
      </c>
      <c r="AD43" s="57">
        <v>0.72560810723162295</v>
      </c>
      <c r="AE43" s="57">
        <v>-8.0953595093771896E-2</v>
      </c>
      <c r="AF43" s="57">
        <v>-0.25148894498528601</v>
      </c>
      <c r="AG43" s="57">
        <v>-3.8034102683957398E-2</v>
      </c>
      <c r="AH43" s="57">
        <v>-0.21901290666321799</v>
      </c>
      <c r="AI43" s="57">
        <v>3.7178715811072198E-3</v>
      </c>
      <c r="AJ43" s="57">
        <v>-0.19903050200467301</v>
      </c>
      <c r="AK43" s="57">
        <v>-5.3232720498463698E-2</v>
      </c>
      <c r="AL43" s="57">
        <v>-0.18727162866041</v>
      </c>
      <c r="AM43" s="57">
        <v>0.37894621573735698</v>
      </c>
      <c r="AN43" s="57">
        <v>-1.77120801349883E-2</v>
      </c>
      <c r="AO43" s="57">
        <v>-0.23500049129727801</v>
      </c>
      <c r="AP43" s="57">
        <v>0.14237458468490599</v>
      </c>
      <c r="AQ43" s="57">
        <v>1</v>
      </c>
    </row>
  </sheetData>
  <conditionalFormatting sqref="B2:AQ43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63C27-3EDF-734E-ABCA-0CF6AC478C61}">
  <dimension ref="A1:AMJ33"/>
  <sheetViews>
    <sheetView workbookViewId="0">
      <selection sqref="A1:AMJ33"/>
    </sheetView>
  </sheetViews>
  <sheetFormatPr baseColWidth="10" defaultRowHeight="16"/>
  <sheetData>
    <row r="1" spans="1:1024" ht="64">
      <c r="A1" s="58" t="s">
        <v>39668</v>
      </c>
      <c r="B1" s="58" t="s">
        <v>39669</v>
      </c>
      <c r="C1" s="58" t="s">
        <v>39670</v>
      </c>
      <c r="D1" s="58" t="s">
        <v>39671</v>
      </c>
      <c r="E1" s="58" t="s">
        <v>39672</v>
      </c>
      <c r="F1" s="58" t="s">
        <v>38518</v>
      </c>
      <c r="G1" s="58" t="s">
        <v>39673</v>
      </c>
      <c r="H1" s="58" t="s">
        <v>39674</v>
      </c>
      <c r="I1" s="58" t="s">
        <v>39675</v>
      </c>
      <c r="J1" s="58" t="s">
        <v>39676</v>
      </c>
      <c r="K1" s="58" t="s">
        <v>39677</v>
      </c>
      <c r="L1" s="58" t="s">
        <v>39678</v>
      </c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61"/>
    </row>
    <row r="2" spans="1:1024">
      <c r="A2" s="62" t="s">
        <v>39679</v>
      </c>
      <c r="B2" s="63" t="s">
        <v>39680</v>
      </c>
      <c r="C2" s="63">
        <v>1</v>
      </c>
      <c r="D2" s="63">
        <v>13450</v>
      </c>
      <c r="E2" s="63" t="s">
        <v>39681</v>
      </c>
      <c r="F2" s="63">
        <v>121937</v>
      </c>
      <c r="G2" s="63">
        <v>34639</v>
      </c>
      <c r="H2" s="63">
        <v>48089</v>
      </c>
      <c r="I2" s="64">
        <v>1.0189999999999999</v>
      </c>
      <c r="J2" s="63">
        <v>5</v>
      </c>
      <c r="K2" s="63">
        <v>10</v>
      </c>
      <c r="L2" s="63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  <c r="IP2" s="65"/>
      <c r="IQ2" s="65"/>
      <c r="IR2" s="65"/>
      <c r="IS2" s="65"/>
      <c r="IT2" s="65"/>
      <c r="IU2" s="65"/>
      <c r="IV2" s="65"/>
      <c r="IW2" s="65"/>
      <c r="IX2" s="65"/>
      <c r="IY2" s="65"/>
      <c r="IZ2" s="65"/>
      <c r="JA2" s="65"/>
      <c r="JB2" s="65"/>
      <c r="JC2" s="65"/>
      <c r="JD2" s="65"/>
      <c r="JE2" s="65"/>
      <c r="JF2" s="65"/>
      <c r="JG2" s="65"/>
      <c r="JH2" s="65"/>
      <c r="JI2" s="65"/>
      <c r="JJ2" s="65"/>
      <c r="JK2" s="65"/>
      <c r="JL2" s="65"/>
      <c r="JM2" s="65"/>
      <c r="JN2" s="65"/>
      <c r="JO2" s="65"/>
      <c r="JP2" s="65"/>
      <c r="JQ2" s="65"/>
      <c r="JR2" s="65"/>
      <c r="JS2" s="65"/>
      <c r="JT2" s="65"/>
      <c r="JU2" s="65"/>
      <c r="JV2" s="65"/>
      <c r="JW2" s="65"/>
      <c r="JX2" s="65"/>
      <c r="JY2" s="65"/>
      <c r="JZ2" s="65"/>
      <c r="KA2" s="65"/>
      <c r="KB2" s="65"/>
      <c r="KC2" s="65"/>
      <c r="KD2" s="65"/>
      <c r="KE2" s="65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65"/>
      <c r="LH2" s="65"/>
      <c r="LI2" s="65"/>
      <c r="LJ2" s="65"/>
      <c r="LK2" s="65"/>
      <c r="LL2" s="65"/>
      <c r="LM2" s="65"/>
      <c r="LN2" s="65"/>
      <c r="LO2" s="65"/>
      <c r="LP2" s="65"/>
      <c r="LQ2" s="65"/>
      <c r="LR2" s="65"/>
      <c r="LS2" s="65"/>
      <c r="LT2" s="65"/>
      <c r="LU2" s="65"/>
      <c r="LV2" s="65"/>
      <c r="LW2" s="65"/>
      <c r="LX2" s="65"/>
      <c r="LY2" s="65"/>
      <c r="LZ2" s="65"/>
      <c r="MA2" s="65"/>
      <c r="MB2" s="65"/>
      <c r="MC2" s="65"/>
      <c r="MD2" s="65"/>
      <c r="ME2" s="65"/>
      <c r="MF2" s="65"/>
      <c r="MG2" s="65"/>
      <c r="MH2" s="65"/>
      <c r="MI2" s="65"/>
      <c r="MJ2" s="65"/>
      <c r="MK2" s="65"/>
      <c r="ML2" s="65"/>
      <c r="MM2" s="65"/>
      <c r="MN2" s="65"/>
      <c r="MO2" s="65"/>
      <c r="MP2" s="65"/>
      <c r="MQ2" s="65"/>
      <c r="MR2" s="65"/>
      <c r="MS2" s="65"/>
      <c r="MT2" s="65"/>
      <c r="MU2" s="65"/>
      <c r="MV2" s="65"/>
      <c r="MW2" s="65"/>
      <c r="MX2" s="65"/>
      <c r="MY2" s="65"/>
      <c r="MZ2" s="65"/>
      <c r="NA2" s="65"/>
      <c r="NB2" s="65"/>
      <c r="NC2" s="65"/>
      <c r="ND2" s="65"/>
      <c r="NE2" s="65"/>
      <c r="NF2" s="65"/>
      <c r="NG2" s="65"/>
      <c r="NH2" s="65"/>
      <c r="NI2" s="65"/>
      <c r="NJ2" s="65"/>
      <c r="NK2" s="65"/>
      <c r="NL2" s="65"/>
      <c r="NM2" s="65"/>
      <c r="NN2" s="65"/>
      <c r="NO2" s="65"/>
      <c r="NP2" s="65"/>
      <c r="NQ2" s="65"/>
      <c r="NR2" s="65"/>
      <c r="NS2" s="65"/>
      <c r="NT2" s="65"/>
      <c r="NU2" s="65"/>
      <c r="NV2" s="65"/>
      <c r="NW2" s="65"/>
      <c r="NX2" s="65"/>
      <c r="NY2" s="65"/>
      <c r="NZ2" s="65"/>
      <c r="OA2" s="65"/>
      <c r="OB2" s="65"/>
      <c r="OC2" s="65"/>
      <c r="OD2" s="65"/>
      <c r="OE2" s="65"/>
      <c r="OF2" s="65"/>
      <c r="OG2" s="65"/>
      <c r="OH2" s="65"/>
      <c r="OI2" s="65"/>
      <c r="OJ2" s="65"/>
      <c r="OK2" s="65"/>
      <c r="OL2" s="65"/>
      <c r="OM2" s="65"/>
      <c r="ON2" s="65"/>
      <c r="OO2" s="65"/>
      <c r="OP2" s="65"/>
      <c r="OQ2" s="65"/>
      <c r="OR2" s="65"/>
      <c r="OS2" s="65"/>
      <c r="OT2" s="65"/>
      <c r="OU2" s="65"/>
      <c r="OV2" s="65"/>
      <c r="OW2" s="65"/>
      <c r="OX2" s="65"/>
      <c r="OY2" s="65"/>
      <c r="OZ2" s="65"/>
      <c r="PA2" s="65"/>
      <c r="PB2" s="65"/>
      <c r="PC2" s="65"/>
      <c r="PD2" s="65"/>
      <c r="PE2" s="65"/>
      <c r="PF2" s="65"/>
      <c r="PG2" s="65"/>
      <c r="PH2" s="65"/>
      <c r="PI2" s="65"/>
      <c r="PJ2" s="65"/>
      <c r="PK2" s="65"/>
      <c r="PL2" s="65"/>
      <c r="PM2" s="65"/>
      <c r="PN2" s="65"/>
      <c r="PO2" s="65"/>
      <c r="PP2" s="65"/>
      <c r="PQ2" s="65"/>
      <c r="PR2" s="65"/>
      <c r="PS2" s="65"/>
      <c r="PT2" s="65"/>
      <c r="PU2" s="65"/>
      <c r="PV2" s="65"/>
      <c r="PW2" s="65"/>
      <c r="PX2" s="65"/>
      <c r="PY2" s="65"/>
      <c r="PZ2" s="65"/>
      <c r="QA2" s="65"/>
      <c r="QB2" s="65"/>
      <c r="QC2" s="65"/>
      <c r="QD2" s="65"/>
      <c r="QE2" s="65"/>
      <c r="QF2" s="65"/>
      <c r="QG2" s="65"/>
      <c r="QH2" s="65"/>
      <c r="QI2" s="65"/>
      <c r="QJ2" s="65"/>
      <c r="QK2" s="65"/>
      <c r="QL2" s="65"/>
      <c r="QM2" s="65"/>
      <c r="QN2" s="65"/>
      <c r="QO2" s="65"/>
      <c r="QP2" s="65"/>
      <c r="QQ2" s="65"/>
      <c r="QR2" s="65"/>
      <c r="QS2" s="65"/>
      <c r="QT2" s="65"/>
      <c r="QU2" s="65"/>
      <c r="QV2" s="65"/>
      <c r="QW2" s="65"/>
      <c r="QX2" s="65"/>
      <c r="QY2" s="65"/>
      <c r="QZ2" s="65"/>
      <c r="RA2" s="65"/>
      <c r="RB2" s="65"/>
      <c r="RC2" s="65"/>
      <c r="RD2" s="65"/>
      <c r="RE2" s="65"/>
      <c r="RF2" s="65"/>
      <c r="RG2" s="65"/>
      <c r="RH2" s="65"/>
      <c r="RI2" s="65"/>
      <c r="RJ2" s="65"/>
      <c r="RK2" s="65"/>
      <c r="RL2" s="65"/>
      <c r="RM2" s="65"/>
      <c r="RN2" s="65"/>
      <c r="RO2" s="65"/>
      <c r="RP2" s="65"/>
      <c r="RQ2" s="65"/>
      <c r="RR2" s="65"/>
      <c r="RS2" s="65"/>
      <c r="RT2" s="65"/>
      <c r="RU2" s="65"/>
      <c r="RV2" s="65"/>
      <c r="RW2" s="65"/>
      <c r="RX2" s="65"/>
      <c r="RY2" s="65"/>
      <c r="RZ2" s="65"/>
      <c r="SA2" s="65"/>
      <c r="SB2" s="65"/>
      <c r="SC2" s="65"/>
      <c r="SD2" s="65"/>
      <c r="SE2" s="65"/>
      <c r="SF2" s="65"/>
      <c r="SG2" s="65"/>
      <c r="SH2" s="65"/>
      <c r="SI2" s="65"/>
      <c r="SJ2" s="65"/>
      <c r="SK2" s="65"/>
      <c r="SL2" s="65"/>
      <c r="SM2" s="65"/>
      <c r="SN2" s="65"/>
      <c r="SO2" s="65"/>
      <c r="SP2" s="65"/>
      <c r="SQ2" s="65"/>
      <c r="SR2" s="65"/>
      <c r="SS2" s="65"/>
      <c r="ST2" s="65"/>
      <c r="SU2" s="65"/>
      <c r="SV2" s="65"/>
      <c r="SW2" s="65"/>
      <c r="SX2" s="65"/>
      <c r="SY2" s="65"/>
      <c r="SZ2" s="65"/>
      <c r="TA2" s="65"/>
      <c r="TB2" s="65"/>
      <c r="TC2" s="65"/>
      <c r="TD2" s="65"/>
      <c r="TE2" s="65"/>
      <c r="TF2" s="65"/>
      <c r="TG2" s="65"/>
      <c r="TH2" s="65"/>
      <c r="TI2" s="65"/>
      <c r="TJ2" s="65"/>
      <c r="TK2" s="65"/>
      <c r="TL2" s="65"/>
      <c r="TM2" s="65"/>
      <c r="TN2" s="65"/>
      <c r="TO2" s="65"/>
      <c r="TP2" s="65"/>
      <c r="TQ2" s="65"/>
      <c r="TR2" s="65"/>
      <c r="TS2" s="65"/>
      <c r="TT2" s="65"/>
      <c r="TU2" s="65"/>
      <c r="TV2" s="65"/>
      <c r="TW2" s="65"/>
      <c r="TX2" s="65"/>
      <c r="TY2" s="65"/>
      <c r="TZ2" s="65"/>
      <c r="UA2" s="65"/>
      <c r="UB2" s="65"/>
      <c r="UC2" s="65"/>
      <c r="UD2" s="65"/>
      <c r="UE2" s="65"/>
      <c r="UF2" s="65"/>
      <c r="UG2" s="65"/>
      <c r="UH2" s="65"/>
      <c r="UI2" s="65"/>
      <c r="UJ2" s="65"/>
      <c r="UK2" s="65"/>
      <c r="UL2" s="65"/>
      <c r="UM2" s="65"/>
      <c r="UN2" s="65"/>
      <c r="UO2" s="65"/>
      <c r="UP2" s="65"/>
      <c r="UQ2" s="65"/>
      <c r="UR2" s="65"/>
      <c r="US2" s="65"/>
      <c r="UT2" s="65"/>
      <c r="UU2" s="65"/>
      <c r="UV2" s="65"/>
      <c r="UW2" s="65"/>
      <c r="UX2" s="65"/>
      <c r="UY2" s="65"/>
      <c r="UZ2" s="65"/>
      <c r="VA2" s="65"/>
      <c r="VB2" s="65"/>
      <c r="VC2" s="65"/>
      <c r="VD2" s="65"/>
      <c r="VE2" s="65"/>
      <c r="VF2" s="65"/>
      <c r="VG2" s="65"/>
      <c r="VH2" s="65"/>
      <c r="VI2" s="65"/>
      <c r="VJ2" s="65"/>
      <c r="VK2" s="65"/>
      <c r="VL2" s="65"/>
      <c r="VM2" s="65"/>
      <c r="VN2" s="65"/>
      <c r="VO2" s="65"/>
      <c r="VP2" s="65"/>
      <c r="VQ2" s="65"/>
      <c r="VR2" s="65"/>
      <c r="VS2" s="65"/>
      <c r="VT2" s="65"/>
      <c r="VU2" s="65"/>
      <c r="VV2" s="65"/>
      <c r="VW2" s="65"/>
      <c r="VX2" s="65"/>
      <c r="VY2" s="65"/>
      <c r="VZ2" s="65"/>
      <c r="WA2" s="65"/>
      <c r="WB2" s="65"/>
      <c r="WC2" s="65"/>
      <c r="WD2" s="65"/>
      <c r="WE2" s="65"/>
      <c r="WF2" s="65"/>
      <c r="WG2" s="65"/>
      <c r="WH2" s="65"/>
      <c r="WI2" s="65"/>
      <c r="WJ2" s="65"/>
      <c r="WK2" s="65"/>
      <c r="WL2" s="65"/>
      <c r="WM2" s="65"/>
      <c r="WN2" s="65"/>
      <c r="WO2" s="65"/>
      <c r="WP2" s="65"/>
      <c r="WQ2" s="65"/>
      <c r="WR2" s="65"/>
      <c r="WS2" s="65"/>
      <c r="WT2" s="65"/>
      <c r="WU2" s="65"/>
      <c r="WV2" s="65"/>
      <c r="WW2" s="65"/>
      <c r="WX2" s="65"/>
      <c r="WY2" s="65"/>
      <c r="WZ2" s="65"/>
      <c r="XA2" s="65"/>
      <c r="XB2" s="65"/>
      <c r="XC2" s="65"/>
      <c r="XD2" s="65"/>
      <c r="XE2" s="65"/>
      <c r="XF2" s="65"/>
      <c r="XG2" s="65"/>
      <c r="XH2" s="65"/>
      <c r="XI2" s="65"/>
      <c r="XJ2" s="65"/>
      <c r="XK2" s="65"/>
      <c r="XL2" s="65"/>
      <c r="XM2" s="65"/>
      <c r="XN2" s="65"/>
      <c r="XO2" s="65"/>
      <c r="XP2" s="65"/>
      <c r="XQ2" s="65"/>
      <c r="XR2" s="65"/>
      <c r="XS2" s="65"/>
      <c r="XT2" s="65"/>
      <c r="XU2" s="65"/>
      <c r="XV2" s="65"/>
      <c r="XW2" s="65"/>
      <c r="XX2" s="65"/>
      <c r="XY2" s="65"/>
      <c r="XZ2" s="65"/>
      <c r="YA2" s="65"/>
      <c r="YB2" s="65"/>
      <c r="YC2" s="65"/>
      <c r="YD2" s="65"/>
      <c r="YE2" s="65"/>
      <c r="YF2" s="65"/>
      <c r="YG2" s="65"/>
      <c r="YH2" s="65"/>
      <c r="YI2" s="65"/>
      <c r="YJ2" s="65"/>
      <c r="YK2" s="65"/>
      <c r="YL2" s="65"/>
      <c r="YM2" s="65"/>
      <c r="YN2" s="65"/>
      <c r="YO2" s="65"/>
      <c r="YP2" s="65"/>
      <c r="YQ2" s="65"/>
      <c r="YR2" s="65"/>
      <c r="YS2" s="65"/>
      <c r="YT2" s="65"/>
      <c r="YU2" s="65"/>
      <c r="YV2" s="65"/>
      <c r="YW2" s="65"/>
      <c r="YX2" s="65"/>
      <c r="YY2" s="65"/>
      <c r="YZ2" s="65"/>
      <c r="ZA2" s="65"/>
      <c r="ZB2" s="65"/>
      <c r="ZC2" s="65"/>
      <c r="ZD2" s="65"/>
      <c r="ZE2" s="65"/>
      <c r="ZF2" s="65"/>
      <c r="ZG2" s="65"/>
      <c r="ZH2" s="65"/>
      <c r="ZI2" s="65"/>
      <c r="ZJ2" s="65"/>
      <c r="ZK2" s="65"/>
      <c r="ZL2" s="65"/>
      <c r="ZM2" s="65"/>
      <c r="ZN2" s="65"/>
      <c r="ZO2" s="65"/>
      <c r="ZP2" s="65"/>
      <c r="ZQ2" s="65"/>
      <c r="ZR2" s="65"/>
      <c r="ZS2" s="65"/>
      <c r="ZT2" s="65"/>
      <c r="ZU2" s="65"/>
      <c r="ZV2" s="65"/>
      <c r="ZW2" s="65"/>
      <c r="ZX2" s="65"/>
      <c r="ZY2" s="65"/>
      <c r="ZZ2" s="65"/>
      <c r="AAA2" s="65"/>
      <c r="AAB2" s="65"/>
      <c r="AAC2" s="65"/>
      <c r="AAD2" s="65"/>
      <c r="AAE2" s="65"/>
      <c r="AAF2" s="65"/>
      <c r="AAG2" s="65"/>
      <c r="AAH2" s="65"/>
      <c r="AAI2" s="65"/>
      <c r="AAJ2" s="65"/>
      <c r="AAK2" s="65"/>
      <c r="AAL2" s="65"/>
      <c r="AAM2" s="65"/>
      <c r="AAN2" s="65"/>
      <c r="AAO2" s="65"/>
      <c r="AAP2" s="65"/>
      <c r="AAQ2" s="65"/>
      <c r="AAR2" s="65"/>
      <c r="AAS2" s="65"/>
      <c r="AAT2" s="65"/>
      <c r="AAU2" s="65"/>
      <c r="AAV2" s="65"/>
      <c r="AAW2" s="65"/>
      <c r="AAX2" s="65"/>
      <c r="AAY2" s="65"/>
      <c r="AAZ2" s="65"/>
      <c r="ABA2" s="65"/>
      <c r="ABB2" s="65"/>
      <c r="ABC2" s="65"/>
      <c r="ABD2" s="65"/>
      <c r="ABE2" s="65"/>
      <c r="ABF2" s="65"/>
      <c r="ABG2" s="65"/>
      <c r="ABH2" s="65"/>
      <c r="ABI2" s="65"/>
      <c r="ABJ2" s="65"/>
      <c r="ABK2" s="65"/>
      <c r="ABL2" s="65"/>
      <c r="ABM2" s="65"/>
      <c r="ABN2" s="65"/>
      <c r="ABO2" s="65"/>
      <c r="ABP2" s="65"/>
      <c r="ABQ2" s="65"/>
      <c r="ABR2" s="65"/>
      <c r="ABS2" s="65"/>
      <c r="ABT2" s="65"/>
      <c r="ABU2" s="65"/>
      <c r="ABV2" s="65"/>
      <c r="ABW2" s="65"/>
      <c r="ABX2" s="65"/>
      <c r="ABY2" s="65"/>
      <c r="ABZ2" s="65"/>
      <c r="ACA2" s="65"/>
      <c r="ACB2" s="65"/>
      <c r="ACC2" s="65"/>
      <c r="ACD2" s="65"/>
      <c r="ACE2" s="65"/>
      <c r="ACF2" s="65"/>
      <c r="ACG2" s="65"/>
      <c r="ACH2" s="65"/>
      <c r="ACI2" s="65"/>
      <c r="ACJ2" s="65"/>
      <c r="ACK2" s="65"/>
      <c r="ACL2" s="65"/>
      <c r="ACM2" s="65"/>
      <c r="ACN2" s="65"/>
      <c r="ACO2" s="65"/>
      <c r="ACP2" s="65"/>
      <c r="ACQ2" s="65"/>
      <c r="ACR2" s="65"/>
      <c r="ACS2" s="65"/>
      <c r="ACT2" s="65"/>
      <c r="ACU2" s="65"/>
      <c r="ACV2" s="65"/>
      <c r="ACW2" s="65"/>
      <c r="ACX2" s="65"/>
      <c r="ACY2" s="65"/>
      <c r="ACZ2" s="65"/>
      <c r="ADA2" s="65"/>
      <c r="ADB2" s="65"/>
      <c r="ADC2" s="65"/>
      <c r="ADD2" s="65"/>
      <c r="ADE2" s="65"/>
      <c r="ADF2" s="65"/>
      <c r="ADG2" s="65"/>
      <c r="ADH2" s="65"/>
      <c r="ADI2" s="65"/>
      <c r="ADJ2" s="65"/>
      <c r="ADK2" s="65"/>
      <c r="ADL2" s="65"/>
      <c r="ADM2" s="65"/>
      <c r="ADN2" s="65"/>
      <c r="ADO2" s="65"/>
      <c r="ADP2" s="65"/>
      <c r="ADQ2" s="65"/>
      <c r="ADR2" s="65"/>
      <c r="ADS2" s="65"/>
      <c r="ADT2" s="65"/>
      <c r="ADU2" s="65"/>
      <c r="ADV2" s="65"/>
      <c r="ADW2" s="65"/>
      <c r="ADX2" s="65"/>
      <c r="ADY2" s="65"/>
      <c r="ADZ2" s="65"/>
      <c r="AEA2" s="65"/>
      <c r="AEB2" s="65"/>
      <c r="AEC2" s="65"/>
      <c r="AED2" s="65"/>
      <c r="AEE2" s="65"/>
      <c r="AEF2" s="65"/>
      <c r="AEG2" s="65"/>
      <c r="AEH2" s="65"/>
      <c r="AEI2" s="65"/>
      <c r="AEJ2" s="65"/>
      <c r="AEK2" s="65"/>
      <c r="AEL2" s="65"/>
      <c r="AEM2" s="65"/>
      <c r="AEN2" s="65"/>
      <c r="AEO2" s="65"/>
      <c r="AEP2" s="65"/>
      <c r="AEQ2" s="65"/>
      <c r="AER2" s="65"/>
      <c r="AES2" s="65"/>
      <c r="AET2" s="65"/>
      <c r="AEU2" s="65"/>
      <c r="AEV2" s="65"/>
      <c r="AEW2" s="65"/>
      <c r="AEX2" s="65"/>
      <c r="AEY2" s="65"/>
      <c r="AEZ2" s="65"/>
      <c r="AFA2" s="65"/>
      <c r="AFB2" s="65"/>
      <c r="AFC2" s="65"/>
      <c r="AFD2" s="65"/>
      <c r="AFE2" s="65"/>
      <c r="AFF2" s="65"/>
      <c r="AFG2" s="65"/>
      <c r="AFH2" s="65"/>
      <c r="AFI2" s="65"/>
      <c r="AFJ2" s="65"/>
      <c r="AFK2" s="65"/>
      <c r="AFL2" s="65"/>
      <c r="AFM2" s="65"/>
      <c r="AFN2" s="65"/>
      <c r="AFO2" s="65"/>
      <c r="AFP2" s="65"/>
      <c r="AFQ2" s="65"/>
      <c r="AFR2" s="65"/>
      <c r="AFS2" s="65"/>
      <c r="AFT2" s="65"/>
      <c r="AFU2" s="65"/>
      <c r="AFV2" s="65"/>
      <c r="AFW2" s="65"/>
      <c r="AFX2" s="65"/>
      <c r="AFY2" s="65"/>
      <c r="AFZ2" s="65"/>
      <c r="AGA2" s="65"/>
      <c r="AGB2" s="65"/>
      <c r="AGC2" s="65"/>
      <c r="AGD2" s="65"/>
      <c r="AGE2" s="65"/>
      <c r="AGF2" s="65"/>
      <c r="AGG2" s="65"/>
      <c r="AGH2" s="65"/>
      <c r="AGI2" s="65"/>
      <c r="AGJ2" s="65"/>
      <c r="AGK2" s="65"/>
      <c r="AGL2" s="65"/>
      <c r="AGM2" s="65"/>
      <c r="AGN2" s="65"/>
      <c r="AGO2" s="65"/>
      <c r="AGP2" s="65"/>
      <c r="AGQ2" s="65"/>
      <c r="AGR2" s="65"/>
      <c r="AGS2" s="65"/>
      <c r="AGT2" s="65"/>
      <c r="AGU2" s="65"/>
      <c r="AGV2" s="65"/>
      <c r="AGW2" s="65"/>
      <c r="AGX2" s="65"/>
      <c r="AGY2" s="65"/>
      <c r="AGZ2" s="65"/>
      <c r="AHA2" s="65"/>
      <c r="AHB2" s="65"/>
      <c r="AHC2" s="65"/>
      <c r="AHD2" s="65"/>
      <c r="AHE2" s="65"/>
      <c r="AHF2" s="65"/>
      <c r="AHG2" s="65"/>
      <c r="AHH2" s="65"/>
      <c r="AHI2" s="65"/>
      <c r="AHJ2" s="65"/>
      <c r="AHK2" s="65"/>
      <c r="AHL2" s="65"/>
      <c r="AHM2" s="65"/>
      <c r="AHN2" s="65"/>
      <c r="AHO2" s="65"/>
      <c r="AHP2" s="65"/>
      <c r="AHQ2" s="65"/>
      <c r="AHR2" s="65"/>
      <c r="AHS2" s="65"/>
      <c r="AHT2" s="65"/>
      <c r="AHU2" s="65"/>
      <c r="AHV2" s="65"/>
      <c r="AHW2" s="65"/>
      <c r="AHX2" s="65"/>
      <c r="AHY2" s="65"/>
      <c r="AHZ2" s="65"/>
      <c r="AIA2" s="65"/>
      <c r="AIB2" s="65"/>
      <c r="AIC2" s="65"/>
      <c r="AID2" s="65"/>
      <c r="AIE2" s="65"/>
      <c r="AIF2" s="65"/>
      <c r="AIG2" s="65"/>
      <c r="AIH2" s="65"/>
      <c r="AII2" s="65"/>
      <c r="AIJ2" s="65"/>
      <c r="AIK2" s="65"/>
      <c r="AIL2" s="65"/>
      <c r="AIM2" s="65"/>
      <c r="AIN2" s="65"/>
      <c r="AIO2" s="65"/>
      <c r="AIP2" s="65"/>
      <c r="AIQ2" s="65"/>
      <c r="AIR2" s="65"/>
      <c r="AIS2" s="65"/>
      <c r="AIT2" s="65"/>
      <c r="AIU2" s="65"/>
      <c r="AIV2" s="65"/>
      <c r="AIW2" s="65"/>
      <c r="AIX2" s="65"/>
      <c r="AIY2" s="65"/>
      <c r="AIZ2" s="65"/>
      <c r="AJA2" s="65"/>
      <c r="AJB2" s="65"/>
      <c r="AJC2" s="65"/>
      <c r="AJD2" s="65"/>
      <c r="AJE2" s="65"/>
      <c r="AJF2" s="65"/>
      <c r="AJG2" s="65"/>
      <c r="AJH2" s="65"/>
      <c r="AJI2" s="65"/>
      <c r="AJJ2" s="65"/>
      <c r="AJK2" s="65"/>
      <c r="AJL2" s="65"/>
      <c r="AJM2" s="65"/>
      <c r="AJN2" s="65"/>
      <c r="AJO2" s="65"/>
      <c r="AJP2" s="65"/>
      <c r="AJQ2" s="65"/>
      <c r="AJR2" s="65"/>
      <c r="AJS2" s="65"/>
      <c r="AJT2" s="65"/>
      <c r="AJU2" s="65"/>
      <c r="AJV2" s="65"/>
      <c r="AJW2" s="65"/>
      <c r="AJX2" s="65"/>
      <c r="AJY2" s="65"/>
      <c r="AJZ2" s="65"/>
      <c r="AKA2" s="65"/>
      <c r="AKB2" s="65"/>
      <c r="AKC2" s="65"/>
      <c r="AKD2" s="65"/>
      <c r="AKE2" s="65"/>
      <c r="AKF2" s="65"/>
      <c r="AKG2" s="65"/>
      <c r="AKH2" s="65"/>
      <c r="AKI2" s="65"/>
      <c r="AKJ2" s="65"/>
      <c r="AKK2" s="65"/>
      <c r="AKL2" s="65"/>
      <c r="AKM2" s="65"/>
      <c r="AKN2" s="65"/>
      <c r="AKO2" s="65"/>
      <c r="AKP2" s="65"/>
      <c r="AKQ2" s="65"/>
      <c r="AKR2" s="65"/>
      <c r="AKS2" s="65"/>
      <c r="AKT2" s="65"/>
      <c r="AKU2" s="65"/>
      <c r="AKV2" s="65"/>
      <c r="AKW2" s="65"/>
      <c r="AKX2" s="65"/>
      <c r="AKY2" s="65"/>
      <c r="AKZ2" s="65"/>
      <c r="ALA2" s="65"/>
      <c r="ALB2" s="65"/>
      <c r="ALC2" s="65"/>
      <c r="ALD2" s="65"/>
      <c r="ALE2" s="65"/>
      <c r="ALF2" s="65"/>
      <c r="ALG2" s="65"/>
      <c r="ALH2" s="65"/>
      <c r="ALI2" s="65"/>
      <c r="ALJ2" s="65"/>
      <c r="ALK2" s="65"/>
      <c r="ALL2" s="65"/>
      <c r="ALM2" s="65"/>
      <c r="ALN2" s="65"/>
      <c r="ALO2" s="65"/>
      <c r="ALP2" s="65"/>
      <c r="ALQ2" s="65"/>
      <c r="ALR2" s="65"/>
      <c r="ALS2" s="65"/>
      <c r="ALT2" s="65"/>
      <c r="ALU2" s="65"/>
      <c r="ALV2" s="65"/>
      <c r="ALW2" s="65"/>
      <c r="ALX2" s="65"/>
      <c r="ALY2" s="65"/>
      <c r="ALZ2" s="65"/>
      <c r="AMA2" s="65"/>
      <c r="AMB2" s="65"/>
      <c r="AMC2" s="65"/>
      <c r="AMD2" s="65"/>
      <c r="AME2" s="65"/>
      <c r="AMF2" s="65"/>
      <c r="AMG2" s="65"/>
      <c r="AMH2" s="65"/>
      <c r="AMI2" s="65"/>
      <c r="AMJ2" s="60"/>
    </row>
    <row r="3" spans="1:1024">
      <c r="A3" s="66" t="s">
        <v>39679</v>
      </c>
      <c r="B3" s="67" t="s">
        <v>39680</v>
      </c>
      <c r="C3" s="67">
        <v>2</v>
      </c>
      <c r="D3" s="67">
        <v>14921</v>
      </c>
      <c r="E3" s="67" t="s">
        <v>39682</v>
      </c>
      <c r="F3" s="67">
        <v>86813</v>
      </c>
      <c r="G3" s="67">
        <v>492</v>
      </c>
      <c r="H3" s="67">
        <v>15413</v>
      </c>
      <c r="I3" s="68">
        <v>2.57</v>
      </c>
      <c r="J3" s="67">
        <v>8</v>
      </c>
      <c r="K3" s="67">
        <v>9</v>
      </c>
      <c r="L3" s="67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  <c r="IW3" s="65"/>
      <c r="IX3" s="65"/>
      <c r="IY3" s="65"/>
      <c r="IZ3" s="65"/>
      <c r="JA3" s="65"/>
      <c r="JB3" s="65"/>
      <c r="JC3" s="65"/>
      <c r="JD3" s="65"/>
      <c r="JE3" s="65"/>
      <c r="JF3" s="65"/>
      <c r="JG3" s="65"/>
      <c r="JH3" s="65"/>
      <c r="JI3" s="65"/>
      <c r="JJ3" s="65"/>
      <c r="JK3" s="65"/>
      <c r="JL3" s="65"/>
      <c r="JM3" s="65"/>
      <c r="JN3" s="65"/>
      <c r="JO3" s="65"/>
      <c r="JP3" s="65"/>
      <c r="JQ3" s="65"/>
      <c r="JR3" s="65"/>
      <c r="JS3" s="65"/>
      <c r="JT3" s="65"/>
      <c r="JU3" s="65"/>
      <c r="JV3" s="65"/>
      <c r="JW3" s="65"/>
      <c r="JX3" s="65"/>
      <c r="JY3" s="65"/>
      <c r="JZ3" s="65"/>
      <c r="KA3" s="65"/>
      <c r="KB3" s="65"/>
      <c r="KC3" s="65"/>
      <c r="KD3" s="65"/>
      <c r="KE3" s="65"/>
      <c r="KF3" s="65"/>
      <c r="KG3" s="65"/>
      <c r="KH3" s="65"/>
      <c r="KI3" s="65"/>
      <c r="KJ3" s="65"/>
      <c r="KK3" s="65"/>
      <c r="KL3" s="65"/>
      <c r="KM3" s="65"/>
      <c r="KN3" s="65"/>
      <c r="KO3" s="65"/>
      <c r="KP3" s="65"/>
      <c r="KQ3" s="65"/>
      <c r="KR3" s="65"/>
      <c r="KS3" s="65"/>
      <c r="KT3" s="65"/>
      <c r="KU3" s="65"/>
      <c r="KV3" s="65"/>
      <c r="KW3" s="65"/>
      <c r="KX3" s="65"/>
      <c r="KY3" s="65"/>
      <c r="KZ3" s="65"/>
      <c r="LA3" s="65"/>
      <c r="LB3" s="65"/>
      <c r="LC3" s="65"/>
      <c r="LD3" s="65"/>
      <c r="LE3" s="65"/>
      <c r="LF3" s="65"/>
      <c r="LG3" s="65"/>
      <c r="LH3" s="65"/>
      <c r="LI3" s="65"/>
      <c r="LJ3" s="65"/>
      <c r="LK3" s="65"/>
      <c r="LL3" s="65"/>
      <c r="LM3" s="65"/>
      <c r="LN3" s="65"/>
      <c r="LO3" s="65"/>
      <c r="LP3" s="65"/>
      <c r="LQ3" s="65"/>
      <c r="LR3" s="65"/>
      <c r="LS3" s="65"/>
      <c r="LT3" s="65"/>
      <c r="LU3" s="65"/>
      <c r="LV3" s="65"/>
      <c r="LW3" s="65"/>
      <c r="LX3" s="65"/>
      <c r="LY3" s="65"/>
      <c r="LZ3" s="65"/>
      <c r="MA3" s="65"/>
      <c r="MB3" s="65"/>
      <c r="MC3" s="65"/>
      <c r="MD3" s="65"/>
      <c r="ME3" s="65"/>
      <c r="MF3" s="65"/>
      <c r="MG3" s="65"/>
      <c r="MH3" s="65"/>
      <c r="MI3" s="65"/>
      <c r="MJ3" s="65"/>
      <c r="MK3" s="65"/>
      <c r="ML3" s="65"/>
      <c r="MM3" s="65"/>
      <c r="MN3" s="65"/>
      <c r="MO3" s="65"/>
      <c r="MP3" s="65"/>
      <c r="MQ3" s="65"/>
      <c r="MR3" s="65"/>
      <c r="MS3" s="65"/>
      <c r="MT3" s="65"/>
      <c r="MU3" s="65"/>
      <c r="MV3" s="65"/>
      <c r="MW3" s="65"/>
      <c r="MX3" s="65"/>
      <c r="MY3" s="65"/>
      <c r="MZ3" s="65"/>
      <c r="NA3" s="65"/>
      <c r="NB3" s="65"/>
      <c r="NC3" s="65"/>
      <c r="ND3" s="65"/>
      <c r="NE3" s="65"/>
      <c r="NF3" s="65"/>
      <c r="NG3" s="65"/>
      <c r="NH3" s="65"/>
      <c r="NI3" s="65"/>
      <c r="NJ3" s="65"/>
      <c r="NK3" s="65"/>
      <c r="NL3" s="65"/>
      <c r="NM3" s="65"/>
      <c r="NN3" s="65"/>
      <c r="NO3" s="65"/>
      <c r="NP3" s="65"/>
      <c r="NQ3" s="65"/>
      <c r="NR3" s="65"/>
      <c r="NS3" s="65"/>
      <c r="NT3" s="65"/>
      <c r="NU3" s="65"/>
      <c r="NV3" s="65"/>
      <c r="NW3" s="65"/>
      <c r="NX3" s="65"/>
      <c r="NY3" s="65"/>
      <c r="NZ3" s="65"/>
      <c r="OA3" s="65"/>
      <c r="OB3" s="65"/>
      <c r="OC3" s="65"/>
      <c r="OD3" s="65"/>
      <c r="OE3" s="65"/>
      <c r="OF3" s="65"/>
      <c r="OG3" s="65"/>
      <c r="OH3" s="65"/>
      <c r="OI3" s="65"/>
      <c r="OJ3" s="65"/>
      <c r="OK3" s="65"/>
      <c r="OL3" s="65"/>
      <c r="OM3" s="65"/>
      <c r="ON3" s="65"/>
      <c r="OO3" s="65"/>
      <c r="OP3" s="65"/>
      <c r="OQ3" s="65"/>
      <c r="OR3" s="65"/>
      <c r="OS3" s="65"/>
      <c r="OT3" s="65"/>
      <c r="OU3" s="65"/>
      <c r="OV3" s="65"/>
      <c r="OW3" s="65"/>
      <c r="OX3" s="65"/>
      <c r="OY3" s="65"/>
      <c r="OZ3" s="65"/>
      <c r="PA3" s="65"/>
      <c r="PB3" s="65"/>
      <c r="PC3" s="65"/>
      <c r="PD3" s="65"/>
      <c r="PE3" s="65"/>
      <c r="PF3" s="65"/>
      <c r="PG3" s="65"/>
      <c r="PH3" s="65"/>
      <c r="PI3" s="65"/>
      <c r="PJ3" s="65"/>
      <c r="PK3" s="65"/>
      <c r="PL3" s="65"/>
      <c r="PM3" s="65"/>
      <c r="PN3" s="65"/>
      <c r="PO3" s="65"/>
      <c r="PP3" s="65"/>
      <c r="PQ3" s="65"/>
      <c r="PR3" s="65"/>
      <c r="PS3" s="65"/>
      <c r="PT3" s="65"/>
      <c r="PU3" s="65"/>
      <c r="PV3" s="65"/>
      <c r="PW3" s="65"/>
      <c r="PX3" s="65"/>
      <c r="PY3" s="65"/>
      <c r="PZ3" s="65"/>
      <c r="QA3" s="65"/>
      <c r="QB3" s="65"/>
      <c r="QC3" s="65"/>
      <c r="QD3" s="65"/>
      <c r="QE3" s="65"/>
      <c r="QF3" s="65"/>
      <c r="QG3" s="65"/>
      <c r="QH3" s="65"/>
      <c r="QI3" s="65"/>
      <c r="QJ3" s="65"/>
      <c r="QK3" s="65"/>
      <c r="QL3" s="65"/>
      <c r="QM3" s="65"/>
      <c r="QN3" s="65"/>
      <c r="QO3" s="65"/>
      <c r="QP3" s="65"/>
      <c r="QQ3" s="65"/>
      <c r="QR3" s="65"/>
      <c r="QS3" s="65"/>
      <c r="QT3" s="65"/>
      <c r="QU3" s="65"/>
      <c r="QV3" s="65"/>
      <c r="QW3" s="65"/>
      <c r="QX3" s="65"/>
      <c r="QY3" s="65"/>
      <c r="QZ3" s="65"/>
      <c r="RA3" s="65"/>
      <c r="RB3" s="65"/>
      <c r="RC3" s="65"/>
      <c r="RD3" s="65"/>
      <c r="RE3" s="65"/>
      <c r="RF3" s="65"/>
      <c r="RG3" s="65"/>
      <c r="RH3" s="65"/>
      <c r="RI3" s="65"/>
      <c r="RJ3" s="65"/>
      <c r="RK3" s="65"/>
      <c r="RL3" s="65"/>
      <c r="RM3" s="65"/>
      <c r="RN3" s="65"/>
      <c r="RO3" s="65"/>
      <c r="RP3" s="65"/>
      <c r="RQ3" s="65"/>
      <c r="RR3" s="65"/>
      <c r="RS3" s="65"/>
      <c r="RT3" s="65"/>
      <c r="RU3" s="65"/>
      <c r="RV3" s="65"/>
      <c r="RW3" s="65"/>
      <c r="RX3" s="65"/>
      <c r="RY3" s="65"/>
      <c r="RZ3" s="65"/>
      <c r="SA3" s="65"/>
      <c r="SB3" s="65"/>
      <c r="SC3" s="65"/>
      <c r="SD3" s="65"/>
      <c r="SE3" s="65"/>
      <c r="SF3" s="65"/>
      <c r="SG3" s="65"/>
      <c r="SH3" s="65"/>
      <c r="SI3" s="65"/>
      <c r="SJ3" s="65"/>
      <c r="SK3" s="65"/>
      <c r="SL3" s="65"/>
      <c r="SM3" s="65"/>
      <c r="SN3" s="65"/>
      <c r="SO3" s="65"/>
      <c r="SP3" s="65"/>
      <c r="SQ3" s="65"/>
      <c r="SR3" s="65"/>
      <c r="SS3" s="65"/>
      <c r="ST3" s="65"/>
      <c r="SU3" s="65"/>
      <c r="SV3" s="65"/>
      <c r="SW3" s="65"/>
      <c r="SX3" s="65"/>
      <c r="SY3" s="65"/>
      <c r="SZ3" s="65"/>
      <c r="TA3" s="65"/>
      <c r="TB3" s="65"/>
      <c r="TC3" s="65"/>
      <c r="TD3" s="65"/>
      <c r="TE3" s="65"/>
      <c r="TF3" s="65"/>
      <c r="TG3" s="65"/>
      <c r="TH3" s="65"/>
      <c r="TI3" s="65"/>
      <c r="TJ3" s="65"/>
      <c r="TK3" s="65"/>
      <c r="TL3" s="65"/>
      <c r="TM3" s="65"/>
      <c r="TN3" s="65"/>
      <c r="TO3" s="65"/>
      <c r="TP3" s="65"/>
      <c r="TQ3" s="65"/>
      <c r="TR3" s="65"/>
      <c r="TS3" s="65"/>
      <c r="TT3" s="65"/>
      <c r="TU3" s="65"/>
      <c r="TV3" s="65"/>
      <c r="TW3" s="65"/>
      <c r="TX3" s="65"/>
      <c r="TY3" s="65"/>
      <c r="TZ3" s="65"/>
      <c r="UA3" s="65"/>
      <c r="UB3" s="65"/>
      <c r="UC3" s="65"/>
      <c r="UD3" s="65"/>
      <c r="UE3" s="65"/>
      <c r="UF3" s="65"/>
      <c r="UG3" s="65"/>
      <c r="UH3" s="65"/>
      <c r="UI3" s="65"/>
      <c r="UJ3" s="65"/>
      <c r="UK3" s="65"/>
      <c r="UL3" s="65"/>
      <c r="UM3" s="65"/>
      <c r="UN3" s="65"/>
      <c r="UO3" s="65"/>
      <c r="UP3" s="65"/>
      <c r="UQ3" s="65"/>
      <c r="UR3" s="65"/>
      <c r="US3" s="65"/>
      <c r="UT3" s="65"/>
      <c r="UU3" s="65"/>
      <c r="UV3" s="65"/>
      <c r="UW3" s="65"/>
      <c r="UX3" s="65"/>
      <c r="UY3" s="65"/>
      <c r="UZ3" s="65"/>
      <c r="VA3" s="65"/>
      <c r="VB3" s="65"/>
      <c r="VC3" s="65"/>
      <c r="VD3" s="65"/>
      <c r="VE3" s="65"/>
      <c r="VF3" s="65"/>
      <c r="VG3" s="65"/>
      <c r="VH3" s="65"/>
      <c r="VI3" s="65"/>
      <c r="VJ3" s="65"/>
      <c r="VK3" s="65"/>
      <c r="VL3" s="65"/>
      <c r="VM3" s="65"/>
      <c r="VN3" s="65"/>
      <c r="VO3" s="65"/>
      <c r="VP3" s="65"/>
      <c r="VQ3" s="65"/>
      <c r="VR3" s="65"/>
      <c r="VS3" s="65"/>
      <c r="VT3" s="65"/>
      <c r="VU3" s="65"/>
      <c r="VV3" s="65"/>
      <c r="VW3" s="65"/>
      <c r="VX3" s="65"/>
      <c r="VY3" s="65"/>
      <c r="VZ3" s="65"/>
      <c r="WA3" s="65"/>
      <c r="WB3" s="65"/>
      <c r="WC3" s="65"/>
      <c r="WD3" s="65"/>
      <c r="WE3" s="65"/>
      <c r="WF3" s="65"/>
      <c r="WG3" s="65"/>
      <c r="WH3" s="65"/>
      <c r="WI3" s="65"/>
      <c r="WJ3" s="65"/>
      <c r="WK3" s="65"/>
      <c r="WL3" s="65"/>
      <c r="WM3" s="65"/>
      <c r="WN3" s="65"/>
      <c r="WO3" s="65"/>
      <c r="WP3" s="65"/>
      <c r="WQ3" s="65"/>
      <c r="WR3" s="65"/>
      <c r="WS3" s="65"/>
      <c r="WT3" s="65"/>
      <c r="WU3" s="65"/>
      <c r="WV3" s="65"/>
      <c r="WW3" s="65"/>
      <c r="WX3" s="65"/>
      <c r="WY3" s="65"/>
      <c r="WZ3" s="65"/>
      <c r="XA3" s="65"/>
      <c r="XB3" s="65"/>
      <c r="XC3" s="65"/>
      <c r="XD3" s="65"/>
      <c r="XE3" s="65"/>
      <c r="XF3" s="65"/>
      <c r="XG3" s="65"/>
      <c r="XH3" s="65"/>
      <c r="XI3" s="65"/>
      <c r="XJ3" s="65"/>
      <c r="XK3" s="65"/>
      <c r="XL3" s="65"/>
      <c r="XM3" s="65"/>
      <c r="XN3" s="65"/>
      <c r="XO3" s="65"/>
      <c r="XP3" s="65"/>
      <c r="XQ3" s="65"/>
      <c r="XR3" s="65"/>
      <c r="XS3" s="65"/>
      <c r="XT3" s="65"/>
      <c r="XU3" s="65"/>
      <c r="XV3" s="65"/>
      <c r="XW3" s="65"/>
      <c r="XX3" s="65"/>
      <c r="XY3" s="65"/>
      <c r="XZ3" s="65"/>
      <c r="YA3" s="65"/>
      <c r="YB3" s="65"/>
      <c r="YC3" s="65"/>
      <c r="YD3" s="65"/>
      <c r="YE3" s="65"/>
      <c r="YF3" s="65"/>
      <c r="YG3" s="65"/>
      <c r="YH3" s="65"/>
      <c r="YI3" s="65"/>
      <c r="YJ3" s="65"/>
      <c r="YK3" s="65"/>
      <c r="YL3" s="65"/>
      <c r="YM3" s="65"/>
      <c r="YN3" s="65"/>
      <c r="YO3" s="65"/>
      <c r="YP3" s="65"/>
      <c r="YQ3" s="65"/>
      <c r="YR3" s="65"/>
      <c r="YS3" s="65"/>
      <c r="YT3" s="65"/>
      <c r="YU3" s="65"/>
      <c r="YV3" s="65"/>
      <c r="YW3" s="65"/>
      <c r="YX3" s="65"/>
      <c r="YY3" s="65"/>
      <c r="YZ3" s="65"/>
      <c r="ZA3" s="65"/>
      <c r="ZB3" s="65"/>
      <c r="ZC3" s="65"/>
      <c r="ZD3" s="65"/>
      <c r="ZE3" s="65"/>
      <c r="ZF3" s="65"/>
      <c r="ZG3" s="65"/>
      <c r="ZH3" s="65"/>
      <c r="ZI3" s="65"/>
      <c r="ZJ3" s="65"/>
      <c r="ZK3" s="65"/>
      <c r="ZL3" s="65"/>
      <c r="ZM3" s="65"/>
      <c r="ZN3" s="65"/>
      <c r="ZO3" s="65"/>
      <c r="ZP3" s="65"/>
      <c r="ZQ3" s="65"/>
      <c r="ZR3" s="65"/>
      <c r="ZS3" s="65"/>
      <c r="ZT3" s="65"/>
      <c r="ZU3" s="65"/>
      <c r="ZV3" s="65"/>
      <c r="ZW3" s="65"/>
      <c r="ZX3" s="65"/>
      <c r="ZY3" s="65"/>
      <c r="ZZ3" s="65"/>
      <c r="AAA3" s="65"/>
      <c r="AAB3" s="65"/>
      <c r="AAC3" s="65"/>
      <c r="AAD3" s="65"/>
      <c r="AAE3" s="65"/>
      <c r="AAF3" s="65"/>
      <c r="AAG3" s="65"/>
      <c r="AAH3" s="65"/>
      <c r="AAI3" s="65"/>
      <c r="AAJ3" s="65"/>
      <c r="AAK3" s="65"/>
      <c r="AAL3" s="65"/>
      <c r="AAM3" s="65"/>
      <c r="AAN3" s="65"/>
      <c r="AAO3" s="65"/>
      <c r="AAP3" s="65"/>
      <c r="AAQ3" s="65"/>
      <c r="AAR3" s="65"/>
      <c r="AAS3" s="65"/>
      <c r="AAT3" s="65"/>
      <c r="AAU3" s="65"/>
      <c r="AAV3" s="65"/>
      <c r="AAW3" s="65"/>
      <c r="AAX3" s="65"/>
      <c r="AAY3" s="65"/>
      <c r="AAZ3" s="65"/>
      <c r="ABA3" s="65"/>
      <c r="ABB3" s="65"/>
      <c r="ABC3" s="65"/>
      <c r="ABD3" s="65"/>
      <c r="ABE3" s="65"/>
      <c r="ABF3" s="65"/>
      <c r="ABG3" s="65"/>
      <c r="ABH3" s="65"/>
      <c r="ABI3" s="65"/>
      <c r="ABJ3" s="65"/>
      <c r="ABK3" s="65"/>
      <c r="ABL3" s="65"/>
      <c r="ABM3" s="65"/>
      <c r="ABN3" s="65"/>
      <c r="ABO3" s="65"/>
      <c r="ABP3" s="65"/>
      <c r="ABQ3" s="65"/>
      <c r="ABR3" s="65"/>
      <c r="ABS3" s="65"/>
      <c r="ABT3" s="65"/>
      <c r="ABU3" s="65"/>
      <c r="ABV3" s="65"/>
      <c r="ABW3" s="65"/>
      <c r="ABX3" s="65"/>
      <c r="ABY3" s="65"/>
      <c r="ABZ3" s="65"/>
      <c r="ACA3" s="65"/>
      <c r="ACB3" s="65"/>
      <c r="ACC3" s="65"/>
      <c r="ACD3" s="65"/>
      <c r="ACE3" s="65"/>
      <c r="ACF3" s="65"/>
      <c r="ACG3" s="65"/>
      <c r="ACH3" s="65"/>
      <c r="ACI3" s="65"/>
      <c r="ACJ3" s="65"/>
      <c r="ACK3" s="65"/>
      <c r="ACL3" s="65"/>
      <c r="ACM3" s="65"/>
      <c r="ACN3" s="65"/>
      <c r="ACO3" s="65"/>
      <c r="ACP3" s="65"/>
      <c r="ACQ3" s="65"/>
      <c r="ACR3" s="65"/>
      <c r="ACS3" s="65"/>
      <c r="ACT3" s="65"/>
      <c r="ACU3" s="65"/>
      <c r="ACV3" s="65"/>
      <c r="ACW3" s="65"/>
      <c r="ACX3" s="65"/>
      <c r="ACY3" s="65"/>
      <c r="ACZ3" s="65"/>
      <c r="ADA3" s="65"/>
      <c r="ADB3" s="65"/>
      <c r="ADC3" s="65"/>
      <c r="ADD3" s="65"/>
      <c r="ADE3" s="65"/>
      <c r="ADF3" s="65"/>
      <c r="ADG3" s="65"/>
      <c r="ADH3" s="65"/>
      <c r="ADI3" s="65"/>
      <c r="ADJ3" s="65"/>
      <c r="ADK3" s="65"/>
      <c r="ADL3" s="65"/>
      <c r="ADM3" s="65"/>
      <c r="ADN3" s="65"/>
      <c r="ADO3" s="65"/>
      <c r="ADP3" s="65"/>
      <c r="ADQ3" s="65"/>
      <c r="ADR3" s="65"/>
      <c r="ADS3" s="65"/>
      <c r="ADT3" s="65"/>
      <c r="ADU3" s="65"/>
      <c r="ADV3" s="65"/>
      <c r="ADW3" s="65"/>
      <c r="ADX3" s="65"/>
      <c r="ADY3" s="65"/>
      <c r="ADZ3" s="65"/>
      <c r="AEA3" s="65"/>
      <c r="AEB3" s="65"/>
      <c r="AEC3" s="65"/>
      <c r="AED3" s="65"/>
      <c r="AEE3" s="65"/>
      <c r="AEF3" s="65"/>
      <c r="AEG3" s="65"/>
      <c r="AEH3" s="65"/>
      <c r="AEI3" s="65"/>
      <c r="AEJ3" s="65"/>
      <c r="AEK3" s="65"/>
      <c r="AEL3" s="65"/>
      <c r="AEM3" s="65"/>
      <c r="AEN3" s="65"/>
      <c r="AEO3" s="65"/>
      <c r="AEP3" s="65"/>
      <c r="AEQ3" s="65"/>
      <c r="AER3" s="65"/>
      <c r="AES3" s="65"/>
      <c r="AET3" s="65"/>
      <c r="AEU3" s="65"/>
      <c r="AEV3" s="65"/>
      <c r="AEW3" s="65"/>
      <c r="AEX3" s="65"/>
      <c r="AEY3" s="65"/>
      <c r="AEZ3" s="65"/>
      <c r="AFA3" s="65"/>
      <c r="AFB3" s="65"/>
      <c r="AFC3" s="65"/>
      <c r="AFD3" s="65"/>
      <c r="AFE3" s="65"/>
      <c r="AFF3" s="65"/>
      <c r="AFG3" s="65"/>
      <c r="AFH3" s="65"/>
      <c r="AFI3" s="65"/>
      <c r="AFJ3" s="65"/>
      <c r="AFK3" s="65"/>
      <c r="AFL3" s="65"/>
      <c r="AFM3" s="65"/>
      <c r="AFN3" s="65"/>
      <c r="AFO3" s="65"/>
      <c r="AFP3" s="65"/>
      <c r="AFQ3" s="65"/>
      <c r="AFR3" s="65"/>
      <c r="AFS3" s="65"/>
      <c r="AFT3" s="65"/>
      <c r="AFU3" s="65"/>
      <c r="AFV3" s="65"/>
      <c r="AFW3" s="65"/>
      <c r="AFX3" s="65"/>
      <c r="AFY3" s="65"/>
      <c r="AFZ3" s="65"/>
      <c r="AGA3" s="65"/>
      <c r="AGB3" s="65"/>
      <c r="AGC3" s="65"/>
      <c r="AGD3" s="65"/>
      <c r="AGE3" s="65"/>
      <c r="AGF3" s="65"/>
      <c r="AGG3" s="65"/>
      <c r="AGH3" s="65"/>
      <c r="AGI3" s="65"/>
      <c r="AGJ3" s="65"/>
      <c r="AGK3" s="65"/>
      <c r="AGL3" s="65"/>
      <c r="AGM3" s="65"/>
      <c r="AGN3" s="65"/>
      <c r="AGO3" s="65"/>
      <c r="AGP3" s="65"/>
      <c r="AGQ3" s="65"/>
      <c r="AGR3" s="65"/>
      <c r="AGS3" s="65"/>
      <c r="AGT3" s="65"/>
      <c r="AGU3" s="65"/>
      <c r="AGV3" s="65"/>
      <c r="AGW3" s="65"/>
      <c r="AGX3" s="65"/>
      <c r="AGY3" s="65"/>
      <c r="AGZ3" s="65"/>
      <c r="AHA3" s="65"/>
      <c r="AHB3" s="65"/>
      <c r="AHC3" s="65"/>
      <c r="AHD3" s="65"/>
      <c r="AHE3" s="65"/>
      <c r="AHF3" s="65"/>
      <c r="AHG3" s="65"/>
      <c r="AHH3" s="65"/>
      <c r="AHI3" s="65"/>
      <c r="AHJ3" s="65"/>
      <c r="AHK3" s="65"/>
      <c r="AHL3" s="65"/>
      <c r="AHM3" s="65"/>
      <c r="AHN3" s="65"/>
      <c r="AHO3" s="65"/>
      <c r="AHP3" s="65"/>
      <c r="AHQ3" s="65"/>
      <c r="AHR3" s="65"/>
      <c r="AHS3" s="65"/>
      <c r="AHT3" s="65"/>
      <c r="AHU3" s="65"/>
      <c r="AHV3" s="65"/>
      <c r="AHW3" s="65"/>
      <c r="AHX3" s="65"/>
      <c r="AHY3" s="65"/>
      <c r="AHZ3" s="65"/>
      <c r="AIA3" s="65"/>
      <c r="AIB3" s="65"/>
      <c r="AIC3" s="65"/>
      <c r="AID3" s="65"/>
      <c r="AIE3" s="65"/>
      <c r="AIF3" s="65"/>
      <c r="AIG3" s="65"/>
      <c r="AIH3" s="65"/>
      <c r="AII3" s="65"/>
      <c r="AIJ3" s="65"/>
      <c r="AIK3" s="65"/>
      <c r="AIL3" s="65"/>
      <c r="AIM3" s="65"/>
      <c r="AIN3" s="65"/>
      <c r="AIO3" s="65"/>
      <c r="AIP3" s="65"/>
      <c r="AIQ3" s="65"/>
      <c r="AIR3" s="65"/>
      <c r="AIS3" s="65"/>
      <c r="AIT3" s="65"/>
      <c r="AIU3" s="65"/>
      <c r="AIV3" s="65"/>
      <c r="AIW3" s="65"/>
      <c r="AIX3" s="65"/>
      <c r="AIY3" s="65"/>
      <c r="AIZ3" s="65"/>
      <c r="AJA3" s="65"/>
      <c r="AJB3" s="65"/>
      <c r="AJC3" s="65"/>
      <c r="AJD3" s="65"/>
      <c r="AJE3" s="65"/>
      <c r="AJF3" s="65"/>
      <c r="AJG3" s="65"/>
      <c r="AJH3" s="65"/>
      <c r="AJI3" s="65"/>
      <c r="AJJ3" s="65"/>
      <c r="AJK3" s="65"/>
      <c r="AJL3" s="65"/>
      <c r="AJM3" s="65"/>
      <c r="AJN3" s="65"/>
      <c r="AJO3" s="65"/>
      <c r="AJP3" s="65"/>
      <c r="AJQ3" s="65"/>
      <c r="AJR3" s="65"/>
      <c r="AJS3" s="65"/>
      <c r="AJT3" s="65"/>
      <c r="AJU3" s="65"/>
      <c r="AJV3" s="65"/>
      <c r="AJW3" s="65"/>
      <c r="AJX3" s="65"/>
      <c r="AJY3" s="65"/>
      <c r="AJZ3" s="65"/>
      <c r="AKA3" s="65"/>
      <c r="AKB3" s="65"/>
      <c r="AKC3" s="65"/>
      <c r="AKD3" s="65"/>
      <c r="AKE3" s="65"/>
      <c r="AKF3" s="65"/>
      <c r="AKG3" s="65"/>
      <c r="AKH3" s="65"/>
      <c r="AKI3" s="65"/>
      <c r="AKJ3" s="65"/>
      <c r="AKK3" s="65"/>
      <c r="AKL3" s="65"/>
      <c r="AKM3" s="65"/>
      <c r="AKN3" s="65"/>
      <c r="AKO3" s="65"/>
      <c r="AKP3" s="65"/>
      <c r="AKQ3" s="65"/>
      <c r="AKR3" s="65"/>
      <c r="AKS3" s="65"/>
      <c r="AKT3" s="65"/>
      <c r="AKU3" s="65"/>
      <c r="AKV3" s="65"/>
      <c r="AKW3" s="65"/>
      <c r="AKX3" s="65"/>
      <c r="AKY3" s="65"/>
      <c r="AKZ3" s="65"/>
      <c r="ALA3" s="65"/>
      <c r="ALB3" s="65"/>
      <c r="ALC3" s="65"/>
      <c r="ALD3" s="65"/>
      <c r="ALE3" s="65"/>
      <c r="ALF3" s="65"/>
      <c r="ALG3" s="65"/>
      <c r="ALH3" s="65"/>
      <c r="ALI3" s="65"/>
      <c r="ALJ3" s="65"/>
      <c r="ALK3" s="65"/>
      <c r="ALL3" s="65"/>
      <c r="ALM3" s="65"/>
      <c r="ALN3" s="65"/>
      <c r="ALO3" s="65"/>
      <c r="ALP3" s="65"/>
      <c r="ALQ3" s="65"/>
      <c r="ALR3" s="65"/>
      <c r="ALS3" s="65"/>
      <c r="ALT3" s="65"/>
      <c r="ALU3" s="65"/>
      <c r="ALV3" s="65"/>
      <c r="ALW3" s="65"/>
      <c r="ALX3" s="65"/>
      <c r="ALY3" s="65"/>
      <c r="ALZ3" s="65"/>
      <c r="AMA3" s="65"/>
      <c r="AMB3" s="65"/>
      <c r="AMC3" s="65"/>
      <c r="AMD3" s="65"/>
      <c r="AME3" s="65"/>
      <c r="AMF3" s="65"/>
      <c r="AMG3" s="65"/>
      <c r="AMH3" s="65"/>
      <c r="AMI3" s="65"/>
      <c r="AMJ3" s="60"/>
    </row>
    <row r="4" spans="1:1024">
      <c r="A4" s="66" t="s">
        <v>39679</v>
      </c>
      <c r="B4" s="67" t="s">
        <v>39680</v>
      </c>
      <c r="C4" s="67">
        <v>3</v>
      </c>
      <c r="D4" s="67">
        <v>18307</v>
      </c>
      <c r="E4" s="67" t="s">
        <v>39683</v>
      </c>
      <c r="F4" s="67">
        <v>75407</v>
      </c>
      <c r="G4" s="67">
        <v>16986</v>
      </c>
      <c r="H4" s="67">
        <v>35293</v>
      </c>
      <c r="I4" s="68">
        <v>1.8240000000000001</v>
      </c>
      <c r="J4" s="67">
        <v>6</v>
      </c>
      <c r="K4" s="67">
        <v>10</v>
      </c>
      <c r="L4" s="67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0"/>
    </row>
    <row r="5" spans="1:1024">
      <c r="A5" s="66" t="s">
        <v>39679</v>
      </c>
      <c r="B5" s="67" t="s">
        <v>39680</v>
      </c>
      <c r="C5" s="67">
        <v>4</v>
      </c>
      <c r="D5" s="67">
        <v>24358</v>
      </c>
      <c r="E5" s="67" t="s">
        <v>39684</v>
      </c>
      <c r="F5" s="67">
        <v>25828</v>
      </c>
      <c r="G5" s="67">
        <v>981</v>
      </c>
      <c r="H5" s="67">
        <v>25339</v>
      </c>
      <c r="I5" s="68">
        <v>1.01</v>
      </c>
      <c r="J5" s="67">
        <v>5</v>
      </c>
      <c r="K5" s="67">
        <v>23</v>
      </c>
      <c r="L5" s="67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0"/>
    </row>
    <row r="6" spans="1:1024">
      <c r="A6" s="69" t="s">
        <v>39685</v>
      </c>
      <c r="B6" s="70" t="s">
        <v>39686</v>
      </c>
      <c r="C6" s="70">
        <v>1</v>
      </c>
      <c r="D6" s="70">
        <v>15410</v>
      </c>
      <c r="E6" s="70" t="s">
        <v>39687</v>
      </c>
      <c r="F6" s="70">
        <v>1241624</v>
      </c>
      <c r="G6" s="70">
        <v>92329</v>
      </c>
      <c r="H6" s="70">
        <v>107739</v>
      </c>
      <c r="I6" s="71">
        <v>1.2430000000000001</v>
      </c>
      <c r="J6" s="70">
        <v>5</v>
      </c>
      <c r="K6" s="70">
        <v>14</v>
      </c>
      <c r="L6" s="70" t="s">
        <v>39688</v>
      </c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0"/>
    </row>
    <row r="7" spans="1:1024">
      <c r="A7" s="69" t="s">
        <v>39685</v>
      </c>
      <c r="B7" s="70" t="s">
        <v>39686</v>
      </c>
      <c r="C7" s="70">
        <v>2</v>
      </c>
      <c r="D7" s="70">
        <v>12892</v>
      </c>
      <c r="E7" s="70" t="s">
        <v>39687</v>
      </c>
      <c r="F7" s="70">
        <v>1241624</v>
      </c>
      <c r="G7" s="70">
        <v>357246</v>
      </c>
      <c r="H7" s="70">
        <v>370138</v>
      </c>
      <c r="I7" s="71">
        <v>2.246</v>
      </c>
      <c r="J7" s="70">
        <v>6</v>
      </c>
      <c r="K7" s="70">
        <v>15</v>
      </c>
      <c r="L7" s="70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0"/>
    </row>
    <row r="8" spans="1:1024">
      <c r="A8" s="69" t="s">
        <v>39685</v>
      </c>
      <c r="B8" s="70" t="s">
        <v>39686</v>
      </c>
      <c r="C8" s="70">
        <v>3</v>
      </c>
      <c r="D8" s="70">
        <v>26557</v>
      </c>
      <c r="E8" s="70" t="s">
        <v>39689</v>
      </c>
      <c r="F8" s="70">
        <v>27133</v>
      </c>
      <c r="G8" s="70">
        <v>131</v>
      </c>
      <c r="H8" s="70">
        <v>26688</v>
      </c>
      <c r="I8" s="71">
        <v>1.3859999999999999</v>
      </c>
      <c r="J8" s="70">
        <v>8</v>
      </c>
      <c r="K8" s="70">
        <v>21</v>
      </c>
      <c r="L8" s="70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0"/>
    </row>
    <row r="9" spans="1:1024">
      <c r="A9" s="69" t="s">
        <v>39685</v>
      </c>
      <c r="B9" s="70" t="s">
        <v>39686</v>
      </c>
      <c r="C9" s="70">
        <v>4</v>
      </c>
      <c r="D9" s="70">
        <v>13957</v>
      </c>
      <c r="E9" s="70" t="s">
        <v>39690</v>
      </c>
      <c r="F9" s="70">
        <v>665923</v>
      </c>
      <c r="G9" s="70">
        <v>154723</v>
      </c>
      <c r="H9" s="70">
        <v>168680</v>
      </c>
      <c r="I9" s="71">
        <v>1.78</v>
      </c>
      <c r="J9" s="70">
        <v>5</v>
      </c>
      <c r="K9" s="70">
        <v>13</v>
      </c>
      <c r="L9" s="70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0"/>
    </row>
    <row r="10" spans="1:1024">
      <c r="A10" s="69" t="s">
        <v>39685</v>
      </c>
      <c r="B10" s="70" t="s">
        <v>39686</v>
      </c>
      <c r="C10" s="70">
        <v>5</v>
      </c>
      <c r="D10" s="70">
        <v>17991</v>
      </c>
      <c r="E10" s="70" t="s">
        <v>39691</v>
      </c>
      <c r="F10" s="70">
        <v>1418682</v>
      </c>
      <c r="G10" s="70">
        <v>892828</v>
      </c>
      <c r="H10" s="70">
        <v>910819</v>
      </c>
      <c r="I10" s="71">
        <v>1.381</v>
      </c>
      <c r="J10" s="70">
        <v>5</v>
      </c>
      <c r="K10" s="70">
        <v>15</v>
      </c>
      <c r="L10" s="70" t="s">
        <v>39692</v>
      </c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  <c r="IS10" s="65"/>
      <c r="IT10" s="65"/>
      <c r="IU10" s="65"/>
      <c r="IV10" s="65"/>
      <c r="IW10" s="65"/>
      <c r="IX10" s="65"/>
      <c r="IY10" s="65"/>
      <c r="IZ10" s="65"/>
      <c r="JA10" s="65"/>
      <c r="JB10" s="65"/>
      <c r="JC10" s="65"/>
      <c r="JD10" s="65"/>
      <c r="JE10" s="65"/>
      <c r="JF10" s="65"/>
      <c r="JG10" s="65"/>
      <c r="JH10" s="65"/>
      <c r="JI10" s="65"/>
      <c r="JJ10" s="65"/>
      <c r="JK10" s="65"/>
      <c r="JL10" s="65"/>
      <c r="JM10" s="65"/>
      <c r="JN10" s="65"/>
      <c r="JO10" s="65"/>
      <c r="JP10" s="65"/>
      <c r="JQ10" s="65"/>
      <c r="JR10" s="65"/>
      <c r="JS10" s="65"/>
      <c r="JT10" s="65"/>
      <c r="JU10" s="65"/>
      <c r="JV10" s="65"/>
      <c r="JW10" s="65"/>
      <c r="JX10" s="65"/>
      <c r="JY10" s="65"/>
      <c r="JZ10" s="65"/>
      <c r="KA10" s="65"/>
      <c r="KB10" s="65"/>
      <c r="KC10" s="65"/>
      <c r="KD10" s="65"/>
      <c r="KE10" s="65"/>
      <c r="KF10" s="65"/>
      <c r="KG10" s="65"/>
      <c r="KH10" s="65"/>
      <c r="KI10" s="65"/>
      <c r="KJ10" s="65"/>
      <c r="KK10" s="65"/>
      <c r="KL10" s="65"/>
      <c r="KM10" s="65"/>
      <c r="KN10" s="65"/>
      <c r="KO10" s="65"/>
      <c r="KP10" s="65"/>
      <c r="KQ10" s="65"/>
      <c r="KR10" s="65"/>
      <c r="KS10" s="65"/>
      <c r="KT10" s="65"/>
      <c r="KU10" s="65"/>
      <c r="KV10" s="65"/>
      <c r="KW10" s="65"/>
      <c r="KX10" s="65"/>
      <c r="KY10" s="65"/>
      <c r="KZ10" s="65"/>
      <c r="LA10" s="65"/>
      <c r="LB10" s="65"/>
      <c r="LC10" s="65"/>
      <c r="LD10" s="65"/>
      <c r="LE10" s="65"/>
      <c r="LF10" s="65"/>
      <c r="LG10" s="65"/>
      <c r="LH10" s="65"/>
      <c r="LI10" s="65"/>
      <c r="LJ10" s="65"/>
      <c r="LK10" s="65"/>
      <c r="LL10" s="65"/>
      <c r="LM10" s="65"/>
      <c r="LN10" s="65"/>
      <c r="LO10" s="65"/>
      <c r="LP10" s="65"/>
      <c r="LQ10" s="65"/>
      <c r="LR10" s="65"/>
      <c r="LS10" s="65"/>
      <c r="LT10" s="65"/>
      <c r="LU10" s="65"/>
      <c r="LV10" s="65"/>
      <c r="LW10" s="65"/>
      <c r="LX10" s="65"/>
      <c r="LY10" s="65"/>
      <c r="LZ10" s="65"/>
      <c r="MA10" s="65"/>
      <c r="MB10" s="65"/>
      <c r="MC10" s="65"/>
      <c r="MD10" s="65"/>
      <c r="ME10" s="65"/>
      <c r="MF10" s="65"/>
      <c r="MG10" s="65"/>
      <c r="MH10" s="65"/>
      <c r="MI10" s="65"/>
      <c r="MJ10" s="65"/>
      <c r="MK10" s="65"/>
      <c r="ML10" s="65"/>
      <c r="MM10" s="65"/>
      <c r="MN10" s="65"/>
      <c r="MO10" s="65"/>
      <c r="MP10" s="65"/>
      <c r="MQ10" s="65"/>
      <c r="MR10" s="65"/>
      <c r="MS10" s="65"/>
      <c r="MT10" s="65"/>
      <c r="MU10" s="65"/>
      <c r="MV10" s="65"/>
      <c r="MW10" s="65"/>
      <c r="MX10" s="65"/>
      <c r="MY10" s="65"/>
      <c r="MZ10" s="65"/>
      <c r="NA10" s="65"/>
      <c r="NB10" s="65"/>
      <c r="NC10" s="65"/>
      <c r="ND10" s="65"/>
      <c r="NE10" s="65"/>
      <c r="NF10" s="65"/>
      <c r="NG10" s="65"/>
      <c r="NH10" s="65"/>
      <c r="NI10" s="65"/>
      <c r="NJ10" s="65"/>
      <c r="NK10" s="65"/>
      <c r="NL10" s="65"/>
      <c r="NM10" s="65"/>
      <c r="NN10" s="65"/>
      <c r="NO10" s="65"/>
      <c r="NP10" s="65"/>
      <c r="NQ10" s="65"/>
      <c r="NR10" s="65"/>
      <c r="NS10" s="65"/>
      <c r="NT10" s="65"/>
      <c r="NU10" s="65"/>
      <c r="NV10" s="65"/>
      <c r="NW10" s="65"/>
      <c r="NX10" s="65"/>
      <c r="NY10" s="65"/>
      <c r="NZ10" s="65"/>
      <c r="OA10" s="65"/>
      <c r="OB10" s="65"/>
      <c r="OC10" s="65"/>
      <c r="OD10" s="65"/>
      <c r="OE10" s="65"/>
      <c r="OF10" s="65"/>
      <c r="OG10" s="65"/>
      <c r="OH10" s="65"/>
      <c r="OI10" s="65"/>
      <c r="OJ10" s="65"/>
      <c r="OK10" s="65"/>
      <c r="OL10" s="65"/>
      <c r="OM10" s="65"/>
      <c r="ON10" s="65"/>
      <c r="OO10" s="65"/>
      <c r="OP10" s="65"/>
      <c r="OQ10" s="65"/>
      <c r="OR10" s="65"/>
      <c r="OS10" s="65"/>
      <c r="OT10" s="65"/>
      <c r="OU10" s="65"/>
      <c r="OV10" s="65"/>
      <c r="OW10" s="65"/>
      <c r="OX10" s="65"/>
      <c r="OY10" s="65"/>
      <c r="OZ10" s="65"/>
      <c r="PA10" s="65"/>
      <c r="PB10" s="65"/>
      <c r="PC10" s="65"/>
      <c r="PD10" s="65"/>
      <c r="PE10" s="65"/>
      <c r="PF10" s="65"/>
      <c r="PG10" s="65"/>
      <c r="PH10" s="65"/>
      <c r="PI10" s="65"/>
      <c r="PJ10" s="65"/>
      <c r="PK10" s="65"/>
      <c r="PL10" s="65"/>
      <c r="PM10" s="65"/>
      <c r="PN10" s="65"/>
      <c r="PO10" s="65"/>
      <c r="PP10" s="65"/>
      <c r="PQ10" s="65"/>
      <c r="PR10" s="65"/>
      <c r="PS10" s="65"/>
      <c r="PT10" s="65"/>
      <c r="PU10" s="65"/>
      <c r="PV10" s="65"/>
      <c r="PW10" s="65"/>
      <c r="PX10" s="65"/>
      <c r="PY10" s="65"/>
      <c r="PZ10" s="65"/>
      <c r="QA10" s="65"/>
      <c r="QB10" s="65"/>
      <c r="QC10" s="65"/>
      <c r="QD10" s="65"/>
      <c r="QE10" s="65"/>
      <c r="QF10" s="65"/>
      <c r="QG10" s="65"/>
      <c r="QH10" s="65"/>
      <c r="QI10" s="65"/>
      <c r="QJ10" s="65"/>
      <c r="QK10" s="65"/>
      <c r="QL10" s="65"/>
      <c r="QM10" s="65"/>
      <c r="QN10" s="65"/>
      <c r="QO10" s="65"/>
      <c r="QP10" s="65"/>
      <c r="QQ10" s="65"/>
      <c r="QR10" s="65"/>
      <c r="QS10" s="65"/>
      <c r="QT10" s="65"/>
      <c r="QU10" s="65"/>
      <c r="QV10" s="65"/>
      <c r="QW10" s="65"/>
      <c r="QX10" s="65"/>
      <c r="QY10" s="65"/>
      <c r="QZ10" s="65"/>
      <c r="RA10" s="65"/>
      <c r="RB10" s="65"/>
      <c r="RC10" s="65"/>
      <c r="RD10" s="65"/>
      <c r="RE10" s="65"/>
      <c r="RF10" s="65"/>
      <c r="RG10" s="65"/>
      <c r="RH10" s="65"/>
      <c r="RI10" s="65"/>
      <c r="RJ10" s="65"/>
      <c r="RK10" s="65"/>
      <c r="RL10" s="65"/>
      <c r="RM10" s="65"/>
      <c r="RN10" s="65"/>
      <c r="RO10" s="65"/>
      <c r="RP10" s="65"/>
      <c r="RQ10" s="65"/>
      <c r="RR10" s="65"/>
      <c r="RS10" s="65"/>
      <c r="RT10" s="65"/>
      <c r="RU10" s="65"/>
      <c r="RV10" s="65"/>
      <c r="RW10" s="65"/>
      <c r="RX10" s="65"/>
      <c r="RY10" s="65"/>
      <c r="RZ10" s="65"/>
      <c r="SA10" s="65"/>
      <c r="SB10" s="65"/>
      <c r="SC10" s="65"/>
      <c r="SD10" s="65"/>
      <c r="SE10" s="65"/>
      <c r="SF10" s="65"/>
      <c r="SG10" s="65"/>
      <c r="SH10" s="65"/>
      <c r="SI10" s="65"/>
      <c r="SJ10" s="65"/>
      <c r="SK10" s="65"/>
      <c r="SL10" s="65"/>
      <c r="SM10" s="65"/>
      <c r="SN10" s="65"/>
      <c r="SO10" s="65"/>
      <c r="SP10" s="65"/>
      <c r="SQ10" s="65"/>
      <c r="SR10" s="65"/>
      <c r="SS10" s="65"/>
      <c r="ST10" s="65"/>
      <c r="SU10" s="65"/>
      <c r="SV10" s="65"/>
      <c r="SW10" s="65"/>
      <c r="SX10" s="65"/>
      <c r="SY10" s="65"/>
      <c r="SZ10" s="65"/>
      <c r="TA10" s="65"/>
      <c r="TB10" s="65"/>
      <c r="TC10" s="65"/>
      <c r="TD10" s="65"/>
      <c r="TE10" s="65"/>
      <c r="TF10" s="65"/>
      <c r="TG10" s="65"/>
      <c r="TH10" s="65"/>
      <c r="TI10" s="65"/>
      <c r="TJ10" s="65"/>
      <c r="TK10" s="65"/>
      <c r="TL10" s="65"/>
      <c r="TM10" s="65"/>
      <c r="TN10" s="65"/>
      <c r="TO10" s="65"/>
      <c r="TP10" s="65"/>
      <c r="TQ10" s="65"/>
      <c r="TR10" s="65"/>
      <c r="TS10" s="65"/>
      <c r="TT10" s="65"/>
      <c r="TU10" s="65"/>
      <c r="TV10" s="65"/>
      <c r="TW10" s="65"/>
      <c r="TX10" s="65"/>
      <c r="TY10" s="65"/>
      <c r="TZ10" s="65"/>
      <c r="UA10" s="65"/>
      <c r="UB10" s="65"/>
      <c r="UC10" s="65"/>
      <c r="UD10" s="65"/>
      <c r="UE10" s="65"/>
      <c r="UF10" s="65"/>
      <c r="UG10" s="65"/>
      <c r="UH10" s="65"/>
      <c r="UI10" s="65"/>
      <c r="UJ10" s="65"/>
      <c r="UK10" s="65"/>
      <c r="UL10" s="65"/>
      <c r="UM10" s="65"/>
      <c r="UN10" s="65"/>
      <c r="UO10" s="65"/>
      <c r="UP10" s="65"/>
      <c r="UQ10" s="65"/>
      <c r="UR10" s="65"/>
      <c r="US10" s="65"/>
      <c r="UT10" s="65"/>
      <c r="UU10" s="65"/>
      <c r="UV10" s="65"/>
      <c r="UW10" s="65"/>
      <c r="UX10" s="65"/>
      <c r="UY10" s="65"/>
      <c r="UZ10" s="65"/>
      <c r="VA10" s="65"/>
      <c r="VB10" s="65"/>
      <c r="VC10" s="65"/>
      <c r="VD10" s="65"/>
      <c r="VE10" s="65"/>
      <c r="VF10" s="65"/>
      <c r="VG10" s="65"/>
      <c r="VH10" s="65"/>
      <c r="VI10" s="65"/>
      <c r="VJ10" s="65"/>
      <c r="VK10" s="65"/>
      <c r="VL10" s="65"/>
      <c r="VM10" s="65"/>
      <c r="VN10" s="65"/>
      <c r="VO10" s="65"/>
      <c r="VP10" s="65"/>
      <c r="VQ10" s="65"/>
      <c r="VR10" s="65"/>
      <c r="VS10" s="65"/>
      <c r="VT10" s="65"/>
      <c r="VU10" s="65"/>
      <c r="VV10" s="65"/>
      <c r="VW10" s="65"/>
      <c r="VX10" s="65"/>
      <c r="VY10" s="65"/>
      <c r="VZ10" s="65"/>
      <c r="WA10" s="65"/>
      <c r="WB10" s="65"/>
      <c r="WC10" s="65"/>
      <c r="WD10" s="65"/>
      <c r="WE10" s="65"/>
      <c r="WF10" s="65"/>
      <c r="WG10" s="65"/>
      <c r="WH10" s="65"/>
      <c r="WI10" s="65"/>
      <c r="WJ10" s="65"/>
      <c r="WK10" s="65"/>
      <c r="WL10" s="65"/>
      <c r="WM10" s="65"/>
      <c r="WN10" s="65"/>
      <c r="WO10" s="65"/>
      <c r="WP10" s="65"/>
      <c r="WQ10" s="65"/>
      <c r="WR10" s="65"/>
      <c r="WS10" s="65"/>
      <c r="WT10" s="65"/>
      <c r="WU10" s="65"/>
      <c r="WV10" s="65"/>
      <c r="WW10" s="65"/>
      <c r="WX10" s="65"/>
      <c r="WY10" s="65"/>
      <c r="WZ10" s="65"/>
      <c r="XA10" s="65"/>
      <c r="XB10" s="65"/>
      <c r="XC10" s="65"/>
      <c r="XD10" s="65"/>
      <c r="XE10" s="65"/>
      <c r="XF10" s="65"/>
      <c r="XG10" s="65"/>
      <c r="XH10" s="65"/>
      <c r="XI10" s="65"/>
      <c r="XJ10" s="65"/>
      <c r="XK10" s="65"/>
      <c r="XL10" s="65"/>
      <c r="XM10" s="65"/>
      <c r="XN10" s="65"/>
      <c r="XO10" s="65"/>
      <c r="XP10" s="65"/>
      <c r="XQ10" s="65"/>
      <c r="XR10" s="65"/>
      <c r="XS10" s="65"/>
      <c r="XT10" s="65"/>
      <c r="XU10" s="65"/>
      <c r="XV10" s="65"/>
      <c r="XW10" s="65"/>
      <c r="XX10" s="65"/>
      <c r="XY10" s="65"/>
      <c r="XZ10" s="65"/>
      <c r="YA10" s="65"/>
      <c r="YB10" s="65"/>
      <c r="YC10" s="65"/>
      <c r="YD10" s="65"/>
      <c r="YE10" s="65"/>
      <c r="YF10" s="65"/>
      <c r="YG10" s="65"/>
      <c r="YH10" s="65"/>
      <c r="YI10" s="65"/>
      <c r="YJ10" s="65"/>
      <c r="YK10" s="65"/>
      <c r="YL10" s="65"/>
      <c r="YM10" s="65"/>
      <c r="YN10" s="65"/>
      <c r="YO10" s="65"/>
      <c r="YP10" s="65"/>
      <c r="YQ10" s="65"/>
      <c r="YR10" s="65"/>
      <c r="YS10" s="65"/>
      <c r="YT10" s="65"/>
      <c r="YU10" s="65"/>
      <c r="YV10" s="65"/>
      <c r="YW10" s="65"/>
      <c r="YX10" s="65"/>
      <c r="YY10" s="65"/>
      <c r="YZ10" s="65"/>
      <c r="ZA10" s="65"/>
      <c r="ZB10" s="65"/>
      <c r="ZC10" s="65"/>
      <c r="ZD10" s="65"/>
      <c r="ZE10" s="65"/>
      <c r="ZF10" s="65"/>
      <c r="ZG10" s="65"/>
      <c r="ZH10" s="65"/>
      <c r="ZI10" s="65"/>
      <c r="ZJ10" s="65"/>
      <c r="ZK10" s="65"/>
      <c r="ZL10" s="65"/>
      <c r="ZM10" s="65"/>
      <c r="ZN10" s="65"/>
      <c r="ZO10" s="65"/>
      <c r="ZP10" s="65"/>
      <c r="ZQ10" s="65"/>
      <c r="ZR10" s="65"/>
      <c r="ZS10" s="65"/>
      <c r="ZT10" s="65"/>
      <c r="ZU10" s="65"/>
      <c r="ZV10" s="65"/>
      <c r="ZW10" s="65"/>
      <c r="ZX10" s="65"/>
      <c r="ZY10" s="65"/>
      <c r="ZZ10" s="65"/>
      <c r="AAA10" s="65"/>
      <c r="AAB10" s="65"/>
      <c r="AAC10" s="65"/>
      <c r="AAD10" s="65"/>
      <c r="AAE10" s="65"/>
      <c r="AAF10" s="65"/>
      <c r="AAG10" s="65"/>
      <c r="AAH10" s="65"/>
      <c r="AAI10" s="65"/>
      <c r="AAJ10" s="65"/>
      <c r="AAK10" s="65"/>
      <c r="AAL10" s="65"/>
      <c r="AAM10" s="65"/>
      <c r="AAN10" s="65"/>
      <c r="AAO10" s="65"/>
      <c r="AAP10" s="65"/>
      <c r="AAQ10" s="65"/>
      <c r="AAR10" s="65"/>
      <c r="AAS10" s="65"/>
      <c r="AAT10" s="65"/>
      <c r="AAU10" s="65"/>
      <c r="AAV10" s="65"/>
      <c r="AAW10" s="65"/>
      <c r="AAX10" s="65"/>
      <c r="AAY10" s="65"/>
      <c r="AAZ10" s="65"/>
      <c r="ABA10" s="65"/>
      <c r="ABB10" s="65"/>
      <c r="ABC10" s="65"/>
      <c r="ABD10" s="65"/>
      <c r="ABE10" s="65"/>
      <c r="ABF10" s="65"/>
      <c r="ABG10" s="65"/>
      <c r="ABH10" s="65"/>
      <c r="ABI10" s="65"/>
      <c r="ABJ10" s="65"/>
      <c r="ABK10" s="65"/>
      <c r="ABL10" s="65"/>
      <c r="ABM10" s="65"/>
      <c r="ABN10" s="65"/>
      <c r="ABO10" s="65"/>
      <c r="ABP10" s="65"/>
      <c r="ABQ10" s="65"/>
      <c r="ABR10" s="65"/>
      <c r="ABS10" s="65"/>
      <c r="ABT10" s="65"/>
      <c r="ABU10" s="65"/>
      <c r="ABV10" s="65"/>
      <c r="ABW10" s="65"/>
      <c r="ABX10" s="65"/>
      <c r="ABY10" s="65"/>
      <c r="ABZ10" s="65"/>
      <c r="ACA10" s="65"/>
      <c r="ACB10" s="65"/>
      <c r="ACC10" s="65"/>
      <c r="ACD10" s="65"/>
      <c r="ACE10" s="65"/>
      <c r="ACF10" s="65"/>
      <c r="ACG10" s="65"/>
      <c r="ACH10" s="65"/>
      <c r="ACI10" s="65"/>
      <c r="ACJ10" s="65"/>
      <c r="ACK10" s="65"/>
      <c r="ACL10" s="65"/>
      <c r="ACM10" s="65"/>
      <c r="ACN10" s="65"/>
      <c r="ACO10" s="65"/>
      <c r="ACP10" s="65"/>
      <c r="ACQ10" s="65"/>
      <c r="ACR10" s="65"/>
      <c r="ACS10" s="65"/>
      <c r="ACT10" s="65"/>
      <c r="ACU10" s="65"/>
      <c r="ACV10" s="65"/>
      <c r="ACW10" s="65"/>
      <c r="ACX10" s="65"/>
      <c r="ACY10" s="65"/>
      <c r="ACZ10" s="65"/>
      <c r="ADA10" s="65"/>
      <c r="ADB10" s="65"/>
      <c r="ADC10" s="65"/>
      <c r="ADD10" s="65"/>
      <c r="ADE10" s="65"/>
      <c r="ADF10" s="65"/>
      <c r="ADG10" s="65"/>
      <c r="ADH10" s="65"/>
      <c r="ADI10" s="65"/>
      <c r="ADJ10" s="65"/>
      <c r="ADK10" s="65"/>
      <c r="ADL10" s="65"/>
      <c r="ADM10" s="65"/>
      <c r="ADN10" s="65"/>
      <c r="ADO10" s="65"/>
      <c r="ADP10" s="65"/>
      <c r="ADQ10" s="65"/>
      <c r="ADR10" s="65"/>
      <c r="ADS10" s="65"/>
      <c r="ADT10" s="65"/>
      <c r="ADU10" s="65"/>
      <c r="ADV10" s="65"/>
      <c r="ADW10" s="65"/>
      <c r="ADX10" s="65"/>
      <c r="ADY10" s="65"/>
      <c r="ADZ10" s="65"/>
      <c r="AEA10" s="65"/>
      <c r="AEB10" s="65"/>
      <c r="AEC10" s="65"/>
      <c r="AED10" s="65"/>
      <c r="AEE10" s="65"/>
      <c r="AEF10" s="65"/>
      <c r="AEG10" s="65"/>
      <c r="AEH10" s="65"/>
      <c r="AEI10" s="65"/>
      <c r="AEJ10" s="65"/>
      <c r="AEK10" s="65"/>
      <c r="AEL10" s="65"/>
      <c r="AEM10" s="65"/>
      <c r="AEN10" s="65"/>
      <c r="AEO10" s="65"/>
      <c r="AEP10" s="65"/>
      <c r="AEQ10" s="65"/>
      <c r="AER10" s="65"/>
      <c r="AES10" s="65"/>
      <c r="AET10" s="65"/>
      <c r="AEU10" s="65"/>
      <c r="AEV10" s="65"/>
      <c r="AEW10" s="65"/>
      <c r="AEX10" s="65"/>
      <c r="AEY10" s="65"/>
      <c r="AEZ10" s="65"/>
      <c r="AFA10" s="65"/>
      <c r="AFB10" s="65"/>
      <c r="AFC10" s="65"/>
      <c r="AFD10" s="65"/>
      <c r="AFE10" s="65"/>
      <c r="AFF10" s="65"/>
      <c r="AFG10" s="65"/>
      <c r="AFH10" s="65"/>
      <c r="AFI10" s="65"/>
      <c r="AFJ10" s="65"/>
      <c r="AFK10" s="65"/>
      <c r="AFL10" s="65"/>
      <c r="AFM10" s="65"/>
      <c r="AFN10" s="65"/>
      <c r="AFO10" s="65"/>
      <c r="AFP10" s="65"/>
      <c r="AFQ10" s="65"/>
      <c r="AFR10" s="65"/>
      <c r="AFS10" s="65"/>
      <c r="AFT10" s="65"/>
      <c r="AFU10" s="65"/>
      <c r="AFV10" s="65"/>
      <c r="AFW10" s="65"/>
      <c r="AFX10" s="65"/>
      <c r="AFY10" s="65"/>
      <c r="AFZ10" s="65"/>
      <c r="AGA10" s="65"/>
      <c r="AGB10" s="65"/>
      <c r="AGC10" s="65"/>
      <c r="AGD10" s="65"/>
      <c r="AGE10" s="65"/>
      <c r="AGF10" s="65"/>
      <c r="AGG10" s="65"/>
      <c r="AGH10" s="65"/>
      <c r="AGI10" s="65"/>
      <c r="AGJ10" s="65"/>
      <c r="AGK10" s="65"/>
      <c r="AGL10" s="65"/>
      <c r="AGM10" s="65"/>
      <c r="AGN10" s="65"/>
      <c r="AGO10" s="65"/>
      <c r="AGP10" s="65"/>
      <c r="AGQ10" s="65"/>
      <c r="AGR10" s="65"/>
      <c r="AGS10" s="65"/>
      <c r="AGT10" s="65"/>
      <c r="AGU10" s="65"/>
      <c r="AGV10" s="65"/>
      <c r="AGW10" s="65"/>
      <c r="AGX10" s="65"/>
      <c r="AGY10" s="65"/>
      <c r="AGZ10" s="65"/>
      <c r="AHA10" s="65"/>
      <c r="AHB10" s="65"/>
      <c r="AHC10" s="65"/>
      <c r="AHD10" s="65"/>
      <c r="AHE10" s="65"/>
      <c r="AHF10" s="65"/>
      <c r="AHG10" s="65"/>
      <c r="AHH10" s="65"/>
      <c r="AHI10" s="65"/>
      <c r="AHJ10" s="65"/>
      <c r="AHK10" s="65"/>
      <c r="AHL10" s="65"/>
      <c r="AHM10" s="65"/>
      <c r="AHN10" s="65"/>
      <c r="AHO10" s="65"/>
      <c r="AHP10" s="65"/>
      <c r="AHQ10" s="65"/>
      <c r="AHR10" s="65"/>
      <c r="AHS10" s="65"/>
      <c r="AHT10" s="65"/>
      <c r="AHU10" s="65"/>
      <c r="AHV10" s="65"/>
      <c r="AHW10" s="65"/>
      <c r="AHX10" s="65"/>
      <c r="AHY10" s="65"/>
      <c r="AHZ10" s="65"/>
      <c r="AIA10" s="65"/>
      <c r="AIB10" s="65"/>
      <c r="AIC10" s="65"/>
      <c r="AID10" s="65"/>
      <c r="AIE10" s="65"/>
      <c r="AIF10" s="65"/>
      <c r="AIG10" s="65"/>
      <c r="AIH10" s="65"/>
      <c r="AII10" s="65"/>
      <c r="AIJ10" s="65"/>
      <c r="AIK10" s="65"/>
      <c r="AIL10" s="65"/>
      <c r="AIM10" s="65"/>
      <c r="AIN10" s="65"/>
      <c r="AIO10" s="65"/>
      <c r="AIP10" s="65"/>
      <c r="AIQ10" s="65"/>
      <c r="AIR10" s="65"/>
      <c r="AIS10" s="65"/>
      <c r="AIT10" s="65"/>
      <c r="AIU10" s="65"/>
      <c r="AIV10" s="65"/>
      <c r="AIW10" s="65"/>
      <c r="AIX10" s="65"/>
      <c r="AIY10" s="65"/>
      <c r="AIZ10" s="65"/>
      <c r="AJA10" s="65"/>
      <c r="AJB10" s="65"/>
      <c r="AJC10" s="65"/>
      <c r="AJD10" s="65"/>
      <c r="AJE10" s="65"/>
      <c r="AJF10" s="65"/>
      <c r="AJG10" s="65"/>
      <c r="AJH10" s="65"/>
      <c r="AJI10" s="65"/>
      <c r="AJJ10" s="65"/>
      <c r="AJK10" s="65"/>
      <c r="AJL10" s="65"/>
      <c r="AJM10" s="65"/>
      <c r="AJN10" s="65"/>
      <c r="AJO10" s="65"/>
      <c r="AJP10" s="65"/>
      <c r="AJQ10" s="65"/>
      <c r="AJR10" s="65"/>
      <c r="AJS10" s="65"/>
      <c r="AJT10" s="65"/>
      <c r="AJU10" s="65"/>
      <c r="AJV10" s="65"/>
      <c r="AJW10" s="65"/>
      <c r="AJX10" s="65"/>
      <c r="AJY10" s="65"/>
      <c r="AJZ10" s="65"/>
      <c r="AKA10" s="65"/>
      <c r="AKB10" s="65"/>
      <c r="AKC10" s="65"/>
      <c r="AKD10" s="65"/>
      <c r="AKE10" s="65"/>
      <c r="AKF10" s="65"/>
      <c r="AKG10" s="65"/>
      <c r="AKH10" s="65"/>
      <c r="AKI10" s="65"/>
      <c r="AKJ10" s="65"/>
      <c r="AKK10" s="65"/>
      <c r="AKL10" s="65"/>
      <c r="AKM10" s="65"/>
      <c r="AKN10" s="65"/>
      <c r="AKO10" s="65"/>
      <c r="AKP10" s="65"/>
      <c r="AKQ10" s="65"/>
      <c r="AKR10" s="65"/>
      <c r="AKS10" s="65"/>
      <c r="AKT10" s="65"/>
      <c r="AKU10" s="65"/>
      <c r="AKV10" s="65"/>
      <c r="AKW10" s="65"/>
      <c r="AKX10" s="65"/>
      <c r="AKY10" s="65"/>
      <c r="AKZ10" s="65"/>
      <c r="ALA10" s="65"/>
      <c r="ALB10" s="65"/>
      <c r="ALC10" s="65"/>
      <c r="ALD10" s="65"/>
      <c r="ALE10" s="65"/>
      <c r="ALF10" s="65"/>
      <c r="ALG10" s="65"/>
      <c r="ALH10" s="65"/>
      <c r="ALI10" s="65"/>
      <c r="ALJ10" s="65"/>
      <c r="ALK10" s="65"/>
      <c r="ALL10" s="65"/>
      <c r="ALM10" s="65"/>
      <c r="ALN10" s="65"/>
      <c r="ALO10" s="65"/>
      <c r="ALP10" s="65"/>
      <c r="ALQ10" s="65"/>
      <c r="ALR10" s="65"/>
      <c r="ALS10" s="65"/>
      <c r="ALT10" s="65"/>
      <c r="ALU10" s="65"/>
      <c r="ALV10" s="65"/>
      <c r="ALW10" s="65"/>
      <c r="ALX10" s="65"/>
      <c r="ALY10" s="65"/>
      <c r="ALZ10" s="65"/>
      <c r="AMA10" s="65"/>
      <c r="AMB10" s="65"/>
      <c r="AMC10" s="65"/>
      <c r="AMD10" s="65"/>
      <c r="AME10" s="65"/>
      <c r="AMF10" s="65"/>
      <c r="AMG10" s="65"/>
      <c r="AMH10" s="65"/>
      <c r="AMI10" s="65"/>
      <c r="AMJ10" s="60"/>
    </row>
    <row r="11" spans="1:1024">
      <c r="A11" s="69" t="s">
        <v>39685</v>
      </c>
      <c r="B11" s="70" t="s">
        <v>39686</v>
      </c>
      <c r="C11" s="70">
        <v>6</v>
      </c>
      <c r="D11" s="70">
        <v>13385</v>
      </c>
      <c r="E11" s="70" t="s">
        <v>39693</v>
      </c>
      <c r="F11" s="70">
        <v>265536</v>
      </c>
      <c r="G11" s="70">
        <v>197252</v>
      </c>
      <c r="H11" s="70">
        <v>210637</v>
      </c>
      <c r="I11" s="71">
        <v>1.4770000000000001</v>
      </c>
      <c r="J11" s="70">
        <v>6</v>
      </c>
      <c r="K11" s="70">
        <v>13</v>
      </c>
      <c r="L11" s="70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65"/>
      <c r="IA11" s="65"/>
      <c r="IB11" s="65"/>
      <c r="IC11" s="65"/>
      <c r="ID11" s="65"/>
      <c r="IE11" s="65"/>
      <c r="IF11" s="65"/>
      <c r="IG11" s="65"/>
      <c r="IH11" s="65"/>
      <c r="II11" s="65"/>
      <c r="IJ11" s="65"/>
      <c r="IK11" s="65"/>
      <c r="IL11" s="65"/>
      <c r="IM11" s="65"/>
      <c r="IN11" s="65"/>
      <c r="IO11" s="65"/>
      <c r="IP11" s="65"/>
      <c r="IQ11" s="65"/>
      <c r="IR11" s="65"/>
      <c r="IS11" s="65"/>
      <c r="IT11" s="65"/>
      <c r="IU11" s="65"/>
      <c r="IV11" s="65"/>
      <c r="IW11" s="65"/>
      <c r="IX11" s="65"/>
      <c r="IY11" s="65"/>
      <c r="IZ11" s="65"/>
      <c r="JA11" s="65"/>
      <c r="JB11" s="65"/>
      <c r="JC11" s="65"/>
      <c r="JD11" s="65"/>
      <c r="JE11" s="65"/>
      <c r="JF11" s="65"/>
      <c r="JG11" s="65"/>
      <c r="JH11" s="65"/>
      <c r="JI11" s="65"/>
      <c r="JJ11" s="65"/>
      <c r="JK11" s="65"/>
      <c r="JL11" s="65"/>
      <c r="JM11" s="65"/>
      <c r="JN11" s="65"/>
      <c r="JO11" s="65"/>
      <c r="JP11" s="65"/>
      <c r="JQ11" s="65"/>
      <c r="JR11" s="65"/>
      <c r="JS11" s="65"/>
      <c r="JT11" s="65"/>
      <c r="JU11" s="65"/>
      <c r="JV11" s="65"/>
      <c r="JW11" s="65"/>
      <c r="JX11" s="65"/>
      <c r="JY11" s="65"/>
      <c r="JZ11" s="65"/>
      <c r="KA11" s="65"/>
      <c r="KB11" s="65"/>
      <c r="KC11" s="65"/>
      <c r="KD11" s="65"/>
      <c r="KE11" s="65"/>
      <c r="KF11" s="65"/>
      <c r="KG11" s="65"/>
      <c r="KH11" s="65"/>
      <c r="KI11" s="65"/>
      <c r="KJ11" s="65"/>
      <c r="KK11" s="65"/>
      <c r="KL11" s="65"/>
      <c r="KM11" s="65"/>
      <c r="KN11" s="65"/>
      <c r="KO11" s="65"/>
      <c r="KP11" s="65"/>
      <c r="KQ11" s="65"/>
      <c r="KR11" s="65"/>
      <c r="KS11" s="65"/>
      <c r="KT11" s="65"/>
      <c r="KU11" s="65"/>
      <c r="KV11" s="65"/>
      <c r="KW11" s="65"/>
      <c r="KX11" s="65"/>
      <c r="KY11" s="65"/>
      <c r="KZ11" s="65"/>
      <c r="LA11" s="65"/>
      <c r="LB11" s="65"/>
      <c r="LC11" s="65"/>
      <c r="LD11" s="65"/>
      <c r="LE11" s="65"/>
      <c r="LF11" s="65"/>
      <c r="LG11" s="65"/>
      <c r="LH11" s="65"/>
      <c r="LI11" s="65"/>
      <c r="LJ11" s="65"/>
      <c r="LK11" s="65"/>
      <c r="LL11" s="65"/>
      <c r="LM11" s="65"/>
      <c r="LN11" s="65"/>
      <c r="LO11" s="65"/>
      <c r="LP11" s="65"/>
      <c r="LQ11" s="65"/>
      <c r="LR11" s="65"/>
      <c r="LS11" s="65"/>
      <c r="LT11" s="65"/>
      <c r="LU11" s="65"/>
      <c r="LV11" s="65"/>
      <c r="LW11" s="65"/>
      <c r="LX11" s="65"/>
      <c r="LY11" s="65"/>
      <c r="LZ11" s="65"/>
      <c r="MA11" s="65"/>
      <c r="MB11" s="65"/>
      <c r="MC11" s="65"/>
      <c r="MD11" s="65"/>
      <c r="ME11" s="65"/>
      <c r="MF11" s="65"/>
      <c r="MG11" s="65"/>
      <c r="MH11" s="65"/>
      <c r="MI11" s="65"/>
      <c r="MJ11" s="65"/>
      <c r="MK11" s="65"/>
      <c r="ML11" s="65"/>
      <c r="MM11" s="65"/>
      <c r="MN11" s="65"/>
      <c r="MO11" s="65"/>
      <c r="MP11" s="65"/>
      <c r="MQ11" s="65"/>
      <c r="MR11" s="65"/>
      <c r="MS11" s="65"/>
      <c r="MT11" s="65"/>
      <c r="MU11" s="65"/>
      <c r="MV11" s="65"/>
      <c r="MW11" s="65"/>
      <c r="MX11" s="65"/>
      <c r="MY11" s="65"/>
      <c r="MZ11" s="65"/>
      <c r="NA11" s="65"/>
      <c r="NB11" s="65"/>
      <c r="NC11" s="65"/>
      <c r="ND11" s="65"/>
      <c r="NE11" s="65"/>
      <c r="NF11" s="65"/>
      <c r="NG11" s="65"/>
      <c r="NH11" s="65"/>
      <c r="NI11" s="65"/>
      <c r="NJ11" s="65"/>
      <c r="NK11" s="65"/>
      <c r="NL11" s="65"/>
      <c r="NM11" s="65"/>
      <c r="NN11" s="65"/>
      <c r="NO11" s="65"/>
      <c r="NP11" s="65"/>
      <c r="NQ11" s="65"/>
      <c r="NR11" s="65"/>
      <c r="NS11" s="65"/>
      <c r="NT11" s="65"/>
      <c r="NU11" s="65"/>
      <c r="NV11" s="65"/>
      <c r="NW11" s="65"/>
      <c r="NX11" s="65"/>
      <c r="NY11" s="65"/>
      <c r="NZ11" s="65"/>
      <c r="OA11" s="65"/>
      <c r="OB11" s="65"/>
      <c r="OC11" s="65"/>
      <c r="OD11" s="65"/>
      <c r="OE11" s="65"/>
      <c r="OF11" s="65"/>
      <c r="OG11" s="65"/>
      <c r="OH11" s="65"/>
      <c r="OI11" s="65"/>
      <c r="OJ11" s="65"/>
      <c r="OK11" s="65"/>
      <c r="OL11" s="65"/>
      <c r="OM11" s="65"/>
      <c r="ON11" s="65"/>
      <c r="OO11" s="65"/>
      <c r="OP11" s="65"/>
      <c r="OQ11" s="65"/>
      <c r="OR11" s="65"/>
      <c r="OS11" s="65"/>
      <c r="OT11" s="65"/>
      <c r="OU11" s="65"/>
      <c r="OV11" s="65"/>
      <c r="OW11" s="65"/>
      <c r="OX11" s="65"/>
      <c r="OY11" s="65"/>
      <c r="OZ11" s="65"/>
      <c r="PA11" s="65"/>
      <c r="PB11" s="65"/>
      <c r="PC11" s="65"/>
      <c r="PD11" s="65"/>
      <c r="PE11" s="65"/>
      <c r="PF11" s="65"/>
      <c r="PG11" s="65"/>
      <c r="PH11" s="65"/>
      <c r="PI11" s="65"/>
      <c r="PJ11" s="65"/>
      <c r="PK11" s="65"/>
      <c r="PL11" s="65"/>
      <c r="PM11" s="65"/>
      <c r="PN11" s="65"/>
      <c r="PO11" s="65"/>
      <c r="PP11" s="65"/>
      <c r="PQ11" s="65"/>
      <c r="PR11" s="65"/>
      <c r="PS11" s="65"/>
      <c r="PT11" s="65"/>
      <c r="PU11" s="65"/>
      <c r="PV11" s="65"/>
      <c r="PW11" s="65"/>
      <c r="PX11" s="65"/>
      <c r="PY11" s="65"/>
      <c r="PZ11" s="65"/>
      <c r="QA11" s="65"/>
      <c r="QB11" s="65"/>
      <c r="QC11" s="65"/>
      <c r="QD11" s="65"/>
      <c r="QE11" s="65"/>
      <c r="QF11" s="65"/>
      <c r="QG11" s="65"/>
      <c r="QH11" s="65"/>
      <c r="QI11" s="65"/>
      <c r="QJ11" s="65"/>
      <c r="QK11" s="65"/>
      <c r="QL11" s="65"/>
      <c r="QM11" s="65"/>
      <c r="QN11" s="65"/>
      <c r="QO11" s="65"/>
      <c r="QP11" s="65"/>
      <c r="QQ11" s="65"/>
      <c r="QR11" s="65"/>
      <c r="QS11" s="65"/>
      <c r="QT11" s="65"/>
      <c r="QU11" s="65"/>
      <c r="QV11" s="65"/>
      <c r="QW11" s="65"/>
      <c r="QX11" s="65"/>
      <c r="QY11" s="65"/>
      <c r="QZ11" s="65"/>
      <c r="RA11" s="65"/>
      <c r="RB11" s="65"/>
      <c r="RC11" s="65"/>
      <c r="RD11" s="65"/>
      <c r="RE11" s="65"/>
      <c r="RF11" s="65"/>
      <c r="RG11" s="65"/>
      <c r="RH11" s="65"/>
      <c r="RI11" s="65"/>
      <c r="RJ11" s="65"/>
      <c r="RK11" s="65"/>
      <c r="RL11" s="65"/>
      <c r="RM11" s="65"/>
      <c r="RN11" s="65"/>
      <c r="RO11" s="65"/>
      <c r="RP11" s="65"/>
      <c r="RQ11" s="65"/>
      <c r="RR11" s="65"/>
      <c r="RS11" s="65"/>
      <c r="RT11" s="65"/>
      <c r="RU11" s="65"/>
      <c r="RV11" s="65"/>
      <c r="RW11" s="65"/>
      <c r="RX11" s="65"/>
      <c r="RY11" s="65"/>
      <c r="RZ11" s="65"/>
      <c r="SA11" s="65"/>
      <c r="SB11" s="65"/>
      <c r="SC11" s="65"/>
      <c r="SD11" s="65"/>
      <c r="SE11" s="65"/>
      <c r="SF11" s="65"/>
      <c r="SG11" s="65"/>
      <c r="SH11" s="65"/>
      <c r="SI11" s="65"/>
      <c r="SJ11" s="65"/>
      <c r="SK11" s="65"/>
      <c r="SL11" s="65"/>
      <c r="SM11" s="65"/>
      <c r="SN11" s="65"/>
      <c r="SO11" s="65"/>
      <c r="SP11" s="65"/>
      <c r="SQ11" s="65"/>
      <c r="SR11" s="65"/>
      <c r="SS11" s="65"/>
      <c r="ST11" s="65"/>
      <c r="SU11" s="65"/>
      <c r="SV11" s="65"/>
      <c r="SW11" s="65"/>
      <c r="SX11" s="65"/>
      <c r="SY11" s="65"/>
      <c r="SZ11" s="65"/>
      <c r="TA11" s="65"/>
      <c r="TB11" s="65"/>
      <c r="TC11" s="65"/>
      <c r="TD11" s="65"/>
      <c r="TE11" s="65"/>
      <c r="TF11" s="65"/>
      <c r="TG11" s="65"/>
      <c r="TH11" s="65"/>
      <c r="TI11" s="65"/>
      <c r="TJ11" s="65"/>
      <c r="TK11" s="65"/>
      <c r="TL11" s="65"/>
      <c r="TM11" s="65"/>
      <c r="TN11" s="65"/>
      <c r="TO11" s="65"/>
      <c r="TP11" s="65"/>
      <c r="TQ11" s="65"/>
      <c r="TR11" s="65"/>
      <c r="TS11" s="65"/>
      <c r="TT11" s="65"/>
      <c r="TU11" s="65"/>
      <c r="TV11" s="65"/>
      <c r="TW11" s="65"/>
      <c r="TX11" s="65"/>
      <c r="TY11" s="65"/>
      <c r="TZ11" s="65"/>
      <c r="UA11" s="65"/>
      <c r="UB11" s="65"/>
      <c r="UC11" s="65"/>
      <c r="UD11" s="65"/>
      <c r="UE11" s="65"/>
      <c r="UF11" s="65"/>
      <c r="UG11" s="65"/>
      <c r="UH11" s="65"/>
      <c r="UI11" s="65"/>
      <c r="UJ11" s="65"/>
      <c r="UK11" s="65"/>
      <c r="UL11" s="65"/>
      <c r="UM11" s="65"/>
      <c r="UN11" s="65"/>
      <c r="UO11" s="65"/>
      <c r="UP11" s="65"/>
      <c r="UQ11" s="65"/>
      <c r="UR11" s="65"/>
      <c r="US11" s="65"/>
      <c r="UT11" s="65"/>
      <c r="UU11" s="65"/>
      <c r="UV11" s="65"/>
      <c r="UW11" s="65"/>
      <c r="UX11" s="65"/>
      <c r="UY11" s="65"/>
      <c r="UZ11" s="65"/>
      <c r="VA11" s="65"/>
      <c r="VB11" s="65"/>
      <c r="VC11" s="65"/>
      <c r="VD11" s="65"/>
      <c r="VE11" s="65"/>
      <c r="VF11" s="65"/>
      <c r="VG11" s="65"/>
      <c r="VH11" s="65"/>
      <c r="VI11" s="65"/>
      <c r="VJ11" s="65"/>
      <c r="VK11" s="65"/>
      <c r="VL11" s="65"/>
      <c r="VM11" s="65"/>
      <c r="VN11" s="65"/>
      <c r="VO11" s="65"/>
      <c r="VP11" s="65"/>
      <c r="VQ11" s="65"/>
      <c r="VR11" s="65"/>
      <c r="VS11" s="65"/>
      <c r="VT11" s="65"/>
      <c r="VU11" s="65"/>
      <c r="VV11" s="65"/>
      <c r="VW11" s="65"/>
      <c r="VX11" s="65"/>
      <c r="VY11" s="65"/>
      <c r="VZ11" s="65"/>
      <c r="WA11" s="65"/>
      <c r="WB11" s="65"/>
      <c r="WC11" s="65"/>
      <c r="WD11" s="65"/>
      <c r="WE11" s="65"/>
      <c r="WF11" s="65"/>
      <c r="WG11" s="65"/>
      <c r="WH11" s="65"/>
      <c r="WI11" s="65"/>
      <c r="WJ11" s="65"/>
      <c r="WK11" s="65"/>
      <c r="WL11" s="65"/>
      <c r="WM11" s="65"/>
      <c r="WN11" s="65"/>
      <c r="WO11" s="65"/>
      <c r="WP11" s="65"/>
      <c r="WQ11" s="65"/>
      <c r="WR11" s="65"/>
      <c r="WS11" s="65"/>
      <c r="WT11" s="65"/>
      <c r="WU11" s="65"/>
      <c r="WV11" s="65"/>
      <c r="WW11" s="65"/>
      <c r="WX11" s="65"/>
      <c r="WY11" s="65"/>
      <c r="WZ11" s="65"/>
      <c r="XA11" s="65"/>
      <c r="XB11" s="65"/>
      <c r="XC11" s="65"/>
      <c r="XD11" s="65"/>
      <c r="XE11" s="65"/>
      <c r="XF11" s="65"/>
      <c r="XG11" s="65"/>
      <c r="XH11" s="65"/>
      <c r="XI11" s="65"/>
      <c r="XJ11" s="65"/>
      <c r="XK11" s="65"/>
      <c r="XL11" s="65"/>
      <c r="XM11" s="65"/>
      <c r="XN11" s="65"/>
      <c r="XO11" s="65"/>
      <c r="XP11" s="65"/>
      <c r="XQ11" s="65"/>
      <c r="XR11" s="65"/>
      <c r="XS11" s="65"/>
      <c r="XT11" s="65"/>
      <c r="XU11" s="65"/>
      <c r="XV11" s="65"/>
      <c r="XW11" s="65"/>
      <c r="XX11" s="65"/>
      <c r="XY11" s="65"/>
      <c r="XZ11" s="65"/>
      <c r="YA11" s="65"/>
      <c r="YB11" s="65"/>
      <c r="YC11" s="65"/>
      <c r="YD11" s="65"/>
      <c r="YE11" s="65"/>
      <c r="YF11" s="65"/>
      <c r="YG11" s="65"/>
      <c r="YH11" s="65"/>
      <c r="YI11" s="65"/>
      <c r="YJ11" s="65"/>
      <c r="YK11" s="65"/>
      <c r="YL11" s="65"/>
      <c r="YM11" s="65"/>
      <c r="YN11" s="65"/>
      <c r="YO11" s="65"/>
      <c r="YP11" s="65"/>
      <c r="YQ11" s="65"/>
      <c r="YR11" s="65"/>
      <c r="YS11" s="65"/>
      <c r="YT11" s="65"/>
      <c r="YU11" s="65"/>
      <c r="YV11" s="65"/>
      <c r="YW11" s="65"/>
      <c r="YX11" s="65"/>
      <c r="YY11" s="65"/>
      <c r="YZ11" s="65"/>
      <c r="ZA11" s="65"/>
      <c r="ZB11" s="65"/>
      <c r="ZC11" s="65"/>
      <c r="ZD11" s="65"/>
      <c r="ZE11" s="65"/>
      <c r="ZF11" s="65"/>
      <c r="ZG11" s="65"/>
      <c r="ZH11" s="65"/>
      <c r="ZI11" s="65"/>
      <c r="ZJ11" s="65"/>
      <c r="ZK11" s="65"/>
      <c r="ZL11" s="65"/>
      <c r="ZM11" s="65"/>
      <c r="ZN11" s="65"/>
      <c r="ZO11" s="65"/>
      <c r="ZP11" s="65"/>
      <c r="ZQ11" s="65"/>
      <c r="ZR11" s="65"/>
      <c r="ZS11" s="65"/>
      <c r="ZT11" s="65"/>
      <c r="ZU11" s="65"/>
      <c r="ZV11" s="65"/>
      <c r="ZW11" s="65"/>
      <c r="ZX11" s="65"/>
      <c r="ZY11" s="65"/>
      <c r="ZZ11" s="65"/>
      <c r="AAA11" s="65"/>
      <c r="AAB11" s="65"/>
      <c r="AAC11" s="65"/>
      <c r="AAD11" s="65"/>
      <c r="AAE11" s="65"/>
      <c r="AAF11" s="65"/>
      <c r="AAG11" s="65"/>
      <c r="AAH11" s="65"/>
      <c r="AAI11" s="65"/>
      <c r="AAJ11" s="65"/>
      <c r="AAK11" s="65"/>
      <c r="AAL11" s="65"/>
      <c r="AAM11" s="65"/>
      <c r="AAN11" s="65"/>
      <c r="AAO11" s="65"/>
      <c r="AAP11" s="65"/>
      <c r="AAQ11" s="65"/>
      <c r="AAR11" s="65"/>
      <c r="AAS11" s="65"/>
      <c r="AAT11" s="65"/>
      <c r="AAU11" s="65"/>
      <c r="AAV11" s="65"/>
      <c r="AAW11" s="65"/>
      <c r="AAX11" s="65"/>
      <c r="AAY11" s="65"/>
      <c r="AAZ11" s="65"/>
      <c r="ABA11" s="65"/>
      <c r="ABB11" s="65"/>
      <c r="ABC11" s="65"/>
      <c r="ABD11" s="65"/>
      <c r="ABE11" s="65"/>
      <c r="ABF11" s="65"/>
      <c r="ABG11" s="65"/>
      <c r="ABH11" s="65"/>
      <c r="ABI11" s="65"/>
      <c r="ABJ11" s="65"/>
      <c r="ABK11" s="65"/>
      <c r="ABL11" s="65"/>
      <c r="ABM11" s="65"/>
      <c r="ABN11" s="65"/>
      <c r="ABO11" s="65"/>
      <c r="ABP11" s="65"/>
      <c r="ABQ11" s="65"/>
      <c r="ABR11" s="65"/>
      <c r="ABS11" s="65"/>
      <c r="ABT11" s="65"/>
      <c r="ABU11" s="65"/>
      <c r="ABV11" s="65"/>
      <c r="ABW11" s="65"/>
      <c r="ABX11" s="65"/>
      <c r="ABY11" s="65"/>
      <c r="ABZ11" s="65"/>
      <c r="ACA11" s="65"/>
      <c r="ACB11" s="65"/>
      <c r="ACC11" s="65"/>
      <c r="ACD11" s="65"/>
      <c r="ACE11" s="65"/>
      <c r="ACF11" s="65"/>
      <c r="ACG11" s="65"/>
      <c r="ACH11" s="65"/>
      <c r="ACI11" s="65"/>
      <c r="ACJ11" s="65"/>
      <c r="ACK11" s="65"/>
      <c r="ACL11" s="65"/>
      <c r="ACM11" s="65"/>
      <c r="ACN11" s="65"/>
      <c r="ACO11" s="65"/>
      <c r="ACP11" s="65"/>
      <c r="ACQ11" s="65"/>
      <c r="ACR11" s="65"/>
      <c r="ACS11" s="65"/>
      <c r="ACT11" s="65"/>
      <c r="ACU11" s="65"/>
      <c r="ACV11" s="65"/>
      <c r="ACW11" s="65"/>
      <c r="ACX11" s="65"/>
      <c r="ACY11" s="65"/>
      <c r="ACZ11" s="65"/>
      <c r="ADA11" s="65"/>
      <c r="ADB11" s="65"/>
      <c r="ADC11" s="65"/>
      <c r="ADD11" s="65"/>
      <c r="ADE11" s="65"/>
      <c r="ADF11" s="65"/>
      <c r="ADG11" s="65"/>
      <c r="ADH11" s="65"/>
      <c r="ADI11" s="65"/>
      <c r="ADJ11" s="65"/>
      <c r="ADK11" s="65"/>
      <c r="ADL11" s="65"/>
      <c r="ADM11" s="65"/>
      <c r="ADN11" s="65"/>
      <c r="ADO11" s="65"/>
      <c r="ADP11" s="65"/>
      <c r="ADQ11" s="65"/>
      <c r="ADR11" s="65"/>
      <c r="ADS11" s="65"/>
      <c r="ADT11" s="65"/>
      <c r="ADU11" s="65"/>
      <c r="ADV11" s="65"/>
      <c r="ADW11" s="65"/>
      <c r="ADX11" s="65"/>
      <c r="ADY11" s="65"/>
      <c r="ADZ11" s="65"/>
      <c r="AEA11" s="65"/>
      <c r="AEB11" s="65"/>
      <c r="AEC11" s="65"/>
      <c r="AED11" s="65"/>
      <c r="AEE11" s="65"/>
      <c r="AEF11" s="65"/>
      <c r="AEG11" s="65"/>
      <c r="AEH11" s="65"/>
      <c r="AEI11" s="65"/>
      <c r="AEJ11" s="65"/>
      <c r="AEK11" s="65"/>
      <c r="AEL11" s="65"/>
      <c r="AEM11" s="65"/>
      <c r="AEN11" s="65"/>
      <c r="AEO11" s="65"/>
      <c r="AEP11" s="65"/>
      <c r="AEQ11" s="65"/>
      <c r="AER11" s="65"/>
      <c r="AES11" s="65"/>
      <c r="AET11" s="65"/>
      <c r="AEU11" s="65"/>
      <c r="AEV11" s="65"/>
      <c r="AEW11" s="65"/>
      <c r="AEX11" s="65"/>
      <c r="AEY11" s="65"/>
      <c r="AEZ11" s="65"/>
      <c r="AFA11" s="65"/>
      <c r="AFB11" s="65"/>
      <c r="AFC11" s="65"/>
      <c r="AFD11" s="65"/>
      <c r="AFE11" s="65"/>
      <c r="AFF11" s="65"/>
      <c r="AFG11" s="65"/>
      <c r="AFH11" s="65"/>
      <c r="AFI11" s="65"/>
      <c r="AFJ11" s="65"/>
      <c r="AFK11" s="65"/>
      <c r="AFL11" s="65"/>
      <c r="AFM11" s="65"/>
      <c r="AFN11" s="65"/>
      <c r="AFO11" s="65"/>
      <c r="AFP11" s="65"/>
      <c r="AFQ11" s="65"/>
      <c r="AFR11" s="65"/>
      <c r="AFS11" s="65"/>
      <c r="AFT11" s="65"/>
      <c r="AFU11" s="65"/>
      <c r="AFV11" s="65"/>
      <c r="AFW11" s="65"/>
      <c r="AFX11" s="65"/>
      <c r="AFY11" s="65"/>
      <c r="AFZ11" s="65"/>
      <c r="AGA11" s="65"/>
      <c r="AGB11" s="65"/>
      <c r="AGC11" s="65"/>
      <c r="AGD11" s="65"/>
      <c r="AGE11" s="65"/>
      <c r="AGF11" s="65"/>
      <c r="AGG11" s="65"/>
      <c r="AGH11" s="65"/>
      <c r="AGI11" s="65"/>
      <c r="AGJ11" s="65"/>
      <c r="AGK11" s="65"/>
      <c r="AGL11" s="65"/>
      <c r="AGM11" s="65"/>
      <c r="AGN11" s="65"/>
      <c r="AGO11" s="65"/>
      <c r="AGP11" s="65"/>
      <c r="AGQ11" s="65"/>
      <c r="AGR11" s="65"/>
      <c r="AGS11" s="65"/>
      <c r="AGT11" s="65"/>
      <c r="AGU11" s="65"/>
      <c r="AGV11" s="65"/>
      <c r="AGW11" s="65"/>
      <c r="AGX11" s="65"/>
      <c r="AGY11" s="65"/>
      <c r="AGZ11" s="65"/>
      <c r="AHA11" s="65"/>
      <c r="AHB11" s="65"/>
      <c r="AHC11" s="65"/>
      <c r="AHD11" s="65"/>
      <c r="AHE11" s="65"/>
      <c r="AHF11" s="65"/>
      <c r="AHG11" s="65"/>
      <c r="AHH11" s="65"/>
      <c r="AHI11" s="65"/>
      <c r="AHJ11" s="65"/>
      <c r="AHK11" s="65"/>
      <c r="AHL11" s="65"/>
      <c r="AHM11" s="65"/>
      <c r="AHN11" s="65"/>
      <c r="AHO11" s="65"/>
      <c r="AHP11" s="65"/>
      <c r="AHQ11" s="65"/>
      <c r="AHR11" s="65"/>
      <c r="AHS11" s="65"/>
      <c r="AHT11" s="65"/>
      <c r="AHU11" s="65"/>
      <c r="AHV11" s="65"/>
      <c r="AHW11" s="65"/>
      <c r="AHX11" s="65"/>
      <c r="AHY11" s="65"/>
      <c r="AHZ11" s="65"/>
      <c r="AIA11" s="65"/>
      <c r="AIB11" s="65"/>
      <c r="AIC11" s="65"/>
      <c r="AID11" s="65"/>
      <c r="AIE11" s="65"/>
      <c r="AIF11" s="65"/>
      <c r="AIG11" s="65"/>
      <c r="AIH11" s="65"/>
      <c r="AII11" s="65"/>
      <c r="AIJ11" s="65"/>
      <c r="AIK11" s="65"/>
      <c r="AIL11" s="65"/>
      <c r="AIM11" s="65"/>
      <c r="AIN11" s="65"/>
      <c r="AIO11" s="65"/>
      <c r="AIP11" s="65"/>
      <c r="AIQ11" s="65"/>
      <c r="AIR11" s="65"/>
      <c r="AIS11" s="65"/>
      <c r="AIT11" s="65"/>
      <c r="AIU11" s="65"/>
      <c r="AIV11" s="65"/>
      <c r="AIW11" s="65"/>
      <c r="AIX11" s="65"/>
      <c r="AIY11" s="65"/>
      <c r="AIZ11" s="65"/>
      <c r="AJA11" s="65"/>
      <c r="AJB11" s="65"/>
      <c r="AJC11" s="65"/>
      <c r="AJD11" s="65"/>
      <c r="AJE11" s="65"/>
      <c r="AJF11" s="65"/>
      <c r="AJG11" s="65"/>
      <c r="AJH11" s="65"/>
      <c r="AJI11" s="65"/>
      <c r="AJJ11" s="65"/>
      <c r="AJK11" s="65"/>
      <c r="AJL11" s="65"/>
      <c r="AJM11" s="65"/>
      <c r="AJN11" s="65"/>
      <c r="AJO11" s="65"/>
      <c r="AJP11" s="65"/>
      <c r="AJQ11" s="65"/>
      <c r="AJR11" s="65"/>
      <c r="AJS11" s="65"/>
      <c r="AJT11" s="65"/>
      <c r="AJU11" s="65"/>
      <c r="AJV11" s="65"/>
      <c r="AJW11" s="65"/>
      <c r="AJX11" s="65"/>
      <c r="AJY11" s="65"/>
      <c r="AJZ11" s="65"/>
      <c r="AKA11" s="65"/>
      <c r="AKB11" s="65"/>
      <c r="AKC11" s="65"/>
      <c r="AKD11" s="65"/>
      <c r="AKE11" s="65"/>
      <c r="AKF11" s="65"/>
      <c r="AKG11" s="65"/>
      <c r="AKH11" s="65"/>
      <c r="AKI11" s="65"/>
      <c r="AKJ11" s="65"/>
      <c r="AKK11" s="65"/>
      <c r="AKL11" s="65"/>
      <c r="AKM11" s="65"/>
      <c r="AKN11" s="65"/>
      <c r="AKO11" s="65"/>
      <c r="AKP11" s="65"/>
      <c r="AKQ11" s="65"/>
      <c r="AKR11" s="65"/>
      <c r="AKS11" s="65"/>
      <c r="AKT11" s="65"/>
      <c r="AKU11" s="65"/>
      <c r="AKV11" s="65"/>
      <c r="AKW11" s="65"/>
      <c r="AKX11" s="65"/>
      <c r="AKY11" s="65"/>
      <c r="AKZ11" s="65"/>
      <c r="ALA11" s="65"/>
      <c r="ALB11" s="65"/>
      <c r="ALC11" s="65"/>
      <c r="ALD11" s="65"/>
      <c r="ALE11" s="65"/>
      <c r="ALF11" s="65"/>
      <c r="ALG11" s="65"/>
      <c r="ALH11" s="65"/>
      <c r="ALI11" s="65"/>
      <c r="ALJ11" s="65"/>
      <c r="ALK11" s="65"/>
      <c r="ALL11" s="65"/>
      <c r="ALM11" s="65"/>
      <c r="ALN11" s="65"/>
      <c r="ALO11" s="65"/>
      <c r="ALP11" s="65"/>
      <c r="ALQ11" s="65"/>
      <c r="ALR11" s="65"/>
      <c r="ALS11" s="65"/>
      <c r="ALT11" s="65"/>
      <c r="ALU11" s="65"/>
      <c r="ALV11" s="65"/>
      <c r="ALW11" s="65"/>
      <c r="ALX11" s="65"/>
      <c r="ALY11" s="65"/>
      <c r="ALZ11" s="65"/>
      <c r="AMA11" s="65"/>
      <c r="AMB11" s="65"/>
      <c r="AMC11" s="65"/>
      <c r="AMD11" s="65"/>
      <c r="AME11" s="65"/>
      <c r="AMF11" s="65"/>
      <c r="AMG11" s="65"/>
      <c r="AMH11" s="65"/>
      <c r="AMI11" s="65"/>
      <c r="AMJ11" s="60"/>
    </row>
    <row r="12" spans="1:1024">
      <c r="A12" s="69" t="s">
        <v>39685</v>
      </c>
      <c r="B12" s="70" t="s">
        <v>39686</v>
      </c>
      <c r="C12" s="70">
        <v>7</v>
      </c>
      <c r="D12" s="70">
        <v>16767</v>
      </c>
      <c r="E12" s="70" t="s">
        <v>39694</v>
      </c>
      <c r="F12" s="70">
        <v>724710</v>
      </c>
      <c r="G12" s="70">
        <v>587296</v>
      </c>
      <c r="H12" s="70">
        <v>604063</v>
      </c>
      <c r="I12" s="71">
        <v>1.387</v>
      </c>
      <c r="J12" s="70">
        <v>5</v>
      </c>
      <c r="K12" s="70">
        <v>13</v>
      </c>
      <c r="L12" s="70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  <c r="HT12" s="65"/>
      <c r="HU12" s="65"/>
      <c r="HV12" s="65"/>
      <c r="HW12" s="65"/>
      <c r="HX12" s="65"/>
      <c r="HY12" s="65"/>
      <c r="HZ12" s="65"/>
      <c r="IA12" s="65"/>
      <c r="IB12" s="65"/>
      <c r="IC12" s="65"/>
      <c r="ID12" s="65"/>
      <c r="IE12" s="65"/>
      <c r="IF12" s="65"/>
      <c r="IG12" s="65"/>
      <c r="IH12" s="65"/>
      <c r="II12" s="65"/>
      <c r="IJ12" s="65"/>
      <c r="IK12" s="65"/>
      <c r="IL12" s="65"/>
      <c r="IM12" s="65"/>
      <c r="IN12" s="65"/>
      <c r="IO12" s="65"/>
      <c r="IP12" s="65"/>
      <c r="IQ12" s="65"/>
      <c r="IR12" s="65"/>
      <c r="IS12" s="65"/>
      <c r="IT12" s="65"/>
      <c r="IU12" s="65"/>
      <c r="IV12" s="65"/>
      <c r="IW12" s="65"/>
      <c r="IX12" s="65"/>
      <c r="IY12" s="65"/>
      <c r="IZ12" s="65"/>
      <c r="JA12" s="65"/>
      <c r="JB12" s="65"/>
      <c r="JC12" s="65"/>
      <c r="JD12" s="65"/>
      <c r="JE12" s="65"/>
      <c r="JF12" s="65"/>
      <c r="JG12" s="65"/>
      <c r="JH12" s="65"/>
      <c r="JI12" s="65"/>
      <c r="JJ12" s="65"/>
      <c r="JK12" s="65"/>
      <c r="JL12" s="65"/>
      <c r="JM12" s="65"/>
      <c r="JN12" s="65"/>
      <c r="JO12" s="65"/>
      <c r="JP12" s="65"/>
      <c r="JQ12" s="65"/>
      <c r="JR12" s="65"/>
      <c r="JS12" s="65"/>
      <c r="JT12" s="65"/>
      <c r="JU12" s="65"/>
      <c r="JV12" s="65"/>
      <c r="JW12" s="65"/>
      <c r="JX12" s="65"/>
      <c r="JY12" s="65"/>
      <c r="JZ12" s="65"/>
      <c r="KA12" s="65"/>
      <c r="KB12" s="65"/>
      <c r="KC12" s="65"/>
      <c r="KD12" s="65"/>
      <c r="KE12" s="65"/>
      <c r="KF12" s="65"/>
      <c r="KG12" s="65"/>
      <c r="KH12" s="65"/>
      <c r="KI12" s="65"/>
      <c r="KJ12" s="65"/>
      <c r="KK12" s="65"/>
      <c r="KL12" s="65"/>
      <c r="KM12" s="65"/>
      <c r="KN12" s="65"/>
      <c r="KO12" s="65"/>
      <c r="KP12" s="65"/>
      <c r="KQ12" s="65"/>
      <c r="KR12" s="65"/>
      <c r="KS12" s="65"/>
      <c r="KT12" s="65"/>
      <c r="KU12" s="65"/>
      <c r="KV12" s="65"/>
      <c r="KW12" s="65"/>
      <c r="KX12" s="65"/>
      <c r="KY12" s="65"/>
      <c r="KZ12" s="65"/>
      <c r="LA12" s="65"/>
      <c r="LB12" s="65"/>
      <c r="LC12" s="65"/>
      <c r="LD12" s="65"/>
      <c r="LE12" s="65"/>
      <c r="LF12" s="65"/>
      <c r="LG12" s="65"/>
      <c r="LH12" s="65"/>
      <c r="LI12" s="65"/>
      <c r="LJ12" s="65"/>
      <c r="LK12" s="65"/>
      <c r="LL12" s="65"/>
      <c r="LM12" s="65"/>
      <c r="LN12" s="65"/>
      <c r="LO12" s="65"/>
      <c r="LP12" s="65"/>
      <c r="LQ12" s="65"/>
      <c r="LR12" s="65"/>
      <c r="LS12" s="65"/>
      <c r="LT12" s="65"/>
      <c r="LU12" s="65"/>
      <c r="LV12" s="65"/>
      <c r="LW12" s="65"/>
      <c r="LX12" s="65"/>
      <c r="LY12" s="65"/>
      <c r="LZ12" s="65"/>
      <c r="MA12" s="65"/>
      <c r="MB12" s="65"/>
      <c r="MC12" s="65"/>
      <c r="MD12" s="65"/>
      <c r="ME12" s="65"/>
      <c r="MF12" s="65"/>
      <c r="MG12" s="65"/>
      <c r="MH12" s="65"/>
      <c r="MI12" s="65"/>
      <c r="MJ12" s="65"/>
      <c r="MK12" s="65"/>
      <c r="ML12" s="65"/>
      <c r="MM12" s="65"/>
      <c r="MN12" s="65"/>
      <c r="MO12" s="65"/>
      <c r="MP12" s="65"/>
      <c r="MQ12" s="65"/>
      <c r="MR12" s="65"/>
      <c r="MS12" s="65"/>
      <c r="MT12" s="65"/>
      <c r="MU12" s="65"/>
      <c r="MV12" s="65"/>
      <c r="MW12" s="65"/>
      <c r="MX12" s="65"/>
      <c r="MY12" s="65"/>
      <c r="MZ12" s="65"/>
      <c r="NA12" s="65"/>
      <c r="NB12" s="65"/>
      <c r="NC12" s="65"/>
      <c r="ND12" s="65"/>
      <c r="NE12" s="65"/>
      <c r="NF12" s="65"/>
      <c r="NG12" s="65"/>
      <c r="NH12" s="65"/>
      <c r="NI12" s="65"/>
      <c r="NJ12" s="65"/>
      <c r="NK12" s="65"/>
      <c r="NL12" s="65"/>
      <c r="NM12" s="65"/>
      <c r="NN12" s="65"/>
      <c r="NO12" s="65"/>
      <c r="NP12" s="65"/>
      <c r="NQ12" s="65"/>
      <c r="NR12" s="65"/>
      <c r="NS12" s="65"/>
      <c r="NT12" s="65"/>
      <c r="NU12" s="65"/>
      <c r="NV12" s="65"/>
      <c r="NW12" s="65"/>
      <c r="NX12" s="65"/>
      <c r="NY12" s="65"/>
      <c r="NZ12" s="65"/>
      <c r="OA12" s="65"/>
      <c r="OB12" s="65"/>
      <c r="OC12" s="65"/>
      <c r="OD12" s="65"/>
      <c r="OE12" s="65"/>
      <c r="OF12" s="65"/>
      <c r="OG12" s="65"/>
      <c r="OH12" s="65"/>
      <c r="OI12" s="65"/>
      <c r="OJ12" s="65"/>
      <c r="OK12" s="65"/>
      <c r="OL12" s="65"/>
      <c r="OM12" s="65"/>
      <c r="ON12" s="65"/>
      <c r="OO12" s="65"/>
      <c r="OP12" s="65"/>
      <c r="OQ12" s="65"/>
      <c r="OR12" s="65"/>
      <c r="OS12" s="65"/>
      <c r="OT12" s="65"/>
      <c r="OU12" s="65"/>
      <c r="OV12" s="65"/>
      <c r="OW12" s="65"/>
      <c r="OX12" s="65"/>
      <c r="OY12" s="65"/>
      <c r="OZ12" s="65"/>
      <c r="PA12" s="65"/>
      <c r="PB12" s="65"/>
      <c r="PC12" s="65"/>
      <c r="PD12" s="65"/>
      <c r="PE12" s="65"/>
      <c r="PF12" s="65"/>
      <c r="PG12" s="65"/>
      <c r="PH12" s="65"/>
      <c r="PI12" s="65"/>
      <c r="PJ12" s="65"/>
      <c r="PK12" s="65"/>
      <c r="PL12" s="65"/>
      <c r="PM12" s="65"/>
      <c r="PN12" s="65"/>
      <c r="PO12" s="65"/>
      <c r="PP12" s="65"/>
      <c r="PQ12" s="65"/>
      <c r="PR12" s="65"/>
      <c r="PS12" s="65"/>
      <c r="PT12" s="65"/>
      <c r="PU12" s="65"/>
      <c r="PV12" s="65"/>
      <c r="PW12" s="65"/>
      <c r="PX12" s="65"/>
      <c r="PY12" s="65"/>
      <c r="PZ12" s="65"/>
      <c r="QA12" s="65"/>
      <c r="QB12" s="65"/>
      <c r="QC12" s="65"/>
      <c r="QD12" s="65"/>
      <c r="QE12" s="65"/>
      <c r="QF12" s="65"/>
      <c r="QG12" s="65"/>
      <c r="QH12" s="65"/>
      <c r="QI12" s="65"/>
      <c r="QJ12" s="65"/>
      <c r="QK12" s="65"/>
      <c r="QL12" s="65"/>
      <c r="QM12" s="65"/>
      <c r="QN12" s="65"/>
      <c r="QO12" s="65"/>
      <c r="QP12" s="65"/>
      <c r="QQ12" s="65"/>
      <c r="QR12" s="65"/>
      <c r="QS12" s="65"/>
      <c r="QT12" s="65"/>
      <c r="QU12" s="65"/>
      <c r="QV12" s="65"/>
      <c r="QW12" s="65"/>
      <c r="QX12" s="65"/>
      <c r="QY12" s="65"/>
      <c r="QZ12" s="65"/>
      <c r="RA12" s="65"/>
      <c r="RB12" s="65"/>
      <c r="RC12" s="65"/>
      <c r="RD12" s="65"/>
      <c r="RE12" s="65"/>
      <c r="RF12" s="65"/>
      <c r="RG12" s="65"/>
      <c r="RH12" s="65"/>
      <c r="RI12" s="65"/>
      <c r="RJ12" s="65"/>
      <c r="RK12" s="65"/>
      <c r="RL12" s="65"/>
      <c r="RM12" s="65"/>
      <c r="RN12" s="65"/>
      <c r="RO12" s="65"/>
      <c r="RP12" s="65"/>
      <c r="RQ12" s="65"/>
      <c r="RR12" s="65"/>
      <c r="RS12" s="65"/>
      <c r="RT12" s="65"/>
      <c r="RU12" s="65"/>
      <c r="RV12" s="65"/>
      <c r="RW12" s="65"/>
      <c r="RX12" s="65"/>
      <c r="RY12" s="65"/>
      <c r="RZ12" s="65"/>
      <c r="SA12" s="65"/>
      <c r="SB12" s="65"/>
      <c r="SC12" s="65"/>
      <c r="SD12" s="65"/>
      <c r="SE12" s="65"/>
      <c r="SF12" s="65"/>
      <c r="SG12" s="65"/>
      <c r="SH12" s="65"/>
      <c r="SI12" s="65"/>
      <c r="SJ12" s="65"/>
      <c r="SK12" s="65"/>
      <c r="SL12" s="65"/>
      <c r="SM12" s="65"/>
      <c r="SN12" s="65"/>
      <c r="SO12" s="65"/>
      <c r="SP12" s="65"/>
      <c r="SQ12" s="65"/>
      <c r="SR12" s="65"/>
      <c r="SS12" s="65"/>
      <c r="ST12" s="65"/>
      <c r="SU12" s="65"/>
      <c r="SV12" s="65"/>
      <c r="SW12" s="65"/>
      <c r="SX12" s="65"/>
      <c r="SY12" s="65"/>
      <c r="SZ12" s="65"/>
      <c r="TA12" s="65"/>
      <c r="TB12" s="65"/>
      <c r="TC12" s="65"/>
      <c r="TD12" s="65"/>
      <c r="TE12" s="65"/>
      <c r="TF12" s="65"/>
      <c r="TG12" s="65"/>
      <c r="TH12" s="65"/>
      <c r="TI12" s="65"/>
      <c r="TJ12" s="65"/>
      <c r="TK12" s="65"/>
      <c r="TL12" s="65"/>
      <c r="TM12" s="65"/>
      <c r="TN12" s="65"/>
      <c r="TO12" s="65"/>
      <c r="TP12" s="65"/>
      <c r="TQ12" s="65"/>
      <c r="TR12" s="65"/>
      <c r="TS12" s="65"/>
      <c r="TT12" s="65"/>
      <c r="TU12" s="65"/>
      <c r="TV12" s="65"/>
      <c r="TW12" s="65"/>
      <c r="TX12" s="65"/>
      <c r="TY12" s="65"/>
      <c r="TZ12" s="65"/>
      <c r="UA12" s="65"/>
      <c r="UB12" s="65"/>
      <c r="UC12" s="65"/>
      <c r="UD12" s="65"/>
      <c r="UE12" s="65"/>
      <c r="UF12" s="65"/>
      <c r="UG12" s="65"/>
      <c r="UH12" s="65"/>
      <c r="UI12" s="65"/>
      <c r="UJ12" s="65"/>
      <c r="UK12" s="65"/>
      <c r="UL12" s="65"/>
      <c r="UM12" s="65"/>
      <c r="UN12" s="65"/>
      <c r="UO12" s="65"/>
      <c r="UP12" s="65"/>
      <c r="UQ12" s="65"/>
      <c r="UR12" s="65"/>
      <c r="US12" s="65"/>
      <c r="UT12" s="65"/>
      <c r="UU12" s="65"/>
      <c r="UV12" s="65"/>
      <c r="UW12" s="65"/>
      <c r="UX12" s="65"/>
      <c r="UY12" s="65"/>
      <c r="UZ12" s="65"/>
      <c r="VA12" s="65"/>
      <c r="VB12" s="65"/>
      <c r="VC12" s="65"/>
      <c r="VD12" s="65"/>
      <c r="VE12" s="65"/>
      <c r="VF12" s="65"/>
      <c r="VG12" s="65"/>
      <c r="VH12" s="65"/>
      <c r="VI12" s="65"/>
      <c r="VJ12" s="65"/>
      <c r="VK12" s="65"/>
      <c r="VL12" s="65"/>
      <c r="VM12" s="65"/>
      <c r="VN12" s="65"/>
      <c r="VO12" s="65"/>
      <c r="VP12" s="65"/>
      <c r="VQ12" s="65"/>
      <c r="VR12" s="65"/>
      <c r="VS12" s="65"/>
      <c r="VT12" s="65"/>
      <c r="VU12" s="65"/>
      <c r="VV12" s="65"/>
      <c r="VW12" s="65"/>
      <c r="VX12" s="65"/>
      <c r="VY12" s="65"/>
      <c r="VZ12" s="65"/>
      <c r="WA12" s="65"/>
      <c r="WB12" s="65"/>
      <c r="WC12" s="65"/>
      <c r="WD12" s="65"/>
      <c r="WE12" s="65"/>
      <c r="WF12" s="65"/>
      <c r="WG12" s="65"/>
      <c r="WH12" s="65"/>
      <c r="WI12" s="65"/>
      <c r="WJ12" s="65"/>
      <c r="WK12" s="65"/>
      <c r="WL12" s="65"/>
      <c r="WM12" s="65"/>
      <c r="WN12" s="65"/>
      <c r="WO12" s="65"/>
      <c r="WP12" s="65"/>
      <c r="WQ12" s="65"/>
      <c r="WR12" s="65"/>
      <c r="WS12" s="65"/>
      <c r="WT12" s="65"/>
      <c r="WU12" s="65"/>
      <c r="WV12" s="65"/>
      <c r="WW12" s="65"/>
      <c r="WX12" s="65"/>
      <c r="WY12" s="65"/>
      <c r="WZ12" s="65"/>
      <c r="XA12" s="65"/>
      <c r="XB12" s="65"/>
      <c r="XC12" s="65"/>
      <c r="XD12" s="65"/>
      <c r="XE12" s="65"/>
      <c r="XF12" s="65"/>
      <c r="XG12" s="65"/>
      <c r="XH12" s="65"/>
      <c r="XI12" s="65"/>
      <c r="XJ12" s="65"/>
      <c r="XK12" s="65"/>
      <c r="XL12" s="65"/>
      <c r="XM12" s="65"/>
      <c r="XN12" s="65"/>
      <c r="XO12" s="65"/>
      <c r="XP12" s="65"/>
      <c r="XQ12" s="65"/>
      <c r="XR12" s="65"/>
      <c r="XS12" s="65"/>
      <c r="XT12" s="65"/>
      <c r="XU12" s="65"/>
      <c r="XV12" s="65"/>
      <c r="XW12" s="65"/>
      <c r="XX12" s="65"/>
      <c r="XY12" s="65"/>
      <c r="XZ12" s="65"/>
      <c r="YA12" s="65"/>
      <c r="YB12" s="65"/>
      <c r="YC12" s="65"/>
      <c r="YD12" s="65"/>
      <c r="YE12" s="65"/>
      <c r="YF12" s="65"/>
      <c r="YG12" s="65"/>
      <c r="YH12" s="65"/>
      <c r="YI12" s="65"/>
      <c r="YJ12" s="65"/>
      <c r="YK12" s="65"/>
      <c r="YL12" s="65"/>
      <c r="YM12" s="65"/>
      <c r="YN12" s="65"/>
      <c r="YO12" s="65"/>
      <c r="YP12" s="65"/>
      <c r="YQ12" s="65"/>
      <c r="YR12" s="65"/>
      <c r="YS12" s="65"/>
      <c r="YT12" s="65"/>
      <c r="YU12" s="65"/>
      <c r="YV12" s="65"/>
      <c r="YW12" s="65"/>
      <c r="YX12" s="65"/>
      <c r="YY12" s="65"/>
      <c r="YZ12" s="65"/>
      <c r="ZA12" s="65"/>
      <c r="ZB12" s="65"/>
      <c r="ZC12" s="65"/>
      <c r="ZD12" s="65"/>
      <c r="ZE12" s="65"/>
      <c r="ZF12" s="65"/>
      <c r="ZG12" s="65"/>
      <c r="ZH12" s="65"/>
      <c r="ZI12" s="65"/>
      <c r="ZJ12" s="65"/>
      <c r="ZK12" s="65"/>
      <c r="ZL12" s="65"/>
      <c r="ZM12" s="65"/>
      <c r="ZN12" s="65"/>
      <c r="ZO12" s="65"/>
      <c r="ZP12" s="65"/>
      <c r="ZQ12" s="65"/>
      <c r="ZR12" s="65"/>
      <c r="ZS12" s="65"/>
      <c r="ZT12" s="65"/>
      <c r="ZU12" s="65"/>
      <c r="ZV12" s="65"/>
      <c r="ZW12" s="65"/>
      <c r="ZX12" s="65"/>
      <c r="ZY12" s="65"/>
      <c r="ZZ12" s="65"/>
      <c r="AAA12" s="65"/>
      <c r="AAB12" s="65"/>
      <c r="AAC12" s="65"/>
      <c r="AAD12" s="65"/>
      <c r="AAE12" s="65"/>
      <c r="AAF12" s="65"/>
      <c r="AAG12" s="65"/>
      <c r="AAH12" s="65"/>
      <c r="AAI12" s="65"/>
      <c r="AAJ12" s="65"/>
      <c r="AAK12" s="65"/>
      <c r="AAL12" s="65"/>
      <c r="AAM12" s="65"/>
      <c r="AAN12" s="65"/>
      <c r="AAO12" s="65"/>
      <c r="AAP12" s="65"/>
      <c r="AAQ12" s="65"/>
      <c r="AAR12" s="65"/>
      <c r="AAS12" s="65"/>
      <c r="AAT12" s="65"/>
      <c r="AAU12" s="65"/>
      <c r="AAV12" s="65"/>
      <c r="AAW12" s="65"/>
      <c r="AAX12" s="65"/>
      <c r="AAY12" s="65"/>
      <c r="AAZ12" s="65"/>
      <c r="ABA12" s="65"/>
      <c r="ABB12" s="65"/>
      <c r="ABC12" s="65"/>
      <c r="ABD12" s="65"/>
      <c r="ABE12" s="65"/>
      <c r="ABF12" s="65"/>
      <c r="ABG12" s="65"/>
      <c r="ABH12" s="65"/>
      <c r="ABI12" s="65"/>
      <c r="ABJ12" s="65"/>
      <c r="ABK12" s="65"/>
      <c r="ABL12" s="65"/>
      <c r="ABM12" s="65"/>
      <c r="ABN12" s="65"/>
      <c r="ABO12" s="65"/>
      <c r="ABP12" s="65"/>
      <c r="ABQ12" s="65"/>
      <c r="ABR12" s="65"/>
      <c r="ABS12" s="65"/>
      <c r="ABT12" s="65"/>
      <c r="ABU12" s="65"/>
      <c r="ABV12" s="65"/>
      <c r="ABW12" s="65"/>
      <c r="ABX12" s="65"/>
      <c r="ABY12" s="65"/>
      <c r="ABZ12" s="65"/>
      <c r="ACA12" s="65"/>
      <c r="ACB12" s="65"/>
      <c r="ACC12" s="65"/>
      <c r="ACD12" s="65"/>
      <c r="ACE12" s="65"/>
      <c r="ACF12" s="65"/>
      <c r="ACG12" s="65"/>
      <c r="ACH12" s="65"/>
      <c r="ACI12" s="65"/>
      <c r="ACJ12" s="65"/>
      <c r="ACK12" s="65"/>
      <c r="ACL12" s="65"/>
      <c r="ACM12" s="65"/>
      <c r="ACN12" s="65"/>
      <c r="ACO12" s="65"/>
      <c r="ACP12" s="65"/>
      <c r="ACQ12" s="65"/>
      <c r="ACR12" s="65"/>
      <c r="ACS12" s="65"/>
      <c r="ACT12" s="65"/>
      <c r="ACU12" s="65"/>
      <c r="ACV12" s="65"/>
      <c r="ACW12" s="65"/>
      <c r="ACX12" s="65"/>
      <c r="ACY12" s="65"/>
      <c r="ACZ12" s="65"/>
      <c r="ADA12" s="65"/>
      <c r="ADB12" s="65"/>
      <c r="ADC12" s="65"/>
      <c r="ADD12" s="65"/>
      <c r="ADE12" s="65"/>
      <c r="ADF12" s="65"/>
      <c r="ADG12" s="65"/>
      <c r="ADH12" s="65"/>
      <c r="ADI12" s="65"/>
      <c r="ADJ12" s="65"/>
      <c r="ADK12" s="65"/>
      <c r="ADL12" s="65"/>
      <c r="ADM12" s="65"/>
      <c r="ADN12" s="65"/>
      <c r="ADO12" s="65"/>
      <c r="ADP12" s="65"/>
      <c r="ADQ12" s="65"/>
      <c r="ADR12" s="65"/>
      <c r="ADS12" s="65"/>
      <c r="ADT12" s="65"/>
      <c r="ADU12" s="65"/>
      <c r="ADV12" s="65"/>
      <c r="ADW12" s="65"/>
      <c r="ADX12" s="65"/>
      <c r="ADY12" s="65"/>
      <c r="ADZ12" s="65"/>
      <c r="AEA12" s="65"/>
      <c r="AEB12" s="65"/>
      <c r="AEC12" s="65"/>
      <c r="AED12" s="65"/>
      <c r="AEE12" s="65"/>
      <c r="AEF12" s="65"/>
      <c r="AEG12" s="65"/>
      <c r="AEH12" s="65"/>
      <c r="AEI12" s="65"/>
      <c r="AEJ12" s="65"/>
      <c r="AEK12" s="65"/>
      <c r="AEL12" s="65"/>
      <c r="AEM12" s="65"/>
      <c r="AEN12" s="65"/>
      <c r="AEO12" s="65"/>
      <c r="AEP12" s="65"/>
      <c r="AEQ12" s="65"/>
      <c r="AER12" s="65"/>
      <c r="AES12" s="65"/>
      <c r="AET12" s="65"/>
      <c r="AEU12" s="65"/>
      <c r="AEV12" s="65"/>
      <c r="AEW12" s="65"/>
      <c r="AEX12" s="65"/>
      <c r="AEY12" s="65"/>
      <c r="AEZ12" s="65"/>
      <c r="AFA12" s="65"/>
      <c r="AFB12" s="65"/>
      <c r="AFC12" s="65"/>
      <c r="AFD12" s="65"/>
      <c r="AFE12" s="65"/>
      <c r="AFF12" s="65"/>
      <c r="AFG12" s="65"/>
      <c r="AFH12" s="65"/>
      <c r="AFI12" s="65"/>
      <c r="AFJ12" s="65"/>
      <c r="AFK12" s="65"/>
      <c r="AFL12" s="65"/>
      <c r="AFM12" s="65"/>
      <c r="AFN12" s="65"/>
      <c r="AFO12" s="65"/>
      <c r="AFP12" s="65"/>
      <c r="AFQ12" s="65"/>
      <c r="AFR12" s="65"/>
      <c r="AFS12" s="65"/>
      <c r="AFT12" s="65"/>
      <c r="AFU12" s="65"/>
      <c r="AFV12" s="65"/>
      <c r="AFW12" s="65"/>
      <c r="AFX12" s="65"/>
      <c r="AFY12" s="65"/>
      <c r="AFZ12" s="65"/>
      <c r="AGA12" s="65"/>
      <c r="AGB12" s="65"/>
      <c r="AGC12" s="65"/>
      <c r="AGD12" s="65"/>
      <c r="AGE12" s="65"/>
      <c r="AGF12" s="65"/>
      <c r="AGG12" s="65"/>
      <c r="AGH12" s="65"/>
      <c r="AGI12" s="65"/>
      <c r="AGJ12" s="65"/>
      <c r="AGK12" s="65"/>
      <c r="AGL12" s="65"/>
      <c r="AGM12" s="65"/>
      <c r="AGN12" s="65"/>
      <c r="AGO12" s="65"/>
      <c r="AGP12" s="65"/>
      <c r="AGQ12" s="65"/>
      <c r="AGR12" s="65"/>
      <c r="AGS12" s="65"/>
      <c r="AGT12" s="65"/>
      <c r="AGU12" s="65"/>
      <c r="AGV12" s="65"/>
      <c r="AGW12" s="65"/>
      <c r="AGX12" s="65"/>
      <c r="AGY12" s="65"/>
      <c r="AGZ12" s="65"/>
      <c r="AHA12" s="65"/>
      <c r="AHB12" s="65"/>
      <c r="AHC12" s="65"/>
      <c r="AHD12" s="65"/>
      <c r="AHE12" s="65"/>
      <c r="AHF12" s="65"/>
      <c r="AHG12" s="65"/>
      <c r="AHH12" s="65"/>
      <c r="AHI12" s="65"/>
      <c r="AHJ12" s="65"/>
      <c r="AHK12" s="65"/>
      <c r="AHL12" s="65"/>
      <c r="AHM12" s="65"/>
      <c r="AHN12" s="65"/>
      <c r="AHO12" s="65"/>
      <c r="AHP12" s="65"/>
      <c r="AHQ12" s="65"/>
      <c r="AHR12" s="65"/>
      <c r="AHS12" s="65"/>
      <c r="AHT12" s="65"/>
      <c r="AHU12" s="65"/>
      <c r="AHV12" s="65"/>
      <c r="AHW12" s="65"/>
      <c r="AHX12" s="65"/>
      <c r="AHY12" s="65"/>
      <c r="AHZ12" s="65"/>
      <c r="AIA12" s="65"/>
      <c r="AIB12" s="65"/>
      <c r="AIC12" s="65"/>
      <c r="AID12" s="65"/>
      <c r="AIE12" s="65"/>
      <c r="AIF12" s="65"/>
      <c r="AIG12" s="65"/>
      <c r="AIH12" s="65"/>
      <c r="AII12" s="65"/>
      <c r="AIJ12" s="65"/>
      <c r="AIK12" s="65"/>
      <c r="AIL12" s="65"/>
      <c r="AIM12" s="65"/>
      <c r="AIN12" s="65"/>
      <c r="AIO12" s="65"/>
      <c r="AIP12" s="65"/>
      <c r="AIQ12" s="65"/>
      <c r="AIR12" s="65"/>
      <c r="AIS12" s="65"/>
      <c r="AIT12" s="65"/>
      <c r="AIU12" s="65"/>
      <c r="AIV12" s="65"/>
      <c r="AIW12" s="65"/>
      <c r="AIX12" s="65"/>
      <c r="AIY12" s="65"/>
      <c r="AIZ12" s="65"/>
      <c r="AJA12" s="65"/>
      <c r="AJB12" s="65"/>
      <c r="AJC12" s="65"/>
      <c r="AJD12" s="65"/>
      <c r="AJE12" s="65"/>
      <c r="AJF12" s="65"/>
      <c r="AJG12" s="65"/>
      <c r="AJH12" s="65"/>
      <c r="AJI12" s="65"/>
      <c r="AJJ12" s="65"/>
      <c r="AJK12" s="65"/>
      <c r="AJL12" s="65"/>
      <c r="AJM12" s="65"/>
      <c r="AJN12" s="65"/>
      <c r="AJO12" s="65"/>
      <c r="AJP12" s="65"/>
      <c r="AJQ12" s="65"/>
      <c r="AJR12" s="65"/>
      <c r="AJS12" s="65"/>
      <c r="AJT12" s="65"/>
      <c r="AJU12" s="65"/>
      <c r="AJV12" s="65"/>
      <c r="AJW12" s="65"/>
      <c r="AJX12" s="65"/>
      <c r="AJY12" s="65"/>
      <c r="AJZ12" s="65"/>
      <c r="AKA12" s="65"/>
      <c r="AKB12" s="65"/>
      <c r="AKC12" s="65"/>
      <c r="AKD12" s="65"/>
      <c r="AKE12" s="65"/>
      <c r="AKF12" s="65"/>
      <c r="AKG12" s="65"/>
      <c r="AKH12" s="65"/>
      <c r="AKI12" s="65"/>
      <c r="AKJ12" s="65"/>
      <c r="AKK12" s="65"/>
      <c r="AKL12" s="65"/>
      <c r="AKM12" s="65"/>
      <c r="AKN12" s="65"/>
      <c r="AKO12" s="65"/>
      <c r="AKP12" s="65"/>
      <c r="AKQ12" s="65"/>
      <c r="AKR12" s="65"/>
      <c r="AKS12" s="65"/>
      <c r="AKT12" s="65"/>
      <c r="AKU12" s="65"/>
      <c r="AKV12" s="65"/>
      <c r="AKW12" s="65"/>
      <c r="AKX12" s="65"/>
      <c r="AKY12" s="65"/>
      <c r="AKZ12" s="65"/>
      <c r="ALA12" s="65"/>
      <c r="ALB12" s="65"/>
      <c r="ALC12" s="65"/>
      <c r="ALD12" s="65"/>
      <c r="ALE12" s="65"/>
      <c r="ALF12" s="65"/>
      <c r="ALG12" s="65"/>
      <c r="ALH12" s="65"/>
      <c r="ALI12" s="65"/>
      <c r="ALJ12" s="65"/>
      <c r="ALK12" s="65"/>
      <c r="ALL12" s="65"/>
      <c r="ALM12" s="65"/>
      <c r="ALN12" s="65"/>
      <c r="ALO12" s="65"/>
      <c r="ALP12" s="65"/>
      <c r="ALQ12" s="65"/>
      <c r="ALR12" s="65"/>
      <c r="ALS12" s="65"/>
      <c r="ALT12" s="65"/>
      <c r="ALU12" s="65"/>
      <c r="ALV12" s="65"/>
      <c r="ALW12" s="65"/>
      <c r="ALX12" s="65"/>
      <c r="ALY12" s="65"/>
      <c r="ALZ12" s="65"/>
      <c r="AMA12" s="65"/>
      <c r="AMB12" s="65"/>
      <c r="AMC12" s="65"/>
      <c r="AMD12" s="65"/>
      <c r="AME12" s="65"/>
      <c r="AMF12" s="65"/>
      <c r="AMG12" s="65"/>
      <c r="AMH12" s="65"/>
      <c r="AMI12" s="65"/>
      <c r="AMJ12" s="60"/>
    </row>
    <row r="13" spans="1:1024">
      <c r="A13" s="69" t="s">
        <v>39685</v>
      </c>
      <c r="B13" s="70" t="s">
        <v>39686</v>
      </c>
      <c r="C13" s="70">
        <v>8</v>
      </c>
      <c r="D13" s="70">
        <v>13835</v>
      </c>
      <c r="E13" s="70" t="s">
        <v>39695</v>
      </c>
      <c r="F13" s="70">
        <v>61342</v>
      </c>
      <c r="G13" s="70">
        <v>24173</v>
      </c>
      <c r="H13" s="70">
        <v>38008</v>
      </c>
      <c r="I13" s="71">
        <v>1.2769999999999999</v>
      </c>
      <c r="J13" s="70">
        <v>4</v>
      </c>
      <c r="K13" s="70">
        <v>13</v>
      </c>
      <c r="L13" s="70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  <c r="IS13" s="65"/>
      <c r="IT13" s="65"/>
      <c r="IU13" s="65"/>
      <c r="IV13" s="65"/>
      <c r="IW13" s="65"/>
      <c r="IX13" s="65"/>
      <c r="IY13" s="65"/>
      <c r="IZ13" s="65"/>
      <c r="JA13" s="65"/>
      <c r="JB13" s="65"/>
      <c r="JC13" s="65"/>
      <c r="JD13" s="65"/>
      <c r="JE13" s="65"/>
      <c r="JF13" s="65"/>
      <c r="JG13" s="65"/>
      <c r="JH13" s="65"/>
      <c r="JI13" s="65"/>
      <c r="JJ13" s="65"/>
      <c r="JK13" s="65"/>
      <c r="JL13" s="65"/>
      <c r="JM13" s="65"/>
      <c r="JN13" s="65"/>
      <c r="JO13" s="65"/>
      <c r="JP13" s="65"/>
      <c r="JQ13" s="65"/>
      <c r="JR13" s="65"/>
      <c r="JS13" s="65"/>
      <c r="JT13" s="65"/>
      <c r="JU13" s="65"/>
      <c r="JV13" s="65"/>
      <c r="JW13" s="65"/>
      <c r="JX13" s="65"/>
      <c r="JY13" s="65"/>
      <c r="JZ13" s="65"/>
      <c r="KA13" s="65"/>
      <c r="KB13" s="65"/>
      <c r="KC13" s="65"/>
      <c r="KD13" s="65"/>
      <c r="KE13" s="65"/>
      <c r="KF13" s="65"/>
      <c r="KG13" s="65"/>
      <c r="KH13" s="65"/>
      <c r="KI13" s="65"/>
      <c r="KJ13" s="65"/>
      <c r="KK13" s="65"/>
      <c r="KL13" s="65"/>
      <c r="KM13" s="65"/>
      <c r="KN13" s="65"/>
      <c r="KO13" s="65"/>
      <c r="KP13" s="65"/>
      <c r="KQ13" s="65"/>
      <c r="KR13" s="65"/>
      <c r="KS13" s="65"/>
      <c r="KT13" s="65"/>
      <c r="KU13" s="65"/>
      <c r="KV13" s="65"/>
      <c r="KW13" s="65"/>
      <c r="KX13" s="65"/>
      <c r="KY13" s="65"/>
      <c r="KZ13" s="65"/>
      <c r="LA13" s="65"/>
      <c r="LB13" s="65"/>
      <c r="LC13" s="65"/>
      <c r="LD13" s="65"/>
      <c r="LE13" s="65"/>
      <c r="LF13" s="65"/>
      <c r="LG13" s="65"/>
      <c r="LH13" s="65"/>
      <c r="LI13" s="65"/>
      <c r="LJ13" s="65"/>
      <c r="LK13" s="65"/>
      <c r="LL13" s="65"/>
      <c r="LM13" s="65"/>
      <c r="LN13" s="65"/>
      <c r="LO13" s="65"/>
      <c r="LP13" s="65"/>
      <c r="LQ13" s="65"/>
      <c r="LR13" s="65"/>
      <c r="LS13" s="65"/>
      <c r="LT13" s="65"/>
      <c r="LU13" s="65"/>
      <c r="LV13" s="65"/>
      <c r="LW13" s="65"/>
      <c r="LX13" s="65"/>
      <c r="LY13" s="65"/>
      <c r="LZ13" s="65"/>
      <c r="MA13" s="65"/>
      <c r="MB13" s="65"/>
      <c r="MC13" s="65"/>
      <c r="MD13" s="65"/>
      <c r="ME13" s="65"/>
      <c r="MF13" s="65"/>
      <c r="MG13" s="65"/>
      <c r="MH13" s="65"/>
      <c r="MI13" s="65"/>
      <c r="MJ13" s="65"/>
      <c r="MK13" s="65"/>
      <c r="ML13" s="65"/>
      <c r="MM13" s="65"/>
      <c r="MN13" s="65"/>
      <c r="MO13" s="65"/>
      <c r="MP13" s="65"/>
      <c r="MQ13" s="65"/>
      <c r="MR13" s="65"/>
      <c r="MS13" s="65"/>
      <c r="MT13" s="65"/>
      <c r="MU13" s="65"/>
      <c r="MV13" s="65"/>
      <c r="MW13" s="65"/>
      <c r="MX13" s="65"/>
      <c r="MY13" s="65"/>
      <c r="MZ13" s="65"/>
      <c r="NA13" s="65"/>
      <c r="NB13" s="65"/>
      <c r="NC13" s="65"/>
      <c r="ND13" s="65"/>
      <c r="NE13" s="65"/>
      <c r="NF13" s="65"/>
      <c r="NG13" s="65"/>
      <c r="NH13" s="65"/>
      <c r="NI13" s="65"/>
      <c r="NJ13" s="65"/>
      <c r="NK13" s="65"/>
      <c r="NL13" s="65"/>
      <c r="NM13" s="65"/>
      <c r="NN13" s="65"/>
      <c r="NO13" s="65"/>
      <c r="NP13" s="65"/>
      <c r="NQ13" s="65"/>
      <c r="NR13" s="65"/>
      <c r="NS13" s="65"/>
      <c r="NT13" s="65"/>
      <c r="NU13" s="65"/>
      <c r="NV13" s="65"/>
      <c r="NW13" s="65"/>
      <c r="NX13" s="65"/>
      <c r="NY13" s="65"/>
      <c r="NZ13" s="65"/>
      <c r="OA13" s="65"/>
      <c r="OB13" s="65"/>
      <c r="OC13" s="65"/>
      <c r="OD13" s="65"/>
      <c r="OE13" s="65"/>
      <c r="OF13" s="65"/>
      <c r="OG13" s="65"/>
      <c r="OH13" s="65"/>
      <c r="OI13" s="65"/>
      <c r="OJ13" s="65"/>
      <c r="OK13" s="65"/>
      <c r="OL13" s="65"/>
      <c r="OM13" s="65"/>
      <c r="ON13" s="65"/>
      <c r="OO13" s="65"/>
      <c r="OP13" s="65"/>
      <c r="OQ13" s="65"/>
      <c r="OR13" s="65"/>
      <c r="OS13" s="65"/>
      <c r="OT13" s="65"/>
      <c r="OU13" s="65"/>
      <c r="OV13" s="65"/>
      <c r="OW13" s="65"/>
      <c r="OX13" s="65"/>
      <c r="OY13" s="65"/>
      <c r="OZ13" s="65"/>
      <c r="PA13" s="65"/>
      <c r="PB13" s="65"/>
      <c r="PC13" s="65"/>
      <c r="PD13" s="65"/>
      <c r="PE13" s="65"/>
      <c r="PF13" s="65"/>
      <c r="PG13" s="65"/>
      <c r="PH13" s="65"/>
      <c r="PI13" s="65"/>
      <c r="PJ13" s="65"/>
      <c r="PK13" s="65"/>
      <c r="PL13" s="65"/>
      <c r="PM13" s="65"/>
      <c r="PN13" s="65"/>
      <c r="PO13" s="65"/>
      <c r="PP13" s="65"/>
      <c r="PQ13" s="65"/>
      <c r="PR13" s="65"/>
      <c r="PS13" s="65"/>
      <c r="PT13" s="65"/>
      <c r="PU13" s="65"/>
      <c r="PV13" s="65"/>
      <c r="PW13" s="65"/>
      <c r="PX13" s="65"/>
      <c r="PY13" s="65"/>
      <c r="PZ13" s="65"/>
      <c r="QA13" s="65"/>
      <c r="QB13" s="65"/>
      <c r="QC13" s="65"/>
      <c r="QD13" s="65"/>
      <c r="QE13" s="65"/>
      <c r="QF13" s="65"/>
      <c r="QG13" s="65"/>
      <c r="QH13" s="65"/>
      <c r="QI13" s="65"/>
      <c r="QJ13" s="65"/>
      <c r="QK13" s="65"/>
      <c r="QL13" s="65"/>
      <c r="QM13" s="65"/>
      <c r="QN13" s="65"/>
      <c r="QO13" s="65"/>
      <c r="QP13" s="65"/>
      <c r="QQ13" s="65"/>
      <c r="QR13" s="65"/>
      <c r="QS13" s="65"/>
      <c r="QT13" s="65"/>
      <c r="QU13" s="65"/>
      <c r="QV13" s="65"/>
      <c r="QW13" s="65"/>
      <c r="QX13" s="65"/>
      <c r="QY13" s="65"/>
      <c r="QZ13" s="65"/>
      <c r="RA13" s="65"/>
      <c r="RB13" s="65"/>
      <c r="RC13" s="65"/>
      <c r="RD13" s="65"/>
      <c r="RE13" s="65"/>
      <c r="RF13" s="65"/>
      <c r="RG13" s="65"/>
      <c r="RH13" s="65"/>
      <c r="RI13" s="65"/>
      <c r="RJ13" s="65"/>
      <c r="RK13" s="65"/>
      <c r="RL13" s="65"/>
      <c r="RM13" s="65"/>
      <c r="RN13" s="65"/>
      <c r="RO13" s="65"/>
      <c r="RP13" s="65"/>
      <c r="RQ13" s="65"/>
      <c r="RR13" s="65"/>
      <c r="RS13" s="65"/>
      <c r="RT13" s="65"/>
      <c r="RU13" s="65"/>
      <c r="RV13" s="65"/>
      <c r="RW13" s="65"/>
      <c r="RX13" s="65"/>
      <c r="RY13" s="65"/>
      <c r="RZ13" s="65"/>
      <c r="SA13" s="65"/>
      <c r="SB13" s="65"/>
      <c r="SC13" s="65"/>
      <c r="SD13" s="65"/>
      <c r="SE13" s="65"/>
      <c r="SF13" s="65"/>
      <c r="SG13" s="65"/>
      <c r="SH13" s="65"/>
      <c r="SI13" s="65"/>
      <c r="SJ13" s="65"/>
      <c r="SK13" s="65"/>
      <c r="SL13" s="65"/>
      <c r="SM13" s="65"/>
      <c r="SN13" s="65"/>
      <c r="SO13" s="65"/>
      <c r="SP13" s="65"/>
      <c r="SQ13" s="65"/>
      <c r="SR13" s="65"/>
      <c r="SS13" s="65"/>
      <c r="ST13" s="65"/>
      <c r="SU13" s="65"/>
      <c r="SV13" s="65"/>
      <c r="SW13" s="65"/>
      <c r="SX13" s="65"/>
      <c r="SY13" s="65"/>
      <c r="SZ13" s="65"/>
      <c r="TA13" s="65"/>
      <c r="TB13" s="65"/>
      <c r="TC13" s="65"/>
      <c r="TD13" s="65"/>
      <c r="TE13" s="65"/>
      <c r="TF13" s="65"/>
      <c r="TG13" s="65"/>
      <c r="TH13" s="65"/>
      <c r="TI13" s="65"/>
      <c r="TJ13" s="65"/>
      <c r="TK13" s="65"/>
      <c r="TL13" s="65"/>
      <c r="TM13" s="65"/>
      <c r="TN13" s="65"/>
      <c r="TO13" s="65"/>
      <c r="TP13" s="65"/>
      <c r="TQ13" s="65"/>
      <c r="TR13" s="65"/>
      <c r="TS13" s="65"/>
      <c r="TT13" s="65"/>
      <c r="TU13" s="65"/>
      <c r="TV13" s="65"/>
      <c r="TW13" s="65"/>
      <c r="TX13" s="65"/>
      <c r="TY13" s="65"/>
      <c r="TZ13" s="65"/>
      <c r="UA13" s="65"/>
      <c r="UB13" s="65"/>
      <c r="UC13" s="65"/>
      <c r="UD13" s="65"/>
      <c r="UE13" s="65"/>
      <c r="UF13" s="65"/>
      <c r="UG13" s="65"/>
      <c r="UH13" s="65"/>
      <c r="UI13" s="65"/>
      <c r="UJ13" s="65"/>
      <c r="UK13" s="65"/>
      <c r="UL13" s="65"/>
      <c r="UM13" s="65"/>
      <c r="UN13" s="65"/>
      <c r="UO13" s="65"/>
      <c r="UP13" s="65"/>
      <c r="UQ13" s="65"/>
      <c r="UR13" s="65"/>
      <c r="US13" s="65"/>
      <c r="UT13" s="65"/>
      <c r="UU13" s="65"/>
      <c r="UV13" s="65"/>
      <c r="UW13" s="65"/>
      <c r="UX13" s="65"/>
      <c r="UY13" s="65"/>
      <c r="UZ13" s="65"/>
      <c r="VA13" s="65"/>
      <c r="VB13" s="65"/>
      <c r="VC13" s="65"/>
      <c r="VD13" s="65"/>
      <c r="VE13" s="65"/>
      <c r="VF13" s="65"/>
      <c r="VG13" s="65"/>
      <c r="VH13" s="65"/>
      <c r="VI13" s="65"/>
      <c r="VJ13" s="65"/>
      <c r="VK13" s="65"/>
      <c r="VL13" s="65"/>
      <c r="VM13" s="65"/>
      <c r="VN13" s="65"/>
      <c r="VO13" s="65"/>
      <c r="VP13" s="65"/>
      <c r="VQ13" s="65"/>
      <c r="VR13" s="65"/>
      <c r="VS13" s="65"/>
      <c r="VT13" s="65"/>
      <c r="VU13" s="65"/>
      <c r="VV13" s="65"/>
      <c r="VW13" s="65"/>
      <c r="VX13" s="65"/>
      <c r="VY13" s="65"/>
      <c r="VZ13" s="65"/>
      <c r="WA13" s="65"/>
      <c r="WB13" s="65"/>
      <c r="WC13" s="65"/>
      <c r="WD13" s="65"/>
      <c r="WE13" s="65"/>
      <c r="WF13" s="65"/>
      <c r="WG13" s="65"/>
      <c r="WH13" s="65"/>
      <c r="WI13" s="65"/>
      <c r="WJ13" s="65"/>
      <c r="WK13" s="65"/>
      <c r="WL13" s="65"/>
      <c r="WM13" s="65"/>
      <c r="WN13" s="65"/>
      <c r="WO13" s="65"/>
      <c r="WP13" s="65"/>
      <c r="WQ13" s="65"/>
      <c r="WR13" s="65"/>
      <c r="WS13" s="65"/>
      <c r="WT13" s="65"/>
      <c r="WU13" s="65"/>
      <c r="WV13" s="65"/>
      <c r="WW13" s="65"/>
      <c r="WX13" s="65"/>
      <c r="WY13" s="65"/>
      <c r="WZ13" s="65"/>
      <c r="XA13" s="65"/>
      <c r="XB13" s="65"/>
      <c r="XC13" s="65"/>
      <c r="XD13" s="65"/>
      <c r="XE13" s="65"/>
      <c r="XF13" s="65"/>
      <c r="XG13" s="65"/>
      <c r="XH13" s="65"/>
      <c r="XI13" s="65"/>
      <c r="XJ13" s="65"/>
      <c r="XK13" s="65"/>
      <c r="XL13" s="65"/>
      <c r="XM13" s="65"/>
      <c r="XN13" s="65"/>
      <c r="XO13" s="65"/>
      <c r="XP13" s="65"/>
      <c r="XQ13" s="65"/>
      <c r="XR13" s="65"/>
      <c r="XS13" s="65"/>
      <c r="XT13" s="65"/>
      <c r="XU13" s="65"/>
      <c r="XV13" s="65"/>
      <c r="XW13" s="65"/>
      <c r="XX13" s="65"/>
      <c r="XY13" s="65"/>
      <c r="XZ13" s="65"/>
      <c r="YA13" s="65"/>
      <c r="YB13" s="65"/>
      <c r="YC13" s="65"/>
      <c r="YD13" s="65"/>
      <c r="YE13" s="65"/>
      <c r="YF13" s="65"/>
      <c r="YG13" s="65"/>
      <c r="YH13" s="65"/>
      <c r="YI13" s="65"/>
      <c r="YJ13" s="65"/>
      <c r="YK13" s="65"/>
      <c r="YL13" s="65"/>
      <c r="YM13" s="65"/>
      <c r="YN13" s="65"/>
      <c r="YO13" s="65"/>
      <c r="YP13" s="65"/>
      <c r="YQ13" s="65"/>
      <c r="YR13" s="65"/>
      <c r="YS13" s="65"/>
      <c r="YT13" s="65"/>
      <c r="YU13" s="65"/>
      <c r="YV13" s="65"/>
      <c r="YW13" s="65"/>
      <c r="YX13" s="65"/>
      <c r="YY13" s="65"/>
      <c r="YZ13" s="65"/>
      <c r="ZA13" s="65"/>
      <c r="ZB13" s="65"/>
      <c r="ZC13" s="65"/>
      <c r="ZD13" s="65"/>
      <c r="ZE13" s="65"/>
      <c r="ZF13" s="65"/>
      <c r="ZG13" s="65"/>
      <c r="ZH13" s="65"/>
      <c r="ZI13" s="65"/>
      <c r="ZJ13" s="65"/>
      <c r="ZK13" s="65"/>
      <c r="ZL13" s="65"/>
      <c r="ZM13" s="65"/>
      <c r="ZN13" s="65"/>
      <c r="ZO13" s="65"/>
      <c r="ZP13" s="65"/>
      <c r="ZQ13" s="65"/>
      <c r="ZR13" s="65"/>
      <c r="ZS13" s="65"/>
      <c r="ZT13" s="65"/>
      <c r="ZU13" s="65"/>
      <c r="ZV13" s="65"/>
      <c r="ZW13" s="65"/>
      <c r="ZX13" s="65"/>
      <c r="ZY13" s="65"/>
      <c r="ZZ13" s="65"/>
      <c r="AAA13" s="65"/>
      <c r="AAB13" s="65"/>
      <c r="AAC13" s="65"/>
      <c r="AAD13" s="65"/>
      <c r="AAE13" s="65"/>
      <c r="AAF13" s="65"/>
      <c r="AAG13" s="65"/>
      <c r="AAH13" s="65"/>
      <c r="AAI13" s="65"/>
      <c r="AAJ13" s="65"/>
      <c r="AAK13" s="65"/>
      <c r="AAL13" s="65"/>
      <c r="AAM13" s="65"/>
      <c r="AAN13" s="65"/>
      <c r="AAO13" s="65"/>
      <c r="AAP13" s="65"/>
      <c r="AAQ13" s="65"/>
      <c r="AAR13" s="65"/>
      <c r="AAS13" s="65"/>
      <c r="AAT13" s="65"/>
      <c r="AAU13" s="65"/>
      <c r="AAV13" s="65"/>
      <c r="AAW13" s="65"/>
      <c r="AAX13" s="65"/>
      <c r="AAY13" s="65"/>
      <c r="AAZ13" s="65"/>
      <c r="ABA13" s="65"/>
      <c r="ABB13" s="65"/>
      <c r="ABC13" s="65"/>
      <c r="ABD13" s="65"/>
      <c r="ABE13" s="65"/>
      <c r="ABF13" s="65"/>
      <c r="ABG13" s="65"/>
      <c r="ABH13" s="65"/>
      <c r="ABI13" s="65"/>
      <c r="ABJ13" s="65"/>
      <c r="ABK13" s="65"/>
      <c r="ABL13" s="65"/>
      <c r="ABM13" s="65"/>
      <c r="ABN13" s="65"/>
      <c r="ABO13" s="65"/>
      <c r="ABP13" s="65"/>
      <c r="ABQ13" s="65"/>
      <c r="ABR13" s="65"/>
      <c r="ABS13" s="65"/>
      <c r="ABT13" s="65"/>
      <c r="ABU13" s="65"/>
      <c r="ABV13" s="65"/>
      <c r="ABW13" s="65"/>
      <c r="ABX13" s="65"/>
      <c r="ABY13" s="65"/>
      <c r="ABZ13" s="65"/>
      <c r="ACA13" s="65"/>
      <c r="ACB13" s="65"/>
      <c r="ACC13" s="65"/>
      <c r="ACD13" s="65"/>
      <c r="ACE13" s="65"/>
      <c r="ACF13" s="65"/>
      <c r="ACG13" s="65"/>
      <c r="ACH13" s="65"/>
      <c r="ACI13" s="65"/>
      <c r="ACJ13" s="65"/>
      <c r="ACK13" s="65"/>
      <c r="ACL13" s="65"/>
      <c r="ACM13" s="65"/>
      <c r="ACN13" s="65"/>
      <c r="ACO13" s="65"/>
      <c r="ACP13" s="65"/>
      <c r="ACQ13" s="65"/>
      <c r="ACR13" s="65"/>
      <c r="ACS13" s="65"/>
      <c r="ACT13" s="65"/>
      <c r="ACU13" s="65"/>
      <c r="ACV13" s="65"/>
      <c r="ACW13" s="65"/>
      <c r="ACX13" s="65"/>
      <c r="ACY13" s="65"/>
      <c r="ACZ13" s="65"/>
      <c r="ADA13" s="65"/>
      <c r="ADB13" s="65"/>
      <c r="ADC13" s="65"/>
      <c r="ADD13" s="65"/>
      <c r="ADE13" s="65"/>
      <c r="ADF13" s="65"/>
      <c r="ADG13" s="65"/>
      <c r="ADH13" s="65"/>
      <c r="ADI13" s="65"/>
      <c r="ADJ13" s="65"/>
      <c r="ADK13" s="65"/>
      <c r="ADL13" s="65"/>
      <c r="ADM13" s="65"/>
      <c r="ADN13" s="65"/>
      <c r="ADO13" s="65"/>
      <c r="ADP13" s="65"/>
      <c r="ADQ13" s="65"/>
      <c r="ADR13" s="65"/>
      <c r="ADS13" s="65"/>
      <c r="ADT13" s="65"/>
      <c r="ADU13" s="65"/>
      <c r="ADV13" s="65"/>
      <c r="ADW13" s="65"/>
      <c r="ADX13" s="65"/>
      <c r="ADY13" s="65"/>
      <c r="ADZ13" s="65"/>
      <c r="AEA13" s="65"/>
      <c r="AEB13" s="65"/>
      <c r="AEC13" s="65"/>
      <c r="AED13" s="65"/>
      <c r="AEE13" s="65"/>
      <c r="AEF13" s="65"/>
      <c r="AEG13" s="65"/>
      <c r="AEH13" s="65"/>
      <c r="AEI13" s="65"/>
      <c r="AEJ13" s="65"/>
      <c r="AEK13" s="65"/>
      <c r="AEL13" s="65"/>
      <c r="AEM13" s="65"/>
      <c r="AEN13" s="65"/>
      <c r="AEO13" s="65"/>
      <c r="AEP13" s="65"/>
      <c r="AEQ13" s="65"/>
      <c r="AER13" s="65"/>
      <c r="AES13" s="65"/>
      <c r="AET13" s="65"/>
      <c r="AEU13" s="65"/>
      <c r="AEV13" s="65"/>
      <c r="AEW13" s="65"/>
      <c r="AEX13" s="65"/>
      <c r="AEY13" s="65"/>
      <c r="AEZ13" s="65"/>
      <c r="AFA13" s="65"/>
      <c r="AFB13" s="65"/>
      <c r="AFC13" s="65"/>
      <c r="AFD13" s="65"/>
      <c r="AFE13" s="65"/>
      <c r="AFF13" s="65"/>
      <c r="AFG13" s="65"/>
      <c r="AFH13" s="65"/>
      <c r="AFI13" s="65"/>
      <c r="AFJ13" s="65"/>
      <c r="AFK13" s="65"/>
      <c r="AFL13" s="65"/>
      <c r="AFM13" s="65"/>
      <c r="AFN13" s="65"/>
      <c r="AFO13" s="65"/>
      <c r="AFP13" s="65"/>
      <c r="AFQ13" s="65"/>
      <c r="AFR13" s="65"/>
      <c r="AFS13" s="65"/>
      <c r="AFT13" s="65"/>
      <c r="AFU13" s="65"/>
      <c r="AFV13" s="65"/>
      <c r="AFW13" s="65"/>
      <c r="AFX13" s="65"/>
      <c r="AFY13" s="65"/>
      <c r="AFZ13" s="65"/>
      <c r="AGA13" s="65"/>
      <c r="AGB13" s="65"/>
      <c r="AGC13" s="65"/>
      <c r="AGD13" s="65"/>
      <c r="AGE13" s="65"/>
      <c r="AGF13" s="65"/>
      <c r="AGG13" s="65"/>
      <c r="AGH13" s="65"/>
      <c r="AGI13" s="65"/>
      <c r="AGJ13" s="65"/>
      <c r="AGK13" s="65"/>
      <c r="AGL13" s="65"/>
      <c r="AGM13" s="65"/>
      <c r="AGN13" s="65"/>
      <c r="AGO13" s="65"/>
      <c r="AGP13" s="65"/>
      <c r="AGQ13" s="65"/>
      <c r="AGR13" s="65"/>
      <c r="AGS13" s="65"/>
      <c r="AGT13" s="65"/>
      <c r="AGU13" s="65"/>
      <c r="AGV13" s="65"/>
      <c r="AGW13" s="65"/>
      <c r="AGX13" s="65"/>
      <c r="AGY13" s="65"/>
      <c r="AGZ13" s="65"/>
      <c r="AHA13" s="65"/>
      <c r="AHB13" s="65"/>
      <c r="AHC13" s="65"/>
      <c r="AHD13" s="65"/>
      <c r="AHE13" s="65"/>
      <c r="AHF13" s="65"/>
      <c r="AHG13" s="65"/>
      <c r="AHH13" s="65"/>
      <c r="AHI13" s="65"/>
      <c r="AHJ13" s="65"/>
      <c r="AHK13" s="65"/>
      <c r="AHL13" s="65"/>
      <c r="AHM13" s="65"/>
      <c r="AHN13" s="65"/>
      <c r="AHO13" s="65"/>
      <c r="AHP13" s="65"/>
      <c r="AHQ13" s="65"/>
      <c r="AHR13" s="65"/>
      <c r="AHS13" s="65"/>
      <c r="AHT13" s="65"/>
      <c r="AHU13" s="65"/>
      <c r="AHV13" s="65"/>
      <c r="AHW13" s="65"/>
      <c r="AHX13" s="65"/>
      <c r="AHY13" s="65"/>
      <c r="AHZ13" s="65"/>
      <c r="AIA13" s="65"/>
      <c r="AIB13" s="65"/>
      <c r="AIC13" s="65"/>
      <c r="AID13" s="65"/>
      <c r="AIE13" s="65"/>
      <c r="AIF13" s="65"/>
      <c r="AIG13" s="65"/>
      <c r="AIH13" s="65"/>
      <c r="AII13" s="65"/>
      <c r="AIJ13" s="65"/>
      <c r="AIK13" s="65"/>
      <c r="AIL13" s="65"/>
      <c r="AIM13" s="65"/>
      <c r="AIN13" s="65"/>
      <c r="AIO13" s="65"/>
      <c r="AIP13" s="65"/>
      <c r="AIQ13" s="65"/>
      <c r="AIR13" s="65"/>
      <c r="AIS13" s="65"/>
      <c r="AIT13" s="65"/>
      <c r="AIU13" s="65"/>
      <c r="AIV13" s="65"/>
      <c r="AIW13" s="65"/>
      <c r="AIX13" s="65"/>
      <c r="AIY13" s="65"/>
      <c r="AIZ13" s="65"/>
      <c r="AJA13" s="65"/>
      <c r="AJB13" s="65"/>
      <c r="AJC13" s="65"/>
      <c r="AJD13" s="65"/>
      <c r="AJE13" s="65"/>
      <c r="AJF13" s="65"/>
      <c r="AJG13" s="65"/>
      <c r="AJH13" s="65"/>
      <c r="AJI13" s="65"/>
      <c r="AJJ13" s="65"/>
      <c r="AJK13" s="65"/>
      <c r="AJL13" s="65"/>
      <c r="AJM13" s="65"/>
      <c r="AJN13" s="65"/>
      <c r="AJO13" s="65"/>
      <c r="AJP13" s="65"/>
      <c r="AJQ13" s="65"/>
      <c r="AJR13" s="65"/>
      <c r="AJS13" s="65"/>
      <c r="AJT13" s="65"/>
      <c r="AJU13" s="65"/>
      <c r="AJV13" s="65"/>
      <c r="AJW13" s="65"/>
      <c r="AJX13" s="65"/>
      <c r="AJY13" s="65"/>
      <c r="AJZ13" s="65"/>
      <c r="AKA13" s="65"/>
      <c r="AKB13" s="65"/>
      <c r="AKC13" s="65"/>
      <c r="AKD13" s="65"/>
      <c r="AKE13" s="65"/>
      <c r="AKF13" s="65"/>
      <c r="AKG13" s="65"/>
      <c r="AKH13" s="65"/>
      <c r="AKI13" s="65"/>
      <c r="AKJ13" s="65"/>
      <c r="AKK13" s="65"/>
      <c r="AKL13" s="65"/>
      <c r="AKM13" s="65"/>
      <c r="AKN13" s="65"/>
      <c r="AKO13" s="65"/>
      <c r="AKP13" s="65"/>
      <c r="AKQ13" s="65"/>
      <c r="AKR13" s="65"/>
      <c r="AKS13" s="65"/>
      <c r="AKT13" s="65"/>
      <c r="AKU13" s="65"/>
      <c r="AKV13" s="65"/>
      <c r="AKW13" s="65"/>
      <c r="AKX13" s="65"/>
      <c r="AKY13" s="65"/>
      <c r="AKZ13" s="65"/>
      <c r="ALA13" s="65"/>
      <c r="ALB13" s="65"/>
      <c r="ALC13" s="65"/>
      <c r="ALD13" s="65"/>
      <c r="ALE13" s="65"/>
      <c r="ALF13" s="65"/>
      <c r="ALG13" s="65"/>
      <c r="ALH13" s="65"/>
      <c r="ALI13" s="65"/>
      <c r="ALJ13" s="65"/>
      <c r="ALK13" s="65"/>
      <c r="ALL13" s="65"/>
      <c r="ALM13" s="65"/>
      <c r="ALN13" s="65"/>
      <c r="ALO13" s="65"/>
      <c r="ALP13" s="65"/>
      <c r="ALQ13" s="65"/>
      <c r="ALR13" s="65"/>
      <c r="ALS13" s="65"/>
      <c r="ALT13" s="65"/>
      <c r="ALU13" s="65"/>
      <c r="ALV13" s="65"/>
      <c r="ALW13" s="65"/>
      <c r="ALX13" s="65"/>
      <c r="ALY13" s="65"/>
      <c r="ALZ13" s="65"/>
      <c r="AMA13" s="65"/>
      <c r="AMB13" s="65"/>
      <c r="AMC13" s="65"/>
      <c r="AMD13" s="65"/>
      <c r="AME13" s="65"/>
      <c r="AMF13" s="65"/>
      <c r="AMG13" s="65"/>
      <c r="AMH13" s="65"/>
      <c r="AMI13" s="65"/>
      <c r="AMJ13" s="60"/>
    </row>
    <row r="14" spans="1:1024">
      <c r="A14" s="69" t="s">
        <v>39685</v>
      </c>
      <c r="B14" s="70" t="s">
        <v>39686</v>
      </c>
      <c r="C14" s="70">
        <v>9</v>
      </c>
      <c r="D14" s="70">
        <v>19896</v>
      </c>
      <c r="E14" s="70" t="s">
        <v>39696</v>
      </c>
      <c r="F14" s="70">
        <v>269613</v>
      </c>
      <c r="G14" s="70">
        <v>3238</v>
      </c>
      <c r="H14" s="70">
        <v>23134</v>
      </c>
      <c r="I14" s="71">
        <v>1.133</v>
      </c>
      <c r="J14" s="70">
        <v>6</v>
      </c>
      <c r="K14" s="70">
        <v>20</v>
      </c>
      <c r="L14" s="70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65"/>
      <c r="IS14" s="65"/>
      <c r="IT14" s="65"/>
      <c r="IU14" s="65"/>
      <c r="IV14" s="65"/>
      <c r="IW14" s="65"/>
      <c r="IX14" s="65"/>
      <c r="IY14" s="65"/>
      <c r="IZ14" s="65"/>
      <c r="JA14" s="65"/>
      <c r="JB14" s="65"/>
      <c r="JC14" s="65"/>
      <c r="JD14" s="65"/>
      <c r="JE14" s="65"/>
      <c r="JF14" s="65"/>
      <c r="JG14" s="65"/>
      <c r="JH14" s="65"/>
      <c r="JI14" s="65"/>
      <c r="JJ14" s="65"/>
      <c r="JK14" s="65"/>
      <c r="JL14" s="65"/>
      <c r="JM14" s="65"/>
      <c r="JN14" s="65"/>
      <c r="JO14" s="65"/>
      <c r="JP14" s="65"/>
      <c r="JQ14" s="65"/>
      <c r="JR14" s="65"/>
      <c r="JS14" s="65"/>
      <c r="JT14" s="65"/>
      <c r="JU14" s="65"/>
      <c r="JV14" s="65"/>
      <c r="JW14" s="65"/>
      <c r="JX14" s="65"/>
      <c r="JY14" s="65"/>
      <c r="JZ14" s="65"/>
      <c r="KA14" s="65"/>
      <c r="KB14" s="65"/>
      <c r="KC14" s="65"/>
      <c r="KD14" s="65"/>
      <c r="KE14" s="65"/>
      <c r="KF14" s="65"/>
      <c r="KG14" s="65"/>
      <c r="KH14" s="65"/>
      <c r="KI14" s="65"/>
      <c r="KJ14" s="65"/>
      <c r="KK14" s="65"/>
      <c r="KL14" s="65"/>
      <c r="KM14" s="65"/>
      <c r="KN14" s="65"/>
      <c r="KO14" s="65"/>
      <c r="KP14" s="65"/>
      <c r="KQ14" s="65"/>
      <c r="KR14" s="65"/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65"/>
      <c r="LG14" s="65"/>
      <c r="LH14" s="65"/>
      <c r="LI14" s="65"/>
      <c r="LJ14" s="65"/>
      <c r="LK14" s="65"/>
      <c r="LL14" s="65"/>
      <c r="LM14" s="65"/>
      <c r="LN14" s="65"/>
      <c r="LO14" s="65"/>
      <c r="LP14" s="65"/>
      <c r="LQ14" s="65"/>
      <c r="LR14" s="65"/>
      <c r="LS14" s="65"/>
      <c r="LT14" s="65"/>
      <c r="LU14" s="65"/>
      <c r="LV14" s="65"/>
      <c r="LW14" s="65"/>
      <c r="LX14" s="65"/>
      <c r="LY14" s="65"/>
      <c r="LZ14" s="65"/>
      <c r="MA14" s="65"/>
      <c r="MB14" s="65"/>
      <c r="MC14" s="65"/>
      <c r="MD14" s="65"/>
      <c r="ME14" s="65"/>
      <c r="MF14" s="65"/>
      <c r="MG14" s="65"/>
      <c r="MH14" s="65"/>
      <c r="MI14" s="65"/>
      <c r="MJ14" s="65"/>
      <c r="MK14" s="65"/>
      <c r="ML14" s="65"/>
      <c r="MM14" s="65"/>
      <c r="MN14" s="65"/>
      <c r="MO14" s="65"/>
      <c r="MP14" s="65"/>
      <c r="MQ14" s="65"/>
      <c r="MR14" s="65"/>
      <c r="MS14" s="65"/>
      <c r="MT14" s="65"/>
      <c r="MU14" s="65"/>
      <c r="MV14" s="65"/>
      <c r="MW14" s="65"/>
      <c r="MX14" s="65"/>
      <c r="MY14" s="65"/>
      <c r="MZ14" s="65"/>
      <c r="NA14" s="65"/>
      <c r="NB14" s="65"/>
      <c r="NC14" s="65"/>
      <c r="ND14" s="65"/>
      <c r="NE14" s="65"/>
      <c r="NF14" s="65"/>
      <c r="NG14" s="65"/>
      <c r="NH14" s="65"/>
      <c r="NI14" s="65"/>
      <c r="NJ14" s="65"/>
      <c r="NK14" s="65"/>
      <c r="NL14" s="65"/>
      <c r="NM14" s="65"/>
      <c r="NN14" s="65"/>
      <c r="NO14" s="65"/>
      <c r="NP14" s="65"/>
      <c r="NQ14" s="65"/>
      <c r="NR14" s="65"/>
      <c r="NS14" s="65"/>
      <c r="NT14" s="65"/>
      <c r="NU14" s="65"/>
      <c r="NV14" s="65"/>
      <c r="NW14" s="65"/>
      <c r="NX14" s="65"/>
      <c r="NY14" s="65"/>
      <c r="NZ14" s="65"/>
      <c r="OA14" s="65"/>
      <c r="OB14" s="65"/>
      <c r="OC14" s="65"/>
      <c r="OD14" s="65"/>
      <c r="OE14" s="65"/>
      <c r="OF14" s="65"/>
      <c r="OG14" s="65"/>
      <c r="OH14" s="65"/>
      <c r="OI14" s="65"/>
      <c r="OJ14" s="65"/>
      <c r="OK14" s="65"/>
      <c r="OL14" s="65"/>
      <c r="OM14" s="65"/>
      <c r="ON14" s="65"/>
      <c r="OO14" s="65"/>
      <c r="OP14" s="65"/>
      <c r="OQ14" s="65"/>
      <c r="OR14" s="65"/>
      <c r="OS14" s="65"/>
      <c r="OT14" s="65"/>
      <c r="OU14" s="65"/>
      <c r="OV14" s="65"/>
      <c r="OW14" s="65"/>
      <c r="OX14" s="65"/>
      <c r="OY14" s="65"/>
      <c r="OZ14" s="65"/>
      <c r="PA14" s="65"/>
      <c r="PB14" s="65"/>
      <c r="PC14" s="65"/>
      <c r="PD14" s="65"/>
      <c r="PE14" s="65"/>
      <c r="PF14" s="65"/>
      <c r="PG14" s="65"/>
      <c r="PH14" s="65"/>
      <c r="PI14" s="65"/>
      <c r="PJ14" s="65"/>
      <c r="PK14" s="65"/>
      <c r="PL14" s="65"/>
      <c r="PM14" s="65"/>
      <c r="PN14" s="65"/>
      <c r="PO14" s="65"/>
      <c r="PP14" s="65"/>
      <c r="PQ14" s="65"/>
      <c r="PR14" s="65"/>
      <c r="PS14" s="65"/>
      <c r="PT14" s="65"/>
      <c r="PU14" s="65"/>
      <c r="PV14" s="65"/>
      <c r="PW14" s="65"/>
      <c r="PX14" s="65"/>
      <c r="PY14" s="65"/>
      <c r="PZ14" s="65"/>
      <c r="QA14" s="65"/>
      <c r="QB14" s="65"/>
      <c r="QC14" s="65"/>
      <c r="QD14" s="65"/>
      <c r="QE14" s="65"/>
      <c r="QF14" s="65"/>
      <c r="QG14" s="65"/>
      <c r="QH14" s="65"/>
      <c r="QI14" s="65"/>
      <c r="QJ14" s="65"/>
      <c r="QK14" s="65"/>
      <c r="QL14" s="65"/>
      <c r="QM14" s="65"/>
      <c r="QN14" s="65"/>
      <c r="QO14" s="65"/>
      <c r="QP14" s="65"/>
      <c r="QQ14" s="65"/>
      <c r="QR14" s="65"/>
      <c r="QS14" s="65"/>
      <c r="QT14" s="65"/>
      <c r="QU14" s="65"/>
      <c r="QV14" s="65"/>
      <c r="QW14" s="65"/>
      <c r="QX14" s="65"/>
      <c r="QY14" s="65"/>
      <c r="QZ14" s="65"/>
      <c r="RA14" s="65"/>
      <c r="RB14" s="65"/>
      <c r="RC14" s="65"/>
      <c r="RD14" s="65"/>
      <c r="RE14" s="65"/>
      <c r="RF14" s="65"/>
      <c r="RG14" s="65"/>
      <c r="RH14" s="65"/>
      <c r="RI14" s="65"/>
      <c r="RJ14" s="65"/>
      <c r="RK14" s="65"/>
      <c r="RL14" s="65"/>
      <c r="RM14" s="65"/>
      <c r="RN14" s="65"/>
      <c r="RO14" s="65"/>
      <c r="RP14" s="65"/>
      <c r="RQ14" s="65"/>
      <c r="RR14" s="65"/>
      <c r="RS14" s="65"/>
      <c r="RT14" s="65"/>
      <c r="RU14" s="65"/>
      <c r="RV14" s="65"/>
      <c r="RW14" s="65"/>
      <c r="RX14" s="65"/>
      <c r="RY14" s="65"/>
      <c r="RZ14" s="65"/>
      <c r="SA14" s="65"/>
      <c r="SB14" s="65"/>
      <c r="SC14" s="65"/>
      <c r="SD14" s="65"/>
      <c r="SE14" s="65"/>
      <c r="SF14" s="65"/>
      <c r="SG14" s="65"/>
      <c r="SH14" s="65"/>
      <c r="SI14" s="65"/>
      <c r="SJ14" s="65"/>
      <c r="SK14" s="65"/>
      <c r="SL14" s="65"/>
      <c r="SM14" s="65"/>
      <c r="SN14" s="65"/>
      <c r="SO14" s="65"/>
      <c r="SP14" s="65"/>
      <c r="SQ14" s="65"/>
      <c r="SR14" s="65"/>
      <c r="SS14" s="65"/>
      <c r="ST14" s="65"/>
      <c r="SU14" s="65"/>
      <c r="SV14" s="65"/>
      <c r="SW14" s="65"/>
      <c r="SX14" s="65"/>
      <c r="SY14" s="65"/>
      <c r="SZ14" s="65"/>
      <c r="TA14" s="65"/>
      <c r="TB14" s="65"/>
      <c r="TC14" s="65"/>
      <c r="TD14" s="65"/>
      <c r="TE14" s="65"/>
      <c r="TF14" s="65"/>
      <c r="TG14" s="65"/>
      <c r="TH14" s="65"/>
      <c r="TI14" s="65"/>
      <c r="TJ14" s="65"/>
      <c r="TK14" s="65"/>
      <c r="TL14" s="65"/>
      <c r="TM14" s="65"/>
      <c r="TN14" s="65"/>
      <c r="TO14" s="65"/>
      <c r="TP14" s="65"/>
      <c r="TQ14" s="65"/>
      <c r="TR14" s="65"/>
      <c r="TS14" s="65"/>
      <c r="TT14" s="65"/>
      <c r="TU14" s="65"/>
      <c r="TV14" s="65"/>
      <c r="TW14" s="65"/>
      <c r="TX14" s="65"/>
      <c r="TY14" s="65"/>
      <c r="TZ14" s="65"/>
      <c r="UA14" s="65"/>
      <c r="UB14" s="65"/>
      <c r="UC14" s="65"/>
      <c r="UD14" s="65"/>
      <c r="UE14" s="65"/>
      <c r="UF14" s="65"/>
      <c r="UG14" s="65"/>
      <c r="UH14" s="65"/>
      <c r="UI14" s="65"/>
      <c r="UJ14" s="65"/>
      <c r="UK14" s="65"/>
      <c r="UL14" s="65"/>
      <c r="UM14" s="65"/>
      <c r="UN14" s="65"/>
      <c r="UO14" s="65"/>
      <c r="UP14" s="65"/>
      <c r="UQ14" s="65"/>
      <c r="UR14" s="65"/>
      <c r="US14" s="65"/>
      <c r="UT14" s="65"/>
      <c r="UU14" s="65"/>
      <c r="UV14" s="65"/>
      <c r="UW14" s="65"/>
      <c r="UX14" s="65"/>
      <c r="UY14" s="65"/>
      <c r="UZ14" s="65"/>
      <c r="VA14" s="65"/>
      <c r="VB14" s="65"/>
      <c r="VC14" s="65"/>
      <c r="VD14" s="65"/>
      <c r="VE14" s="65"/>
      <c r="VF14" s="65"/>
      <c r="VG14" s="65"/>
      <c r="VH14" s="65"/>
      <c r="VI14" s="65"/>
      <c r="VJ14" s="65"/>
      <c r="VK14" s="65"/>
      <c r="VL14" s="65"/>
      <c r="VM14" s="65"/>
      <c r="VN14" s="65"/>
      <c r="VO14" s="65"/>
      <c r="VP14" s="65"/>
      <c r="VQ14" s="65"/>
      <c r="VR14" s="65"/>
      <c r="VS14" s="65"/>
      <c r="VT14" s="65"/>
      <c r="VU14" s="65"/>
      <c r="VV14" s="65"/>
      <c r="VW14" s="65"/>
      <c r="VX14" s="65"/>
      <c r="VY14" s="65"/>
      <c r="VZ14" s="65"/>
      <c r="WA14" s="65"/>
      <c r="WB14" s="65"/>
      <c r="WC14" s="65"/>
      <c r="WD14" s="65"/>
      <c r="WE14" s="65"/>
      <c r="WF14" s="65"/>
      <c r="WG14" s="65"/>
      <c r="WH14" s="65"/>
      <c r="WI14" s="65"/>
      <c r="WJ14" s="65"/>
      <c r="WK14" s="65"/>
      <c r="WL14" s="65"/>
      <c r="WM14" s="65"/>
      <c r="WN14" s="65"/>
      <c r="WO14" s="65"/>
      <c r="WP14" s="65"/>
      <c r="WQ14" s="65"/>
      <c r="WR14" s="65"/>
      <c r="WS14" s="65"/>
      <c r="WT14" s="65"/>
      <c r="WU14" s="65"/>
      <c r="WV14" s="65"/>
      <c r="WW14" s="65"/>
      <c r="WX14" s="65"/>
      <c r="WY14" s="65"/>
      <c r="WZ14" s="65"/>
      <c r="XA14" s="65"/>
      <c r="XB14" s="65"/>
      <c r="XC14" s="65"/>
      <c r="XD14" s="65"/>
      <c r="XE14" s="65"/>
      <c r="XF14" s="65"/>
      <c r="XG14" s="65"/>
      <c r="XH14" s="65"/>
      <c r="XI14" s="65"/>
      <c r="XJ14" s="65"/>
      <c r="XK14" s="65"/>
      <c r="XL14" s="65"/>
      <c r="XM14" s="65"/>
      <c r="XN14" s="65"/>
      <c r="XO14" s="65"/>
      <c r="XP14" s="65"/>
      <c r="XQ14" s="65"/>
      <c r="XR14" s="65"/>
      <c r="XS14" s="65"/>
      <c r="XT14" s="65"/>
      <c r="XU14" s="65"/>
      <c r="XV14" s="65"/>
      <c r="XW14" s="65"/>
      <c r="XX14" s="65"/>
      <c r="XY14" s="65"/>
      <c r="XZ14" s="65"/>
      <c r="YA14" s="65"/>
      <c r="YB14" s="65"/>
      <c r="YC14" s="65"/>
      <c r="YD14" s="65"/>
      <c r="YE14" s="65"/>
      <c r="YF14" s="65"/>
      <c r="YG14" s="65"/>
      <c r="YH14" s="65"/>
      <c r="YI14" s="65"/>
      <c r="YJ14" s="65"/>
      <c r="YK14" s="65"/>
      <c r="YL14" s="65"/>
      <c r="YM14" s="65"/>
      <c r="YN14" s="65"/>
      <c r="YO14" s="65"/>
      <c r="YP14" s="65"/>
      <c r="YQ14" s="65"/>
      <c r="YR14" s="65"/>
      <c r="YS14" s="65"/>
      <c r="YT14" s="65"/>
      <c r="YU14" s="65"/>
      <c r="YV14" s="65"/>
      <c r="YW14" s="65"/>
      <c r="YX14" s="65"/>
      <c r="YY14" s="65"/>
      <c r="YZ14" s="65"/>
      <c r="ZA14" s="65"/>
      <c r="ZB14" s="65"/>
      <c r="ZC14" s="65"/>
      <c r="ZD14" s="65"/>
      <c r="ZE14" s="65"/>
      <c r="ZF14" s="65"/>
      <c r="ZG14" s="65"/>
      <c r="ZH14" s="65"/>
      <c r="ZI14" s="65"/>
      <c r="ZJ14" s="65"/>
      <c r="ZK14" s="65"/>
      <c r="ZL14" s="65"/>
      <c r="ZM14" s="65"/>
      <c r="ZN14" s="65"/>
      <c r="ZO14" s="65"/>
      <c r="ZP14" s="65"/>
      <c r="ZQ14" s="65"/>
      <c r="ZR14" s="65"/>
      <c r="ZS14" s="65"/>
      <c r="ZT14" s="65"/>
      <c r="ZU14" s="65"/>
      <c r="ZV14" s="65"/>
      <c r="ZW14" s="65"/>
      <c r="ZX14" s="65"/>
      <c r="ZY14" s="65"/>
      <c r="ZZ14" s="65"/>
      <c r="AAA14" s="65"/>
      <c r="AAB14" s="65"/>
      <c r="AAC14" s="65"/>
      <c r="AAD14" s="65"/>
      <c r="AAE14" s="65"/>
      <c r="AAF14" s="65"/>
      <c r="AAG14" s="65"/>
      <c r="AAH14" s="65"/>
      <c r="AAI14" s="65"/>
      <c r="AAJ14" s="65"/>
      <c r="AAK14" s="65"/>
      <c r="AAL14" s="65"/>
      <c r="AAM14" s="65"/>
      <c r="AAN14" s="65"/>
      <c r="AAO14" s="65"/>
      <c r="AAP14" s="65"/>
      <c r="AAQ14" s="65"/>
      <c r="AAR14" s="65"/>
      <c r="AAS14" s="65"/>
      <c r="AAT14" s="65"/>
      <c r="AAU14" s="65"/>
      <c r="AAV14" s="65"/>
      <c r="AAW14" s="65"/>
      <c r="AAX14" s="65"/>
      <c r="AAY14" s="65"/>
      <c r="AAZ14" s="65"/>
      <c r="ABA14" s="65"/>
      <c r="ABB14" s="65"/>
      <c r="ABC14" s="65"/>
      <c r="ABD14" s="65"/>
      <c r="ABE14" s="65"/>
      <c r="ABF14" s="65"/>
      <c r="ABG14" s="65"/>
      <c r="ABH14" s="65"/>
      <c r="ABI14" s="65"/>
      <c r="ABJ14" s="65"/>
      <c r="ABK14" s="65"/>
      <c r="ABL14" s="65"/>
      <c r="ABM14" s="65"/>
      <c r="ABN14" s="65"/>
      <c r="ABO14" s="65"/>
      <c r="ABP14" s="65"/>
      <c r="ABQ14" s="65"/>
      <c r="ABR14" s="65"/>
      <c r="ABS14" s="65"/>
      <c r="ABT14" s="65"/>
      <c r="ABU14" s="65"/>
      <c r="ABV14" s="65"/>
      <c r="ABW14" s="65"/>
      <c r="ABX14" s="65"/>
      <c r="ABY14" s="65"/>
      <c r="ABZ14" s="65"/>
      <c r="ACA14" s="65"/>
      <c r="ACB14" s="65"/>
      <c r="ACC14" s="65"/>
      <c r="ACD14" s="65"/>
      <c r="ACE14" s="65"/>
      <c r="ACF14" s="65"/>
      <c r="ACG14" s="65"/>
      <c r="ACH14" s="65"/>
      <c r="ACI14" s="65"/>
      <c r="ACJ14" s="65"/>
      <c r="ACK14" s="65"/>
      <c r="ACL14" s="65"/>
      <c r="ACM14" s="65"/>
      <c r="ACN14" s="65"/>
      <c r="ACO14" s="65"/>
      <c r="ACP14" s="65"/>
      <c r="ACQ14" s="65"/>
      <c r="ACR14" s="65"/>
      <c r="ACS14" s="65"/>
      <c r="ACT14" s="65"/>
      <c r="ACU14" s="65"/>
      <c r="ACV14" s="65"/>
      <c r="ACW14" s="65"/>
      <c r="ACX14" s="65"/>
      <c r="ACY14" s="65"/>
      <c r="ACZ14" s="65"/>
      <c r="ADA14" s="65"/>
      <c r="ADB14" s="65"/>
      <c r="ADC14" s="65"/>
      <c r="ADD14" s="65"/>
      <c r="ADE14" s="65"/>
      <c r="ADF14" s="65"/>
      <c r="ADG14" s="65"/>
      <c r="ADH14" s="65"/>
      <c r="ADI14" s="65"/>
      <c r="ADJ14" s="65"/>
      <c r="ADK14" s="65"/>
      <c r="ADL14" s="65"/>
      <c r="ADM14" s="65"/>
      <c r="ADN14" s="65"/>
      <c r="ADO14" s="65"/>
      <c r="ADP14" s="65"/>
      <c r="ADQ14" s="65"/>
      <c r="ADR14" s="65"/>
      <c r="ADS14" s="65"/>
      <c r="ADT14" s="65"/>
      <c r="ADU14" s="65"/>
      <c r="ADV14" s="65"/>
      <c r="ADW14" s="65"/>
      <c r="ADX14" s="65"/>
      <c r="ADY14" s="65"/>
      <c r="ADZ14" s="65"/>
      <c r="AEA14" s="65"/>
      <c r="AEB14" s="65"/>
      <c r="AEC14" s="65"/>
      <c r="AED14" s="65"/>
      <c r="AEE14" s="65"/>
      <c r="AEF14" s="65"/>
      <c r="AEG14" s="65"/>
      <c r="AEH14" s="65"/>
      <c r="AEI14" s="65"/>
      <c r="AEJ14" s="65"/>
      <c r="AEK14" s="65"/>
      <c r="AEL14" s="65"/>
      <c r="AEM14" s="65"/>
      <c r="AEN14" s="65"/>
      <c r="AEO14" s="65"/>
      <c r="AEP14" s="65"/>
      <c r="AEQ14" s="65"/>
      <c r="AER14" s="65"/>
      <c r="AES14" s="65"/>
      <c r="AET14" s="65"/>
      <c r="AEU14" s="65"/>
      <c r="AEV14" s="65"/>
      <c r="AEW14" s="65"/>
      <c r="AEX14" s="65"/>
      <c r="AEY14" s="65"/>
      <c r="AEZ14" s="65"/>
      <c r="AFA14" s="65"/>
      <c r="AFB14" s="65"/>
      <c r="AFC14" s="65"/>
      <c r="AFD14" s="65"/>
      <c r="AFE14" s="65"/>
      <c r="AFF14" s="65"/>
      <c r="AFG14" s="65"/>
      <c r="AFH14" s="65"/>
      <c r="AFI14" s="65"/>
      <c r="AFJ14" s="65"/>
      <c r="AFK14" s="65"/>
      <c r="AFL14" s="65"/>
      <c r="AFM14" s="65"/>
      <c r="AFN14" s="65"/>
      <c r="AFO14" s="65"/>
      <c r="AFP14" s="65"/>
      <c r="AFQ14" s="65"/>
      <c r="AFR14" s="65"/>
      <c r="AFS14" s="65"/>
      <c r="AFT14" s="65"/>
      <c r="AFU14" s="65"/>
      <c r="AFV14" s="65"/>
      <c r="AFW14" s="65"/>
      <c r="AFX14" s="65"/>
      <c r="AFY14" s="65"/>
      <c r="AFZ14" s="65"/>
      <c r="AGA14" s="65"/>
      <c r="AGB14" s="65"/>
      <c r="AGC14" s="65"/>
      <c r="AGD14" s="65"/>
      <c r="AGE14" s="65"/>
      <c r="AGF14" s="65"/>
      <c r="AGG14" s="65"/>
      <c r="AGH14" s="65"/>
      <c r="AGI14" s="65"/>
      <c r="AGJ14" s="65"/>
      <c r="AGK14" s="65"/>
      <c r="AGL14" s="65"/>
      <c r="AGM14" s="65"/>
      <c r="AGN14" s="65"/>
      <c r="AGO14" s="65"/>
      <c r="AGP14" s="65"/>
      <c r="AGQ14" s="65"/>
      <c r="AGR14" s="65"/>
      <c r="AGS14" s="65"/>
      <c r="AGT14" s="65"/>
      <c r="AGU14" s="65"/>
      <c r="AGV14" s="65"/>
      <c r="AGW14" s="65"/>
      <c r="AGX14" s="65"/>
      <c r="AGY14" s="65"/>
      <c r="AGZ14" s="65"/>
      <c r="AHA14" s="65"/>
      <c r="AHB14" s="65"/>
      <c r="AHC14" s="65"/>
      <c r="AHD14" s="65"/>
      <c r="AHE14" s="65"/>
      <c r="AHF14" s="65"/>
      <c r="AHG14" s="65"/>
      <c r="AHH14" s="65"/>
      <c r="AHI14" s="65"/>
      <c r="AHJ14" s="65"/>
      <c r="AHK14" s="65"/>
      <c r="AHL14" s="65"/>
      <c r="AHM14" s="65"/>
      <c r="AHN14" s="65"/>
      <c r="AHO14" s="65"/>
      <c r="AHP14" s="65"/>
      <c r="AHQ14" s="65"/>
      <c r="AHR14" s="65"/>
      <c r="AHS14" s="65"/>
      <c r="AHT14" s="65"/>
      <c r="AHU14" s="65"/>
      <c r="AHV14" s="65"/>
      <c r="AHW14" s="65"/>
      <c r="AHX14" s="65"/>
      <c r="AHY14" s="65"/>
      <c r="AHZ14" s="65"/>
      <c r="AIA14" s="65"/>
      <c r="AIB14" s="65"/>
      <c r="AIC14" s="65"/>
      <c r="AID14" s="65"/>
      <c r="AIE14" s="65"/>
      <c r="AIF14" s="65"/>
      <c r="AIG14" s="65"/>
      <c r="AIH14" s="65"/>
      <c r="AII14" s="65"/>
      <c r="AIJ14" s="65"/>
      <c r="AIK14" s="65"/>
      <c r="AIL14" s="65"/>
      <c r="AIM14" s="65"/>
      <c r="AIN14" s="65"/>
      <c r="AIO14" s="65"/>
      <c r="AIP14" s="65"/>
      <c r="AIQ14" s="65"/>
      <c r="AIR14" s="65"/>
      <c r="AIS14" s="65"/>
      <c r="AIT14" s="65"/>
      <c r="AIU14" s="65"/>
      <c r="AIV14" s="65"/>
      <c r="AIW14" s="65"/>
      <c r="AIX14" s="65"/>
      <c r="AIY14" s="65"/>
      <c r="AIZ14" s="65"/>
      <c r="AJA14" s="65"/>
      <c r="AJB14" s="65"/>
      <c r="AJC14" s="65"/>
      <c r="AJD14" s="65"/>
      <c r="AJE14" s="65"/>
      <c r="AJF14" s="65"/>
      <c r="AJG14" s="65"/>
      <c r="AJH14" s="65"/>
      <c r="AJI14" s="65"/>
      <c r="AJJ14" s="65"/>
      <c r="AJK14" s="65"/>
      <c r="AJL14" s="65"/>
      <c r="AJM14" s="65"/>
      <c r="AJN14" s="65"/>
      <c r="AJO14" s="65"/>
      <c r="AJP14" s="65"/>
      <c r="AJQ14" s="65"/>
      <c r="AJR14" s="65"/>
      <c r="AJS14" s="65"/>
      <c r="AJT14" s="65"/>
      <c r="AJU14" s="65"/>
      <c r="AJV14" s="65"/>
      <c r="AJW14" s="65"/>
      <c r="AJX14" s="65"/>
      <c r="AJY14" s="65"/>
      <c r="AJZ14" s="65"/>
      <c r="AKA14" s="65"/>
      <c r="AKB14" s="65"/>
      <c r="AKC14" s="65"/>
      <c r="AKD14" s="65"/>
      <c r="AKE14" s="65"/>
      <c r="AKF14" s="65"/>
      <c r="AKG14" s="65"/>
      <c r="AKH14" s="65"/>
      <c r="AKI14" s="65"/>
      <c r="AKJ14" s="65"/>
      <c r="AKK14" s="65"/>
      <c r="AKL14" s="65"/>
      <c r="AKM14" s="65"/>
      <c r="AKN14" s="65"/>
      <c r="AKO14" s="65"/>
      <c r="AKP14" s="65"/>
      <c r="AKQ14" s="65"/>
      <c r="AKR14" s="65"/>
      <c r="AKS14" s="65"/>
      <c r="AKT14" s="65"/>
      <c r="AKU14" s="65"/>
      <c r="AKV14" s="65"/>
      <c r="AKW14" s="65"/>
      <c r="AKX14" s="65"/>
      <c r="AKY14" s="65"/>
      <c r="AKZ14" s="65"/>
      <c r="ALA14" s="65"/>
      <c r="ALB14" s="65"/>
      <c r="ALC14" s="65"/>
      <c r="ALD14" s="65"/>
      <c r="ALE14" s="65"/>
      <c r="ALF14" s="65"/>
      <c r="ALG14" s="65"/>
      <c r="ALH14" s="65"/>
      <c r="ALI14" s="65"/>
      <c r="ALJ14" s="65"/>
      <c r="ALK14" s="65"/>
      <c r="ALL14" s="65"/>
      <c r="ALM14" s="65"/>
      <c r="ALN14" s="65"/>
      <c r="ALO14" s="65"/>
      <c r="ALP14" s="65"/>
      <c r="ALQ14" s="65"/>
      <c r="ALR14" s="65"/>
      <c r="ALS14" s="65"/>
      <c r="ALT14" s="65"/>
      <c r="ALU14" s="65"/>
      <c r="ALV14" s="65"/>
      <c r="ALW14" s="65"/>
      <c r="ALX14" s="65"/>
      <c r="ALY14" s="65"/>
      <c r="ALZ14" s="65"/>
      <c r="AMA14" s="65"/>
      <c r="AMB14" s="65"/>
      <c r="AMC14" s="65"/>
      <c r="AMD14" s="65"/>
      <c r="AME14" s="65"/>
      <c r="AMF14" s="65"/>
      <c r="AMG14" s="65"/>
      <c r="AMH14" s="65"/>
      <c r="AMI14" s="65"/>
      <c r="AMJ14" s="60"/>
    </row>
    <row r="15" spans="1:1024">
      <c r="A15" s="66" t="s">
        <v>39697</v>
      </c>
      <c r="B15" s="67" t="s">
        <v>39698</v>
      </c>
      <c r="C15" s="67">
        <v>1</v>
      </c>
      <c r="D15" s="67">
        <v>14350</v>
      </c>
      <c r="E15" s="67" t="s">
        <v>39699</v>
      </c>
      <c r="F15" s="67">
        <v>368244</v>
      </c>
      <c r="G15" s="67">
        <v>48815</v>
      </c>
      <c r="H15" s="67">
        <v>63165</v>
      </c>
      <c r="I15" s="68">
        <v>1.369</v>
      </c>
      <c r="J15" s="67">
        <v>7</v>
      </c>
      <c r="K15" s="67">
        <v>15</v>
      </c>
      <c r="L15" s="67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  <c r="IV15" s="65"/>
      <c r="IW15" s="65"/>
      <c r="IX15" s="65"/>
      <c r="IY15" s="65"/>
      <c r="IZ15" s="65"/>
      <c r="JA15" s="65"/>
      <c r="JB15" s="65"/>
      <c r="JC15" s="65"/>
      <c r="JD15" s="65"/>
      <c r="JE15" s="65"/>
      <c r="JF15" s="65"/>
      <c r="JG15" s="65"/>
      <c r="JH15" s="65"/>
      <c r="JI15" s="65"/>
      <c r="JJ15" s="65"/>
      <c r="JK15" s="65"/>
      <c r="JL15" s="65"/>
      <c r="JM15" s="65"/>
      <c r="JN15" s="65"/>
      <c r="JO15" s="65"/>
      <c r="JP15" s="65"/>
      <c r="JQ15" s="65"/>
      <c r="JR15" s="65"/>
      <c r="JS15" s="65"/>
      <c r="JT15" s="65"/>
      <c r="JU15" s="65"/>
      <c r="JV15" s="65"/>
      <c r="JW15" s="65"/>
      <c r="JX15" s="65"/>
      <c r="JY15" s="65"/>
      <c r="JZ15" s="65"/>
      <c r="KA15" s="65"/>
      <c r="KB15" s="65"/>
      <c r="KC15" s="65"/>
      <c r="KD15" s="65"/>
      <c r="KE15" s="65"/>
      <c r="KF15" s="65"/>
      <c r="KG15" s="65"/>
      <c r="KH15" s="65"/>
      <c r="KI15" s="65"/>
      <c r="KJ15" s="65"/>
      <c r="KK15" s="65"/>
      <c r="KL15" s="65"/>
      <c r="KM15" s="65"/>
      <c r="KN15" s="65"/>
      <c r="KO15" s="65"/>
      <c r="KP15" s="65"/>
      <c r="KQ15" s="65"/>
      <c r="KR15" s="65"/>
      <c r="KS15" s="65"/>
      <c r="KT15" s="65"/>
      <c r="KU15" s="65"/>
      <c r="KV15" s="65"/>
      <c r="KW15" s="65"/>
      <c r="KX15" s="65"/>
      <c r="KY15" s="65"/>
      <c r="KZ15" s="65"/>
      <c r="LA15" s="65"/>
      <c r="LB15" s="65"/>
      <c r="LC15" s="65"/>
      <c r="LD15" s="65"/>
      <c r="LE15" s="65"/>
      <c r="LF15" s="65"/>
      <c r="LG15" s="65"/>
      <c r="LH15" s="65"/>
      <c r="LI15" s="65"/>
      <c r="LJ15" s="65"/>
      <c r="LK15" s="65"/>
      <c r="LL15" s="65"/>
      <c r="LM15" s="65"/>
      <c r="LN15" s="65"/>
      <c r="LO15" s="65"/>
      <c r="LP15" s="65"/>
      <c r="LQ15" s="65"/>
      <c r="LR15" s="65"/>
      <c r="LS15" s="65"/>
      <c r="LT15" s="65"/>
      <c r="LU15" s="65"/>
      <c r="LV15" s="65"/>
      <c r="LW15" s="65"/>
      <c r="LX15" s="65"/>
      <c r="LY15" s="65"/>
      <c r="LZ15" s="65"/>
      <c r="MA15" s="65"/>
      <c r="MB15" s="65"/>
      <c r="MC15" s="65"/>
      <c r="MD15" s="65"/>
      <c r="ME15" s="65"/>
      <c r="MF15" s="65"/>
      <c r="MG15" s="65"/>
      <c r="MH15" s="65"/>
      <c r="MI15" s="65"/>
      <c r="MJ15" s="65"/>
      <c r="MK15" s="65"/>
      <c r="ML15" s="65"/>
      <c r="MM15" s="65"/>
      <c r="MN15" s="65"/>
      <c r="MO15" s="65"/>
      <c r="MP15" s="65"/>
      <c r="MQ15" s="65"/>
      <c r="MR15" s="65"/>
      <c r="MS15" s="65"/>
      <c r="MT15" s="65"/>
      <c r="MU15" s="65"/>
      <c r="MV15" s="65"/>
      <c r="MW15" s="65"/>
      <c r="MX15" s="65"/>
      <c r="MY15" s="65"/>
      <c r="MZ15" s="65"/>
      <c r="NA15" s="65"/>
      <c r="NB15" s="65"/>
      <c r="NC15" s="65"/>
      <c r="ND15" s="65"/>
      <c r="NE15" s="65"/>
      <c r="NF15" s="65"/>
      <c r="NG15" s="65"/>
      <c r="NH15" s="65"/>
      <c r="NI15" s="65"/>
      <c r="NJ15" s="65"/>
      <c r="NK15" s="65"/>
      <c r="NL15" s="65"/>
      <c r="NM15" s="65"/>
      <c r="NN15" s="65"/>
      <c r="NO15" s="65"/>
      <c r="NP15" s="65"/>
      <c r="NQ15" s="65"/>
      <c r="NR15" s="65"/>
      <c r="NS15" s="65"/>
      <c r="NT15" s="65"/>
      <c r="NU15" s="65"/>
      <c r="NV15" s="65"/>
      <c r="NW15" s="65"/>
      <c r="NX15" s="65"/>
      <c r="NY15" s="65"/>
      <c r="NZ15" s="65"/>
      <c r="OA15" s="65"/>
      <c r="OB15" s="65"/>
      <c r="OC15" s="65"/>
      <c r="OD15" s="65"/>
      <c r="OE15" s="65"/>
      <c r="OF15" s="65"/>
      <c r="OG15" s="65"/>
      <c r="OH15" s="65"/>
      <c r="OI15" s="65"/>
      <c r="OJ15" s="65"/>
      <c r="OK15" s="65"/>
      <c r="OL15" s="65"/>
      <c r="OM15" s="65"/>
      <c r="ON15" s="65"/>
      <c r="OO15" s="65"/>
      <c r="OP15" s="65"/>
      <c r="OQ15" s="65"/>
      <c r="OR15" s="65"/>
      <c r="OS15" s="65"/>
      <c r="OT15" s="65"/>
      <c r="OU15" s="65"/>
      <c r="OV15" s="65"/>
      <c r="OW15" s="65"/>
      <c r="OX15" s="65"/>
      <c r="OY15" s="65"/>
      <c r="OZ15" s="65"/>
      <c r="PA15" s="65"/>
      <c r="PB15" s="65"/>
      <c r="PC15" s="65"/>
      <c r="PD15" s="65"/>
      <c r="PE15" s="65"/>
      <c r="PF15" s="65"/>
      <c r="PG15" s="65"/>
      <c r="PH15" s="65"/>
      <c r="PI15" s="65"/>
      <c r="PJ15" s="65"/>
      <c r="PK15" s="65"/>
      <c r="PL15" s="65"/>
      <c r="PM15" s="65"/>
      <c r="PN15" s="65"/>
      <c r="PO15" s="65"/>
      <c r="PP15" s="65"/>
      <c r="PQ15" s="65"/>
      <c r="PR15" s="65"/>
      <c r="PS15" s="65"/>
      <c r="PT15" s="65"/>
      <c r="PU15" s="65"/>
      <c r="PV15" s="65"/>
      <c r="PW15" s="65"/>
      <c r="PX15" s="65"/>
      <c r="PY15" s="65"/>
      <c r="PZ15" s="65"/>
      <c r="QA15" s="65"/>
      <c r="QB15" s="65"/>
      <c r="QC15" s="65"/>
      <c r="QD15" s="65"/>
      <c r="QE15" s="65"/>
      <c r="QF15" s="65"/>
      <c r="QG15" s="65"/>
      <c r="QH15" s="65"/>
      <c r="QI15" s="65"/>
      <c r="QJ15" s="65"/>
      <c r="QK15" s="65"/>
      <c r="QL15" s="65"/>
      <c r="QM15" s="65"/>
      <c r="QN15" s="65"/>
      <c r="QO15" s="65"/>
      <c r="QP15" s="65"/>
      <c r="QQ15" s="65"/>
      <c r="QR15" s="65"/>
      <c r="QS15" s="65"/>
      <c r="QT15" s="65"/>
      <c r="QU15" s="65"/>
      <c r="QV15" s="65"/>
      <c r="QW15" s="65"/>
      <c r="QX15" s="65"/>
      <c r="QY15" s="65"/>
      <c r="QZ15" s="65"/>
      <c r="RA15" s="65"/>
      <c r="RB15" s="65"/>
      <c r="RC15" s="65"/>
      <c r="RD15" s="65"/>
      <c r="RE15" s="65"/>
      <c r="RF15" s="65"/>
      <c r="RG15" s="65"/>
      <c r="RH15" s="65"/>
      <c r="RI15" s="65"/>
      <c r="RJ15" s="65"/>
      <c r="RK15" s="65"/>
      <c r="RL15" s="65"/>
      <c r="RM15" s="65"/>
      <c r="RN15" s="65"/>
      <c r="RO15" s="65"/>
      <c r="RP15" s="65"/>
      <c r="RQ15" s="65"/>
      <c r="RR15" s="65"/>
      <c r="RS15" s="65"/>
      <c r="RT15" s="65"/>
      <c r="RU15" s="65"/>
      <c r="RV15" s="65"/>
      <c r="RW15" s="65"/>
      <c r="RX15" s="65"/>
      <c r="RY15" s="65"/>
      <c r="RZ15" s="65"/>
      <c r="SA15" s="65"/>
      <c r="SB15" s="65"/>
      <c r="SC15" s="65"/>
      <c r="SD15" s="65"/>
      <c r="SE15" s="65"/>
      <c r="SF15" s="65"/>
      <c r="SG15" s="65"/>
      <c r="SH15" s="65"/>
      <c r="SI15" s="65"/>
      <c r="SJ15" s="65"/>
      <c r="SK15" s="65"/>
      <c r="SL15" s="65"/>
      <c r="SM15" s="65"/>
      <c r="SN15" s="65"/>
      <c r="SO15" s="65"/>
      <c r="SP15" s="65"/>
      <c r="SQ15" s="65"/>
      <c r="SR15" s="65"/>
      <c r="SS15" s="65"/>
      <c r="ST15" s="65"/>
      <c r="SU15" s="65"/>
      <c r="SV15" s="65"/>
      <c r="SW15" s="65"/>
      <c r="SX15" s="65"/>
      <c r="SY15" s="65"/>
      <c r="SZ15" s="65"/>
      <c r="TA15" s="65"/>
      <c r="TB15" s="65"/>
      <c r="TC15" s="65"/>
      <c r="TD15" s="65"/>
      <c r="TE15" s="65"/>
      <c r="TF15" s="65"/>
      <c r="TG15" s="65"/>
      <c r="TH15" s="65"/>
      <c r="TI15" s="65"/>
      <c r="TJ15" s="65"/>
      <c r="TK15" s="65"/>
      <c r="TL15" s="65"/>
      <c r="TM15" s="65"/>
      <c r="TN15" s="65"/>
      <c r="TO15" s="65"/>
      <c r="TP15" s="65"/>
      <c r="TQ15" s="65"/>
      <c r="TR15" s="65"/>
      <c r="TS15" s="65"/>
      <c r="TT15" s="65"/>
      <c r="TU15" s="65"/>
      <c r="TV15" s="65"/>
      <c r="TW15" s="65"/>
      <c r="TX15" s="65"/>
      <c r="TY15" s="65"/>
      <c r="TZ15" s="65"/>
      <c r="UA15" s="65"/>
      <c r="UB15" s="65"/>
      <c r="UC15" s="65"/>
      <c r="UD15" s="65"/>
      <c r="UE15" s="65"/>
      <c r="UF15" s="65"/>
      <c r="UG15" s="65"/>
      <c r="UH15" s="65"/>
      <c r="UI15" s="65"/>
      <c r="UJ15" s="65"/>
      <c r="UK15" s="65"/>
      <c r="UL15" s="65"/>
      <c r="UM15" s="65"/>
      <c r="UN15" s="65"/>
      <c r="UO15" s="65"/>
      <c r="UP15" s="65"/>
      <c r="UQ15" s="65"/>
      <c r="UR15" s="65"/>
      <c r="US15" s="65"/>
      <c r="UT15" s="65"/>
      <c r="UU15" s="65"/>
      <c r="UV15" s="65"/>
      <c r="UW15" s="65"/>
      <c r="UX15" s="65"/>
      <c r="UY15" s="65"/>
      <c r="UZ15" s="65"/>
      <c r="VA15" s="65"/>
      <c r="VB15" s="65"/>
      <c r="VC15" s="65"/>
      <c r="VD15" s="65"/>
      <c r="VE15" s="65"/>
      <c r="VF15" s="65"/>
      <c r="VG15" s="65"/>
      <c r="VH15" s="65"/>
      <c r="VI15" s="65"/>
      <c r="VJ15" s="65"/>
      <c r="VK15" s="65"/>
      <c r="VL15" s="65"/>
      <c r="VM15" s="65"/>
      <c r="VN15" s="65"/>
      <c r="VO15" s="65"/>
      <c r="VP15" s="65"/>
      <c r="VQ15" s="65"/>
      <c r="VR15" s="65"/>
      <c r="VS15" s="65"/>
      <c r="VT15" s="65"/>
      <c r="VU15" s="65"/>
      <c r="VV15" s="65"/>
      <c r="VW15" s="65"/>
      <c r="VX15" s="65"/>
      <c r="VY15" s="65"/>
      <c r="VZ15" s="65"/>
      <c r="WA15" s="65"/>
      <c r="WB15" s="65"/>
      <c r="WC15" s="65"/>
      <c r="WD15" s="65"/>
      <c r="WE15" s="65"/>
      <c r="WF15" s="65"/>
      <c r="WG15" s="65"/>
      <c r="WH15" s="65"/>
      <c r="WI15" s="65"/>
      <c r="WJ15" s="65"/>
      <c r="WK15" s="65"/>
      <c r="WL15" s="65"/>
      <c r="WM15" s="65"/>
      <c r="WN15" s="65"/>
      <c r="WO15" s="65"/>
      <c r="WP15" s="65"/>
      <c r="WQ15" s="65"/>
      <c r="WR15" s="65"/>
      <c r="WS15" s="65"/>
      <c r="WT15" s="65"/>
      <c r="WU15" s="65"/>
      <c r="WV15" s="65"/>
      <c r="WW15" s="65"/>
      <c r="WX15" s="65"/>
      <c r="WY15" s="65"/>
      <c r="WZ15" s="65"/>
      <c r="XA15" s="65"/>
      <c r="XB15" s="65"/>
      <c r="XC15" s="65"/>
      <c r="XD15" s="65"/>
      <c r="XE15" s="65"/>
      <c r="XF15" s="65"/>
      <c r="XG15" s="65"/>
      <c r="XH15" s="65"/>
      <c r="XI15" s="65"/>
      <c r="XJ15" s="65"/>
      <c r="XK15" s="65"/>
      <c r="XL15" s="65"/>
      <c r="XM15" s="65"/>
      <c r="XN15" s="65"/>
      <c r="XO15" s="65"/>
      <c r="XP15" s="65"/>
      <c r="XQ15" s="65"/>
      <c r="XR15" s="65"/>
      <c r="XS15" s="65"/>
      <c r="XT15" s="65"/>
      <c r="XU15" s="65"/>
      <c r="XV15" s="65"/>
      <c r="XW15" s="65"/>
      <c r="XX15" s="65"/>
      <c r="XY15" s="65"/>
      <c r="XZ15" s="65"/>
      <c r="YA15" s="65"/>
      <c r="YB15" s="65"/>
      <c r="YC15" s="65"/>
      <c r="YD15" s="65"/>
      <c r="YE15" s="65"/>
      <c r="YF15" s="65"/>
      <c r="YG15" s="65"/>
      <c r="YH15" s="65"/>
      <c r="YI15" s="65"/>
      <c r="YJ15" s="65"/>
      <c r="YK15" s="65"/>
      <c r="YL15" s="65"/>
      <c r="YM15" s="65"/>
      <c r="YN15" s="65"/>
      <c r="YO15" s="65"/>
      <c r="YP15" s="65"/>
      <c r="YQ15" s="65"/>
      <c r="YR15" s="65"/>
      <c r="YS15" s="65"/>
      <c r="YT15" s="65"/>
      <c r="YU15" s="65"/>
      <c r="YV15" s="65"/>
      <c r="YW15" s="65"/>
      <c r="YX15" s="65"/>
      <c r="YY15" s="65"/>
      <c r="YZ15" s="65"/>
      <c r="ZA15" s="65"/>
      <c r="ZB15" s="65"/>
      <c r="ZC15" s="65"/>
      <c r="ZD15" s="65"/>
      <c r="ZE15" s="65"/>
      <c r="ZF15" s="65"/>
      <c r="ZG15" s="65"/>
      <c r="ZH15" s="65"/>
      <c r="ZI15" s="65"/>
      <c r="ZJ15" s="65"/>
      <c r="ZK15" s="65"/>
      <c r="ZL15" s="65"/>
      <c r="ZM15" s="65"/>
      <c r="ZN15" s="65"/>
      <c r="ZO15" s="65"/>
      <c r="ZP15" s="65"/>
      <c r="ZQ15" s="65"/>
      <c r="ZR15" s="65"/>
      <c r="ZS15" s="65"/>
      <c r="ZT15" s="65"/>
      <c r="ZU15" s="65"/>
      <c r="ZV15" s="65"/>
      <c r="ZW15" s="65"/>
      <c r="ZX15" s="65"/>
      <c r="ZY15" s="65"/>
      <c r="ZZ15" s="65"/>
      <c r="AAA15" s="65"/>
      <c r="AAB15" s="65"/>
      <c r="AAC15" s="65"/>
      <c r="AAD15" s="65"/>
      <c r="AAE15" s="65"/>
      <c r="AAF15" s="65"/>
      <c r="AAG15" s="65"/>
      <c r="AAH15" s="65"/>
      <c r="AAI15" s="65"/>
      <c r="AAJ15" s="65"/>
      <c r="AAK15" s="65"/>
      <c r="AAL15" s="65"/>
      <c r="AAM15" s="65"/>
      <c r="AAN15" s="65"/>
      <c r="AAO15" s="65"/>
      <c r="AAP15" s="65"/>
      <c r="AAQ15" s="65"/>
      <c r="AAR15" s="65"/>
      <c r="AAS15" s="65"/>
      <c r="AAT15" s="65"/>
      <c r="AAU15" s="65"/>
      <c r="AAV15" s="65"/>
      <c r="AAW15" s="65"/>
      <c r="AAX15" s="65"/>
      <c r="AAY15" s="65"/>
      <c r="AAZ15" s="65"/>
      <c r="ABA15" s="65"/>
      <c r="ABB15" s="65"/>
      <c r="ABC15" s="65"/>
      <c r="ABD15" s="65"/>
      <c r="ABE15" s="65"/>
      <c r="ABF15" s="65"/>
      <c r="ABG15" s="65"/>
      <c r="ABH15" s="65"/>
      <c r="ABI15" s="65"/>
      <c r="ABJ15" s="65"/>
      <c r="ABK15" s="65"/>
      <c r="ABL15" s="65"/>
      <c r="ABM15" s="65"/>
      <c r="ABN15" s="65"/>
      <c r="ABO15" s="65"/>
      <c r="ABP15" s="65"/>
      <c r="ABQ15" s="65"/>
      <c r="ABR15" s="65"/>
      <c r="ABS15" s="65"/>
      <c r="ABT15" s="65"/>
      <c r="ABU15" s="65"/>
      <c r="ABV15" s="65"/>
      <c r="ABW15" s="65"/>
      <c r="ABX15" s="65"/>
      <c r="ABY15" s="65"/>
      <c r="ABZ15" s="65"/>
      <c r="ACA15" s="65"/>
      <c r="ACB15" s="65"/>
      <c r="ACC15" s="65"/>
      <c r="ACD15" s="65"/>
      <c r="ACE15" s="65"/>
      <c r="ACF15" s="65"/>
      <c r="ACG15" s="65"/>
      <c r="ACH15" s="65"/>
      <c r="ACI15" s="65"/>
      <c r="ACJ15" s="65"/>
      <c r="ACK15" s="65"/>
      <c r="ACL15" s="65"/>
      <c r="ACM15" s="65"/>
      <c r="ACN15" s="65"/>
      <c r="ACO15" s="65"/>
      <c r="ACP15" s="65"/>
      <c r="ACQ15" s="65"/>
      <c r="ACR15" s="65"/>
      <c r="ACS15" s="65"/>
      <c r="ACT15" s="65"/>
      <c r="ACU15" s="65"/>
      <c r="ACV15" s="65"/>
      <c r="ACW15" s="65"/>
      <c r="ACX15" s="65"/>
      <c r="ACY15" s="65"/>
      <c r="ACZ15" s="65"/>
      <c r="ADA15" s="65"/>
      <c r="ADB15" s="65"/>
      <c r="ADC15" s="65"/>
      <c r="ADD15" s="65"/>
      <c r="ADE15" s="65"/>
      <c r="ADF15" s="65"/>
      <c r="ADG15" s="65"/>
      <c r="ADH15" s="65"/>
      <c r="ADI15" s="65"/>
      <c r="ADJ15" s="65"/>
      <c r="ADK15" s="65"/>
      <c r="ADL15" s="65"/>
      <c r="ADM15" s="65"/>
      <c r="ADN15" s="65"/>
      <c r="ADO15" s="65"/>
      <c r="ADP15" s="65"/>
      <c r="ADQ15" s="65"/>
      <c r="ADR15" s="65"/>
      <c r="ADS15" s="65"/>
      <c r="ADT15" s="65"/>
      <c r="ADU15" s="65"/>
      <c r="ADV15" s="65"/>
      <c r="ADW15" s="65"/>
      <c r="ADX15" s="65"/>
      <c r="ADY15" s="65"/>
      <c r="ADZ15" s="65"/>
      <c r="AEA15" s="65"/>
      <c r="AEB15" s="65"/>
      <c r="AEC15" s="65"/>
      <c r="AED15" s="65"/>
      <c r="AEE15" s="65"/>
      <c r="AEF15" s="65"/>
      <c r="AEG15" s="65"/>
      <c r="AEH15" s="65"/>
      <c r="AEI15" s="65"/>
      <c r="AEJ15" s="65"/>
      <c r="AEK15" s="65"/>
      <c r="AEL15" s="65"/>
      <c r="AEM15" s="65"/>
      <c r="AEN15" s="65"/>
      <c r="AEO15" s="65"/>
      <c r="AEP15" s="65"/>
      <c r="AEQ15" s="65"/>
      <c r="AER15" s="65"/>
      <c r="AES15" s="65"/>
      <c r="AET15" s="65"/>
      <c r="AEU15" s="65"/>
      <c r="AEV15" s="65"/>
      <c r="AEW15" s="65"/>
      <c r="AEX15" s="65"/>
      <c r="AEY15" s="65"/>
      <c r="AEZ15" s="65"/>
      <c r="AFA15" s="65"/>
      <c r="AFB15" s="65"/>
      <c r="AFC15" s="65"/>
      <c r="AFD15" s="65"/>
      <c r="AFE15" s="65"/>
      <c r="AFF15" s="65"/>
      <c r="AFG15" s="65"/>
      <c r="AFH15" s="65"/>
      <c r="AFI15" s="65"/>
      <c r="AFJ15" s="65"/>
      <c r="AFK15" s="65"/>
      <c r="AFL15" s="65"/>
      <c r="AFM15" s="65"/>
      <c r="AFN15" s="65"/>
      <c r="AFO15" s="65"/>
      <c r="AFP15" s="65"/>
      <c r="AFQ15" s="65"/>
      <c r="AFR15" s="65"/>
      <c r="AFS15" s="65"/>
      <c r="AFT15" s="65"/>
      <c r="AFU15" s="65"/>
      <c r="AFV15" s="65"/>
      <c r="AFW15" s="65"/>
      <c r="AFX15" s="65"/>
      <c r="AFY15" s="65"/>
      <c r="AFZ15" s="65"/>
      <c r="AGA15" s="65"/>
      <c r="AGB15" s="65"/>
      <c r="AGC15" s="65"/>
      <c r="AGD15" s="65"/>
      <c r="AGE15" s="65"/>
      <c r="AGF15" s="65"/>
      <c r="AGG15" s="65"/>
      <c r="AGH15" s="65"/>
      <c r="AGI15" s="65"/>
      <c r="AGJ15" s="65"/>
      <c r="AGK15" s="65"/>
      <c r="AGL15" s="65"/>
      <c r="AGM15" s="65"/>
      <c r="AGN15" s="65"/>
      <c r="AGO15" s="65"/>
      <c r="AGP15" s="65"/>
      <c r="AGQ15" s="65"/>
      <c r="AGR15" s="65"/>
      <c r="AGS15" s="65"/>
      <c r="AGT15" s="65"/>
      <c r="AGU15" s="65"/>
      <c r="AGV15" s="65"/>
      <c r="AGW15" s="65"/>
      <c r="AGX15" s="65"/>
      <c r="AGY15" s="65"/>
      <c r="AGZ15" s="65"/>
      <c r="AHA15" s="65"/>
      <c r="AHB15" s="65"/>
      <c r="AHC15" s="65"/>
      <c r="AHD15" s="65"/>
      <c r="AHE15" s="65"/>
      <c r="AHF15" s="65"/>
      <c r="AHG15" s="65"/>
      <c r="AHH15" s="65"/>
      <c r="AHI15" s="65"/>
      <c r="AHJ15" s="65"/>
      <c r="AHK15" s="65"/>
      <c r="AHL15" s="65"/>
      <c r="AHM15" s="65"/>
      <c r="AHN15" s="65"/>
      <c r="AHO15" s="65"/>
      <c r="AHP15" s="65"/>
      <c r="AHQ15" s="65"/>
      <c r="AHR15" s="65"/>
      <c r="AHS15" s="65"/>
      <c r="AHT15" s="65"/>
      <c r="AHU15" s="65"/>
      <c r="AHV15" s="65"/>
      <c r="AHW15" s="65"/>
      <c r="AHX15" s="65"/>
      <c r="AHY15" s="65"/>
      <c r="AHZ15" s="65"/>
      <c r="AIA15" s="65"/>
      <c r="AIB15" s="65"/>
      <c r="AIC15" s="65"/>
      <c r="AID15" s="65"/>
      <c r="AIE15" s="65"/>
      <c r="AIF15" s="65"/>
      <c r="AIG15" s="65"/>
      <c r="AIH15" s="65"/>
      <c r="AII15" s="65"/>
      <c r="AIJ15" s="65"/>
      <c r="AIK15" s="65"/>
      <c r="AIL15" s="65"/>
      <c r="AIM15" s="65"/>
      <c r="AIN15" s="65"/>
      <c r="AIO15" s="65"/>
      <c r="AIP15" s="65"/>
      <c r="AIQ15" s="65"/>
      <c r="AIR15" s="65"/>
      <c r="AIS15" s="65"/>
      <c r="AIT15" s="65"/>
      <c r="AIU15" s="65"/>
      <c r="AIV15" s="65"/>
      <c r="AIW15" s="65"/>
      <c r="AIX15" s="65"/>
      <c r="AIY15" s="65"/>
      <c r="AIZ15" s="65"/>
      <c r="AJA15" s="65"/>
      <c r="AJB15" s="65"/>
      <c r="AJC15" s="65"/>
      <c r="AJD15" s="65"/>
      <c r="AJE15" s="65"/>
      <c r="AJF15" s="65"/>
      <c r="AJG15" s="65"/>
      <c r="AJH15" s="65"/>
      <c r="AJI15" s="65"/>
      <c r="AJJ15" s="65"/>
      <c r="AJK15" s="65"/>
      <c r="AJL15" s="65"/>
      <c r="AJM15" s="65"/>
      <c r="AJN15" s="65"/>
      <c r="AJO15" s="65"/>
      <c r="AJP15" s="65"/>
      <c r="AJQ15" s="65"/>
      <c r="AJR15" s="65"/>
      <c r="AJS15" s="65"/>
      <c r="AJT15" s="65"/>
      <c r="AJU15" s="65"/>
      <c r="AJV15" s="65"/>
      <c r="AJW15" s="65"/>
      <c r="AJX15" s="65"/>
      <c r="AJY15" s="65"/>
      <c r="AJZ15" s="65"/>
      <c r="AKA15" s="65"/>
      <c r="AKB15" s="65"/>
      <c r="AKC15" s="65"/>
      <c r="AKD15" s="65"/>
      <c r="AKE15" s="65"/>
      <c r="AKF15" s="65"/>
      <c r="AKG15" s="65"/>
      <c r="AKH15" s="65"/>
      <c r="AKI15" s="65"/>
      <c r="AKJ15" s="65"/>
      <c r="AKK15" s="65"/>
      <c r="AKL15" s="65"/>
      <c r="AKM15" s="65"/>
      <c r="AKN15" s="65"/>
      <c r="AKO15" s="65"/>
      <c r="AKP15" s="65"/>
      <c r="AKQ15" s="65"/>
      <c r="AKR15" s="65"/>
      <c r="AKS15" s="65"/>
      <c r="AKT15" s="65"/>
      <c r="AKU15" s="65"/>
      <c r="AKV15" s="65"/>
      <c r="AKW15" s="65"/>
      <c r="AKX15" s="65"/>
      <c r="AKY15" s="65"/>
      <c r="AKZ15" s="65"/>
      <c r="ALA15" s="65"/>
      <c r="ALB15" s="65"/>
      <c r="ALC15" s="65"/>
      <c r="ALD15" s="65"/>
      <c r="ALE15" s="65"/>
      <c r="ALF15" s="65"/>
      <c r="ALG15" s="65"/>
      <c r="ALH15" s="65"/>
      <c r="ALI15" s="65"/>
      <c r="ALJ15" s="65"/>
      <c r="ALK15" s="65"/>
      <c r="ALL15" s="65"/>
      <c r="ALM15" s="65"/>
      <c r="ALN15" s="65"/>
      <c r="ALO15" s="65"/>
      <c r="ALP15" s="65"/>
      <c r="ALQ15" s="65"/>
      <c r="ALR15" s="65"/>
      <c r="ALS15" s="65"/>
      <c r="ALT15" s="65"/>
      <c r="ALU15" s="65"/>
      <c r="ALV15" s="65"/>
      <c r="ALW15" s="65"/>
      <c r="ALX15" s="65"/>
      <c r="ALY15" s="65"/>
      <c r="ALZ15" s="65"/>
      <c r="AMA15" s="65"/>
      <c r="AMB15" s="65"/>
      <c r="AMC15" s="65"/>
      <c r="AMD15" s="65"/>
      <c r="AME15" s="65"/>
      <c r="AMF15" s="65"/>
      <c r="AMG15" s="65"/>
      <c r="AMH15" s="65"/>
      <c r="AMI15" s="65"/>
      <c r="AMJ15" s="60"/>
    </row>
    <row r="16" spans="1:1024">
      <c r="A16" s="66" t="s">
        <v>39697</v>
      </c>
      <c r="B16" s="67" t="s">
        <v>39698</v>
      </c>
      <c r="C16" s="67">
        <v>2</v>
      </c>
      <c r="D16" s="67">
        <v>12869</v>
      </c>
      <c r="E16" s="67" t="s">
        <v>39700</v>
      </c>
      <c r="F16" s="67">
        <v>575234</v>
      </c>
      <c r="G16" s="67">
        <v>482684</v>
      </c>
      <c r="H16" s="67">
        <v>495553</v>
      </c>
      <c r="I16" s="68">
        <v>1.0149999999999999</v>
      </c>
      <c r="J16" s="67">
        <v>6</v>
      </c>
      <c r="K16" s="67">
        <v>20</v>
      </c>
      <c r="L16" s="67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65"/>
      <c r="IW16" s="65"/>
      <c r="IX16" s="65"/>
      <c r="IY16" s="65"/>
      <c r="IZ16" s="65"/>
      <c r="JA16" s="65"/>
      <c r="JB16" s="65"/>
      <c r="JC16" s="65"/>
      <c r="JD16" s="65"/>
      <c r="JE16" s="65"/>
      <c r="JF16" s="65"/>
      <c r="JG16" s="65"/>
      <c r="JH16" s="65"/>
      <c r="JI16" s="65"/>
      <c r="JJ16" s="65"/>
      <c r="JK16" s="65"/>
      <c r="JL16" s="65"/>
      <c r="JM16" s="65"/>
      <c r="JN16" s="65"/>
      <c r="JO16" s="65"/>
      <c r="JP16" s="65"/>
      <c r="JQ16" s="65"/>
      <c r="JR16" s="65"/>
      <c r="JS16" s="65"/>
      <c r="JT16" s="65"/>
      <c r="JU16" s="65"/>
      <c r="JV16" s="65"/>
      <c r="JW16" s="65"/>
      <c r="JX16" s="65"/>
      <c r="JY16" s="65"/>
      <c r="JZ16" s="65"/>
      <c r="KA16" s="65"/>
      <c r="KB16" s="65"/>
      <c r="KC16" s="65"/>
      <c r="KD16" s="65"/>
      <c r="KE16" s="65"/>
      <c r="KF16" s="65"/>
      <c r="KG16" s="65"/>
      <c r="KH16" s="65"/>
      <c r="KI16" s="65"/>
      <c r="KJ16" s="65"/>
      <c r="KK16" s="65"/>
      <c r="KL16" s="65"/>
      <c r="KM16" s="65"/>
      <c r="KN16" s="65"/>
      <c r="KO16" s="65"/>
      <c r="KP16" s="65"/>
      <c r="KQ16" s="65"/>
      <c r="KR16" s="65"/>
      <c r="KS16" s="65"/>
      <c r="KT16" s="65"/>
      <c r="KU16" s="65"/>
      <c r="KV16" s="65"/>
      <c r="KW16" s="65"/>
      <c r="KX16" s="65"/>
      <c r="KY16" s="65"/>
      <c r="KZ16" s="65"/>
      <c r="LA16" s="65"/>
      <c r="LB16" s="65"/>
      <c r="LC16" s="65"/>
      <c r="LD16" s="65"/>
      <c r="LE16" s="65"/>
      <c r="LF16" s="65"/>
      <c r="LG16" s="65"/>
      <c r="LH16" s="65"/>
      <c r="LI16" s="65"/>
      <c r="LJ16" s="65"/>
      <c r="LK16" s="65"/>
      <c r="LL16" s="65"/>
      <c r="LM16" s="65"/>
      <c r="LN16" s="65"/>
      <c r="LO16" s="65"/>
      <c r="LP16" s="65"/>
      <c r="LQ16" s="65"/>
      <c r="LR16" s="65"/>
      <c r="LS16" s="65"/>
      <c r="LT16" s="65"/>
      <c r="LU16" s="65"/>
      <c r="LV16" s="65"/>
      <c r="LW16" s="65"/>
      <c r="LX16" s="65"/>
      <c r="LY16" s="65"/>
      <c r="LZ16" s="65"/>
      <c r="MA16" s="65"/>
      <c r="MB16" s="65"/>
      <c r="MC16" s="65"/>
      <c r="MD16" s="65"/>
      <c r="ME16" s="65"/>
      <c r="MF16" s="65"/>
      <c r="MG16" s="65"/>
      <c r="MH16" s="65"/>
      <c r="MI16" s="65"/>
      <c r="MJ16" s="65"/>
      <c r="MK16" s="65"/>
      <c r="ML16" s="65"/>
      <c r="MM16" s="65"/>
      <c r="MN16" s="65"/>
      <c r="MO16" s="65"/>
      <c r="MP16" s="65"/>
      <c r="MQ16" s="65"/>
      <c r="MR16" s="65"/>
      <c r="MS16" s="65"/>
      <c r="MT16" s="65"/>
      <c r="MU16" s="65"/>
      <c r="MV16" s="65"/>
      <c r="MW16" s="65"/>
      <c r="MX16" s="65"/>
      <c r="MY16" s="65"/>
      <c r="MZ16" s="65"/>
      <c r="NA16" s="65"/>
      <c r="NB16" s="65"/>
      <c r="NC16" s="65"/>
      <c r="ND16" s="65"/>
      <c r="NE16" s="65"/>
      <c r="NF16" s="65"/>
      <c r="NG16" s="65"/>
      <c r="NH16" s="65"/>
      <c r="NI16" s="65"/>
      <c r="NJ16" s="65"/>
      <c r="NK16" s="65"/>
      <c r="NL16" s="65"/>
      <c r="NM16" s="65"/>
      <c r="NN16" s="65"/>
      <c r="NO16" s="65"/>
      <c r="NP16" s="65"/>
      <c r="NQ16" s="65"/>
      <c r="NR16" s="65"/>
      <c r="NS16" s="65"/>
      <c r="NT16" s="65"/>
      <c r="NU16" s="65"/>
      <c r="NV16" s="65"/>
      <c r="NW16" s="65"/>
      <c r="NX16" s="65"/>
      <c r="NY16" s="65"/>
      <c r="NZ16" s="65"/>
      <c r="OA16" s="65"/>
      <c r="OB16" s="65"/>
      <c r="OC16" s="65"/>
      <c r="OD16" s="65"/>
      <c r="OE16" s="65"/>
      <c r="OF16" s="65"/>
      <c r="OG16" s="65"/>
      <c r="OH16" s="65"/>
      <c r="OI16" s="65"/>
      <c r="OJ16" s="65"/>
      <c r="OK16" s="65"/>
      <c r="OL16" s="65"/>
      <c r="OM16" s="65"/>
      <c r="ON16" s="65"/>
      <c r="OO16" s="65"/>
      <c r="OP16" s="65"/>
      <c r="OQ16" s="65"/>
      <c r="OR16" s="65"/>
      <c r="OS16" s="65"/>
      <c r="OT16" s="65"/>
      <c r="OU16" s="65"/>
      <c r="OV16" s="65"/>
      <c r="OW16" s="65"/>
      <c r="OX16" s="65"/>
      <c r="OY16" s="65"/>
      <c r="OZ16" s="65"/>
      <c r="PA16" s="65"/>
      <c r="PB16" s="65"/>
      <c r="PC16" s="65"/>
      <c r="PD16" s="65"/>
      <c r="PE16" s="65"/>
      <c r="PF16" s="65"/>
      <c r="PG16" s="65"/>
      <c r="PH16" s="65"/>
      <c r="PI16" s="65"/>
      <c r="PJ16" s="65"/>
      <c r="PK16" s="65"/>
      <c r="PL16" s="65"/>
      <c r="PM16" s="65"/>
      <c r="PN16" s="65"/>
      <c r="PO16" s="65"/>
      <c r="PP16" s="65"/>
      <c r="PQ16" s="65"/>
      <c r="PR16" s="65"/>
      <c r="PS16" s="65"/>
      <c r="PT16" s="65"/>
      <c r="PU16" s="65"/>
      <c r="PV16" s="65"/>
      <c r="PW16" s="65"/>
      <c r="PX16" s="65"/>
      <c r="PY16" s="65"/>
      <c r="PZ16" s="65"/>
      <c r="QA16" s="65"/>
      <c r="QB16" s="65"/>
      <c r="QC16" s="65"/>
      <c r="QD16" s="65"/>
      <c r="QE16" s="65"/>
      <c r="QF16" s="65"/>
      <c r="QG16" s="65"/>
      <c r="QH16" s="65"/>
      <c r="QI16" s="65"/>
      <c r="QJ16" s="65"/>
      <c r="QK16" s="65"/>
      <c r="QL16" s="65"/>
      <c r="QM16" s="65"/>
      <c r="QN16" s="65"/>
      <c r="QO16" s="65"/>
      <c r="QP16" s="65"/>
      <c r="QQ16" s="65"/>
      <c r="QR16" s="65"/>
      <c r="QS16" s="65"/>
      <c r="QT16" s="65"/>
      <c r="QU16" s="65"/>
      <c r="QV16" s="65"/>
      <c r="QW16" s="65"/>
      <c r="QX16" s="65"/>
      <c r="QY16" s="65"/>
      <c r="QZ16" s="65"/>
      <c r="RA16" s="65"/>
      <c r="RB16" s="65"/>
      <c r="RC16" s="65"/>
      <c r="RD16" s="65"/>
      <c r="RE16" s="65"/>
      <c r="RF16" s="65"/>
      <c r="RG16" s="65"/>
      <c r="RH16" s="65"/>
      <c r="RI16" s="65"/>
      <c r="RJ16" s="65"/>
      <c r="RK16" s="65"/>
      <c r="RL16" s="65"/>
      <c r="RM16" s="65"/>
      <c r="RN16" s="65"/>
      <c r="RO16" s="65"/>
      <c r="RP16" s="65"/>
      <c r="RQ16" s="65"/>
      <c r="RR16" s="65"/>
      <c r="RS16" s="65"/>
      <c r="RT16" s="65"/>
      <c r="RU16" s="65"/>
      <c r="RV16" s="65"/>
      <c r="RW16" s="65"/>
      <c r="RX16" s="65"/>
      <c r="RY16" s="65"/>
      <c r="RZ16" s="65"/>
      <c r="SA16" s="65"/>
      <c r="SB16" s="65"/>
      <c r="SC16" s="65"/>
      <c r="SD16" s="65"/>
      <c r="SE16" s="65"/>
      <c r="SF16" s="65"/>
      <c r="SG16" s="65"/>
      <c r="SH16" s="65"/>
      <c r="SI16" s="65"/>
      <c r="SJ16" s="65"/>
      <c r="SK16" s="65"/>
      <c r="SL16" s="65"/>
      <c r="SM16" s="65"/>
      <c r="SN16" s="65"/>
      <c r="SO16" s="65"/>
      <c r="SP16" s="65"/>
      <c r="SQ16" s="65"/>
      <c r="SR16" s="65"/>
      <c r="SS16" s="65"/>
      <c r="ST16" s="65"/>
      <c r="SU16" s="65"/>
      <c r="SV16" s="65"/>
      <c r="SW16" s="65"/>
      <c r="SX16" s="65"/>
      <c r="SY16" s="65"/>
      <c r="SZ16" s="65"/>
      <c r="TA16" s="65"/>
      <c r="TB16" s="65"/>
      <c r="TC16" s="65"/>
      <c r="TD16" s="65"/>
      <c r="TE16" s="65"/>
      <c r="TF16" s="65"/>
      <c r="TG16" s="65"/>
      <c r="TH16" s="65"/>
      <c r="TI16" s="65"/>
      <c r="TJ16" s="65"/>
      <c r="TK16" s="65"/>
      <c r="TL16" s="65"/>
      <c r="TM16" s="65"/>
      <c r="TN16" s="65"/>
      <c r="TO16" s="65"/>
      <c r="TP16" s="65"/>
      <c r="TQ16" s="65"/>
      <c r="TR16" s="65"/>
      <c r="TS16" s="65"/>
      <c r="TT16" s="65"/>
      <c r="TU16" s="65"/>
      <c r="TV16" s="65"/>
      <c r="TW16" s="65"/>
      <c r="TX16" s="65"/>
      <c r="TY16" s="65"/>
      <c r="TZ16" s="65"/>
      <c r="UA16" s="65"/>
      <c r="UB16" s="65"/>
      <c r="UC16" s="65"/>
      <c r="UD16" s="65"/>
      <c r="UE16" s="65"/>
      <c r="UF16" s="65"/>
      <c r="UG16" s="65"/>
      <c r="UH16" s="65"/>
      <c r="UI16" s="65"/>
      <c r="UJ16" s="65"/>
      <c r="UK16" s="65"/>
      <c r="UL16" s="65"/>
      <c r="UM16" s="65"/>
      <c r="UN16" s="65"/>
      <c r="UO16" s="65"/>
      <c r="UP16" s="65"/>
      <c r="UQ16" s="65"/>
      <c r="UR16" s="65"/>
      <c r="US16" s="65"/>
      <c r="UT16" s="65"/>
      <c r="UU16" s="65"/>
      <c r="UV16" s="65"/>
      <c r="UW16" s="65"/>
      <c r="UX16" s="65"/>
      <c r="UY16" s="65"/>
      <c r="UZ16" s="65"/>
      <c r="VA16" s="65"/>
      <c r="VB16" s="65"/>
      <c r="VC16" s="65"/>
      <c r="VD16" s="65"/>
      <c r="VE16" s="65"/>
      <c r="VF16" s="65"/>
      <c r="VG16" s="65"/>
      <c r="VH16" s="65"/>
      <c r="VI16" s="65"/>
      <c r="VJ16" s="65"/>
      <c r="VK16" s="65"/>
      <c r="VL16" s="65"/>
      <c r="VM16" s="65"/>
      <c r="VN16" s="65"/>
      <c r="VO16" s="65"/>
      <c r="VP16" s="65"/>
      <c r="VQ16" s="65"/>
      <c r="VR16" s="65"/>
      <c r="VS16" s="65"/>
      <c r="VT16" s="65"/>
      <c r="VU16" s="65"/>
      <c r="VV16" s="65"/>
      <c r="VW16" s="65"/>
      <c r="VX16" s="65"/>
      <c r="VY16" s="65"/>
      <c r="VZ16" s="65"/>
      <c r="WA16" s="65"/>
      <c r="WB16" s="65"/>
      <c r="WC16" s="65"/>
      <c r="WD16" s="65"/>
      <c r="WE16" s="65"/>
      <c r="WF16" s="65"/>
      <c r="WG16" s="65"/>
      <c r="WH16" s="65"/>
      <c r="WI16" s="65"/>
      <c r="WJ16" s="65"/>
      <c r="WK16" s="65"/>
      <c r="WL16" s="65"/>
      <c r="WM16" s="65"/>
      <c r="WN16" s="65"/>
      <c r="WO16" s="65"/>
      <c r="WP16" s="65"/>
      <c r="WQ16" s="65"/>
      <c r="WR16" s="65"/>
      <c r="WS16" s="65"/>
      <c r="WT16" s="65"/>
      <c r="WU16" s="65"/>
      <c r="WV16" s="65"/>
      <c r="WW16" s="65"/>
      <c r="WX16" s="65"/>
      <c r="WY16" s="65"/>
      <c r="WZ16" s="65"/>
      <c r="XA16" s="65"/>
      <c r="XB16" s="65"/>
      <c r="XC16" s="65"/>
      <c r="XD16" s="65"/>
      <c r="XE16" s="65"/>
      <c r="XF16" s="65"/>
      <c r="XG16" s="65"/>
      <c r="XH16" s="65"/>
      <c r="XI16" s="65"/>
      <c r="XJ16" s="65"/>
      <c r="XK16" s="65"/>
      <c r="XL16" s="65"/>
      <c r="XM16" s="65"/>
      <c r="XN16" s="65"/>
      <c r="XO16" s="65"/>
      <c r="XP16" s="65"/>
      <c r="XQ16" s="65"/>
      <c r="XR16" s="65"/>
      <c r="XS16" s="65"/>
      <c r="XT16" s="65"/>
      <c r="XU16" s="65"/>
      <c r="XV16" s="65"/>
      <c r="XW16" s="65"/>
      <c r="XX16" s="65"/>
      <c r="XY16" s="65"/>
      <c r="XZ16" s="65"/>
      <c r="YA16" s="65"/>
      <c r="YB16" s="65"/>
      <c r="YC16" s="65"/>
      <c r="YD16" s="65"/>
      <c r="YE16" s="65"/>
      <c r="YF16" s="65"/>
      <c r="YG16" s="65"/>
      <c r="YH16" s="65"/>
      <c r="YI16" s="65"/>
      <c r="YJ16" s="65"/>
      <c r="YK16" s="65"/>
      <c r="YL16" s="65"/>
      <c r="YM16" s="65"/>
      <c r="YN16" s="65"/>
      <c r="YO16" s="65"/>
      <c r="YP16" s="65"/>
      <c r="YQ16" s="65"/>
      <c r="YR16" s="65"/>
      <c r="YS16" s="65"/>
      <c r="YT16" s="65"/>
      <c r="YU16" s="65"/>
      <c r="YV16" s="65"/>
      <c r="YW16" s="65"/>
      <c r="YX16" s="65"/>
      <c r="YY16" s="65"/>
      <c r="YZ16" s="65"/>
      <c r="ZA16" s="65"/>
      <c r="ZB16" s="65"/>
      <c r="ZC16" s="65"/>
      <c r="ZD16" s="65"/>
      <c r="ZE16" s="65"/>
      <c r="ZF16" s="65"/>
      <c r="ZG16" s="65"/>
      <c r="ZH16" s="65"/>
      <c r="ZI16" s="65"/>
      <c r="ZJ16" s="65"/>
      <c r="ZK16" s="65"/>
      <c r="ZL16" s="65"/>
      <c r="ZM16" s="65"/>
      <c r="ZN16" s="65"/>
      <c r="ZO16" s="65"/>
      <c r="ZP16" s="65"/>
      <c r="ZQ16" s="65"/>
      <c r="ZR16" s="65"/>
      <c r="ZS16" s="65"/>
      <c r="ZT16" s="65"/>
      <c r="ZU16" s="65"/>
      <c r="ZV16" s="65"/>
      <c r="ZW16" s="65"/>
      <c r="ZX16" s="65"/>
      <c r="ZY16" s="65"/>
      <c r="ZZ16" s="65"/>
      <c r="AAA16" s="65"/>
      <c r="AAB16" s="65"/>
      <c r="AAC16" s="65"/>
      <c r="AAD16" s="65"/>
      <c r="AAE16" s="65"/>
      <c r="AAF16" s="65"/>
      <c r="AAG16" s="65"/>
      <c r="AAH16" s="65"/>
      <c r="AAI16" s="65"/>
      <c r="AAJ16" s="65"/>
      <c r="AAK16" s="65"/>
      <c r="AAL16" s="65"/>
      <c r="AAM16" s="65"/>
      <c r="AAN16" s="65"/>
      <c r="AAO16" s="65"/>
      <c r="AAP16" s="65"/>
      <c r="AAQ16" s="65"/>
      <c r="AAR16" s="65"/>
      <c r="AAS16" s="65"/>
      <c r="AAT16" s="65"/>
      <c r="AAU16" s="65"/>
      <c r="AAV16" s="65"/>
      <c r="AAW16" s="65"/>
      <c r="AAX16" s="65"/>
      <c r="AAY16" s="65"/>
      <c r="AAZ16" s="65"/>
      <c r="ABA16" s="65"/>
      <c r="ABB16" s="65"/>
      <c r="ABC16" s="65"/>
      <c r="ABD16" s="65"/>
      <c r="ABE16" s="65"/>
      <c r="ABF16" s="65"/>
      <c r="ABG16" s="65"/>
      <c r="ABH16" s="65"/>
      <c r="ABI16" s="65"/>
      <c r="ABJ16" s="65"/>
      <c r="ABK16" s="65"/>
      <c r="ABL16" s="65"/>
      <c r="ABM16" s="65"/>
      <c r="ABN16" s="65"/>
      <c r="ABO16" s="65"/>
      <c r="ABP16" s="65"/>
      <c r="ABQ16" s="65"/>
      <c r="ABR16" s="65"/>
      <c r="ABS16" s="65"/>
      <c r="ABT16" s="65"/>
      <c r="ABU16" s="65"/>
      <c r="ABV16" s="65"/>
      <c r="ABW16" s="65"/>
      <c r="ABX16" s="65"/>
      <c r="ABY16" s="65"/>
      <c r="ABZ16" s="65"/>
      <c r="ACA16" s="65"/>
      <c r="ACB16" s="65"/>
      <c r="ACC16" s="65"/>
      <c r="ACD16" s="65"/>
      <c r="ACE16" s="65"/>
      <c r="ACF16" s="65"/>
      <c r="ACG16" s="65"/>
      <c r="ACH16" s="65"/>
      <c r="ACI16" s="65"/>
      <c r="ACJ16" s="65"/>
      <c r="ACK16" s="65"/>
      <c r="ACL16" s="65"/>
      <c r="ACM16" s="65"/>
      <c r="ACN16" s="65"/>
      <c r="ACO16" s="65"/>
      <c r="ACP16" s="65"/>
      <c r="ACQ16" s="65"/>
      <c r="ACR16" s="65"/>
      <c r="ACS16" s="65"/>
      <c r="ACT16" s="65"/>
      <c r="ACU16" s="65"/>
      <c r="ACV16" s="65"/>
      <c r="ACW16" s="65"/>
      <c r="ACX16" s="65"/>
      <c r="ACY16" s="65"/>
      <c r="ACZ16" s="65"/>
      <c r="ADA16" s="65"/>
      <c r="ADB16" s="65"/>
      <c r="ADC16" s="65"/>
      <c r="ADD16" s="65"/>
      <c r="ADE16" s="65"/>
      <c r="ADF16" s="65"/>
      <c r="ADG16" s="65"/>
      <c r="ADH16" s="65"/>
      <c r="ADI16" s="65"/>
      <c r="ADJ16" s="65"/>
      <c r="ADK16" s="65"/>
      <c r="ADL16" s="65"/>
      <c r="ADM16" s="65"/>
      <c r="ADN16" s="65"/>
      <c r="ADO16" s="65"/>
      <c r="ADP16" s="65"/>
      <c r="ADQ16" s="65"/>
      <c r="ADR16" s="65"/>
      <c r="ADS16" s="65"/>
      <c r="ADT16" s="65"/>
      <c r="ADU16" s="65"/>
      <c r="ADV16" s="65"/>
      <c r="ADW16" s="65"/>
      <c r="ADX16" s="65"/>
      <c r="ADY16" s="65"/>
      <c r="ADZ16" s="65"/>
      <c r="AEA16" s="65"/>
      <c r="AEB16" s="65"/>
      <c r="AEC16" s="65"/>
      <c r="AED16" s="65"/>
      <c r="AEE16" s="65"/>
      <c r="AEF16" s="65"/>
      <c r="AEG16" s="65"/>
      <c r="AEH16" s="65"/>
      <c r="AEI16" s="65"/>
      <c r="AEJ16" s="65"/>
      <c r="AEK16" s="65"/>
      <c r="AEL16" s="65"/>
      <c r="AEM16" s="65"/>
      <c r="AEN16" s="65"/>
      <c r="AEO16" s="65"/>
      <c r="AEP16" s="65"/>
      <c r="AEQ16" s="65"/>
      <c r="AER16" s="65"/>
      <c r="AES16" s="65"/>
      <c r="AET16" s="65"/>
      <c r="AEU16" s="65"/>
      <c r="AEV16" s="65"/>
      <c r="AEW16" s="65"/>
      <c r="AEX16" s="65"/>
      <c r="AEY16" s="65"/>
      <c r="AEZ16" s="65"/>
      <c r="AFA16" s="65"/>
      <c r="AFB16" s="65"/>
      <c r="AFC16" s="65"/>
      <c r="AFD16" s="65"/>
      <c r="AFE16" s="65"/>
      <c r="AFF16" s="65"/>
      <c r="AFG16" s="65"/>
      <c r="AFH16" s="65"/>
      <c r="AFI16" s="65"/>
      <c r="AFJ16" s="65"/>
      <c r="AFK16" s="65"/>
      <c r="AFL16" s="65"/>
      <c r="AFM16" s="65"/>
      <c r="AFN16" s="65"/>
      <c r="AFO16" s="65"/>
      <c r="AFP16" s="65"/>
      <c r="AFQ16" s="65"/>
      <c r="AFR16" s="65"/>
      <c r="AFS16" s="65"/>
      <c r="AFT16" s="65"/>
      <c r="AFU16" s="65"/>
      <c r="AFV16" s="65"/>
      <c r="AFW16" s="65"/>
      <c r="AFX16" s="65"/>
      <c r="AFY16" s="65"/>
      <c r="AFZ16" s="65"/>
      <c r="AGA16" s="65"/>
      <c r="AGB16" s="65"/>
      <c r="AGC16" s="65"/>
      <c r="AGD16" s="65"/>
      <c r="AGE16" s="65"/>
      <c r="AGF16" s="65"/>
      <c r="AGG16" s="65"/>
      <c r="AGH16" s="65"/>
      <c r="AGI16" s="65"/>
      <c r="AGJ16" s="65"/>
      <c r="AGK16" s="65"/>
      <c r="AGL16" s="65"/>
      <c r="AGM16" s="65"/>
      <c r="AGN16" s="65"/>
      <c r="AGO16" s="65"/>
      <c r="AGP16" s="65"/>
      <c r="AGQ16" s="65"/>
      <c r="AGR16" s="65"/>
      <c r="AGS16" s="65"/>
      <c r="AGT16" s="65"/>
      <c r="AGU16" s="65"/>
      <c r="AGV16" s="65"/>
      <c r="AGW16" s="65"/>
      <c r="AGX16" s="65"/>
      <c r="AGY16" s="65"/>
      <c r="AGZ16" s="65"/>
      <c r="AHA16" s="65"/>
      <c r="AHB16" s="65"/>
      <c r="AHC16" s="65"/>
      <c r="AHD16" s="65"/>
      <c r="AHE16" s="65"/>
      <c r="AHF16" s="65"/>
      <c r="AHG16" s="65"/>
      <c r="AHH16" s="65"/>
      <c r="AHI16" s="65"/>
      <c r="AHJ16" s="65"/>
      <c r="AHK16" s="65"/>
      <c r="AHL16" s="65"/>
      <c r="AHM16" s="65"/>
      <c r="AHN16" s="65"/>
      <c r="AHO16" s="65"/>
      <c r="AHP16" s="65"/>
      <c r="AHQ16" s="65"/>
      <c r="AHR16" s="65"/>
      <c r="AHS16" s="65"/>
      <c r="AHT16" s="65"/>
      <c r="AHU16" s="65"/>
      <c r="AHV16" s="65"/>
      <c r="AHW16" s="65"/>
      <c r="AHX16" s="65"/>
      <c r="AHY16" s="65"/>
      <c r="AHZ16" s="65"/>
      <c r="AIA16" s="65"/>
      <c r="AIB16" s="65"/>
      <c r="AIC16" s="65"/>
      <c r="AID16" s="65"/>
      <c r="AIE16" s="65"/>
      <c r="AIF16" s="65"/>
      <c r="AIG16" s="65"/>
      <c r="AIH16" s="65"/>
      <c r="AII16" s="65"/>
      <c r="AIJ16" s="65"/>
      <c r="AIK16" s="65"/>
      <c r="AIL16" s="65"/>
      <c r="AIM16" s="65"/>
      <c r="AIN16" s="65"/>
      <c r="AIO16" s="65"/>
      <c r="AIP16" s="65"/>
      <c r="AIQ16" s="65"/>
      <c r="AIR16" s="65"/>
      <c r="AIS16" s="65"/>
      <c r="AIT16" s="65"/>
      <c r="AIU16" s="65"/>
      <c r="AIV16" s="65"/>
      <c r="AIW16" s="65"/>
      <c r="AIX16" s="65"/>
      <c r="AIY16" s="65"/>
      <c r="AIZ16" s="65"/>
      <c r="AJA16" s="65"/>
      <c r="AJB16" s="65"/>
      <c r="AJC16" s="65"/>
      <c r="AJD16" s="65"/>
      <c r="AJE16" s="65"/>
      <c r="AJF16" s="65"/>
      <c r="AJG16" s="65"/>
      <c r="AJH16" s="65"/>
      <c r="AJI16" s="65"/>
      <c r="AJJ16" s="65"/>
      <c r="AJK16" s="65"/>
      <c r="AJL16" s="65"/>
      <c r="AJM16" s="65"/>
      <c r="AJN16" s="65"/>
      <c r="AJO16" s="65"/>
      <c r="AJP16" s="65"/>
      <c r="AJQ16" s="65"/>
      <c r="AJR16" s="65"/>
      <c r="AJS16" s="65"/>
      <c r="AJT16" s="65"/>
      <c r="AJU16" s="65"/>
      <c r="AJV16" s="65"/>
      <c r="AJW16" s="65"/>
      <c r="AJX16" s="65"/>
      <c r="AJY16" s="65"/>
      <c r="AJZ16" s="65"/>
      <c r="AKA16" s="65"/>
      <c r="AKB16" s="65"/>
      <c r="AKC16" s="65"/>
      <c r="AKD16" s="65"/>
      <c r="AKE16" s="65"/>
      <c r="AKF16" s="65"/>
      <c r="AKG16" s="65"/>
      <c r="AKH16" s="65"/>
      <c r="AKI16" s="65"/>
      <c r="AKJ16" s="65"/>
      <c r="AKK16" s="65"/>
      <c r="AKL16" s="65"/>
      <c r="AKM16" s="65"/>
      <c r="AKN16" s="65"/>
      <c r="AKO16" s="65"/>
      <c r="AKP16" s="65"/>
      <c r="AKQ16" s="65"/>
      <c r="AKR16" s="65"/>
      <c r="AKS16" s="65"/>
      <c r="AKT16" s="65"/>
      <c r="AKU16" s="65"/>
      <c r="AKV16" s="65"/>
      <c r="AKW16" s="65"/>
      <c r="AKX16" s="65"/>
      <c r="AKY16" s="65"/>
      <c r="AKZ16" s="65"/>
      <c r="ALA16" s="65"/>
      <c r="ALB16" s="65"/>
      <c r="ALC16" s="65"/>
      <c r="ALD16" s="65"/>
      <c r="ALE16" s="65"/>
      <c r="ALF16" s="65"/>
      <c r="ALG16" s="65"/>
      <c r="ALH16" s="65"/>
      <c r="ALI16" s="65"/>
      <c r="ALJ16" s="65"/>
      <c r="ALK16" s="65"/>
      <c r="ALL16" s="65"/>
      <c r="ALM16" s="65"/>
      <c r="ALN16" s="65"/>
      <c r="ALO16" s="65"/>
      <c r="ALP16" s="65"/>
      <c r="ALQ16" s="65"/>
      <c r="ALR16" s="65"/>
      <c r="ALS16" s="65"/>
      <c r="ALT16" s="65"/>
      <c r="ALU16" s="65"/>
      <c r="ALV16" s="65"/>
      <c r="ALW16" s="65"/>
      <c r="ALX16" s="65"/>
      <c r="ALY16" s="65"/>
      <c r="ALZ16" s="65"/>
      <c r="AMA16" s="65"/>
      <c r="AMB16" s="65"/>
      <c r="AMC16" s="65"/>
      <c r="AMD16" s="65"/>
      <c r="AME16" s="65"/>
      <c r="AMF16" s="65"/>
      <c r="AMG16" s="65"/>
      <c r="AMH16" s="65"/>
      <c r="AMI16" s="65"/>
      <c r="AMJ16" s="60"/>
    </row>
    <row r="17" spans="1:1024">
      <c r="A17" s="66" t="s">
        <v>39697</v>
      </c>
      <c r="B17" s="67" t="s">
        <v>39698</v>
      </c>
      <c r="C17" s="67">
        <v>3</v>
      </c>
      <c r="D17" s="67">
        <v>12007</v>
      </c>
      <c r="E17" s="67" t="s">
        <v>39701</v>
      </c>
      <c r="F17" s="67">
        <v>695302</v>
      </c>
      <c r="G17" s="67">
        <v>416607</v>
      </c>
      <c r="H17" s="67">
        <v>428614</v>
      </c>
      <c r="I17" s="68">
        <v>2.4239999999999999</v>
      </c>
      <c r="J17" s="67">
        <v>7</v>
      </c>
      <c r="K17" s="67">
        <v>12</v>
      </c>
      <c r="L17" s="67" t="s">
        <v>39702</v>
      </c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65"/>
      <c r="IA17" s="65"/>
      <c r="IB17" s="65"/>
      <c r="IC17" s="65"/>
      <c r="ID17" s="65"/>
      <c r="IE17" s="65"/>
      <c r="IF17" s="65"/>
      <c r="IG17" s="65"/>
      <c r="IH17" s="65"/>
      <c r="II17" s="65"/>
      <c r="IJ17" s="65"/>
      <c r="IK17" s="65"/>
      <c r="IL17" s="65"/>
      <c r="IM17" s="65"/>
      <c r="IN17" s="65"/>
      <c r="IO17" s="65"/>
      <c r="IP17" s="65"/>
      <c r="IQ17" s="65"/>
      <c r="IR17" s="65"/>
      <c r="IS17" s="65"/>
      <c r="IT17" s="65"/>
      <c r="IU17" s="65"/>
      <c r="IV17" s="65"/>
      <c r="IW17" s="65"/>
      <c r="IX17" s="65"/>
      <c r="IY17" s="65"/>
      <c r="IZ17" s="65"/>
      <c r="JA17" s="65"/>
      <c r="JB17" s="65"/>
      <c r="JC17" s="65"/>
      <c r="JD17" s="65"/>
      <c r="JE17" s="65"/>
      <c r="JF17" s="65"/>
      <c r="JG17" s="65"/>
      <c r="JH17" s="65"/>
      <c r="JI17" s="65"/>
      <c r="JJ17" s="65"/>
      <c r="JK17" s="65"/>
      <c r="JL17" s="65"/>
      <c r="JM17" s="65"/>
      <c r="JN17" s="65"/>
      <c r="JO17" s="65"/>
      <c r="JP17" s="65"/>
      <c r="JQ17" s="65"/>
      <c r="JR17" s="65"/>
      <c r="JS17" s="65"/>
      <c r="JT17" s="65"/>
      <c r="JU17" s="65"/>
      <c r="JV17" s="65"/>
      <c r="JW17" s="65"/>
      <c r="JX17" s="65"/>
      <c r="JY17" s="65"/>
      <c r="JZ17" s="65"/>
      <c r="KA17" s="65"/>
      <c r="KB17" s="65"/>
      <c r="KC17" s="65"/>
      <c r="KD17" s="65"/>
      <c r="KE17" s="65"/>
      <c r="KF17" s="65"/>
      <c r="KG17" s="65"/>
      <c r="KH17" s="65"/>
      <c r="KI17" s="65"/>
      <c r="KJ17" s="65"/>
      <c r="KK17" s="65"/>
      <c r="KL17" s="65"/>
      <c r="KM17" s="65"/>
      <c r="KN17" s="65"/>
      <c r="KO17" s="65"/>
      <c r="KP17" s="65"/>
      <c r="KQ17" s="65"/>
      <c r="KR17" s="65"/>
      <c r="KS17" s="65"/>
      <c r="KT17" s="65"/>
      <c r="KU17" s="65"/>
      <c r="KV17" s="65"/>
      <c r="KW17" s="65"/>
      <c r="KX17" s="65"/>
      <c r="KY17" s="65"/>
      <c r="KZ17" s="65"/>
      <c r="LA17" s="65"/>
      <c r="LB17" s="65"/>
      <c r="LC17" s="65"/>
      <c r="LD17" s="65"/>
      <c r="LE17" s="65"/>
      <c r="LF17" s="65"/>
      <c r="LG17" s="65"/>
      <c r="LH17" s="65"/>
      <c r="LI17" s="65"/>
      <c r="LJ17" s="65"/>
      <c r="LK17" s="65"/>
      <c r="LL17" s="65"/>
      <c r="LM17" s="65"/>
      <c r="LN17" s="65"/>
      <c r="LO17" s="65"/>
      <c r="LP17" s="65"/>
      <c r="LQ17" s="65"/>
      <c r="LR17" s="65"/>
      <c r="LS17" s="65"/>
      <c r="LT17" s="65"/>
      <c r="LU17" s="65"/>
      <c r="LV17" s="65"/>
      <c r="LW17" s="65"/>
      <c r="LX17" s="65"/>
      <c r="LY17" s="65"/>
      <c r="LZ17" s="65"/>
      <c r="MA17" s="65"/>
      <c r="MB17" s="65"/>
      <c r="MC17" s="65"/>
      <c r="MD17" s="65"/>
      <c r="ME17" s="65"/>
      <c r="MF17" s="65"/>
      <c r="MG17" s="65"/>
      <c r="MH17" s="65"/>
      <c r="MI17" s="65"/>
      <c r="MJ17" s="65"/>
      <c r="MK17" s="65"/>
      <c r="ML17" s="65"/>
      <c r="MM17" s="65"/>
      <c r="MN17" s="65"/>
      <c r="MO17" s="65"/>
      <c r="MP17" s="65"/>
      <c r="MQ17" s="65"/>
      <c r="MR17" s="65"/>
      <c r="MS17" s="65"/>
      <c r="MT17" s="65"/>
      <c r="MU17" s="65"/>
      <c r="MV17" s="65"/>
      <c r="MW17" s="65"/>
      <c r="MX17" s="65"/>
      <c r="MY17" s="65"/>
      <c r="MZ17" s="65"/>
      <c r="NA17" s="65"/>
      <c r="NB17" s="65"/>
      <c r="NC17" s="65"/>
      <c r="ND17" s="65"/>
      <c r="NE17" s="65"/>
      <c r="NF17" s="65"/>
      <c r="NG17" s="65"/>
      <c r="NH17" s="65"/>
      <c r="NI17" s="65"/>
      <c r="NJ17" s="65"/>
      <c r="NK17" s="65"/>
      <c r="NL17" s="65"/>
      <c r="NM17" s="65"/>
      <c r="NN17" s="65"/>
      <c r="NO17" s="65"/>
      <c r="NP17" s="65"/>
      <c r="NQ17" s="65"/>
      <c r="NR17" s="65"/>
      <c r="NS17" s="65"/>
      <c r="NT17" s="65"/>
      <c r="NU17" s="65"/>
      <c r="NV17" s="65"/>
      <c r="NW17" s="65"/>
      <c r="NX17" s="65"/>
      <c r="NY17" s="65"/>
      <c r="NZ17" s="65"/>
      <c r="OA17" s="65"/>
      <c r="OB17" s="65"/>
      <c r="OC17" s="65"/>
      <c r="OD17" s="65"/>
      <c r="OE17" s="65"/>
      <c r="OF17" s="65"/>
      <c r="OG17" s="65"/>
      <c r="OH17" s="65"/>
      <c r="OI17" s="65"/>
      <c r="OJ17" s="65"/>
      <c r="OK17" s="65"/>
      <c r="OL17" s="65"/>
      <c r="OM17" s="65"/>
      <c r="ON17" s="65"/>
      <c r="OO17" s="65"/>
      <c r="OP17" s="65"/>
      <c r="OQ17" s="65"/>
      <c r="OR17" s="65"/>
      <c r="OS17" s="65"/>
      <c r="OT17" s="65"/>
      <c r="OU17" s="65"/>
      <c r="OV17" s="65"/>
      <c r="OW17" s="65"/>
      <c r="OX17" s="65"/>
      <c r="OY17" s="65"/>
      <c r="OZ17" s="65"/>
      <c r="PA17" s="65"/>
      <c r="PB17" s="65"/>
      <c r="PC17" s="65"/>
      <c r="PD17" s="65"/>
      <c r="PE17" s="65"/>
      <c r="PF17" s="65"/>
      <c r="PG17" s="65"/>
      <c r="PH17" s="65"/>
      <c r="PI17" s="65"/>
      <c r="PJ17" s="65"/>
      <c r="PK17" s="65"/>
      <c r="PL17" s="65"/>
      <c r="PM17" s="65"/>
      <c r="PN17" s="65"/>
      <c r="PO17" s="65"/>
      <c r="PP17" s="65"/>
      <c r="PQ17" s="65"/>
      <c r="PR17" s="65"/>
      <c r="PS17" s="65"/>
      <c r="PT17" s="65"/>
      <c r="PU17" s="65"/>
      <c r="PV17" s="65"/>
      <c r="PW17" s="65"/>
      <c r="PX17" s="65"/>
      <c r="PY17" s="65"/>
      <c r="PZ17" s="65"/>
      <c r="QA17" s="65"/>
      <c r="QB17" s="65"/>
      <c r="QC17" s="65"/>
      <c r="QD17" s="65"/>
      <c r="QE17" s="65"/>
      <c r="QF17" s="65"/>
      <c r="QG17" s="65"/>
      <c r="QH17" s="65"/>
      <c r="QI17" s="65"/>
      <c r="QJ17" s="65"/>
      <c r="QK17" s="65"/>
      <c r="QL17" s="65"/>
      <c r="QM17" s="65"/>
      <c r="QN17" s="65"/>
      <c r="QO17" s="65"/>
      <c r="QP17" s="65"/>
      <c r="QQ17" s="65"/>
      <c r="QR17" s="65"/>
      <c r="QS17" s="65"/>
      <c r="QT17" s="65"/>
      <c r="QU17" s="65"/>
      <c r="QV17" s="65"/>
      <c r="QW17" s="65"/>
      <c r="QX17" s="65"/>
      <c r="QY17" s="65"/>
      <c r="QZ17" s="65"/>
      <c r="RA17" s="65"/>
      <c r="RB17" s="65"/>
      <c r="RC17" s="65"/>
      <c r="RD17" s="65"/>
      <c r="RE17" s="65"/>
      <c r="RF17" s="65"/>
      <c r="RG17" s="65"/>
      <c r="RH17" s="65"/>
      <c r="RI17" s="65"/>
      <c r="RJ17" s="65"/>
      <c r="RK17" s="65"/>
      <c r="RL17" s="65"/>
      <c r="RM17" s="65"/>
      <c r="RN17" s="65"/>
      <c r="RO17" s="65"/>
      <c r="RP17" s="65"/>
      <c r="RQ17" s="65"/>
      <c r="RR17" s="65"/>
      <c r="RS17" s="65"/>
      <c r="RT17" s="65"/>
      <c r="RU17" s="65"/>
      <c r="RV17" s="65"/>
      <c r="RW17" s="65"/>
      <c r="RX17" s="65"/>
      <c r="RY17" s="65"/>
      <c r="RZ17" s="65"/>
      <c r="SA17" s="65"/>
      <c r="SB17" s="65"/>
      <c r="SC17" s="65"/>
      <c r="SD17" s="65"/>
      <c r="SE17" s="65"/>
      <c r="SF17" s="65"/>
      <c r="SG17" s="65"/>
      <c r="SH17" s="65"/>
      <c r="SI17" s="65"/>
      <c r="SJ17" s="65"/>
      <c r="SK17" s="65"/>
      <c r="SL17" s="65"/>
      <c r="SM17" s="65"/>
      <c r="SN17" s="65"/>
      <c r="SO17" s="65"/>
      <c r="SP17" s="65"/>
      <c r="SQ17" s="65"/>
      <c r="SR17" s="65"/>
      <c r="SS17" s="65"/>
      <c r="ST17" s="65"/>
      <c r="SU17" s="65"/>
      <c r="SV17" s="65"/>
      <c r="SW17" s="65"/>
      <c r="SX17" s="65"/>
      <c r="SY17" s="65"/>
      <c r="SZ17" s="65"/>
      <c r="TA17" s="65"/>
      <c r="TB17" s="65"/>
      <c r="TC17" s="65"/>
      <c r="TD17" s="65"/>
      <c r="TE17" s="65"/>
      <c r="TF17" s="65"/>
      <c r="TG17" s="65"/>
      <c r="TH17" s="65"/>
      <c r="TI17" s="65"/>
      <c r="TJ17" s="65"/>
      <c r="TK17" s="65"/>
      <c r="TL17" s="65"/>
      <c r="TM17" s="65"/>
      <c r="TN17" s="65"/>
      <c r="TO17" s="65"/>
      <c r="TP17" s="65"/>
      <c r="TQ17" s="65"/>
      <c r="TR17" s="65"/>
      <c r="TS17" s="65"/>
      <c r="TT17" s="65"/>
      <c r="TU17" s="65"/>
      <c r="TV17" s="65"/>
      <c r="TW17" s="65"/>
      <c r="TX17" s="65"/>
      <c r="TY17" s="65"/>
      <c r="TZ17" s="65"/>
      <c r="UA17" s="65"/>
      <c r="UB17" s="65"/>
      <c r="UC17" s="65"/>
      <c r="UD17" s="65"/>
      <c r="UE17" s="65"/>
      <c r="UF17" s="65"/>
      <c r="UG17" s="65"/>
      <c r="UH17" s="65"/>
      <c r="UI17" s="65"/>
      <c r="UJ17" s="65"/>
      <c r="UK17" s="65"/>
      <c r="UL17" s="65"/>
      <c r="UM17" s="65"/>
      <c r="UN17" s="65"/>
      <c r="UO17" s="65"/>
      <c r="UP17" s="65"/>
      <c r="UQ17" s="65"/>
      <c r="UR17" s="65"/>
      <c r="US17" s="65"/>
      <c r="UT17" s="65"/>
      <c r="UU17" s="65"/>
      <c r="UV17" s="65"/>
      <c r="UW17" s="65"/>
      <c r="UX17" s="65"/>
      <c r="UY17" s="65"/>
      <c r="UZ17" s="65"/>
      <c r="VA17" s="65"/>
      <c r="VB17" s="65"/>
      <c r="VC17" s="65"/>
      <c r="VD17" s="65"/>
      <c r="VE17" s="65"/>
      <c r="VF17" s="65"/>
      <c r="VG17" s="65"/>
      <c r="VH17" s="65"/>
      <c r="VI17" s="65"/>
      <c r="VJ17" s="65"/>
      <c r="VK17" s="65"/>
      <c r="VL17" s="65"/>
      <c r="VM17" s="65"/>
      <c r="VN17" s="65"/>
      <c r="VO17" s="65"/>
      <c r="VP17" s="65"/>
      <c r="VQ17" s="65"/>
      <c r="VR17" s="65"/>
      <c r="VS17" s="65"/>
      <c r="VT17" s="65"/>
      <c r="VU17" s="65"/>
      <c r="VV17" s="65"/>
      <c r="VW17" s="65"/>
      <c r="VX17" s="65"/>
      <c r="VY17" s="65"/>
      <c r="VZ17" s="65"/>
      <c r="WA17" s="65"/>
      <c r="WB17" s="65"/>
      <c r="WC17" s="65"/>
      <c r="WD17" s="65"/>
      <c r="WE17" s="65"/>
      <c r="WF17" s="65"/>
      <c r="WG17" s="65"/>
      <c r="WH17" s="65"/>
      <c r="WI17" s="65"/>
      <c r="WJ17" s="65"/>
      <c r="WK17" s="65"/>
      <c r="WL17" s="65"/>
      <c r="WM17" s="65"/>
      <c r="WN17" s="65"/>
      <c r="WO17" s="65"/>
      <c r="WP17" s="65"/>
      <c r="WQ17" s="65"/>
      <c r="WR17" s="65"/>
      <c r="WS17" s="65"/>
      <c r="WT17" s="65"/>
      <c r="WU17" s="65"/>
      <c r="WV17" s="65"/>
      <c r="WW17" s="65"/>
      <c r="WX17" s="65"/>
      <c r="WY17" s="65"/>
      <c r="WZ17" s="65"/>
      <c r="XA17" s="65"/>
      <c r="XB17" s="65"/>
      <c r="XC17" s="65"/>
      <c r="XD17" s="65"/>
      <c r="XE17" s="65"/>
      <c r="XF17" s="65"/>
      <c r="XG17" s="65"/>
      <c r="XH17" s="65"/>
      <c r="XI17" s="65"/>
      <c r="XJ17" s="65"/>
      <c r="XK17" s="65"/>
      <c r="XL17" s="65"/>
      <c r="XM17" s="65"/>
      <c r="XN17" s="65"/>
      <c r="XO17" s="65"/>
      <c r="XP17" s="65"/>
      <c r="XQ17" s="65"/>
      <c r="XR17" s="65"/>
      <c r="XS17" s="65"/>
      <c r="XT17" s="65"/>
      <c r="XU17" s="65"/>
      <c r="XV17" s="65"/>
      <c r="XW17" s="65"/>
      <c r="XX17" s="65"/>
      <c r="XY17" s="65"/>
      <c r="XZ17" s="65"/>
      <c r="YA17" s="65"/>
      <c r="YB17" s="65"/>
      <c r="YC17" s="65"/>
      <c r="YD17" s="65"/>
      <c r="YE17" s="65"/>
      <c r="YF17" s="65"/>
      <c r="YG17" s="65"/>
      <c r="YH17" s="65"/>
      <c r="YI17" s="65"/>
      <c r="YJ17" s="65"/>
      <c r="YK17" s="65"/>
      <c r="YL17" s="65"/>
      <c r="YM17" s="65"/>
      <c r="YN17" s="65"/>
      <c r="YO17" s="65"/>
      <c r="YP17" s="65"/>
      <c r="YQ17" s="65"/>
      <c r="YR17" s="65"/>
      <c r="YS17" s="65"/>
      <c r="YT17" s="65"/>
      <c r="YU17" s="65"/>
      <c r="YV17" s="65"/>
      <c r="YW17" s="65"/>
      <c r="YX17" s="65"/>
      <c r="YY17" s="65"/>
      <c r="YZ17" s="65"/>
      <c r="ZA17" s="65"/>
      <c r="ZB17" s="65"/>
      <c r="ZC17" s="65"/>
      <c r="ZD17" s="65"/>
      <c r="ZE17" s="65"/>
      <c r="ZF17" s="65"/>
      <c r="ZG17" s="65"/>
      <c r="ZH17" s="65"/>
      <c r="ZI17" s="65"/>
      <c r="ZJ17" s="65"/>
      <c r="ZK17" s="65"/>
      <c r="ZL17" s="65"/>
      <c r="ZM17" s="65"/>
      <c r="ZN17" s="65"/>
      <c r="ZO17" s="65"/>
      <c r="ZP17" s="65"/>
      <c r="ZQ17" s="65"/>
      <c r="ZR17" s="65"/>
      <c r="ZS17" s="65"/>
      <c r="ZT17" s="65"/>
      <c r="ZU17" s="65"/>
      <c r="ZV17" s="65"/>
      <c r="ZW17" s="65"/>
      <c r="ZX17" s="65"/>
      <c r="ZY17" s="65"/>
      <c r="ZZ17" s="65"/>
      <c r="AAA17" s="65"/>
      <c r="AAB17" s="65"/>
      <c r="AAC17" s="65"/>
      <c r="AAD17" s="65"/>
      <c r="AAE17" s="65"/>
      <c r="AAF17" s="65"/>
      <c r="AAG17" s="65"/>
      <c r="AAH17" s="65"/>
      <c r="AAI17" s="65"/>
      <c r="AAJ17" s="65"/>
      <c r="AAK17" s="65"/>
      <c r="AAL17" s="65"/>
      <c r="AAM17" s="65"/>
      <c r="AAN17" s="65"/>
      <c r="AAO17" s="65"/>
      <c r="AAP17" s="65"/>
      <c r="AAQ17" s="65"/>
      <c r="AAR17" s="65"/>
      <c r="AAS17" s="65"/>
      <c r="AAT17" s="65"/>
      <c r="AAU17" s="65"/>
      <c r="AAV17" s="65"/>
      <c r="AAW17" s="65"/>
      <c r="AAX17" s="65"/>
      <c r="AAY17" s="65"/>
      <c r="AAZ17" s="65"/>
      <c r="ABA17" s="65"/>
      <c r="ABB17" s="65"/>
      <c r="ABC17" s="65"/>
      <c r="ABD17" s="65"/>
      <c r="ABE17" s="65"/>
      <c r="ABF17" s="65"/>
      <c r="ABG17" s="65"/>
      <c r="ABH17" s="65"/>
      <c r="ABI17" s="65"/>
      <c r="ABJ17" s="65"/>
      <c r="ABK17" s="65"/>
      <c r="ABL17" s="65"/>
      <c r="ABM17" s="65"/>
      <c r="ABN17" s="65"/>
      <c r="ABO17" s="65"/>
      <c r="ABP17" s="65"/>
      <c r="ABQ17" s="65"/>
      <c r="ABR17" s="65"/>
      <c r="ABS17" s="65"/>
      <c r="ABT17" s="65"/>
      <c r="ABU17" s="65"/>
      <c r="ABV17" s="65"/>
      <c r="ABW17" s="65"/>
      <c r="ABX17" s="65"/>
      <c r="ABY17" s="65"/>
      <c r="ABZ17" s="65"/>
      <c r="ACA17" s="65"/>
      <c r="ACB17" s="65"/>
      <c r="ACC17" s="65"/>
      <c r="ACD17" s="65"/>
      <c r="ACE17" s="65"/>
      <c r="ACF17" s="65"/>
      <c r="ACG17" s="65"/>
      <c r="ACH17" s="65"/>
      <c r="ACI17" s="65"/>
      <c r="ACJ17" s="65"/>
      <c r="ACK17" s="65"/>
      <c r="ACL17" s="65"/>
      <c r="ACM17" s="65"/>
      <c r="ACN17" s="65"/>
      <c r="ACO17" s="65"/>
      <c r="ACP17" s="65"/>
      <c r="ACQ17" s="65"/>
      <c r="ACR17" s="65"/>
      <c r="ACS17" s="65"/>
      <c r="ACT17" s="65"/>
      <c r="ACU17" s="65"/>
      <c r="ACV17" s="65"/>
      <c r="ACW17" s="65"/>
      <c r="ACX17" s="65"/>
      <c r="ACY17" s="65"/>
      <c r="ACZ17" s="65"/>
      <c r="ADA17" s="65"/>
      <c r="ADB17" s="65"/>
      <c r="ADC17" s="65"/>
      <c r="ADD17" s="65"/>
      <c r="ADE17" s="65"/>
      <c r="ADF17" s="65"/>
      <c r="ADG17" s="65"/>
      <c r="ADH17" s="65"/>
      <c r="ADI17" s="65"/>
      <c r="ADJ17" s="65"/>
      <c r="ADK17" s="65"/>
      <c r="ADL17" s="65"/>
      <c r="ADM17" s="65"/>
      <c r="ADN17" s="65"/>
      <c r="ADO17" s="65"/>
      <c r="ADP17" s="65"/>
      <c r="ADQ17" s="65"/>
      <c r="ADR17" s="65"/>
      <c r="ADS17" s="65"/>
      <c r="ADT17" s="65"/>
      <c r="ADU17" s="65"/>
      <c r="ADV17" s="65"/>
      <c r="ADW17" s="65"/>
      <c r="ADX17" s="65"/>
      <c r="ADY17" s="65"/>
      <c r="ADZ17" s="65"/>
      <c r="AEA17" s="65"/>
      <c r="AEB17" s="65"/>
      <c r="AEC17" s="65"/>
      <c r="AED17" s="65"/>
      <c r="AEE17" s="65"/>
      <c r="AEF17" s="65"/>
      <c r="AEG17" s="65"/>
      <c r="AEH17" s="65"/>
      <c r="AEI17" s="65"/>
      <c r="AEJ17" s="65"/>
      <c r="AEK17" s="65"/>
      <c r="AEL17" s="65"/>
      <c r="AEM17" s="65"/>
      <c r="AEN17" s="65"/>
      <c r="AEO17" s="65"/>
      <c r="AEP17" s="65"/>
      <c r="AEQ17" s="65"/>
      <c r="AER17" s="65"/>
      <c r="AES17" s="65"/>
      <c r="AET17" s="65"/>
      <c r="AEU17" s="65"/>
      <c r="AEV17" s="65"/>
      <c r="AEW17" s="65"/>
      <c r="AEX17" s="65"/>
      <c r="AEY17" s="65"/>
      <c r="AEZ17" s="65"/>
      <c r="AFA17" s="65"/>
      <c r="AFB17" s="65"/>
      <c r="AFC17" s="65"/>
      <c r="AFD17" s="65"/>
      <c r="AFE17" s="65"/>
      <c r="AFF17" s="65"/>
      <c r="AFG17" s="65"/>
      <c r="AFH17" s="65"/>
      <c r="AFI17" s="65"/>
      <c r="AFJ17" s="65"/>
      <c r="AFK17" s="65"/>
      <c r="AFL17" s="65"/>
      <c r="AFM17" s="65"/>
      <c r="AFN17" s="65"/>
      <c r="AFO17" s="65"/>
      <c r="AFP17" s="65"/>
      <c r="AFQ17" s="65"/>
      <c r="AFR17" s="65"/>
      <c r="AFS17" s="65"/>
      <c r="AFT17" s="65"/>
      <c r="AFU17" s="65"/>
      <c r="AFV17" s="65"/>
      <c r="AFW17" s="65"/>
      <c r="AFX17" s="65"/>
      <c r="AFY17" s="65"/>
      <c r="AFZ17" s="65"/>
      <c r="AGA17" s="65"/>
      <c r="AGB17" s="65"/>
      <c r="AGC17" s="65"/>
      <c r="AGD17" s="65"/>
      <c r="AGE17" s="65"/>
      <c r="AGF17" s="65"/>
      <c r="AGG17" s="65"/>
      <c r="AGH17" s="65"/>
      <c r="AGI17" s="65"/>
      <c r="AGJ17" s="65"/>
      <c r="AGK17" s="65"/>
      <c r="AGL17" s="65"/>
      <c r="AGM17" s="65"/>
      <c r="AGN17" s="65"/>
      <c r="AGO17" s="65"/>
      <c r="AGP17" s="65"/>
      <c r="AGQ17" s="65"/>
      <c r="AGR17" s="65"/>
      <c r="AGS17" s="65"/>
      <c r="AGT17" s="65"/>
      <c r="AGU17" s="65"/>
      <c r="AGV17" s="65"/>
      <c r="AGW17" s="65"/>
      <c r="AGX17" s="65"/>
      <c r="AGY17" s="65"/>
      <c r="AGZ17" s="65"/>
      <c r="AHA17" s="65"/>
      <c r="AHB17" s="65"/>
      <c r="AHC17" s="65"/>
      <c r="AHD17" s="65"/>
      <c r="AHE17" s="65"/>
      <c r="AHF17" s="65"/>
      <c r="AHG17" s="65"/>
      <c r="AHH17" s="65"/>
      <c r="AHI17" s="65"/>
      <c r="AHJ17" s="65"/>
      <c r="AHK17" s="65"/>
      <c r="AHL17" s="65"/>
      <c r="AHM17" s="65"/>
      <c r="AHN17" s="65"/>
      <c r="AHO17" s="65"/>
      <c r="AHP17" s="65"/>
      <c r="AHQ17" s="65"/>
      <c r="AHR17" s="65"/>
      <c r="AHS17" s="65"/>
      <c r="AHT17" s="65"/>
      <c r="AHU17" s="65"/>
      <c r="AHV17" s="65"/>
      <c r="AHW17" s="65"/>
      <c r="AHX17" s="65"/>
      <c r="AHY17" s="65"/>
      <c r="AHZ17" s="65"/>
      <c r="AIA17" s="65"/>
      <c r="AIB17" s="65"/>
      <c r="AIC17" s="65"/>
      <c r="AID17" s="65"/>
      <c r="AIE17" s="65"/>
      <c r="AIF17" s="65"/>
      <c r="AIG17" s="65"/>
      <c r="AIH17" s="65"/>
      <c r="AII17" s="65"/>
      <c r="AIJ17" s="65"/>
      <c r="AIK17" s="65"/>
      <c r="AIL17" s="65"/>
      <c r="AIM17" s="65"/>
      <c r="AIN17" s="65"/>
      <c r="AIO17" s="65"/>
      <c r="AIP17" s="65"/>
      <c r="AIQ17" s="65"/>
      <c r="AIR17" s="65"/>
      <c r="AIS17" s="65"/>
      <c r="AIT17" s="65"/>
      <c r="AIU17" s="65"/>
      <c r="AIV17" s="65"/>
      <c r="AIW17" s="65"/>
      <c r="AIX17" s="65"/>
      <c r="AIY17" s="65"/>
      <c r="AIZ17" s="65"/>
      <c r="AJA17" s="65"/>
      <c r="AJB17" s="65"/>
      <c r="AJC17" s="65"/>
      <c r="AJD17" s="65"/>
      <c r="AJE17" s="65"/>
      <c r="AJF17" s="65"/>
      <c r="AJG17" s="65"/>
      <c r="AJH17" s="65"/>
      <c r="AJI17" s="65"/>
      <c r="AJJ17" s="65"/>
      <c r="AJK17" s="65"/>
      <c r="AJL17" s="65"/>
      <c r="AJM17" s="65"/>
      <c r="AJN17" s="65"/>
      <c r="AJO17" s="65"/>
      <c r="AJP17" s="65"/>
      <c r="AJQ17" s="65"/>
      <c r="AJR17" s="65"/>
      <c r="AJS17" s="65"/>
      <c r="AJT17" s="65"/>
      <c r="AJU17" s="65"/>
      <c r="AJV17" s="65"/>
      <c r="AJW17" s="65"/>
      <c r="AJX17" s="65"/>
      <c r="AJY17" s="65"/>
      <c r="AJZ17" s="65"/>
      <c r="AKA17" s="65"/>
      <c r="AKB17" s="65"/>
      <c r="AKC17" s="65"/>
      <c r="AKD17" s="65"/>
      <c r="AKE17" s="65"/>
      <c r="AKF17" s="65"/>
      <c r="AKG17" s="65"/>
      <c r="AKH17" s="65"/>
      <c r="AKI17" s="65"/>
      <c r="AKJ17" s="65"/>
      <c r="AKK17" s="65"/>
      <c r="AKL17" s="65"/>
      <c r="AKM17" s="65"/>
      <c r="AKN17" s="65"/>
      <c r="AKO17" s="65"/>
      <c r="AKP17" s="65"/>
      <c r="AKQ17" s="65"/>
      <c r="AKR17" s="65"/>
      <c r="AKS17" s="65"/>
      <c r="AKT17" s="65"/>
      <c r="AKU17" s="65"/>
      <c r="AKV17" s="65"/>
      <c r="AKW17" s="65"/>
      <c r="AKX17" s="65"/>
      <c r="AKY17" s="65"/>
      <c r="AKZ17" s="65"/>
      <c r="ALA17" s="65"/>
      <c r="ALB17" s="65"/>
      <c r="ALC17" s="65"/>
      <c r="ALD17" s="65"/>
      <c r="ALE17" s="65"/>
      <c r="ALF17" s="65"/>
      <c r="ALG17" s="65"/>
      <c r="ALH17" s="65"/>
      <c r="ALI17" s="65"/>
      <c r="ALJ17" s="65"/>
      <c r="ALK17" s="65"/>
      <c r="ALL17" s="65"/>
      <c r="ALM17" s="65"/>
      <c r="ALN17" s="65"/>
      <c r="ALO17" s="65"/>
      <c r="ALP17" s="65"/>
      <c r="ALQ17" s="65"/>
      <c r="ALR17" s="65"/>
      <c r="ALS17" s="65"/>
      <c r="ALT17" s="65"/>
      <c r="ALU17" s="65"/>
      <c r="ALV17" s="65"/>
      <c r="ALW17" s="65"/>
      <c r="ALX17" s="65"/>
      <c r="ALY17" s="65"/>
      <c r="ALZ17" s="65"/>
      <c r="AMA17" s="65"/>
      <c r="AMB17" s="65"/>
      <c r="AMC17" s="65"/>
      <c r="AMD17" s="65"/>
      <c r="AME17" s="65"/>
      <c r="AMF17" s="65"/>
      <c r="AMG17" s="65"/>
      <c r="AMH17" s="65"/>
      <c r="AMI17" s="65"/>
      <c r="AMJ17" s="60"/>
    </row>
    <row r="18" spans="1:1024">
      <c r="A18" s="66" t="s">
        <v>39697</v>
      </c>
      <c r="B18" s="67" t="s">
        <v>39698</v>
      </c>
      <c r="C18" s="67">
        <v>4</v>
      </c>
      <c r="D18" s="67">
        <v>10819</v>
      </c>
      <c r="E18" s="67" t="s">
        <v>39703</v>
      </c>
      <c r="F18" s="67">
        <v>402314</v>
      </c>
      <c r="G18" s="67">
        <v>260647</v>
      </c>
      <c r="H18" s="67">
        <v>271466</v>
      </c>
      <c r="I18" s="68">
        <v>2.0150000000000001</v>
      </c>
      <c r="J18" s="67">
        <v>5</v>
      </c>
      <c r="K18" s="67">
        <v>14</v>
      </c>
      <c r="L18" s="67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  <c r="IG18" s="65"/>
      <c r="IH18" s="65"/>
      <c r="II18" s="65"/>
      <c r="IJ18" s="65"/>
      <c r="IK18" s="65"/>
      <c r="IL18" s="65"/>
      <c r="IM18" s="65"/>
      <c r="IN18" s="65"/>
      <c r="IO18" s="65"/>
      <c r="IP18" s="65"/>
      <c r="IQ18" s="65"/>
      <c r="IR18" s="65"/>
      <c r="IS18" s="65"/>
      <c r="IT18" s="65"/>
      <c r="IU18" s="65"/>
      <c r="IV18" s="65"/>
      <c r="IW18" s="65"/>
      <c r="IX18" s="65"/>
      <c r="IY18" s="65"/>
      <c r="IZ18" s="65"/>
      <c r="JA18" s="65"/>
      <c r="JB18" s="65"/>
      <c r="JC18" s="65"/>
      <c r="JD18" s="65"/>
      <c r="JE18" s="65"/>
      <c r="JF18" s="65"/>
      <c r="JG18" s="65"/>
      <c r="JH18" s="65"/>
      <c r="JI18" s="65"/>
      <c r="JJ18" s="65"/>
      <c r="JK18" s="65"/>
      <c r="JL18" s="65"/>
      <c r="JM18" s="65"/>
      <c r="JN18" s="65"/>
      <c r="JO18" s="65"/>
      <c r="JP18" s="65"/>
      <c r="JQ18" s="65"/>
      <c r="JR18" s="65"/>
      <c r="JS18" s="65"/>
      <c r="JT18" s="65"/>
      <c r="JU18" s="65"/>
      <c r="JV18" s="65"/>
      <c r="JW18" s="65"/>
      <c r="JX18" s="65"/>
      <c r="JY18" s="65"/>
      <c r="JZ18" s="65"/>
      <c r="KA18" s="65"/>
      <c r="KB18" s="65"/>
      <c r="KC18" s="65"/>
      <c r="KD18" s="65"/>
      <c r="KE18" s="65"/>
      <c r="KF18" s="65"/>
      <c r="KG18" s="65"/>
      <c r="KH18" s="65"/>
      <c r="KI18" s="65"/>
      <c r="KJ18" s="65"/>
      <c r="KK18" s="65"/>
      <c r="KL18" s="65"/>
      <c r="KM18" s="65"/>
      <c r="KN18" s="65"/>
      <c r="KO18" s="65"/>
      <c r="KP18" s="65"/>
      <c r="KQ18" s="65"/>
      <c r="KR18" s="65"/>
      <c r="KS18" s="65"/>
      <c r="KT18" s="65"/>
      <c r="KU18" s="65"/>
      <c r="KV18" s="65"/>
      <c r="KW18" s="65"/>
      <c r="KX18" s="65"/>
      <c r="KY18" s="65"/>
      <c r="KZ18" s="65"/>
      <c r="LA18" s="65"/>
      <c r="LB18" s="65"/>
      <c r="LC18" s="65"/>
      <c r="LD18" s="65"/>
      <c r="LE18" s="65"/>
      <c r="LF18" s="65"/>
      <c r="LG18" s="65"/>
      <c r="LH18" s="65"/>
      <c r="LI18" s="65"/>
      <c r="LJ18" s="65"/>
      <c r="LK18" s="65"/>
      <c r="LL18" s="65"/>
      <c r="LM18" s="65"/>
      <c r="LN18" s="65"/>
      <c r="LO18" s="65"/>
      <c r="LP18" s="65"/>
      <c r="LQ18" s="65"/>
      <c r="LR18" s="65"/>
      <c r="LS18" s="65"/>
      <c r="LT18" s="65"/>
      <c r="LU18" s="65"/>
      <c r="LV18" s="65"/>
      <c r="LW18" s="65"/>
      <c r="LX18" s="65"/>
      <c r="LY18" s="65"/>
      <c r="LZ18" s="65"/>
      <c r="MA18" s="65"/>
      <c r="MB18" s="65"/>
      <c r="MC18" s="65"/>
      <c r="MD18" s="65"/>
      <c r="ME18" s="65"/>
      <c r="MF18" s="65"/>
      <c r="MG18" s="65"/>
      <c r="MH18" s="65"/>
      <c r="MI18" s="65"/>
      <c r="MJ18" s="65"/>
      <c r="MK18" s="65"/>
      <c r="ML18" s="65"/>
      <c r="MM18" s="65"/>
      <c r="MN18" s="65"/>
      <c r="MO18" s="65"/>
      <c r="MP18" s="65"/>
      <c r="MQ18" s="65"/>
      <c r="MR18" s="65"/>
      <c r="MS18" s="65"/>
      <c r="MT18" s="65"/>
      <c r="MU18" s="65"/>
      <c r="MV18" s="65"/>
      <c r="MW18" s="65"/>
      <c r="MX18" s="65"/>
      <c r="MY18" s="65"/>
      <c r="MZ18" s="65"/>
      <c r="NA18" s="65"/>
      <c r="NB18" s="65"/>
      <c r="NC18" s="65"/>
      <c r="ND18" s="65"/>
      <c r="NE18" s="65"/>
      <c r="NF18" s="65"/>
      <c r="NG18" s="65"/>
      <c r="NH18" s="65"/>
      <c r="NI18" s="65"/>
      <c r="NJ18" s="65"/>
      <c r="NK18" s="65"/>
      <c r="NL18" s="65"/>
      <c r="NM18" s="65"/>
      <c r="NN18" s="65"/>
      <c r="NO18" s="65"/>
      <c r="NP18" s="65"/>
      <c r="NQ18" s="65"/>
      <c r="NR18" s="65"/>
      <c r="NS18" s="65"/>
      <c r="NT18" s="65"/>
      <c r="NU18" s="65"/>
      <c r="NV18" s="65"/>
      <c r="NW18" s="65"/>
      <c r="NX18" s="65"/>
      <c r="NY18" s="65"/>
      <c r="NZ18" s="65"/>
      <c r="OA18" s="65"/>
      <c r="OB18" s="65"/>
      <c r="OC18" s="65"/>
      <c r="OD18" s="65"/>
      <c r="OE18" s="65"/>
      <c r="OF18" s="65"/>
      <c r="OG18" s="65"/>
      <c r="OH18" s="65"/>
      <c r="OI18" s="65"/>
      <c r="OJ18" s="65"/>
      <c r="OK18" s="65"/>
      <c r="OL18" s="65"/>
      <c r="OM18" s="65"/>
      <c r="ON18" s="65"/>
      <c r="OO18" s="65"/>
      <c r="OP18" s="65"/>
      <c r="OQ18" s="65"/>
      <c r="OR18" s="65"/>
      <c r="OS18" s="65"/>
      <c r="OT18" s="65"/>
      <c r="OU18" s="65"/>
      <c r="OV18" s="65"/>
      <c r="OW18" s="65"/>
      <c r="OX18" s="65"/>
      <c r="OY18" s="65"/>
      <c r="OZ18" s="65"/>
      <c r="PA18" s="65"/>
      <c r="PB18" s="65"/>
      <c r="PC18" s="65"/>
      <c r="PD18" s="65"/>
      <c r="PE18" s="65"/>
      <c r="PF18" s="65"/>
      <c r="PG18" s="65"/>
      <c r="PH18" s="65"/>
      <c r="PI18" s="65"/>
      <c r="PJ18" s="65"/>
      <c r="PK18" s="65"/>
      <c r="PL18" s="65"/>
      <c r="PM18" s="65"/>
      <c r="PN18" s="65"/>
      <c r="PO18" s="65"/>
      <c r="PP18" s="65"/>
      <c r="PQ18" s="65"/>
      <c r="PR18" s="65"/>
      <c r="PS18" s="65"/>
      <c r="PT18" s="65"/>
      <c r="PU18" s="65"/>
      <c r="PV18" s="65"/>
      <c r="PW18" s="65"/>
      <c r="PX18" s="65"/>
      <c r="PY18" s="65"/>
      <c r="PZ18" s="65"/>
      <c r="QA18" s="65"/>
      <c r="QB18" s="65"/>
      <c r="QC18" s="65"/>
      <c r="QD18" s="65"/>
      <c r="QE18" s="65"/>
      <c r="QF18" s="65"/>
      <c r="QG18" s="65"/>
      <c r="QH18" s="65"/>
      <c r="QI18" s="65"/>
      <c r="QJ18" s="65"/>
      <c r="QK18" s="65"/>
      <c r="QL18" s="65"/>
      <c r="QM18" s="65"/>
      <c r="QN18" s="65"/>
      <c r="QO18" s="65"/>
      <c r="QP18" s="65"/>
      <c r="QQ18" s="65"/>
      <c r="QR18" s="65"/>
      <c r="QS18" s="65"/>
      <c r="QT18" s="65"/>
      <c r="QU18" s="65"/>
      <c r="QV18" s="65"/>
      <c r="QW18" s="65"/>
      <c r="QX18" s="65"/>
      <c r="QY18" s="65"/>
      <c r="QZ18" s="65"/>
      <c r="RA18" s="65"/>
      <c r="RB18" s="65"/>
      <c r="RC18" s="65"/>
      <c r="RD18" s="65"/>
      <c r="RE18" s="65"/>
      <c r="RF18" s="65"/>
      <c r="RG18" s="65"/>
      <c r="RH18" s="65"/>
      <c r="RI18" s="65"/>
      <c r="RJ18" s="65"/>
      <c r="RK18" s="65"/>
      <c r="RL18" s="65"/>
      <c r="RM18" s="65"/>
      <c r="RN18" s="65"/>
      <c r="RO18" s="65"/>
      <c r="RP18" s="65"/>
      <c r="RQ18" s="65"/>
      <c r="RR18" s="65"/>
      <c r="RS18" s="65"/>
      <c r="RT18" s="65"/>
      <c r="RU18" s="65"/>
      <c r="RV18" s="65"/>
      <c r="RW18" s="65"/>
      <c r="RX18" s="65"/>
      <c r="RY18" s="65"/>
      <c r="RZ18" s="65"/>
      <c r="SA18" s="65"/>
      <c r="SB18" s="65"/>
      <c r="SC18" s="65"/>
      <c r="SD18" s="65"/>
      <c r="SE18" s="65"/>
      <c r="SF18" s="65"/>
      <c r="SG18" s="65"/>
      <c r="SH18" s="65"/>
      <c r="SI18" s="65"/>
      <c r="SJ18" s="65"/>
      <c r="SK18" s="65"/>
      <c r="SL18" s="65"/>
      <c r="SM18" s="65"/>
      <c r="SN18" s="65"/>
      <c r="SO18" s="65"/>
      <c r="SP18" s="65"/>
      <c r="SQ18" s="65"/>
      <c r="SR18" s="65"/>
      <c r="SS18" s="65"/>
      <c r="ST18" s="65"/>
      <c r="SU18" s="65"/>
      <c r="SV18" s="65"/>
      <c r="SW18" s="65"/>
      <c r="SX18" s="65"/>
      <c r="SY18" s="65"/>
      <c r="SZ18" s="65"/>
      <c r="TA18" s="65"/>
      <c r="TB18" s="65"/>
      <c r="TC18" s="65"/>
      <c r="TD18" s="65"/>
      <c r="TE18" s="65"/>
      <c r="TF18" s="65"/>
      <c r="TG18" s="65"/>
      <c r="TH18" s="65"/>
      <c r="TI18" s="65"/>
      <c r="TJ18" s="65"/>
      <c r="TK18" s="65"/>
      <c r="TL18" s="65"/>
      <c r="TM18" s="65"/>
      <c r="TN18" s="65"/>
      <c r="TO18" s="65"/>
      <c r="TP18" s="65"/>
      <c r="TQ18" s="65"/>
      <c r="TR18" s="65"/>
      <c r="TS18" s="65"/>
      <c r="TT18" s="65"/>
      <c r="TU18" s="65"/>
      <c r="TV18" s="65"/>
      <c r="TW18" s="65"/>
      <c r="TX18" s="65"/>
      <c r="TY18" s="65"/>
      <c r="TZ18" s="65"/>
      <c r="UA18" s="65"/>
      <c r="UB18" s="65"/>
      <c r="UC18" s="65"/>
      <c r="UD18" s="65"/>
      <c r="UE18" s="65"/>
      <c r="UF18" s="65"/>
      <c r="UG18" s="65"/>
      <c r="UH18" s="65"/>
      <c r="UI18" s="65"/>
      <c r="UJ18" s="65"/>
      <c r="UK18" s="65"/>
      <c r="UL18" s="65"/>
      <c r="UM18" s="65"/>
      <c r="UN18" s="65"/>
      <c r="UO18" s="65"/>
      <c r="UP18" s="65"/>
      <c r="UQ18" s="65"/>
      <c r="UR18" s="65"/>
      <c r="US18" s="65"/>
      <c r="UT18" s="65"/>
      <c r="UU18" s="65"/>
      <c r="UV18" s="65"/>
      <c r="UW18" s="65"/>
      <c r="UX18" s="65"/>
      <c r="UY18" s="65"/>
      <c r="UZ18" s="65"/>
      <c r="VA18" s="65"/>
      <c r="VB18" s="65"/>
      <c r="VC18" s="65"/>
      <c r="VD18" s="65"/>
      <c r="VE18" s="65"/>
      <c r="VF18" s="65"/>
      <c r="VG18" s="65"/>
      <c r="VH18" s="65"/>
      <c r="VI18" s="65"/>
      <c r="VJ18" s="65"/>
      <c r="VK18" s="65"/>
      <c r="VL18" s="65"/>
      <c r="VM18" s="65"/>
      <c r="VN18" s="65"/>
      <c r="VO18" s="65"/>
      <c r="VP18" s="65"/>
      <c r="VQ18" s="65"/>
      <c r="VR18" s="65"/>
      <c r="VS18" s="65"/>
      <c r="VT18" s="65"/>
      <c r="VU18" s="65"/>
      <c r="VV18" s="65"/>
      <c r="VW18" s="65"/>
      <c r="VX18" s="65"/>
      <c r="VY18" s="65"/>
      <c r="VZ18" s="65"/>
      <c r="WA18" s="65"/>
      <c r="WB18" s="65"/>
      <c r="WC18" s="65"/>
      <c r="WD18" s="65"/>
      <c r="WE18" s="65"/>
      <c r="WF18" s="65"/>
      <c r="WG18" s="65"/>
      <c r="WH18" s="65"/>
      <c r="WI18" s="65"/>
      <c r="WJ18" s="65"/>
      <c r="WK18" s="65"/>
      <c r="WL18" s="65"/>
      <c r="WM18" s="65"/>
      <c r="WN18" s="65"/>
      <c r="WO18" s="65"/>
      <c r="WP18" s="65"/>
      <c r="WQ18" s="65"/>
      <c r="WR18" s="65"/>
      <c r="WS18" s="65"/>
      <c r="WT18" s="65"/>
      <c r="WU18" s="65"/>
      <c r="WV18" s="65"/>
      <c r="WW18" s="65"/>
      <c r="WX18" s="65"/>
      <c r="WY18" s="65"/>
      <c r="WZ18" s="65"/>
      <c r="XA18" s="65"/>
      <c r="XB18" s="65"/>
      <c r="XC18" s="65"/>
      <c r="XD18" s="65"/>
      <c r="XE18" s="65"/>
      <c r="XF18" s="65"/>
      <c r="XG18" s="65"/>
      <c r="XH18" s="65"/>
      <c r="XI18" s="65"/>
      <c r="XJ18" s="65"/>
      <c r="XK18" s="65"/>
      <c r="XL18" s="65"/>
      <c r="XM18" s="65"/>
      <c r="XN18" s="65"/>
      <c r="XO18" s="65"/>
      <c r="XP18" s="65"/>
      <c r="XQ18" s="65"/>
      <c r="XR18" s="65"/>
      <c r="XS18" s="65"/>
      <c r="XT18" s="65"/>
      <c r="XU18" s="65"/>
      <c r="XV18" s="65"/>
      <c r="XW18" s="65"/>
      <c r="XX18" s="65"/>
      <c r="XY18" s="65"/>
      <c r="XZ18" s="65"/>
      <c r="YA18" s="65"/>
      <c r="YB18" s="65"/>
      <c r="YC18" s="65"/>
      <c r="YD18" s="65"/>
      <c r="YE18" s="65"/>
      <c r="YF18" s="65"/>
      <c r="YG18" s="65"/>
      <c r="YH18" s="65"/>
      <c r="YI18" s="65"/>
      <c r="YJ18" s="65"/>
      <c r="YK18" s="65"/>
      <c r="YL18" s="65"/>
      <c r="YM18" s="65"/>
      <c r="YN18" s="65"/>
      <c r="YO18" s="65"/>
      <c r="YP18" s="65"/>
      <c r="YQ18" s="65"/>
      <c r="YR18" s="65"/>
      <c r="YS18" s="65"/>
      <c r="YT18" s="65"/>
      <c r="YU18" s="65"/>
      <c r="YV18" s="65"/>
      <c r="YW18" s="65"/>
      <c r="YX18" s="65"/>
      <c r="YY18" s="65"/>
      <c r="YZ18" s="65"/>
      <c r="ZA18" s="65"/>
      <c r="ZB18" s="65"/>
      <c r="ZC18" s="65"/>
      <c r="ZD18" s="65"/>
      <c r="ZE18" s="65"/>
      <c r="ZF18" s="65"/>
      <c r="ZG18" s="65"/>
      <c r="ZH18" s="65"/>
      <c r="ZI18" s="65"/>
      <c r="ZJ18" s="65"/>
      <c r="ZK18" s="65"/>
      <c r="ZL18" s="65"/>
      <c r="ZM18" s="65"/>
      <c r="ZN18" s="65"/>
      <c r="ZO18" s="65"/>
      <c r="ZP18" s="65"/>
      <c r="ZQ18" s="65"/>
      <c r="ZR18" s="65"/>
      <c r="ZS18" s="65"/>
      <c r="ZT18" s="65"/>
      <c r="ZU18" s="65"/>
      <c r="ZV18" s="65"/>
      <c r="ZW18" s="65"/>
      <c r="ZX18" s="65"/>
      <c r="ZY18" s="65"/>
      <c r="ZZ18" s="65"/>
      <c r="AAA18" s="65"/>
      <c r="AAB18" s="65"/>
      <c r="AAC18" s="65"/>
      <c r="AAD18" s="65"/>
      <c r="AAE18" s="65"/>
      <c r="AAF18" s="65"/>
      <c r="AAG18" s="65"/>
      <c r="AAH18" s="65"/>
      <c r="AAI18" s="65"/>
      <c r="AAJ18" s="65"/>
      <c r="AAK18" s="65"/>
      <c r="AAL18" s="65"/>
      <c r="AAM18" s="65"/>
      <c r="AAN18" s="65"/>
      <c r="AAO18" s="65"/>
      <c r="AAP18" s="65"/>
      <c r="AAQ18" s="65"/>
      <c r="AAR18" s="65"/>
      <c r="AAS18" s="65"/>
      <c r="AAT18" s="65"/>
      <c r="AAU18" s="65"/>
      <c r="AAV18" s="65"/>
      <c r="AAW18" s="65"/>
      <c r="AAX18" s="65"/>
      <c r="AAY18" s="65"/>
      <c r="AAZ18" s="65"/>
      <c r="ABA18" s="65"/>
      <c r="ABB18" s="65"/>
      <c r="ABC18" s="65"/>
      <c r="ABD18" s="65"/>
      <c r="ABE18" s="65"/>
      <c r="ABF18" s="65"/>
      <c r="ABG18" s="65"/>
      <c r="ABH18" s="65"/>
      <c r="ABI18" s="65"/>
      <c r="ABJ18" s="65"/>
      <c r="ABK18" s="65"/>
      <c r="ABL18" s="65"/>
      <c r="ABM18" s="65"/>
      <c r="ABN18" s="65"/>
      <c r="ABO18" s="65"/>
      <c r="ABP18" s="65"/>
      <c r="ABQ18" s="65"/>
      <c r="ABR18" s="65"/>
      <c r="ABS18" s="65"/>
      <c r="ABT18" s="65"/>
      <c r="ABU18" s="65"/>
      <c r="ABV18" s="65"/>
      <c r="ABW18" s="65"/>
      <c r="ABX18" s="65"/>
      <c r="ABY18" s="65"/>
      <c r="ABZ18" s="65"/>
      <c r="ACA18" s="65"/>
      <c r="ACB18" s="65"/>
      <c r="ACC18" s="65"/>
      <c r="ACD18" s="65"/>
      <c r="ACE18" s="65"/>
      <c r="ACF18" s="65"/>
      <c r="ACG18" s="65"/>
      <c r="ACH18" s="65"/>
      <c r="ACI18" s="65"/>
      <c r="ACJ18" s="65"/>
      <c r="ACK18" s="65"/>
      <c r="ACL18" s="65"/>
      <c r="ACM18" s="65"/>
      <c r="ACN18" s="65"/>
      <c r="ACO18" s="65"/>
      <c r="ACP18" s="65"/>
      <c r="ACQ18" s="65"/>
      <c r="ACR18" s="65"/>
      <c r="ACS18" s="65"/>
      <c r="ACT18" s="65"/>
      <c r="ACU18" s="65"/>
      <c r="ACV18" s="65"/>
      <c r="ACW18" s="65"/>
      <c r="ACX18" s="65"/>
      <c r="ACY18" s="65"/>
      <c r="ACZ18" s="65"/>
      <c r="ADA18" s="65"/>
      <c r="ADB18" s="65"/>
      <c r="ADC18" s="65"/>
      <c r="ADD18" s="65"/>
      <c r="ADE18" s="65"/>
      <c r="ADF18" s="65"/>
      <c r="ADG18" s="65"/>
      <c r="ADH18" s="65"/>
      <c r="ADI18" s="65"/>
      <c r="ADJ18" s="65"/>
      <c r="ADK18" s="65"/>
      <c r="ADL18" s="65"/>
      <c r="ADM18" s="65"/>
      <c r="ADN18" s="65"/>
      <c r="ADO18" s="65"/>
      <c r="ADP18" s="65"/>
      <c r="ADQ18" s="65"/>
      <c r="ADR18" s="65"/>
      <c r="ADS18" s="65"/>
      <c r="ADT18" s="65"/>
      <c r="ADU18" s="65"/>
      <c r="ADV18" s="65"/>
      <c r="ADW18" s="65"/>
      <c r="ADX18" s="65"/>
      <c r="ADY18" s="65"/>
      <c r="ADZ18" s="65"/>
      <c r="AEA18" s="65"/>
      <c r="AEB18" s="65"/>
      <c r="AEC18" s="65"/>
      <c r="AED18" s="65"/>
      <c r="AEE18" s="65"/>
      <c r="AEF18" s="65"/>
      <c r="AEG18" s="65"/>
      <c r="AEH18" s="65"/>
      <c r="AEI18" s="65"/>
      <c r="AEJ18" s="65"/>
      <c r="AEK18" s="65"/>
      <c r="AEL18" s="65"/>
      <c r="AEM18" s="65"/>
      <c r="AEN18" s="65"/>
      <c r="AEO18" s="65"/>
      <c r="AEP18" s="65"/>
      <c r="AEQ18" s="65"/>
      <c r="AER18" s="65"/>
      <c r="AES18" s="65"/>
      <c r="AET18" s="65"/>
      <c r="AEU18" s="65"/>
      <c r="AEV18" s="65"/>
      <c r="AEW18" s="65"/>
      <c r="AEX18" s="65"/>
      <c r="AEY18" s="65"/>
      <c r="AEZ18" s="65"/>
      <c r="AFA18" s="65"/>
      <c r="AFB18" s="65"/>
      <c r="AFC18" s="65"/>
      <c r="AFD18" s="65"/>
      <c r="AFE18" s="65"/>
      <c r="AFF18" s="65"/>
      <c r="AFG18" s="65"/>
      <c r="AFH18" s="65"/>
      <c r="AFI18" s="65"/>
      <c r="AFJ18" s="65"/>
      <c r="AFK18" s="65"/>
      <c r="AFL18" s="65"/>
      <c r="AFM18" s="65"/>
      <c r="AFN18" s="65"/>
      <c r="AFO18" s="65"/>
      <c r="AFP18" s="65"/>
      <c r="AFQ18" s="65"/>
      <c r="AFR18" s="65"/>
      <c r="AFS18" s="65"/>
      <c r="AFT18" s="65"/>
      <c r="AFU18" s="65"/>
      <c r="AFV18" s="65"/>
      <c r="AFW18" s="65"/>
      <c r="AFX18" s="65"/>
      <c r="AFY18" s="65"/>
      <c r="AFZ18" s="65"/>
      <c r="AGA18" s="65"/>
      <c r="AGB18" s="65"/>
      <c r="AGC18" s="65"/>
      <c r="AGD18" s="65"/>
      <c r="AGE18" s="65"/>
      <c r="AGF18" s="65"/>
      <c r="AGG18" s="65"/>
      <c r="AGH18" s="65"/>
      <c r="AGI18" s="65"/>
      <c r="AGJ18" s="65"/>
      <c r="AGK18" s="65"/>
      <c r="AGL18" s="65"/>
      <c r="AGM18" s="65"/>
      <c r="AGN18" s="65"/>
      <c r="AGO18" s="65"/>
      <c r="AGP18" s="65"/>
      <c r="AGQ18" s="65"/>
      <c r="AGR18" s="65"/>
      <c r="AGS18" s="65"/>
      <c r="AGT18" s="65"/>
      <c r="AGU18" s="65"/>
      <c r="AGV18" s="65"/>
      <c r="AGW18" s="65"/>
      <c r="AGX18" s="65"/>
      <c r="AGY18" s="65"/>
      <c r="AGZ18" s="65"/>
      <c r="AHA18" s="65"/>
      <c r="AHB18" s="65"/>
      <c r="AHC18" s="65"/>
      <c r="AHD18" s="65"/>
      <c r="AHE18" s="65"/>
      <c r="AHF18" s="65"/>
      <c r="AHG18" s="65"/>
      <c r="AHH18" s="65"/>
      <c r="AHI18" s="65"/>
      <c r="AHJ18" s="65"/>
      <c r="AHK18" s="65"/>
      <c r="AHL18" s="65"/>
      <c r="AHM18" s="65"/>
      <c r="AHN18" s="65"/>
      <c r="AHO18" s="65"/>
      <c r="AHP18" s="65"/>
      <c r="AHQ18" s="65"/>
      <c r="AHR18" s="65"/>
      <c r="AHS18" s="65"/>
      <c r="AHT18" s="65"/>
      <c r="AHU18" s="65"/>
      <c r="AHV18" s="65"/>
      <c r="AHW18" s="65"/>
      <c r="AHX18" s="65"/>
      <c r="AHY18" s="65"/>
      <c r="AHZ18" s="65"/>
      <c r="AIA18" s="65"/>
      <c r="AIB18" s="65"/>
      <c r="AIC18" s="65"/>
      <c r="AID18" s="65"/>
      <c r="AIE18" s="65"/>
      <c r="AIF18" s="65"/>
      <c r="AIG18" s="65"/>
      <c r="AIH18" s="65"/>
      <c r="AII18" s="65"/>
      <c r="AIJ18" s="65"/>
      <c r="AIK18" s="65"/>
      <c r="AIL18" s="65"/>
      <c r="AIM18" s="65"/>
      <c r="AIN18" s="65"/>
      <c r="AIO18" s="65"/>
      <c r="AIP18" s="65"/>
      <c r="AIQ18" s="65"/>
      <c r="AIR18" s="65"/>
      <c r="AIS18" s="65"/>
      <c r="AIT18" s="65"/>
      <c r="AIU18" s="65"/>
      <c r="AIV18" s="65"/>
      <c r="AIW18" s="65"/>
      <c r="AIX18" s="65"/>
      <c r="AIY18" s="65"/>
      <c r="AIZ18" s="65"/>
      <c r="AJA18" s="65"/>
      <c r="AJB18" s="65"/>
      <c r="AJC18" s="65"/>
      <c r="AJD18" s="65"/>
      <c r="AJE18" s="65"/>
      <c r="AJF18" s="65"/>
      <c r="AJG18" s="65"/>
      <c r="AJH18" s="65"/>
      <c r="AJI18" s="65"/>
      <c r="AJJ18" s="65"/>
      <c r="AJK18" s="65"/>
      <c r="AJL18" s="65"/>
      <c r="AJM18" s="65"/>
      <c r="AJN18" s="65"/>
      <c r="AJO18" s="65"/>
      <c r="AJP18" s="65"/>
      <c r="AJQ18" s="65"/>
      <c r="AJR18" s="65"/>
      <c r="AJS18" s="65"/>
      <c r="AJT18" s="65"/>
      <c r="AJU18" s="65"/>
      <c r="AJV18" s="65"/>
      <c r="AJW18" s="65"/>
      <c r="AJX18" s="65"/>
      <c r="AJY18" s="65"/>
      <c r="AJZ18" s="65"/>
      <c r="AKA18" s="65"/>
      <c r="AKB18" s="65"/>
      <c r="AKC18" s="65"/>
      <c r="AKD18" s="65"/>
      <c r="AKE18" s="65"/>
      <c r="AKF18" s="65"/>
      <c r="AKG18" s="65"/>
      <c r="AKH18" s="65"/>
      <c r="AKI18" s="65"/>
      <c r="AKJ18" s="65"/>
      <c r="AKK18" s="65"/>
      <c r="AKL18" s="65"/>
      <c r="AKM18" s="65"/>
      <c r="AKN18" s="65"/>
      <c r="AKO18" s="65"/>
      <c r="AKP18" s="65"/>
      <c r="AKQ18" s="65"/>
      <c r="AKR18" s="65"/>
      <c r="AKS18" s="65"/>
      <c r="AKT18" s="65"/>
      <c r="AKU18" s="65"/>
      <c r="AKV18" s="65"/>
      <c r="AKW18" s="65"/>
      <c r="AKX18" s="65"/>
      <c r="AKY18" s="65"/>
      <c r="AKZ18" s="65"/>
      <c r="ALA18" s="65"/>
      <c r="ALB18" s="65"/>
      <c r="ALC18" s="65"/>
      <c r="ALD18" s="65"/>
      <c r="ALE18" s="65"/>
      <c r="ALF18" s="65"/>
      <c r="ALG18" s="65"/>
      <c r="ALH18" s="65"/>
      <c r="ALI18" s="65"/>
      <c r="ALJ18" s="65"/>
      <c r="ALK18" s="65"/>
      <c r="ALL18" s="65"/>
      <c r="ALM18" s="65"/>
      <c r="ALN18" s="65"/>
      <c r="ALO18" s="65"/>
      <c r="ALP18" s="65"/>
      <c r="ALQ18" s="65"/>
      <c r="ALR18" s="65"/>
      <c r="ALS18" s="65"/>
      <c r="ALT18" s="65"/>
      <c r="ALU18" s="65"/>
      <c r="ALV18" s="65"/>
      <c r="ALW18" s="65"/>
      <c r="ALX18" s="65"/>
      <c r="ALY18" s="65"/>
      <c r="ALZ18" s="65"/>
      <c r="AMA18" s="65"/>
      <c r="AMB18" s="65"/>
      <c r="AMC18" s="65"/>
      <c r="AMD18" s="65"/>
      <c r="AME18" s="65"/>
      <c r="AMF18" s="65"/>
      <c r="AMG18" s="65"/>
      <c r="AMH18" s="65"/>
      <c r="AMI18" s="65"/>
      <c r="AMJ18" s="60"/>
    </row>
    <row r="19" spans="1:1024">
      <c r="A19" s="66" t="s">
        <v>39697</v>
      </c>
      <c r="B19" s="67" t="s">
        <v>39698</v>
      </c>
      <c r="C19" s="67">
        <v>5</v>
      </c>
      <c r="D19" s="67">
        <v>10642</v>
      </c>
      <c r="E19" s="67" t="s">
        <v>39704</v>
      </c>
      <c r="F19" s="67">
        <v>1019844</v>
      </c>
      <c r="G19" s="67">
        <v>911009</v>
      </c>
      <c r="H19" s="67">
        <v>921651</v>
      </c>
      <c r="I19" s="68">
        <v>1.085</v>
      </c>
      <c r="J19" s="67">
        <v>4</v>
      </c>
      <c r="K19" s="67">
        <v>22</v>
      </c>
      <c r="L19" s="67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  <c r="IN19" s="65"/>
      <c r="IO19" s="65"/>
      <c r="IP19" s="65"/>
      <c r="IQ19" s="65"/>
      <c r="IR19" s="65"/>
      <c r="IS19" s="65"/>
      <c r="IT19" s="65"/>
      <c r="IU19" s="65"/>
      <c r="IV19" s="65"/>
      <c r="IW19" s="65"/>
      <c r="IX19" s="65"/>
      <c r="IY19" s="65"/>
      <c r="IZ19" s="65"/>
      <c r="JA19" s="65"/>
      <c r="JB19" s="65"/>
      <c r="JC19" s="65"/>
      <c r="JD19" s="65"/>
      <c r="JE19" s="65"/>
      <c r="JF19" s="65"/>
      <c r="JG19" s="65"/>
      <c r="JH19" s="65"/>
      <c r="JI19" s="65"/>
      <c r="JJ19" s="65"/>
      <c r="JK19" s="65"/>
      <c r="JL19" s="65"/>
      <c r="JM19" s="65"/>
      <c r="JN19" s="65"/>
      <c r="JO19" s="65"/>
      <c r="JP19" s="65"/>
      <c r="JQ19" s="65"/>
      <c r="JR19" s="65"/>
      <c r="JS19" s="65"/>
      <c r="JT19" s="65"/>
      <c r="JU19" s="65"/>
      <c r="JV19" s="65"/>
      <c r="JW19" s="65"/>
      <c r="JX19" s="65"/>
      <c r="JY19" s="65"/>
      <c r="JZ19" s="65"/>
      <c r="KA19" s="65"/>
      <c r="KB19" s="65"/>
      <c r="KC19" s="65"/>
      <c r="KD19" s="65"/>
      <c r="KE19" s="65"/>
      <c r="KF19" s="65"/>
      <c r="KG19" s="65"/>
      <c r="KH19" s="65"/>
      <c r="KI19" s="65"/>
      <c r="KJ19" s="65"/>
      <c r="KK19" s="65"/>
      <c r="KL19" s="65"/>
      <c r="KM19" s="65"/>
      <c r="KN19" s="65"/>
      <c r="KO19" s="65"/>
      <c r="KP19" s="65"/>
      <c r="KQ19" s="65"/>
      <c r="KR19" s="65"/>
      <c r="KS19" s="65"/>
      <c r="KT19" s="65"/>
      <c r="KU19" s="65"/>
      <c r="KV19" s="65"/>
      <c r="KW19" s="65"/>
      <c r="KX19" s="65"/>
      <c r="KY19" s="65"/>
      <c r="KZ19" s="65"/>
      <c r="LA19" s="65"/>
      <c r="LB19" s="65"/>
      <c r="LC19" s="65"/>
      <c r="LD19" s="65"/>
      <c r="LE19" s="65"/>
      <c r="LF19" s="65"/>
      <c r="LG19" s="65"/>
      <c r="LH19" s="65"/>
      <c r="LI19" s="65"/>
      <c r="LJ19" s="65"/>
      <c r="LK19" s="65"/>
      <c r="LL19" s="65"/>
      <c r="LM19" s="65"/>
      <c r="LN19" s="65"/>
      <c r="LO19" s="65"/>
      <c r="LP19" s="65"/>
      <c r="LQ19" s="65"/>
      <c r="LR19" s="65"/>
      <c r="LS19" s="65"/>
      <c r="LT19" s="65"/>
      <c r="LU19" s="65"/>
      <c r="LV19" s="65"/>
      <c r="LW19" s="65"/>
      <c r="LX19" s="65"/>
      <c r="LY19" s="65"/>
      <c r="LZ19" s="65"/>
      <c r="MA19" s="65"/>
      <c r="MB19" s="65"/>
      <c r="MC19" s="65"/>
      <c r="MD19" s="65"/>
      <c r="ME19" s="65"/>
      <c r="MF19" s="65"/>
      <c r="MG19" s="65"/>
      <c r="MH19" s="65"/>
      <c r="MI19" s="65"/>
      <c r="MJ19" s="65"/>
      <c r="MK19" s="65"/>
      <c r="ML19" s="65"/>
      <c r="MM19" s="65"/>
      <c r="MN19" s="65"/>
      <c r="MO19" s="65"/>
      <c r="MP19" s="65"/>
      <c r="MQ19" s="65"/>
      <c r="MR19" s="65"/>
      <c r="MS19" s="65"/>
      <c r="MT19" s="65"/>
      <c r="MU19" s="65"/>
      <c r="MV19" s="65"/>
      <c r="MW19" s="65"/>
      <c r="MX19" s="65"/>
      <c r="MY19" s="65"/>
      <c r="MZ19" s="65"/>
      <c r="NA19" s="65"/>
      <c r="NB19" s="65"/>
      <c r="NC19" s="65"/>
      <c r="ND19" s="65"/>
      <c r="NE19" s="65"/>
      <c r="NF19" s="65"/>
      <c r="NG19" s="65"/>
      <c r="NH19" s="65"/>
      <c r="NI19" s="65"/>
      <c r="NJ19" s="65"/>
      <c r="NK19" s="65"/>
      <c r="NL19" s="65"/>
      <c r="NM19" s="65"/>
      <c r="NN19" s="65"/>
      <c r="NO19" s="65"/>
      <c r="NP19" s="65"/>
      <c r="NQ19" s="65"/>
      <c r="NR19" s="65"/>
      <c r="NS19" s="65"/>
      <c r="NT19" s="65"/>
      <c r="NU19" s="65"/>
      <c r="NV19" s="65"/>
      <c r="NW19" s="65"/>
      <c r="NX19" s="65"/>
      <c r="NY19" s="65"/>
      <c r="NZ19" s="65"/>
      <c r="OA19" s="65"/>
      <c r="OB19" s="65"/>
      <c r="OC19" s="65"/>
      <c r="OD19" s="65"/>
      <c r="OE19" s="65"/>
      <c r="OF19" s="65"/>
      <c r="OG19" s="65"/>
      <c r="OH19" s="65"/>
      <c r="OI19" s="65"/>
      <c r="OJ19" s="65"/>
      <c r="OK19" s="65"/>
      <c r="OL19" s="65"/>
      <c r="OM19" s="65"/>
      <c r="ON19" s="65"/>
      <c r="OO19" s="65"/>
      <c r="OP19" s="65"/>
      <c r="OQ19" s="65"/>
      <c r="OR19" s="65"/>
      <c r="OS19" s="65"/>
      <c r="OT19" s="65"/>
      <c r="OU19" s="65"/>
      <c r="OV19" s="65"/>
      <c r="OW19" s="65"/>
      <c r="OX19" s="65"/>
      <c r="OY19" s="65"/>
      <c r="OZ19" s="65"/>
      <c r="PA19" s="65"/>
      <c r="PB19" s="65"/>
      <c r="PC19" s="65"/>
      <c r="PD19" s="65"/>
      <c r="PE19" s="65"/>
      <c r="PF19" s="65"/>
      <c r="PG19" s="65"/>
      <c r="PH19" s="65"/>
      <c r="PI19" s="65"/>
      <c r="PJ19" s="65"/>
      <c r="PK19" s="65"/>
      <c r="PL19" s="65"/>
      <c r="PM19" s="65"/>
      <c r="PN19" s="65"/>
      <c r="PO19" s="65"/>
      <c r="PP19" s="65"/>
      <c r="PQ19" s="65"/>
      <c r="PR19" s="65"/>
      <c r="PS19" s="65"/>
      <c r="PT19" s="65"/>
      <c r="PU19" s="65"/>
      <c r="PV19" s="65"/>
      <c r="PW19" s="65"/>
      <c r="PX19" s="65"/>
      <c r="PY19" s="65"/>
      <c r="PZ19" s="65"/>
      <c r="QA19" s="65"/>
      <c r="QB19" s="65"/>
      <c r="QC19" s="65"/>
      <c r="QD19" s="65"/>
      <c r="QE19" s="65"/>
      <c r="QF19" s="65"/>
      <c r="QG19" s="65"/>
      <c r="QH19" s="65"/>
      <c r="QI19" s="65"/>
      <c r="QJ19" s="65"/>
      <c r="QK19" s="65"/>
      <c r="QL19" s="65"/>
      <c r="QM19" s="65"/>
      <c r="QN19" s="65"/>
      <c r="QO19" s="65"/>
      <c r="QP19" s="65"/>
      <c r="QQ19" s="65"/>
      <c r="QR19" s="65"/>
      <c r="QS19" s="65"/>
      <c r="QT19" s="65"/>
      <c r="QU19" s="65"/>
      <c r="QV19" s="65"/>
      <c r="QW19" s="65"/>
      <c r="QX19" s="65"/>
      <c r="QY19" s="65"/>
      <c r="QZ19" s="65"/>
      <c r="RA19" s="65"/>
      <c r="RB19" s="65"/>
      <c r="RC19" s="65"/>
      <c r="RD19" s="65"/>
      <c r="RE19" s="65"/>
      <c r="RF19" s="65"/>
      <c r="RG19" s="65"/>
      <c r="RH19" s="65"/>
      <c r="RI19" s="65"/>
      <c r="RJ19" s="65"/>
      <c r="RK19" s="65"/>
      <c r="RL19" s="65"/>
      <c r="RM19" s="65"/>
      <c r="RN19" s="65"/>
      <c r="RO19" s="65"/>
      <c r="RP19" s="65"/>
      <c r="RQ19" s="65"/>
      <c r="RR19" s="65"/>
      <c r="RS19" s="65"/>
      <c r="RT19" s="65"/>
      <c r="RU19" s="65"/>
      <c r="RV19" s="65"/>
      <c r="RW19" s="65"/>
      <c r="RX19" s="65"/>
      <c r="RY19" s="65"/>
      <c r="RZ19" s="65"/>
      <c r="SA19" s="65"/>
      <c r="SB19" s="65"/>
      <c r="SC19" s="65"/>
      <c r="SD19" s="65"/>
      <c r="SE19" s="65"/>
      <c r="SF19" s="65"/>
      <c r="SG19" s="65"/>
      <c r="SH19" s="65"/>
      <c r="SI19" s="65"/>
      <c r="SJ19" s="65"/>
      <c r="SK19" s="65"/>
      <c r="SL19" s="65"/>
      <c r="SM19" s="65"/>
      <c r="SN19" s="65"/>
      <c r="SO19" s="65"/>
      <c r="SP19" s="65"/>
      <c r="SQ19" s="65"/>
      <c r="SR19" s="65"/>
      <c r="SS19" s="65"/>
      <c r="ST19" s="65"/>
      <c r="SU19" s="65"/>
      <c r="SV19" s="65"/>
      <c r="SW19" s="65"/>
      <c r="SX19" s="65"/>
      <c r="SY19" s="65"/>
      <c r="SZ19" s="65"/>
      <c r="TA19" s="65"/>
      <c r="TB19" s="65"/>
      <c r="TC19" s="65"/>
      <c r="TD19" s="65"/>
      <c r="TE19" s="65"/>
      <c r="TF19" s="65"/>
      <c r="TG19" s="65"/>
      <c r="TH19" s="65"/>
      <c r="TI19" s="65"/>
      <c r="TJ19" s="65"/>
      <c r="TK19" s="65"/>
      <c r="TL19" s="65"/>
      <c r="TM19" s="65"/>
      <c r="TN19" s="65"/>
      <c r="TO19" s="65"/>
      <c r="TP19" s="65"/>
      <c r="TQ19" s="65"/>
      <c r="TR19" s="65"/>
      <c r="TS19" s="65"/>
      <c r="TT19" s="65"/>
      <c r="TU19" s="65"/>
      <c r="TV19" s="65"/>
      <c r="TW19" s="65"/>
      <c r="TX19" s="65"/>
      <c r="TY19" s="65"/>
      <c r="TZ19" s="65"/>
      <c r="UA19" s="65"/>
      <c r="UB19" s="65"/>
      <c r="UC19" s="65"/>
      <c r="UD19" s="65"/>
      <c r="UE19" s="65"/>
      <c r="UF19" s="65"/>
      <c r="UG19" s="65"/>
      <c r="UH19" s="65"/>
      <c r="UI19" s="65"/>
      <c r="UJ19" s="65"/>
      <c r="UK19" s="65"/>
      <c r="UL19" s="65"/>
      <c r="UM19" s="65"/>
      <c r="UN19" s="65"/>
      <c r="UO19" s="65"/>
      <c r="UP19" s="65"/>
      <c r="UQ19" s="65"/>
      <c r="UR19" s="65"/>
      <c r="US19" s="65"/>
      <c r="UT19" s="65"/>
      <c r="UU19" s="65"/>
      <c r="UV19" s="65"/>
      <c r="UW19" s="65"/>
      <c r="UX19" s="65"/>
      <c r="UY19" s="65"/>
      <c r="UZ19" s="65"/>
      <c r="VA19" s="65"/>
      <c r="VB19" s="65"/>
      <c r="VC19" s="65"/>
      <c r="VD19" s="65"/>
      <c r="VE19" s="65"/>
      <c r="VF19" s="65"/>
      <c r="VG19" s="65"/>
      <c r="VH19" s="65"/>
      <c r="VI19" s="65"/>
      <c r="VJ19" s="65"/>
      <c r="VK19" s="65"/>
      <c r="VL19" s="65"/>
      <c r="VM19" s="65"/>
      <c r="VN19" s="65"/>
      <c r="VO19" s="65"/>
      <c r="VP19" s="65"/>
      <c r="VQ19" s="65"/>
      <c r="VR19" s="65"/>
      <c r="VS19" s="65"/>
      <c r="VT19" s="65"/>
      <c r="VU19" s="65"/>
      <c r="VV19" s="65"/>
      <c r="VW19" s="65"/>
      <c r="VX19" s="65"/>
      <c r="VY19" s="65"/>
      <c r="VZ19" s="65"/>
      <c r="WA19" s="65"/>
      <c r="WB19" s="65"/>
      <c r="WC19" s="65"/>
      <c r="WD19" s="65"/>
      <c r="WE19" s="65"/>
      <c r="WF19" s="65"/>
      <c r="WG19" s="65"/>
      <c r="WH19" s="65"/>
      <c r="WI19" s="65"/>
      <c r="WJ19" s="65"/>
      <c r="WK19" s="65"/>
      <c r="WL19" s="65"/>
      <c r="WM19" s="65"/>
      <c r="WN19" s="65"/>
      <c r="WO19" s="65"/>
      <c r="WP19" s="65"/>
      <c r="WQ19" s="65"/>
      <c r="WR19" s="65"/>
      <c r="WS19" s="65"/>
      <c r="WT19" s="65"/>
      <c r="WU19" s="65"/>
      <c r="WV19" s="65"/>
      <c r="WW19" s="65"/>
      <c r="WX19" s="65"/>
      <c r="WY19" s="65"/>
      <c r="WZ19" s="65"/>
      <c r="XA19" s="65"/>
      <c r="XB19" s="65"/>
      <c r="XC19" s="65"/>
      <c r="XD19" s="65"/>
      <c r="XE19" s="65"/>
      <c r="XF19" s="65"/>
      <c r="XG19" s="65"/>
      <c r="XH19" s="65"/>
      <c r="XI19" s="65"/>
      <c r="XJ19" s="65"/>
      <c r="XK19" s="65"/>
      <c r="XL19" s="65"/>
      <c r="XM19" s="65"/>
      <c r="XN19" s="65"/>
      <c r="XO19" s="65"/>
      <c r="XP19" s="65"/>
      <c r="XQ19" s="65"/>
      <c r="XR19" s="65"/>
      <c r="XS19" s="65"/>
      <c r="XT19" s="65"/>
      <c r="XU19" s="65"/>
      <c r="XV19" s="65"/>
      <c r="XW19" s="65"/>
      <c r="XX19" s="65"/>
      <c r="XY19" s="65"/>
      <c r="XZ19" s="65"/>
      <c r="YA19" s="65"/>
      <c r="YB19" s="65"/>
      <c r="YC19" s="65"/>
      <c r="YD19" s="65"/>
      <c r="YE19" s="65"/>
      <c r="YF19" s="65"/>
      <c r="YG19" s="65"/>
      <c r="YH19" s="65"/>
      <c r="YI19" s="65"/>
      <c r="YJ19" s="65"/>
      <c r="YK19" s="65"/>
      <c r="YL19" s="65"/>
      <c r="YM19" s="65"/>
      <c r="YN19" s="65"/>
      <c r="YO19" s="65"/>
      <c r="YP19" s="65"/>
      <c r="YQ19" s="65"/>
      <c r="YR19" s="65"/>
      <c r="YS19" s="65"/>
      <c r="YT19" s="65"/>
      <c r="YU19" s="65"/>
      <c r="YV19" s="65"/>
      <c r="YW19" s="65"/>
      <c r="YX19" s="65"/>
      <c r="YY19" s="65"/>
      <c r="YZ19" s="65"/>
      <c r="ZA19" s="65"/>
      <c r="ZB19" s="65"/>
      <c r="ZC19" s="65"/>
      <c r="ZD19" s="65"/>
      <c r="ZE19" s="65"/>
      <c r="ZF19" s="65"/>
      <c r="ZG19" s="65"/>
      <c r="ZH19" s="65"/>
      <c r="ZI19" s="65"/>
      <c r="ZJ19" s="65"/>
      <c r="ZK19" s="65"/>
      <c r="ZL19" s="65"/>
      <c r="ZM19" s="65"/>
      <c r="ZN19" s="65"/>
      <c r="ZO19" s="65"/>
      <c r="ZP19" s="65"/>
      <c r="ZQ19" s="65"/>
      <c r="ZR19" s="65"/>
      <c r="ZS19" s="65"/>
      <c r="ZT19" s="65"/>
      <c r="ZU19" s="65"/>
      <c r="ZV19" s="65"/>
      <c r="ZW19" s="65"/>
      <c r="ZX19" s="65"/>
      <c r="ZY19" s="65"/>
      <c r="ZZ19" s="65"/>
      <c r="AAA19" s="65"/>
      <c r="AAB19" s="65"/>
      <c r="AAC19" s="65"/>
      <c r="AAD19" s="65"/>
      <c r="AAE19" s="65"/>
      <c r="AAF19" s="65"/>
      <c r="AAG19" s="65"/>
      <c r="AAH19" s="65"/>
      <c r="AAI19" s="65"/>
      <c r="AAJ19" s="65"/>
      <c r="AAK19" s="65"/>
      <c r="AAL19" s="65"/>
      <c r="AAM19" s="65"/>
      <c r="AAN19" s="65"/>
      <c r="AAO19" s="65"/>
      <c r="AAP19" s="65"/>
      <c r="AAQ19" s="65"/>
      <c r="AAR19" s="65"/>
      <c r="AAS19" s="65"/>
      <c r="AAT19" s="65"/>
      <c r="AAU19" s="65"/>
      <c r="AAV19" s="65"/>
      <c r="AAW19" s="65"/>
      <c r="AAX19" s="65"/>
      <c r="AAY19" s="65"/>
      <c r="AAZ19" s="65"/>
      <c r="ABA19" s="65"/>
      <c r="ABB19" s="65"/>
      <c r="ABC19" s="65"/>
      <c r="ABD19" s="65"/>
      <c r="ABE19" s="65"/>
      <c r="ABF19" s="65"/>
      <c r="ABG19" s="65"/>
      <c r="ABH19" s="65"/>
      <c r="ABI19" s="65"/>
      <c r="ABJ19" s="65"/>
      <c r="ABK19" s="65"/>
      <c r="ABL19" s="65"/>
      <c r="ABM19" s="65"/>
      <c r="ABN19" s="65"/>
      <c r="ABO19" s="65"/>
      <c r="ABP19" s="65"/>
      <c r="ABQ19" s="65"/>
      <c r="ABR19" s="65"/>
      <c r="ABS19" s="65"/>
      <c r="ABT19" s="65"/>
      <c r="ABU19" s="65"/>
      <c r="ABV19" s="65"/>
      <c r="ABW19" s="65"/>
      <c r="ABX19" s="65"/>
      <c r="ABY19" s="65"/>
      <c r="ABZ19" s="65"/>
      <c r="ACA19" s="65"/>
      <c r="ACB19" s="65"/>
      <c r="ACC19" s="65"/>
      <c r="ACD19" s="65"/>
      <c r="ACE19" s="65"/>
      <c r="ACF19" s="65"/>
      <c r="ACG19" s="65"/>
      <c r="ACH19" s="65"/>
      <c r="ACI19" s="65"/>
      <c r="ACJ19" s="65"/>
      <c r="ACK19" s="65"/>
      <c r="ACL19" s="65"/>
      <c r="ACM19" s="65"/>
      <c r="ACN19" s="65"/>
      <c r="ACO19" s="65"/>
      <c r="ACP19" s="65"/>
      <c r="ACQ19" s="65"/>
      <c r="ACR19" s="65"/>
      <c r="ACS19" s="65"/>
      <c r="ACT19" s="65"/>
      <c r="ACU19" s="65"/>
      <c r="ACV19" s="65"/>
      <c r="ACW19" s="65"/>
      <c r="ACX19" s="65"/>
      <c r="ACY19" s="65"/>
      <c r="ACZ19" s="65"/>
      <c r="ADA19" s="65"/>
      <c r="ADB19" s="65"/>
      <c r="ADC19" s="65"/>
      <c r="ADD19" s="65"/>
      <c r="ADE19" s="65"/>
      <c r="ADF19" s="65"/>
      <c r="ADG19" s="65"/>
      <c r="ADH19" s="65"/>
      <c r="ADI19" s="65"/>
      <c r="ADJ19" s="65"/>
      <c r="ADK19" s="65"/>
      <c r="ADL19" s="65"/>
      <c r="ADM19" s="65"/>
      <c r="ADN19" s="65"/>
      <c r="ADO19" s="65"/>
      <c r="ADP19" s="65"/>
      <c r="ADQ19" s="65"/>
      <c r="ADR19" s="65"/>
      <c r="ADS19" s="65"/>
      <c r="ADT19" s="65"/>
      <c r="ADU19" s="65"/>
      <c r="ADV19" s="65"/>
      <c r="ADW19" s="65"/>
      <c r="ADX19" s="65"/>
      <c r="ADY19" s="65"/>
      <c r="ADZ19" s="65"/>
      <c r="AEA19" s="65"/>
      <c r="AEB19" s="65"/>
      <c r="AEC19" s="65"/>
      <c r="AED19" s="65"/>
      <c r="AEE19" s="65"/>
      <c r="AEF19" s="65"/>
      <c r="AEG19" s="65"/>
      <c r="AEH19" s="65"/>
      <c r="AEI19" s="65"/>
      <c r="AEJ19" s="65"/>
      <c r="AEK19" s="65"/>
      <c r="AEL19" s="65"/>
      <c r="AEM19" s="65"/>
      <c r="AEN19" s="65"/>
      <c r="AEO19" s="65"/>
      <c r="AEP19" s="65"/>
      <c r="AEQ19" s="65"/>
      <c r="AER19" s="65"/>
      <c r="AES19" s="65"/>
      <c r="AET19" s="65"/>
      <c r="AEU19" s="65"/>
      <c r="AEV19" s="65"/>
      <c r="AEW19" s="65"/>
      <c r="AEX19" s="65"/>
      <c r="AEY19" s="65"/>
      <c r="AEZ19" s="65"/>
      <c r="AFA19" s="65"/>
      <c r="AFB19" s="65"/>
      <c r="AFC19" s="65"/>
      <c r="AFD19" s="65"/>
      <c r="AFE19" s="65"/>
      <c r="AFF19" s="65"/>
      <c r="AFG19" s="65"/>
      <c r="AFH19" s="65"/>
      <c r="AFI19" s="65"/>
      <c r="AFJ19" s="65"/>
      <c r="AFK19" s="65"/>
      <c r="AFL19" s="65"/>
      <c r="AFM19" s="65"/>
      <c r="AFN19" s="65"/>
      <c r="AFO19" s="65"/>
      <c r="AFP19" s="65"/>
      <c r="AFQ19" s="65"/>
      <c r="AFR19" s="65"/>
      <c r="AFS19" s="65"/>
      <c r="AFT19" s="65"/>
      <c r="AFU19" s="65"/>
      <c r="AFV19" s="65"/>
      <c r="AFW19" s="65"/>
      <c r="AFX19" s="65"/>
      <c r="AFY19" s="65"/>
      <c r="AFZ19" s="65"/>
      <c r="AGA19" s="65"/>
      <c r="AGB19" s="65"/>
      <c r="AGC19" s="65"/>
      <c r="AGD19" s="65"/>
      <c r="AGE19" s="65"/>
      <c r="AGF19" s="65"/>
      <c r="AGG19" s="65"/>
      <c r="AGH19" s="65"/>
      <c r="AGI19" s="65"/>
      <c r="AGJ19" s="65"/>
      <c r="AGK19" s="65"/>
      <c r="AGL19" s="65"/>
      <c r="AGM19" s="65"/>
      <c r="AGN19" s="65"/>
      <c r="AGO19" s="65"/>
      <c r="AGP19" s="65"/>
      <c r="AGQ19" s="65"/>
      <c r="AGR19" s="65"/>
      <c r="AGS19" s="65"/>
      <c r="AGT19" s="65"/>
      <c r="AGU19" s="65"/>
      <c r="AGV19" s="65"/>
      <c r="AGW19" s="65"/>
      <c r="AGX19" s="65"/>
      <c r="AGY19" s="65"/>
      <c r="AGZ19" s="65"/>
      <c r="AHA19" s="65"/>
      <c r="AHB19" s="65"/>
      <c r="AHC19" s="65"/>
      <c r="AHD19" s="65"/>
      <c r="AHE19" s="65"/>
      <c r="AHF19" s="65"/>
      <c r="AHG19" s="65"/>
      <c r="AHH19" s="65"/>
      <c r="AHI19" s="65"/>
      <c r="AHJ19" s="65"/>
      <c r="AHK19" s="65"/>
      <c r="AHL19" s="65"/>
      <c r="AHM19" s="65"/>
      <c r="AHN19" s="65"/>
      <c r="AHO19" s="65"/>
      <c r="AHP19" s="65"/>
      <c r="AHQ19" s="65"/>
      <c r="AHR19" s="65"/>
      <c r="AHS19" s="65"/>
      <c r="AHT19" s="65"/>
      <c r="AHU19" s="65"/>
      <c r="AHV19" s="65"/>
      <c r="AHW19" s="65"/>
      <c r="AHX19" s="65"/>
      <c r="AHY19" s="65"/>
      <c r="AHZ19" s="65"/>
      <c r="AIA19" s="65"/>
      <c r="AIB19" s="65"/>
      <c r="AIC19" s="65"/>
      <c r="AID19" s="65"/>
      <c r="AIE19" s="65"/>
      <c r="AIF19" s="65"/>
      <c r="AIG19" s="65"/>
      <c r="AIH19" s="65"/>
      <c r="AII19" s="65"/>
      <c r="AIJ19" s="65"/>
      <c r="AIK19" s="65"/>
      <c r="AIL19" s="65"/>
      <c r="AIM19" s="65"/>
      <c r="AIN19" s="65"/>
      <c r="AIO19" s="65"/>
      <c r="AIP19" s="65"/>
      <c r="AIQ19" s="65"/>
      <c r="AIR19" s="65"/>
      <c r="AIS19" s="65"/>
      <c r="AIT19" s="65"/>
      <c r="AIU19" s="65"/>
      <c r="AIV19" s="65"/>
      <c r="AIW19" s="65"/>
      <c r="AIX19" s="65"/>
      <c r="AIY19" s="65"/>
      <c r="AIZ19" s="65"/>
      <c r="AJA19" s="65"/>
      <c r="AJB19" s="65"/>
      <c r="AJC19" s="65"/>
      <c r="AJD19" s="65"/>
      <c r="AJE19" s="65"/>
      <c r="AJF19" s="65"/>
      <c r="AJG19" s="65"/>
      <c r="AJH19" s="65"/>
      <c r="AJI19" s="65"/>
      <c r="AJJ19" s="65"/>
      <c r="AJK19" s="65"/>
      <c r="AJL19" s="65"/>
      <c r="AJM19" s="65"/>
      <c r="AJN19" s="65"/>
      <c r="AJO19" s="65"/>
      <c r="AJP19" s="65"/>
      <c r="AJQ19" s="65"/>
      <c r="AJR19" s="65"/>
      <c r="AJS19" s="65"/>
      <c r="AJT19" s="65"/>
      <c r="AJU19" s="65"/>
      <c r="AJV19" s="65"/>
      <c r="AJW19" s="65"/>
      <c r="AJX19" s="65"/>
      <c r="AJY19" s="65"/>
      <c r="AJZ19" s="65"/>
      <c r="AKA19" s="65"/>
      <c r="AKB19" s="65"/>
      <c r="AKC19" s="65"/>
      <c r="AKD19" s="65"/>
      <c r="AKE19" s="65"/>
      <c r="AKF19" s="65"/>
      <c r="AKG19" s="65"/>
      <c r="AKH19" s="65"/>
      <c r="AKI19" s="65"/>
      <c r="AKJ19" s="65"/>
      <c r="AKK19" s="65"/>
      <c r="AKL19" s="65"/>
      <c r="AKM19" s="65"/>
      <c r="AKN19" s="65"/>
      <c r="AKO19" s="65"/>
      <c r="AKP19" s="65"/>
      <c r="AKQ19" s="65"/>
      <c r="AKR19" s="65"/>
      <c r="AKS19" s="65"/>
      <c r="AKT19" s="65"/>
      <c r="AKU19" s="65"/>
      <c r="AKV19" s="65"/>
      <c r="AKW19" s="65"/>
      <c r="AKX19" s="65"/>
      <c r="AKY19" s="65"/>
      <c r="AKZ19" s="65"/>
      <c r="ALA19" s="65"/>
      <c r="ALB19" s="65"/>
      <c r="ALC19" s="65"/>
      <c r="ALD19" s="65"/>
      <c r="ALE19" s="65"/>
      <c r="ALF19" s="65"/>
      <c r="ALG19" s="65"/>
      <c r="ALH19" s="65"/>
      <c r="ALI19" s="65"/>
      <c r="ALJ19" s="65"/>
      <c r="ALK19" s="65"/>
      <c r="ALL19" s="65"/>
      <c r="ALM19" s="65"/>
      <c r="ALN19" s="65"/>
      <c r="ALO19" s="65"/>
      <c r="ALP19" s="65"/>
      <c r="ALQ19" s="65"/>
      <c r="ALR19" s="65"/>
      <c r="ALS19" s="65"/>
      <c r="ALT19" s="65"/>
      <c r="ALU19" s="65"/>
      <c r="ALV19" s="65"/>
      <c r="ALW19" s="65"/>
      <c r="ALX19" s="65"/>
      <c r="ALY19" s="65"/>
      <c r="ALZ19" s="65"/>
      <c r="AMA19" s="65"/>
      <c r="AMB19" s="65"/>
      <c r="AMC19" s="65"/>
      <c r="AMD19" s="65"/>
      <c r="AME19" s="65"/>
      <c r="AMF19" s="65"/>
      <c r="AMG19" s="65"/>
      <c r="AMH19" s="65"/>
      <c r="AMI19" s="65"/>
      <c r="AMJ19" s="60"/>
    </row>
    <row r="20" spans="1:1024">
      <c r="A20" s="66" t="s">
        <v>39697</v>
      </c>
      <c r="B20" s="67" t="s">
        <v>39698</v>
      </c>
      <c r="C20" s="67">
        <v>6</v>
      </c>
      <c r="D20" s="67">
        <v>14825</v>
      </c>
      <c r="E20" s="67" t="s">
        <v>39705</v>
      </c>
      <c r="F20" s="67">
        <v>257129</v>
      </c>
      <c r="G20" s="67">
        <v>6340</v>
      </c>
      <c r="H20" s="67">
        <v>21165</v>
      </c>
      <c r="I20" s="68">
        <v>1.3939999999999999</v>
      </c>
      <c r="J20" s="67">
        <v>4</v>
      </c>
      <c r="K20" s="67">
        <v>16</v>
      </c>
      <c r="L20" s="67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  <c r="IN20" s="65"/>
      <c r="IO20" s="65"/>
      <c r="IP20" s="65"/>
      <c r="IQ20" s="65"/>
      <c r="IR20" s="65"/>
      <c r="IS20" s="65"/>
      <c r="IT20" s="65"/>
      <c r="IU20" s="65"/>
      <c r="IV20" s="65"/>
      <c r="IW20" s="65"/>
      <c r="IX20" s="65"/>
      <c r="IY20" s="65"/>
      <c r="IZ20" s="65"/>
      <c r="JA20" s="65"/>
      <c r="JB20" s="65"/>
      <c r="JC20" s="65"/>
      <c r="JD20" s="65"/>
      <c r="JE20" s="65"/>
      <c r="JF20" s="65"/>
      <c r="JG20" s="65"/>
      <c r="JH20" s="65"/>
      <c r="JI20" s="65"/>
      <c r="JJ20" s="65"/>
      <c r="JK20" s="65"/>
      <c r="JL20" s="65"/>
      <c r="JM20" s="65"/>
      <c r="JN20" s="65"/>
      <c r="JO20" s="65"/>
      <c r="JP20" s="65"/>
      <c r="JQ20" s="65"/>
      <c r="JR20" s="65"/>
      <c r="JS20" s="65"/>
      <c r="JT20" s="65"/>
      <c r="JU20" s="65"/>
      <c r="JV20" s="65"/>
      <c r="JW20" s="65"/>
      <c r="JX20" s="65"/>
      <c r="JY20" s="65"/>
      <c r="JZ20" s="65"/>
      <c r="KA20" s="65"/>
      <c r="KB20" s="65"/>
      <c r="KC20" s="65"/>
      <c r="KD20" s="65"/>
      <c r="KE20" s="65"/>
      <c r="KF20" s="65"/>
      <c r="KG20" s="65"/>
      <c r="KH20" s="65"/>
      <c r="KI20" s="65"/>
      <c r="KJ20" s="65"/>
      <c r="KK20" s="65"/>
      <c r="KL20" s="65"/>
      <c r="KM20" s="65"/>
      <c r="KN20" s="65"/>
      <c r="KO20" s="65"/>
      <c r="KP20" s="65"/>
      <c r="KQ20" s="65"/>
      <c r="KR20" s="65"/>
      <c r="KS20" s="65"/>
      <c r="KT20" s="65"/>
      <c r="KU20" s="65"/>
      <c r="KV20" s="65"/>
      <c r="KW20" s="65"/>
      <c r="KX20" s="65"/>
      <c r="KY20" s="65"/>
      <c r="KZ20" s="65"/>
      <c r="LA20" s="65"/>
      <c r="LB20" s="65"/>
      <c r="LC20" s="65"/>
      <c r="LD20" s="65"/>
      <c r="LE20" s="65"/>
      <c r="LF20" s="65"/>
      <c r="LG20" s="65"/>
      <c r="LH20" s="65"/>
      <c r="LI20" s="65"/>
      <c r="LJ20" s="65"/>
      <c r="LK20" s="65"/>
      <c r="LL20" s="65"/>
      <c r="LM20" s="65"/>
      <c r="LN20" s="65"/>
      <c r="LO20" s="65"/>
      <c r="LP20" s="65"/>
      <c r="LQ20" s="65"/>
      <c r="LR20" s="65"/>
      <c r="LS20" s="65"/>
      <c r="LT20" s="65"/>
      <c r="LU20" s="65"/>
      <c r="LV20" s="65"/>
      <c r="LW20" s="65"/>
      <c r="LX20" s="65"/>
      <c r="LY20" s="65"/>
      <c r="LZ20" s="65"/>
      <c r="MA20" s="65"/>
      <c r="MB20" s="65"/>
      <c r="MC20" s="65"/>
      <c r="MD20" s="65"/>
      <c r="ME20" s="65"/>
      <c r="MF20" s="65"/>
      <c r="MG20" s="65"/>
      <c r="MH20" s="65"/>
      <c r="MI20" s="65"/>
      <c r="MJ20" s="65"/>
      <c r="MK20" s="65"/>
      <c r="ML20" s="65"/>
      <c r="MM20" s="65"/>
      <c r="MN20" s="65"/>
      <c r="MO20" s="65"/>
      <c r="MP20" s="65"/>
      <c r="MQ20" s="65"/>
      <c r="MR20" s="65"/>
      <c r="MS20" s="65"/>
      <c r="MT20" s="65"/>
      <c r="MU20" s="65"/>
      <c r="MV20" s="65"/>
      <c r="MW20" s="65"/>
      <c r="MX20" s="65"/>
      <c r="MY20" s="65"/>
      <c r="MZ20" s="65"/>
      <c r="NA20" s="65"/>
      <c r="NB20" s="65"/>
      <c r="NC20" s="65"/>
      <c r="ND20" s="65"/>
      <c r="NE20" s="65"/>
      <c r="NF20" s="65"/>
      <c r="NG20" s="65"/>
      <c r="NH20" s="65"/>
      <c r="NI20" s="65"/>
      <c r="NJ20" s="65"/>
      <c r="NK20" s="65"/>
      <c r="NL20" s="65"/>
      <c r="NM20" s="65"/>
      <c r="NN20" s="65"/>
      <c r="NO20" s="65"/>
      <c r="NP20" s="65"/>
      <c r="NQ20" s="65"/>
      <c r="NR20" s="65"/>
      <c r="NS20" s="65"/>
      <c r="NT20" s="65"/>
      <c r="NU20" s="65"/>
      <c r="NV20" s="65"/>
      <c r="NW20" s="65"/>
      <c r="NX20" s="65"/>
      <c r="NY20" s="65"/>
      <c r="NZ20" s="65"/>
      <c r="OA20" s="65"/>
      <c r="OB20" s="65"/>
      <c r="OC20" s="65"/>
      <c r="OD20" s="65"/>
      <c r="OE20" s="65"/>
      <c r="OF20" s="65"/>
      <c r="OG20" s="65"/>
      <c r="OH20" s="65"/>
      <c r="OI20" s="65"/>
      <c r="OJ20" s="65"/>
      <c r="OK20" s="65"/>
      <c r="OL20" s="65"/>
      <c r="OM20" s="65"/>
      <c r="ON20" s="65"/>
      <c r="OO20" s="65"/>
      <c r="OP20" s="65"/>
      <c r="OQ20" s="65"/>
      <c r="OR20" s="65"/>
      <c r="OS20" s="65"/>
      <c r="OT20" s="65"/>
      <c r="OU20" s="65"/>
      <c r="OV20" s="65"/>
      <c r="OW20" s="65"/>
      <c r="OX20" s="65"/>
      <c r="OY20" s="65"/>
      <c r="OZ20" s="65"/>
      <c r="PA20" s="65"/>
      <c r="PB20" s="65"/>
      <c r="PC20" s="65"/>
      <c r="PD20" s="65"/>
      <c r="PE20" s="65"/>
      <c r="PF20" s="65"/>
      <c r="PG20" s="65"/>
      <c r="PH20" s="65"/>
      <c r="PI20" s="65"/>
      <c r="PJ20" s="65"/>
      <c r="PK20" s="65"/>
      <c r="PL20" s="65"/>
      <c r="PM20" s="65"/>
      <c r="PN20" s="65"/>
      <c r="PO20" s="65"/>
      <c r="PP20" s="65"/>
      <c r="PQ20" s="65"/>
      <c r="PR20" s="65"/>
      <c r="PS20" s="65"/>
      <c r="PT20" s="65"/>
      <c r="PU20" s="65"/>
      <c r="PV20" s="65"/>
      <c r="PW20" s="65"/>
      <c r="PX20" s="65"/>
      <c r="PY20" s="65"/>
      <c r="PZ20" s="65"/>
      <c r="QA20" s="65"/>
      <c r="QB20" s="65"/>
      <c r="QC20" s="65"/>
      <c r="QD20" s="65"/>
      <c r="QE20" s="65"/>
      <c r="QF20" s="65"/>
      <c r="QG20" s="65"/>
      <c r="QH20" s="65"/>
      <c r="QI20" s="65"/>
      <c r="QJ20" s="65"/>
      <c r="QK20" s="65"/>
      <c r="QL20" s="65"/>
      <c r="QM20" s="65"/>
      <c r="QN20" s="65"/>
      <c r="QO20" s="65"/>
      <c r="QP20" s="65"/>
      <c r="QQ20" s="65"/>
      <c r="QR20" s="65"/>
      <c r="QS20" s="65"/>
      <c r="QT20" s="65"/>
      <c r="QU20" s="65"/>
      <c r="QV20" s="65"/>
      <c r="QW20" s="65"/>
      <c r="QX20" s="65"/>
      <c r="QY20" s="65"/>
      <c r="QZ20" s="65"/>
      <c r="RA20" s="65"/>
      <c r="RB20" s="65"/>
      <c r="RC20" s="65"/>
      <c r="RD20" s="65"/>
      <c r="RE20" s="65"/>
      <c r="RF20" s="65"/>
      <c r="RG20" s="65"/>
      <c r="RH20" s="65"/>
      <c r="RI20" s="65"/>
      <c r="RJ20" s="65"/>
      <c r="RK20" s="65"/>
      <c r="RL20" s="65"/>
      <c r="RM20" s="65"/>
      <c r="RN20" s="65"/>
      <c r="RO20" s="65"/>
      <c r="RP20" s="65"/>
      <c r="RQ20" s="65"/>
      <c r="RR20" s="65"/>
      <c r="RS20" s="65"/>
      <c r="RT20" s="65"/>
      <c r="RU20" s="65"/>
      <c r="RV20" s="65"/>
      <c r="RW20" s="65"/>
      <c r="RX20" s="65"/>
      <c r="RY20" s="65"/>
      <c r="RZ20" s="65"/>
      <c r="SA20" s="65"/>
      <c r="SB20" s="65"/>
      <c r="SC20" s="65"/>
      <c r="SD20" s="65"/>
      <c r="SE20" s="65"/>
      <c r="SF20" s="65"/>
      <c r="SG20" s="65"/>
      <c r="SH20" s="65"/>
      <c r="SI20" s="65"/>
      <c r="SJ20" s="65"/>
      <c r="SK20" s="65"/>
      <c r="SL20" s="65"/>
      <c r="SM20" s="65"/>
      <c r="SN20" s="65"/>
      <c r="SO20" s="65"/>
      <c r="SP20" s="65"/>
      <c r="SQ20" s="65"/>
      <c r="SR20" s="65"/>
      <c r="SS20" s="65"/>
      <c r="ST20" s="65"/>
      <c r="SU20" s="65"/>
      <c r="SV20" s="65"/>
      <c r="SW20" s="65"/>
      <c r="SX20" s="65"/>
      <c r="SY20" s="65"/>
      <c r="SZ20" s="65"/>
      <c r="TA20" s="65"/>
      <c r="TB20" s="65"/>
      <c r="TC20" s="65"/>
      <c r="TD20" s="65"/>
      <c r="TE20" s="65"/>
      <c r="TF20" s="65"/>
      <c r="TG20" s="65"/>
      <c r="TH20" s="65"/>
      <c r="TI20" s="65"/>
      <c r="TJ20" s="65"/>
      <c r="TK20" s="65"/>
      <c r="TL20" s="65"/>
      <c r="TM20" s="65"/>
      <c r="TN20" s="65"/>
      <c r="TO20" s="65"/>
      <c r="TP20" s="65"/>
      <c r="TQ20" s="65"/>
      <c r="TR20" s="65"/>
      <c r="TS20" s="65"/>
      <c r="TT20" s="65"/>
      <c r="TU20" s="65"/>
      <c r="TV20" s="65"/>
      <c r="TW20" s="65"/>
      <c r="TX20" s="65"/>
      <c r="TY20" s="65"/>
      <c r="TZ20" s="65"/>
      <c r="UA20" s="65"/>
      <c r="UB20" s="65"/>
      <c r="UC20" s="65"/>
      <c r="UD20" s="65"/>
      <c r="UE20" s="65"/>
      <c r="UF20" s="65"/>
      <c r="UG20" s="65"/>
      <c r="UH20" s="65"/>
      <c r="UI20" s="65"/>
      <c r="UJ20" s="65"/>
      <c r="UK20" s="65"/>
      <c r="UL20" s="65"/>
      <c r="UM20" s="65"/>
      <c r="UN20" s="65"/>
      <c r="UO20" s="65"/>
      <c r="UP20" s="65"/>
      <c r="UQ20" s="65"/>
      <c r="UR20" s="65"/>
      <c r="US20" s="65"/>
      <c r="UT20" s="65"/>
      <c r="UU20" s="65"/>
      <c r="UV20" s="65"/>
      <c r="UW20" s="65"/>
      <c r="UX20" s="65"/>
      <c r="UY20" s="65"/>
      <c r="UZ20" s="65"/>
      <c r="VA20" s="65"/>
      <c r="VB20" s="65"/>
      <c r="VC20" s="65"/>
      <c r="VD20" s="65"/>
      <c r="VE20" s="65"/>
      <c r="VF20" s="65"/>
      <c r="VG20" s="65"/>
      <c r="VH20" s="65"/>
      <c r="VI20" s="65"/>
      <c r="VJ20" s="65"/>
      <c r="VK20" s="65"/>
      <c r="VL20" s="65"/>
      <c r="VM20" s="65"/>
      <c r="VN20" s="65"/>
      <c r="VO20" s="65"/>
      <c r="VP20" s="65"/>
      <c r="VQ20" s="65"/>
      <c r="VR20" s="65"/>
      <c r="VS20" s="65"/>
      <c r="VT20" s="65"/>
      <c r="VU20" s="65"/>
      <c r="VV20" s="65"/>
      <c r="VW20" s="65"/>
      <c r="VX20" s="65"/>
      <c r="VY20" s="65"/>
      <c r="VZ20" s="65"/>
      <c r="WA20" s="65"/>
      <c r="WB20" s="65"/>
      <c r="WC20" s="65"/>
      <c r="WD20" s="65"/>
      <c r="WE20" s="65"/>
      <c r="WF20" s="65"/>
      <c r="WG20" s="65"/>
      <c r="WH20" s="65"/>
      <c r="WI20" s="65"/>
      <c r="WJ20" s="65"/>
      <c r="WK20" s="65"/>
      <c r="WL20" s="65"/>
      <c r="WM20" s="65"/>
      <c r="WN20" s="65"/>
      <c r="WO20" s="65"/>
      <c r="WP20" s="65"/>
      <c r="WQ20" s="65"/>
      <c r="WR20" s="65"/>
      <c r="WS20" s="65"/>
      <c r="WT20" s="65"/>
      <c r="WU20" s="65"/>
      <c r="WV20" s="65"/>
      <c r="WW20" s="65"/>
      <c r="WX20" s="65"/>
      <c r="WY20" s="65"/>
      <c r="WZ20" s="65"/>
      <c r="XA20" s="65"/>
      <c r="XB20" s="65"/>
      <c r="XC20" s="65"/>
      <c r="XD20" s="65"/>
      <c r="XE20" s="65"/>
      <c r="XF20" s="65"/>
      <c r="XG20" s="65"/>
      <c r="XH20" s="65"/>
      <c r="XI20" s="65"/>
      <c r="XJ20" s="65"/>
      <c r="XK20" s="65"/>
      <c r="XL20" s="65"/>
      <c r="XM20" s="65"/>
      <c r="XN20" s="65"/>
      <c r="XO20" s="65"/>
      <c r="XP20" s="65"/>
      <c r="XQ20" s="65"/>
      <c r="XR20" s="65"/>
      <c r="XS20" s="65"/>
      <c r="XT20" s="65"/>
      <c r="XU20" s="65"/>
      <c r="XV20" s="65"/>
      <c r="XW20" s="65"/>
      <c r="XX20" s="65"/>
      <c r="XY20" s="65"/>
      <c r="XZ20" s="65"/>
      <c r="YA20" s="65"/>
      <c r="YB20" s="65"/>
      <c r="YC20" s="65"/>
      <c r="YD20" s="65"/>
      <c r="YE20" s="65"/>
      <c r="YF20" s="65"/>
      <c r="YG20" s="65"/>
      <c r="YH20" s="65"/>
      <c r="YI20" s="65"/>
      <c r="YJ20" s="65"/>
      <c r="YK20" s="65"/>
      <c r="YL20" s="65"/>
      <c r="YM20" s="65"/>
      <c r="YN20" s="65"/>
      <c r="YO20" s="65"/>
      <c r="YP20" s="65"/>
      <c r="YQ20" s="65"/>
      <c r="YR20" s="65"/>
      <c r="YS20" s="65"/>
      <c r="YT20" s="65"/>
      <c r="YU20" s="65"/>
      <c r="YV20" s="65"/>
      <c r="YW20" s="65"/>
      <c r="YX20" s="65"/>
      <c r="YY20" s="65"/>
      <c r="YZ20" s="65"/>
      <c r="ZA20" s="65"/>
      <c r="ZB20" s="65"/>
      <c r="ZC20" s="65"/>
      <c r="ZD20" s="65"/>
      <c r="ZE20" s="65"/>
      <c r="ZF20" s="65"/>
      <c r="ZG20" s="65"/>
      <c r="ZH20" s="65"/>
      <c r="ZI20" s="65"/>
      <c r="ZJ20" s="65"/>
      <c r="ZK20" s="65"/>
      <c r="ZL20" s="65"/>
      <c r="ZM20" s="65"/>
      <c r="ZN20" s="65"/>
      <c r="ZO20" s="65"/>
      <c r="ZP20" s="65"/>
      <c r="ZQ20" s="65"/>
      <c r="ZR20" s="65"/>
      <c r="ZS20" s="65"/>
      <c r="ZT20" s="65"/>
      <c r="ZU20" s="65"/>
      <c r="ZV20" s="65"/>
      <c r="ZW20" s="65"/>
      <c r="ZX20" s="65"/>
      <c r="ZY20" s="65"/>
      <c r="ZZ20" s="65"/>
      <c r="AAA20" s="65"/>
      <c r="AAB20" s="65"/>
      <c r="AAC20" s="65"/>
      <c r="AAD20" s="65"/>
      <c r="AAE20" s="65"/>
      <c r="AAF20" s="65"/>
      <c r="AAG20" s="65"/>
      <c r="AAH20" s="65"/>
      <c r="AAI20" s="65"/>
      <c r="AAJ20" s="65"/>
      <c r="AAK20" s="65"/>
      <c r="AAL20" s="65"/>
      <c r="AAM20" s="65"/>
      <c r="AAN20" s="65"/>
      <c r="AAO20" s="65"/>
      <c r="AAP20" s="65"/>
      <c r="AAQ20" s="65"/>
      <c r="AAR20" s="65"/>
      <c r="AAS20" s="65"/>
      <c r="AAT20" s="65"/>
      <c r="AAU20" s="65"/>
      <c r="AAV20" s="65"/>
      <c r="AAW20" s="65"/>
      <c r="AAX20" s="65"/>
      <c r="AAY20" s="65"/>
      <c r="AAZ20" s="65"/>
      <c r="ABA20" s="65"/>
      <c r="ABB20" s="65"/>
      <c r="ABC20" s="65"/>
      <c r="ABD20" s="65"/>
      <c r="ABE20" s="65"/>
      <c r="ABF20" s="65"/>
      <c r="ABG20" s="65"/>
      <c r="ABH20" s="65"/>
      <c r="ABI20" s="65"/>
      <c r="ABJ20" s="65"/>
      <c r="ABK20" s="65"/>
      <c r="ABL20" s="65"/>
      <c r="ABM20" s="65"/>
      <c r="ABN20" s="65"/>
      <c r="ABO20" s="65"/>
      <c r="ABP20" s="65"/>
      <c r="ABQ20" s="65"/>
      <c r="ABR20" s="65"/>
      <c r="ABS20" s="65"/>
      <c r="ABT20" s="65"/>
      <c r="ABU20" s="65"/>
      <c r="ABV20" s="65"/>
      <c r="ABW20" s="65"/>
      <c r="ABX20" s="65"/>
      <c r="ABY20" s="65"/>
      <c r="ABZ20" s="65"/>
      <c r="ACA20" s="65"/>
      <c r="ACB20" s="65"/>
      <c r="ACC20" s="65"/>
      <c r="ACD20" s="65"/>
      <c r="ACE20" s="65"/>
      <c r="ACF20" s="65"/>
      <c r="ACG20" s="65"/>
      <c r="ACH20" s="65"/>
      <c r="ACI20" s="65"/>
      <c r="ACJ20" s="65"/>
      <c r="ACK20" s="65"/>
      <c r="ACL20" s="65"/>
      <c r="ACM20" s="65"/>
      <c r="ACN20" s="65"/>
      <c r="ACO20" s="65"/>
      <c r="ACP20" s="65"/>
      <c r="ACQ20" s="65"/>
      <c r="ACR20" s="65"/>
      <c r="ACS20" s="65"/>
      <c r="ACT20" s="65"/>
      <c r="ACU20" s="65"/>
      <c r="ACV20" s="65"/>
      <c r="ACW20" s="65"/>
      <c r="ACX20" s="65"/>
      <c r="ACY20" s="65"/>
      <c r="ACZ20" s="65"/>
      <c r="ADA20" s="65"/>
      <c r="ADB20" s="65"/>
      <c r="ADC20" s="65"/>
      <c r="ADD20" s="65"/>
      <c r="ADE20" s="65"/>
      <c r="ADF20" s="65"/>
      <c r="ADG20" s="65"/>
      <c r="ADH20" s="65"/>
      <c r="ADI20" s="65"/>
      <c r="ADJ20" s="65"/>
      <c r="ADK20" s="65"/>
      <c r="ADL20" s="65"/>
      <c r="ADM20" s="65"/>
      <c r="ADN20" s="65"/>
      <c r="ADO20" s="65"/>
      <c r="ADP20" s="65"/>
      <c r="ADQ20" s="65"/>
      <c r="ADR20" s="65"/>
      <c r="ADS20" s="65"/>
      <c r="ADT20" s="65"/>
      <c r="ADU20" s="65"/>
      <c r="ADV20" s="65"/>
      <c r="ADW20" s="65"/>
      <c r="ADX20" s="65"/>
      <c r="ADY20" s="65"/>
      <c r="ADZ20" s="65"/>
      <c r="AEA20" s="65"/>
      <c r="AEB20" s="65"/>
      <c r="AEC20" s="65"/>
      <c r="AED20" s="65"/>
      <c r="AEE20" s="65"/>
      <c r="AEF20" s="65"/>
      <c r="AEG20" s="65"/>
      <c r="AEH20" s="65"/>
      <c r="AEI20" s="65"/>
      <c r="AEJ20" s="65"/>
      <c r="AEK20" s="65"/>
      <c r="AEL20" s="65"/>
      <c r="AEM20" s="65"/>
      <c r="AEN20" s="65"/>
      <c r="AEO20" s="65"/>
      <c r="AEP20" s="65"/>
      <c r="AEQ20" s="65"/>
      <c r="AER20" s="65"/>
      <c r="AES20" s="65"/>
      <c r="AET20" s="65"/>
      <c r="AEU20" s="65"/>
      <c r="AEV20" s="65"/>
      <c r="AEW20" s="65"/>
      <c r="AEX20" s="65"/>
      <c r="AEY20" s="65"/>
      <c r="AEZ20" s="65"/>
      <c r="AFA20" s="65"/>
      <c r="AFB20" s="65"/>
      <c r="AFC20" s="65"/>
      <c r="AFD20" s="65"/>
      <c r="AFE20" s="65"/>
      <c r="AFF20" s="65"/>
      <c r="AFG20" s="65"/>
      <c r="AFH20" s="65"/>
      <c r="AFI20" s="65"/>
      <c r="AFJ20" s="65"/>
      <c r="AFK20" s="65"/>
      <c r="AFL20" s="65"/>
      <c r="AFM20" s="65"/>
      <c r="AFN20" s="65"/>
      <c r="AFO20" s="65"/>
      <c r="AFP20" s="65"/>
      <c r="AFQ20" s="65"/>
      <c r="AFR20" s="65"/>
      <c r="AFS20" s="65"/>
      <c r="AFT20" s="65"/>
      <c r="AFU20" s="65"/>
      <c r="AFV20" s="65"/>
      <c r="AFW20" s="65"/>
      <c r="AFX20" s="65"/>
      <c r="AFY20" s="65"/>
      <c r="AFZ20" s="65"/>
      <c r="AGA20" s="65"/>
      <c r="AGB20" s="65"/>
      <c r="AGC20" s="65"/>
      <c r="AGD20" s="65"/>
      <c r="AGE20" s="65"/>
      <c r="AGF20" s="65"/>
      <c r="AGG20" s="65"/>
      <c r="AGH20" s="65"/>
      <c r="AGI20" s="65"/>
      <c r="AGJ20" s="65"/>
      <c r="AGK20" s="65"/>
      <c r="AGL20" s="65"/>
      <c r="AGM20" s="65"/>
      <c r="AGN20" s="65"/>
      <c r="AGO20" s="65"/>
      <c r="AGP20" s="65"/>
      <c r="AGQ20" s="65"/>
      <c r="AGR20" s="65"/>
      <c r="AGS20" s="65"/>
      <c r="AGT20" s="65"/>
      <c r="AGU20" s="65"/>
      <c r="AGV20" s="65"/>
      <c r="AGW20" s="65"/>
      <c r="AGX20" s="65"/>
      <c r="AGY20" s="65"/>
      <c r="AGZ20" s="65"/>
      <c r="AHA20" s="65"/>
      <c r="AHB20" s="65"/>
      <c r="AHC20" s="65"/>
      <c r="AHD20" s="65"/>
      <c r="AHE20" s="65"/>
      <c r="AHF20" s="65"/>
      <c r="AHG20" s="65"/>
      <c r="AHH20" s="65"/>
      <c r="AHI20" s="65"/>
      <c r="AHJ20" s="65"/>
      <c r="AHK20" s="65"/>
      <c r="AHL20" s="65"/>
      <c r="AHM20" s="65"/>
      <c r="AHN20" s="65"/>
      <c r="AHO20" s="65"/>
      <c r="AHP20" s="65"/>
      <c r="AHQ20" s="65"/>
      <c r="AHR20" s="65"/>
      <c r="AHS20" s="65"/>
      <c r="AHT20" s="65"/>
      <c r="AHU20" s="65"/>
      <c r="AHV20" s="65"/>
      <c r="AHW20" s="65"/>
      <c r="AHX20" s="65"/>
      <c r="AHY20" s="65"/>
      <c r="AHZ20" s="65"/>
      <c r="AIA20" s="65"/>
      <c r="AIB20" s="65"/>
      <c r="AIC20" s="65"/>
      <c r="AID20" s="65"/>
      <c r="AIE20" s="65"/>
      <c r="AIF20" s="65"/>
      <c r="AIG20" s="65"/>
      <c r="AIH20" s="65"/>
      <c r="AII20" s="65"/>
      <c r="AIJ20" s="65"/>
      <c r="AIK20" s="65"/>
      <c r="AIL20" s="65"/>
      <c r="AIM20" s="65"/>
      <c r="AIN20" s="65"/>
      <c r="AIO20" s="65"/>
      <c r="AIP20" s="65"/>
      <c r="AIQ20" s="65"/>
      <c r="AIR20" s="65"/>
      <c r="AIS20" s="65"/>
      <c r="AIT20" s="65"/>
      <c r="AIU20" s="65"/>
      <c r="AIV20" s="65"/>
      <c r="AIW20" s="65"/>
      <c r="AIX20" s="65"/>
      <c r="AIY20" s="65"/>
      <c r="AIZ20" s="65"/>
      <c r="AJA20" s="65"/>
      <c r="AJB20" s="65"/>
      <c r="AJC20" s="65"/>
      <c r="AJD20" s="65"/>
      <c r="AJE20" s="65"/>
      <c r="AJF20" s="65"/>
      <c r="AJG20" s="65"/>
      <c r="AJH20" s="65"/>
      <c r="AJI20" s="65"/>
      <c r="AJJ20" s="65"/>
      <c r="AJK20" s="65"/>
      <c r="AJL20" s="65"/>
      <c r="AJM20" s="65"/>
      <c r="AJN20" s="65"/>
      <c r="AJO20" s="65"/>
      <c r="AJP20" s="65"/>
      <c r="AJQ20" s="65"/>
      <c r="AJR20" s="65"/>
      <c r="AJS20" s="65"/>
      <c r="AJT20" s="65"/>
      <c r="AJU20" s="65"/>
      <c r="AJV20" s="65"/>
      <c r="AJW20" s="65"/>
      <c r="AJX20" s="65"/>
      <c r="AJY20" s="65"/>
      <c r="AJZ20" s="65"/>
      <c r="AKA20" s="65"/>
      <c r="AKB20" s="65"/>
      <c r="AKC20" s="65"/>
      <c r="AKD20" s="65"/>
      <c r="AKE20" s="65"/>
      <c r="AKF20" s="65"/>
      <c r="AKG20" s="65"/>
      <c r="AKH20" s="65"/>
      <c r="AKI20" s="65"/>
      <c r="AKJ20" s="65"/>
      <c r="AKK20" s="65"/>
      <c r="AKL20" s="65"/>
      <c r="AKM20" s="65"/>
      <c r="AKN20" s="65"/>
      <c r="AKO20" s="65"/>
      <c r="AKP20" s="65"/>
      <c r="AKQ20" s="65"/>
      <c r="AKR20" s="65"/>
      <c r="AKS20" s="65"/>
      <c r="AKT20" s="65"/>
      <c r="AKU20" s="65"/>
      <c r="AKV20" s="65"/>
      <c r="AKW20" s="65"/>
      <c r="AKX20" s="65"/>
      <c r="AKY20" s="65"/>
      <c r="AKZ20" s="65"/>
      <c r="ALA20" s="65"/>
      <c r="ALB20" s="65"/>
      <c r="ALC20" s="65"/>
      <c r="ALD20" s="65"/>
      <c r="ALE20" s="65"/>
      <c r="ALF20" s="65"/>
      <c r="ALG20" s="65"/>
      <c r="ALH20" s="65"/>
      <c r="ALI20" s="65"/>
      <c r="ALJ20" s="65"/>
      <c r="ALK20" s="65"/>
      <c r="ALL20" s="65"/>
      <c r="ALM20" s="65"/>
      <c r="ALN20" s="65"/>
      <c r="ALO20" s="65"/>
      <c r="ALP20" s="65"/>
      <c r="ALQ20" s="65"/>
      <c r="ALR20" s="65"/>
      <c r="ALS20" s="65"/>
      <c r="ALT20" s="65"/>
      <c r="ALU20" s="65"/>
      <c r="ALV20" s="65"/>
      <c r="ALW20" s="65"/>
      <c r="ALX20" s="65"/>
      <c r="ALY20" s="65"/>
      <c r="ALZ20" s="65"/>
      <c r="AMA20" s="65"/>
      <c r="AMB20" s="65"/>
      <c r="AMC20" s="65"/>
      <c r="AMD20" s="65"/>
      <c r="AME20" s="65"/>
      <c r="AMF20" s="65"/>
      <c r="AMG20" s="65"/>
      <c r="AMH20" s="65"/>
      <c r="AMI20" s="65"/>
      <c r="AMJ20" s="60"/>
    </row>
    <row r="21" spans="1:1024">
      <c r="A21" s="66" t="s">
        <v>39697</v>
      </c>
      <c r="B21" s="67" t="s">
        <v>39698</v>
      </c>
      <c r="C21" s="67">
        <v>7</v>
      </c>
      <c r="D21" s="67">
        <v>10098</v>
      </c>
      <c r="E21" s="67" t="s">
        <v>39706</v>
      </c>
      <c r="F21" s="67">
        <v>1201839</v>
      </c>
      <c r="G21" s="67">
        <v>623399</v>
      </c>
      <c r="H21" s="67">
        <v>633497</v>
      </c>
      <c r="I21" s="68">
        <v>2.5590000000000002</v>
      </c>
      <c r="J21" s="67">
        <v>8</v>
      </c>
      <c r="K21" s="67">
        <v>13</v>
      </c>
      <c r="L21" s="67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65"/>
      <c r="IA21" s="65"/>
      <c r="IB21" s="65"/>
      <c r="IC21" s="65"/>
      <c r="ID21" s="65"/>
      <c r="IE21" s="65"/>
      <c r="IF21" s="65"/>
      <c r="IG21" s="65"/>
      <c r="IH21" s="65"/>
      <c r="II21" s="65"/>
      <c r="IJ21" s="65"/>
      <c r="IK21" s="65"/>
      <c r="IL21" s="65"/>
      <c r="IM21" s="65"/>
      <c r="IN21" s="65"/>
      <c r="IO21" s="65"/>
      <c r="IP21" s="65"/>
      <c r="IQ21" s="65"/>
      <c r="IR21" s="65"/>
      <c r="IS21" s="65"/>
      <c r="IT21" s="65"/>
      <c r="IU21" s="65"/>
      <c r="IV21" s="65"/>
      <c r="IW21" s="65"/>
      <c r="IX21" s="65"/>
      <c r="IY21" s="65"/>
      <c r="IZ21" s="65"/>
      <c r="JA21" s="65"/>
      <c r="JB21" s="65"/>
      <c r="JC21" s="65"/>
      <c r="JD21" s="65"/>
      <c r="JE21" s="65"/>
      <c r="JF21" s="65"/>
      <c r="JG21" s="65"/>
      <c r="JH21" s="65"/>
      <c r="JI21" s="65"/>
      <c r="JJ21" s="65"/>
      <c r="JK21" s="65"/>
      <c r="JL21" s="65"/>
      <c r="JM21" s="65"/>
      <c r="JN21" s="65"/>
      <c r="JO21" s="65"/>
      <c r="JP21" s="65"/>
      <c r="JQ21" s="65"/>
      <c r="JR21" s="65"/>
      <c r="JS21" s="65"/>
      <c r="JT21" s="65"/>
      <c r="JU21" s="65"/>
      <c r="JV21" s="65"/>
      <c r="JW21" s="65"/>
      <c r="JX21" s="65"/>
      <c r="JY21" s="65"/>
      <c r="JZ21" s="65"/>
      <c r="KA21" s="65"/>
      <c r="KB21" s="65"/>
      <c r="KC21" s="65"/>
      <c r="KD21" s="65"/>
      <c r="KE21" s="65"/>
      <c r="KF21" s="65"/>
      <c r="KG21" s="65"/>
      <c r="KH21" s="65"/>
      <c r="KI21" s="65"/>
      <c r="KJ21" s="65"/>
      <c r="KK21" s="65"/>
      <c r="KL21" s="65"/>
      <c r="KM21" s="65"/>
      <c r="KN21" s="65"/>
      <c r="KO21" s="65"/>
      <c r="KP21" s="65"/>
      <c r="KQ21" s="65"/>
      <c r="KR21" s="65"/>
      <c r="KS21" s="65"/>
      <c r="KT21" s="65"/>
      <c r="KU21" s="65"/>
      <c r="KV21" s="65"/>
      <c r="KW21" s="65"/>
      <c r="KX21" s="65"/>
      <c r="KY21" s="65"/>
      <c r="KZ21" s="65"/>
      <c r="LA21" s="65"/>
      <c r="LB21" s="65"/>
      <c r="LC21" s="65"/>
      <c r="LD21" s="65"/>
      <c r="LE21" s="65"/>
      <c r="LF21" s="65"/>
      <c r="LG21" s="65"/>
      <c r="LH21" s="65"/>
      <c r="LI21" s="65"/>
      <c r="LJ21" s="65"/>
      <c r="LK21" s="65"/>
      <c r="LL21" s="65"/>
      <c r="LM21" s="65"/>
      <c r="LN21" s="65"/>
      <c r="LO21" s="65"/>
      <c r="LP21" s="65"/>
      <c r="LQ21" s="65"/>
      <c r="LR21" s="65"/>
      <c r="LS21" s="65"/>
      <c r="LT21" s="65"/>
      <c r="LU21" s="65"/>
      <c r="LV21" s="65"/>
      <c r="LW21" s="65"/>
      <c r="LX21" s="65"/>
      <c r="LY21" s="65"/>
      <c r="LZ21" s="65"/>
      <c r="MA21" s="65"/>
      <c r="MB21" s="65"/>
      <c r="MC21" s="65"/>
      <c r="MD21" s="65"/>
      <c r="ME21" s="65"/>
      <c r="MF21" s="65"/>
      <c r="MG21" s="65"/>
      <c r="MH21" s="65"/>
      <c r="MI21" s="65"/>
      <c r="MJ21" s="65"/>
      <c r="MK21" s="65"/>
      <c r="ML21" s="65"/>
      <c r="MM21" s="65"/>
      <c r="MN21" s="65"/>
      <c r="MO21" s="65"/>
      <c r="MP21" s="65"/>
      <c r="MQ21" s="65"/>
      <c r="MR21" s="65"/>
      <c r="MS21" s="65"/>
      <c r="MT21" s="65"/>
      <c r="MU21" s="65"/>
      <c r="MV21" s="65"/>
      <c r="MW21" s="65"/>
      <c r="MX21" s="65"/>
      <c r="MY21" s="65"/>
      <c r="MZ21" s="65"/>
      <c r="NA21" s="65"/>
      <c r="NB21" s="65"/>
      <c r="NC21" s="65"/>
      <c r="ND21" s="65"/>
      <c r="NE21" s="65"/>
      <c r="NF21" s="65"/>
      <c r="NG21" s="65"/>
      <c r="NH21" s="65"/>
      <c r="NI21" s="65"/>
      <c r="NJ21" s="65"/>
      <c r="NK21" s="65"/>
      <c r="NL21" s="65"/>
      <c r="NM21" s="65"/>
      <c r="NN21" s="65"/>
      <c r="NO21" s="65"/>
      <c r="NP21" s="65"/>
      <c r="NQ21" s="65"/>
      <c r="NR21" s="65"/>
      <c r="NS21" s="65"/>
      <c r="NT21" s="65"/>
      <c r="NU21" s="65"/>
      <c r="NV21" s="65"/>
      <c r="NW21" s="65"/>
      <c r="NX21" s="65"/>
      <c r="NY21" s="65"/>
      <c r="NZ21" s="65"/>
      <c r="OA21" s="65"/>
      <c r="OB21" s="65"/>
      <c r="OC21" s="65"/>
      <c r="OD21" s="65"/>
      <c r="OE21" s="65"/>
      <c r="OF21" s="65"/>
      <c r="OG21" s="65"/>
      <c r="OH21" s="65"/>
      <c r="OI21" s="65"/>
      <c r="OJ21" s="65"/>
      <c r="OK21" s="65"/>
      <c r="OL21" s="65"/>
      <c r="OM21" s="65"/>
      <c r="ON21" s="65"/>
      <c r="OO21" s="65"/>
      <c r="OP21" s="65"/>
      <c r="OQ21" s="65"/>
      <c r="OR21" s="65"/>
      <c r="OS21" s="65"/>
      <c r="OT21" s="65"/>
      <c r="OU21" s="65"/>
      <c r="OV21" s="65"/>
      <c r="OW21" s="65"/>
      <c r="OX21" s="65"/>
      <c r="OY21" s="65"/>
      <c r="OZ21" s="65"/>
      <c r="PA21" s="65"/>
      <c r="PB21" s="65"/>
      <c r="PC21" s="65"/>
      <c r="PD21" s="65"/>
      <c r="PE21" s="65"/>
      <c r="PF21" s="65"/>
      <c r="PG21" s="65"/>
      <c r="PH21" s="65"/>
      <c r="PI21" s="65"/>
      <c r="PJ21" s="65"/>
      <c r="PK21" s="65"/>
      <c r="PL21" s="65"/>
      <c r="PM21" s="65"/>
      <c r="PN21" s="65"/>
      <c r="PO21" s="65"/>
      <c r="PP21" s="65"/>
      <c r="PQ21" s="65"/>
      <c r="PR21" s="65"/>
      <c r="PS21" s="65"/>
      <c r="PT21" s="65"/>
      <c r="PU21" s="65"/>
      <c r="PV21" s="65"/>
      <c r="PW21" s="65"/>
      <c r="PX21" s="65"/>
      <c r="PY21" s="65"/>
      <c r="PZ21" s="65"/>
      <c r="QA21" s="65"/>
      <c r="QB21" s="65"/>
      <c r="QC21" s="65"/>
      <c r="QD21" s="65"/>
      <c r="QE21" s="65"/>
      <c r="QF21" s="65"/>
      <c r="QG21" s="65"/>
      <c r="QH21" s="65"/>
      <c r="QI21" s="65"/>
      <c r="QJ21" s="65"/>
      <c r="QK21" s="65"/>
      <c r="QL21" s="65"/>
      <c r="QM21" s="65"/>
      <c r="QN21" s="65"/>
      <c r="QO21" s="65"/>
      <c r="QP21" s="65"/>
      <c r="QQ21" s="65"/>
      <c r="QR21" s="65"/>
      <c r="QS21" s="65"/>
      <c r="QT21" s="65"/>
      <c r="QU21" s="65"/>
      <c r="QV21" s="65"/>
      <c r="QW21" s="65"/>
      <c r="QX21" s="65"/>
      <c r="QY21" s="65"/>
      <c r="QZ21" s="65"/>
      <c r="RA21" s="65"/>
      <c r="RB21" s="65"/>
      <c r="RC21" s="65"/>
      <c r="RD21" s="65"/>
      <c r="RE21" s="65"/>
      <c r="RF21" s="65"/>
      <c r="RG21" s="65"/>
      <c r="RH21" s="65"/>
      <c r="RI21" s="65"/>
      <c r="RJ21" s="65"/>
      <c r="RK21" s="65"/>
      <c r="RL21" s="65"/>
      <c r="RM21" s="65"/>
      <c r="RN21" s="65"/>
      <c r="RO21" s="65"/>
      <c r="RP21" s="65"/>
      <c r="RQ21" s="65"/>
      <c r="RR21" s="65"/>
      <c r="RS21" s="65"/>
      <c r="RT21" s="65"/>
      <c r="RU21" s="65"/>
      <c r="RV21" s="65"/>
      <c r="RW21" s="65"/>
      <c r="RX21" s="65"/>
      <c r="RY21" s="65"/>
      <c r="RZ21" s="65"/>
      <c r="SA21" s="65"/>
      <c r="SB21" s="65"/>
      <c r="SC21" s="65"/>
      <c r="SD21" s="65"/>
      <c r="SE21" s="65"/>
      <c r="SF21" s="65"/>
      <c r="SG21" s="65"/>
      <c r="SH21" s="65"/>
      <c r="SI21" s="65"/>
      <c r="SJ21" s="65"/>
      <c r="SK21" s="65"/>
      <c r="SL21" s="65"/>
      <c r="SM21" s="65"/>
      <c r="SN21" s="65"/>
      <c r="SO21" s="65"/>
      <c r="SP21" s="65"/>
      <c r="SQ21" s="65"/>
      <c r="SR21" s="65"/>
      <c r="SS21" s="65"/>
      <c r="ST21" s="65"/>
      <c r="SU21" s="65"/>
      <c r="SV21" s="65"/>
      <c r="SW21" s="65"/>
      <c r="SX21" s="65"/>
      <c r="SY21" s="65"/>
      <c r="SZ21" s="65"/>
      <c r="TA21" s="65"/>
      <c r="TB21" s="65"/>
      <c r="TC21" s="65"/>
      <c r="TD21" s="65"/>
      <c r="TE21" s="65"/>
      <c r="TF21" s="65"/>
      <c r="TG21" s="65"/>
      <c r="TH21" s="65"/>
      <c r="TI21" s="65"/>
      <c r="TJ21" s="65"/>
      <c r="TK21" s="65"/>
      <c r="TL21" s="65"/>
      <c r="TM21" s="65"/>
      <c r="TN21" s="65"/>
      <c r="TO21" s="65"/>
      <c r="TP21" s="65"/>
      <c r="TQ21" s="65"/>
      <c r="TR21" s="65"/>
      <c r="TS21" s="65"/>
      <c r="TT21" s="65"/>
      <c r="TU21" s="65"/>
      <c r="TV21" s="65"/>
      <c r="TW21" s="65"/>
      <c r="TX21" s="65"/>
      <c r="TY21" s="65"/>
      <c r="TZ21" s="65"/>
      <c r="UA21" s="65"/>
      <c r="UB21" s="65"/>
      <c r="UC21" s="65"/>
      <c r="UD21" s="65"/>
      <c r="UE21" s="65"/>
      <c r="UF21" s="65"/>
      <c r="UG21" s="65"/>
      <c r="UH21" s="65"/>
      <c r="UI21" s="65"/>
      <c r="UJ21" s="65"/>
      <c r="UK21" s="65"/>
      <c r="UL21" s="65"/>
      <c r="UM21" s="65"/>
      <c r="UN21" s="65"/>
      <c r="UO21" s="65"/>
      <c r="UP21" s="65"/>
      <c r="UQ21" s="65"/>
      <c r="UR21" s="65"/>
      <c r="US21" s="65"/>
      <c r="UT21" s="65"/>
      <c r="UU21" s="65"/>
      <c r="UV21" s="65"/>
      <c r="UW21" s="65"/>
      <c r="UX21" s="65"/>
      <c r="UY21" s="65"/>
      <c r="UZ21" s="65"/>
      <c r="VA21" s="65"/>
      <c r="VB21" s="65"/>
      <c r="VC21" s="65"/>
      <c r="VD21" s="65"/>
      <c r="VE21" s="65"/>
      <c r="VF21" s="65"/>
      <c r="VG21" s="65"/>
      <c r="VH21" s="65"/>
      <c r="VI21" s="65"/>
      <c r="VJ21" s="65"/>
      <c r="VK21" s="65"/>
      <c r="VL21" s="65"/>
      <c r="VM21" s="65"/>
      <c r="VN21" s="65"/>
      <c r="VO21" s="65"/>
      <c r="VP21" s="65"/>
      <c r="VQ21" s="65"/>
      <c r="VR21" s="65"/>
      <c r="VS21" s="65"/>
      <c r="VT21" s="65"/>
      <c r="VU21" s="65"/>
      <c r="VV21" s="65"/>
      <c r="VW21" s="65"/>
      <c r="VX21" s="65"/>
      <c r="VY21" s="65"/>
      <c r="VZ21" s="65"/>
      <c r="WA21" s="65"/>
      <c r="WB21" s="65"/>
      <c r="WC21" s="65"/>
      <c r="WD21" s="65"/>
      <c r="WE21" s="65"/>
      <c r="WF21" s="65"/>
      <c r="WG21" s="65"/>
      <c r="WH21" s="65"/>
      <c r="WI21" s="65"/>
      <c r="WJ21" s="65"/>
      <c r="WK21" s="65"/>
      <c r="WL21" s="65"/>
      <c r="WM21" s="65"/>
      <c r="WN21" s="65"/>
      <c r="WO21" s="65"/>
      <c r="WP21" s="65"/>
      <c r="WQ21" s="65"/>
      <c r="WR21" s="65"/>
      <c r="WS21" s="65"/>
      <c r="WT21" s="65"/>
      <c r="WU21" s="65"/>
      <c r="WV21" s="65"/>
      <c r="WW21" s="65"/>
      <c r="WX21" s="65"/>
      <c r="WY21" s="65"/>
      <c r="WZ21" s="65"/>
      <c r="XA21" s="65"/>
      <c r="XB21" s="65"/>
      <c r="XC21" s="65"/>
      <c r="XD21" s="65"/>
      <c r="XE21" s="65"/>
      <c r="XF21" s="65"/>
      <c r="XG21" s="65"/>
      <c r="XH21" s="65"/>
      <c r="XI21" s="65"/>
      <c r="XJ21" s="65"/>
      <c r="XK21" s="65"/>
      <c r="XL21" s="65"/>
      <c r="XM21" s="65"/>
      <c r="XN21" s="65"/>
      <c r="XO21" s="65"/>
      <c r="XP21" s="65"/>
      <c r="XQ21" s="65"/>
      <c r="XR21" s="65"/>
      <c r="XS21" s="65"/>
      <c r="XT21" s="65"/>
      <c r="XU21" s="65"/>
      <c r="XV21" s="65"/>
      <c r="XW21" s="65"/>
      <c r="XX21" s="65"/>
      <c r="XY21" s="65"/>
      <c r="XZ21" s="65"/>
      <c r="YA21" s="65"/>
      <c r="YB21" s="65"/>
      <c r="YC21" s="65"/>
      <c r="YD21" s="65"/>
      <c r="YE21" s="65"/>
      <c r="YF21" s="65"/>
      <c r="YG21" s="65"/>
      <c r="YH21" s="65"/>
      <c r="YI21" s="65"/>
      <c r="YJ21" s="65"/>
      <c r="YK21" s="65"/>
      <c r="YL21" s="65"/>
      <c r="YM21" s="65"/>
      <c r="YN21" s="65"/>
      <c r="YO21" s="65"/>
      <c r="YP21" s="65"/>
      <c r="YQ21" s="65"/>
      <c r="YR21" s="65"/>
      <c r="YS21" s="65"/>
      <c r="YT21" s="65"/>
      <c r="YU21" s="65"/>
      <c r="YV21" s="65"/>
      <c r="YW21" s="65"/>
      <c r="YX21" s="65"/>
      <c r="YY21" s="65"/>
      <c r="YZ21" s="65"/>
      <c r="ZA21" s="65"/>
      <c r="ZB21" s="65"/>
      <c r="ZC21" s="65"/>
      <c r="ZD21" s="65"/>
      <c r="ZE21" s="65"/>
      <c r="ZF21" s="65"/>
      <c r="ZG21" s="65"/>
      <c r="ZH21" s="65"/>
      <c r="ZI21" s="65"/>
      <c r="ZJ21" s="65"/>
      <c r="ZK21" s="65"/>
      <c r="ZL21" s="65"/>
      <c r="ZM21" s="65"/>
      <c r="ZN21" s="65"/>
      <c r="ZO21" s="65"/>
      <c r="ZP21" s="65"/>
      <c r="ZQ21" s="65"/>
      <c r="ZR21" s="65"/>
      <c r="ZS21" s="65"/>
      <c r="ZT21" s="65"/>
      <c r="ZU21" s="65"/>
      <c r="ZV21" s="65"/>
      <c r="ZW21" s="65"/>
      <c r="ZX21" s="65"/>
      <c r="ZY21" s="65"/>
      <c r="ZZ21" s="65"/>
      <c r="AAA21" s="65"/>
      <c r="AAB21" s="65"/>
      <c r="AAC21" s="65"/>
      <c r="AAD21" s="65"/>
      <c r="AAE21" s="65"/>
      <c r="AAF21" s="65"/>
      <c r="AAG21" s="65"/>
      <c r="AAH21" s="65"/>
      <c r="AAI21" s="65"/>
      <c r="AAJ21" s="65"/>
      <c r="AAK21" s="65"/>
      <c r="AAL21" s="65"/>
      <c r="AAM21" s="65"/>
      <c r="AAN21" s="65"/>
      <c r="AAO21" s="65"/>
      <c r="AAP21" s="65"/>
      <c r="AAQ21" s="65"/>
      <c r="AAR21" s="65"/>
      <c r="AAS21" s="65"/>
      <c r="AAT21" s="65"/>
      <c r="AAU21" s="65"/>
      <c r="AAV21" s="65"/>
      <c r="AAW21" s="65"/>
      <c r="AAX21" s="65"/>
      <c r="AAY21" s="65"/>
      <c r="AAZ21" s="65"/>
      <c r="ABA21" s="65"/>
      <c r="ABB21" s="65"/>
      <c r="ABC21" s="65"/>
      <c r="ABD21" s="65"/>
      <c r="ABE21" s="65"/>
      <c r="ABF21" s="65"/>
      <c r="ABG21" s="65"/>
      <c r="ABH21" s="65"/>
      <c r="ABI21" s="65"/>
      <c r="ABJ21" s="65"/>
      <c r="ABK21" s="65"/>
      <c r="ABL21" s="65"/>
      <c r="ABM21" s="65"/>
      <c r="ABN21" s="65"/>
      <c r="ABO21" s="65"/>
      <c r="ABP21" s="65"/>
      <c r="ABQ21" s="65"/>
      <c r="ABR21" s="65"/>
      <c r="ABS21" s="65"/>
      <c r="ABT21" s="65"/>
      <c r="ABU21" s="65"/>
      <c r="ABV21" s="65"/>
      <c r="ABW21" s="65"/>
      <c r="ABX21" s="65"/>
      <c r="ABY21" s="65"/>
      <c r="ABZ21" s="65"/>
      <c r="ACA21" s="65"/>
      <c r="ACB21" s="65"/>
      <c r="ACC21" s="65"/>
      <c r="ACD21" s="65"/>
      <c r="ACE21" s="65"/>
      <c r="ACF21" s="65"/>
      <c r="ACG21" s="65"/>
      <c r="ACH21" s="65"/>
      <c r="ACI21" s="65"/>
      <c r="ACJ21" s="65"/>
      <c r="ACK21" s="65"/>
      <c r="ACL21" s="65"/>
      <c r="ACM21" s="65"/>
      <c r="ACN21" s="65"/>
      <c r="ACO21" s="65"/>
      <c r="ACP21" s="65"/>
      <c r="ACQ21" s="65"/>
      <c r="ACR21" s="65"/>
      <c r="ACS21" s="65"/>
      <c r="ACT21" s="65"/>
      <c r="ACU21" s="65"/>
      <c r="ACV21" s="65"/>
      <c r="ACW21" s="65"/>
      <c r="ACX21" s="65"/>
      <c r="ACY21" s="65"/>
      <c r="ACZ21" s="65"/>
      <c r="ADA21" s="65"/>
      <c r="ADB21" s="65"/>
      <c r="ADC21" s="65"/>
      <c r="ADD21" s="65"/>
      <c r="ADE21" s="65"/>
      <c r="ADF21" s="65"/>
      <c r="ADG21" s="65"/>
      <c r="ADH21" s="65"/>
      <c r="ADI21" s="65"/>
      <c r="ADJ21" s="65"/>
      <c r="ADK21" s="65"/>
      <c r="ADL21" s="65"/>
      <c r="ADM21" s="65"/>
      <c r="ADN21" s="65"/>
      <c r="ADO21" s="65"/>
      <c r="ADP21" s="65"/>
      <c r="ADQ21" s="65"/>
      <c r="ADR21" s="65"/>
      <c r="ADS21" s="65"/>
      <c r="ADT21" s="65"/>
      <c r="ADU21" s="65"/>
      <c r="ADV21" s="65"/>
      <c r="ADW21" s="65"/>
      <c r="ADX21" s="65"/>
      <c r="ADY21" s="65"/>
      <c r="ADZ21" s="65"/>
      <c r="AEA21" s="65"/>
      <c r="AEB21" s="65"/>
      <c r="AEC21" s="65"/>
      <c r="AED21" s="65"/>
      <c r="AEE21" s="65"/>
      <c r="AEF21" s="65"/>
      <c r="AEG21" s="65"/>
      <c r="AEH21" s="65"/>
      <c r="AEI21" s="65"/>
      <c r="AEJ21" s="65"/>
      <c r="AEK21" s="65"/>
      <c r="AEL21" s="65"/>
      <c r="AEM21" s="65"/>
      <c r="AEN21" s="65"/>
      <c r="AEO21" s="65"/>
      <c r="AEP21" s="65"/>
      <c r="AEQ21" s="65"/>
      <c r="AER21" s="65"/>
      <c r="AES21" s="65"/>
      <c r="AET21" s="65"/>
      <c r="AEU21" s="65"/>
      <c r="AEV21" s="65"/>
      <c r="AEW21" s="65"/>
      <c r="AEX21" s="65"/>
      <c r="AEY21" s="65"/>
      <c r="AEZ21" s="65"/>
      <c r="AFA21" s="65"/>
      <c r="AFB21" s="65"/>
      <c r="AFC21" s="65"/>
      <c r="AFD21" s="65"/>
      <c r="AFE21" s="65"/>
      <c r="AFF21" s="65"/>
      <c r="AFG21" s="65"/>
      <c r="AFH21" s="65"/>
      <c r="AFI21" s="65"/>
      <c r="AFJ21" s="65"/>
      <c r="AFK21" s="65"/>
      <c r="AFL21" s="65"/>
      <c r="AFM21" s="65"/>
      <c r="AFN21" s="65"/>
      <c r="AFO21" s="65"/>
      <c r="AFP21" s="65"/>
      <c r="AFQ21" s="65"/>
      <c r="AFR21" s="65"/>
      <c r="AFS21" s="65"/>
      <c r="AFT21" s="65"/>
      <c r="AFU21" s="65"/>
      <c r="AFV21" s="65"/>
      <c r="AFW21" s="65"/>
      <c r="AFX21" s="65"/>
      <c r="AFY21" s="65"/>
      <c r="AFZ21" s="65"/>
      <c r="AGA21" s="65"/>
      <c r="AGB21" s="65"/>
      <c r="AGC21" s="65"/>
      <c r="AGD21" s="65"/>
      <c r="AGE21" s="65"/>
      <c r="AGF21" s="65"/>
      <c r="AGG21" s="65"/>
      <c r="AGH21" s="65"/>
      <c r="AGI21" s="65"/>
      <c r="AGJ21" s="65"/>
      <c r="AGK21" s="65"/>
      <c r="AGL21" s="65"/>
      <c r="AGM21" s="65"/>
      <c r="AGN21" s="65"/>
      <c r="AGO21" s="65"/>
      <c r="AGP21" s="65"/>
      <c r="AGQ21" s="65"/>
      <c r="AGR21" s="65"/>
      <c r="AGS21" s="65"/>
      <c r="AGT21" s="65"/>
      <c r="AGU21" s="65"/>
      <c r="AGV21" s="65"/>
      <c r="AGW21" s="65"/>
      <c r="AGX21" s="65"/>
      <c r="AGY21" s="65"/>
      <c r="AGZ21" s="65"/>
      <c r="AHA21" s="65"/>
      <c r="AHB21" s="65"/>
      <c r="AHC21" s="65"/>
      <c r="AHD21" s="65"/>
      <c r="AHE21" s="65"/>
      <c r="AHF21" s="65"/>
      <c r="AHG21" s="65"/>
      <c r="AHH21" s="65"/>
      <c r="AHI21" s="65"/>
      <c r="AHJ21" s="65"/>
      <c r="AHK21" s="65"/>
      <c r="AHL21" s="65"/>
      <c r="AHM21" s="65"/>
      <c r="AHN21" s="65"/>
      <c r="AHO21" s="65"/>
      <c r="AHP21" s="65"/>
      <c r="AHQ21" s="65"/>
      <c r="AHR21" s="65"/>
      <c r="AHS21" s="65"/>
      <c r="AHT21" s="65"/>
      <c r="AHU21" s="65"/>
      <c r="AHV21" s="65"/>
      <c r="AHW21" s="65"/>
      <c r="AHX21" s="65"/>
      <c r="AHY21" s="65"/>
      <c r="AHZ21" s="65"/>
      <c r="AIA21" s="65"/>
      <c r="AIB21" s="65"/>
      <c r="AIC21" s="65"/>
      <c r="AID21" s="65"/>
      <c r="AIE21" s="65"/>
      <c r="AIF21" s="65"/>
      <c r="AIG21" s="65"/>
      <c r="AIH21" s="65"/>
      <c r="AII21" s="65"/>
      <c r="AIJ21" s="65"/>
      <c r="AIK21" s="65"/>
      <c r="AIL21" s="65"/>
      <c r="AIM21" s="65"/>
      <c r="AIN21" s="65"/>
      <c r="AIO21" s="65"/>
      <c r="AIP21" s="65"/>
      <c r="AIQ21" s="65"/>
      <c r="AIR21" s="65"/>
      <c r="AIS21" s="65"/>
      <c r="AIT21" s="65"/>
      <c r="AIU21" s="65"/>
      <c r="AIV21" s="65"/>
      <c r="AIW21" s="65"/>
      <c r="AIX21" s="65"/>
      <c r="AIY21" s="65"/>
      <c r="AIZ21" s="65"/>
      <c r="AJA21" s="65"/>
      <c r="AJB21" s="65"/>
      <c r="AJC21" s="65"/>
      <c r="AJD21" s="65"/>
      <c r="AJE21" s="65"/>
      <c r="AJF21" s="65"/>
      <c r="AJG21" s="65"/>
      <c r="AJH21" s="65"/>
      <c r="AJI21" s="65"/>
      <c r="AJJ21" s="65"/>
      <c r="AJK21" s="65"/>
      <c r="AJL21" s="65"/>
      <c r="AJM21" s="65"/>
      <c r="AJN21" s="65"/>
      <c r="AJO21" s="65"/>
      <c r="AJP21" s="65"/>
      <c r="AJQ21" s="65"/>
      <c r="AJR21" s="65"/>
      <c r="AJS21" s="65"/>
      <c r="AJT21" s="65"/>
      <c r="AJU21" s="65"/>
      <c r="AJV21" s="65"/>
      <c r="AJW21" s="65"/>
      <c r="AJX21" s="65"/>
      <c r="AJY21" s="65"/>
      <c r="AJZ21" s="65"/>
      <c r="AKA21" s="65"/>
      <c r="AKB21" s="65"/>
      <c r="AKC21" s="65"/>
      <c r="AKD21" s="65"/>
      <c r="AKE21" s="65"/>
      <c r="AKF21" s="65"/>
      <c r="AKG21" s="65"/>
      <c r="AKH21" s="65"/>
      <c r="AKI21" s="65"/>
      <c r="AKJ21" s="65"/>
      <c r="AKK21" s="65"/>
      <c r="AKL21" s="65"/>
      <c r="AKM21" s="65"/>
      <c r="AKN21" s="65"/>
      <c r="AKO21" s="65"/>
      <c r="AKP21" s="65"/>
      <c r="AKQ21" s="65"/>
      <c r="AKR21" s="65"/>
      <c r="AKS21" s="65"/>
      <c r="AKT21" s="65"/>
      <c r="AKU21" s="65"/>
      <c r="AKV21" s="65"/>
      <c r="AKW21" s="65"/>
      <c r="AKX21" s="65"/>
      <c r="AKY21" s="65"/>
      <c r="AKZ21" s="65"/>
      <c r="ALA21" s="65"/>
      <c r="ALB21" s="65"/>
      <c r="ALC21" s="65"/>
      <c r="ALD21" s="65"/>
      <c r="ALE21" s="65"/>
      <c r="ALF21" s="65"/>
      <c r="ALG21" s="65"/>
      <c r="ALH21" s="65"/>
      <c r="ALI21" s="65"/>
      <c r="ALJ21" s="65"/>
      <c r="ALK21" s="65"/>
      <c r="ALL21" s="65"/>
      <c r="ALM21" s="65"/>
      <c r="ALN21" s="65"/>
      <c r="ALO21" s="65"/>
      <c r="ALP21" s="65"/>
      <c r="ALQ21" s="65"/>
      <c r="ALR21" s="65"/>
      <c r="ALS21" s="65"/>
      <c r="ALT21" s="65"/>
      <c r="ALU21" s="65"/>
      <c r="ALV21" s="65"/>
      <c r="ALW21" s="65"/>
      <c r="ALX21" s="65"/>
      <c r="ALY21" s="65"/>
      <c r="ALZ21" s="65"/>
      <c r="AMA21" s="65"/>
      <c r="AMB21" s="65"/>
      <c r="AMC21" s="65"/>
      <c r="AMD21" s="65"/>
      <c r="AME21" s="65"/>
      <c r="AMF21" s="65"/>
      <c r="AMG21" s="65"/>
      <c r="AMH21" s="65"/>
      <c r="AMI21" s="65"/>
      <c r="AMJ21" s="60"/>
    </row>
    <row r="22" spans="1:1024">
      <c r="A22" s="66" t="s">
        <v>39697</v>
      </c>
      <c r="B22" s="67" t="s">
        <v>39698</v>
      </c>
      <c r="C22" s="67">
        <v>8</v>
      </c>
      <c r="D22" s="67">
        <v>11242</v>
      </c>
      <c r="E22" s="67" t="s">
        <v>39707</v>
      </c>
      <c r="F22" s="67">
        <v>1190961</v>
      </c>
      <c r="G22" s="67">
        <v>1014580</v>
      </c>
      <c r="H22" s="67">
        <v>1025822</v>
      </c>
      <c r="I22" s="68">
        <v>1.135</v>
      </c>
      <c r="J22" s="67">
        <v>5</v>
      </c>
      <c r="K22" s="67">
        <v>13</v>
      </c>
      <c r="L22" s="67" t="s">
        <v>39708</v>
      </c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  <c r="IV22" s="65"/>
      <c r="IW22" s="65"/>
      <c r="IX22" s="65"/>
      <c r="IY22" s="65"/>
      <c r="IZ22" s="65"/>
      <c r="JA22" s="65"/>
      <c r="JB22" s="65"/>
      <c r="JC22" s="65"/>
      <c r="JD22" s="65"/>
      <c r="JE22" s="65"/>
      <c r="JF22" s="65"/>
      <c r="JG22" s="65"/>
      <c r="JH22" s="65"/>
      <c r="JI22" s="65"/>
      <c r="JJ22" s="65"/>
      <c r="JK22" s="65"/>
      <c r="JL22" s="65"/>
      <c r="JM22" s="65"/>
      <c r="JN22" s="65"/>
      <c r="JO22" s="65"/>
      <c r="JP22" s="65"/>
      <c r="JQ22" s="65"/>
      <c r="JR22" s="65"/>
      <c r="JS22" s="65"/>
      <c r="JT22" s="65"/>
      <c r="JU22" s="65"/>
      <c r="JV22" s="65"/>
      <c r="JW22" s="65"/>
      <c r="JX22" s="65"/>
      <c r="JY22" s="65"/>
      <c r="JZ22" s="65"/>
      <c r="KA22" s="65"/>
      <c r="KB22" s="65"/>
      <c r="KC22" s="65"/>
      <c r="KD22" s="65"/>
      <c r="KE22" s="65"/>
      <c r="KF22" s="65"/>
      <c r="KG22" s="65"/>
      <c r="KH22" s="65"/>
      <c r="KI22" s="65"/>
      <c r="KJ22" s="65"/>
      <c r="KK22" s="65"/>
      <c r="KL22" s="65"/>
      <c r="KM22" s="65"/>
      <c r="KN22" s="65"/>
      <c r="KO22" s="65"/>
      <c r="KP22" s="65"/>
      <c r="KQ22" s="65"/>
      <c r="KR22" s="65"/>
      <c r="KS22" s="65"/>
      <c r="KT22" s="65"/>
      <c r="KU22" s="65"/>
      <c r="KV22" s="65"/>
      <c r="KW22" s="65"/>
      <c r="KX22" s="65"/>
      <c r="KY22" s="65"/>
      <c r="KZ22" s="65"/>
      <c r="LA22" s="65"/>
      <c r="LB22" s="65"/>
      <c r="LC22" s="65"/>
      <c r="LD22" s="65"/>
      <c r="LE22" s="65"/>
      <c r="LF22" s="65"/>
      <c r="LG22" s="65"/>
      <c r="LH22" s="65"/>
      <c r="LI22" s="65"/>
      <c r="LJ22" s="65"/>
      <c r="LK22" s="65"/>
      <c r="LL22" s="65"/>
      <c r="LM22" s="65"/>
      <c r="LN22" s="65"/>
      <c r="LO22" s="65"/>
      <c r="LP22" s="65"/>
      <c r="LQ22" s="65"/>
      <c r="LR22" s="65"/>
      <c r="LS22" s="65"/>
      <c r="LT22" s="65"/>
      <c r="LU22" s="65"/>
      <c r="LV22" s="65"/>
      <c r="LW22" s="65"/>
      <c r="LX22" s="65"/>
      <c r="LY22" s="65"/>
      <c r="LZ22" s="65"/>
      <c r="MA22" s="65"/>
      <c r="MB22" s="65"/>
      <c r="MC22" s="65"/>
      <c r="MD22" s="65"/>
      <c r="ME22" s="65"/>
      <c r="MF22" s="65"/>
      <c r="MG22" s="65"/>
      <c r="MH22" s="65"/>
      <c r="MI22" s="65"/>
      <c r="MJ22" s="65"/>
      <c r="MK22" s="65"/>
      <c r="ML22" s="65"/>
      <c r="MM22" s="65"/>
      <c r="MN22" s="65"/>
      <c r="MO22" s="65"/>
      <c r="MP22" s="65"/>
      <c r="MQ22" s="65"/>
      <c r="MR22" s="65"/>
      <c r="MS22" s="65"/>
      <c r="MT22" s="65"/>
      <c r="MU22" s="65"/>
      <c r="MV22" s="65"/>
      <c r="MW22" s="65"/>
      <c r="MX22" s="65"/>
      <c r="MY22" s="65"/>
      <c r="MZ22" s="65"/>
      <c r="NA22" s="65"/>
      <c r="NB22" s="65"/>
      <c r="NC22" s="65"/>
      <c r="ND22" s="65"/>
      <c r="NE22" s="65"/>
      <c r="NF22" s="65"/>
      <c r="NG22" s="65"/>
      <c r="NH22" s="65"/>
      <c r="NI22" s="65"/>
      <c r="NJ22" s="65"/>
      <c r="NK22" s="65"/>
      <c r="NL22" s="65"/>
      <c r="NM22" s="65"/>
      <c r="NN22" s="65"/>
      <c r="NO22" s="65"/>
      <c r="NP22" s="65"/>
      <c r="NQ22" s="65"/>
      <c r="NR22" s="65"/>
      <c r="NS22" s="65"/>
      <c r="NT22" s="65"/>
      <c r="NU22" s="65"/>
      <c r="NV22" s="65"/>
      <c r="NW22" s="65"/>
      <c r="NX22" s="65"/>
      <c r="NY22" s="65"/>
      <c r="NZ22" s="65"/>
      <c r="OA22" s="65"/>
      <c r="OB22" s="65"/>
      <c r="OC22" s="65"/>
      <c r="OD22" s="65"/>
      <c r="OE22" s="65"/>
      <c r="OF22" s="65"/>
      <c r="OG22" s="65"/>
      <c r="OH22" s="65"/>
      <c r="OI22" s="65"/>
      <c r="OJ22" s="65"/>
      <c r="OK22" s="65"/>
      <c r="OL22" s="65"/>
      <c r="OM22" s="65"/>
      <c r="ON22" s="65"/>
      <c r="OO22" s="65"/>
      <c r="OP22" s="65"/>
      <c r="OQ22" s="65"/>
      <c r="OR22" s="65"/>
      <c r="OS22" s="65"/>
      <c r="OT22" s="65"/>
      <c r="OU22" s="65"/>
      <c r="OV22" s="65"/>
      <c r="OW22" s="65"/>
      <c r="OX22" s="65"/>
      <c r="OY22" s="65"/>
      <c r="OZ22" s="65"/>
      <c r="PA22" s="65"/>
      <c r="PB22" s="65"/>
      <c r="PC22" s="65"/>
      <c r="PD22" s="65"/>
      <c r="PE22" s="65"/>
      <c r="PF22" s="65"/>
      <c r="PG22" s="65"/>
      <c r="PH22" s="65"/>
      <c r="PI22" s="65"/>
      <c r="PJ22" s="65"/>
      <c r="PK22" s="65"/>
      <c r="PL22" s="65"/>
      <c r="PM22" s="65"/>
      <c r="PN22" s="65"/>
      <c r="PO22" s="65"/>
      <c r="PP22" s="65"/>
      <c r="PQ22" s="65"/>
      <c r="PR22" s="65"/>
      <c r="PS22" s="65"/>
      <c r="PT22" s="65"/>
      <c r="PU22" s="65"/>
      <c r="PV22" s="65"/>
      <c r="PW22" s="65"/>
      <c r="PX22" s="65"/>
      <c r="PY22" s="65"/>
      <c r="PZ22" s="65"/>
      <c r="QA22" s="65"/>
      <c r="QB22" s="65"/>
      <c r="QC22" s="65"/>
      <c r="QD22" s="65"/>
      <c r="QE22" s="65"/>
      <c r="QF22" s="65"/>
      <c r="QG22" s="65"/>
      <c r="QH22" s="65"/>
      <c r="QI22" s="65"/>
      <c r="QJ22" s="65"/>
      <c r="QK22" s="65"/>
      <c r="QL22" s="65"/>
      <c r="QM22" s="65"/>
      <c r="QN22" s="65"/>
      <c r="QO22" s="65"/>
      <c r="QP22" s="65"/>
      <c r="QQ22" s="65"/>
      <c r="QR22" s="65"/>
      <c r="QS22" s="65"/>
      <c r="QT22" s="65"/>
      <c r="QU22" s="65"/>
      <c r="QV22" s="65"/>
      <c r="QW22" s="65"/>
      <c r="QX22" s="65"/>
      <c r="QY22" s="65"/>
      <c r="QZ22" s="65"/>
      <c r="RA22" s="65"/>
      <c r="RB22" s="65"/>
      <c r="RC22" s="65"/>
      <c r="RD22" s="65"/>
      <c r="RE22" s="65"/>
      <c r="RF22" s="65"/>
      <c r="RG22" s="65"/>
      <c r="RH22" s="65"/>
      <c r="RI22" s="65"/>
      <c r="RJ22" s="65"/>
      <c r="RK22" s="65"/>
      <c r="RL22" s="65"/>
      <c r="RM22" s="65"/>
      <c r="RN22" s="65"/>
      <c r="RO22" s="65"/>
      <c r="RP22" s="65"/>
      <c r="RQ22" s="65"/>
      <c r="RR22" s="65"/>
      <c r="RS22" s="65"/>
      <c r="RT22" s="65"/>
      <c r="RU22" s="65"/>
      <c r="RV22" s="65"/>
      <c r="RW22" s="65"/>
      <c r="RX22" s="65"/>
      <c r="RY22" s="65"/>
      <c r="RZ22" s="65"/>
      <c r="SA22" s="65"/>
      <c r="SB22" s="65"/>
      <c r="SC22" s="65"/>
      <c r="SD22" s="65"/>
      <c r="SE22" s="65"/>
      <c r="SF22" s="65"/>
      <c r="SG22" s="65"/>
      <c r="SH22" s="65"/>
      <c r="SI22" s="65"/>
      <c r="SJ22" s="65"/>
      <c r="SK22" s="65"/>
      <c r="SL22" s="65"/>
      <c r="SM22" s="65"/>
      <c r="SN22" s="65"/>
      <c r="SO22" s="65"/>
      <c r="SP22" s="65"/>
      <c r="SQ22" s="65"/>
      <c r="SR22" s="65"/>
      <c r="SS22" s="65"/>
      <c r="ST22" s="65"/>
      <c r="SU22" s="65"/>
      <c r="SV22" s="65"/>
      <c r="SW22" s="65"/>
      <c r="SX22" s="65"/>
      <c r="SY22" s="65"/>
      <c r="SZ22" s="65"/>
      <c r="TA22" s="65"/>
      <c r="TB22" s="65"/>
      <c r="TC22" s="65"/>
      <c r="TD22" s="65"/>
      <c r="TE22" s="65"/>
      <c r="TF22" s="65"/>
      <c r="TG22" s="65"/>
      <c r="TH22" s="65"/>
      <c r="TI22" s="65"/>
      <c r="TJ22" s="65"/>
      <c r="TK22" s="65"/>
      <c r="TL22" s="65"/>
      <c r="TM22" s="65"/>
      <c r="TN22" s="65"/>
      <c r="TO22" s="65"/>
      <c r="TP22" s="65"/>
      <c r="TQ22" s="65"/>
      <c r="TR22" s="65"/>
      <c r="TS22" s="65"/>
      <c r="TT22" s="65"/>
      <c r="TU22" s="65"/>
      <c r="TV22" s="65"/>
      <c r="TW22" s="65"/>
      <c r="TX22" s="65"/>
      <c r="TY22" s="65"/>
      <c r="TZ22" s="65"/>
      <c r="UA22" s="65"/>
      <c r="UB22" s="65"/>
      <c r="UC22" s="65"/>
      <c r="UD22" s="65"/>
      <c r="UE22" s="65"/>
      <c r="UF22" s="65"/>
      <c r="UG22" s="65"/>
      <c r="UH22" s="65"/>
      <c r="UI22" s="65"/>
      <c r="UJ22" s="65"/>
      <c r="UK22" s="65"/>
      <c r="UL22" s="65"/>
      <c r="UM22" s="65"/>
      <c r="UN22" s="65"/>
      <c r="UO22" s="65"/>
      <c r="UP22" s="65"/>
      <c r="UQ22" s="65"/>
      <c r="UR22" s="65"/>
      <c r="US22" s="65"/>
      <c r="UT22" s="65"/>
      <c r="UU22" s="65"/>
      <c r="UV22" s="65"/>
      <c r="UW22" s="65"/>
      <c r="UX22" s="65"/>
      <c r="UY22" s="65"/>
      <c r="UZ22" s="65"/>
      <c r="VA22" s="65"/>
      <c r="VB22" s="65"/>
      <c r="VC22" s="65"/>
      <c r="VD22" s="65"/>
      <c r="VE22" s="65"/>
      <c r="VF22" s="65"/>
      <c r="VG22" s="65"/>
      <c r="VH22" s="65"/>
      <c r="VI22" s="65"/>
      <c r="VJ22" s="65"/>
      <c r="VK22" s="65"/>
      <c r="VL22" s="65"/>
      <c r="VM22" s="65"/>
      <c r="VN22" s="65"/>
      <c r="VO22" s="65"/>
      <c r="VP22" s="65"/>
      <c r="VQ22" s="65"/>
      <c r="VR22" s="65"/>
      <c r="VS22" s="65"/>
      <c r="VT22" s="65"/>
      <c r="VU22" s="65"/>
      <c r="VV22" s="65"/>
      <c r="VW22" s="65"/>
      <c r="VX22" s="65"/>
      <c r="VY22" s="65"/>
      <c r="VZ22" s="65"/>
      <c r="WA22" s="65"/>
      <c r="WB22" s="65"/>
      <c r="WC22" s="65"/>
      <c r="WD22" s="65"/>
      <c r="WE22" s="65"/>
      <c r="WF22" s="65"/>
      <c r="WG22" s="65"/>
      <c r="WH22" s="65"/>
      <c r="WI22" s="65"/>
      <c r="WJ22" s="65"/>
      <c r="WK22" s="65"/>
      <c r="WL22" s="65"/>
      <c r="WM22" s="65"/>
      <c r="WN22" s="65"/>
      <c r="WO22" s="65"/>
      <c r="WP22" s="65"/>
      <c r="WQ22" s="65"/>
      <c r="WR22" s="65"/>
      <c r="WS22" s="65"/>
      <c r="WT22" s="65"/>
      <c r="WU22" s="65"/>
      <c r="WV22" s="65"/>
      <c r="WW22" s="65"/>
      <c r="WX22" s="65"/>
      <c r="WY22" s="65"/>
      <c r="WZ22" s="65"/>
      <c r="XA22" s="65"/>
      <c r="XB22" s="65"/>
      <c r="XC22" s="65"/>
      <c r="XD22" s="65"/>
      <c r="XE22" s="65"/>
      <c r="XF22" s="65"/>
      <c r="XG22" s="65"/>
      <c r="XH22" s="65"/>
      <c r="XI22" s="65"/>
      <c r="XJ22" s="65"/>
      <c r="XK22" s="65"/>
      <c r="XL22" s="65"/>
      <c r="XM22" s="65"/>
      <c r="XN22" s="65"/>
      <c r="XO22" s="65"/>
      <c r="XP22" s="65"/>
      <c r="XQ22" s="65"/>
      <c r="XR22" s="65"/>
      <c r="XS22" s="65"/>
      <c r="XT22" s="65"/>
      <c r="XU22" s="65"/>
      <c r="XV22" s="65"/>
      <c r="XW22" s="65"/>
      <c r="XX22" s="65"/>
      <c r="XY22" s="65"/>
      <c r="XZ22" s="65"/>
      <c r="YA22" s="65"/>
      <c r="YB22" s="65"/>
      <c r="YC22" s="65"/>
      <c r="YD22" s="65"/>
      <c r="YE22" s="65"/>
      <c r="YF22" s="65"/>
      <c r="YG22" s="65"/>
      <c r="YH22" s="65"/>
      <c r="YI22" s="65"/>
      <c r="YJ22" s="65"/>
      <c r="YK22" s="65"/>
      <c r="YL22" s="65"/>
      <c r="YM22" s="65"/>
      <c r="YN22" s="65"/>
      <c r="YO22" s="65"/>
      <c r="YP22" s="65"/>
      <c r="YQ22" s="65"/>
      <c r="YR22" s="65"/>
      <c r="YS22" s="65"/>
      <c r="YT22" s="65"/>
      <c r="YU22" s="65"/>
      <c r="YV22" s="65"/>
      <c r="YW22" s="65"/>
      <c r="YX22" s="65"/>
      <c r="YY22" s="65"/>
      <c r="YZ22" s="65"/>
      <c r="ZA22" s="65"/>
      <c r="ZB22" s="65"/>
      <c r="ZC22" s="65"/>
      <c r="ZD22" s="65"/>
      <c r="ZE22" s="65"/>
      <c r="ZF22" s="65"/>
      <c r="ZG22" s="65"/>
      <c r="ZH22" s="65"/>
      <c r="ZI22" s="65"/>
      <c r="ZJ22" s="65"/>
      <c r="ZK22" s="65"/>
      <c r="ZL22" s="65"/>
      <c r="ZM22" s="65"/>
      <c r="ZN22" s="65"/>
      <c r="ZO22" s="65"/>
      <c r="ZP22" s="65"/>
      <c r="ZQ22" s="65"/>
      <c r="ZR22" s="65"/>
      <c r="ZS22" s="65"/>
      <c r="ZT22" s="65"/>
      <c r="ZU22" s="65"/>
      <c r="ZV22" s="65"/>
      <c r="ZW22" s="65"/>
      <c r="ZX22" s="65"/>
      <c r="ZY22" s="65"/>
      <c r="ZZ22" s="65"/>
      <c r="AAA22" s="65"/>
      <c r="AAB22" s="65"/>
      <c r="AAC22" s="65"/>
      <c r="AAD22" s="65"/>
      <c r="AAE22" s="65"/>
      <c r="AAF22" s="65"/>
      <c r="AAG22" s="65"/>
      <c r="AAH22" s="65"/>
      <c r="AAI22" s="65"/>
      <c r="AAJ22" s="65"/>
      <c r="AAK22" s="65"/>
      <c r="AAL22" s="65"/>
      <c r="AAM22" s="65"/>
      <c r="AAN22" s="65"/>
      <c r="AAO22" s="65"/>
      <c r="AAP22" s="65"/>
      <c r="AAQ22" s="65"/>
      <c r="AAR22" s="65"/>
      <c r="AAS22" s="65"/>
      <c r="AAT22" s="65"/>
      <c r="AAU22" s="65"/>
      <c r="AAV22" s="65"/>
      <c r="AAW22" s="65"/>
      <c r="AAX22" s="65"/>
      <c r="AAY22" s="65"/>
      <c r="AAZ22" s="65"/>
      <c r="ABA22" s="65"/>
      <c r="ABB22" s="65"/>
      <c r="ABC22" s="65"/>
      <c r="ABD22" s="65"/>
      <c r="ABE22" s="65"/>
      <c r="ABF22" s="65"/>
      <c r="ABG22" s="65"/>
      <c r="ABH22" s="65"/>
      <c r="ABI22" s="65"/>
      <c r="ABJ22" s="65"/>
      <c r="ABK22" s="65"/>
      <c r="ABL22" s="65"/>
      <c r="ABM22" s="65"/>
      <c r="ABN22" s="65"/>
      <c r="ABO22" s="65"/>
      <c r="ABP22" s="65"/>
      <c r="ABQ22" s="65"/>
      <c r="ABR22" s="65"/>
      <c r="ABS22" s="65"/>
      <c r="ABT22" s="65"/>
      <c r="ABU22" s="65"/>
      <c r="ABV22" s="65"/>
      <c r="ABW22" s="65"/>
      <c r="ABX22" s="65"/>
      <c r="ABY22" s="65"/>
      <c r="ABZ22" s="65"/>
      <c r="ACA22" s="65"/>
      <c r="ACB22" s="65"/>
      <c r="ACC22" s="65"/>
      <c r="ACD22" s="65"/>
      <c r="ACE22" s="65"/>
      <c r="ACF22" s="65"/>
      <c r="ACG22" s="65"/>
      <c r="ACH22" s="65"/>
      <c r="ACI22" s="65"/>
      <c r="ACJ22" s="65"/>
      <c r="ACK22" s="65"/>
      <c r="ACL22" s="65"/>
      <c r="ACM22" s="65"/>
      <c r="ACN22" s="65"/>
      <c r="ACO22" s="65"/>
      <c r="ACP22" s="65"/>
      <c r="ACQ22" s="65"/>
      <c r="ACR22" s="65"/>
      <c r="ACS22" s="65"/>
      <c r="ACT22" s="65"/>
      <c r="ACU22" s="65"/>
      <c r="ACV22" s="65"/>
      <c r="ACW22" s="65"/>
      <c r="ACX22" s="65"/>
      <c r="ACY22" s="65"/>
      <c r="ACZ22" s="65"/>
      <c r="ADA22" s="65"/>
      <c r="ADB22" s="65"/>
      <c r="ADC22" s="65"/>
      <c r="ADD22" s="65"/>
      <c r="ADE22" s="65"/>
      <c r="ADF22" s="65"/>
      <c r="ADG22" s="65"/>
      <c r="ADH22" s="65"/>
      <c r="ADI22" s="65"/>
      <c r="ADJ22" s="65"/>
      <c r="ADK22" s="65"/>
      <c r="ADL22" s="65"/>
      <c r="ADM22" s="65"/>
      <c r="ADN22" s="65"/>
      <c r="ADO22" s="65"/>
      <c r="ADP22" s="65"/>
      <c r="ADQ22" s="65"/>
      <c r="ADR22" s="65"/>
      <c r="ADS22" s="65"/>
      <c r="ADT22" s="65"/>
      <c r="ADU22" s="65"/>
      <c r="ADV22" s="65"/>
      <c r="ADW22" s="65"/>
      <c r="ADX22" s="65"/>
      <c r="ADY22" s="65"/>
      <c r="ADZ22" s="65"/>
      <c r="AEA22" s="65"/>
      <c r="AEB22" s="65"/>
      <c r="AEC22" s="65"/>
      <c r="AED22" s="65"/>
      <c r="AEE22" s="65"/>
      <c r="AEF22" s="65"/>
      <c r="AEG22" s="65"/>
      <c r="AEH22" s="65"/>
      <c r="AEI22" s="65"/>
      <c r="AEJ22" s="65"/>
      <c r="AEK22" s="65"/>
      <c r="AEL22" s="65"/>
      <c r="AEM22" s="65"/>
      <c r="AEN22" s="65"/>
      <c r="AEO22" s="65"/>
      <c r="AEP22" s="65"/>
      <c r="AEQ22" s="65"/>
      <c r="AER22" s="65"/>
      <c r="AES22" s="65"/>
      <c r="AET22" s="65"/>
      <c r="AEU22" s="65"/>
      <c r="AEV22" s="65"/>
      <c r="AEW22" s="65"/>
      <c r="AEX22" s="65"/>
      <c r="AEY22" s="65"/>
      <c r="AEZ22" s="65"/>
      <c r="AFA22" s="65"/>
      <c r="AFB22" s="65"/>
      <c r="AFC22" s="65"/>
      <c r="AFD22" s="65"/>
      <c r="AFE22" s="65"/>
      <c r="AFF22" s="65"/>
      <c r="AFG22" s="65"/>
      <c r="AFH22" s="65"/>
      <c r="AFI22" s="65"/>
      <c r="AFJ22" s="65"/>
      <c r="AFK22" s="65"/>
      <c r="AFL22" s="65"/>
      <c r="AFM22" s="65"/>
      <c r="AFN22" s="65"/>
      <c r="AFO22" s="65"/>
      <c r="AFP22" s="65"/>
      <c r="AFQ22" s="65"/>
      <c r="AFR22" s="65"/>
      <c r="AFS22" s="65"/>
      <c r="AFT22" s="65"/>
      <c r="AFU22" s="65"/>
      <c r="AFV22" s="65"/>
      <c r="AFW22" s="65"/>
      <c r="AFX22" s="65"/>
      <c r="AFY22" s="65"/>
      <c r="AFZ22" s="65"/>
      <c r="AGA22" s="65"/>
      <c r="AGB22" s="65"/>
      <c r="AGC22" s="65"/>
      <c r="AGD22" s="65"/>
      <c r="AGE22" s="65"/>
      <c r="AGF22" s="65"/>
      <c r="AGG22" s="65"/>
      <c r="AGH22" s="65"/>
      <c r="AGI22" s="65"/>
      <c r="AGJ22" s="65"/>
      <c r="AGK22" s="65"/>
      <c r="AGL22" s="65"/>
      <c r="AGM22" s="65"/>
      <c r="AGN22" s="65"/>
      <c r="AGO22" s="65"/>
      <c r="AGP22" s="65"/>
      <c r="AGQ22" s="65"/>
      <c r="AGR22" s="65"/>
      <c r="AGS22" s="65"/>
      <c r="AGT22" s="65"/>
      <c r="AGU22" s="65"/>
      <c r="AGV22" s="65"/>
      <c r="AGW22" s="65"/>
      <c r="AGX22" s="65"/>
      <c r="AGY22" s="65"/>
      <c r="AGZ22" s="65"/>
      <c r="AHA22" s="65"/>
      <c r="AHB22" s="65"/>
      <c r="AHC22" s="65"/>
      <c r="AHD22" s="65"/>
      <c r="AHE22" s="65"/>
      <c r="AHF22" s="65"/>
      <c r="AHG22" s="65"/>
      <c r="AHH22" s="65"/>
      <c r="AHI22" s="65"/>
      <c r="AHJ22" s="65"/>
      <c r="AHK22" s="65"/>
      <c r="AHL22" s="65"/>
      <c r="AHM22" s="65"/>
      <c r="AHN22" s="65"/>
      <c r="AHO22" s="65"/>
      <c r="AHP22" s="65"/>
      <c r="AHQ22" s="65"/>
      <c r="AHR22" s="65"/>
      <c r="AHS22" s="65"/>
      <c r="AHT22" s="65"/>
      <c r="AHU22" s="65"/>
      <c r="AHV22" s="65"/>
      <c r="AHW22" s="65"/>
      <c r="AHX22" s="65"/>
      <c r="AHY22" s="65"/>
      <c r="AHZ22" s="65"/>
      <c r="AIA22" s="65"/>
      <c r="AIB22" s="65"/>
      <c r="AIC22" s="65"/>
      <c r="AID22" s="65"/>
      <c r="AIE22" s="65"/>
      <c r="AIF22" s="65"/>
      <c r="AIG22" s="65"/>
      <c r="AIH22" s="65"/>
      <c r="AII22" s="65"/>
      <c r="AIJ22" s="65"/>
      <c r="AIK22" s="65"/>
      <c r="AIL22" s="65"/>
      <c r="AIM22" s="65"/>
      <c r="AIN22" s="65"/>
      <c r="AIO22" s="65"/>
      <c r="AIP22" s="65"/>
      <c r="AIQ22" s="65"/>
      <c r="AIR22" s="65"/>
      <c r="AIS22" s="65"/>
      <c r="AIT22" s="65"/>
      <c r="AIU22" s="65"/>
      <c r="AIV22" s="65"/>
      <c r="AIW22" s="65"/>
      <c r="AIX22" s="65"/>
      <c r="AIY22" s="65"/>
      <c r="AIZ22" s="65"/>
      <c r="AJA22" s="65"/>
      <c r="AJB22" s="65"/>
      <c r="AJC22" s="65"/>
      <c r="AJD22" s="65"/>
      <c r="AJE22" s="65"/>
      <c r="AJF22" s="65"/>
      <c r="AJG22" s="65"/>
      <c r="AJH22" s="65"/>
      <c r="AJI22" s="65"/>
      <c r="AJJ22" s="65"/>
      <c r="AJK22" s="65"/>
      <c r="AJL22" s="65"/>
      <c r="AJM22" s="65"/>
      <c r="AJN22" s="65"/>
      <c r="AJO22" s="65"/>
      <c r="AJP22" s="65"/>
      <c r="AJQ22" s="65"/>
      <c r="AJR22" s="65"/>
      <c r="AJS22" s="65"/>
      <c r="AJT22" s="65"/>
      <c r="AJU22" s="65"/>
      <c r="AJV22" s="65"/>
      <c r="AJW22" s="65"/>
      <c r="AJX22" s="65"/>
      <c r="AJY22" s="65"/>
      <c r="AJZ22" s="65"/>
      <c r="AKA22" s="65"/>
      <c r="AKB22" s="65"/>
      <c r="AKC22" s="65"/>
      <c r="AKD22" s="65"/>
      <c r="AKE22" s="65"/>
      <c r="AKF22" s="65"/>
      <c r="AKG22" s="65"/>
      <c r="AKH22" s="65"/>
      <c r="AKI22" s="65"/>
      <c r="AKJ22" s="65"/>
      <c r="AKK22" s="65"/>
      <c r="AKL22" s="65"/>
      <c r="AKM22" s="65"/>
      <c r="AKN22" s="65"/>
      <c r="AKO22" s="65"/>
      <c r="AKP22" s="65"/>
      <c r="AKQ22" s="65"/>
      <c r="AKR22" s="65"/>
      <c r="AKS22" s="65"/>
      <c r="AKT22" s="65"/>
      <c r="AKU22" s="65"/>
      <c r="AKV22" s="65"/>
      <c r="AKW22" s="65"/>
      <c r="AKX22" s="65"/>
      <c r="AKY22" s="65"/>
      <c r="AKZ22" s="65"/>
      <c r="ALA22" s="65"/>
      <c r="ALB22" s="65"/>
      <c r="ALC22" s="65"/>
      <c r="ALD22" s="65"/>
      <c r="ALE22" s="65"/>
      <c r="ALF22" s="65"/>
      <c r="ALG22" s="65"/>
      <c r="ALH22" s="65"/>
      <c r="ALI22" s="65"/>
      <c r="ALJ22" s="65"/>
      <c r="ALK22" s="65"/>
      <c r="ALL22" s="65"/>
      <c r="ALM22" s="65"/>
      <c r="ALN22" s="65"/>
      <c r="ALO22" s="65"/>
      <c r="ALP22" s="65"/>
      <c r="ALQ22" s="65"/>
      <c r="ALR22" s="65"/>
      <c r="ALS22" s="65"/>
      <c r="ALT22" s="65"/>
      <c r="ALU22" s="65"/>
      <c r="ALV22" s="65"/>
      <c r="ALW22" s="65"/>
      <c r="ALX22" s="65"/>
      <c r="ALY22" s="65"/>
      <c r="ALZ22" s="65"/>
      <c r="AMA22" s="65"/>
      <c r="AMB22" s="65"/>
      <c r="AMC22" s="65"/>
      <c r="AMD22" s="65"/>
      <c r="AME22" s="65"/>
      <c r="AMF22" s="65"/>
      <c r="AMG22" s="65"/>
      <c r="AMH22" s="65"/>
      <c r="AMI22" s="65"/>
      <c r="AMJ22" s="60"/>
    </row>
    <row r="23" spans="1:1024">
      <c r="A23" s="66" t="s">
        <v>39697</v>
      </c>
      <c r="B23" s="67" t="s">
        <v>39698</v>
      </c>
      <c r="C23" s="67">
        <v>9</v>
      </c>
      <c r="D23" s="67">
        <v>16336</v>
      </c>
      <c r="E23" s="67" t="s">
        <v>39709</v>
      </c>
      <c r="F23" s="67">
        <v>1122049</v>
      </c>
      <c r="G23" s="67">
        <v>235343</v>
      </c>
      <c r="H23" s="67">
        <v>251679</v>
      </c>
      <c r="I23" s="68">
        <v>1.0009999999999999</v>
      </c>
      <c r="J23" s="67">
        <v>7</v>
      </c>
      <c r="K23" s="67">
        <v>17</v>
      </c>
      <c r="L23" s="67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  <c r="IS23" s="65"/>
      <c r="IT23" s="65"/>
      <c r="IU23" s="65"/>
      <c r="IV23" s="65"/>
      <c r="IW23" s="65"/>
      <c r="IX23" s="65"/>
      <c r="IY23" s="65"/>
      <c r="IZ23" s="65"/>
      <c r="JA23" s="65"/>
      <c r="JB23" s="65"/>
      <c r="JC23" s="65"/>
      <c r="JD23" s="65"/>
      <c r="JE23" s="65"/>
      <c r="JF23" s="65"/>
      <c r="JG23" s="65"/>
      <c r="JH23" s="65"/>
      <c r="JI23" s="65"/>
      <c r="JJ23" s="65"/>
      <c r="JK23" s="65"/>
      <c r="JL23" s="65"/>
      <c r="JM23" s="65"/>
      <c r="JN23" s="65"/>
      <c r="JO23" s="65"/>
      <c r="JP23" s="65"/>
      <c r="JQ23" s="65"/>
      <c r="JR23" s="65"/>
      <c r="JS23" s="65"/>
      <c r="JT23" s="65"/>
      <c r="JU23" s="65"/>
      <c r="JV23" s="65"/>
      <c r="JW23" s="65"/>
      <c r="JX23" s="65"/>
      <c r="JY23" s="65"/>
      <c r="JZ23" s="65"/>
      <c r="KA23" s="65"/>
      <c r="KB23" s="65"/>
      <c r="KC23" s="65"/>
      <c r="KD23" s="65"/>
      <c r="KE23" s="65"/>
      <c r="KF23" s="65"/>
      <c r="KG23" s="65"/>
      <c r="KH23" s="65"/>
      <c r="KI23" s="65"/>
      <c r="KJ23" s="65"/>
      <c r="KK23" s="65"/>
      <c r="KL23" s="65"/>
      <c r="KM23" s="65"/>
      <c r="KN23" s="65"/>
      <c r="KO23" s="65"/>
      <c r="KP23" s="65"/>
      <c r="KQ23" s="65"/>
      <c r="KR23" s="65"/>
      <c r="KS23" s="65"/>
      <c r="KT23" s="65"/>
      <c r="KU23" s="65"/>
      <c r="KV23" s="65"/>
      <c r="KW23" s="65"/>
      <c r="KX23" s="65"/>
      <c r="KY23" s="65"/>
      <c r="KZ23" s="65"/>
      <c r="LA23" s="65"/>
      <c r="LB23" s="65"/>
      <c r="LC23" s="65"/>
      <c r="LD23" s="65"/>
      <c r="LE23" s="65"/>
      <c r="LF23" s="65"/>
      <c r="LG23" s="65"/>
      <c r="LH23" s="65"/>
      <c r="LI23" s="65"/>
      <c r="LJ23" s="65"/>
      <c r="LK23" s="65"/>
      <c r="LL23" s="65"/>
      <c r="LM23" s="65"/>
      <c r="LN23" s="65"/>
      <c r="LO23" s="65"/>
      <c r="LP23" s="65"/>
      <c r="LQ23" s="65"/>
      <c r="LR23" s="65"/>
      <c r="LS23" s="65"/>
      <c r="LT23" s="65"/>
      <c r="LU23" s="65"/>
      <c r="LV23" s="65"/>
      <c r="LW23" s="65"/>
      <c r="LX23" s="65"/>
      <c r="LY23" s="65"/>
      <c r="LZ23" s="65"/>
      <c r="MA23" s="65"/>
      <c r="MB23" s="65"/>
      <c r="MC23" s="65"/>
      <c r="MD23" s="65"/>
      <c r="ME23" s="65"/>
      <c r="MF23" s="65"/>
      <c r="MG23" s="65"/>
      <c r="MH23" s="65"/>
      <c r="MI23" s="65"/>
      <c r="MJ23" s="65"/>
      <c r="MK23" s="65"/>
      <c r="ML23" s="65"/>
      <c r="MM23" s="65"/>
      <c r="MN23" s="65"/>
      <c r="MO23" s="65"/>
      <c r="MP23" s="65"/>
      <c r="MQ23" s="65"/>
      <c r="MR23" s="65"/>
      <c r="MS23" s="65"/>
      <c r="MT23" s="65"/>
      <c r="MU23" s="65"/>
      <c r="MV23" s="65"/>
      <c r="MW23" s="65"/>
      <c r="MX23" s="65"/>
      <c r="MY23" s="65"/>
      <c r="MZ23" s="65"/>
      <c r="NA23" s="65"/>
      <c r="NB23" s="65"/>
      <c r="NC23" s="65"/>
      <c r="ND23" s="65"/>
      <c r="NE23" s="65"/>
      <c r="NF23" s="65"/>
      <c r="NG23" s="65"/>
      <c r="NH23" s="65"/>
      <c r="NI23" s="65"/>
      <c r="NJ23" s="65"/>
      <c r="NK23" s="65"/>
      <c r="NL23" s="65"/>
      <c r="NM23" s="65"/>
      <c r="NN23" s="65"/>
      <c r="NO23" s="65"/>
      <c r="NP23" s="65"/>
      <c r="NQ23" s="65"/>
      <c r="NR23" s="65"/>
      <c r="NS23" s="65"/>
      <c r="NT23" s="65"/>
      <c r="NU23" s="65"/>
      <c r="NV23" s="65"/>
      <c r="NW23" s="65"/>
      <c r="NX23" s="65"/>
      <c r="NY23" s="65"/>
      <c r="NZ23" s="65"/>
      <c r="OA23" s="65"/>
      <c r="OB23" s="65"/>
      <c r="OC23" s="65"/>
      <c r="OD23" s="65"/>
      <c r="OE23" s="65"/>
      <c r="OF23" s="65"/>
      <c r="OG23" s="65"/>
      <c r="OH23" s="65"/>
      <c r="OI23" s="65"/>
      <c r="OJ23" s="65"/>
      <c r="OK23" s="65"/>
      <c r="OL23" s="65"/>
      <c r="OM23" s="65"/>
      <c r="ON23" s="65"/>
      <c r="OO23" s="65"/>
      <c r="OP23" s="65"/>
      <c r="OQ23" s="65"/>
      <c r="OR23" s="65"/>
      <c r="OS23" s="65"/>
      <c r="OT23" s="65"/>
      <c r="OU23" s="65"/>
      <c r="OV23" s="65"/>
      <c r="OW23" s="65"/>
      <c r="OX23" s="65"/>
      <c r="OY23" s="65"/>
      <c r="OZ23" s="65"/>
      <c r="PA23" s="65"/>
      <c r="PB23" s="65"/>
      <c r="PC23" s="65"/>
      <c r="PD23" s="65"/>
      <c r="PE23" s="65"/>
      <c r="PF23" s="65"/>
      <c r="PG23" s="65"/>
      <c r="PH23" s="65"/>
      <c r="PI23" s="65"/>
      <c r="PJ23" s="65"/>
      <c r="PK23" s="65"/>
      <c r="PL23" s="65"/>
      <c r="PM23" s="65"/>
      <c r="PN23" s="65"/>
      <c r="PO23" s="65"/>
      <c r="PP23" s="65"/>
      <c r="PQ23" s="65"/>
      <c r="PR23" s="65"/>
      <c r="PS23" s="65"/>
      <c r="PT23" s="65"/>
      <c r="PU23" s="65"/>
      <c r="PV23" s="65"/>
      <c r="PW23" s="65"/>
      <c r="PX23" s="65"/>
      <c r="PY23" s="65"/>
      <c r="PZ23" s="65"/>
      <c r="QA23" s="65"/>
      <c r="QB23" s="65"/>
      <c r="QC23" s="65"/>
      <c r="QD23" s="65"/>
      <c r="QE23" s="65"/>
      <c r="QF23" s="65"/>
      <c r="QG23" s="65"/>
      <c r="QH23" s="65"/>
      <c r="QI23" s="65"/>
      <c r="QJ23" s="65"/>
      <c r="QK23" s="65"/>
      <c r="QL23" s="65"/>
      <c r="QM23" s="65"/>
      <c r="QN23" s="65"/>
      <c r="QO23" s="65"/>
      <c r="QP23" s="65"/>
      <c r="QQ23" s="65"/>
      <c r="QR23" s="65"/>
      <c r="QS23" s="65"/>
      <c r="QT23" s="65"/>
      <c r="QU23" s="65"/>
      <c r="QV23" s="65"/>
      <c r="QW23" s="65"/>
      <c r="QX23" s="65"/>
      <c r="QY23" s="65"/>
      <c r="QZ23" s="65"/>
      <c r="RA23" s="65"/>
      <c r="RB23" s="65"/>
      <c r="RC23" s="65"/>
      <c r="RD23" s="65"/>
      <c r="RE23" s="65"/>
      <c r="RF23" s="65"/>
      <c r="RG23" s="65"/>
      <c r="RH23" s="65"/>
      <c r="RI23" s="65"/>
      <c r="RJ23" s="65"/>
      <c r="RK23" s="65"/>
      <c r="RL23" s="65"/>
      <c r="RM23" s="65"/>
      <c r="RN23" s="65"/>
      <c r="RO23" s="65"/>
      <c r="RP23" s="65"/>
      <c r="RQ23" s="65"/>
      <c r="RR23" s="65"/>
      <c r="RS23" s="65"/>
      <c r="RT23" s="65"/>
      <c r="RU23" s="65"/>
      <c r="RV23" s="65"/>
      <c r="RW23" s="65"/>
      <c r="RX23" s="65"/>
      <c r="RY23" s="65"/>
      <c r="RZ23" s="65"/>
      <c r="SA23" s="65"/>
      <c r="SB23" s="65"/>
      <c r="SC23" s="65"/>
      <c r="SD23" s="65"/>
      <c r="SE23" s="65"/>
      <c r="SF23" s="65"/>
      <c r="SG23" s="65"/>
      <c r="SH23" s="65"/>
      <c r="SI23" s="65"/>
      <c r="SJ23" s="65"/>
      <c r="SK23" s="65"/>
      <c r="SL23" s="65"/>
      <c r="SM23" s="65"/>
      <c r="SN23" s="65"/>
      <c r="SO23" s="65"/>
      <c r="SP23" s="65"/>
      <c r="SQ23" s="65"/>
      <c r="SR23" s="65"/>
      <c r="SS23" s="65"/>
      <c r="ST23" s="65"/>
      <c r="SU23" s="65"/>
      <c r="SV23" s="65"/>
      <c r="SW23" s="65"/>
      <c r="SX23" s="65"/>
      <c r="SY23" s="65"/>
      <c r="SZ23" s="65"/>
      <c r="TA23" s="65"/>
      <c r="TB23" s="65"/>
      <c r="TC23" s="65"/>
      <c r="TD23" s="65"/>
      <c r="TE23" s="65"/>
      <c r="TF23" s="65"/>
      <c r="TG23" s="65"/>
      <c r="TH23" s="65"/>
      <c r="TI23" s="65"/>
      <c r="TJ23" s="65"/>
      <c r="TK23" s="65"/>
      <c r="TL23" s="65"/>
      <c r="TM23" s="65"/>
      <c r="TN23" s="65"/>
      <c r="TO23" s="65"/>
      <c r="TP23" s="65"/>
      <c r="TQ23" s="65"/>
      <c r="TR23" s="65"/>
      <c r="TS23" s="65"/>
      <c r="TT23" s="65"/>
      <c r="TU23" s="65"/>
      <c r="TV23" s="65"/>
      <c r="TW23" s="65"/>
      <c r="TX23" s="65"/>
      <c r="TY23" s="65"/>
      <c r="TZ23" s="65"/>
      <c r="UA23" s="65"/>
      <c r="UB23" s="65"/>
      <c r="UC23" s="65"/>
      <c r="UD23" s="65"/>
      <c r="UE23" s="65"/>
      <c r="UF23" s="65"/>
      <c r="UG23" s="65"/>
      <c r="UH23" s="65"/>
      <c r="UI23" s="65"/>
      <c r="UJ23" s="65"/>
      <c r="UK23" s="65"/>
      <c r="UL23" s="65"/>
      <c r="UM23" s="65"/>
      <c r="UN23" s="65"/>
      <c r="UO23" s="65"/>
      <c r="UP23" s="65"/>
      <c r="UQ23" s="65"/>
      <c r="UR23" s="65"/>
      <c r="US23" s="65"/>
      <c r="UT23" s="65"/>
      <c r="UU23" s="65"/>
      <c r="UV23" s="65"/>
      <c r="UW23" s="65"/>
      <c r="UX23" s="65"/>
      <c r="UY23" s="65"/>
      <c r="UZ23" s="65"/>
      <c r="VA23" s="65"/>
      <c r="VB23" s="65"/>
      <c r="VC23" s="65"/>
      <c r="VD23" s="65"/>
      <c r="VE23" s="65"/>
      <c r="VF23" s="65"/>
      <c r="VG23" s="65"/>
      <c r="VH23" s="65"/>
      <c r="VI23" s="65"/>
      <c r="VJ23" s="65"/>
      <c r="VK23" s="65"/>
      <c r="VL23" s="65"/>
      <c r="VM23" s="65"/>
      <c r="VN23" s="65"/>
      <c r="VO23" s="65"/>
      <c r="VP23" s="65"/>
      <c r="VQ23" s="65"/>
      <c r="VR23" s="65"/>
      <c r="VS23" s="65"/>
      <c r="VT23" s="65"/>
      <c r="VU23" s="65"/>
      <c r="VV23" s="65"/>
      <c r="VW23" s="65"/>
      <c r="VX23" s="65"/>
      <c r="VY23" s="65"/>
      <c r="VZ23" s="65"/>
      <c r="WA23" s="65"/>
      <c r="WB23" s="65"/>
      <c r="WC23" s="65"/>
      <c r="WD23" s="65"/>
      <c r="WE23" s="65"/>
      <c r="WF23" s="65"/>
      <c r="WG23" s="65"/>
      <c r="WH23" s="65"/>
      <c r="WI23" s="65"/>
      <c r="WJ23" s="65"/>
      <c r="WK23" s="65"/>
      <c r="WL23" s="65"/>
      <c r="WM23" s="65"/>
      <c r="WN23" s="65"/>
      <c r="WO23" s="65"/>
      <c r="WP23" s="65"/>
      <c r="WQ23" s="65"/>
      <c r="WR23" s="65"/>
      <c r="WS23" s="65"/>
      <c r="WT23" s="65"/>
      <c r="WU23" s="65"/>
      <c r="WV23" s="65"/>
      <c r="WW23" s="65"/>
      <c r="WX23" s="65"/>
      <c r="WY23" s="65"/>
      <c r="WZ23" s="65"/>
      <c r="XA23" s="65"/>
      <c r="XB23" s="65"/>
      <c r="XC23" s="65"/>
      <c r="XD23" s="65"/>
      <c r="XE23" s="65"/>
      <c r="XF23" s="65"/>
      <c r="XG23" s="65"/>
      <c r="XH23" s="65"/>
      <c r="XI23" s="65"/>
      <c r="XJ23" s="65"/>
      <c r="XK23" s="65"/>
      <c r="XL23" s="65"/>
      <c r="XM23" s="65"/>
      <c r="XN23" s="65"/>
      <c r="XO23" s="65"/>
      <c r="XP23" s="65"/>
      <c r="XQ23" s="65"/>
      <c r="XR23" s="65"/>
      <c r="XS23" s="65"/>
      <c r="XT23" s="65"/>
      <c r="XU23" s="65"/>
      <c r="XV23" s="65"/>
      <c r="XW23" s="65"/>
      <c r="XX23" s="65"/>
      <c r="XY23" s="65"/>
      <c r="XZ23" s="65"/>
      <c r="YA23" s="65"/>
      <c r="YB23" s="65"/>
      <c r="YC23" s="65"/>
      <c r="YD23" s="65"/>
      <c r="YE23" s="65"/>
      <c r="YF23" s="65"/>
      <c r="YG23" s="65"/>
      <c r="YH23" s="65"/>
      <c r="YI23" s="65"/>
      <c r="YJ23" s="65"/>
      <c r="YK23" s="65"/>
      <c r="YL23" s="65"/>
      <c r="YM23" s="65"/>
      <c r="YN23" s="65"/>
      <c r="YO23" s="65"/>
      <c r="YP23" s="65"/>
      <c r="YQ23" s="65"/>
      <c r="YR23" s="65"/>
      <c r="YS23" s="65"/>
      <c r="YT23" s="65"/>
      <c r="YU23" s="65"/>
      <c r="YV23" s="65"/>
      <c r="YW23" s="65"/>
      <c r="YX23" s="65"/>
      <c r="YY23" s="65"/>
      <c r="YZ23" s="65"/>
      <c r="ZA23" s="65"/>
      <c r="ZB23" s="65"/>
      <c r="ZC23" s="65"/>
      <c r="ZD23" s="65"/>
      <c r="ZE23" s="65"/>
      <c r="ZF23" s="65"/>
      <c r="ZG23" s="65"/>
      <c r="ZH23" s="65"/>
      <c r="ZI23" s="65"/>
      <c r="ZJ23" s="65"/>
      <c r="ZK23" s="65"/>
      <c r="ZL23" s="65"/>
      <c r="ZM23" s="65"/>
      <c r="ZN23" s="65"/>
      <c r="ZO23" s="65"/>
      <c r="ZP23" s="65"/>
      <c r="ZQ23" s="65"/>
      <c r="ZR23" s="65"/>
      <c r="ZS23" s="65"/>
      <c r="ZT23" s="65"/>
      <c r="ZU23" s="65"/>
      <c r="ZV23" s="65"/>
      <c r="ZW23" s="65"/>
      <c r="ZX23" s="65"/>
      <c r="ZY23" s="65"/>
      <c r="ZZ23" s="65"/>
      <c r="AAA23" s="65"/>
      <c r="AAB23" s="65"/>
      <c r="AAC23" s="65"/>
      <c r="AAD23" s="65"/>
      <c r="AAE23" s="65"/>
      <c r="AAF23" s="65"/>
      <c r="AAG23" s="65"/>
      <c r="AAH23" s="65"/>
      <c r="AAI23" s="65"/>
      <c r="AAJ23" s="65"/>
      <c r="AAK23" s="65"/>
      <c r="AAL23" s="65"/>
      <c r="AAM23" s="65"/>
      <c r="AAN23" s="65"/>
      <c r="AAO23" s="65"/>
      <c r="AAP23" s="65"/>
      <c r="AAQ23" s="65"/>
      <c r="AAR23" s="65"/>
      <c r="AAS23" s="65"/>
      <c r="AAT23" s="65"/>
      <c r="AAU23" s="65"/>
      <c r="AAV23" s="65"/>
      <c r="AAW23" s="65"/>
      <c r="AAX23" s="65"/>
      <c r="AAY23" s="65"/>
      <c r="AAZ23" s="65"/>
      <c r="ABA23" s="65"/>
      <c r="ABB23" s="65"/>
      <c r="ABC23" s="65"/>
      <c r="ABD23" s="65"/>
      <c r="ABE23" s="65"/>
      <c r="ABF23" s="65"/>
      <c r="ABG23" s="65"/>
      <c r="ABH23" s="65"/>
      <c r="ABI23" s="65"/>
      <c r="ABJ23" s="65"/>
      <c r="ABK23" s="65"/>
      <c r="ABL23" s="65"/>
      <c r="ABM23" s="65"/>
      <c r="ABN23" s="65"/>
      <c r="ABO23" s="65"/>
      <c r="ABP23" s="65"/>
      <c r="ABQ23" s="65"/>
      <c r="ABR23" s="65"/>
      <c r="ABS23" s="65"/>
      <c r="ABT23" s="65"/>
      <c r="ABU23" s="65"/>
      <c r="ABV23" s="65"/>
      <c r="ABW23" s="65"/>
      <c r="ABX23" s="65"/>
      <c r="ABY23" s="65"/>
      <c r="ABZ23" s="65"/>
      <c r="ACA23" s="65"/>
      <c r="ACB23" s="65"/>
      <c r="ACC23" s="65"/>
      <c r="ACD23" s="65"/>
      <c r="ACE23" s="65"/>
      <c r="ACF23" s="65"/>
      <c r="ACG23" s="65"/>
      <c r="ACH23" s="65"/>
      <c r="ACI23" s="65"/>
      <c r="ACJ23" s="65"/>
      <c r="ACK23" s="65"/>
      <c r="ACL23" s="65"/>
      <c r="ACM23" s="65"/>
      <c r="ACN23" s="65"/>
      <c r="ACO23" s="65"/>
      <c r="ACP23" s="65"/>
      <c r="ACQ23" s="65"/>
      <c r="ACR23" s="65"/>
      <c r="ACS23" s="65"/>
      <c r="ACT23" s="65"/>
      <c r="ACU23" s="65"/>
      <c r="ACV23" s="65"/>
      <c r="ACW23" s="65"/>
      <c r="ACX23" s="65"/>
      <c r="ACY23" s="65"/>
      <c r="ACZ23" s="65"/>
      <c r="ADA23" s="65"/>
      <c r="ADB23" s="65"/>
      <c r="ADC23" s="65"/>
      <c r="ADD23" s="65"/>
      <c r="ADE23" s="65"/>
      <c r="ADF23" s="65"/>
      <c r="ADG23" s="65"/>
      <c r="ADH23" s="65"/>
      <c r="ADI23" s="65"/>
      <c r="ADJ23" s="65"/>
      <c r="ADK23" s="65"/>
      <c r="ADL23" s="65"/>
      <c r="ADM23" s="65"/>
      <c r="ADN23" s="65"/>
      <c r="ADO23" s="65"/>
      <c r="ADP23" s="65"/>
      <c r="ADQ23" s="65"/>
      <c r="ADR23" s="65"/>
      <c r="ADS23" s="65"/>
      <c r="ADT23" s="65"/>
      <c r="ADU23" s="65"/>
      <c r="ADV23" s="65"/>
      <c r="ADW23" s="65"/>
      <c r="ADX23" s="65"/>
      <c r="ADY23" s="65"/>
      <c r="ADZ23" s="65"/>
      <c r="AEA23" s="65"/>
      <c r="AEB23" s="65"/>
      <c r="AEC23" s="65"/>
      <c r="AED23" s="65"/>
      <c r="AEE23" s="65"/>
      <c r="AEF23" s="65"/>
      <c r="AEG23" s="65"/>
      <c r="AEH23" s="65"/>
      <c r="AEI23" s="65"/>
      <c r="AEJ23" s="65"/>
      <c r="AEK23" s="65"/>
      <c r="AEL23" s="65"/>
      <c r="AEM23" s="65"/>
      <c r="AEN23" s="65"/>
      <c r="AEO23" s="65"/>
      <c r="AEP23" s="65"/>
      <c r="AEQ23" s="65"/>
      <c r="AER23" s="65"/>
      <c r="AES23" s="65"/>
      <c r="AET23" s="65"/>
      <c r="AEU23" s="65"/>
      <c r="AEV23" s="65"/>
      <c r="AEW23" s="65"/>
      <c r="AEX23" s="65"/>
      <c r="AEY23" s="65"/>
      <c r="AEZ23" s="65"/>
      <c r="AFA23" s="65"/>
      <c r="AFB23" s="65"/>
      <c r="AFC23" s="65"/>
      <c r="AFD23" s="65"/>
      <c r="AFE23" s="65"/>
      <c r="AFF23" s="65"/>
      <c r="AFG23" s="65"/>
      <c r="AFH23" s="65"/>
      <c r="AFI23" s="65"/>
      <c r="AFJ23" s="65"/>
      <c r="AFK23" s="65"/>
      <c r="AFL23" s="65"/>
      <c r="AFM23" s="65"/>
      <c r="AFN23" s="65"/>
      <c r="AFO23" s="65"/>
      <c r="AFP23" s="65"/>
      <c r="AFQ23" s="65"/>
      <c r="AFR23" s="65"/>
      <c r="AFS23" s="65"/>
      <c r="AFT23" s="65"/>
      <c r="AFU23" s="65"/>
      <c r="AFV23" s="65"/>
      <c r="AFW23" s="65"/>
      <c r="AFX23" s="65"/>
      <c r="AFY23" s="65"/>
      <c r="AFZ23" s="65"/>
      <c r="AGA23" s="65"/>
      <c r="AGB23" s="65"/>
      <c r="AGC23" s="65"/>
      <c r="AGD23" s="65"/>
      <c r="AGE23" s="65"/>
      <c r="AGF23" s="65"/>
      <c r="AGG23" s="65"/>
      <c r="AGH23" s="65"/>
      <c r="AGI23" s="65"/>
      <c r="AGJ23" s="65"/>
      <c r="AGK23" s="65"/>
      <c r="AGL23" s="65"/>
      <c r="AGM23" s="65"/>
      <c r="AGN23" s="65"/>
      <c r="AGO23" s="65"/>
      <c r="AGP23" s="65"/>
      <c r="AGQ23" s="65"/>
      <c r="AGR23" s="65"/>
      <c r="AGS23" s="65"/>
      <c r="AGT23" s="65"/>
      <c r="AGU23" s="65"/>
      <c r="AGV23" s="65"/>
      <c r="AGW23" s="65"/>
      <c r="AGX23" s="65"/>
      <c r="AGY23" s="65"/>
      <c r="AGZ23" s="65"/>
      <c r="AHA23" s="65"/>
      <c r="AHB23" s="65"/>
      <c r="AHC23" s="65"/>
      <c r="AHD23" s="65"/>
      <c r="AHE23" s="65"/>
      <c r="AHF23" s="65"/>
      <c r="AHG23" s="65"/>
      <c r="AHH23" s="65"/>
      <c r="AHI23" s="65"/>
      <c r="AHJ23" s="65"/>
      <c r="AHK23" s="65"/>
      <c r="AHL23" s="65"/>
      <c r="AHM23" s="65"/>
      <c r="AHN23" s="65"/>
      <c r="AHO23" s="65"/>
      <c r="AHP23" s="65"/>
      <c r="AHQ23" s="65"/>
      <c r="AHR23" s="65"/>
      <c r="AHS23" s="65"/>
      <c r="AHT23" s="65"/>
      <c r="AHU23" s="65"/>
      <c r="AHV23" s="65"/>
      <c r="AHW23" s="65"/>
      <c r="AHX23" s="65"/>
      <c r="AHY23" s="65"/>
      <c r="AHZ23" s="65"/>
      <c r="AIA23" s="65"/>
      <c r="AIB23" s="65"/>
      <c r="AIC23" s="65"/>
      <c r="AID23" s="65"/>
      <c r="AIE23" s="65"/>
      <c r="AIF23" s="65"/>
      <c r="AIG23" s="65"/>
      <c r="AIH23" s="65"/>
      <c r="AII23" s="65"/>
      <c r="AIJ23" s="65"/>
      <c r="AIK23" s="65"/>
      <c r="AIL23" s="65"/>
      <c r="AIM23" s="65"/>
      <c r="AIN23" s="65"/>
      <c r="AIO23" s="65"/>
      <c r="AIP23" s="65"/>
      <c r="AIQ23" s="65"/>
      <c r="AIR23" s="65"/>
      <c r="AIS23" s="65"/>
      <c r="AIT23" s="65"/>
      <c r="AIU23" s="65"/>
      <c r="AIV23" s="65"/>
      <c r="AIW23" s="65"/>
      <c r="AIX23" s="65"/>
      <c r="AIY23" s="65"/>
      <c r="AIZ23" s="65"/>
      <c r="AJA23" s="65"/>
      <c r="AJB23" s="65"/>
      <c r="AJC23" s="65"/>
      <c r="AJD23" s="65"/>
      <c r="AJE23" s="65"/>
      <c r="AJF23" s="65"/>
      <c r="AJG23" s="65"/>
      <c r="AJH23" s="65"/>
      <c r="AJI23" s="65"/>
      <c r="AJJ23" s="65"/>
      <c r="AJK23" s="65"/>
      <c r="AJL23" s="65"/>
      <c r="AJM23" s="65"/>
      <c r="AJN23" s="65"/>
      <c r="AJO23" s="65"/>
      <c r="AJP23" s="65"/>
      <c r="AJQ23" s="65"/>
      <c r="AJR23" s="65"/>
      <c r="AJS23" s="65"/>
      <c r="AJT23" s="65"/>
      <c r="AJU23" s="65"/>
      <c r="AJV23" s="65"/>
      <c r="AJW23" s="65"/>
      <c r="AJX23" s="65"/>
      <c r="AJY23" s="65"/>
      <c r="AJZ23" s="65"/>
      <c r="AKA23" s="65"/>
      <c r="AKB23" s="65"/>
      <c r="AKC23" s="65"/>
      <c r="AKD23" s="65"/>
      <c r="AKE23" s="65"/>
      <c r="AKF23" s="65"/>
      <c r="AKG23" s="65"/>
      <c r="AKH23" s="65"/>
      <c r="AKI23" s="65"/>
      <c r="AKJ23" s="65"/>
      <c r="AKK23" s="65"/>
      <c r="AKL23" s="65"/>
      <c r="AKM23" s="65"/>
      <c r="AKN23" s="65"/>
      <c r="AKO23" s="65"/>
      <c r="AKP23" s="65"/>
      <c r="AKQ23" s="65"/>
      <c r="AKR23" s="65"/>
      <c r="AKS23" s="65"/>
      <c r="AKT23" s="65"/>
      <c r="AKU23" s="65"/>
      <c r="AKV23" s="65"/>
      <c r="AKW23" s="65"/>
      <c r="AKX23" s="65"/>
      <c r="AKY23" s="65"/>
      <c r="AKZ23" s="65"/>
      <c r="ALA23" s="65"/>
      <c r="ALB23" s="65"/>
      <c r="ALC23" s="65"/>
      <c r="ALD23" s="65"/>
      <c r="ALE23" s="65"/>
      <c r="ALF23" s="65"/>
      <c r="ALG23" s="65"/>
      <c r="ALH23" s="65"/>
      <c r="ALI23" s="65"/>
      <c r="ALJ23" s="65"/>
      <c r="ALK23" s="65"/>
      <c r="ALL23" s="65"/>
      <c r="ALM23" s="65"/>
      <c r="ALN23" s="65"/>
      <c r="ALO23" s="65"/>
      <c r="ALP23" s="65"/>
      <c r="ALQ23" s="65"/>
      <c r="ALR23" s="65"/>
      <c r="ALS23" s="65"/>
      <c r="ALT23" s="65"/>
      <c r="ALU23" s="65"/>
      <c r="ALV23" s="65"/>
      <c r="ALW23" s="65"/>
      <c r="ALX23" s="65"/>
      <c r="ALY23" s="65"/>
      <c r="ALZ23" s="65"/>
      <c r="AMA23" s="65"/>
      <c r="AMB23" s="65"/>
      <c r="AMC23" s="65"/>
      <c r="AMD23" s="65"/>
      <c r="AME23" s="65"/>
      <c r="AMF23" s="65"/>
      <c r="AMG23" s="65"/>
      <c r="AMH23" s="65"/>
      <c r="AMI23" s="65"/>
      <c r="AMJ23" s="60"/>
    </row>
    <row r="24" spans="1:1024">
      <c r="A24" s="66" t="s">
        <v>39697</v>
      </c>
      <c r="B24" s="67" t="s">
        <v>39698</v>
      </c>
      <c r="C24" s="67">
        <v>10</v>
      </c>
      <c r="D24" s="67">
        <v>15104</v>
      </c>
      <c r="E24" s="67" t="s">
        <v>39710</v>
      </c>
      <c r="F24" s="67">
        <v>1299472</v>
      </c>
      <c r="G24" s="67">
        <v>912917</v>
      </c>
      <c r="H24" s="67">
        <v>928021</v>
      </c>
      <c r="I24" s="68">
        <v>1.391</v>
      </c>
      <c r="J24" s="67">
        <v>7</v>
      </c>
      <c r="K24" s="67">
        <v>19</v>
      </c>
      <c r="L24" s="67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  <c r="IJ24" s="65"/>
      <c r="IK24" s="65"/>
      <c r="IL24" s="65"/>
      <c r="IM24" s="65"/>
      <c r="IN24" s="65"/>
      <c r="IO24" s="65"/>
      <c r="IP24" s="65"/>
      <c r="IQ24" s="65"/>
      <c r="IR24" s="65"/>
      <c r="IS24" s="65"/>
      <c r="IT24" s="65"/>
      <c r="IU24" s="65"/>
      <c r="IV24" s="65"/>
      <c r="IW24" s="65"/>
      <c r="IX24" s="65"/>
      <c r="IY24" s="65"/>
      <c r="IZ24" s="65"/>
      <c r="JA24" s="65"/>
      <c r="JB24" s="65"/>
      <c r="JC24" s="65"/>
      <c r="JD24" s="65"/>
      <c r="JE24" s="65"/>
      <c r="JF24" s="65"/>
      <c r="JG24" s="65"/>
      <c r="JH24" s="65"/>
      <c r="JI24" s="65"/>
      <c r="JJ24" s="65"/>
      <c r="JK24" s="65"/>
      <c r="JL24" s="65"/>
      <c r="JM24" s="65"/>
      <c r="JN24" s="65"/>
      <c r="JO24" s="65"/>
      <c r="JP24" s="65"/>
      <c r="JQ24" s="65"/>
      <c r="JR24" s="65"/>
      <c r="JS24" s="65"/>
      <c r="JT24" s="65"/>
      <c r="JU24" s="65"/>
      <c r="JV24" s="65"/>
      <c r="JW24" s="65"/>
      <c r="JX24" s="65"/>
      <c r="JY24" s="65"/>
      <c r="JZ24" s="65"/>
      <c r="KA24" s="65"/>
      <c r="KB24" s="65"/>
      <c r="KC24" s="65"/>
      <c r="KD24" s="65"/>
      <c r="KE24" s="65"/>
      <c r="KF24" s="65"/>
      <c r="KG24" s="65"/>
      <c r="KH24" s="65"/>
      <c r="KI24" s="65"/>
      <c r="KJ24" s="65"/>
      <c r="KK24" s="65"/>
      <c r="KL24" s="65"/>
      <c r="KM24" s="65"/>
      <c r="KN24" s="65"/>
      <c r="KO24" s="65"/>
      <c r="KP24" s="65"/>
      <c r="KQ24" s="65"/>
      <c r="KR24" s="65"/>
      <c r="KS24" s="65"/>
      <c r="KT24" s="65"/>
      <c r="KU24" s="65"/>
      <c r="KV24" s="65"/>
      <c r="KW24" s="65"/>
      <c r="KX24" s="65"/>
      <c r="KY24" s="65"/>
      <c r="KZ24" s="65"/>
      <c r="LA24" s="65"/>
      <c r="LB24" s="65"/>
      <c r="LC24" s="65"/>
      <c r="LD24" s="65"/>
      <c r="LE24" s="65"/>
      <c r="LF24" s="65"/>
      <c r="LG24" s="65"/>
      <c r="LH24" s="65"/>
      <c r="LI24" s="65"/>
      <c r="LJ24" s="65"/>
      <c r="LK24" s="65"/>
      <c r="LL24" s="65"/>
      <c r="LM24" s="65"/>
      <c r="LN24" s="65"/>
      <c r="LO24" s="65"/>
      <c r="LP24" s="65"/>
      <c r="LQ24" s="65"/>
      <c r="LR24" s="65"/>
      <c r="LS24" s="65"/>
      <c r="LT24" s="65"/>
      <c r="LU24" s="65"/>
      <c r="LV24" s="65"/>
      <c r="LW24" s="65"/>
      <c r="LX24" s="65"/>
      <c r="LY24" s="65"/>
      <c r="LZ24" s="65"/>
      <c r="MA24" s="65"/>
      <c r="MB24" s="65"/>
      <c r="MC24" s="65"/>
      <c r="MD24" s="65"/>
      <c r="ME24" s="65"/>
      <c r="MF24" s="65"/>
      <c r="MG24" s="65"/>
      <c r="MH24" s="65"/>
      <c r="MI24" s="65"/>
      <c r="MJ24" s="65"/>
      <c r="MK24" s="65"/>
      <c r="ML24" s="65"/>
      <c r="MM24" s="65"/>
      <c r="MN24" s="65"/>
      <c r="MO24" s="65"/>
      <c r="MP24" s="65"/>
      <c r="MQ24" s="65"/>
      <c r="MR24" s="65"/>
      <c r="MS24" s="65"/>
      <c r="MT24" s="65"/>
      <c r="MU24" s="65"/>
      <c r="MV24" s="65"/>
      <c r="MW24" s="65"/>
      <c r="MX24" s="65"/>
      <c r="MY24" s="65"/>
      <c r="MZ24" s="65"/>
      <c r="NA24" s="65"/>
      <c r="NB24" s="65"/>
      <c r="NC24" s="65"/>
      <c r="ND24" s="65"/>
      <c r="NE24" s="65"/>
      <c r="NF24" s="65"/>
      <c r="NG24" s="65"/>
      <c r="NH24" s="65"/>
      <c r="NI24" s="65"/>
      <c r="NJ24" s="65"/>
      <c r="NK24" s="65"/>
      <c r="NL24" s="65"/>
      <c r="NM24" s="65"/>
      <c r="NN24" s="65"/>
      <c r="NO24" s="65"/>
      <c r="NP24" s="65"/>
      <c r="NQ24" s="65"/>
      <c r="NR24" s="65"/>
      <c r="NS24" s="65"/>
      <c r="NT24" s="65"/>
      <c r="NU24" s="65"/>
      <c r="NV24" s="65"/>
      <c r="NW24" s="65"/>
      <c r="NX24" s="65"/>
      <c r="NY24" s="65"/>
      <c r="NZ24" s="65"/>
      <c r="OA24" s="65"/>
      <c r="OB24" s="65"/>
      <c r="OC24" s="65"/>
      <c r="OD24" s="65"/>
      <c r="OE24" s="65"/>
      <c r="OF24" s="65"/>
      <c r="OG24" s="65"/>
      <c r="OH24" s="65"/>
      <c r="OI24" s="65"/>
      <c r="OJ24" s="65"/>
      <c r="OK24" s="65"/>
      <c r="OL24" s="65"/>
      <c r="OM24" s="65"/>
      <c r="ON24" s="65"/>
      <c r="OO24" s="65"/>
      <c r="OP24" s="65"/>
      <c r="OQ24" s="65"/>
      <c r="OR24" s="65"/>
      <c r="OS24" s="65"/>
      <c r="OT24" s="65"/>
      <c r="OU24" s="65"/>
      <c r="OV24" s="65"/>
      <c r="OW24" s="65"/>
      <c r="OX24" s="65"/>
      <c r="OY24" s="65"/>
      <c r="OZ24" s="65"/>
      <c r="PA24" s="65"/>
      <c r="PB24" s="65"/>
      <c r="PC24" s="65"/>
      <c r="PD24" s="65"/>
      <c r="PE24" s="65"/>
      <c r="PF24" s="65"/>
      <c r="PG24" s="65"/>
      <c r="PH24" s="65"/>
      <c r="PI24" s="65"/>
      <c r="PJ24" s="65"/>
      <c r="PK24" s="65"/>
      <c r="PL24" s="65"/>
      <c r="PM24" s="65"/>
      <c r="PN24" s="65"/>
      <c r="PO24" s="65"/>
      <c r="PP24" s="65"/>
      <c r="PQ24" s="65"/>
      <c r="PR24" s="65"/>
      <c r="PS24" s="65"/>
      <c r="PT24" s="65"/>
      <c r="PU24" s="65"/>
      <c r="PV24" s="65"/>
      <c r="PW24" s="65"/>
      <c r="PX24" s="65"/>
      <c r="PY24" s="65"/>
      <c r="PZ24" s="65"/>
      <c r="QA24" s="65"/>
      <c r="QB24" s="65"/>
      <c r="QC24" s="65"/>
      <c r="QD24" s="65"/>
      <c r="QE24" s="65"/>
      <c r="QF24" s="65"/>
      <c r="QG24" s="65"/>
      <c r="QH24" s="65"/>
      <c r="QI24" s="65"/>
      <c r="QJ24" s="65"/>
      <c r="QK24" s="65"/>
      <c r="QL24" s="65"/>
      <c r="QM24" s="65"/>
      <c r="QN24" s="65"/>
      <c r="QO24" s="65"/>
      <c r="QP24" s="65"/>
      <c r="QQ24" s="65"/>
      <c r="QR24" s="65"/>
      <c r="QS24" s="65"/>
      <c r="QT24" s="65"/>
      <c r="QU24" s="65"/>
      <c r="QV24" s="65"/>
      <c r="QW24" s="65"/>
      <c r="QX24" s="65"/>
      <c r="QY24" s="65"/>
      <c r="QZ24" s="65"/>
      <c r="RA24" s="65"/>
      <c r="RB24" s="65"/>
      <c r="RC24" s="65"/>
      <c r="RD24" s="65"/>
      <c r="RE24" s="65"/>
      <c r="RF24" s="65"/>
      <c r="RG24" s="65"/>
      <c r="RH24" s="65"/>
      <c r="RI24" s="65"/>
      <c r="RJ24" s="65"/>
      <c r="RK24" s="65"/>
      <c r="RL24" s="65"/>
      <c r="RM24" s="65"/>
      <c r="RN24" s="65"/>
      <c r="RO24" s="65"/>
      <c r="RP24" s="65"/>
      <c r="RQ24" s="65"/>
      <c r="RR24" s="65"/>
      <c r="RS24" s="65"/>
      <c r="RT24" s="65"/>
      <c r="RU24" s="65"/>
      <c r="RV24" s="65"/>
      <c r="RW24" s="65"/>
      <c r="RX24" s="65"/>
      <c r="RY24" s="65"/>
      <c r="RZ24" s="65"/>
      <c r="SA24" s="65"/>
      <c r="SB24" s="65"/>
      <c r="SC24" s="65"/>
      <c r="SD24" s="65"/>
      <c r="SE24" s="65"/>
      <c r="SF24" s="65"/>
      <c r="SG24" s="65"/>
      <c r="SH24" s="65"/>
      <c r="SI24" s="65"/>
      <c r="SJ24" s="65"/>
      <c r="SK24" s="65"/>
      <c r="SL24" s="65"/>
      <c r="SM24" s="65"/>
      <c r="SN24" s="65"/>
      <c r="SO24" s="65"/>
      <c r="SP24" s="65"/>
      <c r="SQ24" s="65"/>
      <c r="SR24" s="65"/>
      <c r="SS24" s="65"/>
      <c r="ST24" s="65"/>
      <c r="SU24" s="65"/>
      <c r="SV24" s="65"/>
      <c r="SW24" s="65"/>
      <c r="SX24" s="65"/>
      <c r="SY24" s="65"/>
      <c r="SZ24" s="65"/>
      <c r="TA24" s="65"/>
      <c r="TB24" s="65"/>
      <c r="TC24" s="65"/>
      <c r="TD24" s="65"/>
      <c r="TE24" s="65"/>
      <c r="TF24" s="65"/>
      <c r="TG24" s="65"/>
      <c r="TH24" s="65"/>
      <c r="TI24" s="65"/>
      <c r="TJ24" s="65"/>
      <c r="TK24" s="65"/>
      <c r="TL24" s="65"/>
      <c r="TM24" s="65"/>
      <c r="TN24" s="65"/>
      <c r="TO24" s="65"/>
      <c r="TP24" s="65"/>
      <c r="TQ24" s="65"/>
      <c r="TR24" s="65"/>
      <c r="TS24" s="65"/>
      <c r="TT24" s="65"/>
      <c r="TU24" s="65"/>
      <c r="TV24" s="65"/>
      <c r="TW24" s="65"/>
      <c r="TX24" s="65"/>
      <c r="TY24" s="65"/>
      <c r="TZ24" s="65"/>
      <c r="UA24" s="65"/>
      <c r="UB24" s="65"/>
      <c r="UC24" s="65"/>
      <c r="UD24" s="65"/>
      <c r="UE24" s="65"/>
      <c r="UF24" s="65"/>
      <c r="UG24" s="65"/>
      <c r="UH24" s="65"/>
      <c r="UI24" s="65"/>
      <c r="UJ24" s="65"/>
      <c r="UK24" s="65"/>
      <c r="UL24" s="65"/>
      <c r="UM24" s="65"/>
      <c r="UN24" s="65"/>
      <c r="UO24" s="65"/>
      <c r="UP24" s="65"/>
      <c r="UQ24" s="65"/>
      <c r="UR24" s="65"/>
      <c r="US24" s="65"/>
      <c r="UT24" s="65"/>
      <c r="UU24" s="65"/>
      <c r="UV24" s="65"/>
      <c r="UW24" s="65"/>
      <c r="UX24" s="65"/>
      <c r="UY24" s="65"/>
      <c r="UZ24" s="65"/>
      <c r="VA24" s="65"/>
      <c r="VB24" s="65"/>
      <c r="VC24" s="65"/>
      <c r="VD24" s="65"/>
      <c r="VE24" s="65"/>
      <c r="VF24" s="65"/>
      <c r="VG24" s="65"/>
      <c r="VH24" s="65"/>
      <c r="VI24" s="65"/>
      <c r="VJ24" s="65"/>
      <c r="VK24" s="65"/>
      <c r="VL24" s="65"/>
      <c r="VM24" s="65"/>
      <c r="VN24" s="65"/>
      <c r="VO24" s="65"/>
      <c r="VP24" s="65"/>
      <c r="VQ24" s="65"/>
      <c r="VR24" s="65"/>
      <c r="VS24" s="65"/>
      <c r="VT24" s="65"/>
      <c r="VU24" s="65"/>
      <c r="VV24" s="65"/>
      <c r="VW24" s="65"/>
      <c r="VX24" s="65"/>
      <c r="VY24" s="65"/>
      <c r="VZ24" s="65"/>
      <c r="WA24" s="65"/>
      <c r="WB24" s="65"/>
      <c r="WC24" s="65"/>
      <c r="WD24" s="65"/>
      <c r="WE24" s="65"/>
      <c r="WF24" s="65"/>
      <c r="WG24" s="65"/>
      <c r="WH24" s="65"/>
      <c r="WI24" s="65"/>
      <c r="WJ24" s="65"/>
      <c r="WK24" s="65"/>
      <c r="WL24" s="65"/>
      <c r="WM24" s="65"/>
      <c r="WN24" s="65"/>
      <c r="WO24" s="65"/>
      <c r="WP24" s="65"/>
      <c r="WQ24" s="65"/>
      <c r="WR24" s="65"/>
      <c r="WS24" s="65"/>
      <c r="WT24" s="65"/>
      <c r="WU24" s="65"/>
      <c r="WV24" s="65"/>
      <c r="WW24" s="65"/>
      <c r="WX24" s="65"/>
      <c r="WY24" s="65"/>
      <c r="WZ24" s="65"/>
      <c r="XA24" s="65"/>
      <c r="XB24" s="65"/>
      <c r="XC24" s="65"/>
      <c r="XD24" s="65"/>
      <c r="XE24" s="65"/>
      <c r="XF24" s="65"/>
      <c r="XG24" s="65"/>
      <c r="XH24" s="65"/>
      <c r="XI24" s="65"/>
      <c r="XJ24" s="65"/>
      <c r="XK24" s="65"/>
      <c r="XL24" s="65"/>
      <c r="XM24" s="65"/>
      <c r="XN24" s="65"/>
      <c r="XO24" s="65"/>
      <c r="XP24" s="65"/>
      <c r="XQ24" s="65"/>
      <c r="XR24" s="65"/>
      <c r="XS24" s="65"/>
      <c r="XT24" s="65"/>
      <c r="XU24" s="65"/>
      <c r="XV24" s="65"/>
      <c r="XW24" s="65"/>
      <c r="XX24" s="65"/>
      <c r="XY24" s="65"/>
      <c r="XZ24" s="65"/>
      <c r="YA24" s="65"/>
      <c r="YB24" s="65"/>
      <c r="YC24" s="65"/>
      <c r="YD24" s="65"/>
      <c r="YE24" s="65"/>
      <c r="YF24" s="65"/>
      <c r="YG24" s="65"/>
      <c r="YH24" s="65"/>
      <c r="YI24" s="65"/>
      <c r="YJ24" s="65"/>
      <c r="YK24" s="65"/>
      <c r="YL24" s="65"/>
      <c r="YM24" s="65"/>
      <c r="YN24" s="65"/>
      <c r="YO24" s="65"/>
      <c r="YP24" s="65"/>
      <c r="YQ24" s="65"/>
      <c r="YR24" s="65"/>
      <c r="YS24" s="65"/>
      <c r="YT24" s="65"/>
      <c r="YU24" s="65"/>
      <c r="YV24" s="65"/>
      <c r="YW24" s="65"/>
      <c r="YX24" s="65"/>
      <c r="YY24" s="65"/>
      <c r="YZ24" s="65"/>
      <c r="ZA24" s="65"/>
      <c r="ZB24" s="65"/>
      <c r="ZC24" s="65"/>
      <c r="ZD24" s="65"/>
      <c r="ZE24" s="65"/>
      <c r="ZF24" s="65"/>
      <c r="ZG24" s="65"/>
      <c r="ZH24" s="65"/>
      <c r="ZI24" s="65"/>
      <c r="ZJ24" s="65"/>
      <c r="ZK24" s="65"/>
      <c r="ZL24" s="65"/>
      <c r="ZM24" s="65"/>
      <c r="ZN24" s="65"/>
      <c r="ZO24" s="65"/>
      <c r="ZP24" s="65"/>
      <c r="ZQ24" s="65"/>
      <c r="ZR24" s="65"/>
      <c r="ZS24" s="65"/>
      <c r="ZT24" s="65"/>
      <c r="ZU24" s="65"/>
      <c r="ZV24" s="65"/>
      <c r="ZW24" s="65"/>
      <c r="ZX24" s="65"/>
      <c r="ZY24" s="65"/>
      <c r="ZZ24" s="65"/>
      <c r="AAA24" s="65"/>
      <c r="AAB24" s="65"/>
      <c r="AAC24" s="65"/>
      <c r="AAD24" s="65"/>
      <c r="AAE24" s="65"/>
      <c r="AAF24" s="65"/>
      <c r="AAG24" s="65"/>
      <c r="AAH24" s="65"/>
      <c r="AAI24" s="65"/>
      <c r="AAJ24" s="65"/>
      <c r="AAK24" s="65"/>
      <c r="AAL24" s="65"/>
      <c r="AAM24" s="65"/>
      <c r="AAN24" s="65"/>
      <c r="AAO24" s="65"/>
      <c r="AAP24" s="65"/>
      <c r="AAQ24" s="65"/>
      <c r="AAR24" s="65"/>
      <c r="AAS24" s="65"/>
      <c r="AAT24" s="65"/>
      <c r="AAU24" s="65"/>
      <c r="AAV24" s="65"/>
      <c r="AAW24" s="65"/>
      <c r="AAX24" s="65"/>
      <c r="AAY24" s="65"/>
      <c r="AAZ24" s="65"/>
      <c r="ABA24" s="65"/>
      <c r="ABB24" s="65"/>
      <c r="ABC24" s="65"/>
      <c r="ABD24" s="65"/>
      <c r="ABE24" s="65"/>
      <c r="ABF24" s="65"/>
      <c r="ABG24" s="65"/>
      <c r="ABH24" s="65"/>
      <c r="ABI24" s="65"/>
      <c r="ABJ24" s="65"/>
      <c r="ABK24" s="65"/>
      <c r="ABL24" s="65"/>
      <c r="ABM24" s="65"/>
      <c r="ABN24" s="65"/>
      <c r="ABO24" s="65"/>
      <c r="ABP24" s="65"/>
      <c r="ABQ24" s="65"/>
      <c r="ABR24" s="65"/>
      <c r="ABS24" s="65"/>
      <c r="ABT24" s="65"/>
      <c r="ABU24" s="65"/>
      <c r="ABV24" s="65"/>
      <c r="ABW24" s="65"/>
      <c r="ABX24" s="65"/>
      <c r="ABY24" s="65"/>
      <c r="ABZ24" s="65"/>
      <c r="ACA24" s="65"/>
      <c r="ACB24" s="65"/>
      <c r="ACC24" s="65"/>
      <c r="ACD24" s="65"/>
      <c r="ACE24" s="65"/>
      <c r="ACF24" s="65"/>
      <c r="ACG24" s="65"/>
      <c r="ACH24" s="65"/>
      <c r="ACI24" s="65"/>
      <c r="ACJ24" s="65"/>
      <c r="ACK24" s="65"/>
      <c r="ACL24" s="65"/>
      <c r="ACM24" s="65"/>
      <c r="ACN24" s="65"/>
      <c r="ACO24" s="65"/>
      <c r="ACP24" s="65"/>
      <c r="ACQ24" s="65"/>
      <c r="ACR24" s="65"/>
      <c r="ACS24" s="65"/>
      <c r="ACT24" s="65"/>
      <c r="ACU24" s="65"/>
      <c r="ACV24" s="65"/>
      <c r="ACW24" s="65"/>
      <c r="ACX24" s="65"/>
      <c r="ACY24" s="65"/>
      <c r="ACZ24" s="65"/>
      <c r="ADA24" s="65"/>
      <c r="ADB24" s="65"/>
      <c r="ADC24" s="65"/>
      <c r="ADD24" s="65"/>
      <c r="ADE24" s="65"/>
      <c r="ADF24" s="65"/>
      <c r="ADG24" s="65"/>
      <c r="ADH24" s="65"/>
      <c r="ADI24" s="65"/>
      <c r="ADJ24" s="65"/>
      <c r="ADK24" s="65"/>
      <c r="ADL24" s="65"/>
      <c r="ADM24" s="65"/>
      <c r="ADN24" s="65"/>
      <c r="ADO24" s="65"/>
      <c r="ADP24" s="65"/>
      <c r="ADQ24" s="65"/>
      <c r="ADR24" s="65"/>
      <c r="ADS24" s="65"/>
      <c r="ADT24" s="65"/>
      <c r="ADU24" s="65"/>
      <c r="ADV24" s="65"/>
      <c r="ADW24" s="65"/>
      <c r="ADX24" s="65"/>
      <c r="ADY24" s="65"/>
      <c r="ADZ24" s="65"/>
      <c r="AEA24" s="65"/>
      <c r="AEB24" s="65"/>
      <c r="AEC24" s="65"/>
      <c r="AED24" s="65"/>
      <c r="AEE24" s="65"/>
      <c r="AEF24" s="65"/>
      <c r="AEG24" s="65"/>
      <c r="AEH24" s="65"/>
      <c r="AEI24" s="65"/>
      <c r="AEJ24" s="65"/>
      <c r="AEK24" s="65"/>
      <c r="AEL24" s="65"/>
      <c r="AEM24" s="65"/>
      <c r="AEN24" s="65"/>
      <c r="AEO24" s="65"/>
      <c r="AEP24" s="65"/>
      <c r="AEQ24" s="65"/>
      <c r="AER24" s="65"/>
      <c r="AES24" s="65"/>
      <c r="AET24" s="65"/>
      <c r="AEU24" s="65"/>
      <c r="AEV24" s="65"/>
      <c r="AEW24" s="65"/>
      <c r="AEX24" s="65"/>
      <c r="AEY24" s="65"/>
      <c r="AEZ24" s="65"/>
      <c r="AFA24" s="65"/>
      <c r="AFB24" s="65"/>
      <c r="AFC24" s="65"/>
      <c r="AFD24" s="65"/>
      <c r="AFE24" s="65"/>
      <c r="AFF24" s="65"/>
      <c r="AFG24" s="65"/>
      <c r="AFH24" s="65"/>
      <c r="AFI24" s="65"/>
      <c r="AFJ24" s="65"/>
      <c r="AFK24" s="65"/>
      <c r="AFL24" s="65"/>
      <c r="AFM24" s="65"/>
      <c r="AFN24" s="65"/>
      <c r="AFO24" s="65"/>
      <c r="AFP24" s="65"/>
      <c r="AFQ24" s="65"/>
      <c r="AFR24" s="65"/>
      <c r="AFS24" s="65"/>
      <c r="AFT24" s="65"/>
      <c r="AFU24" s="65"/>
      <c r="AFV24" s="65"/>
      <c r="AFW24" s="65"/>
      <c r="AFX24" s="65"/>
      <c r="AFY24" s="65"/>
      <c r="AFZ24" s="65"/>
      <c r="AGA24" s="65"/>
      <c r="AGB24" s="65"/>
      <c r="AGC24" s="65"/>
      <c r="AGD24" s="65"/>
      <c r="AGE24" s="65"/>
      <c r="AGF24" s="65"/>
      <c r="AGG24" s="65"/>
      <c r="AGH24" s="65"/>
      <c r="AGI24" s="65"/>
      <c r="AGJ24" s="65"/>
      <c r="AGK24" s="65"/>
      <c r="AGL24" s="65"/>
      <c r="AGM24" s="65"/>
      <c r="AGN24" s="65"/>
      <c r="AGO24" s="65"/>
      <c r="AGP24" s="65"/>
      <c r="AGQ24" s="65"/>
      <c r="AGR24" s="65"/>
      <c r="AGS24" s="65"/>
      <c r="AGT24" s="65"/>
      <c r="AGU24" s="65"/>
      <c r="AGV24" s="65"/>
      <c r="AGW24" s="65"/>
      <c r="AGX24" s="65"/>
      <c r="AGY24" s="65"/>
      <c r="AGZ24" s="65"/>
      <c r="AHA24" s="65"/>
      <c r="AHB24" s="65"/>
      <c r="AHC24" s="65"/>
      <c r="AHD24" s="65"/>
      <c r="AHE24" s="65"/>
      <c r="AHF24" s="65"/>
      <c r="AHG24" s="65"/>
      <c r="AHH24" s="65"/>
      <c r="AHI24" s="65"/>
      <c r="AHJ24" s="65"/>
      <c r="AHK24" s="65"/>
      <c r="AHL24" s="65"/>
      <c r="AHM24" s="65"/>
      <c r="AHN24" s="65"/>
      <c r="AHO24" s="65"/>
      <c r="AHP24" s="65"/>
      <c r="AHQ24" s="65"/>
      <c r="AHR24" s="65"/>
      <c r="AHS24" s="65"/>
      <c r="AHT24" s="65"/>
      <c r="AHU24" s="65"/>
      <c r="AHV24" s="65"/>
      <c r="AHW24" s="65"/>
      <c r="AHX24" s="65"/>
      <c r="AHY24" s="65"/>
      <c r="AHZ24" s="65"/>
      <c r="AIA24" s="65"/>
      <c r="AIB24" s="65"/>
      <c r="AIC24" s="65"/>
      <c r="AID24" s="65"/>
      <c r="AIE24" s="65"/>
      <c r="AIF24" s="65"/>
      <c r="AIG24" s="65"/>
      <c r="AIH24" s="65"/>
      <c r="AII24" s="65"/>
      <c r="AIJ24" s="65"/>
      <c r="AIK24" s="65"/>
      <c r="AIL24" s="65"/>
      <c r="AIM24" s="65"/>
      <c r="AIN24" s="65"/>
      <c r="AIO24" s="65"/>
      <c r="AIP24" s="65"/>
      <c r="AIQ24" s="65"/>
      <c r="AIR24" s="65"/>
      <c r="AIS24" s="65"/>
      <c r="AIT24" s="65"/>
      <c r="AIU24" s="65"/>
      <c r="AIV24" s="65"/>
      <c r="AIW24" s="65"/>
      <c r="AIX24" s="65"/>
      <c r="AIY24" s="65"/>
      <c r="AIZ24" s="65"/>
      <c r="AJA24" s="65"/>
      <c r="AJB24" s="65"/>
      <c r="AJC24" s="65"/>
      <c r="AJD24" s="65"/>
      <c r="AJE24" s="65"/>
      <c r="AJF24" s="65"/>
      <c r="AJG24" s="65"/>
      <c r="AJH24" s="65"/>
      <c r="AJI24" s="65"/>
      <c r="AJJ24" s="65"/>
      <c r="AJK24" s="65"/>
      <c r="AJL24" s="65"/>
      <c r="AJM24" s="65"/>
      <c r="AJN24" s="65"/>
      <c r="AJO24" s="65"/>
      <c r="AJP24" s="65"/>
      <c r="AJQ24" s="65"/>
      <c r="AJR24" s="65"/>
      <c r="AJS24" s="65"/>
      <c r="AJT24" s="65"/>
      <c r="AJU24" s="65"/>
      <c r="AJV24" s="65"/>
      <c r="AJW24" s="65"/>
      <c r="AJX24" s="65"/>
      <c r="AJY24" s="65"/>
      <c r="AJZ24" s="65"/>
      <c r="AKA24" s="65"/>
      <c r="AKB24" s="65"/>
      <c r="AKC24" s="65"/>
      <c r="AKD24" s="65"/>
      <c r="AKE24" s="65"/>
      <c r="AKF24" s="65"/>
      <c r="AKG24" s="65"/>
      <c r="AKH24" s="65"/>
      <c r="AKI24" s="65"/>
      <c r="AKJ24" s="65"/>
      <c r="AKK24" s="65"/>
      <c r="AKL24" s="65"/>
      <c r="AKM24" s="65"/>
      <c r="AKN24" s="65"/>
      <c r="AKO24" s="65"/>
      <c r="AKP24" s="65"/>
      <c r="AKQ24" s="65"/>
      <c r="AKR24" s="65"/>
      <c r="AKS24" s="65"/>
      <c r="AKT24" s="65"/>
      <c r="AKU24" s="65"/>
      <c r="AKV24" s="65"/>
      <c r="AKW24" s="65"/>
      <c r="AKX24" s="65"/>
      <c r="AKY24" s="65"/>
      <c r="AKZ24" s="65"/>
      <c r="ALA24" s="65"/>
      <c r="ALB24" s="65"/>
      <c r="ALC24" s="65"/>
      <c r="ALD24" s="65"/>
      <c r="ALE24" s="65"/>
      <c r="ALF24" s="65"/>
      <c r="ALG24" s="65"/>
      <c r="ALH24" s="65"/>
      <c r="ALI24" s="65"/>
      <c r="ALJ24" s="65"/>
      <c r="ALK24" s="65"/>
      <c r="ALL24" s="65"/>
      <c r="ALM24" s="65"/>
      <c r="ALN24" s="65"/>
      <c r="ALO24" s="65"/>
      <c r="ALP24" s="65"/>
      <c r="ALQ24" s="65"/>
      <c r="ALR24" s="65"/>
      <c r="ALS24" s="65"/>
      <c r="ALT24" s="65"/>
      <c r="ALU24" s="65"/>
      <c r="ALV24" s="65"/>
      <c r="ALW24" s="65"/>
      <c r="ALX24" s="65"/>
      <c r="ALY24" s="65"/>
      <c r="ALZ24" s="65"/>
      <c r="AMA24" s="65"/>
      <c r="AMB24" s="65"/>
      <c r="AMC24" s="65"/>
      <c r="AMD24" s="65"/>
      <c r="AME24" s="65"/>
      <c r="AMF24" s="65"/>
      <c r="AMG24" s="65"/>
      <c r="AMH24" s="65"/>
      <c r="AMI24" s="65"/>
      <c r="AMJ24" s="60"/>
    </row>
    <row r="25" spans="1:1024">
      <c r="A25" s="66" t="s">
        <v>39697</v>
      </c>
      <c r="B25" s="67" t="s">
        <v>39698</v>
      </c>
      <c r="C25" s="67">
        <v>11</v>
      </c>
      <c r="D25" s="67">
        <v>10289</v>
      </c>
      <c r="E25" s="67" t="s">
        <v>39710</v>
      </c>
      <c r="F25" s="67">
        <v>1299472</v>
      </c>
      <c r="G25" s="67">
        <v>1003664</v>
      </c>
      <c r="H25" s="67">
        <v>1013953</v>
      </c>
      <c r="I25" s="68">
        <v>1.8620000000000001</v>
      </c>
      <c r="J25" s="67">
        <v>8</v>
      </c>
      <c r="K25" s="67">
        <v>12</v>
      </c>
      <c r="L25" s="67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65"/>
      <c r="IU25" s="65"/>
      <c r="IV25" s="65"/>
      <c r="IW25" s="65"/>
      <c r="IX25" s="65"/>
      <c r="IY25" s="65"/>
      <c r="IZ25" s="65"/>
      <c r="JA25" s="65"/>
      <c r="JB25" s="65"/>
      <c r="JC25" s="65"/>
      <c r="JD25" s="65"/>
      <c r="JE25" s="65"/>
      <c r="JF25" s="65"/>
      <c r="JG25" s="65"/>
      <c r="JH25" s="65"/>
      <c r="JI25" s="65"/>
      <c r="JJ25" s="65"/>
      <c r="JK25" s="65"/>
      <c r="JL25" s="65"/>
      <c r="JM25" s="65"/>
      <c r="JN25" s="65"/>
      <c r="JO25" s="65"/>
      <c r="JP25" s="65"/>
      <c r="JQ25" s="65"/>
      <c r="JR25" s="65"/>
      <c r="JS25" s="65"/>
      <c r="JT25" s="65"/>
      <c r="JU25" s="65"/>
      <c r="JV25" s="65"/>
      <c r="JW25" s="65"/>
      <c r="JX25" s="65"/>
      <c r="JY25" s="65"/>
      <c r="JZ25" s="65"/>
      <c r="KA25" s="65"/>
      <c r="KB25" s="65"/>
      <c r="KC25" s="65"/>
      <c r="KD25" s="65"/>
      <c r="KE25" s="65"/>
      <c r="KF25" s="65"/>
      <c r="KG25" s="65"/>
      <c r="KH25" s="65"/>
      <c r="KI25" s="65"/>
      <c r="KJ25" s="65"/>
      <c r="KK25" s="65"/>
      <c r="KL25" s="65"/>
      <c r="KM25" s="65"/>
      <c r="KN25" s="65"/>
      <c r="KO25" s="65"/>
      <c r="KP25" s="65"/>
      <c r="KQ25" s="65"/>
      <c r="KR25" s="65"/>
      <c r="KS25" s="65"/>
      <c r="KT25" s="65"/>
      <c r="KU25" s="65"/>
      <c r="KV25" s="65"/>
      <c r="KW25" s="65"/>
      <c r="KX25" s="65"/>
      <c r="KY25" s="65"/>
      <c r="KZ25" s="65"/>
      <c r="LA25" s="65"/>
      <c r="LB25" s="65"/>
      <c r="LC25" s="65"/>
      <c r="LD25" s="65"/>
      <c r="LE25" s="65"/>
      <c r="LF25" s="65"/>
      <c r="LG25" s="65"/>
      <c r="LH25" s="65"/>
      <c r="LI25" s="65"/>
      <c r="LJ25" s="65"/>
      <c r="LK25" s="65"/>
      <c r="LL25" s="65"/>
      <c r="LM25" s="65"/>
      <c r="LN25" s="65"/>
      <c r="LO25" s="65"/>
      <c r="LP25" s="65"/>
      <c r="LQ25" s="65"/>
      <c r="LR25" s="65"/>
      <c r="LS25" s="65"/>
      <c r="LT25" s="65"/>
      <c r="LU25" s="65"/>
      <c r="LV25" s="65"/>
      <c r="LW25" s="65"/>
      <c r="LX25" s="65"/>
      <c r="LY25" s="65"/>
      <c r="LZ25" s="65"/>
      <c r="MA25" s="65"/>
      <c r="MB25" s="65"/>
      <c r="MC25" s="65"/>
      <c r="MD25" s="65"/>
      <c r="ME25" s="65"/>
      <c r="MF25" s="65"/>
      <c r="MG25" s="65"/>
      <c r="MH25" s="65"/>
      <c r="MI25" s="65"/>
      <c r="MJ25" s="65"/>
      <c r="MK25" s="65"/>
      <c r="ML25" s="65"/>
      <c r="MM25" s="65"/>
      <c r="MN25" s="65"/>
      <c r="MO25" s="65"/>
      <c r="MP25" s="65"/>
      <c r="MQ25" s="65"/>
      <c r="MR25" s="65"/>
      <c r="MS25" s="65"/>
      <c r="MT25" s="65"/>
      <c r="MU25" s="65"/>
      <c r="MV25" s="65"/>
      <c r="MW25" s="65"/>
      <c r="MX25" s="65"/>
      <c r="MY25" s="65"/>
      <c r="MZ25" s="65"/>
      <c r="NA25" s="65"/>
      <c r="NB25" s="65"/>
      <c r="NC25" s="65"/>
      <c r="ND25" s="65"/>
      <c r="NE25" s="65"/>
      <c r="NF25" s="65"/>
      <c r="NG25" s="65"/>
      <c r="NH25" s="65"/>
      <c r="NI25" s="65"/>
      <c r="NJ25" s="65"/>
      <c r="NK25" s="65"/>
      <c r="NL25" s="65"/>
      <c r="NM25" s="65"/>
      <c r="NN25" s="65"/>
      <c r="NO25" s="65"/>
      <c r="NP25" s="65"/>
      <c r="NQ25" s="65"/>
      <c r="NR25" s="65"/>
      <c r="NS25" s="65"/>
      <c r="NT25" s="65"/>
      <c r="NU25" s="65"/>
      <c r="NV25" s="65"/>
      <c r="NW25" s="65"/>
      <c r="NX25" s="65"/>
      <c r="NY25" s="65"/>
      <c r="NZ25" s="65"/>
      <c r="OA25" s="65"/>
      <c r="OB25" s="65"/>
      <c r="OC25" s="65"/>
      <c r="OD25" s="65"/>
      <c r="OE25" s="65"/>
      <c r="OF25" s="65"/>
      <c r="OG25" s="65"/>
      <c r="OH25" s="65"/>
      <c r="OI25" s="65"/>
      <c r="OJ25" s="65"/>
      <c r="OK25" s="65"/>
      <c r="OL25" s="65"/>
      <c r="OM25" s="65"/>
      <c r="ON25" s="65"/>
      <c r="OO25" s="65"/>
      <c r="OP25" s="65"/>
      <c r="OQ25" s="65"/>
      <c r="OR25" s="65"/>
      <c r="OS25" s="65"/>
      <c r="OT25" s="65"/>
      <c r="OU25" s="65"/>
      <c r="OV25" s="65"/>
      <c r="OW25" s="65"/>
      <c r="OX25" s="65"/>
      <c r="OY25" s="65"/>
      <c r="OZ25" s="65"/>
      <c r="PA25" s="65"/>
      <c r="PB25" s="65"/>
      <c r="PC25" s="65"/>
      <c r="PD25" s="65"/>
      <c r="PE25" s="65"/>
      <c r="PF25" s="65"/>
      <c r="PG25" s="65"/>
      <c r="PH25" s="65"/>
      <c r="PI25" s="65"/>
      <c r="PJ25" s="65"/>
      <c r="PK25" s="65"/>
      <c r="PL25" s="65"/>
      <c r="PM25" s="65"/>
      <c r="PN25" s="65"/>
      <c r="PO25" s="65"/>
      <c r="PP25" s="65"/>
      <c r="PQ25" s="65"/>
      <c r="PR25" s="65"/>
      <c r="PS25" s="65"/>
      <c r="PT25" s="65"/>
      <c r="PU25" s="65"/>
      <c r="PV25" s="65"/>
      <c r="PW25" s="65"/>
      <c r="PX25" s="65"/>
      <c r="PY25" s="65"/>
      <c r="PZ25" s="65"/>
      <c r="QA25" s="65"/>
      <c r="QB25" s="65"/>
      <c r="QC25" s="65"/>
      <c r="QD25" s="65"/>
      <c r="QE25" s="65"/>
      <c r="QF25" s="65"/>
      <c r="QG25" s="65"/>
      <c r="QH25" s="65"/>
      <c r="QI25" s="65"/>
      <c r="QJ25" s="65"/>
      <c r="QK25" s="65"/>
      <c r="QL25" s="65"/>
      <c r="QM25" s="65"/>
      <c r="QN25" s="65"/>
      <c r="QO25" s="65"/>
      <c r="QP25" s="65"/>
      <c r="QQ25" s="65"/>
      <c r="QR25" s="65"/>
      <c r="QS25" s="65"/>
      <c r="QT25" s="65"/>
      <c r="QU25" s="65"/>
      <c r="QV25" s="65"/>
      <c r="QW25" s="65"/>
      <c r="QX25" s="65"/>
      <c r="QY25" s="65"/>
      <c r="QZ25" s="65"/>
      <c r="RA25" s="65"/>
      <c r="RB25" s="65"/>
      <c r="RC25" s="65"/>
      <c r="RD25" s="65"/>
      <c r="RE25" s="65"/>
      <c r="RF25" s="65"/>
      <c r="RG25" s="65"/>
      <c r="RH25" s="65"/>
      <c r="RI25" s="65"/>
      <c r="RJ25" s="65"/>
      <c r="RK25" s="65"/>
      <c r="RL25" s="65"/>
      <c r="RM25" s="65"/>
      <c r="RN25" s="65"/>
      <c r="RO25" s="65"/>
      <c r="RP25" s="65"/>
      <c r="RQ25" s="65"/>
      <c r="RR25" s="65"/>
      <c r="RS25" s="65"/>
      <c r="RT25" s="65"/>
      <c r="RU25" s="65"/>
      <c r="RV25" s="65"/>
      <c r="RW25" s="65"/>
      <c r="RX25" s="65"/>
      <c r="RY25" s="65"/>
      <c r="RZ25" s="65"/>
      <c r="SA25" s="65"/>
      <c r="SB25" s="65"/>
      <c r="SC25" s="65"/>
      <c r="SD25" s="65"/>
      <c r="SE25" s="65"/>
      <c r="SF25" s="65"/>
      <c r="SG25" s="65"/>
      <c r="SH25" s="65"/>
      <c r="SI25" s="65"/>
      <c r="SJ25" s="65"/>
      <c r="SK25" s="65"/>
      <c r="SL25" s="65"/>
      <c r="SM25" s="65"/>
      <c r="SN25" s="65"/>
      <c r="SO25" s="65"/>
      <c r="SP25" s="65"/>
      <c r="SQ25" s="65"/>
      <c r="SR25" s="65"/>
      <c r="SS25" s="65"/>
      <c r="ST25" s="65"/>
      <c r="SU25" s="65"/>
      <c r="SV25" s="65"/>
      <c r="SW25" s="65"/>
      <c r="SX25" s="65"/>
      <c r="SY25" s="65"/>
      <c r="SZ25" s="65"/>
      <c r="TA25" s="65"/>
      <c r="TB25" s="65"/>
      <c r="TC25" s="65"/>
      <c r="TD25" s="65"/>
      <c r="TE25" s="65"/>
      <c r="TF25" s="65"/>
      <c r="TG25" s="65"/>
      <c r="TH25" s="65"/>
      <c r="TI25" s="65"/>
      <c r="TJ25" s="65"/>
      <c r="TK25" s="65"/>
      <c r="TL25" s="65"/>
      <c r="TM25" s="65"/>
      <c r="TN25" s="65"/>
      <c r="TO25" s="65"/>
      <c r="TP25" s="65"/>
      <c r="TQ25" s="65"/>
      <c r="TR25" s="65"/>
      <c r="TS25" s="65"/>
      <c r="TT25" s="65"/>
      <c r="TU25" s="65"/>
      <c r="TV25" s="65"/>
      <c r="TW25" s="65"/>
      <c r="TX25" s="65"/>
      <c r="TY25" s="65"/>
      <c r="TZ25" s="65"/>
      <c r="UA25" s="65"/>
      <c r="UB25" s="65"/>
      <c r="UC25" s="65"/>
      <c r="UD25" s="65"/>
      <c r="UE25" s="65"/>
      <c r="UF25" s="65"/>
      <c r="UG25" s="65"/>
      <c r="UH25" s="65"/>
      <c r="UI25" s="65"/>
      <c r="UJ25" s="65"/>
      <c r="UK25" s="65"/>
      <c r="UL25" s="65"/>
      <c r="UM25" s="65"/>
      <c r="UN25" s="65"/>
      <c r="UO25" s="65"/>
      <c r="UP25" s="65"/>
      <c r="UQ25" s="65"/>
      <c r="UR25" s="65"/>
      <c r="US25" s="65"/>
      <c r="UT25" s="65"/>
      <c r="UU25" s="65"/>
      <c r="UV25" s="65"/>
      <c r="UW25" s="65"/>
      <c r="UX25" s="65"/>
      <c r="UY25" s="65"/>
      <c r="UZ25" s="65"/>
      <c r="VA25" s="65"/>
      <c r="VB25" s="65"/>
      <c r="VC25" s="65"/>
      <c r="VD25" s="65"/>
      <c r="VE25" s="65"/>
      <c r="VF25" s="65"/>
      <c r="VG25" s="65"/>
      <c r="VH25" s="65"/>
      <c r="VI25" s="65"/>
      <c r="VJ25" s="65"/>
      <c r="VK25" s="65"/>
      <c r="VL25" s="65"/>
      <c r="VM25" s="65"/>
      <c r="VN25" s="65"/>
      <c r="VO25" s="65"/>
      <c r="VP25" s="65"/>
      <c r="VQ25" s="65"/>
      <c r="VR25" s="65"/>
      <c r="VS25" s="65"/>
      <c r="VT25" s="65"/>
      <c r="VU25" s="65"/>
      <c r="VV25" s="65"/>
      <c r="VW25" s="65"/>
      <c r="VX25" s="65"/>
      <c r="VY25" s="65"/>
      <c r="VZ25" s="65"/>
      <c r="WA25" s="65"/>
      <c r="WB25" s="65"/>
      <c r="WC25" s="65"/>
      <c r="WD25" s="65"/>
      <c r="WE25" s="65"/>
      <c r="WF25" s="65"/>
      <c r="WG25" s="65"/>
      <c r="WH25" s="65"/>
      <c r="WI25" s="65"/>
      <c r="WJ25" s="65"/>
      <c r="WK25" s="65"/>
      <c r="WL25" s="65"/>
      <c r="WM25" s="65"/>
      <c r="WN25" s="65"/>
      <c r="WO25" s="65"/>
      <c r="WP25" s="65"/>
      <c r="WQ25" s="65"/>
      <c r="WR25" s="65"/>
      <c r="WS25" s="65"/>
      <c r="WT25" s="65"/>
      <c r="WU25" s="65"/>
      <c r="WV25" s="65"/>
      <c r="WW25" s="65"/>
      <c r="WX25" s="65"/>
      <c r="WY25" s="65"/>
      <c r="WZ25" s="65"/>
      <c r="XA25" s="65"/>
      <c r="XB25" s="65"/>
      <c r="XC25" s="65"/>
      <c r="XD25" s="65"/>
      <c r="XE25" s="65"/>
      <c r="XF25" s="65"/>
      <c r="XG25" s="65"/>
      <c r="XH25" s="65"/>
      <c r="XI25" s="65"/>
      <c r="XJ25" s="65"/>
      <c r="XK25" s="65"/>
      <c r="XL25" s="65"/>
      <c r="XM25" s="65"/>
      <c r="XN25" s="65"/>
      <c r="XO25" s="65"/>
      <c r="XP25" s="65"/>
      <c r="XQ25" s="65"/>
      <c r="XR25" s="65"/>
      <c r="XS25" s="65"/>
      <c r="XT25" s="65"/>
      <c r="XU25" s="65"/>
      <c r="XV25" s="65"/>
      <c r="XW25" s="65"/>
      <c r="XX25" s="65"/>
      <c r="XY25" s="65"/>
      <c r="XZ25" s="65"/>
      <c r="YA25" s="65"/>
      <c r="YB25" s="65"/>
      <c r="YC25" s="65"/>
      <c r="YD25" s="65"/>
      <c r="YE25" s="65"/>
      <c r="YF25" s="65"/>
      <c r="YG25" s="65"/>
      <c r="YH25" s="65"/>
      <c r="YI25" s="65"/>
      <c r="YJ25" s="65"/>
      <c r="YK25" s="65"/>
      <c r="YL25" s="65"/>
      <c r="YM25" s="65"/>
      <c r="YN25" s="65"/>
      <c r="YO25" s="65"/>
      <c r="YP25" s="65"/>
      <c r="YQ25" s="65"/>
      <c r="YR25" s="65"/>
      <c r="YS25" s="65"/>
      <c r="YT25" s="65"/>
      <c r="YU25" s="65"/>
      <c r="YV25" s="65"/>
      <c r="YW25" s="65"/>
      <c r="YX25" s="65"/>
      <c r="YY25" s="65"/>
      <c r="YZ25" s="65"/>
      <c r="ZA25" s="65"/>
      <c r="ZB25" s="65"/>
      <c r="ZC25" s="65"/>
      <c r="ZD25" s="65"/>
      <c r="ZE25" s="65"/>
      <c r="ZF25" s="65"/>
      <c r="ZG25" s="65"/>
      <c r="ZH25" s="65"/>
      <c r="ZI25" s="65"/>
      <c r="ZJ25" s="65"/>
      <c r="ZK25" s="65"/>
      <c r="ZL25" s="65"/>
      <c r="ZM25" s="65"/>
      <c r="ZN25" s="65"/>
      <c r="ZO25" s="65"/>
      <c r="ZP25" s="65"/>
      <c r="ZQ25" s="65"/>
      <c r="ZR25" s="65"/>
      <c r="ZS25" s="65"/>
      <c r="ZT25" s="65"/>
      <c r="ZU25" s="65"/>
      <c r="ZV25" s="65"/>
      <c r="ZW25" s="65"/>
      <c r="ZX25" s="65"/>
      <c r="ZY25" s="65"/>
      <c r="ZZ25" s="65"/>
      <c r="AAA25" s="65"/>
      <c r="AAB25" s="65"/>
      <c r="AAC25" s="65"/>
      <c r="AAD25" s="65"/>
      <c r="AAE25" s="65"/>
      <c r="AAF25" s="65"/>
      <c r="AAG25" s="65"/>
      <c r="AAH25" s="65"/>
      <c r="AAI25" s="65"/>
      <c r="AAJ25" s="65"/>
      <c r="AAK25" s="65"/>
      <c r="AAL25" s="65"/>
      <c r="AAM25" s="65"/>
      <c r="AAN25" s="65"/>
      <c r="AAO25" s="65"/>
      <c r="AAP25" s="65"/>
      <c r="AAQ25" s="65"/>
      <c r="AAR25" s="65"/>
      <c r="AAS25" s="65"/>
      <c r="AAT25" s="65"/>
      <c r="AAU25" s="65"/>
      <c r="AAV25" s="65"/>
      <c r="AAW25" s="65"/>
      <c r="AAX25" s="65"/>
      <c r="AAY25" s="65"/>
      <c r="AAZ25" s="65"/>
      <c r="ABA25" s="65"/>
      <c r="ABB25" s="65"/>
      <c r="ABC25" s="65"/>
      <c r="ABD25" s="65"/>
      <c r="ABE25" s="65"/>
      <c r="ABF25" s="65"/>
      <c r="ABG25" s="65"/>
      <c r="ABH25" s="65"/>
      <c r="ABI25" s="65"/>
      <c r="ABJ25" s="65"/>
      <c r="ABK25" s="65"/>
      <c r="ABL25" s="65"/>
      <c r="ABM25" s="65"/>
      <c r="ABN25" s="65"/>
      <c r="ABO25" s="65"/>
      <c r="ABP25" s="65"/>
      <c r="ABQ25" s="65"/>
      <c r="ABR25" s="65"/>
      <c r="ABS25" s="65"/>
      <c r="ABT25" s="65"/>
      <c r="ABU25" s="65"/>
      <c r="ABV25" s="65"/>
      <c r="ABW25" s="65"/>
      <c r="ABX25" s="65"/>
      <c r="ABY25" s="65"/>
      <c r="ABZ25" s="65"/>
      <c r="ACA25" s="65"/>
      <c r="ACB25" s="65"/>
      <c r="ACC25" s="65"/>
      <c r="ACD25" s="65"/>
      <c r="ACE25" s="65"/>
      <c r="ACF25" s="65"/>
      <c r="ACG25" s="65"/>
      <c r="ACH25" s="65"/>
      <c r="ACI25" s="65"/>
      <c r="ACJ25" s="65"/>
      <c r="ACK25" s="65"/>
      <c r="ACL25" s="65"/>
      <c r="ACM25" s="65"/>
      <c r="ACN25" s="65"/>
      <c r="ACO25" s="65"/>
      <c r="ACP25" s="65"/>
      <c r="ACQ25" s="65"/>
      <c r="ACR25" s="65"/>
      <c r="ACS25" s="65"/>
      <c r="ACT25" s="65"/>
      <c r="ACU25" s="65"/>
      <c r="ACV25" s="65"/>
      <c r="ACW25" s="65"/>
      <c r="ACX25" s="65"/>
      <c r="ACY25" s="65"/>
      <c r="ACZ25" s="65"/>
      <c r="ADA25" s="65"/>
      <c r="ADB25" s="65"/>
      <c r="ADC25" s="65"/>
      <c r="ADD25" s="65"/>
      <c r="ADE25" s="65"/>
      <c r="ADF25" s="65"/>
      <c r="ADG25" s="65"/>
      <c r="ADH25" s="65"/>
      <c r="ADI25" s="65"/>
      <c r="ADJ25" s="65"/>
      <c r="ADK25" s="65"/>
      <c r="ADL25" s="65"/>
      <c r="ADM25" s="65"/>
      <c r="ADN25" s="65"/>
      <c r="ADO25" s="65"/>
      <c r="ADP25" s="65"/>
      <c r="ADQ25" s="65"/>
      <c r="ADR25" s="65"/>
      <c r="ADS25" s="65"/>
      <c r="ADT25" s="65"/>
      <c r="ADU25" s="65"/>
      <c r="ADV25" s="65"/>
      <c r="ADW25" s="65"/>
      <c r="ADX25" s="65"/>
      <c r="ADY25" s="65"/>
      <c r="ADZ25" s="65"/>
      <c r="AEA25" s="65"/>
      <c r="AEB25" s="65"/>
      <c r="AEC25" s="65"/>
      <c r="AED25" s="65"/>
      <c r="AEE25" s="65"/>
      <c r="AEF25" s="65"/>
      <c r="AEG25" s="65"/>
      <c r="AEH25" s="65"/>
      <c r="AEI25" s="65"/>
      <c r="AEJ25" s="65"/>
      <c r="AEK25" s="65"/>
      <c r="AEL25" s="65"/>
      <c r="AEM25" s="65"/>
      <c r="AEN25" s="65"/>
      <c r="AEO25" s="65"/>
      <c r="AEP25" s="65"/>
      <c r="AEQ25" s="65"/>
      <c r="AER25" s="65"/>
      <c r="AES25" s="65"/>
      <c r="AET25" s="65"/>
      <c r="AEU25" s="65"/>
      <c r="AEV25" s="65"/>
      <c r="AEW25" s="65"/>
      <c r="AEX25" s="65"/>
      <c r="AEY25" s="65"/>
      <c r="AEZ25" s="65"/>
      <c r="AFA25" s="65"/>
      <c r="AFB25" s="65"/>
      <c r="AFC25" s="65"/>
      <c r="AFD25" s="65"/>
      <c r="AFE25" s="65"/>
      <c r="AFF25" s="65"/>
      <c r="AFG25" s="65"/>
      <c r="AFH25" s="65"/>
      <c r="AFI25" s="65"/>
      <c r="AFJ25" s="65"/>
      <c r="AFK25" s="65"/>
      <c r="AFL25" s="65"/>
      <c r="AFM25" s="65"/>
      <c r="AFN25" s="65"/>
      <c r="AFO25" s="65"/>
      <c r="AFP25" s="65"/>
      <c r="AFQ25" s="65"/>
      <c r="AFR25" s="65"/>
      <c r="AFS25" s="65"/>
      <c r="AFT25" s="65"/>
      <c r="AFU25" s="65"/>
      <c r="AFV25" s="65"/>
      <c r="AFW25" s="65"/>
      <c r="AFX25" s="65"/>
      <c r="AFY25" s="65"/>
      <c r="AFZ25" s="65"/>
      <c r="AGA25" s="65"/>
      <c r="AGB25" s="65"/>
      <c r="AGC25" s="65"/>
      <c r="AGD25" s="65"/>
      <c r="AGE25" s="65"/>
      <c r="AGF25" s="65"/>
      <c r="AGG25" s="65"/>
      <c r="AGH25" s="65"/>
      <c r="AGI25" s="65"/>
      <c r="AGJ25" s="65"/>
      <c r="AGK25" s="65"/>
      <c r="AGL25" s="65"/>
      <c r="AGM25" s="65"/>
      <c r="AGN25" s="65"/>
      <c r="AGO25" s="65"/>
      <c r="AGP25" s="65"/>
      <c r="AGQ25" s="65"/>
      <c r="AGR25" s="65"/>
      <c r="AGS25" s="65"/>
      <c r="AGT25" s="65"/>
      <c r="AGU25" s="65"/>
      <c r="AGV25" s="65"/>
      <c r="AGW25" s="65"/>
      <c r="AGX25" s="65"/>
      <c r="AGY25" s="65"/>
      <c r="AGZ25" s="65"/>
      <c r="AHA25" s="65"/>
      <c r="AHB25" s="65"/>
      <c r="AHC25" s="65"/>
      <c r="AHD25" s="65"/>
      <c r="AHE25" s="65"/>
      <c r="AHF25" s="65"/>
      <c r="AHG25" s="65"/>
      <c r="AHH25" s="65"/>
      <c r="AHI25" s="65"/>
      <c r="AHJ25" s="65"/>
      <c r="AHK25" s="65"/>
      <c r="AHL25" s="65"/>
      <c r="AHM25" s="65"/>
      <c r="AHN25" s="65"/>
      <c r="AHO25" s="65"/>
      <c r="AHP25" s="65"/>
      <c r="AHQ25" s="65"/>
      <c r="AHR25" s="65"/>
      <c r="AHS25" s="65"/>
      <c r="AHT25" s="65"/>
      <c r="AHU25" s="65"/>
      <c r="AHV25" s="65"/>
      <c r="AHW25" s="65"/>
      <c r="AHX25" s="65"/>
      <c r="AHY25" s="65"/>
      <c r="AHZ25" s="65"/>
      <c r="AIA25" s="65"/>
      <c r="AIB25" s="65"/>
      <c r="AIC25" s="65"/>
      <c r="AID25" s="65"/>
      <c r="AIE25" s="65"/>
      <c r="AIF25" s="65"/>
      <c r="AIG25" s="65"/>
      <c r="AIH25" s="65"/>
      <c r="AII25" s="65"/>
      <c r="AIJ25" s="65"/>
      <c r="AIK25" s="65"/>
      <c r="AIL25" s="65"/>
      <c r="AIM25" s="65"/>
      <c r="AIN25" s="65"/>
      <c r="AIO25" s="65"/>
      <c r="AIP25" s="65"/>
      <c r="AIQ25" s="65"/>
      <c r="AIR25" s="65"/>
      <c r="AIS25" s="65"/>
      <c r="AIT25" s="65"/>
      <c r="AIU25" s="65"/>
      <c r="AIV25" s="65"/>
      <c r="AIW25" s="65"/>
      <c r="AIX25" s="65"/>
      <c r="AIY25" s="65"/>
      <c r="AIZ25" s="65"/>
      <c r="AJA25" s="65"/>
      <c r="AJB25" s="65"/>
      <c r="AJC25" s="65"/>
      <c r="AJD25" s="65"/>
      <c r="AJE25" s="65"/>
      <c r="AJF25" s="65"/>
      <c r="AJG25" s="65"/>
      <c r="AJH25" s="65"/>
      <c r="AJI25" s="65"/>
      <c r="AJJ25" s="65"/>
      <c r="AJK25" s="65"/>
      <c r="AJL25" s="65"/>
      <c r="AJM25" s="65"/>
      <c r="AJN25" s="65"/>
      <c r="AJO25" s="65"/>
      <c r="AJP25" s="65"/>
      <c r="AJQ25" s="65"/>
      <c r="AJR25" s="65"/>
      <c r="AJS25" s="65"/>
      <c r="AJT25" s="65"/>
      <c r="AJU25" s="65"/>
      <c r="AJV25" s="65"/>
      <c r="AJW25" s="65"/>
      <c r="AJX25" s="65"/>
      <c r="AJY25" s="65"/>
      <c r="AJZ25" s="65"/>
      <c r="AKA25" s="65"/>
      <c r="AKB25" s="65"/>
      <c r="AKC25" s="65"/>
      <c r="AKD25" s="65"/>
      <c r="AKE25" s="65"/>
      <c r="AKF25" s="65"/>
      <c r="AKG25" s="65"/>
      <c r="AKH25" s="65"/>
      <c r="AKI25" s="65"/>
      <c r="AKJ25" s="65"/>
      <c r="AKK25" s="65"/>
      <c r="AKL25" s="65"/>
      <c r="AKM25" s="65"/>
      <c r="AKN25" s="65"/>
      <c r="AKO25" s="65"/>
      <c r="AKP25" s="65"/>
      <c r="AKQ25" s="65"/>
      <c r="AKR25" s="65"/>
      <c r="AKS25" s="65"/>
      <c r="AKT25" s="65"/>
      <c r="AKU25" s="65"/>
      <c r="AKV25" s="65"/>
      <c r="AKW25" s="65"/>
      <c r="AKX25" s="65"/>
      <c r="AKY25" s="65"/>
      <c r="AKZ25" s="65"/>
      <c r="ALA25" s="65"/>
      <c r="ALB25" s="65"/>
      <c r="ALC25" s="65"/>
      <c r="ALD25" s="65"/>
      <c r="ALE25" s="65"/>
      <c r="ALF25" s="65"/>
      <c r="ALG25" s="65"/>
      <c r="ALH25" s="65"/>
      <c r="ALI25" s="65"/>
      <c r="ALJ25" s="65"/>
      <c r="ALK25" s="65"/>
      <c r="ALL25" s="65"/>
      <c r="ALM25" s="65"/>
      <c r="ALN25" s="65"/>
      <c r="ALO25" s="65"/>
      <c r="ALP25" s="65"/>
      <c r="ALQ25" s="65"/>
      <c r="ALR25" s="65"/>
      <c r="ALS25" s="65"/>
      <c r="ALT25" s="65"/>
      <c r="ALU25" s="65"/>
      <c r="ALV25" s="65"/>
      <c r="ALW25" s="65"/>
      <c r="ALX25" s="65"/>
      <c r="ALY25" s="65"/>
      <c r="ALZ25" s="65"/>
      <c r="AMA25" s="65"/>
      <c r="AMB25" s="65"/>
      <c r="AMC25" s="65"/>
      <c r="AMD25" s="65"/>
      <c r="AME25" s="65"/>
      <c r="AMF25" s="65"/>
      <c r="AMG25" s="65"/>
      <c r="AMH25" s="65"/>
      <c r="AMI25" s="65"/>
      <c r="AMJ25" s="60"/>
    </row>
    <row r="26" spans="1:1024">
      <c r="A26" s="66" t="s">
        <v>39697</v>
      </c>
      <c r="B26" s="67" t="s">
        <v>39698</v>
      </c>
      <c r="C26" s="67">
        <v>12</v>
      </c>
      <c r="D26" s="67">
        <v>11065</v>
      </c>
      <c r="E26" s="67" t="s">
        <v>39711</v>
      </c>
      <c r="F26" s="67">
        <v>858759</v>
      </c>
      <c r="G26" s="67">
        <v>107457</v>
      </c>
      <c r="H26" s="67">
        <v>118522</v>
      </c>
      <c r="I26" s="68">
        <v>1.2789999999999999</v>
      </c>
      <c r="J26" s="67">
        <v>7</v>
      </c>
      <c r="K26" s="67">
        <v>16</v>
      </c>
      <c r="L26" s="67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/>
      <c r="IS26" s="65"/>
      <c r="IT26" s="65"/>
      <c r="IU26" s="65"/>
      <c r="IV26" s="65"/>
      <c r="IW26" s="65"/>
      <c r="IX26" s="65"/>
      <c r="IY26" s="65"/>
      <c r="IZ26" s="65"/>
      <c r="JA26" s="65"/>
      <c r="JB26" s="65"/>
      <c r="JC26" s="65"/>
      <c r="JD26" s="65"/>
      <c r="JE26" s="65"/>
      <c r="JF26" s="65"/>
      <c r="JG26" s="65"/>
      <c r="JH26" s="65"/>
      <c r="JI26" s="65"/>
      <c r="JJ26" s="65"/>
      <c r="JK26" s="65"/>
      <c r="JL26" s="65"/>
      <c r="JM26" s="65"/>
      <c r="JN26" s="65"/>
      <c r="JO26" s="65"/>
      <c r="JP26" s="65"/>
      <c r="JQ26" s="65"/>
      <c r="JR26" s="65"/>
      <c r="JS26" s="65"/>
      <c r="JT26" s="65"/>
      <c r="JU26" s="65"/>
      <c r="JV26" s="65"/>
      <c r="JW26" s="65"/>
      <c r="JX26" s="65"/>
      <c r="JY26" s="65"/>
      <c r="JZ26" s="65"/>
      <c r="KA26" s="65"/>
      <c r="KB26" s="65"/>
      <c r="KC26" s="65"/>
      <c r="KD26" s="65"/>
      <c r="KE26" s="65"/>
      <c r="KF26" s="65"/>
      <c r="KG26" s="65"/>
      <c r="KH26" s="65"/>
      <c r="KI26" s="65"/>
      <c r="KJ26" s="65"/>
      <c r="KK26" s="65"/>
      <c r="KL26" s="65"/>
      <c r="KM26" s="65"/>
      <c r="KN26" s="65"/>
      <c r="KO26" s="65"/>
      <c r="KP26" s="65"/>
      <c r="KQ26" s="65"/>
      <c r="KR26" s="65"/>
      <c r="KS26" s="65"/>
      <c r="KT26" s="65"/>
      <c r="KU26" s="65"/>
      <c r="KV26" s="65"/>
      <c r="KW26" s="65"/>
      <c r="KX26" s="65"/>
      <c r="KY26" s="65"/>
      <c r="KZ26" s="65"/>
      <c r="LA26" s="65"/>
      <c r="LB26" s="65"/>
      <c r="LC26" s="65"/>
      <c r="LD26" s="65"/>
      <c r="LE26" s="65"/>
      <c r="LF26" s="65"/>
      <c r="LG26" s="65"/>
      <c r="LH26" s="65"/>
      <c r="LI26" s="65"/>
      <c r="LJ26" s="65"/>
      <c r="LK26" s="65"/>
      <c r="LL26" s="65"/>
      <c r="LM26" s="65"/>
      <c r="LN26" s="65"/>
      <c r="LO26" s="65"/>
      <c r="LP26" s="65"/>
      <c r="LQ26" s="65"/>
      <c r="LR26" s="65"/>
      <c r="LS26" s="65"/>
      <c r="LT26" s="65"/>
      <c r="LU26" s="65"/>
      <c r="LV26" s="65"/>
      <c r="LW26" s="65"/>
      <c r="LX26" s="65"/>
      <c r="LY26" s="65"/>
      <c r="LZ26" s="65"/>
      <c r="MA26" s="65"/>
      <c r="MB26" s="65"/>
      <c r="MC26" s="65"/>
      <c r="MD26" s="65"/>
      <c r="ME26" s="65"/>
      <c r="MF26" s="65"/>
      <c r="MG26" s="65"/>
      <c r="MH26" s="65"/>
      <c r="MI26" s="65"/>
      <c r="MJ26" s="65"/>
      <c r="MK26" s="65"/>
      <c r="ML26" s="65"/>
      <c r="MM26" s="65"/>
      <c r="MN26" s="65"/>
      <c r="MO26" s="65"/>
      <c r="MP26" s="65"/>
      <c r="MQ26" s="65"/>
      <c r="MR26" s="65"/>
      <c r="MS26" s="65"/>
      <c r="MT26" s="65"/>
      <c r="MU26" s="65"/>
      <c r="MV26" s="65"/>
      <c r="MW26" s="65"/>
      <c r="MX26" s="65"/>
      <c r="MY26" s="65"/>
      <c r="MZ26" s="65"/>
      <c r="NA26" s="65"/>
      <c r="NB26" s="65"/>
      <c r="NC26" s="65"/>
      <c r="ND26" s="65"/>
      <c r="NE26" s="65"/>
      <c r="NF26" s="65"/>
      <c r="NG26" s="65"/>
      <c r="NH26" s="65"/>
      <c r="NI26" s="65"/>
      <c r="NJ26" s="65"/>
      <c r="NK26" s="65"/>
      <c r="NL26" s="65"/>
      <c r="NM26" s="65"/>
      <c r="NN26" s="65"/>
      <c r="NO26" s="65"/>
      <c r="NP26" s="65"/>
      <c r="NQ26" s="65"/>
      <c r="NR26" s="65"/>
      <c r="NS26" s="65"/>
      <c r="NT26" s="65"/>
      <c r="NU26" s="65"/>
      <c r="NV26" s="65"/>
      <c r="NW26" s="65"/>
      <c r="NX26" s="65"/>
      <c r="NY26" s="65"/>
      <c r="NZ26" s="65"/>
      <c r="OA26" s="65"/>
      <c r="OB26" s="65"/>
      <c r="OC26" s="65"/>
      <c r="OD26" s="65"/>
      <c r="OE26" s="65"/>
      <c r="OF26" s="65"/>
      <c r="OG26" s="65"/>
      <c r="OH26" s="65"/>
      <c r="OI26" s="65"/>
      <c r="OJ26" s="65"/>
      <c r="OK26" s="65"/>
      <c r="OL26" s="65"/>
      <c r="OM26" s="65"/>
      <c r="ON26" s="65"/>
      <c r="OO26" s="65"/>
      <c r="OP26" s="65"/>
      <c r="OQ26" s="65"/>
      <c r="OR26" s="65"/>
      <c r="OS26" s="65"/>
      <c r="OT26" s="65"/>
      <c r="OU26" s="65"/>
      <c r="OV26" s="65"/>
      <c r="OW26" s="65"/>
      <c r="OX26" s="65"/>
      <c r="OY26" s="65"/>
      <c r="OZ26" s="65"/>
      <c r="PA26" s="65"/>
      <c r="PB26" s="65"/>
      <c r="PC26" s="65"/>
      <c r="PD26" s="65"/>
      <c r="PE26" s="65"/>
      <c r="PF26" s="65"/>
      <c r="PG26" s="65"/>
      <c r="PH26" s="65"/>
      <c r="PI26" s="65"/>
      <c r="PJ26" s="65"/>
      <c r="PK26" s="65"/>
      <c r="PL26" s="65"/>
      <c r="PM26" s="65"/>
      <c r="PN26" s="65"/>
      <c r="PO26" s="65"/>
      <c r="PP26" s="65"/>
      <c r="PQ26" s="65"/>
      <c r="PR26" s="65"/>
      <c r="PS26" s="65"/>
      <c r="PT26" s="65"/>
      <c r="PU26" s="65"/>
      <c r="PV26" s="65"/>
      <c r="PW26" s="65"/>
      <c r="PX26" s="65"/>
      <c r="PY26" s="65"/>
      <c r="PZ26" s="65"/>
      <c r="QA26" s="65"/>
      <c r="QB26" s="65"/>
      <c r="QC26" s="65"/>
      <c r="QD26" s="65"/>
      <c r="QE26" s="65"/>
      <c r="QF26" s="65"/>
      <c r="QG26" s="65"/>
      <c r="QH26" s="65"/>
      <c r="QI26" s="65"/>
      <c r="QJ26" s="65"/>
      <c r="QK26" s="65"/>
      <c r="QL26" s="65"/>
      <c r="QM26" s="65"/>
      <c r="QN26" s="65"/>
      <c r="QO26" s="65"/>
      <c r="QP26" s="65"/>
      <c r="QQ26" s="65"/>
      <c r="QR26" s="65"/>
      <c r="QS26" s="65"/>
      <c r="QT26" s="65"/>
      <c r="QU26" s="65"/>
      <c r="QV26" s="65"/>
      <c r="QW26" s="65"/>
      <c r="QX26" s="65"/>
      <c r="QY26" s="65"/>
      <c r="QZ26" s="65"/>
      <c r="RA26" s="65"/>
      <c r="RB26" s="65"/>
      <c r="RC26" s="65"/>
      <c r="RD26" s="65"/>
      <c r="RE26" s="65"/>
      <c r="RF26" s="65"/>
      <c r="RG26" s="65"/>
      <c r="RH26" s="65"/>
      <c r="RI26" s="65"/>
      <c r="RJ26" s="65"/>
      <c r="RK26" s="65"/>
      <c r="RL26" s="65"/>
      <c r="RM26" s="65"/>
      <c r="RN26" s="65"/>
      <c r="RO26" s="65"/>
      <c r="RP26" s="65"/>
      <c r="RQ26" s="65"/>
      <c r="RR26" s="65"/>
      <c r="RS26" s="65"/>
      <c r="RT26" s="65"/>
      <c r="RU26" s="65"/>
      <c r="RV26" s="65"/>
      <c r="RW26" s="65"/>
      <c r="RX26" s="65"/>
      <c r="RY26" s="65"/>
      <c r="RZ26" s="65"/>
      <c r="SA26" s="65"/>
      <c r="SB26" s="65"/>
      <c r="SC26" s="65"/>
      <c r="SD26" s="65"/>
      <c r="SE26" s="65"/>
      <c r="SF26" s="65"/>
      <c r="SG26" s="65"/>
      <c r="SH26" s="65"/>
      <c r="SI26" s="65"/>
      <c r="SJ26" s="65"/>
      <c r="SK26" s="65"/>
      <c r="SL26" s="65"/>
      <c r="SM26" s="65"/>
      <c r="SN26" s="65"/>
      <c r="SO26" s="65"/>
      <c r="SP26" s="65"/>
      <c r="SQ26" s="65"/>
      <c r="SR26" s="65"/>
      <c r="SS26" s="65"/>
      <c r="ST26" s="65"/>
      <c r="SU26" s="65"/>
      <c r="SV26" s="65"/>
      <c r="SW26" s="65"/>
      <c r="SX26" s="65"/>
      <c r="SY26" s="65"/>
      <c r="SZ26" s="65"/>
      <c r="TA26" s="65"/>
      <c r="TB26" s="65"/>
      <c r="TC26" s="65"/>
      <c r="TD26" s="65"/>
      <c r="TE26" s="65"/>
      <c r="TF26" s="65"/>
      <c r="TG26" s="65"/>
      <c r="TH26" s="65"/>
      <c r="TI26" s="65"/>
      <c r="TJ26" s="65"/>
      <c r="TK26" s="65"/>
      <c r="TL26" s="65"/>
      <c r="TM26" s="65"/>
      <c r="TN26" s="65"/>
      <c r="TO26" s="65"/>
      <c r="TP26" s="65"/>
      <c r="TQ26" s="65"/>
      <c r="TR26" s="65"/>
      <c r="TS26" s="65"/>
      <c r="TT26" s="65"/>
      <c r="TU26" s="65"/>
      <c r="TV26" s="65"/>
      <c r="TW26" s="65"/>
      <c r="TX26" s="65"/>
      <c r="TY26" s="65"/>
      <c r="TZ26" s="65"/>
      <c r="UA26" s="65"/>
      <c r="UB26" s="65"/>
      <c r="UC26" s="65"/>
      <c r="UD26" s="65"/>
      <c r="UE26" s="65"/>
      <c r="UF26" s="65"/>
      <c r="UG26" s="65"/>
      <c r="UH26" s="65"/>
      <c r="UI26" s="65"/>
      <c r="UJ26" s="65"/>
      <c r="UK26" s="65"/>
      <c r="UL26" s="65"/>
      <c r="UM26" s="65"/>
      <c r="UN26" s="65"/>
      <c r="UO26" s="65"/>
      <c r="UP26" s="65"/>
      <c r="UQ26" s="65"/>
      <c r="UR26" s="65"/>
      <c r="US26" s="65"/>
      <c r="UT26" s="65"/>
      <c r="UU26" s="65"/>
      <c r="UV26" s="65"/>
      <c r="UW26" s="65"/>
      <c r="UX26" s="65"/>
      <c r="UY26" s="65"/>
      <c r="UZ26" s="65"/>
      <c r="VA26" s="65"/>
      <c r="VB26" s="65"/>
      <c r="VC26" s="65"/>
      <c r="VD26" s="65"/>
      <c r="VE26" s="65"/>
      <c r="VF26" s="65"/>
      <c r="VG26" s="65"/>
      <c r="VH26" s="65"/>
      <c r="VI26" s="65"/>
      <c r="VJ26" s="65"/>
      <c r="VK26" s="65"/>
      <c r="VL26" s="65"/>
      <c r="VM26" s="65"/>
      <c r="VN26" s="65"/>
      <c r="VO26" s="65"/>
      <c r="VP26" s="65"/>
      <c r="VQ26" s="65"/>
      <c r="VR26" s="65"/>
      <c r="VS26" s="65"/>
      <c r="VT26" s="65"/>
      <c r="VU26" s="65"/>
      <c r="VV26" s="65"/>
      <c r="VW26" s="65"/>
      <c r="VX26" s="65"/>
      <c r="VY26" s="65"/>
      <c r="VZ26" s="65"/>
      <c r="WA26" s="65"/>
      <c r="WB26" s="65"/>
      <c r="WC26" s="65"/>
      <c r="WD26" s="65"/>
      <c r="WE26" s="65"/>
      <c r="WF26" s="65"/>
      <c r="WG26" s="65"/>
      <c r="WH26" s="65"/>
      <c r="WI26" s="65"/>
      <c r="WJ26" s="65"/>
      <c r="WK26" s="65"/>
      <c r="WL26" s="65"/>
      <c r="WM26" s="65"/>
      <c r="WN26" s="65"/>
      <c r="WO26" s="65"/>
      <c r="WP26" s="65"/>
      <c r="WQ26" s="65"/>
      <c r="WR26" s="65"/>
      <c r="WS26" s="65"/>
      <c r="WT26" s="65"/>
      <c r="WU26" s="65"/>
      <c r="WV26" s="65"/>
      <c r="WW26" s="65"/>
      <c r="WX26" s="65"/>
      <c r="WY26" s="65"/>
      <c r="WZ26" s="65"/>
      <c r="XA26" s="65"/>
      <c r="XB26" s="65"/>
      <c r="XC26" s="65"/>
      <c r="XD26" s="65"/>
      <c r="XE26" s="65"/>
      <c r="XF26" s="65"/>
      <c r="XG26" s="65"/>
      <c r="XH26" s="65"/>
      <c r="XI26" s="65"/>
      <c r="XJ26" s="65"/>
      <c r="XK26" s="65"/>
      <c r="XL26" s="65"/>
      <c r="XM26" s="65"/>
      <c r="XN26" s="65"/>
      <c r="XO26" s="65"/>
      <c r="XP26" s="65"/>
      <c r="XQ26" s="65"/>
      <c r="XR26" s="65"/>
      <c r="XS26" s="65"/>
      <c r="XT26" s="65"/>
      <c r="XU26" s="65"/>
      <c r="XV26" s="65"/>
      <c r="XW26" s="65"/>
      <c r="XX26" s="65"/>
      <c r="XY26" s="65"/>
      <c r="XZ26" s="65"/>
      <c r="YA26" s="65"/>
      <c r="YB26" s="65"/>
      <c r="YC26" s="65"/>
      <c r="YD26" s="65"/>
      <c r="YE26" s="65"/>
      <c r="YF26" s="65"/>
      <c r="YG26" s="65"/>
      <c r="YH26" s="65"/>
      <c r="YI26" s="65"/>
      <c r="YJ26" s="65"/>
      <c r="YK26" s="65"/>
      <c r="YL26" s="65"/>
      <c r="YM26" s="65"/>
      <c r="YN26" s="65"/>
      <c r="YO26" s="65"/>
      <c r="YP26" s="65"/>
      <c r="YQ26" s="65"/>
      <c r="YR26" s="65"/>
      <c r="YS26" s="65"/>
      <c r="YT26" s="65"/>
      <c r="YU26" s="65"/>
      <c r="YV26" s="65"/>
      <c r="YW26" s="65"/>
      <c r="YX26" s="65"/>
      <c r="YY26" s="65"/>
      <c r="YZ26" s="65"/>
      <c r="ZA26" s="65"/>
      <c r="ZB26" s="65"/>
      <c r="ZC26" s="65"/>
      <c r="ZD26" s="65"/>
      <c r="ZE26" s="65"/>
      <c r="ZF26" s="65"/>
      <c r="ZG26" s="65"/>
      <c r="ZH26" s="65"/>
      <c r="ZI26" s="65"/>
      <c r="ZJ26" s="65"/>
      <c r="ZK26" s="65"/>
      <c r="ZL26" s="65"/>
      <c r="ZM26" s="65"/>
      <c r="ZN26" s="65"/>
      <c r="ZO26" s="65"/>
      <c r="ZP26" s="65"/>
      <c r="ZQ26" s="65"/>
      <c r="ZR26" s="65"/>
      <c r="ZS26" s="65"/>
      <c r="ZT26" s="65"/>
      <c r="ZU26" s="65"/>
      <c r="ZV26" s="65"/>
      <c r="ZW26" s="65"/>
      <c r="ZX26" s="65"/>
      <c r="ZY26" s="65"/>
      <c r="ZZ26" s="65"/>
      <c r="AAA26" s="65"/>
      <c r="AAB26" s="65"/>
      <c r="AAC26" s="65"/>
      <c r="AAD26" s="65"/>
      <c r="AAE26" s="65"/>
      <c r="AAF26" s="65"/>
      <c r="AAG26" s="65"/>
      <c r="AAH26" s="65"/>
      <c r="AAI26" s="65"/>
      <c r="AAJ26" s="65"/>
      <c r="AAK26" s="65"/>
      <c r="AAL26" s="65"/>
      <c r="AAM26" s="65"/>
      <c r="AAN26" s="65"/>
      <c r="AAO26" s="65"/>
      <c r="AAP26" s="65"/>
      <c r="AAQ26" s="65"/>
      <c r="AAR26" s="65"/>
      <c r="AAS26" s="65"/>
      <c r="AAT26" s="65"/>
      <c r="AAU26" s="65"/>
      <c r="AAV26" s="65"/>
      <c r="AAW26" s="65"/>
      <c r="AAX26" s="65"/>
      <c r="AAY26" s="65"/>
      <c r="AAZ26" s="65"/>
      <c r="ABA26" s="65"/>
      <c r="ABB26" s="65"/>
      <c r="ABC26" s="65"/>
      <c r="ABD26" s="65"/>
      <c r="ABE26" s="65"/>
      <c r="ABF26" s="65"/>
      <c r="ABG26" s="65"/>
      <c r="ABH26" s="65"/>
      <c r="ABI26" s="65"/>
      <c r="ABJ26" s="65"/>
      <c r="ABK26" s="65"/>
      <c r="ABL26" s="65"/>
      <c r="ABM26" s="65"/>
      <c r="ABN26" s="65"/>
      <c r="ABO26" s="65"/>
      <c r="ABP26" s="65"/>
      <c r="ABQ26" s="65"/>
      <c r="ABR26" s="65"/>
      <c r="ABS26" s="65"/>
      <c r="ABT26" s="65"/>
      <c r="ABU26" s="65"/>
      <c r="ABV26" s="65"/>
      <c r="ABW26" s="65"/>
      <c r="ABX26" s="65"/>
      <c r="ABY26" s="65"/>
      <c r="ABZ26" s="65"/>
      <c r="ACA26" s="65"/>
      <c r="ACB26" s="65"/>
      <c r="ACC26" s="65"/>
      <c r="ACD26" s="65"/>
      <c r="ACE26" s="65"/>
      <c r="ACF26" s="65"/>
      <c r="ACG26" s="65"/>
      <c r="ACH26" s="65"/>
      <c r="ACI26" s="65"/>
      <c r="ACJ26" s="65"/>
      <c r="ACK26" s="65"/>
      <c r="ACL26" s="65"/>
      <c r="ACM26" s="65"/>
      <c r="ACN26" s="65"/>
      <c r="ACO26" s="65"/>
      <c r="ACP26" s="65"/>
      <c r="ACQ26" s="65"/>
      <c r="ACR26" s="65"/>
      <c r="ACS26" s="65"/>
      <c r="ACT26" s="65"/>
      <c r="ACU26" s="65"/>
      <c r="ACV26" s="65"/>
      <c r="ACW26" s="65"/>
      <c r="ACX26" s="65"/>
      <c r="ACY26" s="65"/>
      <c r="ACZ26" s="65"/>
      <c r="ADA26" s="65"/>
      <c r="ADB26" s="65"/>
      <c r="ADC26" s="65"/>
      <c r="ADD26" s="65"/>
      <c r="ADE26" s="65"/>
      <c r="ADF26" s="65"/>
      <c r="ADG26" s="65"/>
      <c r="ADH26" s="65"/>
      <c r="ADI26" s="65"/>
      <c r="ADJ26" s="65"/>
      <c r="ADK26" s="65"/>
      <c r="ADL26" s="65"/>
      <c r="ADM26" s="65"/>
      <c r="ADN26" s="65"/>
      <c r="ADO26" s="65"/>
      <c r="ADP26" s="65"/>
      <c r="ADQ26" s="65"/>
      <c r="ADR26" s="65"/>
      <c r="ADS26" s="65"/>
      <c r="ADT26" s="65"/>
      <c r="ADU26" s="65"/>
      <c r="ADV26" s="65"/>
      <c r="ADW26" s="65"/>
      <c r="ADX26" s="65"/>
      <c r="ADY26" s="65"/>
      <c r="ADZ26" s="65"/>
      <c r="AEA26" s="65"/>
      <c r="AEB26" s="65"/>
      <c r="AEC26" s="65"/>
      <c r="AED26" s="65"/>
      <c r="AEE26" s="65"/>
      <c r="AEF26" s="65"/>
      <c r="AEG26" s="65"/>
      <c r="AEH26" s="65"/>
      <c r="AEI26" s="65"/>
      <c r="AEJ26" s="65"/>
      <c r="AEK26" s="65"/>
      <c r="AEL26" s="65"/>
      <c r="AEM26" s="65"/>
      <c r="AEN26" s="65"/>
      <c r="AEO26" s="65"/>
      <c r="AEP26" s="65"/>
      <c r="AEQ26" s="65"/>
      <c r="AER26" s="65"/>
      <c r="AES26" s="65"/>
      <c r="AET26" s="65"/>
      <c r="AEU26" s="65"/>
      <c r="AEV26" s="65"/>
      <c r="AEW26" s="65"/>
      <c r="AEX26" s="65"/>
      <c r="AEY26" s="65"/>
      <c r="AEZ26" s="65"/>
      <c r="AFA26" s="65"/>
      <c r="AFB26" s="65"/>
      <c r="AFC26" s="65"/>
      <c r="AFD26" s="65"/>
      <c r="AFE26" s="65"/>
      <c r="AFF26" s="65"/>
      <c r="AFG26" s="65"/>
      <c r="AFH26" s="65"/>
      <c r="AFI26" s="65"/>
      <c r="AFJ26" s="65"/>
      <c r="AFK26" s="65"/>
      <c r="AFL26" s="65"/>
      <c r="AFM26" s="65"/>
      <c r="AFN26" s="65"/>
      <c r="AFO26" s="65"/>
      <c r="AFP26" s="65"/>
      <c r="AFQ26" s="65"/>
      <c r="AFR26" s="65"/>
      <c r="AFS26" s="65"/>
      <c r="AFT26" s="65"/>
      <c r="AFU26" s="65"/>
      <c r="AFV26" s="65"/>
      <c r="AFW26" s="65"/>
      <c r="AFX26" s="65"/>
      <c r="AFY26" s="65"/>
      <c r="AFZ26" s="65"/>
      <c r="AGA26" s="65"/>
      <c r="AGB26" s="65"/>
      <c r="AGC26" s="65"/>
      <c r="AGD26" s="65"/>
      <c r="AGE26" s="65"/>
      <c r="AGF26" s="65"/>
      <c r="AGG26" s="65"/>
      <c r="AGH26" s="65"/>
      <c r="AGI26" s="65"/>
      <c r="AGJ26" s="65"/>
      <c r="AGK26" s="65"/>
      <c r="AGL26" s="65"/>
      <c r="AGM26" s="65"/>
      <c r="AGN26" s="65"/>
      <c r="AGO26" s="65"/>
      <c r="AGP26" s="65"/>
      <c r="AGQ26" s="65"/>
      <c r="AGR26" s="65"/>
      <c r="AGS26" s="65"/>
      <c r="AGT26" s="65"/>
      <c r="AGU26" s="65"/>
      <c r="AGV26" s="65"/>
      <c r="AGW26" s="65"/>
      <c r="AGX26" s="65"/>
      <c r="AGY26" s="65"/>
      <c r="AGZ26" s="65"/>
      <c r="AHA26" s="65"/>
      <c r="AHB26" s="65"/>
      <c r="AHC26" s="65"/>
      <c r="AHD26" s="65"/>
      <c r="AHE26" s="65"/>
      <c r="AHF26" s="65"/>
      <c r="AHG26" s="65"/>
      <c r="AHH26" s="65"/>
      <c r="AHI26" s="65"/>
      <c r="AHJ26" s="65"/>
      <c r="AHK26" s="65"/>
      <c r="AHL26" s="65"/>
      <c r="AHM26" s="65"/>
      <c r="AHN26" s="65"/>
      <c r="AHO26" s="65"/>
      <c r="AHP26" s="65"/>
      <c r="AHQ26" s="65"/>
      <c r="AHR26" s="65"/>
      <c r="AHS26" s="65"/>
      <c r="AHT26" s="65"/>
      <c r="AHU26" s="65"/>
      <c r="AHV26" s="65"/>
      <c r="AHW26" s="65"/>
      <c r="AHX26" s="65"/>
      <c r="AHY26" s="65"/>
      <c r="AHZ26" s="65"/>
      <c r="AIA26" s="65"/>
      <c r="AIB26" s="65"/>
      <c r="AIC26" s="65"/>
      <c r="AID26" s="65"/>
      <c r="AIE26" s="65"/>
      <c r="AIF26" s="65"/>
      <c r="AIG26" s="65"/>
      <c r="AIH26" s="65"/>
      <c r="AII26" s="65"/>
      <c r="AIJ26" s="65"/>
      <c r="AIK26" s="65"/>
      <c r="AIL26" s="65"/>
      <c r="AIM26" s="65"/>
      <c r="AIN26" s="65"/>
      <c r="AIO26" s="65"/>
      <c r="AIP26" s="65"/>
      <c r="AIQ26" s="65"/>
      <c r="AIR26" s="65"/>
      <c r="AIS26" s="65"/>
      <c r="AIT26" s="65"/>
      <c r="AIU26" s="65"/>
      <c r="AIV26" s="65"/>
      <c r="AIW26" s="65"/>
      <c r="AIX26" s="65"/>
      <c r="AIY26" s="65"/>
      <c r="AIZ26" s="65"/>
      <c r="AJA26" s="65"/>
      <c r="AJB26" s="65"/>
      <c r="AJC26" s="65"/>
      <c r="AJD26" s="65"/>
      <c r="AJE26" s="65"/>
      <c r="AJF26" s="65"/>
      <c r="AJG26" s="65"/>
      <c r="AJH26" s="65"/>
      <c r="AJI26" s="65"/>
      <c r="AJJ26" s="65"/>
      <c r="AJK26" s="65"/>
      <c r="AJL26" s="65"/>
      <c r="AJM26" s="65"/>
      <c r="AJN26" s="65"/>
      <c r="AJO26" s="65"/>
      <c r="AJP26" s="65"/>
      <c r="AJQ26" s="65"/>
      <c r="AJR26" s="65"/>
      <c r="AJS26" s="65"/>
      <c r="AJT26" s="65"/>
      <c r="AJU26" s="65"/>
      <c r="AJV26" s="65"/>
      <c r="AJW26" s="65"/>
      <c r="AJX26" s="65"/>
      <c r="AJY26" s="65"/>
      <c r="AJZ26" s="65"/>
      <c r="AKA26" s="65"/>
      <c r="AKB26" s="65"/>
      <c r="AKC26" s="65"/>
      <c r="AKD26" s="65"/>
      <c r="AKE26" s="65"/>
      <c r="AKF26" s="65"/>
      <c r="AKG26" s="65"/>
      <c r="AKH26" s="65"/>
      <c r="AKI26" s="65"/>
      <c r="AKJ26" s="65"/>
      <c r="AKK26" s="65"/>
      <c r="AKL26" s="65"/>
      <c r="AKM26" s="65"/>
      <c r="AKN26" s="65"/>
      <c r="AKO26" s="65"/>
      <c r="AKP26" s="65"/>
      <c r="AKQ26" s="65"/>
      <c r="AKR26" s="65"/>
      <c r="AKS26" s="65"/>
      <c r="AKT26" s="65"/>
      <c r="AKU26" s="65"/>
      <c r="AKV26" s="65"/>
      <c r="AKW26" s="65"/>
      <c r="AKX26" s="65"/>
      <c r="AKY26" s="65"/>
      <c r="AKZ26" s="65"/>
      <c r="ALA26" s="65"/>
      <c r="ALB26" s="65"/>
      <c r="ALC26" s="65"/>
      <c r="ALD26" s="65"/>
      <c r="ALE26" s="65"/>
      <c r="ALF26" s="65"/>
      <c r="ALG26" s="65"/>
      <c r="ALH26" s="65"/>
      <c r="ALI26" s="65"/>
      <c r="ALJ26" s="65"/>
      <c r="ALK26" s="65"/>
      <c r="ALL26" s="65"/>
      <c r="ALM26" s="65"/>
      <c r="ALN26" s="65"/>
      <c r="ALO26" s="65"/>
      <c r="ALP26" s="65"/>
      <c r="ALQ26" s="65"/>
      <c r="ALR26" s="65"/>
      <c r="ALS26" s="65"/>
      <c r="ALT26" s="65"/>
      <c r="ALU26" s="65"/>
      <c r="ALV26" s="65"/>
      <c r="ALW26" s="65"/>
      <c r="ALX26" s="65"/>
      <c r="ALY26" s="65"/>
      <c r="ALZ26" s="65"/>
      <c r="AMA26" s="65"/>
      <c r="AMB26" s="65"/>
      <c r="AMC26" s="65"/>
      <c r="AMD26" s="65"/>
      <c r="AME26" s="65"/>
      <c r="AMF26" s="65"/>
      <c r="AMG26" s="65"/>
      <c r="AMH26" s="65"/>
      <c r="AMI26" s="65"/>
      <c r="AMJ26" s="60"/>
    </row>
    <row r="27" spans="1:1024">
      <c r="A27" s="66" t="s">
        <v>39697</v>
      </c>
      <c r="B27" s="67" t="s">
        <v>39698</v>
      </c>
      <c r="C27" s="67">
        <v>13</v>
      </c>
      <c r="D27" s="67">
        <v>12024</v>
      </c>
      <c r="E27" s="67" t="s">
        <v>39711</v>
      </c>
      <c r="F27" s="67">
        <v>858759</v>
      </c>
      <c r="G27" s="67">
        <v>148035</v>
      </c>
      <c r="H27" s="67">
        <v>160059</v>
      </c>
      <c r="I27" s="68">
        <v>1.2549999999999999</v>
      </c>
      <c r="J27" s="67">
        <v>11</v>
      </c>
      <c r="K27" s="67">
        <v>18</v>
      </c>
      <c r="L27" s="67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  <c r="IS27" s="65"/>
      <c r="IT27" s="65"/>
      <c r="IU27" s="65"/>
      <c r="IV27" s="65"/>
      <c r="IW27" s="65"/>
      <c r="IX27" s="65"/>
      <c r="IY27" s="65"/>
      <c r="IZ27" s="65"/>
      <c r="JA27" s="65"/>
      <c r="JB27" s="65"/>
      <c r="JC27" s="65"/>
      <c r="JD27" s="65"/>
      <c r="JE27" s="65"/>
      <c r="JF27" s="65"/>
      <c r="JG27" s="65"/>
      <c r="JH27" s="65"/>
      <c r="JI27" s="65"/>
      <c r="JJ27" s="65"/>
      <c r="JK27" s="65"/>
      <c r="JL27" s="65"/>
      <c r="JM27" s="65"/>
      <c r="JN27" s="65"/>
      <c r="JO27" s="65"/>
      <c r="JP27" s="65"/>
      <c r="JQ27" s="65"/>
      <c r="JR27" s="65"/>
      <c r="JS27" s="65"/>
      <c r="JT27" s="65"/>
      <c r="JU27" s="65"/>
      <c r="JV27" s="65"/>
      <c r="JW27" s="65"/>
      <c r="JX27" s="65"/>
      <c r="JY27" s="65"/>
      <c r="JZ27" s="65"/>
      <c r="KA27" s="65"/>
      <c r="KB27" s="65"/>
      <c r="KC27" s="65"/>
      <c r="KD27" s="65"/>
      <c r="KE27" s="65"/>
      <c r="KF27" s="65"/>
      <c r="KG27" s="65"/>
      <c r="KH27" s="65"/>
      <c r="KI27" s="65"/>
      <c r="KJ27" s="65"/>
      <c r="KK27" s="65"/>
      <c r="KL27" s="65"/>
      <c r="KM27" s="65"/>
      <c r="KN27" s="65"/>
      <c r="KO27" s="65"/>
      <c r="KP27" s="65"/>
      <c r="KQ27" s="65"/>
      <c r="KR27" s="65"/>
      <c r="KS27" s="65"/>
      <c r="KT27" s="65"/>
      <c r="KU27" s="65"/>
      <c r="KV27" s="65"/>
      <c r="KW27" s="65"/>
      <c r="KX27" s="65"/>
      <c r="KY27" s="65"/>
      <c r="KZ27" s="65"/>
      <c r="LA27" s="65"/>
      <c r="LB27" s="65"/>
      <c r="LC27" s="65"/>
      <c r="LD27" s="65"/>
      <c r="LE27" s="65"/>
      <c r="LF27" s="65"/>
      <c r="LG27" s="65"/>
      <c r="LH27" s="65"/>
      <c r="LI27" s="65"/>
      <c r="LJ27" s="65"/>
      <c r="LK27" s="65"/>
      <c r="LL27" s="65"/>
      <c r="LM27" s="65"/>
      <c r="LN27" s="65"/>
      <c r="LO27" s="65"/>
      <c r="LP27" s="65"/>
      <c r="LQ27" s="65"/>
      <c r="LR27" s="65"/>
      <c r="LS27" s="65"/>
      <c r="LT27" s="65"/>
      <c r="LU27" s="65"/>
      <c r="LV27" s="65"/>
      <c r="LW27" s="65"/>
      <c r="LX27" s="65"/>
      <c r="LY27" s="65"/>
      <c r="LZ27" s="65"/>
      <c r="MA27" s="65"/>
      <c r="MB27" s="65"/>
      <c r="MC27" s="65"/>
      <c r="MD27" s="65"/>
      <c r="ME27" s="65"/>
      <c r="MF27" s="65"/>
      <c r="MG27" s="65"/>
      <c r="MH27" s="65"/>
      <c r="MI27" s="65"/>
      <c r="MJ27" s="65"/>
      <c r="MK27" s="65"/>
      <c r="ML27" s="65"/>
      <c r="MM27" s="65"/>
      <c r="MN27" s="65"/>
      <c r="MO27" s="65"/>
      <c r="MP27" s="65"/>
      <c r="MQ27" s="65"/>
      <c r="MR27" s="65"/>
      <c r="MS27" s="65"/>
      <c r="MT27" s="65"/>
      <c r="MU27" s="65"/>
      <c r="MV27" s="65"/>
      <c r="MW27" s="65"/>
      <c r="MX27" s="65"/>
      <c r="MY27" s="65"/>
      <c r="MZ27" s="65"/>
      <c r="NA27" s="65"/>
      <c r="NB27" s="65"/>
      <c r="NC27" s="65"/>
      <c r="ND27" s="65"/>
      <c r="NE27" s="65"/>
      <c r="NF27" s="65"/>
      <c r="NG27" s="65"/>
      <c r="NH27" s="65"/>
      <c r="NI27" s="65"/>
      <c r="NJ27" s="65"/>
      <c r="NK27" s="65"/>
      <c r="NL27" s="65"/>
      <c r="NM27" s="65"/>
      <c r="NN27" s="65"/>
      <c r="NO27" s="65"/>
      <c r="NP27" s="65"/>
      <c r="NQ27" s="65"/>
      <c r="NR27" s="65"/>
      <c r="NS27" s="65"/>
      <c r="NT27" s="65"/>
      <c r="NU27" s="65"/>
      <c r="NV27" s="65"/>
      <c r="NW27" s="65"/>
      <c r="NX27" s="65"/>
      <c r="NY27" s="65"/>
      <c r="NZ27" s="65"/>
      <c r="OA27" s="65"/>
      <c r="OB27" s="65"/>
      <c r="OC27" s="65"/>
      <c r="OD27" s="65"/>
      <c r="OE27" s="65"/>
      <c r="OF27" s="65"/>
      <c r="OG27" s="65"/>
      <c r="OH27" s="65"/>
      <c r="OI27" s="65"/>
      <c r="OJ27" s="65"/>
      <c r="OK27" s="65"/>
      <c r="OL27" s="65"/>
      <c r="OM27" s="65"/>
      <c r="ON27" s="65"/>
      <c r="OO27" s="65"/>
      <c r="OP27" s="65"/>
      <c r="OQ27" s="65"/>
      <c r="OR27" s="65"/>
      <c r="OS27" s="65"/>
      <c r="OT27" s="65"/>
      <c r="OU27" s="65"/>
      <c r="OV27" s="65"/>
      <c r="OW27" s="65"/>
      <c r="OX27" s="65"/>
      <c r="OY27" s="65"/>
      <c r="OZ27" s="65"/>
      <c r="PA27" s="65"/>
      <c r="PB27" s="65"/>
      <c r="PC27" s="65"/>
      <c r="PD27" s="65"/>
      <c r="PE27" s="65"/>
      <c r="PF27" s="65"/>
      <c r="PG27" s="65"/>
      <c r="PH27" s="65"/>
      <c r="PI27" s="65"/>
      <c r="PJ27" s="65"/>
      <c r="PK27" s="65"/>
      <c r="PL27" s="65"/>
      <c r="PM27" s="65"/>
      <c r="PN27" s="65"/>
      <c r="PO27" s="65"/>
      <c r="PP27" s="65"/>
      <c r="PQ27" s="65"/>
      <c r="PR27" s="65"/>
      <c r="PS27" s="65"/>
      <c r="PT27" s="65"/>
      <c r="PU27" s="65"/>
      <c r="PV27" s="65"/>
      <c r="PW27" s="65"/>
      <c r="PX27" s="65"/>
      <c r="PY27" s="65"/>
      <c r="PZ27" s="65"/>
      <c r="QA27" s="65"/>
      <c r="QB27" s="65"/>
      <c r="QC27" s="65"/>
      <c r="QD27" s="65"/>
      <c r="QE27" s="65"/>
      <c r="QF27" s="65"/>
      <c r="QG27" s="65"/>
      <c r="QH27" s="65"/>
      <c r="QI27" s="65"/>
      <c r="QJ27" s="65"/>
      <c r="QK27" s="65"/>
      <c r="QL27" s="65"/>
      <c r="QM27" s="65"/>
      <c r="QN27" s="65"/>
      <c r="QO27" s="65"/>
      <c r="QP27" s="65"/>
      <c r="QQ27" s="65"/>
      <c r="QR27" s="65"/>
      <c r="QS27" s="65"/>
      <c r="QT27" s="65"/>
      <c r="QU27" s="65"/>
      <c r="QV27" s="65"/>
      <c r="QW27" s="65"/>
      <c r="QX27" s="65"/>
      <c r="QY27" s="65"/>
      <c r="QZ27" s="65"/>
      <c r="RA27" s="65"/>
      <c r="RB27" s="65"/>
      <c r="RC27" s="65"/>
      <c r="RD27" s="65"/>
      <c r="RE27" s="65"/>
      <c r="RF27" s="65"/>
      <c r="RG27" s="65"/>
      <c r="RH27" s="65"/>
      <c r="RI27" s="65"/>
      <c r="RJ27" s="65"/>
      <c r="RK27" s="65"/>
      <c r="RL27" s="65"/>
      <c r="RM27" s="65"/>
      <c r="RN27" s="65"/>
      <c r="RO27" s="65"/>
      <c r="RP27" s="65"/>
      <c r="RQ27" s="65"/>
      <c r="RR27" s="65"/>
      <c r="RS27" s="65"/>
      <c r="RT27" s="65"/>
      <c r="RU27" s="65"/>
      <c r="RV27" s="65"/>
      <c r="RW27" s="65"/>
      <c r="RX27" s="65"/>
      <c r="RY27" s="65"/>
      <c r="RZ27" s="65"/>
      <c r="SA27" s="65"/>
      <c r="SB27" s="65"/>
      <c r="SC27" s="65"/>
      <c r="SD27" s="65"/>
      <c r="SE27" s="65"/>
      <c r="SF27" s="65"/>
      <c r="SG27" s="65"/>
      <c r="SH27" s="65"/>
      <c r="SI27" s="65"/>
      <c r="SJ27" s="65"/>
      <c r="SK27" s="65"/>
      <c r="SL27" s="65"/>
      <c r="SM27" s="65"/>
      <c r="SN27" s="65"/>
      <c r="SO27" s="65"/>
      <c r="SP27" s="65"/>
      <c r="SQ27" s="65"/>
      <c r="SR27" s="65"/>
      <c r="SS27" s="65"/>
      <c r="ST27" s="65"/>
      <c r="SU27" s="65"/>
      <c r="SV27" s="65"/>
      <c r="SW27" s="65"/>
      <c r="SX27" s="65"/>
      <c r="SY27" s="65"/>
      <c r="SZ27" s="65"/>
      <c r="TA27" s="65"/>
      <c r="TB27" s="65"/>
      <c r="TC27" s="65"/>
      <c r="TD27" s="65"/>
      <c r="TE27" s="65"/>
      <c r="TF27" s="65"/>
      <c r="TG27" s="65"/>
      <c r="TH27" s="65"/>
      <c r="TI27" s="65"/>
      <c r="TJ27" s="65"/>
      <c r="TK27" s="65"/>
      <c r="TL27" s="65"/>
      <c r="TM27" s="65"/>
      <c r="TN27" s="65"/>
      <c r="TO27" s="65"/>
      <c r="TP27" s="65"/>
      <c r="TQ27" s="65"/>
      <c r="TR27" s="65"/>
      <c r="TS27" s="65"/>
      <c r="TT27" s="65"/>
      <c r="TU27" s="65"/>
      <c r="TV27" s="65"/>
      <c r="TW27" s="65"/>
      <c r="TX27" s="65"/>
      <c r="TY27" s="65"/>
      <c r="TZ27" s="65"/>
      <c r="UA27" s="65"/>
      <c r="UB27" s="65"/>
      <c r="UC27" s="65"/>
      <c r="UD27" s="65"/>
      <c r="UE27" s="65"/>
      <c r="UF27" s="65"/>
      <c r="UG27" s="65"/>
      <c r="UH27" s="65"/>
      <c r="UI27" s="65"/>
      <c r="UJ27" s="65"/>
      <c r="UK27" s="65"/>
      <c r="UL27" s="65"/>
      <c r="UM27" s="65"/>
      <c r="UN27" s="65"/>
      <c r="UO27" s="65"/>
      <c r="UP27" s="65"/>
      <c r="UQ27" s="65"/>
      <c r="UR27" s="65"/>
      <c r="US27" s="65"/>
      <c r="UT27" s="65"/>
      <c r="UU27" s="65"/>
      <c r="UV27" s="65"/>
      <c r="UW27" s="65"/>
      <c r="UX27" s="65"/>
      <c r="UY27" s="65"/>
      <c r="UZ27" s="65"/>
      <c r="VA27" s="65"/>
      <c r="VB27" s="65"/>
      <c r="VC27" s="65"/>
      <c r="VD27" s="65"/>
      <c r="VE27" s="65"/>
      <c r="VF27" s="65"/>
      <c r="VG27" s="65"/>
      <c r="VH27" s="65"/>
      <c r="VI27" s="65"/>
      <c r="VJ27" s="65"/>
      <c r="VK27" s="65"/>
      <c r="VL27" s="65"/>
      <c r="VM27" s="65"/>
      <c r="VN27" s="65"/>
      <c r="VO27" s="65"/>
      <c r="VP27" s="65"/>
      <c r="VQ27" s="65"/>
      <c r="VR27" s="65"/>
      <c r="VS27" s="65"/>
      <c r="VT27" s="65"/>
      <c r="VU27" s="65"/>
      <c r="VV27" s="65"/>
      <c r="VW27" s="65"/>
      <c r="VX27" s="65"/>
      <c r="VY27" s="65"/>
      <c r="VZ27" s="65"/>
      <c r="WA27" s="65"/>
      <c r="WB27" s="65"/>
      <c r="WC27" s="65"/>
      <c r="WD27" s="65"/>
      <c r="WE27" s="65"/>
      <c r="WF27" s="65"/>
      <c r="WG27" s="65"/>
      <c r="WH27" s="65"/>
      <c r="WI27" s="65"/>
      <c r="WJ27" s="65"/>
      <c r="WK27" s="65"/>
      <c r="WL27" s="65"/>
      <c r="WM27" s="65"/>
      <c r="WN27" s="65"/>
      <c r="WO27" s="65"/>
      <c r="WP27" s="65"/>
      <c r="WQ27" s="65"/>
      <c r="WR27" s="65"/>
      <c r="WS27" s="65"/>
      <c r="WT27" s="65"/>
      <c r="WU27" s="65"/>
      <c r="WV27" s="65"/>
      <c r="WW27" s="65"/>
      <c r="WX27" s="65"/>
      <c r="WY27" s="65"/>
      <c r="WZ27" s="65"/>
      <c r="XA27" s="65"/>
      <c r="XB27" s="65"/>
      <c r="XC27" s="65"/>
      <c r="XD27" s="65"/>
      <c r="XE27" s="65"/>
      <c r="XF27" s="65"/>
      <c r="XG27" s="65"/>
      <c r="XH27" s="65"/>
      <c r="XI27" s="65"/>
      <c r="XJ27" s="65"/>
      <c r="XK27" s="65"/>
      <c r="XL27" s="65"/>
      <c r="XM27" s="65"/>
      <c r="XN27" s="65"/>
      <c r="XO27" s="65"/>
      <c r="XP27" s="65"/>
      <c r="XQ27" s="65"/>
      <c r="XR27" s="65"/>
      <c r="XS27" s="65"/>
      <c r="XT27" s="65"/>
      <c r="XU27" s="65"/>
      <c r="XV27" s="65"/>
      <c r="XW27" s="65"/>
      <c r="XX27" s="65"/>
      <c r="XY27" s="65"/>
      <c r="XZ27" s="65"/>
      <c r="YA27" s="65"/>
      <c r="YB27" s="65"/>
      <c r="YC27" s="65"/>
      <c r="YD27" s="65"/>
      <c r="YE27" s="65"/>
      <c r="YF27" s="65"/>
      <c r="YG27" s="65"/>
      <c r="YH27" s="65"/>
      <c r="YI27" s="65"/>
      <c r="YJ27" s="65"/>
      <c r="YK27" s="65"/>
      <c r="YL27" s="65"/>
      <c r="YM27" s="65"/>
      <c r="YN27" s="65"/>
      <c r="YO27" s="65"/>
      <c r="YP27" s="65"/>
      <c r="YQ27" s="65"/>
      <c r="YR27" s="65"/>
      <c r="YS27" s="65"/>
      <c r="YT27" s="65"/>
      <c r="YU27" s="65"/>
      <c r="YV27" s="65"/>
      <c r="YW27" s="65"/>
      <c r="YX27" s="65"/>
      <c r="YY27" s="65"/>
      <c r="YZ27" s="65"/>
      <c r="ZA27" s="65"/>
      <c r="ZB27" s="65"/>
      <c r="ZC27" s="65"/>
      <c r="ZD27" s="65"/>
      <c r="ZE27" s="65"/>
      <c r="ZF27" s="65"/>
      <c r="ZG27" s="65"/>
      <c r="ZH27" s="65"/>
      <c r="ZI27" s="65"/>
      <c r="ZJ27" s="65"/>
      <c r="ZK27" s="65"/>
      <c r="ZL27" s="65"/>
      <c r="ZM27" s="65"/>
      <c r="ZN27" s="65"/>
      <c r="ZO27" s="65"/>
      <c r="ZP27" s="65"/>
      <c r="ZQ27" s="65"/>
      <c r="ZR27" s="65"/>
      <c r="ZS27" s="65"/>
      <c r="ZT27" s="65"/>
      <c r="ZU27" s="65"/>
      <c r="ZV27" s="65"/>
      <c r="ZW27" s="65"/>
      <c r="ZX27" s="65"/>
      <c r="ZY27" s="65"/>
      <c r="ZZ27" s="65"/>
      <c r="AAA27" s="65"/>
      <c r="AAB27" s="65"/>
      <c r="AAC27" s="65"/>
      <c r="AAD27" s="65"/>
      <c r="AAE27" s="65"/>
      <c r="AAF27" s="65"/>
      <c r="AAG27" s="65"/>
      <c r="AAH27" s="65"/>
      <c r="AAI27" s="65"/>
      <c r="AAJ27" s="65"/>
      <c r="AAK27" s="65"/>
      <c r="AAL27" s="65"/>
      <c r="AAM27" s="65"/>
      <c r="AAN27" s="65"/>
      <c r="AAO27" s="65"/>
      <c r="AAP27" s="65"/>
      <c r="AAQ27" s="65"/>
      <c r="AAR27" s="65"/>
      <c r="AAS27" s="65"/>
      <c r="AAT27" s="65"/>
      <c r="AAU27" s="65"/>
      <c r="AAV27" s="65"/>
      <c r="AAW27" s="65"/>
      <c r="AAX27" s="65"/>
      <c r="AAY27" s="65"/>
      <c r="AAZ27" s="65"/>
      <c r="ABA27" s="65"/>
      <c r="ABB27" s="65"/>
      <c r="ABC27" s="65"/>
      <c r="ABD27" s="65"/>
      <c r="ABE27" s="65"/>
      <c r="ABF27" s="65"/>
      <c r="ABG27" s="65"/>
      <c r="ABH27" s="65"/>
      <c r="ABI27" s="65"/>
      <c r="ABJ27" s="65"/>
      <c r="ABK27" s="65"/>
      <c r="ABL27" s="65"/>
      <c r="ABM27" s="65"/>
      <c r="ABN27" s="65"/>
      <c r="ABO27" s="65"/>
      <c r="ABP27" s="65"/>
      <c r="ABQ27" s="65"/>
      <c r="ABR27" s="65"/>
      <c r="ABS27" s="65"/>
      <c r="ABT27" s="65"/>
      <c r="ABU27" s="65"/>
      <c r="ABV27" s="65"/>
      <c r="ABW27" s="65"/>
      <c r="ABX27" s="65"/>
      <c r="ABY27" s="65"/>
      <c r="ABZ27" s="65"/>
      <c r="ACA27" s="65"/>
      <c r="ACB27" s="65"/>
      <c r="ACC27" s="65"/>
      <c r="ACD27" s="65"/>
      <c r="ACE27" s="65"/>
      <c r="ACF27" s="65"/>
      <c r="ACG27" s="65"/>
      <c r="ACH27" s="65"/>
      <c r="ACI27" s="65"/>
      <c r="ACJ27" s="65"/>
      <c r="ACK27" s="65"/>
      <c r="ACL27" s="65"/>
      <c r="ACM27" s="65"/>
      <c r="ACN27" s="65"/>
      <c r="ACO27" s="65"/>
      <c r="ACP27" s="65"/>
      <c r="ACQ27" s="65"/>
      <c r="ACR27" s="65"/>
      <c r="ACS27" s="65"/>
      <c r="ACT27" s="65"/>
      <c r="ACU27" s="65"/>
      <c r="ACV27" s="65"/>
      <c r="ACW27" s="65"/>
      <c r="ACX27" s="65"/>
      <c r="ACY27" s="65"/>
      <c r="ACZ27" s="65"/>
      <c r="ADA27" s="65"/>
      <c r="ADB27" s="65"/>
      <c r="ADC27" s="65"/>
      <c r="ADD27" s="65"/>
      <c r="ADE27" s="65"/>
      <c r="ADF27" s="65"/>
      <c r="ADG27" s="65"/>
      <c r="ADH27" s="65"/>
      <c r="ADI27" s="65"/>
      <c r="ADJ27" s="65"/>
      <c r="ADK27" s="65"/>
      <c r="ADL27" s="65"/>
      <c r="ADM27" s="65"/>
      <c r="ADN27" s="65"/>
      <c r="ADO27" s="65"/>
      <c r="ADP27" s="65"/>
      <c r="ADQ27" s="65"/>
      <c r="ADR27" s="65"/>
      <c r="ADS27" s="65"/>
      <c r="ADT27" s="65"/>
      <c r="ADU27" s="65"/>
      <c r="ADV27" s="65"/>
      <c r="ADW27" s="65"/>
      <c r="ADX27" s="65"/>
      <c r="ADY27" s="65"/>
      <c r="ADZ27" s="65"/>
      <c r="AEA27" s="65"/>
      <c r="AEB27" s="65"/>
      <c r="AEC27" s="65"/>
      <c r="AED27" s="65"/>
      <c r="AEE27" s="65"/>
      <c r="AEF27" s="65"/>
      <c r="AEG27" s="65"/>
      <c r="AEH27" s="65"/>
      <c r="AEI27" s="65"/>
      <c r="AEJ27" s="65"/>
      <c r="AEK27" s="65"/>
      <c r="AEL27" s="65"/>
      <c r="AEM27" s="65"/>
      <c r="AEN27" s="65"/>
      <c r="AEO27" s="65"/>
      <c r="AEP27" s="65"/>
      <c r="AEQ27" s="65"/>
      <c r="AER27" s="65"/>
      <c r="AES27" s="65"/>
      <c r="AET27" s="65"/>
      <c r="AEU27" s="65"/>
      <c r="AEV27" s="65"/>
      <c r="AEW27" s="65"/>
      <c r="AEX27" s="65"/>
      <c r="AEY27" s="65"/>
      <c r="AEZ27" s="65"/>
      <c r="AFA27" s="65"/>
      <c r="AFB27" s="65"/>
      <c r="AFC27" s="65"/>
      <c r="AFD27" s="65"/>
      <c r="AFE27" s="65"/>
      <c r="AFF27" s="65"/>
      <c r="AFG27" s="65"/>
      <c r="AFH27" s="65"/>
      <c r="AFI27" s="65"/>
      <c r="AFJ27" s="65"/>
      <c r="AFK27" s="65"/>
      <c r="AFL27" s="65"/>
      <c r="AFM27" s="65"/>
      <c r="AFN27" s="65"/>
      <c r="AFO27" s="65"/>
      <c r="AFP27" s="65"/>
      <c r="AFQ27" s="65"/>
      <c r="AFR27" s="65"/>
      <c r="AFS27" s="65"/>
      <c r="AFT27" s="65"/>
      <c r="AFU27" s="65"/>
      <c r="AFV27" s="65"/>
      <c r="AFW27" s="65"/>
      <c r="AFX27" s="65"/>
      <c r="AFY27" s="65"/>
      <c r="AFZ27" s="65"/>
      <c r="AGA27" s="65"/>
      <c r="AGB27" s="65"/>
      <c r="AGC27" s="65"/>
      <c r="AGD27" s="65"/>
      <c r="AGE27" s="65"/>
      <c r="AGF27" s="65"/>
      <c r="AGG27" s="65"/>
      <c r="AGH27" s="65"/>
      <c r="AGI27" s="65"/>
      <c r="AGJ27" s="65"/>
      <c r="AGK27" s="65"/>
      <c r="AGL27" s="65"/>
      <c r="AGM27" s="65"/>
      <c r="AGN27" s="65"/>
      <c r="AGO27" s="65"/>
      <c r="AGP27" s="65"/>
      <c r="AGQ27" s="65"/>
      <c r="AGR27" s="65"/>
      <c r="AGS27" s="65"/>
      <c r="AGT27" s="65"/>
      <c r="AGU27" s="65"/>
      <c r="AGV27" s="65"/>
      <c r="AGW27" s="65"/>
      <c r="AGX27" s="65"/>
      <c r="AGY27" s="65"/>
      <c r="AGZ27" s="65"/>
      <c r="AHA27" s="65"/>
      <c r="AHB27" s="65"/>
      <c r="AHC27" s="65"/>
      <c r="AHD27" s="65"/>
      <c r="AHE27" s="65"/>
      <c r="AHF27" s="65"/>
      <c r="AHG27" s="65"/>
      <c r="AHH27" s="65"/>
      <c r="AHI27" s="65"/>
      <c r="AHJ27" s="65"/>
      <c r="AHK27" s="65"/>
      <c r="AHL27" s="65"/>
      <c r="AHM27" s="65"/>
      <c r="AHN27" s="65"/>
      <c r="AHO27" s="65"/>
      <c r="AHP27" s="65"/>
      <c r="AHQ27" s="65"/>
      <c r="AHR27" s="65"/>
      <c r="AHS27" s="65"/>
      <c r="AHT27" s="65"/>
      <c r="AHU27" s="65"/>
      <c r="AHV27" s="65"/>
      <c r="AHW27" s="65"/>
      <c r="AHX27" s="65"/>
      <c r="AHY27" s="65"/>
      <c r="AHZ27" s="65"/>
      <c r="AIA27" s="65"/>
      <c r="AIB27" s="65"/>
      <c r="AIC27" s="65"/>
      <c r="AID27" s="65"/>
      <c r="AIE27" s="65"/>
      <c r="AIF27" s="65"/>
      <c r="AIG27" s="65"/>
      <c r="AIH27" s="65"/>
      <c r="AII27" s="65"/>
      <c r="AIJ27" s="65"/>
      <c r="AIK27" s="65"/>
      <c r="AIL27" s="65"/>
      <c r="AIM27" s="65"/>
      <c r="AIN27" s="65"/>
      <c r="AIO27" s="65"/>
      <c r="AIP27" s="65"/>
      <c r="AIQ27" s="65"/>
      <c r="AIR27" s="65"/>
      <c r="AIS27" s="65"/>
      <c r="AIT27" s="65"/>
      <c r="AIU27" s="65"/>
      <c r="AIV27" s="65"/>
      <c r="AIW27" s="65"/>
      <c r="AIX27" s="65"/>
      <c r="AIY27" s="65"/>
      <c r="AIZ27" s="65"/>
      <c r="AJA27" s="65"/>
      <c r="AJB27" s="65"/>
      <c r="AJC27" s="65"/>
      <c r="AJD27" s="65"/>
      <c r="AJE27" s="65"/>
      <c r="AJF27" s="65"/>
      <c r="AJG27" s="65"/>
      <c r="AJH27" s="65"/>
      <c r="AJI27" s="65"/>
      <c r="AJJ27" s="65"/>
      <c r="AJK27" s="65"/>
      <c r="AJL27" s="65"/>
      <c r="AJM27" s="65"/>
      <c r="AJN27" s="65"/>
      <c r="AJO27" s="65"/>
      <c r="AJP27" s="65"/>
      <c r="AJQ27" s="65"/>
      <c r="AJR27" s="65"/>
      <c r="AJS27" s="65"/>
      <c r="AJT27" s="65"/>
      <c r="AJU27" s="65"/>
      <c r="AJV27" s="65"/>
      <c r="AJW27" s="65"/>
      <c r="AJX27" s="65"/>
      <c r="AJY27" s="65"/>
      <c r="AJZ27" s="65"/>
      <c r="AKA27" s="65"/>
      <c r="AKB27" s="65"/>
      <c r="AKC27" s="65"/>
      <c r="AKD27" s="65"/>
      <c r="AKE27" s="65"/>
      <c r="AKF27" s="65"/>
      <c r="AKG27" s="65"/>
      <c r="AKH27" s="65"/>
      <c r="AKI27" s="65"/>
      <c r="AKJ27" s="65"/>
      <c r="AKK27" s="65"/>
      <c r="AKL27" s="65"/>
      <c r="AKM27" s="65"/>
      <c r="AKN27" s="65"/>
      <c r="AKO27" s="65"/>
      <c r="AKP27" s="65"/>
      <c r="AKQ27" s="65"/>
      <c r="AKR27" s="65"/>
      <c r="AKS27" s="65"/>
      <c r="AKT27" s="65"/>
      <c r="AKU27" s="65"/>
      <c r="AKV27" s="65"/>
      <c r="AKW27" s="65"/>
      <c r="AKX27" s="65"/>
      <c r="AKY27" s="65"/>
      <c r="AKZ27" s="65"/>
      <c r="ALA27" s="65"/>
      <c r="ALB27" s="65"/>
      <c r="ALC27" s="65"/>
      <c r="ALD27" s="65"/>
      <c r="ALE27" s="65"/>
      <c r="ALF27" s="65"/>
      <c r="ALG27" s="65"/>
      <c r="ALH27" s="65"/>
      <c r="ALI27" s="65"/>
      <c r="ALJ27" s="65"/>
      <c r="ALK27" s="65"/>
      <c r="ALL27" s="65"/>
      <c r="ALM27" s="65"/>
      <c r="ALN27" s="65"/>
      <c r="ALO27" s="65"/>
      <c r="ALP27" s="65"/>
      <c r="ALQ27" s="65"/>
      <c r="ALR27" s="65"/>
      <c r="ALS27" s="65"/>
      <c r="ALT27" s="65"/>
      <c r="ALU27" s="65"/>
      <c r="ALV27" s="65"/>
      <c r="ALW27" s="65"/>
      <c r="ALX27" s="65"/>
      <c r="ALY27" s="65"/>
      <c r="ALZ27" s="65"/>
      <c r="AMA27" s="65"/>
      <c r="AMB27" s="65"/>
      <c r="AMC27" s="65"/>
      <c r="AMD27" s="65"/>
      <c r="AME27" s="65"/>
      <c r="AMF27" s="65"/>
      <c r="AMG27" s="65"/>
      <c r="AMH27" s="65"/>
      <c r="AMI27" s="65"/>
      <c r="AMJ27" s="60"/>
    </row>
    <row r="28" spans="1:1024">
      <c r="A28" s="66" t="s">
        <v>39697</v>
      </c>
      <c r="B28" s="67" t="s">
        <v>39698</v>
      </c>
      <c r="C28" s="67">
        <v>14</v>
      </c>
      <c r="D28" s="67">
        <v>10543</v>
      </c>
      <c r="E28" s="67" t="s">
        <v>39711</v>
      </c>
      <c r="F28" s="67">
        <v>858759</v>
      </c>
      <c r="G28" s="67">
        <v>289040</v>
      </c>
      <c r="H28" s="67">
        <v>299583</v>
      </c>
      <c r="I28" s="68">
        <v>1.2450000000000001</v>
      </c>
      <c r="J28" s="67">
        <v>6</v>
      </c>
      <c r="K28" s="67">
        <v>17</v>
      </c>
      <c r="L28" s="67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  <c r="IJ28" s="65"/>
      <c r="IK28" s="65"/>
      <c r="IL28" s="65"/>
      <c r="IM28" s="65"/>
      <c r="IN28" s="65"/>
      <c r="IO28" s="65"/>
      <c r="IP28" s="65"/>
      <c r="IQ28" s="65"/>
      <c r="IR28" s="65"/>
      <c r="IS28" s="65"/>
      <c r="IT28" s="65"/>
      <c r="IU28" s="65"/>
      <c r="IV28" s="65"/>
      <c r="IW28" s="65"/>
      <c r="IX28" s="65"/>
      <c r="IY28" s="65"/>
      <c r="IZ28" s="65"/>
      <c r="JA28" s="65"/>
      <c r="JB28" s="65"/>
      <c r="JC28" s="65"/>
      <c r="JD28" s="65"/>
      <c r="JE28" s="65"/>
      <c r="JF28" s="65"/>
      <c r="JG28" s="65"/>
      <c r="JH28" s="65"/>
      <c r="JI28" s="65"/>
      <c r="JJ28" s="65"/>
      <c r="JK28" s="65"/>
      <c r="JL28" s="65"/>
      <c r="JM28" s="65"/>
      <c r="JN28" s="65"/>
      <c r="JO28" s="65"/>
      <c r="JP28" s="65"/>
      <c r="JQ28" s="65"/>
      <c r="JR28" s="65"/>
      <c r="JS28" s="65"/>
      <c r="JT28" s="65"/>
      <c r="JU28" s="65"/>
      <c r="JV28" s="65"/>
      <c r="JW28" s="65"/>
      <c r="JX28" s="65"/>
      <c r="JY28" s="65"/>
      <c r="JZ28" s="65"/>
      <c r="KA28" s="65"/>
      <c r="KB28" s="65"/>
      <c r="KC28" s="65"/>
      <c r="KD28" s="65"/>
      <c r="KE28" s="65"/>
      <c r="KF28" s="65"/>
      <c r="KG28" s="65"/>
      <c r="KH28" s="65"/>
      <c r="KI28" s="65"/>
      <c r="KJ28" s="65"/>
      <c r="KK28" s="65"/>
      <c r="KL28" s="65"/>
      <c r="KM28" s="65"/>
      <c r="KN28" s="65"/>
      <c r="KO28" s="65"/>
      <c r="KP28" s="65"/>
      <c r="KQ28" s="65"/>
      <c r="KR28" s="65"/>
      <c r="KS28" s="65"/>
      <c r="KT28" s="65"/>
      <c r="KU28" s="65"/>
      <c r="KV28" s="65"/>
      <c r="KW28" s="65"/>
      <c r="KX28" s="65"/>
      <c r="KY28" s="65"/>
      <c r="KZ28" s="65"/>
      <c r="LA28" s="65"/>
      <c r="LB28" s="65"/>
      <c r="LC28" s="65"/>
      <c r="LD28" s="65"/>
      <c r="LE28" s="65"/>
      <c r="LF28" s="65"/>
      <c r="LG28" s="65"/>
      <c r="LH28" s="65"/>
      <c r="LI28" s="65"/>
      <c r="LJ28" s="65"/>
      <c r="LK28" s="65"/>
      <c r="LL28" s="65"/>
      <c r="LM28" s="65"/>
      <c r="LN28" s="65"/>
      <c r="LO28" s="65"/>
      <c r="LP28" s="65"/>
      <c r="LQ28" s="65"/>
      <c r="LR28" s="65"/>
      <c r="LS28" s="65"/>
      <c r="LT28" s="65"/>
      <c r="LU28" s="65"/>
      <c r="LV28" s="65"/>
      <c r="LW28" s="65"/>
      <c r="LX28" s="65"/>
      <c r="LY28" s="65"/>
      <c r="LZ28" s="65"/>
      <c r="MA28" s="65"/>
      <c r="MB28" s="65"/>
      <c r="MC28" s="65"/>
      <c r="MD28" s="65"/>
      <c r="ME28" s="65"/>
      <c r="MF28" s="65"/>
      <c r="MG28" s="65"/>
      <c r="MH28" s="65"/>
      <c r="MI28" s="65"/>
      <c r="MJ28" s="65"/>
      <c r="MK28" s="65"/>
      <c r="ML28" s="65"/>
      <c r="MM28" s="65"/>
      <c r="MN28" s="65"/>
      <c r="MO28" s="65"/>
      <c r="MP28" s="65"/>
      <c r="MQ28" s="65"/>
      <c r="MR28" s="65"/>
      <c r="MS28" s="65"/>
      <c r="MT28" s="65"/>
      <c r="MU28" s="65"/>
      <c r="MV28" s="65"/>
      <c r="MW28" s="65"/>
      <c r="MX28" s="65"/>
      <c r="MY28" s="65"/>
      <c r="MZ28" s="65"/>
      <c r="NA28" s="65"/>
      <c r="NB28" s="65"/>
      <c r="NC28" s="65"/>
      <c r="ND28" s="65"/>
      <c r="NE28" s="65"/>
      <c r="NF28" s="65"/>
      <c r="NG28" s="65"/>
      <c r="NH28" s="65"/>
      <c r="NI28" s="65"/>
      <c r="NJ28" s="65"/>
      <c r="NK28" s="65"/>
      <c r="NL28" s="65"/>
      <c r="NM28" s="65"/>
      <c r="NN28" s="65"/>
      <c r="NO28" s="65"/>
      <c r="NP28" s="65"/>
      <c r="NQ28" s="65"/>
      <c r="NR28" s="65"/>
      <c r="NS28" s="65"/>
      <c r="NT28" s="65"/>
      <c r="NU28" s="65"/>
      <c r="NV28" s="65"/>
      <c r="NW28" s="65"/>
      <c r="NX28" s="65"/>
      <c r="NY28" s="65"/>
      <c r="NZ28" s="65"/>
      <c r="OA28" s="65"/>
      <c r="OB28" s="65"/>
      <c r="OC28" s="65"/>
      <c r="OD28" s="65"/>
      <c r="OE28" s="65"/>
      <c r="OF28" s="65"/>
      <c r="OG28" s="65"/>
      <c r="OH28" s="65"/>
      <c r="OI28" s="65"/>
      <c r="OJ28" s="65"/>
      <c r="OK28" s="65"/>
      <c r="OL28" s="65"/>
      <c r="OM28" s="65"/>
      <c r="ON28" s="65"/>
      <c r="OO28" s="65"/>
      <c r="OP28" s="65"/>
      <c r="OQ28" s="65"/>
      <c r="OR28" s="65"/>
      <c r="OS28" s="65"/>
      <c r="OT28" s="65"/>
      <c r="OU28" s="65"/>
      <c r="OV28" s="65"/>
      <c r="OW28" s="65"/>
      <c r="OX28" s="65"/>
      <c r="OY28" s="65"/>
      <c r="OZ28" s="65"/>
      <c r="PA28" s="65"/>
      <c r="PB28" s="65"/>
      <c r="PC28" s="65"/>
      <c r="PD28" s="65"/>
      <c r="PE28" s="65"/>
      <c r="PF28" s="65"/>
      <c r="PG28" s="65"/>
      <c r="PH28" s="65"/>
      <c r="PI28" s="65"/>
      <c r="PJ28" s="65"/>
      <c r="PK28" s="65"/>
      <c r="PL28" s="65"/>
      <c r="PM28" s="65"/>
      <c r="PN28" s="65"/>
      <c r="PO28" s="65"/>
      <c r="PP28" s="65"/>
      <c r="PQ28" s="65"/>
      <c r="PR28" s="65"/>
      <c r="PS28" s="65"/>
      <c r="PT28" s="65"/>
      <c r="PU28" s="65"/>
      <c r="PV28" s="65"/>
      <c r="PW28" s="65"/>
      <c r="PX28" s="65"/>
      <c r="PY28" s="65"/>
      <c r="PZ28" s="65"/>
      <c r="QA28" s="65"/>
      <c r="QB28" s="65"/>
      <c r="QC28" s="65"/>
      <c r="QD28" s="65"/>
      <c r="QE28" s="65"/>
      <c r="QF28" s="65"/>
      <c r="QG28" s="65"/>
      <c r="QH28" s="65"/>
      <c r="QI28" s="65"/>
      <c r="QJ28" s="65"/>
      <c r="QK28" s="65"/>
      <c r="QL28" s="65"/>
      <c r="QM28" s="65"/>
      <c r="QN28" s="65"/>
      <c r="QO28" s="65"/>
      <c r="QP28" s="65"/>
      <c r="QQ28" s="65"/>
      <c r="QR28" s="65"/>
      <c r="QS28" s="65"/>
      <c r="QT28" s="65"/>
      <c r="QU28" s="65"/>
      <c r="QV28" s="65"/>
      <c r="QW28" s="65"/>
      <c r="QX28" s="65"/>
      <c r="QY28" s="65"/>
      <c r="QZ28" s="65"/>
      <c r="RA28" s="65"/>
      <c r="RB28" s="65"/>
      <c r="RC28" s="65"/>
      <c r="RD28" s="65"/>
      <c r="RE28" s="65"/>
      <c r="RF28" s="65"/>
      <c r="RG28" s="65"/>
      <c r="RH28" s="65"/>
      <c r="RI28" s="65"/>
      <c r="RJ28" s="65"/>
      <c r="RK28" s="65"/>
      <c r="RL28" s="65"/>
      <c r="RM28" s="65"/>
      <c r="RN28" s="65"/>
      <c r="RO28" s="65"/>
      <c r="RP28" s="65"/>
      <c r="RQ28" s="65"/>
      <c r="RR28" s="65"/>
      <c r="RS28" s="65"/>
      <c r="RT28" s="65"/>
      <c r="RU28" s="65"/>
      <c r="RV28" s="65"/>
      <c r="RW28" s="65"/>
      <c r="RX28" s="65"/>
      <c r="RY28" s="65"/>
      <c r="RZ28" s="65"/>
      <c r="SA28" s="65"/>
      <c r="SB28" s="65"/>
      <c r="SC28" s="65"/>
      <c r="SD28" s="65"/>
      <c r="SE28" s="65"/>
      <c r="SF28" s="65"/>
      <c r="SG28" s="65"/>
      <c r="SH28" s="65"/>
      <c r="SI28" s="65"/>
      <c r="SJ28" s="65"/>
      <c r="SK28" s="65"/>
      <c r="SL28" s="65"/>
      <c r="SM28" s="65"/>
      <c r="SN28" s="65"/>
      <c r="SO28" s="65"/>
      <c r="SP28" s="65"/>
      <c r="SQ28" s="65"/>
      <c r="SR28" s="65"/>
      <c r="SS28" s="65"/>
      <c r="ST28" s="65"/>
      <c r="SU28" s="65"/>
      <c r="SV28" s="65"/>
      <c r="SW28" s="65"/>
      <c r="SX28" s="65"/>
      <c r="SY28" s="65"/>
      <c r="SZ28" s="65"/>
      <c r="TA28" s="65"/>
      <c r="TB28" s="65"/>
      <c r="TC28" s="65"/>
      <c r="TD28" s="65"/>
      <c r="TE28" s="65"/>
      <c r="TF28" s="65"/>
      <c r="TG28" s="65"/>
      <c r="TH28" s="65"/>
      <c r="TI28" s="65"/>
      <c r="TJ28" s="65"/>
      <c r="TK28" s="65"/>
      <c r="TL28" s="65"/>
      <c r="TM28" s="65"/>
      <c r="TN28" s="65"/>
      <c r="TO28" s="65"/>
      <c r="TP28" s="65"/>
      <c r="TQ28" s="65"/>
      <c r="TR28" s="65"/>
      <c r="TS28" s="65"/>
      <c r="TT28" s="65"/>
      <c r="TU28" s="65"/>
      <c r="TV28" s="65"/>
      <c r="TW28" s="65"/>
      <c r="TX28" s="65"/>
      <c r="TY28" s="65"/>
      <c r="TZ28" s="65"/>
      <c r="UA28" s="65"/>
      <c r="UB28" s="65"/>
      <c r="UC28" s="65"/>
      <c r="UD28" s="65"/>
      <c r="UE28" s="65"/>
      <c r="UF28" s="65"/>
      <c r="UG28" s="65"/>
      <c r="UH28" s="65"/>
      <c r="UI28" s="65"/>
      <c r="UJ28" s="65"/>
      <c r="UK28" s="65"/>
      <c r="UL28" s="65"/>
      <c r="UM28" s="65"/>
      <c r="UN28" s="65"/>
      <c r="UO28" s="65"/>
      <c r="UP28" s="65"/>
      <c r="UQ28" s="65"/>
      <c r="UR28" s="65"/>
      <c r="US28" s="65"/>
      <c r="UT28" s="65"/>
      <c r="UU28" s="65"/>
      <c r="UV28" s="65"/>
      <c r="UW28" s="65"/>
      <c r="UX28" s="65"/>
      <c r="UY28" s="65"/>
      <c r="UZ28" s="65"/>
      <c r="VA28" s="65"/>
      <c r="VB28" s="65"/>
      <c r="VC28" s="65"/>
      <c r="VD28" s="65"/>
      <c r="VE28" s="65"/>
      <c r="VF28" s="65"/>
      <c r="VG28" s="65"/>
      <c r="VH28" s="65"/>
      <c r="VI28" s="65"/>
      <c r="VJ28" s="65"/>
      <c r="VK28" s="65"/>
      <c r="VL28" s="65"/>
      <c r="VM28" s="65"/>
      <c r="VN28" s="65"/>
      <c r="VO28" s="65"/>
      <c r="VP28" s="65"/>
      <c r="VQ28" s="65"/>
      <c r="VR28" s="65"/>
      <c r="VS28" s="65"/>
      <c r="VT28" s="65"/>
      <c r="VU28" s="65"/>
      <c r="VV28" s="65"/>
      <c r="VW28" s="65"/>
      <c r="VX28" s="65"/>
      <c r="VY28" s="65"/>
      <c r="VZ28" s="65"/>
      <c r="WA28" s="65"/>
      <c r="WB28" s="65"/>
      <c r="WC28" s="65"/>
      <c r="WD28" s="65"/>
      <c r="WE28" s="65"/>
      <c r="WF28" s="65"/>
      <c r="WG28" s="65"/>
      <c r="WH28" s="65"/>
      <c r="WI28" s="65"/>
      <c r="WJ28" s="65"/>
      <c r="WK28" s="65"/>
      <c r="WL28" s="65"/>
      <c r="WM28" s="65"/>
      <c r="WN28" s="65"/>
      <c r="WO28" s="65"/>
      <c r="WP28" s="65"/>
      <c r="WQ28" s="65"/>
      <c r="WR28" s="65"/>
      <c r="WS28" s="65"/>
      <c r="WT28" s="65"/>
      <c r="WU28" s="65"/>
      <c r="WV28" s="65"/>
      <c r="WW28" s="65"/>
      <c r="WX28" s="65"/>
      <c r="WY28" s="65"/>
      <c r="WZ28" s="65"/>
      <c r="XA28" s="65"/>
      <c r="XB28" s="65"/>
      <c r="XC28" s="65"/>
      <c r="XD28" s="65"/>
      <c r="XE28" s="65"/>
      <c r="XF28" s="65"/>
      <c r="XG28" s="65"/>
      <c r="XH28" s="65"/>
      <c r="XI28" s="65"/>
      <c r="XJ28" s="65"/>
      <c r="XK28" s="65"/>
      <c r="XL28" s="65"/>
      <c r="XM28" s="65"/>
      <c r="XN28" s="65"/>
      <c r="XO28" s="65"/>
      <c r="XP28" s="65"/>
      <c r="XQ28" s="65"/>
      <c r="XR28" s="65"/>
      <c r="XS28" s="65"/>
      <c r="XT28" s="65"/>
      <c r="XU28" s="65"/>
      <c r="XV28" s="65"/>
      <c r="XW28" s="65"/>
      <c r="XX28" s="65"/>
      <c r="XY28" s="65"/>
      <c r="XZ28" s="65"/>
      <c r="YA28" s="65"/>
      <c r="YB28" s="65"/>
      <c r="YC28" s="65"/>
      <c r="YD28" s="65"/>
      <c r="YE28" s="65"/>
      <c r="YF28" s="65"/>
      <c r="YG28" s="65"/>
      <c r="YH28" s="65"/>
      <c r="YI28" s="65"/>
      <c r="YJ28" s="65"/>
      <c r="YK28" s="65"/>
      <c r="YL28" s="65"/>
      <c r="YM28" s="65"/>
      <c r="YN28" s="65"/>
      <c r="YO28" s="65"/>
      <c r="YP28" s="65"/>
      <c r="YQ28" s="65"/>
      <c r="YR28" s="65"/>
      <c r="YS28" s="65"/>
      <c r="YT28" s="65"/>
      <c r="YU28" s="65"/>
      <c r="YV28" s="65"/>
      <c r="YW28" s="65"/>
      <c r="YX28" s="65"/>
      <c r="YY28" s="65"/>
      <c r="YZ28" s="65"/>
      <c r="ZA28" s="65"/>
      <c r="ZB28" s="65"/>
      <c r="ZC28" s="65"/>
      <c r="ZD28" s="65"/>
      <c r="ZE28" s="65"/>
      <c r="ZF28" s="65"/>
      <c r="ZG28" s="65"/>
      <c r="ZH28" s="65"/>
      <c r="ZI28" s="65"/>
      <c r="ZJ28" s="65"/>
      <c r="ZK28" s="65"/>
      <c r="ZL28" s="65"/>
      <c r="ZM28" s="65"/>
      <c r="ZN28" s="65"/>
      <c r="ZO28" s="65"/>
      <c r="ZP28" s="65"/>
      <c r="ZQ28" s="65"/>
      <c r="ZR28" s="65"/>
      <c r="ZS28" s="65"/>
      <c r="ZT28" s="65"/>
      <c r="ZU28" s="65"/>
      <c r="ZV28" s="65"/>
      <c r="ZW28" s="65"/>
      <c r="ZX28" s="65"/>
      <c r="ZY28" s="65"/>
      <c r="ZZ28" s="65"/>
      <c r="AAA28" s="65"/>
      <c r="AAB28" s="65"/>
      <c r="AAC28" s="65"/>
      <c r="AAD28" s="65"/>
      <c r="AAE28" s="65"/>
      <c r="AAF28" s="65"/>
      <c r="AAG28" s="65"/>
      <c r="AAH28" s="65"/>
      <c r="AAI28" s="65"/>
      <c r="AAJ28" s="65"/>
      <c r="AAK28" s="65"/>
      <c r="AAL28" s="65"/>
      <c r="AAM28" s="65"/>
      <c r="AAN28" s="65"/>
      <c r="AAO28" s="65"/>
      <c r="AAP28" s="65"/>
      <c r="AAQ28" s="65"/>
      <c r="AAR28" s="65"/>
      <c r="AAS28" s="65"/>
      <c r="AAT28" s="65"/>
      <c r="AAU28" s="65"/>
      <c r="AAV28" s="65"/>
      <c r="AAW28" s="65"/>
      <c r="AAX28" s="65"/>
      <c r="AAY28" s="65"/>
      <c r="AAZ28" s="65"/>
      <c r="ABA28" s="65"/>
      <c r="ABB28" s="65"/>
      <c r="ABC28" s="65"/>
      <c r="ABD28" s="65"/>
      <c r="ABE28" s="65"/>
      <c r="ABF28" s="65"/>
      <c r="ABG28" s="65"/>
      <c r="ABH28" s="65"/>
      <c r="ABI28" s="65"/>
      <c r="ABJ28" s="65"/>
      <c r="ABK28" s="65"/>
      <c r="ABL28" s="65"/>
      <c r="ABM28" s="65"/>
      <c r="ABN28" s="65"/>
      <c r="ABO28" s="65"/>
      <c r="ABP28" s="65"/>
      <c r="ABQ28" s="65"/>
      <c r="ABR28" s="65"/>
      <c r="ABS28" s="65"/>
      <c r="ABT28" s="65"/>
      <c r="ABU28" s="65"/>
      <c r="ABV28" s="65"/>
      <c r="ABW28" s="65"/>
      <c r="ABX28" s="65"/>
      <c r="ABY28" s="65"/>
      <c r="ABZ28" s="65"/>
      <c r="ACA28" s="65"/>
      <c r="ACB28" s="65"/>
      <c r="ACC28" s="65"/>
      <c r="ACD28" s="65"/>
      <c r="ACE28" s="65"/>
      <c r="ACF28" s="65"/>
      <c r="ACG28" s="65"/>
      <c r="ACH28" s="65"/>
      <c r="ACI28" s="65"/>
      <c r="ACJ28" s="65"/>
      <c r="ACK28" s="65"/>
      <c r="ACL28" s="65"/>
      <c r="ACM28" s="65"/>
      <c r="ACN28" s="65"/>
      <c r="ACO28" s="65"/>
      <c r="ACP28" s="65"/>
      <c r="ACQ28" s="65"/>
      <c r="ACR28" s="65"/>
      <c r="ACS28" s="65"/>
      <c r="ACT28" s="65"/>
      <c r="ACU28" s="65"/>
      <c r="ACV28" s="65"/>
      <c r="ACW28" s="65"/>
      <c r="ACX28" s="65"/>
      <c r="ACY28" s="65"/>
      <c r="ACZ28" s="65"/>
      <c r="ADA28" s="65"/>
      <c r="ADB28" s="65"/>
      <c r="ADC28" s="65"/>
      <c r="ADD28" s="65"/>
      <c r="ADE28" s="65"/>
      <c r="ADF28" s="65"/>
      <c r="ADG28" s="65"/>
      <c r="ADH28" s="65"/>
      <c r="ADI28" s="65"/>
      <c r="ADJ28" s="65"/>
      <c r="ADK28" s="65"/>
      <c r="ADL28" s="65"/>
      <c r="ADM28" s="65"/>
      <c r="ADN28" s="65"/>
      <c r="ADO28" s="65"/>
      <c r="ADP28" s="65"/>
      <c r="ADQ28" s="65"/>
      <c r="ADR28" s="65"/>
      <c r="ADS28" s="65"/>
      <c r="ADT28" s="65"/>
      <c r="ADU28" s="65"/>
      <c r="ADV28" s="65"/>
      <c r="ADW28" s="65"/>
      <c r="ADX28" s="65"/>
      <c r="ADY28" s="65"/>
      <c r="ADZ28" s="65"/>
      <c r="AEA28" s="65"/>
      <c r="AEB28" s="65"/>
      <c r="AEC28" s="65"/>
      <c r="AED28" s="65"/>
      <c r="AEE28" s="65"/>
      <c r="AEF28" s="65"/>
      <c r="AEG28" s="65"/>
      <c r="AEH28" s="65"/>
      <c r="AEI28" s="65"/>
      <c r="AEJ28" s="65"/>
      <c r="AEK28" s="65"/>
      <c r="AEL28" s="65"/>
      <c r="AEM28" s="65"/>
      <c r="AEN28" s="65"/>
      <c r="AEO28" s="65"/>
      <c r="AEP28" s="65"/>
      <c r="AEQ28" s="65"/>
      <c r="AER28" s="65"/>
      <c r="AES28" s="65"/>
      <c r="AET28" s="65"/>
      <c r="AEU28" s="65"/>
      <c r="AEV28" s="65"/>
      <c r="AEW28" s="65"/>
      <c r="AEX28" s="65"/>
      <c r="AEY28" s="65"/>
      <c r="AEZ28" s="65"/>
      <c r="AFA28" s="65"/>
      <c r="AFB28" s="65"/>
      <c r="AFC28" s="65"/>
      <c r="AFD28" s="65"/>
      <c r="AFE28" s="65"/>
      <c r="AFF28" s="65"/>
      <c r="AFG28" s="65"/>
      <c r="AFH28" s="65"/>
      <c r="AFI28" s="65"/>
      <c r="AFJ28" s="65"/>
      <c r="AFK28" s="65"/>
      <c r="AFL28" s="65"/>
      <c r="AFM28" s="65"/>
      <c r="AFN28" s="65"/>
      <c r="AFO28" s="65"/>
      <c r="AFP28" s="65"/>
      <c r="AFQ28" s="65"/>
      <c r="AFR28" s="65"/>
      <c r="AFS28" s="65"/>
      <c r="AFT28" s="65"/>
      <c r="AFU28" s="65"/>
      <c r="AFV28" s="65"/>
      <c r="AFW28" s="65"/>
      <c r="AFX28" s="65"/>
      <c r="AFY28" s="65"/>
      <c r="AFZ28" s="65"/>
      <c r="AGA28" s="65"/>
      <c r="AGB28" s="65"/>
      <c r="AGC28" s="65"/>
      <c r="AGD28" s="65"/>
      <c r="AGE28" s="65"/>
      <c r="AGF28" s="65"/>
      <c r="AGG28" s="65"/>
      <c r="AGH28" s="65"/>
      <c r="AGI28" s="65"/>
      <c r="AGJ28" s="65"/>
      <c r="AGK28" s="65"/>
      <c r="AGL28" s="65"/>
      <c r="AGM28" s="65"/>
      <c r="AGN28" s="65"/>
      <c r="AGO28" s="65"/>
      <c r="AGP28" s="65"/>
      <c r="AGQ28" s="65"/>
      <c r="AGR28" s="65"/>
      <c r="AGS28" s="65"/>
      <c r="AGT28" s="65"/>
      <c r="AGU28" s="65"/>
      <c r="AGV28" s="65"/>
      <c r="AGW28" s="65"/>
      <c r="AGX28" s="65"/>
      <c r="AGY28" s="65"/>
      <c r="AGZ28" s="65"/>
      <c r="AHA28" s="65"/>
      <c r="AHB28" s="65"/>
      <c r="AHC28" s="65"/>
      <c r="AHD28" s="65"/>
      <c r="AHE28" s="65"/>
      <c r="AHF28" s="65"/>
      <c r="AHG28" s="65"/>
      <c r="AHH28" s="65"/>
      <c r="AHI28" s="65"/>
      <c r="AHJ28" s="65"/>
      <c r="AHK28" s="65"/>
      <c r="AHL28" s="65"/>
      <c r="AHM28" s="65"/>
      <c r="AHN28" s="65"/>
      <c r="AHO28" s="65"/>
      <c r="AHP28" s="65"/>
      <c r="AHQ28" s="65"/>
      <c r="AHR28" s="65"/>
      <c r="AHS28" s="65"/>
      <c r="AHT28" s="65"/>
      <c r="AHU28" s="65"/>
      <c r="AHV28" s="65"/>
      <c r="AHW28" s="65"/>
      <c r="AHX28" s="65"/>
      <c r="AHY28" s="65"/>
      <c r="AHZ28" s="65"/>
      <c r="AIA28" s="65"/>
      <c r="AIB28" s="65"/>
      <c r="AIC28" s="65"/>
      <c r="AID28" s="65"/>
      <c r="AIE28" s="65"/>
      <c r="AIF28" s="65"/>
      <c r="AIG28" s="65"/>
      <c r="AIH28" s="65"/>
      <c r="AII28" s="65"/>
      <c r="AIJ28" s="65"/>
      <c r="AIK28" s="65"/>
      <c r="AIL28" s="65"/>
      <c r="AIM28" s="65"/>
      <c r="AIN28" s="65"/>
      <c r="AIO28" s="65"/>
      <c r="AIP28" s="65"/>
      <c r="AIQ28" s="65"/>
      <c r="AIR28" s="65"/>
      <c r="AIS28" s="65"/>
      <c r="AIT28" s="65"/>
      <c r="AIU28" s="65"/>
      <c r="AIV28" s="65"/>
      <c r="AIW28" s="65"/>
      <c r="AIX28" s="65"/>
      <c r="AIY28" s="65"/>
      <c r="AIZ28" s="65"/>
      <c r="AJA28" s="65"/>
      <c r="AJB28" s="65"/>
      <c r="AJC28" s="65"/>
      <c r="AJD28" s="65"/>
      <c r="AJE28" s="65"/>
      <c r="AJF28" s="65"/>
      <c r="AJG28" s="65"/>
      <c r="AJH28" s="65"/>
      <c r="AJI28" s="65"/>
      <c r="AJJ28" s="65"/>
      <c r="AJK28" s="65"/>
      <c r="AJL28" s="65"/>
      <c r="AJM28" s="65"/>
      <c r="AJN28" s="65"/>
      <c r="AJO28" s="65"/>
      <c r="AJP28" s="65"/>
      <c r="AJQ28" s="65"/>
      <c r="AJR28" s="65"/>
      <c r="AJS28" s="65"/>
      <c r="AJT28" s="65"/>
      <c r="AJU28" s="65"/>
      <c r="AJV28" s="65"/>
      <c r="AJW28" s="65"/>
      <c r="AJX28" s="65"/>
      <c r="AJY28" s="65"/>
      <c r="AJZ28" s="65"/>
      <c r="AKA28" s="65"/>
      <c r="AKB28" s="65"/>
      <c r="AKC28" s="65"/>
      <c r="AKD28" s="65"/>
      <c r="AKE28" s="65"/>
      <c r="AKF28" s="65"/>
      <c r="AKG28" s="65"/>
      <c r="AKH28" s="65"/>
      <c r="AKI28" s="65"/>
      <c r="AKJ28" s="65"/>
      <c r="AKK28" s="65"/>
      <c r="AKL28" s="65"/>
      <c r="AKM28" s="65"/>
      <c r="AKN28" s="65"/>
      <c r="AKO28" s="65"/>
      <c r="AKP28" s="65"/>
      <c r="AKQ28" s="65"/>
      <c r="AKR28" s="65"/>
      <c r="AKS28" s="65"/>
      <c r="AKT28" s="65"/>
      <c r="AKU28" s="65"/>
      <c r="AKV28" s="65"/>
      <c r="AKW28" s="65"/>
      <c r="AKX28" s="65"/>
      <c r="AKY28" s="65"/>
      <c r="AKZ28" s="65"/>
      <c r="ALA28" s="65"/>
      <c r="ALB28" s="65"/>
      <c r="ALC28" s="65"/>
      <c r="ALD28" s="65"/>
      <c r="ALE28" s="65"/>
      <c r="ALF28" s="65"/>
      <c r="ALG28" s="65"/>
      <c r="ALH28" s="65"/>
      <c r="ALI28" s="65"/>
      <c r="ALJ28" s="65"/>
      <c r="ALK28" s="65"/>
      <c r="ALL28" s="65"/>
      <c r="ALM28" s="65"/>
      <c r="ALN28" s="65"/>
      <c r="ALO28" s="65"/>
      <c r="ALP28" s="65"/>
      <c r="ALQ28" s="65"/>
      <c r="ALR28" s="65"/>
      <c r="ALS28" s="65"/>
      <c r="ALT28" s="65"/>
      <c r="ALU28" s="65"/>
      <c r="ALV28" s="65"/>
      <c r="ALW28" s="65"/>
      <c r="ALX28" s="65"/>
      <c r="ALY28" s="65"/>
      <c r="ALZ28" s="65"/>
      <c r="AMA28" s="65"/>
      <c r="AMB28" s="65"/>
      <c r="AMC28" s="65"/>
      <c r="AMD28" s="65"/>
      <c r="AME28" s="65"/>
      <c r="AMF28" s="65"/>
      <c r="AMG28" s="65"/>
      <c r="AMH28" s="65"/>
      <c r="AMI28" s="65"/>
      <c r="AMJ28" s="60"/>
    </row>
    <row r="29" spans="1:1024">
      <c r="A29" s="72" t="s">
        <v>39712</v>
      </c>
      <c r="B29" s="73" t="s">
        <v>39713</v>
      </c>
      <c r="C29" s="74">
        <v>1</v>
      </c>
      <c r="D29" s="74">
        <v>23603</v>
      </c>
      <c r="E29" s="74" t="s">
        <v>39714</v>
      </c>
      <c r="F29" s="75">
        <v>1666599</v>
      </c>
      <c r="G29" s="75">
        <v>24690</v>
      </c>
      <c r="H29" s="75">
        <v>48293</v>
      </c>
      <c r="I29" s="76">
        <v>1.2</v>
      </c>
      <c r="J29" s="75">
        <v>5</v>
      </c>
      <c r="K29" s="75">
        <v>18</v>
      </c>
      <c r="L29" s="74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  <c r="ALM29" s="77"/>
      <c r="ALN29" s="77"/>
      <c r="ALO29" s="77"/>
      <c r="ALP29" s="77"/>
      <c r="ALQ29" s="77"/>
      <c r="ALR29" s="77"/>
      <c r="ALS29" s="77"/>
      <c r="ALT29" s="77"/>
      <c r="ALU29" s="77"/>
      <c r="ALV29" s="77"/>
      <c r="ALW29" s="77"/>
      <c r="ALX29" s="77"/>
      <c r="ALY29" s="77"/>
      <c r="ALZ29" s="77"/>
      <c r="AMA29" s="77"/>
      <c r="AMB29" s="77"/>
      <c r="AMC29" s="77"/>
      <c r="AMD29" s="77"/>
      <c r="AME29" s="77"/>
      <c r="AMF29" s="77"/>
      <c r="AMG29" s="77"/>
      <c r="AMH29" s="77"/>
      <c r="AMI29" s="77"/>
      <c r="AMJ29" s="78"/>
    </row>
    <row r="30" spans="1:1024">
      <c r="A30" s="72" t="s">
        <v>39712</v>
      </c>
      <c r="B30" s="73" t="s">
        <v>39713</v>
      </c>
      <c r="C30" s="74">
        <v>2</v>
      </c>
      <c r="D30" s="74">
        <v>15618</v>
      </c>
      <c r="E30" s="74" t="s">
        <v>39715</v>
      </c>
      <c r="F30" s="75">
        <v>578916</v>
      </c>
      <c r="G30" s="75">
        <v>25660</v>
      </c>
      <c r="H30" s="75">
        <v>41278</v>
      </c>
      <c r="I30" s="76">
        <v>2.5510000000000002</v>
      </c>
      <c r="J30" s="75">
        <v>6</v>
      </c>
      <c r="K30" s="75">
        <v>9</v>
      </c>
      <c r="L30" s="74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  <c r="ALM30" s="77"/>
      <c r="ALN30" s="77"/>
      <c r="ALO30" s="77"/>
      <c r="ALP30" s="77"/>
      <c r="ALQ30" s="77"/>
      <c r="ALR30" s="77"/>
      <c r="ALS30" s="77"/>
      <c r="ALT30" s="77"/>
      <c r="ALU30" s="77"/>
      <c r="ALV30" s="77"/>
      <c r="ALW30" s="77"/>
      <c r="ALX30" s="77"/>
      <c r="ALY30" s="77"/>
      <c r="ALZ30" s="77"/>
      <c r="AMA30" s="77"/>
      <c r="AMB30" s="77"/>
      <c r="AMC30" s="77"/>
      <c r="AMD30" s="77"/>
      <c r="AME30" s="77"/>
      <c r="AMF30" s="77"/>
      <c r="AMG30" s="77"/>
      <c r="AMH30" s="77"/>
      <c r="AMI30" s="77"/>
      <c r="AMJ30" s="78"/>
    </row>
    <row r="31" spans="1:1024">
      <c r="A31" s="79" t="s">
        <v>39712</v>
      </c>
      <c r="B31" s="80" t="s">
        <v>39713</v>
      </c>
      <c r="C31" s="81">
        <v>3</v>
      </c>
      <c r="D31" s="81">
        <v>93972</v>
      </c>
      <c r="E31" s="81" t="s">
        <v>39716</v>
      </c>
      <c r="F31" s="82">
        <v>94900</v>
      </c>
      <c r="G31" s="82">
        <v>491</v>
      </c>
      <c r="H31" s="82">
        <v>94464</v>
      </c>
      <c r="I31" s="83">
        <v>3.6869999999999998</v>
      </c>
      <c r="J31" s="82">
        <v>23</v>
      </c>
      <c r="K31" s="82">
        <v>50</v>
      </c>
      <c r="L31" s="81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  <c r="ALM31" s="77"/>
      <c r="ALN31" s="77"/>
      <c r="ALO31" s="77"/>
      <c r="ALP31" s="77"/>
      <c r="ALQ31" s="77"/>
      <c r="ALR31" s="77"/>
      <c r="ALS31" s="77"/>
      <c r="ALT31" s="77"/>
      <c r="ALU31" s="77"/>
      <c r="ALV31" s="77"/>
      <c r="ALW31" s="77"/>
      <c r="ALX31" s="77"/>
      <c r="ALY31" s="77"/>
      <c r="ALZ31" s="77"/>
      <c r="AMA31" s="77"/>
      <c r="AMB31" s="77"/>
      <c r="AMC31" s="77"/>
      <c r="AMD31" s="77"/>
      <c r="AME31" s="77"/>
      <c r="AMF31" s="77"/>
      <c r="AMG31" s="77"/>
      <c r="AMH31" s="77"/>
      <c r="AMI31" s="77"/>
      <c r="AMJ31" s="78"/>
    </row>
    <row r="32" spans="1:1024">
      <c r="A32" s="72" t="s">
        <v>39712</v>
      </c>
      <c r="B32" s="73" t="s">
        <v>39713</v>
      </c>
      <c r="C32" s="74">
        <v>4</v>
      </c>
      <c r="D32" s="74">
        <v>13959</v>
      </c>
      <c r="E32" s="74" t="s">
        <v>39717</v>
      </c>
      <c r="F32" s="75">
        <v>965333</v>
      </c>
      <c r="G32" s="75">
        <v>823738</v>
      </c>
      <c r="H32" s="75">
        <v>837697</v>
      </c>
      <c r="I32" s="76">
        <v>1.1040000000000001</v>
      </c>
      <c r="J32" s="75">
        <v>5</v>
      </c>
      <c r="K32" s="75">
        <v>11</v>
      </c>
      <c r="L32" s="74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  <c r="ALM32" s="77"/>
      <c r="ALN32" s="77"/>
      <c r="ALO32" s="77"/>
      <c r="ALP32" s="77"/>
      <c r="ALQ32" s="77"/>
      <c r="ALR32" s="77"/>
      <c r="ALS32" s="77"/>
      <c r="ALT32" s="77"/>
      <c r="ALU32" s="77"/>
      <c r="ALV32" s="77"/>
      <c r="ALW32" s="77"/>
      <c r="ALX32" s="77"/>
      <c r="ALY32" s="77"/>
      <c r="ALZ32" s="77"/>
      <c r="AMA32" s="77"/>
      <c r="AMB32" s="77"/>
      <c r="AMC32" s="77"/>
      <c r="AMD32" s="77"/>
      <c r="AME32" s="77"/>
      <c r="AMF32" s="77"/>
      <c r="AMG32" s="77"/>
      <c r="AMH32" s="77"/>
      <c r="AMI32" s="77"/>
      <c r="AMJ32" s="78"/>
    </row>
    <row r="33" spans="1:1024">
      <c r="A33" s="72" t="s">
        <v>39712</v>
      </c>
      <c r="B33" s="73" t="s">
        <v>39713</v>
      </c>
      <c r="C33" s="74">
        <v>5</v>
      </c>
      <c r="D33" s="74">
        <v>14074</v>
      </c>
      <c r="E33" s="74" t="s">
        <v>39718</v>
      </c>
      <c r="F33" s="75">
        <v>564293</v>
      </c>
      <c r="G33" s="75">
        <v>241971</v>
      </c>
      <c r="H33" s="75">
        <v>256045</v>
      </c>
      <c r="I33" s="76">
        <v>1.337</v>
      </c>
      <c r="J33" s="75">
        <v>5</v>
      </c>
      <c r="K33" s="75">
        <v>15</v>
      </c>
      <c r="L33" s="74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E7D8C-FC85-054F-BC1F-2C0290F95808}">
  <dimension ref="A1:T188"/>
  <sheetViews>
    <sheetView workbookViewId="0">
      <selection sqref="A1:T188"/>
    </sheetView>
  </sheetViews>
  <sheetFormatPr baseColWidth="10" defaultRowHeight="16"/>
  <sheetData>
    <row r="1" spans="1:20">
      <c r="A1" t="s">
        <v>39719</v>
      </c>
    </row>
    <row r="2" spans="1:20">
      <c r="A2" t="s">
        <v>39720</v>
      </c>
    </row>
    <row r="3" spans="1:20">
      <c r="A3" t="s">
        <v>39721</v>
      </c>
    </row>
    <row r="4" spans="1:20">
      <c r="A4" t="s">
        <v>39722</v>
      </c>
      <c r="B4" t="s">
        <v>39723</v>
      </c>
      <c r="C4" t="s">
        <v>39724</v>
      </c>
      <c r="D4" t="s">
        <v>39723</v>
      </c>
      <c r="E4" s="84">
        <v>6.6999999999999996E-10</v>
      </c>
      <c r="F4">
        <v>38.1</v>
      </c>
      <c r="G4">
        <v>0.1</v>
      </c>
      <c r="H4" s="84">
        <v>5.1999999999999997E-5</v>
      </c>
      <c r="I4">
        <v>22</v>
      </c>
      <c r="J4">
        <v>0</v>
      </c>
      <c r="K4">
        <v>2.2000000000000002</v>
      </c>
      <c r="L4">
        <v>2</v>
      </c>
      <c r="M4">
        <v>0</v>
      </c>
      <c r="N4">
        <v>0</v>
      </c>
      <c r="O4">
        <v>2</v>
      </c>
      <c r="P4">
        <v>2</v>
      </c>
      <c r="Q4">
        <v>2</v>
      </c>
      <c r="R4">
        <v>2</v>
      </c>
      <c r="S4" t="s">
        <v>39725</v>
      </c>
      <c r="T4" t="s">
        <v>39726</v>
      </c>
    </row>
    <row r="5" spans="1:20">
      <c r="A5" t="s">
        <v>39727</v>
      </c>
      <c r="B5" t="s">
        <v>39723</v>
      </c>
      <c r="C5" t="s">
        <v>39724</v>
      </c>
      <c r="D5" t="s">
        <v>39723</v>
      </c>
      <c r="E5" s="84">
        <v>1.2E-9</v>
      </c>
      <c r="F5">
        <v>37.299999999999997</v>
      </c>
      <c r="G5">
        <v>0</v>
      </c>
      <c r="H5" s="84">
        <v>1.1999999999999999E-6</v>
      </c>
      <c r="I5">
        <v>27.3</v>
      </c>
      <c r="J5">
        <v>0.1</v>
      </c>
      <c r="K5">
        <v>2.4</v>
      </c>
      <c r="L5">
        <v>2</v>
      </c>
      <c r="M5">
        <v>0</v>
      </c>
      <c r="N5">
        <v>0</v>
      </c>
      <c r="O5">
        <v>2</v>
      </c>
      <c r="P5">
        <v>2</v>
      </c>
      <c r="Q5">
        <v>2</v>
      </c>
      <c r="R5">
        <v>2</v>
      </c>
      <c r="S5" t="s">
        <v>39725</v>
      </c>
      <c r="T5" t="s">
        <v>39728</v>
      </c>
    </row>
    <row r="6" spans="1:20">
      <c r="A6" t="s">
        <v>39729</v>
      </c>
      <c r="B6" t="s">
        <v>39723</v>
      </c>
      <c r="C6" t="s">
        <v>39730</v>
      </c>
      <c r="D6" t="s">
        <v>39723</v>
      </c>
      <c r="E6" s="84">
        <v>9.0000000000000002E-6</v>
      </c>
      <c r="F6">
        <v>24.7</v>
      </c>
      <c r="G6">
        <v>0.1</v>
      </c>
      <c r="H6">
        <v>8.4000000000000005E-2</v>
      </c>
      <c r="I6">
        <v>11.7</v>
      </c>
      <c r="J6">
        <v>0</v>
      </c>
      <c r="K6">
        <v>3.4</v>
      </c>
      <c r="L6">
        <v>3</v>
      </c>
      <c r="M6">
        <v>0</v>
      </c>
      <c r="N6">
        <v>0</v>
      </c>
      <c r="O6">
        <v>3</v>
      </c>
      <c r="P6">
        <v>3</v>
      </c>
      <c r="Q6">
        <v>3</v>
      </c>
      <c r="R6">
        <v>2</v>
      </c>
      <c r="S6" t="s">
        <v>39725</v>
      </c>
      <c r="T6" t="s">
        <v>39731</v>
      </c>
    </row>
    <row r="7" spans="1:20">
      <c r="A7" t="s">
        <v>39732</v>
      </c>
      <c r="B7" t="s">
        <v>39723</v>
      </c>
      <c r="C7" t="s">
        <v>39724</v>
      </c>
      <c r="D7" t="s">
        <v>39723</v>
      </c>
      <c r="E7">
        <v>8.0000000000000004E-4</v>
      </c>
      <c r="F7">
        <v>18.100000000000001</v>
      </c>
      <c r="G7">
        <v>0.1</v>
      </c>
      <c r="H7">
        <v>0.05</v>
      </c>
      <c r="I7">
        <v>12.1</v>
      </c>
      <c r="J7">
        <v>0</v>
      </c>
      <c r="K7">
        <v>2.5</v>
      </c>
      <c r="L7">
        <v>3</v>
      </c>
      <c r="M7">
        <v>0</v>
      </c>
      <c r="N7">
        <v>0</v>
      </c>
      <c r="O7">
        <v>3</v>
      </c>
      <c r="P7">
        <v>3</v>
      </c>
      <c r="Q7">
        <v>2</v>
      </c>
      <c r="R7">
        <v>1</v>
      </c>
      <c r="S7" t="s">
        <v>39725</v>
      </c>
      <c r="T7" t="s">
        <v>39733</v>
      </c>
    </row>
    <row r="8" spans="1:20">
      <c r="A8" t="s">
        <v>39734</v>
      </c>
      <c r="B8" t="s">
        <v>39723</v>
      </c>
      <c r="C8" t="s">
        <v>39724</v>
      </c>
      <c r="D8" t="s">
        <v>39723</v>
      </c>
      <c r="E8" s="84">
        <v>1.0999999999999999E-9</v>
      </c>
      <c r="F8">
        <v>37.299999999999997</v>
      </c>
      <c r="G8">
        <v>0</v>
      </c>
      <c r="H8" s="84">
        <v>1.4E-8</v>
      </c>
      <c r="I8">
        <v>33.700000000000003</v>
      </c>
      <c r="J8">
        <v>0</v>
      </c>
      <c r="K8">
        <v>2.2999999999999998</v>
      </c>
      <c r="L8">
        <v>2</v>
      </c>
      <c r="M8">
        <v>1</v>
      </c>
      <c r="N8">
        <v>0</v>
      </c>
      <c r="O8">
        <v>2</v>
      </c>
      <c r="P8">
        <v>2</v>
      </c>
      <c r="Q8">
        <v>2</v>
      </c>
      <c r="R8">
        <v>1</v>
      </c>
      <c r="S8" t="s">
        <v>39725</v>
      </c>
      <c r="T8" t="s">
        <v>39735</v>
      </c>
    </row>
    <row r="9" spans="1:20">
      <c r="A9" t="s">
        <v>39736</v>
      </c>
      <c r="B9" t="s">
        <v>39723</v>
      </c>
      <c r="C9" t="s">
        <v>39724</v>
      </c>
      <c r="D9" t="s">
        <v>39723</v>
      </c>
      <c r="E9" s="84">
        <v>1.3E-6</v>
      </c>
      <c r="F9">
        <v>27.3</v>
      </c>
      <c r="G9">
        <v>0</v>
      </c>
      <c r="H9" s="84">
        <v>2.5000000000000002E-6</v>
      </c>
      <c r="I9">
        <v>26.3</v>
      </c>
      <c r="J9">
        <v>0</v>
      </c>
      <c r="K9">
        <v>1.4</v>
      </c>
      <c r="L9">
        <v>1</v>
      </c>
      <c r="M9">
        <v>0</v>
      </c>
      <c r="N9">
        <v>0</v>
      </c>
      <c r="O9">
        <v>1</v>
      </c>
      <c r="P9">
        <v>1</v>
      </c>
      <c r="Q9">
        <v>1</v>
      </c>
      <c r="R9">
        <v>1</v>
      </c>
      <c r="S9" t="s">
        <v>39725</v>
      </c>
      <c r="T9" t="s">
        <v>39737</v>
      </c>
    </row>
    <row r="10" spans="1:20">
      <c r="A10" t="s">
        <v>39738</v>
      </c>
      <c r="B10" t="s">
        <v>39723</v>
      </c>
      <c r="C10" t="s">
        <v>39730</v>
      </c>
      <c r="D10" t="s">
        <v>39723</v>
      </c>
      <c r="E10">
        <v>2.5000000000000001E-3</v>
      </c>
      <c r="F10">
        <v>16.7</v>
      </c>
      <c r="G10">
        <v>0</v>
      </c>
      <c r="H10">
        <v>0.1</v>
      </c>
      <c r="I10">
        <v>11.4</v>
      </c>
      <c r="J10">
        <v>0</v>
      </c>
      <c r="K10">
        <v>2.5</v>
      </c>
      <c r="L10">
        <v>2</v>
      </c>
      <c r="M10">
        <v>0</v>
      </c>
      <c r="N10">
        <v>0</v>
      </c>
      <c r="O10">
        <v>2</v>
      </c>
      <c r="P10">
        <v>2</v>
      </c>
      <c r="Q10">
        <v>2</v>
      </c>
      <c r="R10">
        <v>1</v>
      </c>
      <c r="S10" t="s">
        <v>39725</v>
      </c>
      <c r="T10" t="s">
        <v>39739</v>
      </c>
    </row>
    <row r="11" spans="1:20">
      <c r="A11" t="s">
        <v>39740</v>
      </c>
      <c r="B11" t="s">
        <v>39723</v>
      </c>
      <c r="C11" t="s">
        <v>39724</v>
      </c>
      <c r="D11" t="s">
        <v>39723</v>
      </c>
      <c r="E11" s="84">
        <v>1.3E-23</v>
      </c>
      <c r="F11">
        <v>83.2</v>
      </c>
      <c r="G11">
        <v>0</v>
      </c>
      <c r="H11" s="84">
        <v>6.1000000000000005E-23</v>
      </c>
      <c r="I11">
        <v>81</v>
      </c>
      <c r="J11">
        <v>0</v>
      </c>
      <c r="K11">
        <v>2</v>
      </c>
      <c r="L11">
        <v>1</v>
      </c>
      <c r="M11">
        <v>1</v>
      </c>
      <c r="N11">
        <v>0</v>
      </c>
      <c r="O11">
        <v>1</v>
      </c>
      <c r="P11">
        <v>1</v>
      </c>
      <c r="Q11">
        <v>1</v>
      </c>
      <c r="R11">
        <v>1</v>
      </c>
      <c r="S11" t="s">
        <v>39725</v>
      </c>
      <c r="T11" t="s">
        <v>39741</v>
      </c>
    </row>
    <row r="12" spans="1:20">
      <c r="A12" t="s">
        <v>39742</v>
      </c>
      <c r="B12" t="s">
        <v>39723</v>
      </c>
      <c r="C12" t="s">
        <v>39743</v>
      </c>
      <c r="D12" t="s">
        <v>39723</v>
      </c>
      <c r="E12" s="84">
        <v>5.8999999999999997E-41</v>
      </c>
      <c r="F12">
        <v>139.80000000000001</v>
      </c>
      <c r="G12">
        <v>3.3</v>
      </c>
      <c r="H12" s="84">
        <v>7.1000000000000003E-23</v>
      </c>
      <c r="I12">
        <v>80</v>
      </c>
      <c r="J12">
        <v>0.9</v>
      </c>
      <c r="K12">
        <v>3.5</v>
      </c>
      <c r="L12">
        <v>2</v>
      </c>
      <c r="M12">
        <v>1</v>
      </c>
      <c r="N12">
        <v>0</v>
      </c>
      <c r="O12">
        <v>2</v>
      </c>
      <c r="P12">
        <v>2</v>
      </c>
      <c r="Q12">
        <v>2</v>
      </c>
      <c r="R12">
        <v>2</v>
      </c>
      <c r="S12" t="s">
        <v>39725</v>
      </c>
      <c r="T12" t="s">
        <v>39744</v>
      </c>
    </row>
    <row r="13" spans="1:20">
      <c r="A13" t="s">
        <v>39745</v>
      </c>
      <c r="B13" t="s">
        <v>39723</v>
      </c>
      <c r="C13" t="s">
        <v>39724</v>
      </c>
      <c r="D13" t="s">
        <v>39723</v>
      </c>
      <c r="E13">
        <v>5.7000000000000002E-3</v>
      </c>
      <c r="F13">
        <v>15.3</v>
      </c>
      <c r="G13">
        <v>0</v>
      </c>
      <c r="H13">
        <v>0.15</v>
      </c>
      <c r="I13">
        <v>10.5</v>
      </c>
      <c r="J13">
        <v>0</v>
      </c>
      <c r="K13">
        <v>2.2000000000000002</v>
      </c>
      <c r="L13">
        <v>2</v>
      </c>
      <c r="M13">
        <v>0</v>
      </c>
      <c r="N13">
        <v>0</v>
      </c>
      <c r="O13">
        <v>2</v>
      </c>
      <c r="P13">
        <v>2</v>
      </c>
      <c r="Q13">
        <v>2</v>
      </c>
      <c r="R13">
        <v>1</v>
      </c>
      <c r="S13" t="s">
        <v>39725</v>
      </c>
      <c r="T13" t="s">
        <v>39746</v>
      </c>
    </row>
    <row r="14" spans="1:20">
      <c r="A14" t="s">
        <v>39747</v>
      </c>
      <c r="B14" t="s">
        <v>39723</v>
      </c>
      <c r="C14" t="s">
        <v>39724</v>
      </c>
      <c r="D14" t="s">
        <v>39723</v>
      </c>
      <c r="E14" s="84">
        <v>7.0000000000000004E-11</v>
      </c>
      <c r="F14">
        <v>41.3</v>
      </c>
      <c r="G14">
        <v>0</v>
      </c>
      <c r="H14" s="84">
        <v>1.1999999999999999E-7</v>
      </c>
      <c r="I14">
        <v>30.6</v>
      </c>
      <c r="J14">
        <v>0.1</v>
      </c>
      <c r="K14">
        <v>2.2000000000000002</v>
      </c>
      <c r="L14">
        <v>1</v>
      </c>
      <c r="M14">
        <v>1</v>
      </c>
      <c r="N14">
        <v>1</v>
      </c>
      <c r="O14">
        <v>2</v>
      </c>
      <c r="P14">
        <v>2</v>
      </c>
      <c r="Q14">
        <v>2</v>
      </c>
      <c r="R14">
        <v>2</v>
      </c>
      <c r="S14" t="s">
        <v>39725</v>
      </c>
      <c r="T14" t="s">
        <v>39748</v>
      </c>
    </row>
    <row r="15" spans="1:20">
      <c r="A15" t="s">
        <v>39749</v>
      </c>
      <c r="B15" t="s">
        <v>39723</v>
      </c>
      <c r="C15" t="s">
        <v>39730</v>
      </c>
      <c r="D15" t="s">
        <v>39723</v>
      </c>
      <c r="E15">
        <v>3.8E-3</v>
      </c>
      <c r="F15">
        <v>16.100000000000001</v>
      </c>
      <c r="G15">
        <v>0</v>
      </c>
      <c r="H15">
        <v>6.1000000000000004E-3</v>
      </c>
      <c r="I15">
        <v>15.4</v>
      </c>
      <c r="J15">
        <v>0</v>
      </c>
      <c r="K15">
        <v>1.3</v>
      </c>
      <c r="L15">
        <v>1</v>
      </c>
      <c r="M15">
        <v>0</v>
      </c>
      <c r="N15">
        <v>0</v>
      </c>
      <c r="O15">
        <v>1</v>
      </c>
      <c r="P15">
        <v>1</v>
      </c>
      <c r="Q15">
        <v>1</v>
      </c>
      <c r="R15">
        <v>1</v>
      </c>
      <c r="S15" t="s">
        <v>39725</v>
      </c>
      <c r="T15" t="s">
        <v>39750</v>
      </c>
    </row>
    <row r="16" spans="1:20">
      <c r="A16" t="s">
        <v>39751</v>
      </c>
      <c r="B16" t="s">
        <v>39723</v>
      </c>
      <c r="C16" t="s">
        <v>39724</v>
      </c>
      <c r="D16" t="s">
        <v>39723</v>
      </c>
      <c r="E16" s="84">
        <v>4.3999999999999997E-15</v>
      </c>
      <c r="F16">
        <v>55.1</v>
      </c>
      <c r="G16">
        <v>0</v>
      </c>
      <c r="H16" s="84">
        <v>4.7E-7</v>
      </c>
      <c r="I16">
        <v>28.7</v>
      </c>
      <c r="J16">
        <v>0</v>
      </c>
      <c r="K16">
        <v>2.4</v>
      </c>
      <c r="L16">
        <v>2</v>
      </c>
      <c r="M16">
        <v>0</v>
      </c>
      <c r="N16">
        <v>0</v>
      </c>
      <c r="O16">
        <v>2</v>
      </c>
      <c r="P16">
        <v>2</v>
      </c>
      <c r="Q16">
        <v>2</v>
      </c>
      <c r="R16">
        <v>2</v>
      </c>
      <c r="S16" t="s">
        <v>39725</v>
      </c>
      <c r="T16" t="s">
        <v>39752</v>
      </c>
    </row>
    <row r="17" spans="1:20">
      <c r="A17" t="s">
        <v>39753</v>
      </c>
      <c r="B17" t="s">
        <v>39723</v>
      </c>
      <c r="C17" t="s">
        <v>39724</v>
      </c>
      <c r="D17" t="s">
        <v>39723</v>
      </c>
      <c r="E17" s="84">
        <v>3.1999999999999999E-6</v>
      </c>
      <c r="F17">
        <v>26</v>
      </c>
      <c r="G17">
        <v>0</v>
      </c>
      <c r="H17">
        <v>2.5000000000000001E-2</v>
      </c>
      <c r="I17">
        <v>13.1</v>
      </c>
      <c r="J17">
        <v>0</v>
      </c>
      <c r="K17">
        <v>3.2</v>
      </c>
      <c r="L17">
        <v>2</v>
      </c>
      <c r="M17">
        <v>1</v>
      </c>
      <c r="N17">
        <v>0</v>
      </c>
      <c r="O17">
        <v>2</v>
      </c>
      <c r="P17">
        <v>2</v>
      </c>
      <c r="Q17">
        <v>2</v>
      </c>
      <c r="R17">
        <v>1</v>
      </c>
      <c r="S17" t="s">
        <v>39725</v>
      </c>
      <c r="T17" t="s">
        <v>39754</v>
      </c>
    </row>
    <row r="18" spans="1:20">
      <c r="A18" t="s">
        <v>39755</v>
      </c>
      <c r="B18" t="s">
        <v>39723</v>
      </c>
      <c r="C18" t="s">
        <v>39730</v>
      </c>
      <c r="D18" t="s">
        <v>39723</v>
      </c>
      <c r="E18">
        <v>7.0999999999999994E-2</v>
      </c>
      <c r="F18">
        <v>11.9</v>
      </c>
      <c r="G18">
        <v>0</v>
      </c>
      <c r="H18">
        <v>0.17</v>
      </c>
      <c r="I18">
        <v>10.7</v>
      </c>
      <c r="J18">
        <v>0</v>
      </c>
      <c r="K18">
        <v>1.6</v>
      </c>
      <c r="L18">
        <v>2</v>
      </c>
      <c r="M18">
        <v>0</v>
      </c>
      <c r="N18">
        <v>0</v>
      </c>
      <c r="O18">
        <v>2</v>
      </c>
      <c r="P18">
        <v>2</v>
      </c>
      <c r="Q18">
        <v>2</v>
      </c>
      <c r="R18">
        <v>0</v>
      </c>
      <c r="S18" t="s">
        <v>39725</v>
      </c>
      <c r="T18" t="s">
        <v>39756</v>
      </c>
    </row>
    <row r="19" spans="1:20">
      <c r="A19" t="s">
        <v>39755</v>
      </c>
      <c r="B19" t="s">
        <v>39723</v>
      </c>
      <c r="C19" t="s">
        <v>39724</v>
      </c>
      <c r="D19" t="s">
        <v>39723</v>
      </c>
      <c r="E19">
        <v>4.2000000000000003E-2</v>
      </c>
      <c r="F19">
        <v>12.4</v>
      </c>
      <c r="G19">
        <v>0.3</v>
      </c>
      <c r="H19">
        <v>0.51</v>
      </c>
      <c r="I19">
        <v>8.8000000000000007</v>
      </c>
      <c r="J19">
        <v>0.2</v>
      </c>
      <c r="K19">
        <v>2.6</v>
      </c>
      <c r="L19">
        <v>2</v>
      </c>
      <c r="M19">
        <v>1</v>
      </c>
      <c r="N19">
        <v>0</v>
      </c>
      <c r="O19">
        <v>2</v>
      </c>
      <c r="P19">
        <v>2</v>
      </c>
      <c r="Q19">
        <v>2</v>
      </c>
      <c r="R19">
        <v>0</v>
      </c>
      <c r="S19" t="s">
        <v>39725</v>
      </c>
      <c r="T19" t="s">
        <v>39756</v>
      </c>
    </row>
    <row r="20" spans="1:20">
      <c r="A20" t="s">
        <v>39757</v>
      </c>
      <c r="B20" t="s">
        <v>39723</v>
      </c>
      <c r="C20" t="s">
        <v>39724</v>
      </c>
      <c r="D20" t="s">
        <v>39723</v>
      </c>
      <c r="E20" s="84">
        <v>9.5000000000000005E-6</v>
      </c>
      <c r="F20">
        <v>24.4</v>
      </c>
      <c r="G20">
        <v>0</v>
      </c>
      <c r="H20" s="84">
        <v>5.7000000000000003E-5</v>
      </c>
      <c r="I20">
        <v>21.8</v>
      </c>
      <c r="J20">
        <v>0</v>
      </c>
      <c r="K20">
        <v>1.9</v>
      </c>
      <c r="L20">
        <v>1</v>
      </c>
      <c r="M20">
        <v>1</v>
      </c>
      <c r="N20">
        <v>0</v>
      </c>
      <c r="O20">
        <v>1</v>
      </c>
      <c r="P20">
        <v>1</v>
      </c>
      <c r="Q20">
        <v>1</v>
      </c>
      <c r="R20">
        <v>1</v>
      </c>
      <c r="S20" t="s">
        <v>39725</v>
      </c>
      <c r="T20" t="s">
        <v>39758</v>
      </c>
    </row>
    <row r="21" spans="1:20">
      <c r="A21" t="s">
        <v>39759</v>
      </c>
      <c r="B21" t="s">
        <v>39723</v>
      </c>
      <c r="C21" t="s">
        <v>39743</v>
      </c>
      <c r="D21" t="s">
        <v>39723</v>
      </c>
      <c r="E21">
        <v>4.2999999999999999E-4</v>
      </c>
      <c r="F21">
        <v>17.8</v>
      </c>
      <c r="G21">
        <v>0</v>
      </c>
      <c r="H21">
        <v>4.2999999999999999E-4</v>
      </c>
      <c r="I21">
        <v>17.8</v>
      </c>
      <c r="J21">
        <v>0</v>
      </c>
      <c r="K21">
        <v>1</v>
      </c>
      <c r="L21">
        <v>1</v>
      </c>
      <c r="M21">
        <v>0</v>
      </c>
      <c r="N21">
        <v>0</v>
      </c>
      <c r="O21">
        <v>1</v>
      </c>
      <c r="P21">
        <v>1</v>
      </c>
      <c r="Q21">
        <v>1</v>
      </c>
      <c r="R21">
        <v>1</v>
      </c>
      <c r="S21" t="s">
        <v>39725</v>
      </c>
      <c r="T21" t="s">
        <v>39760</v>
      </c>
    </row>
    <row r="22" spans="1:20">
      <c r="A22" t="s">
        <v>39761</v>
      </c>
      <c r="B22" t="s">
        <v>39723</v>
      </c>
      <c r="C22" t="s">
        <v>39743</v>
      </c>
      <c r="D22" t="s">
        <v>39723</v>
      </c>
      <c r="E22" s="84">
        <v>2.5999999999999999E-105</v>
      </c>
      <c r="F22">
        <v>352.8</v>
      </c>
      <c r="G22">
        <v>0</v>
      </c>
      <c r="H22" s="84">
        <v>1.1E-103</v>
      </c>
      <c r="I22">
        <v>347.5</v>
      </c>
      <c r="J22">
        <v>0</v>
      </c>
      <c r="K22">
        <v>2</v>
      </c>
      <c r="L22">
        <v>2</v>
      </c>
      <c r="M22">
        <v>0</v>
      </c>
      <c r="N22">
        <v>0</v>
      </c>
      <c r="O22">
        <v>2</v>
      </c>
      <c r="P22">
        <v>2</v>
      </c>
      <c r="Q22">
        <v>2</v>
      </c>
      <c r="R22">
        <v>2</v>
      </c>
      <c r="S22" t="s">
        <v>39725</v>
      </c>
      <c r="T22" t="s">
        <v>39762</v>
      </c>
    </row>
    <row r="23" spans="1:20">
      <c r="A23" t="s">
        <v>39763</v>
      </c>
      <c r="B23" t="s">
        <v>39723</v>
      </c>
      <c r="C23" t="s">
        <v>39764</v>
      </c>
      <c r="D23" t="s">
        <v>39723</v>
      </c>
      <c r="E23" s="84">
        <v>1.1E-45</v>
      </c>
      <c r="F23">
        <v>155.9</v>
      </c>
      <c r="G23">
        <v>0</v>
      </c>
      <c r="H23" s="84">
        <v>5.1999999999999997E-45</v>
      </c>
      <c r="I23">
        <v>153.6</v>
      </c>
      <c r="J23">
        <v>0</v>
      </c>
      <c r="K23">
        <v>1.8</v>
      </c>
      <c r="L23">
        <v>1</v>
      </c>
      <c r="M23">
        <v>1</v>
      </c>
      <c r="N23">
        <v>0</v>
      </c>
      <c r="O23">
        <v>1</v>
      </c>
      <c r="P23">
        <v>1</v>
      </c>
      <c r="Q23">
        <v>1</v>
      </c>
      <c r="R23">
        <v>1</v>
      </c>
      <c r="S23" t="s">
        <v>39725</v>
      </c>
      <c r="T23" t="s">
        <v>39765</v>
      </c>
    </row>
    <row r="24" spans="1:20">
      <c r="A24" t="s">
        <v>39766</v>
      </c>
      <c r="B24" t="s">
        <v>39723</v>
      </c>
      <c r="C24" t="s">
        <v>39767</v>
      </c>
      <c r="D24" t="s">
        <v>39723</v>
      </c>
      <c r="E24">
        <v>0</v>
      </c>
      <c r="F24">
        <v>1400.4</v>
      </c>
      <c r="G24">
        <v>0</v>
      </c>
      <c r="H24">
        <v>0</v>
      </c>
      <c r="I24">
        <v>1400.1</v>
      </c>
      <c r="J24">
        <v>0</v>
      </c>
      <c r="K24">
        <v>1</v>
      </c>
      <c r="L24">
        <v>1</v>
      </c>
      <c r="M24">
        <v>0</v>
      </c>
      <c r="N24">
        <v>0</v>
      </c>
      <c r="O24">
        <v>1</v>
      </c>
      <c r="P24">
        <v>1</v>
      </c>
      <c r="Q24">
        <v>1</v>
      </c>
      <c r="R24">
        <v>1</v>
      </c>
      <c r="S24" t="s">
        <v>39725</v>
      </c>
      <c r="T24" t="s">
        <v>39768</v>
      </c>
    </row>
    <row r="25" spans="1:20">
      <c r="A25" t="s">
        <v>39769</v>
      </c>
      <c r="B25" t="s">
        <v>39723</v>
      </c>
      <c r="C25" t="s">
        <v>39724</v>
      </c>
      <c r="D25" t="s">
        <v>39723</v>
      </c>
      <c r="E25" s="84">
        <v>7.2999999999999995E-15</v>
      </c>
      <c r="F25">
        <v>54.4</v>
      </c>
      <c r="G25">
        <v>0.1</v>
      </c>
      <c r="H25" s="84">
        <v>4.7E-7</v>
      </c>
      <c r="I25">
        <v>28.7</v>
      </c>
      <c r="J25">
        <v>0</v>
      </c>
      <c r="K25">
        <v>3.1</v>
      </c>
      <c r="L25">
        <v>2</v>
      </c>
      <c r="M25">
        <v>1</v>
      </c>
      <c r="N25">
        <v>0</v>
      </c>
      <c r="O25">
        <v>2</v>
      </c>
      <c r="P25">
        <v>2</v>
      </c>
      <c r="Q25">
        <v>2</v>
      </c>
      <c r="R25">
        <v>2</v>
      </c>
      <c r="S25" t="s">
        <v>39725</v>
      </c>
      <c r="T25" t="s">
        <v>39770</v>
      </c>
    </row>
    <row r="26" spans="1:20">
      <c r="A26" t="s">
        <v>39771</v>
      </c>
      <c r="B26" t="s">
        <v>39723</v>
      </c>
      <c r="C26" t="s">
        <v>39724</v>
      </c>
      <c r="D26" t="s">
        <v>39723</v>
      </c>
      <c r="E26" s="84">
        <v>1E-10</v>
      </c>
      <c r="F26">
        <v>40.700000000000003</v>
      </c>
      <c r="G26">
        <v>0</v>
      </c>
      <c r="H26" s="84">
        <v>3.2000000000000002E-8</v>
      </c>
      <c r="I26">
        <v>32.6</v>
      </c>
      <c r="J26">
        <v>0</v>
      </c>
      <c r="K26">
        <v>2.1</v>
      </c>
      <c r="L26">
        <v>1</v>
      </c>
      <c r="M26">
        <v>1</v>
      </c>
      <c r="N26">
        <v>0</v>
      </c>
      <c r="O26">
        <v>1</v>
      </c>
      <c r="P26">
        <v>1</v>
      </c>
      <c r="Q26">
        <v>1</v>
      </c>
      <c r="R26">
        <v>1</v>
      </c>
      <c r="S26" t="s">
        <v>39725</v>
      </c>
      <c r="T26" t="s">
        <v>39772</v>
      </c>
    </row>
    <row r="27" spans="1:20">
      <c r="A27" t="s">
        <v>39773</v>
      </c>
      <c r="B27" t="s">
        <v>39723</v>
      </c>
      <c r="C27" t="s">
        <v>39730</v>
      </c>
      <c r="D27" t="s">
        <v>39723</v>
      </c>
      <c r="E27">
        <v>1.4999999999999999E-2</v>
      </c>
      <c r="F27">
        <v>14.1</v>
      </c>
      <c r="G27">
        <v>0.1</v>
      </c>
      <c r="H27">
        <v>2.5000000000000001E-2</v>
      </c>
      <c r="I27">
        <v>13.4</v>
      </c>
      <c r="J27">
        <v>0.1</v>
      </c>
      <c r="K27">
        <v>1.3</v>
      </c>
      <c r="L27">
        <v>1</v>
      </c>
      <c r="M27">
        <v>0</v>
      </c>
      <c r="N27">
        <v>0</v>
      </c>
      <c r="O27">
        <v>1</v>
      </c>
      <c r="P27">
        <v>1</v>
      </c>
      <c r="Q27">
        <v>1</v>
      </c>
      <c r="R27">
        <v>0</v>
      </c>
      <c r="S27" t="s">
        <v>39725</v>
      </c>
      <c r="T27" t="s">
        <v>39774</v>
      </c>
    </row>
    <row r="28" spans="1:20">
      <c r="A28" t="s">
        <v>39775</v>
      </c>
      <c r="B28" t="s">
        <v>39723</v>
      </c>
      <c r="C28" t="s">
        <v>39724</v>
      </c>
      <c r="D28" t="s">
        <v>39723</v>
      </c>
      <c r="E28">
        <v>7.4000000000000003E-3</v>
      </c>
      <c r="F28">
        <v>14.9</v>
      </c>
      <c r="G28">
        <v>0</v>
      </c>
      <c r="H28">
        <v>1.0999999999999999E-2</v>
      </c>
      <c r="I28">
        <v>14.4</v>
      </c>
      <c r="J28">
        <v>0</v>
      </c>
      <c r="K28">
        <v>1.1000000000000001</v>
      </c>
      <c r="L28">
        <v>1</v>
      </c>
      <c r="M28">
        <v>0</v>
      </c>
      <c r="N28">
        <v>0</v>
      </c>
      <c r="O28">
        <v>1</v>
      </c>
      <c r="P28">
        <v>1</v>
      </c>
      <c r="Q28">
        <v>1</v>
      </c>
      <c r="R28">
        <v>1</v>
      </c>
      <c r="S28" t="s">
        <v>39725</v>
      </c>
      <c r="T28" t="s">
        <v>39776</v>
      </c>
    </row>
    <row r="29" spans="1:20">
      <c r="A29" t="s">
        <v>39777</v>
      </c>
      <c r="B29" t="s">
        <v>39723</v>
      </c>
      <c r="C29" t="s">
        <v>39730</v>
      </c>
      <c r="D29" t="s">
        <v>39723</v>
      </c>
      <c r="E29">
        <v>2.7E-2</v>
      </c>
      <c r="F29">
        <v>13.3</v>
      </c>
      <c r="G29">
        <v>0.6</v>
      </c>
      <c r="H29">
        <v>5.3</v>
      </c>
      <c r="I29">
        <v>5.8</v>
      </c>
      <c r="J29">
        <v>0.1</v>
      </c>
      <c r="K29">
        <v>2.2000000000000002</v>
      </c>
      <c r="L29">
        <v>2</v>
      </c>
      <c r="M29">
        <v>0</v>
      </c>
      <c r="N29">
        <v>0</v>
      </c>
      <c r="O29">
        <v>2</v>
      </c>
      <c r="P29">
        <v>2</v>
      </c>
      <c r="Q29">
        <v>2</v>
      </c>
      <c r="R29">
        <v>0</v>
      </c>
      <c r="S29" t="s">
        <v>39725</v>
      </c>
      <c r="T29" t="s">
        <v>39778</v>
      </c>
    </row>
    <row r="30" spans="1:20">
      <c r="A30" t="s">
        <v>39779</v>
      </c>
      <c r="B30" t="s">
        <v>39723</v>
      </c>
      <c r="C30" t="s">
        <v>39730</v>
      </c>
      <c r="D30" t="s">
        <v>39723</v>
      </c>
      <c r="E30">
        <v>6.7999999999999996E-3</v>
      </c>
      <c r="F30">
        <v>15.3</v>
      </c>
      <c r="G30">
        <v>0</v>
      </c>
      <c r="H30">
        <v>2.1999999999999999E-2</v>
      </c>
      <c r="I30">
        <v>13.6</v>
      </c>
      <c r="J30">
        <v>0</v>
      </c>
      <c r="K30">
        <v>1.8</v>
      </c>
      <c r="L30">
        <v>1</v>
      </c>
      <c r="M30">
        <v>0</v>
      </c>
      <c r="N30">
        <v>0</v>
      </c>
      <c r="O30">
        <v>1</v>
      </c>
      <c r="P30">
        <v>1</v>
      </c>
      <c r="Q30">
        <v>1</v>
      </c>
      <c r="R30">
        <v>1</v>
      </c>
      <c r="S30" t="s">
        <v>39725</v>
      </c>
      <c r="T30" t="s">
        <v>39780</v>
      </c>
    </row>
    <row r="31" spans="1:20">
      <c r="A31" t="s">
        <v>39781</v>
      </c>
      <c r="B31" t="s">
        <v>39723</v>
      </c>
      <c r="C31" t="s">
        <v>39730</v>
      </c>
      <c r="D31" t="s">
        <v>39723</v>
      </c>
      <c r="E31">
        <v>1.2E-2</v>
      </c>
      <c r="F31">
        <v>14.5</v>
      </c>
      <c r="G31">
        <v>0.8</v>
      </c>
      <c r="H31">
        <v>1.9E-2</v>
      </c>
      <c r="I31">
        <v>13.8</v>
      </c>
      <c r="J31">
        <v>0.1</v>
      </c>
      <c r="K31">
        <v>1.6</v>
      </c>
      <c r="L31">
        <v>2</v>
      </c>
      <c r="M31">
        <v>0</v>
      </c>
      <c r="N31">
        <v>0</v>
      </c>
      <c r="O31">
        <v>2</v>
      </c>
      <c r="P31">
        <v>2</v>
      </c>
      <c r="Q31">
        <v>2</v>
      </c>
      <c r="R31">
        <v>0</v>
      </c>
      <c r="S31" t="s">
        <v>39725</v>
      </c>
      <c r="T31" t="s">
        <v>39782</v>
      </c>
    </row>
    <row r="32" spans="1:20">
      <c r="A32" t="s">
        <v>39783</v>
      </c>
      <c r="B32" t="s">
        <v>39723</v>
      </c>
      <c r="C32" t="s">
        <v>39724</v>
      </c>
      <c r="D32" t="s">
        <v>39723</v>
      </c>
      <c r="E32" s="84">
        <v>6.1000000000000004E-8</v>
      </c>
      <c r="F32">
        <v>31.6</v>
      </c>
      <c r="G32">
        <v>0.1</v>
      </c>
      <c r="H32" s="84">
        <v>4.4000000000000002E-6</v>
      </c>
      <c r="I32">
        <v>25.5</v>
      </c>
      <c r="J32">
        <v>0.1</v>
      </c>
      <c r="K32">
        <v>2.6</v>
      </c>
      <c r="L32">
        <v>1</v>
      </c>
      <c r="M32">
        <v>1</v>
      </c>
      <c r="N32">
        <v>0</v>
      </c>
      <c r="O32">
        <v>1</v>
      </c>
      <c r="P32">
        <v>1</v>
      </c>
      <c r="Q32">
        <v>1</v>
      </c>
      <c r="R32">
        <v>1</v>
      </c>
      <c r="S32" t="s">
        <v>39725</v>
      </c>
      <c r="T32" t="s">
        <v>39784</v>
      </c>
    </row>
    <row r="33" spans="1:20">
      <c r="A33" t="s">
        <v>39785</v>
      </c>
      <c r="B33" t="s">
        <v>39723</v>
      </c>
      <c r="C33" t="s">
        <v>39730</v>
      </c>
      <c r="D33" t="s">
        <v>39723</v>
      </c>
      <c r="E33">
        <v>3.2000000000000002E-3</v>
      </c>
      <c r="F33">
        <v>16.399999999999999</v>
      </c>
      <c r="G33">
        <v>0</v>
      </c>
      <c r="H33">
        <v>5.1999999999999998E-3</v>
      </c>
      <c r="I33">
        <v>15.7</v>
      </c>
      <c r="J33">
        <v>0</v>
      </c>
      <c r="K33">
        <v>1.2</v>
      </c>
      <c r="L33">
        <v>1</v>
      </c>
      <c r="M33">
        <v>0</v>
      </c>
      <c r="N33">
        <v>0</v>
      </c>
      <c r="O33">
        <v>1</v>
      </c>
      <c r="P33">
        <v>1</v>
      </c>
      <c r="Q33">
        <v>1</v>
      </c>
      <c r="R33">
        <v>1</v>
      </c>
      <c r="S33" t="s">
        <v>39725</v>
      </c>
      <c r="T33" t="s">
        <v>39786</v>
      </c>
    </row>
    <row r="34" spans="1:20">
      <c r="A34" t="s">
        <v>39787</v>
      </c>
      <c r="B34" t="s">
        <v>39723</v>
      </c>
      <c r="C34" t="s">
        <v>39724</v>
      </c>
      <c r="D34" t="s">
        <v>39723</v>
      </c>
      <c r="E34" s="84">
        <v>5.5999999999999999E-5</v>
      </c>
      <c r="F34">
        <v>21.9</v>
      </c>
      <c r="G34">
        <v>0</v>
      </c>
      <c r="H34">
        <v>0.11</v>
      </c>
      <c r="I34">
        <v>11.1</v>
      </c>
      <c r="J34">
        <v>0</v>
      </c>
      <c r="K34">
        <v>2.5</v>
      </c>
      <c r="L34">
        <v>2</v>
      </c>
      <c r="M34">
        <v>1</v>
      </c>
      <c r="N34">
        <v>1</v>
      </c>
      <c r="O34">
        <v>3</v>
      </c>
      <c r="P34">
        <v>3</v>
      </c>
      <c r="Q34">
        <v>2</v>
      </c>
      <c r="R34">
        <v>2</v>
      </c>
      <c r="S34" t="s">
        <v>39725</v>
      </c>
      <c r="T34" t="s">
        <v>39788</v>
      </c>
    </row>
    <row r="35" spans="1:20">
      <c r="A35" t="s">
        <v>39789</v>
      </c>
      <c r="B35" t="s">
        <v>39723</v>
      </c>
      <c r="C35" t="s">
        <v>39724</v>
      </c>
      <c r="D35" t="s">
        <v>39723</v>
      </c>
      <c r="E35" s="84">
        <v>2.7000000000000001E-7</v>
      </c>
      <c r="F35">
        <v>29.5</v>
      </c>
      <c r="G35">
        <v>0</v>
      </c>
      <c r="H35" s="84">
        <v>1.2999999999999999E-5</v>
      </c>
      <c r="I35">
        <v>23.9</v>
      </c>
      <c r="J35">
        <v>0</v>
      </c>
      <c r="K35">
        <v>2.1</v>
      </c>
      <c r="L35">
        <v>1</v>
      </c>
      <c r="M35">
        <v>1</v>
      </c>
      <c r="N35">
        <v>0</v>
      </c>
      <c r="O35">
        <v>1</v>
      </c>
      <c r="P35">
        <v>1</v>
      </c>
      <c r="Q35">
        <v>1</v>
      </c>
      <c r="R35">
        <v>1</v>
      </c>
      <c r="S35" t="s">
        <v>39725</v>
      </c>
      <c r="T35" t="s">
        <v>39790</v>
      </c>
    </row>
    <row r="36" spans="1:20">
      <c r="A36" t="s">
        <v>39791</v>
      </c>
      <c r="B36" t="s">
        <v>39723</v>
      </c>
      <c r="C36" t="s">
        <v>39724</v>
      </c>
      <c r="D36" t="s">
        <v>39723</v>
      </c>
      <c r="E36" s="84">
        <v>5.4999999999999996E-9</v>
      </c>
      <c r="F36">
        <v>35.1</v>
      </c>
      <c r="G36">
        <v>0.6</v>
      </c>
      <c r="H36" s="84">
        <v>1.2999999999999999E-5</v>
      </c>
      <c r="I36">
        <v>23.9</v>
      </c>
      <c r="J36">
        <v>0</v>
      </c>
      <c r="K36">
        <v>2.5</v>
      </c>
      <c r="L36">
        <v>2</v>
      </c>
      <c r="M36">
        <v>0</v>
      </c>
      <c r="N36">
        <v>0</v>
      </c>
      <c r="O36">
        <v>2</v>
      </c>
      <c r="P36">
        <v>2</v>
      </c>
      <c r="Q36">
        <v>2</v>
      </c>
      <c r="R36">
        <v>2</v>
      </c>
      <c r="S36" t="s">
        <v>39725</v>
      </c>
      <c r="T36" t="s">
        <v>39792</v>
      </c>
    </row>
    <row r="37" spans="1:20">
      <c r="A37" t="s">
        <v>39793</v>
      </c>
      <c r="B37" t="s">
        <v>39723</v>
      </c>
      <c r="C37" t="s">
        <v>39724</v>
      </c>
      <c r="D37" t="s">
        <v>39723</v>
      </c>
      <c r="E37" s="84">
        <v>2.6999999999999999E-5</v>
      </c>
      <c r="F37">
        <v>22.9</v>
      </c>
      <c r="G37">
        <v>0.2</v>
      </c>
      <c r="H37">
        <v>2.1000000000000001E-4</v>
      </c>
      <c r="I37">
        <v>20</v>
      </c>
      <c r="J37">
        <v>0.2</v>
      </c>
      <c r="K37">
        <v>2.2000000000000002</v>
      </c>
      <c r="L37">
        <v>1</v>
      </c>
      <c r="M37">
        <v>1</v>
      </c>
      <c r="N37">
        <v>0</v>
      </c>
      <c r="O37">
        <v>1</v>
      </c>
      <c r="P37">
        <v>1</v>
      </c>
      <c r="Q37">
        <v>1</v>
      </c>
      <c r="R37">
        <v>1</v>
      </c>
      <c r="S37" t="s">
        <v>39725</v>
      </c>
      <c r="T37" t="s">
        <v>39794</v>
      </c>
    </row>
    <row r="38" spans="1:20">
      <c r="A38" t="s">
        <v>39795</v>
      </c>
      <c r="B38" t="s">
        <v>39723</v>
      </c>
      <c r="C38" t="s">
        <v>39730</v>
      </c>
      <c r="D38" t="s">
        <v>39723</v>
      </c>
      <c r="E38">
        <v>6.0000000000000001E-3</v>
      </c>
      <c r="F38">
        <v>15.5</v>
      </c>
      <c r="G38">
        <v>0</v>
      </c>
      <c r="H38">
        <v>1.4E-2</v>
      </c>
      <c r="I38">
        <v>14.3</v>
      </c>
      <c r="J38">
        <v>0</v>
      </c>
      <c r="K38">
        <v>1.6</v>
      </c>
      <c r="L38">
        <v>1</v>
      </c>
      <c r="M38">
        <v>0</v>
      </c>
      <c r="N38">
        <v>0</v>
      </c>
      <c r="O38">
        <v>1</v>
      </c>
      <c r="P38">
        <v>1</v>
      </c>
      <c r="Q38">
        <v>1</v>
      </c>
      <c r="R38">
        <v>1</v>
      </c>
      <c r="S38" t="s">
        <v>39725</v>
      </c>
      <c r="T38" t="s">
        <v>39796</v>
      </c>
    </row>
    <row r="39" spans="1:20">
      <c r="A39" s="85" t="s">
        <v>39797</v>
      </c>
      <c r="B39" s="85" t="s">
        <v>39723</v>
      </c>
      <c r="C39" s="85" t="s">
        <v>39724</v>
      </c>
      <c r="D39" s="85" t="s">
        <v>39723</v>
      </c>
      <c r="E39" s="86">
        <v>1.4000000000000001E-12</v>
      </c>
      <c r="F39" s="85">
        <v>46.9</v>
      </c>
      <c r="G39" s="85">
        <v>0</v>
      </c>
      <c r="H39" s="85">
        <v>2.2000000000000001E-4</v>
      </c>
      <c r="I39" s="85">
        <v>19.899999999999999</v>
      </c>
      <c r="J39" s="85">
        <v>0</v>
      </c>
      <c r="K39" s="85">
        <v>3.3</v>
      </c>
      <c r="L39" s="85">
        <v>3</v>
      </c>
      <c r="M39" s="85">
        <v>0</v>
      </c>
      <c r="N39" s="85">
        <v>0</v>
      </c>
      <c r="O39" s="85">
        <v>3</v>
      </c>
      <c r="P39" s="85">
        <v>3</v>
      </c>
      <c r="Q39" s="85">
        <v>3</v>
      </c>
      <c r="R39" s="85">
        <v>2</v>
      </c>
      <c r="S39" s="85" t="s">
        <v>39725</v>
      </c>
      <c r="T39" s="85" t="s">
        <v>39798</v>
      </c>
    </row>
    <row r="40" spans="1:20">
      <c r="A40" s="85" t="s">
        <v>39799</v>
      </c>
      <c r="B40" s="85" t="s">
        <v>39723</v>
      </c>
      <c r="C40" s="85" t="s">
        <v>39724</v>
      </c>
      <c r="D40" s="85" t="s">
        <v>39723</v>
      </c>
      <c r="E40" s="86">
        <v>3.1E-9</v>
      </c>
      <c r="F40" s="85">
        <v>35.9</v>
      </c>
      <c r="G40" s="85">
        <v>0</v>
      </c>
      <c r="H40" s="86">
        <v>3.4999999999999999E-9</v>
      </c>
      <c r="I40" s="85">
        <v>35.700000000000003</v>
      </c>
      <c r="J40" s="85">
        <v>0</v>
      </c>
      <c r="K40" s="85">
        <v>1</v>
      </c>
      <c r="L40" s="85">
        <v>1</v>
      </c>
      <c r="M40" s="85">
        <v>0</v>
      </c>
      <c r="N40" s="85">
        <v>0</v>
      </c>
      <c r="O40" s="85">
        <v>1</v>
      </c>
      <c r="P40" s="85">
        <v>1</v>
      </c>
      <c r="Q40" s="85">
        <v>1</v>
      </c>
      <c r="R40" s="85">
        <v>1</v>
      </c>
      <c r="S40" s="85" t="s">
        <v>39725</v>
      </c>
      <c r="T40" s="85" t="s">
        <v>39800</v>
      </c>
    </row>
    <row r="41" spans="1:20">
      <c r="A41" s="85" t="s">
        <v>39801</v>
      </c>
      <c r="B41" s="85" t="s">
        <v>39723</v>
      </c>
      <c r="C41" s="85" t="s">
        <v>39724</v>
      </c>
      <c r="D41" s="85" t="s">
        <v>39723</v>
      </c>
      <c r="E41" s="85">
        <v>4.8999999999999998E-4</v>
      </c>
      <c r="F41" s="85">
        <v>18.8</v>
      </c>
      <c r="G41" s="85">
        <v>0.5</v>
      </c>
      <c r="H41" s="85">
        <v>7.6000000000000004E-4</v>
      </c>
      <c r="I41" s="85">
        <v>18.100000000000001</v>
      </c>
      <c r="J41" s="85">
        <v>0</v>
      </c>
      <c r="K41" s="85">
        <v>1.6</v>
      </c>
      <c r="L41" s="85">
        <v>2</v>
      </c>
      <c r="M41" s="85">
        <v>0</v>
      </c>
      <c r="N41" s="85">
        <v>0</v>
      </c>
      <c r="O41" s="85">
        <v>2</v>
      </c>
      <c r="P41" s="85">
        <v>2</v>
      </c>
      <c r="Q41" s="85">
        <v>1</v>
      </c>
      <c r="R41" s="85">
        <v>1</v>
      </c>
      <c r="S41" s="85" t="s">
        <v>39725</v>
      </c>
      <c r="T41" s="85" t="s">
        <v>39802</v>
      </c>
    </row>
    <row r="42" spans="1:20">
      <c r="A42" s="85" t="s">
        <v>39803</v>
      </c>
      <c r="B42" s="85" t="s">
        <v>39723</v>
      </c>
      <c r="C42" s="85" t="s">
        <v>39724</v>
      </c>
      <c r="D42" s="85" t="s">
        <v>39723</v>
      </c>
      <c r="E42" s="85">
        <v>3.4000000000000002E-4</v>
      </c>
      <c r="F42" s="85">
        <v>19.3</v>
      </c>
      <c r="G42" s="85">
        <v>4.4000000000000004</v>
      </c>
      <c r="H42" s="85">
        <v>0.45</v>
      </c>
      <c r="I42" s="85">
        <v>9</v>
      </c>
      <c r="J42" s="85">
        <v>0</v>
      </c>
      <c r="K42" s="85">
        <v>4.5999999999999996</v>
      </c>
      <c r="L42" s="85">
        <v>5</v>
      </c>
      <c r="M42" s="85">
        <v>0</v>
      </c>
      <c r="N42" s="85">
        <v>0</v>
      </c>
      <c r="O42" s="85">
        <v>5</v>
      </c>
      <c r="P42" s="85">
        <v>5</v>
      </c>
      <c r="Q42" s="85">
        <v>5</v>
      </c>
      <c r="R42" s="85">
        <v>1</v>
      </c>
      <c r="S42" s="85" t="s">
        <v>39725</v>
      </c>
      <c r="T42" s="85" t="s">
        <v>39804</v>
      </c>
    </row>
    <row r="43" spans="1:20">
      <c r="A43" s="85" t="s">
        <v>39805</v>
      </c>
      <c r="B43" s="85" t="s">
        <v>39723</v>
      </c>
      <c r="C43" s="85" t="s">
        <v>39724</v>
      </c>
      <c r="D43" s="85" t="s">
        <v>39723</v>
      </c>
      <c r="E43" s="85">
        <v>1.8000000000000001E-4</v>
      </c>
      <c r="F43" s="85">
        <v>20.2</v>
      </c>
      <c r="G43" s="85">
        <v>0</v>
      </c>
      <c r="H43" s="85">
        <v>4.8000000000000001E-4</v>
      </c>
      <c r="I43" s="85">
        <v>18.8</v>
      </c>
      <c r="J43" s="85">
        <v>0</v>
      </c>
      <c r="K43" s="85">
        <v>1.6</v>
      </c>
      <c r="L43" s="85">
        <v>1</v>
      </c>
      <c r="M43" s="85">
        <v>1</v>
      </c>
      <c r="N43" s="85">
        <v>0</v>
      </c>
      <c r="O43" s="85">
        <v>1</v>
      </c>
      <c r="P43" s="85">
        <v>1</v>
      </c>
      <c r="Q43" s="85">
        <v>1</v>
      </c>
      <c r="R43" s="85">
        <v>1</v>
      </c>
      <c r="S43" s="85" t="s">
        <v>39725</v>
      </c>
      <c r="T43" s="85" t="s">
        <v>39806</v>
      </c>
    </row>
    <row r="44" spans="1:20">
      <c r="A44" s="85" t="s">
        <v>39807</v>
      </c>
      <c r="B44" s="85" t="s">
        <v>39723</v>
      </c>
      <c r="C44" s="85" t="s">
        <v>39724</v>
      </c>
      <c r="D44" s="85" t="s">
        <v>39723</v>
      </c>
      <c r="E44" s="86">
        <v>5.4000000000000002E-7</v>
      </c>
      <c r="F44" s="85">
        <v>28.5</v>
      </c>
      <c r="G44" s="85">
        <v>0</v>
      </c>
      <c r="H44" s="86">
        <v>6.8999999999999996E-7</v>
      </c>
      <c r="I44" s="85">
        <v>28.2</v>
      </c>
      <c r="J44" s="85">
        <v>0</v>
      </c>
      <c r="K44" s="85">
        <v>1.1000000000000001</v>
      </c>
      <c r="L44" s="85">
        <v>1</v>
      </c>
      <c r="M44" s="85">
        <v>0</v>
      </c>
      <c r="N44" s="85">
        <v>0</v>
      </c>
      <c r="O44" s="85">
        <v>1</v>
      </c>
      <c r="P44" s="85">
        <v>1</v>
      </c>
      <c r="Q44" s="85">
        <v>1</v>
      </c>
      <c r="R44" s="85">
        <v>1</v>
      </c>
      <c r="S44" s="85" t="s">
        <v>39725</v>
      </c>
      <c r="T44" s="85" t="s">
        <v>39808</v>
      </c>
    </row>
    <row r="45" spans="1:20">
      <c r="A45" s="85" t="s">
        <v>39809</v>
      </c>
      <c r="B45" s="85" t="s">
        <v>39723</v>
      </c>
      <c r="C45" s="85" t="s">
        <v>39810</v>
      </c>
      <c r="D45" s="85" t="s">
        <v>39723</v>
      </c>
      <c r="E45" s="86">
        <v>5.9000000000000003E-154</v>
      </c>
      <c r="F45" s="85">
        <v>511.8</v>
      </c>
      <c r="G45" s="85">
        <v>2.6</v>
      </c>
      <c r="H45" s="86">
        <v>7.0000000000000001E-154</v>
      </c>
      <c r="I45" s="85">
        <v>511.6</v>
      </c>
      <c r="J45" s="85">
        <v>2.6</v>
      </c>
      <c r="K45" s="85">
        <v>1</v>
      </c>
      <c r="L45" s="85">
        <v>1</v>
      </c>
      <c r="M45" s="85">
        <v>0</v>
      </c>
      <c r="N45" s="85">
        <v>0</v>
      </c>
      <c r="O45" s="85">
        <v>1</v>
      </c>
      <c r="P45" s="85">
        <v>1</v>
      </c>
      <c r="Q45" s="85">
        <v>1</v>
      </c>
      <c r="R45" s="85">
        <v>1</v>
      </c>
      <c r="S45" s="85" t="s">
        <v>39725</v>
      </c>
      <c r="T45" s="85" t="s">
        <v>39811</v>
      </c>
    </row>
    <row r="46" spans="1:20">
      <c r="A46" t="s">
        <v>39812</v>
      </c>
      <c r="B46" t="s">
        <v>39723</v>
      </c>
      <c r="C46" t="s">
        <v>39724</v>
      </c>
      <c r="D46" t="s">
        <v>39723</v>
      </c>
      <c r="E46" s="84">
        <v>6.4999999999999996E-6</v>
      </c>
      <c r="F46">
        <v>25</v>
      </c>
      <c r="G46">
        <v>2.8</v>
      </c>
      <c r="H46" s="84">
        <v>3.0000000000000001E-5</v>
      </c>
      <c r="I46">
        <v>22.8</v>
      </c>
      <c r="J46">
        <v>2.8</v>
      </c>
      <c r="K46">
        <v>1.8</v>
      </c>
      <c r="L46">
        <v>1</v>
      </c>
      <c r="M46">
        <v>1</v>
      </c>
      <c r="N46">
        <v>0</v>
      </c>
      <c r="O46">
        <v>1</v>
      </c>
      <c r="P46">
        <v>1</v>
      </c>
      <c r="Q46">
        <v>1</v>
      </c>
      <c r="R46">
        <v>1</v>
      </c>
      <c r="S46" t="s">
        <v>39725</v>
      </c>
      <c r="T46" t="s">
        <v>39813</v>
      </c>
    </row>
    <row r="47" spans="1:20">
      <c r="A47" t="s">
        <v>39814</v>
      </c>
      <c r="B47" t="s">
        <v>39723</v>
      </c>
      <c r="C47" t="s">
        <v>39730</v>
      </c>
      <c r="D47" t="s">
        <v>39723</v>
      </c>
      <c r="E47">
        <v>6.8999999999999999E-3</v>
      </c>
      <c r="F47">
        <v>15.3</v>
      </c>
      <c r="G47">
        <v>2.6</v>
      </c>
      <c r="H47">
        <v>2.6</v>
      </c>
      <c r="I47">
        <v>6.8</v>
      </c>
      <c r="J47">
        <v>0</v>
      </c>
      <c r="K47">
        <v>3</v>
      </c>
      <c r="L47">
        <v>3</v>
      </c>
      <c r="M47">
        <v>0</v>
      </c>
      <c r="N47">
        <v>0</v>
      </c>
      <c r="O47">
        <v>3</v>
      </c>
      <c r="P47">
        <v>3</v>
      </c>
      <c r="Q47">
        <v>3</v>
      </c>
      <c r="R47">
        <v>0</v>
      </c>
      <c r="S47" t="s">
        <v>39725</v>
      </c>
      <c r="T47" t="s">
        <v>39815</v>
      </c>
    </row>
    <row r="48" spans="1:20">
      <c r="A48" t="s">
        <v>39816</v>
      </c>
      <c r="B48" t="s">
        <v>39723</v>
      </c>
      <c r="C48" t="s">
        <v>39730</v>
      </c>
      <c r="D48" t="s">
        <v>39723</v>
      </c>
      <c r="E48">
        <v>1.6999999999999999E-3</v>
      </c>
      <c r="F48">
        <v>17.3</v>
      </c>
      <c r="G48">
        <v>1</v>
      </c>
      <c r="H48">
        <v>3.8E-3</v>
      </c>
      <c r="I48">
        <v>16.100000000000001</v>
      </c>
      <c r="J48">
        <v>0.1</v>
      </c>
      <c r="K48">
        <v>1.9</v>
      </c>
      <c r="L48">
        <v>2</v>
      </c>
      <c r="M48">
        <v>1</v>
      </c>
      <c r="N48">
        <v>0</v>
      </c>
      <c r="O48">
        <v>2</v>
      </c>
      <c r="P48">
        <v>2</v>
      </c>
      <c r="Q48">
        <v>2</v>
      </c>
      <c r="R48">
        <v>1</v>
      </c>
      <c r="S48" t="s">
        <v>39725</v>
      </c>
      <c r="T48" t="s">
        <v>39817</v>
      </c>
    </row>
    <row r="49" spans="1:20">
      <c r="A49" t="s">
        <v>39818</v>
      </c>
      <c r="B49" t="s">
        <v>39723</v>
      </c>
      <c r="C49" t="s">
        <v>39730</v>
      </c>
      <c r="D49" t="s">
        <v>39723</v>
      </c>
      <c r="E49">
        <v>0.15</v>
      </c>
      <c r="F49">
        <v>10.8</v>
      </c>
      <c r="G49">
        <v>0.3</v>
      </c>
      <c r="H49">
        <v>0.31</v>
      </c>
      <c r="I49">
        <v>9.9</v>
      </c>
      <c r="J49">
        <v>0.1</v>
      </c>
      <c r="K49">
        <v>1.6</v>
      </c>
      <c r="L49">
        <v>2</v>
      </c>
      <c r="M49">
        <v>0</v>
      </c>
      <c r="N49">
        <v>0</v>
      </c>
      <c r="O49">
        <v>2</v>
      </c>
      <c r="P49">
        <v>2</v>
      </c>
      <c r="Q49">
        <v>2</v>
      </c>
      <c r="R49">
        <v>0</v>
      </c>
      <c r="S49" t="s">
        <v>39725</v>
      </c>
      <c r="T49" t="s">
        <v>39819</v>
      </c>
    </row>
    <row r="50" spans="1:20">
      <c r="A50" t="s">
        <v>39820</v>
      </c>
      <c r="B50" t="s">
        <v>39723</v>
      </c>
      <c r="C50" t="s">
        <v>39724</v>
      </c>
      <c r="D50" t="s">
        <v>39723</v>
      </c>
      <c r="E50" s="84">
        <v>5.0999999999999998E-11</v>
      </c>
      <c r="F50">
        <v>41.8</v>
      </c>
      <c r="G50">
        <v>0</v>
      </c>
      <c r="H50" s="84">
        <v>1.1E-5</v>
      </c>
      <c r="I50">
        <v>24.3</v>
      </c>
      <c r="J50">
        <v>0</v>
      </c>
      <c r="K50">
        <v>2.4</v>
      </c>
      <c r="L50">
        <v>2</v>
      </c>
      <c r="M50">
        <v>0</v>
      </c>
      <c r="N50">
        <v>0</v>
      </c>
      <c r="O50">
        <v>2</v>
      </c>
      <c r="P50">
        <v>2</v>
      </c>
      <c r="Q50">
        <v>2</v>
      </c>
      <c r="R50">
        <v>2</v>
      </c>
      <c r="S50" t="s">
        <v>39725</v>
      </c>
      <c r="T50" t="s">
        <v>39821</v>
      </c>
    </row>
    <row r="51" spans="1:20">
      <c r="A51" t="s">
        <v>39822</v>
      </c>
      <c r="B51" t="s">
        <v>39723</v>
      </c>
      <c r="C51" t="s">
        <v>39724</v>
      </c>
      <c r="D51" t="s">
        <v>39723</v>
      </c>
      <c r="E51" s="84">
        <v>1.1999999999999999E-6</v>
      </c>
      <c r="F51">
        <v>27.3</v>
      </c>
      <c r="G51">
        <v>0</v>
      </c>
      <c r="H51">
        <v>2.1999999999999999E-2</v>
      </c>
      <c r="I51">
        <v>13.3</v>
      </c>
      <c r="J51">
        <v>0</v>
      </c>
      <c r="K51">
        <v>2.2999999999999998</v>
      </c>
      <c r="L51">
        <v>2</v>
      </c>
      <c r="M51">
        <v>0</v>
      </c>
      <c r="N51">
        <v>0</v>
      </c>
      <c r="O51">
        <v>2</v>
      </c>
      <c r="P51">
        <v>2</v>
      </c>
      <c r="Q51">
        <v>2</v>
      </c>
      <c r="R51">
        <v>2</v>
      </c>
      <c r="S51" t="s">
        <v>39725</v>
      </c>
      <c r="T51" t="s">
        <v>39823</v>
      </c>
    </row>
    <row r="52" spans="1:20">
      <c r="A52" t="s">
        <v>39824</v>
      </c>
      <c r="B52" t="s">
        <v>39723</v>
      </c>
      <c r="C52" t="s">
        <v>39724</v>
      </c>
      <c r="D52" t="s">
        <v>39723</v>
      </c>
      <c r="E52">
        <v>3.8999999999999998E-3</v>
      </c>
      <c r="F52">
        <v>15.8</v>
      </c>
      <c r="G52">
        <v>0</v>
      </c>
      <c r="H52">
        <v>4.8999999999999998E-3</v>
      </c>
      <c r="I52">
        <v>15.5</v>
      </c>
      <c r="J52">
        <v>0</v>
      </c>
      <c r="K52">
        <v>1.1000000000000001</v>
      </c>
      <c r="L52">
        <v>1</v>
      </c>
      <c r="M52">
        <v>0</v>
      </c>
      <c r="N52">
        <v>0</v>
      </c>
      <c r="O52">
        <v>1</v>
      </c>
      <c r="P52">
        <v>1</v>
      </c>
      <c r="Q52">
        <v>1</v>
      </c>
      <c r="R52">
        <v>1</v>
      </c>
      <c r="S52" t="s">
        <v>39725</v>
      </c>
      <c r="T52" t="s">
        <v>39825</v>
      </c>
    </row>
    <row r="53" spans="1:20">
      <c r="A53" t="s">
        <v>39826</v>
      </c>
      <c r="B53" t="s">
        <v>39723</v>
      </c>
      <c r="C53" t="s">
        <v>39724</v>
      </c>
      <c r="D53" t="s">
        <v>39723</v>
      </c>
      <c r="E53">
        <v>1.4E-2</v>
      </c>
      <c r="F53">
        <v>14</v>
      </c>
      <c r="G53">
        <v>0</v>
      </c>
      <c r="H53">
        <v>2.5000000000000001E-2</v>
      </c>
      <c r="I53">
        <v>13.1</v>
      </c>
      <c r="J53">
        <v>0</v>
      </c>
      <c r="K53">
        <v>1.3</v>
      </c>
      <c r="L53">
        <v>1</v>
      </c>
      <c r="M53">
        <v>0</v>
      </c>
      <c r="N53">
        <v>0</v>
      </c>
      <c r="O53">
        <v>1</v>
      </c>
      <c r="P53">
        <v>1</v>
      </c>
      <c r="Q53">
        <v>1</v>
      </c>
      <c r="R53">
        <v>0</v>
      </c>
      <c r="S53" t="s">
        <v>39725</v>
      </c>
      <c r="T53" t="s">
        <v>39827</v>
      </c>
    </row>
    <row r="54" spans="1:20">
      <c r="A54" t="s">
        <v>39828</v>
      </c>
      <c r="B54" t="s">
        <v>39723</v>
      </c>
      <c r="C54" t="s">
        <v>39730</v>
      </c>
      <c r="D54" t="s">
        <v>39723</v>
      </c>
      <c r="E54">
        <v>9.4999999999999998E-3</v>
      </c>
      <c r="F54">
        <v>14.8</v>
      </c>
      <c r="G54">
        <v>0</v>
      </c>
      <c r="H54">
        <v>0.01</v>
      </c>
      <c r="I54">
        <v>14.7</v>
      </c>
      <c r="J54">
        <v>0</v>
      </c>
      <c r="K54">
        <v>1.2</v>
      </c>
      <c r="L54">
        <v>1</v>
      </c>
      <c r="M54">
        <v>0</v>
      </c>
      <c r="N54">
        <v>0</v>
      </c>
      <c r="O54">
        <v>1</v>
      </c>
      <c r="P54">
        <v>1</v>
      </c>
      <c r="Q54">
        <v>1</v>
      </c>
      <c r="R54">
        <v>1</v>
      </c>
      <c r="S54" t="s">
        <v>39725</v>
      </c>
      <c r="T54" t="s">
        <v>39829</v>
      </c>
    </row>
    <row r="55" spans="1:20">
      <c r="A55" t="s">
        <v>39830</v>
      </c>
      <c r="B55" t="s">
        <v>39723</v>
      </c>
      <c r="C55" t="s">
        <v>39831</v>
      </c>
      <c r="D55" t="s">
        <v>39723</v>
      </c>
      <c r="E55">
        <v>0</v>
      </c>
      <c r="F55">
        <v>1331.2</v>
      </c>
      <c r="G55">
        <v>0</v>
      </c>
      <c r="H55">
        <v>0</v>
      </c>
      <c r="I55">
        <v>1330.9</v>
      </c>
      <c r="J55">
        <v>0</v>
      </c>
      <c r="K55">
        <v>1</v>
      </c>
      <c r="L55">
        <v>1</v>
      </c>
      <c r="M55">
        <v>0</v>
      </c>
      <c r="N55">
        <v>0</v>
      </c>
      <c r="O55">
        <v>1</v>
      </c>
      <c r="P55">
        <v>1</v>
      </c>
      <c r="Q55">
        <v>1</v>
      </c>
      <c r="R55">
        <v>1</v>
      </c>
      <c r="S55" t="s">
        <v>39725</v>
      </c>
      <c r="T55" t="s">
        <v>39832</v>
      </c>
    </row>
    <row r="56" spans="1:20">
      <c r="A56" t="s">
        <v>39833</v>
      </c>
      <c r="B56" t="s">
        <v>39723</v>
      </c>
      <c r="C56" t="s">
        <v>39724</v>
      </c>
      <c r="D56" t="s">
        <v>39723</v>
      </c>
      <c r="E56" s="84">
        <v>5.2999999999999996E-12</v>
      </c>
      <c r="F56">
        <v>45</v>
      </c>
      <c r="G56">
        <v>0</v>
      </c>
      <c r="H56" s="84">
        <v>5.3000000000000003E-9</v>
      </c>
      <c r="I56">
        <v>35.1</v>
      </c>
      <c r="J56">
        <v>0</v>
      </c>
      <c r="K56">
        <v>3</v>
      </c>
      <c r="L56">
        <v>2</v>
      </c>
      <c r="M56">
        <v>1</v>
      </c>
      <c r="N56">
        <v>0</v>
      </c>
      <c r="O56">
        <v>2</v>
      </c>
      <c r="P56">
        <v>2</v>
      </c>
      <c r="Q56">
        <v>2</v>
      </c>
      <c r="R56">
        <v>1</v>
      </c>
      <c r="S56" t="s">
        <v>39725</v>
      </c>
      <c r="T56" t="s">
        <v>39834</v>
      </c>
    </row>
    <row r="57" spans="1:20">
      <c r="A57" t="s">
        <v>39835</v>
      </c>
      <c r="B57" t="s">
        <v>39723</v>
      </c>
      <c r="C57" t="s">
        <v>39730</v>
      </c>
      <c r="D57" t="s">
        <v>39723</v>
      </c>
      <c r="E57">
        <v>3.9E-2</v>
      </c>
      <c r="F57">
        <v>12.8</v>
      </c>
      <c r="G57">
        <v>0</v>
      </c>
      <c r="H57">
        <v>0.13</v>
      </c>
      <c r="I57">
        <v>11.1</v>
      </c>
      <c r="J57">
        <v>0</v>
      </c>
      <c r="K57">
        <v>1.8</v>
      </c>
      <c r="L57">
        <v>1</v>
      </c>
      <c r="M57">
        <v>0</v>
      </c>
      <c r="N57">
        <v>0</v>
      </c>
      <c r="O57">
        <v>1</v>
      </c>
      <c r="P57">
        <v>1</v>
      </c>
      <c r="Q57">
        <v>1</v>
      </c>
      <c r="R57">
        <v>0</v>
      </c>
      <c r="S57" t="s">
        <v>39725</v>
      </c>
      <c r="T57" t="s">
        <v>39836</v>
      </c>
    </row>
    <row r="58" spans="1:20">
      <c r="A58" t="s">
        <v>39837</v>
      </c>
      <c r="B58" t="s">
        <v>39723</v>
      </c>
      <c r="C58" t="s">
        <v>39724</v>
      </c>
      <c r="D58" t="s">
        <v>39723</v>
      </c>
      <c r="E58">
        <v>3.3000000000000002E-2</v>
      </c>
      <c r="F58">
        <v>12.7</v>
      </c>
      <c r="G58">
        <v>0</v>
      </c>
      <c r="H58">
        <v>2.2000000000000002</v>
      </c>
      <c r="I58">
        <v>6.8</v>
      </c>
      <c r="J58">
        <v>0</v>
      </c>
      <c r="K58">
        <v>2.2000000000000002</v>
      </c>
      <c r="L58">
        <v>2</v>
      </c>
      <c r="M58">
        <v>0</v>
      </c>
      <c r="N58">
        <v>0</v>
      </c>
      <c r="O58">
        <v>2</v>
      </c>
      <c r="P58">
        <v>2</v>
      </c>
      <c r="Q58">
        <v>2</v>
      </c>
      <c r="R58">
        <v>0</v>
      </c>
      <c r="S58" t="s">
        <v>39725</v>
      </c>
      <c r="T58" t="s">
        <v>39838</v>
      </c>
    </row>
    <row r="59" spans="1:20">
      <c r="A59" t="s">
        <v>39839</v>
      </c>
      <c r="B59" t="s">
        <v>39723</v>
      </c>
      <c r="C59" t="s">
        <v>39724</v>
      </c>
      <c r="D59" t="s">
        <v>39723</v>
      </c>
      <c r="E59" s="84">
        <v>1.2E-9</v>
      </c>
      <c r="F59">
        <v>37.299999999999997</v>
      </c>
      <c r="G59">
        <v>0</v>
      </c>
      <c r="H59" s="84">
        <v>7.3999999999999996E-5</v>
      </c>
      <c r="I59">
        <v>21.5</v>
      </c>
      <c r="J59">
        <v>0</v>
      </c>
      <c r="K59">
        <v>2.1</v>
      </c>
      <c r="L59">
        <v>2</v>
      </c>
      <c r="M59">
        <v>0</v>
      </c>
      <c r="N59">
        <v>0</v>
      </c>
      <c r="O59">
        <v>2</v>
      </c>
      <c r="P59">
        <v>2</v>
      </c>
      <c r="Q59">
        <v>2</v>
      </c>
      <c r="R59">
        <v>2</v>
      </c>
      <c r="S59" t="s">
        <v>39725</v>
      </c>
      <c r="T59" t="s">
        <v>39840</v>
      </c>
    </row>
    <row r="60" spans="1:20">
      <c r="A60" t="s">
        <v>39841</v>
      </c>
      <c r="B60" t="s">
        <v>39723</v>
      </c>
      <c r="C60" t="s">
        <v>39831</v>
      </c>
      <c r="D60" t="s">
        <v>39723</v>
      </c>
      <c r="E60">
        <v>5.1999999999999998E-2</v>
      </c>
      <c r="F60">
        <v>10.6</v>
      </c>
      <c r="G60">
        <v>0</v>
      </c>
      <c r="H60">
        <v>8.4000000000000005E-2</v>
      </c>
      <c r="I60">
        <v>9.9</v>
      </c>
      <c r="J60">
        <v>0</v>
      </c>
      <c r="K60">
        <v>1.2</v>
      </c>
      <c r="L60">
        <v>1</v>
      </c>
      <c r="M60">
        <v>0</v>
      </c>
      <c r="N60">
        <v>0</v>
      </c>
      <c r="O60">
        <v>1</v>
      </c>
      <c r="P60">
        <v>1</v>
      </c>
      <c r="Q60">
        <v>1</v>
      </c>
      <c r="R60">
        <v>0</v>
      </c>
      <c r="S60" t="s">
        <v>39725</v>
      </c>
      <c r="T60" t="s">
        <v>39842</v>
      </c>
    </row>
    <row r="61" spans="1:20">
      <c r="A61" t="s">
        <v>39843</v>
      </c>
      <c r="B61" t="s">
        <v>39723</v>
      </c>
      <c r="C61" t="s">
        <v>39724</v>
      </c>
      <c r="D61" t="s">
        <v>39723</v>
      </c>
      <c r="E61" s="84">
        <v>4.5999999999999998E-9</v>
      </c>
      <c r="F61">
        <v>35.299999999999997</v>
      </c>
      <c r="G61">
        <v>0</v>
      </c>
      <c r="H61" s="84">
        <v>1.9999999999999999E-6</v>
      </c>
      <c r="I61">
        <v>26.6</v>
      </c>
      <c r="J61">
        <v>0</v>
      </c>
      <c r="K61">
        <v>2.1</v>
      </c>
      <c r="L61">
        <v>2</v>
      </c>
      <c r="M61">
        <v>0</v>
      </c>
      <c r="N61">
        <v>0</v>
      </c>
      <c r="O61">
        <v>2</v>
      </c>
      <c r="P61">
        <v>2</v>
      </c>
      <c r="Q61">
        <v>2</v>
      </c>
      <c r="R61">
        <v>1</v>
      </c>
      <c r="S61" t="s">
        <v>39725</v>
      </c>
      <c r="T61" t="s">
        <v>39844</v>
      </c>
    </row>
    <row r="62" spans="1:20">
      <c r="A62" t="s">
        <v>39845</v>
      </c>
      <c r="B62" t="s">
        <v>39723</v>
      </c>
      <c r="C62" t="s">
        <v>39724</v>
      </c>
      <c r="D62" t="s">
        <v>39723</v>
      </c>
      <c r="E62" s="84">
        <v>8.4E-18</v>
      </c>
      <c r="F62">
        <v>64.099999999999994</v>
      </c>
      <c r="G62">
        <v>0.6</v>
      </c>
      <c r="H62" s="84">
        <v>2.9000000000000002E-8</v>
      </c>
      <c r="I62">
        <v>32.700000000000003</v>
      </c>
      <c r="J62">
        <v>0</v>
      </c>
      <c r="K62">
        <v>3.6</v>
      </c>
      <c r="L62">
        <v>3</v>
      </c>
      <c r="M62">
        <v>0</v>
      </c>
      <c r="N62">
        <v>0</v>
      </c>
      <c r="O62">
        <v>3</v>
      </c>
      <c r="P62">
        <v>3</v>
      </c>
      <c r="Q62">
        <v>3</v>
      </c>
      <c r="R62">
        <v>3</v>
      </c>
      <c r="S62" t="s">
        <v>39725</v>
      </c>
      <c r="T62" t="s">
        <v>39846</v>
      </c>
    </row>
    <row r="63" spans="1:20">
      <c r="A63" t="s">
        <v>39847</v>
      </c>
      <c r="B63" t="s">
        <v>39723</v>
      </c>
      <c r="C63" t="s">
        <v>39724</v>
      </c>
      <c r="D63" t="s">
        <v>39723</v>
      </c>
      <c r="E63" s="84">
        <v>1.3000000000000001E-9</v>
      </c>
      <c r="F63">
        <v>37.1</v>
      </c>
      <c r="G63">
        <v>0</v>
      </c>
      <c r="H63">
        <v>2.3000000000000001E-4</v>
      </c>
      <c r="I63">
        <v>19.8</v>
      </c>
      <c r="J63">
        <v>0</v>
      </c>
      <c r="K63">
        <v>3.1</v>
      </c>
      <c r="L63">
        <v>3</v>
      </c>
      <c r="M63">
        <v>0</v>
      </c>
      <c r="N63">
        <v>0</v>
      </c>
      <c r="O63">
        <v>3</v>
      </c>
      <c r="P63">
        <v>3</v>
      </c>
      <c r="Q63">
        <v>3</v>
      </c>
      <c r="R63">
        <v>2</v>
      </c>
      <c r="S63" t="s">
        <v>39725</v>
      </c>
      <c r="T63" t="s">
        <v>39848</v>
      </c>
    </row>
    <row r="64" spans="1:20">
      <c r="A64" t="s">
        <v>39849</v>
      </c>
      <c r="B64" t="s">
        <v>39723</v>
      </c>
      <c r="C64" t="s">
        <v>39730</v>
      </c>
      <c r="D64" t="s">
        <v>39723</v>
      </c>
      <c r="E64">
        <v>0.13</v>
      </c>
      <c r="F64">
        <v>11.1</v>
      </c>
      <c r="G64">
        <v>0.2</v>
      </c>
      <c r="H64">
        <v>0.16</v>
      </c>
      <c r="I64">
        <v>10.8</v>
      </c>
      <c r="J64">
        <v>0.2</v>
      </c>
      <c r="K64">
        <v>1.1000000000000001</v>
      </c>
      <c r="L64">
        <v>1</v>
      </c>
      <c r="M64">
        <v>0</v>
      </c>
      <c r="N64">
        <v>0</v>
      </c>
      <c r="O64">
        <v>1</v>
      </c>
      <c r="P64">
        <v>1</v>
      </c>
      <c r="Q64">
        <v>1</v>
      </c>
      <c r="R64">
        <v>0</v>
      </c>
      <c r="S64" t="s">
        <v>39725</v>
      </c>
      <c r="T64" t="s">
        <v>39850</v>
      </c>
    </row>
    <row r="65" spans="1:20">
      <c r="A65" t="s">
        <v>39851</v>
      </c>
      <c r="B65" t="s">
        <v>39723</v>
      </c>
      <c r="C65" t="s">
        <v>39730</v>
      </c>
      <c r="D65" t="s">
        <v>39723</v>
      </c>
      <c r="E65">
        <v>3.9E-2</v>
      </c>
      <c r="F65">
        <v>12.8</v>
      </c>
      <c r="G65">
        <v>0</v>
      </c>
      <c r="H65">
        <v>6.7000000000000004E-2</v>
      </c>
      <c r="I65">
        <v>12</v>
      </c>
      <c r="J65">
        <v>0</v>
      </c>
      <c r="K65">
        <v>1.2</v>
      </c>
      <c r="L65">
        <v>1</v>
      </c>
      <c r="M65">
        <v>0</v>
      </c>
      <c r="N65">
        <v>0</v>
      </c>
      <c r="O65">
        <v>1</v>
      </c>
      <c r="P65">
        <v>1</v>
      </c>
      <c r="Q65">
        <v>1</v>
      </c>
      <c r="R65">
        <v>0</v>
      </c>
      <c r="S65" t="s">
        <v>39725</v>
      </c>
      <c r="T65" t="s">
        <v>39852</v>
      </c>
    </row>
    <row r="66" spans="1:20">
      <c r="A66" s="85" t="s">
        <v>39853</v>
      </c>
      <c r="B66" s="85" t="s">
        <v>39723</v>
      </c>
      <c r="C66" s="85" t="s">
        <v>39743</v>
      </c>
      <c r="D66" s="85" t="s">
        <v>39723</v>
      </c>
      <c r="E66" s="86">
        <v>5.7000000000000001E-96</v>
      </c>
      <c r="F66" s="85">
        <v>321.89999999999998</v>
      </c>
      <c r="G66" s="85">
        <v>0</v>
      </c>
      <c r="H66" s="86">
        <v>8.6999999999999994E-96</v>
      </c>
      <c r="I66" s="85">
        <v>321.3</v>
      </c>
      <c r="J66" s="85">
        <v>0</v>
      </c>
      <c r="K66" s="85">
        <v>1.2</v>
      </c>
      <c r="L66" s="85">
        <v>1</v>
      </c>
      <c r="M66" s="85">
        <v>0</v>
      </c>
      <c r="N66" s="85">
        <v>0</v>
      </c>
      <c r="O66" s="85">
        <v>1</v>
      </c>
      <c r="P66" s="85">
        <v>1</v>
      </c>
      <c r="Q66" s="85">
        <v>1</v>
      </c>
      <c r="R66" s="85">
        <v>1</v>
      </c>
      <c r="S66" s="85" t="s">
        <v>39725</v>
      </c>
      <c r="T66" s="85" t="s">
        <v>39854</v>
      </c>
    </row>
    <row r="67" spans="1:20">
      <c r="A67" s="85" t="s">
        <v>39855</v>
      </c>
      <c r="B67" s="85" t="s">
        <v>39723</v>
      </c>
      <c r="C67" s="85" t="s">
        <v>39724</v>
      </c>
      <c r="D67" s="85" t="s">
        <v>39723</v>
      </c>
      <c r="E67" s="86">
        <v>2.9000000000000002E-8</v>
      </c>
      <c r="F67" s="85">
        <v>32.700000000000003</v>
      </c>
      <c r="G67" s="85">
        <v>0.3</v>
      </c>
      <c r="H67" s="86">
        <v>6.5999999999999995E-8</v>
      </c>
      <c r="I67" s="85">
        <v>31.5</v>
      </c>
      <c r="J67" s="85">
        <v>0</v>
      </c>
      <c r="K67" s="85">
        <v>1.7</v>
      </c>
      <c r="L67" s="85">
        <v>2</v>
      </c>
      <c r="M67" s="85">
        <v>0</v>
      </c>
      <c r="N67" s="85">
        <v>0</v>
      </c>
      <c r="O67" s="85">
        <v>2</v>
      </c>
      <c r="P67" s="85">
        <v>2</v>
      </c>
      <c r="Q67" s="85">
        <v>1</v>
      </c>
      <c r="R67" s="85">
        <v>1</v>
      </c>
      <c r="S67" s="85" t="s">
        <v>39725</v>
      </c>
      <c r="T67" s="85" t="s">
        <v>39856</v>
      </c>
    </row>
    <row r="68" spans="1:20">
      <c r="A68" s="85" t="s">
        <v>39857</v>
      </c>
      <c r="B68" s="85" t="s">
        <v>39723</v>
      </c>
      <c r="C68" s="85" t="s">
        <v>39730</v>
      </c>
      <c r="D68" s="85" t="s">
        <v>39723</v>
      </c>
      <c r="E68" s="85">
        <v>1.1000000000000001E-3</v>
      </c>
      <c r="F68" s="85">
        <v>17.8</v>
      </c>
      <c r="G68" s="85">
        <v>0.3</v>
      </c>
      <c r="H68" s="85">
        <v>0.27</v>
      </c>
      <c r="I68" s="85">
        <v>10</v>
      </c>
      <c r="J68" s="85">
        <v>0.1</v>
      </c>
      <c r="K68" s="85">
        <v>2.2999999999999998</v>
      </c>
      <c r="L68" s="85">
        <v>2</v>
      </c>
      <c r="M68" s="85">
        <v>0</v>
      </c>
      <c r="N68" s="85">
        <v>0</v>
      </c>
      <c r="O68" s="85">
        <v>2</v>
      </c>
      <c r="P68" s="85">
        <v>2</v>
      </c>
      <c r="Q68" s="85">
        <v>2</v>
      </c>
      <c r="R68" s="85">
        <v>1</v>
      </c>
      <c r="S68" s="85" t="s">
        <v>39725</v>
      </c>
      <c r="T68" s="85" t="s">
        <v>39858</v>
      </c>
    </row>
    <row r="69" spans="1:20">
      <c r="A69" s="85" t="s">
        <v>39859</v>
      </c>
      <c r="B69" s="85" t="s">
        <v>39723</v>
      </c>
      <c r="C69" s="85" t="s">
        <v>39831</v>
      </c>
      <c r="D69" s="85" t="s">
        <v>39723</v>
      </c>
      <c r="E69" s="86">
        <v>1.2999999999999999E-128</v>
      </c>
      <c r="F69" s="85">
        <v>429.9</v>
      </c>
      <c r="G69" s="85">
        <v>0</v>
      </c>
      <c r="H69" s="86">
        <v>1.8000000000000001E-128</v>
      </c>
      <c r="I69" s="85">
        <v>429.5</v>
      </c>
      <c r="J69" s="85">
        <v>0</v>
      </c>
      <c r="K69" s="85">
        <v>1</v>
      </c>
      <c r="L69" s="85">
        <v>1</v>
      </c>
      <c r="M69" s="85">
        <v>0</v>
      </c>
      <c r="N69" s="85">
        <v>0</v>
      </c>
      <c r="O69" s="85">
        <v>1</v>
      </c>
      <c r="P69" s="85">
        <v>1</v>
      </c>
      <c r="Q69" s="85">
        <v>1</v>
      </c>
      <c r="R69" s="85">
        <v>1</v>
      </c>
      <c r="S69" s="85" t="s">
        <v>39725</v>
      </c>
      <c r="T69" s="85" t="s">
        <v>39860</v>
      </c>
    </row>
    <row r="70" spans="1:20">
      <c r="A70" s="85" t="s">
        <v>39861</v>
      </c>
      <c r="B70" s="85" t="s">
        <v>39723</v>
      </c>
      <c r="C70" s="85" t="s">
        <v>39831</v>
      </c>
      <c r="D70" s="85" t="s">
        <v>39723</v>
      </c>
      <c r="E70" s="86">
        <v>4.5E-175</v>
      </c>
      <c r="F70" s="85">
        <v>583.79999999999995</v>
      </c>
      <c r="G70" s="85">
        <v>0</v>
      </c>
      <c r="H70" s="86">
        <v>5.4E-175</v>
      </c>
      <c r="I70" s="85">
        <v>583.5</v>
      </c>
      <c r="J70" s="85">
        <v>0</v>
      </c>
      <c r="K70" s="85">
        <v>1</v>
      </c>
      <c r="L70" s="85">
        <v>1</v>
      </c>
      <c r="M70" s="85">
        <v>0</v>
      </c>
      <c r="N70" s="85">
        <v>0</v>
      </c>
      <c r="O70" s="85">
        <v>1</v>
      </c>
      <c r="P70" s="85">
        <v>1</v>
      </c>
      <c r="Q70" s="85">
        <v>1</v>
      </c>
      <c r="R70" s="85">
        <v>1</v>
      </c>
      <c r="S70" s="85" t="s">
        <v>39725</v>
      </c>
      <c r="T70" s="85" t="s">
        <v>39862</v>
      </c>
    </row>
    <row r="71" spans="1:20">
      <c r="A71" s="85" t="s">
        <v>39863</v>
      </c>
      <c r="B71" s="85" t="s">
        <v>39723</v>
      </c>
      <c r="C71" s="85" t="s">
        <v>39724</v>
      </c>
      <c r="D71" s="85" t="s">
        <v>39723</v>
      </c>
      <c r="E71" s="86">
        <v>1.9000000000000001E-7</v>
      </c>
      <c r="F71" s="85">
        <v>30</v>
      </c>
      <c r="G71" s="85">
        <v>0.3</v>
      </c>
      <c r="H71" s="86">
        <v>1.1000000000000001E-6</v>
      </c>
      <c r="I71" s="85">
        <v>27.5</v>
      </c>
      <c r="J71" s="85">
        <v>0</v>
      </c>
      <c r="K71" s="85">
        <v>2.2000000000000002</v>
      </c>
      <c r="L71" s="85">
        <v>2</v>
      </c>
      <c r="M71" s="85">
        <v>1</v>
      </c>
      <c r="N71" s="85">
        <v>1</v>
      </c>
      <c r="O71" s="85">
        <v>3</v>
      </c>
      <c r="P71" s="85">
        <v>3</v>
      </c>
      <c r="Q71" s="85">
        <v>2</v>
      </c>
      <c r="R71" s="85">
        <v>1</v>
      </c>
      <c r="S71" s="85" t="s">
        <v>39725</v>
      </c>
      <c r="T71" s="85" t="s">
        <v>39864</v>
      </c>
    </row>
    <row r="72" spans="1:20">
      <c r="A72" s="85" t="s">
        <v>39865</v>
      </c>
      <c r="B72" s="85" t="s">
        <v>39723</v>
      </c>
      <c r="C72" s="85" t="s">
        <v>39730</v>
      </c>
      <c r="D72" s="85" t="s">
        <v>39723</v>
      </c>
      <c r="E72" s="85">
        <v>2.5999999999999998E-4</v>
      </c>
      <c r="F72" s="85">
        <v>19.899999999999999</v>
      </c>
      <c r="G72" s="85">
        <v>0.2</v>
      </c>
      <c r="H72" s="85">
        <v>7.1999999999999998E-3</v>
      </c>
      <c r="I72" s="85">
        <v>15.2</v>
      </c>
      <c r="J72" s="85">
        <v>0.1</v>
      </c>
      <c r="K72" s="85">
        <v>2.2000000000000002</v>
      </c>
      <c r="L72" s="85">
        <v>2</v>
      </c>
      <c r="M72" s="85">
        <v>0</v>
      </c>
      <c r="N72" s="85">
        <v>0</v>
      </c>
      <c r="O72" s="85">
        <v>2</v>
      </c>
      <c r="P72" s="85">
        <v>2</v>
      </c>
      <c r="Q72" s="85">
        <v>2</v>
      </c>
      <c r="R72" s="85">
        <v>1</v>
      </c>
      <c r="S72" s="85" t="s">
        <v>39725</v>
      </c>
      <c r="T72" s="85" t="s">
        <v>39866</v>
      </c>
    </row>
    <row r="73" spans="1:20">
      <c r="A73" s="85" t="s">
        <v>39867</v>
      </c>
      <c r="B73" s="85" t="s">
        <v>39723</v>
      </c>
      <c r="C73" s="85" t="s">
        <v>39730</v>
      </c>
      <c r="D73" s="85" t="s">
        <v>39723</v>
      </c>
      <c r="E73" s="85">
        <v>3.5999999999999999E-3</v>
      </c>
      <c r="F73" s="85">
        <v>16.2</v>
      </c>
      <c r="G73" s="85">
        <v>0</v>
      </c>
      <c r="H73" s="85">
        <v>0.3</v>
      </c>
      <c r="I73" s="85">
        <v>9.9</v>
      </c>
      <c r="J73" s="85">
        <v>0</v>
      </c>
      <c r="K73" s="85">
        <v>2.2999999999999998</v>
      </c>
      <c r="L73" s="85">
        <v>2</v>
      </c>
      <c r="M73" s="85">
        <v>0</v>
      </c>
      <c r="N73" s="85">
        <v>0</v>
      </c>
      <c r="O73" s="85">
        <v>2</v>
      </c>
      <c r="P73" s="85">
        <v>2</v>
      </c>
      <c r="Q73" s="85">
        <v>2</v>
      </c>
      <c r="R73" s="85">
        <v>1</v>
      </c>
      <c r="S73" s="85" t="s">
        <v>39725</v>
      </c>
      <c r="T73" s="85" t="s">
        <v>39868</v>
      </c>
    </row>
    <row r="74" spans="1:20">
      <c r="A74" s="85" t="s">
        <v>39869</v>
      </c>
      <c r="B74" s="85" t="s">
        <v>39723</v>
      </c>
      <c r="C74" s="85" t="s">
        <v>39730</v>
      </c>
      <c r="D74" s="85" t="s">
        <v>39723</v>
      </c>
      <c r="E74" s="85">
        <v>1.3999999999999999E-4</v>
      </c>
      <c r="F74" s="85">
        <v>20.8</v>
      </c>
      <c r="G74" s="85">
        <v>0</v>
      </c>
      <c r="H74" s="85">
        <v>0.4</v>
      </c>
      <c r="I74" s="85">
        <v>9.5</v>
      </c>
      <c r="J74" s="85">
        <v>0</v>
      </c>
      <c r="K74" s="85">
        <v>2.4</v>
      </c>
      <c r="L74" s="85">
        <v>2</v>
      </c>
      <c r="M74" s="85">
        <v>0</v>
      </c>
      <c r="N74" s="85">
        <v>0</v>
      </c>
      <c r="O74" s="85">
        <v>2</v>
      </c>
      <c r="P74" s="85">
        <v>2</v>
      </c>
      <c r="Q74" s="85">
        <v>2</v>
      </c>
      <c r="R74" s="85">
        <v>2</v>
      </c>
      <c r="S74" s="85" t="s">
        <v>39725</v>
      </c>
      <c r="T74" s="85" t="s">
        <v>39870</v>
      </c>
    </row>
    <row r="75" spans="1:20">
      <c r="A75" s="85" t="s">
        <v>39871</v>
      </c>
      <c r="B75" s="85" t="s">
        <v>39723</v>
      </c>
      <c r="C75" s="85" t="s">
        <v>39724</v>
      </c>
      <c r="D75" s="85" t="s">
        <v>39723</v>
      </c>
      <c r="E75" s="86">
        <v>5.2000000000000002E-6</v>
      </c>
      <c r="F75" s="85">
        <v>25.3</v>
      </c>
      <c r="G75" s="85">
        <v>0</v>
      </c>
      <c r="H75" s="86">
        <v>5.9000000000000003E-6</v>
      </c>
      <c r="I75" s="85">
        <v>25.1</v>
      </c>
      <c r="J75" s="85">
        <v>0</v>
      </c>
      <c r="K75" s="85">
        <v>1.1000000000000001</v>
      </c>
      <c r="L75" s="85">
        <v>1</v>
      </c>
      <c r="M75" s="85">
        <v>0</v>
      </c>
      <c r="N75" s="85">
        <v>0</v>
      </c>
      <c r="O75" s="85">
        <v>1</v>
      </c>
      <c r="P75" s="85">
        <v>1</v>
      </c>
      <c r="Q75" s="85">
        <v>1</v>
      </c>
      <c r="R75" s="85">
        <v>1</v>
      </c>
      <c r="S75" s="85" t="s">
        <v>39725</v>
      </c>
      <c r="T75" s="85" t="s">
        <v>39872</v>
      </c>
    </row>
    <row r="76" spans="1:20">
      <c r="A76" s="85" t="s">
        <v>39873</v>
      </c>
      <c r="B76" s="85" t="s">
        <v>39723</v>
      </c>
      <c r="C76" s="85" t="s">
        <v>39724</v>
      </c>
      <c r="D76" s="85" t="s">
        <v>39723</v>
      </c>
      <c r="E76" s="86">
        <v>5.6999999999999997E-11</v>
      </c>
      <c r="F76" s="85">
        <v>41.6</v>
      </c>
      <c r="G76" s="85">
        <v>0</v>
      </c>
      <c r="H76" s="86">
        <v>2.4E-8</v>
      </c>
      <c r="I76" s="85">
        <v>32.9</v>
      </c>
      <c r="J76" s="85">
        <v>0</v>
      </c>
      <c r="K76" s="85">
        <v>2.2999999999999998</v>
      </c>
      <c r="L76" s="85">
        <v>2</v>
      </c>
      <c r="M76" s="85">
        <v>0</v>
      </c>
      <c r="N76" s="85">
        <v>0</v>
      </c>
      <c r="O76" s="85">
        <v>2</v>
      </c>
      <c r="P76" s="85">
        <v>2</v>
      </c>
      <c r="Q76" s="85">
        <v>2</v>
      </c>
      <c r="R76" s="85">
        <v>1</v>
      </c>
      <c r="S76" s="85" t="s">
        <v>39725</v>
      </c>
      <c r="T76" s="85" t="s">
        <v>39874</v>
      </c>
    </row>
    <row r="77" spans="1:20">
      <c r="A77" s="85" t="s">
        <v>39875</v>
      </c>
      <c r="B77" s="85" t="s">
        <v>39723</v>
      </c>
      <c r="C77" s="85" t="s">
        <v>39730</v>
      </c>
      <c r="D77" s="85" t="s">
        <v>39723</v>
      </c>
      <c r="E77" s="85">
        <v>0.14000000000000001</v>
      </c>
      <c r="F77" s="85">
        <v>11</v>
      </c>
      <c r="G77" s="85">
        <v>0</v>
      </c>
      <c r="H77" s="85">
        <v>0.21</v>
      </c>
      <c r="I77" s="85">
        <v>10.4</v>
      </c>
      <c r="J77" s="85">
        <v>0</v>
      </c>
      <c r="K77" s="85">
        <v>1.2</v>
      </c>
      <c r="L77" s="85">
        <v>1</v>
      </c>
      <c r="M77" s="85">
        <v>0</v>
      </c>
      <c r="N77" s="85">
        <v>0</v>
      </c>
      <c r="O77" s="85">
        <v>1</v>
      </c>
      <c r="P77" s="85">
        <v>1</v>
      </c>
      <c r="Q77" s="85">
        <v>1</v>
      </c>
      <c r="R77" s="85">
        <v>0</v>
      </c>
      <c r="S77" s="85" t="s">
        <v>39725</v>
      </c>
      <c r="T77" s="85" t="s">
        <v>39876</v>
      </c>
    </row>
    <row r="78" spans="1:20">
      <c r="A78" s="85" t="s">
        <v>39877</v>
      </c>
      <c r="B78" s="85" t="s">
        <v>39723</v>
      </c>
      <c r="C78" s="85" t="s">
        <v>39724</v>
      </c>
      <c r="D78" s="85" t="s">
        <v>39723</v>
      </c>
      <c r="E78" s="86">
        <v>8.9000000000000003E-8</v>
      </c>
      <c r="F78" s="85">
        <v>31.1</v>
      </c>
      <c r="G78" s="85">
        <v>0</v>
      </c>
      <c r="H78" s="86">
        <v>6.1999999999999999E-7</v>
      </c>
      <c r="I78" s="85">
        <v>28.3</v>
      </c>
      <c r="J78" s="85">
        <v>0</v>
      </c>
      <c r="K78" s="85">
        <v>2.1</v>
      </c>
      <c r="L78" s="85">
        <v>2</v>
      </c>
      <c r="M78" s="85">
        <v>1</v>
      </c>
      <c r="N78" s="85">
        <v>0</v>
      </c>
      <c r="O78" s="85">
        <v>2</v>
      </c>
      <c r="P78" s="85">
        <v>2</v>
      </c>
      <c r="Q78" s="85">
        <v>2</v>
      </c>
      <c r="R78" s="85">
        <v>1</v>
      </c>
      <c r="S78" s="85" t="s">
        <v>39725</v>
      </c>
      <c r="T78" s="85" t="s">
        <v>39878</v>
      </c>
    </row>
    <row r="79" spans="1:20">
      <c r="A79" s="85" t="s">
        <v>39879</v>
      </c>
      <c r="B79" s="85" t="s">
        <v>39723</v>
      </c>
      <c r="C79" s="85" t="s">
        <v>39880</v>
      </c>
      <c r="D79" s="85" t="s">
        <v>39723</v>
      </c>
      <c r="E79" s="86">
        <v>1.9000000000000001E-22</v>
      </c>
      <c r="F79" s="85">
        <v>78.900000000000006</v>
      </c>
      <c r="G79" s="85">
        <v>0</v>
      </c>
      <c r="H79" s="86">
        <v>2.4E-22</v>
      </c>
      <c r="I79" s="85">
        <v>78.5</v>
      </c>
      <c r="J79" s="85">
        <v>0</v>
      </c>
      <c r="K79" s="85">
        <v>1.1000000000000001</v>
      </c>
      <c r="L79" s="85">
        <v>1</v>
      </c>
      <c r="M79" s="85">
        <v>0</v>
      </c>
      <c r="N79" s="85">
        <v>0</v>
      </c>
      <c r="O79" s="85">
        <v>1</v>
      </c>
      <c r="P79" s="85">
        <v>1</v>
      </c>
      <c r="Q79" s="85">
        <v>1</v>
      </c>
      <c r="R79" s="85">
        <v>1</v>
      </c>
      <c r="S79" s="85" t="s">
        <v>39725</v>
      </c>
      <c r="T79" s="85" t="s">
        <v>39881</v>
      </c>
    </row>
    <row r="80" spans="1:20">
      <c r="A80" s="85" t="s">
        <v>39882</v>
      </c>
      <c r="B80" s="85" t="s">
        <v>39723</v>
      </c>
      <c r="C80" s="85" t="s">
        <v>39724</v>
      </c>
      <c r="D80" s="85" t="s">
        <v>39723</v>
      </c>
      <c r="E80" s="86">
        <v>2.6000000000000001E-8</v>
      </c>
      <c r="F80" s="85">
        <v>32.799999999999997</v>
      </c>
      <c r="G80" s="85">
        <v>0</v>
      </c>
      <c r="H80" s="86">
        <v>1.9000000000000001E-5</v>
      </c>
      <c r="I80" s="85">
        <v>23.4</v>
      </c>
      <c r="J80" s="85">
        <v>0</v>
      </c>
      <c r="K80" s="85">
        <v>2.2999999999999998</v>
      </c>
      <c r="L80" s="85">
        <v>2</v>
      </c>
      <c r="M80" s="85">
        <v>0</v>
      </c>
      <c r="N80" s="85">
        <v>0</v>
      </c>
      <c r="O80" s="85">
        <v>2</v>
      </c>
      <c r="P80" s="85">
        <v>2</v>
      </c>
      <c r="Q80" s="85">
        <v>2</v>
      </c>
      <c r="R80" s="85">
        <v>2</v>
      </c>
      <c r="S80" s="85" t="s">
        <v>39725</v>
      </c>
      <c r="T80" s="85" t="s">
        <v>39883</v>
      </c>
    </row>
    <row r="81" spans="1:20">
      <c r="A81" s="85" t="s">
        <v>39884</v>
      </c>
      <c r="B81" s="85" t="s">
        <v>39723</v>
      </c>
      <c r="C81" s="85" t="s">
        <v>39730</v>
      </c>
      <c r="D81" s="85" t="s">
        <v>39723</v>
      </c>
      <c r="E81" s="85">
        <v>1.7999999999999999E-2</v>
      </c>
      <c r="F81" s="85">
        <v>13.9</v>
      </c>
      <c r="G81" s="85">
        <v>0</v>
      </c>
      <c r="H81" s="85">
        <v>3.5000000000000003E-2</v>
      </c>
      <c r="I81" s="85">
        <v>12.9</v>
      </c>
      <c r="J81" s="85">
        <v>0</v>
      </c>
      <c r="K81" s="85">
        <v>1.4</v>
      </c>
      <c r="L81" s="85">
        <v>1</v>
      </c>
      <c r="M81" s="85">
        <v>0</v>
      </c>
      <c r="N81" s="85">
        <v>0</v>
      </c>
      <c r="O81" s="85">
        <v>1</v>
      </c>
      <c r="P81" s="85">
        <v>1</v>
      </c>
      <c r="Q81" s="85">
        <v>1</v>
      </c>
      <c r="R81" s="85">
        <v>0</v>
      </c>
      <c r="S81" s="85" t="s">
        <v>39725</v>
      </c>
      <c r="T81" s="85" t="s">
        <v>39885</v>
      </c>
    </row>
    <row r="82" spans="1:20">
      <c r="A82" s="85" t="s">
        <v>39886</v>
      </c>
      <c r="B82" s="85" t="s">
        <v>39723</v>
      </c>
      <c r="C82" s="85" t="s">
        <v>39730</v>
      </c>
      <c r="D82" s="85" t="s">
        <v>39723</v>
      </c>
      <c r="E82" s="85">
        <v>0.01</v>
      </c>
      <c r="F82" s="85">
        <v>14.7</v>
      </c>
      <c r="G82" s="85">
        <v>0</v>
      </c>
      <c r="H82" s="85">
        <v>0.38</v>
      </c>
      <c r="I82" s="85">
        <v>9.5</v>
      </c>
      <c r="J82" s="85">
        <v>0</v>
      </c>
      <c r="K82" s="85">
        <v>2.2000000000000002</v>
      </c>
      <c r="L82" s="85">
        <v>2</v>
      </c>
      <c r="M82" s="85">
        <v>0</v>
      </c>
      <c r="N82" s="85">
        <v>0</v>
      </c>
      <c r="O82" s="85">
        <v>2</v>
      </c>
      <c r="P82" s="85">
        <v>2</v>
      </c>
      <c r="Q82" s="85">
        <v>2</v>
      </c>
      <c r="R82" s="85">
        <v>0</v>
      </c>
      <c r="S82" s="85" t="s">
        <v>39725</v>
      </c>
      <c r="T82" s="85" t="s">
        <v>39887</v>
      </c>
    </row>
    <row r="83" spans="1:20">
      <c r="A83" s="85" t="s">
        <v>39888</v>
      </c>
      <c r="B83" s="85" t="s">
        <v>39723</v>
      </c>
      <c r="C83" s="85" t="s">
        <v>39730</v>
      </c>
      <c r="D83" s="85" t="s">
        <v>39723</v>
      </c>
      <c r="E83" s="85">
        <v>3.0000000000000001E-3</v>
      </c>
      <c r="F83" s="85">
        <v>16.5</v>
      </c>
      <c r="G83" s="85">
        <v>0</v>
      </c>
      <c r="H83" s="85">
        <v>0.19</v>
      </c>
      <c r="I83" s="85">
        <v>10.5</v>
      </c>
      <c r="J83" s="85">
        <v>0</v>
      </c>
      <c r="K83" s="85">
        <v>2.2999999999999998</v>
      </c>
      <c r="L83" s="85">
        <v>2</v>
      </c>
      <c r="M83" s="85">
        <v>0</v>
      </c>
      <c r="N83" s="85">
        <v>0</v>
      </c>
      <c r="O83" s="85">
        <v>2</v>
      </c>
      <c r="P83" s="85">
        <v>2</v>
      </c>
      <c r="Q83" s="85">
        <v>2</v>
      </c>
      <c r="R83" s="85">
        <v>1</v>
      </c>
      <c r="S83" s="85" t="s">
        <v>39725</v>
      </c>
      <c r="T83" s="85" t="s">
        <v>39889</v>
      </c>
    </row>
    <row r="84" spans="1:20">
      <c r="A84" s="85" t="s">
        <v>39888</v>
      </c>
      <c r="B84" s="85" t="s">
        <v>39723</v>
      </c>
      <c r="C84" s="85" t="s">
        <v>39724</v>
      </c>
      <c r="D84" s="85" t="s">
        <v>39723</v>
      </c>
      <c r="E84" s="85">
        <v>4.1000000000000002E-2</v>
      </c>
      <c r="F84" s="85">
        <v>12.4</v>
      </c>
      <c r="G84" s="85">
        <v>0.1</v>
      </c>
      <c r="H84" s="85">
        <v>3</v>
      </c>
      <c r="I84" s="85">
        <v>6.3</v>
      </c>
      <c r="J84" s="85">
        <v>0</v>
      </c>
      <c r="K84" s="85">
        <v>2.2000000000000002</v>
      </c>
      <c r="L84" s="85">
        <v>2</v>
      </c>
      <c r="M84" s="85">
        <v>0</v>
      </c>
      <c r="N84" s="85">
        <v>0</v>
      </c>
      <c r="O84" s="85">
        <v>2</v>
      </c>
      <c r="P84" s="85">
        <v>2</v>
      </c>
      <c r="Q84" s="85">
        <v>2</v>
      </c>
      <c r="R84" s="85">
        <v>0</v>
      </c>
      <c r="S84" s="85" t="s">
        <v>39725</v>
      </c>
      <c r="T84" s="85" t="s">
        <v>39889</v>
      </c>
    </row>
    <row r="85" spans="1:20">
      <c r="A85" s="85" t="s">
        <v>39890</v>
      </c>
      <c r="B85" s="85" t="s">
        <v>39723</v>
      </c>
      <c r="C85" s="85" t="s">
        <v>39724</v>
      </c>
      <c r="D85" s="85" t="s">
        <v>39723</v>
      </c>
      <c r="E85" s="85">
        <v>4.2000000000000003E-2</v>
      </c>
      <c r="F85" s="85">
        <v>12.4</v>
      </c>
      <c r="G85" s="85">
        <v>0</v>
      </c>
      <c r="H85" s="85">
        <v>4.7E-2</v>
      </c>
      <c r="I85" s="85">
        <v>12.2</v>
      </c>
      <c r="J85" s="85">
        <v>0</v>
      </c>
      <c r="K85" s="85">
        <v>1</v>
      </c>
      <c r="L85" s="85">
        <v>1</v>
      </c>
      <c r="M85" s="85">
        <v>0</v>
      </c>
      <c r="N85" s="85">
        <v>0</v>
      </c>
      <c r="O85" s="85">
        <v>1</v>
      </c>
      <c r="P85" s="85">
        <v>1</v>
      </c>
      <c r="Q85" s="85">
        <v>1</v>
      </c>
      <c r="R85" s="85">
        <v>0</v>
      </c>
      <c r="S85" s="85" t="s">
        <v>39725</v>
      </c>
      <c r="T85" s="85" t="s">
        <v>39891</v>
      </c>
    </row>
    <row r="86" spans="1:20">
      <c r="A86" s="85" t="s">
        <v>39892</v>
      </c>
      <c r="B86" s="85" t="s">
        <v>39723</v>
      </c>
      <c r="C86" s="85" t="s">
        <v>39724</v>
      </c>
      <c r="D86" s="85" t="s">
        <v>39723</v>
      </c>
      <c r="E86" s="86">
        <v>5.3000000000000001E-7</v>
      </c>
      <c r="F86" s="85">
        <v>28.5</v>
      </c>
      <c r="G86" s="85">
        <v>0</v>
      </c>
      <c r="H86" s="86">
        <v>2.6000000000000001E-6</v>
      </c>
      <c r="I86" s="85">
        <v>26.3</v>
      </c>
      <c r="J86" s="85">
        <v>0</v>
      </c>
      <c r="K86" s="85">
        <v>2</v>
      </c>
      <c r="L86" s="85">
        <v>1</v>
      </c>
      <c r="M86" s="85">
        <v>1</v>
      </c>
      <c r="N86" s="85">
        <v>0</v>
      </c>
      <c r="O86" s="85">
        <v>1</v>
      </c>
      <c r="P86" s="85">
        <v>1</v>
      </c>
      <c r="Q86" s="85">
        <v>1</v>
      </c>
      <c r="R86" s="85">
        <v>1</v>
      </c>
      <c r="S86" s="85" t="s">
        <v>39725</v>
      </c>
      <c r="T86" s="85" t="s">
        <v>39893</v>
      </c>
    </row>
    <row r="87" spans="1:20">
      <c r="A87" t="s">
        <v>39894</v>
      </c>
      <c r="B87" t="s">
        <v>39723</v>
      </c>
      <c r="C87" t="s">
        <v>39767</v>
      </c>
      <c r="D87" t="s">
        <v>39723</v>
      </c>
      <c r="E87" s="84">
        <v>6.1000000000000003E-58</v>
      </c>
      <c r="F87">
        <v>195.9</v>
      </c>
      <c r="G87">
        <v>0</v>
      </c>
      <c r="H87" s="84">
        <v>2.5000000000000001E-57</v>
      </c>
      <c r="I87">
        <v>193.9</v>
      </c>
      <c r="J87">
        <v>0</v>
      </c>
      <c r="K87">
        <v>1.8</v>
      </c>
      <c r="L87">
        <v>1</v>
      </c>
      <c r="M87">
        <v>1</v>
      </c>
      <c r="N87">
        <v>0</v>
      </c>
      <c r="O87">
        <v>1</v>
      </c>
      <c r="P87">
        <v>1</v>
      </c>
      <c r="Q87">
        <v>1</v>
      </c>
      <c r="R87">
        <v>1</v>
      </c>
      <c r="S87" t="s">
        <v>39725</v>
      </c>
      <c r="T87" t="s">
        <v>39895</v>
      </c>
    </row>
    <row r="88" spans="1:20">
      <c r="A88" t="s">
        <v>39896</v>
      </c>
      <c r="B88" t="s">
        <v>39723</v>
      </c>
      <c r="C88" t="s">
        <v>39831</v>
      </c>
      <c r="D88" t="s">
        <v>39723</v>
      </c>
      <c r="E88" s="84">
        <v>1.4E-105</v>
      </c>
      <c r="F88">
        <v>353.6</v>
      </c>
      <c r="G88">
        <v>0</v>
      </c>
      <c r="H88" s="84">
        <v>5.8E-74</v>
      </c>
      <c r="I88">
        <v>248.9</v>
      </c>
      <c r="J88">
        <v>0</v>
      </c>
      <c r="K88">
        <v>4.5</v>
      </c>
      <c r="L88">
        <v>3</v>
      </c>
      <c r="M88">
        <v>1</v>
      </c>
      <c r="N88">
        <v>0</v>
      </c>
      <c r="O88">
        <v>4</v>
      </c>
      <c r="P88">
        <v>4</v>
      </c>
      <c r="Q88">
        <v>4</v>
      </c>
      <c r="R88">
        <v>4</v>
      </c>
      <c r="S88" t="s">
        <v>39725</v>
      </c>
      <c r="T88" t="s">
        <v>39897</v>
      </c>
    </row>
    <row r="89" spans="1:20">
      <c r="A89" t="s">
        <v>39898</v>
      </c>
      <c r="B89" t="s">
        <v>39723</v>
      </c>
      <c r="C89" t="s">
        <v>39730</v>
      </c>
      <c r="D89" t="s">
        <v>39723</v>
      </c>
      <c r="E89">
        <v>6.0999999999999999E-2</v>
      </c>
      <c r="F89">
        <v>12.2</v>
      </c>
      <c r="G89">
        <v>0</v>
      </c>
      <c r="H89">
        <v>9.0999999999999998E-2</v>
      </c>
      <c r="I89">
        <v>11.6</v>
      </c>
      <c r="J89">
        <v>0</v>
      </c>
      <c r="K89">
        <v>1.2</v>
      </c>
      <c r="L89">
        <v>1</v>
      </c>
      <c r="M89">
        <v>0</v>
      </c>
      <c r="N89">
        <v>0</v>
      </c>
      <c r="O89">
        <v>1</v>
      </c>
      <c r="P89">
        <v>1</v>
      </c>
      <c r="Q89">
        <v>1</v>
      </c>
      <c r="R89">
        <v>0</v>
      </c>
      <c r="S89" t="s">
        <v>39725</v>
      </c>
      <c r="T89" t="s">
        <v>39899</v>
      </c>
    </row>
    <row r="90" spans="1:20">
      <c r="A90" t="s">
        <v>39900</v>
      </c>
      <c r="B90" t="s">
        <v>39723</v>
      </c>
      <c r="C90" t="s">
        <v>39767</v>
      </c>
      <c r="D90" t="s">
        <v>39723</v>
      </c>
      <c r="E90" s="84">
        <v>5.1999999999999999E-34</v>
      </c>
      <c r="F90">
        <v>116.6</v>
      </c>
      <c r="G90">
        <v>10.1</v>
      </c>
      <c r="H90" s="84">
        <v>2.4E-9</v>
      </c>
      <c r="I90">
        <v>34.9</v>
      </c>
      <c r="J90">
        <v>0.1</v>
      </c>
      <c r="K90">
        <v>5.2</v>
      </c>
      <c r="L90">
        <v>5</v>
      </c>
      <c r="M90">
        <v>0</v>
      </c>
      <c r="N90">
        <v>0</v>
      </c>
      <c r="O90">
        <v>5</v>
      </c>
      <c r="P90">
        <v>5</v>
      </c>
      <c r="Q90">
        <v>5</v>
      </c>
      <c r="R90">
        <v>5</v>
      </c>
      <c r="S90" t="s">
        <v>39725</v>
      </c>
      <c r="T90" t="s">
        <v>39901</v>
      </c>
    </row>
    <row r="91" spans="1:20">
      <c r="A91" s="85" t="s">
        <v>39902</v>
      </c>
      <c r="B91" s="85" t="s">
        <v>39723</v>
      </c>
      <c r="C91" s="85" t="s">
        <v>39724</v>
      </c>
      <c r="D91" s="85" t="s">
        <v>39723</v>
      </c>
      <c r="E91" s="86">
        <v>6.5E-8</v>
      </c>
      <c r="F91" s="85">
        <v>31.5</v>
      </c>
      <c r="G91" s="85">
        <v>0</v>
      </c>
      <c r="H91" s="86">
        <v>7.4000000000000001E-7</v>
      </c>
      <c r="I91" s="85">
        <v>28.1</v>
      </c>
      <c r="J91" s="85">
        <v>0</v>
      </c>
      <c r="K91" s="85">
        <v>2.4</v>
      </c>
      <c r="L91" s="85">
        <v>3</v>
      </c>
      <c r="M91" s="85">
        <v>0</v>
      </c>
      <c r="N91" s="85">
        <v>0</v>
      </c>
      <c r="O91" s="85">
        <v>3</v>
      </c>
      <c r="P91" s="85">
        <v>3</v>
      </c>
      <c r="Q91" s="85">
        <v>3</v>
      </c>
      <c r="R91" s="85">
        <v>1</v>
      </c>
      <c r="S91" s="85" t="s">
        <v>39725</v>
      </c>
      <c r="T91" s="85" t="s">
        <v>39903</v>
      </c>
    </row>
    <row r="92" spans="1:20">
      <c r="A92" s="85" t="s">
        <v>39904</v>
      </c>
      <c r="B92" s="85" t="s">
        <v>39723</v>
      </c>
      <c r="C92" s="85" t="s">
        <v>39724</v>
      </c>
      <c r="D92" s="85" t="s">
        <v>39723</v>
      </c>
      <c r="E92" s="86">
        <v>2.9999999999999998E-14</v>
      </c>
      <c r="F92" s="85">
        <v>52.4</v>
      </c>
      <c r="G92" s="85">
        <v>5.8</v>
      </c>
      <c r="H92" s="86">
        <v>1.9E-6</v>
      </c>
      <c r="I92" s="85">
        <v>26.7</v>
      </c>
      <c r="J92" s="85">
        <v>0</v>
      </c>
      <c r="K92" s="85">
        <v>3.9</v>
      </c>
      <c r="L92" s="85">
        <v>2</v>
      </c>
      <c r="M92" s="85">
        <v>2</v>
      </c>
      <c r="N92" s="85">
        <v>1</v>
      </c>
      <c r="O92" s="85">
        <v>3</v>
      </c>
      <c r="P92" s="85">
        <v>3</v>
      </c>
      <c r="Q92" s="85">
        <v>3</v>
      </c>
      <c r="R92" s="85">
        <v>3</v>
      </c>
      <c r="S92" s="85" t="s">
        <v>39725</v>
      </c>
      <c r="T92" s="85" t="s">
        <v>39905</v>
      </c>
    </row>
    <row r="93" spans="1:20">
      <c r="A93" s="85" t="s">
        <v>39906</v>
      </c>
      <c r="B93" s="85" t="s">
        <v>39723</v>
      </c>
      <c r="C93" s="85" t="s">
        <v>39880</v>
      </c>
      <c r="D93" s="85" t="s">
        <v>39723</v>
      </c>
      <c r="E93" s="86">
        <v>2.0999999999999999E-20</v>
      </c>
      <c r="F93" s="85">
        <v>72.099999999999994</v>
      </c>
      <c r="G93" s="85">
        <v>0</v>
      </c>
      <c r="H93" s="86">
        <v>3.3E-20</v>
      </c>
      <c r="I93" s="85">
        <v>71.5</v>
      </c>
      <c r="J93" s="85">
        <v>0</v>
      </c>
      <c r="K93" s="85">
        <v>1.2</v>
      </c>
      <c r="L93" s="85">
        <v>1</v>
      </c>
      <c r="M93" s="85">
        <v>0</v>
      </c>
      <c r="N93" s="85">
        <v>0</v>
      </c>
      <c r="O93" s="85">
        <v>1</v>
      </c>
      <c r="P93" s="85">
        <v>1</v>
      </c>
      <c r="Q93" s="85">
        <v>1</v>
      </c>
      <c r="R93" s="85">
        <v>1</v>
      </c>
      <c r="S93" s="85" t="s">
        <v>39725</v>
      </c>
      <c r="T93" s="85" t="s">
        <v>39907</v>
      </c>
    </row>
    <row r="94" spans="1:20">
      <c r="A94" s="85" t="s">
        <v>39908</v>
      </c>
      <c r="B94" s="85" t="s">
        <v>39723</v>
      </c>
      <c r="C94" s="85" t="s">
        <v>39880</v>
      </c>
      <c r="D94" s="85" t="s">
        <v>39723</v>
      </c>
      <c r="E94" s="86">
        <v>2.0999999999999999E-20</v>
      </c>
      <c r="F94" s="85">
        <v>72.099999999999994</v>
      </c>
      <c r="G94" s="85">
        <v>0</v>
      </c>
      <c r="H94" s="86">
        <v>3.3E-20</v>
      </c>
      <c r="I94" s="85">
        <v>71.5</v>
      </c>
      <c r="J94" s="85">
        <v>0</v>
      </c>
      <c r="K94" s="85">
        <v>1.2</v>
      </c>
      <c r="L94" s="85">
        <v>1</v>
      </c>
      <c r="M94" s="85">
        <v>0</v>
      </c>
      <c r="N94" s="85">
        <v>0</v>
      </c>
      <c r="O94" s="85">
        <v>1</v>
      </c>
      <c r="P94" s="85">
        <v>1</v>
      </c>
      <c r="Q94" s="85">
        <v>1</v>
      </c>
      <c r="R94" s="85">
        <v>1</v>
      </c>
      <c r="S94" s="85" t="s">
        <v>39725</v>
      </c>
      <c r="T94" s="85" t="s">
        <v>39909</v>
      </c>
    </row>
    <row r="95" spans="1:20">
      <c r="A95" t="s">
        <v>39910</v>
      </c>
      <c r="B95" t="s">
        <v>39723</v>
      </c>
      <c r="C95" t="s">
        <v>39724</v>
      </c>
      <c r="D95" t="s">
        <v>39723</v>
      </c>
      <c r="E95">
        <v>6.4000000000000003E-3</v>
      </c>
      <c r="F95">
        <v>15.1</v>
      </c>
      <c r="G95">
        <v>0</v>
      </c>
      <c r="H95">
        <v>1.2E-2</v>
      </c>
      <c r="I95">
        <v>14.2</v>
      </c>
      <c r="J95">
        <v>0</v>
      </c>
      <c r="K95">
        <v>1.4</v>
      </c>
      <c r="L95">
        <v>1</v>
      </c>
      <c r="M95">
        <v>0</v>
      </c>
      <c r="N95">
        <v>0</v>
      </c>
      <c r="O95">
        <v>1</v>
      </c>
      <c r="P95">
        <v>1</v>
      </c>
      <c r="Q95">
        <v>1</v>
      </c>
      <c r="R95">
        <v>1</v>
      </c>
      <c r="S95" t="s">
        <v>39725</v>
      </c>
      <c r="T95" t="s">
        <v>39911</v>
      </c>
    </row>
    <row r="96" spans="1:20">
      <c r="A96" t="s">
        <v>39912</v>
      </c>
      <c r="B96" t="s">
        <v>39723</v>
      </c>
      <c r="C96" t="s">
        <v>39724</v>
      </c>
      <c r="D96" t="s">
        <v>39723</v>
      </c>
      <c r="E96">
        <v>9.1000000000000004E-3</v>
      </c>
      <c r="F96">
        <v>14.6</v>
      </c>
      <c r="G96">
        <v>0</v>
      </c>
      <c r="H96">
        <v>1.2999999999999999E-2</v>
      </c>
      <c r="I96">
        <v>14.1</v>
      </c>
      <c r="J96">
        <v>0</v>
      </c>
      <c r="K96">
        <v>1.2</v>
      </c>
      <c r="L96">
        <v>1</v>
      </c>
      <c r="M96">
        <v>0</v>
      </c>
      <c r="N96">
        <v>0</v>
      </c>
      <c r="O96">
        <v>1</v>
      </c>
      <c r="P96">
        <v>1</v>
      </c>
      <c r="Q96">
        <v>1</v>
      </c>
      <c r="R96">
        <v>1</v>
      </c>
      <c r="S96" t="s">
        <v>39725</v>
      </c>
      <c r="T96" t="s">
        <v>39913</v>
      </c>
    </row>
    <row r="97" spans="1:20">
      <c r="A97" t="s">
        <v>39914</v>
      </c>
      <c r="B97" t="s">
        <v>39723</v>
      </c>
      <c r="C97" t="s">
        <v>39724</v>
      </c>
      <c r="D97" t="s">
        <v>39723</v>
      </c>
      <c r="E97">
        <v>9.2999999999999992E-3</v>
      </c>
      <c r="F97">
        <v>14.6</v>
      </c>
      <c r="G97">
        <v>0</v>
      </c>
      <c r="H97">
        <v>1.7000000000000001E-2</v>
      </c>
      <c r="I97">
        <v>13.7</v>
      </c>
      <c r="J97">
        <v>0</v>
      </c>
      <c r="K97">
        <v>1.3</v>
      </c>
      <c r="L97">
        <v>1</v>
      </c>
      <c r="M97">
        <v>0</v>
      </c>
      <c r="N97">
        <v>0</v>
      </c>
      <c r="O97">
        <v>1</v>
      </c>
      <c r="P97">
        <v>1</v>
      </c>
      <c r="Q97">
        <v>1</v>
      </c>
      <c r="R97">
        <v>1</v>
      </c>
      <c r="S97" t="s">
        <v>39725</v>
      </c>
      <c r="T97" t="s">
        <v>39915</v>
      </c>
    </row>
    <row r="98" spans="1:20">
      <c r="A98" t="s">
        <v>39916</v>
      </c>
      <c r="B98" t="s">
        <v>39723</v>
      </c>
      <c r="C98" t="s">
        <v>39724</v>
      </c>
      <c r="D98" t="s">
        <v>39723</v>
      </c>
      <c r="E98">
        <v>3.8E-3</v>
      </c>
      <c r="F98">
        <v>15.8</v>
      </c>
      <c r="G98">
        <v>0</v>
      </c>
      <c r="H98">
        <v>5.0000000000000001E-3</v>
      </c>
      <c r="I98">
        <v>15.4</v>
      </c>
      <c r="J98">
        <v>0</v>
      </c>
      <c r="K98">
        <v>1.1000000000000001</v>
      </c>
      <c r="L98">
        <v>1</v>
      </c>
      <c r="M98">
        <v>0</v>
      </c>
      <c r="N98">
        <v>0</v>
      </c>
      <c r="O98">
        <v>1</v>
      </c>
      <c r="P98">
        <v>1</v>
      </c>
      <c r="Q98">
        <v>1</v>
      </c>
      <c r="R98">
        <v>1</v>
      </c>
      <c r="S98" t="s">
        <v>39725</v>
      </c>
      <c r="T98" t="s">
        <v>39917</v>
      </c>
    </row>
    <row r="99" spans="1:20">
      <c r="A99" t="s">
        <v>39918</v>
      </c>
      <c r="B99" t="s">
        <v>39723</v>
      </c>
      <c r="C99" t="s">
        <v>39724</v>
      </c>
      <c r="D99" t="s">
        <v>39723</v>
      </c>
      <c r="E99">
        <v>9.0999999999999998E-2</v>
      </c>
      <c r="F99">
        <v>11.3</v>
      </c>
      <c r="G99">
        <v>0</v>
      </c>
      <c r="H99">
        <v>0.87</v>
      </c>
      <c r="I99">
        <v>8.1</v>
      </c>
      <c r="J99">
        <v>0</v>
      </c>
      <c r="K99">
        <v>2</v>
      </c>
      <c r="L99">
        <v>2</v>
      </c>
      <c r="M99">
        <v>0</v>
      </c>
      <c r="N99">
        <v>0</v>
      </c>
      <c r="O99">
        <v>2</v>
      </c>
      <c r="P99">
        <v>2</v>
      </c>
      <c r="Q99">
        <v>2</v>
      </c>
      <c r="R99">
        <v>0</v>
      </c>
      <c r="S99" t="s">
        <v>39725</v>
      </c>
      <c r="T99" t="s">
        <v>39919</v>
      </c>
    </row>
    <row r="100" spans="1:20">
      <c r="A100" t="s">
        <v>39920</v>
      </c>
      <c r="B100" t="s">
        <v>39723</v>
      </c>
      <c r="C100" t="s">
        <v>39724</v>
      </c>
      <c r="D100" t="s">
        <v>39723</v>
      </c>
      <c r="E100">
        <v>2.5999999999999999E-3</v>
      </c>
      <c r="F100">
        <v>16.399999999999999</v>
      </c>
      <c r="G100">
        <v>0</v>
      </c>
      <c r="H100">
        <v>1.0999999999999999E-2</v>
      </c>
      <c r="I100">
        <v>14.4</v>
      </c>
      <c r="J100">
        <v>0</v>
      </c>
      <c r="K100">
        <v>1.9</v>
      </c>
      <c r="L100">
        <v>2</v>
      </c>
      <c r="M100">
        <v>0</v>
      </c>
      <c r="N100">
        <v>0</v>
      </c>
      <c r="O100">
        <v>2</v>
      </c>
      <c r="P100">
        <v>2</v>
      </c>
      <c r="Q100">
        <v>2</v>
      </c>
      <c r="R100">
        <v>1</v>
      </c>
      <c r="S100" t="s">
        <v>39725</v>
      </c>
      <c r="T100" t="s">
        <v>39921</v>
      </c>
    </row>
    <row r="101" spans="1:20">
      <c r="A101" t="s">
        <v>39922</v>
      </c>
      <c r="B101" t="s">
        <v>39723</v>
      </c>
      <c r="C101" t="s">
        <v>39730</v>
      </c>
      <c r="D101" t="s">
        <v>39723</v>
      </c>
      <c r="E101">
        <v>2.1000000000000001E-2</v>
      </c>
      <c r="F101">
        <v>13.7</v>
      </c>
      <c r="G101">
        <v>0</v>
      </c>
      <c r="H101">
        <v>4.2999999999999997E-2</v>
      </c>
      <c r="I101">
        <v>12.7</v>
      </c>
      <c r="J101">
        <v>0</v>
      </c>
      <c r="K101">
        <v>1.4</v>
      </c>
      <c r="L101">
        <v>1</v>
      </c>
      <c r="M101">
        <v>0</v>
      </c>
      <c r="N101">
        <v>0</v>
      </c>
      <c r="O101">
        <v>1</v>
      </c>
      <c r="P101">
        <v>1</v>
      </c>
      <c r="Q101">
        <v>1</v>
      </c>
      <c r="R101">
        <v>0</v>
      </c>
      <c r="S101" t="s">
        <v>39725</v>
      </c>
      <c r="T101" t="s">
        <v>39923</v>
      </c>
    </row>
    <row r="102" spans="1:20">
      <c r="A102" t="s">
        <v>39924</v>
      </c>
      <c r="B102" t="s">
        <v>39723</v>
      </c>
      <c r="C102" t="s">
        <v>39730</v>
      </c>
      <c r="D102" t="s">
        <v>39723</v>
      </c>
      <c r="E102">
        <v>4.0999999999999999E-4</v>
      </c>
      <c r="F102">
        <v>19.3</v>
      </c>
      <c r="G102">
        <v>0.3</v>
      </c>
      <c r="H102">
        <v>1.9E-3</v>
      </c>
      <c r="I102">
        <v>17.100000000000001</v>
      </c>
      <c r="J102">
        <v>0</v>
      </c>
      <c r="K102">
        <v>2</v>
      </c>
      <c r="L102">
        <v>2</v>
      </c>
      <c r="M102">
        <v>0</v>
      </c>
      <c r="N102">
        <v>0</v>
      </c>
      <c r="O102">
        <v>2</v>
      </c>
      <c r="P102">
        <v>2</v>
      </c>
      <c r="Q102">
        <v>2</v>
      </c>
      <c r="R102">
        <v>1</v>
      </c>
      <c r="S102" t="s">
        <v>39725</v>
      </c>
      <c r="T102" t="s">
        <v>39925</v>
      </c>
    </row>
    <row r="103" spans="1:20">
      <c r="A103" t="s">
        <v>39926</v>
      </c>
      <c r="B103" t="s">
        <v>39723</v>
      </c>
      <c r="C103" t="s">
        <v>39730</v>
      </c>
      <c r="D103" t="s">
        <v>39723</v>
      </c>
      <c r="E103" s="84">
        <v>1.1E-5</v>
      </c>
      <c r="F103">
        <v>24.4</v>
      </c>
      <c r="G103">
        <v>0</v>
      </c>
      <c r="H103">
        <v>5.7000000000000002E-2</v>
      </c>
      <c r="I103">
        <v>12.2</v>
      </c>
      <c r="J103">
        <v>0</v>
      </c>
      <c r="K103">
        <v>2.4</v>
      </c>
      <c r="L103">
        <v>2</v>
      </c>
      <c r="M103">
        <v>0</v>
      </c>
      <c r="N103">
        <v>0</v>
      </c>
      <c r="O103">
        <v>2</v>
      </c>
      <c r="P103">
        <v>2</v>
      </c>
      <c r="Q103">
        <v>2</v>
      </c>
      <c r="R103">
        <v>2</v>
      </c>
      <c r="S103" t="s">
        <v>39725</v>
      </c>
      <c r="T103" t="s">
        <v>39927</v>
      </c>
    </row>
    <row r="104" spans="1:20">
      <c r="A104" t="s">
        <v>39928</v>
      </c>
      <c r="B104" t="s">
        <v>39723</v>
      </c>
      <c r="C104" t="s">
        <v>39724</v>
      </c>
      <c r="D104" t="s">
        <v>39723</v>
      </c>
      <c r="E104">
        <v>1.2E-4</v>
      </c>
      <c r="F104">
        <v>20.7</v>
      </c>
      <c r="G104">
        <v>0.2</v>
      </c>
      <c r="H104">
        <v>2.0000000000000001E-4</v>
      </c>
      <c r="I104">
        <v>20.100000000000001</v>
      </c>
      <c r="J104">
        <v>0.2</v>
      </c>
      <c r="K104">
        <v>1.2</v>
      </c>
      <c r="L104">
        <v>1</v>
      </c>
      <c r="M104">
        <v>0</v>
      </c>
      <c r="N104">
        <v>0</v>
      </c>
      <c r="O104">
        <v>1</v>
      </c>
      <c r="P104">
        <v>1</v>
      </c>
      <c r="Q104">
        <v>1</v>
      </c>
      <c r="R104">
        <v>1</v>
      </c>
      <c r="S104" t="s">
        <v>39725</v>
      </c>
      <c r="T104" t="s">
        <v>39929</v>
      </c>
    </row>
    <row r="105" spans="1:20">
      <c r="A105" t="s">
        <v>39930</v>
      </c>
      <c r="B105" t="s">
        <v>39723</v>
      </c>
      <c r="C105" t="s">
        <v>39724</v>
      </c>
      <c r="D105" t="s">
        <v>39723</v>
      </c>
      <c r="E105" s="84">
        <v>7.4999999999999993E-5</v>
      </c>
      <c r="F105">
        <v>21.5</v>
      </c>
      <c r="G105">
        <v>0</v>
      </c>
      <c r="H105">
        <v>8.4999999999999995E-4</v>
      </c>
      <c r="I105">
        <v>18</v>
      </c>
      <c r="J105">
        <v>0</v>
      </c>
      <c r="K105">
        <v>2.1</v>
      </c>
      <c r="L105">
        <v>1</v>
      </c>
      <c r="M105">
        <v>1</v>
      </c>
      <c r="N105">
        <v>0</v>
      </c>
      <c r="O105">
        <v>1</v>
      </c>
      <c r="P105">
        <v>1</v>
      </c>
      <c r="Q105">
        <v>1</v>
      </c>
      <c r="R105">
        <v>1</v>
      </c>
      <c r="S105" t="s">
        <v>39725</v>
      </c>
      <c r="T105" t="s">
        <v>39931</v>
      </c>
    </row>
    <row r="106" spans="1:20">
      <c r="A106" t="s">
        <v>39932</v>
      </c>
      <c r="B106" t="s">
        <v>39723</v>
      </c>
      <c r="C106" t="s">
        <v>39730</v>
      </c>
      <c r="D106" t="s">
        <v>39723</v>
      </c>
      <c r="E106">
        <v>5.0999999999999997E-2</v>
      </c>
      <c r="F106">
        <v>12.4</v>
      </c>
      <c r="G106">
        <v>0</v>
      </c>
      <c r="H106">
        <v>0.11</v>
      </c>
      <c r="I106">
        <v>11.3</v>
      </c>
      <c r="J106">
        <v>0</v>
      </c>
      <c r="K106">
        <v>1.5</v>
      </c>
      <c r="L106">
        <v>1</v>
      </c>
      <c r="M106">
        <v>0</v>
      </c>
      <c r="N106">
        <v>0</v>
      </c>
      <c r="O106">
        <v>1</v>
      </c>
      <c r="P106">
        <v>1</v>
      </c>
      <c r="Q106">
        <v>1</v>
      </c>
      <c r="R106">
        <v>0</v>
      </c>
      <c r="S106" t="s">
        <v>39725</v>
      </c>
      <c r="T106" t="s">
        <v>39933</v>
      </c>
    </row>
    <row r="107" spans="1:20">
      <c r="A107" t="s">
        <v>39934</v>
      </c>
      <c r="B107" t="s">
        <v>39723</v>
      </c>
      <c r="C107" t="s">
        <v>39730</v>
      </c>
      <c r="D107" t="s">
        <v>39723</v>
      </c>
      <c r="E107">
        <v>1.9E-3</v>
      </c>
      <c r="F107">
        <v>17.100000000000001</v>
      </c>
      <c r="G107">
        <v>0</v>
      </c>
      <c r="H107">
        <v>3.3E-3</v>
      </c>
      <c r="I107">
        <v>16.3</v>
      </c>
      <c r="J107">
        <v>0</v>
      </c>
      <c r="K107">
        <v>1.3</v>
      </c>
      <c r="L107">
        <v>1</v>
      </c>
      <c r="M107">
        <v>0</v>
      </c>
      <c r="N107">
        <v>0</v>
      </c>
      <c r="O107">
        <v>1</v>
      </c>
      <c r="P107">
        <v>1</v>
      </c>
      <c r="Q107">
        <v>1</v>
      </c>
      <c r="R107">
        <v>1</v>
      </c>
      <c r="S107" t="s">
        <v>39725</v>
      </c>
      <c r="T107" t="s">
        <v>39935</v>
      </c>
    </row>
    <row r="108" spans="1:20">
      <c r="A108" t="s">
        <v>39936</v>
      </c>
      <c r="B108" t="s">
        <v>39723</v>
      </c>
      <c r="C108" t="s">
        <v>39730</v>
      </c>
      <c r="D108" t="s">
        <v>39723</v>
      </c>
      <c r="E108">
        <v>4.2999999999999997E-2</v>
      </c>
      <c r="F108">
        <v>12.7</v>
      </c>
      <c r="G108">
        <v>0</v>
      </c>
      <c r="H108">
        <v>7.3999999999999996E-2</v>
      </c>
      <c r="I108">
        <v>11.9</v>
      </c>
      <c r="J108">
        <v>0</v>
      </c>
      <c r="K108">
        <v>1.3</v>
      </c>
      <c r="L108">
        <v>1</v>
      </c>
      <c r="M108">
        <v>0</v>
      </c>
      <c r="N108">
        <v>0</v>
      </c>
      <c r="O108">
        <v>1</v>
      </c>
      <c r="P108">
        <v>1</v>
      </c>
      <c r="Q108">
        <v>1</v>
      </c>
      <c r="R108">
        <v>0</v>
      </c>
      <c r="S108" t="s">
        <v>39725</v>
      </c>
      <c r="T108" t="s">
        <v>39937</v>
      </c>
    </row>
    <row r="109" spans="1:20">
      <c r="A109" t="s">
        <v>39938</v>
      </c>
      <c r="B109" t="s">
        <v>39723</v>
      </c>
      <c r="C109" t="s">
        <v>39730</v>
      </c>
      <c r="D109" t="s">
        <v>39723</v>
      </c>
      <c r="E109">
        <v>0.14000000000000001</v>
      </c>
      <c r="F109">
        <v>10.9</v>
      </c>
      <c r="G109">
        <v>0</v>
      </c>
      <c r="H109">
        <v>0.28000000000000003</v>
      </c>
      <c r="I109">
        <v>10</v>
      </c>
      <c r="J109">
        <v>0</v>
      </c>
      <c r="K109">
        <v>1.4</v>
      </c>
      <c r="L109">
        <v>1</v>
      </c>
      <c r="M109">
        <v>0</v>
      </c>
      <c r="N109">
        <v>0</v>
      </c>
      <c r="O109">
        <v>1</v>
      </c>
      <c r="P109">
        <v>1</v>
      </c>
      <c r="Q109">
        <v>1</v>
      </c>
      <c r="R109">
        <v>0</v>
      </c>
      <c r="S109" t="s">
        <v>39725</v>
      </c>
      <c r="T109" t="s">
        <v>39939</v>
      </c>
    </row>
    <row r="110" spans="1:20">
      <c r="A110" t="s">
        <v>39940</v>
      </c>
      <c r="B110" t="s">
        <v>39723</v>
      </c>
      <c r="C110" t="s">
        <v>39730</v>
      </c>
      <c r="D110" t="s">
        <v>39723</v>
      </c>
      <c r="E110">
        <v>1.5E-3</v>
      </c>
      <c r="F110">
        <v>17.399999999999999</v>
      </c>
      <c r="G110">
        <v>0</v>
      </c>
      <c r="H110">
        <v>2.5000000000000001E-3</v>
      </c>
      <c r="I110">
        <v>16.7</v>
      </c>
      <c r="J110">
        <v>0</v>
      </c>
      <c r="K110">
        <v>1.2</v>
      </c>
      <c r="L110">
        <v>1</v>
      </c>
      <c r="M110">
        <v>0</v>
      </c>
      <c r="N110">
        <v>0</v>
      </c>
      <c r="O110">
        <v>1</v>
      </c>
      <c r="P110">
        <v>1</v>
      </c>
      <c r="Q110">
        <v>1</v>
      </c>
      <c r="R110">
        <v>1</v>
      </c>
      <c r="S110" t="s">
        <v>39725</v>
      </c>
      <c r="T110" t="s">
        <v>39941</v>
      </c>
    </row>
    <row r="111" spans="1:20">
      <c r="A111" t="s">
        <v>39942</v>
      </c>
      <c r="B111" t="s">
        <v>39723</v>
      </c>
      <c r="C111" t="s">
        <v>39730</v>
      </c>
      <c r="D111" t="s">
        <v>39723</v>
      </c>
      <c r="E111">
        <v>1.7999999999999999E-2</v>
      </c>
      <c r="F111">
        <v>13.9</v>
      </c>
      <c r="G111">
        <v>0</v>
      </c>
      <c r="H111">
        <v>2.7E-2</v>
      </c>
      <c r="I111">
        <v>13.3</v>
      </c>
      <c r="J111">
        <v>0</v>
      </c>
      <c r="K111">
        <v>1.2</v>
      </c>
      <c r="L111">
        <v>1</v>
      </c>
      <c r="M111">
        <v>0</v>
      </c>
      <c r="N111">
        <v>0</v>
      </c>
      <c r="O111">
        <v>1</v>
      </c>
      <c r="P111">
        <v>1</v>
      </c>
      <c r="Q111">
        <v>1</v>
      </c>
      <c r="R111">
        <v>0</v>
      </c>
      <c r="S111" t="s">
        <v>39725</v>
      </c>
      <c r="T111" t="s">
        <v>39943</v>
      </c>
    </row>
    <row r="112" spans="1:20">
      <c r="A112" t="s">
        <v>39944</v>
      </c>
      <c r="B112" t="s">
        <v>39723</v>
      </c>
      <c r="C112" t="s">
        <v>39724</v>
      </c>
      <c r="D112" t="s">
        <v>39723</v>
      </c>
      <c r="E112" s="84">
        <v>1.6E-7</v>
      </c>
      <c r="F112">
        <v>30.2</v>
      </c>
      <c r="G112">
        <v>0</v>
      </c>
      <c r="H112" s="84">
        <v>9.2999999999999997E-5</v>
      </c>
      <c r="I112">
        <v>21.1</v>
      </c>
      <c r="J112">
        <v>0</v>
      </c>
      <c r="K112">
        <v>2.1</v>
      </c>
      <c r="L112">
        <v>1</v>
      </c>
      <c r="M112">
        <v>1</v>
      </c>
      <c r="N112">
        <v>0</v>
      </c>
      <c r="O112">
        <v>1</v>
      </c>
      <c r="P112">
        <v>1</v>
      </c>
      <c r="Q112">
        <v>1</v>
      </c>
      <c r="R112">
        <v>1</v>
      </c>
      <c r="S112" t="s">
        <v>39725</v>
      </c>
      <c r="T112" t="s">
        <v>39945</v>
      </c>
    </row>
    <row r="113" spans="1:20">
      <c r="A113" t="s">
        <v>39946</v>
      </c>
      <c r="B113" t="s">
        <v>39723</v>
      </c>
      <c r="C113" t="s">
        <v>39730</v>
      </c>
      <c r="D113" t="s">
        <v>39723</v>
      </c>
      <c r="E113">
        <v>1.0999999999999999E-2</v>
      </c>
      <c r="F113">
        <v>14.6</v>
      </c>
      <c r="G113">
        <v>0</v>
      </c>
      <c r="H113">
        <v>1.7999999999999999E-2</v>
      </c>
      <c r="I113">
        <v>13.9</v>
      </c>
      <c r="J113">
        <v>0</v>
      </c>
      <c r="K113">
        <v>1.3</v>
      </c>
      <c r="L113">
        <v>1</v>
      </c>
      <c r="M113">
        <v>0</v>
      </c>
      <c r="N113">
        <v>0</v>
      </c>
      <c r="O113">
        <v>1</v>
      </c>
      <c r="P113">
        <v>1</v>
      </c>
      <c r="Q113">
        <v>1</v>
      </c>
      <c r="R113">
        <v>0</v>
      </c>
      <c r="S113" t="s">
        <v>39725</v>
      </c>
      <c r="T113" t="s">
        <v>39947</v>
      </c>
    </row>
    <row r="114" spans="1:20">
      <c r="A114" t="s">
        <v>39946</v>
      </c>
      <c r="B114" t="s">
        <v>39723</v>
      </c>
      <c r="C114" t="s">
        <v>39724</v>
      </c>
      <c r="D114" t="s">
        <v>39723</v>
      </c>
      <c r="E114" s="84">
        <v>3.5999999999999998E-8</v>
      </c>
      <c r="F114">
        <v>32.4</v>
      </c>
      <c r="G114">
        <v>0.5</v>
      </c>
      <c r="H114" s="84">
        <v>9.8000000000000004E-8</v>
      </c>
      <c r="I114">
        <v>30.9</v>
      </c>
      <c r="J114">
        <v>0</v>
      </c>
      <c r="K114">
        <v>1.8</v>
      </c>
      <c r="L114">
        <v>2</v>
      </c>
      <c r="M114">
        <v>0</v>
      </c>
      <c r="N114">
        <v>0</v>
      </c>
      <c r="O114">
        <v>2</v>
      </c>
      <c r="P114">
        <v>2</v>
      </c>
      <c r="Q114">
        <v>2</v>
      </c>
      <c r="R114">
        <v>1</v>
      </c>
      <c r="S114" t="s">
        <v>39725</v>
      </c>
      <c r="T114" t="s">
        <v>39947</v>
      </c>
    </row>
    <row r="115" spans="1:20">
      <c r="A115" t="s">
        <v>39948</v>
      </c>
      <c r="B115" t="s">
        <v>39723</v>
      </c>
      <c r="C115" t="s">
        <v>39730</v>
      </c>
      <c r="D115" t="s">
        <v>39723</v>
      </c>
      <c r="E115">
        <v>2.7E-2</v>
      </c>
      <c r="F115">
        <v>13.3</v>
      </c>
      <c r="G115">
        <v>0.5</v>
      </c>
      <c r="H115">
        <v>0.09</v>
      </c>
      <c r="I115">
        <v>11.6</v>
      </c>
      <c r="J115">
        <v>0.1</v>
      </c>
      <c r="K115">
        <v>2</v>
      </c>
      <c r="L115">
        <v>2</v>
      </c>
      <c r="M115">
        <v>0</v>
      </c>
      <c r="N115">
        <v>0</v>
      </c>
      <c r="O115">
        <v>2</v>
      </c>
      <c r="P115">
        <v>2</v>
      </c>
      <c r="Q115">
        <v>2</v>
      </c>
      <c r="R115">
        <v>0</v>
      </c>
      <c r="S115" t="s">
        <v>39725</v>
      </c>
      <c r="T115" t="s">
        <v>39949</v>
      </c>
    </row>
    <row r="116" spans="1:20">
      <c r="A116" t="s">
        <v>39950</v>
      </c>
      <c r="B116" t="s">
        <v>39723</v>
      </c>
      <c r="C116" t="s">
        <v>39724</v>
      </c>
      <c r="D116" t="s">
        <v>39723</v>
      </c>
      <c r="E116">
        <v>7.5999999999999998E-2</v>
      </c>
      <c r="F116">
        <v>11.5</v>
      </c>
      <c r="G116">
        <v>0</v>
      </c>
      <c r="H116">
        <v>5.3</v>
      </c>
      <c r="I116">
        <v>5.5</v>
      </c>
      <c r="J116">
        <v>0</v>
      </c>
      <c r="K116">
        <v>2.2000000000000002</v>
      </c>
      <c r="L116">
        <v>2</v>
      </c>
      <c r="M116">
        <v>0</v>
      </c>
      <c r="N116">
        <v>0</v>
      </c>
      <c r="O116">
        <v>2</v>
      </c>
      <c r="P116">
        <v>2</v>
      </c>
      <c r="Q116">
        <v>2</v>
      </c>
      <c r="R116">
        <v>0</v>
      </c>
      <c r="S116" t="s">
        <v>39725</v>
      </c>
      <c r="T116" t="s">
        <v>39951</v>
      </c>
    </row>
    <row r="117" spans="1:20">
      <c r="A117" t="s">
        <v>39952</v>
      </c>
      <c r="B117" t="s">
        <v>39723</v>
      </c>
      <c r="C117" t="s">
        <v>39724</v>
      </c>
      <c r="D117" t="s">
        <v>39723</v>
      </c>
      <c r="E117" s="84">
        <v>1.3000000000000001E-8</v>
      </c>
      <c r="F117">
        <v>33.799999999999997</v>
      </c>
      <c r="G117">
        <v>0</v>
      </c>
      <c r="H117" s="84">
        <v>2E-8</v>
      </c>
      <c r="I117">
        <v>33.200000000000003</v>
      </c>
      <c r="J117">
        <v>0</v>
      </c>
      <c r="K117">
        <v>1.2</v>
      </c>
      <c r="L117">
        <v>1</v>
      </c>
      <c r="M117">
        <v>0</v>
      </c>
      <c r="N117">
        <v>0</v>
      </c>
      <c r="O117">
        <v>1</v>
      </c>
      <c r="P117">
        <v>1</v>
      </c>
      <c r="Q117">
        <v>1</v>
      </c>
      <c r="R117">
        <v>1</v>
      </c>
      <c r="S117" t="s">
        <v>39725</v>
      </c>
      <c r="T117" t="s">
        <v>39953</v>
      </c>
    </row>
    <row r="118" spans="1:20">
      <c r="A118" t="s">
        <v>39954</v>
      </c>
      <c r="B118" t="s">
        <v>39723</v>
      </c>
      <c r="C118" t="s">
        <v>39724</v>
      </c>
      <c r="D118" t="s">
        <v>39723</v>
      </c>
      <c r="E118" s="84">
        <v>7.4000000000000003E-6</v>
      </c>
      <c r="F118">
        <v>24.8</v>
      </c>
      <c r="G118">
        <v>0.4</v>
      </c>
      <c r="H118" s="84">
        <v>8.6000000000000003E-5</v>
      </c>
      <c r="I118">
        <v>21.2</v>
      </c>
      <c r="J118">
        <v>0.1</v>
      </c>
      <c r="K118">
        <v>2.5</v>
      </c>
      <c r="L118">
        <v>3</v>
      </c>
      <c r="M118">
        <v>0</v>
      </c>
      <c r="N118">
        <v>0</v>
      </c>
      <c r="O118">
        <v>3</v>
      </c>
      <c r="P118">
        <v>3</v>
      </c>
      <c r="Q118">
        <v>2</v>
      </c>
      <c r="R118">
        <v>1</v>
      </c>
      <c r="S118" t="s">
        <v>39725</v>
      </c>
      <c r="T118" t="s">
        <v>39955</v>
      </c>
    </row>
    <row r="119" spans="1:20">
      <c r="A119" t="s">
        <v>39956</v>
      </c>
      <c r="B119" t="s">
        <v>39723</v>
      </c>
      <c r="C119" t="s">
        <v>39730</v>
      </c>
      <c r="D119" t="s">
        <v>39723</v>
      </c>
      <c r="E119">
        <v>5.3999999999999999E-2</v>
      </c>
      <c r="F119">
        <v>12.3</v>
      </c>
      <c r="G119">
        <v>0.8</v>
      </c>
      <c r="H119">
        <v>0.59</v>
      </c>
      <c r="I119">
        <v>8.9</v>
      </c>
      <c r="J119">
        <v>0.8</v>
      </c>
      <c r="K119">
        <v>2.2000000000000002</v>
      </c>
      <c r="L119">
        <v>1</v>
      </c>
      <c r="M119">
        <v>1</v>
      </c>
      <c r="N119">
        <v>0</v>
      </c>
      <c r="O119">
        <v>1</v>
      </c>
      <c r="P119">
        <v>1</v>
      </c>
      <c r="Q119">
        <v>1</v>
      </c>
      <c r="R119">
        <v>0</v>
      </c>
      <c r="S119" t="s">
        <v>39725</v>
      </c>
      <c r="T119" t="s">
        <v>39957</v>
      </c>
    </row>
    <row r="120" spans="1:20">
      <c r="A120" t="s">
        <v>39958</v>
      </c>
      <c r="B120" t="s">
        <v>39723</v>
      </c>
      <c r="C120" t="s">
        <v>38528</v>
      </c>
      <c r="D120" t="s">
        <v>39723</v>
      </c>
      <c r="E120">
        <v>4.3999999999999997E-2</v>
      </c>
      <c r="F120">
        <v>12.4</v>
      </c>
      <c r="G120">
        <v>0</v>
      </c>
      <c r="H120">
        <v>6.5000000000000002E-2</v>
      </c>
      <c r="I120">
        <v>11.9</v>
      </c>
      <c r="J120">
        <v>0</v>
      </c>
      <c r="K120">
        <v>1.2</v>
      </c>
      <c r="L120">
        <v>1</v>
      </c>
      <c r="M120">
        <v>0</v>
      </c>
      <c r="N120">
        <v>0</v>
      </c>
      <c r="O120">
        <v>1</v>
      </c>
      <c r="P120">
        <v>1</v>
      </c>
      <c r="Q120">
        <v>1</v>
      </c>
      <c r="R120">
        <v>0</v>
      </c>
      <c r="S120" t="s">
        <v>39725</v>
      </c>
      <c r="T120" t="s">
        <v>39959</v>
      </c>
    </row>
    <row r="121" spans="1:20">
      <c r="A121" t="s">
        <v>39960</v>
      </c>
      <c r="B121" t="s">
        <v>39723</v>
      </c>
      <c r="C121" t="s">
        <v>39730</v>
      </c>
      <c r="D121" t="s">
        <v>39723</v>
      </c>
      <c r="E121">
        <v>2.9000000000000001E-2</v>
      </c>
      <c r="F121">
        <v>13.2</v>
      </c>
      <c r="G121">
        <v>0</v>
      </c>
      <c r="H121">
        <v>5.7</v>
      </c>
      <c r="I121">
        <v>5.7</v>
      </c>
      <c r="J121">
        <v>0</v>
      </c>
      <c r="K121">
        <v>2.4</v>
      </c>
      <c r="L121">
        <v>2</v>
      </c>
      <c r="M121">
        <v>0</v>
      </c>
      <c r="N121">
        <v>0</v>
      </c>
      <c r="O121">
        <v>2</v>
      </c>
      <c r="P121">
        <v>2</v>
      </c>
      <c r="Q121">
        <v>2</v>
      </c>
      <c r="R121">
        <v>0</v>
      </c>
      <c r="S121" t="s">
        <v>39725</v>
      </c>
      <c r="T121" t="s">
        <v>39961</v>
      </c>
    </row>
    <row r="122" spans="1:20">
      <c r="A122" t="s">
        <v>39962</v>
      </c>
      <c r="B122" t="s">
        <v>39723</v>
      </c>
      <c r="C122" t="s">
        <v>39764</v>
      </c>
      <c r="D122" t="s">
        <v>39723</v>
      </c>
      <c r="E122" s="84">
        <v>3.6000000000000003E-33</v>
      </c>
      <c r="F122">
        <v>114.4</v>
      </c>
      <c r="G122">
        <v>0</v>
      </c>
      <c r="H122" s="84">
        <v>4.7000000000000002E-33</v>
      </c>
      <c r="I122">
        <v>114.1</v>
      </c>
      <c r="J122">
        <v>0</v>
      </c>
      <c r="K122">
        <v>1.2</v>
      </c>
      <c r="L122">
        <v>1</v>
      </c>
      <c r="M122">
        <v>0</v>
      </c>
      <c r="N122">
        <v>0</v>
      </c>
      <c r="O122">
        <v>1</v>
      </c>
      <c r="P122">
        <v>1</v>
      </c>
      <c r="Q122">
        <v>1</v>
      </c>
      <c r="R122">
        <v>1</v>
      </c>
      <c r="S122" t="s">
        <v>39725</v>
      </c>
      <c r="T122" t="s">
        <v>39963</v>
      </c>
    </row>
    <row r="123" spans="1:20">
      <c r="A123" t="s">
        <v>39964</v>
      </c>
      <c r="B123" t="s">
        <v>39723</v>
      </c>
      <c r="C123" t="s">
        <v>39730</v>
      </c>
      <c r="D123" t="s">
        <v>39723</v>
      </c>
      <c r="E123">
        <v>5.1000000000000004E-4</v>
      </c>
      <c r="F123">
        <v>19</v>
      </c>
      <c r="G123">
        <v>2.1</v>
      </c>
      <c r="H123">
        <v>0.35</v>
      </c>
      <c r="I123">
        <v>9.6999999999999993</v>
      </c>
      <c r="J123">
        <v>0.1</v>
      </c>
      <c r="K123">
        <v>3</v>
      </c>
      <c r="L123">
        <v>3</v>
      </c>
      <c r="M123">
        <v>0</v>
      </c>
      <c r="N123">
        <v>0</v>
      </c>
      <c r="O123">
        <v>3</v>
      </c>
      <c r="P123">
        <v>3</v>
      </c>
      <c r="Q123">
        <v>3</v>
      </c>
      <c r="R123">
        <v>2</v>
      </c>
      <c r="S123" t="s">
        <v>39725</v>
      </c>
      <c r="T123" t="s">
        <v>39965</v>
      </c>
    </row>
    <row r="124" spans="1:20">
      <c r="A124" t="s">
        <v>39966</v>
      </c>
      <c r="B124" t="s">
        <v>39723</v>
      </c>
      <c r="C124" t="s">
        <v>39730</v>
      </c>
      <c r="D124" t="s">
        <v>39723</v>
      </c>
      <c r="E124">
        <v>5.8000000000000003E-2</v>
      </c>
      <c r="F124">
        <v>12.2</v>
      </c>
      <c r="G124">
        <v>0</v>
      </c>
      <c r="H124">
        <v>7.1999999999999995E-2</v>
      </c>
      <c r="I124">
        <v>11.9</v>
      </c>
      <c r="J124">
        <v>0</v>
      </c>
      <c r="K124">
        <v>1.1000000000000001</v>
      </c>
      <c r="L124">
        <v>1</v>
      </c>
      <c r="M124">
        <v>0</v>
      </c>
      <c r="N124">
        <v>0</v>
      </c>
      <c r="O124">
        <v>1</v>
      </c>
      <c r="P124">
        <v>1</v>
      </c>
      <c r="Q124">
        <v>1</v>
      </c>
      <c r="R124">
        <v>0</v>
      </c>
      <c r="S124" t="s">
        <v>39725</v>
      </c>
      <c r="T124" t="s">
        <v>39967</v>
      </c>
    </row>
    <row r="125" spans="1:20">
      <c r="A125" t="s">
        <v>39968</v>
      </c>
      <c r="B125" t="s">
        <v>39723</v>
      </c>
      <c r="C125" t="s">
        <v>39724</v>
      </c>
      <c r="D125" t="s">
        <v>39723</v>
      </c>
      <c r="E125" s="84">
        <v>1.2E-5</v>
      </c>
      <c r="F125">
        <v>24</v>
      </c>
      <c r="G125">
        <v>0</v>
      </c>
      <c r="H125">
        <v>1.1E-4</v>
      </c>
      <c r="I125">
        <v>20.9</v>
      </c>
      <c r="J125">
        <v>0</v>
      </c>
      <c r="K125">
        <v>2</v>
      </c>
      <c r="L125">
        <v>2</v>
      </c>
      <c r="M125">
        <v>0</v>
      </c>
      <c r="N125">
        <v>0</v>
      </c>
      <c r="O125">
        <v>2</v>
      </c>
      <c r="P125">
        <v>2</v>
      </c>
      <c r="Q125">
        <v>2</v>
      </c>
      <c r="R125">
        <v>1</v>
      </c>
      <c r="S125" t="s">
        <v>39725</v>
      </c>
      <c r="T125" t="s">
        <v>39969</v>
      </c>
    </row>
    <row r="126" spans="1:20">
      <c r="A126" t="s">
        <v>39970</v>
      </c>
      <c r="B126" t="s">
        <v>39723</v>
      </c>
      <c r="C126" t="s">
        <v>39730</v>
      </c>
      <c r="D126" t="s">
        <v>39723</v>
      </c>
      <c r="E126">
        <v>5.0999999999999997E-2</v>
      </c>
      <c r="F126">
        <v>12.4</v>
      </c>
      <c r="G126">
        <v>0</v>
      </c>
      <c r="H126">
        <v>8.7999999999999995E-2</v>
      </c>
      <c r="I126">
        <v>11.6</v>
      </c>
      <c r="J126">
        <v>0</v>
      </c>
      <c r="K126">
        <v>1.3</v>
      </c>
      <c r="L126">
        <v>1</v>
      </c>
      <c r="M126">
        <v>0</v>
      </c>
      <c r="N126">
        <v>0</v>
      </c>
      <c r="O126">
        <v>1</v>
      </c>
      <c r="P126">
        <v>1</v>
      </c>
      <c r="Q126">
        <v>1</v>
      </c>
      <c r="R126">
        <v>0</v>
      </c>
      <c r="S126" t="s">
        <v>39725</v>
      </c>
      <c r="T126" t="s">
        <v>39971</v>
      </c>
    </row>
    <row r="127" spans="1:20">
      <c r="A127" t="s">
        <v>39972</v>
      </c>
      <c r="B127" t="s">
        <v>39723</v>
      </c>
      <c r="C127" t="s">
        <v>39724</v>
      </c>
      <c r="D127" t="s">
        <v>39723</v>
      </c>
      <c r="E127" s="84">
        <v>9.5999999999999991E-7</v>
      </c>
      <c r="F127">
        <v>27.7</v>
      </c>
      <c r="G127">
        <v>0</v>
      </c>
      <c r="H127">
        <v>0.18</v>
      </c>
      <c r="I127">
        <v>10.3</v>
      </c>
      <c r="J127">
        <v>0</v>
      </c>
      <c r="K127">
        <v>3.1</v>
      </c>
      <c r="L127">
        <v>3</v>
      </c>
      <c r="M127">
        <v>0</v>
      </c>
      <c r="N127">
        <v>0</v>
      </c>
      <c r="O127">
        <v>3</v>
      </c>
      <c r="P127">
        <v>3</v>
      </c>
      <c r="Q127">
        <v>3</v>
      </c>
      <c r="R127">
        <v>2</v>
      </c>
      <c r="S127" t="s">
        <v>39725</v>
      </c>
      <c r="T127" t="s">
        <v>39973</v>
      </c>
    </row>
    <row r="128" spans="1:20">
      <c r="A128" t="s">
        <v>39974</v>
      </c>
      <c r="B128" t="s">
        <v>39723</v>
      </c>
      <c r="C128" t="s">
        <v>39724</v>
      </c>
      <c r="D128" t="s">
        <v>39723</v>
      </c>
      <c r="E128">
        <v>5.1999999999999995E-4</v>
      </c>
      <c r="F128">
        <v>18.7</v>
      </c>
      <c r="G128">
        <v>0.1</v>
      </c>
      <c r="H128">
        <v>1.6999999999999999E-3</v>
      </c>
      <c r="I128">
        <v>16.899999999999999</v>
      </c>
      <c r="J128">
        <v>0</v>
      </c>
      <c r="K128">
        <v>1.9</v>
      </c>
      <c r="L128">
        <v>2</v>
      </c>
      <c r="M128">
        <v>0</v>
      </c>
      <c r="N128">
        <v>0</v>
      </c>
      <c r="O128">
        <v>2</v>
      </c>
      <c r="P128">
        <v>2</v>
      </c>
      <c r="Q128">
        <v>2</v>
      </c>
      <c r="R128">
        <v>1</v>
      </c>
      <c r="S128" t="s">
        <v>39725</v>
      </c>
      <c r="T128" t="s">
        <v>39975</v>
      </c>
    </row>
    <row r="129" spans="1:20">
      <c r="A129" t="s">
        <v>39976</v>
      </c>
      <c r="B129" t="s">
        <v>39723</v>
      </c>
      <c r="C129" t="s">
        <v>39724</v>
      </c>
      <c r="D129" t="s">
        <v>39723</v>
      </c>
      <c r="E129">
        <v>1.4E-2</v>
      </c>
      <c r="F129">
        <v>14</v>
      </c>
      <c r="G129">
        <v>2.7</v>
      </c>
      <c r="H129">
        <v>1.4</v>
      </c>
      <c r="I129">
        <v>7.4</v>
      </c>
      <c r="J129">
        <v>2.1</v>
      </c>
      <c r="K129">
        <v>3.6</v>
      </c>
      <c r="L129">
        <v>2</v>
      </c>
      <c r="M129">
        <v>1</v>
      </c>
      <c r="N129">
        <v>0</v>
      </c>
      <c r="O129">
        <v>2</v>
      </c>
      <c r="P129">
        <v>2</v>
      </c>
      <c r="Q129">
        <v>2</v>
      </c>
      <c r="R129">
        <v>0</v>
      </c>
      <c r="S129" t="s">
        <v>39725</v>
      </c>
      <c r="T129" t="s">
        <v>39977</v>
      </c>
    </row>
    <row r="130" spans="1:20">
      <c r="A130" t="s">
        <v>39978</v>
      </c>
      <c r="B130" t="s">
        <v>39723</v>
      </c>
      <c r="C130" t="s">
        <v>38528</v>
      </c>
      <c r="D130" t="s">
        <v>39723</v>
      </c>
      <c r="E130">
        <v>0.18</v>
      </c>
      <c r="F130">
        <v>10.4</v>
      </c>
      <c r="G130">
        <v>0.6</v>
      </c>
      <c r="H130">
        <v>0.3</v>
      </c>
      <c r="I130">
        <v>9.6999999999999993</v>
      </c>
      <c r="J130">
        <v>0.6</v>
      </c>
      <c r="K130">
        <v>1.3</v>
      </c>
      <c r="L130">
        <v>1</v>
      </c>
      <c r="M130">
        <v>0</v>
      </c>
      <c r="N130">
        <v>0</v>
      </c>
      <c r="O130">
        <v>1</v>
      </c>
      <c r="P130">
        <v>1</v>
      </c>
      <c r="Q130">
        <v>1</v>
      </c>
      <c r="R130">
        <v>0</v>
      </c>
      <c r="S130" t="s">
        <v>39725</v>
      </c>
      <c r="T130" t="s">
        <v>39979</v>
      </c>
    </row>
    <row r="131" spans="1:20">
      <c r="A131" t="s">
        <v>39980</v>
      </c>
      <c r="B131" t="s">
        <v>39723</v>
      </c>
      <c r="C131" t="s">
        <v>39724</v>
      </c>
      <c r="D131" t="s">
        <v>39723</v>
      </c>
      <c r="E131" s="84">
        <v>2.6999999999999999E-5</v>
      </c>
      <c r="F131">
        <v>22.9</v>
      </c>
      <c r="G131">
        <v>0.3</v>
      </c>
      <c r="H131" s="84">
        <v>7.7999999999999999E-5</v>
      </c>
      <c r="I131">
        <v>21.4</v>
      </c>
      <c r="J131">
        <v>0.1</v>
      </c>
      <c r="K131">
        <v>1.8</v>
      </c>
      <c r="L131">
        <v>1</v>
      </c>
      <c r="M131">
        <v>1</v>
      </c>
      <c r="N131">
        <v>1</v>
      </c>
      <c r="O131">
        <v>2</v>
      </c>
      <c r="P131">
        <v>2</v>
      </c>
      <c r="Q131">
        <v>2</v>
      </c>
      <c r="R131">
        <v>1</v>
      </c>
      <c r="S131" t="s">
        <v>39725</v>
      </c>
      <c r="T131" t="s">
        <v>39981</v>
      </c>
    </row>
    <row r="132" spans="1:20">
      <c r="A132" t="s">
        <v>39982</v>
      </c>
      <c r="B132" t="s">
        <v>39723</v>
      </c>
      <c r="C132" t="s">
        <v>39730</v>
      </c>
      <c r="D132" t="s">
        <v>39723</v>
      </c>
      <c r="E132">
        <v>8.3000000000000004E-2</v>
      </c>
      <c r="F132">
        <v>11.7</v>
      </c>
      <c r="G132">
        <v>0</v>
      </c>
      <c r="H132">
        <v>0.16</v>
      </c>
      <c r="I132">
        <v>10.8</v>
      </c>
      <c r="J132">
        <v>0</v>
      </c>
      <c r="K132">
        <v>1.4</v>
      </c>
      <c r="L132">
        <v>1</v>
      </c>
      <c r="M132">
        <v>0</v>
      </c>
      <c r="N132">
        <v>0</v>
      </c>
      <c r="O132">
        <v>1</v>
      </c>
      <c r="P132">
        <v>1</v>
      </c>
      <c r="Q132">
        <v>1</v>
      </c>
      <c r="R132">
        <v>0</v>
      </c>
      <c r="S132" t="s">
        <v>39725</v>
      </c>
      <c r="T132" t="s">
        <v>39983</v>
      </c>
    </row>
    <row r="133" spans="1:20">
      <c r="A133" t="s">
        <v>39984</v>
      </c>
      <c r="B133" t="s">
        <v>39723</v>
      </c>
      <c r="C133" t="s">
        <v>39730</v>
      </c>
      <c r="D133" t="s">
        <v>39723</v>
      </c>
      <c r="E133">
        <v>0.01</v>
      </c>
      <c r="F133">
        <v>14.7</v>
      </c>
      <c r="G133">
        <v>0</v>
      </c>
      <c r="H133">
        <v>1.6E-2</v>
      </c>
      <c r="I133">
        <v>14</v>
      </c>
      <c r="J133">
        <v>0</v>
      </c>
      <c r="K133">
        <v>1.2</v>
      </c>
      <c r="L133">
        <v>1</v>
      </c>
      <c r="M133">
        <v>0</v>
      </c>
      <c r="N133">
        <v>0</v>
      </c>
      <c r="O133">
        <v>1</v>
      </c>
      <c r="P133">
        <v>1</v>
      </c>
      <c r="Q133">
        <v>1</v>
      </c>
      <c r="R133">
        <v>0</v>
      </c>
      <c r="S133" t="s">
        <v>39725</v>
      </c>
      <c r="T133" t="s">
        <v>39985</v>
      </c>
    </row>
    <row r="134" spans="1:20">
      <c r="A134" t="s">
        <v>39986</v>
      </c>
      <c r="B134" t="s">
        <v>39723</v>
      </c>
      <c r="C134" t="s">
        <v>39724</v>
      </c>
      <c r="D134" t="s">
        <v>39723</v>
      </c>
      <c r="E134" s="84">
        <v>7.8000000000000005E-7</v>
      </c>
      <c r="F134">
        <v>28</v>
      </c>
      <c r="G134">
        <v>0</v>
      </c>
      <c r="H134">
        <v>7.1000000000000002E-4</v>
      </c>
      <c r="I134">
        <v>18.2</v>
      </c>
      <c r="J134">
        <v>0</v>
      </c>
      <c r="K134">
        <v>2.6</v>
      </c>
      <c r="L134">
        <v>1</v>
      </c>
      <c r="M134">
        <v>1</v>
      </c>
      <c r="N134">
        <v>0</v>
      </c>
      <c r="O134">
        <v>1</v>
      </c>
      <c r="P134">
        <v>1</v>
      </c>
      <c r="Q134">
        <v>1</v>
      </c>
      <c r="R134">
        <v>1</v>
      </c>
      <c r="S134" t="s">
        <v>39725</v>
      </c>
      <c r="T134" t="s">
        <v>39987</v>
      </c>
    </row>
    <row r="135" spans="1:20">
      <c r="A135" t="s">
        <v>39988</v>
      </c>
      <c r="B135" t="s">
        <v>39723</v>
      </c>
      <c r="C135" t="s">
        <v>39730</v>
      </c>
      <c r="D135" t="s">
        <v>39723</v>
      </c>
      <c r="E135">
        <v>7.7999999999999996E-3</v>
      </c>
      <c r="F135">
        <v>15.1</v>
      </c>
      <c r="G135">
        <v>0</v>
      </c>
      <c r="H135">
        <v>1.2E-2</v>
      </c>
      <c r="I135">
        <v>14.5</v>
      </c>
      <c r="J135">
        <v>0</v>
      </c>
      <c r="K135">
        <v>1.2</v>
      </c>
      <c r="L135">
        <v>1</v>
      </c>
      <c r="M135">
        <v>0</v>
      </c>
      <c r="N135">
        <v>0</v>
      </c>
      <c r="O135">
        <v>1</v>
      </c>
      <c r="P135">
        <v>1</v>
      </c>
      <c r="Q135">
        <v>1</v>
      </c>
      <c r="R135">
        <v>1</v>
      </c>
      <c r="S135" t="s">
        <v>39725</v>
      </c>
      <c r="T135" t="s">
        <v>39989</v>
      </c>
    </row>
    <row r="136" spans="1:20">
      <c r="A136" t="s">
        <v>39990</v>
      </c>
      <c r="B136" t="s">
        <v>39723</v>
      </c>
      <c r="C136" t="s">
        <v>39730</v>
      </c>
      <c r="D136" t="s">
        <v>39723</v>
      </c>
      <c r="E136">
        <v>6.5000000000000002E-2</v>
      </c>
      <c r="F136">
        <v>12.1</v>
      </c>
      <c r="G136">
        <v>0.1</v>
      </c>
      <c r="H136">
        <v>4.9000000000000004</v>
      </c>
      <c r="I136">
        <v>5.9</v>
      </c>
      <c r="J136">
        <v>0</v>
      </c>
      <c r="K136">
        <v>2.2999999999999998</v>
      </c>
      <c r="L136">
        <v>2</v>
      </c>
      <c r="M136">
        <v>0</v>
      </c>
      <c r="N136">
        <v>0</v>
      </c>
      <c r="O136">
        <v>2</v>
      </c>
      <c r="P136">
        <v>2</v>
      </c>
      <c r="Q136">
        <v>2</v>
      </c>
      <c r="R136">
        <v>0</v>
      </c>
      <c r="S136" t="s">
        <v>39725</v>
      </c>
      <c r="T136" t="s">
        <v>39991</v>
      </c>
    </row>
    <row r="137" spans="1:20">
      <c r="A137" s="85" t="s">
        <v>39992</v>
      </c>
      <c r="B137" s="85" t="s">
        <v>39723</v>
      </c>
      <c r="C137" s="85" t="s">
        <v>39730</v>
      </c>
      <c r="D137" s="85" t="s">
        <v>39723</v>
      </c>
      <c r="E137" s="85">
        <v>6.3E-2</v>
      </c>
      <c r="F137" s="85">
        <v>12.1</v>
      </c>
      <c r="G137" s="85">
        <v>0</v>
      </c>
      <c r="H137" s="85">
        <v>0.08</v>
      </c>
      <c r="I137" s="85">
        <v>11.8</v>
      </c>
      <c r="J137" s="85">
        <v>0</v>
      </c>
      <c r="K137" s="85">
        <v>1.1000000000000001</v>
      </c>
      <c r="L137" s="85">
        <v>1</v>
      </c>
      <c r="M137" s="85">
        <v>0</v>
      </c>
      <c r="N137" s="85">
        <v>0</v>
      </c>
      <c r="O137" s="85">
        <v>1</v>
      </c>
      <c r="P137" s="85">
        <v>1</v>
      </c>
      <c r="Q137" s="85">
        <v>1</v>
      </c>
      <c r="R137" s="85">
        <v>0</v>
      </c>
      <c r="S137" s="85" t="s">
        <v>39725</v>
      </c>
      <c r="T137" s="85" t="s">
        <v>39993</v>
      </c>
    </row>
    <row r="138" spans="1:20">
      <c r="A138" s="85" t="s">
        <v>39994</v>
      </c>
      <c r="B138" s="85" t="s">
        <v>39723</v>
      </c>
      <c r="C138" s="85" t="s">
        <v>39724</v>
      </c>
      <c r="D138" s="85" t="s">
        <v>39723</v>
      </c>
      <c r="E138" s="86">
        <v>8.2000000000000006E-8</v>
      </c>
      <c r="F138" s="85">
        <v>31.2</v>
      </c>
      <c r="G138" s="85">
        <v>0</v>
      </c>
      <c r="H138" s="86">
        <v>3.5999999999999998E-6</v>
      </c>
      <c r="I138" s="85">
        <v>25.8</v>
      </c>
      <c r="J138" s="85">
        <v>0</v>
      </c>
      <c r="K138" s="85">
        <v>2.7</v>
      </c>
      <c r="L138" s="85">
        <v>3</v>
      </c>
      <c r="M138" s="85">
        <v>0</v>
      </c>
      <c r="N138" s="85">
        <v>0</v>
      </c>
      <c r="O138" s="85">
        <v>3</v>
      </c>
      <c r="P138" s="85">
        <v>3</v>
      </c>
      <c r="Q138" s="85">
        <v>3</v>
      </c>
      <c r="R138" s="85">
        <v>1</v>
      </c>
      <c r="S138" s="85" t="s">
        <v>39725</v>
      </c>
      <c r="T138" s="85" t="s">
        <v>39995</v>
      </c>
    </row>
    <row r="139" spans="1:20">
      <c r="A139" s="85" t="s">
        <v>39996</v>
      </c>
      <c r="B139" s="85" t="s">
        <v>39723</v>
      </c>
      <c r="C139" s="85" t="s">
        <v>39724</v>
      </c>
      <c r="D139" s="85" t="s">
        <v>39723</v>
      </c>
      <c r="E139" s="86">
        <v>1.3E-11</v>
      </c>
      <c r="F139" s="85">
        <v>43.8</v>
      </c>
      <c r="G139" s="85">
        <v>0</v>
      </c>
      <c r="H139" s="86">
        <v>6.9E-10</v>
      </c>
      <c r="I139" s="85">
        <v>38</v>
      </c>
      <c r="J139" s="85">
        <v>0</v>
      </c>
      <c r="K139" s="85">
        <v>2.2000000000000002</v>
      </c>
      <c r="L139" s="85">
        <v>1</v>
      </c>
      <c r="M139" s="85">
        <v>1</v>
      </c>
      <c r="N139" s="85">
        <v>0</v>
      </c>
      <c r="O139" s="85">
        <v>1</v>
      </c>
      <c r="P139" s="85">
        <v>1</v>
      </c>
      <c r="Q139" s="85">
        <v>1</v>
      </c>
      <c r="R139" s="85">
        <v>1</v>
      </c>
      <c r="S139" s="85" t="s">
        <v>39725</v>
      </c>
      <c r="T139" s="85" t="s">
        <v>39997</v>
      </c>
    </row>
    <row r="140" spans="1:20">
      <c r="A140" s="85" t="s">
        <v>39998</v>
      </c>
      <c r="B140" s="85" t="s">
        <v>39723</v>
      </c>
      <c r="C140" s="85" t="s">
        <v>39724</v>
      </c>
      <c r="D140" s="85" t="s">
        <v>39723</v>
      </c>
      <c r="E140" s="85">
        <v>1.4E-3</v>
      </c>
      <c r="F140" s="85">
        <v>17.3</v>
      </c>
      <c r="G140" s="85">
        <v>0.2</v>
      </c>
      <c r="H140" s="85">
        <v>0.31</v>
      </c>
      <c r="I140" s="85">
        <v>9.5</v>
      </c>
      <c r="J140" s="85">
        <v>0</v>
      </c>
      <c r="K140" s="85">
        <v>2.2999999999999998</v>
      </c>
      <c r="L140" s="85">
        <v>2</v>
      </c>
      <c r="M140" s="85">
        <v>0</v>
      </c>
      <c r="N140" s="85">
        <v>0</v>
      </c>
      <c r="O140" s="85">
        <v>2</v>
      </c>
      <c r="P140" s="85">
        <v>2</v>
      </c>
      <c r="Q140" s="85">
        <v>2</v>
      </c>
      <c r="R140" s="85">
        <v>1</v>
      </c>
      <c r="S140" s="85" t="s">
        <v>39725</v>
      </c>
      <c r="T140" s="85" t="s">
        <v>39999</v>
      </c>
    </row>
    <row r="141" spans="1:20">
      <c r="A141" s="85" t="s">
        <v>40000</v>
      </c>
      <c r="B141" s="85" t="s">
        <v>39723</v>
      </c>
      <c r="C141" s="85" t="s">
        <v>39724</v>
      </c>
      <c r="D141" s="85" t="s">
        <v>39723</v>
      </c>
      <c r="E141" s="86">
        <v>4.9999999999999998E-7</v>
      </c>
      <c r="F141" s="85">
        <v>28.6</v>
      </c>
      <c r="G141" s="85">
        <v>0</v>
      </c>
      <c r="H141" s="86">
        <v>1.2999999999999999E-5</v>
      </c>
      <c r="I141" s="85">
        <v>23.9</v>
      </c>
      <c r="J141" s="85">
        <v>0</v>
      </c>
      <c r="K141" s="85">
        <v>2.2999999999999998</v>
      </c>
      <c r="L141" s="85">
        <v>1</v>
      </c>
      <c r="M141" s="85">
        <v>1</v>
      </c>
      <c r="N141" s="85">
        <v>0</v>
      </c>
      <c r="O141" s="85">
        <v>1</v>
      </c>
      <c r="P141" s="85">
        <v>1</v>
      </c>
      <c r="Q141" s="85">
        <v>1</v>
      </c>
      <c r="R141" s="85">
        <v>1</v>
      </c>
      <c r="S141" s="85" t="s">
        <v>39725</v>
      </c>
      <c r="T141" s="85" t="s">
        <v>40001</v>
      </c>
    </row>
    <row r="142" spans="1:20">
      <c r="A142" s="85" t="s">
        <v>40002</v>
      </c>
      <c r="B142" s="85" t="s">
        <v>39723</v>
      </c>
      <c r="C142" s="85" t="s">
        <v>39730</v>
      </c>
      <c r="D142" s="85" t="s">
        <v>39723</v>
      </c>
      <c r="E142" s="85">
        <v>5.0000000000000001E-4</v>
      </c>
      <c r="F142" s="85">
        <v>19</v>
      </c>
      <c r="G142" s="85">
        <v>0</v>
      </c>
      <c r="H142" s="85">
        <v>8.5999999999999998E-4</v>
      </c>
      <c r="I142" s="85">
        <v>18.2</v>
      </c>
      <c r="J142" s="85">
        <v>0</v>
      </c>
      <c r="K142" s="85">
        <v>1.3</v>
      </c>
      <c r="L142" s="85">
        <v>1</v>
      </c>
      <c r="M142" s="85">
        <v>0</v>
      </c>
      <c r="N142" s="85">
        <v>0</v>
      </c>
      <c r="O142" s="85">
        <v>1</v>
      </c>
      <c r="P142" s="85">
        <v>1</v>
      </c>
      <c r="Q142" s="85">
        <v>1</v>
      </c>
      <c r="R142" s="85">
        <v>1</v>
      </c>
      <c r="S142" s="85" t="s">
        <v>39725</v>
      </c>
      <c r="T142" s="85" t="s">
        <v>40003</v>
      </c>
    </row>
    <row r="143" spans="1:20">
      <c r="A143" s="85" t="s">
        <v>40004</v>
      </c>
      <c r="B143" s="85" t="s">
        <v>39723</v>
      </c>
      <c r="C143" s="85" t="s">
        <v>39831</v>
      </c>
      <c r="D143" s="85" t="s">
        <v>39723</v>
      </c>
      <c r="E143" s="86">
        <v>2.1999999999999999E-162</v>
      </c>
      <c r="F143" s="85">
        <v>541.70000000000005</v>
      </c>
      <c r="G143" s="85">
        <v>0</v>
      </c>
      <c r="H143" s="86">
        <v>5.7000000000000001E-147</v>
      </c>
      <c r="I143" s="85">
        <v>490.7</v>
      </c>
      <c r="J143" s="85">
        <v>0</v>
      </c>
      <c r="K143" s="85">
        <v>2.7</v>
      </c>
      <c r="L143" s="85">
        <v>2</v>
      </c>
      <c r="M143" s="85">
        <v>1</v>
      </c>
      <c r="N143" s="85">
        <v>0</v>
      </c>
      <c r="O143" s="85">
        <v>2</v>
      </c>
      <c r="P143" s="85">
        <v>2</v>
      </c>
      <c r="Q143" s="85">
        <v>2</v>
      </c>
      <c r="R143" s="85">
        <v>2</v>
      </c>
      <c r="S143" s="85" t="s">
        <v>39725</v>
      </c>
      <c r="T143" s="85" t="s">
        <v>40005</v>
      </c>
    </row>
    <row r="144" spans="1:20">
      <c r="A144" s="85" t="s">
        <v>40006</v>
      </c>
      <c r="B144" s="85" t="s">
        <v>39723</v>
      </c>
      <c r="C144" s="85" t="s">
        <v>39831</v>
      </c>
      <c r="D144" s="85" t="s">
        <v>39723</v>
      </c>
      <c r="E144" s="86">
        <v>1.8E-17</v>
      </c>
      <c r="F144" s="85">
        <v>61.8</v>
      </c>
      <c r="G144" s="85">
        <v>0</v>
      </c>
      <c r="H144" s="86">
        <v>2.3000000000000001E-17</v>
      </c>
      <c r="I144" s="85">
        <v>61.5</v>
      </c>
      <c r="J144" s="85">
        <v>0</v>
      </c>
      <c r="K144" s="85">
        <v>1</v>
      </c>
      <c r="L144" s="85">
        <v>1</v>
      </c>
      <c r="M144" s="85">
        <v>0</v>
      </c>
      <c r="N144" s="85">
        <v>0</v>
      </c>
      <c r="O144" s="85">
        <v>1</v>
      </c>
      <c r="P144" s="85">
        <v>1</v>
      </c>
      <c r="Q144" s="85">
        <v>1</v>
      </c>
      <c r="R144" s="85">
        <v>1</v>
      </c>
      <c r="S144" s="85" t="s">
        <v>39725</v>
      </c>
      <c r="T144" s="85" t="s">
        <v>40007</v>
      </c>
    </row>
    <row r="145" spans="1:20">
      <c r="A145" t="s">
        <v>40008</v>
      </c>
      <c r="B145" t="s">
        <v>39723</v>
      </c>
      <c r="C145" t="s">
        <v>39880</v>
      </c>
      <c r="D145" t="s">
        <v>39723</v>
      </c>
      <c r="E145">
        <v>3.8E-3</v>
      </c>
      <c r="F145">
        <v>15</v>
      </c>
      <c r="G145">
        <v>0</v>
      </c>
      <c r="H145">
        <v>5.3E-3</v>
      </c>
      <c r="I145">
        <v>14.6</v>
      </c>
      <c r="J145">
        <v>0</v>
      </c>
      <c r="K145">
        <v>1.1000000000000001</v>
      </c>
      <c r="L145">
        <v>1</v>
      </c>
      <c r="M145">
        <v>0</v>
      </c>
      <c r="N145">
        <v>0</v>
      </c>
      <c r="O145">
        <v>1</v>
      </c>
      <c r="P145">
        <v>1</v>
      </c>
      <c r="Q145">
        <v>1</v>
      </c>
      <c r="R145">
        <v>1</v>
      </c>
      <c r="S145" t="s">
        <v>39725</v>
      </c>
      <c r="T145" t="s">
        <v>40009</v>
      </c>
    </row>
    <row r="146" spans="1:20">
      <c r="A146" t="s">
        <v>40010</v>
      </c>
      <c r="B146" t="s">
        <v>39723</v>
      </c>
      <c r="C146" t="s">
        <v>39730</v>
      </c>
      <c r="D146" t="s">
        <v>39723</v>
      </c>
      <c r="E146">
        <v>4.7E-2</v>
      </c>
      <c r="F146">
        <v>12.5</v>
      </c>
      <c r="G146">
        <v>0</v>
      </c>
      <c r="H146">
        <v>8.2000000000000003E-2</v>
      </c>
      <c r="I146">
        <v>11.7</v>
      </c>
      <c r="J146">
        <v>0</v>
      </c>
      <c r="K146">
        <v>1.3</v>
      </c>
      <c r="L146">
        <v>1</v>
      </c>
      <c r="M146">
        <v>0</v>
      </c>
      <c r="N146">
        <v>0</v>
      </c>
      <c r="O146">
        <v>1</v>
      </c>
      <c r="P146">
        <v>1</v>
      </c>
      <c r="Q146">
        <v>1</v>
      </c>
      <c r="R146">
        <v>0</v>
      </c>
      <c r="S146" t="s">
        <v>39725</v>
      </c>
      <c r="T146" t="s">
        <v>40011</v>
      </c>
    </row>
    <row r="147" spans="1:20">
      <c r="A147" t="s">
        <v>40012</v>
      </c>
      <c r="B147" t="s">
        <v>39723</v>
      </c>
      <c r="C147" t="s">
        <v>39730</v>
      </c>
      <c r="D147" t="s">
        <v>39723</v>
      </c>
      <c r="E147">
        <v>0.02</v>
      </c>
      <c r="F147">
        <v>13.8</v>
      </c>
      <c r="G147">
        <v>0</v>
      </c>
      <c r="H147">
        <v>3.7999999999999999E-2</v>
      </c>
      <c r="I147">
        <v>12.8</v>
      </c>
      <c r="J147">
        <v>0</v>
      </c>
      <c r="K147">
        <v>1.4</v>
      </c>
      <c r="L147">
        <v>1</v>
      </c>
      <c r="M147">
        <v>0</v>
      </c>
      <c r="N147">
        <v>0</v>
      </c>
      <c r="O147">
        <v>1</v>
      </c>
      <c r="P147">
        <v>1</v>
      </c>
      <c r="Q147">
        <v>1</v>
      </c>
      <c r="R147">
        <v>0</v>
      </c>
      <c r="S147" t="s">
        <v>39725</v>
      </c>
      <c r="T147" t="s">
        <v>40013</v>
      </c>
    </row>
    <row r="148" spans="1:20">
      <c r="A148" t="s">
        <v>40014</v>
      </c>
      <c r="B148" t="s">
        <v>39723</v>
      </c>
      <c r="C148" t="s">
        <v>39743</v>
      </c>
      <c r="D148" t="s">
        <v>39723</v>
      </c>
      <c r="E148" s="84">
        <v>1.3E-212</v>
      </c>
      <c r="F148">
        <v>708.1</v>
      </c>
      <c r="G148">
        <v>0</v>
      </c>
      <c r="H148" s="84">
        <v>1.5000000000000001E-212</v>
      </c>
      <c r="I148">
        <v>707.8</v>
      </c>
      <c r="J148">
        <v>0</v>
      </c>
      <c r="K148">
        <v>1</v>
      </c>
      <c r="L148">
        <v>1</v>
      </c>
      <c r="M148">
        <v>0</v>
      </c>
      <c r="N148">
        <v>0</v>
      </c>
      <c r="O148">
        <v>1</v>
      </c>
      <c r="P148">
        <v>1</v>
      </c>
      <c r="Q148">
        <v>1</v>
      </c>
      <c r="R148">
        <v>1</v>
      </c>
      <c r="S148" t="s">
        <v>39725</v>
      </c>
      <c r="T148" t="s">
        <v>40015</v>
      </c>
    </row>
    <row r="149" spans="1:20">
      <c r="A149" t="s">
        <v>40016</v>
      </c>
      <c r="B149" t="s">
        <v>39723</v>
      </c>
      <c r="C149" t="s">
        <v>39743</v>
      </c>
      <c r="D149" t="s">
        <v>39723</v>
      </c>
      <c r="E149" s="84">
        <v>4.3E-28</v>
      </c>
      <c r="F149">
        <v>97.3</v>
      </c>
      <c r="G149">
        <v>0</v>
      </c>
      <c r="H149" s="84">
        <v>5.3999999999999998E-28</v>
      </c>
      <c r="I149">
        <v>96.9</v>
      </c>
      <c r="J149">
        <v>0</v>
      </c>
      <c r="K149">
        <v>1</v>
      </c>
      <c r="L149">
        <v>1</v>
      </c>
      <c r="M149">
        <v>0</v>
      </c>
      <c r="N149">
        <v>0</v>
      </c>
      <c r="O149">
        <v>1</v>
      </c>
      <c r="P149">
        <v>1</v>
      </c>
      <c r="Q149">
        <v>1</v>
      </c>
      <c r="R149">
        <v>1</v>
      </c>
      <c r="S149" t="s">
        <v>39725</v>
      </c>
      <c r="T149" t="s">
        <v>40017</v>
      </c>
    </row>
    <row r="150" spans="1:20">
      <c r="A150" t="s">
        <v>40018</v>
      </c>
      <c r="B150" t="s">
        <v>39723</v>
      </c>
      <c r="C150" t="s">
        <v>39730</v>
      </c>
      <c r="D150" t="s">
        <v>39723</v>
      </c>
      <c r="E150">
        <v>0.11</v>
      </c>
      <c r="F150">
        <v>11.3</v>
      </c>
      <c r="G150">
        <v>0.1</v>
      </c>
      <c r="H150">
        <v>0.23</v>
      </c>
      <c r="I150">
        <v>10.3</v>
      </c>
      <c r="J150">
        <v>0</v>
      </c>
      <c r="K150">
        <v>1.5</v>
      </c>
      <c r="L150">
        <v>2</v>
      </c>
      <c r="M150">
        <v>0</v>
      </c>
      <c r="N150">
        <v>0</v>
      </c>
      <c r="O150">
        <v>2</v>
      </c>
      <c r="P150">
        <v>2</v>
      </c>
      <c r="Q150">
        <v>1</v>
      </c>
      <c r="R150">
        <v>0</v>
      </c>
      <c r="S150" t="s">
        <v>39725</v>
      </c>
      <c r="T150" t="s">
        <v>40019</v>
      </c>
    </row>
    <row r="151" spans="1:20">
      <c r="A151" t="s">
        <v>40020</v>
      </c>
      <c r="B151" t="s">
        <v>39723</v>
      </c>
      <c r="C151" t="s">
        <v>39730</v>
      </c>
      <c r="D151" t="s">
        <v>39723</v>
      </c>
      <c r="E151">
        <v>1.6999999999999999E-3</v>
      </c>
      <c r="F151">
        <v>17.2</v>
      </c>
      <c r="G151">
        <v>0</v>
      </c>
      <c r="H151">
        <v>2E-3</v>
      </c>
      <c r="I151">
        <v>17</v>
      </c>
      <c r="J151">
        <v>0</v>
      </c>
      <c r="K151">
        <v>1.1000000000000001</v>
      </c>
      <c r="L151">
        <v>1</v>
      </c>
      <c r="M151">
        <v>0</v>
      </c>
      <c r="N151">
        <v>0</v>
      </c>
      <c r="O151">
        <v>1</v>
      </c>
      <c r="P151">
        <v>1</v>
      </c>
      <c r="Q151">
        <v>1</v>
      </c>
      <c r="R151">
        <v>1</v>
      </c>
      <c r="S151" t="s">
        <v>39725</v>
      </c>
      <c r="T151" t="s">
        <v>40021</v>
      </c>
    </row>
    <row r="152" spans="1:20">
      <c r="A152" t="s">
        <v>40022</v>
      </c>
      <c r="B152" t="s">
        <v>39723</v>
      </c>
      <c r="C152" t="s">
        <v>39764</v>
      </c>
      <c r="D152" t="s">
        <v>39723</v>
      </c>
      <c r="E152">
        <v>0.05</v>
      </c>
      <c r="F152">
        <v>11.4</v>
      </c>
      <c r="G152">
        <v>0</v>
      </c>
      <c r="H152">
        <v>0.19</v>
      </c>
      <c r="I152">
        <v>9.4</v>
      </c>
      <c r="J152">
        <v>0</v>
      </c>
      <c r="K152">
        <v>1.8</v>
      </c>
      <c r="L152">
        <v>1</v>
      </c>
      <c r="M152">
        <v>1</v>
      </c>
      <c r="N152">
        <v>0</v>
      </c>
      <c r="O152">
        <v>1</v>
      </c>
      <c r="P152">
        <v>1</v>
      </c>
      <c r="Q152">
        <v>1</v>
      </c>
      <c r="R152">
        <v>0</v>
      </c>
      <c r="S152" t="s">
        <v>39725</v>
      </c>
      <c r="T152" t="s">
        <v>40023</v>
      </c>
    </row>
    <row r="153" spans="1:20">
      <c r="A153" t="s">
        <v>40024</v>
      </c>
      <c r="B153" t="s">
        <v>39723</v>
      </c>
      <c r="C153" t="s">
        <v>39767</v>
      </c>
      <c r="D153" t="s">
        <v>39723</v>
      </c>
      <c r="E153" s="84">
        <v>1.5E-193</v>
      </c>
      <c r="F153">
        <v>645.29999999999995</v>
      </c>
      <c r="G153">
        <v>0</v>
      </c>
      <c r="H153" s="84">
        <v>2.0000000000000001E-193</v>
      </c>
      <c r="I153">
        <v>644.9</v>
      </c>
      <c r="J153">
        <v>0</v>
      </c>
      <c r="K153">
        <v>1.1000000000000001</v>
      </c>
      <c r="L153">
        <v>1</v>
      </c>
      <c r="M153">
        <v>0</v>
      </c>
      <c r="N153">
        <v>0</v>
      </c>
      <c r="O153">
        <v>1</v>
      </c>
      <c r="P153">
        <v>1</v>
      </c>
      <c r="Q153">
        <v>1</v>
      </c>
      <c r="R153">
        <v>1</v>
      </c>
      <c r="S153" t="s">
        <v>39725</v>
      </c>
      <c r="T153" t="s">
        <v>40025</v>
      </c>
    </row>
    <row r="154" spans="1:20">
      <c r="A154" t="s">
        <v>40026</v>
      </c>
      <c r="B154" t="s">
        <v>39723</v>
      </c>
      <c r="C154" t="s">
        <v>39767</v>
      </c>
      <c r="D154" t="s">
        <v>39723</v>
      </c>
      <c r="E154" s="84">
        <v>7.6000000000000006E-98</v>
      </c>
      <c r="F154">
        <v>328.1</v>
      </c>
      <c r="G154">
        <v>0</v>
      </c>
      <c r="H154" s="84">
        <v>9.7000000000000002E-98</v>
      </c>
      <c r="I154">
        <v>327.8</v>
      </c>
      <c r="J154">
        <v>0</v>
      </c>
      <c r="K154">
        <v>1</v>
      </c>
      <c r="L154">
        <v>1</v>
      </c>
      <c r="M154">
        <v>0</v>
      </c>
      <c r="N154">
        <v>0</v>
      </c>
      <c r="O154">
        <v>1</v>
      </c>
      <c r="P154">
        <v>1</v>
      </c>
      <c r="Q154">
        <v>1</v>
      </c>
      <c r="R154">
        <v>1</v>
      </c>
      <c r="S154" t="s">
        <v>39725</v>
      </c>
      <c r="T154" t="s">
        <v>40027</v>
      </c>
    </row>
    <row r="155" spans="1:20">
      <c r="A155" t="s">
        <v>40028</v>
      </c>
      <c r="B155" t="s">
        <v>39723</v>
      </c>
      <c r="C155" t="s">
        <v>39730</v>
      </c>
      <c r="D155" t="s">
        <v>39723</v>
      </c>
      <c r="E155">
        <v>3.6999999999999998E-2</v>
      </c>
      <c r="F155">
        <v>12.9</v>
      </c>
      <c r="G155">
        <v>0</v>
      </c>
      <c r="H155">
        <v>6.7000000000000004E-2</v>
      </c>
      <c r="I155">
        <v>12</v>
      </c>
      <c r="J155">
        <v>0</v>
      </c>
      <c r="K155">
        <v>1.4</v>
      </c>
      <c r="L155">
        <v>1</v>
      </c>
      <c r="M155">
        <v>0</v>
      </c>
      <c r="N155">
        <v>0</v>
      </c>
      <c r="O155">
        <v>1</v>
      </c>
      <c r="P155">
        <v>1</v>
      </c>
      <c r="Q155">
        <v>1</v>
      </c>
      <c r="R155">
        <v>0</v>
      </c>
      <c r="S155" t="s">
        <v>39725</v>
      </c>
      <c r="T155" t="s">
        <v>40029</v>
      </c>
    </row>
    <row r="156" spans="1:20">
      <c r="A156" t="s">
        <v>40030</v>
      </c>
      <c r="B156" t="s">
        <v>39723</v>
      </c>
      <c r="C156" t="s">
        <v>39730</v>
      </c>
      <c r="D156" t="s">
        <v>39723</v>
      </c>
      <c r="E156">
        <v>9.8000000000000004E-2</v>
      </c>
      <c r="F156">
        <v>11.5</v>
      </c>
      <c r="G156">
        <v>0</v>
      </c>
      <c r="H156">
        <v>0.11</v>
      </c>
      <c r="I156">
        <v>11.4</v>
      </c>
      <c r="J156">
        <v>0</v>
      </c>
      <c r="K156">
        <v>1.1000000000000001</v>
      </c>
      <c r="L156">
        <v>1</v>
      </c>
      <c r="M156">
        <v>0</v>
      </c>
      <c r="N156">
        <v>0</v>
      </c>
      <c r="O156">
        <v>1</v>
      </c>
      <c r="P156">
        <v>1</v>
      </c>
      <c r="Q156">
        <v>1</v>
      </c>
      <c r="R156">
        <v>0</v>
      </c>
      <c r="S156" t="s">
        <v>39725</v>
      </c>
      <c r="T156" t="s">
        <v>40031</v>
      </c>
    </row>
    <row r="157" spans="1:20">
      <c r="A157" t="s">
        <v>40032</v>
      </c>
      <c r="B157" t="s">
        <v>39723</v>
      </c>
      <c r="C157" t="s">
        <v>39810</v>
      </c>
      <c r="D157" t="s">
        <v>39723</v>
      </c>
      <c r="E157" s="84">
        <v>1.7E-139</v>
      </c>
      <c r="F157">
        <v>464.3</v>
      </c>
      <c r="G157">
        <v>0.7</v>
      </c>
      <c r="H157" s="84">
        <v>2.0000000000000001E-139</v>
      </c>
      <c r="I157">
        <v>464</v>
      </c>
      <c r="J157">
        <v>0.7</v>
      </c>
      <c r="K157">
        <v>1</v>
      </c>
      <c r="L157">
        <v>1</v>
      </c>
      <c r="M157">
        <v>0</v>
      </c>
      <c r="N157">
        <v>0</v>
      </c>
      <c r="O157">
        <v>1</v>
      </c>
      <c r="P157">
        <v>1</v>
      </c>
      <c r="Q157">
        <v>1</v>
      </c>
      <c r="R157">
        <v>1</v>
      </c>
      <c r="S157" t="s">
        <v>39725</v>
      </c>
      <c r="T157" t="s">
        <v>40033</v>
      </c>
    </row>
    <row r="158" spans="1:20">
      <c r="A158" t="s">
        <v>40034</v>
      </c>
      <c r="B158" t="s">
        <v>39723</v>
      </c>
      <c r="C158" t="s">
        <v>39724</v>
      </c>
      <c r="D158" t="s">
        <v>39723</v>
      </c>
      <c r="E158" s="84">
        <v>1.0999999999999999E-10</v>
      </c>
      <c r="F158">
        <v>40.700000000000003</v>
      </c>
      <c r="G158">
        <v>0</v>
      </c>
      <c r="H158" s="84">
        <v>8.4999999999999999E-6</v>
      </c>
      <c r="I158">
        <v>24.6</v>
      </c>
      <c r="J158">
        <v>0</v>
      </c>
      <c r="K158">
        <v>2.2000000000000002</v>
      </c>
      <c r="L158">
        <v>2</v>
      </c>
      <c r="M158">
        <v>0</v>
      </c>
      <c r="N158">
        <v>0</v>
      </c>
      <c r="O158">
        <v>2</v>
      </c>
      <c r="P158">
        <v>2</v>
      </c>
      <c r="Q158">
        <v>2</v>
      </c>
      <c r="R158">
        <v>2</v>
      </c>
      <c r="S158" t="s">
        <v>39725</v>
      </c>
      <c r="T158" t="s">
        <v>40035</v>
      </c>
    </row>
    <row r="159" spans="1:20">
      <c r="A159" t="s">
        <v>40036</v>
      </c>
      <c r="B159" t="s">
        <v>39723</v>
      </c>
      <c r="C159" t="s">
        <v>39764</v>
      </c>
      <c r="D159" t="s">
        <v>39723</v>
      </c>
      <c r="E159">
        <v>3.1E-2</v>
      </c>
      <c r="F159">
        <v>12.1</v>
      </c>
      <c r="G159">
        <v>0</v>
      </c>
      <c r="H159">
        <v>6.9000000000000006E-2</v>
      </c>
      <c r="I159">
        <v>10.9</v>
      </c>
      <c r="J159">
        <v>0</v>
      </c>
      <c r="K159">
        <v>1.5</v>
      </c>
      <c r="L159">
        <v>2</v>
      </c>
      <c r="M159">
        <v>0</v>
      </c>
      <c r="N159">
        <v>0</v>
      </c>
      <c r="O159">
        <v>2</v>
      </c>
      <c r="P159">
        <v>2</v>
      </c>
      <c r="Q159">
        <v>2</v>
      </c>
      <c r="R159">
        <v>0</v>
      </c>
      <c r="S159" t="s">
        <v>39725</v>
      </c>
      <c r="T159" t="s">
        <v>40037</v>
      </c>
    </row>
    <row r="160" spans="1:20">
      <c r="A160" t="s">
        <v>40038</v>
      </c>
      <c r="B160" t="s">
        <v>39723</v>
      </c>
      <c r="C160" t="s">
        <v>39730</v>
      </c>
      <c r="D160" t="s">
        <v>39723</v>
      </c>
      <c r="E160">
        <v>5.8999999999999997E-2</v>
      </c>
      <c r="F160">
        <v>12.2</v>
      </c>
      <c r="G160">
        <v>0</v>
      </c>
      <c r="H160">
        <v>6.2E-2</v>
      </c>
      <c r="I160">
        <v>12.1</v>
      </c>
      <c r="J160">
        <v>0</v>
      </c>
      <c r="K160">
        <v>1.1000000000000001</v>
      </c>
      <c r="L160">
        <v>1</v>
      </c>
      <c r="M160">
        <v>0</v>
      </c>
      <c r="N160">
        <v>0</v>
      </c>
      <c r="O160">
        <v>1</v>
      </c>
      <c r="P160">
        <v>1</v>
      </c>
      <c r="Q160">
        <v>1</v>
      </c>
      <c r="R160">
        <v>0</v>
      </c>
      <c r="S160" t="s">
        <v>39725</v>
      </c>
      <c r="T160" t="s">
        <v>40039</v>
      </c>
    </row>
    <row r="161" spans="1:20">
      <c r="A161" t="s">
        <v>40040</v>
      </c>
      <c r="B161" t="s">
        <v>39723</v>
      </c>
      <c r="C161" t="s">
        <v>39730</v>
      </c>
      <c r="D161" t="s">
        <v>39723</v>
      </c>
      <c r="E161">
        <v>3.3000000000000002E-2</v>
      </c>
      <c r="F161">
        <v>13</v>
      </c>
      <c r="G161">
        <v>1.6</v>
      </c>
      <c r="H161">
        <v>2.1</v>
      </c>
      <c r="I161">
        <v>7.1</v>
      </c>
      <c r="J161">
        <v>0</v>
      </c>
      <c r="K161">
        <v>2.1</v>
      </c>
      <c r="L161">
        <v>2</v>
      </c>
      <c r="M161">
        <v>0</v>
      </c>
      <c r="N161">
        <v>0</v>
      </c>
      <c r="O161">
        <v>2</v>
      </c>
      <c r="P161">
        <v>2</v>
      </c>
      <c r="Q161">
        <v>2</v>
      </c>
      <c r="R161">
        <v>0</v>
      </c>
      <c r="S161" t="s">
        <v>39725</v>
      </c>
      <c r="T161" t="s">
        <v>40041</v>
      </c>
    </row>
    <row r="162" spans="1:20">
      <c r="A162" t="s">
        <v>40042</v>
      </c>
      <c r="B162" t="s">
        <v>39723</v>
      </c>
      <c r="C162" t="s">
        <v>39730</v>
      </c>
      <c r="D162" t="s">
        <v>39723</v>
      </c>
      <c r="E162">
        <v>1.4E-2</v>
      </c>
      <c r="F162">
        <v>14.2</v>
      </c>
      <c r="G162">
        <v>0</v>
      </c>
      <c r="H162">
        <v>2.4E-2</v>
      </c>
      <c r="I162">
        <v>13.5</v>
      </c>
      <c r="J162">
        <v>0</v>
      </c>
      <c r="K162">
        <v>1.2</v>
      </c>
      <c r="L162">
        <v>1</v>
      </c>
      <c r="M162">
        <v>0</v>
      </c>
      <c r="N162">
        <v>0</v>
      </c>
      <c r="O162">
        <v>1</v>
      </c>
      <c r="P162">
        <v>1</v>
      </c>
      <c r="Q162">
        <v>1</v>
      </c>
      <c r="R162">
        <v>0</v>
      </c>
      <c r="S162" t="s">
        <v>39725</v>
      </c>
      <c r="T162" t="s">
        <v>40043</v>
      </c>
    </row>
    <row r="163" spans="1:20">
      <c r="A163" t="s">
        <v>40044</v>
      </c>
      <c r="B163" t="s">
        <v>39723</v>
      </c>
      <c r="C163" t="s">
        <v>39767</v>
      </c>
      <c r="D163" t="s">
        <v>39723</v>
      </c>
      <c r="E163" s="84">
        <v>1.2E-107</v>
      </c>
      <c r="F163">
        <v>360.7</v>
      </c>
      <c r="G163">
        <v>0</v>
      </c>
      <c r="H163" s="84">
        <v>2.4999999999999999E-82</v>
      </c>
      <c r="I163">
        <v>276.7</v>
      </c>
      <c r="J163">
        <v>0</v>
      </c>
      <c r="K163">
        <v>2.4</v>
      </c>
      <c r="L163">
        <v>2</v>
      </c>
      <c r="M163">
        <v>1</v>
      </c>
      <c r="N163">
        <v>0</v>
      </c>
      <c r="O163">
        <v>2</v>
      </c>
      <c r="P163">
        <v>2</v>
      </c>
      <c r="Q163">
        <v>2</v>
      </c>
      <c r="R163">
        <v>2</v>
      </c>
      <c r="S163" t="s">
        <v>39725</v>
      </c>
      <c r="T163" t="s">
        <v>40045</v>
      </c>
    </row>
    <row r="164" spans="1:20">
      <c r="A164" t="s">
        <v>40046</v>
      </c>
      <c r="B164" t="s">
        <v>39723</v>
      </c>
      <c r="C164" t="s">
        <v>39767</v>
      </c>
      <c r="D164" t="s">
        <v>39723</v>
      </c>
      <c r="E164" s="84">
        <v>4.1999999999999998E-117</v>
      </c>
      <c r="F164">
        <v>391.9</v>
      </c>
      <c r="G164">
        <v>0</v>
      </c>
      <c r="H164" s="84">
        <v>5.5999999999999998E-80</v>
      </c>
      <c r="I164">
        <v>268.89999999999998</v>
      </c>
      <c r="J164">
        <v>0</v>
      </c>
      <c r="K164">
        <v>2.1</v>
      </c>
      <c r="L164">
        <v>2</v>
      </c>
      <c r="M164">
        <v>0</v>
      </c>
      <c r="N164">
        <v>0</v>
      </c>
      <c r="O164">
        <v>2</v>
      </c>
      <c r="P164">
        <v>2</v>
      </c>
      <c r="Q164">
        <v>2</v>
      </c>
      <c r="R164">
        <v>2</v>
      </c>
      <c r="S164" t="s">
        <v>39725</v>
      </c>
      <c r="T164" t="s">
        <v>40047</v>
      </c>
    </row>
    <row r="165" spans="1:20">
      <c r="A165" t="s">
        <v>40048</v>
      </c>
      <c r="B165" t="s">
        <v>39723</v>
      </c>
      <c r="C165" t="s">
        <v>39724</v>
      </c>
      <c r="D165" t="s">
        <v>39723</v>
      </c>
      <c r="E165">
        <v>3.1E-4</v>
      </c>
      <c r="F165">
        <v>19.399999999999999</v>
      </c>
      <c r="G165">
        <v>0</v>
      </c>
      <c r="H165">
        <v>1.6000000000000001E-3</v>
      </c>
      <c r="I165">
        <v>17</v>
      </c>
      <c r="J165">
        <v>0</v>
      </c>
      <c r="K165">
        <v>2.1</v>
      </c>
      <c r="L165">
        <v>1</v>
      </c>
      <c r="M165">
        <v>1</v>
      </c>
      <c r="N165">
        <v>0</v>
      </c>
      <c r="O165">
        <v>1</v>
      </c>
      <c r="P165">
        <v>1</v>
      </c>
      <c r="Q165">
        <v>1</v>
      </c>
      <c r="R165">
        <v>1</v>
      </c>
      <c r="S165" t="s">
        <v>39725</v>
      </c>
      <c r="T165" t="s">
        <v>40049</v>
      </c>
    </row>
    <row r="166" spans="1:20">
      <c r="A166" t="s">
        <v>40050</v>
      </c>
      <c r="B166" t="s">
        <v>39723</v>
      </c>
      <c r="C166" t="s">
        <v>39730</v>
      </c>
      <c r="D166" t="s">
        <v>39723</v>
      </c>
      <c r="E166">
        <v>0.01</v>
      </c>
      <c r="F166">
        <v>14.7</v>
      </c>
      <c r="G166">
        <v>0</v>
      </c>
      <c r="H166">
        <v>1.2E-2</v>
      </c>
      <c r="I166">
        <v>14.4</v>
      </c>
      <c r="J166">
        <v>0</v>
      </c>
      <c r="K166">
        <v>1.1000000000000001</v>
      </c>
      <c r="L166">
        <v>1</v>
      </c>
      <c r="M166">
        <v>0</v>
      </c>
      <c r="N166">
        <v>0</v>
      </c>
      <c r="O166">
        <v>1</v>
      </c>
      <c r="P166">
        <v>1</v>
      </c>
      <c r="Q166">
        <v>1</v>
      </c>
      <c r="R166">
        <v>0</v>
      </c>
      <c r="S166" t="s">
        <v>39725</v>
      </c>
      <c r="T166" t="s">
        <v>40051</v>
      </c>
    </row>
    <row r="167" spans="1:20">
      <c r="A167" t="s">
        <v>40052</v>
      </c>
      <c r="B167" t="s">
        <v>39723</v>
      </c>
      <c r="C167" t="s">
        <v>39730</v>
      </c>
      <c r="D167" t="s">
        <v>39723</v>
      </c>
      <c r="E167">
        <v>4.4999999999999998E-2</v>
      </c>
      <c r="F167">
        <v>12.6</v>
      </c>
      <c r="G167">
        <v>0</v>
      </c>
      <c r="H167">
        <v>9.0999999999999998E-2</v>
      </c>
      <c r="I167">
        <v>11.6</v>
      </c>
      <c r="J167">
        <v>0</v>
      </c>
      <c r="K167">
        <v>1.4</v>
      </c>
      <c r="L167">
        <v>1</v>
      </c>
      <c r="M167">
        <v>0</v>
      </c>
      <c r="N167">
        <v>0</v>
      </c>
      <c r="O167">
        <v>1</v>
      </c>
      <c r="P167">
        <v>1</v>
      </c>
      <c r="Q167">
        <v>1</v>
      </c>
      <c r="R167">
        <v>0</v>
      </c>
      <c r="S167" t="s">
        <v>39725</v>
      </c>
      <c r="T167" t="s">
        <v>40053</v>
      </c>
    </row>
    <row r="168" spans="1:20">
      <c r="A168" t="s">
        <v>40054</v>
      </c>
      <c r="B168" t="s">
        <v>39723</v>
      </c>
      <c r="C168" t="s">
        <v>39730</v>
      </c>
      <c r="D168" t="s">
        <v>39723</v>
      </c>
      <c r="E168">
        <v>4.0000000000000001E-3</v>
      </c>
      <c r="F168">
        <v>16</v>
      </c>
      <c r="G168">
        <v>0</v>
      </c>
      <c r="H168">
        <v>1.2</v>
      </c>
      <c r="I168">
        <v>7.9</v>
      </c>
      <c r="J168">
        <v>0</v>
      </c>
      <c r="K168">
        <v>2.4</v>
      </c>
      <c r="L168">
        <v>2</v>
      </c>
      <c r="M168">
        <v>0</v>
      </c>
      <c r="N168">
        <v>0</v>
      </c>
      <c r="O168">
        <v>2</v>
      </c>
      <c r="P168">
        <v>2</v>
      </c>
      <c r="Q168">
        <v>2</v>
      </c>
      <c r="R168">
        <v>1</v>
      </c>
      <c r="S168" t="s">
        <v>39725</v>
      </c>
      <c r="T168" t="s">
        <v>40055</v>
      </c>
    </row>
    <row r="169" spans="1:20">
      <c r="A169" t="s">
        <v>40056</v>
      </c>
      <c r="B169" t="s">
        <v>39723</v>
      </c>
      <c r="C169" t="s">
        <v>39724</v>
      </c>
      <c r="D169" t="s">
        <v>39723</v>
      </c>
      <c r="E169" s="84">
        <v>7.7000000000000004E-7</v>
      </c>
      <c r="F169">
        <v>28</v>
      </c>
      <c r="G169">
        <v>0</v>
      </c>
      <c r="H169">
        <v>2.7999999999999998E-4</v>
      </c>
      <c r="I169">
        <v>19.5</v>
      </c>
      <c r="J169">
        <v>0</v>
      </c>
      <c r="K169">
        <v>2.2000000000000002</v>
      </c>
      <c r="L169">
        <v>2</v>
      </c>
      <c r="M169">
        <v>0</v>
      </c>
      <c r="N169">
        <v>0</v>
      </c>
      <c r="O169">
        <v>2</v>
      </c>
      <c r="P169">
        <v>2</v>
      </c>
      <c r="Q169">
        <v>2</v>
      </c>
      <c r="R169">
        <v>1</v>
      </c>
      <c r="S169" t="s">
        <v>39725</v>
      </c>
      <c r="T169" t="s">
        <v>40057</v>
      </c>
    </row>
    <row r="170" spans="1:20">
      <c r="A170" t="s">
        <v>40058</v>
      </c>
      <c r="B170" t="s">
        <v>39723</v>
      </c>
      <c r="C170" t="s">
        <v>39764</v>
      </c>
      <c r="D170" t="s">
        <v>39723</v>
      </c>
      <c r="E170">
        <v>0.06</v>
      </c>
      <c r="F170">
        <v>11.1</v>
      </c>
      <c r="G170">
        <v>0</v>
      </c>
      <c r="H170">
        <v>8.2000000000000003E-2</v>
      </c>
      <c r="I170">
        <v>10.7</v>
      </c>
      <c r="J170">
        <v>0</v>
      </c>
      <c r="K170">
        <v>1.1000000000000001</v>
      </c>
      <c r="L170">
        <v>1</v>
      </c>
      <c r="M170">
        <v>0</v>
      </c>
      <c r="N170">
        <v>0</v>
      </c>
      <c r="O170">
        <v>1</v>
      </c>
      <c r="P170">
        <v>1</v>
      </c>
      <c r="Q170">
        <v>1</v>
      </c>
      <c r="R170">
        <v>0</v>
      </c>
      <c r="S170" t="s">
        <v>39725</v>
      </c>
      <c r="T170" t="s">
        <v>40059</v>
      </c>
    </row>
    <row r="171" spans="1:20">
      <c r="A171" s="85" t="s">
        <v>40060</v>
      </c>
      <c r="B171" s="85" t="s">
        <v>39723</v>
      </c>
      <c r="C171" s="85" t="s">
        <v>39730</v>
      </c>
      <c r="D171" s="85" t="s">
        <v>39723</v>
      </c>
      <c r="E171" s="85">
        <v>2.5000000000000001E-2</v>
      </c>
      <c r="F171" s="85">
        <v>13.4</v>
      </c>
      <c r="G171" s="85">
        <v>0</v>
      </c>
      <c r="H171" s="85">
        <v>5.8999999999999997E-2</v>
      </c>
      <c r="I171" s="85">
        <v>12.2</v>
      </c>
      <c r="J171" s="85">
        <v>0</v>
      </c>
      <c r="K171" s="85">
        <v>1.6</v>
      </c>
      <c r="L171" s="85">
        <v>1</v>
      </c>
      <c r="M171" s="85">
        <v>0</v>
      </c>
      <c r="N171" s="85">
        <v>0</v>
      </c>
      <c r="O171" s="85">
        <v>1</v>
      </c>
      <c r="P171" s="85">
        <v>1</v>
      </c>
      <c r="Q171" s="85">
        <v>1</v>
      </c>
      <c r="R171" s="85">
        <v>0</v>
      </c>
      <c r="S171" s="85" t="s">
        <v>39725</v>
      </c>
      <c r="T171" s="85" t="s">
        <v>40061</v>
      </c>
    </row>
    <row r="172" spans="1:20">
      <c r="A172" s="85" t="s">
        <v>40062</v>
      </c>
      <c r="B172" s="85" t="s">
        <v>39723</v>
      </c>
      <c r="C172" s="85" t="s">
        <v>39724</v>
      </c>
      <c r="D172" s="85" t="s">
        <v>39723</v>
      </c>
      <c r="E172" s="86">
        <v>2.8000000000000002E-7</v>
      </c>
      <c r="F172" s="85">
        <v>29.5</v>
      </c>
      <c r="G172" s="85">
        <v>0</v>
      </c>
      <c r="H172" s="86">
        <v>4.0999999999999999E-7</v>
      </c>
      <c r="I172" s="85">
        <v>28.9</v>
      </c>
      <c r="J172" s="85">
        <v>0</v>
      </c>
      <c r="K172" s="85">
        <v>1.2</v>
      </c>
      <c r="L172" s="85">
        <v>1</v>
      </c>
      <c r="M172" s="85">
        <v>0</v>
      </c>
      <c r="N172" s="85">
        <v>0</v>
      </c>
      <c r="O172" s="85">
        <v>1</v>
      </c>
      <c r="P172" s="85">
        <v>1</v>
      </c>
      <c r="Q172" s="85">
        <v>1</v>
      </c>
      <c r="R172" s="85">
        <v>1</v>
      </c>
      <c r="S172" s="85" t="s">
        <v>39725</v>
      </c>
      <c r="T172" s="85" t="s">
        <v>40063</v>
      </c>
    </row>
    <row r="173" spans="1:20">
      <c r="A173" s="85" t="s">
        <v>40064</v>
      </c>
      <c r="B173" s="85" t="s">
        <v>39723</v>
      </c>
      <c r="C173" s="85" t="s">
        <v>39730</v>
      </c>
      <c r="D173" s="85" t="s">
        <v>39723</v>
      </c>
      <c r="E173" s="85">
        <v>4.6999999999999999E-4</v>
      </c>
      <c r="F173" s="85">
        <v>19.100000000000001</v>
      </c>
      <c r="G173" s="85">
        <v>3.7</v>
      </c>
      <c r="H173" s="85">
        <v>0.21</v>
      </c>
      <c r="I173" s="85">
        <v>10.4</v>
      </c>
      <c r="J173" s="85">
        <v>0</v>
      </c>
      <c r="K173" s="85">
        <v>3.4</v>
      </c>
      <c r="L173" s="85">
        <v>4</v>
      </c>
      <c r="M173" s="85">
        <v>0</v>
      </c>
      <c r="N173" s="85">
        <v>0</v>
      </c>
      <c r="O173" s="85">
        <v>4</v>
      </c>
      <c r="P173" s="85">
        <v>4</v>
      </c>
      <c r="Q173" s="85">
        <v>3</v>
      </c>
      <c r="R173" s="85">
        <v>1</v>
      </c>
      <c r="S173" s="85" t="s">
        <v>39725</v>
      </c>
      <c r="T173" s="85" t="s">
        <v>40065</v>
      </c>
    </row>
    <row r="174" spans="1:20">
      <c r="A174" s="85" t="s">
        <v>40066</v>
      </c>
      <c r="B174" s="85" t="s">
        <v>39723</v>
      </c>
      <c r="C174" s="85" t="s">
        <v>39724</v>
      </c>
      <c r="D174" s="85" t="s">
        <v>39723</v>
      </c>
      <c r="E174" s="86">
        <v>8.3999999999999998E-8</v>
      </c>
      <c r="F174" s="85">
        <v>31.2</v>
      </c>
      <c r="G174" s="85">
        <v>0</v>
      </c>
      <c r="H174" s="86">
        <v>3.1E-7</v>
      </c>
      <c r="I174" s="85">
        <v>29.3</v>
      </c>
      <c r="J174" s="85">
        <v>0</v>
      </c>
      <c r="K174" s="85">
        <v>1.7</v>
      </c>
      <c r="L174" s="85">
        <v>1</v>
      </c>
      <c r="M174" s="85">
        <v>1</v>
      </c>
      <c r="N174" s="85">
        <v>0</v>
      </c>
      <c r="O174" s="85">
        <v>1</v>
      </c>
      <c r="P174" s="85">
        <v>1</v>
      </c>
      <c r="Q174" s="85">
        <v>1</v>
      </c>
      <c r="R174" s="85">
        <v>1</v>
      </c>
      <c r="S174" s="85" t="s">
        <v>39725</v>
      </c>
      <c r="T174" s="85" t="s">
        <v>40067</v>
      </c>
    </row>
    <row r="175" spans="1:20">
      <c r="A175" s="85" t="s">
        <v>40068</v>
      </c>
      <c r="B175" s="85" t="s">
        <v>39723</v>
      </c>
      <c r="C175" s="85" t="s">
        <v>39730</v>
      </c>
      <c r="D175" s="85" t="s">
        <v>39723</v>
      </c>
      <c r="E175" s="85">
        <v>0.13</v>
      </c>
      <c r="F175" s="85">
        <v>11.1</v>
      </c>
      <c r="G175" s="85">
        <v>0</v>
      </c>
      <c r="H175" s="85">
        <v>0.17</v>
      </c>
      <c r="I175" s="85">
        <v>10.7</v>
      </c>
      <c r="J175" s="85">
        <v>0</v>
      </c>
      <c r="K175" s="85">
        <v>1.1000000000000001</v>
      </c>
      <c r="L175" s="85">
        <v>1</v>
      </c>
      <c r="M175" s="85">
        <v>0</v>
      </c>
      <c r="N175" s="85">
        <v>0</v>
      </c>
      <c r="O175" s="85">
        <v>1</v>
      </c>
      <c r="P175" s="85">
        <v>1</v>
      </c>
      <c r="Q175" s="85">
        <v>1</v>
      </c>
      <c r="R175" s="85">
        <v>0</v>
      </c>
      <c r="S175" s="85" t="s">
        <v>39725</v>
      </c>
      <c r="T175" s="85" t="s">
        <v>40069</v>
      </c>
    </row>
    <row r="176" spans="1:20">
      <c r="A176" s="85" t="s">
        <v>40068</v>
      </c>
      <c r="B176" s="85" t="s">
        <v>39723</v>
      </c>
      <c r="C176" s="85" t="s">
        <v>39724</v>
      </c>
      <c r="D176" s="85" t="s">
        <v>39723</v>
      </c>
      <c r="E176" s="85">
        <v>1.2999999999999999E-2</v>
      </c>
      <c r="F176" s="85">
        <v>14.1</v>
      </c>
      <c r="G176" s="85">
        <v>0</v>
      </c>
      <c r="H176" s="85">
        <v>1.4E-2</v>
      </c>
      <c r="I176" s="85">
        <v>14</v>
      </c>
      <c r="J176" s="85">
        <v>0</v>
      </c>
      <c r="K176" s="85">
        <v>1.1000000000000001</v>
      </c>
      <c r="L176" s="85">
        <v>1</v>
      </c>
      <c r="M176" s="85">
        <v>0</v>
      </c>
      <c r="N176" s="85">
        <v>0</v>
      </c>
      <c r="O176" s="85">
        <v>1</v>
      </c>
      <c r="P176" s="85">
        <v>1</v>
      </c>
      <c r="Q176" s="85">
        <v>1</v>
      </c>
      <c r="R176" s="85">
        <v>0</v>
      </c>
      <c r="S176" s="85" t="s">
        <v>39725</v>
      </c>
      <c r="T176" s="85" t="s">
        <v>40069</v>
      </c>
    </row>
    <row r="177" spans="1:20">
      <c r="A177" s="85" t="s">
        <v>40070</v>
      </c>
      <c r="B177" s="85" t="s">
        <v>39723</v>
      </c>
      <c r="C177" s="85" t="s">
        <v>39730</v>
      </c>
      <c r="D177" s="85" t="s">
        <v>39723</v>
      </c>
      <c r="E177" s="85">
        <v>1.9E-2</v>
      </c>
      <c r="F177" s="85">
        <v>13.8</v>
      </c>
      <c r="G177" s="85">
        <v>0</v>
      </c>
      <c r="H177" s="85">
        <v>3.1E-2</v>
      </c>
      <c r="I177" s="85">
        <v>13.1</v>
      </c>
      <c r="J177" s="85">
        <v>0</v>
      </c>
      <c r="K177" s="85">
        <v>1.3</v>
      </c>
      <c r="L177" s="85">
        <v>1</v>
      </c>
      <c r="M177" s="85">
        <v>0</v>
      </c>
      <c r="N177" s="85">
        <v>0</v>
      </c>
      <c r="O177" s="85">
        <v>1</v>
      </c>
      <c r="P177" s="85">
        <v>1</v>
      </c>
      <c r="Q177" s="85">
        <v>1</v>
      </c>
      <c r="R177" s="85">
        <v>0</v>
      </c>
      <c r="S177" s="85" t="s">
        <v>39725</v>
      </c>
      <c r="T177" s="85" t="s">
        <v>40071</v>
      </c>
    </row>
    <row r="178" spans="1:20">
      <c r="A178" s="85" t="s">
        <v>40070</v>
      </c>
      <c r="B178" s="85" t="s">
        <v>39723</v>
      </c>
      <c r="C178" s="85" t="s">
        <v>39724</v>
      </c>
      <c r="D178" s="85" t="s">
        <v>39723</v>
      </c>
      <c r="E178" s="85">
        <v>2.7000000000000001E-3</v>
      </c>
      <c r="F178" s="85">
        <v>16.3</v>
      </c>
      <c r="G178" s="85">
        <v>0</v>
      </c>
      <c r="H178" s="85">
        <v>3.5999999999999999E-3</v>
      </c>
      <c r="I178" s="85">
        <v>15.9</v>
      </c>
      <c r="J178" s="85">
        <v>0</v>
      </c>
      <c r="K178" s="85">
        <v>1.1000000000000001</v>
      </c>
      <c r="L178" s="85">
        <v>1</v>
      </c>
      <c r="M178" s="85">
        <v>0</v>
      </c>
      <c r="N178" s="85">
        <v>0</v>
      </c>
      <c r="O178" s="85">
        <v>1</v>
      </c>
      <c r="P178" s="85">
        <v>1</v>
      </c>
      <c r="Q178" s="85">
        <v>1</v>
      </c>
      <c r="R178" s="85">
        <v>1</v>
      </c>
      <c r="S178" s="85" t="s">
        <v>39725</v>
      </c>
      <c r="T178" s="85" t="s">
        <v>40071</v>
      </c>
    </row>
    <row r="179" spans="1:20">
      <c r="A179" t="s">
        <v>39725</v>
      </c>
    </row>
    <row r="180" spans="1:20">
      <c r="A180" t="s">
        <v>40072</v>
      </c>
    </row>
    <row r="181" spans="1:20">
      <c r="A181" t="s">
        <v>40073</v>
      </c>
    </row>
    <row r="182" spans="1:20">
      <c r="A182" t="s">
        <v>40074</v>
      </c>
    </row>
    <row r="183" spans="1:20">
      <c r="A183" t="s">
        <v>40075</v>
      </c>
    </row>
    <row r="184" spans="1:20">
      <c r="A184" t="s">
        <v>40076</v>
      </c>
    </row>
    <row r="185" spans="1:20">
      <c r="A185" t="s">
        <v>40077</v>
      </c>
    </row>
    <row r="186" spans="1:20">
      <c r="A186" t="s">
        <v>40078</v>
      </c>
    </row>
    <row r="187" spans="1:20">
      <c r="A187" t="s">
        <v>40079</v>
      </c>
    </row>
    <row r="188" spans="1:20">
      <c r="A188" t="s">
        <v>40080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98DCE-1E71-944B-9210-2A0CE2B8BEBA}">
  <dimension ref="A1:Q21"/>
  <sheetViews>
    <sheetView workbookViewId="0">
      <selection sqref="A1:Q21"/>
    </sheetView>
  </sheetViews>
  <sheetFormatPr baseColWidth="10" defaultRowHeight="16"/>
  <sheetData>
    <row r="1" spans="1:17">
      <c r="A1" s="87" t="s">
        <v>40081</v>
      </c>
      <c r="B1" s="88" t="s">
        <v>40144</v>
      </c>
      <c r="C1" s="89" t="s">
        <v>40083</v>
      </c>
      <c r="D1" s="88" t="s">
        <v>40084</v>
      </c>
      <c r="E1" s="88" t="s">
        <v>40085</v>
      </c>
      <c r="F1" s="88" t="s">
        <v>40086</v>
      </c>
      <c r="G1" s="88" t="s">
        <v>40087</v>
      </c>
      <c r="H1" s="89" t="s">
        <v>40088</v>
      </c>
      <c r="I1" s="89" t="s">
        <v>40089</v>
      </c>
      <c r="J1" s="89" t="s">
        <v>40090</v>
      </c>
      <c r="K1" s="89" t="s">
        <v>40091</v>
      </c>
      <c r="L1" s="89" t="s">
        <v>40092</v>
      </c>
      <c r="M1" s="89" t="s">
        <v>40093</v>
      </c>
      <c r="N1" s="89" t="s">
        <v>40094</v>
      </c>
      <c r="O1" s="89" t="s">
        <v>40095</v>
      </c>
      <c r="P1" s="89" t="s">
        <v>40096</v>
      </c>
      <c r="Q1" s="98" t="s">
        <v>40097</v>
      </c>
    </row>
    <row r="2" spans="1:17">
      <c r="A2" s="99" t="s">
        <v>39627</v>
      </c>
      <c r="B2" s="100" t="s">
        <v>40145</v>
      </c>
      <c r="C2" s="101" t="s">
        <v>40146</v>
      </c>
      <c r="D2" s="102" t="s">
        <v>40147</v>
      </c>
      <c r="E2" s="102" t="s">
        <v>40148</v>
      </c>
      <c r="F2" s="102" t="s">
        <v>40149</v>
      </c>
      <c r="G2" s="102" t="s">
        <v>40150</v>
      </c>
      <c r="H2" s="100">
        <v>22</v>
      </c>
      <c r="I2" s="100">
        <v>20</v>
      </c>
      <c r="J2" s="100">
        <v>61.36</v>
      </c>
      <c r="K2" s="100">
        <v>62.92</v>
      </c>
      <c r="L2" s="100">
        <v>50</v>
      </c>
      <c r="M2" s="100">
        <v>60</v>
      </c>
      <c r="N2" s="100">
        <v>1184</v>
      </c>
      <c r="O2" s="100">
        <v>1325</v>
      </c>
      <c r="P2" s="100">
        <v>142</v>
      </c>
      <c r="Q2" s="103" t="s">
        <v>40151</v>
      </c>
    </row>
    <row r="3" spans="1:17">
      <c r="A3" s="104" t="s">
        <v>39628</v>
      </c>
      <c r="B3" s="91" t="s">
        <v>40152</v>
      </c>
      <c r="C3" s="105" t="s">
        <v>40146</v>
      </c>
      <c r="D3" s="91" t="s">
        <v>40153</v>
      </c>
      <c r="E3" s="91" t="s">
        <v>40154</v>
      </c>
      <c r="F3" s="91" t="s">
        <v>40155</v>
      </c>
      <c r="G3" s="91" t="s">
        <v>40156</v>
      </c>
      <c r="H3" s="105">
        <v>20</v>
      </c>
      <c r="I3" s="105">
        <v>20</v>
      </c>
      <c r="J3" s="105">
        <v>62</v>
      </c>
      <c r="K3" s="105">
        <v>62.32</v>
      </c>
      <c r="L3" s="105">
        <v>55</v>
      </c>
      <c r="M3" s="105">
        <v>60</v>
      </c>
      <c r="N3" s="105">
        <v>578</v>
      </c>
      <c r="O3" s="105">
        <v>677</v>
      </c>
      <c r="P3" s="105">
        <v>100</v>
      </c>
      <c r="Q3" s="106" t="s">
        <v>40157</v>
      </c>
    </row>
    <row r="4" spans="1:17">
      <c r="A4" s="107" t="s">
        <v>40158</v>
      </c>
      <c r="B4" s="94" t="s">
        <v>40159</v>
      </c>
      <c r="C4" s="100" t="s">
        <v>40146</v>
      </c>
      <c r="D4" s="94" t="s">
        <v>40160</v>
      </c>
      <c r="E4" s="94" t="s">
        <v>40161</v>
      </c>
      <c r="F4" s="94" t="s">
        <v>40162</v>
      </c>
      <c r="G4" s="94" t="s">
        <v>40163</v>
      </c>
      <c r="H4" s="100">
        <v>20</v>
      </c>
      <c r="I4" s="100">
        <v>24</v>
      </c>
      <c r="J4" s="100">
        <v>61.99</v>
      </c>
      <c r="K4" s="100">
        <v>62.34</v>
      </c>
      <c r="L4" s="100">
        <v>60</v>
      </c>
      <c r="M4" s="100">
        <v>50</v>
      </c>
      <c r="N4" s="100">
        <v>18941</v>
      </c>
      <c r="O4" s="100">
        <v>19040</v>
      </c>
      <c r="P4" s="100">
        <v>100</v>
      </c>
      <c r="Q4" s="103" t="s">
        <v>40164</v>
      </c>
    </row>
    <row r="5" spans="1:17">
      <c r="A5" s="104" t="s">
        <v>39634</v>
      </c>
      <c r="B5" s="91" t="s">
        <v>40165</v>
      </c>
      <c r="C5" s="105" t="s">
        <v>40146</v>
      </c>
      <c r="D5" s="91" t="s">
        <v>40166</v>
      </c>
      <c r="E5" s="91" t="s">
        <v>40167</v>
      </c>
      <c r="F5" s="91" t="s">
        <v>40168</v>
      </c>
      <c r="G5" s="91" t="s">
        <v>40169</v>
      </c>
      <c r="H5" s="105">
        <v>20</v>
      </c>
      <c r="I5" s="105">
        <v>23</v>
      </c>
      <c r="J5" s="105">
        <v>61.66</v>
      </c>
      <c r="K5" s="105">
        <v>61.24</v>
      </c>
      <c r="L5" s="105">
        <v>55</v>
      </c>
      <c r="M5" s="105">
        <v>47.8</v>
      </c>
      <c r="N5" s="105">
        <v>1227</v>
      </c>
      <c r="O5" s="105">
        <v>1341</v>
      </c>
      <c r="P5" s="105">
        <v>115</v>
      </c>
      <c r="Q5" s="106" t="s">
        <v>40170</v>
      </c>
    </row>
    <row r="6" spans="1:17">
      <c r="A6" s="107" t="s">
        <v>40171</v>
      </c>
      <c r="B6" s="94" t="s">
        <v>12466</v>
      </c>
      <c r="C6" s="100" t="s">
        <v>40146</v>
      </c>
      <c r="D6" s="94" t="s">
        <v>40172</v>
      </c>
      <c r="E6" s="94" t="s">
        <v>40173</v>
      </c>
      <c r="F6" s="94" t="s">
        <v>40174</v>
      </c>
      <c r="G6" s="94" t="s">
        <v>40175</v>
      </c>
      <c r="H6" s="100">
        <v>24</v>
      </c>
      <c r="I6" s="100">
        <v>23</v>
      </c>
      <c r="J6" s="100">
        <v>61.93</v>
      </c>
      <c r="K6" s="100">
        <v>61.1</v>
      </c>
      <c r="L6" s="100">
        <v>45.83</v>
      </c>
      <c r="M6" s="100">
        <v>43.47</v>
      </c>
      <c r="N6" s="100">
        <v>4208</v>
      </c>
      <c r="O6" s="100">
        <v>4342</v>
      </c>
      <c r="P6" s="100">
        <v>135</v>
      </c>
      <c r="Q6" s="103" t="s">
        <v>40176</v>
      </c>
    </row>
    <row r="7" spans="1:17">
      <c r="A7" s="104" t="s">
        <v>39635</v>
      </c>
      <c r="B7" s="91" t="s">
        <v>16195</v>
      </c>
      <c r="C7" s="105" t="s">
        <v>40146</v>
      </c>
      <c r="D7" s="91" t="s">
        <v>40177</v>
      </c>
      <c r="E7" s="91" t="s">
        <v>40178</v>
      </c>
      <c r="F7" s="91" t="s">
        <v>40179</v>
      </c>
      <c r="G7" s="91" t="s">
        <v>40180</v>
      </c>
      <c r="H7" s="105">
        <v>20</v>
      </c>
      <c r="I7" s="105">
        <v>20</v>
      </c>
      <c r="J7" s="105">
        <v>63</v>
      </c>
      <c r="K7" s="105">
        <v>62.88</v>
      </c>
      <c r="L7" s="105">
        <v>60</v>
      </c>
      <c r="M7" s="105">
        <v>60</v>
      </c>
      <c r="N7" s="105">
        <v>4231</v>
      </c>
      <c r="O7" s="105">
        <v>4362</v>
      </c>
      <c r="P7" s="105">
        <v>132</v>
      </c>
      <c r="Q7" s="106" t="s">
        <v>40181</v>
      </c>
    </row>
    <row r="8" spans="1:17">
      <c r="A8" s="107" t="s">
        <v>39639</v>
      </c>
      <c r="B8" s="94" t="s">
        <v>40182</v>
      </c>
      <c r="C8" s="100" t="s">
        <v>40146</v>
      </c>
      <c r="D8" s="94" t="s">
        <v>40183</v>
      </c>
      <c r="E8" s="94" t="s">
        <v>40184</v>
      </c>
      <c r="F8" s="94" t="s">
        <v>40185</v>
      </c>
      <c r="G8" s="94" t="s">
        <v>40186</v>
      </c>
      <c r="H8" s="100">
        <v>20</v>
      </c>
      <c r="I8" s="100">
        <v>20</v>
      </c>
      <c r="J8" s="100">
        <v>62.89</v>
      </c>
      <c r="K8" s="100">
        <v>62.95</v>
      </c>
      <c r="L8" s="100">
        <v>60</v>
      </c>
      <c r="M8" s="100">
        <v>60</v>
      </c>
      <c r="N8" s="100">
        <v>1314</v>
      </c>
      <c r="O8" s="100">
        <v>1455</v>
      </c>
      <c r="P8" s="100">
        <v>142</v>
      </c>
      <c r="Q8" s="103" t="s">
        <v>40187</v>
      </c>
    </row>
    <row r="9" spans="1:17">
      <c r="A9" s="104" t="s">
        <v>39640</v>
      </c>
      <c r="B9" s="91" t="s">
        <v>40188</v>
      </c>
      <c r="C9" s="105" t="s">
        <v>40146</v>
      </c>
      <c r="D9" s="91" t="s">
        <v>40189</v>
      </c>
      <c r="E9" s="91" t="s">
        <v>40190</v>
      </c>
      <c r="F9" s="91" t="s">
        <v>40191</v>
      </c>
      <c r="G9" s="91" t="s">
        <v>40192</v>
      </c>
      <c r="H9" s="105">
        <v>20</v>
      </c>
      <c r="I9" s="105">
        <v>20</v>
      </c>
      <c r="J9" s="105">
        <v>62.69</v>
      </c>
      <c r="K9" s="105">
        <v>63.19</v>
      </c>
      <c r="L9" s="105">
        <v>60</v>
      </c>
      <c r="M9" s="105">
        <v>60</v>
      </c>
      <c r="N9" s="105">
        <v>3138</v>
      </c>
      <c r="O9" s="105">
        <v>3253</v>
      </c>
      <c r="P9" s="105">
        <v>116</v>
      </c>
      <c r="Q9" s="106" t="s">
        <v>40193</v>
      </c>
    </row>
    <row r="10" spans="1:17">
      <c r="A10" s="107" t="s">
        <v>39641</v>
      </c>
      <c r="B10" s="94" t="s">
        <v>10559</v>
      </c>
      <c r="C10" s="100" t="s">
        <v>40146</v>
      </c>
      <c r="D10" s="94" t="s">
        <v>40194</v>
      </c>
      <c r="E10" s="94" t="s">
        <v>40195</v>
      </c>
      <c r="F10" s="94" t="s">
        <v>40196</v>
      </c>
      <c r="G10" s="94" t="s">
        <v>40197</v>
      </c>
      <c r="H10" s="100">
        <v>20</v>
      </c>
      <c r="I10" s="100">
        <v>20</v>
      </c>
      <c r="J10" s="100">
        <v>62.64</v>
      </c>
      <c r="K10" s="100">
        <v>63.07</v>
      </c>
      <c r="L10" s="100">
        <v>55</v>
      </c>
      <c r="M10" s="100">
        <v>60</v>
      </c>
      <c r="N10" s="100">
        <v>14353</v>
      </c>
      <c r="O10" s="100">
        <v>14460</v>
      </c>
      <c r="P10" s="100">
        <v>108</v>
      </c>
      <c r="Q10" s="103" t="s">
        <v>40198</v>
      </c>
    </row>
    <row r="11" spans="1:17">
      <c r="A11" s="104" t="s">
        <v>39642</v>
      </c>
      <c r="B11" s="91" t="s">
        <v>12944</v>
      </c>
      <c r="C11" s="105" t="s">
        <v>40146</v>
      </c>
      <c r="D11" s="91" t="s">
        <v>40199</v>
      </c>
      <c r="E11" s="91" t="s">
        <v>40200</v>
      </c>
      <c r="F11" s="91" t="s">
        <v>40201</v>
      </c>
      <c r="G11" s="91" t="s">
        <v>40202</v>
      </c>
      <c r="H11" s="105">
        <v>20</v>
      </c>
      <c r="I11" s="105">
        <v>20</v>
      </c>
      <c r="J11" s="105">
        <v>62.65</v>
      </c>
      <c r="K11" s="105">
        <v>63.09</v>
      </c>
      <c r="L11" s="105">
        <v>60</v>
      </c>
      <c r="M11" s="105">
        <v>55</v>
      </c>
      <c r="N11" s="105">
        <v>4135</v>
      </c>
      <c r="O11" s="105">
        <v>4241</v>
      </c>
      <c r="P11" s="105">
        <v>107</v>
      </c>
      <c r="Q11" s="106" t="s">
        <v>40203</v>
      </c>
    </row>
    <row r="12" spans="1:17">
      <c r="A12" s="107" t="s">
        <v>39643</v>
      </c>
      <c r="B12" s="94" t="s">
        <v>13249</v>
      </c>
      <c r="C12" s="100" t="s">
        <v>40146</v>
      </c>
      <c r="D12" s="94" t="s">
        <v>40204</v>
      </c>
      <c r="E12" s="94" t="s">
        <v>40205</v>
      </c>
      <c r="F12" s="94" t="s">
        <v>40206</v>
      </c>
      <c r="G12" s="94" t="s">
        <v>40207</v>
      </c>
      <c r="H12" s="100">
        <v>20</v>
      </c>
      <c r="I12" s="100">
        <v>20</v>
      </c>
      <c r="J12" s="100">
        <v>63.01</v>
      </c>
      <c r="K12" s="100">
        <v>63.08</v>
      </c>
      <c r="L12" s="100">
        <v>60</v>
      </c>
      <c r="M12" s="100">
        <v>60</v>
      </c>
      <c r="N12" s="100">
        <v>1877</v>
      </c>
      <c r="O12" s="100">
        <v>2015</v>
      </c>
      <c r="P12" s="100">
        <v>139</v>
      </c>
      <c r="Q12" s="103" t="s">
        <v>40208</v>
      </c>
    </row>
    <row r="13" spans="1:17">
      <c r="A13" s="104" t="s">
        <v>39636</v>
      </c>
      <c r="B13" s="91" t="s">
        <v>40209</v>
      </c>
      <c r="C13" s="105" t="s">
        <v>40146</v>
      </c>
      <c r="D13" s="91" t="s">
        <v>40210</v>
      </c>
      <c r="E13" s="91" t="s">
        <v>40211</v>
      </c>
      <c r="F13" s="91" t="s">
        <v>40212</v>
      </c>
      <c r="G13" s="91" t="s">
        <v>40213</v>
      </c>
      <c r="H13" s="105">
        <v>20</v>
      </c>
      <c r="I13" s="105">
        <v>20</v>
      </c>
      <c r="J13" s="105">
        <v>62.41</v>
      </c>
      <c r="K13" s="105">
        <v>63.29</v>
      </c>
      <c r="L13" s="105">
        <v>55</v>
      </c>
      <c r="M13" s="105">
        <v>60</v>
      </c>
      <c r="N13" s="105">
        <v>16057</v>
      </c>
      <c r="O13" s="105">
        <v>16175</v>
      </c>
      <c r="P13" s="105">
        <v>119</v>
      </c>
      <c r="Q13" s="106" t="s">
        <v>40214</v>
      </c>
    </row>
    <row r="14" spans="1:17">
      <c r="A14" s="107" t="s">
        <v>39637</v>
      </c>
      <c r="B14" s="94" t="s">
        <v>15005</v>
      </c>
      <c r="C14" s="100" t="s">
        <v>40146</v>
      </c>
      <c r="D14" s="94" t="s">
        <v>40215</v>
      </c>
      <c r="E14" s="94" t="s">
        <v>40216</v>
      </c>
      <c r="F14" s="94" t="s">
        <v>40217</v>
      </c>
      <c r="G14" s="94" t="s">
        <v>40218</v>
      </c>
      <c r="H14" s="100">
        <v>20</v>
      </c>
      <c r="I14" s="100">
        <v>20</v>
      </c>
      <c r="J14" s="100">
        <v>63.07</v>
      </c>
      <c r="K14" s="100">
        <v>62.24</v>
      </c>
      <c r="L14" s="100">
        <v>60</v>
      </c>
      <c r="M14" s="100">
        <v>60</v>
      </c>
      <c r="N14" s="100">
        <v>2444</v>
      </c>
      <c r="O14" s="100">
        <v>2592</v>
      </c>
      <c r="P14" s="100">
        <v>149</v>
      </c>
      <c r="Q14" s="103" t="s">
        <v>40219</v>
      </c>
    </row>
    <row r="15" spans="1:17">
      <c r="A15" s="104" t="s">
        <v>39638</v>
      </c>
      <c r="B15" s="91" t="s">
        <v>40220</v>
      </c>
      <c r="C15" s="105" t="s">
        <v>40146</v>
      </c>
      <c r="D15" s="91" t="s">
        <v>40221</v>
      </c>
      <c r="E15" s="91" t="s">
        <v>40222</v>
      </c>
      <c r="F15" s="91" t="s">
        <v>40223</v>
      </c>
      <c r="G15" s="91" t="s">
        <v>40224</v>
      </c>
      <c r="H15" s="105">
        <v>24</v>
      </c>
      <c r="I15" s="105">
        <v>23</v>
      </c>
      <c r="J15" s="105">
        <v>61.52</v>
      </c>
      <c r="K15" s="105">
        <v>62.05</v>
      </c>
      <c r="L15" s="105">
        <v>45.8</v>
      </c>
      <c r="M15" s="105">
        <v>47.8</v>
      </c>
      <c r="N15" s="105">
        <v>7132</v>
      </c>
      <c r="O15" s="105">
        <v>7281</v>
      </c>
      <c r="P15" s="105">
        <v>150</v>
      </c>
      <c r="Q15" s="106" t="s">
        <v>40225</v>
      </c>
    </row>
    <row r="16" spans="1:17">
      <c r="A16" s="107" t="s">
        <v>39629</v>
      </c>
      <c r="B16" s="94" t="s">
        <v>10709</v>
      </c>
      <c r="C16" s="100" t="s">
        <v>40146</v>
      </c>
      <c r="D16" s="94" t="s">
        <v>40226</v>
      </c>
      <c r="E16" s="94" t="s">
        <v>40227</v>
      </c>
      <c r="F16" s="94" t="s">
        <v>40228</v>
      </c>
      <c r="G16" s="94" t="s">
        <v>40229</v>
      </c>
      <c r="H16" s="100">
        <v>20</v>
      </c>
      <c r="I16" s="100">
        <v>20</v>
      </c>
      <c r="J16" s="100">
        <v>63</v>
      </c>
      <c r="K16" s="100">
        <v>63</v>
      </c>
      <c r="L16" s="100">
        <v>60</v>
      </c>
      <c r="M16" s="100">
        <v>60</v>
      </c>
      <c r="N16" s="100">
        <v>542</v>
      </c>
      <c r="O16" s="100">
        <v>644</v>
      </c>
      <c r="P16" s="100">
        <v>103</v>
      </c>
      <c r="Q16" s="103" t="s">
        <v>40230</v>
      </c>
    </row>
    <row r="17" spans="1:17">
      <c r="A17" s="104" t="s">
        <v>39630</v>
      </c>
      <c r="B17" s="91" t="s">
        <v>16170</v>
      </c>
      <c r="C17" s="105" t="s">
        <v>40146</v>
      </c>
      <c r="D17" s="91" t="s">
        <v>40231</v>
      </c>
      <c r="E17" s="91" t="s">
        <v>40232</v>
      </c>
      <c r="F17" s="91" t="s">
        <v>40233</v>
      </c>
      <c r="G17" s="91" t="s">
        <v>40234</v>
      </c>
      <c r="H17" s="105">
        <v>20</v>
      </c>
      <c r="I17" s="105">
        <v>20</v>
      </c>
      <c r="J17" s="105">
        <v>62.7</v>
      </c>
      <c r="K17" s="105">
        <v>63</v>
      </c>
      <c r="L17" s="105">
        <v>60</v>
      </c>
      <c r="M17" s="105">
        <v>60</v>
      </c>
      <c r="N17" s="105">
        <v>1308</v>
      </c>
      <c r="O17" s="105">
        <v>1430</v>
      </c>
      <c r="P17" s="105">
        <v>123</v>
      </c>
      <c r="Q17" s="106" t="s">
        <v>40235</v>
      </c>
    </row>
    <row r="18" spans="1:17">
      <c r="A18" s="107" t="s">
        <v>39631</v>
      </c>
      <c r="B18" s="94" t="s">
        <v>15446</v>
      </c>
      <c r="C18" s="100" t="s">
        <v>40146</v>
      </c>
      <c r="D18" s="94" t="s">
        <v>40236</v>
      </c>
      <c r="E18" s="94" t="s">
        <v>40237</v>
      </c>
      <c r="F18" s="94" t="s">
        <v>40238</v>
      </c>
      <c r="G18" s="94" t="s">
        <v>40239</v>
      </c>
      <c r="H18" s="100">
        <v>20</v>
      </c>
      <c r="I18" s="100">
        <v>20</v>
      </c>
      <c r="J18" s="100">
        <v>63.03</v>
      </c>
      <c r="K18" s="100">
        <v>63.38</v>
      </c>
      <c r="L18" s="100">
        <v>55</v>
      </c>
      <c r="M18" s="100">
        <v>60</v>
      </c>
      <c r="N18" s="100">
        <v>4355</v>
      </c>
      <c r="O18" s="100">
        <v>4465</v>
      </c>
      <c r="P18" s="100">
        <v>111</v>
      </c>
      <c r="Q18" s="103" t="s">
        <v>40240</v>
      </c>
    </row>
    <row r="19" spans="1:17">
      <c r="A19" s="107" t="s">
        <v>39632</v>
      </c>
      <c r="B19" s="94" t="s">
        <v>13321</v>
      </c>
      <c r="C19" s="100" t="s">
        <v>40146</v>
      </c>
      <c r="D19" s="94" t="s">
        <v>40241</v>
      </c>
      <c r="E19" s="94" t="s">
        <v>40242</v>
      </c>
      <c r="F19" s="94" t="s">
        <v>40243</v>
      </c>
      <c r="G19" s="94" t="s">
        <v>40244</v>
      </c>
      <c r="H19" s="100">
        <v>21</v>
      </c>
      <c r="I19" s="100">
        <v>24</v>
      </c>
      <c r="J19" s="100">
        <v>61.77</v>
      </c>
      <c r="K19" s="100">
        <v>62.32</v>
      </c>
      <c r="L19" s="100">
        <v>52.38</v>
      </c>
      <c r="M19" s="100">
        <v>45.83</v>
      </c>
      <c r="N19" s="100">
        <v>1075</v>
      </c>
      <c r="O19" s="100">
        <v>1217</v>
      </c>
      <c r="P19" s="100">
        <v>143</v>
      </c>
      <c r="Q19" s="103" t="s">
        <v>40245</v>
      </c>
    </row>
    <row r="20" spans="1:17">
      <c r="A20" s="104" t="s">
        <v>39633</v>
      </c>
      <c r="B20" s="91" t="s">
        <v>12539</v>
      </c>
      <c r="C20" s="105" t="s">
        <v>40146</v>
      </c>
      <c r="D20" s="91" t="s">
        <v>40246</v>
      </c>
      <c r="E20" s="91" t="s">
        <v>40247</v>
      </c>
      <c r="F20" s="91" t="s">
        <v>40248</v>
      </c>
      <c r="G20" s="91" t="s">
        <v>40249</v>
      </c>
      <c r="H20" s="105">
        <v>20</v>
      </c>
      <c r="I20" s="105">
        <v>20</v>
      </c>
      <c r="J20" s="105">
        <v>63.11</v>
      </c>
      <c r="K20" s="105">
        <v>63.73</v>
      </c>
      <c r="L20" s="105">
        <v>60</v>
      </c>
      <c r="M20" s="105">
        <v>60</v>
      </c>
      <c r="N20" s="105">
        <v>3099</v>
      </c>
      <c r="O20" s="105">
        <v>3230</v>
      </c>
      <c r="P20" s="105">
        <v>132</v>
      </c>
      <c r="Q20" s="106" t="s">
        <v>40250</v>
      </c>
    </row>
    <row r="21" spans="1:17">
      <c r="A21" s="107" t="s">
        <v>39634</v>
      </c>
      <c r="B21" s="94" t="s">
        <v>40251</v>
      </c>
      <c r="C21" s="100" t="s">
        <v>40146</v>
      </c>
      <c r="D21" s="94" t="s">
        <v>40252</v>
      </c>
      <c r="E21" s="94" t="s">
        <v>40253</v>
      </c>
      <c r="F21" s="94" t="s">
        <v>40254</v>
      </c>
      <c r="G21" s="94" t="s">
        <v>40255</v>
      </c>
      <c r="H21" s="100">
        <v>20</v>
      </c>
      <c r="I21" s="100">
        <v>20</v>
      </c>
      <c r="J21" s="100">
        <v>62.97</v>
      </c>
      <c r="K21" s="100">
        <v>62.8</v>
      </c>
      <c r="L21" s="100">
        <v>60</v>
      </c>
      <c r="M21" s="100">
        <v>55</v>
      </c>
      <c r="N21" s="100">
        <v>2772</v>
      </c>
      <c r="O21" s="100">
        <v>2896</v>
      </c>
      <c r="P21" s="100">
        <v>125</v>
      </c>
      <c r="Q21" s="103" t="s">
        <v>40256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83D8E-438D-AF4A-A547-4BF3A7949CF3}">
  <dimension ref="A1:Q9"/>
  <sheetViews>
    <sheetView workbookViewId="0">
      <selection sqref="A1:Q9"/>
    </sheetView>
  </sheetViews>
  <sheetFormatPr baseColWidth="10" defaultRowHeight="16"/>
  <sheetData>
    <row r="1" spans="1:17">
      <c r="A1" s="87" t="s">
        <v>40081</v>
      </c>
      <c r="B1" s="88" t="s">
        <v>40082</v>
      </c>
      <c r="C1" s="89" t="s">
        <v>40083</v>
      </c>
      <c r="D1" s="88" t="s">
        <v>40084</v>
      </c>
      <c r="E1" s="88" t="s">
        <v>40085</v>
      </c>
      <c r="F1" s="88" t="s">
        <v>40086</v>
      </c>
      <c r="G1" s="88" t="s">
        <v>40087</v>
      </c>
      <c r="H1" s="89" t="s">
        <v>40088</v>
      </c>
      <c r="I1" s="89" t="s">
        <v>40089</v>
      </c>
      <c r="J1" s="89" t="s">
        <v>40090</v>
      </c>
      <c r="K1" s="89" t="s">
        <v>40091</v>
      </c>
      <c r="L1" s="89" t="s">
        <v>40092</v>
      </c>
      <c r="M1" s="89" t="s">
        <v>40093</v>
      </c>
      <c r="N1" s="89" t="s">
        <v>40094</v>
      </c>
      <c r="O1" s="89" t="s">
        <v>40095</v>
      </c>
      <c r="P1" s="89" t="s">
        <v>40096</v>
      </c>
      <c r="Q1" s="90" t="s">
        <v>40097</v>
      </c>
    </row>
    <row r="2" spans="1:17" ht="43">
      <c r="A2" s="91" t="s">
        <v>39660</v>
      </c>
      <c r="B2" s="91" t="s">
        <v>40098</v>
      </c>
      <c r="C2" s="91" t="s">
        <v>38532</v>
      </c>
      <c r="D2" s="91" t="s">
        <v>40099</v>
      </c>
      <c r="E2" s="92" t="s">
        <v>40100</v>
      </c>
      <c r="F2" s="91" t="s">
        <v>40101</v>
      </c>
      <c r="G2" s="91" t="s">
        <v>40102</v>
      </c>
      <c r="H2" s="91">
        <v>20</v>
      </c>
      <c r="I2" s="91">
        <v>20</v>
      </c>
      <c r="J2" s="91">
        <v>63.15</v>
      </c>
      <c r="K2" s="91">
        <v>62.61</v>
      </c>
      <c r="L2" s="91">
        <v>60</v>
      </c>
      <c r="M2" s="91">
        <v>60</v>
      </c>
      <c r="N2" s="91">
        <v>1397</v>
      </c>
      <c r="O2" s="91">
        <v>1530</v>
      </c>
      <c r="P2" s="91">
        <v>134</v>
      </c>
      <c r="Q2" s="93" t="s">
        <v>40103</v>
      </c>
    </row>
    <row r="3" spans="1:17">
      <c r="A3" s="94" t="s">
        <v>39661</v>
      </c>
      <c r="B3" s="94" t="s">
        <v>40104</v>
      </c>
      <c r="C3" s="94" t="s">
        <v>38532</v>
      </c>
      <c r="D3" s="94" t="s">
        <v>40105</v>
      </c>
      <c r="E3" s="94" t="s">
        <v>40106</v>
      </c>
      <c r="F3" s="94" t="s">
        <v>40107</v>
      </c>
      <c r="G3" s="94" t="s">
        <v>40108</v>
      </c>
      <c r="H3" s="94">
        <v>20</v>
      </c>
      <c r="I3" s="94">
        <v>20</v>
      </c>
      <c r="J3" s="94">
        <v>63</v>
      </c>
      <c r="K3" s="94">
        <v>62.83</v>
      </c>
      <c r="L3" s="94">
        <v>60</v>
      </c>
      <c r="M3" s="94">
        <v>60</v>
      </c>
      <c r="N3" s="94">
        <v>119</v>
      </c>
      <c r="O3" s="94">
        <v>233</v>
      </c>
      <c r="P3" s="94">
        <v>115</v>
      </c>
      <c r="Q3" s="95" t="s">
        <v>40109</v>
      </c>
    </row>
    <row r="4" spans="1:17">
      <c r="A4" s="91" t="s">
        <v>39662</v>
      </c>
      <c r="B4" s="91" t="s">
        <v>40110</v>
      </c>
      <c r="C4" s="91" t="s">
        <v>38532</v>
      </c>
      <c r="D4" s="91" t="s">
        <v>40111</v>
      </c>
      <c r="E4" s="91" t="s">
        <v>40112</v>
      </c>
      <c r="F4" s="91" t="s">
        <v>40113</v>
      </c>
      <c r="G4" s="91" t="s">
        <v>40114</v>
      </c>
      <c r="H4" s="91">
        <v>20</v>
      </c>
      <c r="I4" s="91">
        <v>20</v>
      </c>
      <c r="J4" s="91">
        <v>62.47</v>
      </c>
      <c r="K4" s="91">
        <v>62.66</v>
      </c>
      <c r="L4" s="91">
        <v>60</v>
      </c>
      <c r="M4" s="91">
        <v>60</v>
      </c>
      <c r="N4" s="91">
        <v>564</v>
      </c>
      <c r="O4" s="91">
        <v>702</v>
      </c>
      <c r="P4" s="91">
        <v>139</v>
      </c>
      <c r="Q4" s="93" t="s">
        <v>40115</v>
      </c>
    </row>
    <row r="5" spans="1:17">
      <c r="A5" s="94" t="s">
        <v>39663</v>
      </c>
      <c r="B5" s="94" t="s">
        <v>40116</v>
      </c>
      <c r="C5" s="94" t="s">
        <v>38532</v>
      </c>
      <c r="D5" s="94" t="s">
        <v>40117</v>
      </c>
      <c r="E5" s="94" t="s">
        <v>40118</v>
      </c>
      <c r="F5" s="94" t="s">
        <v>40119</v>
      </c>
      <c r="G5" s="94" t="s">
        <v>40120</v>
      </c>
      <c r="H5" s="94">
        <v>20</v>
      </c>
      <c r="I5" s="94">
        <v>20</v>
      </c>
      <c r="J5" s="94">
        <v>62.7</v>
      </c>
      <c r="K5" s="94">
        <v>63.44</v>
      </c>
      <c r="L5" s="94">
        <v>60</v>
      </c>
      <c r="M5" s="94">
        <v>60</v>
      </c>
      <c r="N5" s="94">
        <v>955</v>
      </c>
      <c r="O5" s="94">
        <v>1073</v>
      </c>
      <c r="P5" s="94">
        <v>119</v>
      </c>
      <c r="Q5" s="95" t="s">
        <v>40121</v>
      </c>
    </row>
    <row r="6" spans="1:17">
      <c r="A6" s="91" t="s">
        <v>39664</v>
      </c>
      <c r="B6" s="91" t="s">
        <v>17623</v>
      </c>
      <c r="C6" s="91" t="s">
        <v>38532</v>
      </c>
      <c r="D6" s="91" t="s">
        <v>40122</v>
      </c>
      <c r="E6" s="91" t="s">
        <v>40123</v>
      </c>
      <c r="F6" s="91" t="s">
        <v>40124</v>
      </c>
      <c r="G6" s="91" t="s">
        <v>40125</v>
      </c>
      <c r="H6" s="91">
        <v>20</v>
      </c>
      <c r="I6" s="91">
        <v>20</v>
      </c>
      <c r="J6" s="91">
        <v>62.85</v>
      </c>
      <c r="K6" s="91">
        <v>62.74</v>
      </c>
      <c r="L6" s="91">
        <v>60</v>
      </c>
      <c r="M6" s="91">
        <v>60</v>
      </c>
      <c r="N6" s="91">
        <v>661</v>
      </c>
      <c r="O6" s="91">
        <v>795</v>
      </c>
      <c r="P6" s="91">
        <v>135</v>
      </c>
      <c r="Q6" s="93" t="s">
        <v>40126</v>
      </c>
    </row>
    <row r="7" spans="1:17">
      <c r="A7" s="94" t="s">
        <v>39665</v>
      </c>
      <c r="B7" s="94" t="s">
        <v>40127</v>
      </c>
      <c r="C7" s="94" t="s">
        <v>38532</v>
      </c>
      <c r="D7" s="94" t="s">
        <v>40128</v>
      </c>
      <c r="E7" s="94" t="s">
        <v>40129</v>
      </c>
      <c r="F7" s="94" t="s">
        <v>40130</v>
      </c>
      <c r="G7" s="94" t="s">
        <v>40102</v>
      </c>
      <c r="H7" s="94">
        <v>20</v>
      </c>
      <c r="I7" s="94">
        <v>20</v>
      </c>
      <c r="J7" s="94">
        <v>63.4</v>
      </c>
      <c r="K7" s="94">
        <v>62.61</v>
      </c>
      <c r="L7" s="94">
        <v>60</v>
      </c>
      <c r="M7" s="94">
        <v>60</v>
      </c>
      <c r="N7" s="94">
        <v>1399</v>
      </c>
      <c r="O7" s="94">
        <v>1524</v>
      </c>
      <c r="P7" s="94">
        <v>126</v>
      </c>
      <c r="Q7" s="95" t="s">
        <v>40131</v>
      </c>
    </row>
    <row r="8" spans="1:17">
      <c r="A8" s="91" t="s">
        <v>39666</v>
      </c>
      <c r="B8" s="91" t="s">
        <v>40132</v>
      </c>
      <c r="C8" s="91" t="s">
        <v>38532</v>
      </c>
      <c r="D8" s="91" t="s">
        <v>40133</v>
      </c>
      <c r="E8" s="91" t="s">
        <v>40134</v>
      </c>
      <c r="F8" s="91" t="s">
        <v>40135</v>
      </c>
      <c r="G8" s="91" t="s">
        <v>40136</v>
      </c>
      <c r="H8" s="91">
        <v>20</v>
      </c>
      <c r="I8" s="91">
        <v>20</v>
      </c>
      <c r="J8" s="91">
        <v>63.05</v>
      </c>
      <c r="K8" s="91">
        <v>62.86</v>
      </c>
      <c r="L8" s="91">
        <v>60</v>
      </c>
      <c r="M8" s="91">
        <v>60</v>
      </c>
      <c r="N8" s="91">
        <v>817</v>
      </c>
      <c r="O8" s="91">
        <v>954</v>
      </c>
      <c r="P8" s="91">
        <v>138</v>
      </c>
      <c r="Q8" s="93" t="s">
        <v>40137</v>
      </c>
    </row>
    <row r="9" spans="1:17">
      <c r="A9" s="96" t="s">
        <v>39667</v>
      </c>
      <c r="B9" s="96" t="s">
        <v>40138</v>
      </c>
      <c r="C9" s="96" t="s">
        <v>38532</v>
      </c>
      <c r="D9" s="96" t="s">
        <v>40139</v>
      </c>
      <c r="E9" s="96" t="s">
        <v>40140</v>
      </c>
      <c r="F9" s="96" t="s">
        <v>40141</v>
      </c>
      <c r="G9" s="96" t="s">
        <v>40142</v>
      </c>
      <c r="H9" s="96">
        <v>21</v>
      </c>
      <c r="I9" s="96">
        <v>20</v>
      </c>
      <c r="J9" s="96">
        <v>62.13</v>
      </c>
      <c r="K9" s="96">
        <v>63.58</v>
      </c>
      <c r="L9" s="96">
        <v>57</v>
      </c>
      <c r="M9" s="96">
        <v>60</v>
      </c>
      <c r="N9" s="96">
        <v>197</v>
      </c>
      <c r="O9" s="96">
        <v>328</v>
      </c>
      <c r="P9" s="96">
        <v>132</v>
      </c>
      <c r="Q9" s="97" t="s">
        <v>40143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A5209-5E5E-B240-9027-00C0F474CA74}">
  <dimension ref="A1:K577"/>
  <sheetViews>
    <sheetView workbookViewId="0">
      <selection sqref="A1:K577"/>
    </sheetView>
  </sheetViews>
  <sheetFormatPr baseColWidth="10" defaultRowHeight="16"/>
  <sheetData>
    <row r="1" spans="1:11" ht="51">
      <c r="A1" s="6" t="s">
        <v>34</v>
      </c>
      <c r="B1" s="6" t="s">
        <v>35</v>
      </c>
      <c r="C1" s="6" t="s">
        <v>36</v>
      </c>
      <c r="D1" s="6" t="s">
        <v>37</v>
      </c>
      <c r="E1" s="6" t="s">
        <v>38</v>
      </c>
      <c r="F1" s="6" t="s">
        <v>39</v>
      </c>
      <c r="G1" s="6" t="s">
        <v>40</v>
      </c>
      <c r="H1" s="6" t="s">
        <v>41</v>
      </c>
      <c r="I1" s="6" t="s">
        <v>42</v>
      </c>
      <c r="J1" s="6" t="s">
        <v>43</v>
      </c>
      <c r="K1" s="7" t="s">
        <v>44</v>
      </c>
    </row>
    <row r="2" spans="1:11">
      <c r="A2" t="s">
        <v>45</v>
      </c>
      <c r="B2" s="8">
        <v>9.1780000000000008</v>
      </c>
      <c r="C2" s="9">
        <v>12</v>
      </c>
      <c r="D2">
        <v>9</v>
      </c>
      <c r="E2">
        <v>2</v>
      </c>
      <c r="F2">
        <v>2</v>
      </c>
      <c r="G2" s="10">
        <v>0.22222222222222221</v>
      </c>
      <c r="H2" t="s">
        <v>46</v>
      </c>
      <c r="I2" t="s">
        <v>47</v>
      </c>
      <c r="J2" t="s">
        <v>48</v>
      </c>
      <c r="K2" s="11" t="s">
        <v>47</v>
      </c>
    </row>
    <row r="3" spans="1:11">
      <c r="A3" t="s">
        <v>49</v>
      </c>
      <c r="B3" s="8">
        <v>3.444</v>
      </c>
      <c r="C3" s="9">
        <v>6.2</v>
      </c>
      <c r="D3">
        <v>3</v>
      </c>
      <c r="E3">
        <v>2</v>
      </c>
      <c r="F3">
        <v>2</v>
      </c>
      <c r="G3" s="10">
        <v>0.66666666666666663</v>
      </c>
      <c r="H3" t="s">
        <v>46</v>
      </c>
      <c r="I3" t="s">
        <v>50</v>
      </c>
      <c r="J3" t="s">
        <v>51</v>
      </c>
      <c r="K3" s="11" t="s">
        <v>52</v>
      </c>
    </row>
    <row r="4" spans="1:11">
      <c r="A4" t="s">
        <v>53</v>
      </c>
      <c r="B4" s="8">
        <v>4.5359999999999996</v>
      </c>
      <c r="C4" s="9">
        <v>2</v>
      </c>
      <c r="D4">
        <v>2</v>
      </c>
      <c r="E4">
        <v>2</v>
      </c>
      <c r="F4">
        <v>1</v>
      </c>
      <c r="G4" s="10">
        <v>0.5</v>
      </c>
      <c r="H4" t="s">
        <v>46</v>
      </c>
      <c r="I4" t="s">
        <v>54</v>
      </c>
      <c r="J4" t="s">
        <v>55</v>
      </c>
      <c r="K4" s="11" t="s">
        <v>56</v>
      </c>
    </row>
    <row r="5" spans="1:11">
      <c r="A5" t="s">
        <v>57</v>
      </c>
      <c r="B5" s="8">
        <v>2.4420000000000002</v>
      </c>
      <c r="C5" s="9">
        <v>12</v>
      </c>
      <c r="D5">
        <v>1</v>
      </c>
      <c r="E5">
        <v>1</v>
      </c>
      <c r="F5">
        <v>1</v>
      </c>
      <c r="G5" s="10">
        <v>1</v>
      </c>
      <c r="H5" t="s">
        <v>46</v>
      </c>
      <c r="I5" t="s">
        <v>58</v>
      </c>
      <c r="J5" t="s">
        <v>59</v>
      </c>
      <c r="K5" s="11" t="s">
        <v>58</v>
      </c>
    </row>
    <row r="6" spans="1:11">
      <c r="A6" t="s">
        <v>60</v>
      </c>
      <c r="B6" s="8">
        <v>6.9039999999999999</v>
      </c>
      <c r="C6" s="9">
        <v>2.6</v>
      </c>
      <c r="D6">
        <v>4</v>
      </c>
      <c r="E6">
        <v>4</v>
      </c>
      <c r="F6">
        <v>3</v>
      </c>
      <c r="G6" s="10">
        <v>0.75</v>
      </c>
      <c r="H6" t="s">
        <v>46</v>
      </c>
      <c r="I6" t="s">
        <v>61</v>
      </c>
      <c r="J6" t="s">
        <v>62</v>
      </c>
      <c r="K6" s="11" t="s">
        <v>63</v>
      </c>
    </row>
    <row r="7" spans="1:11">
      <c r="A7" t="s">
        <v>64</v>
      </c>
      <c r="B7" s="8">
        <v>2.4079999999999999</v>
      </c>
      <c r="C7" s="9">
        <v>4.7</v>
      </c>
      <c r="D7">
        <v>1</v>
      </c>
      <c r="E7">
        <v>1</v>
      </c>
      <c r="F7">
        <v>1</v>
      </c>
      <c r="G7" s="10">
        <v>1</v>
      </c>
      <c r="H7" t="s">
        <v>46</v>
      </c>
      <c r="I7" t="s">
        <v>65</v>
      </c>
      <c r="J7" t="s">
        <v>66</v>
      </c>
      <c r="K7" s="11" t="s">
        <v>65</v>
      </c>
    </row>
    <row r="8" spans="1:11">
      <c r="A8" t="s">
        <v>67</v>
      </c>
      <c r="B8" s="8">
        <v>3.601</v>
      </c>
      <c r="C8" s="9">
        <v>43</v>
      </c>
      <c r="D8">
        <v>1</v>
      </c>
      <c r="E8">
        <v>1</v>
      </c>
      <c r="F8">
        <v>1</v>
      </c>
      <c r="G8" s="10">
        <v>1</v>
      </c>
      <c r="H8" t="s">
        <v>46</v>
      </c>
      <c r="I8" t="s">
        <v>68</v>
      </c>
      <c r="J8" t="s">
        <v>69</v>
      </c>
      <c r="K8" s="11" t="s">
        <v>68</v>
      </c>
    </row>
    <row r="9" spans="1:11">
      <c r="A9" t="s">
        <v>70</v>
      </c>
      <c r="B9" s="8">
        <v>5.6349999999999998</v>
      </c>
      <c r="C9" s="9">
        <v>25</v>
      </c>
      <c r="D9">
        <v>2</v>
      </c>
      <c r="E9">
        <v>2</v>
      </c>
      <c r="F9">
        <v>2</v>
      </c>
      <c r="G9" s="10">
        <v>1</v>
      </c>
      <c r="H9" t="s">
        <v>46</v>
      </c>
      <c r="I9" t="s">
        <v>71</v>
      </c>
      <c r="J9" t="s">
        <v>72</v>
      </c>
      <c r="K9" s="11" t="s">
        <v>73</v>
      </c>
    </row>
    <row r="10" spans="1:11">
      <c r="A10" t="s">
        <v>74</v>
      </c>
      <c r="B10" s="8">
        <v>3.2440000000000002</v>
      </c>
      <c r="C10" s="9">
        <v>10</v>
      </c>
      <c r="D10">
        <v>1</v>
      </c>
      <c r="E10">
        <v>1</v>
      </c>
      <c r="F10">
        <v>1</v>
      </c>
      <c r="G10" s="10">
        <v>1</v>
      </c>
      <c r="H10" t="s">
        <v>46</v>
      </c>
      <c r="I10" t="s">
        <v>75</v>
      </c>
      <c r="J10" t="s">
        <v>76</v>
      </c>
      <c r="K10" s="11" t="s">
        <v>75</v>
      </c>
    </row>
    <row r="11" spans="1:11">
      <c r="A11" t="s">
        <v>77</v>
      </c>
      <c r="B11" s="8">
        <v>6.2329999999999997</v>
      </c>
      <c r="C11" s="9">
        <v>4.5</v>
      </c>
      <c r="D11">
        <v>6</v>
      </c>
      <c r="E11">
        <v>6</v>
      </c>
      <c r="F11">
        <v>5</v>
      </c>
      <c r="G11" s="10">
        <v>0.83333333333333337</v>
      </c>
      <c r="H11" t="s">
        <v>46</v>
      </c>
      <c r="I11" t="s">
        <v>78</v>
      </c>
      <c r="J11" t="s">
        <v>79</v>
      </c>
      <c r="K11" s="11" t="s">
        <v>80</v>
      </c>
    </row>
    <row r="12" spans="1:11">
      <c r="A12" t="s">
        <v>81</v>
      </c>
      <c r="B12" s="8">
        <v>2.617</v>
      </c>
      <c r="C12" s="9">
        <v>9.1999999999999993</v>
      </c>
      <c r="D12">
        <v>1</v>
      </c>
      <c r="E12">
        <v>1</v>
      </c>
      <c r="F12">
        <v>1</v>
      </c>
      <c r="G12" s="10">
        <v>1</v>
      </c>
      <c r="H12" t="s">
        <v>46</v>
      </c>
      <c r="I12" t="s">
        <v>56</v>
      </c>
      <c r="J12" t="s">
        <v>82</v>
      </c>
      <c r="K12" s="11" t="s">
        <v>56</v>
      </c>
    </row>
    <row r="13" spans="1:11">
      <c r="A13" t="s">
        <v>83</v>
      </c>
      <c r="B13" s="8">
        <v>4.8769999999999998</v>
      </c>
      <c r="C13" s="9">
        <v>48</v>
      </c>
      <c r="D13">
        <v>2</v>
      </c>
      <c r="E13">
        <v>2</v>
      </c>
      <c r="F13">
        <v>2</v>
      </c>
      <c r="G13" s="10">
        <v>1</v>
      </c>
      <c r="H13" t="s">
        <v>46</v>
      </c>
      <c r="I13" t="s">
        <v>84</v>
      </c>
      <c r="J13" t="s">
        <v>85</v>
      </c>
      <c r="K13" s="11" t="s">
        <v>84</v>
      </c>
    </row>
    <row r="14" spans="1:11">
      <c r="A14" t="s">
        <v>86</v>
      </c>
      <c r="B14" s="8">
        <v>8.5920000000000005</v>
      </c>
      <c r="C14" s="9">
        <v>23</v>
      </c>
      <c r="D14">
        <v>6</v>
      </c>
      <c r="E14">
        <v>6</v>
      </c>
      <c r="F14">
        <v>6</v>
      </c>
      <c r="G14" s="10">
        <v>1</v>
      </c>
      <c r="H14" t="s">
        <v>46</v>
      </c>
      <c r="I14" t="s">
        <v>87</v>
      </c>
      <c r="J14" t="s">
        <v>88</v>
      </c>
      <c r="K14" s="11" t="s">
        <v>89</v>
      </c>
    </row>
    <row r="15" spans="1:11">
      <c r="A15" t="s">
        <v>90</v>
      </c>
      <c r="B15" s="8">
        <v>8.36</v>
      </c>
      <c r="C15" s="9">
        <v>23</v>
      </c>
      <c r="D15">
        <v>6</v>
      </c>
      <c r="E15">
        <v>4</v>
      </c>
      <c r="F15">
        <v>3</v>
      </c>
      <c r="G15" s="10">
        <v>0.5</v>
      </c>
      <c r="H15" t="s">
        <v>46</v>
      </c>
      <c r="I15" t="s">
        <v>91</v>
      </c>
      <c r="J15" t="s">
        <v>92</v>
      </c>
      <c r="K15" s="11" t="s">
        <v>93</v>
      </c>
    </row>
    <row r="16" spans="1:11">
      <c r="A16" t="s">
        <v>94</v>
      </c>
      <c r="B16" s="8">
        <v>6.38</v>
      </c>
      <c r="C16" s="9">
        <v>4.8</v>
      </c>
      <c r="D16">
        <v>5</v>
      </c>
      <c r="E16">
        <v>5</v>
      </c>
      <c r="F16">
        <v>5</v>
      </c>
      <c r="G16" s="10">
        <v>1</v>
      </c>
      <c r="H16" t="s">
        <v>46</v>
      </c>
      <c r="I16" t="s">
        <v>95</v>
      </c>
      <c r="J16" t="s">
        <v>96</v>
      </c>
      <c r="K16" s="11" t="s">
        <v>97</v>
      </c>
    </row>
    <row r="17" spans="1:11">
      <c r="A17" t="s">
        <v>98</v>
      </c>
      <c r="B17" s="8">
        <v>15.476000000000001</v>
      </c>
      <c r="C17" s="9">
        <v>7.9</v>
      </c>
      <c r="D17">
        <v>14</v>
      </c>
      <c r="E17">
        <v>14</v>
      </c>
      <c r="F17">
        <v>9</v>
      </c>
      <c r="G17" s="10">
        <v>0.6428571428571429</v>
      </c>
      <c r="H17" t="s">
        <v>46</v>
      </c>
      <c r="I17" t="s">
        <v>99</v>
      </c>
      <c r="J17" t="s">
        <v>100</v>
      </c>
      <c r="K17" s="11" t="s">
        <v>101</v>
      </c>
    </row>
    <row r="18" spans="1:11">
      <c r="A18" t="s">
        <v>102</v>
      </c>
      <c r="B18" s="8">
        <v>22.831</v>
      </c>
      <c r="C18" s="9">
        <v>21</v>
      </c>
      <c r="D18">
        <v>19</v>
      </c>
      <c r="E18">
        <v>16</v>
      </c>
      <c r="F18">
        <v>14</v>
      </c>
      <c r="G18" s="10">
        <v>0.73684210526315785</v>
      </c>
      <c r="H18" t="s">
        <v>46</v>
      </c>
      <c r="I18" t="s">
        <v>103</v>
      </c>
      <c r="J18" t="s">
        <v>104</v>
      </c>
      <c r="K18" s="11" t="s">
        <v>105</v>
      </c>
    </row>
    <row r="19" spans="1:11">
      <c r="A19" t="s">
        <v>106</v>
      </c>
      <c r="B19" s="8">
        <v>9.2579999999999991</v>
      </c>
      <c r="C19" s="9">
        <v>7.4</v>
      </c>
      <c r="D19">
        <v>6</v>
      </c>
      <c r="E19">
        <v>6</v>
      </c>
      <c r="F19">
        <v>6</v>
      </c>
      <c r="G19" s="10">
        <v>1</v>
      </c>
      <c r="H19" t="s">
        <v>46</v>
      </c>
      <c r="I19" t="s">
        <v>107</v>
      </c>
      <c r="J19" t="s">
        <v>108</v>
      </c>
      <c r="K19" s="11" t="s">
        <v>109</v>
      </c>
    </row>
    <row r="20" spans="1:11">
      <c r="A20" t="s">
        <v>110</v>
      </c>
      <c r="B20" s="8">
        <v>5.335</v>
      </c>
      <c r="C20" s="9">
        <v>18</v>
      </c>
      <c r="D20">
        <v>2</v>
      </c>
      <c r="E20">
        <v>2</v>
      </c>
      <c r="F20">
        <v>2</v>
      </c>
      <c r="G20" s="10">
        <v>1</v>
      </c>
      <c r="H20" t="s">
        <v>46</v>
      </c>
      <c r="I20" t="s">
        <v>111</v>
      </c>
      <c r="J20" t="s">
        <v>112</v>
      </c>
      <c r="K20" s="11" t="s">
        <v>113</v>
      </c>
    </row>
    <row r="21" spans="1:11">
      <c r="A21" t="s">
        <v>114</v>
      </c>
      <c r="B21" s="8">
        <v>6.7370000000000001</v>
      </c>
      <c r="C21" s="9">
        <v>15</v>
      </c>
      <c r="D21">
        <v>2</v>
      </c>
      <c r="E21">
        <v>2</v>
      </c>
      <c r="F21">
        <v>2</v>
      </c>
      <c r="G21" s="10">
        <v>1</v>
      </c>
      <c r="H21" t="s">
        <v>46</v>
      </c>
      <c r="I21" t="s">
        <v>115</v>
      </c>
      <c r="J21" t="s">
        <v>116</v>
      </c>
      <c r="K21" s="11" t="s">
        <v>117</v>
      </c>
    </row>
    <row r="22" spans="1:11">
      <c r="A22" t="s">
        <v>118</v>
      </c>
      <c r="B22" s="8">
        <v>4.6710000000000003</v>
      </c>
      <c r="C22" s="9">
        <v>36</v>
      </c>
      <c r="D22">
        <v>1</v>
      </c>
      <c r="E22">
        <v>1</v>
      </c>
      <c r="F22">
        <v>1</v>
      </c>
      <c r="G22" s="10">
        <v>1</v>
      </c>
      <c r="H22" t="s">
        <v>46</v>
      </c>
      <c r="I22" t="s">
        <v>119</v>
      </c>
      <c r="J22" t="s">
        <v>120</v>
      </c>
      <c r="K22" s="11" t="s">
        <v>119</v>
      </c>
    </row>
    <row r="23" spans="1:11">
      <c r="A23" t="s">
        <v>121</v>
      </c>
      <c r="B23" s="8">
        <v>2.6909999999999998</v>
      </c>
      <c r="C23" s="9">
        <v>22</v>
      </c>
      <c r="D23">
        <v>1</v>
      </c>
      <c r="E23">
        <v>1</v>
      </c>
      <c r="F23">
        <v>1</v>
      </c>
      <c r="G23" s="10">
        <v>1</v>
      </c>
      <c r="H23" t="s">
        <v>46</v>
      </c>
      <c r="I23" t="s">
        <v>122</v>
      </c>
      <c r="J23" t="s">
        <v>123</v>
      </c>
      <c r="K23" s="11" t="s">
        <v>122</v>
      </c>
    </row>
    <row r="24" spans="1:11">
      <c r="A24" t="s">
        <v>124</v>
      </c>
      <c r="B24" s="8">
        <v>2.6629999999999998</v>
      </c>
      <c r="C24" s="9">
        <v>3.2</v>
      </c>
      <c r="D24">
        <v>1</v>
      </c>
      <c r="E24">
        <v>1</v>
      </c>
      <c r="F24">
        <v>1</v>
      </c>
      <c r="G24" s="10">
        <v>1</v>
      </c>
      <c r="H24" t="s">
        <v>46</v>
      </c>
      <c r="I24" t="s">
        <v>125</v>
      </c>
      <c r="J24" t="s">
        <v>126</v>
      </c>
      <c r="K24" s="11" t="s">
        <v>125</v>
      </c>
    </row>
    <row r="25" spans="1:11">
      <c r="A25" t="s">
        <v>127</v>
      </c>
      <c r="B25" s="8">
        <v>15.672000000000001</v>
      </c>
      <c r="C25" s="9">
        <v>14</v>
      </c>
      <c r="D25">
        <v>10</v>
      </c>
      <c r="E25">
        <v>8</v>
      </c>
      <c r="F25">
        <v>4</v>
      </c>
      <c r="G25" s="10">
        <v>0.4</v>
      </c>
      <c r="H25" t="s">
        <v>46</v>
      </c>
      <c r="I25" t="s">
        <v>128</v>
      </c>
      <c r="J25" t="s">
        <v>129</v>
      </c>
      <c r="K25" s="11" t="s">
        <v>130</v>
      </c>
    </row>
    <row r="26" spans="1:11">
      <c r="A26" t="s">
        <v>131</v>
      </c>
      <c r="B26" s="8">
        <v>4.9269999999999996</v>
      </c>
      <c r="C26" s="9">
        <v>3.4</v>
      </c>
      <c r="D26">
        <v>3</v>
      </c>
      <c r="E26">
        <v>2</v>
      </c>
      <c r="F26">
        <v>2</v>
      </c>
      <c r="G26" s="10">
        <v>0.66666666666666663</v>
      </c>
      <c r="H26" t="s">
        <v>46</v>
      </c>
      <c r="I26" t="s">
        <v>132</v>
      </c>
      <c r="J26" t="s">
        <v>133</v>
      </c>
      <c r="K26" s="11" t="s">
        <v>134</v>
      </c>
    </row>
    <row r="27" spans="1:11">
      <c r="A27" t="s">
        <v>135</v>
      </c>
      <c r="B27" s="8">
        <v>3.4079999999999999</v>
      </c>
      <c r="C27" s="9">
        <v>47</v>
      </c>
      <c r="D27">
        <v>2</v>
      </c>
      <c r="E27">
        <v>2</v>
      </c>
      <c r="F27">
        <v>2</v>
      </c>
      <c r="G27" s="10">
        <v>1</v>
      </c>
      <c r="H27" t="s">
        <v>46</v>
      </c>
      <c r="I27" t="s">
        <v>136</v>
      </c>
      <c r="J27" t="s">
        <v>137</v>
      </c>
      <c r="K27" s="11" t="s">
        <v>138</v>
      </c>
    </row>
    <row r="28" spans="1:11">
      <c r="A28" t="s">
        <v>139</v>
      </c>
      <c r="B28" s="8">
        <v>9.1980000000000004</v>
      </c>
      <c r="C28" s="9">
        <v>18</v>
      </c>
      <c r="D28">
        <v>4</v>
      </c>
      <c r="E28">
        <v>2</v>
      </c>
      <c r="F28">
        <v>4</v>
      </c>
      <c r="G28" s="10">
        <v>1</v>
      </c>
      <c r="H28" t="s">
        <v>46</v>
      </c>
      <c r="I28" t="s">
        <v>140</v>
      </c>
      <c r="J28" t="s">
        <v>141</v>
      </c>
      <c r="K28" s="11" t="s">
        <v>140</v>
      </c>
    </row>
    <row r="29" spans="1:11">
      <c r="A29" t="s">
        <v>142</v>
      </c>
      <c r="B29" s="8">
        <v>4.2320000000000002</v>
      </c>
      <c r="C29" s="9">
        <v>18</v>
      </c>
      <c r="D29">
        <v>3</v>
      </c>
      <c r="E29">
        <v>3</v>
      </c>
      <c r="F29">
        <v>3</v>
      </c>
      <c r="G29" s="10">
        <v>1</v>
      </c>
      <c r="H29" t="s">
        <v>46</v>
      </c>
      <c r="I29" t="s">
        <v>143</v>
      </c>
      <c r="J29" t="s">
        <v>144</v>
      </c>
      <c r="K29" s="11" t="s">
        <v>143</v>
      </c>
    </row>
    <row r="30" spans="1:11">
      <c r="A30" t="s">
        <v>145</v>
      </c>
      <c r="B30" s="8">
        <v>5.0880000000000001</v>
      </c>
      <c r="C30" s="9">
        <v>2.2000000000000002</v>
      </c>
      <c r="D30">
        <v>4</v>
      </c>
      <c r="E30">
        <v>4</v>
      </c>
      <c r="F30">
        <v>3</v>
      </c>
      <c r="G30" s="10">
        <v>0.75</v>
      </c>
      <c r="H30" t="s">
        <v>46</v>
      </c>
      <c r="I30" t="s">
        <v>146</v>
      </c>
      <c r="J30" t="s">
        <v>147</v>
      </c>
      <c r="K30" s="11" t="s">
        <v>148</v>
      </c>
    </row>
    <row r="31" spans="1:11">
      <c r="A31" t="s">
        <v>149</v>
      </c>
      <c r="B31" s="8">
        <v>15.544</v>
      </c>
      <c r="C31" s="9">
        <v>4.9000000000000004</v>
      </c>
      <c r="D31">
        <v>5</v>
      </c>
      <c r="E31">
        <v>4</v>
      </c>
      <c r="F31">
        <v>5</v>
      </c>
      <c r="G31" s="10">
        <v>1</v>
      </c>
      <c r="H31" t="s">
        <v>46</v>
      </c>
      <c r="I31" t="s">
        <v>150</v>
      </c>
      <c r="J31" t="s">
        <v>151</v>
      </c>
      <c r="K31" s="11" t="s">
        <v>152</v>
      </c>
    </row>
    <row r="32" spans="1:11">
      <c r="A32" t="s">
        <v>153</v>
      </c>
      <c r="B32" s="8">
        <v>4.6429999999999998</v>
      </c>
      <c r="C32" s="9">
        <v>3.4</v>
      </c>
      <c r="D32">
        <v>6</v>
      </c>
      <c r="E32">
        <v>2</v>
      </c>
      <c r="F32">
        <v>1</v>
      </c>
      <c r="G32" s="10">
        <v>0.16666666666666666</v>
      </c>
      <c r="H32" t="s">
        <v>46</v>
      </c>
      <c r="I32" t="s">
        <v>154</v>
      </c>
      <c r="J32" t="s">
        <v>155</v>
      </c>
      <c r="K32" s="11" t="s">
        <v>156</v>
      </c>
    </row>
    <row r="33" spans="1:11">
      <c r="A33" t="s">
        <v>157</v>
      </c>
      <c r="B33" s="8">
        <v>7.91</v>
      </c>
      <c r="C33" s="9">
        <v>7</v>
      </c>
      <c r="D33">
        <v>3</v>
      </c>
      <c r="E33">
        <v>2</v>
      </c>
      <c r="F33">
        <v>3</v>
      </c>
      <c r="G33" s="10">
        <v>1</v>
      </c>
      <c r="H33" t="s">
        <v>46</v>
      </c>
      <c r="I33" t="s">
        <v>158</v>
      </c>
      <c r="J33" t="s">
        <v>159</v>
      </c>
      <c r="K33" s="11" t="s">
        <v>158</v>
      </c>
    </row>
    <row r="34" spans="1:11">
      <c r="A34" t="s">
        <v>160</v>
      </c>
      <c r="B34" s="8">
        <v>6.87</v>
      </c>
      <c r="C34" s="9">
        <v>7.6</v>
      </c>
      <c r="D34">
        <v>1</v>
      </c>
      <c r="E34">
        <v>1</v>
      </c>
      <c r="F34">
        <v>1</v>
      </c>
      <c r="G34" s="10">
        <v>1</v>
      </c>
      <c r="H34" t="s">
        <v>46</v>
      </c>
      <c r="I34" t="s">
        <v>161</v>
      </c>
      <c r="J34" t="s">
        <v>162</v>
      </c>
      <c r="K34" s="11" t="s">
        <v>161</v>
      </c>
    </row>
    <row r="35" spans="1:11">
      <c r="A35" t="s">
        <v>163</v>
      </c>
      <c r="B35" s="8">
        <v>3.1030000000000002</v>
      </c>
      <c r="C35" s="9">
        <v>2.5</v>
      </c>
      <c r="D35">
        <v>2</v>
      </c>
      <c r="E35">
        <v>2</v>
      </c>
      <c r="F35">
        <v>2</v>
      </c>
      <c r="G35" s="10">
        <v>1</v>
      </c>
      <c r="H35" t="s">
        <v>46</v>
      </c>
      <c r="I35" t="s">
        <v>164</v>
      </c>
      <c r="J35" t="s">
        <v>165</v>
      </c>
      <c r="K35" s="11" t="s">
        <v>161</v>
      </c>
    </row>
    <row r="36" spans="1:11">
      <c r="A36" t="s">
        <v>166</v>
      </c>
      <c r="B36" s="8">
        <v>3.02</v>
      </c>
      <c r="C36" s="9">
        <v>2.6</v>
      </c>
      <c r="D36">
        <v>3</v>
      </c>
      <c r="E36">
        <v>3</v>
      </c>
      <c r="F36">
        <v>3</v>
      </c>
      <c r="G36" s="10">
        <v>1</v>
      </c>
      <c r="H36" t="s">
        <v>46</v>
      </c>
      <c r="I36" t="s">
        <v>167</v>
      </c>
      <c r="J36" t="s">
        <v>168</v>
      </c>
      <c r="K36" s="11" t="s">
        <v>169</v>
      </c>
    </row>
    <row r="37" spans="1:11">
      <c r="A37" t="s">
        <v>170</v>
      </c>
      <c r="B37" s="8">
        <v>10.289</v>
      </c>
      <c r="C37" s="9">
        <v>13</v>
      </c>
      <c r="D37">
        <v>7</v>
      </c>
      <c r="E37">
        <v>5</v>
      </c>
      <c r="F37">
        <v>5</v>
      </c>
      <c r="G37" s="10">
        <v>0.7142857142857143</v>
      </c>
      <c r="H37" t="s">
        <v>46</v>
      </c>
      <c r="I37" t="s">
        <v>171</v>
      </c>
      <c r="J37" t="s">
        <v>172</v>
      </c>
      <c r="K37" s="11" t="s">
        <v>173</v>
      </c>
    </row>
    <row r="38" spans="1:11">
      <c r="A38" t="s">
        <v>174</v>
      </c>
      <c r="B38" s="8">
        <v>3.5219999999999998</v>
      </c>
      <c r="C38" s="9">
        <v>2.8</v>
      </c>
      <c r="D38">
        <v>5</v>
      </c>
      <c r="E38">
        <v>5</v>
      </c>
      <c r="F38">
        <v>4</v>
      </c>
      <c r="G38" s="10">
        <v>0.8</v>
      </c>
      <c r="H38" t="s">
        <v>46</v>
      </c>
      <c r="I38" t="s">
        <v>175</v>
      </c>
      <c r="J38" t="s">
        <v>176</v>
      </c>
      <c r="K38" s="11" t="s">
        <v>177</v>
      </c>
    </row>
    <row r="39" spans="1:11">
      <c r="A39" t="s">
        <v>178</v>
      </c>
      <c r="B39" s="8">
        <v>13.858000000000001</v>
      </c>
      <c r="C39" s="9">
        <v>5.4</v>
      </c>
      <c r="D39">
        <v>3</v>
      </c>
      <c r="E39">
        <v>3</v>
      </c>
      <c r="F39">
        <v>3</v>
      </c>
      <c r="G39" s="10">
        <v>1</v>
      </c>
      <c r="H39" t="s">
        <v>46</v>
      </c>
      <c r="I39" t="s">
        <v>179</v>
      </c>
      <c r="J39" t="s">
        <v>180</v>
      </c>
      <c r="K39" s="11" t="s">
        <v>181</v>
      </c>
    </row>
    <row r="40" spans="1:11">
      <c r="A40" t="s">
        <v>182</v>
      </c>
      <c r="B40" s="8">
        <v>4.0060000000000002</v>
      </c>
      <c r="C40" s="9">
        <v>6.6</v>
      </c>
      <c r="D40">
        <v>2</v>
      </c>
      <c r="E40">
        <v>2</v>
      </c>
      <c r="F40">
        <v>2</v>
      </c>
      <c r="G40" s="10">
        <v>1</v>
      </c>
      <c r="H40" t="s">
        <v>46</v>
      </c>
      <c r="I40" t="s">
        <v>183</v>
      </c>
      <c r="J40" t="s">
        <v>184</v>
      </c>
      <c r="K40" s="11" t="s">
        <v>185</v>
      </c>
    </row>
    <row r="41" spans="1:11">
      <c r="A41" t="s">
        <v>186</v>
      </c>
      <c r="B41" s="8">
        <v>2.5009999999999999</v>
      </c>
      <c r="C41" s="9">
        <v>6.5</v>
      </c>
      <c r="D41">
        <v>4</v>
      </c>
      <c r="E41">
        <v>3</v>
      </c>
      <c r="F41">
        <v>3</v>
      </c>
      <c r="G41" s="10">
        <v>0.75</v>
      </c>
      <c r="H41" t="s">
        <v>46</v>
      </c>
      <c r="I41" t="s">
        <v>187</v>
      </c>
      <c r="J41" t="s">
        <v>188</v>
      </c>
      <c r="K41" s="11" t="s">
        <v>187</v>
      </c>
    </row>
    <row r="42" spans="1:11">
      <c r="A42" t="s">
        <v>189</v>
      </c>
      <c r="B42" s="8">
        <v>7.702</v>
      </c>
      <c r="C42" s="9">
        <v>31</v>
      </c>
      <c r="D42">
        <v>4</v>
      </c>
      <c r="E42">
        <v>3</v>
      </c>
      <c r="F42">
        <v>2</v>
      </c>
      <c r="G42" s="10">
        <v>0.5</v>
      </c>
      <c r="H42" t="s">
        <v>46</v>
      </c>
      <c r="I42" t="s">
        <v>190</v>
      </c>
      <c r="J42" t="s">
        <v>191</v>
      </c>
      <c r="K42" s="11" t="s">
        <v>192</v>
      </c>
    </row>
    <row r="43" spans="1:11">
      <c r="A43" t="s">
        <v>193</v>
      </c>
      <c r="B43" s="8">
        <v>3.6379999999999999</v>
      </c>
      <c r="C43" s="9">
        <v>5.4</v>
      </c>
      <c r="D43">
        <v>3</v>
      </c>
      <c r="E43">
        <v>2</v>
      </c>
      <c r="F43">
        <v>2</v>
      </c>
      <c r="G43" s="10">
        <v>0.66666666666666663</v>
      </c>
      <c r="H43" t="s">
        <v>46</v>
      </c>
      <c r="I43" t="s">
        <v>194</v>
      </c>
      <c r="J43" t="s">
        <v>195</v>
      </c>
      <c r="K43" s="11" t="s">
        <v>196</v>
      </c>
    </row>
    <row r="44" spans="1:11">
      <c r="A44" t="s">
        <v>197</v>
      </c>
      <c r="B44" s="8">
        <v>8.4979999999999993</v>
      </c>
      <c r="C44" s="9">
        <v>9.3000000000000007</v>
      </c>
      <c r="D44">
        <v>4</v>
      </c>
      <c r="E44">
        <v>2</v>
      </c>
      <c r="F44">
        <v>2</v>
      </c>
      <c r="G44" s="10">
        <v>0.5</v>
      </c>
      <c r="H44" t="s">
        <v>46</v>
      </c>
      <c r="I44" t="s">
        <v>198</v>
      </c>
      <c r="J44" t="s">
        <v>199</v>
      </c>
      <c r="K44" s="11" t="s">
        <v>196</v>
      </c>
    </row>
    <row r="45" spans="1:11">
      <c r="A45" t="s">
        <v>200</v>
      </c>
      <c r="B45" s="8">
        <v>3.5179999999999998</v>
      </c>
      <c r="C45" s="9">
        <v>2.6</v>
      </c>
      <c r="D45">
        <v>2</v>
      </c>
      <c r="E45">
        <v>2</v>
      </c>
      <c r="F45">
        <v>2</v>
      </c>
      <c r="G45" s="10">
        <v>1</v>
      </c>
      <c r="H45" t="s">
        <v>46</v>
      </c>
      <c r="I45" t="s">
        <v>201</v>
      </c>
      <c r="J45" t="s">
        <v>202</v>
      </c>
      <c r="K45" s="11" t="s">
        <v>196</v>
      </c>
    </row>
    <row r="46" spans="1:11">
      <c r="A46" t="s">
        <v>203</v>
      </c>
      <c r="B46" s="8">
        <v>3.9279999999999999</v>
      </c>
      <c r="C46" s="9">
        <v>1.8</v>
      </c>
      <c r="D46">
        <v>1</v>
      </c>
      <c r="E46">
        <v>1</v>
      </c>
      <c r="F46">
        <v>1</v>
      </c>
      <c r="G46" s="10">
        <v>1</v>
      </c>
      <c r="H46" t="s">
        <v>46</v>
      </c>
      <c r="I46" t="s">
        <v>196</v>
      </c>
      <c r="J46" t="s">
        <v>204</v>
      </c>
      <c r="K46" s="11" t="s">
        <v>196</v>
      </c>
    </row>
    <row r="47" spans="1:11">
      <c r="A47" t="s">
        <v>205</v>
      </c>
      <c r="B47" s="8">
        <v>3.0920000000000001</v>
      </c>
      <c r="C47" s="9">
        <v>2.8</v>
      </c>
      <c r="D47">
        <v>2</v>
      </c>
      <c r="E47">
        <v>2</v>
      </c>
      <c r="F47">
        <v>2</v>
      </c>
      <c r="G47" s="10">
        <v>1</v>
      </c>
      <c r="H47" t="s">
        <v>46</v>
      </c>
      <c r="I47" t="s">
        <v>206</v>
      </c>
      <c r="J47" t="s">
        <v>207</v>
      </c>
      <c r="K47" s="11" t="s">
        <v>196</v>
      </c>
    </row>
    <row r="48" spans="1:11">
      <c r="A48" t="s">
        <v>208</v>
      </c>
      <c r="B48" s="8">
        <v>3.52</v>
      </c>
      <c r="C48" s="9">
        <v>2.4</v>
      </c>
      <c r="D48">
        <v>5</v>
      </c>
      <c r="E48">
        <v>3</v>
      </c>
      <c r="F48">
        <v>2</v>
      </c>
      <c r="G48" s="10">
        <v>0.4</v>
      </c>
      <c r="H48" t="s">
        <v>46</v>
      </c>
      <c r="I48" t="s">
        <v>209</v>
      </c>
      <c r="J48" t="s">
        <v>210</v>
      </c>
      <c r="K48" s="11" t="s">
        <v>211</v>
      </c>
    </row>
    <row r="49" spans="1:11">
      <c r="A49" t="s">
        <v>212</v>
      </c>
      <c r="B49" s="8">
        <v>9.6389999999999993</v>
      </c>
      <c r="C49" s="9">
        <v>4.0999999999999996</v>
      </c>
      <c r="D49">
        <v>7</v>
      </c>
      <c r="E49">
        <v>5</v>
      </c>
      <c r="F49">
        <v>6</v>
      </c>
      <c r="G49" s="10">
        <v>0.8571428571428571</v>
      </c>
      <c r="H49" t="s">
        <v>46</v>
      </c>
      <c r="I49" t="s">
        <v>213</v>
      </c>
      <c r="J49" t="s">
        <v>214</v>
      </c>
      <c r="K49" s="11" t="s">
        <v>215</v>
      </c>
    </row>
    <row r="50" spans="1:11">
      <c r="A50" t="s">
        <v>216</v>
      </c>
      <c r="B50" s="8">
        <v>3.1779999999999999</v>
      </c>
      <c r="C50" s="9">
        <v>12</v>
      </c>
      <c r="D50">
        <v>3</v>
      </c>
      <c r="E50">
        <v>2</v>
      </c>
      <c r="F50">
        <v>2</v>
      </c>
      <c r="G50" s="10">
        <v>0.66666666666666663</v>
      </c>
      <c r="H50" t="s">
        <v>46</v>
      </c>
      <c r="I50" t="s">
        <v>217</v>
      </c>
      <c r="J50" t="s">
        <v>218</v>
      </c>
      <c r="K50" s="11" t="s">
        <v>219</v>
      </c>
    </row>
    <row r="51" spans="1:11">
      <c r="A51" t="s">
        <v>220</v>
      </c>
      <c r="B51" s="8">
        <v>2.9340000000000002</v>
      </c>
      <c r="C51" s="9">
        <v>42</v>
      </c>
      <c r="D51">
        <v>2</v>
      </c>
      <c r="E51">
        <v>2</v>
      </c>
      <c r="F51">
        <v>1</v>
      </c>
      <c r="G51" s="10">
        <v>0.5</v>
      </c>
      <c r="H51" t="s">
        <v>46</v>
      </c>
      <c r="I51" t="s">
        <v>221</v>
      </c>
      <c r="J51" t="s">
        <v>222</v>
      </c>
      <c r="K51" s="11" t="s">
        <v>219</v>
      </c>
    </row>
    <row r="52" spans="1:11">
      <c r="A52" t="s">
        <v>223</v>
      </c>
      <c r="B52" s="8">
        <v>5.1970000000000001</v>
      </c>
      <c r="C52" s="9">
        <v>14</v>
      </c>
      <c r="D52">
        <v>2</v>
      </c>
      <c r="E52">
        <v>2</v>
      </c>
      <c r="F52">
        <v>2</v>
      </c>
      <c r="G52" s="10">
        <v>1</v>
      </c>
      <c r="H52" t="s">
        <v>46</v>
      </c>
      <c r="I52" t="s">
        <v>224</v>
      </c>
      <c r="J52" t="s">
        <v>225</v>
      </c>
      <c r="K52" s="11" t="s">
        <v>219</v>
      </c>
    </row>
    <row r="53" spans="1:11">
      <c r="A53" t="s">
        <v>226</v>
      </c>
      <c r="B53" s="8">
        <v>10.143000000000001</v>
      </c>
      <c r="C53" s="9">
        <v>11</v>
      </c>
      <c r="D53">
        <v>4</v>
      </c>
      <c r="E53">
        <v>3</v>
      </c>
      <c r="F53">
        <v>4</v>
      </c>
      <c r="G53" s="10">
        <v>1</v>
      </c>
      <c r="H53" t="s">
        <v>46</v>
      </c>
      <c r="I53" t="s">
        <v>227</v>
      </c>
      <c r="J53" t="s">
        <v>228</v>
      </c>
      <c r="K53" s="11" t="s">
        <v>229</v>
      </c>
    </row>
    <row r="54" spans="1:11">
      <c r="A54" t="s">
        <v>230</v>
      </c>
      <c r="B54" s="8">
        <v>2.5449999999999999</v>
      </c>
      <c r="C54" s="9">
        <v>2</v>
      </c>
      <c r="D54">
        <v>2</v>
      </c>
      <c r="E54">
        <v>2</v>
      </c>
      <c r="F54">
        <v>2</v>
      </c>
      <c r="G54" s="10">
        <v>1</v>
      </c>
      <c r="H54" t="s">
        <v>46</v>
      </c>
      <c r="I54" t="s">
        <v>231</v>
      </c>
      <c r="J54" t="s">
        <v>228</v>
      </c>
      <c r="K54" s="11" t="s">
        <v>232</v>
      </c>
    </row>
    <row r="55" spans="1:11">
      <c r="A55" t="s">
        <v>233</v>
      </c>
      <c r="B55" s="8">
        <v>6.7080000000000002</v>
      </c>
      <c r="C55" s="9">
        <v>6.1</v>
      </c>
      <c r="D55">
        <v>4</v>
      </c>
      <c r="E55">
        <v>4</v>
      </c>
      <c r="F55">
        <v>4</v>
      </c>
      <c r="G55" s="10">
        <v>1</v>
      </c>
      <c r="H55" t="s">
        <v>46</v>
      </c>
      <c r="I55" t="s">
        <v>234</v>
      </c>
      <c r="J55" t="s">
        <v>235</v>
      </c>
      <c r="K55" s="11" t="s">
        <v>236</v>
      </c>
    </row>
    <row r="56" spans="1:11">
      <c r="A56" t="s">
        <v>237</v>
      </c>
      <c r="B56" s="8">
        <v>5.0010000000000003</v>
      </c>
      <c r="C56" s="9">
        <v>2.8</v>
      </c>
      <c r="D56">
        <v>4</v>
      </c>
      <c r="E56">
        <v>4</v>
      </c>
      <c r="F56">
        <v>4</v>
      </c>
      <c r="G56" s="10">
        <v>1</v>
      </c>
      <c r="H56" t="s">
        <v>46</v>
      </c>
      <c r="I56" t="s">
        <v>238</v>
      </c>
      <c r="J56" t="s">
        <v>239</v>
      </c>
      <c r="K56" s="11" t="s">
        <v>238</v>
      </c>
    </row>
    <row r="57" spans="1:11">
      <c r="A57" t="s">
        <v>240</v>
      </c>
      <c r="B57" s="8">
        <v>2.7959999999999998</v>
      </c>
      <c r="C57" s="9">
        <v>7.1</v>
      </c>
      <c r="D57">
        <v>2</v>
      </c>
      <c r="E57">
        <v>2</v>
      </c>
      <c r="F57">
        <v>2</v>
      </c>
      <c r="G57" s="10">
        <v>1</v>
      </c>
      <c r="H57" t="s">
        <v>46</v>
      </c>
      <c r="I57" t="s">
        <v>229</v>
      </c>
      <c r="J57" t="s">
        <v>239</v>
      </c>
      <c r="K57" s="11" t="s">
        <v>229</v>
      </c>
    </row>
    <row r="58" spans="1:11">
      <c r="A58" t="s">
        <v>241</v>
      </c>
      <c r="B58" s="8">
        <v>6.19</v>
      </c>
      <c r="C58" s="9">
        <v>2</v>
      </c>
      <c r="D58">
        <v>3</v>
      </c>
      <c r="E58">
        <v>3</v>
      </c>
      <c r="F58">
        <v>3</v>
      </c>
      <c r="G58" s="10">
        <v>1</v>
      </c>
      <c r="H58" t="s">
        <v>46</v>
      </c>
      <c r="I58" t="s">
        <v>242</v>
      </c>
      <c r="J58" t="s">
        <v>243</v>
      </c>
      <c r="K58" s="11" t="s">
        <v>229</v>
      </c>
    </row>
    <row r="59" spans="1:11">
      <c r="A59" t="s">
        <v>244</v>
      </c>
      <c r="B59" s="8">
        <v>8.2349999999999994</v>
      </c>
      <c r="C59" s="9">
        <v>4.4000000000000004</v>
      </c>
      <c r="D59">
        <v>4</v>
      </c>
      <c r="E59">
        <v>4</v>
      </c>
      <c r="F59">
        <v>4</v>
      </c>
      <c r="G59" s="10">
        <v>1</v>
      </c>
      <c r="H59" t="s">
        <v>46</v>
      </c>
      <c r="I59" t="s">
        <v>245</v>
      </c>
      <c r="J59" t="s">
        <v>246</v>
      </c>
      <c r="K59" s="11" t="s">
        <v>247</v>
      </c>
    </row>
    <row r="60" spans="1:11">
      <c r="A60" t="s">
        <v>248</v>
      </c>
      <c r="B60" s="8">
        <v>3.21</v>
      </c>
      <c r="C60" s="9">
        <v>3.4</v>
      </c>
      <c r="D60">
        <v>3</v>
      </c>
      <c r="E60">
        <v>2</v>
      </c>
      <c r="F60">
        <v>2</v>
      </c>
      <c r="G60" s="10">
        <v>0.66666666666666663</v>
      </c>
      <c r="H60" t="s">
        <v>46</v>
      </c>
      <c r="I60" t="s">
        <v>249</v>
      </c>
      <c r="J60" t="s">
        <v>250</v>
      </c>
      <c r="K60" s="11" t="s">
        <v>232</v>
      </c>
    </row>
    <row r="61" spans="1:11">
      <c r="A61" t="s">
        <v>251</v>
      </c>
      <c r="B61" s="8">
        <v>5.5190000000000001</v>
      </c>
      <c r="C61" s="9">
        <v>3.8</v>
      </c>
      <c r="D61">
        <v>1</v>
      </c>
      <c r="E61">
        <v>1</v>
      </c>
      <c r="F61">
        <v>1</v>
      </c>
      <c r="G61" s="10">
        <v>1</v>
      </c>
      <c r="H61" t="s">
        <v>46</v>
      </c>
      <c r="I61" t="s">
        <v>252</v>
      </c>
      <c r="J61" t="s">
        <v>253</v>
      </c>
      <c r="K61" s="11" t="s">
        <v>252</v>
      </c>
    </row>
    <row r="62" spans="1:11">
      <c r="A62" t="s">
        <v>254</v>
      </c>
      <c r="B62" s="8">
        <v>3.9710000000000001</v>
      </c>
      <c r="C62" s="9">
        <v>4.9000000000000004</v>
      </c>
      <c r="D62">
        <v>2</v>
      </c>
      <c r="E62">
        <v>2</v>
      </c>
      <c r="F62">
        <v>2</v>
      </c>
      <c r="G62" s="10">
        <v>1</v>
      </c>
      <c r="H62" t="s">
        <v>46</v>
      </c>
      <c r="I62" t="s">
        <v>255</v>
      </c>
      <c r="J62" t="s">
        <v>256</v>
      </c>
      <c r="K62" s="11" t="s">
        <v>257</v>
      </c>
    </row>
    <row r="63" spans="1:11">
      <c r="A63" t="s">
        <v>258</v>
      </c>
      <c r="B63" s="8">
        <v>4.3159999999999998</v>
      </c>
      <c r="C63" s="9">
        <v>14</v>
      </c>
      <c r="D63">
        <v>1</v>
      </c>
      <c r="E63">
        <v>1</v>
      </c>
      <c r="F63">
        <v>1</v>
      </c>
      <c r="G63" s="10">
        <v>1</v>
      </c>
      <c r="H63" t="s">
        <v>46</v>
      </c>
      <c r="I63" t="s">
        <v>259</v>
      </c>
      <c r="J63" t="s">
        <v>260</v>
      </c>
      <c r="K63" s="11" t="s">
        <v>259</v>
      </c>
    </row>
    <row r="64" spans="1:11">
      <c r="A64" t="s">
        <v>261</v>
      </c>
      <c r="B64" s="8">
        <v>13.656000000000001</v>
      </c>
      <c r="C64" s="9">
        <v>12</v>
      </c>
      <c r="D64">
        <v>10</v>
      </c>
      <c r="E64">
        <v>10</v>
      </c>
      <c r="F64">
        <v>8</v>
      </c>
      <c r="G64" s="10">
        <v>0.8</v>
      </c>
      <c r="H64" t="s">
        <v>46</v>
      </c>
      <c r="I64" t="s">
        <v>262</v>
      </c>
      <c r="J64" t="s">
        <v>263</v>
      </c>
      <c r="K64" s="11" t="s">
        <v>264</v>
      </c>
    </row>
    <row r="65" spans="1:11">
      <c r="A65" t="s">
        <v>265</v>
      </c>
      <c r="B65" s="8">
        <v>3.5169999999999999</v>
      </c>
      <c r="C65" s="9">
        <v>6.2</v>
      </c>
      <c r="D65">
        <v>3</v>
      </c>
      <c r="E65">
        <v>2</v>
      </c>
      <c r="F65">
        <v>2</v>
      </c>
      <c r="G65" s="10">
        <v>0.66666666666666663</v>
      </c>
      <c r="H65" t="s">
        <v>46</v>
      </c>
      <c r="I65" t="s">
        <v>266</v>
      </c>
      <c r="J65" t="s">
        <v>267</v>
      </c>
      <c r="K65" s="11" t="s">
        <v>268</v>
      </c>
    </row>
    <row r="66" spans="1:11">
      <c r="A66" t="s">
        <v>269</v>
      </c>
      <c r="B66" s="8">
        <v>16.187000000000001</v>
      </c>
      <c r="C66" s="9">
        <v>16</v>
      </c>
      <c r="D66">
        <v>18</v>
      </c>
      <c r="E66">
        <v>16</v>
      </c>
      <c r="F66">
        <v>14</v>
      </c>
      <c r="G66" s="10">
        <v>0.77777777777777779</v>
      </c>
      <c r="H66" t="s">
        <v>46</v>
      </c>
      <c r="I66" t="s">
        <v>270</v>
      </c>
      <c r="J66" t="s">
        <v>271</v>
      </c>
      <c r="K66" s="11" t="s">
        <v>272</v>
      </c>
    </row>
    <row r="67" spans="1:11">
      <c r="A67" t="s">
        <v>273</v>
      </c>
      <c r="B67" s="8">
        <v>6.3470000000000004</v>
      </c>
      <c r="C67" s="9">
        <v>3.6</v>
      </c>
      <c r="D67">
        <v>2</v>
      </c>
      <c r="E67">
        <v>1</v>
      </c>
      <c r="F67">
        <v>1</v>
      </c>
      <c r="G67" s="10">
        <v>0.5</v>
      </c>
      <c r="H67" t="s">
        <v>46</v>
      </c>
      <c r="I67" t="s">
        <v>274</v>
      </c>
      <c r="J67" t="s">
        <v>275</v>
      </c>
      <c r="K67" s="11" t="s">
        <v>274</v>
      </c>
    </row>
    <row r="68" spans="1:11">
      <c r="A68" t="s">
        <v>276</v>
      </c>
      <c r="B68" s="8">
        <v>8.5399999999999991</v>
      </c>
      <c r="C68" s="9">
        <v>16</v>
      </c>
      <c r="D68">
        <v>3</v>
      </c>
      <c r="E68">
        <v>3</v>
      </c>
      <c r="F68">
        <v>3</v>
      </c>
      <c r="G68" s="10">
        <v>1</v>
      </c>
      <c r="H68" t="s">
        <v>46</v>
      </c>
      <c r="I68" t="s">
        <v>277</v>
      </c>
      <c r="J68" t="s">
        <v>278</v>
      </c>
      <c r="K68" s="11" t="s">
        <v>279</v>
      </c>
    </row>
    <row r="69" spans="1:11">
      <c r="A69" t="s">
        <v>280</v>
      </c>
      <c r="B69" s="8">
        <v>7.4169999999999998</v>
      </c>
      <c r="C69" s="9">
        <v>49</v>
      </c>
      <c r="D69">
        <v>4</v>
      </c>
      <c r="E69">
        <v>4</v>
      </c>
      <c r="F69">
        <v>3</v>
      </c>
      <c r="G69" s="10">
        <v>0.75</v>
      </c>
      <c r="H69" t="s">
        <v>46</v>
      </c>
      <c r="I69" t="s">
        <v>281</v>
      </c>
      <c r="J69" t="s">
        <v>282</v>
      </c>
      <c r="K69" s="11" t="s">
        <v>283</v>
      </c>
    </row>
    <row r="70" spans="1:11">
      <c r="A70" t="s">
        <v>284</v>
      </c>
      <c r="B70" s="8">
        <v>2.4500000000000002</v>
      </c>
      <c r="C70" s="9">
        <v>3</v>
      </c>
      <c r="D70">
        <v>2</v>
      </c>
      <c r="E70">
        <v>1</v>
      </c>
      <c r="F70">
        <v>1</v>
      </c>
      <c r="G70" s="10">
        <v>0.5</v>
      </c>
      <c r="H70" t="s">
        <v>46</v>
      </c>
      <c r="I70" t="s">
        <v>285</v>
      </c>
      <c r="J70" t="s">
        <v>286</v>
      </c>
      <c r="K70" s="11" t="s">
        <v>285</v>
      </c>
    </row>
    <row r="71" spans="1:11">
      <c r="A71" t="s">
        <v>287</v>
      </c>
      <c r="B71" s="8">
        <v>2.7810000000000001</v>
      </c>
      <c r="C71" s="9">
        <v>2.6</v>
      </c>
      <c r="D71">
        <v>3</v>
      </c>
      <c r="E71">
        <v>2</v>
      </c>
      <c r="F71">
        <v>2</v>
      </c>
      <c r="G71" s="10">
        <v>0.66666666666666663</v>
      </c>
      <c r="H71" t="s">
        <v>46</v>
      </c>
      <c r="I71" t="s">
        <v>288</v>
      </c>
      <c r="J71" t="s">
        <v>289</v>
      </c>
      <c r="K71" s="11" t="s">
        <v>285</v>
      </c>
    </row>
    <row r="72" spans="1:11">
      <c r="A72" t="s">
        <v>290</v>
      </c>
      <c r="B72" s="8">
        <v>2.9340000000000002</v>
      </c>
      <c r="C72" s="9">
        <v>34</v>
      </c>
      <c r="D72">
        <v>4</v>
      </c>
      <c r="E72">
        <v>2</v>
      </c>
      <c r="F72">
        <v>3</v>
      </c>
      <c r="G72" s="10">
        <v>0.75</v>
      </c>
      <c r="H72" t="s">
        <v>46</v>
      </c>
      <c r="I72" t="s">
        <v>291</v>
      </c>
      <c r="J72" t="s">
        <v>292</v>
      </c>
      <c r="K72" s="11" t="s">
        <v>293</v>
      </c>
    </row>
    <row r="73" spans="1:11">
      <c r="A73" t="s">
        <v>294</v>
      </c>
      <c r="B73" s="8">
        <v>5.09</v>
      </c>
      <c r="C73" s="9">
        <v>10</v>
      </c>
      <c r="D73">
        <v>5</v>
      </c>
      <c r="E73">
        <v>3</v>
      </c>
      <c r="F73">
        <v>4</v>
      </c>
      <c r="G73" s="10">
        <v>0.8</v>
      </c>
      <c r="H73" t="s">
        <v>46</v>
      </c>
      <c r="I73" t="s">
        <v>295</v>
      </c>
      <c r="J73" t="s">
        <v>296</v>
      </c>
      <c r="K73" s="11" t="s">
        <v>297</v>
      </c>
    </row>
    <row r="74" spans="1:11">
      <c r="A74" t="s">
        <v>298</v>
      </c>
      <c r="B74" s="8">
        <v>10.172000000000001</v>
      </c>
      <c r="C74" s="9">
        <v>27</v>
      </c>
      <c r="D74">
        <v>1</v>
      </c>
      <c r="E74">
        <v>1</v>
      </c>
      <c r="F74">
        <v>1</v>
      </c>
      <c r="G74" s="10">
        <v>1</v>
      </c>
      <c r="H74" t="s">
        <v>46</v>
      </c>
      <c r="I74" t="s">
        <v>299</v>
      </c>
      <c r="J74" t="s">
        <v>300</v>
      </c>
      <c r="K74" s="11" t="s">
        <v>299</v>
      </c>
    </row>
    <row r="75" spans="1:11">
      <c r="A75" t="s">
        <v>301</v>
      </c>
      <c r="B75" s="8">
        <v>4.4960000000000004</v>
      </c>
      <c r="C75" s="9">
        <v>42</v>
      </c>
      <c r="D75">
        <v>2</v>
      </c>
      <c r="E75">
        <v>2</v>
      </c>
      <c r="F75">
        <v>2</v>
      </c>
      <c r="G75" s="10">
        <v>1</v>
      </c>
      <c r="H75" t="s">
        <v>46</v>
      </c>
      <c r="I75" t="s">
        <v>302</v>
      </c>
      <c r="J75" t="s">
        <v>303</v>
      </c>
      <c r="K75" s="11" t="s">
        <v>304</v>
      </c>
    </row>
    <row r="76" spans="1:11">
      <c r="A76" t="s">
        <v>305</v>
      </c>
      <c r="B76" s="8">
        <v>2.6659999999999999</v>
      </c>
      <c r="C76" s="9">
        <v>9.1</v>
      </c>
      <c r="D76">
        <v>3</v>
      </c>
      <c r="E76">
        <v>2</v>
      </c>
      <c r="F76">
        <v>1</v>
      </c>
      <c r="G76" s="10">
        <v>0.33333333333333331</v>
      </c>
      <c r="H76" t="s">
        <v>46</v>
      </c>
      <c r="I76" t="s">
        <v>306</v>
      </c>
      <c r="J76" t="s">
        <v>307</v>
      </c>
      <c r="K76" s="11" t="s">
        <v>308</v>
      </c>
    </row>
    <row r="77" spans="1:11">
      <c r="A77" t="s">
        <v>309</v>
      </c>
      <c r="B77" s="8">
        <v>15.618</v>
      </c>
      <c r="C77" s="9">
        <v>22</v>
      </c>
      <c r="D77">
        <v>9</v>
      </c>
      <c r="E77">
        <v>7</v>
      </c>
      <c r="F77">
        <v>3</v>
      </c>
      <c r="G77" s="10">
        <v>0.33333333333333331</v>
      </c>
      <c r="H77" t="s">
        <v>46</v>
      </c>
      <c r="I77" t="s">
        <v>310</v>
      </c>
      <c r="J77" t="s">
        <v>311</v>
      </c>
      <c r="K77" s="11" t="s">
        <v>312</v>
      </c>
    </row>
    <row r="78" spans="1:11">
      <c r="A78" t="s">
        <v>313</v>
      </c>
      <c r="B78" s="8">
        <v>2.8260000000000001</v>
      </c>
      <c r="C78" s="9">
        <v>2.6</v>
      </c>
      <c r="D78">
        <v>2</v>
      </c>
      <c r="E78">
        <v>2</v>
      </c>
      <c r="F78">
        <v>1</v>
      </c>
      <c r="G78" s="10">
        <v>0.5</v>
      </c>
      <c r="H78" t="s">
        <v>46</v>
      </c>
      <c r="I78" t="s">
        <v>314</v>
      </c>
      <c r="J78" t="s">
        <v>315</v>
      </c>
      <c r="K78" s="11" t="s">
        <v>316</v>
      </c>
    </row>
    <row r="79" spans="1:11">
      <c r="A79" t="s">
        <v>317</v>
      </c>
      <c r="B79" s="8">
        <v>4.6669999999999998</v>
      </c>
      <c r="C79" s="9">
        <v>44</v>
      </c>
      <c r="D79">
        <v>2</v>
      </c>
      <c r="E79">
        <v>2</v>
      </c>
      <c r="F79">
        <v>2</v>
      </c>
      <c r="G79" s="10">
        <v>1</v>
      </c>
      <c r="H79" t="s">
        <v>46</v>
      </c>
      <c r="I79" t="s">
        <v>318</v>
      </c>
      <c r="J79" t="s">
        <v>319</v>
      </c>
      <c r="K79" s="11" t="s">
        <v>320</v>
      </c>
    </row>
    <row r="80" spans="1:11">
      <c r="A80" t="s">
        <v>321</v>
      </c>
      <c r="B80" s="8">
        <v>4.3710000000000004</v>
      </c>
      <c r="C80" s="9">
        <v>11</v>
      </c>
      <c r="D80">
        <v>2</v>
      </c>
      <c r="E80">
        <v>2</v>
      </c>
      <c r="F80">
        <v>2</v>
      </c>
      <c r="G80" s="10">
        <v>1</v>
      </c>
      <c r="H80" t="s">
        <v>46</v>
      </c>
      <c r="I80" t="s">
        <v>322</v>
      </c>
      <c r="J80" t="s">
        <v>323</v>
      </c>
      <c r="K80" s="11" t="s">
        <v>320</v>
      </c>
    </row>
    <row r="81" spans="1:11">
      <c r="A81" t="s">
        <v>324</v>
      </c>
      <c r="B81" s="8">
        <v>4.6079999999999997</v>
      </c>
      <c r="C81" s="9">
        <v>3.5</v>
      </c>
      <c r="D81">
        <v>4</v>
      </c>
      <c r="E81">
        <v>4</v>
      </c>
      <c r="F81">
        <v>3</v>
      </c>
      <c r="G81" s="10">
        <v>0.75</v>
      </c>
      <c r="H81" t="s">
        <v>46</v>
      </c>
      <c r="I81" t="s">
        <v>325</v>
      </c>
      <c r="J81" t="s">
        <v>326</v>
      </c>
      <c r="K81" s="11" t="s">
        <v>327</v>
      </c>
    </row>
    <row r="82" spans="1:11">
      <c r="A82" t="s">
        <v>328</v>
      </c>
      <c r="B82" s="8">
        <v>6.0869999999999997</v>
      </c>
      <c r="C82" s="9">
        <v>20</v>
      </c>
      <c r="D82">
        <v>2</v>
      </c>
      <c r="E82">
        <v>2</v>
      </c>
      <c r="F82">
        <v>1</v>
      </c>
      <c r="G82" s="10">
        <v>0.5</v>
      </c>
      <c r="H82" t="s">
        <v>46</v>
      </c>
      <c r="I82" t="s">
        <v>329</v>
      </c>
      <c r="J82" t="s">
        <v>330</v>
      </c>
      <c r="K82" s="11" t="s">
        <v>331</v>
      </c>
    </row>
    <row r="83" spans="1:11">
      <c r="A83" t="s">
        <v>332</v>
      </c>
      <c r="B83" s="8">
        <v>2.923</v>
      </c>
      <c r="C83" s="9">
        <v>20</v>
      </c>
      <c r="D83">
        <v>2</v>
      </c>
      <c r="E83">
        <v>2</v>
      </c>
      <c r="F83">
        <v>2</v>
      </c>
      <c r="G83" s="10">
        <v>1</v>
      </c>
      <c r="H83" t="s">
        <v>46</v>
      </c>
      <c r="I83" t="s">
        <v>333</v>
      </c>
      <c r="J83" t="s">
        <v>334</v>
      </c>
      <c r="K83" s="11" t="s">
        <v>335</v>
      </c>
    </row>
    <row r="84" spans="1:11">
      <c r="A84" t="s">
        <v>336</v>
      </c>
      <c r="B84" s="8">
        <v>10.778</v>
      </c>
      <c r="C84" s="9">
        <v>51</v>
      </c>
      <c r="D84">
        <v>3</v>
      </c>
      <c r="E84">
        <v>3</v>
      </c>
      <c r="F84">
        <v>3</v>
      </c>
      <c r="G84" s="10">
        <v>1</v>
      </c>
      <c r="H84" t="s">
        <v>46</v>
      </c>
      <c r="I84" t="s">
        <v>337</v>
      </c>
      <c r="J84" t="s">
        <v>338</v>
      </c>
      <c r="K84" s="11" t="s">
        <v>339</v>
      </c>
    </row>
    <row r="85" spans="1:11">
      <c r="A85" t="s">
        <v>340</v>
      </c>
      <c r="B85" s="8">
        <v>8.2279999999999998</v>
      </c>
      <c r="C85" s="9">
        <v>20</v>
      </c>
      <c r="D85">
        <v>3</v>
      </c>
      <c r="E85">
        <v>3</v>
      </c>
      <c r="F85">
        <v>3</v>
      </c>
      <c r="G85" s="10">
        <v>1</v>
      </c>
      <c r="H85" t="s">
        <v>46</v>
      </c>
      <c r="I85" t="s">
        <v>341</v>
      </c>
      <c r="J85" t="s">
        <v>342</v>
      </c>
      <c r="K85" s="11" t="s">
        <v>343</v>
      </c>
    </row>
    <row r="86" spans="1:11">
      <c r="A86" t="s">
        <v>344</v>
      </c>
      <c r="B86" s="8">
        <v>3.2349999999999999</v>
      </c>
      <c r="C86" s="9">
        <v>27</v>
      </c>
      <c r="D86">
        <v>3</v>
      </c>
      <c r="E86">
        <v>3</v>
      </c>
      <c r="F86">
        <v>2</v>
      </c>
      <c r="G86" s="10">
        <v>0.66666666666666663</v>
      </c>
      <c r="H86" t="s">
        <v>46</v>
      </c>
      <c r="I86" t="s">
        <v>345</v>
      </c>
      <c r="J86" t="s">
        <v>346</v>
      </c>
      <c r="K86" s="11" t="s">
        <v>347</v>
      </c>
    </row>
    <row r="87" spans="1:11">
      <c r="A87" t="s">
        <v>348</v>
      </c>
      <c r="B87" s="8">
        <v>9.3650000000000002</v>
      </c>
      <c r="C87" s="9">
        <v>8.6999999999999993</v>
      </c>
      <c r="D87">
        <v>10</v>
      </c>
      <c r="E87">
        <v>8</v>
      </c>
      <c r="F87">
        <v>8</v>
      </c>
      <c r="G87" s="10">
        <v>0.8</v>
      </c>
      <c r="H87" t="s">
        <v>46</v>
      </c>
      <c r="I87" t="s">
        <v>349</v>
      </c>
      <c r="J87" t="s">
        <v>350</v>
      </c>
      <c r="K87" s="11" t="s">
        <v>351</v>
      </c>
    </row>
    <row r="88" spans="1:11">
      <c r="A88" t="s">
        <v>352</v>
      </c>
      <c r="B88" s="8">
        <v>16.452999999999999</v>
      </c>
      <c r="C88" s="9">
        <v>37</v>
      </c>
      <c r="D88">
        <v>8</v>
      </c>
      <c r="E88">
        <v>4</v>
      </c>
      <c r="F88">
        <v>4</v>
      </c>
      <c r="G88" s="10">
        <v>0.5</v>
      </c>
      <c r="H88" t="s">
        <v>46</v>
      </c>
      <c r="I88" t="s">
        <v>353</v>
      </c>
      <c r="J88" t="s">
        <v>350</v>
      </c>
      <c r="K88" s="11" t="s">
        <v>354</v>
      </c>
    </row>
    <row r="89" spans="1:11">
      <c r="A89" t="s">
        <v>355</v>
      </c>
      <c r="B89" s="8">
        <v>2.456</v>
      </c>
      <c r="C89" s="9">
        <v>2.8</v>
      </c>
      <c r="D89">
        <v>4</v>
      </c>
      <c r="E89">
        <v>2</v>
      </c>
      <c r="F89">
        <v>2</v>
      </c>
      <c r="G89" s="10">
        <v>0.5</v>
      </c>
      <c r="H89" t="s">
        <v>46</v>
      </c>
      <c r="I89" t="s">
        <v>356</v>
      </c>
      <c r="J89" t="s">
        <v>357</v>
      </c>
      <c r="K89" s="11" t="s">
        <v>358</v>
      </c>
    </row>
    <row r="90" spans="1:11">
      <c r="A90" t="s">
        <v>359</v>
      </c>
      <c r="B90" s="8">
        <v>4.3739999999999997</v>
      </c>
      <c r="C90" s="9">
        <v>6.6</v>
      </c>
      <c r="D90">
        <v>2</v>
      </c>
      <c r="E90">
        <v>2</v>
      </c>
      <c r="F90">
        <v>2</v>
      </c>
      <c r="G90" s="10">
        <v>1</v>
      </c>
      <c r="H90" t="s">
        <v>46</v>
      </c>
      <c r="I90" t="s">
        <v>360</v>
      </c>
      <c r="J90" t="s">
        <v>361</v>
      </c>
      <c r="K90" s="11" t="s">
        <v>362</v>
      </c>
    </row>
    <row r="91" spans="1:11">
      <c r="A91" t="s">
        <v>363</v>
      </c>
      <c r="B91" s="8">
        <v>4.6950000000000003</v>
      </c>
      <c r="C91" s="9">
        <v>4.7</v>
      </c>
      <c r="D91">
        <v>5</v>
      </c>
      <c r="E91">
        <v>5</v>
      </c>
      <c r="F91">
        <v>3</v>
      </c>
      <c r="G91" s="10">
        <v>0.6</v>
      </c>
      <c r="H91" t="s">
        <v>46</v>
      </c>
      <c r="I91" t="s">
        <v>364</v>
      </c>
      <c r="J91" t="s">
        <v>365</v>
      </c>
      <c r="K91" s="11" t="s">
        <v>366</v>
      </c>
    </row>
    <row r="92" spans="1:11">
      <c r="A92" t="s">
        <v>367</v>
      </c>
      <c r="B92" s="8">
        <v>8.1869999999999994</v>
      </c>
      <c r="C92" s="9">
        <v>3.6</v>
      </c>
      <c r="D92">
        <v>2</v>
      </c>
      <c r="E92">
        <v>2</v>
      </c>
      <c r="F92">
        <v>2</v>
      </c>
      <c r="G92" s="10">
        <v>1</v>
      </c>
      <c r="H92" t="s">
        <v>46</v>
      </c>
      <c r="I92" t="s">
        <v>368</v>
      </c>
      <c r="J92" t="s">
        <v>369</v>
      </c>
      <c r="K92" s="11" t="s">
        <v>370</v>
      </c>
    </row>
    <row r="93" spans="1:11">
      <c r="A93" t="s">
        <v>371</v>
      </c>
      <c r="B93" s="8">
        <v>2.4140000000000001</v>
      </c>
      <c r="C93" s="9">
        <v>1.2</v>
      </c>
      <c r="D93">
        <v>2</v>
      </c>
      <c r="E93">
        <v>2</v>
      </c>
      <c r="F93">
        <v>2</v>
      </c>
      <c r="G93" s="10">
        <v>1</v>
      </c>
      <c r="H93" t="s">
        <v>46</v>
      </c>
      <c r="I93" t="s">
        <v>372</v>
      </c>
      <c r="J93" t="s">
        <v>373</v>
      </c>
      <c r="K93" s="11" t="s">
        <v>374</v>
      </c>
    </row>
    <row r="94" spans="1:11">
      <c r="A94" t="s">
        <v>375</v>
      </c>
      <c r="B94" s="8">
        <v>14.725</v>
      </c>
      <c r="C94" s="9">
        <v>7.9</v>
      </c>
      <c r="D94">
        <v>5</v>
      </c>
      <c r="E94">
        <v>5</v>
      </c>
      <c r="F94">
        <v>5</v>
      </c>
      <c r="G94" s="10">
        <v>1</v>
      </c>
      <c r="H94" t="s">
        <v>46</v>
      </c>
      <c r="I94" t="s">
        <v>376</v>
      </c>
      <c r="J94" t="s">
        <v>377</v>
      </c>
      <c r="K94" s="11" t="s">
        <v>376</v>
      </c>
    </row>
    <row r="95" spans="1:11">
      <c r="A95" t="s">
        <v>378</v>
      </c>
      <c r="B95" s="8">
        <v>4.6929999999999996</v>
      </c>
      <c r="C95" s="9">
        <v>2.8</v>
      </c>
      <c r="D95">
        <v>2</v>
      </c>
      <c r="E95">
        <v>2</v>
      </c>
      <c r="F95">
        <v>2</v>
      </c>
      <c r="G95" s="10">
        <v>1</v>
      </c>
      <c r="H95" t="s">
        <v>46</v>
      </c>
      <c r="I95" t="s">
        <v>379</v>
      </c>
      <c r="J95" t="s">
        <v>377</v>
      </c>
      <c r="K95" s="11" t="s">
        <v>379</v>
      </c>
    </row>
    <row r="96" spans="1:11">
      <c r="A96" t="s">
        <v>380</v>
      </c>
      <c r="B96" s="8">
        <v>13.606</v>
      </c>
      <c r="C96" s="9">
        <v>30</v>
      </c>
      <c r="D96">
        <v>4</v>
      </c>
      <c r="E96">
        <v>4</v>
      </c>
      <c r="F96">
        <v>4</v>
      </c>
      <c r="G96" s="10">
        <v>1</v>
      </c>
      <c r="H96" t="s">
        <v>46</v>
      </c>
      <c r="I96" t="s">
        <v>381</v>
      </c>
      <c r="J96" t="s">
        <v>382</v>
      </c>
      <c r="K96" s="11" t="s">
        <v>383</v>
      </c>
    </row>
    <row r="97" spans="1:11">
      <c r="A97" t="s">
        <v>384</v>
      </c>
      <c r="B97" s="8">
        <v>3.7090000000000001</v>
      </c>
      <c r="C97" s="9">
        <v>6.5</v>
      </c>
      <c r="D97">
        <v>2</v>
      </c>
      <c r="E97">
        <v>2</v>
      </c>
      <c r="F97">
        <v>1</v>
      </c>
      <c r="G97" s="10">
        <v>0.5</v>
      </c>
      <c r="H97" t="s">
        <v>46</v>
      </c>
      <c r="I97" t="s">
        <v>385</v>
      </c>
      <c r="J97" t="s">
        <v>386</v>
      </c>
      <c r="K97" s="11" t="s">
        <v>387</v>
      </c>
    </row>
    <row r="98" spans="1:11">
      <c r="A98" t="s">
        <v>388</v>
      </c>
      <c r="B98" s="8">
        <v>4.194</v>
      </c>
      <c r="C98" s="9">
        <v>5.6</v>
      </c>
      <c r="D98">
        <v>2</v>
      </c>
      <c r="E98">
        <v>2</v>
      </c>
      <c r="F98">
        <v>2</v>
      </c>
      <c r="G98" s="10">
        <v>1</v>
      </c>
      <c r="H98" t="s">
        <v>46</v>
      </c>
      <c r="I98" t="s">
        <v>389</v>
      </c>
      <c r="J98" t="s">
        <v>390</v>
      </c>
      <c r="K98" s="11" t="s">
        <v>387</v>
      </c>
    </row>
    <row r="99" spans="1:11">
      <c r="A99" t="s">
        <v>391</v>
      </c>
      <c r="B99" s="8">
        <v>20.067</v>
      </c>
      <c r="C99" s="9">
        <v>5.3</v>
      </c>
      <c r="D99">
        <v>5</v>
      </c>
      <c r="E99">
        <v>5</v>
      </c>
      <c r="F99">
        <v>5</v>
      </c>
      <c r="G99" s="10">
        <v>1</v>
      </c>
      <c r="H99" t="s">
        <v>46</v>
      </c>
      <c r="I99" t="s">
        <v>392</v>
      </c>
      <c r="J99" t="s">
        <v>393</v>
      </c>
      <c r="K99" s="11" t="s">
        <v>394</v>
      </c>
    </row>
    <row r="100" spans="1:11">
      <c r="A100" t="s">
        <v>395</v>
      </c>
      <c r="B100" s="8">
        <v>3.4990000000000001</v>
      </c>
      <c r="C100" s="9">
        <v>10</v>
      </c>
      <c r="D100">
        <v>1</v>
      </c>
      <c r="E100">
        <v>1</v>
      </c>
      <c r="F100">
        <v>1</v>
      </c>
      <c r="G100" s="10">
        <v>1</v>
      </c>
      <c r="H100" t="s">
        <v>46</v>
      </c>
      <c r="I100" t="s">
        <v>396</v>
      </c>
      <c r="J100" t="s">
        <v>397</v>
      </c>
      <c r="K100" s="11" t="s">
        <v>396</v>
      </c>
    </row>
    <row r="101" spans="1:11">
      <c r="A101" t="s">
        <v>398</v>
      </c>
      <c r="B101" s="8">
        <v>3.3250000000000002</v>
      </c>
      <c r="C101" s="9">
        <v>46</v>
      </c>
      <c r="D101">
        <v>2</v>
      </c>
      <c r="E101">
        <v>2</v>
      </c>
      <c r="F101">
        <v>2</v>
      </c>
      <c r="G101" s="10">
        <v>1</v>
      </c>
      <c r="H101" t="s">
        <v>46</v>
      </c>
      <c r="I101" t="s">
        <v>399</v>
      </c>
      <c r="J101" t="s">
        <v>400</v>
      </c>
      <c r="K101" s="11" t="s">
        <v>399</v>
      </c>
    </row>
    <row r="102" spans="1:11">
      <c r="A102" t="s">
        <v>401</v>
      </c>
      <c r="B102" s="8">
        <v>21.363</v>
      </c>
      <c r="C102" s="9">
        <v>25</v>
      </c>
      <c r="D102">
        <v>9</v>
      </c>
      <c r="E102">
        <v>9</v>
      </c>
      <c r="F102">
        <v>7</v>
      </c>
      <c r="G102" s="10">
        <v>0.77777777777777779</v>
      </c>
      <c r="H102" t="s">
        <v>46</v>
      </c>
      <c r="I102" t="s">
        <v>402</v>
      </c>
      <c r="J102" t="s">
        <v>403</v>
      </c>
      <c r="K102" s="11" t="s">
        <v>404</v>
      </c>
    </row>
    <row r="103" spans="1:11">
      <c r="A103" t="s">
        <v>405</v>
      </c>
      <c r="B103" s="8">
        <v>10.853999999999999</v>
      </c>
      <c r="C103" s="9">
        <v>10</v>
      </c>
      <c r="D103">
        <v>6</v>
      </c>
      <c r="E103">
        <v>5</v>
      </c>
      <c r="F103">
        <v>4</v>
      </c>
      <c r="G103" s="10">
        <v>0.66666666666666663</v>
      </c>
      <c r="H103" t="s">
        <v>46</v>
      </c>
      <c r="I103" t="s">
        <v>406</v>
      </c>
      <c r="J103" t="s">
        <v>407</v>
      </c>
      <c r="K103" s="11" t="s">
        <v>408</v>
      </c>
    </row>
    <row r="104" spans="1:11">
      <c r="A104" t="s">
        <v>409</v>
      </c>
      <c r="B104" s="8">
        <v>24.631</v>
      </c>
      <c r="C104" s="9">
        <v>31</v>
      </c>
      <c r="D104">
        <v>7</v>
      </c>
      <c r="E104">
        <v>6</v>
      </c>
      <c r="F104">
        <v>5</v>
      </c>
      <c r="G104" s="10">
        <v>0.7142857142857143</v>
      </c>
      <c r="H104" t="s">
        <v>46</v>
      </c>
      <c r="I104" t="s">
        <v>410</v>
      </c>
      <c r="J104" t="s">
        <v>411</v>
      </c>
      <c r="K104" s="11" t="s">
        <v>394</v>
      </c>
    </row>
    <row r="105" spans="1:11">
      <c r="A105" t="s">
        <v>412</v>
      </c>
      <c r="B105" s="8">
        <v>9.0589999999999993</v>
      </c>
      <c r="C105" s="9">
        <v>32</v>
      </c>
      <c r="D105">
        <v>2</v>
      </c>
      <c r="E105">
        <v>2</v>
      </c>
      <c r="F105">
        <v>1</v>
      </c>
      <c r="G105" s="10">
        <v>0.5</v>
      </c>
      <c r="H105" t="s">
        <v>46</v>
      </c>
      <c r="I105" t="s">
        <v>413</v>
      </c>
      <c r="J105" t="s">
        <v>414</v>
      </c>
      <c r="K105" s="11" t="s">
        <v>415</v>
      </c>
    </row>
    <row r="106" spans="1:11">
      <c r="A106" t="s">
        <v>416</v>
      </c>
      <c r="B106" s="8">
        <v>3.2789999999999999</v>
      </c>
      <c r="C106" s="9">
        <v>5.5</v>
      </c>
      <c r="D106">
        <v>2</v>
      </c>
      <c r="E106">
        <v>2</v>
      </c>
      <c r="F106">
        <v>1</v>
      </c>
      <c r="G106" s="10">
        <v>0.5</v>
      </c>
      <c r="H106" t="s">
        <v>46</v>
      </c>
      <c r="I106" t="s">
        <v>417</v>
      </c>
      <c r="J106" t="s">
        <v>418</v>
      </c>
      <c r="K106" s="11" t="s">
        <v>419</v>
      </c>
    </row>
    <row r="107" spans="1:11">
      <c r="A107" t="s">
        <v>420</v>
      </c>
      <c r="B107" s="8">
        <v>5.0389999999999997</v>
      </c>
      <c r="C107" s="9">
        <v>5.4</v>
      </c>
      <c r="D107">
        <v>2</v>
      </c>
      <c r="E107">
        <v>2</v>
      </c>
      <c r="F107">
        <v>1</v>
      </c>
      <c r="G107" s="10">
        <v>0.5</v>
      </c>
      <c r="H107" t="s">
        <v>46</v>
      </c>
      <c r="I107" t="s">
        <v>421</v>
      </c>
      <c r="J107" t="s">
        <v>422</v>
      </c>
      <c r="K107" s="11" t="s">
        <v>423</v>
      </c>
    </row>
    <row r="108" spans="1:11">
      <c r="A108" t="s">
        <v>424</v>
      </c>
      <c r="B108" s="8">
        <v>3.6160000000000001</v>
      </c>
      <c r="C108" s="9">
        <v>5.9</v>
      </c>
      <c r="D108">
        <v>2</v>
      </c>
      <c r="E108">
        <v>2</v>
      </c>
      <c r="F108">
        <v>2</v>
      </c>
      <c r="G108" s="10">
        <v>1</v>
      </c>
      <c r="H108" t="s">
        <v>46</v>
      </c>
      <c r="I108" t="s">
        <v>425</v>
      </c>
      <c r="J108" t="s">
        <v>426</v>
      </c>
      <c r="K108" s="11" t="s">
        <v>427</v>
      </c>
    </row>
    <row r="109" spans="1:11">
      <c r="A109" t="s">
        <v>428</v>
      </c>
      <c r="B109" s="8">
        <v>9.1280000000000001</v>
      </c>
      <c r="C109" s="9">
        <v>2.8</v>
      </c>
      <c r="D109">
        <v>8</v>
      </c>
      <c r="E109">
        <v>8</v>
      </c>
      <c r="F109">
        <v>8</v>
      </c>
      <c r="G109" s="10">
        <v>1</v>
      </c>
      <c r="H109" t="s">
        <v>46</v>
      </c>
      <c r="I109" t="s">
        <v>429</v>
      </c>
      <c r="J109" t="s">
        <v>430</v>
      </c>
      <c r="K109" s="11" t="s">
        <v>431</v>
      </c>
    </row>
    <row r="110" spans="1:11">
      <c r="A110" t="s">
        <v>432</v>
      </c>
      <c r="B110" s="8">
        <v>11.510999999999999</v>
      </c>
      <c r="C110" s="9">
        <v>17</v>
      </c>
      <c r="D110">
        <v>3</v>
      </c>
      <c r="E110">
        <v>2</v>
      </c>
      <c r="F110">
        <v>3</v>
      </c>
      <c r="G110" s="10">
        <v>1</v>
      </c>
      <c r="H110" t="s">
        <v>46</v>
      </c>
      <c r="I110" t="s">
        <v>433</v>
      </c>
      <c r="J110" t="s">
        <v>434</v>
      </c>
      <c r="K110" s="11" t="s">
        <v>435</v>
      </c>
    </row>
    <row r="111" spans="1:11">
      <c r="A111" t="s">
        <v>436</v>
      </c>
      <c r="B111" s="8">
        <v>3.0409999999999999</v>
      </c>
      <c r="C111" s="9">
        <v>3.6</v>
      </c>
      <c r="D111">
        <v>2</v>
      </c>
      <c r="E111">
        <v>2</v>
      </c>
      <c r="F111">
        <v>2</v>
      </c>
      <c r="G111" s="10">
        <v>1</v>
      </c>
      <c r="H111" t="s">
        <v>46</v>
      </c>
      <c r="I111" t="s">
        <v>437</v>
      </c>
      <c r="J111" t="s">
        <v>438</v>
      </c>
      <c r="K111" s="11" t="s">
        <v>439</v>
      </c>
    </row>
    <row r="112" spans="1:11">
      <c r="A112" t="s">
        <v>440</v>
      </c>
      <c r="B112" s="8">
        <v>3.4449999999999998</v>
      </c>
      <c r="C112" s="9">
        <v>3.8</v>
      </c>
      <c r="D112">
        <v>2</v>
      </c>
      <c r="E112">
        <v>2</v>
      </c>
      <c r="F112">
        <v>2</v>
      </c>
      <c r="G112" s="10">
        <v>1</v>
      </c>
      <c r="H112" t="s">
        <v>46</v>
      </c>
      <c r="I112" t="s">
        <v>441</v>
      </c>
      <c r="J112" t="s">
        <v>442</v>
      </c>
      <c r="K112" s="11" t="s">
        <v>443</v>
      </c>
    </row>
    <row r="113" spans="1:11">
      <c r="A113" t="s">
        <v>444</v>
      </c>
      <c r="B113" s="8">
        <v>3.234</v>
      </c>
      <c r="C113" s="9">
        <v>2.7</v>
      </c>
      <c r="D113">
        <v>2</v>
      </c>
      <c r="E113">
        <v>2</v>
      </c>
      <c r="F113">
        <v>2</v>
      </c>
      <c r="G113" s="10">
        <v>1</v>
      </c>
      <c r="H113" t="s">
        <v>46</v>
      </c>
      <c r="I113" t="s">
        <v>445</v>
      </c>
      <c r="J113" t="s">
        <v>446</v>
      </c>
      <c r="K113" s="11" t="s">
        <v>445</v>
      </c>
    </row>
    <row r="114" spans="1:11">
      <c r="A114" t="s">
        <v>447</v>
      </c>
      <c r="B114" s="8">
        <v>3.3959999999999999</v>
      </c>
      <c r="C114" s="9">
        <v>49</v>
      </c>
      <c r="D114">
        <v>1</v>
      </c>
      <c r="E114">
        <v>1</v>
      </c>
      <c r="F114">
        <v>1</v>
      </c>
      <c r="G114" s="10">
        <v>1</v>
      </c>
      <c r="H114" t="s">
        <v>46</v>
      </c>
      <c r="I114" t="s">
        <v>448</v>
      </c>
      <c r="J114" t="s">
        <v>449</v>
      </c>
      <c r="K114" s="11" t="s">
        <v>448</v>
      </c>
    </row>
    <row r="115" spans="1:11">
      <c r="A115" t="s">
        <v>450</v>
      </c>
      <c r="B115" s="8">
        <v>2.5579999999999998</v>
      </c>
      <c r="C115" s="9">
        <v>2.4</v>
      </c>
      <c r="D115">
        <v>1</v>
      </c>
      <c r="E115">
        <v>1</v>
      </c>
      <c r="F115">
        <v>1</v>
      </c>
      <c r="G115" s="10">
        <v>1</v>
      </c>
      <c r="H115" t="s">
        <v>46</v>
      </c>
      <c r="I115" t="s">
        <v>448</v>
      </c>
      <c r="J115" t="s">
        <v>449</v>
      </c>
      <c r="K115" s="11" t="s">
        <v>448</v>
      </c>
    </row>
    <row r="116" spans="1:11">
      <c r="A116" t="s">
        <v>451</v>
      </c>
      <c r="B116" s="8">
        <v>2.5529999999999999</v>
      </c>
      <c r="C116" s="9">
        <v>21</v>
      </c>
      <c r="D116">
        <v>1</v>
      </c>
      <c r="E116">
        <v>1</v>
      </c>
      <c r="F116">
        <v>1</v>
      </c>
      <c r="G116" s="10">
        <v>1</v>
      </c>
      <c r="H116" t="s">
        <v>46</v>
      </c>
      <c r="I116" t="s">
        <v>452</v>
      </c>
      <c r="J116" t="s">
        <v>453</v>
      </c>
      <c r="K116" s="11" t="s">
        <v>452</v>
      </c>
    </row>
    <row r="117" spans="1:11">
      <c r="A117" t="s">
        <v>454</v>
      </c>
      <c r="B117" s="8">
        <v>2.7919999999999998</v>
      </c>
      <c r="C117" s="9">
        <v>15</v>
      </c>
      <c r="D117">
        <v>1</v>
      </c>
      <c r="E117">
        <v>1</v>
      </c>
      <c r="F117">
        <v>1</v>
      </c>
      <c r="G117" s="10">
        <v>1</v>
      </c>
      <c r="H117" t="s">
        <v>46</v>
      </c>
      <c r="I117" t="s">
        <v>455</v>
      </c>
      <c r="J117" t="s">
        <v>456</v>
      </c>
      <c r="K117" s="11" t="s">
        <v>455</v>
      </c>
    </row>
    <row r="118" spans="1:11">
      <c r="A118" t="s">
        <v>457</v>
      </c>
      <c r="B118" s="8">
        <v>10.004</v>
      </c>
      <c r="C118" s="9">
        <v>5.3</v>
      </c>
      <c r="D118">
        <v>5</v>
      </c>
      <c r="E118">
        <v>2</v>
      </c>
      <c r="F118">
        <v>1</v>
      </c>
      <c r="G118" s="10">
        <v>0.2</v>
      </c>
      <c r="H118" t="s">
        <v>46</v>
      </c>
      <c r="I118" t="s">
        <v>458</v>
      </c>
      <c r="J118" t="s">
        <v>459</v>
      </c>
      <c r="K118" s="11" t="s">
        <v>455</v>
      </c>
    </row>
    <row r="119" spans="1:11">
      <c r="A119" t="s">
        <v>460</v>
      </c>
      <c r="B119" s="8">
        <v>2.996</v>
      </c>
      <c r="C119" s="9">
        <v>22</v>
      </c>
      <c r="D119">
        <v>1</v>
      </c>
      <c r="E119">
        <v>1</v>
      </c>
      <c r="F119">
        <v>1</v>
      </c>
      <c r="G119" s="10">
        <v>1</v>
      </c>
      <c r="H119" t="s">
        <v>46</v>
      </c>
      <c r="I119" t="s">
        <v>461</v>
      </c>
      <c r="J119" t="s">
        <v>462</v>
      </c>
      <c r="K119" s="11" t="s">
        <v>461</v>
      </c>
    </row>
    <row r="120" spans="1:11">
      <c r="A120" t="s">
        <v>463</v>
      </c>
      <c r="B120" s="8">
        <v>2.871</v>
      </c>
      <c r="C120" s="9">
        <v>13</v>
      </c>
      <c r="D120">
        <v>2</v>
      </c>
      <c r="E120">
        <v>2</v>
      </c>
      <c r="F120">
        <v>1</v>
      </c>
      <c r="G120" s="10">
        <v>0.5</v>
      </c>
      <c r="H120" t="s">
        <v>46</v>
      </c>
      <c r="I120" t="s">
        <v>464</v>
      </c>
      <c r="J120" t="s">
        <v>465</v>
      </c>
      <c r="K120" s="11" t="s">
        <v>466</v>
      </c>
    </row>
    <row r="121" spans="1:11">
      <c r="A121" t="s">
        <v>467</v>
      </c>
      <c r="B121" s="8">
        <v>6.7270000000000003</v>
      </c>
      <c r="C121" s="9">
        <v>1.6</v>
      </c>
      <c r="D121">
        <v>3</v>
      </c>
      <c r="E121">
        <v>3</v>
      </c>
      <c r="F121">
        <v>1</v>
      </c>
      <c r="G121" s="10">
        <v>0.33333333333333331</v>
      </c>
      <c r="H121" t="s">
        <v>46</v>
      </c>
      <c r="I121" t="s">
        <v>468</v>
      </c>
      <c r="J121" t="s">
        <v>469</v>
      </c>
      <c r="K121" s="11" t="s">
        <v>470</v>
      </c>
    </row>
    <row r="122" spans="1:11">
      <c r="A122" t="s">
        <v>471</v>
      </c>
      <c r="B122" s="8">
        <v>8.3610000000000007</v>
      </c>
      <c r="C122" s="9">
        <v>4.8</v>
      </c>
      <c r="D122">
        <v>3</v>
      </c>
      <c r="E122">
        <v>3</v>
      </c>
      <c r="F122">
        <v>2</v>
      </c>
      <c r="G122" s="10">
        <v>0.66666666666666663</v>
      </c>
      <c r="H122" t="s">
        <v>46</v>
      </c>
      <c r="I122" t="s">
        <v>472</v>
      </c>
      <c r="J122" t="s">
        <v>473</v>
      </c>
      <c r="K122" s="11" t="s">
        <v>474</v>
      </c>
    </row>
    <row r="123" spans="1:11">
      <c r="A123" t="s">
        <v>475</v>
      </c>
      <c r="B123" s="8">
        <v>11.589</v>
      </c>
      <c r="C123" s="9">
        <v>35</v>
      </c>
      <c r="D123">
        <v>4</v>
      </c>
      <c r="E123">
        <v>4</v>
      </c>
      <c r="F123">
        <v>4</v>
      </c>
      <c r="G123" s="10">
        <v>1</v>
      </c>
      <c r="H123" t="s">
        <v>46</v>
      </c>
      <c r="I123" t="s">
        <v>476</v>
      </c>
      <c r="J123" t="s">
        <v>477</v>
      </c>
      <c r="K123" s="11" t="s">
        <v>478</v>
      </c>
    </row>
    <row r="124" spans="1:11">
      <c r="A124" t="s">
        <v>479</v>
      </c>
      <c r="B124" s="8">
        <v>4.7569999999999997</v>
      </c>
      <c r="C124" s="9">
        <v>48</v>
      </c>
      <c r="D124">
        <v>2</v>
      </c>
      <c r="E124">
        <v>2</v>
      </c>
      <c r="F124">
        <v>2</v>
      </c>
      <c r="G124" s="10">
        <v>1</v>
      </c>
      <c r="H124" t="s">
        <v>46</v>
      </c>
      <c r="I124" t="s">
        <v>480</v>
      </c>
      <c r="J124" t="s">
        <v>477</v>
      </c>
      <c r="K124" s="11" t="s">
        <v>481</v>
      </c>
    </row>
    <row r="125" spans="1:11">
      <c r="A125" t="s">
        <v>482</v>
      </c>
      <c r="B125" s="8">
        <v>8.9629999999999992</v>
      </c>
      <c r="C125" s="9">
        <v>47</v>
      </c>
      <c r="D125">
        <v>2</v>
      </c>
      <c r="E125">
        <v>2</v>
      </c>
      <c r="F125">
        <v>2</v>
      </c>
      <c r="G125" s="10">
        <v>1</v>
      </c>
      <c r="H125" t="s">
        <v>46</v>
      </c>
      <c r="I125" t="s">
        <v>480</v>
      </c>
      <c r="J125" t="s">
        <v>477</v>
      </c>
      <c r="K125" s="11" t="s">
        <v>435</v>
      </c>
    </row>
    <row r="126" spans="1:11">
      <c r="A126" t="s">
        <v>483</v>
      </c>
      <c r="B126" s="8">
        <v>3.9049999999999998</v>
      </c>
      <c r="C126" s="9">
        <v>7.7</v>
      </c>
      <c r="D126">
        <v>3</v>
      </c>
      <c r="E126">
        <v>3</v>
      </c>
      <c r="F126">
        <v>3</v>
      </c>
      <c r="G126" s="10">
        <v>1</v>
      </c>
      <c r="H126" t="s">
        <v>46</v>
      </c>
      <c r="I126" t="s">
        <v>484</v>
      </c>
      <c r="J126" t="s">
        <v>485</v>
      </c>
      <c r="K126" s="11" t="s">
        <v>486</v>
      </c>
    </row>
    <row r="127" spans="1:11">
      <c r="A127" t="s">
        <v>487</v>
      </c>
      <c r="B127" s="8">
        <v>3.4239999999999999</v>
      </c>
      <c r="C127" s="9">
        <v>2.1</v>
      </c>
      <c r="D127">
        <v>3</v>
      </c>
      <c r="E127">
        <v>2</v>
      </c>
      <c r="F127">
        <v>2</v>
      </c>
      <c r="G127" s="10">
        <v>0.66666666666666663</v>
      </c>
      <c r="H127" t="s">
        <v>46</v>
      </c>
      <c r="I127" t="s">
        <v>488</v>
      </c>
      <c r="J127" t="s">
        <v>489</v>
      </c>
      <c r="K127" s="11" t="s">
        <v>488</v>
      </c>
    </row>
    <row r="128" spans="1:11">
      <c r="A128" t="s">
        <v>490</v>
      </c>
      <c r="B128" s="8">
        <v>8.202</v>
      </c>
      <c r="C128" s="9">
        <v>8.6</v>
      </c>
      <c r="D128">
        <v>7</v>
      </c>
      <c r="E128">
        <v>6</v>
      </c>
      <c r="F128">
        <v>4</v>
      </c>
      <c r="G128" s="10">
        <v>0.5714285714285714</v>
      </c>
      <c r="H128" t="s">
        <v>46</v>
      </c>
      <c r="I128" t="s">
        <v>491</v>
      </c>
      <c r="J128" t="s">
        <v>492</v>
      </c>
      <c r="K128" s="11" t="s">
        <v>493</v>
      </c>
    </row>
    <row r="129" spans="1:11">
      <c r="A129" t="s">
        <v>494</v>
      </c>
      <c r="B129" s="8">
        <v>6.5350000000000001</v>
      </c>
      <c r="C129" s="9">
        <v>17</v>
      </c>
      <c r="D129">
        <v>5</v>
      </c>
      <c r="E129">
        <v>4</v>
      </c>
      <c r="F129">
        <v>4</v>
      </c>
      <c r="G129" s="10">
        <v>0.8</v>
      </c>
      <c r="H129" t="s">
        <v>46</v>
      </c>
      <c r="I129" t="s">
        <v>495</v>
      </c>
      <c r="J129" t="s">
        <v>496</v>
      </c>
      <c r="K129" s="11" t="s">
        <v>497</v>
      </c>
    </row>
    <row r="130" spans="1:11">
      <c r="A130" t="s">
        <v>498</v>
      </c>
      <c r="B130" s="8">
        <v>2.6680000000000001</v>
      </c>
      <c r="C130" s="9">
        <v>3.2</v>
      </c>
      <c r="D130">
        <v>4</v>
      </c>
      <c r="E130">
        <v>4</v>
      </c>
      <c r="F130">
        <v>4</v>
      </c>
      <c r="G130" s="10">
        <v>1</v>
      </c>
      <c r="H130" t="s">
        <v>46</v>
      </c>
      <c r="I130" t="s">
        <v>499</v>
      </c>
      <c r="J130" t="s">
        <v>500</v>
      </c>
      <c r="K130" s="11" t="s">
        <v>501</v>
      </c>
    </row>
    <row r="131" spans="1:11">
      <c r="A131" t="s">
        <v>502</v>
      </c>
      <c r="B131" s="8">
        <v>9.1809999999999992</v>
      </c>
      <c r="C131" s="9">
        <v>36</v>
      </c>
      <c r="D131">
        <v>7</v>
      </c>
      <c r="E131">
        <v>4</v>
      </c>
      <c r="F131">
        <v>4</v>
      </c>
      <c r="G131" s="10">
        <v>0.5714285714285714</v>
      </c>
      <c r="H131" t="s">
        <v>46</v>
      </c>
      <c r="I131" t="s">
        <v>503</v>
      </c>
      <c r="J131" t="s">
        <v>504</v>
      </c>
      <c r="K131" s="11" t="s">
        <v>505</v>
      </c>
    </row>
    <row r="132" spans="1:11">
      <c r="A132" t="s">
        <v>506</v>
      </c>
      <c r="B132" s="8">
        <v>3.9740000000000002</v>
      </c>
      <c r="C132" s="9">
        <v>7.2</v>
      </c>
      <c r="D132">
        <v>3</v>
      </c>
      <c r="E132">
        <v>2</v>
      </c>
      <c r="F132">
        <v>3</v>
      </c>
      <c r="G132" s="10">
        <v>1</v>
      </c>
      <c r="H132" t="s">
        <v>46</v>
      </c>
      <c r="I132" t="s">
        <v>507</v>
      </c>
      <c r="J132" t="s">
        <v>508</v>
      </c>
      <c r="K132" s="11" t="s">
        <v>455</v>
      </c>
    </row>
    <row r="133" spans="1:11">
      <c r="A133" t="s">
        <v>509</v>
      </c>
      <c r="B133" s="8">
        <v>2.6789999999999998</v>
      </c>
      <c r="C133" s="9">
        <v>2.7</v>
      </c>
      <c r="D133">
        <v>2</v>
      </c>
      <c r="E133">
        <v>2</v>
      </c>
      <c r="F133">
        <v>2</v>
      </c>
      <c r="G133" s="10">
        <v>1</v>
      </c>
      <c r="H133" t="s">
        <v>46</v>
      </c>
      <c r="I133" t="s">
        <v>510</v>
      </c>
      <c r="J133" t="s">
        <v>511</v>
      </c>
      <c r="K133" s="11" t="s">
        <v>512</v>
      </c>
    </row>
    <row r="134" spans="1:11">
      <c r="A134" t="s">
        <v>513</v>
      </c>
      <c r="B134" s="8">
        <v>9.1280000000000001</v>
      </c>
      <c r="C134" s="9">
        <v>10</v>
      </c>
      <c r="D134">
        <v>5</v>
      </c>
      <c r="E134">
        <v>4</v>
      </c>
      <c r="F134">
        <v>4</v>
      </c>
      <c r="G134" s="10">
        <v>0.8</v>
      </c>
      <c r="H134" t="s">
        <v>46</v>
      </c>
      <c r="I134" t="s">
        <v>514</v>
      </c>
      <c r="J134" t="s">
        <v>515</v>
      </c>
      <c r="K134" s="11" t="s">
        <v>474</v>
      </c>
    </row>
    <row r="135" spans="1:11">
      <c r="A135" t="s">
        <v>516</v>
      </c>
      <c r="B135" s="8">
        <v>13.3</v>
      </c>
      <c r="C135" s="9">
        <v>12</v>
      </c>
      <c r="D135">
        <v>9</v>
      </c>
      <c r="E135">
        <v>6</v>
      </c>
      <c r="F135">
        <v>6</v>
      </c>
      <c r="G135" s="10">
        <v>0.66666666666666663</v>
      </c>
      <c r="H135" t="s">
        <v>46</v>
      </c>
      <c r="I135" t="s">
        <v>517</v>
      </c>
      <c r="J135" t="s">
        <v>518</v>
      </c>
      <c r="K135" s="11" t="s">
        <v>519</v>
      </c>
    </row>
    <row r="136" spans="1:11">
      <c r="A136" t="s">
        <v>520</v>
      </c>
      <c r="B136" s="8">
        <v>12.715</v>
      </c>
      <c r="C136" s="9">
        <v>37</v>
      </c>
      <c r="D136">
        <v>7</v>
      </c>
      <c r="E136">
        <v>6</v>
      </c>
      <c r="F136">
        <v>6</v>
      </c>
      <c r="G136" s="10">
        <v>0.8571428571428571</v>
      </c>
      <c r="H136" t="s">
        <v>46</v>
      </c>
      <c r="I136" t="s">
        <v>521</v>
      </c>
      <c r="J136" t="s">
        <v>522</v>
      </c>
      <c r="K136" s="11" t="s">
        <v>523</v>
      </c>
    </row>
    <row r="137" spans="1:11">
      <c r="A137" t="s">
        <v>524</v>
      </c>
      <c r="B137" s="8">
        <v>3.923</v>
      </c>
      <c r="C137" s="9">
        <v>52</v>
      </c>
      <c r="D137">
        <v>4</v>
      </c>
      <c r="E137">
        <v>4</v>
      </c>
      <c r="F137">
        <v>4</v>
      </c>
      <c r="G137" s="10">
        <v>1</v>
      </c>
      <c r="H137" t="s">
        <v>46</v>
      </c>
      <c r="I137" t="s">
        <v>525</v>
      </c>
      <c r="J137" t="s">
        <v>526</v>
      </c>
      <c r="K137" s="11" t="s">
        <v>525</v>
      </c>
    </row>
    <row r="138" spans="1:11">
      <c r="A138" t="s">
        <v>527</v>
      </c>
      <c r="B138" s="8">
        <v>2.6739999999999999</v>
      </c>
      <c r="C138" s="9">
        <v>4.3</v>
      </c>
      <c r="D138">
        <v>1</v>
      </c>
      <c r="E138">
        <v>1</v>
      </c>
      <c r="F138">
        <v>1</v>
      </c>
      <c r="G138" s="10">
        <v>1</v>
      </c>
      <c r="H138" t="s">
        <v>46</v>
      </c>
      <c r="I138" t="s">
        <v>528</v>
      </c>
      <c r="J138" t="s">
        <v>526</v>
      </c>
      <c r="K138" s="11" t="s">
        <v>528</v>
      </c>
    </row>
    <row r="139" spans="1:11">
      <c r="A139" t="s">
        <v>529</v>
      </c>
      <c r="B139" s="8">
        <v>2.74</v>
      </c>
      <c r="C139" s="9">
        <v>3</v>
      </c>
      <c r="D139">
        <v>2</v>
      </c>
      <c r="E139">
        <v>1</v>
      </c>
      <c r="F139">
        <v>1</v>
      </c>
      <c r="G139" s="10">
        <v>0.5</v>
      </c>
      <c r="H139" t="s">
        <v>46</v>
      </c>
      <c r="I139" t="s">
        <v>528</v>
      </c>
      <c r="J139" t="s">
        <v>526</v>
      </c>
      <c r="K139" s="11" t="s">
        <v>528</v>
      </c>
    </row>
    <row r="140" spans="1:11">
      <c r="A140" t="s">
        <v>530</v>
      </c>
      <c r="B140" s="8">
        <v>8.3889999999999993</v>
      </c>
      <c r="C140" s="9">
        <v>15</v>
      </c>
      <c r="D140">
        <v>5</v>
      </c>
      <c r="E140">
        <v>5</v>
      </c>
      <c r="F140">
        <v>5</v>
      </c>
      <c r="G140" s="10">
        <v>1</v>
      </c>
      <c r="H140" t="s">
        <v>46</v>
      </c>
      <c r="I140" t="s">
        <v>531</v>
      </c>
      <c r="J140" t="s">
        <v>532</v>
      </c>
      <c r="K140" s="11" t="s">
        <v>533</v>
      </c>
    </row>
    <row r="141" spans="1:11">
      <c r="A141" t="s">
        <v>534</v>
      </c>
      <c r="B141" s="8">
        <v>8.1370000000000005</v>
      </c>
      <c r="C141" s="9">
        <v>13</v>
      </c>
      <c r="D141">
        <v>7</v>
      </c>
      <c r="E141">
        <v>7</v>
      </c>
      <c r="F141">
        <v>5</v>
      </c>
      <c r="G141" s="10">
        <v>0.7142857142857143</v>
      </c>
      <c r="H141" t="s">
        <v>46</v>
      </c>
      <c r="I141" t="s">
        <v>535</v>
      </c>
      <c r="J141" t="s">
        <v>536</v>
      </c>
      <c r="K141" s="11" t="s">
        <v>537</v>
      </c>
    </row>
    <row r="142" spans="1:11">
      <c r="A142" t="s">
        <v>538</v>
      </c>
      <c r="B142" s="8">
        <v>11.378</v>
      </c>
      <c r="C142" s="9">
        <v>6.5</v>
      </c>
      <c r="D142">
        <v>5</v>
      </c>
      <c r="E142">
        <v>5</v>
      </c>
      <c r="F142">
        <v>4</v>
      </c>
      <c r="G142" s="10">
        <v>0.8</v>
      </c>
      <c r="H142" t="s">
        <v>46</v>
      </c>
      <c r="I142" t="s">
        <v>539</v>
      </c>
      <c r="J142" t="s">
        <v>540</v>
      </c>
      <c r="K142" s="11" t="s">
        <v>541</v>
      </c>
    </row>
    <row r="143" spans="1:11">
      <c r="A143" t="s">
        <v>542</v>
      </c>
      <c r="B143" s="8">
        <v>21.007999999999999</v>
      </c>
      <c r="C143" s="9">
        <v>17</v>
      </c>
      <c r="D143">
        <v>8</v>
      </c>
      <c r="E143">
        <v>8</v>
      </c>
      <c r="F143">
        <v>8</v>
      </c>
      <c r="G143" s="10">
        <v>1</v>
      </c>
      <c r="H143" t="s">
        <v>46</v>
      </c>
      <c r="I143" t="s">
        <v>543</v>
      </c>
      <c r="J143" t="s">
        <v>544</v>
      </c>
      <c r="K143" s="11" t="s">
        <v>545</v>
      </c>
    </row>
    <row r="144" spans="1:11">
      <c r="A144" t="s">
        <v>546</v>
      </c>
      <c r="B144" s="8">
        <v>8.9939999999999998</v>
      </c>
      <c r="C144" s="9">
        <v>33</v>
      </c>
      <c r="D144">
        <v>6</v>
      </c>
      <c r="E144">
        <v>6</v>
      </c>
      <c r="F144">
        <v>6</v>
      </c>
      <c r="G144" s="10">
        <v>1</v>
      </c>
      <c r="H144" t="s">
        <v>46</v>
      </c>
      <c r="I144" t="s">
        <v>547</v>
      </c>
      <c r="J144" t="s">
        <v>548</v>
      </c>
      <c r="K144" s="11" t="s">
        <v>549</v>
      </c>
    </row>
    <row r="145" spans="1:11">
      <c r="A145" t="s">
        <v>550</v>
      </c>
      <c r="B145" s="8">
        <v>4.8239999999999998</v>
      </c>
      <c r="C145" s="9">
        <v>8.9</v>
      </c>
      <c r="D145">
        <v>2</v>
      </c>
      <c r="E145">
        <v>2</v>
      </c>
      <c r="F145">
        <v>1</v>
      </c>
      <c r="G145" s="10">
        <v>0.5</v>
      </c>
      <c r="H145" t="s">
        <v>46</v>
      </c>
      <c r="I145" t="s">
        <v>551</v>
      </c>
      <c r="J145" t="s">
        <v>552</v>
      </c>
      <c r="K145" s="11" t="s">
        <v>553</v>
      </c>
    </row>
    <row r="146" spans="1:11">
      <c r="A146" t="s">
        <v>554</v>
      </c>
      <c r="B146" s="8">
        <v>14.862</v>
      </c>
      <c r="C146" s="9">
        <v>46</v>
      </c>
      <c r="D146">
        <v>2</v>
      </c>
      <c r="E146">
        <v>2</v>
      </c>
      <c r="F146">
        <v>2</v>
      </c>
      <c r="G146" s="10">
        <v>1</v>
      </c>
      <c r="H146" t="s">
        <v>46</v>
      </c>
      <c r="I146" t="s">
        <v>555</v>
      </c>
      <c r="J146" t="s">
        <v>556</v>
      </c>
      <c r="K146" s="11" t="s">
        <v>557</v>
      </c>
    </row>
    <row r="147" spans="1:11">
      <c r="A147" t="s">
        <v>558</v>
      </c>
      <c r="B147" s="8">
        <v>8.2929999999999993</v>
      </c>
      <c r="C147" s="9">
        <v>7.5</v>
      </c>
      <c r="D147">
        <v>4</v>
      </c>
      <c r="E147">
        <v>2</v>
      </c>
      <c r="F147">
        <v>4</v>
      </c>
      <c r="G147" s="10">
        <v>1</v>
      </c>
      <c r="H147" t="s">
        <v>46</v>
      </c>
      <c r="I147" t="s">
        <v>559</v>
      </c>
      <c r="J147" t="s">
        <v>560</v>
      </c>
      <c r="K147" s="11" t="s">
        <v>561</v>
      </c>
    </row>
    <row r="148" spans="1:11">
      <c r="A148" t="s">
        <v>562</v>
      </c>
      <c r="B148" s="8">
        <v>2.6739999999999999</v>
      </c>
      <c r="C148" s="9">
        <v>2.9</v>
      </c>
      <c r="D148">
        <v>2</v>
      </c>
      <c r="E148">
        <v>2</v>
      </c>
      <c r="F148">
        <v>2</v>
      </c>
      <c r="G148" s="10">
        <v>1</v>
      </c>
      <c r="H148" t="s">
        <v>46</v>
      </c>
      <c r="I148" t="s">
        <v>563</v>
      </c>
      <c r="J148" t="s">
        <v>564</v>
      </c>
      <c r="K148" s="11" t="s">
        <v>565</v>
      </c>
    </row>
    <row r="149" spans="1:11">
      <c r="A149" t="s">
        <v>566</v>
      </c>
      <c r="B149" s="8">
        <v>3.036</v>
      </c>
      <c r="C149" s="9">
        <v>6.1</v>
      </c>
      <c r="D149">
        <v>2</v>
      </c>
      <c r="E149">
        <v>2</v>
      </c>
      <c r="F149">
        <v>1</v>
      </c>
      <c r="G149" s="10">
        <v>0.5</v>
      </c>
      <c r="H149" t="s">
        <v>46</v>
      </c>
      <c r="I149" t="s">
        <v>567</v>
      </c>
      <c r="J149" t="s">
        <v>568</v>
      </c>
      <c r="K149" s="11" t="s">
        <v>569</v>
      </c>
    </row>
    <row r="150" spans="1:11">
      <c r="A150" t="s">
        <v>570</v>
      </c>
      <c r="B150" s="8">
        <v>8.2050000000000001</v>
      </c>
      <c r="C150" s="9">
        <v>14</v>
      </c>
      <c r="D150">
        <v>3</v>
      </c>
      <c r="E150">
        <v>2</v>
      </c>
      <c r="F150">
        <v>1</v>
      </c>
      <c r="G150" s="10">
        <v>0.33333333333333331</v>
      </c>
      <c r="H150" t="s">
        <v>46</v>
      </c>
      <c r="I150" t="s">
        <v>571</v>
      </c>
      <c r="J150" t="s">
        <v>572</v>
      </c>
      <c r="K150" s="11" t="s">
        <v>573</v>
      </c>
    </row>
    <row r="151" spans="1:11">
      <c r="A151" t="s">
        <v>574</v>
      </c>
      <c r="B151" s="8">
        <v>4.5780000000000003</v>
      </c>
      <c r="C151" s="9">
        <v>5.3</v>
      </c>
      <c r="D151">
        <v>4</v>
      </c>
      <c r="E151">
        <v>2</v>
      </c>
      <c r="F151">
        <v>4</v>
      </c>
      <c r="G151" s="10">
        <v>1</v>
      </c>
      <c r="H151" t="s">
        <v>46</v>
      </c>
      <c r="I151" t="s">
        <v>575</v>
      </c>
      <c r="J151" t="s">
        <v>576</v>
      </c>
      <c r="K151" s="11" t="s">
        <v>561</v>
      </c>
    </row>
    <row r="152" spans="1:11">
      <c r="A152" t="s">
        <v>577</v>
      </c>
      <c r="B152" s="8">
        <v>12.198</v>
      </c>
      <c r="C152" s="9">
        <v>32</v>
      </c>
      <c r="D152">
        <v>2</v>
      </c>
      <c r="E152">
        <v>2</v>
      </c>
      <c r="F152">
        <v>2</v>
      </c>
      <c r="G152" s="10">
        <v>1</v>
      </c>
      <c r="H152" t="s">
        <v>46</v>
      </c>
      <c r="I152" t="s">
        <v>474</v>
      </c>
      <c r="J152" t="s">
        <v>578</v>
      </c>
      <c r="K152" s="11" t="s">
        <v>474</v>
      </c>
    </row>
    <row r="153" spans="1:11">
      <c r="A153" t="s">
        <v>579</v>
      </c>
      <c r="B153" s="8">
        <v>10.845000000000001</v>
      </c>
      <c r="C153" s="9">
        <v>3.9</v>
      </c>
      <c r="D153">
        <v>14</v>
      </c>
      <c r="E153">
        <v>14</v>
      </c>
      <c r="F153">
        <v>14</v>
      </c>
      <c r="G153" s="10">
        <v>1</v>
      </c>
      <c r="H153" t="s">
        <v>46</v>
      </c>
      <c r="I153" t="s">
        <v>580</v>
      </c>
      <c r="J153" t="s">
        <v>581</v>
      </c>
      <c r="K153" s="11" t="s">
        <v>582</v>
      </c>
    </row>
    <row r="154" spans="1:11">
      <c r="A154" t="s">
        <v>583</v>
      </c>
      <c r="B154" s="8">
        <v>2.8490000000000002</v>
      </c>
      <c r="C154" s="9">
        <v>4.4000000000000004</v>
      </c>
      <c r="D154">
        <v>3</v>
      </c>
      <c r="E154">
        <v>2</v>
      </c>
      <c r="F154">
        <v>2</v>
      </c>
      <c r="G154" s="10">
        <v>0.66666666666666663</v>
      </c>
      <c r="H154" t="s">
        <v>46</v>
      </c>
      <c r="I154" t="s">
        <v>584</v>
      </c>
      <c r="J154" t="s">
        <v>585</v>
      </c>
      <c r="K154" s="11" t="s">
        <v>584</v>
      </c>
    </row>
    <row r="155" spans="1:11">
      <c r="A155" t="s">
        <v>586</v>
      </c>
      <c r="B155" s="8">
        <v>5.3559999999999999</v>
      </c>
      <c r="C155" s="9">
        <v>4.8</v>
      </c>
      <c r="D155">
        <v>4</v>
      </c>
      <c r="E155">
        <v>4</v>
      </c>
      <c r="F155">
        <v>3</v>
      </c>
      <c r="G155" s="10">
        <v>0.75</v>
      </c>
      <c r="H155" t="s">
        <v>46</v>
      </c>
      <c r="I155" t="s">
        <v>587</v>
      </c>
      <c r="J155" t="s">
        <v>588</v>
      </c>
      <c r="K155" s="11" t="s">
        <v>589</v>
      </c>
    </row>
    <row r="156" spans="1:11">
      <c r="A156" t="s">
        <v>590</v>
      </c>
      <c r="B156" s="8">
        <v>5.3280000000000003</v>
      </c>
      <c r="C156" s="9">
        <v>22</v>
      </c>
      <c r="D156">
        <v>2</v>
      </c>
      <c r="E156">
        <v>2</v>
      </c>
      <c r="F156">
        <v>2</v>
      </c>
      <c r="G156" s="10">
        <v>1</v>
      </c>
      <c r="H156" t="s">
        <v>46</v>
      </c>
      <c r="I156" t="s">
        <v>591</v>
      </c>
      <c r="J156" t="s">
        <v>592</v>
      </c>
      <c r="K156" s="11" t="s">
        <v>593</v>
      </c>
    </row>
    <row r="157" spans="1:11">
      <c r="A157" t="s">
        <v>594</v>
      </c>
      <c r="B157" s="8">
        <v>2.593</v>
      </c>
      <c r="C157" s="9">
        <v>2.6</v>
      </c>
      <c r="D157">
        <v>1</v>
      </c>
      <c r="E157">
        <v>1</v>
      </c>
      <c r="F157">
        <v>1</v>
      </c>
      <c r="G157" s="10">
        <v>1</v>
      </c>
      <c r="H157" t="s">
        <v>46</v>
      </c>
      <c r="I157" t="s">
        <v>595</v>
      </c>
      <c r="J157" t="s">
        <v>596</v>
      </c>
      <c r="K157" s="11" t="s">
        <v>595</v>
      </c>
    </row>
    <row r="158" spans="1:11">
      <c r="A158" t="s">
        <v>597</v>
      </c>
      <c r="B158" s="8">
        <v>7.8029999999999999</v>
      </c>
      <c r="C158" s="9">
        <v>7.9</v>
      </c>
      <c r="D158">
        <v>4</v>
      </c>
      <c r="E158">
        <v>4</v>
      </c>
      <c r="F158">
        <v>4</v>
      </c>
      <c r="G158" s="10">
        <v>1</v>
      </c>
      <c r="H158" t="s">
        <v>46</v>
      </c>
      <c r="I158" t="s">
        <v>598</v>
      </c>
      <c r="J158" t="s">
        <v>599</v>
      </c>
      <c r="K158" s="11" t="s">
        <v>600</v>
      </c>
    </row>
    <row r="159" spans="1:11">
      <c r="A159" t="s">
        <v>601</v>
      </c>
      <c r="B159" s="8">
        <v>2.9889999999999999</v>
      </c>
      <c r="C159" s="9">
        <v>10</v>
      </c>
      <c r="D159">
        <v>2</v>
      </c>
      <c r="E159">
        <v>2</v>
      </c>
      <c r="F159">
        <v>1</v>
      </c>
      <c r="G159" s="10">
        <v>0.5</v>
      </c>
      <c r="H159" t="s">
        <v>46</v>
      </c>
      <c r="I159" t="s">
        <v>602</v>
      </c>
      <c r="J159" t="s">
        <v>603</v>
      </c>
      <c r="K159" s="11" t="s">
        <v>604</v>
      </c>
    </row>
    <row r="160" spans="1:11">
      <c r="A160" t="s">
        <v>605</v>
      </c>
      <c r="B160" s="8">
        <v>5.7629999999999999</v>
      </c>
      <c r="C160" s="9">
        <v>7.6</v>
      </c>
      <c r="D160">
        <v>3</v>
      </c>
      <c r="E160">
        <v>1</v>
      </c>
      <c r="F160">
        <v>3</v>
      </c>
      <c r="G160" s="10">
        <v>1</v>
      </c>
      <c r="H160" t="s">
        <v>46</v>
      </c>
      <c r="I160" t="s">
        <v>439</v>
      </c>
      <c r="J160" t="s">
        <v>606</v>
      </c>
      <c r="K160" s="11" t="s">
        <v>439</v>
      </c>
    </row>
    <row r="161" spans="1:11">
      <c r="A161" t="s">
        <v>607</v>
      </c>
      <c r="B161" s="8">
        <v>5.867</v>
      </c>
      <c r="C161" s="9">
        <v>18</v>
      </c>
      <c r="D161">
        <v>3</v>
      </c>
      <c r="E161">
        <v>1</v>
      </c>
      <c r="F161">
        <v>3</v>
      </c>
      <c r="G161" s="10">
        <v>1</v>
      </c>
      <c r="H161" t="s">
        <v>46</v>
      </c>
      <c r="I161" t="s">
        <v>439</v>
      </c>
      <c r="J161" t="s">
        <v>606</v>
      </c>
      <c r="K161" s="11" t="s">
        <v>439</v>
      </c>
    </row>
    <row r="162" spans="1:11">
      <c r="A162" t="s">
        <v>608</v>
      </c>
      <c r="B162" s="8">
        <v>3.948</v>
      </c>
      <c r="C162" s="9">
        <v>9.1</v>
      </c>
      <c r="D162">
        <v>2</v>
      </c>
      <c r="E162">
        <v>1</v>
      </c>
      <c r="F162">
        <v>2</v>
      </c>
      <c r="G162" s="10">
        <v>1</v>
      </c>
      <c r="H162" t="s">
        <v>46</v>
      </c>
      <c r="I162" t="s">
        <v>439</v>
      </c>
      <c r="J162" t="s">
        <v>606</v>
      </c>
      <c r="K162" s="11" t="s">
        <v>439</v>
      </c>
    </row>
    <row r="163" spans="1:11">
      <c r="A163" t="s">
        <v>609</v>
      </c>
      <c r="B163" s="8">
        <v>5.3949999999999996</v>
      </c>
      <c r="C163" s="9">
        <v>19</v>
      </c>
      <c r="D163">
        <v>2</v>
      </c>
      <c r="E163">
        <v>2</v>
      </c>
      <c r="F163">
        <v>2</v>
      </c>
      <c r="G163" s="10">
        <v>1</v>
      </c>
      <c r="H163" t="s">
        <v>46</v>
      </c>
      <c r="I163" t="s">
        <v>610</v>
      </c>
      <c r="J163" t="s">
        <v>611</v>
      </c>
      <c r="K163" s="11" t="s">
        <v>439</v>
      </c>
    </row>
    <row r="164" spans="1:11">
      <c r="A164" t="s">
        <v>612</v>
      </c>
      <c r="B164" s="8">
        <v>4.282</v>
      </c>
      <c r="C164" s="9">
        <v>14</v>
      </c>
      <c r="D164">
        <v>2</v>
      </c>
      <c r="E164">
        <v>2</v>
      </c>
      <c r="F164">
        <v>2</v>
      </c>
      <c r="G164" s="10">
        <v>1</v>
      </c>
      <c r="H164" t="s">
        <v>46</v>
      </c>
      <c r="I164" t="s">
        <v>610</v>
      </c>
      <c r="J164" t="s">
        <v>611</v>
      </c>
      <c r="K164" s="11" t="s">
        <v>439</v>
      </c>
    </row>
    <row r="165" spans="1:11">
      <c r="A165" t="s">
        <v>613</v>
      </c>
      <c r="B165" s="8">
        <v>6.0279999999999996</v>
      </c>
      <c r="C165" s="9">
        <v>16</v>
      </c>
      <c r="D165">
        <v>3</v>
      </c>
      <c r="E165">
        <v>3</v>
      </c>
      <c r="F165">
        <v>2</v>
      </c>
      <c r="G165" s="10">
        <v>0.66666666666666663</v>
      </c>
      <c r="H165" t="s">
        <v>46</v>
      </c>
      <c r="I165" t="s">
        <v>614</v>
      </c>
      <c r="J165" t="s">
        <v>615</v>
      </c>
      <c r="K165" s="11" t="s">
        <v>616</v>
      </c>
    </row>
    <row r="166" spans="1:11">
      <c r="A166" t="s">
        <v>617</v>
      </c>
      <c r="B166" s="8">
        <v>2.9740000000000002</v>
      </c>
      <c r="C166" s="9">
        <v>2.2999999999999998</v>
      </c>
      <c r="D166">
        <v>1</v>
      </c>
      <c r="E166">
        <v>1</v>
      </c>
      <c r="F166">
        <v>1</v>
      </c>
      <c r="G166" s="10">
        <v>1</v>
      </c>
      <c r="H166" t="s">
        <v>46</v>
      </c>
      <c r="I166" t="s">
        <v>553</v>
      </c>
      <c r="J166" t="s">
        <v>618</v>
      </c>
      <c r="K166" s="11" t="s">
        <v>553</v>
      </c>
    </row>
    <row r="167" spans="1:11">
      <c r="A167" t="s">
        <v>619</v>
      </c>
      <c r="B167" s="8">
        <v>3.8519999999999999</v>
      </c>
      <c r="C167" s="9">
        <v>9.9</v>
      </c>
      <c r="D167">
        <v>1</v>
      </c>
      <c r="E167">
        <v>1</v>
      </c>
      <c r="F167">
        <v>1</v>
      </c>
      <c r="G167" s="10">
        <v>1</v>
      </c>
      <c r="H167" t="s">
        <v>46</v>
      </c>
      <c r="I167" t="s">
        <v>553</v>
      </c>
      <c r="J167" t="s">
        <v>618</v>
      </c>
      <c r="K167" s="11" t="s">
        <v>553</v>
      </c>
    </row>
    <row r="168" spans="1:11">
      <c r="A168" t="s">
        <v>620</v>
      </c>
      <c r="B168" s="8">
        <v>2.911</v>
      </c>
      <c r="C168" s="9">
        <v>18</v>
      </c>
      <c r="D168">
        <v>1</v>
      </c>
      <c r="E168">
        <v>1</v>
      </c>
      <c r="F168">
        <v>1</v>
      </c>
      <c r="G168" s="10">
        <v>1</v>
      </c>
      <c r="H168" t="s">
        <v>46</v>
      </c>
      <c r="I168" t="s">
        <v>553</v>
      </c>
      <c r="J168" t="s">
        <v>618</v>
      </c>
      <c r="K168" s="11" t="s">
        <v>553</v>
      </c>
    </row>
    <row r="169" spans="1:11">
      <c r="A169" t="s">
        <v>621</v>
      </c>
      <c r="B169" s="8">
        <v>4.9880000000000004</v>
      </c>
      <c r="C169" s="9">
        <v>3.2</v>
      </c>
      <c r="D169">
        <v>3</v>
      </c>
      <c r="E169">
        <v>1</v>
      </c>
      <c r="F169">
        <v>1</v>
      </c>
      <c r="G169" s="10">
        <v>0.33333333333333331</v>
      </c>
      <c r="H169" t="s">
        <v>46</v>
      </c>
      <c r="I169" t="s">
        <v>553</v>
      </c>
      <c r="J169" t="s">
        <v>618</v>
      </c>
      <c r="K169" s="11" t="s">
        <v>553</v>
      </c>
    </row>
    <row r="170" spans="1:11">
      <c r="A170" t="s">
        <v>622</v>
      </c>
      <c r="B170" s="8">
        <v>2.5209999999999999</v>
      </c>
      <c r="C170" s="9">
        <v>3.9</v>
      </c>
      <c r="D170">
        <v>2</v>
      </c>
      <c r="E170">
        <v>2</v>
      </c>
      <c r="F170">
        <v>2</v>
      </c>
      <c r="G170" s="10">
        <v>1</v>
      </c>
      <c r="H170" t="s">
        <v>46</v>
      </c>
      <c r="I170" t="s">
        <v>623</v>
      </c>
      <c r="J170" t="s">
        <v>624</v>
      </c>
      <c r="K170" s="11" t="s">
        <v>553</v>
      </c>
    </row>
    <row r="171" spans="1:11">
      <c r="A171" t="s">
        <v>625</v>
      </c>
      <c r="B171" s="8">
        <v>21.916</v>
      </c>
      <c r="C171" s="9">
        <v>9</v>
      </c>
      <c r="D171">
        <v>11</v>
      </c>
      <c r="E171">
        <v>8</v>
      </c>
      <c r="F171">
        <v>8</v>
      </c>
      <c r="G171" s="10">
        <v>0.72727272727272729</v>
      </c>
      <c r="H171" t="s">
        <v>46</v>
      </c>
      <c r="I171" t="s">
        <v>626</v>
      </c>
      <c r="J171" t="s">
        <v>627</v>
      </c>
      <c r="K171" s="11" t="s">
        <v>628</v>
      </c>
    </row>
    <row r="172" spans="1:11">
      <c r="A172" t="s">
        <v>629</v>
      </c>
      <c r="B172" s="8">
        <v>5.9509999999999996</v>
      </c>
      <c r="C172" s="9">
        <v>13</v>
      </c>
      <c r="D172">
        <v>6</v>
      </c>
      <c r="E172">
        <v>5</v>
      </c>
      <c r="F172">
        <v>4</v>
      </c>
      <c r="G172" s="10">
        <v>0.66666666666666663</v>
      </c>
      <c r="H172" t="s">
        <v>46</v>
      </c>
      <c r="I172" t="s">
        <v>630</v>
      </c>
      <c r="J172" t="s">
        <v>631</v>
      </c>
      <c r="K172" s="11" t="s">
        <v>632</v>
      </c>
    </row>
    <row r="173" spans="1:11">
      <c r="A173" t="s">
        <v>633</v>
      </c>
      <c r="B173" s="8">
        <v>7.58</v>
      </c>
      <c r="C173" s="9">
        <v>4.5</v>
      </c>
      <c r="D173">
        <v>2</v>
      </c>
      <c r="E173">
        <v>2</v>
      </c>
      <c r="F173">
        <v>1</v>
      </c>
      <c r="G173" s="10">
        <v>0.5</v>
      </c>
      <c r="H173" t="s">
        <v>46</v>
      </c>
      <c r="I173" t="s">
        <v>634</v>
      </c>
      <c r="J173" t="s">
        <v>635</v>
      </c>
      <c r="K173" s="11" t="s">
        <v>553</v>
      </c>
    </row>
    <row r="174" spans="1:11">
      <c r="A174" t="s">
        <v>636</v>
      </c>
      <c r="B174" s="8">
        <v>8.9469999999999992</v>
      </c>
      <c r="C174" s="9">
        <v>4.0999999999999996</v>
      </c>
      <c r="D174">
        <v>2</v>
      </c>
      <c r="E174">
        <v>2</v>
      </c>
      <c r="F174">
        <v>2</v>
      </c>
      <c r="G174" s="10">
        <v>1</v>
      </c>
      <c r="H174" t="s">
        <v>46</v>
      </c>
      <c r="I174" t="s">
        <v>637</v>
      </c>
      <c r="J174" t="s">
        <v>638</v>
      </c>
      <c r="K174" s="11" t="s">
        <v>639</v>
      </c>
    </row>
    <row r="175" spans="1:11">
      <c r="A175" t="s">
        <v>640</v>
      </c>
      <c r="B175" s="8">
        <v>4.76</v>
      </c>
      <c r="C175" s="9">
        <v>8.9</v>
      </c>
      <c r="D175">
        <v>6</v>
      </c>
      <c r="E175">
        <v>2</v>
      </c>
      <c r="F175">
        <v>4</v>
      </c>
      <c r="G175" s="10">
        <v>0.66666666666666663</v>
      </c>
      <c r="H175" t="s">
        <v>46</v>
      </c>
      <c r="I175" t="s">
        <v>641</v>
      </c>
      <c r="J175" t="s">
        <v>642</v>
      </c>
      <c r="K175" s="11" t="s">
        <v>643</v>
      </c>
    </row>
    <row r="176" spans="1:11">
      <c r="A176" t="s">
        <v>644</v>
      </c>
      <c r="B176" s="8">
        <v>3.133</v>
      </c>
      <c r="C176" s="9">
        <v>18</v>
      </c>
      <c r="D176">
        <v>1</v>
      </c>
      <c r="E176">
        <v>1</v>
      </c>
      <c r="F176">
        <v>1</v>
      </c>
      <c r="G176" s="10">
        <v>1</v>
      </c>
      <c r="H176" t="s">
        <v>46</v>
      </c>
      <c r="I176" t="s">
        <v>604</v>
      </c>
      <c r="J176" t="s">
        <v>645</v>
      </c>
      <c r="K176" s="11" t="s">
        <v>604</v>
      </c>
    </row>
    <row r="177" spans="1:11">
      <c r="A177" t="s">
        <v>646</v>
      </c>
      <c r="B177" s="8">
        <v>9.6980000000000004</v>
      </c>
      <c r="C177" s="9">
        <v>4.9000000000000004</v>
      </c>
      <c r="D177">
        <v>9</v>
      </c>
      <c r="E177">
        <v>9</v>
      </c>
      <c r="F177">
        <v>9</v>
      </c>
      <c r="G177" s="10">
        <v>1</v>
      </c>
      <c r="H177" t="s">
        <v>46</v>
      </c>
      <c r="I177" t="s">
        <v>647</v>
      </c>
      <c r="J177" t="s">
        <v>648</v>
      </c>
      <c r="K177" s="11" t="s">
        <v>649</v>
      </c>
    </row>
    <row r="178" spans="1:11">
      <c r="A178" t="s">
        <v>650</v>
      </c>
      <c r="B178" s="8">
        <v>4.202</v>
      </c>
      <c r="C178" s="9">
        <v>9.3000000000000007</v>
      </c>
      <c r="D178">
        <v>4</v>
      </c>
      <c r="E178">
        <v>4</v>
      </c>
      <c r="F178">
        <v>4</v>
      </c>
      <c r="G178" s="10">
        <v>1</v>
      </c>
      <c r="H178" t="s">
        <v>46</v>
      </c>
      <c r="I178" t="s">
        <v>651</v>
      </c>
      <c r="J178" t="s">
        <v>652</v>
      </c>
      <c r="K178" s="11" t="s">
        <v>653</v>
      </c>
    </row>
    <row r="179" spans="1:11">
      <c r="A179" t="s">
        <v>654</v>
      </c>
      <c r="B179" s="8">
        <v>4.0999999999999996</v>
      </c>
      <c r="C179" s="9">
        <v>40</v>
      </c>
      <c r="D179">
        <v>7</v>
      </c>
      <c r="E179">
        <v>6</v>
      </c>
      <c r="F179">
        <v>6</v>
      </c>
      <c r="G179" s="10">
        <v>0.8571428571428571</v>
      </c>
      <c r="H179" t="s">
        <v>46</v>
      </c>
      <c r="I179" t="s">
        <v>655</v>
      </c>
      <c r="J179" t="s">
        <v>656</v>
      </c>
      <c r="K179" s="11" t="s">
        <v>657</v>
      </c>
    </row>
    <row r="180" spans="1:11">
      <c r="A180" t="s">
        <v>658</v>
      </c>
      <c r="B180" s="8">
        <v>8.52</v>
      </c>
      <c r="C180" s="9">
        <v>7.4</v>
      </c>
      <c r="D180">
        <v>8</v>
      </c>
      <c r="E180">
        <v>7</v>
      </c>
      <c r="F180">
        <v>8</v>
      </c>
      <c r="G180" s="10">
        <v>1</v>
      </c>
      <c r="H180" t="s">
        <v>46</v>
      </c>
      <c r="I180" t="s">
        <v>659</v>
      </c>
      <c r="J180" t="s">
        <v>660</v>
      </c>
      <c r="K180" s="11" t="s">
        <v>661</v>
      </c>
    </row>
    <row r="181" spans="1:11">
      <c r="A181" t="s">
        <v>662</v>
      </c>
      <c r="B181" s="8">
        <v>9.1859999999999999</v>
      </c>
      <c r="C181" s="9">
        <v>13</v>
      </c>
      <c r="D181">
        <v>5</v>
      </c>
      <c r="E181">
        <v>2</v>
      </c>
      <c r="F181">
        <v>1</v>
      </c>
      <c r="G181" s="10">
        <v>0.2</v>
      </c>
      <c r="H181" t="s">
        <v>46</v>
      </c>
      <c r="I181" t="s">
        <v>663</v>
      </c>
      <c r="J181" t="s">
        <v>664</v>
      </c>
      <c r="K181" s="11" t="s">
        <v>439</v>
      </c>
    </row>
    <row r="182" spans="1:11">
      <c r="A182" t="s">
        <v>665</v>
      </c>
      <c r="B182" s="8">
        <v>5.9790000000000001</v>
      </c>
      <c r="C182" s="9">
        <v>8.1999999999999993</v>
      </c>
      <c r="D182">
        <v>7</v>
      </c>
      <c r="E182">
        <v>7</v>
      </c>
      <c r="F182">
        <v>7</v>
      </c>
      <c r="G182" s="10">
        <v>1</v>
      </c>
      <c r="H182" t="s">
        <v>46</v>
      </c>
      <c r="I182" t="s">
        <v>666</v>
      </c>
      <c r="J182" t="s">
        <v>667</v>
      </c>
      <c r="K182" s="11" t="s">
        <v>668</v>
      </c>
    </row>
    <row r="183" spans="1:11">
      <c r="A183" t="s">
        <v>669</v>
      </c>
      <c r="B183" s="8">
        <v>6.78</v>
      </c>
      <c r="C183" s="9">
        <v>2.2000000000000002</v>
      </c>
      <c r="D183">
        <v>3</v>
      </c>
      <c r="E183">
        <v>3</v>
      </c>
      <c r="F183">
        <v>3</v>
      </c>
      <c r="G183" s="10">
        <v>1</v>
      </c>
      <c r="H183" t="s">
        <v>46</v>
      </c>
      <c r="I183" t="s">
        <v>670</v>
      </c>
      <c r="J183" t="s">
        <v>671</v>
      </c>
      <c r="K183" s="11" t="s">
        <v>672</v>
      </c>
    </row>
    <row r="184" spans="1:11">
      <c r="A184" t="s">
        <v>673</v>
      </c>
      <c r="B184" s="8">
        <v>6.7439999999999998</v>
      </c>
      <c r="C184" s="9">
        <v>2.1</v>
      </c>
      <c r="D184">
        <v>4</v>
      </c>
      <c r="E184">
        <v>4</v>
      </c>
      <c r="F184">
        <v>4</v>
      </c>
      <c r="G184" s="10">
        <v>1</v>
      </c>
      <c r="H184" t="s">
        <v>46</v>
      </c>
      <c r="I184" t="s">
        <v>674</v>
      </c>
      <c r="J184" t="s">
        <v>675</v>
      </c>
      <c r="K184" s="11" t="s">
        <v>676</v>
      </c>
    </row>
    <row r="185" spans="1:11">
      <c r="A185" t="s">
        <v>677</v>
      </c>
      <c r="B185" s="8">
        <v>4.0330000000000004</v>
      </c>
      <c r="C185" s="9">
        <v>11</v>
      </c>
      <c r="D185">
        <v>4</v>
      </c>
      <c r="E185">
        <v>4</v>
      </c>
      <c r="F185">
        <v>4</v>
      </c>
      <c r="G185" s="10">
        <v>1</v>
      </c>
      <c r="H185" t="s">
        <v>46</v>
      </c>
      <c r="I185" t="s">
        <v>678</v>
      </c>
      <c r="J185" t="s">
        <v>679</v>
      </c>
      <c r="K185" s="11" t="s">
        <v>680</v>
      </c>
    </row>
    <row r="186" spans="1:11">
      <c r="A186" t="s">
        <v>681</v>
      </c>
      <c r="B186" s="8">
        <v>2.8540000000000001</v>
      </c>
      <c r="C186" s="9">
        <v>1.3</v>
      </c>
      <c r="D186">
        <v>2</v>
      </c>
      <c r="E186">
        <v>2</v>
      </c>
      <c r="F186">
        <v>2</v>
      </c>
      <c r="G186" s="10">
        <v>1</v>
      </c>
      <c r="H186" t="s">
        <v>46</v>
      </c>
      <c r="I186" t="s">
        <v>682</v>
      </c>
      <c r="J186" t="s">
        <v>683</v>
      </c>
      <c r="K186" s="11" t="s">
        <v>528</v>
      </c>
    </row>
    <row r="187" spans="1:11">
      <c r="A187" t="s">
        <v>684</v>
      </c>
      <c r="B187" s="8">
        <v>2.5939999999999999</v>
      </c>
      <c r="C187" s="9">
        <v>8.1</v>
      </c>
      <c r="D187">
        <v>3</v>
      </c>
      <c r="E187">
        <v>1</v>
      </c>
      <c r="F187">
        <v>3</v>
      </c>
      <c r="G187" s="10">
        <v>1</v>
      </c>
      <c r="H187" t="s">
        <v>46</v>
      </c>
      <c r="I187" t="s">
        <v>685</v>
      </c>
      <c r="J187" t="s">
        <v>686</v>
      </c>
      <c r="K187" s="11" t="s">
        <v>685</v>
      </c>
    </row>
    <row r="188" spans="1:11">
      <c r="A188" t="s">
        <v>687</v>
      </c>
      <c r="B188" s="8">
        <v>5.5069999999999997</v>
      </c>
      <c r="C188" s="9">
        <v>28</v>
      </c>
      <c r="D188">
        <v>6</v>
      </c>
      <c r="E188">
        <v>3</v>
      </c>
      <c r="F188">
        <v>5</v>
      </c>
      <c r="G188" s="10">
        <v>0.83333333333333337</v>
      </c>
      <c r="H188" t="s">
        <v>46</v>
      </c>
      <c r="I188" t="s">
        <v>688</v>
      </c>
      <c r="J188" t="s">
        <v>689</v>
      </c>
      <c r="K188" s="11" t="s">
        <v>690</v>
      </c>
    </row>
    <row r="189" spans="1:11">
      <c r="A189" t="s">
        <v>691</v>
      </c>
      <c r="B189" s="8">
        <v>3.153</v>
      </c>
      <c r="C189" s="9">
        <v>5.6</v>
      </c>
      <c r="D189">
        <v>1</v>
      </c>
      <c r="E189">
        <v>1</v>
      </c>
      <c r="F189">
        <v>1</v>
      </c>
      <c r="G189" s="10">
        <v>1</v>
      </c>
      <c r="H189" t="s">
        <v>46</v>
      </c>
      <c r="I189" t="s">
        <v>561</v>
      </c>
      <c r="J189" t="s">
        <v>689</v>
      </c>
      <c r="K189" s="11" t="s">
        <v>561</v>
      </c>
    </row>
    <row r="190" spans="1:11">
      <c r="A190" t="s">
        <v>692</v>
      </c>
      <c r="B190" s="8">
        <v>4.3929999999999998</v>
      </c>
      <c r="C190" s="9">
        <v>3</v>
      </c>
      <c r="D190">
        <v>2</v>
      </c>
      <c r="E190">
        <v>1</v>
      </c>
      <c r="F190">
        <v>1</v>
      </c>
      <c r="G190" s="10">
        <v>0.5</v>
      </c>
      <c r="H190" t="s">
        <v>46</v>
      </c>
      <c r="I190" t="s">
        <v>561</v>
      </c>
      <c r="J190" t="s">
        <v>689</v>
      </c>
      <c r="K190" s="11" t="s">
        <v>561</v>
      </c>
    </row>
    <row r="191" spans="1:11">
      <c r="A191" t="s">
        <v>693</v>
      </c>
      <c r="B191" s="8">
        <v>5.8209999999999997</v>
      </c>
      <c r="C191" s="9">
        <v>17</v>
      </c>
      <c r="D191">
        <v>2</v>
      </c>
      <c r="E191">
        <v>2</v>
      </c>
      <c r="F191">
        <v>2</v>
      </c>
      <c r="G191" s="10">
        <v>1</v>
      </c>
      <c r="H191" t="s">
        <v>46</v>
      </c>
      <c r="I191" t="s">
        <v>694</v>
      </c>
      <c r="J191" t="s">
        <v>695</v>
      </c>
      <c r="K191" s="11" t="s">
        <v>584</v>
      </c>
    </row>
    <row r="192" spans="1:11">
      <c r="A192" t="s">
        <v>696</v>
      </c>
      <c r="B192" s="8">
        <v>3.3239999999999998</v>
      </c>
      <c r="C192" s="9">
        <v>33</v>
      </c>
      <c r="D192">
        <v>1</v>
      </c>
      <c r="E192">
        <v>1</v>
      </c>
      <c r="F192">
        <v>1</v>
      </c>
      <c r="G192" s="10">
        <v>1</v>
      </c>
      <c r="H192" t="s">
        <v>46</v>
      </c>
      <c r="I192" t="s">
        <v>639</v>
      </c>
      <c r="J192" t="s">
        <v>697</v>
      </c>
      <c r="K192" s="11" t="s">
        <v>639</v>
      </c>
    </row>
    <row r="193" spans="1:11">
      <c r="A193" t="s">
        <v>698</v>
      </c>
      <c r="B193" s="8">
        <v>10.298999999999999</v>
      </c>
      <c r="C193" s="9">
        <v>43</v>
      </c>
      <c r="D193">
        <v>2</v>
      </c>
      <c r="E193">
        <v>2</v>
      </c>
      <c r="F193">
        <v>2</v>
      </c>
      <c r="G193" s="10">
        <v>1</v>
      </c>
      <c r="H193" t="s">
        <v>46</v>
      </c>
      <c r="I193" t="s">
        <v>699</v>
      </c>
      <c r="J193" t="s">
        <v>700</v>
      </c>
      <c r="K193" s="11" t="s">
        <v>699</v>
      </c>
    </row>
    <row r="194" spans="1:11">
      <c r="A194" t="s">
        <v>701</v>
      </c>
      <c r="B194" s="8">
        <v>8.1289999999999996</v>
      </c>
      <c r="C194" s="9">
        <v>44</v>
      </c>
      <c r="D194">
        <v>2</v>
      </c>
      <c r="E194">
        <v>2</v>
      </c>
      <c r="F194">
        <v>2</v>
      </c>
      <c r="G194" s="10">
        <v>1</v>
      </c>
      <c r="H194" t="s">
        <v>46</v>
      </c>
      <c r="I194" t="s">
        <v>702</v>
      </c>
      <c r="J194" t="s">
        <v>703</v>
      </c>
      <c r="K194" s="11" t="s">
        <v>702</v>
      </c>
    </row>
    <row r="195" spans="1:11">
      <c r="A195" t="s">
        <v>704</v>
      </c>
      <c r="B195" s="8">
        <v>3.0270000000000001</v>
      </c>
      <c r="C195" s="9">
        <v>47</v>
      </c>
      <c r="D195">
        <v>1</v>
      </c>
      <c r="E195">
        <v>1</v>
      </c>
      <c r="F195">
        <v>1</v>
      </c>
      <c r="G195" s="10">
        <v>1</v>
      </c>
      <c r="H195" t="s">
        <v>46</v>
      </c>
      <c r="I195" t="s">
        <v>705</v>
      </c>
      <c r="J195" t="s">
        <v>703</v>
      </c>
      <c r="K195" s="11" t="s">
        <v>705</v>
      </c>
    </row>
    <row r="196" spans="1:11">
      <c r="A196" t="s">
        <v>706</v>
      </c>
      <c r="B196" s="8">
        <v>6.7290000000000001</v>
      </c>
      <c r="C196" s="9">
        <v>16</v>
      </c>
      <c r="D196">
        <v>2</v>
      </c>
      <c r="E196">
        <v>2</v>
      </c>
      <c r="F196">
        <v>1</v>
      </c>
      <c r="G196" s="10">
        <v>0.5</v>
      </c>
      <c r="H196" t="s">
        <v>46</v>
      </c>
      <c r="I196" t="s">
        <v>707</v>
      </c>
      <c r="J196" t="s">
        <v>708</v>
      </c>
      <c r="K196" s="11" t="s">
        <v>705</v>
      </c>
    </row>
    <row r="197" spans="1:11">
      <c r="A197" t="s">
        <v>709</v>
      </c>
      <c r="B197" s="8">
        <v>3.7010000000000001</v>
      </c>
      <c r="C197" s="9">
        <v>24</v>
      </c>
      <c r="D197">
        <v>1</v>
      </c>
      <c r="E197">
        <v>1</v>
      </c>
      <c r="F197">
        <v>1</v>
      </c>
      <c r="G197" s="10">
        <v>1</v>
      </c>
      <c r="H197" t="s">
        <v>46</v>
      </c>
      <c r="I197" t="s">
        <v>710</v>
      </c>
      <c r="J197" t="s">
        <v>711</v>
      </c>
      <c r="K197" s="11" t="s">
        <v>710</v>
      </c>
    </row>
    <row r="198" spans="1:11">
      <c r="A198" t="s">
        <v>712</v>
      </c>
      <c r="B198" s="8">
        <v>3.298</v>
      </c>
      <c r="C198" s="9">
        <v>7</v>
      </c>
      <c r="D198">
        <v>1</v>
      </c>
      <c r="E198">
        <v>1</v>
      </c>
      <c r="F198">
        <v>1</v>
      </c>
      <c r="G198" s="10">
        <v>1</v>
      </c>
      <c r="H198" t="s">
        <v>46</v>
      </c>
      <c r="I198" t="s">
        <v>710</v>
      </c>
      <c r="J198" t="s">
        <v>711</v>
      </c>
      <c r="K198" s="11" t="s">
        <v>710</v>
      </c>
    </row>
    <row r="199" spans="1:11">
      <c r="A199" t="s">
        <v>713</v>
      </c>
      <c r="B199" s="8">
        <v>2.6749999999999998</v>
      </c>
      <c r="C199" s="9">
        <v>1.7</v>
      </c>
      <c r="D199">
        <v>3</v>
      </c>
      <c r="E199">
        <v>3</v>
      </c>
      <c r="F199">
        <v>3</v>
      </c>
      <c r="G199" s="10">
        <v>1</v>
      </c>
      <c r="H199" t="s">
        <v>46</v>
      </c>
      <c r="I199" t="s">
        <v>714</v>
      </c>
      <c r="J199" t="s">
        <v>715</v>
      </c>
      <c r="K199" s="11" t="s">
        <v>714</v>
      </c>
    </row>
    <row r="200" spans="1:11">
      <c r="A200" t="s">
        <v>716</v>
      </c>
      <c r="B200" s="8">
        <v>9.7769999999999992</v>
      </c>
      <c r="C200" s="9">
        <v>28</v>
      </c>
      <c r="D200">
        <v>5</v>
      </c>
      <c r="E200">
        <v>5</v>
      </c>
      <c r="F200">
        <v>5</v>
      </c>
      <c r="G200" s="10">
        <v>1</v>
      </c>
      <c r="H200" t="s">
        <v>46</v>
      </c>
      <c r="I200" t="s">
        <v>717</v>
      </c>
      <c r="J200" t="s">
        <v>718</v>
      </c>
      <c r="K200" s="11" t="s">
        <v>719</v>
      </c>
    </row>
    <row r="201" spans="1:11">
      <c r="A201" t="s">
        <v>720</v>
      </c>
      <c r="B201" s="8">
        <v>2.7869999999999999</v>
      </c>
      <c r="C201" s="9">
        <v>3</v>
      </c>
      <c r="D201">
        <v>3</v>
      </c>
      <c r="E201">
        <v>3</v>
      </c>
      <c r="F201">
        <v>2</v>
      </c>
      <c r="G201" s="10">
        <v>0.66666666666666663</v>
      </c>
      <c r="H201" t="s">
        <v>46</v>
      </c>
      <c r="I201" t="s">
        <v>721</v>
      </c>
      <c r="J201" t="s">
        <v>722</v>
      </c>
      <c r="K201" s="11" t="s">
        <v>723</v>
      </c>
    </row>
    <row r="202" spans="1:11">
      <c r="A202" t="s">
        <v>724</v>
      </c>
      <c r="B202" s="8">
        <v>3.319</v>
      </c>
      <c r="C202" s="9">
        <v>63</v>
      </c>
      <c r="D202">
        <v>4</v>
      </c>
      <c r="E202">
        <v>3</v>
      </c>
      <c r="F202">
        <v>2</v>
      </c>
      <c r="G202" s="10">
        <v>0.5</v>
      </c>
      <c r="H202" t="s">
        <v>46</v>
      </c>
      <c r="I202" t="s">
        <v>725</v>
      </c>
      <c r="J202" t="s">
        <v>726</v>
      </c>
      <c r="K202" s="11" t="s">
        <v>727</v>
      </c>
    </row>
    <row r="203" spans="1:11">
      <c r="A203" t="s">
        <v>728</v>
      </c>
      <c r="B203" s="8">
        <v>8.0399999999999991</v>
      </c>
      <c r="C203" s="9">
        <v>7.1</v>
      </c>
      <c r="D203">
        <v>3</v>
      </c>
      <c r="E203">
        <v>3</v>
      </c>
      <c r="F203">
        <v>1</v>
      </c>
      <c r="G203" s="10">
        <v>0.33333333333333331</v>
      </c>
      <c r="H203" t="s">
        <v>46</v>
      </c>
      <c r="I203" t="s">
        <v>729</v>
      </c>
      <c r="J203" t="s">
        <v>730</v>
      </c>
      <c r="K203" s="11" t="s">
        <v>731</v>
      </c>
    </row>
    <row r="204" spans="1:11">
      <c r="A204" t="s">
        <v>732</v>
      </c>
      <c r="B204" s="8">
        <v>9.7439999999999998</v>
      </c>
      <c r="C204" s="9">
        <v>7.4</v>
      </c>
      <c r="D204">
        <v>1</v>
      </c>
      <c r="E204">
        <v>1</v>
      </c>
      <c r="F204">
        <v>1</v>
      </c>
      <c r="G204" s="10">
        <v>1</v>
      </c>
      <c r="H204" t="s">
        <v>46</v>
      </c>
      <c r="I204" t="s">
        <v>733</v>
      </c>
      <c r="J204" t="s">
        <v>734</v>
      </c>
      <c r="K204" s="11" t="s">
        <v>733</v>
      </c>
    </row>
    <row r="205" spans="1:11">
      <c r="A205" t="s">
        <v>735</v>
      </c>
      <c r="B205" s="8">
        <v>8.1219999999999999</v>
      </c>
      <c r="C205" s="9">
        <v>3.4</v>
      </c>
      <c r="D205">
        <v>6</v>
      </c>
      <c r="E205">
        <v>6</v>
      </c>
      <c r="F205">
        <v>6</v>
      </c>
      <c r="G205" s="10">
        <v>1</v>
      </c>
      <c r="H205" t="s">
        <v>46</v>
      </c>
      <c r="I205" t="s">
        <v>736</v>
      </c>
      <c r="J205" t="s">
        <v>737</v>
      </c>
      <c r="K205" s="11" t="s">
        <v>738</v>
      </c>
    </row>
    <row r="206" spans="1:11">
      <c r="A206" t="s">
        <v>739</v>
      </c>
      <c r="B206" s="8">
        <v>7.1950000000000003</v>
      </c>
      <c r="C206" s="9">
        <v>49</v>
      </c>
      <c r="D206">
        <v>2</v>
      </c>
      <c r="E206">
        <v>2</v>
      </c>
      <c r="F206">
        <v>2</v>
      </c>
      <c r="G206" s="10">
        <v>1</v>
      </c>
      <c r="H206" t="s">
        <v>46</v>
      </c>
      <c r="I206" t="s">
        <v>740</v>
      </c>
      <c r="J206" t="s">
        <v>741</v>
      </c>
      <c r="K206" s="11" t="s">
        <v>557</v>
      </c>
    </row>
    <row r="207" spans="1:11">
      <c r="A207" t="s">
        <v>742</v>
      </c>
      <c r="B207" s="8">
        <v>6.0860000000000003</v>
      </c>
      <c r="C207" s="9">
        <v>5.9</v>
      </c>
      <c r="D207">
        <v>5</v>
      </c>
      <c r="E207">
        <v>5</v>
      </c>
      <c r="F207">
        <v>5</v>
      </c>
      <c r="G207" s="10">
        <v>1</v>
      </c>
      <c r="H207" t="s">
        <v>46</v>
      </c>
      <c r="I207" t="s">
        <v>743</v>
      </c>
      <c r="J207" t="s">
        <v>744</v>
      </c>
      <c r="K207" s="11" t="s">
        <v>745</v>
      </c>
    </row>
    <row r="208" spans="1:11">
      <c r="A208" t="s">
        <v>746</v>
      </c>
      <c r="B208" s="8">
        <v>2.86</v>
      </c>
      <c r="C208" s="9">
        <v>13</v>
      </c>
      <c r="D208">
        <v>1</v>
      </c>
      <c r="E208">
        <v>1</v>
      </c>
      <c r="F208">
        <v>1</v>
      </c>
      <c r="G208" s="10">
        <v>1</v>
      </c>
      <c r="H208" t="s">
        <v>46</v>
      </c>
      <c r="I208" t="s">
        <v>747</v>
      </c>
      <c r="J208" t="s">
        <v>748</v>
      </c>
      <c r="K208" s="11" t="s">
        <v>747</v>
      </c>
    </row>
    <row r="209" spans="1:11">
      <c r="A209" t="s">
        <v>749</v>
      </c>
      <c r="B209" s="8">
        <v>2.6629999999999998</v>
      </c>
      <c r="C209" s="9">
        <v>2.9</v>
      </c>
      <c r="D209">
        <v>2</v>
      </c>
      <c r="E209">
        <v>2</v>
      </c>
      <c r="F209">
        <v>2</v>
      </c>
      <c r="G209" s="10">
        <v>1</v>
      </c>
      <c r="H209" t="s">
        <v>46</v>
      </c>
      <c r="I209" t="s">
        <v>750</v>
      </c>
      <c r="J209" t="s">
        <v>751</v>
      </c>
      <c r="K209" s="11" t="s">
        <v>229</v>
      </c>
    </row>
    <row r="210" spans="1:11">
      <c r="A210" t="s">
        <v>752</v>
      </c>
      <c r="B210" s="8">
        <v>2.6269999999999998</v>
      </c>
      <c r="C210" s="9">
        <v>1.4</v>
      </c>
      <c r="D210">
        <v>3</v>
      </c>
      <c r="E210">
        <v>2</v>
      </c>
      <c r="F210">
        <v>2</v>
      </c>
      <c r="G210" s="10">
        <v>0.66666666666666663</v>
      </c>
      <c r="H210" t="s">
        <v>46</v>
      </c>
      <c r="I210" t="s">
        <v>750</v>
      </c>
      <c r="J210" t="s">
        <v>751</v>
      </c>
      <c r="K210" s="11" t="s">
        <v>229</v>
      </c>
    </row>
    <row r="211" spans="1:11">
      <c r="A211" t="s">
        <v>753</v>
      </c>
      <c r="B211" s="8">
        <v>8.125</v>
      </c>
      <c r="C211" s="9">
        <v>6</v>
      </c>
      <c r="D211">
        <v>2</v>
      </c>
      <c r="E211">
        <v>2</v>
      </c>
      <c r="F211">
        <v>2</v>
      </c>
      <c r="G211" s="10">
        <v>1</v>
      </c>
      <c r="H211" t="s">
        <v>46</v>
      </c>
      <c r="I211" t="s">
        <v>754</v>
      </c>
      <c r="J211" t="s">
        <v>755</v>
      </c>
      <c r="K211" s="11" t="s">
        <v>756</v>
      </c>
    </row>
    <row r="212" spans="1:11">
      <c r="A212" t="s">
        <v>757</v>
      </c>
      <c r="B212" s="8">
        <v>4.6909999999999998</v>
      </c>
      <c r="C212" s="9">
        <v>4</v>
      </c>
      <c r="D212">
        <v>2</v>
      </c>
      <c r="E212">
        <v>2</v>
      </c>
      <c r="F212">
        <v>2</v>
      </c>
      <c r="G212" s="10">
        <v>1</v>
      </c>
      <c r="H212" t="s">
        <v>46</v>
      </c>
      <c r="I212" t="s">
        <v>758</v>
      </c>
      <c r="J212" t="s">
        <v>759</v>
      </c>
      <c r="K212" s="11" t="s">
        <v>760</v>
      </c>
    </row>
    <row r="213" spans="1:11">
      <c r="A213" t="s">
        <v>761</v>
      </c>
      <c r="B213" s="8">
        <v>7.8380000000000001</v>
      </c>
      <c r="C213" s="9">
        <v>26</v>
      </c>
      <c r="D213">
        <v>5</v>
      </c>
      <c r="E213">
        <v>5</v>
      </c>
      <c r="F213">
        <v>4</v>
      </c>
      <c r="G213" s="10">
        <v>0.8</v>
      </c>
      <c r="H213" t="s">
        <v>46</v>
      </c>
      <c r="I213" t="s">
        <v>762</v>
      </c>
      <c r="J213" t="s">
        <v>763</v>
      </c>
      <c r="K213" s="11" t="s">
        <v>764</v>
      </c>
    </row>
    <row r="214" spans="1:11">
      <c r="A214" t="s">
        <v>765</v>
      </c>
      <c r="B214" s="8">
        <v>12.252000000000001</v>
      </c>
      <c r="C214" s="9">
        <v>4.8</v>
      </c>
      <c r="D214">
        <v>10</v>
      </c>
      <c r="E214">
        <v>10</v>
      </c>
      <c r="F214">
        <v>8</v>
      </c>
      <c r="G214" s="10">
        <v>0.8</v>
      </c>
      <c r="H214" t="s">
        <v>46</v>
      </c>
      <c r="I214" t="s">
        <v>766</v>
      </c>
      <c r="J214" t="s">
        <v>767</v>
      </c>
      <c r="K214" s="11" t="s">
        <v>768</v>
      </c>
    </row>
    <row r="215" spans="1:11">
      <c r="A215" t="s">
        <v>769</v>
      </c>
      <c r="B215" s="8">
        <v>5.7430000000000003</v>
      </c>
      <c r="C215" s="9">
        <v>3.6</v>
      </c>
      <c r="D215">
        <v>4</v>
      </c>
      <c r="E215">
        <v>4</v>
      </c>
      <c r="F215">
        <v>3</v>
      </c>
      <c r="G215" s="10">
        <v>0.75</v>
      </c>
      <c r="H215" t="s">
        <v>46</v>
      </c>
      <c r="I215" t="s">
        <v>770</v>
      </c>
      <c r="J215" t="s">
        <v>771</v>
      </c>
      <c r="K215" s="11" t="s">
        <v>772</v>
      </c>
    </row>
    <row r="216" spans="1:11">
      <c r="A216" t="s">
        <v>773</v>
      </c>
      <c r="B216" s="8">
        <v>2.4289999999999998</v>
      </c>
      <c r="C216" s="9">
        <v>1.8</v>
      </c>
      <c r="D216">
        <v>1</v>
      </c>
      <c r="E216">
        <v>1</v>
      </c>
      <c r="F216">
        <v>1</v>
      </c>
      <c r="G216" s="10">
        <v>1</v>
      </c>
      <c r="H216" t="s">
        <v>46</v>
      </c>
      <c r="I216" t="s">
        <v>774</v>
      </c>
      <c r="J216" t="s">
        <v>775</v>
      </c>
      <c r="K216" s="11" t="s">
        <v>774</v>
      </c>
    </row>
    <row r="217" spans="1:11">
      <c r="A217" t="s">
        <v>776</v>
      </c>
      <c r="B217" s="8">
        <v>4.1349999999999998</v>
      </c>
      <c r="C217" s="9">
        <v>16</v>
      </c>
      <c r="D217">
        <v>3</v>
      </c>
      <c r="E217">
        <v>3</v>
      </c>
      <c r="F217">
        <v>2</v>
      </c>
      <c r="G217" s="10">
        <v>0.66666666666666663</v>
      </c>
      <c r="H217" t="s">
        <v>46</v>
      </c>
      <c r="I217" t="s">
        <v>777</v>
      </c>
      <c r="J217" t="s">
        <v>778</v>
      </c>
      <c r="K217" s="11" t="s">
        <v>779</v>
      </c>
    </row>
    <row r="218" spans="1:11">
      <c r="A218" t="s">
        <v>780</v>
      </c>
      <c r="B218" s="8">
        <v>5.55</v>
      </c>
      <c r="C218" s="9">
        <v>3.9</v>
      </c>
      <c r="D218">
        <v>3</v>
      </c>
      <c r="E218">
        <v>2</v>
      </c>
      <c r="F218">
        <v>3</v>
      </c>
      <c r="G218" s="10">
        <v>1</v>
      </c>
      <c r="H218" t="s">
        <v>46</v>
      </c>
      <c r="I218" t="s">
        <v>781</v>
      </c>
      <c r="J218" t="s">
        <v>782</v>
      </c>
      <c r="K218" s="11" t="s">
        <v>699</v>
      </c>
    </row>
    <row r="219" spans="1:11">
      <c r="A219" t="s">
        <v>783</v>
      </c>
      <c r="B219" s="8">
        <v>2.714</v>
      </c>
      <c r="C219" s="9">
        <v>2.6</v>
      </c>
      <c r="D219">
        <v>3</v>
      </c>
      <c r="E219">
        <v>3</v>
      </c>
      <c r="F219">
        <v>3</v>
      </c>
      <c r="G219" s="10">
        <v>1</v>
      </c>
      <c r="H219" t="s">
        <v>46</v>
      </c>
      <c r="I219" t="s">
        <v>784</v>
      </c>
      <c r="J219" t="s">
        <v>782</v>
      </c>
      <c r="K219" s="11" t="s">
        <v>784</v>
      </c>
    </row>
    <row r="220" spans="1:11">
      <c r="A220" t="s">
        <v>785</v>
      </c>
      <c r="B220" s="8">
        <v>8.8729999999999993</v>
      </c>
      <c r="C220" s="9">
        <v>11</v>
      </c>
      <c r="D220">
        <v>1</v>
      </c>
      <c r="E220">
        <v>1</v>
      </c>
      <c r="F220">
        <v>1</v>
      </c>
      <c r="G220" s="10">
        <v>1</v>
      </c>
      <c r="H220" t="s">
        <v>46</v>
      </c>
      <c r="I220" t="s">
        <v>374</v>
      </c>
      <c r="J220" t="s">
        <v>782</v>
      </c>
      <c r="K220" s="11" t="s">
        <v>374</v>
      </c>
    </row>
    <row r="221" spans="1:11">
      <c r="A221" t="s">
        <v>786</v>
      </c>
      <c r="B221" s="8">
        <v>3.282</v>
      </c>
      <c r="C221" s="9">
        <v>2.1</v>
      </c>
      <c r="D221">
        <v>1</v>
      </c>
      <c r="E221">
        <v>1</v>
      </c>
      <c r="F221">
        <v>1</v>
      </c>
      <c r="G221" s="10">
        <v>1</v>
      </c>
      <c r="H221" t="s">
        <v>46</v>
      </c>
      <c r="I221" t="s">
        <v>374</v>
      </c>
      <c r="J221" t="s">
        <v>782</v>
      </c>
      <c r="K221" s="11" t="s">
        <v>374</v>
      </c>
    </row>
    <row r="222" spans="1:11">
      <c r="A222" t="s">
        <v>787</v>
      </c>
      <c r="B222" s="8">
        <v>5.1929999999999996</v>
      </c>
      <c r="C222" s="9">
        <v>3.5</v>
      </c>
      <c r="D222">
        <v>3</v>
      </c>
      <c r="E222">
        <v>3</v>
      </c>
      <c r="F222">
        <v>3</v>
      </c>
      <c r="G222" s="10">
        <v>1</v>
      </c>
      <c r="H222" t="s">
        <v>46</v>
      </c>
      <c r="I222" t="s">
        <v>788</v>
      </c>
      <c r="J222" t="s">
        <v>789</v>
      </c>
      <c r="K222" s="11" t="s">
        <v>790</v>
      </c>
    </row>
    <row r="223" spans="1:11">
      <c r="A223" t="s">
        <v>791</v>
      </c>
      <c r="B223" s="8">
        <v>31.052</v>
      </c>
      <c r="C223" s="9">
        <v>7.7</v>
      </c>
      <c r="D223">
        <v>25</v>
      </c>
      <c r="E223">
        <v>20</v>
      </c>
      <c r="F223">
        <v>20</v>
      </c>
      <c r="G223" s="10">
        <v>0.8</v>
      </c>
      <c r="H223" t="s">
        <v>46</v>
      </c>
      <c r="I223" t="s">
        <v>792</v>
      </c>
      <c r="J223" t="s">
        <v>793</v>
      </c>
      <c r="K223" s="11" t="s">
        <v>794</v>
      </c>
    </row>
    <row r="224" spans="1:11">
      <c r="A224" t="s">
        <v>795</v>
      </c>
      <c r="B224" s="8">
        <v>7.8390000000000004</v>
      </c>
      <c r="C224" s="9">
        <v>11</v>
      </c>
      <c r="D224">
        <v>3</v>
      </c>
      <c r="E224">
        <v>2</v>
      </c>
      <c r="F224">
        <v>1</v>
      </c>
      <c r="G224" s="10">
        <v>0.33333333333333331</v>
      </c>
      <c r="H224" t="s">
        <v>46</v>
      </c>
      <c r="I224" t="s">
        <v>796</v>
      </c>
      <c r="J224" t="s">
        <v>797</v>
      </c>
      <c r="K224" s="11" t="s">
        <v>374</v>
      </c>
    </row>
    <row r="225" spans="1:11">
      <c r="A225" t="s">
        <v>798</v>
      </c>
      <c r="B225" s="8">
        <v>6.1109999999999998</v>
      </c>
      <c r="C225" s="9">
        <v>11</v>
      </c>
      <c r="D225">
        <v>3</v>
      </c>
      <c r="E225">
        <v>3</v>
      </c>
      <c r="F225">
        <v>3</v>
      </c>
      <c r="G225" s="10">
        <v>1</v>
      </c>
      <c r="H225" t="s">
        <v>46</v>
      </c>
      <c r="I225" t="s">
        <v>799</v>
      </c>
      <c r="J225" t="s">
        <v>800</v>
      </c>
      <c r="K225" s="11" t="s">
        <v>790</v>
      </c>
    </row>
    <row r="226" spans="1:11">
      <c r="A226" t="s">
        <v>801</v>
      </c>
      <c r="B226" s="8">
        <v>5.226</v>
      </c>
      <c r="C226" s="9">
        <v>8.3000000000000007</v>
      </c>
      <c r="D226">
        <v>2</v>
      </c>
      <c r="E226">
        <v>2</v>
      </c>
      <c r="F226">
        <v>2</v>
      </c>
      <c r="G226" s="10">
        <v>1</v>
      </c>
      <c r="H226" t="s">
        <v>46</v>
      </c>
      <c r="I226" t="s">
        <v>802</v>
      </c>
      <c r="J226" t="s">
        <v>803</v>
      </c>
      <c r="K226" s="11" t="s">
        <v>374</v>
      </c>
    </row>
    <row r="227" spans="1:11">
      <c r="A227" t="s">
        <v>804</v>
      </c>
      <c r="B227" s="8">
        <v>23.233000000000001</v>
      </c>
      <c r="C227" s="9">
        <v>14</v>
      </c>
      <c r="D227">
        <v>19</v>
      </c>
      <c r="E227">
        <v>14</v>
      </c>
      <c r="F227">
        <v>15</v>
      </c>
      <c r="G227" s="10">
        <v>0.78947368421052633</v>
      </c>
      <c r="H227" t="s">
        <v>46</v>
      </c>
      <c r="I227" t="s">
        <v>805</v>
      </c>
      <c r="J227" t="s">
        <v>806</v>
      </c>
      <c r="K227" s="11" t="s">
        <v>807</v>
      </c>
    </row>
    <row r="228" spans="1:11">
      <c r="A228" t="s">
        <v>808</v>
      </c>
      <c r="B228" s="8">
        <v>3.7829999999999999</v>
      </c>
      <c r="C228" s="9">
        <v>14</v>
      </c>
      <c r="D228">
        <v>2</v>
      </c>
      <c r="E228">
        <v>2</v>
      </c>
      <c r="F228">
        <v>1</v>
      </c>
      <c r="G228" s="10">
        <v>0.5</v>
      </c>
      <c r="H228" t="s">
        <v>46</v>
      </c>
      <c r="I228" t="s">
        <v>809</v>
      </c>
      <c r="J228" t="s">
        <v>810</v>
      </c>
      <c r="K228" s="11" t="s">
        <v>374</v>
      </c>
    </row>
    <row r="229" spans="1:11">
      <c r="A229" t="s">
        <v>811</v>
      </c>
      <c r="B229" s="8">
        <v>4.5590000000000002</v>
      </c>
      <c r="C229" s="9">
        <v>1.9</v>
      </c>
      <c r="D229">
        <v>2</v>
      </c>
      <c r="E229">
        <v>2</v>
      </c>
      <c r="F229">
        <v>1</v>
      </c>
      <c r="G229" s="10">
        <v>0.5</v>
      </c>
      <c r="H229" t="s">
        <v>46</v>
      </c>
      <c r="I229" t="s">
        <v>812</v>
      </c>
      <c r="J229" t="s">
        <v>813</v>
      </c>
      <c r="K229" s="11" t="s">
        <v>374</v>
      </c>
    </row>
    <row r="230" spans="1:11">
      <c r="A230" t="s">
        <v>814</v>
      </c>
      <c r="B230" s="8">
        <v>8.0370000000000008</v>
      </c>
      <c r="C230" s="9">
        <v>4.7</v>
      </c>
      <c r="D230">
        <v>3</v>
      </c>
      <c r="E230">
        <v>3</v>
      </c>
      <c r="F230">
        <v>2</v>
      </c>
      <c r="G230" s="10">
        <v>0.66666666666666663</v>
      </c>
      <c r="H230" t="s">
        <v>46</v>
      </c>
      <c r="I230" t="s">
        <v>815</v>
      </c>
      <c r="J230" t="s">
        <v>816</v>
      </c>
      <c r="K230" s="11" t="s">
        <v>817</v>
      </c>
    </row>
    <row r="231" spans="1:11">
      <c r="A231" t="s">
        <v>818</v>
      </c>
      <c r="B231" s="8">
        <v>3.0590000000000002</v>
      </c>
      <c r="C231" s="9">
        <v>2</v>
      </c>
      <c r="D231">
        <v>2</v>
      </c>
      <c r="E231">
        <v>2</v>
      </c>
      <c r="F231">
        <v>2</v>
      </c>
      <c r="G231" s="10">
        <v>1</v>
      </c>
      <c r="H231" t="s">
        <v>46</v>
      </c>
      <c r="I231" t="s">
        <v>819</v>
      </c>
      <c r="J231" t="s">
        <v>820</v>
      </c>
      <c r="K231" s="11" t="s">
        <v>604</v>
      </c>
    </row>
    <row r="232" spans="1:11">
      <c r="A232" t="s">
        <v>821</v>
      </c>
      <c r="B232" s="8">
        <v>2.7370000000000001</v>
      </c>
      <c r="C232" s="9">
        <v>2</v>
      </c>
      <c r="D232">
        <v>2</v>
      </c>
      <c r="E232">
        <v>2</v>
      </c>
      <c r="F232">
        <v>2</v>
      </c>
      <c r="G232" s="10">
        <v>1</v>
      </c>
      <c r="H232" t="s">
        <v>46</v>
      </c>
      <c r="I232" t="s">
        <v>822</v>
      </c>
      <c r="J232" t="s">
        <v>823</v>
      </c>
      <c r="K232" s="11" t="s">
        <v>824</v>
      </c>
    </row>
    <row r="233" spans="1:11">
      <c r="A233" t="s">
        <v>825</v>
      </c>
      <c r="B233" s="8">
        <v>9.7200000000000006</v>
      </c>
      <c r="C233" s="9">
        <v>31</v>
      </c>
      <c r="D233">
        <v>8</v>
      </c>
      <c r="E233">
        <v>4</v>
      </c>
      <c r="F233">
        <v>2</v>
      </c>
      <c r="G233" s="10">
        <v>0.25</v>
      </c>
      <c r="H233" t="s">
        <v>46</v>
      </c>
      <c r="I233" t="s">
        <v>826</v>
      </c>
      <c r="J233" t="s">
        <v>827</v>
      </c>
      <c r="K233" s="11" t="s">
        <v>828</v>
      </c>
    </row>
    <row r="234" spans="1:11">
      <c r="A234" t="s">
        <v>829</v>
      </c>
      <c r="B234" s="8">
        <v>9.2899999999999991</v>
      </c>
      <c r="C234" s="9">
        <v>4.4000000000000004</v>
      </c>
      <c r="D234">
        <v>10</v>
      </c>
      <c r="E234">
        <v>4</v>
      </c>
      <c r="F234">
        <v>6</v>
      </c>
      <c r="G234" s="10">
        <v>0.6</v>
      </c>
      <c r="H234" t="s">
        <v>46</v>
      </c>
      <c r="I234" t="s">
        <v>830</v>
      </c>
      <c r="J234" t="s">
        <v>831</v>
      </c>
      <c r="K234" s="11" t="s">
        <v>828</v>
      </c>
    </row>
    <row r="235" spans="1:11">
      <c r="A235" t="s">
        <v>832</v>
      </c>
      <c r="B235" s="8">
        <v>7.0629999999999997</v>
      </c>
      <c r="C235" s="9">
        <v>16</v>
      </c>
      <c r="D235">
        <v>5</v>
      </c>
      <c r="E235">
        <v>5</v>
      </c>
      <c r="F235">
        <v>5</v>
      </c>
      <c r="G235" s="10">
        <v>1</v>
      </c>
      <c r="H235" t="s">
        <v>46</v>
      </c>
      <c r="I235" t="s">
        <v>833</v>
      </c>
      <c r="J235" t="s">
        <v>834</v>
      </c>
      <c r="K235" s="11" t="s">
        <v>835</v>
      </c>
    </row>
    <row r="236" spans="1:11">
      <c r="A236" t="s">
        <v>836</v>
      </c>
      <c r="B236" s="8">
        <v>8.4390000000000001</v>
      </c>
      <c r="C236" s="9">
        <v>27</v>
      </c>
      <c r="D236">
        <v>1</v>
      </c>
      <c r="E236">
        <v>1</v>
      </c>
      <c r="F236">
        <v>1</v>
      </c>
      <c r="G236" s="10">
        <v>1</v>
      </c>
      <c r="H236" t="s">
        <v>46</v>
      </c>
      <c r="I236" t="s">
        <v>837</v>
      </c>
      <c r="J236" t="s">
        <v>838</v>
      </c>
      <c r="K236" s="11" t="s">
        <v>837</v>
      </c>
    </row>
    <row r="237" spans="1:11">
      <c r="A237" t="s">
        <v>839</v>
      </c>
      <c r="B237" s="8">
        <v>3.3330000000000002</v>
      </c>
      <c r="C237" s="9">
        <v>28</v>
      </c>
      <c r="D237">
        <v>2</v>
      </c>
      <c r="E237">
        <v>2</v>
      </c>
      <c r="F237">
        <v>2</v>
      </c>
      <c r="G237" s="10">
        <v>1</v>
      </c>
      <c r="H237" t="s">
        <v>46</v>
      </c>
      <c r="I237" t="s">
        <v>840</v>
      </c>
      <c r="J237" t="s">
        <v>841</v>
      </c>
      <c r="K237" s="11" t="s">
        <v>842</v>
      </c>
    </row>
    <row r="238" spans="1:11">
      <c r="A238" t="s">
        <v>843</v>
      </c>
      <c r="B238" s="8">
        <v>14.055</v>
      </c>
      <c r="C238" s="9">
        <v>4.5</v>
      </c>
      <c r="D238">
        <v>12</v>
      </c>
      <c r="E238">
        <v>11</v>
      </c>
      <c r="F238">
        <v>11</v>
      </c>
      <c r="G238" s="10">
        <v>0.91666666666666663</v>
      </c>
      <c r="H238" t="s">
        <v>46</v>
      </c>
      <c r="I238" t="s">
        <v>844</v>
      </c>
      <c r="J238" t="s">
        <v>845</v>
      </c>
      <c r="K238" s="11" t="s">
        <v>846</v>
      </c>
    </row>
    <row r="239" spans="1:11">
      <c r="A239" t="s">
        <v>847</v>
      </c>
      <c r="B239" s="8">
        <v>3.3149999999999999</v>
      </c>
      <c r="C239" s="9">
        <v>6.8</v>
      </c>
      <c r="D239">
        <v>3</v>
      </c>
      <c r="E239">
        <v>3</v>
      </c>
      <c r="F239">
        <v>2</v>
      </c>
      <c r="G239" s="10">
        <v>0.66666666666666663</v>
      </c>
      <c r="H239" t="s">
        <v>46</v>
      </c>
      <c r="I239" t="s">
        <v>848</v>
      </c>
      <c r="J239" t="s">
        <v>849</v>
      </c>
      <c r="K239" s="11" t="s">
        <v>850</v>
      </c>
    </row>
    <row r="240" spans="1:11">
      <c r="A240" t="s">
        <v>851</v>
      </c>
      <c r="B240" s="8">
        <v>7.032</v>
      </c>
      <c r="C240" s="9">
        <v>3.4</v>
      </c>
      <c r="D240">
        <v>5</v>
      </c>
      <c r="E240">
        <v>5</v>
      </c>
      <c r="F240">
        <v>2</v>
      </c>
      <c r="G240" s="10">
        <v>0.4</v>
      </c>
      <c r="H240" t="s">
        <v>46</v>
      </c>
      <c r="I240" t="s">
        <v>852</v>
      </c>
      <c r="J240" t="s">
        <v>853</v>
      </c>
      <c r="K240" s="11" t="s">
        <v>854</v>
      </c>
    </row>
    <row r="241" spans="1:11">
      <c r="A241" t="s">
        <v>855</v>
      </c>
      <c r="B241" s="8">
        <v>4.9480000000000004</v>
      </c>
      <c r="C241" s="9">
        <v>5.0999999999999996</v>
      </c>
      <c r="D241">
        <v>4</v>
      </c>
      <c r="E241">
        <v>4</v>
      </c>
      <c r="F241">
        <v>4</v>
      </c>
      <c r="G241" s="10">
        <v>1</v>
      </c>
      <c r="H241" t="s">
        <v>46</v>
      </c>
      <c r="I241" t="s">
        <v>856</v>
      </c>
      <c r="J241" t="s">
        <v>857</v>
      </c>
      <c r="K241" s="11" t="s">
        <v>858</v>
      </c>
    </row>
    <row r="242" spans="1:11">
      <c r="A242" t="s">
        <v>859</v>
      </c>
      <c r="B242" s="8">
        <v>4.1050000000000004</v>
      </c>
      <c r="C242" s="9">
        <v>34</v>
      </c>
      <c r="D242">
        <v>3</v>
      </c>
      <c r="E242">
        <v>2</v>
      </c>
      <c r="F242">
        <v>1</v>
      </c>
      <c r="G242" s="10">
        <v>0.33333333333333331</v>
      </c>
      <c r="H242" t="s">
        <v>46</v>
      </c>
      <c r="I242" t="s">
        <v>860</v>
      </c>
      <c r="J242" t="s">
        <v>861</v>
      </c>
      <c r="K242" s="11" t="s">
        <v>860</v>
      </c>
    </row>
    <row r="243" spans="1:11">
      <c r="A243" t="s">
        <v>862</v>
      </c>
      <c r="B243" s="8">
        <v>5.2009999999999996</v>
      </c>
      <c r="C243" s="9">
        <v>8.5</v>
      </c>
      <c r="D243">
        <v>3</v>
      </c>
      <c r="E243">
        <v>3</v>
      </c>
      <c r="F243">
        <v>3</v>
      </c>
      <c r="G243" s="10">
        <v>1</v>
      </c>
      <c r="H243" t="s">
        <v>46</v>
      </c>
      <c r="I243" t="s">
        <v>863</v>
      </c>
      <c r="J243" t="s">
        <v>864</v>
      </c>
      <c r="K243" s="11" t="s">
        <v>865</v>
      </c>
    </row>
    <row r="244" spans="1:11">
      <c r="A244" t="s">
        <v>866</v>
      </c>
      <c r="B244" s="8">
        <v>3.26</v>
      </c>
      <c r="C244" s="9">
        <v>10</v>
      </c>
      <c r="D244">
        <v>2</v>
      </c>
      <c r="E244">
        <v>2</v>
      </c>
      <c r="F244">
        <v>2</v>
      </c>
      <c r="G244" s="10">
        <v>1</v>
      </c>
      <c r="H244" t="s">
        <v>46</v>
      </c>
      <c r="I244" t="s">
        <v>867</v>
      </c>
      <c r="J244" t="s">
        <v>864</v>
      </c>
      <c r="K244" s="11" t="s">
        <v>867</v>
      </c>
    </row>
    <row r="245" spans="1:11">
      <c r="A245" t="s">
        <v>868</v>
      </c>
      <c r="B245" s="8">
        <v>3.1549999999999998</v>
      </c>
      <c r="C245" s="9">
        <v>1.9</v>
      </c>
      <c r="D245">
        <v>1</v>
      </c>
      <c r="E245">
        <v>1</v>
      </c>
      <c r="F245">
        <v>1</v>
      </c>
      <c r="G245" s="10">
        <v>1</v>
      </c>
      <c r="H245" t="s">
        <v>46</v>
      </c>
      <c r="I245" t="s">
        <v>869</v>
      </c>
      <c r="J245" t="s">
        <v>864</v>
      </c>
      <c r="K245" s="11" t="s">
        <v>869</v>
      </c>
    </row>
    <row r="246" spans="1:11">
      <c r="A246" t="s">
        <v>870</v>
      </c>
      <c r="B246" s="8">
        <v>3.2320000000000002</v>
      </c>
      <c r="C246" s="9">
        <v>3.4</v>
      </c>
      <c r="D246">
        <v>2</v>
      </c>
      <c r="E246">
        <v>1</v>
      </c>
      <c r="F246">
        <v>1</v>
      </c>
      <c r="G246" s="10">
        <v>0.5</v>
      </c>
      <c r="H246" t="s">
        <v>46</v>
      </c>
      <c r="I246" t="s">
        <v>869</v>
      </c>
      <c r="J246" t="s">
        <v>864</v>
      </c>
      <c r="K246" s="11" t="s">
        <v>869</v>
      </c>
    </row>
    <row r="247" spans="1:11">
      <c r="A247" t="s">
        <v>871</v>
      </c>
      <c r="B247" s="8">
        <v>8.7530000000000001</v>
      </c>
      <c r="C247" s="9">
        <v>4.4000000000000004</v>
      </c>
      <c r="D247">
        <v>8</v>
      </c>
      <c r="E247">
        <v>8</v>
      </c>
      <c r="F247">
        <v>8</v>
      </c>
      <c r="G247" s="10">
        <v>1</v>
      </c>
      <c r="H247" t="s">
        <v>46</v>
      </c>
      <c r="I247" t="s">
        <v>872</v>
      </c>
      <c r="J247" t="s">
        <v>873</v>
      </c>
      <c r="K247" s="11" t="s">
        <v>874</v>
      </c>
    </row>
    <row r="248" spans="1:11">
      <c r="A248" t="s">
        <v>875</v>
      </c>
      <c r="B248" s="8">
        <v>16.343</v>
      </c>
      <c r="C248" s="9">
        <v>37</v>
      </c>
      <c r="D248">
        <v>14</v>
      </c>
      <c r="E248">
        <v>14</v>
      </c>
      <c r="F248">
        <v>13</v>
      </c>
      <c r="G248" s="10">
        <v>0.9285714285714286</v>
      </c>
      <c r="H248" t="s">
        <v>46</v>
      </c>
      <c r="I248" t="s">
        <v>876</v>
      </c>
      <c r="J248" t="s">
        <v>877</v>
      </c>
      <c r="K248" s="11" t="s">
        <v>878</v>
      </c>
    </row>
    <row r="249" spans="1:11">
      <c r="A249" t="s">
        <v>879</v>
      </c>
      <c r="B249" s="8">
        <v>2.556</v>
      </c>
      <c r="C249" s="9">
        <v>2.6</v>
      </c>
      <c r="D249">
        <v>2</v>
      </c>
      <c r="E249">
        <v>2</v>
      </c>
      <c r="F249">
        <v>2</v>
      </c>
      <c r="G249" s="10">
        <v>1</v>
      </c>
      <c r="H249" t="s">
        <v>46</v>
      </c>
      <c r="I249" t="s">
        <v>880</v>
      </c>
      <c r="J249" t="s">
        <v>881</v>
      </c>
      <c r="K249" s="11" t="s">
        <v>882</v>
      </c>
    </row>
    <row r="250" spans="1:11">
      <c r="A250" t="s">
        <v>883</v>
      </c>
      <c r="B250" s="8">
        <v>5.0170000000000003</v>
      </c>
      <c r="C250" s="9">
        <v>49</v>
      </c>
      <c r="D250">
        <v>4</v>
      </c>
      <c r="E250">
        <v>3</v>
      </c>
      <c r="F250">
        <v>4</v>
      </c>
      <c r="G250" s="10">
        <v>1</v>
      </c>
      <c r="H250" t="s">
        <v>46</v>
      </c>
      <c r="I250" t="s">
        <v>884</v>
      </c>
      <c r="J250" t="s">
        <v>885</v>
      </c>
      <c r="K250" s="11" t="s">
        <v>884</v>
      </c>
    </row>
    <row r="251" spans="1:11">
      <c r="A251" t="s">
        <v>886</v>
      </c>
      <c r="B251" s="8">
        <v>2.5579999999999998</v>
      </c>
      <c r="C251" s="9">
        <v>49</v>
      </c>
      <c r="D251">
        <v>2</v>
      </c>
      <c r="E251">
        <v>2</v>
      </c>
      <c r="F251">
        <v>2</v>
      </c>
      <c r="G251" s="10">
        <v>1</v>
      </c>
      <c r="H251" t="s">
        <v>46</v>
      </c>
      <c r="I251" t="s">
        <v>887</v>
      </c>
      <c r="J251" t="s">
        <v>888</v>
      </c>
      <c r="K251" s="11" t="s">
        <v>889</v>
      </c>
    </row>
    <row r="252" spans="1:11">
      <c r="A252" t="s">
        <v>890</v>
      </c>
      <c r="B252" s="8">
        <v>2.7909999999999999</v>
      </c>
      <c r="C252" s="9">
        <v>1.7</v>
      </c>
      <c r="D252">
        <v>2</v>
      </c>
      <c r="E252">
        <v>2</v>
      </c>
      <c r="F252">
        <v>1</v>
      </c>
      <c r="G252" s="10">
        <v>0.5</v>
      </c>
      <c r="H252" t="s">
        <v>46</v>
      </c>
      <c r="I252" t="s">
        <v>891</v>
      </c>
      <c r="J252" t="s">
        <v>892</v>
      </c>
      <c r="K252" s="11" t="s">
        <v>893</v>
      </c>
    </row>
    <row r="253" spans="1:11">
      <c r="A253" t="s">
        <v>894</v>
      </c>
      <c r="B253" s="8">
        <v>4.7610000000000001</v>
      </c>
      <c r="C253" s="9">
        <v>6.3</v>
      </c>
      <c r="D253">
        <v>6</v>
      </c>
      <c r="E253">
        <v>6</v>
      </c>
      <c r="F253">
        <v>6</v>
      </c>
      <c r="G253" s="10">
        <v>1</v>
      </c>
      <c r="H253" t="s">
        <v>46</v>
      </c>
      <c r="I253" t="s">
        <v>895</v>
      </c>
      <c r="J253" t="s">
        <v>896</v>
      </c>
      <c r="K253" s="11" t="s">
        <v>897</v>
      </c>
    </row>
    <row r="254" spans="1:11">
      <c r="A254" t="s">
        <v>898</v>
      </c>
      <c r="B254" s="8">
        <v>10.772</v>
      </c>
      <c r="C254" s="9">
        <v>12</v>
      </c>
      <c r="D254">
        <v>4</v>
      </c>
      <c r="E254">
        <v>4</v>
      </c>
      <c r="F254">
        <v>4</v>
      </c>
      <c r="G254" s="10">
        <v>1</v>
      </c>
      <c r="H254" t="s">
        <v>46</v>
      </c>
      <c r="I254" t="s">
        <v>899</v>
      </c>
      <c r="J254" t="s">
        <v>900</v>
      </c>
      <c r="K254" s="11" t="s">
        <v>901</v>
      </c>
    </row>
    <row r="255" spans="1:11">
      <c r="A255" t="s">
        <v>902</v>
      </c>
      <c r="B255" s="8">
        <v>3.452</v>
      </c>
      <c r="C255" s="9">
        <v>52</v>
      </c>
      <c r="D255">
        <v>2</v>
      </c>
      <c r="E255">
        <v>2</v>
      </c>
      <c r="F255">
        <v>2</v>
      </c>
      <c r="G255" s="10">
        <v>1</v>
      </c>
      <c r="H255" t="s">
        <v>46</v>
      </c>
      <c r="I255" t="s">
        <v>903</v>
      </c>
      <c r="J255" t="s">
        <v>904</v>
      </c>
      <c r="K255" s="11" t="s">
        <v>905</v>
      </c>
    </row>
    <row r="256" spans="1:11">
      <c r="A256" t="s">
        <v>906</v>
      </c>
      <c r="B256" s="8">
        <v>5.97</v>
      </c>
      <c r="C256" s="9">
        <v>7.7</v>
      </c>
      <c r="D256">
        <v>2</v>
      </c>
      <c r="E256">
        <v>2</v>
      </c>
      <c r="F256">
        <v>2</v>
      </c>
      <c r="G256" s="10">
        <v>1</v>
      </c>
      <c r="H256" t="s">
        <v>46</v>
      </c>
      <c r="I256" t="s">
        <v>907</v>
      </c>
      <c r="J256" t="s">
        <v>908</v>
      </c>
      <c r="K256" s="11" t="s">
        <v>907</v>
      </c>
    </row>
    <row r="257" spans="1:11">
      <c r="A257" t="s">
        <v>909</v>
      </c>
      <c r="B257" s="8">
        <v>3.1549999999999998</v>
      </c>
      <c r="C257" s="9">
        <v>2</v>
      </c>
      <c r="D257">
        <v>1</v>
      </c>
      <c r="E257">
        <v>1</v>
      </c>
      <c r="F257">
        <v>1</v>
      </c>
      <c r="G257" s="10">
        <v>1</v>
      </c>
      <c r="H257" t="s">
        <v>46</v>
      </c>
      <c r="I257" t="s">
        <v>910</v>
      </c>
      <c r="J257" t="s">
        <v>911</v>
      </c>
      <c r="K257" s="11" t="s">
        <v>910</v>
      </c>
    </row>
    <row r="258" spans="1:11">
      <c r="A258" t="s">
        <v>912</v>
      </c>
      <c r="B258" s="8">
        <v>5.9390000000000001</v>
      </c>
      <c r="C258" s="9">
        <v>39</v>
      </c>
      <c r="D258">
        <v>2</v>
      </c>
      <c r="E258">
        <v>2</v>
      </c>
      <c r="F258">
        <v>2</v>
      </c>
      <c r="G258" s="10">
        <v>1</v>
      </c>
      <c r="H258" t="s">
        <v>46</v>
      </c>
      <c r="I258" t="s">
        <v>913</v>
      </c>
      <c r="J258" t="s">
        <v>914</v>
      </c>
      <c r="K258" s="11" t="s">
        <v>915</v>
      </c>
    </row>
    <row r="259" spans="1:11">
      <c r="A259" t="s">
        <v>916</v>
      </c>
      <c r="B259" s="8">
        <v>4.702</v>
      </c>
      <c r="C259" s="9">
        <v>48</v>
      </c>
      <c r="D259">
        <v>1</v>
      </c>
      <c r="E259">
        <v>1</v>
      </c>
      <c r="F259">
        <v>1</v>
      </c>
      <c r="G259" s="10">
        <v>1</v>
      </c>
      <c r="H259" t="s">
        <v>46</v>
      </c>
      <c r="I259" t="s">
        <v>917</v>
      </c>
      <c r="J259" t="s">
        <v>914</v>
      </c>
      <c r="K259" s="11" t="s">
        <v>917</v>
      </c>
    </row>
    <row r="260" spans="1:11">
      <c r="A260" t="s">
        <v>918</v>
      </c>
      <c r="B260" s="8">
        <v>5.3540000000000001</v>
      </c>
      <c r="C260" s="9">
        <v>28</v>
      </c>
      <c r="D260">
        <v>1</v>
      </c>
      <c r="E260">
        <v>1</v>
      </c>
      <c r="F260">
        <v>1</v>
      </c>
      <c r="G260" s="10">
        <v>1</v>
      </c>
      <c r="H260" t="s">
        <v>46</v>
      </c>
      <c r="I260" t="s">
        <v>917</v>
      </c>
      <c r="J260" t="s">
        <v>914</v>
      </c>
      <c r="K260" s="11" t="s">
        <v>917</v>
      </c>
    </row>
    <row r="261" spans="1:11">
      <c r="A261" t="s">
        <v>919</v>
      </c>
      <c r="B261" s="8">
        <v>3.081</v>
      </c>
      <c r="C261" s="9">
        <v>2.6</v>
      </c>
      <c r="D261">
        <v>1</v>
      </c>
      <c r="E261">
        <v>1</v>
      </c>
      <c r="F261">
        <v>1</v>
      </c>
      <c r="G261" s="10">
        <v>1</v>
      </c>
      <c r="H261" t="s">
        <v>46</v>
      </c>
      <c r="I261" t="s">
        <v>917</v>
      </c>
      <c r="J261" t="s">
        <v>914</v>
      </c>
      <c r="K261" s="11" t="s">
        <v>917</v>
      </c>
    </row>
    <row r="262" spans="1:11">
      <c r="A262" t="s">
        <v>920</v>
      </c>
      <c r="B262" s="8">
        <v>6.2539999999999996</v>
      </c>
      <c r="C262" s="9">
        <v>6</v>
      </c>
      <c r="D262">
        <v>3</v>
      </c>
      <c r="E262">
        <v>2</v>
      </c>
      <c r="F262">
        <v>2</v>
      </c>
      <c r="G262" s="10">
        <v>0.66666666666666663</v>
      </c>
      <c r="H262" t="s">
        <v>46</v>
      </c>
      <c r="I262" t="s">
        <v>921</v>
      </c>
      <c r="J262" t="s">
        <v>922</v>
      </c>
      <c r="K262" s="11" t="s">
        <v>923</v>
      </c>
    </row>
    <row r="263" spans="1:11">
      <c r="A263" t="s">
        <v>924</v>
      </c>
      <c r="B263" s="8">
        <v>3.7170000000000001</v>
      </c>
      <c r="C263" s="9">
        <v>1.4</v>
      </c>
      <c r="D263">
        <v>1</v>
      </c>
      <c r="E263">
        <v>1</v>
      </c>
      <c r="F263">
        <v>1</v>
      </c>
      <c r="G263" s="10">
        <v>1</v>
      </c>
      <c r="H263" t="s">
        <v>46</v>
      </c>
      <c r="I263" t="s">
        <v>925</v>
      </c>
      <c r="J263" t="s">
        <v>926</v>
      </c>
      <c r="K263" s="11" t="s">
        <v>925</v>
      </c>
    </row>
    <row r="264" spans="1:11">
      <c r="A264" t="s">
        <v>927</v>
      </c>
      <c r="B264" s="8">
        <v>3.0230000000000001</v>
      </c>
      <c r="C264" s="9">
        <v>51</v>
      </c>
      <c r="D264">
        <v>1</v>
      </c>
      <c r="E264">
        <v>1</v>
      </c>
      <c r="F264">
        <v>1</v>
      </c>
      <c r="G264" s="10">
        <v>1</v>
      </c>
      <c r="H264" t="s">
        <v>46</v>
      </c>
      <c r="I264" t="s">
        <v>928</v>
      </c>
      <c r="J264" t="s">
        <v>929</v>
      </c>
      <c r="K264" s="11" t="s">
        <v>928</v>
      </c>
    </row>
    <row r="265" spans="1:11">
      <c r="A265" t="s">
        <v>930</v>
      </c>
      <c r="B265" s="8">
        <v>4.1749999999999998</v>
      </c>
      <c r="C265" s="9">
        <v>1.8</v>
      </c>
      <c r="D265">
        <v>3</v>
      </c>
      <c r="E265">
        <v>3</v>
      </c>
      <c r="F265">
        <v>3</v>
      </c>
      <c r="G265" s="10">
        <v>1</v>
      </c>
      <c r="H265" t="s">
        <v>46</v>
      </c>
      <c r="I265" t="s">
        <v>931</v>
      </c>
      <c r="J265" t="s">
        <v>932</v>
      </c>
      <c r="K265" s="11" t="s">
        <v>931</v>
      </c>
    </row>
    <row r="266" spans="1:11">
      <c r="A266" t="s">
        <v>933</v>
      </c>
      <c r="B266" s="8">
        <v>19.588999999999999</v>
      </c>
      <c r="C266" s="9">
        <v>19</v>
      </c>
      <c r="D266">
        <v>19</v>
      </c>
      <c r="E266">
        <v>19</v>
      </c>
      <c r="F266">
        <v>15</v>
      </c>
      <c r="G266" s="10">
        <v>0.78947368421052633</v>
      </c>
      <c r="H266" t="s">
        <v>46</v>
      </c>
      <c r="I266" t="s">
        <v>934</v>
      </c>
      <c r="J266" t="s">
        <v>935</v>
      </c>
      <c r="K266" s="11" t="s">
        <v>936</v>
      </c>
    </row>
    <row r="267" spans="1:11">
      <c r="A267" t="s">
        <v>937</v>
      </c>
      <c r="B267" s="8">
        <v>28.155000000000001</v>
      </c>
      <c r="C267" s="9">
        <v>18</v>
      </c>
      <c r="D267">
        <v>17</v>
      </c>
      <c r="E267">
        <v>17</v>
      </c>
      <c r="F267">
        <v>17</v>
      </c>
      <c r="G267" s="10">
        <v>1</v>
      </c>
      <c r="H267" t="s">
        <v>46</v>
      </c>
      <c r="I267" t="s">
        <v>938</v>
      </c>
      <c r="J267" t="s">
        <v>939</v>
      </c>
      <c r="K267" s="11" t="s">
        <v>938</v>
      </c>
    </row>
    <row r="268" spans="1:11">
      <c r="A268" t="s">
        <v>940</v>
      </c>
      <c r="B268" s="8">
        <v>11.346</v>
      </c>
      <c r="C268" s="9">
        <v>31</v>
      </c>
      <c r="D268">
        <v>10</v>
      </c>
      <c r="E268">
        <v>10</v>
      </c>
      <c r="F268">
        <v>10</v>
      </c>
      <c r="G268" s="10">
        <v>1</v>
      </c>
      <c r="H268" t="s">
        <v>46</v>
      </c>
      <c r="I268" t="s">
        <v>941</v>
      </c>
      <c r="J268" t="s">
        <v>942</v>
      </c>
      <c r="K268" s="11" t="s">
        <v>943</v>
      </c>
    </row>
    <row r="269" spans="1:11">
      <c r="A269" t="s">
        <v>944</v>
      </c>
      <c r="B269" s="8">
        <v>4.9530000000000003</v>
      </c>
      <c r="C269" s="9">
        <v>41</v>
      </c>
      <c r="D269">
        <v>2</v>
      </c>
      <c r="E269">
        <v>2</v>
      </c>
      <c r="F269">
        <v>2</v>
      </c>
      <c r="G269" s="10">
        <v>1</v>
      </c>
      <c r="H269" t="s">
        <v>46</v>
      </c>
      <c r="I269" t="s">
        <v>945</v>
      </c>
      <c r="J269" t="s">
        <v>946</v>
      </c>
      <c r="K269" s="11" t="s">
        <v>947</v>
      </c>
    </row>
    <row r="270" spans="1:11">
      <c r="A270" t="s">
        <v>948</v>
      </c>
      <c r="B270" s="8">
        <v>2.5470000000000002</v>
      </c>
      <c r="C270" s="9">
        <v>2.7</v>
      </c>
      <c r="D270">
        <v>1</v>
      </c>
      <c r="E270">
        <v>1</v>
      </c>
      <c r="F270">
        <v>1</v>
      </c>
      <c r="G270" s="10">
        <v>1</v>
      </c>
      <c r="H270" t="s">
        <v>46</v>
      </c>
      <c r="I270" t="s">
        <v>949</v>
      </c>
      <c r="J270" t="s">
        <v>950</v>
      </c>
      <c r="K270" s="11" t="s">
        <v>949</v>
      </c>
    </row>
    <row r="271" spans="1:11">
      <c r="A271" t="s">
        <v>951</v>
      </c>
      <c r="B271" s="8">
        <v>6.9580000000000002</v>
      </c>
      <c r="C271" s="9">
        <v>48</v>
      </c>
      <c r="D271">
        <v>2</v>
      </c>
      <c r="E271">
        <v>2</v>
      </c>
      <c r="F271">
        <v>2</v>
      </c>
      <c r="G271" s="10">
        <v>1</v>
      </c>
      <c r="H271" t="s">
        <v>46</v>
      </c>
      <c r="I271" t="s">
        <v>952</v>
      </c>
      <c r="J271" t="s">
        <v>953</v>
      </c>
      <c r="K271" s="11" t="s">
        <v>952</v>
      </c>
    </row>
    <row r="272" spans="1:11">
      <c r="A272" t="s">
        <v>954</v>
      </c>
      <c r="B272" s="8">
        <v>3.9329999999999998</v>
      </c>
      <c r="C272" s="9">
        <v>10</v>
      </c>
      <c r="D272">
        <v>1</v>
      </c>
      <c r="E272">
        <v>1</v>
      </c>
      <c r="F272">
        <v>1</v>
      </c>
      <c r="G272" s="10">
        <v>1</v>
      </c>
      <c r="H272" t="s">
        <v>46</v>
      </c>
      <c r="I272" t="s">
        <v>955</v>
      </c>
      <c r="J272" t="s">
        <v>953</v>
      </c>
      <c r="K272" s="11" t="s">
        <v>955</v>
      </c>
    </row>
    <row r="273" spans="1:11">
      <c r="A273" t="s">
        <v>956</v>
      </c>
      <c r="B273" s="8">
        <v>7.9470000000000001</v>
      </c>
      <c r="C273" s="9">
        <v>17</v>
      </c>
      <c r="D273">
        <v>3</v>
      </c>
      <c r="E273">
        <v>3</v>
      </c>
      <c r="F273">
        <v>3</v>
      </c>
      <c r="G273" s="10">
        <v>1</v>
      </c>
      <c r="H273" t="s">
        <v>46</v>
      </c>
      <c r="I273" t="s">
        <v>957</v>
      </c>
      <c r="J273" t="s">
        <v>958</v>
      </c>
      <c r="K273" s="11" t="s">
        <v>959</v>
      </c>
    </row>
    <row r="274" spans="1:11">
      <c r="A274" t="s">
        <v>960</v>
      </c>
      <c r="B274" s="8">
        <v>2.7890000000000001</v>
      </c>
      <c r="C274" s="9">
        <v>56</v>
      </c>
      <c r="D274">
        <v>2</v>
      </c>
      <c r="E274">
        <v>2</v>
      </c>
      <c r="F274">
        <v>2</v>
      </c>
      <c r="G274" s="10">
        <v>1</v>
      </c>
      <c r="H274" t="s">
        <v>46</v>
      </c>
      <c r="I274" t="s">
        <v>961</v>
      </c>
      <c r="J274" t="s">
        <v>962</v>
      </c>
      <c r="K274" s="11" t="s">
        <v>963</v>
      </c>
    </row>
    <row r="275" spans="1:11">
      <c r="A275" t="s">
        <v>964</v>
      </c>
      <c r="B275" s="8">
        <v>7.7679999999999998</v>
      </c>
      <c r="C275" s="9">
        <v>10</v>
      </c>
      <c r="D275">
        <v>8</v>
      </c>
      <c r="E275">
        <v>8</v>
      </c>
      <c r="F275">
        <v>7</v>
      </c>
      <c r="G275" s="10">
        <v>0.875</v>
      </c>
      <c r="H275" t="s">
        <v>46</v>
      </c>
      <c r="I275" t="s">
        <v>965</v>
      </c>
      <c r="J275" t="s">
        <v>966</v>
      </c>
      <c r="K275" s="11" t="s">
        <v>967</v>
      </c>
    </row>
    <row r="276" spans="1:11">
      <c r="A276" t="s">
        <v>968</v>
      </c>
      <c r="B276" s="8">
        <v>3.6339999999999999</v>
      </c>
      <c r="C276" s="9">
        <v>12</v>
      </c>
      <c r="D276">
        <v>4</v>
      </c>
      <c r="E276">
        <v>4</v>
      </c>
      <c r="F276">
        <v>3</v>
      </c>
      <c r="G276" s="10">
        <v>0.75</v>
      </c>
      <c r="H276" t="s">
        <v>46</v>
      </c>
      <c r="I276" t="s">
        <v>969</v>
      </c>
      <c r="J276" t="s">
        <v>970</v>
      </c>
      <c r="K276" s="11" t="s">
        <v>971</v>
      </c>
    </row>
    <row r="277" spans="1:11">
      <c r="A277" t="s">
        <v>972</v>
      </c>
      <c r="B277" s="8">
        <v>4.8010000000000002</v>
      </c>
      <c r="C277" s="9">
        <v>2.4</v>
      </c>
      <c r="D277">
        <v>3</v>
      </c>
      <c r="E277">
        <v>3</v>
      </c>
      <c r="F277">
        <v>3</v>
      </c>
      <c r="G277" s="10">
        <v>1</v>
      </c>
      <c r="H277" t="s">
        <v>46</v>
      </c>
      <c r="I277" t="s">
        <v>973</v>
      </c>
      <c r="J277" t="s">
        <v>974</v>
      </c>
      <c r="K277" s="11" t="s">
        <v>975</v>
      </c>
    </row>
    <row r="278" spans="1:11">
      <c r="A278" t="s">
        <v>976</v>
      </c>
      <c r="B278" s="8">
        <v>6.46</v>
      </c>
      <c r="C278" s="9">
        <v>14</v>
      </c>
      <c r="D278">
        <v>6</v>
      </c>
      <c r="E278">
        <v>6</v>
      </c>
      <c r="F278">
        <v>4</v>
      </c>
      <c r="G278" s="10">
        <v>0.66666666666666663</v>
      </c>
      <c r="H278" t="s">
        <v>46</v>
      </c>
      <c r="I278" t="s">
        <v>977</v>
      </c>
      <c r="J278" t="s">
        <v>978</v>
      </c>
      <c r="K278" s="11" t="s">
        <v>979</v>
      </c>
    </row>
    <row r="279" spans="1:11">
      <c r="A279" t="s">
        <v>980</v>
      </c>
      <c r="B279" s="8">
        <v>7.2210000000000001</v>
      </c>
      <c r="C279" s="9">
        <v>2.7</v>
      </c>
      <c r="D279">
        <v>2</v>
      </c>
      <c r="E279">
        <v>2</v>
      </c>
      <c r="F279">
        <v>2</v>
      </c>
      <c r="G279" s="10">
        <v>1</v>
      </c>
      <c r="H279" t="s">
        <v>46</v>
      </c>
      <c r="I279" t="s">
        <v>981</v>
      </c>
      <c r="J279" t="s">
        <v>982</v>
      </c>
      <c r="K279" s="11" t="s">
        <v>983</v>
      </c>
    </row>
    <row r="280" spans="1:11">
      <c r="A280" t="s">
        <v>984</v>
      </c>
      <c r="B280" s="8">
        <v>8.1539999999999999</v>
      </c>
      <c r="C280" s="9">
        <v>24</v>
      </c>
      <c r="D280">
        <v>1</v>
      </c>
      <c r="E280">
        <v>1</v>
      </c>
      <c r="F280">
        <v>1</v>
      </c>
      <c r="G280" s="10">
        <v>1</v>
      </c>
      <c r="H280" t="s">
        <v>46</v>
      </c>
      <c r="I280" t="s">
        <v>985</v>
      </c>
      <c r="J280" t="s">
        <v>986</v>
      </c>
      <c r="K280" s="11" t="s">
        <v>985</v>
      </c>
    </row>
    <row r="281" spans="1:11">
      <c r="A281" t="s">
        <v>987</v>
      </c>
      <c r="B281" s="8">
        <v>3.2330000000000001</v>
      </c>
      <c r="C281" s="9">
        <v>11</v>
      </c>
      <c r="D281">
        <v>2</v>
      </c>
      <c r="E281">
        <v>1</v>
      </c>
      <c r="F281">
        <v>1</v>
      </c>
      <c r="G281" s="10">
        <v>0.5</v>
      </c>
      <c r="H281" t="s">
        <v>46</v>
      </c>
      <c r="I281" t="s">
        <v>985</v>
      </c>
      <c r="J281" t="s">
        <v>986</v>
      </c>
      <c r="K281" s="11" t="s">
        <v>985</v>
      </c>
    </row>
    <row r="282" spans="1:11">
      <c r="A282" t="s">
        <v>988</v>
      </c>
      <c r="B282" s="8">
        <v>6.2770000000000001</v>
      </c>
      <c r="C282" s="9">
        <v>10</v>
      </c>
      <c r="D282">
        <v>4</v>
      </c>
      <c r="E282">
        <v>4</v>
      </c>
      <c r="F282">
        <v>4</v>
      </c>
      <c r="G282" s="10">
        <v>1</v>
      </c>
      <c r="H282" t="s">
        <v>46</v>
      </c>
      <c r="I282" t="s">
        <v>989</v>
      </c>
      <c r="J282" t="s">
        <v>990</v>
      </c>
      <c r="K282" s="11" t="s">
        <v>991</v>
      </c>
    </row>
    <row r="283" spans="1:11">
      <c r="A283" t="s">
        <v>992</v>
      </c>
      <c r="B283" s="8">
        <v>5.8639999999999999</v>
      </c>
      <c r="C283" s="9">
        <v>9.9</v>
      </c>
      <c r="D283">
        <v>8</v>
      </c>
      <c r="E283">
        <v>7</v>
      </c>
      <c r="F283">
        <v>5</v>
      </c>
      <c r="G283" s="10">
        <v>0.625</v>
      </c>
      <c r="H283" t="s">
        <v>46</v>
      </c>
      <c r="I283" t="s">
        <v>993</v>
      </c>
      <c r="J283" t="s">
        <v>994</v>
      </c>
      <c r="K283" s="11" t="s">
        <v>995</v>
      </c>
    </row>
    <row r="284" spans="1:11">
      <c r="A284" t="s">
        <v>996</v>
      </c>
      <c r="B284" s="8">
        <v>6.3630000000000004</v>
      </c>
      <c r="C284" s="9">
        <v>21</v>
      </c>
      <c r="D284">
        <v>6</v>
      </c>
      <c r="E284">
        <v>6</v>
      </c>
      <c r="F284">
        <v>6</v>
      </c>
      <c r="G284" s="10">
        <v>1</v>
      </c>
      <c r="H284" t="s">
        <v>46</v>
      </c>
      <c r="I284" t="s">
        <v>997</v>
      </c>
      <c r="J284" t="s">
        <v>998</v>
      </c>
      <c r="K284" s="11" t="s">
        <v>999</v>
      </c>
    </row>
    <row r="285" spans="1:11">
      <c r="A285" t="s">
        <v>1000</v>
      </c>
      <c r="B285" s="8">
        <v>4.6120000000000001</v>
      </c>
      <c r="C285" s="9">
        <v>7.8</v>
      </c>
      <c r="D285">
        <v>6</v>
      </c>
      <c r="E285">
        <v>6</v>
      </c>
      <c r="F285">
        <v>5</v>
      </c>
      <c r="G285" s="10">
        <v>0.83333333333333337</v>
      </c>
      <c r="H285" t="s">
        <v>46</v>
      </c>
      <c r="I285" t="s">
        <v>1001</v>
      </c>
      <c r="J285" t="s">
        <v>1002</v>
      </c>
      <c r="K285" s="11" t="s">
        <v>1003</v>
      </c>
    </row>
    <row r="286" spans="1:11">
      <c r="A286" t="s">
        <v>1004</v>
      </c>
      <c r="B286" s="8">
        <v>2.5449999999999999</v>
      </c>
      <c r="C286" s="9">
        <v>2.8</v>
      </c>
      <c r="D286">
        <v>3</v>
      </c>
      <c r="E286">
        <v>3</v>
      </c>
      <c r="F286">
        <v>3</v>
      </c>
      <c r="G286" s="10">
        <v>1</v>
      </c>
      <c r="H286" t="s">
        <v>46</v>
      </c>
      <c r="I286" t="s">
        <v>1005</v>
      </c>
      <c r="J286" t="s">
        <v>1006</v>
      </c>
      <c r="K286" s="11" t="s">
        <v>1007</v>
      </c>
    </row>
    <row r="287" spans="1:11">
      <c r="A287" t="s">
        <v>1008</v>
      </c>
      <c r="B287" s="8">
        <v>3.0609999999999999</v>
      </c>
      <c r="C287" s="9">
        <v>6.3</v>
      </c>
      <c r="D287">
        <v>3</v>
      </c>
      <c r="E287">
        <v>3</v>
      </c>
      <c r="F287">
        <v>2</v>
      </c>
      <c r="G287" s="10">
        <v>0.66666666666666663</v>
      </c>
      <c r="H287" t="s">
        <v>46</v>
      </c>
      <c r="I287" t="s">
        <v>1009</v>
      </c>
      <c r="J287" t="s">
        <v>1010</v>
      </c>
      <c r="K287" s="11" t="s">
        <v>1011</v>
      </c>
    </row>
    <row r="288" spans="1:11">
      <c r="A288" t="s">
        <v>1012</v>
      </c>
      <c r="B288" s="8">
        <v>6.5540000000000003</v>
      </c>
      <c r="C288" s="9">
        <v>4.7</v>
      </c>
      <c r="D288">
        <v>3</v>
      </c>
      <c r="E288">
        <v>2</v>
      </c>
      <c r="F288">
        <v>3</v>
      </c>
      <c r="G288" s="10">
        <v>1</v>
      </c>
      <c r="H288" t="s">
        <v>46</v>
      </c>
      <c r="I288" t="s">
        <v>1013</v>
      </c>
      <c r="J288" t="s">
        <v>1014</v>
      </c>
      <c r="K288" s="11" t="s">
        <v>1015</v>
      </c>
    </row>
    <row r="289" spans="1:11">
      <c r="A289" t="s">
        <v>1016</v>
      </c>
      <c r="B289" s="8">
        <v>7.8360000000000003</v>
      </c>
      <c r="C289" s="9">
        <v>35</v>
      </c>
      <c r="D289">
        <v>4</v>
      </c>
      <c r="E289">
        <v>4</v>
      </c>
      <c r="F289">
        <v>4</v>
      </c>
      <c r="G289" s="10">
        <v>1</v>
      </c>
      <c r="H289" t="s">
        <v>46</v>
      </c>
      <c r="I289" t="s">
        <v>1017</v>
      </c>
      <c r="J289" t="s">
        <v>1018</v>
      </c>
      <c r="K289" s="11" t="s">
        <v>1019</v>
      </c>
    </row>
    <row r="290" spans="1:11">
      <c r="A290" t="s">
        <v>1020</v>
      </c>
      <c r="B290" s="8">
        <v>15.077</v>
      </c>
      <c r="C290" s="9">
        <v>15</v>
      </c>
      <c r="D290">
        <v>3</v>
      </c>
      <c r="E290">
        <v>2</v>
      </c>
      <c r="F290">
        <v>3</v>
      </c>
      <c r="G290" s="10">
        <v>1</v>
      </c>
      <c r="H290" t="s">
        <v>46</v>
      </c>
      <c r="I290" t="s">
        <v>1021</v>
      </c>
      <c r="J290" t="s">
        <v>1022</v>
      </c>
      <c r="K290" s="11" t="s">
        <v>1023</v>
      </c>
    </row>
    <row r="291" spans="1:11">
      <c r="A291" t="s">
        <v>1024</v>
      </c>
      <c r="B291" s="8">
        <v>7.75</v>
      </c>
      <c r="C291" s="9">
        <v>6.7</v>
      </c>
      <c r="D291">
        <v>4</v>
      </c>
      <c r="E291">
        <v>4</v>
      </c>
      <c r="F291">
        <v>4</v>
      </c>
      <c r="G291" s="10">
        <v>1</v>
      </c>
      <c r="H291" t="s">
        <v>46</v>
      </c>
      <c r="I291" t="s">
        <v>1025</v>
      </c>
      <c r="J291" t="s">
        <v>1026</v>
      </c>
      <c r="K291" s="11" t="s">
        <v>1027</v>
      </c>
    </row>
    <row r="292" spans="1:11">
      <c r="A292" t="s">
        <v>1028</v>
      </c>
      <c r="B292" s="8">
        <v>4.0350000000000001</v>
      </c>
      <c r="C292" s="9">
        <v>43</v>
      </c>
      <c r="D292">
        <v>3</v>
      </c>
      <c r="E292">
        <v>2</v>
      </c>
      <c r="F292">
        <v>1</v>
      </c>
      <c r="G292" s="10">
        <v>0.33333333333333331</v>
      </c>
      <c r="H292" t="s">
        <v>46</v>
      </c>
      <c r="I292" t="s">
        <v>1029</v>
      </c>
      <c r="J292" t="s">
        <v>1030</v>
      </c>
      <c r="K292" s="11" t="s">
        <v>1031</v>
      </c>
    </row>
    <row r="293" spans="1:11">
      <c r="A293" t="s">
        <v>1032</v>
      </c>
      <c r="B293" s="8">
        <v>3.7010000000000001</v>
      </c>
      <c r="C293" s="9">
        <v>6.7</v>
      </c>
      <c r="D293">
        <v>3</v>
      </c>
      <c r="E293">
        <v>3</v>
      </c>
      <c r="F293">
        <v>3</v>
      </c>
      <c r="G293" s="10">
        <v>1</v>
      </c>
      <c r="H293" t="s">
        <v>46</v>
      </c>
      <c r="I293" t="s">
        <v>1033</v>
      </c>
      <c r="J293" t="s">
        <v>1034</v>
      </c>
      <c r="K293" s="11" t="s">
        <v>1035</v>
      </c>
    </row>
    <row r="294" spans="1:11">
      <c r="A294" t="s">
        <v>1036</v>
      </c>
      <c r="B294" s="8">
        <v>5.0720000000000001</v>
      </c>
      <c r="C294" s="9">
        <v>1.5</v>
      </c>
      <c r="D294">
        <v>6</v>
      </c>
      <c r="E294">
        <v>6</v>
      </c>
      <c r="F294">
        <v>6</v>
      </c>
      <c r="G294" s="10">
        <v>1</v>
      </c>
      <c r="H294" t="s">
        <v>46</v>
      </c>
      <c r="I294" t="s">
        <v>1037</v>
      </c>
      <c r="J294" t="s">
        <v>1038</v>
      </c>
      <c r="K294" s="11" t="s">
        <v>1037</v>
      </c>
    </row>
    <row r="295" spans="1:11">
      <c r="A295" t="s">
        <v>1039</v>
      </c>
      <c r="B295" s="8">
        <v>7.7080000000000002</v>
      </c>
      <c r="C295" s="9">
        <v>5.5</v>
      </c>
      <c r="D295">
        <v>4</v>
      </c>
      <c r="E295">
        <v>4</v>
      </c>
      <c r="F295">
        <v>4</v>
      </c>
      <c r="G295" s="10">
        <v>1</v>
      </c>
      <c r="H295" t="s">
        <v>46</v>
      </c>
      <c r="I295" t="s">
        <v>1040</v>
      </c>
      <c r="J295" t="s">
        <v>1038</v>
      </c>
      <c r="K295" s="11" t="s">
        <v>1041</v>
      </c>
    </row>
    <row r="296" spans="1:11">
      <c r="A296" t="s">
        <v>1042</v>
      </c>
      <c r="B296" s="8">
        <v>7.2220000000000004</v>
      </c>
      <c r="C296" s="9">
        <v>16</v>
      </c>
      <c r="D296">
        <v>5</v>
      </c>
      <c r="E296">
        <v>4</v>
      </c>
      <c r="F296">
        <v>4</v>
      </c>
      <c r="G296" s="10">
        <v>0.8</v>
      </c>
      <c r="H296" t="s">
        <v>46</v>
      </c>
      <c r="I296" t="s">
        <v>1043</v>
      </c>
      <c r="J296" t="s">
        <v>1038</v>
      </c>
      <c r="K296" s="11" t="s">
        <v>1043</v>
      </c>
    </row>
    <row r="297" spans="1:11">
      <c r="A297" t="s">
        <v>1044</v>
      </c>
      <c r="B297" s="8">
        <v>4.6950000000000003</v>
      </c>
      <c r="C297" s="9">
        <v>17</v>
      </c>
      <c r="D297">
        <v>6</v>
      </c>
      <c r="E297">
        <v>4</v>
      </c>
      <c r="F297">
        <v>4</v>
      </c>
      <c r="G297" s="10">
        <v>0.66666666666666663</v>
      </c>
      <c r="H297" t="s">
        <v>46</v>
      </c>
      <c r="I297" t="s">
        <v>1045</v>
      </c>
      <c r="J297" t="s">
        <v>1038</v>
      </c>
      <c r="K297" s="11" t="s">
        <v>1046</v>
      </c>
    </row>
    <row r="298" spans="1:11">
      <c r="A298" t="s">
        <v>1047</v>
      </c>
      <c r="B298" s="8">
        <v>3.4750000000000001</v>
      </c>
      <c r="C298" s="9">
        <v>5.4</v>
      </c>
      <c r="D298">
        <v>1</v>
      </c>
      <c r="E298">
        <v>1</v>
      </c>
      <c r="F298">
        <v>1</v>
      </c>
      <c r="G298" s="10">
        <v>1</v>
      </c>
      <c r="H298" t="s">
        <v>46</v>
      </c>
      <c r="I298" t="s">
        <v>1031</v>
      </c>
      <c r="J298" t="s">
        <v>1038</v>
      </c>
      <c r="K298" s="11" t="s">
        <v>1031</v>
      </c>
    </row>
    <row r="299" spans="1:11">
      <c r="A299" t="s">
        <v>1048</v>
      </c>
      <c r="B299" s="8">
        <v>4.649</v>
      </c>
      <c r="C299" s="9">
        <v>15</v>
      </c>
      <c r="D299">
        <v>2</v>
      </c>
      <c r="E299">
        <v>1</v>
      </c>
      <c r="F299">
        <v>1</v>
      </c>
      <c r="G299" s="10">
        <v>0.5</v>
      </c>
      <c r="H299" t="s">
        <v>46</v>
      </c>
      <c r="I299" t="s">
        <v>1031</v>
      </c>
      <c r="J299" t="s">
        <v>1038</v>
      </c>
      <c r="K299" s="11" t="s">
        <v>1031</v>
      </c>
    </row>
    <row r="300" spans="1:11">
      <c r="A300" t="s">
        <v>1049</v>
      </c>
      <c r="B300" s="8">
        <v>11.148</v>
      </c>
      <c r="C300" s="9">
        <v>50</v>
      </c>
      <c r="D300">
        <v>9</v>
      </c>
      <c r="E300">
        <v>8</v>
      </c>
      <c r="F300">
        <v>8</v>
      </c>
      <c r="G300" s="10">
        <v>0.88888888888888884</v>
      </c>
      <c r="H300" t="s">
        <v>46</v>
      </c>
      <c r="I300" t="s">
        <v>1050</v>
      </c>
      <c r="J300" t="s">
        <v>1051</v>
      </c>
      <c r="K300" s="11" t="s">
        <v>1052</v>
      </c>
    </row>
    <row r="301" spans="1:11">
      <c r="A301" t="s">
        <v>1053</v>
      </c>
      <c r="B301" s="8">
        <v>3.5939999999999999</v>
      </c>
      <c r="C301" s="9">
        <v>47</v>
      </c>
      <c r="D301">
        <v>5</v>
      </c>
      <c r="E301">
        <v>4</v>
      </c>
      <c r="F301">
        <v>4</v>
      </c>
      <c r="G301" s="10">
        <v>0.8</v>
      </c>
      <c r="H301" t="s">
        <v>46</v>
      </c>
      <c r="I301" t="s">
        <v>1054</v>
      </c>
      <c r="J301" t="s">
        <v>1055</v>
      </c>
      <c r="K301" s="11" t="s">
        <v>1007</v>
      </c>
    </row>
    <row r="302" spans="1:11">
      <c r="A302" t="s">
        <v>1056</v>
      </c>
      <c r="B302" s="8">
        <v>3.6779999999999999</v>
      </c>
      <c r="C302" s="9">
        <v>2.5</v>
      </c>
      <c r="D302">
        <v>2</v>
      </c>
      <c r="E302">
        <v>2</v>
      </c>
      <c r="F302">
        <v>2</v>
      </c>
      <c r="G302" s="10">
        <v>1</v>
      </c>
      <c r="H302" t="s">
        <v>46</v>
      </c>
      <c r="I302" t="s">
        <v>1057</v>
      </c>
      <c r="J302" t="s">
        <v>1058</v>
      </c>
      <c r="K302" s="11" t="s">
        <v>1031</v>
      </c>
    </row>
    <row r="303" spans="1:11">
      <c r="A303" t="s">
        <v>1059</v>
      </c>
      <c r="B303" s="8">
        <v>7.3710000000000004</v>
      </c>
      <c r="C303" s="9">
        <v>11</v>
      </c>
      <c r="D303">
        <v>5</v>
      </c>
      <c r="E303">
        <v>5</v>
      </c>
      <c r="F303">
        <v>5</v>
      </c>
      <c r="G303" s="10">
        <v>1</v>
      </c>
      <c r="H303" t="s">
        <v>46</v>
      </c>
      <c r="I303" t="s">
        <v>1060</v>
      </c>
      <c r="J303" t="s">
        <v>1061</v>
      </c>
      <c r="K303" s="11" t="s">
        <v>1062</v>
      </c>
    </row>
    <row r="304" spans="1:11">
      <c r="A304" t="s">
        <v>1063</v>
      </c>
      <c r="B304" s="8">
        <v>3.01</v>
      </c>
      <c r="C304" s="9">
        <v>2.2999999999999998</v>
      </c>
      <c r="D304">
        <v>2</v>
      </c>
      <c r="E304">
        <v>2</v>
      </c>
      <c r="F304">
        <v>2</v>
      </c>
      <c r="G304" s="10">
        <v>1</v>
      </c>
      <c r="H304" t="s">
        <v>46</v>
      </c>
      <c r="I304" t="s">
        <v>1064</v>
      </c>
      <c r="J304" t="s">
        <v>1065</v>
      </c>
      <c r="K304" s="11" t="s">
        <v>1031</v>
      </c>
    </row>
    <row r="305" spans="1:11">
      <c r="A305" t="s">
        <v>1066</v>
      </c>
      <c r="B305" s="8">
        <v>8.0779999999999994</v>
      </c>
      <c r="C305" s="9">
        <v>9</v>
      </c>
      <c r="D305">
        <v>5</v>
      </c>
      <c r="E305">
        <v>5</v>
      </c>
      <c r="F305">
        <v>5</v>
      </c>
      <c r="G305" s="10">
        <v>1</v>
      </c>
      <c r="H305" t="s">
        <v>46</v>
      </c>
      <c r="I305" t="s">
        <v>1067</v>
      </c>
      <c r="J305" t="s">
        <v>1068</v>
      </c>
      <c r="K305" s="11" t="s">
        <v>1069</v>
      </c>
    </row>
    <row r="306" spans="1:11">
      <c r="A306" t="s">
        <v>1070</v>
      </c>
      <c r="B306" s="8">
        <v>6.6630000000000003</v>
      </c>
      <c r="C306" s="9">
        <v>7.2</v>
      </c>
      <c r="D306">
        <v>5</v>
      </c>
      <c r="E306">
        <v>5</v>
      </c>
      <c r="F306">
        <v>5</v>
      </c>
      <c r="G306" s="10">
        <v>1</v>
      </c>
      <c r="H306" t="s">
        <v>46</v>
      </c>
      <c r="I306" t="s">
        <v>1071</v>
      </c>
      <c r="J306" t="s">
        <v>1072</v>
      </c>
      <c r="K306" s="11" t="s">
        <v>1073</v>
      </c>
    </row>
    <row r="307" spans="1:11">
      <c r="A307" t="s">
        <v>1074</v>
      </c>
      <c r="B307" s="8">
        <v>6.1749999999999998</v>
      </c>
      <c r="C307" s="9">
        <v>19</v>
      </c>
      <c r="D307">
        <v>3</v>
      </c>
      <c r="E307">
        <v>3</v>
      </c>
      <c r="F307">
        <v>2</v>
      </c>
      <c r="G307" s="10">
        <v>0.66666666666666663</v>
      </c>
      <c r="H307" t="s">
        <v>46</v>
      </c>
      <c r="I307" t="s">
        <v>1075</v>
      </c>
      <c r="J307" t="s">
        <v>1076</v>
      </c>
      <c r="K307" s="11" t="s">
        <v>1077</v>
      </c>
    </row>
    <row r="308" spans="1:11">
      <c r="A308" t="s">
        <v>1078</v>
      </c>
      <c r="B308" s="8">
        <v>4.6529999999999996</v>
      </c>
      <c r="C308" s="9">
        <v>4.7</v>
      </c>
      <c r="D308">
        <v>2</v>
      </c>
      <c r="E308">
        <v>2</v>
      </c>
      <c r="F308">
        <v>1</v>
      </c>
      <c r="G308" s="10">
        <v>0.5</v>
      </c>
      <c r="H308" t="s">
        <v>46</v>
      </c>
      <c r="I308" t="s">
        <v>1079</v>
      </c>
      <c r="J308" t="s">
        <v>1080</v>
      </c>
      <c r="K308" s="11" t="s">
        <v>1081</v>
      </c>
    </row>
    <row r="309" spans="1:11">
      <c r="A309" t="s">
        <v>1082</v>
      </c>
      <c r="B309" s="8">
        <v>3.3570000000000002</v>
      </c>
      <c r="C309" s="9">
        <v>3.7</v>
      </c>
      <c r="D309">
        <v>1</v>
      </c>
      <c r="E309">
        <v>1</v>
      </c>
      <c r="F309">
        <v>1</v>
      </c>
      <c r="G309" s="10">
        <v>1</v>
      </c>
      <c r="H309" t="s">
        <v>46</v>
      </c>
      <c r="I309" t="s">
        <v>1083</v>
      </c>
      <c r="J309" t="s">
        <v>1084</v>
      </c>
      <c r="K309" s="11" t="s">
        <v>1083</v>
      </c>
    </row>
    <row r="310" spans="1:11">
      <c r="A310" t="s">
        <v>1085</v>
      </c>
      <c r="B310" s="8">
        <v>3.2410000000000001</v>
      </c>
      <c r="C310" s="9">
        <v>13</v>
      </c>
      <c r="D310">
        <v>1</v>
      </c>
      <c r="E310">
        <v>1</v>
      </c>
      <c r="F310">
        <v>1</v>
      </c>
      <c r="G310" s="10">
        <v>1</v>
      </c>
      <c r="H310" t="s">
        <v>46</v>
      </c>
      <c r="I310" t="s">
        <v>1083</v>
      </c>
      <c r="J310" t="s">
        <v>1084</v>
      </c>
      <c r="K310" s="11" t="s">
        <v>1083</v>
      </c>
    </row>
    <row r="311" spans="1:11">
      <c r="A311" t="s">
        <v>1086</v>
      </c>
      <c r="B311" s="8">
        <v>2.472</v>
      </c>
      <c r="C311" s="9">
        <v>2</v>
      </c>
      <c r="D311">
        <v>2</v>
      </c>
      <c r="E311">
        <v>2</v>
      </c>
      <c r="F311">
        <v>2</v>
      </c>
      <c r="G311" s="10">
        <v>1</v>
      </c>
      <c r="H311" t="s">
        <v>46</v>
      </c>
      <c r="I311" t="s">
        <v>1087</v>
      </c>
      <c r="J311" t="s">
        <v>1088</v>
      </c>
      <c r="K311" s="11" t="s">
        <v>1089</v>
      </c>
    </row>
    <row r="312" spans="1:11">
      <c r="A312" t="s">
        <v>1090</v>
      </c>
      <c r="B312" s="8">
        <v>4.2919999999999998</v>
      </c>
      <c r="C312" s="9">
        <v>7.9</v>
      </c>
      <c r="D312">
        <v>1</v>
      </c>
      <c r="E312">
        <v>1</v>
      </c>
      <c r="F312">
        <v>1</v>
      </c>
      <c r="G312" s="10">
        <v>1</v>
      </c>
      <c r="H312" t="s">
        <v>46</v>
      </c>
      <c r="I312" t="s">
        <v>1091</v>
      </c>
      <c r="J312" t="s">
        <v>1088</v>
      </c>
      <c r="K312" s="11" t="s">
        <v>1091</v>
      </c>
    </row>
    <row r="313" spans="1:11">
      <c r="A313" t="s">
        <v>1092</v>
      </c>
      <c r="B313" s="8">
        <v>5.5670000000000002</v>
      </c>
      <c r="C313" s="9">
        <v>3.6</v>
      </c>
      <c r="D313">
        <v>1</v>
      </c>
      <c r="E313">
        <v>1</v>
      </c>
      <c r="F313">
        <v>1</v>
      </c>
      <c r="G313" s="10">
        <v>1</v>
      </c>
      <c r="H313" t="s">
        <v>46</v>
      </c>
      <c r="I313" t="s">
        <v>1091</v>
      </c>
      <c r="J313" t="s">
        <v>1088</v>
      </c>
      <c r="K313" s="11" t="s">
        <v>1091</v>
      </c>
    </row>
    <row r="314" spans="1:11">
      <c r="A314" t="s">
        <v>1093</v>
      </c>
      <c r="B314" s="8">
        <v>2.8290000000000002</v>
      </c>
      <c r="C314" s="9">
        <v>2</v>
      </c>
      <c r="D314">
        <v>2</v>
      </c>
      <c r="E314">
        <v>1</v>
      </c>
      <c r="F314">
        <v>1</v>
      </c>
      <c r="G314" s="10">
        <v>0.5</v>
      </c>
      <c r="H314" t="s">
        <v>46</v>
      </c>
      <c r="I314" t="s">
        <v>1091</v>
      </c>
      <c r="J314" t="s">
        <v>1088</v>
      </c>
      <c r="K314" s="11" t="s">
        <v>1091</v>
      </c>
    </row>
    <row r="315" spans="1:11">
      <c r="A315" t="s">
        <v>1094</v>
      </c>
      <c r="B315" s="8">
        <v>6.17</v>
      </c>
      <c r="C315" s="9">
        <v>6.6</v>
      </c>
      <c r="D315">
        <v>3</v>
      </c>
      <c r="E315">
        <v>3</v>
      </c>
      <c r="F315">
        <v>2</v>
      </c>
      <c r="G315" s="10">
        <v>0.66666666666666663</v>
      </c>
      <c r="H315" t="s">
        <v>46</v>
      </c>
      <c r="I315" t="s">
        <v>1095</v>
      </c>
      <c r="J315" t="s">
        <v>1096</v>
      </c>
      <c r="K315" s="11" t="s">
        <v>1097</v>
      </c>
    </row>
    <row r="316" spans="1:11">
      <c r="A316" t="s">
        <v>1098</v>
      </c>
      <c r="B316" s="8">
        <v>12.364000000000001</v>
      </c>
      <c r="C316" s="9">
        <v>18</v>
      </c>
      <c r="D316">
        <v>2</v>
      </c>
      <c r="E316">
        <v>2</v>
      </c>
      <c r="F316">
        <v>2</v>
      </c>
      <c r="G316" s="10">
        <v>1</v>
      </c>
      <c r="H316" t="s">
        <v>46</v>
      </c>
      <c r="I316" t="s">
        <v>1099</v>
      </c>
      <c r="J316" t="s">
        <v>1100</v>
      </c>
      <c r="K316" s="11" t="s">
        <v>1091</v>
      </c>
    </row>
    <row r="317" spans="1:11">
      <c r="A317" t="s">
        <v>1101</v>
      </c>
      <c r="B317" s="8">
        <v>19.599</v>
      </c>
      <c r="C317" s="9">
        <v>6.8</v>
      </c>
      <c r="D317">
        <v>5</v>
      </c>
      <c r="E317">
        <v>3</v>
      </c>
      <c r="F317">
        <v>3</v>
      </c>
      <c r="G317" s="10">
        <v>0.6</v>
      </c>
      <c r="H317" t="s">
        <v>46</v>
      </c>
      <c r="I317" t="s">
        <v>1102</v>
      </c>
      <c r="J317" t="s">
        <v>1103</v>
      </c>
      <c r="K317" s="11" t="s">
        <v>1097</v>
      </c>
    </row>
    <row r="318" spans="1:11">
      <c r="A318" t="s">
        <v>1104</v>
      </c>
      <c r="B318" s="8">
        <v>3.5059999999999998</v>
      </c>
      <c r="C318" s="9">
        <v>4.2</v>
      </c>
      <c r="D318">
        <v>2</v>
      </c>
      <c r="E318">
        <v>2</v>
      </c>
      <c r="F318">
        <v>2</v>
      </c>
      <c r="G318" s="10">
        <v>1</v>
      </c>
      <c r="H318" t="s">
        <v>46</v>
      </c>
      <c r="I318" t="s">
        <v>1105</v>
      </c>
      <c r="J318" t="s">
        <v>1103</v>
      </c>
      <c r="K318" s="11" t="s">
        <v>1091</v>
      </c>
    </row>
    <row r="319" spans="1:11">
      <c r="A319" t="s">
        <v>1106</v>
      </c>
      <c r="B319" s="8">
        <v>2.8210000000000002</v>
      </c>
      <c r="C319" s="9">
        <v>4.8</v>
      </c>
      <c r="D319">
        <v>3</v>
      </c>
      <c r="E319">
        <v>3</v>
      </c>
      <c r="F319">
        <v>3</v>
      </c>
      <c r="G319" s="10">
        <v>1</v>
      </c>
      <c r="H319" t="s">
        <v>46</v>
      </c>
      <c r="I319" t="s">
        <v>1107</v>
      </c>
      <c r="J319" t="s">
        <v>1108</v>
      </c>
      <c r="K319" s="11" t="s">
        <v>1097</v>
      </c>
    </row>
    <row r="320" spans="1:11">
      <c r="A320" t="s">
        <v>1109</v>
      </c>
      <c r="B320" s="8">
        <v>2.456</v>
      </c>
      <c r="C320" s="9">
        <v>2.4</v>
      </c>
      <c r="D320">
        <v>1</v>
      </c>
      <c r="E320">
        <v>1</v>
      </c>
      <c r="F320">
        <v>1</v>
      </c>
      <c r="G320" s="10">
        <v>1</v>
      </c>
      <c r="H320" t="s">
        <v>46</v>
      </c>
      <c r="I320" t="s">
        <v>1110</v>
      </c>
      <c r="J320" t="s">
        <v>1111</v>
      </c>
      <c r="K320" s="11" t="s">
        <v>1110</v>
      </c>
    </row>
    <row r="321" spans="1:11">
      <c r="A321" t="s">
        <v>1112</v>
      </c>
      <c r="B321" s="8">
        <v>3.9649999999999999</v>
      </c>
      <c r="C321" s="9">
        <v>33</v>
      </c>
      <c r="D321">
        <v>2</v>
      </c>
      <c r="E321">
        <v>2</v>
      </c>
      <c r="F321">
        <v>2</v>
      </c>
      <c r="G321" s="10">
        <v>1</v>
      </c>
      <c r="H321" t="s">
        <v>46</v>
      </c>
      <c r="I321" t="s">
        <v>1113</v>
      </c>
      <c r="J321" t="s">
        <v>1114</v>
      </c>
      <c r="K321" s="11" t="s">
        <v>1110</v>
      </c>
    </row>
    <row r="322" spans="1:11">
      <c r="A322" t="s">
        <v>1115</v>
      </c>
      <c r="B322" s="8">
        <v>2.6779999999999999</v>
      </c>
      <c r="C322" s="9">
        <v>9.3000000000000007</v>
      </c>
      <c r="D322">
        <v>3</v>
      </c>
      <c r="E322">
        <v>2</v>
      </c>
      <c r="F322">
        <v>3</v>
      </c>
      <c r="G322" s="10">
        <v>1</v>
      </c>
      <c r="H322" t="s">
        <v>46</v>
      </c>
      <c r="I322" t="s">
        <v>1116</v>
      </c>
      <c r="J322" t="s">
        <v>1117</v>
      </c>
      <c r="K322" s="11" t="s">
        <v>1118</v>
      </c>
    </row>
    <row r="323" spans="1:11">
      <c r="A323" t="s">
        <v>1119</v>
      </c>
      <c r="B323" s="8">
        <v>3.0129999999999999</v>
      </c>
      <c r="C323" s="9">
        <v>1.6</v>
      </c>
      <c r="D323">
        <v>2</v>
      </c>
      <c r="E323">
        <v>2</v>
      </c>
      <c r="F323">
        <v>1</v>
      </c>
      <c r="G323" s="10">
        <v>0.5</v>
      </c>
      <c r="H323" t="s">
        <v>46</v>
      </c>
      <c r="I323" t="s">
        <v>1120</v>
      </c>
      <c r="J323" t="s">
        <v>1121</v>
      </c>
      <c r="K323" s="11" t="s">
        <v>1122</v>
      </c>
    </row>
    <row r="324" spans="1:11">
      <c r="A324" t="s">
        <v>1123</v>
      </c>
      <c r="B324" s="8">
        <v>3.08</v>
      </c>
      <c r="C324" s="9">
        <v>48</v>
      </c>
      <c r="D324">
        <v>1</v>
      </c>
      <c r="E324">
        <v>1</v>
      </c>
      <c r="F324">
        <v>1</v>
      </c>
      <c r="G324" s="10">
        <v>1</v>
      </c>
      <c r="H324" t="s">
        <v>46</v>
      </c>
      <c r="I324" t="s">
        <v>1124</v>
      </c>
      <c r="J324" t="s">
        <v>1125</v>
      </c>
      <c r="K324" s="11" t="s">
        <v>1124</v>
      </c>
    </row>
    <row r="325" spans="1:11">
      <c r="A325" t="s">
        <v>1126</v>
      </c>
      <c r="B325" s="8">
        <v>3.0070000000000001</v>
      </c>
      <c r="C325" s="9">
        <v>3.9</v>
      </c>
      <c r="D325">
        <v>2</v>
      </c>
      <c r="E325">
        <v>2</v>
      </c>
      <c r="F325">
        <v>2</v>
      </c>
      <c r="G325" s="10">
        <v>1</v>
      </c>
      <c r="H325" t="s">
        <v>46</v>
      </c>
      <c r="I325" t="s">
        <v>1127</v>
      </c>
      <c r="J325" t="s">
        <v>1128</v>
      </c>
      <c r="K325" s="11" t="s">
        <v>1127</v>
      </c>
    </row>
    <row r="326" spans="1:11">
      <c r="A326" t="s">
        <v>1129</v>
      </c>
      <c r="B326" s="8">
        <v>3.3290000000000002</v>
      </c>
      <c r="C326" s="9">
        <v>2.5</v>
      </c>
      <c r="D326">
        <v>2</v>
      </c>
      <c r="E326">
        <v>2</v>
      </c>
      <c r="F326">
        <v>2</v>
      </c>
      <c r="G326" s="10">
        <v>1</v>
      </c>
      <c r="H326" t="s">
        <v>46</v>
      </c>
      <c r="I326" t="s">
        <v>1130</v>
      </c>
      <c r="J326" t="s">
        <v>1128</v>
      </c>
      <c r="K326" s="11" t="s">
        <v>1131</v>
      </c>
    </row>
    <row r="327" spans="1:11">
      <c r="A327" t="s">
        <v>1132</v>
      </c>
      <c r="B327" s="8">
        <v>9.5380000000000003</v>
      </c>
      <c r="C327" s="9">
        <v>4.0999999999999996</v>
      </c>
      <c r="D327">
        <v>1</v>
      </c>
      <c r="E327">
        <v>1</v>
      </c>
      <c r="F327">
        <v>1</v>
      </c>
      <c r="G327" s="10">
        <v>1</v>
      </c>
      <c r="H327" t="s">
        <v>46</v>
      </c>
      <c r="I327" t="s">
        <v>1133</v>
      </c>
      <c r="J327" t="s">
        <v>1128</v>
      </c>
      <c r="K327" s="11" t="s">
        <v>1133</v>
      </c>
    </row>
    <row r="328" spans="1:11">
      <c r="A328" t="s">
        <v>1134</v>
      </c>
      <c r="B328" s="8">
        <v>14.473000000000001</v>
      </c>
      <c r="C328" s="9">
        <v>42</v>
      </c>
      <c r="D328">
        <v>1</v>
      </c>
      <c r="E328">
        <v>1</v>
      </c>
      <c r="F328">
        <v>1</v>
      </c>
      <c r="G328" s="10">
        <v>1</v>
      </c>
      <c r="H328" t="s">
        <v>46</v>
      </c>
      <c r="I328" t="s">
        <v>1133</v>
      </c>
      <c r="J328" t="s">
        <v>1128</v>
      </c>
      <c r="K328" s="11" t="s">
        <v>1133</v>
      </c>
    </row>
    <row r="329" spans="1:11">
      <c r="A329" t="s">
        <v>1135</v>
      </c>
      <c r="B329" s="8">
        <v>5.9210000000000003</v>
      </c>
      <c r="C329" s="9">
        <v>9.4</v>
      </c>
      <c r="D329">
        <v>1</v>
      </c>
      <c r="E329">
        <v>1</v>
      </c>
      <c r="F329">
        <v>1</v>
      </c>
      <c r="G329" s="10">
        <v>1</v>
      </c>
      <c r="H329" t="s">
        <v>46</v>
      </c>
      <c r="I329" t="s">
        <v>1133</v>
      </c>
      <c r="J329" t="s">
        <v>1128</v>
      </c>
      <c r="K329" s="11" t="s">
        <v>1133</v>
      </c>
    </row>
    <row r="330" spans="1:11">
      <c r="A330" t="s">
        <v>1136</v>
      </c>
      <c r="B330" s="8">
        <v>4.601</v>
      </c>
      <c r="C330" s="9">
        <v>3.8</v>
      </c>
      <c r="D330">
        <v>1</v>
      </c>
      <c r="E330">
        <v>1</v>
      </c>
      <c r="F330">
        <v>1</v>
      </c>
      <c r="G330" s="10">
        <v>1</v>
      </c>
      <c r="H330" t="s">
        <v>46</v>
      </c>
      <c r="I330" t="s">
        <v>1133</v>
      </c>
      <c r="J330" t="s">
        <v>1128</v>
      </c>
      <c r="K330" s="11" t="s">
        <v>1133</v>
      </c>
    </row>
    <row r="331" spans="1:11">
      <c r="A331" t="s">
        <v>1137</v>
      </c>
      <c r="B331" s="8">
        <v>9.5020000000000007</v>
      </c>
      <c r="C331" s="9">
        <v>32</v>
      </c>
      <c r="D331">
        <v>5</v>
      </c>
      <c r="E331">
        <v>5</v>
      </c>
      <c r="F331">
        <v>4</v>
      </c>
      <c r="G331" s="10">
        <v>0.8</v>
      </c>
      <c r="H331" t="s">
        <v>46</v>
      </c>
      <c r="I331" t="s">
        <v>1138</v>
      </c>
      <c r="J331" t="s">
        <v>1139</v>
      </c>
      <c r="K331" s="11" t="s">
        <v>1140</v>
      </c>
    </row>
    <row r="332" spans="1:11">
      <c r="A332" t="s">
        <v>1141</v>
      </c>
      <c r="B332" s="8">
        <v>21.581</v>
      </c>
      <c r="C332" s="9">
        <v>33</v>
      </c>
      <c r="D332">
        <v>14</v>
      </c>
      <c r="E332">
        <v>13</v>
      </c>
      <c r="F332">
        <v>11</v>
      </c>
      <c r="G332" s="10">
        <v>0.7857142857142857</v>
      </c>
      <c r="H332" t="s">
        <v>46</v>
      </c>
      <c r="I332" t="s">
        <v>1142</v>
      </c>
      <c r="J332" t="s">
        <v>1143</v>
      </c>
      <c r="K332" s="11" t="s">
        <v>1144</v>
      </c>
    </row>
    <row r="333" spans="1:11">
      <c r="A333" t="s">
        <v>1145</v>
      </c>
      <c r="B333" s="8">
        <v>6.1029999999999998</v>
      </c>
      <c r="C333" s="9">
        <v>3.4</v>
      </c>
      <c r="D333">
        <v>3</v>
      </c>
      <c r="E333">
        <v>3</v>
      </c>
      <c r="F333">
        <v>2</v>
      </c>
      <c r="G333" s="10">
        <v>0.66666666666666663</v>
      </c>
      <c r="H333" t="s">
        <v>46</v>
      </c>
      <c r="I333" t="s">
        <v>1146</v>
      </c>
      <c r="J333" t="s">
        <v>1147</v>
      </c>
      <c r="K333" s="11" t="s">
        <v>1127</v>
      </c>
    </row>
    <row r="334" spans="1:11">
      <c r="A334" t="s">
        <v>1148</v>
      </c>
      <c r="B334" s="8">
        <v>8.2249999999999996</v>
      </c>
      <c r="C334" s="9">
        <v>35</v>
      </c>
      <c r="D334">
        <v>2</v>
      </c>
      <c r="E334">
        <v>2</v>
      </c>
      <c r="F334">
        <v>1</v>
      </c>
      <c r="G334" s="10">
        <v>0.5</v>
      </c>
      <c r="H334" t="s">
        <v>46</v>
      </c>
      <c r="I334" t="s">
        <v>1149</v>
      </c>
      <c r="J334" t="s">
        <v>1150</v>
      </c>
      <c r="K334" s="11" t="s">
        <v>1151</v>
      </c>
    </row>
    <row r="335" spans="1:11">
      <c r="A335" t="s">
        <v>1152</v>
      </c>
      <c r="B335" s="8">
        <v>4.1050000000000004</v>
      </c>
      <c r="C335" s="9">
        <v>7</v>
      </c>
      <c r="D335">
        <v>4</v>
      </c>
      <c r="E335">
        <v>4</v>
      </c>
      <c r="F335">
        <v>4</v>
      </c>
      <c r="G335" s="10">
        <v>1</v>
      </c>
      <c r="H335" t="s">
        <v>46</v>
      </c>
      <c r="I335" t="s">
        <v>1153</v>
      </c>
      <c r="J335" t="s">
        <v>1154</v>
      </c>
      <c r="K335" s="11" t="s">
        <v>1153</v>
      </c>
    </row>
    <row r="336" spans="1:11">
      <c r="A336" t="s">
        <v>1155</v>
      </c>
      <c r="B336" s="8">
        <v>3.9350000000000001</v>
      </c>
      <c r="C336" s="9">
        <v>2.5</v>
      </c>
      <c r="D336">
        <v>3</v>
      </c>
      <c r="E336">
        <v>3</v>
      </c>
      <c r="F336">
        <v>3</v>
      </c>
      <c r="G336" s="10">
        <v>1</v>
      </c>
      <c r="H336" t="s">
        <v>46</v>
      </c>
      <c r="I336" t="s">
        <v>1156</v>
      </c>
      <c r="J336" t="s">
        <v>1154</v>
      </c>
      <c r="K336" s="11" t="s">
        <v>1156</v>
      </c>
    </row>
    <row r="337" spans="1:11">
      <c r="A337" t="s">
        <v>1157</v>
      </c>
      <c r="B337" s="8">
        <v>3.3090000000000002</v>
      </c>
      <c r="C337" s="9">
        <v>6.6</v>
      </c>
      <c r="D337">
        <v>3</v>
      </c>
      <c r="E337">
        <v>3</v>
      </c>
      <c r="F337">
        <v>3</v>
      </c>
      <c r="G337" s="10">
        <v>1</v>
      </c>
      <c r="H337" t="s">
        <v>46</v>
      </c>
      <c r="I337" t="s">
        <v>1158</v>
      </c>
      <c r="J337" t="s">
        <v>1154</v>
      </c>
      <c r="K337" s="11" t="s">
        <v>1158</v>
      </c>
    </row>
    <row r="338" spans="1:11">
      <c r="A338" t="s">
        <v>1159</v>
      </c>
      <c r="B338" s="8">
        <v>7.16</v>
      </c>
      <c r="C338" s="9">
        <v>4.7</v>
      </c>
      <c r="D338">
        <v>2</v>
      </c>
      <c r="E338">
        <v>2</v>
      </c>
      <c r="F338">
        <v>2</v>
      </c>
      <c r="G338" s="10">
        <v>1</v>
      </c>
      <c r="H338" t="s">
        <v>46</v>
      </c>
      <c r="I338" t="s">
        <v>1160</v>
      </c>
      <c r="J338" t="s">
        <v>1154</v>
      </c>
      <c r="K338" s="11" t="s">
        <v>1160</v>
      </c>
    </row>
    <row r="339" spans="1:11">
      <c r="A339" t="s">
        <v>1161</v>
      </c>
      <c r="B339" s="8">
        <v>3.1720000000000002</v>
      </c>
      <c r="C339" s="9">
        <v>3.2</v>
      </c>
      <c r="D339">
        <v>1</v>
      </c>
      <c r="E339">
        <v>1</v>
      </c>
      <c r="F339">
        <v>1</v>
      </c>
      <c r="G339" s="10">
        <v>1</v>
      </c>
      <c r="H339" t="s">
        <v>46</v>
      </c>
      <c r="I339" t="s">
        <v>1151</v>
      </c>
      <c r="J339" t="s">
        <v>1154</v>
      </c>
      <c r="K339" s="11" t="s">
        <v>1151</v>
      </c>
    </row>
    <row r="340" spans="1:11">
      <c r="A340" t="s">
        <v>1162</v>
      </c>
      <c r="B340" s="8">
        <v>3.2440000000000002</v>
      </c>
      <c r="C340" s="9">
        <v>15</v>
      </c>
      <c r="D340">
        <v>1</v>
      </c>
      <c r="E340">
        <v>1</v>
      </c>
      <c r="F340">
        <v>1</v>
      </c>
      <c r="G340" s="10">
        <v>1</v>
      </c>
      <c r="H340" t="s">
        <v>46</v>
      </c>
      <c r="I340" t="s">
        <v>1151</v>
      </c>
      <c r="J340" t="s">
        <v>1154</v>
      </c>
      <c r="K340" s="11" t="s">
        <v>1151</v>
      </c>
    </row>
    <row r="341" spans="1:11">
      <c r="A341" t="s">
        <v>1163</v>
      </c>
      <c r="B341" s="8">
        <v>3.5089999999999999</v>
      </c>
      <c r="C341" s="9">
        <v>15</v>
      </c>
      <c r="D341">
        <v>1</v>
      </c>
      <c r="E341">
        <v>1</v>
      </c>
      <c r="F341">
        <v>1</v>
      </c>
      <c r="G341" s="10">
        <v>1</v>
      </c>
      <c r="H341" t="s">
        <v>46</v>
      </c>
      <c r="I341" t="s">
        <v>1151</v>
      </c>
      <c r="J341" t="s">
        <v>1154</v>
      </c>
      <c r="K341" s="11" t="s">
        <v>1151</v>
      </c>
    </row>
    <row r="342" spans="1:11">
      <c r="A342" t="s">
        <v>1164</v>
      </c>
      <c r="B342" s="8">
        <v>3.1120000000000001</v>
      </c>
      <c r="C342" s="9">
        <v>8.1</v>
      </c>
      <c r="D342">
        <v>1</v>
      </c>
      <c r="E342">
        <v>1</v>
      </c>
      <c r="F342">
        <v>1</v>
      </c>
      <c r="G342" s="10">
        <v>1</v>
      </c>
      <c r="H342" t="s">
        <v>46</v>
      </c>
      <c r="I342" t="s">
        <v>1151</v>
      </c>
      <c r="J342" t="s">
        <v>1154</v>
      </c>
      <c r="K342" s="11" t="s">
        <v>1151</v>
      </c>
    </row>
    <row r="343" spans="1:11">
      <c r="A343" t="s">
        <v>1165</v>
      </c>
      <c r="B343" s="8">
        <v>7.1</v>
      </c>
      <c r="C343" s="9">
        <v>18</v>
      </c>
      <c r="D343">
        <v>1</v>
      </c>
      <c r="E343">
        <v>1</v>
      </c>
      <c r="F343">
        <v>1</v>
      </c>
      <c r="G343" s="10">
        <v>1</v>
      </c>
      <c r="H343" t="s">
        <v>46</v>
      </c>
      <c r="I343" t="s">
        <v>1151</v>
      </c>
      <c r="J343" t="s">
        <v>1154</v>
      </c>
      <c r="K343" s="11" t="s">
        <v>1151</v>
      </c>
    </row>
    <row r="344" spans="1:11">
      <c r="A344" t="s">
        <v>1166</v>
      </c>
      <c r="B344" s="8">
        <v>3.0230000000000001</v>
      </c>
      <c r="C344" s="9">
        <v>4</v>
      </c>
      <c r="D344">
        <v>1</v>
      </c>
      <c r="E344">
        <v>1</v>
      </c>
      <c r="F344">
        <v>1</v>
      </c>
      <c r="G344" s="10">
        <v>1</v>
      </c>
      <c r="H344" t="s">
        <v>46</v>
      </c>
      <c r="I344" t="s">
        <v>1151</v>
      </c>
      <c r="J344" t="s">
        <v>1154</v>
      </c>
      <c r="K344" s="11" t="s">
        <v>1151</v>
      </c>
    </row>
    <row r="345" spans="1:11">
      <c r="A345" t="s">
        <v>1167</v>
      </c>
      <c r="B345" s="8">
        <v>18.088999999999999</v>
      </c>
      <c r="C345" s="9">
        <v>7.6</v>
      </c>
      <c r="D345">
        <v>9</v>
      </c>
      <c r="E345">
        <v>7</v>
      </c>
      <c r="F345">
        <v>7</v>
      </c>
      <c r="G345" s="10">
        <v>0.77777777777777779</v>
      </c>
      <c r="H345" t="s">
        <v>46</v>
      </c>
      <c r="I345" t="s">
        <v>1168</v>
      </c>
      <c r="J345" t="s">
        <v>1169</v>
      </c>
      <c r="K345" s="11" t="s">
        <v>1170</v>
      </c>
    </row>
    <row r="346" spans="1:11">
      <c r="A346" t="s">
        <v>1171</v>
      </c>
      <c r="B346" s="8">
        <v>5.9779999999999998</v>
      </c>
      <c r="C346" s="9">
        <v>5.6</v>
      </c>
      <c r="D346">
        <v>4</v>
      </c>
      <c r="E346">
        <v>2</v>
      </c>
      <c r="F346">
        <v>3</v>
      </c>
      <c r="G346" s="10">
        <v>0.75</v>
      </c>
      <c r="H346" t="s">
        <v>46</v>
      </c>
      <c r="I346" t="s">
        <v>1172</v>
      </c>
      <c r="J346" t="s">
        <v>1173</v>
      </c>
      <c r="K346" s="11" t="s">
        <v>1151</v>
      </c>
    </row>
    <row r="347" spans="1:11">
      <c r="A347" t="s">
        <v>1174</v>
      </c>
      <c r="B347" s="8">
        <v>4.8109999999999999</v>
      </c>
      <c r="C347" s="9">
        <v>7.8</v>
      </c>
      <c r="D347">
        <v>3</v>
      </c>
      <c r="E347">
        <v>3</v>
      </c>
      <c r="F347">
        <v>3</v>
      </c>
      <c r="G347" s="10">
        <v>1</v>
      </c>
      <c r="H347" t="s">
        <v>46</v>
      </c>
      <c r="I347" t="s">
        <v>1175</v>
      </c>
      <c r="J347" t="s">
        <v>1176</v>
      </c>
      <c r="K347" s="11" t="s">
        <v>1160</v>
      </c>
    </row>
    <row r="348" spans="1:11">
      <c r="A348" t="s">
        <v>1177</v>
      </c>
      <c r="B348" s="8">
        <v>6.3689999999999998</v>
      </c>
      <c r="C348" s="9">
        <v>20</v>
      </c>
      <c r="D348">
        <v>2</v>
      </c>
      <c r="E348">
        <v>2</v>
      </c>
      <c r="F348">
        <v>2</v>
      </c>
      <c r="G348" s="10">
        <v>1</v>
      </c>
      <c r="H348" t="s">
        <v>46</v>
      </c>
      <c r="I348" t="s">
        <v>1178</v>
      </c>
      <c r="J348" t="s">
        <v>1179</v>
      </c>
      <c r="K348" s="11" t="s">
        <v>1151</v>
      </c>
    </row>
    <row r="349" spans="1:11">
      <c r="A349" t="s">
        <v>1180</v>
      </c>
      <c r="B349" s="8">
        <v>2.617</v>
      </c>
      <c r="C349" s="9">
        <v>3.4</v>
      </c>
      <c r="D349">
        <v>3</v>
      </c>
      <c r="E349">
        <v>2</v>
      </c>
      <c r="F349">
        <v>3</v>
      </c>
      <c r="G349" s="10">
        <v>1</v>
      </c>
      <c r="H349" t="s">
        <v>46</v>
      </c>
      <c r="I349" t="s">
        <v>1181</v>
      </c>
      <c r="J349" t="s">
        <v>1182</v>
      </c>
      <c r="K349" s="11" t="s">
        <v>1151</v>
      </c>
    </row>
    <row r="350" spans="1:11">
      <c r="A350" t="s">
        <v>1183</v>
      </c>
      <c r="B350" s="8">
        <v>26.17</v>
      </c>
      <c r="C350" s="9">
        <v>30</v>
      </c>
      <c r="D350">
        <v>16</v>
      </c>
      <c r="E350">
        <v>14</v>
      </c>
      <c r="F350">
        <v>11</v>
      </c>
      <c r="G350" s="10">
        <v>0.6875</v>
      </c>
      <c r="H350" t="s">
        <v>46</v>
      </c>
      <c r="I350" t="s">
        <v>1184</v>
      </c>
      <c r="J350" t="s">
        <v>1185</v>
      </c>
      <c r="K350" s="11" t="s">
        <v>1186</v>
      </c>
    </row>
    <row r="351" spans="1:11">
      <c r="A351" t="s">
        <v>1187</v>
      </c>
      <c r="B351" s="8">
        <v>11.557</v>
      </c>
      <c r="C351" s="9">
        <v>9.4</v>
      </c>
      <c r="D351">
        <v>9</v>
      </c>
      <c r="E351">
        <v>8</v>
      </c>
      <c r="F351">
        <v>8</v>
      </c>
      <c r="G351" s="10">
        <v>0.88888888888888884</v>
      </c>
      <c r="H351" t="s">
        <v>46</v>
      </c>
      <c r="I351" t="s">
        <v>1188</v>
      </c>
      <c r="J351" t="s">
        <v>1185</v>
      </c>
      <c r="K351" s="11" t="s">
        <v>1189</v>
      </c>
    </row>
    <row r="352" spans="1:11">
      <c r="A352" t="s">
        <v>1190</v>
      </c>
      <c r="B352" s="8">
        <v>23.181999999999999</v>
      </c>
      <c r="C352" s="9">
        <v>38</v>
      </c>
      <c r="D352">
        <v>2</v>
      </c>
      <c r="E352">
        <v>2</v>
      </c>
      <c r="F352">
        <v>2</v>
      </c>
      <c r="G352" s="10">
        <v>1</v>
      </c>
      <c r="H352" t="s">
        <v>46</v>
      </c>
      <c r="I352" t="s">
        <v>1191</v>
      </c>
      <c r="J352" t="s">
        <v>1192</v>
      </c>
      <c r="K352" s="11" t="s">
        <v>1133</v>
      </c>
    </row>
    <row r="353" spans="1:11">
      <c r="A353" t="s">
        <v>1193</v>
      </c>
      <c r="B353" s="8">
        <v>3.3130000000000002</v>
      </c>
      <c r="C353" s="9">
        <v>11</v>
      </c>
      <c r="D353">
        <v>3</v>
      </c>
      <c r="E353">
        <v>2</v>
      </c>
      <c r="F353">
        <v>1</v>
      </c>
      <c r="G353" s="10">
        <v>0.33333333333333331</v>
      </c>
      <c r="H353" t="s">
        <v>46</v>
      </c>
      <c r="I353" t="s">
        <v>1194</v>
      </c>
      <c r="J353" t="s">
        <v>1195</v>
      </c>
      <c r="K353" s="11" t="s">
        <v>1151</v>
      </c>
    </row>
    <row r="354" spans="1:11">
      <c r="A354" t="s">
        <v>1196</v>
      </c>
      <c r="B354" s="8">
        <v>2.9119999999999999</v>
      </c>
      <c r="C354" s="9">
        <v>15</v>
      </c>
      <c r="D354">
        <v>2</v>
      </c>
      <c r="E354">
        <v>2</v>
      </c>
      <c r="F354">
        <v>2</v>
      </c>
      <c r="G354" s="10">
        <v>1</v>
      </c>
      <c r="H354" t="s">
        <v>46</v>
      </c>
      <c r="I354" t="s">
        <v>1197</v>
      </c>
      <c r="J354" t="s">
        <v>1198</v>
      </c>
      <c r="K354" s="11" t="s">
        <v>1199</v>
      </c>
    </row>
    <row r="355" spans="1:11">
      <c r="A355" t="s">
        <v>1200</v>
      </c>
      <c r="B355" s="8">
        <v>3.5270000000000001</v>
      </c>
      <c r="C355" s="9">
        <v>1.7</v>
      </c>
      <c r="D355">
        <v>2</v>
      </c>
      <c r="E355">
        <v>2</v>
      </c>
      <c r="F355">
        <v>1</v>
      </c>
      <c r="G355" s="10">
        <v>0.5</v>
      </c>
      <c r="H355" t="s">
        <v>46</v>
      </c>
      <c r="I355" t="s">
        <v>1201</v>
      </c>
      <c r="J355" t="s">
        <v>1202</v>
      </c>
      <c r="K355" s="11" t="s">
        <v>1203</v>
      </c>
    </row>
    <row r="356" spans="1:11">
      <c r="A356" t="s">
        <v>1204</v>
      </c>
      <c r="B356" s="8">
        <v>9.0839999999999996</v>
      </c>
      <c r="C356" s="9">
        <v>18</v>
      </c>
      <c r="D356">
        <v>2</v>
      </c>
      <c r="E356">
        <v>2</v>
      </c>
      <c r="F356">
        <v>2</v>
      </c>
      <c r="G356" s="10">
        <v>1</v>
      </c>
      <c r="H356" t="s">
        <v>46</v>
      </c>
      <c r="I356" t="s">
        <v>1205</v>
      </c>
      <c r="J356" t="s">
        <v>1206</v>
      </c>
      <c r="K356" s="11" t="s">
        <v>1091</v>
      </c>
    </row>
    <row r="357" spans="1:11">
      <c r="A357" t="s">
        <v>1207</v>
      </c>
      <c r="B357" s="8">
        <v>3.944</v>
      </c>
      <c r="C357" s="9">
        <v>2.2000000000000002</v>
      </c>
      <c r="D357">
        <v>2</v>
      </c>
      <c r="E357">
        <v>2</v>
      </c>
      <c r="F357">
        <v>2</v>
      </c>
      <c r="G357" s="10">
        <v>1</v>
      </c>
      <c r="H357" t="s">
        <v>46</v>
      </c>
      <c r="I357" t="s">
        <v>1208</v>
      </c>
      <c r="J357" t="s">
        <v>1209</v>
      </c>
      <c r="K357" s="11" t="s">
        <v>1210</v>
      </c>
    </row>
    <row r="358" spans="1:11">
      <c r="A358" t="s">
        <v>1211</v>
      </c>
      <c r="B358" s="8">
        <v>3.5259999999999998</v>
      </c>
      <c r="C358" s="9">
        <v>51</v>
      </c>
      <c r="D358">
        <v>3</v>
      </c>
      <c r="E358">
        <v>3</v>
      </c>
      <c r="F358">
        <v>2</v>
      </c>
      <c r="G358" s="10">
        <v>0.66666666666666663</v>
      </c>
      <c r="H358" t="s">
        <v>46</v>
      </c>
      <c r="I358" t="s">
        <v>1212</v>
      </c>
      <c r="J358" t="s">
        <v>1213</v>
      </c>
      <c r="K358" s="11" t="s">
        <v>1214</v>
      </c>
    </row>
    <row r="359" spans="1:11">
      <c r="A359" t="s">
        <v>1215</v>
      </c>
      <c r="B359" s="8">
        <v>15.058999999999999</v>
      </c>
      <c r="C359" s="9">
        <v>52</v>
      </c>
      <c r="D359">
        <v>10</v>
      </c>
      <c r="E359">
        <v>6</v>
      </c>
      <c r="F359">
        <v>8</v>
      </c>
      <c r="G359" s="10">
        <v>0.8</v>
      </c>
      <c r="H359" t="s">
        <v>46</v>
      </c>
      <c r="I359" t="s">
        <v>1216</v>
      </c>
      <c r="J359" t="s">
        <v>1217</v>
      </c>
      <c r="K359" s="11" t="s">
        <v>1218</v>
      </c>
    </row>
    <row r="360" spans="1:11">
      <c r="A360" t="s">
        <v>1219</v>
      </c>
      <c r="B360" s="8">
        <v>5.1859999999999999</v>
      </c>
      <c r="C360" s="9">
        <v>4.5999999999999996</v>
      </c>
      <c r="D360">
        <v>6</v>
      </c>
      <c r="E360">
        <v>6</v>
      </c>
      <c r="F360">
        <v>6</v>
      </c>
      <c r="G360" s="10">
        <v>1</v>
      </c>
      <c r="H360" t="s">
        <v>46</v>
      </c>
      <c r="I360" t="s">
        <v>1220</v>
      </c>
      <c r="J360" t="s">
        <v>1221</v>
      </c>
      <c r="K360" s="11" t="s">
        <v>1222</v>
      </c>
    </row>
    <row r="361" spans="1:11">
      <c r="A361" t="s">
        <v>1223</v>
      </c>
      <c r="B361" s="8">
        <v>4.1589999999999998</v>
      </c>
      <c r="C361" s="9">
        <v>6.1</v>
      </c>
      <c r="D361">
        <v>2</v>
      </c>
      <c r="E361">
        <v>2</v>
      </c>
      <c r="F361">
        <v>2</v>
      </c>
      <c r="G361" s="10">
        <v>1</v>
      </c>
      <c r="H361" t="s">
        <v>46</v>
      </c>
      <c r="I361" t="s">
        <v>1224</v>
      </c>
      <c r="J361" t="s">
        <v>1225</v>
      </c>
      <c r="K361" s="11" t="s">
        <v>1226</v>
      </c>
    </row>
    <row r="362" spans="1:11">
      <c r="A362" t="s">
        <v>1227</v>
      </c>
      <c r="B362" s="8">
        <v>3.9359999999999999</v>
      </c>
      <c r="C362" s="9">
        <v>2.2000000000000002</v>
      </c>
      <c r="D362">
        <v>5</v>
      </c>
      <c r="E362">
        <v>5</v>
      </c>
      <c r="F362">
        <v>5</v>
      </c>
      <c r="G362" s="10">
        <v>1</v>
      </c>
      <c r="H362" t="s">
        <v>46</v>
      </c>
      <c r="I362" t="s">
        <v>1228</v>
      </c>
      <c r="J362" t="s">
        <v>1229</v>
      </c>
      <c r="K362" s="11" t="s">
        <v>1230</v>
      </c>
    </row>
    <row r="363" spans="1:11">
      <c r="A363" t="s">
        <v>1231</v>
      </c>
      <c r="B363" s="8">
        <v>3.4540000000000002</v>
      </c>
      <c r="C363" s="9">
        <v>22</v>
      </c>
      <c r="D363">
        <v>2</v>
      </c>
      <c r="E363">
        <v>2</v>
      </c>
      <c r="F363">
        <v>2</v>
      </c>
      <c r="G363" s="10">
        <v>1</v>
      </c>
      <c r="H363" t="s">
        <v>46</v>
      </c>
      <c r="I363" t="s">
        <v>1232</v>
      </c>
      <c r="J363" t="s">
        <v>1233</v>
      </c>
      <c r="K363" s="11" t="s">
        <v>1226</v>
      </c>
    </row>
    <row r="364" spans="1:11">
      <c r="A364" t="s">
        <v>1234</v>
      </c>
      <c r="B364" s="8">
        <v>3.629</v>
      </c>
      <c r="C364" s="9">
        <v>43</v>
      </c>
      <c r="D364">
        <v>5</v>
      </c>
      <c r="E364">
        <v>3</v>
      </c>
      <c r="F364">
        <v>5</v>
      </c>
      <c r="G364" s="10">
        <v>1</v>
      </c>
      <c r="H364" t="s">
        <v>46</v>
      </c>
      <c r="I364" t="s">
        <v>1235</v>
      </c>
      <c r="J364" t="s">
        <v>1236</v>
      </c>
      <c r="K364" s="11" t="s">
        <v>1235</v>
      </c>
    </row>
    <row r="365" spans="1:11">
      <c r="A365" t="s">
        <v>1237</v>
      </c>
      <c r="B365" s="8">
        <v>4.5739999999999998</v>
      </c>
      <c r="C365" s="9">
        <v>4.5</v>
      </c>
      <c r="D365">
        <v>5</v>
      </c>
      <c r="E365">
        <v>5</v>
      </c>
      <c r="F365">
        <v>5</v>
      </c>
      <c r="G365" s="10">
        <v>1</v>
      </c>
      <c r="H365" t="s">
        <v>46</v>
      </c>
      <c r="I365" t="s">
        <v>1238</v>
      </c>
      <c r="J365" t="s">
        <v>1239</v>
      </c>
      <c r="K365" s="11" t="s">
        <v>1240</v>
      </c>
    </row>
    <row r="366" spans="1:11">
      <c r="A366" t="s">
        <v>1241</v>
      </c>
      <c r="B366" s="8">
        <v>3.1669999999999998</v>
      </c>
      <c r="C366" s="9">
        <v>4.5</v>
      </c>
      <c r="D366">
        <v>2</v>
      </c>
      <c r="E366">
        <v>2</v>
      </c>
      <c r="F366">
        <v>2</v>
      </c>
      <c r="G366" s="10">
        <v>1</v>
      </c>
      <c r="H366" t="s">
        <v>46</v>
      </c>
      <c r="I366" t="s">
        <v>1242</v>
      </c>
      <c r="J366" t="s">
        <v>1243</v>
      </c>
      <c r="K366" s="11" t="s">
        <v>1226</v>
      </c>
    </row>
    <row r="367" spans="1:11">
      <c r="A367" t="s">
        <v>1244</v>
      </c>
      <c r="B367" s="8">
        <v>5.452</v>
      </c>
      <c r="C367" s="9">
        <v>7.9</v>
      </c>
      <c r="D367">
        <v>2</v>
      </c>
      <c r="E367">
        <v>2</v>
      </c>
      <c r="F367">
        <v>2</v>
      </c>
      <c r="G367" s="10">
        <v>1</v>
      </c>
      <c r="H367" t="s">
        <v>46</v>
      </c>
      <c r="I367" t="s">
        <v>1245</v>
      </c>
      <c r="J367" t="s">
        <v>1246</v>
      </c>
      <c r="K367" s="11" t="s">
        <v>1247</v>
      </c>
    </row>
    <row r="368" spans="1:11">
      <c r="A368" t="s">
        <v>1248</v>
      </c>
      <c r="B368" s="8">
        <v>2.9540000000000002</v>
      </c>
      <c r="C368" s="9">
        <v>11</v>
      </c>
      <c r="D368">
        <v>1</v>
      </c>
      <c r="E368">
        <v>1</v>
      </c>
      <c r="F368">
        <v>1</v>
      </c>
      <c r="G368" s="10">
        <v>1</v>
      </c>
      <c r="H368" t="s">
        <v>46</v>
      </c>
      <c r="I368" t="s">
        <v>1249</v>
      </c>
      <c r="J368" t="s">
        <v>1246</v>
      </c>
      <c r="K368" s="11" t="s">
        <v>1249</v>
      </c>
    </row>
    <row r="369" spans="1:11">
      <c r="A369" t="s">
        <v>1250</v>
      </c>
      <c r="B369" s="8">
        <v>2.7639999999999998</v>
      </c>
      <c r="C369" s="9">
        <v>1.4</v>
      </c>
      <c r="D369">
        <v>2</v>
      </c>
      <c r="E369">
        <v>1</v>
      </c>
      <c r="F369">
        <v>1</v>
      </c>
      <c r="G369" s="10">
        <v>0.5</v>
      </c>
      <c r="H369" t="s">
        <v>46</v>
      </c>
      <c r="I369" t="s">
        <v>1251</v>
      </c>
      <c r="J369" t="s">
        <v>1252</v>
      </c>
      <c r="K369" s="11" t="s">
        <v>1251</v>
      </c>
    </row>
    <row r="370" spans="1:11">
      <c r="A370" t="s">
        <v>1253</v>
      </c>
      <c r="B370" s="8">
        <v>4.367</v>
      </c>
      <c r="C370" s="9">
        <v>4.3</v>
      </c>
      <c r="D370">
        <v>4</v>
      </c>
      <c r="E370">
        <v>4</v>
      </c>
      <c r="F370">
        <v>4</v>
      </c>
      <c r="G370" s="10">
        <v>1</v>
      </c>
      <c r="H370" t="s">
        <v>46</v>
      </c>
      <c r="I370" t="s">
        <v>1254</v>
      </c>
      <c r="J370" t="s">
        <v>1255</v>
      </c>
      <c r="K370" s="11" t="s">
        <v>1256</v>
      </c>
    </row>
    <row r="371" spans="1:11">
      <c r="A371" t="s">
        <v>1257</v>
      </c>
      <c r="B371" s="8">
        <v>8.4540000000000006</v>
      </c>
      <c r="C371" s="9">
        <v>37</v>
      </c>
      <c r="D371">
        <v>6</v>
      </c>
      <c r="E371">
        <v>4</v>
      </c>
      <c r="F371">
        <v>6</v>
      </c>
      <c r="G371" s="10">
        <v>1</v>
      </c>
      <c r="H371" t="s">
        <v>46</v>
      </c>
      <c r="I371" t="s">
        <v>1258</v>
      </c>
      <c r="J371" t="s">
        <v>1259</v>
      </c>
      <c r="K371" s="11" t="s">
        <v>1258</v>
      </c>
    </row>
    <row r="372" spans="1:11">
      <c r="A372" t="s">
        <v>1260</v>
      </c>
      <c r="B372" s="8">
        <v>6.5380000000000003</v>
      </c>
      <c r="C372" s="9">
        <v>4.9000000000000004</v>
      </c>
      <c r="D372">
        <v>5</v>
      </c>
      <c r="E372">
        <v>5</v>
      </c>
      <c r="F372">
        <v>5</v>
      </c>
      <c r="G372" s="10">
        <v>1</v>
      </c>
      <c r="H372" t="s">
        <v>46</v>
      </c>
      <c r="I372" t="s">
        <v>1261</v>
      </c>
      <c r="J372" t="s">
        <v>1259</v>
      </c>
      <c r="K372" s="11" t="s">
        <v>1261</v>
      </c>
    </row>
    <row r="373" spans="1:11">
      <c r="A373" t="s">
        <v>1262</v>
      </c>
      <c r="B373" s="8">
        <v>4.2809999999999997</v>
      </c>
      <c r="C373" s="9">
        <v>5.3</v>
      </c>
      <c r="D373">
        <v>3</v>
      </c>
      <c r="E373">
        <v>3</v>
      </c>
      <c r="F373">
        <v>3</v>
      </c>
      <c r="G373" s="10">
        <v>1</v>
      </c>
      <c r="H373" t="s">
        <v>46</v>
      </c>
      <c r="I373" t="s">
        <v>1263</v>
      </c>
      <c r="J373" t="s">
        <v>1259</v>
      </c>
      <c r="K373" s="11" t="s">
        <v>1263</v>
      </c>
    </row>
    <row r="374" spans="1:11">
      <c r="A374" t="s">
        <v>1264</v>
      </c>
      <c r="B374" s="8">
        <v>3.2360000000000002</v>
      </c>
      <c r="C374" s="9">
        <v>38</v>
      </c>
      <c r="D374">
        <v>2</v>
      </c>
      <c r="E374">
        <v>2</v>
      </c>
      <c r="F374">
        <v>2</v>
      </c>
      <c r="G374" s="10">
        <v>1</v>
      </c>
      <c r="H374" t="s">
        <v>46</v>
      </c>
      <c r="I374" t="s">
        <v>1265</v>
      </c>
      <c r="J374" t="s">
        <v>1259</v>
      </c>
      <c r="K374" s="11" t="s">
        <v>1265</v>
      </c>
    </row>
    <row r="375" spans="1:11">
      <c r="A375" t="s">
        <v>1266</v>
      </c>
      <c r="B375" s="8">
        <v>2.4289999999999998</v>
      </c>
      <c r="C375" s="9">
        <v>58</v>
      </c>
      <c r="D375">
        <v>1</v>
      </c>
      <c r="E375">
        <v>1</v>
      </c>
      <c r="F375">
        <v>1</v>
      </c>
      <c r="G375" s="10">
        <v>1</v>
      </c>
      <c r="H375" t="s">
        <v>46</v>
      </c>
      <c r="I375" t="s">
        <v>1023</v>
      </c>
      <c r="J375" t="s">
        <v>1259</v>
      </c>
      <c r="K375" s="11" t="s">
        <v>1023</v>
      </c>
    </row>
    <row r="376" spans="1:11">
      <c r="A376" t="s">
        <v>1267</v>
      </c>
      <c r="B376" s="8">
        <v>3.0670000000000002</v>
      </c>
      <c r="C376" s="9">
        <v>2.1</v>
      </c>
      <c r="D376">
        <v>3</v>
      </c>
      <c r="E376">
        <v>2</v>
      </c>
      <c r="F376">
        <v>2</v>
      </c>
      <c r="G376" s="10">
        <v>0.66666666666666663</v>
      </c>
      <c r="H376" t="s">
        <v>46</v>
      </c>
      <c r="I376" t="s">
        <v>1268</v>
      </c>
      <c r="J376" t="s">
        <v>1269</v>
      </c>
      <c r="K376" s="11" t="s">
        <v>1023</v>
      </c>
    </row>
    <row r="377" spans="1:11">
      <c r="A377" t="s">
        <v>1270</v>
      </c>
      <c r="B377" s="8">
        <v>8.8019999999999996</v>
      </c>
      <c r="C377" s="9">
        <v>7.6</v>
      </c>
      <c r="D377">
        <v>6</v>
      </c>
      <c r="E377">
        <v>5</v>
      </c>
      <c r="F377">
        <v>5</v>
      </c>
      <c r="G377" s="10">
        <v>0.83333333333333337</v>
      </c>
      <c r="H377" t="s">
        <v>46</v>
      </c>
      <c r="I377" t="s">
        <v>1271</v>
      </c>
      <c r="J377" t="s">
        <v>1272</v>
      </c>
      <c r="K377" s="11" t="s">
        <v>1273</v>
      </c>
    </row>
    <row r="378" spans="1:11">
      <c r="A378" t="s">
        <v>1274</v>
      </c>
      <c r="B378" s="8">
        <v>15.581</v>
      </c>
      <c r="C378" s="9">
        <v>31</v>
      </c>
      <c r="D378">
        <v>12</v>
      </c>
      <c r="E378">
        <v>11</v>
      </c>
      <c r="F378">
        <v>11</v>
      </c>
      <c r="G378" s="10">
        <v>0.91666666666666663</v>
      </c>
      <c r="H378" t="s">
        <v>46</v>
      </c>
      <c r="I378" t="s">
        <v>1275</v>
      </c>
      <c r="J378" t="s">
        <v>1276</v>
      </c>
      <c r="K378" s="11" t="s">
        <v>1277</v>
      </c>
    </row>
    <row r="379" spans="1:11">
      <c r="A379" t="s">
        <v>1278</v>
      </c>
      <c r="B379" s="8">
        <v>10.196</v>
      </c>
      <c r="C379" s="9">
        <v>26</v>
      </c>
      <c r="D379">
        <v>13</v>
      </c>
      <c r="E379">
        <v>11</v>
      </c>
      <c r="F379">
        <v>11</v>
      </c>
      <c r="G379" s="10">
        <v>0.84615384615384615</v>
      </c>
      <c r="H379" t="s">
        <v>46</v>
      </c>
      <c r="I379" t="s">
        <v>1279</v>
      </c>
      <c r="J379" t="s">
        <v>1276</v>
      </c>
      <c r="K379" s="11" t="s">
        <v>1280</v>
      </c>
    </row>
    <row r="380" spans="1:11">
      <c r="A380" t="s">
        <v>1281</v>
      </c>
      <c r="B380" s="8">
        <v>24.45</v>
      </c>
      <c r="C380" s="9">
        <v>20</v>
      </c>
      <c r="D380">
        <v>15</v>
      </c>
      <c r="E380">
        <v>14</v>
      </c>
      <c r="F380">
        <v>13</v>
      </c>
      <c r="G380" s="10">
        <v>0.8666666666666667</v>
      </c>
      <c r="H380" t="s">
        <v>46</v>
      </c>
      <c r="I380" t="s">
        <v>1282</v>
      </c>
      <c r="J380" t="s">
        <v>1283</v>
      </c>
      <c r="K380" s="11" t="s">
        <v>1284</v>
      </c>
    </row>
    <row r="381" spans="1:11">
      <c r="A381" t="s">
        <v>1285</v>
      </c>
      <c r="B381" s="8">
        <v>15.938000000000001</v>
      </c>
      <c r="C381" s="9">
        <v>18</v>
      </c>
      <c r="D381">
        <v>11</v>
      </c>
      <c r="E381">
        <v>11</v>
      </c>
      <c r="F381">
        <v>10</v>
      </c>
      <c r="G381" s="10">
        <v>0.90909090909090906</v>
      </c>
      <c r="H381" t="s">
        <v>46</v>
      </c>
      <c r="I381" t="s">
        <v>1286</v>
      </c>
      <c r="J381" t="s">
        <v>1287</v>
      </c>
      <c r="K381" s="11" t="s">
        <v>1288</v>
      </c>
    </row>
    <row r="382" spans="1:11">
      <c r="A382" t="s">
        <v>1289</v>
      </c>
      <c r="B382" s="8">
        <v>6.6639999999999997</v>
      </c>
      <c r="C382" s="9">
        <v>4.2</v>
      </c>
      <c r="D382">
        <v>4</v>
      </c>
      <c r="E382">
        <v>4</v>
      </c>
      <c r="F382">
        <v>4</v>
      </c>
      <c r="G382" s="10">
        <v>1</v>
      </c>
      <c r="H382" t="s">
        <v>46</v>
      </c>
      <c r="I382" t="s">
        <v>1290</v>
      </c>
      <c r="J382" t="s">
        <v>1291</v>
      </c>
      <c r="K382" s="11" t="s">
        <v>1292</v>
      </c>
    </row>
    <row r="383" spans="1:11">
      <c r="A383" t="s">
        <v>1293</v>
      </c>
      <c r="B383" s="8">
        <v>45.835000000000001</v>
      </c>
      <c r="C383" s="9">
        <v>37</v>
      </c>
      <c r="D383">
        <v>45</v>
      </c>
      <c r="E383">
        <v>41</v>
      </c>
      <c r="F383">
        <v>41</v>
      </c>
      <c r="G383" s="10">
        <v>0.91111111111111109</v>
      </c>
      <c r="H383" t="s">
        <v>46</v>
      </c>
      <c r="I383" t="s">
        <v>1294</v>
      </c>
      <c r="J383" t="s">
        <v>1295</v>
      </c>
      <c r="K383" s="11" t="s">
        <v>1296</v>
      </c>
    </row>
    <row r="384" spans="1:11">
      <c r="A384" t="s">
        <v>1297</v>
      </c>
      <c r="B384" s="8">
        <v>12.384</v>
      </c>
      <c r="C384" s="9">
        <v>31</v>
      </c>
      <c r="D384">
        <v>8</v>
      </c>
      <c r="E384">
        <v>6</v>
      </c>
      <c r="F384">
        <v>6</v>
      </c>
      <c r="G384" s="10">
        <v>0.75</v>
      </c>
      <c r="H384" t="s">
        <v>46</v>
      </c>
      <c r="I384" t="s">
        <v>1298</v>
      </c>
      <c r="J384" t="s">
        <v>1299</v>
      </c>
      <c r="K384" s="11" t="s">
        <v>1300</v>
      </c>
    </row>
    <row r="385" spans="1:11">
      <c r="A385" t="s">
        <v>1301</v>
      </c>
      <c r="B385" s="8">
        <v>13.999000000000001</v>
      </c>
      <c r="C385" s="9">
        <v>19</v>
      </c>
      <c r="D385">
        <v>9</v>
      </c>
      <c r="E385">
        <v>8</v>
      </c>
      <c r="F385">
        <v>8</v>
      </c>
      <c r="G385" s="10">
        <v>0.88888888888888884</v>
      </c>
      <c r="H385" t="s">
        <v>46</v>
      </c>
      <c r="I385" t="s">
        <v>1302</v>
      </c>
      <c r="J385" t="s">
        <v>1303</v>
      </c>
      <c r="K385" s="11" t="s">
        <v>1304</v>
      </c>
    </row>
    <row r="386" spans="1:11">
      <c r="A386" t="s">
        <v>1305</v>
      </c>
      <c r="B386" s="8">
        <v>23.193999999999999</v>
      </c>
      <c r="C386" s="9">
        <v>34</v>
      </c>
      <c r="D386">
        <v>20</v>
      </c>
      <c r="E386">
        <v>16</v>
      </c>
      <c r="F386">
        <v>19</v>
      </c>
      <c r="G386" s="10">
        <v>0.95</v>
      </c>
      <c r="H386" t="s">
        <v>46</v>
      </c>
      <c r="I386" t="s">
        <v>1306</v>
      </c>
      <c r="J386" t="s">
        <v>1307</v>
      </c>
      <c r="K386" s="11" t="s">
        <v>1308</v>
      </c>
    </row>
    <row r="387" spans="1:11">
      <c r="A387" t="s">
        <v>1309</v>
      </c>
      <c r="B387" s="8">
        <v>6.67</v>
      </c>
      <c r="C387" s="9">
        <v>18</v>
      </c>
      <c r="D387">
        <v>9</v>
      </c>
      <c r="E387">
        <v>8</v>
      </c>
      <c r="F387">
        <v>8</v>
      </c>
      <c r="G387" s="10">
        <v>0.88888888888888884</v>
      </c>
      <c r="H387" t="s">
        <v>46</v>
      </c>
      <c r="I387" t="s">
        <v>1310</v>
      </c>
      <c r="J387" t="s">
        <v>1311</v>
      </c>
      <c r="K387" s="11" t="s">
        <v>1312</v>
      </c>
    </row>
    <row r="388" spans="1:11">
      <c r="A388" t="s">
        <v>1313</v>
      </c>
      <c r="B388" s="8">
        <v>3.0129999999999999</v>
      </c>
      <c r="C388" s="9">
        <v>2.2000000000000002</v>
      </c>
      <c r="D388">
        <v>2</v>
      </c>
      <c r="E388">
        <v>2</v>
      </c>
      <c r="F388">
        <v>1</v>
      </c>
      <c r="G388" s="10">
        <v>0.5</v>
      </c>
      <c r="H388" t="s">
        <v>46</v>
      </c>
      <c r="I388" t="s">
        <v>1314</v>
      </c>
      <c r="J388" t="s">
        <v>1315</v>
      </c>
      <c r="K388" s="11" t="s">
        <v>1316</v>
      </c>
    </row>
    <row r="389" spans="1:11">
      <c r="A389" t="s">
        <v>1317</v>
      </c>
      <c r="B389" s="8">
        <v>6.1420000000000003</v>
      </c>
      <c r="C389" s="9">
        <v>4.3</v>
      </c>
      <c r="D389">
        <v>3</v>
      </c>
      <c r="E389">
        <v>3</v>
      </c>
      <c r="F389">
        <v>3</v>
      </c>
      <c r="G389" s="10">
        <v>1</v>
      </c>
      <c r="H389" t="s">
        <v>46</v>
      </c>
      <c r="I389" t="s">
        <v>1318</v>
      </c>
      <c r="J389" t="s">
        <v>1319</v>
      </c>
      <c r="K389" s="11" t="s">
        <v>1256</v>
      </c>
    </row>
    <row r="390" spans="1:11">
      <c r="A390" t="s">
        <v>1320</v>
      </c>
      <c r="B390" s="8">
        <v>2.613</v>
      </c>
      <c r="C390" s="9">
        <v>23</v>
      </c>
      <c r="D390">
        <v>2</v>
      </c>
      <c r="E390">
        <v>2</v>
      </c>
      <c r="F390">
        <v>2</v>
      </c>
      <c r="G390" s="10">
        <v>1</v>
      </c>
      <c r="H390" t="s">
        <v>46</v>
      </c>
      <c r="I390" t="s">
        <v>1321</v>
      </c>
      <c r="J390" t="s">
        <v>1322</v>
      </c>
      <c r="K390" s="11" t="s">
        <v>1023</v>
      </c>
    </row>
    <row r="391" spans="1:11">
      <c r="A391" t="s">
        <v>1323</v>
      </c>
      <c r="B391" s="8">
        <v>2.9750000000000001</v>
      </c>
      <c r="C391" s="9">
        <v>8.4</v>
      </c>
      <c r="D391">
        <v>2</v>
      </c>
      <c r="E391">
        <v>2</v>
      </c>
      <c r="F391">
        <v>2</v>
      </c>
      <c r="G391" s="10">
        <v>1</v>
      </c>
      <c r="H391" t="s">
        <v>46</v>
      </c>
      <c r="I391" t="s">
        <v>1324</v>
      </c>
      <c r="J391" t="s">
        <v>1325</v>
      </c>
      <c r="K391" s="11" t="s">
        <v>1326</v>
      </c>
    </row>
    <row r="392" spans="1:11">
      <c r="A392" t="s">
        <v>1327</v>
      </c>
      <c r="B392" s="8">
        <v>2.4710000000000001</v>
      </c>
      <c r="C392" s="9">
        <v>2.2000000000000002</v>
      </c>
      <c r="D392">
        <v>1</v>
      </c>
      <c r="E392">
        <v>1</v>
      </c>
      <c r="F392">
        <v>1</v>
      </c>
      <c r="G392" s="10">
        <v>1</v>
      </c>
      <c r="H392" t="s">
        <v>46</v>
      </c>
      <c r="I392" t="s">
        <v>1328</v>
      </c>
      <c r="J392" t="s">
        <v>1329</v>
      </c>
      <c r="K392" s="11" t="s">
        <v>1328</v>
      </c>
    </row>
    <row r="393" spans="1:11">
      <c r="A393" t="s">
        <v>1330</v>
      </c>
      <c r="B393" s="8">
        <v>22.98</v>
      </c>
      <c r="C393" s="9">
        <v>19</v>
      </c>
      <c r="D393">
        <v>8</v>
      </c>
      <c r="E393">
        <v>8</v>
      </c>
      <c r="F393">
        <v>7</v>
      </c>
      <c r="G393" s="10">
        <v>0.875</v>
      </c>
      <c r="H393" t="s">
        <v>46</v>
      </c>
      <c r="I393" t="s">
        <v>1331</v>
      </c>
      <c r="J393" t="s">
        <v>1332</v>
      </c>
      <c r="K393" s="11" t="s">
        <v>1333</v>
      </c>
    </row>
    <row r="394" spans="1:11">
      <c r="A394" t="s">
        <v>1334</v>
      </c>
      <c r="B394" s="8">
        <v>2.8740000000000001</v>
      </c>
      <c r="C394" s="9">
        <v>6.7</v>
      </c>
      <c r="D394">
        <v>1</v>
      </c>
      <c r="E394">
        <v>1</v>
      </c>
      <c r="F394">
        <v>1</v>
      </c>
      <c r="G394" s="10">
        <v>1</v>
      </c>
      <c r="H394" t="s">
        <v>46</v>
      </c>
      <c r="I394" t="s">
        <v>1335</v>
      </c>
      <c r="J394" t="s">
        <v>1336</v>
      </c>
      <c r="K394" s="11" t="s">
        <v>1335</v>
      </c>
    </row>
    <row r="395" spans="1:11">
      <c r="A395" t="s">
        <v>1337</v>
      </c>
      <c r="B395" s="8">
        <v>14.613</v>
      </c>
      <c r="C395" s="9">
        <v>5.8</v>
      </c>
      <c r="D395">
        <v>13</v>
      </c>
      <c r="E395">
        <v>13</v>
      </c>
      <c r="F395">
        <v>12</v>
      </c>
      <c r="G395" s="10">
        <v>0.92307692307692313</v>
      </c>
      <c r="H395" t="s">
        <v>46</v>
      </c>
      <c r="I395" t="s">
        <v>1338</v>
      </c>
      <c r="J395" t="s">
        <v>1339</v>
      </c>
      <c r="K395" s="11" t="s">
        <v>1340</v>
      </c>
    </row>
    <row r="396" spans="1:11">
      <c r="A396" t="s">
        <v>1341</v>
      </c>
      <c r="B396" s="8">
        <v>5.6929999999999996</v>
      </c>
      <c r="C396" s="9">
        <v>5</v>
      </c>
      <c r="D396">
        <v>6</v>
      </c>
      <c r="E396">
        <v>6</v>
      </c>
      <c r="F396">
        <v>6</v>
      </c>
      <c r="G396" s="10">
        <v>1</v>
      </c>
      <c r="H396" t="s">
        <v>46</v>
      </c>
      <c r="I396" t="s">
        <v>1342</v>
      </c>
      <c r="J396" t="s">
        <v>1343</v>
      </c>
      <c r="K396" s="11" t="s">
        <v>1344</v>
      </c>
    </row>
    <row r="397" spans="1:11">
      <c r="A397" t="s">
        <v>1345</v>
      </c>
      <c r="B397" s="8">
        <v>3.08</v>
      </c>
      <c r="C397" s="9">
        <v>2.1</v>
      </c>
      <c r="D397">
        <v>2</v>
      </c>
      <c r="E397">
        <v>2</v>
      </c>
      <c r="F397">
        <v>1</v>
      </c>
      <c r="G397" s="10">
        <v>0.5</v>
      </c>
      <c r="H397" t="s">
        <v>46</v>
      </c>
      <c r="I397" t="s">
        <v>1346</v>
      </c>
      <c r="J397" t="s">
        <v>1347</v>
      </c>
      <c r="K397" s="11" t="s">
        <v>1335</v>
      </c>
    </row>
    <row r="398" spans="1:11">
      <c r="A398" t="s">
        <v>1348</v>
      </c>
      <c r="B398" s="8">
        <v>20.015999999999998</v>
      </c>
      <c r="C398" s="9">
        <v>41</v>
      </c>
      <c r="D398">
        <v>11</v>
      </c>
      <c r="E398">
        <v>5</v>
      </c>
      <c r="F398">
        <v>4</v>
      </c>
      <c r="G398" s="10">
        <v>0.36363636363636365</v>
      </c>
      <c r="H398" t="s">
        <v>46</v>
      </c>
      <c r="I398" t="s">
        <v>1349</v>
      </c>
      <c r="J398" t="s">
        <v>1350</v>
      </c>
      <c r="K398" s="11" t="s">
        <v>1351</v>
      </c>
    </row>
    <row r="399" spans="1:11">
      <c r="A399" t="s">
        <v>1352</v>
      </c>
      <c r="B399" s="8">
        <v>9.5020000000000007</v>
      </c>
      <c r="C399" s="9">
        <v>14</v>
      </c>
      <c r="D399">
        <v>6</v>
      </c>
      <c r="E399">
        <v>4</v>
      </c>
      <c r="F399">
        <v>3</v>
      </c>
      <c r="G399" s="10">
        <v>0.5</v>
      </c>
      <c r="H399" t="s">
        <v>46</v>
      </c>
      <c r="I399" t="s">
        <v>1353</v>
      </c>
      <c r="J399" t="s">
        <v>1354</v>
      </c>
      <c r="K399" s="11" t="s">
        <v>1355</v>
      </c>
    </row>
    <row r="400" spans="1:11">
      <c r="A400" t="s">
        <v>1356</v>
      </c>
      <c r="B400" s="8">
        <v>4.7729999999999997</v>
      </c>
      <c r="C400" s="9">
        <v>8.9</v>
      </c>
      <c r="D400">
        <v>4</v>
      </c>
      <c r="E400">
        <v>4</v>
      </c>
      <c r="F400">
        <v>4</v>
      </c>
      <c r="G400" s="10">
        <v>1</v>
      </c>
      <c r="H400" t="s">
        <v>46</v>
      </c>
      <c r="I400" t="s">
        <v>1357</v>
      </c>
      <c r="J400" t="s">
        <v>1358</v>
      </c>
      <c r="K400" s="11" t="s">
        <v>1359</v>
      </c>
    </row>
    <row r="401" spans="1:11">
      <c r="A401" t="s">
        <v>1360</v>
      </c>
      <c r="B401" s="8">
        <v>7.008</v>
      </c>
      <c r="C401" s="9">
        <v>44</v>
      </c>
      <c r="D401">
        <v>7</v>
      </c>
      <c r="E401">
        <v>6</v>
      </c>
      <c r="F401">
        <v>6</v>
      </c>
      <c r="G401" s="10">
        <v>0.8571428571428571</v>
      </c>
      <c r="H401" t="s">
        <v>46</v>
      </c>
      <c r="I401" t="s">
        <v>1361</v>
      </c>
      <c r="J401" t="s">
        <v>1362</v>
      </c>
      <c r="K401" s="11" t="s">
        <v>1363</v>
      </c>
    </row>
    <row r="402" spans="1:11">
      <c r="A402" t="s">
        <v>1364</v>
      </c>
      <c r="B402" s="8">
        <v>2.6560000000000001</v>
      </c>
      <c r="C402" s="9">
        <v>2.8</v>
      </c>
      <c r="D402">
        <v>2</v>
      </c>
      <c r="E402">
        <v>2</v>
      </c>
      <c r="F402">
        <v>2</v>
      </c>
      <c r="G402" s="10">
        <v>1</v>
      </c>
      <c r="H402" t="s">
        <v>46</v>
      </c>
      <c r="I402" t="s">
        <v>1365</v>
      </c>
      <c r="J402" t="s">
        <v>1366</v>
      </c>
      <c r="K402" s="11" t="s">
        <v>1367</v>
      </c>
    </row>
    <row r="403" spans="1:11">
      <c r="A403" t="s">
        <v>1368</v>
      </c>
      <c r="B403" s="8">
        <v>3.073</v>
      </c>
      <c r="C403" s="9">
        <v>2</v>
      </c>
      <c r="D403">
        <v>2</v>
      </c>
      <c r="E403">
        <v>2</v>
      </c>
      <c r="F403">
        <v>2</v>
      </c>
      <c r="G403" s="10">
        <v>1</v>
      </c>
      <c r="H403" t="s">
        <v>46</v>
      </c>
      <c r="I403" t="s">
        <v>1369</v>
      </c>
      <c r="J403" t="s">
        <v>1370</v>
      </c>
      <c r="K403" s="11" t="s">
        <v>1371</v>
      </c>
    </row>
    <row r="404" spans="1:11">
      <c r="A404" t="s">
        <v>1372</v>
      </c>
      <c r="B404" s="8">
        <v>2.4060000000000001</v>
      </c>
      <c r="C404" s="9">
        <v>2.9</v>
      </c>
      <c r="D404">
        <v>2</v>
      </c>
      <c r="E404">
        <v>2</v>
      </c>
      <c r="F404">
        <v>1</v>
      </c>
      <c r="G404" s="10">
        <v>0.5</v>
      </c>
      <c r="H404" t="s">
        <v>46</v>
      </c>
      <c r="I404" t="s">
        <v>1373</v>
      </c>
      <c r="J404" t="s">
        <v>1374</v>
      </c>
      <c r="K404" s="11" t="s">
        <v>1375</v>
      </c>
    </row>
    <row r="405" spans="1:11">
      <c r="A405" t="s">
        <v>1376</v>
      </c>
      <c r="B405" s="8">
        <v>2.552</v>
      </c>
      <c r="C405" s="9">
        <v>4.0999999999999996</v>
      </c>
      <c r="D405">
        <v>1</v>
      </c>
      <c r="E405">
        <v>1</v>
      </c>
      <c r="F405">
        <v>1</v>
      </c>
      <c r="G405" s="10">
        <v>1</v>
      </c>
      <c r="H405" t="s">
        <v>46</v>
      </c>
      <c r="I405" t="s">
        <v>1377</v>
      </c>
      <c r="J405" t="s">
        <v>1378</v>
      </c>
      <c r="K405" s="11" t="s">
        <v>1377</v>
      </c>
    </row>
    <row r="406" spans="1:11">
      <c r="A406" t="s">
        <v>1379</v>
      </c>
      <c r="B406" s="8">
        <v>5.8209999999999997</v>
      </c>
      <c r="C406" s="9">
        <v>5.2</v>
      </c>
      <c r="D406">
        <v>2</v>
      </c>
      <c r="E406">
        <v>2</v>
      </c>
      <c r="F406">
        <v>2</v>
      </c>
      <c r="G406" s="10">
        <v>1</v>
      </c>
      <c r="H406" t="s">
        <v>46</v>
      </c>
      <c r="I406" t="s">
        <v>1380</v>
      </c>
      <c r="J406" t="s">
        <v>1381</v>
      </c>
      <c r="K406" s="11" t="s">
        <v>1380</v>
      </c>
    </row>
    <row r="407" spans="1:11">
      <c r="A407" t="s">
        <v>1382</v>
      </c>
      <c r="B407" s="8">
        <v>19.071999999999999</v>
      </c>
      <c r="C407" s="9">
        <v>23</v>
      </c>
      <c r="D407">
        <v>17</v>
      </c>
      <c r="E407">
        <v>16</v>
      </c>
      <c r="F407">
        <v>16</v>
      </c>
      <c r="G407" s="10">
        <v>0.94117647058823528</v>
      </c>
      <c r="H407" t="s">
        <v>46</v>
      </c>
      <c r="I407" t="s">
        <v>1383</v>
      </c>
      <c r="J407" t="s">
        <v>1384</v>
      </c>
      <c r="K407" s="11" t="s">
        <v>1385</v>
      </c>
    </row>
    <row r="408" spans="1:11">
      <c r="A408" t="s">
        <v>1386</v>
      </c>
      <c r="B408" s="8">
        <v>5.2779999999999996</v>
      </c>
      <c r="C408" s="9">
        <v>18</v>
      </c>
      <c r="D408">
        <v>5</v>
      </c>
      <c r="E408">
        <v>4</v>
      </c>
      <c r="F408">
        <v>3</v>
      </c>
      <c r="G408" s="10">
        <v>0.6</v>
      </c>
      <c r="H408" t="s">
        <v>46</v>
      </c>
      <c r="I408" t="s">
        <v>1387</v>
      </c>
      <c r="J408" t="s">
        <v>1388</v>
      </c>
      <c r="K408" s="11" t="s">
        <v>1389</v>
      </c>
    </row>
    <row r="409" spans="1:11">
      <c r="A409" t="s">
        <v>1390</v>
      </c>
      <c r="B409" s="8">
        <v>3.306</v>
      </c>
      <c r="C409" s="9">
        <v>1.5</v>
      </c>
      <c r="D409">
        <v>5</v>
      </c>
      <c r="E409">
        <v>4</v>
      </c>
      <c r="F409">
        <v>5</v>
      </c>
      <c r="G409" s="10">
        <v>1</v>
      </c>
      <c r="H409" t="s">
        <v>46</v>
      </c>
      <c r="I409" t="s">
        <v>1391</v>
      </c>
      <c r="J409" t="s">
        <v>1392</v>
      </c>
      <c r="K409" s="11" t="s">
        <v>1393</v>
      </c>
    </row>
    <row r="410" spans="1:11">
      <c r="A410" t="s">
        <v>1394</v>
      </c>
      <c r="B410" s="8">
        <v>4.1239999999999997</v>
      </c>
      <c r="C410" s="9">
        <v>51</v>
      </c>
      <c r="D410">
        <v>4</v>
      </c>
      <c r="E410">
        <v>4</v>
      </c>
      <c r="F410">
        <v>4</v>
      </c>
      <c r="G410" s="10">
        <v>1</v>
      </c>
      <c r="H410" t="s">
        <v>46</v>
      </c>
      <c r="I410" t="s">
        <v>1395</v>
      </c>
      <c r="J410" t="s">
        <v>1396</v>
      </c>
      <c r="K410" s="11" t="s">
        <v>1397</v>
      </c>
    </row>
    <row r="411" spans="1:11">
      <c r="A411" t="s">
        <v>1398</v>
      </c>
      <c r="B411" s="8">
        <v>2.9729999999999999</v>
      </c>
      <c r="C411" s="9">
        <v>2.5</v>
      </c>
      <c r="D411">
        <v>4</v>
      </c>
      <c r="E411">
        <v>4</v>
      </c>
      <c r="F411">
        <v>4</v>
      </c>
      <c r="G411" s="10">
        <v>1</v>
      </c>
      <c r="H411" t="s">
        <v>46</v>
      </c>
      <c r="I411" t="s">
        <v>1399</v>
      </c>
      <c r="J411" t="s">
        <v>1400</v>
      </c>
      <c r="K411" s="11" t="s">
        <v>1401</v>
      </c>
    </row>
    <row r="412" spans="1:11">
      <c r="A412" t="s">
        <v>1402</v>
      </c>
      <c r="B412" s="8">
        <v>2.605</v>
      </c>
      <c r="C412" s="9">
        <v>5.0999999999999996</v>
      </c>
      <c r="D412">
        <v>1</v>
      </c>
      <c r="E412">
        <v>1</v>
      </c>
      <c r="F412">
        <v>1</v>
      </c>
      <c r="G412" s="10">
        <v>1</v>
      </c>
      <c r="H412" t="s">
        <v>46</v>
      </c>
      <c r="I412" t="s">
        <v>1403</v>
      </c>
      <c r="J412" t="s">
        <v>1404</v>
      </c>
      <c r="K412" s="11" t="s">
        <v>1403</v>
      </c>
    </row>
    <row r="413" spans="1:11">
      <c r="A413" t="s">
        <v>1405</v>
      </c>
      <c r="B413" s="8">
        <v>2.778</v>
      </c>
      <c r="C413" s="9">
        <v>1.9</v>
      </c>
      <c r="D413">
        <v>2</v>
      </c>
      <c r="E413">
        <v>2</v>
      </c>
      <c r="F413">
        <v>2</v>
      </c>
      <c r="G413" s="10">
        <v>1</v>
      </c>
      <c r="H413" t="s">
        <v>46</v>
      </c>
      <c r="I413" t="s">
        <v>1406</v>
      </c>
      <c r="J413" t="s">
        <v>1407</v>
      </c>
      <c r="K413" s="11" t="s">
        <v>1326</v>
      </c>
    </row>
    <row r="414" spans="1:11">
      <c r="A414" t="s">
        <v>1408</v>
      </c>
      <c r="B414" s="8">
        <v>2.9649999999999999</v>
      </c>
      <c r="C414" s="9">
        <v>4.3</v>
      </c>
      <c r="D414">
        <v>2</v>
      </c>
      <c r="E414">
        <v>2</v>
      </c>
      <c r="F414">
        <v>2</v>
      </c>
      <c r="G414" s="10">
        <v>1</v>
      </c>
      <c r="H414" t="s">
        <v>46</v>
      </c>
      <c r="I414" t="s">
        <v>1409</v>
      </c>
      <c r="J414" t="s">
        <v>1410</v>
      </c>
      <c r="K414" s="11" t="s">
        <v>1326</v>
      </c>
    </row>
    <row r="415" spans="1:11">
      <c r="A415" t="s">
        <v>1411</v>
      </c>
      <c r="B415" s="8">
        <v>2.4750000000000001</v>
      </c>
      <c r="C415" s="9">
        <v>6.3</v>
      </c>
      <c r="D415">
        <v>2</v>
      </c>
      <c r="E415">
        <v>2</v>
      </c>
      <c r="F415">
        <v>2</v>
      </c>
      <c r="G415" s="10">
        <v>1</v>
      </c>
      <c r="H415" t="s">
        <v>46</v>
      </c>
      <c r="I415" t="s">
        <v>1412</v>
      </c>
      <c r="J415" t="s">
        <v>1413</v>
      </c>
      <c r="K415" s="11" t="s">
        <v>1412</v>
      </c>
    </row>
    <row r="416" spans="1:11">
      <c r="A416" t="s">
        <v>1414</v>
      </c>
      <c r="B416" s="8">
        <v>13.292999999999999</v>
      </c>
      <c r="C416" s="9">
        <v>4.8</v>
      </c>
      <c r="D416">
        <v>12</v>
      </c>
      <c r="E416">
        <v>11</v>
      </c>
      <c r="F416">
        <v>11</v>
      </c>
      <c r="G416" s="10">
        <v>0.91666666666666663</v>
      </c>
      <c r="H416" t="s">
        <v>46</v>
      </c>
      <c r="I416" t="s">
        <v>1415</v>
      </c>
      <c r="J416" t="s">
        <v>1416</v>
      </c>
      <c r="K416" s="11" t="s">
        <v>1417</v>
      </c>
    </row>
    <row r="417" spans="1:11">
      <c r="A417" t="s">
        <v>1418</v>
      </c>
      <c r="B417" s="8">
        <v>4.7009999999999996</v>
      </c>
      <c r="C417" s="9">
        <v>3.3</v>
      </c>
      <c r="D417">
        <v>3</v>
      </c>
      <c r="E417">
        <v>3</v>
      </c>
      <c r="F417">
        <v>3</v>
      </c>
      <c r="G417" s="10">
        <v>1</v>
      </c>
      <c r="H417" t="s">
        <v>46</v>
      </c>
      <c r="I417" t="s">
        <v>1419</v>
      </c>
      <c r="J417" t="s">
        <v>1420</v>
      </c>
      <c r="K417" s="11" t="s">
        <v>1419</v>
      </c>
    </row>
    <row r="418" spans="1:11">
      <c r="A418" t="s">
        <v>1421</v>
      </c>
      <c r="B418" s="8">
        <v>5.8769999999999998</v>
      </c>
      <c r="C418" s="9">
        <v>4.3</v>
      </c>
      <c r="D418">
        <v>4</v>
      </c>
      <c r="E418">
        <v>4</v>
      </c>
      <c r="F418">
        <v>4</v>
      </c>
      <c r="G418" s="10">
        <v>1</v>
      </c>
      <c r="H418" t="s">
        <v>46</v>
      </c>
      <c r="I418" t="s">
        <v>1422</v>
      </c>
      <c r="J418" t="s">
        <v>1423</v>
      </c>
      <c r="K418" s="11" t="s">
        <v>1424</v>
      </c>
    </row>
    <row r="419" spans="1:11">
      <c r="A419" t="s">
        <v>1425</v>
      </c>
      <c r="B419" s="8">
        <v>8.1950000000000003</v>
      </c>
      <c r="C419" s="9">
        <v>3.6</v>
      </c>
      <c r="D419">
        <v>6</v>
      </c>
      <c r="E419">
        <v>6</v>
      </c>
      <c r="F419">
        <v>6</v>
      </c>
      <c r="G419" s="10">
        <v>1</v>
      </c>
      <c r="H419" t="s">
        <v>46</v>
      </c>
      <c r="I419" t="s">
        <v>1426</v>
      </c>
      <c r="J419" t="s">
        <v>1427</v>
      </c>
      <c r="K419" s="11" t="s">
        <v>1428</v>
      </c>
    </row>
    <row r="420" spans="1:11">
      <c r="A420" t="s">
        <v>1429</v>
      </c>
      <c r="B420" s="8">
        <v>2.81</v>
      </c>
      <c r="C420" s="9">
        <v>3.5</v>
      </c>
      <c r="D420">
        <v>2</v>
      </c>
      <c r="E420">
        <v>2</v>
      </c>
      <c r="F420">
        <v>2</v>
      </c>
      <c r="G420" s="10">
        <v>1</v>
      </c>
      <c r="H420" t="s">
        <v>46</v>
      </c>
      <c r="I420" t="s">
        <v>1430</v>
      </c>
      <c r="J420" t="s">
        <v>1431</v>
      </c>
      <c r="K420" s="11" t="s">
        <v>1432</v>
      </c>
    </row>
    <row r="421" spans="1:11">
      <c r="A421" t="s">
        <v>1433</v>
      </c>
      <c r="B421" s="8">
        <v>3.2170000000000001</v>
      </c>
      <c r="C421" s="9">
        <v>7.2</v>
      </c>
      <c r="D421">
        <v>5</v>
      </c>
      <c r="E421">
        <v>3</v>
      </c>
      <c r="F421">
        <v>4</v>
      </c>
      <c r="G421" s="10">
        <v>0.8</v>
      </c>
      <c r="H421" t="s">
        <v>46</v>
      </c>
      <c r="I421" t="s">
        <v>1434</v>
      </c>
      <c r="J421" t="s">
        <v>1435</v>
      </c>
      <c r="K421" s="11" t="s">
        <v>1436</v>
      </c>
    </row>
    <row r="422" spans="1:11">
      <c r="A422" t="s">
        <v>1437</v>
      </c>
      <c r="B422" s="8">
        <v>3.8620000000000001</v>
      </c>
      <c r="C422" s="9">
        <v>3.3</v>
      </c>
      <c r="D422">
        <v>1</v>
      </c>
      <c r="E422">
        <v>1</v>
      </c>
      <c r="F422">
        <v>1</v>
      </c>
      <c r="G422" s="10">
        <v>1</v>
      </c>
      <c r="H422" t="s">
        <v>46</v>
      </c>
      <c r="I422" t="s">
        <v>1438</v>
      </c>
      <c r="J422" t="s">
        <v>1439</v>
      </c>
      <c r="K422" s="11" t="s">
        <v>1438</v>
      </c>
    </row>
    <row r="423" spans="1:11">
      <c r="A423" t="s">
        <v>1440</v>
      </c>
      <c r="B423" s="8">
        <v>7.0129999999999999</v>
      </c>
      <c r="C423" s="9">
        <v>24</v>
      </c>
      <c r="D423">
        <v>4</v>
      </c>
      <c r="E423">
        <v>4</v>
      </c>
      <c r="F423">
        <v>3</v>
      </c>
      <c r="G423" s="10">
        <v>0.75</v>
      </c>
      <c r="H423" t="s">
        <v>46</v>
      </c>
      <c r="I423" t="s">
        <v>1441</v>
      </c>
      <c r="J423" t="s">
        <v>1442</v>
      </c>
      <c r="K423" s="11" t="s">
        <v>1443</v>
      </c>
    </row>
    <row r="424" spans="1:11">
      <c r="A424" t="s">
        <v>1444</v>
      </c>
      <c r="B424" s="8">
        <v>5.1360000000000001</v>
      </c>
      <c r="C424" s="9">
        <v>21</v>
      </c>
      <c r="D424">
        <v>6</v>
      </c>
      <c r="E424">
        <v>6</v>
      </c>
      <c r="F424">
        <v>6</v>
      </c>
      <c r="G424" s="10">
        <v>1</v>
      </c>
      <c r="H424" t="s">
        <v>46</v>
      </c>
      <c r="I424" t="s">
        <v>1445</v>
      </c>
      <c r="J424" t="s">
        <v>1446</v>
      </c>
      <c r="K424" s="11" t="s">
        <v>1447</v>
      </c>
    </row>
    <row r="425" spans="1:11">
      <c r="A425" t="s">
        <v>1448</v>
      </c>
      <c r="B425" s="8">
        <v>4.944</v>
      </c>
      <c r="C425" s="9">
        <v>6</v>
      </c>
      <c r="D425">
        <v>2</v>
      </c>
      <c r="E425">
        <v>2</v>
      </c>
      <c r="F425">
        <v>2</v>
      </c>
      <c r="G425" s="10">
        <v>1</v>
      </c>
      <c r="H425" t="s">
        <v>46</v>
      </c>
      <c r="I425" t="s">
        <v>1449</v>
      </c>
      <c r="J425" t="s">
        <v>1450</v>
      </c>
      <c r="K425" s="11" t="s">
        <v>1449</v>
      </c>
    </row>
    <row r="426" spans="1:11">
      <c r="A426" t="s">
        <v>1451</v>
      </c>
      <c r="B426" s="8">
        <v>2.742</v>
      </c>
      <c r="C426" s="9">
        <v>6.5</v>
      </c>
      <c r="D426">
        <v>1</v>
      </c>
      <c r="E426">
        <v>1</v>
      </c>
      <c r="F426">
        <v>1</v>
      </c>
      <c r="G426" s="10">
        <v>1</v>
      </c>
      <c r="H426" t="s">
        <v>46</v>
      </c>
      <c r="I426" t="s">
        <v>1452</v>
      </c>
      <c r="J426" t="s">
        <v>1450</v>
      </c>
      <c r="K426" s="11" t="s">
        <v>1452</v>
      </c>
    </row>
    <row r="427" spans="1:11">
      <c r="A427" t="s">
        <v>1453</v>
      </c>
      <c r="B427" s="8">
        <v>3.7509999999999999</v>
      </c>
      <c r="C427" s="9">
        <v>10</v>
      </c>
      <c r="D427">
        <v>1</v>
      </c>
      <c r="E427">
        <v>1</v>
      </c>
      <c r="F427">
        <v>1</v>
      </c>
      <c r="G427" s="10">
        <v>1</v>
      </c>
      <c r="H427" t="s">
        <v>46</v>
      </c>
      <c r="I427" t="s">
        <v>1452</v>
      </c>
      <c r="J427" t="s">
        <v>1450</v>
      </c>
      <c r="K427" s="11" t="s">
        <v>1452</v>
      </c>
    </row>
    <row r="428" spans="1:11">
      <c r="A428" t="s">
        <v>1454</v>
      </c>
      <c r="B428" s="8">
        <v>24.849</v>
      </c>
      <c r="C428" s="9">
        <v>9.8000000000000007</v>
      </c>
      <c r="D428">
        <v>22</v>
      </c>
      <c r="E428">
        <v>18</v>
      </c>
      <c r="F428">
        <v>20</v>
      </c>
      <c r="G428" s="10">
        <v>0.90909090909090906</v>
      </c>
      <c r="H428" t="s">
        <v>46</v>
      </c>
      <c r="I428" t="s">
        <v>1455</v>
      </c>
      <c r="J428" t="s">
        <v>1456</v>
      </c>
      <c r="K428" s="11" t="s">
        <v>1457</v>
      </c>
    </row>
    <row r="429" spans="1:11">
      <c r="A429" t="s">
        <v>1458</v>
      </c>
      <c r="B429" s="8">
        <v>9.6349999999999998</v>
      </c>
      <c r="C429" s="9">
        <v>21</v>
      </c>
      <c r="D429">
        <v>8</v>
      </c>
      <c r="E429">
        <v>8</v>
      </c>
      <c r="F429">
        <v>7</v>
      </c>
      <c r="G429" s="10">
        <v>0.875</v>
      </c>
      <c r="H429" t="s">
        <v>46</v>
      </c>
      <c r="I429" t="s">
        <v>1459</v>
      </c>
      <c r="J429" t="s">
        <v>1460</v>
      </c>
      <c r="K429" s="11" t="s">
        <v>1461</v>
      </c>
    </row>
    <row r="430" spans="1:11">
      <c r="A430" t="s">
        <v>1462</v>
      </c>
      <c r="B430" s="8">
        <v>3.1259999999999999</v>
      </c>
      <c r="C430" s="9">
        <v>2.6</v>
      </c>
      <c r="D430">
        <v>1</v>
      </c>
      <c r="E430">
        <v>1</v>
      </c>
      <c r="F430">
        <v>1</v>
      </c>
      <c r="G430" s="10">
        <v>1</v>
      </c>
      <c r="H430" t="s">
        <v>46</v>
      </c>
      <c r="I430" t="s">
        <v>1463</v>
      </c>
      <c r="J430" t="s">
        <v>1464</v>
      </c>
      <c r="K430" s="11" t="s">
        <v>1463</v>
      </c>
    </row>
    <row r="431" spans="1:11">
      <c r="A431" t="s">
        <v>1465</v>
      </c>
      <c r="B431" s="8">
        <v>12.718999999999999</v>
      </c>
      <c r="C431" s="9">
        <v>12</v>
      </c>
      <c r="D431">
        <v>2</v>
      </c>
      <c r="E431">
        <v>1</v>
      </c>
      <c r="F431">
        <v>1</v>
      </c>
      <c r="G431" s="10">
        <v>0.5</v>
      </c>
      <c r="H431" t="s">
        <v>46</v>
      </c>
      <c r="I431" t="s">
        <v>1463</v>
      </c>
      <c r="J431" t="s">
        <v>1464</v>
      </c>
      <c r="K431" s="11" t="s">
        <v>1463</v>
      </c>
    </row>
    <row r="432" spans="1:11">
      <c r="A432" t="s">
        <v>1466</v>
      </c>
      <c r="B432" s="8">
        <v>6.625</v>
      </c>
      <c r="C432" s="9">
        <v>20</v>
      </c>
      <c r="D432">
        <v>7</v>
      </c>
      <c r="E432">
        <v>7</v>
      </c>
      <c r="F432">
        <v>7</v>
      </c>
      <c r="G432" s="10">
        <v>1</v>
      </c>
      <c r="H432" t="s">
        <v>46</v>
      </c>
      <c r="I432" t="s">
        <v>1467</v>
      </c>
      <c r="J432" t="s">
        <v>1468</v>
      </c>
      <c r="K432" s="11" t="s">
        <v>1469</v>
      </c>
    </row>
    <row r="433" spans="1:11">
      <c r="A433" t="s">
        <v>1470</v>
      </c>
      <c r="B433" s="8">
        <v>2.7229999999999999</v>
      </c>
      <c r="C433" s="9">
        <v>10</v>
      </c>
      <c r="D433">
        <v>3</v>
      </c>
      <c r="E433">
        <v>3</v>
      </c>
      <c r="F433">
        <v>3</v>
      </c>
      <c r="G433" s="10">
        <v>1</v>
      </c>
      <c r="H433" t="s">
        <v>46</v>
      </c>
      <c r="I433" t="s">
        <v>1471</v>
      </c>
      <c r="J433" t="s">
        <v>1472</v>
      </c>
      <c r="K433" s="11" t="s">
        <v>1473</v>
      </c>
    </row>
    <row r="434" spans="1:11">
      <c r="A434" t="s">
        <v>1474</v>
      </c>
      <c r="B434" s="8">
        <v>4.7409999999999997</v>
      </c>
      <c r="C434" s="9">
        <v>2</v>
      </c>
      <c r="D434">
        <v>4</v>
      </c>
      <c r="E434">
        <v>4</v>
      </c>
      <c r="F434">
        <v>4</v>
      </c>
      <c r="G434" s="10">
        <v>1</v>
      </c>
      <c r="H434" t="s">
        <v>46</v>
      </c>
      <c r="I434" t="s">
        <v>1475</v>
      </c>
      <c r="J434" t="s">
        <v>1476</v>
      </c>
      <c r="K434" s="11" t="s">
        <v>1475</v>
      </c>
    </row>
    <row r="435" spans="1:11">
      <c r="A435" t="s">
        <v>1477</v>
      </c>
      <c r="B435" s="8">
        <v>4.2050000000000001</v>
      </c>
      <c r="C435" s="9">
        <v>10</v>
      </c>
      <c r="D435">
        <v>1</v>
      </c>
      <c r="E435">
        <v>1</v>
      </c>
      <c r="F435">
        <v>1</v>
      </c>
      <c r="G435" s="10">
        <v>1</v>
      </c>
      <c r="H435" t="s">
        <v>46</v>
      </c>
      <c r="I435" t="s">
        <v>1478</v>
      </c>
      <c r="J435" t="s">
        <v>1476</v>
      </c>
      <c r="K435" s="11" t="s">
        <v>1478</v>
      </c>
    </row>
    <row r="436" spans="1:11">
      <c r="A436" t="s">
        <v>1479</v>
      </c>
      <c r="B436" s="8">
        <v>2.8740000000000001</v>
      </c>
      <c r="C436" s="9">
        <v>2.7</v>
      </c>
      <c r="D436">
        <v>2</v>
      </c>
      <c r="E436">
        <v>2</v>
      </c>
      <c r="F436">
        <v>2</v>
      </c>
      <c r="G436" s="10">
        <v>1</v>
      </c>
      <c r="H436" t="s">
        <v>46</v>
      </c>
      <c r="I436" t="s">
        <v>1480</v>
      </c>
      <c r="J436" t="s">
        <v>1481</v>
      </c>
      <c r="K436" s="11" t="s">
        <v>1478</v>
      </c>
    </row>
    <row r="437" spans="1:11">
      <c r="A437" t="s">
        <v>1482</v>
      </c>
      <c r="B437" s="8">
        <v>2.4849999999999999</v>
      </c>
      <c r="C437" s="9">
        <v>43</v>
      </c>
      <c r="D437">
        <v>3</v>
      </c>
      <c r="E437">
        <v>3</v>
      </c>
      <c r="F437">
        <v>3</v>
      </c>
      <c r="G437" s="10">
        <v>1</v>
      </c>
      <c r="H437" t="s">
        <v>46</v>
      </c>
      <c r="I437" t="s">
        <v>1483</v>
      </c>
      <c r="J437" t="s">
        <v>1484</v>
      </c>
      <c r="K437" s="11" t="s">
        <v>1483</v>
      </c>
    </row>
    <row r="438" spans="1:11">
      <c r="A438" t="s">
        <v>1485</v>
      </c>
      <c r="B438" s="8">
        <v>2.867</v>
      </c>
      <c r="C438" s="9">
        <v>4.5999999999999996</v>
      </c>
      <c r="D438">
        <v>1</v>
      </c>
      <c r="E438">
        <v>1</v>
      </c>
      <c r="F438">
        <v>1</v>
      </c>
      <c r="G438" s="10">
        <v>1</v>
      </c>
      <c r="H438" t="s">
        <v>46</v>
      </c>
      <c r="I438" t="s">
        <v>1486</v>
      </c>
      <c r="J438" t="s">
        <v>1484</v>
      </c>
      <c r="K438" s="11" t="s">
        <v>1486</v>
      </c>
    </row>
    <row r="439" spans="1:11">
      <c r="A439" t="s">
        <v>1487</v>
      </c>
      <c r="B439" s="8">
        <v>5.242</v>
      </c>
      <c r="C439" s="9">
        <v>14</v>
      </c>
      <c r="D439">
        <v>4</v>
      </c>
      <c r="E439">
        <v>3</v>
      </c>
      <c r="F439">
        <v>4</v>
      </c>
      <c r="G439" s="10">
        <v>1</v>
      </c>
      <c r="H439" t="s">
        <v>46</v>
      </c>
      <c r="I439" t="s">
        <v>1488</v>
      </c>
      <c r="J439" t="s">
        <v>1489</v>
      </c>
      <c r="K439" s="11" t="s">
        <v>1490</v>
      </c>
    </row>
    <row r="440" spans="1:11">
      <c r="A440" t="s">
        <v>1491</v>
      </c>
      <c r="B440" s="8">
        <v>3.2610000000000001</v>
      </c>
      <c r="C440" s="9">
        <v>21</v>
      </c>
      <c r="D440">
        <v>6</v>
      </c>
      <c r="E440">
        <v>4</v>
      </c>
      <c r="F440">
        <v>6</v>
      </c>
      <c r="G440" s="10">
        <v>1</v>
      </c>
      <c r="H440" t="s">
        <v>46</v>
      </c>
      <c r="I440" t="s">
        <v>1492</v>
      </c>
      <c r="J440" t="s">
        <v>1493</v>
      </c>
      <c r="K440" s="11" t="s">
        <v>1490</v>
      </c>
    </row>
    <row r="441" spans="1:11">
      <c r="A441" t="s">
        <v>1494</v>
      </c>
      <c r="B441" s="8">
        <v>2.6139999999999999</v>
      </c>
      <c r="C441" s="9">
        <v>1.8</v>
      </c>
      <c r="D441">
        <v>1</v>
      </c>
      <c r="E441">
        <v>1</v>
      </c>
      <c r="F441">
        <v>1</v>
      </c>
      <c r="G441" s="10">
        <v>1</v>
      </c>
      <c r="H441" t="s">
        <v>46</v>
      </c>
      <c r="I441" t="s">
        <v>1495</v>
      </c>
      <c r="J441" t="s">
        <v>1496</v>
      </c>
      <c r="K441" s="11" t="s">
        <v>1495</v>
      </c>
    </row>
    <row r="442" spans="1:11">
      <c r="A442" t="s">
        <v>1497</v>
      </c>
      <c r="B442" s="8">
        <v>2.9849999999999999</v>
      </c>
      <c r="C442" s="9">
        <v>12</v>
      </c>
      <c r="D442">
        <v>3</v>
      </c>
      <c r="E442">
        <v>3</v>
      </c>
      <c r="F442">
        <v>2</v>
      </c>
      <c r="G442" s="10">
        <v>0.66666666666666663</v>
      </c>
      <c r="H442" t="s">
        <v>46</v>
      </c>
      <c r="I442" t="s">
        <v>1498</v>
      </c>
      <c r="J442" t="s">
        <v>1499</v>
      </c>
      <c r="K442" s="11" t="s">
        <v>1500</v>
      </c>
    </row>
    <row r="443" spans="1:11">
      <c r="A443" t="s">
        <v>1501</v>
      </c>
      <c r="B443" s="8">
        <v>3.569</v>
      </c>
      <c r="C443" s="9">
        <v>7.7</v>
      </c>
      <c r="D443">
        <v>2</v>
      </c>
      <c r="E443">
        <v>2</v>
      </c>
      <c r="F443">
        <v>2</v>
      </c>
      <c r="G443" s="10">
        <v>1</v>
      </c>
      <c r="H443" t="s">
        <v>46</v>
      </c>
      <c r="I443" t="s">
        <v>1502</v>
      </c>
      <c r="J443" t="s">
        <v>1503</v>
      </c>
      <c r="K443" s="11" t="s">
        <v>1504</v>
      </c>
    </row>
    <row r="444" spans="1:11">
      <c r="A444" t="s">
        <v>1505</v>
      </c>
      <c r="B444" s="8">
        <v>3.4060000000000001</v>
      </c>
      <c r="C444" s="9">
        <v>1.6</v>
      </c>
      <c r="D444">
        <v>4</v>
      </c>
      <c r="E444">
        <v>4</v>
      </c>
      <c r="F444">
        <v>4</v>
      </c>
      <c r="G444" s="10">
        <v>1</v>
      </c>
      <c r="H444" t="s">
        <v>46</v>
      </c>
      <c r="I444" t="s">
        <v>1506</v>
      </c>
      <c r="J444" t="s">
        <v>1507</v>
      </c>
      <c r="K444" s="11" t="s">
        <v>1508</v>
      </c>
    </row>
    <row r="445" spans="1:11">
      <c r="A445" t="s">
        <v>1509</v>
      </c>
      <c r="B445" s="8">
        <v>5.4009999999999998</v>
      </c>
      <c r="C445" s="9">
        <v>42</v>
      </c>
      <c r="D445">
        <v>3</v>
      </c>
      <c r="E445">
        <v>2</v>
      </c>
      <c r="F445">
        <v>1</v>
      </c>
      <c r="G445" s="10">
        <v>0.33333333333333331</v>
      </c>
      <c r="H445" t="s">
        <v>46</v>
      </c>
      <c r="I445" t="s">
        <v>1510</v>
      </c>
      <c r="J445" t="s">
        <v>1511</v>
      </c>
      <c r="K445" s="11" t="s">
        <v>1512</v>
      </c>
    </row>
    <row r="446" spans="1:11">
      <c r="A446" t="s">
        <v>1513</v>
      </c>
      <c r="B446" s="8">
        <v>3.1669999999999998</v>
      </c>
      <c r="C446" s="9">
        <v>4.3</v>
      </c>
      <c r="D446">
        <v>2</v>
      </c>
      <c r="E446">
        <v>2</v>
      </c>
      <c r="F446">
        <v>2</v>
      </c>
      <c r="G446" s="10">
        <v>1</v>
      </c>
      <c r="H446" t="s">
        <v>46</v>
      </c>
      <c r="I446" t="s">
        <v>1514</v>
      </c>
      <c r="J446" t="s">
        <v>1515</v>
      </c>
      <c r="K446" s="11" t="s">
        <v>1516</v>
      </c>
    </row>
    <row r="447" spans="1:11">
      <c r="A447" t="s">
        <v>1517</v>
      </c>
      <c r="B447" s="8">
        <v>7.0359999999999996</v>
      </c>
      <c r="C447" s="9">
        <v>2.9</v>
      </c>
      <c r="D447">
        <v>2</v>
      </c>
      <c r="E447">
        <v>2</v>
      </c>
      <c r="F447">
        <v>1</v>
      </c>
      <c r="G447" s="10">
        <v>0.5</v>
      </c>
      <c r="H447" t="s">
        <v>46</v>
      </c>
      <c r="I447" t="s">
        <v>1518</v>
      </c>
      <c r="J447" t="s">
        <v>1519</v>
      </c>
      <c r="K447" s="11" t="s">
        <v>1520</v>
      </c>
    </row>
    <row r="448" spans="1:11">
      <c r="A448" t="s">
        <v>1521</v>
      </c>
      <c r="B448" s="8">
        <v>2.44</v>
      </c>
      <c r="C448" s="9">
        <v>1.7</v>
      </c>
      <c r="D448">
        <v>2</v>
      </c>
      <c r="E448">
        <v>2</v>
      </c>
      <c r="F448">
        <v>2</v>
      </c>
      <c r="G448" s="10">
        <v>1</v>
      </c>
      <c r="H448" t="s">
        <v>46</v>
      </c>
      <c r="I448" t="s">
        <v>1522</v>
      </c>
      <c r="J448" t="s">
        <v>1523</v>
      </c>
      <c r="K448" s="11" t="s">
        <v>1524</v>
      </c>
    </row>
    <row r="449" spans="1:11">
      <c r="A449" t="s">
        <v>1525</v>
      </c>
      <c r="B449" s="8">
        <v>4.3579999999999997</v>
      </c>
      <c r="C449" s="9">
        <v>3</v>
      </c>
      <c r="D449">
        <v>4</v>
      </c>
      <c r="E449">
        <v>3</v>
      </c>
      <c r="F449">
        <v>3</v>
      </c>
      <c r="G449" s="10">
        <v>0.75</v>
      </c>
      <c r="H449" t="s">
        <v>46</v>
      </c>
      <c r="I449" t="s">
        <v>1526</v>
      </c>
      <c r="J449" t="s">
        <v>1527</v>
      </c>
      <c r="K449" s="11" t="s">
        <v>1528</v>
      </c>
    </row>
    <row r="450" spans="1:11">
      <c r="A450" t="s">
        <v>1529</v>
      </c>
      <c r="B450" s="8">
        <v>2.734</v>
      </c>
      <c r="C450" s="9">
        <v>41</v>
      </c>
      <c r="D450">
        <v>2</v>
      </c>
      <c r="E450">
        <v>2</v>
      </c>
      <c r="F450">
        <v>2</v>
      </c>
      <c r="G450" s="10">
        <v>1</v>
      </c>
      <c r="H450" t="s">
        <v>46</v>
      </c>
      <c r="I450" t="s">
        <v>1530</v>
      </c>
      <c r="J450" t="s">
        <v>1531</v>
      </c>
      <c r="K450" s="11" t="s">
        <v>1530</v>
      </c>
    </row>
    <row r="451" spans="1:11">
      <c r="A451" t="s">
        <v>1532</v>
      </c>
      <c r="B451" s="8">
        <v>2.8679999999999999</v>
      </c>
      <c r="C451" s="9">
        <v>15</v>
      </c>
      <c r="D451">
        <v>1</v>
      </c>
      <c r="E451">
        <v>1</v>
      </c>
      <c r="F451">
        <v>1</v>
      </c>
      <c r="G451" s="10">
        <v>1</v>
      </c>
      <c r="H451" t="s">
        <v>46</v>
      </c>
      <c r="I451" t="s">
        <v>1533</v>
      </c>
      <c r="J451" t="s">
        <v>1534</v>
      </c>
      <c r="K451" s="11" t="s">
        <v>1533</v>
      </c>
    </row>
    <row r="452" spans="1:11">
      <c r="A452" t="s">
        <v>1535</v>
      </c>
      <c r="B452" s="8">
        <v>11.178000000000001</v>
      </c>
      <c r="C452" s="9">
        <v>27</v>
      </c>
      <c r="D452">
        <v>8</v>
      </c>
      <c r="E452">
        <v>8</v>
      </c>
      <c r="F452">
        <v>8</v>
      </c>
      <c r="G452" s="10">
        <v>1</v>
      </c>
      <c r="H452" t="s">
        <v>46</v>
      </c>
      <c r="I452" t="s">
        <v>1536</v>
      </c>
      <c r="J452" t="s">
        <v>1537</v>
      </c>
      <c r="K452" s="11" t="s">
        <v>1538</v>
      </c>
    </row>
    <row r="453" spans="1:11">
      <c r="A453" t="s">
        <v>1539</v>
      </c>
      <c r="B453" s="8">
        <v>3.508</v>
      </c>
      <c r="C453" s="9">
        <v>52</v>
      </c>
      <c r="D453">
        <v>4</v>
      </c>
      <c r="E453">
        <v>4</v>
      </c>
      <c r="F453">
        <v>4</v>
      </c>
      <c r="G453" s="10">
        <v>1</v>
      </c>
      <c r="H453" t="s">
        <v>46</v>
      </c>
      <c r="I453" t="s">
        <v>1540</v>
      </c>
      <c r="J453" t="s">
        <v>1541</v>
      </c>
      <c r="K453" s="11" t="s">
        <v>1542</v>
      </c>
    </row>
    <row r="454" spans="1:11">
      <c r="A454" t="s">
        <v>1543</v>
      </c>
      <c r="B454" s="8">
        <v>6.1470000000000002</v>
      </c>
      <c r="C454" s="9">
        <v>2.1</v>
      </c>
      <c r="D454">
        <v>3</v>
      </c>
      <c r="E454">
        <v>3</v>
      </c>
      <c r="F454">
        <v>3</v>
      </c>
      <c r="G454" s="10">
        <v>1</v>
      </c>
      <c r="H454" t="s">
        <v>46</v>
      </c>
      <c r="I454" t="s">
        <v>1544</v>
      </c>
      <c r="J454" t="s">
        <v>1545</v>
      </c>
      <c r="K454" s="11" t="s">
        <v>1546</v>
      </c>
    </row>
    <row r="455" spans="1:11">
      <c r="A455" t="s">
        <v>1547</v>
      </c>
      <c r="B455" s="8">
        <v>6.2709999999999999</v>
      </c>
      <c r="C455" s="9">
        <v>7.2</v>
      </c>
      <c r="D455">
        <v>3</v>
      </c>
      <c r="E455">
        <v>3</v>
      </c>
      <c r="F455">
        <v>2</v>
      </c>
      <c r="G455" s="10">
        <v>0.66666666666666663</v>
      </c>
      <c r="H455" t="s">
        <v>46</v>
      </c>
      <c r="I455" t="s">
        <v>1548</v>
      </c>
      <c r="J455" t="s">
        <v>1549</v>
      </c>
      <c r="K455" s="11" t="s">
        <v>1550</v>
      </c>
    </row>
    <row r="456" spans="1:11">
      <c r="A456" t="s">
        <v>1551</v>
      </c>
      <c r="B456" s="8">
        <v>2.722</v>
      </c>
      <c r="C456" s="9">
        <v>2.2000000000000002</v>
      </c>
      <c r="D456">
        <v>2</v>
      </c>
      <c r="E456">
        <v>2</v>
      </c>
      <c r="F456">
        <v>1</v>
      </c>
      <c r="G456" s="10">
        <v>0.5</v>
      </c>
      <c r="H456" t="s">
        <v>46</v>
      </c>
      <c r="I456" t="s">
        <v>1552</v>
      </c>
      <c r="J456" t="s">
        <v>1553</v>
      </c>
      <c r="K456" s="11" t="s">
        <v>1554</v>
      </c>
    </row>
    <row r="457" spans="1:11">
      <c r="A457" t="s">
        <v>1555</v>
      </c>
      <c r="B457" s="8">
        <v>2.41</v>
      </c>
      <c r="C457" s="9">
        <v>43</v>
      </c>
      <c r="D457">
        <v>2</v>
      </c>
      <c r="E457">
        <v>2</v>
      </c>
      <c r="F457">
        <v>2</v>
      </c>
      <c r="G457" s="10">
        <v>1</v>
      </c>
      <c r="H457" t="s">
        <v>46</v>
      </c>
      <c r="I457" t="s">
        <v>1556</v>
      </c>
      <c r="J457" t="s">
        <v>1557</v>
      </c>
      <c r="K457" s="11" t="s">
        <v>1558</v>
      </c>
    </row>
    <row r="458" spans="1:11">
      <c r="A458" t="s">
        <v>1559</v>
      </c>
      <c r="B458" s="8">
        <v>8.1519999999999992</v>
      </c>
      <c r="C458" s="9">
        <v>13</v>
      </c>
      <c r="D458">
        <v>5</v>
      </c>
      <c r="E458">
        <v>2</v>
      </c>
      <c r="F458">
        <v>1</v>
      </c>
      <c r="G458" s="10">
        <v>0.2</v>
      </c>
      <c r="H458" t="s">
        <v>46</v>
      </c>
      <c r="I458" t="s">
        <v>1560</v>
      </c>
      <c r="J458" t="s">
        <v>1561</v>
      </c>
      <c r="K458" s="11" t="s">
        <v>1562</v>
      </c>
    </row>
    <row r="459" spans="1:11">
      <c r="A459" t="s">
        <v>1563</v>
      </c>
      <c r="B459" s="8">
        <v>3.5489999999999999</v>
      </c>
      <c r="C459" s="9">
        <v>8.6999999999999993</v>
      </c>
      <c r="D459">
        <v>3</v>
      </c>
      <c r="E459">
        <v>1</v>
      </c>
      <c r="F459">
        <v>1</v>
      </c>
      <c r="G459" s="10">
        <v>0.33333333333333331</v>
      </c>
      <c r="H459" t="s">
        <v>46</v>
      </c>
      <c r="I459" t="s">
        <v>1564</v>
      </c>
      <c r="J459" t="s">
        <v>1565</v>
      </c>
      <c r="K459" s="11" t="s">
        <v>1564</v>
      </c>
    </row>
    <row r="460" spans="1:11">
      <c r="A460" t="s">
        <v>1566</v>
      </c>
      <c r="B460" s="8">
        <v>3.105</v>
      </c>
      <c r="C460" s="9">
        <v>1.2</v>
      </c>
      <c r="D460">
        <v>1</v>
      </c>
      <c r="E460">
        <v>1</v>
      </c>
      <c r="F460">
        <v>1</v>
      </c>
      <c r="G460" s="10">
        <v>1</v>
      </c>
      <c r="H460" t="s">
        <v>46</v>
      </c>
      <c r="I460" t="s">
        <v>1567</v>
      </c>
      <c r="J460" t="s">
        <v>1568</v>
      </c>
      <c r="K460" s="11" t="s">
        <v>1567</v>
      </c>
    </row>
    <row r="461" spans="1:11">
      <c r="A461" t="s">
        <v>1569</v>
      </c>
      <c r="B461" s="8">
        <v>2.645</v>
      </c>
      <c r="C461" s="9">
        <v>33</v>
      </c>
      <c r="D461">
        <v>1</v>
      </c>
      <c r="E461">
        <v>1</v>
      </c>
      <c r="F461">
        <v>1</v>
      </c>
      <c r="G461" s="10">
        <v>1</v>
      </c>
      <c r="H461" t="s">
        <v>46</v>
      </c>
      <c r="I461" t="s">
        <v>1570</v>
      </c>
      <c r="J461" t="s">
        <v>1571</v>
      </c>
      <c r="K461" s="11" t="s">
        <v>1570</v>
      </c>
    </row>
    <row r="462" spans="1:11">
      <c r="A462" t="s">
        <v>1572</v>
      </c>
      <c r="B462" s="8">
        <v>3.8</v>
      </c>
      <c r="C462" s="9">
        <v>2.4</v>
      </c>
      <c r="D462">
        <v>4</v>
      </c>
      <c r="E462">
        <v>3</v>
      </c>
      <c r="F462">
        <v>4</v>
      </c>
      <c r="G462" s="10">
        <v>1</v>
      </c>
      <c r="H462" t="s">
        <v>46</v>
      </c>
      <c r="I462" t="s">
        <v>1573</v>
      </c>
      <c r="J462" t="s">
        <v>1574</v>
      </c>
      <c r="K462" s="11" t="s">
        <v>1573</v>
      </c>
    </row>
    <row r="463" spans="1:11">
      <c r="A463" t="s">
        <v>1575</v>
      </c>
      <c r="B463" s="8">
        <v>8.59</v>
      </c>
      <c r="C463" s="9">
        <v>44</v>
      </c>
      <c r="D463">
        <v>1</v>
      </c>
      <c r="E463">
        <v>1</v>
      </c>
      <c r="F463">
        <v>1</v>
      </c>
      <c r="G463" s="10">
        <v>1</v>
      </c>
      <c r="H463" t="s">
        <v>46</v>
      </c>
      <c r="I463" t="s">
        <v>1576</v>
      </c>
      <c r="J463" t="s">
        <v>1574</v>
      </c>
      <c r="K463" s="11" t="s">
        <v>1576</v>
      </c>
    </row>
    <row r="464" spans="1:11">
      <c r="A464" t="s">
        <v>1577</v>
      </c>
      <c r="B464" s="8">
        <v>2.9159999999999999</v>
      </c>
      <c r="C464" s="9">
        <v>6.3</v>
      </c>
      <c r="D464">
        <v>1</v>
      </c>
      <c r="E464">
        <v>1</v>
      </c>
      <c r="F464">
        <v>1</v>
      </c>
      <c r="G464" s="10">
        <v>1</v>
      </c>
      <c r="H464" t="s">
        <v>46</v>
      </c>
      <c r="I464" t="s">
        <v>1576</v>
      </c>
      <c r="J464" t="s">
        <v>1574</v>
      </c>
      <c r="K464" s="11" t="s">
        <v>1576</v>
      </c>
    </row>
    <row r="465" spans="1:11">
      <c r="A465" t="s">
        <v>1578</v>
      </c>
      <c r="B465" s="8">
        <v>3.3719999999999999</v>
      </c>
      <c r="C465" s="9">
        <v>10</v>
      </c>
      <c r="D465">
        <v>4</v>
      </c>
      <c r="E465">
        <v>4</v>
      </c>
      <c r="F465">
        <v>4</v>
      </c>
      <c r="G465" s="10">
        <v>1</v>
      </c>
      <c r="H465" t="s">
        <v>46</v>
      </c>
      <c r="I465" t="s">
        <v>1579</v>
      </c>
      <c r="J465" t="s">
        <v>1580</v>
      </c>
      <c r="K465" s="11" t="s">
        <v>1573</v>
      </c>
    </row>
    <row r="466" spans="1:11">
      <c r="A466" t="s">
        <v>1581</v>
      </c>
      <c r="B466" s="8">
        <v>4.8150000000000004</v>
      </c>
      <c r="C466" s="9">
        <v>20</v>
      </c>
      <c r="D466">
        <v>5</v>
      </c>
      <c r="E466">
        <v>5</v>
      </c>
      <c r="F466">
        <v>5</v>
      </c>
      <c r="G466" s="10">
        <v>1</v>
      </c>
      <c r="H466" t="s">
        <v>46</v>
      </c>
      <c r="I466" t="s">
        <v>1582</v>
      </c>
      <c r="J466" t="s">
        <v>1583</v>
      </c>
      <c r="K466" s="11" t="s">
        <v>1584</v>
      </c>
    </row>
    <row r="467" spans="1:11">
      <c r="A467" t="s">
        <v>1585</v>
      </c>
      <c r="B467" s="8">
        <v>2.6669999999999998</v>
      </c>
      <c r="C467" s="9">
        <v>2.7</v>
      </c>
      <c r="D467">
        <v>3</v>
      </c>
      <c r="E467">
        <v>3</v>
      </c>
      <c r="F467">
        <v>2</v>
      </c>
      <c r="G467" s="10">
        <v>0.66666666666666663</v>
      </c>
      <c r="H467" t="s">
        <v>46</v>
      </c>
      <c r="I467" t="s">
        <v>1586</v>
      </c>
      <c r="J467" t="s">
        <v>1587</v>
      </c>
      <c r="K467" s="11" t="s">
        <v>1588</v>
      </c>
    </row>
    <row r="468" spans="1:11">
      <c r="A468" t="s">
        <v>1589</v>
      </c>
      <c r="B468" s="8">
        <v>2.8479999999999999</v>
      </c>
      <c r="C468" s="9">
        <v>1.6</v>
      </c>
      <c r="D468">
        <v>2</v>
      </c>
      <c r="E468">
        <v>2</v>
      </c>
      <c r="F468">
        <v>2</v>
      </c>
      <c r="G468" s="10">
        <v>1</v>
      </c>
      <c r="H468" t="s">
        <v>46</v>
      </c>
      <c r="I468" t="s">
        <v>1590</v>
      </c>
      <c r="J468" t="s">
        <v>1591</v>
      </c>
      <c r="K468" s="11" t="s">
        <v>1592</v>
      </c>
    </row>
    <row r="469" spans="1:11">
      <c r="A469" t="s">
        <v>1593</v>
      </c>
      <c r="B469" s="8">
        <v>14.084</v>
      </c>
      <c r="C469" s="9">
        <v>18</v>
      </c>
      <c r="D469">
        <v>10</v>
      </c>
      <c r="E469">
        <v>10</v>
      </c>
      <c r="F469">
        <v>8</v>
      </c>
      <c r="G469" s="10">
        <v>0.8</v>
      </c>
      <c r="H469" t="s">
        <v>46</v>
      </c>
      <c r="I469" t="s">
        <v>1594</v>
      </c>
      <c r="J469" t="s">
        <v>1595</v>
      </c>
      <c r="K469" s="11" t="s">
        <v>1596</v>
      </c>
    </row>
    <row r="470" spans="1:11">
      <c r="A470" t="s">
        <v>1597</v>
      </c>
      <c r="B470" s="8">
        <v>4.1340000000000003</v>
      </c>
      <c r="C470" s="9">
        <v>1.9</v>
      </c>
      <c r="D470">
        <v>3</v>
      </c>
      <c r="E470">
        <v>3</v>
      </c>
      <c r="F470">
        <v>3</v>
      </c>
      <c r="G470" s="10">
        <v>1</v>
      </c>
      <c r="H470" t="s">
        <v>46</v>
      </c>
      <c r="I470" t="s">
        <v>1598</v>
      </c>
      <c r="J470" t="s">
        <v>1599</v>
      </c>
      <c r="K470" s="11" t="s">
        <v>1598</v>
      </c>
    </row>
    <row r="471" spans="1:11">
      <c r="A471" t="s">
        <v>1600</v>
      </c>
      <c r="B471" s="8">
        <v>5.2309999999999999</v>
      </c>
      <c r="C471" s="9">
        <v>2.5</v>
      </c>
      <c r="D471">
        <v>6</v>
      </c>
      <c r="E471">
        <v>6</v>
      </c>
      <c r="F471">
        <v>6</v>
      </c>
      <c r="G471" s="10">
        <v>1</v>
      </c>
      <c r="H471" t="s">
        <v>46</v>
      </c>
      <c r="I471" t="s">
        <v>1601</v>
      </c>
      <c r="J471" t="s">
        <v>1602</v>
      </c>
      <c r="K471" s="11" t="s">
        <v>1603</v>
      </c>
    </row>
    <row r="472" spans="1:11">
      <c r="A472" t="s">
        <v>1604</v>
      </c>
      <c r="B472" s="8">
        <v>3.7090000000000001</v>
      </c>
      <c r="C472" s="9">
        <v>29</v>
      </c>
      <c r="D472">
        <v>1</v>
      </c>
      <c r="E472">
        <v>1</v>
      </c>
      <c r="F472">
        <v>1</v>
      </c>
      <c r="G472" s="10">
        <v>1</v>
      </c>
      <c r="H472" t="s">
        <v>46</v>
      </c>
      <c r="I472" t="s">
        <v>1605</v>
      </c>
      <c r="J472" t="s">
        <v>1606</v>
      </c>
      <c r="K472" s="11" t="s">
        <v>1605</v>
      </c>
    </row>
    <row r="473" spans="1:11">
      <c r="A473" t="s">
        <v>1607</v>
      </c>
      <c r="B473" s="8">
        <v>2.4630000000000001</v>
      </c>
      <c r="C473" s="9">
        <v>19</v>
      </c>
      <c r="D473">
        <v>1</v>
      </c>
      <c r="E473">
        <v>1</v>
      </c>
      <c r="F473">
        <v>1</v>
      </c>
      <c r="G473" s="10">
        <v>1</v>
      </c>
      <c r="H473" t="s">
        <v>46</v>
      </c>
      <c r="I473" t="s">
        <v>1605</v>
      </c>
      <c r="J473" t="s">
        <v>1606</v>
      </c>
      <c r="K473" s="11" t="s">
        <v>1605</v>
      </c>
    </row>
    <row r="474" spans="1:11">
      <c r="A474" t="s">
        <v>1608</v>
      </c>
      <c r="B474" s="8">
        <v>5.2119999999999997</v>
      </c>
      <c r="C474" s="9">
        <v>4</v>
      </c>
      <c r="D474">
        <v>5</v>
      </c>
      <c r="E474">
        <v>5</v>
      </c>
      <c r="F474">
        <v>4</v>
      </c>
      <c r="G474" s="10">
        <v>0.8</v>
      </c>
      <c r="H474" t="s">
        <v>46</v>
      </c>
      <c r="I474" t="s">
        <v>1609</v>
      </c>
      <c r="J474" t="s">
        <v>1610</v>
      </c>
      <c r="K474" s="11" t="s">
        <v>1611</v>
      </c>
    </row>
    <row r="475" spans="1:11">
      <c r="A475" t="s">
        <v>1612</v>
      </c>
      <c r="B475" s="8">
        <v>3.637</v>
      </c>
      <c r="C475" s="9">
        <v>42</v>
      </c>
      <c r="D475">
        <v>1</v>
      </c>
      <c r="E475">
        <v>1</v>
      </c>
      <c r="F475">
        <v>1</v>
      </c>
      <c r="G475" s="10">
        <v>1</v>
      </c>
      <c r="H475" t="s">
        <v>46</v>
      </c>
      <c r="I475" t="s">
        <v>1613</v>
      </c>
      <c r="J475" t="s">
        <v>1614</v>
      </c>
      <c r="K475" s="11" t="s">
        <v>1613</v>
      </c>
    </row>
    <row r="476" spans="1:11">
      <c r="A476" t="s">
        <v>1615</v>
      </c>
      <c r="B476" s="8">
        <v>3.8250000000000002</v>
      </c>
      <c r="C476" s="9">
        <v>18</v>
      </c>
      <c r="D476">
        <v>2</v>
      </c>
      <c r="E476">
        <v>2</v>
      </c>
      <c r="F476">
        <v>2</v>
      </c>
      <c r="G476" s="10">
        <v>1</v>
      </c>
      <c r="H476" t="s">
        <v>46</v>
      </c>
      <c r="I476" t="s">
        <v>1616</v>
      </c>
      <c r="J476" t="s">
        <v>1617</v>
      </c>
      <c r="K476" s="11" t="s">
        <v>1618</v>
      </c>
    </row>
    <row r="477" spans="1:11">
      <c r="A477" t="s">
        <v>1619</v>
      </c>
      <c r="B477" s="8">
        <v>3.1040000000000001</v>
      </c>
      <c r="C477" s="9">
        <v>1.5</v>
      </c>
      <c r="D477">
        <v>2</v>
      </c>
      <c r="E477">
        <v>2</v>
      </c>
      <c r="F477">
        <v>2</v>
      </c>
      <c r="G477" s="10">
        <v>1</v>
      </c>
      <c r="H477" t="s">
        <v>46</v>
      </c>
      <c r="I477" t="s">
        <v>1620</v>
      </c>
      <c r="J477" t="s">
        <v>1621</v>
      </c>
      <c r="K477" s="11" t="s">
        <v>1620</v>
      </c>
    </row>
    <row r="478" spans="1:11">
      <c r="A478" t="s">
        <v>1622</v>
      </c>
      <c r="B478" s="8">
        <v>3.1</v>
      </c>
      <c r="C478" s="9">
        <v>2.8</v>
      </c>
      <c r="D478">
        <v>2</v>
      </c>
      <c r="E478">
        <v>2</v>
      </c>
      <c r="F478">
        <v>2</v>
      </c>
      <c r="G478" s="10">
        <v>1</v>
      </c>
      <c r="H478" t="s">
        <v>46</v>
      </c>
      <c r="I478" t="s">
        <v>1623</v>
      </c>
      <c r="J478" t="s">
        <v>1624</v>
      </c>
      <c r="K478" s="11" t="s">
        <v>1625</v>
      </c>
    </row>
    <row r="479" spans="1:11">
      <c r="A479" t="s">
        <v>1626</v>
      </c>
      <c r="B479" s="8">
        <v>2.7109999999999999</v>
      </c>
      <c r="C479" s="9">
        <v>1.6</v>
      </c>
      <c r="D479">
        <v>2</v>
      </c>
      <c r="E479">
        <v>2</v>
      </c>
      <c r="F479">
        <v>2</v>
      </c>
      <c r="G479" s="10">
        <v>1</v>
      </c>
      <c r="H479" t="s">
        <v>46</v>
      </c>
      <c r="I479" t="s">
        <v>1627</v>
      </c>
      <c r="J479" t="s">
        <v>1628</v>
      </c>
      <c r="K479" s="11" t="s">
        <v>1629</v>
      </c>
    </row>
    <row r="480" spans="1:11">
      <c r="A480" t="s">
        <v>1630</v>
      </c>
      <c r="B480" s="8">
        <v>4.9080000000000004</v>
      </c>
      <c r="C480" s="9">
        <v>2.9</v>
      </c>
      <c r="D480">
        <v>3</v>
      </c>
      <c r="E480">
        <v>2</v>
      </c>
      <c r="F480">
        <v>1</v>
      </c>
      <c r="G480" s="10">
        <v>0.33333333333333331</v>
      </c>
      <c r="H480" t="s">
        <v>46</v>
      </c>
      <c r="I480" t="s">
        <v>1631</v>
      </c>
      <c r="J480" t="s">
        <v>1632</v>
      </c>
      <c r="K480" s="11" t="s">
        <v>1633</v>
      </c>
    </row>
    <row r="481" spans="1:11">
      <c r="A481" t="s">
        <v>1634</v>
      </c>
      <c r="B481" s="8">
        <v>3.226</v>
      </c>
      <c r="C481" s="9">
        <v>3.9</v>
      </c>
      <c r="D481">
        <v>2</v>
      </c>
      <c r="E481">
        <v>2</v>
      </c>
      <c r="F481">
        <v>2</v>
      </c>
      <c r="G481" s="10">
        <v>1</v>
      </c>
      <c r="H481" t="s">
        <v>46</v>
      </c>
      <c r="I481" t="s">
        <v>1635</v>
      </c>
      <c r="J481" t="s">
        <v>1636</v>
      </c>
      <c r="K481" s="11" t="s">
        <v>1637</v>
      </c>
    </row>
    <row r="482" spans="1:11">
      <c r="A482" t="s">
        <v>1638</v>
      </c>
      <c r="B482" s="8">
        <v>4.4960000000000004</v>
      </c>
      <c r="C482" s="9">
        <v>42</v>
      </c>
      <c r="D482">
        <v>5</v>
      </c>
      <c r="E482">
        <v>4</v>
      </c>
      <c r="F482">
        <v>5</v>
      </c>
      <c r="G482" s="10">
        <v>1</v>
      </c>
      <c r="H482" t="s">
        <v>46</v>
      </c>
      <c r="I482" t="s">
        <v>1639</v>
      </c>
      <c r="J482" t="s">
        <v>1640</v>
      </c>
      <c r="K482" s="11" t="s">
        <v>1641</v>
      </c>
    </row>
    <row r="483" spans="1:11">
      <c r="A483" t="s">
        <v>1642</v>
      </c>
      <c r="B483" s="8">
        <v>3.2309999999999999</v>
      </c>
      <c r="C483" s="9">
        <v>6.8</v>
      </c>
      <c r="D483">
        <v>5</v>
      </c>
      <c r="E483">
        <v>4</v>
      </c>
      <c r="F483">
        <v>5</v>
      </c>
      <c r="G483" s="10">
        <v>1</v>
      </c>
      <c r="H483" t="s">
        <v>46</v>
      </c>
      <c r="I483" t="s">
        <v>1643</v>
      </c>
      <c r="J483" t="s">
        <v>1644</v>
      </c>
      <c r="K483" s="11" t="s">
        <v>1645</v>
      </c>
    </row>
    <row r="484" spans="1:11">
      <c r="A484" t="s">
        <v>1646</v>
      </c>
      <c r="B484" s="8">
        <v>10.074999999999999</v>
      </c>
      <c r="C484" s="9">
        <v>33</v>
      </c>
      <c r="D484">
        <v>10</v>
      </c>
      <c r="E484">
        <v>10</v>
      </c>
      <c r="F484">
        <v>10</v>
      </c>
      <c r="G484" s="10">
        <v>1</v>
      </c>
      <c r="H484" t="s">
        <v>46</v>
      </c>
      <c r="I484" t="s">
        <v>1647</v>
      </c>
      <c r="J484" t="s">
        <v>1648</v>
      </c>
      <c r="K484" s="11" t="s">
        <v>1649</v>
      </c>
    </row>
    <row r="485" spans="1:11">
      <c r="A485" t="s">
        <v>1650</v>
      </c>
      <c r="B485" s="8">
        <v>3.988</v>
      </c>
      <c r="C485" s="9">
        <v>8.6</v>
      </c>
      <c r="D485">
        <v>2</v>
      </c>
      <c r="E485">
        <v>2</v>
      </c>
      <c r="F485">
        <v>2</v>
      </c>
      <c r="G485" s="10">
        <v>1</v>
      </c>
      <c r="H485" t="s">
        <v>46</v>
      </c>
      <c r="I485" t="s">
        <v>1651</v>
      </c>
      <c r="J485" t="s">
        <v>1652</v>
      </c>
      <c r="K485" s="11" t="s">
        <v>1653</v>
      </c>
    </row>
    <row r="486" spans="1:11">
      <c r="A486" t="s">
        <v>1654</v>
      </c>
      <c r="B486" s="8">
        <v>2.6349999999999998</v>
      </c>
      <c r="C486" s="9">
        <v>5.4</v>
      </c>
      <c r="D486">
        <v>2</v>
      </c>
      <c r="E486">
        <v>2</v>
      </c>
      <c r="F486">
        <v>2</v>
      </c>
      <c r="G486" s="10">
        <v>1</v>
      </c>
      <c r="H486" t="s">
        <v>46</v>
      </c>
      <c r="I486" t="s">
        <v>1655</v>
      </c>
      <c r="J486" t="s">
        <v>1656</v>
      </c>
      <c r="K486" s="11" t="s">
        <v>1657</v>
      </c>
    </row>
    <row r="487" spans="1:11">
      <c r="A487" t="s">
        <v>1658</v>
      </c>
      <c r="B487" s="8">
        <v>3.593</v>
      </c>
      <c r="C487" s="9">
        <v>3.2</v>
      </c>
      <c r="D487">
        <v>3</v>
      </c>
      <c r="E487">
        <v>3</v>
      </c>
      <c r="F487">
        <v>3</v>
      </c>
      <c r="G487" s="10">
        <v>1</v>
      </c>
      <c r="H487" t="s">
        <v>46</v>
      </c>
      <c r="I487" t="s">
        <v>1659</v>
      </c>
      <c r="J487" t="s">
        <v>1660</v>
      </c>
      <c r="K487" s="11" t="s">
        <v>1661</v>
      </c>
    </row>
    <row r="488" spans="1:11">
      <c r="A488" t="s">
        <v>1662</v>
      </c>
      <c r="B488" s="8">
        <v>2.637</v>
      </c>
      <c r="C488" s="9">
        <v>13</v>
      </c>
      <c r="D488">
        <v>2</v>
      </c>
      <c r="E488">
        <v>2</v>
      </c>
      <c r="F488">
        <v>2</v>
      </c>
      <c r="G488" s="10">
        <v>1</v>
      </c>
      <c r="H488" t="s">
        <v>46</v>
      </c>
      <c r="I488" t="s">
        <v>1663</v>
      </c>
      <c r="J488" t="s">
        <v>1664</v>
      </c>
      <c r="K488" s="11" t="s">
        <v>1665</v>
      </c>
    </row>
    <row r="489" spans="1:11">
      <c r="A489" t="s">
        <v>1666</v>
      </c>
      <c r="B489" s="8">
        <v>3.153</v>
      </c>
      <c r="C489" s="9">
        <v>2.4</v>
      </c>
      <c r="D489">
        <v>2</v>
      </c>
      <c r="E489">
        <v>2</v>
      </c>
      <c r="F489">
        <v>2</v>
      </c>
      <c r="G489" s="10">
        <v>1</v>
      </c>
      <c r="H489" t="s">
        <v>46</v>
      </c>
      <c r="I489" t="s">
        <v>1667</v>
      </c>
      <c r="J489" t="s">
        <v>1668</v>
      </c>
      <c r="K489" s="11" t="s">
        <v>1669</v>
      </c>
    </row>
    <row r="490" spans="1:11">
      <c r="A490" t="s">
        <v>1670</v>
      </c>
      <c r="B490" s="8">
        <v>11.877000000000001</v>
      </c>
      <c r="C490" s="9">
        <v>4.3</v>
      </c>
      <c r="D490">
        <v>17</v>
      </c>
      <c r="E490">
        <v>17</v>
      </c>
      <c r="F490">
        <v>17</v>
      </c>
      <c r="G490" s="10">
        <v>1</v>
      </c>
      <c r="H490" t="s">
        <v>46</v>
      </c>
      <c r="I490" t="s">
        <v>1671</v>
      </c>
      <c r="J490" t="s">
        <v>1672</v>
      </c>
      <c r="K490" s="11" t="s">
        <v>1671</v>
      </c>
    </row>
    <row r="491" spans="1:11">
      <c r="A491" t="s">
        <v>1673</v>
      </c>
      <c r="B491" s="8">
        <v>4.4809999999999999</v>
      </c>
      <c r="C491" s="9">
        <v>7.6</v>
      </c>
      <c r="D491">
        <v>5</v>
      </c>
      <c r="E491">
        <v>5</v>
      </c>
      <c r="F491">
        <v>5</v>
      </c>
      <c r="G491" s="10">
        <v>1</v>
      </c>
      <c r="H491" t="s">
        <v>46</v>
      </c>
      <c r="I491" t="s">
        <v>1674</v>
      </c>
      <c r="J491" t="s">
        <v>1672</v>
      </c>
      <c r="K491" s="11" t="s">
        <v>1674</v>
      </c>
    </row>
    <row r="492" spans="1:11">
      <c r="A492" t="s">
        <v>1675</v>
      </c>
      <c r="B492" s="8">
        <v>2.7690000000000001</v>
      </c>
      <c r="C492" s="9">
        <v>4.9000000000000004</v>
      </c>
      <c r="D492">
        <v>4</v>
      </c>
      <c r="E492">
        <v>4</v>
      </c>
      <c r="F492">
        <v>4</v>
      </c>
      <c r="G492" s="10">
        <v>1</v>
      </c>
      <c r="H492" t="s">
        <v>46</v>
      </c>
      <c r="I492" t="s">
        <v>1676</v>
      </c>
      <c r="J492" t="s">
        <v>1672</v>
      </c>
      <c r="K492" s="11" t="s">
        <v>1676</v>
      </c>
    </row>
    <row r="493" spans="1:11">
      <c r="A493" t="s">
        <v>1677</v>
      </c>
      <c r="B493" s="8">
        <v>3.5270000000000001</v>
      </c>
      <c r="C493" s="9">
        <v>3</v>
      </c>
      <c r="D493">
        <v>4</v>
      </c>
      <c r="E493">
        <v>4</v>
      </c>
      <c r="F493">
        <v>4</v>
      </c>
      <c r="G493" s="10">
        <v>1</v>
      </c>
      <c r="H493" t="s">
        <v>46</v>
      </c>
      <c r="I493" t="s">
        <v>1676</v>
      </c>
      <c r="J493" t="s">
        <v>1672</v>
      </c>
      <c r="K493" s="11" t="s">
        <v>1676</v>
      </c>
    </row>
    <row r="494" spans="1:11">
      <c r="A494" t="s">
        <v>1678</v>
      </c>
      <c r="B494" s="8">
        <v>2.78</v>
      </c>
      <c r="C494" s="9">
        <v>18</v>
      </c>
      <c r="D494">
        <v>3</v>
      </c>
      <c r="E494">
        <v>3</v>
      </c>
      <c r="F494">
        <v>3</v>
      </c>
      <c r="G494" s="10">
        <v>1</v>
      </c>
      <c r="H494" t="s">
        <v>46</v>
      </c>
      <c r="I494" t="s">
        <v>1679</v>
      </c>
      <c r="J494" t="s">
        <v>1672</v>
      </c>
      <c r="K494" s="11" t="s">
        <v>1679</v>
      </c>
    </row>
    <row r="495" spans="1:11">
      <c r="A495" t="s">
        <v>1680</v>
      </c>
      <c r="B495" s="8">
        <v>3.42</v>
      </c>
      <c r="C495" s="9">
        <v>12</v>
      </c>
      <c r="D495">
        <v>2</v>
      </c>
      <c r="E495">
        <v>2</v>
      </c>
      <c r="F495">
        <v>2</v>
      </c>
      <c r="G495" s="10">
        <v>1</v>
      </c>
      <c r="H495" t="s">
        <v>46</v>
      </c>
      <c r="I495" t="s">
        <v>1681</v>
      </c>
      <c r="J495" t="s">
        <v>1672</v>
      </c>
      <c r="K495" s="11" t="s">
        <v>1681</v>
      </c>
    </row>
    <row r="496" spans="1:11">
      <c r="A496" t="s">
        <v>1682</v>
      </c>
      <c r="B496" s="8">
        <v>2.92</v>
      </c>
      <c r="C496" s="9">
        <v>47</v>
      </c>
      <c r="D496">
        <v>2</v>
      </c>
      <c r="E496">
        <v>2</v>
      </c>
      <c r="F496">
        <v>2</v>
      </c>
      <c r="G496" s="10">
        <v>1</v>
      </c>
      <c r="H496" t="s">
        <v>46</v>
      </c>
      <c r="I496" t="s">
        <v>1681</v>
      </c>
      <c r="J496" t="s">
        <v>1672</v>
      </c>
      <c r="K496" s="11" t="s">
        <v>1681</v>
      </c>
    </row>
    <row r="497" spans="1:11">
      <c r="A497" t="s">
        <v>1683</v>
      </c>
      <c r="B497" s="8">
        <v>3.31</v>
      </c>
      <c r="C497" s="9">
        <v>2.7</v>
      </c>
      <c r="D497">
        <v>2</v>
      </c>
      <c r="E497">
        <v>2</v>
      </c>
      <c r="F497">
        <v>2</v>
      </c>
      <c r="G497" s="10">
        <v>1</v>
      </c>
      <c r="H497" t="s">
        <v>46</v>
      </c>
      <c r="I497" t="s">
        <v>1681</v>
      </c>
      <c r="J497" t="s">
        <v>1672</v>
      </c>
      <c r="K497" s="11" t="s">
        <v>1681</v>
      </c>
    </row>
    <row r="498" spans="1:11">
      <c r="A498" t="s">
        <v>1684</v>
      </c>
      <c r="B498" s="8">
        <v>2.5830000000000002</v>
      </c>
      <c r="C498" s="9">
        <v>7.9</v>
      </c>
      <c r="D498">
        <v>2</v>
      </c>
      <c r="E498">
        <v>2</v>
      </c>
      <c r="F498">
        <v>2</v>
      </c>
      <c r="G498" s="10">
        <v>1</v>
      </c>
      <c r="H498" t="s">
        <v>46</v>
      </c>
      <c r="I498" t="s">
        <v>1681</v>
      </c>
      <c r="J498" t="s">
        <v>1672</v>
      </c>
      <c r="K498" s="11" t="s">
        <v>1681</v>
      </c>
    </row>
    <row r="499" spans="1:11">
      <c r="A499" t="s">
        <v>1685</v>
      </c>
      <c r="B499" s="8">
        <v>3.2869999999999999</v>
      </c>
      <c r="C499" s="9">
        <v>2.4</v>
      </c>
      <c r="D499">
        <v>3</v>
      </c>
      <c r="E499">
        <v>3</v>
      </c>
      <c r="F499">
        <v>3</v>
      </c>
      <c r="G499" s="10">
        <v>1</v>
      </c>
      <c r="H499" t="s">
        <v>46</v>
      </c>
      <c r="I499" t="s">
        <v>1686</v>
      </c>
      <c r="J499" t="s">
        <v>1687</v>
      </c>
      <c r="K499" s="11" t="s">
        <v>1681</v>
      </c>
    </row>
    <row r="500" spans="1:11">
      <c r="A500" t="s">
        <v>1688</v>
      </c>
      <c r="B500" s="8">
        <v>6.1760000000000002</v>
      </c>
      <c r="C500" s="9">
        <v>16</v>
      </c>
      <c r="D500">
        <v>6</v>
      </c>
      <c r="E500">
        <v>6</v>
      </c>
      <c r="F500">
        <v>6</v>
      </c>
      <c r="G500" s="10">
        <v>1</v>
      </c>
      <c r="H500" t="s">
        <v>46</v>
      </c>
      <c r="I500" t="s">
        <v>1689</v>
      </c>
      <c r="J500" t="s">
        <v>1690</v>
      </c>
      <c r="K500" s="11" t="s">
        <v>1691</v>
      </c>
    </row>
    <row r="501" spans="1:11">
      <c r="A501" t="s">
        <v>1692</v>
      </c>
      <c r="B501" s="8">
        <v>2.9279999999999999</v>
      </c>
      <c r="C501" s="9">
        <v>1.4</v>
      </c>
      <c r="D501">
        <v>2</v>
      </c>
      <c r="E501">
        <v>2</v>
      </c>
      <c r="F501">
        <v>2</v>
      </c>
      <c r="G501" s="10">
        <v>1</v>
      </c>
      <c r="H501" t="s">
        <v>46</v>
      </c>
      <c r="I501" t="s">
        <v>1693</v>
      </c>
      <c r="J501" t="s">
        <v>1694</v>
      </c>
      <c r="K501" s="11" t="s">
        <v>1695</v>
      </c>
    </row>
    <row r="502" spans="1:11">
      <c r="A502" t="s">
        <v>1696</v>
      </c>
      <c r="B502" s="8">
        <v>2.73</v>
      </c>
      <c r="C502" s="9">
        <v>6.6</v>
      </c>
      <c r="D502">
        <v>3</v>
      </c>
      <c r="E502">
        <v>3</v>
      </c>
      <c r="F502">
        <v>3</v>
      </c>
      <c r="G502" s="10">
        <v>1</v>
      </c>
      <c r="H502" t="s">
        <v>46</v>
      </c>
      <c r="I502" t="s">
        <v>1697</v>
      </c>
      <c r="J502" t="s">
        <v>1698</v>
      </c>
      <c r="K502" s="11" t="s">
        <v>1681</v>
      </c>
    </row>
    <row r="503" spans="1:11">
      <c r="A503" t="s">
        <v>1699</v>
      </c>
      <c r="B503" s="8">
        <v>19.981000000000002</v>
      </c>
      <c r="C503" s="9">
        <v>12</v>
      </c>
      <c r="D503">
        <v>19</v>
      </c>
      <c r="E503">
        <v>19</v>
      </c>
      <c r="F503">
        <v>12</v>
      </c>
      <c r="G503" s="10">
        <v>0.63157894736842102</v>
      </c>
      <c r="H503" t="s">
        <v>46</v>
      </c>
      <c r="I503" t="s">
        <v>1700</v>
      </c>
      <c r="J503" t="s">
        <v>1701</v>
      </c>
      <c r="K503" s="11" t="s">
        <v>1702</v>
      </c>
    </row>
    <row r="504" spans="1:11">
      <c r="A504" t="s">
        <v>1703</v>
      </c>
      <c r="B504" s="8">
        <v>15.398999999999999</v>
      </c>
      <c r="C504" s="9">
        <v>15</v>
      </c>
      <c r="D504">
        <v>11</v>
      </c>
      <c r="E504">
        <v>10</v>
      </c>
      <c r="F504">
        <v>9</v>
      </c>
      <c r="G504" s="10">
        <v>0.81818181818181823</v>
      </c>
      <c r="H504" t="s">
        <v>46</v>
      </c>
      <c r="I504" t="s">
        <v>1704</v>
      </c>
      <c r="J504" t="s">
        <v>1705</v>
      </c>
      <c r="K504" s="11" t="s">
        <v>1706</v>
      </c>
    </row>
    <row r="505" spans="1:11">
      <c r="A505" t="s">
        <v>1707</v>
      </c>
      <c r="B505" s="8">
        <v>6.4850000000000003</v>
      </c>
      <c r="C505" s="9">
        <v>22</v>
      </c>
      <c r="D505">
        <v>7</v>
      </c>
      <c r="E505">
        <v>6</v>
      </c>
      <c r="F505">
        <v>7</v>
      </c>
      <c r="G505" s="10">
        <v>1</v>
      </c>
      <c r="H505" t="s">
        <v>46</v>
      </c>
      <c r="I505" t="s">
        <v>1708</v>
      </c>
      <c r="J505" t="s">
        <v>1709</v>
      </c>
      <c r="K505" s="11" t="s">
        <v>1710</v>
      </c>
    </row>
    <row r="506" spans="1:11">
      <c r="A506" t="s">
        <v>1711</v>
      </c>
      <c r="B506" s="8">
        <v>11.180999999999999</v>
      </c>
      <c r="C506" s="9">
        <v>6.4</v>
      </c>
      <c r="D506">
        <v>10</v>
      </c>
      <c r="E506">
        <v>10</v>
      </c>
      <c r="F506">
        <v>10</v>
      </c>
      <c r="G506" s="10">
        <v>1</v>
      </c>
      <c r="H506" t="s">
        <v>46</v>
      </c>
      <c r="I506" t="s">
        <v>1712</v>
      </c>
      <c r="J506" t="s">
        <v>1713</v>
      </c>
      <c r="K506" s="11" t="s">
        <v>1714</v>
      </c>
    </row>
    <row r="507" spans="1:11">
      <c r="A507" t="s">
        <v>1715</v>
      </c>
      <c r="B507" s="8">
        <v>15.965999999999999</v>
      </c>
      <c r="C507" s="9">
        <v>7.3</v>
      </c>
      <c r="D507">
        <v>15</v>
      </c>
      <c r="E507">
        <v>15</v>
      </c>
      <c r="F507">
        <v>15</v>
      </c>
      <c r="G507" s="10">
        <v>1</v>
      </c>
      <c r="H507" t="s">
        <v>46</v>
      </c>
      <c r="I507" t="s">
        <v>1716</v>
      </c>
      <c r="J507" t="s">
        <v>1717</v>
      </c>
      <c r="K507" s="11" t="s">
        <v>1718</v>
      </c>
    </row>
    <row r="508" spans="1:11">
      <c r="A508" t="s">
        <v>1719</v>
      </c>
      <c r="B508" s="8">
        <v>3.089</v>
      </c>
      <c r="C508" s="9">
        <v>2.8</v>
      </c>
      <c r="D508">
        <v>5</v>
      </c>
      <c r="E508">
        <v>5</v>
      </c>
      <c r="F508">
        <v>5</v>
      </c>
      <c r="G508" s="10">
        <v>1</v>
      </c>
      <c r="H508" t="s">
        <v>46</v>
      </c>
      <c r="I508" t="s">
        <v>1720</v>
      </c>
      <c r="J508" t="s">
        <v>1721</v>
      </c>
      <c r="K508" s="11" t="s">
        <v>1676</v>
      </c>
    </row>
    <row r="509" spans="1:11">
      <c r="A509" t="s">
        <v>1722</v>
      </c>
      <c r="B509" s="8">
        <v>8.5709999999999997</v>
      </c>
      <c r="C509" s="9">
        <v>14</v>
      </c>
      <c r="D509">
        <v>8</v>
      </c>
      <c r="E509">
        <v>8</v>
      </c>
      <c r="F509">
        <v>7</v>
      </c>
      <c r="G509" s="10">
        <v>0.875</v>
      </c>
      <c r="H509" t="s">
        <v>46</v>
      </c>
      <c r="I509" t="s">
        <v>1723</v>
      </c>
      <c r="J509" t="s">
        <v>1724</v>
      </c>
      <c r="K509" s="11" t="s">
        <v>1725</v>
      </c>
    </row>
    <row r="510" spans="1:11">
      <c r="A510" t="s">
        <v>1726</v>
      </c>
      <c r="B510" s="8">
        <v>3.2450000000000001</v>
      </c>
      <c r="C510" s="9">
        <v>3.4</v>
      </c>
      <c r="D510">
        <v>4</v>
      </c>
      <c r="E510">
        <v>4</v>
      </c>
      <c r="F510">
        <v>4</v>
      </c>
      <c r="G510" s="10">
        <v>1</v>
      </c>
      <c r="H510" t="s">
        <v>46</v>
      </c>
      <c r="I510" t="s">
        <v>1727</v>
      </c>
      <c r="J510" t="s">
        <v>1728</v>
      </c>
      <c r="K510" s="11" t="s">
        <v>1727</v>
      </c>
    </row>
    <row r="511" spans="1:11">
      <c r="A511" t="s">
        <v>1729</v>
      </c>
      <c r="B511" s="8">
        <v>4.16</v>
      </c>
      <c r="C511" s="9">
        <v>7.8</v>
      </c>
      <c r="D511">
        <v>5</v>
      </c>
      <c r="E511">
        <v>5</v>
      </c>
      <c r="F511">
        <v>4</v>
      </c>
      <c r="G511" s="10">
        <v>0.8</v>
      </c>
      <c r="H511" t="s">
        <v>46</v>
      </c>
      <c r="I511" t="s">
        <v>1730</v>
      </c>
      <c r="J511" t="s">
        <v>1731</v>
      </c>
      <c r="K511" s="11" t="s">
        <v>1676</v>
      </c>
    </row>
    <row r="512" spans="1:11">
      <c r="A512" t="s">
        <v>1732</v>
      </c>
      <c r="B512" s="8">
        <v>11.099</v>
      </c>
      <c r="C512" s="9">
        <v>9.1</v>
      </c>
      <c r="D512">
        <v>11</v>
      </c>
      <c r="E512">
        <v>10</v>
      </c>
      <c r="F512">
        <v>9</v>
      </c>
      <c r="G512" s="10">
        <v>0.81818181818181823</v>
      </c>
      <c r="H512" t="s">
        <v>46</v>
      </c>
      <c r="I512" t="s">
        <v>1733</v>
      </c>
      <c r="J512" t="s">
        <v>1734</v>
      </c>
      <c r="K512" s="11" t="s">
        <v>1725</v>
      </c>
    </row>
    <row r="513" spans="1:11">
      <c r="A513" t="s">
        <v>1735</v>
      </c>
      <c r="B513" s="8">
        <v>4.2329999999999997</v>
      </c>
      <c r="C513" s="9">
        <v>4.3</v>
      </c>
      <c r="D513">
        <v>3</v>
      </c>
      <c r="E513">
        <v>3</v>
      </c>
      <c r="F513">
        <v>3</v>
      </c>
      <c r="G513" s="10">
        <v>1</v>
      </c>
      <c r="H513" t="s">
        <v>46</v>
      </c>
      <c r="I513" t="s">
        <v>1736</v>
      </c>
      <c r="J513" t="s">
        <v>1737</v>
      </c>
      <c r="K513" s="11" t="s">
        <v>1681</v>
      </c>
    </row>
    <row r="514" spans="1:11">
      <c r="A514" t="s">
        <v>1738</v>
      </c>
      <c r="B514" s="8">
        <v>11</v>
      </c>
      <c r="C514" s="9">
        <v>9.1999999999999993</v>
      </c>
      <c r="D514">
        <v>13</v>
      </c>
      <c r="E514">
        <v>13</v>
      </c>
      <c r="F514">
        <v>12</v>
      </c>
      <c r="G514" s="10">
        <v>0.92307692307692313</v>
      </c>
      <c r="H514" t="s">
        <v>46</v>
      </c>
      <c r="I514" t="s">
        <v>1739</v>
      </c>
      <c r="J514" t="s">
        <v>1740</v>
      </c>
      <c r="K514" s="11" t="s">
        <v>1741</v>
      </c>
    </row>
    <row r="515" spans="1:11">
      <c r="A515" t="s">
        <v>1742</v>
      </c>
      <c r="B515" s="8">
        <v>4.9290000000000003</v>
      </c>
      <c r="C515" s="9">
        <v>22</v>
      </c>
      <c r="D515">
        <v>2</v>
      </c>
      <c r="E515">
        <v>2</v>
      </c>
      <c r="F515">
        <v>1</v>
      </c>
      <c r="G515" s="10">
        <v>0.5</v>
      </c>
      <c r="H515" t="s">
        <v>46</v>
      </c>
      <c r="I515" t="s">
        <v>1743</v>
      </c>
      <c r="J515" t="s">
        <v>1744</v>
      </c>
      <c r="K515" s="11" t="s">
        <v>1745</v>
      </c>
    </row>
    <row r="516" spans="1:11">
      <c r="A516" t="s">
        <v>1746</v>
      </c>
      <c r="B516" s="8">
        <v>2.9790000000000001</v>
      </c>
      <c r="C516" s="9">
        <v>6</v>
      </c>
      <c r="D516">
        <v>4</v>
      </c>
      <c r="E516">
        <v>4</v>
      </c>
      <c r="F516">
        <v>3</v>
      </c>
      <c r="G516" s="10">
        <v>0.75</v>
      </c>
      <c r="H516" t="s">
        <v>46</v>
      </c>
      <c r="I516" t="s">
        <v>1747</v>
      </c>
      <c r="J516" t="s">
        <v>1748</v>
      </c>
      <c r="K516" s="11" t="s">
        <v>1749</v>
      </c>
    </row>
    <row r="517" spans="1:11">
      <c r="A517" t="s">
        <v>1750</v>
      </c>
      <c r="B517" s="8">
        <v>3.68</v>
      </c>
      <c r="C517" s="9">
        <v>3.6</v>
      </c>
      <c r="D517">
        <v>2</v>
      </c>
      <c r="E517">
        <v>2</v>
      </c>
      <c r="F517">
        <v>2</v>
      </c>
      <c r="G517" s="10">
        <v>1</v>
      </c>
      <c r="H517" t="s">
        <v>46</v>
      </c>
      <c r="I517" t="s">
        <v>1751</v>
      </c>
      <c r="J517" t="s">
        <v>1752</v>
      </c>
      <c r="K517" s="11" t="s">
        <v>1753</v>
      </c>
    </row>
    <row r="518" spans="1:11">
      <c r="A518" t="s">
        <v>1754</v>
      </c>
      <c r="B518" s="8">
        <v>2.5</v>
      </c>
      <c r="C518" s="9">
        <v>57</v>
      </c>
      <c r="D518">
        <v>2</v>
      </c>
      <c r="E518">
        <v>2</v>
      </c>
      <c r="F518">
        <v>1</v>
      </c>
      <c r="G518" s="10">
        <v>0.5</v>
      </c>
      <c r="H518" t="s">
        <v>46</v>
      </c>
      <c r="I518" t="s">
        <v>1755</v>
      </c>
      <c r="J518" t="s">
        <v>1756</v>
      </c>
      <c r="K518" s="11" t="s">
        <v>1757</v>
      </c>
    </row>
    <row r="519" spans="1:11">
      <c r="A519" t="s">
        <v>1758</v>
      </c>
      <c r="B519" s="8">
        <v>2.5499999999999998</v>
      </c>
      <c r="C519" s="9">
        <v>2.8</v>
      </c>
      <c r="D519">
        <v>2</v>
      </c>
      <c r="E519">
        <v>2</v>
      </c>
      <c r="F519">
        <v>2</v>
      </c>
      <c r="G519" s="10">
        <v>1</v>
      </c>
      <c r="H519" t="s">
        <v>46</v>
      </c>
      <c r="I519" t="s">
        <v>1759</v>
      </c>
      <c r="J519" t="s">
        <v>1760</v>
      </c>
      <c r="K519" s="11" t="s">
        <v>1761</v>
      </c>
    </row>
    <row r="520" spans="1:11">
      <c r="A520" t="s">
        <v>1762</v>
      </c>
      <c r="B520" s="8">
        <v>3.9420000000000002</v>
      </c>
      <c r="C520" s="9">
        <v>8.6999999999999993</v>
      </c>
      <c r="D520">
        <v>5</v>
      </c>
      <c r="E520">
        <v>5</v>
      </c>
      <c r="F520">
        <v>5</v>
      </c>
      <c r="G520" s="10">
        <v>1</v>
      </c>
      <c r="H520" t="s">
        <v>46</v>
      </c>
      <c r="I520" t="s">
        <v>1763</v>
      </c>
      <c r="J520" t="s">
        <v>1764</v>
      </c>
      <c r="K520" s="11" t="s">
        <v>1765</v>
      </c>
    </row>
    <row r="521" spans="1:11">
      <c r="A521" t="s">
        <v>1766</v>
      </c>
      <c r="B521" s="8">
        <v>7.1689999999999996</v>
      </c>
      <c r="C521" s="9">
        <v>42</v>
      </c>
      <c r="D521">
        <v>2</v>
      </c>
      <c r="E521">
        <v>2</v>
      </c>
      <c r="F521">
        <v>2</v>
      </c>
      <c r="G521" s="10">
        <v>1</v>
      </c>
      <c r="H521" t="s">
        <v>46</v>
      </c>
      <c r="I521" t="s">
        <v>1767</v>
      </c>
      <c r="J521" t="s">
        <v>1768</v>
      </c>
      <c r="K521" s="11" t="s">
        <v>1769</v>
      </c>
    </row>
    <row r="522" spans="1:11">
      <c r="A522" t="s">
        <v>1770</v>
      </c>
      <c r="B522" s="8">
        <v>2.6560000000000001</v>
      </c>
      <c r="C522" s="9">
        <v>1.9</v>
      </c>
      <c r="D522">
        <v>2</v>
      </c>
      <c r="E522">
        <v>2</v>
      </c>
      <c r="F522">
        <v>2</v>
      </c>
      <c r="G522" s="10">
        <v>1</v>
      </c>
      <c r="H522" t="s">
        <v>46</v>
      </c>
      <c r="I522" t="s">
        <v>1771</v>
      </c>
      <c r="J522" t="s">
        <v>1772</v>
      </c>
      <c r="K522" s="11" t="s">
        <v>1771</v>
      </c>
    </row>
    <row r="523" spans="1:11">
      <c r="A523" t="s">
        <v>1773</v>
      </c>
      <c r="B523" s="8">
        <v>4.5339999999999998</v>
      </c>
      <c r="C523" s="9">
        <v>11</v>
      </c>
      <c r="D523">
        <v>2</v>
      </c>
      <c r="E523">
        <v>2</v>
      </c>
      <c r="F523">
        <v>1</v>
      </c>
      <c r="G523" s="10">
        <v>0.5</v>
      </c>
      <c r="H523" t="s">
        <v>46</v>
      </c>
      <c r="I523" t="s">
        <v>1774</v>
      </c>
      <c r="J523" t="s">
        <v>1775</v>
      </c>
      <c r="K523" s="11" t="s">
        <v>1776</v>
      </c>
    </row>
    <row r="524" spans="1:11">
      <c r="A524" t="s">
        <v>1777</v>
      </c>
      <c r="B524" s="8">
        <v>7.6449999999999996</v>
      </c>
      <c r="C524" s="9">
        <v>41</v>
      </c>
      <c r="D524">
        <v>2</v>
      </c>
      <c r="E524">
        <v>2</v>
      </c>
      <c r="F524">
        <v>2</v>
      </c>
      <c r="G524" s="10">
        <v>1</v>
      </c>
      <c r="H524" t="s">
        <v>46</v>
      </c>
      <c r="I524" t="s">
        <v>1778</v>
      </c>
      <c r="J524" t="s">
        <v>1779</v>
      </c>
      <c r="K524" s="11" t="s">
        <v>1778</v>
      </c>
    </row>
    <row r="525" spans="1:11">
      <c r="A525" t="s">
        <v>1780</v>
      </c>
      <c r="B525" s="8">
        <v>3.9470000000000001</v>
      </c>
      <c r="C525" s="9">
        <v>2.8</v>
      </c>
      <c r="D525">
        <v>2</v>
      </c>
      <c r="E525">
        <v>2</v>
      </c>
      <c r="F525">
        <v>1</v>
      </c>
      <c r="G525" s="10">
        <v>0.5</v>
      </c>
      <c r="H525" t="s">
        <v>46</v>
      </c>
      <c r="I525" t="s">
        <v>1781</v>
      </c>
      <c r="J525" t="s">
        <v>1782</v>
      </c>
      <c r="K525" s="11" t="s">
        <v>1783</v>
      </c>
    </row>
    <row r="526" spans="1:11">
      <c r="A526" t="s">
        <v>1784</v>
      </c>
      <c r="B526" s="8">
        <v>3.59</v>
      </c>
      <c r="C526" s="9">
        <v>5.6</v>
      </c>
      <c r="D526">
        <v>5</v>
      </c>
      <c r="E526">
        <v>5</v>
      </c>
      <c r="F526">
        <v>4</v>
      </c>
      <c r="G526" s="10">
        <v>0.8</v>
      </c>
      <c r="H526" t="s">
        <v>46</v>
      </c>
      <c r="I526" t="s">
        <v>1785</v>
      </c>
      <c r="J526" t="s">
        <v>1786</v>
      </c>
      <c r="K526" s="11" t="s">
        <v>1787</v>
      </c>
    </row>
    <row r="527" spans="1:11">
      <c r="A527" t="s">
        <v>1788</v>
      </c>
      <c r="B527" s="8">
        <v>3.47</v>
      </c>
      <c r="C527" s="9">
        <v>19</v>
      </c>
      <c r="D527">
        <v>2</v>
      </c>
      <c r="E527">
        <v>2</v>
      </c>
      <c r="F527">
        <v>2</v>
      </c>
      <c r="G527" s="10">
        <v>1</v>
      </c>
      <c r="H527" t="s">
        <v>46</v>
      </c>
      <c r="I527" t="s">
        <v>1789</v>
      </c>
      <c r="J527" t="s">
        <v>1790</v>
      </c>
      <c r="K527" s="11" t="s">
        <v>1558</v>
      </c>
    </row>
    <row r="528" spans="1:11">
      <c r="A528" t="s">
        <v>1791</v>
      </c>
      <c r="B528" s="8">
        <v>6.335</v>
      </c>
      <c r="C528" s="9">
        <v>8.1999999999999993</v>
      </c>
      <c r="D528">
        <v>2</v>
      </c>
      <c r="E528">
        <v>2</v>
      </c>
      <c r="F528">
        <v>1</v>
      </c>
      <c r="G528" s="10">
        <v>0.5</v>
      </c>
      <c r="H528" t="s">
        <v>46</v>
      </c>
      <c r="I528" t="s">
        <v>1792</v>
      </c>
      <c r="J528" t="s">
        <v>1793</v>
      </c>
      <c r="K528" s="11" t="s">
        <v>1558</v>
      </c>
    </row>
    <row r="529" spans="1:11">
      <c r="A529" t="s">
        <v>1794</v>
      </c>
      <c r="B529" s="8">
        <v>3.6080000000000001</v>
      </c>
      <c r="C529" s="9">
        <v>24</v>
      </c>
      <c r="D529">
        <v>6</v>
      </c>
      <c r="E529">
        <v>4</v>
      </c>
      <c r="F529">
        <v>6</v>
      </c>
      <c r="G529" s="10">
        <v>1</v>
      </c>
      <c r="H529" t="s">
        <v>46</v>
      </c>
      <c r="I529" t="s">
        <v>1795</v>
      </c>
      <c r="J529" t="s">
        <v>1796</v>
      </c>
      <c r="K529" s="11" t="s">
        <v>1797</v>
      </c>
    </row>
    <row r="530" spans="1:11">
      <c r="A530" t="s">
        <v>1798</v>
      </c>
      <c r="B530" s="8">
        <v>4.181</v>
      </c>
      <c r="C530" s="9">
        <v>49</v>
      </c>
      <c r="D530">
        <v>1</v>
      </c>
      <c r="E530">
        <v>1</v>
      </c>
      <c r="F530">
        <v>1</v>
      </c>
      <c r="G530" s="10">
        <v>1</v>
      </c>
      <c r="H530" t="s">
        <v>46</v>
      </c>
      <c r="I530" t="s">
        <v>1799</v>
      </c>
      <c r="J530" t="s">
        <v>1800</v>
      </c>
      <c r="K530" s="11" t="s">
        <v>1799</v>
      </c>
    </row>
    <row r="531" spans="1:11">
      <c r="A531" t="s">
        <v>1801</v>
      </c>
      <c r="B531" s="8">
        <v>7.5259999999999998</v>
      </c>
      <c r="C531" s="9">
        <v>6</v>
      </c>
      <c r="D531">
        <v>7</v>
      </c>
      <c r="E531">
        <v>6</v>
      </c>
      <c r="F531">
        <v>5</v>
      </c>
      <c r="G531" s="10">
        <v>0.7142857142857143</v>
      </c>
      <c r="H531" t="s">
        <v>46</v>
      </c>
      <c r="I531" t="s">
        <v>1802</v>
      </c>
      <c r="J531" t="s">
        <v>1803</v>
      </c>
      <c r="K531" s="11" t="s">
        <v>1804</v>
      </c>
    </row>
    <row r="532" spans="1:11">
      <c r="A532" t="s">
        <v>1805</v>
      </c>
      <c r="B532" s="8">
        <v>7.077</v>
      </c>
      <c r="C532" s="9">
        <v>4.4000000000000004</v>
      </c>
      <c r="D532">
        <v>4</v>
      </c>
      <c r="E532">
        <v>4</v>
      </c>
      <c r="F532">
        <v>4</v>
      </c>
      <c r="G532" s="10">
        <v>1</v>
      </c>
      <c r="H532" t="s">
        <v>46</v>
      </c>
      <c r="I532" t="s">
        <v>1806</v>
      </c>
      <c r="J532" t="s">
        <v>1807</v>
      </c>
      <c r="K532" s="11" t="s">
        <v>1808</v>
      </c>
    </row>
    <row r="533" spans="1:11">
      <c r="A533" t="s">
        <v>1809</v>
      </c>
      <c r="B533" s="8">
        <v>3.8380000000000001</v>
      </c>
      <c r="C533" s="9">
        <v>2.5</v>
      </c>
      <c r="D533">
        <v>1</v>
      </c>
      <c r="E533">
        <v>1</v>
      </c>
      <c r="F533">
        <v>1</v>
      </c>
      <c r="G533" s="10">
        <v>1</v>
      </c>
      <c r="H533" t="s">
        <v>46</v>
      </c>
      <c r="I533" t="s">
        <v>1776</v>
      </c>
      <c r="J533" t="s">
        <v>1810</v>
      </c>
      <c r="K533" s="11" t="s">
        <v>1776</v>
      </c>
    </row>
    <row r="534" spans="1:11">
      <c r="A534" t="s">
        <v>1811</v>
      </c>
      <c r="B534" s="8">
        <v>5.9459999999999997</v>
      </c>
      <c r="C534" s="9">
        <v>2.8</v>
      </c>
      <c r="D534">
        <v>2</v>
      </c>
      <c r="E534">
        <v>2</v>
      </c>
      <c r="F534">
        <v>1</v>
      </c>
      <c r="G534" s="10">
        <v>0.5</v>
      </c>
      <c r="H534" t="s">
        <v>46</v>
      </c>
      <c r="I534" t="s">
        <v>1812</v>
      </c>
      <c r="J534" t="s">
        <v>1813</v>
      </c>
      <c r="K534" s="11" t="s">
        <v>1776</v>
      </c>
    </row>
    <row r="535" spans="1:11">
      <c r="A535" t="s">
        <v>1814</v>
      </c>
      <c r="B535" s="8">
        <v>3.778</v>
      </c>
      <c r="C535" s="9">
        <v>4.8</v>
      </c>
      <c r="D535">
        <v>2</v>
      </c>
      <c r="E535">
        <v>2</v>
      </c>
      <c r="F535">
        <v>2</v>
      </c>
      <c r="G535" s="10">
        <v>1</v>
      </c>
      <c r="H535" t="s">
        <v>46</v>
      </c>
      <c r="I535" t="s">
        <v>1815</v>
      </c>
      <c r="J535" t="s">
        <v>1816</v>
      </c>
      <c r="K535" s="11" t="s">
        <v>1817</v>
      </c>
    </row>
    <row r="536" spans="1:11">
      <c r="A536" t="s">
        <v>1818</v>
      </c>
      <c r="B536" s="8">
        <v>3.5470000000000002</v>
      </c>
      <c r="C536" s="9">
        <v>1.7</v>
      </c>
      <c r="D536">
        <v>1</v>
      </c>
      <c r="E536">
        <v>1</v>
      </c>
      <c r="F536">
        <v>1</v>
      </c>
      <c r="G536" s="10">
        <v>1</v>
      </c>
      <c r="H536" t="s">
        <v>46</v>
      </c>
      <c r="I536" t="s">
        <v>1819</v>
      </c>
      <c r="J536" t="s">
        <v>1820</v>
      </c>
      <c r="K536" s="11" t="s">
        <v>1819</v>
      </c>
    </row>
    <row r="537" spans="1:11">
      <c r="A537" t="s">
        <v>1821</v>
      </c>
      <c r="B537" s="8">
        <v>3.5569999999999999</v>
      </c>
      <c r="C537" s="9">
        <v>54</v>
      </c>
      <c r="D537">
        <v>2</v>
      </c>
      <c r="E537">
        <v>2</v>
      </c>
      <c r="F537">
        <v>2</v>
      </c>
      <c r="G537" s="10">
        <v>1</v>
      </c>
      <c r="H537" t="s">
        <v>46</v>
      </c>
      <c r="I537" t="s">
        <v>1822</v>
      </c>
      <c r="J537" t="s">
        <v>1823</v>
      </c>
      <c r="K537" s="11" t="s">
        <v>1822</v>
      </c>
    </row>
    <row r="538" spans="1:11">
      <c r="A538" t="s">
        <v>1824</v>
      </c>
      <c r="B538" s="8">
        <v>3.8679999999999999</v>
      </c>
      <c r="C538" s="9">
        <v>2.1</v>
      </c>
      <c r="D538">
        <v>2</v>
      </c>
      <c r="E538">
        <v>2</v>
      </c>
      <c r="F538">
        <v>1</v>
      </c>
      <c r="G538" s="10">
        <v>0.5</v>
      </c>
      <c r="H538" t="s">
        <v>46</v>
      </c>
      <c r="I538" t="s">
        <v>1825</v>
      </c>
      <c r="J538" t="s">
        <v>1826</v>
      </c>
      <c r="K538" s="11" t="s">
        <v>1633</v>
      </c>
    </row>
    <row r="539" spans="1:11">
      <c r="A539" t="s">
        <v>1827</v>
      </c>
      <c r="B539" s="8">
        <v>2.472</v>
      </c>
      <c r="C539" s="9">
        <v>3.9</v>
      </c>
      <c r="D539">
        <v>2</v>
      </c>
      <c r="E539">
        <v>2</v>
      </c>
      <c r="F539">
        <v>1</v>
      </c>
      <c r="G539" s="10">
        <v>0.5</v>
      </c>
      <c r="H539" t="s">
        <v>46</v>
      </c>
      <c r="I539" t="s">
        <v>1828</v>
      </c>
      <c r="J539" t="s">
        <v>1829</v>
      </c>
      <c r="K539" s="11" t="s">
        <v>1830</v>
      </c>
    </row>
    <row r="540" spans="1:11">
      <c r="A540" t="s">
        <v>1831</v>
      </c>
      <c r="B540" s="8">
        <v>3.6819999999999999</v>
      </c>
      <c r="C540" s="9">
        <v>3.2</v>
      </c>
      <c r="D540">
        <v>3</v>
      </c>
      <c r="E540">
        <v>1</v>
      </c>
      <c r="F540">
        <v>2</v>
      </c>
      <c r="G540" s="10">
        <v>0.66666666666666663</v>
      </c>
      <c r="H540" t="s">
        <v>46</v>
      </c>
      <c r="I540" t="s">
        <v>1832</v>
      </c>
      <c r="J540" t="s">
        <v>1833</v>
      </c>
      <c r="K540" s="11" t="s">
        <v>1832</v>
      </c>
    </row>
    <row r="541" spans="1:11">
      <c r="A541" t="s">
        <v>1834</v>
      </c>
      <c r="B541" s="8">
        <v>4.726</v>
      </c>
      <c r="C541" s="9">
        <v>6.7</v>
      </c>
      <c r="D541">
        <v>1</v>
      </c>
      <c r="E541">
        <v>1</v>
      </c>
      <c r="F541">
        <v>1</v>
      </c>
      <c r="G541" s="10">
        <v>1</v>
      </c>
      <c r="H541" t="s">
        <v>46</v>
      </c>
      <c r="I541" t="s">
        <v>1832</v>
      </c>
      <c r="J541" t="s">
        <v>1833</v>
      </c>
      <c r="K541" s="11" t="s">
        <v>1832</v>
      </c>
    </row>
    <row r="542" spans="1:11">
      <c r="A542" t="s">
        <v>1835</v>
      </c>
      <c r="B542" s="8">
        <v>7.6639999999999997</v>
      </c>
      <c r="C542" s="9">
        <v>7.9</v>
      </c>
      <c r="D542">
        <v>4</v>
      </c>
      <c r="E542">
        <v>1</v>
      </c>
      <c r="F542">
        <v>1</v>
      </c>
      <c r="G542" s="10">
        <v>0.25</v>
      </c>
      <c r="H542" t="s">
        <v>46</v>
      </c>
      <c r="I542" t="s">
        <v>1832</v>
      </c>
      <c r="J542" t="s">
        <v>1833</v>
      </c>
      <c r="K542" s="11" t="s">
        <v>1832</v>
      </c>
    </row>
    <row r="543" spans="1:11">
      <c r="A543" t="s">
        <v>1836</v>
      </c>
      <c r="B543" s="8">
        <v>8.0250000000000004</v>
      </c>
      <c r="C543" s="9">
        <v>50</v>
      </c>
      <c r="D543">
        <v>3</v>
      </c>
      <c r="E543">
        <v>3</v>
      </c>
      <c r="F543">
        <v>2</v>
      </c>
      <c r="G543" s="10">
        <v>0.66666666666666663</v>
      </c>
      <c r="H543" t="s">
        <v>46</v>
      </c>
      <c r="I543" t="s">
        <v>1837</v>
      </c>
      <c r="J543" t="s">
        <v>1838</v>
      </c>
      <c r="K543" s="11" t="s">
        <v>1832</v>
      </c>
    </row>
    <row r="544" spans="1:11">
      <c r="A544" t="s">
        <v>1839</v>
      </c>
      <c r="B544" s="8">
        <v>4.0940000000000003</v>
      </c>
      <c r="C544" s="9">
        <v>11</v>
      </c>
      <c r="D544">
        <v>3</v>
      </c>
      <c r="E544">
        <v>3</v>
      </c>
      <c r="F544">
        <v>3</v>
      </c>
      <c r="G544" s="10">
        <v>1</v>
      </c>
      <c r="H544" t="s">
        <v>46</v>
      </c>
      <c r="I544" t="s">
        <v>1840</v>
      </c>
      <c r="J544" t="s">
        <v>1841</v>
      </c>
      <c r="K544" s="11" t="s">
        <v>1840</v>
      </c>
    </row>
    <row r="545" spans="1:11">
      <c r="A545" t="s">
        <v>1842</v>
      </c>
      <c r="B545" s="8">
        <v>2.41</v>
      </c>
      <c r="C545" s="9">
        <v>1.3</v>
      </c>
      <c r="D545">
        <v>1</v>
      </c>
      <c r="E545">
        <v>1</v>
      </c>
      <c r="F545">
        <v>1</v>
      </c>
      <c r="G545" s="10">
        <v>1</v>
      </c>
      <c r="H545" t="s">
        <v>46</v>
      </c>
      <c r="I545" t="s">
        <v>1843</v>
      </c>
      <c r="J545" t="s">
        <v>1844</v>
      </c>
      <c r="K545" s="11" t="s">
        <v>1843</v>
      </c>
    </row>
    <row r="546" spans="1:11">
      <c r="A546" t="s">
        <v>1845</v>
      </c>
      <c r="B546" s="8">
        <v>5.657</v>
      </c>
      <c r="C546" s="9">
        <v>2.2999999999999998</v>
      </c>
      <c r="D546">
        <v>6</v>
      </c>
      <c r="E546">
        <v>6</v>
      </c>
      <c r="F546">
        <v>6</v>
      </c>
      <c r="G546" s="10">
        <v>1</v>
      </c>
      <c r="H546" t="s">
        <v>46</v>
      </c>
      <c r="I546" t="s">
        <v>1846</v>
      </c>
      <c r="J546" t="s">
        <v>1847</v>
      </c>
      <c r="K546" s="11" t="s">
        <v>1848</v>
      </c>
    </row>
    <row r="547" spans="1:11">
      <c r="A547" t="s">
        <v>1849</v>
      </c>
      <c r="B547" s="8">
        <v>3.0649999999999999</v>
      </c>
      <c r="C547" s="9">
        <v>13</v>
      </c>
      <c r="D547">
        <v>1</v>
      </c>
      <c r="E547">
        <v>1</v>
      </c>
      <c r="F547">
        <v>1</v>
      </c>
      <c r="G547" s="10">
        <v>1</v>
      </c>
      <c r="H547" t="s">
        <v>46</v>
      </c>
      <c r="I547" t="s">
        <v>1850</v>
      </c>
      <c r="J547" t="s">
        <v>1851</v>
      </c>
      <c r="K547" s="11" t="s">
        <v>1850</v>
      </c>
    </row>
    <row r="548" spans="1:11">
      <c r="A548" t="s">
        <v>1852</v>
      </c>
      <c r="B548" s="8">
        <v>5.5529999999999999</v>
      </c>
      <c r="C548" s="9">
        <v>5.3</v>
      </c>
      <c r="D548">
        <v>4</v>
      </c>
      <c r="E548">
        <v>4</v>
      </c>
      <c r="F548">
        <v>3</v>
      </c>
      <c r="G548" s="10">
        <v>0.75</v>
      </c>
      <c r="H548" t="s">
        <v>46</v>
      </c>
      <c r="I548" t="s">
        <v>1853</v>
      </c>
      <c r="J548" t="s">
        <v>1854</v>
      </c>
      <c r="K548" s="11" t="s">
        <v>1855</v>
      </c>
    </row>
    <row r="549" spans="1:11">
      <c r="A549" t="s">
        <v>1856</v>
      </c>
      <c r="B549" s="8">
        <v>18.2</v>
      </c>
      <c r="C549" s="9">
        <v>4.3</v>
      </c>
      <c r="D549">
        <v>7</v>
      </c>
      <c r="E549">
        <v>5</v>
      </c>
      <c r="F549">
        <v>4</v>
      </c>
      <c r="G549" s="10">
        <v>0.5714285714285714</v>
      </c>
      <c r="H549" t="s">
        <v>46</v>
      </c>
      <c r="I549" t="s">
        <v>1857</v>
      </c>
      <c r="J549" t="s">
        <v>1858</v>
      </c>
      <c r="K549" s="11" t="s">
        <v>1859</v>
      </c>
    </row>
    <row r="550" spans="1:11">
      <c r="A550" t="s">
        <v>1860</v>
      </c>
      <c r="B550" s="8">
        <v>7.383</v>
      </c>
      <c r="C550" s="9">
        <v>36</v>
      </c>
      <c r="D550">
        <v>5</v>
      </c>
      <c r="E550">
        <v>3</v>
      </c>
      <c r="F550">
        <v>2</v>
      </c>
      <c r="G550" s="10">
        <v>0.4</v>
      </c>
      <c r="H550" t="s">
        <v>46</v>
      </c>
      <c r="I550" t="s">
        <v>1861</v>
      </c>
      <c r="J550" t="s">
        <v>1862</v>
      </c>
      <c r="K550" s="11" t="s">
        <v>1863</v>
      </c>
    </row>
    <row r="551" spans="1:11">
      <c r="A551" t="s">
        <v>1864</v>
      </c>
      <c r="B551" s="8">
        <v>7.351</v>
      </c>
      <c r="C551" s="9">
        <v>9.9</v>
      </c>
      <c r="D551">
        <v>5</v>
      </c>
      <c r="E551">
        <v>1</v>
      </c>
      <c r="F551">
        <v>1</v>
      </c>
      <c r="G551" s="10">
        <v>0.2</v>
      </c>
      <c r="H551" t="s">
        <v>46</v>
      </c>
      <c r="I551" t="s">
        <v>1863</v>
      </c>
      <c r="J551" t="s">
        <v>1865</v>
      </c>
      <c r="K551" s="11" t="s">
        <v>1863</v>
      </c>
    </row>
    <row r="552" spans="1:11">
      <c r="A552" t="s">
        <v>1866</v>
      </c>
      <c r="B552" s="8">
        <v>4.5030000000000001</v>
      </c>
      <c r="C552" s="9">
        <v>16</v>
      </c>
      <c r="D552">
        <v>3</v>
      </c>
      <c r="E552">
        <v>2</v>
      </c>
      <c r="F552">
        <v>3</v>
      </c>
      <c r="G552" s="10">
        <v>1</v>
      </c>
      <c r="H552" t="s">
        <v>1867</v>
      </c>
      <c r="I552" t="s">
        <v>1868</v>
      </c>
      <c r="J552" t="s">
        <v>1869</v>
      </c>
      <c r="K552" s="11" t="s">
        <v>1868</v>
      </c>
    </row>
    <row r="553" spans="1:11">
      <c r="A553" t="s">
        <v>1870</v>
      </c>
      <c r="B553" s="8">
        <v>2.613</v>
      </c>
      <c r="C553" s="9">
        <v>9.6</v>
      </c>
      <c r="D553">
        <v>2</v>
      </c>
      <c r="E553">
        <v>2</v>
      </c>
      <c r="F553">
        <v>2</v>
      </c>
      <c r="G553" s="10">
        <v>1</v>
      </c>
      <c r="H553" t="s">
        <v>1871</v>
      </c>
      <c r="I553" t="s">
        <v>1872</v>
      </c>
      <c r="J553" t="s">
        <v>1873</v>
      </c>
      <c r="K553" s="11" t="s">
        <v>1874</v>
      </c>
    </row>
    <row r="554" spans="1:11">
      <c r="A554" t="s">
        <v>1875</v>
      </c>
      <c r="B554" s="8">
        <v>11.105</v>
      </c>
      <c r="C554" s="9">
        <v>17</v>
      </c>
      <c r="D554">
        <v>4</v>
      </c>
      <c r="E554">
        <v>4</v>
      </c>
      <c r="F554">
        <v>2</v>
      </c>
      <c r="G554" s="10">
        <v>0.5</v>
      </c>
      <c r="H554" t="s">
        <v>1871</v>
      </c>
      <c r="I554" t="s">
        <v>1876</v>
      </c>
      <c r="J554" t="s">
        <v>1877</v>
      </c>
      <c r="K554" s="11" t="s">
        <v>1878</v>
      </c>
    </row>
    <row r="555" spans="1:11">
      <c r="A555" t="s">
        <v>1879</v>
      </c>
      <c r="B555" s="8">
        <v>2.403</v>
      </c>
      <c r="C555" s="9">
        <v>18</v>
      </c>
      <c r="D555">
        <v>3</v>
      </c>
      <c r="E555">
        <v>2</v>
      </c>
      <c r="F555">
        <v>2</v>
      </c>
      <c r="G555" s="10">
        <v>0.66666666666666663</v>
      </c>
      <c r="H555" t="s">
        <v>1880</v>
      </c>
      <c r="I555" t="s">
        <v>1881</v>
      </c>
      <c r="J555" t="s">
        <v>1882</v>
      </c>
      <c r="K555" s="11" t="s">
        <v>1883</v>
      </c>
    </row>
    <row r="556" spans="1:11">
      <c r="A556" t="s">
        <v>1884</v>
      </c>
      <c r="B556" s="8">
        <v>10.807</v>
      </c>
      <c r="C556" s="9">
        <v>12</v>
      </c>
      <c r="D556">
        <v>5</v>
      </c>
      <c r="E556">
        <v>5</v>
      </c>
      <c r="F556">
        <v>4</v>
      </c>
      <c r="G556" s="10">
        <v>0.8</v>
      </c>
      <c r="H556" t="s">
        <v>1871</v>
      </c>
      <c r="I556" t="s">
        <v>1885</v>
      </c>
      <c r="J556" t="s">
        <v>1886</v>
      </c>
      <c r="K556" s="11" t="s">
        <v>1887</v>
      </c>
    </row>
    <row r="557" spans="1:11">
      <c r="A557" t="s">
        <v>1888</v>
      </c>
      <c r="B557" s="8">
        <v>2.7080000000000002</v>
      </c>
      <c r="C557" s="9">
        <v>34</v>
      </c>
      <c r="D557">
        <v>2</v>
      </c>
      <c r="E557">
        <v>2</v>
      </c>
      <c r="F557">
        <v>2</v>
      </c>
      <c r="G557" s="10">
        <v>1</v>
      </c>
      <c r="H557" t="s">
        <v>1871</v>
      </c>
      <c r="I557" t="s">
        <v>1889</v>
      </c>
      <c r="J557" t="s">
        <v>1890</v>
      </c>
      <c r="K557" s="11" t="s">
        <v>1891</v>
      </c>
    </row>
    <row r="558" spans="1:11">
      <c r="A558" t="s">
        <v>1892</v>
      </c>
      <c r="B558" s="8">
        <v>15.536</v>
      </c>
      <c r="C558" s="9">
        <v>4.5999999999999996</v>
      </c>
      <c r="D558">
        <v>6</v>
      </c>
      <c r="E558">
        <v>6</v>
      </c>
      <c r="F558">
        <v>5</v>
      </c>
      <c r="G558" s="10">
        <v>0.83333333333333337</v>
      </c>
      <c r="H558" t="s">
        <v>1871</v>
      </c>
      <c r="I558" t="s">
        <v>1893</v>
      </c>
      <c r="J558" t="s">
        <v>1894</v>
      </c>
      <c r="K558" s="11" t="s">
        <v>1895</v>
      </c>
    </row>
    <row r="559" spans="1:11">
      <c r="A559" t="s">
        <v>1896</v>
      </c>
      <c r="B559" s="8">
        <v>7.327</v>
      </c>
      <c r="C559" s="9">
        <v>12</v>
      </c>
      <c r="D559">
        <v>8</v>
      </c>
      <c r="E559">
        <v>6</v>
      </c>
      <c r="F559">
        <v>7</v>
      </c>
      <c r="G559" s="10">
        <v>0.875</v>
      </c>
      <c r="H559" t="s">
        <v>46</v>
      </c>
      <c r="I559" t="s">
        <v>1897</v>
      </c>
      <c r="J559" t="s">
        <v>1898</v>
      </c>
      <c r="K559" s="11" t="s">
        <v>1899</v>
      </c>
    </row>
    <row r="560" spans="1:11">
      <c r="A560" t="s">
        <v>1900</v>
      </c>
      <c r="B560" s="8">
        <v>10.016</v>
      </c>
      <c r="C560" s="9">
        <v>49</v>
      </c>
      <c r="D560">
        <v>4</v>
      </c>
      <c r="E560">
        <v>4</v>
      </c>
      <c r="F560">
        <v>4</v>
      </c>
      <c r="G560" s="10">
        <v>1</v>
      </c>
      <c r="H560" t="s">
        <v>46</v>
      </c>
      <c r="I560" t="s">
        <v>1901</v>
      </c>
      <c r="J560" t="s">
        <v>1902</v>
      </c>
      <c r="K560" s="11" t="s">
        <v>1903</v>
      </c>
    </row>
    <row r="561" spans="1:11">
      <c r="A561" t="s">
        <v>1904</v>
      </c>
      <c r="B561" s="8">
        <v>3.8359999999999999</v>
      </c>
      <c r="C561" s="9">
        <v>13</v>
      </c>
      <c r="D561">
        <v>2</v>
      </c>
      <c r="E561">
        <v>2</v>
      </c>
      <c r="F561">
        <v>2</v>
      </c>
      <c r="G561" s="10">
        <v>1</v>
      </c>
      <c r="H561" t="s">
        <v>46</v>
      </c>
      <c r="I561" t="s">
        <v>1905</v>
      </c>
      <c r="J561" t="s">
        <v>1906</v>
      </c>
      <c r="K561" s="11" t="s">
        <v>1907</v>
      </c>
    </row>
    <row r="562" spans="1:11">
      <c r="A562" t="s">
        <v>1908</v>
      </c>
      <c r="B562" s="8">
        <v>2.4710000000000001</v>
      </c>
      <c r="C562" s="9">
        <v>21</v>
      </c>
      <c r="D562">
        <v>3</v>
      </c>
      <c r="E562">
        <v>2</v>
      </c>
      <c r="F562">
        <v>2</v>
      </c>
      <c r="G562" s="10">
        <v>0.66666666666666663</v>
      </c>
      <c r="H562" t="s">
        <v>46</v>
      </c>
      <c r="I562" t="s">
        <v>1909</v>
      </c>
      <c r="J562" t="s">
        <v>1910</v>
      </c>
      <c r="K562" s="11" t="s">
        <v>1909</v>
      </c>
    </row>
    <row r="563" spans="1:11">
      <c r="A563" t="s">
        <v>1911</v>
      </c>
      <c r="B563" s="8">
        <v>3.7690000000000001</v>
      </c>
      <c r="C563" s="9">
        <v>6.5</v>
      </c>
      <c r="D563">
        <v>2</v>
      </c>
      <c r="E563">
        <v>2</v>
      </c>
      <c r="F563">
        <v>2</v>
      </c>
      <c r="G563" s="10">
        <v>1</v>
      </c>
      <c r="H563" t="s">
        <v>46</v>
      </c>
      <c r="I563" t="s">
        <v>1912</v>
      </c>
      <c r="J563" t="s">
        <v>1913</v>
      </c>
      <c r="K563" s="11" t="s">
        <v>1914</v>
      </c>
    </row>
    <row r="564" spans="1:11">
      <c r="A564" t="s">
        <v>1915</v>
      </c>
      <c r="B564" s="8">
        <v>5.7880000000000003</v>
      </c>
      <c r="C564" s="9">
        <v>33</v>
      </c>
      <c r="D564">
        <v>2</v>
      </c>
      <c r="E564">
        <v>2</v>
      </c>
      <c r="F564">
        <v>2</v>
      </c>
      <c r="G564" s="10">
        <v>1</v>
      </c>
      <c r="H564" t="s">
        <v>46</v>
      </c>
      <c r="I564" t="s">
        <v>1916</v>
      </c>
      <c r="J564" t="s">
        <v>1917</v>
      </c>
      <c r="K564" s="11" t="s">
        <v>1914</v>
      </c>
    </row>
    <row r="565" spans="1:11">
      <c r="A565" t="s">
        <v>1918</v>
      </c>
      <c r="B565" s="8">
        <v>3.1320000000000001</v>
      </c>
      <c r="C565" s="9">
        <v>59</v>
      </c>
      <c r="D565">
        <v>2</v>
      </c>
      <c r="E565">
        <v>2</v>
      </c>
      <c r="F565">
        <v>2</v>
      </c>
      <c r="G565" s="10">
        <v>1</v>
      </c>
      <c r="H565" t="s">
        <v>46</v>
      </c>
      <c r="I565" t="s">
        <v>1916</v>
      </c>
      <c r="J565" t="s">
        <v>1917</v>
      </c>
      <c r="K565" s="11" t="s">
        <v>1914</v>
      </c>
    </row>
    <row r="566" spans="1:11">
      <c r="A566" t="s">
        <v>1919</v>
      </c>
      <c r="B566" s="8">
        <v>3.6190000000000002</v>
      </c>
      <c r="C566" s="9">
        <v>5</v>
      </c>
      <c r="D566">
        <v>1</v>
      </c>
      <c r="E566">
        <v>1</v>
      </c>
      <c r="F566">
        <v>1</v>
      </c>
      <c r="G566" s="10">
        <v>1</v>
      </c>
      <c r="H566" t="s">
        <v>46</v>
      </c>
      <c r="I566" t="s">
        <v>1920</v>
      </c>
      <c r="J566" t="s">
        <v>1921</v>
      </c>
      <c r="K566" s="11" t="s">
        <v>1920</v>
      </c>
    </row>
    <row r="567" spans="1:11">
      <c r="A567" t="s">
        <v>1922</v>
      </c>
      <c r="B567" s="8">
        <v>2.6579999999999999</v>
      </c>
      <c r="C567" s="9">
        <v>15</v>
      </c>
      <c r="D567">
        <v>2</v>
      </c>
      <c r="E567">
        <v>2</v>
      </c>
      <c r="F567">
        <v>2</v>
      </c>
      <c r="G567" s="10">
        <v>1</v>
      </c>
      <c r="H567" t="s">
        <v>46</v>
      </c>
      <c r="I567" t="s">
        <v>1923</v>
      </c>
      <c r="J567" t="s">
        <v>1924</v>
      </c>
      <c r="K567" s="11" t="s">
        <v>1925</v>
      </c>
    </row>
    <row r="568" spans="1:11">
      <c r="A568" t="s">
        <v>1926</v>
      </c>
      <c r="B568" s="8">
        <v>7.96</v>
      </c>
      <c r="C568" s="9">
        <v>11</v>
      </c>
      <c r="D568">
        <v>2</v>
      </c>
      <c r="E568">
        <v>2</v>
      </c>
      <c r="F568">
        <v>2</v>
      </c>
      <c r="G568" s="10">
        <v>1</v>
      </c>
      <c r="H568" t="s">
        <v>46</v>
      </c>
      <c r="I568" t="s">
        <v>1927</v>
      </c>
      <c r="J568" t="s">
        <v>1928</v>
      </c>
      <c r="K568" s="11" t="s">
        <v>1914</v>
      </c>
    </row>
    <row r="569" spans="1:11">
      <c r="A569" t="s">
        <v>1929</v>
      </c>
      <c r="B569" s="8">
        <v>2.4550000000000001</v>
      </c>
      <c r="C569" s="9">
        <v>1.8</v>
      </c>
      <c r="D569">
        <v>1</v>
      </c>
      <c r="E569">
        <v>1</v>
      </c>
      <c r="F569">
        <v>1</v>
      </c>
      <c r="G569" s="10">
        <v>1</v>
      </c>
      <c r="H569" t="s">
        <v>46</v>
      </c>
      <c r="I569" t="s">
        <v>1930</v>
      </c>
      <c r="J569" t="s">
        <v>1931</v>
      </c>
      <c r="K569" s="11" t="s">
        <v>1930</v>
      </c>
    </row>
    <row r="570" spans="1:11">
      <c r="A570" t="s">
        <v>1932</v>
      </c>
      <c r="B570" s="8">
        <v>4.2779999999999996</v>
      </c>
      <c r="C570" s="9">
        <v>34</v>
      </c>
      <c r="D570">
        <v>2</v>
      </c>
      <c r="E570">
        <v>2</v>
      </c>
      <c r="F570">
        <v>2</v>
      </c>
      <c r="G570" s="10">
        <v>1</v>
      </c>
      <c r="H570" t="s">
        <v>46</v>
      </c>
      <c r="I570" t="s">
        <v>1933</v>
      </c>
      <c r="J570" t="s">
        <v>1934</v>
      </c>
      <c r="K570" s="11" t="s">
        <v>1933</v>
      </c>
    </row>
    <row r="571" spans="1:11">
      <c r="A571" t="s">
        <v>1935</v>
      </c>
      <c r="B571" s="8">
        <v>2.9830000000000001</v>
      </c>
      <c r="C571" s="9">
        <v>26</v>
      </c>
      <c r="D571">
        <v>2</v>
      </c>
      <c r="E571">
        <v>2</v>
      </c>
      <c r="F571">
        <v>2</v>
      </c>
      <c r="G571" s="10">
        <v>1</v>
      </c>
      <c r="H571" t="s">
        <v>46</v>
      </c>
      <c r="I571" t="s">
        <v>1936</v>
      </c>
      <c r="J571" t="s">
        <v>1937</v>
      </c>
      <c r="K571" s="11" t="s">
        <v>1936</v>
      </c>
    </row>
    <row r="572" spans="1:11">
      <c r="A572" t="s">
        <v>1938</v>
      </c>
      <c r="B572" s="8">
        <v>2.9060000000000001</v>
      </c>
      <c r="C572" s="9">
        <v>2.9</v>
      </c>
      <c r="D572">
        <v>1</v>
      </c>
      <c r="E572">
        <v>1</v>
      </c>
      <c r="F572">
        <v>1</v>
      </c>
      <c r="G572" s="10">
        <v>1</v>
      </c>
      <c r="H572" t="s">
        <v>46</v>
      </c>
      <c r="I572" t="s">
        <v>1939</v>
      </c>
      <c r="J572" t="s">
        <v>1937</v>
      </c>
      <c r="K572" s="11" t="s">
        <v>1939</v>
      </c>
    </row>
    <row r="573" spans="1:11">
      <c r="A573" t="s">
        <v>1940</v>
      </c>
      <c r="B573" s="8">
        <v>2.54</v>
      </c>
      <c r="C573" s="9">
        <v>2.1</v>
      </c>
      <c r="D573">
        <v>1</v>
      </c>
      <c r="E573">
        <v>1</v>
      </c>
      <c r="F573">
        <v>1</v>
      </c>
      <c r="G573" s="10">
        <v>1</v>
      </c>
      <c r="H573" t="s">
        <v>46</v>
      </c>
      <c r="I573" t="s">
        <v>1939</v>
      </c>
      <c r="J573" t="s">
        <v>1937</v>
      </c>
      <c r="K573" s="11" t="s">
        <v>1939</v>
      </c>
    </row>
    <row r="574" spans="1:11">
      <c r="A574" t="s">
        <v>1941</v>
      </c>
      <c r="B574" s="8">
        <v>12.071999999999999</v>
      </c>
      <c r="C574" s="9">
        <v>49</v>
      </c>
      <c r="D574">
        <v>5</v>
      </c>
      <c r="E574">
        <v>4</v>
      </c>
      <c r="F574">
        <v>4</v>
      </c>
      <c r="G574" s="10">
        <v>0.8</v>
      </c>
      <c r="H574" t="s">
        <v>46</v>
      </c>
      <c r="I574" t="s">
        <v>1942</v>
      </c>
      <c r="J574" t="s">
        <v>1943</v>
      </c>
      <c r="K574" s="11" t="s">
        <v>1936</v>
      </c>
    </row>
    <row r="575" spans="1:11">
      <c r="A575" t="s">
        <v>1944</v>
      </c>
      <c r="B575" s="8">
        <v>6.3170000000000002</v>
      </c>
      <c r="C575" s="9">
        <v>5.0999999999999996</v>
      </c>
      <c r="D575">
        <v>3</v>
      </c>
      <c r="E575">
        <v>2</v>
      </c>
      <c r="F575">
        <v>3</v>
      </c>
      <c r="G575" s="10">
        <v>1</v>
      </c>
      <c r="H575" t="s">
        <v>46</v>
      </c>
      <c r="I575" t="s">
        <v>1945</v>
      </c>
      <c r="J575" t="s">
        <v>1946</v>
      </c>
      <c r="K575" s="11" t="s">
        <v>1947</v>
      </c>
    </row>
    <row r="576" spans="1:11">
      <c r="A576" t="s">
        <v>1948</v>
      </c>
      <c r="B576" s="8">
        <v>4.0019999999999998</v>
      </c>
      <c r="C576" s="9">
        <v>8.5</v>
      </c>
      <c r="D576">
        <v>3</v>
      </c>
      <c r="E576">
        <v>3</v>
      </c>
      <c r="F576">
        <v>2</v>
      </c>
      <c r="G576" s="10">
        <v>0.66666666666666663</v>
      </c>
      <c r="H576" t="s">
        <v>46</v>
      </c>
      <c r="I576" t="s">
        <v>1949</v>
      </c>
      <c r="J576" t="s">
        <v>1950</v>
      </c>
      <c r="K576" s="11" t="s">
        <v>1951</v>
      </c>
    </row>
    <row r="577" spans="1:11">
      <c r="A577" t="s">
        <v>1952</v>
      </c>
      <c r="B577" s="8">
        <v>2.54</v>
      </c>
      <c r="C577" s="9">
        <v>56</v>
      </c>
      <c r="D577">
        <v>2</v>
      </c>
      <c r="E577">
        <v>2</v>
      </c>
      <c r="F577">
        <v>1</v>
      </c>
      <c r="G577" s="10">
        <v>0.5</v>
      </c>
      <c r="H577" t="s">
        <v>46</v>
      </c>
      <c r="I577" t="s">
        <v>1953</v>
      </c>
      <c r="J577" t="s">
        <v>1954</v>
      </c>
      <c r="K577" s="11" t="s">
        <v>557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B900B-DE66-164E-96B2-11B663A80408}">
  <dimension ref="A1:A801"/>
  <sheetViews>
    <sheetView workbookViewId="0">
      <selection sqref="A1:XFD1048576"/>
    </sheetView>
  </sheetViews>
  <sheetFormatPr baseColWidth="10" defaultRowHeight="16"/>
  <sheetData>
    <row r="1" spans="1:1">
      <c r="A1" t="s">
        <v>40257</v>
      </c>
    </row>
    <row r="2" spans="1:1">
      <c r="A2" t="s">
        <v>40258</v>
      </c>
    </row>
    <row r="3" spans="1:1">
      <c r="A3" t="s">
        <v>40259</v>
      </c>
    </row>
    <row r="4" spans="1:1">
      <c r="A4" t="s">
        <v>40260</v>
      </c>
    </row>
    <row r="5" spans="1:1">
      <c r="A5" t="s">
        <v>40261</v>
      </c>
    </row>
    <row r="6" spans="1:1">
      <c r="A6" t="s">
        <v>40262</v>
      </c>
    </row>
    <row r="7" spans="1:1">
      <c r="A7" t="s">
        <v>40263</v>
      </c>
    </row>
    <row r="8" spans="1:1">
      <c r="A8" t="s">
        <v>40264</v>
      </c>
    </row>
    <row r="9" spans="1:1">
      <c r="A9" t="s">
        <v>40265</v>
      </c>
    </row>
    <row r="10" spans="1:1">
      <c r="A10" t="s">
        <v>40266</v>
      </c>
    </row>
    <row r="11" spans="1:1">
      <c r="A11" t="s">
        <v>40267</v>
      </c>
    </row>
    <row r="12" spans="1:1">
      <c r="A12" t="s">
        <v>40268</v>
      </c>
    </row>
    <row r="13" spans="1:1">
      <c r="A13" t="s">
        <v>40269</v>
      </c>
    </row>
    <row r="14" spans="1:1">
      <c r="A14" t="s">
        <v>40270</v>
      </c>
    </row>
    <row r="15" spans="1:1">
      <c r="A15" t="s">
        <v>40271</v>
      </c>
    </row>
    <row r="16" spans="1:1">
      <c r="A16" t="s">
        <v>40272</v>
      </c>
    </row>
    <row r="17" spans="1:1">
      <c r="A17" t="s">
        <v>40273</v>
      </c>
    </row>
    <row r="18" spans="1:1">
      <c r="A18" t="s">
        <v>40274</v>
      </c>
    </row>
    <row r="19" spans="1:1">
      <c r="A19" t="s">
        <v>40275</v>
      </c>
    </row>
    <row r="20" spans="1:1">
      <c r="A20" t="s">
        <v>40276</v>
      </c>
    </row>
    <row r="21" spans="1:1">
      <c r="A21" t="s">
        <v>40277</v>
      </c>
    </row>
    <row r="22" spans="1:1">
      <c r="A22" t="s">
        <v>40278</v>
      </c>
    </row>
    <row r="23" spans="1:1">
      <c r="A23" t="s">
        <v>40279</v>
      </c>
    </row>
    <row r="24" spans="1:1">
      <c r="A24" t="s">
        <v>40280</v>
      </c>
    </row>
    <row r="25" spans="1:1">
      <c r="A25" t="s">
        <v>40281</v>
      </c>
    </row>
    <row r="26" spans="1:1">
      <c r="A26" t="s">
        <v>40282</v>
      </c>
    </row>
    <row r="27" spans="1:1">
      <c r="A27" t="s">
        <v>40283</v>
      </c>
    </row>
    <row r="28" spans="1:1">
      <c r="A28" t="s">
        <v>40284</v>
      </c>
    </row>
    <row r="29" spans="1:1">
      <c r="A29" t="s">
        <v>40285</v>
      </c>
    </row>
    <row r="30" spans="1:1">
      <c r="A30" t="s">
        <v>40274</v>
      </c>
    </row>
    <row r="31" spans="1:1">
      <c r="A31" t="s">
        <v>40286</v>
      </c>
    </row>
    <row r="32" spans="1:1">
      <c r="A32" t="s">
        <v>40287</v>
      </c>
    </row>
    <row r="33" spans="1:1">
      <c r="A33" t="s">
        <v>40288</v>
      </c>
    </row>
    <row r="34" spans="1:1">
      <c r="A34" t="s">
        <v>40289</v>
      </c>
    </row>
    <row r="35" spans="1:1">
      <c r="A35" t="s">
        <v>40290</v>
      </c>
    </row>
    <row r="36" spans="1:1">
      <c r="A36" t="s">
        <v>40291</v>
      </c>
    </row>
    <row r="37" spans="1:1">
      <c r="A37" t="s">
        <v>40292</v>
      </c>
    </row>
    <row r="38" spans="1:1">
      <c r="A38" t="s">
        <v>40293</v>
      </c>
    </row>
    <row r="39" spans="1:1">
      <c r="A39" t="s">
        <v>40294</v>
      </c>
    </row>
    <row r="40" spans="1:1">
      <c r="A40" t="s">
        <v>40295</v>
      </c>
    </row>
    <row r="41" spans="1:1">
      <c r="A41" t="s">
        <v>40296</v>
      </c>
    </row>
    <row r="42" spans="1:1">
      <c r="A42" t="s">
        <v>40297</v>
      </c>
    </row>
    <row r="43" spans="1:1">
      <c r="A43" t="s">
        <v>40298</v>
      </c>
    </row>
    <row r="44" spans="1:1">
      <c r="A44" t="s">
        <v>40299</v>
      </c>
    </row>
    <row r="45" spans="1:1">
      <c r="A45" t="s">
        <v>40300</v>
      </c>
    </row>
    <row r="46" spans="1:1">
      <c r="A46" t="s">
        <v>40301</v>
      </c>
    </row>
    <row r="47" spans="1:1">
      <c r="A47" t="s">
        <v>40302</v>
      </c>
    </row>
    <row r="48" spans="1:1">
      <c r="A48" t="s">
        <v>40303</v>
      </c>
    </row>
    <row r="49" spans="1:1">
      <c r="A49" t="s">
        <v>40304</v>
      </c>
    </row>
    <row r="50" spans="1:1">
      <c r="A50" t="s">
        <v>40305</v>
      </c>
    </row>
    <row r="51" spans="1:1">
      <c r="A51" t="s">
        <v>40306</v>
      </c>
    </row>
    <row r="52" spans="1:1">
      <c r="A52" t="s">
        <v>40307</v>
      </c>
    </row>
    <row r="53" spans="1:1">
      <c r="A53" t="s">
        <v>40308</v>
      </c>
    </row>
    <row r="54" spans="1:1">
      <c r="A54" t="s">
        <v>40309</v>
      </c>
    </row>
    <row r="55" spans="1:1">
      <c r="A55" t="s">
        <v>40310</v>
      </c>
    </row>
    <row r="56" spans="1:1">
      <c r="A56" t="s">
        <v>40311</v>
      </c>
    </row>
    <row r="57" spans="1:1">
      <c r="A57" t="s">
        <v>40312</v>
      </c>
    </row>
    <row r="58" spans="1:1">
      <c r="A58" t="s">
        <v>40313</v>
      </c>
    </row>
    <row r="59" spans="1:1">
      <c r="A59" t="s">
        <v>40314</v>
      </c>
    </row>
    <row r="60" spans="1:1">
      <c r="A60" t="s">
        <v>40315</v>
      </c>
    </row>
    <row r="61" spans="1:1">
      <c r="A61" t="s">
        <v>40316</v>
      </c>
    </row>
    <row r="62" spans="1:1">
      <c r="A62" t="s">
        <v>40317</v>
      </c>
    </row>
    <row r="63" spans="1:1">
      <c r="A63" t="s">
        <v>40318</v>
      </c>
    </row>
    <row r="64" spans="1:1">
      <c r="A64" t="s">
        <v>40319</v>
      </c>
    </row>
    <row r="65" spans="1:1">
      <c r="A65" t="s">
        <v>40320</v>
      </c>
    </row>
    <row r="66" spans="1:1">
      <c r="A66" t="s">
        <v>40321</v>
      </c>
    </row>
    <row r="67" spans="1:1">
      <c r="A67" t="s">
        <v>40322</v>
      </c>
    </row>
    <row r="68" spans="1:1">
      <c r="A68" t="s">
        <v>40323</v>
      </c>
    </row>
    <row r="69" spans="1:1">
      <c r="A69" t="s">
        <v>40324</v>
      </c>
    </row>
    <row r="70" spans="1:1">
      <c r="A70" t="s">
        <v>40325</v>
      </c>
    </row>
    <row r="71" spans="1:1">
      <c r="A71" t="s">
        <v>40326</v>
      </c>
    </row>
    <row r="72" spans="1:1">
      <c r="A72" t="s">
        <v>40327</v>
      </c>
    </row>
    <row r="73" spans="1:1">
      <c r="A73" t="s">
        <v>40328</v>
      </c>
    </row>
    <row r="74" spans="1:1">
      <c r="A74" t="s">
        <v>40329</v>
      </c>
    </row>
    <row r="75" spans="1:1">
      <c r="A75" t="s">
        <v>40330</v>
      </c>
    </row>
    <row r="76" spans="1:1">
      <c r="A76" t="s">
        <v>40331</v>
      </c>
    </row>
    <row r="77" spans="1:1">
      <c r="A77" t="s">
        <v>40332</v>
      </c>
    </row>
    <row r="78" spans="1:1">
      <c r="A78" t="s">
        <v>40333</v>
      </c>
    </row>
    <row r="79" spans="1:1">
      <c r="A79" t="s">
        <v>40334</v>
      </c>
    </row>
    <row r="80" spans="1:1">
      <c r="A80" t="s">
        <v>40335</v>
      </c>
    </row>
    <row r="81" spans="1:1">
      <c r="A81" t="s">
        <v>40336</v>
      </c>
    </row>
    <row r="82" spans="1:1">
      <c r="A82" t="s">
        <v>40337</v>
      </c>
    </row>
    <row r="83" spans="1:1">
      <c r="A83" t="s">
        <v>40338</v>
      </c>
    </row>
    <row r="84" spans="1:1">
      <c r="A84" t="s">
        <v>40339</v>
      </c>
    </row>
    <row r="85" spans="1:1">
      <c r="A85" t="s">
        <v>40340</v>
      </c>
    </row>
    <row r="86" spans="1:1">
      <c r="A86" t="s">
        <v>40341</v>
      </c>
    </row>
    <row r="87" spans="1:1">
      <c r="A87" t="s">
        <v>40342</v>
      </c>
    </row>
    <row r="88" spans="1:1">
      <c r="A88" t="s">
        <v>40343</v>
      </c>
    </row>
    <row r="89" spans="1:1">
      <c r="A89" t="s">
        <v>40344</v>
      </c>
    </row>
    <row r="90" spans="1:1">
      <c r="A90" t="s">
        <v>40345</v>
      </c>
    </row>
    <row r="91" spans="1:1">
      <c r="A91" t="s">
        <v>40346</v>
      </c>
    </row>
    <row r="92" spans="1:1">
      <c r="A92" t="s">
        <v>40347</v>
      </c>
    </row>
    <row r="93" spans="1:1">
      <c r="A93" t="s">
        <v>40348</v>
      </c>
    </row>
    <row r="94" spans="1:1">
      <c r="A94" t="s">
        <v>40349</v>
      </c>
    </row>
    <row r="95" spans="1:1">
      <c r="A95" t="s">
        <v>40350</v>
      </c>
    </row>
    <row r="96" spans="1:1">
      <c r="A96" t="s">
        <v>40351</v>
      </c>
    </row>
    <row r="97" spans="1:1">
      <c r="A97" t="s">
        <v>40352</v>
      </c>
    </row>
    <row r="98" spans="1:1">
      <c r="A98" t="s">
        <v>40353</v>
      </c>
    </row>
    <row r="99" spans="1:1">
      <c r="A99" t="s">
        <v>40354</v>
      </c>
    </row>
    <row r="100" spans="1:1">
      <c r="A100" t="s">
        <v>40355</v>
      </c>
    </row>
    <row r="101" spans="1:1">
      <c r="A101" t="s">
        <v>40356</v>
      </c>
    </row>
    <row r="102" spans="1:1">
      <c r="A102" t="s">
        <v>40357</v>
      </c>
    </row>
    <row r="103" spans="1:1">
      <c r="A103" t="s">
        <v>40358</v>
      </c>
    </row>
    <row r="104" spans="1:1">
      <c r="A104" t="s">
        <v>40359</v>
      </c>
    </row>
    <row r="105" spans="1:1">
      <c r="A105" t="s">
        <v>40360</v>
      </c>
    </row>
    <row r="106" spans="1:1">
      <c r="A106" t="s">
        <v>40361</v>
      </c>
    </row>
    <row r="107" spans="1:1">
      <c r="A107" t="s">
        <v>40362</v>
      </c>
    </row>
    <row r="108" spans="1:1">
      <c r="A108" t="s">
        <v>40363</v>
      </c>
    </row>
    <row r="109" spans="1:1">
      <c r="A109" t="s">
        <v>40364</v>
      </c>
    </row>
    <row r="110" spans="1:1">
      <c r="A110" t="s">
        <v>40365</v>
      </c>
    </row>
    <row r="111" spans="1:1">
      <c r="A111" t="s">
        <v>40366</v>
      </c>
    </row>
    <row r="112" spans="1:1">
      <c r="A112" t="s">
        <v>40367</v>
      </c>
    </row>
    <row r="113" spans="1:1">
      <c r="A113" t="s">
        <v>40368</v>
      </c>
    </row>
    <row r="114" spans="1:1">
      <c r="A114" t="s">
        <v>40369</v>
      </c>
    </row>
    <row r="115" spans="1:1">
      <c r="A115" t="s">
        <v>40370</v>
      </c>
    </row>
    <row r="116" spans="1:1">
      <c r="A116" t="s">
        <v>40371</v>
      </c>
    </row>
    <row r="117" spans="1:1">
      <c r="A117" t="s">
        <v>40372</v>
      </c>
    </row>
    <row r="118" spans="1:1">
      <c r="A118" t="s">
        <v>40373</v>
      </c>
    </row>
    <row r="119" spans="1:1">
      <c r="A119" t="s">
        <v>40374</v>
      </c>
    </row>
    <row r="120" spans="1:1">
      <c r="A120" t="s">
        <v>40375</v>
      </c>
    </row>
    <row r="121" spans="1:1">
      <c r="A121" t="s">
        <v>40376</v>
      </c>
    </row>
    <row r="122" spans="1:1">
      <c r="A122" t="s">
        <v>40377</v>
      </c>
    </row>
    <row r="123" spans="1:1">
      <c r="A123" t="s">
        <v>40378</v>
      </c>
    </row>
    <row r="124" spans="1:1">
      <c r="A124" t="s">
        <v>40379</v>
      </c>
    </row>
    <row r="125" spans="1:1">
      <c r="A125" t="s">
        <v>40380</v>
      </c>
    </row>
    <row r="126" spans="1:1">
      <c r="A126" t="s">
        <v>40381</v>
      </c>
    </row>
    <row r="127" spans="1:1">
      <c r="A127" t="s">
        <v>40382</v>
      </c>
    </row>
    <row r="128" spans="1:1">
      <c r="A128" t="s">
        <v>40383</v>
      </c>
    </row>
    <row r="129" spans="1:1">
      <c r="A129" t="s">
        <v>40384</v>
      </c>
    </row>
    <row r="130" spans="1:1">
      <c r="A130" t="s">
        <v>40385</v>
      </c>
    </row>
    <row r="131" spans="1:1">
      <c r="A131" t="s">
        <v>40386</v>
      </c>
    </row>
    <row r="132" spans="1:1">
      <c r="A132" t="s">
        <v>40387</v>
      </c>
    </row>
    <row r="133" spans="1:1">
      <c r="A133" t="s">
        <v>40388</v>
      </c>
    </row>
    <row r="134" spans="1:1">
      <c r="A134" t="s">
        <v>40389</v>
      </c>
    </row>
    <row r="135" spans="1:1">
      <c r="A135" t="s">
        <v>40390</v>
      </c>
    </row>
    <row r="136" spans="1:1">
      <c r="A136" t="s">
        <v>40391</v>
      </c>
    </row>
    <row r="137" spans="1:1">
      <c r="A137" t="s">
        <v>40392</v>
      </c>
    </row>
    <row r="138" spans="1:1">
      <c r="A138" t="s">
        <v>40393</v>
      </c>
    </row>
    <row r="139" spans="1:1">
      <c r="A139" t="s">
        <v>40394</v>
      </c>
    </row>
    <row r="140" spans="1:1">
      <c r="A140" t="s">
        <v>40395</v>
      </c>
    </row>
    <row r="141" spans="1:1">
      <c r="A141" t="s">
        <v>40396</v>
      </c>
    </row>
    <row r="142" spans="1:1">
      <c r="A142" t="s">
        <v>40397</v>
      </c>
    </row>
    <row r="143" spans="1:1">
      <c r="A143" t="s">
        <v>40398</v>
      </c>
    </row>
    <row r="144" spans="1:1">
      <c r="A144" t="s">
        <v>40399</v>
      </c>
    </row>
    <row r="145" spans="1:1">
      <c r="A145" t="s">
        <v>40400</v>
      </c>
    </row>
    <row r="146" spans="1:1">
      <c r="A146" t="s">
        <v>40401</v>
      </c>
    </row>
    <row r="147" spans="1:1">
      <c r="A147" t="s">
        <v>40402</v>
      </c>
    </row>
    <row r="148" spans="1:1">
      <c r="A148" t="s">
        <v>40403</v>
      </c>
    </row>
    <row r="149" spans="1:1">
      <c r="A149" t="s">
        <v>40404</v>
      </c>
    </row>
    <row r="150" spans="1:1">
      <c r="A150" t="s">
        <v>40405</v>
      </c>
    </row>
    <row r="151" spans="1:1">
      <c r="A151" t="s">
        <v>40406</v>
      </c>
    </row>
    <row r="152" spans="1:1">
      <c r="A152" t="s">
        <v>40407</v>
      </c>
    </row>
    <row r="153" spans="1:1">
      <c r="A153" t="s">
        <v>40408</v>
      </c>
    </row>
    <row r="154" spans="1:1">
      <c r="A154" t="s">
        <v>40409</v>
      </c>
    </row>
    <row r="155" spans="1:1">
      <c r="A155" t="s">
        <v>40410</v>
      </c>
    </row>
    <row r="156" spans="1:1">
      <c r="A156" t="s">
        <v>40411</v>
      </c>
    </row>
    <row r="157" spans="1:1">
      <c r="A157" t="s">
        <v>40412</v>
      </c>
    </row>
    <row r="158" spans="1:1">
      <c r="A158" t="s">
        <v>40413</v>
      </c>
    </row>
    <row r="159" spans="1:1">
      <c r="A159" t="s">
        <v>40414</v>
      </c>
    </row>
    <row r="160" spans="1:1">
      <c r="A160" t="s">
        <v>40415</v>
      </c>
    </row>
    <row r="161" spans="1:1">
      <c r="A161" t="s">
        <v>40416</v>
      </c>
    </row>
    <row r="162" spans="1:1">
      <c r="A162" t="s">
        <v>40417</v>
      </c>
    </row>
    <row r="163" spans="1:1">
      <c r="A163" t="s">
        <v>40418</v>
      </c>
    </row>
    <row r="164" spans="1:1">
      <c r="A164" t="s">
        <v>40419</v>
      </c>
    </row>
    <row r="165" spans="1:1">
      <c r="A165" t="s">
        <v>40420</v>
      </c>
    </row>
    <row r="166" spans="1:1">
      <c r="A166" t="s">
        <v>40421</v>
      </c>
    </row>
    <row r="167" spans="1:1">
      <c r="A167" t="s">
        <v>40422</v>
      </c>
    </row>
    <row r="168" spans="1:1">
      <c r="A168" t="s">
        <v>40423</v>
      </c>
    </row>
    <row r="169" spans="1:1">
      <c r="A169" t="s">
        <v>40424</v>
      </c>
    </row>
    <row r="170" spans="1:1">
      <c r="A170" t="s">
        <v>40425</v>
      </c>
    </row>
    <row r="171" spans="1:1">
      <c r="A171" t="s">
        <v>40426</v>
      </c>
    </row>
    <row r="172" spans="1:1">
      <c r="A172" t="s">
        <v>40427</v>
      </c>
    </row>
    <row r="173" spans="1:1">
      <c r="A173" t="s">
        <v>40428</v>
      </c>
    </row>
    <row r="174" spans="1:1">
      <c r="A174" t="s">
        <v>40429</v>
      </c>
    </row>
    <row r="175" spans="1:1">
      <c r="A175" t="s">
        <v>40430</v>
      </c>
    </row>
    <row r="176" spans="1:1">
      <c r="A176" t="s">
        <v>40431</v>
      </c>
    </row>
    <row r="177" spans="1:1">
      <c r="A177" t="s">
        <v>40432</v>
      </c>
    </row>
    <row r="178" spans="1:1">
      <c r="A178" t="s">
        <v>40433</v>
      </c>
    </row>
    <row r="179" spans="1:1">
      <c r="A179" t="s">
        <v>40434</v>
      </c>
    </row>
    <row r="180" spans="1:1">
      <c r="A180" t="s">
        <v>40435</v>
      </c>
    </row>
    <row r="181" spans="1:1">
      <c r="A181" t="s">
        <v>40436</v>
      </c>
    </row>
    <row r="182" spans="1:1">
      <c r="A182" t="s">
        <v>40437</v>
      </c>
    </row>
    <row r="183" spans="1:1">
      <c r="A183" t="s">
        <v>40438</v>
      </c>
    </row>
    <row r="184" spans="1:1">
      <c r="A184" t="s">
        <v>40439</v>
      </c>
    </row>
    <row r="185" spans="1:1">
      <c r="A185" t="s">
        <v>40440</v>
      </c>
    </row>
    <row r="186" spans="1:1">
      <c r="A186" t="s">
        <v>40441</v>
      </c>
    </row>
    <row r="187" spans="1:1">
      <c r="A187" t="s">
        <v>40442</v>
      </c>
    </row>
    <row r="188" spans="1:1">
      <c r="A188" t="s">
        <v>40443</v>
      </c>
    </row>
    <row r="189" spans="1:1">
      <c r="A189" t="s">
        <v>40444</v>
      </c>
    </row>
    <row r="190" spans="1:1">
      <c r="A190" t="s">
        <v>40445</v>
      </c>
    </row>
    <row r="191" spans="1:1">
      <c r="A191" t="s">
        <v>40446</v>
      </c>
    </row>
    <row r="192" spans="1:1">
      <c r="A192" t="s">
        <v>40447</v>
      </c>
    </row>
    <row r="193" spans="1:1">
      <c r="A193" t="s">
        <v>40448</v>
      </c>
    </row>
    <row r="194" spans="1:1">
      <c r="A194" t="s">
        <v>40449</v>
      </c>
    </row>
    <row r="195" spans="1:1">
      <c r="A195" t="s">
        <v>40450</v>
      </c>
    </row>
    <row r="196" spans="1:1">
      <c r="A196" t="s">
        <v>40451</v>
      </c>
    </row>
    <row r="197" spans="1:1">
      <c r="A197" t="s">
        <v>40452</v>
      </c>
    </row>
    <row r="198" spans="1:1">
      <c r="A198" t="s">
        <v>40453</v>
      </c>
    </row>
    <row r="199" spans="1:1">
      <c r="A199" t="s">
        <v>40454</v>
      </c>
    </row>
    <row r="200" spans="1:1">
      <c r="A200" t="s">
        <v>40455</v>
      </c>
    </row>
    <row r="201" spans="1:1">
      <c r="A201" t="s">
        <v>40456</v>
      </c>
    </row>
    <row r="202" spans="1:1">
      <c r="A202" t="s">
        <v>40457</v>
      </c>
    </row>
    <row r="203" spans="1:1">
      <c r="A203" t="s">
        <v>40458</v>
      </c>
    </row>
    <row r="204" spans="1:1">
      <c r="A204" t="s">
        <v>40459</v>
      </c>
    </row>
    <row r="205" spans="1:1">
      <c r="A205" t="s">
        <v>40460</v>
      </c>
    </row>
    <row r="206" spans="1:1">
      <c r="A206" t="s">
        <v>40461</v>
      </c>
    </row>
    <row r="207" spans="1:1">
      <c r="A207" t="s">
        <v>40462</v>
      </c>
    </row>
    <row r="208" spans="1:1">
      <c r="A208" t="s">
        <v>40463</v>
      </c>
    </row>
    <row r="209" spans="1:1">
      <c r="A209" t="s">
        <v>40464</v>
      </c>
    </row>
    <row r="210" spans="1:1">
      <c r="A210" t="s">
        <v>40465</v>
      </c>
    </row>
    <row r="211" spans="1:1">
      <c r="A211" t="s">
        <v>40466</v>
      </c>
    </row>
    <row r="212" spans="1:1">
      <c r="A212" t="s">
        <v>40467</v>
      </c>
    </row>
    <row r="213" spans="1:1">
      <c r="A213" t="s">
        <v>40468</v>
      </c>
    </row>
    <row r="214" spans="1:1">
      <c r="A214" t="s">
        <v>40469</v>
      </c>
    </row>
    <row r="215" spans="1:1">
      <c r="A215" t="s">
        <v>40470</v>
      </c>
    </row>
    <row r="216" spans="1:1">
      <c r="A216" t="s">
        <v>40471</v>
      </c>
    </row>
    <row r="217" spans="1:1">
      <c r="A217" t="s">
        <v>40472</v>
      </c>
    </row>
    <row r="218" spans="1:1">
      <c r="A218" t="s">
        <v>40473</v>
      </c>
    </row>
    <row r="219" spans="1:1">
      <c r="A219" t="s">
        <v>40474</v>
      </c>
    </row>
    <row r="220" spans="1:1">
      <c r="A220" t="s">
        <v>40475</v>
      </c>
    </row>
    <row r="221" spans="1:1">
      <c r="A221" t="s">
        <v>40476</v>
      </c>
    </row>
    <row r="222" spans="1:1">
      <c r="A222" t="s">
        <v>40477</v>
      </c>
    </row>
    <row r="223" spans="1:1">
      <c r="A223" t="s">
        <v>40478</v>
      </c>
    </row>
    <row r="224" spans="1:1">
      <c r="A224" t="s">
        <v>40479</v>
      </c>
    </row>
    <row r="225" spans="1:1">
      <c r="A225" t="s">
        <v>40480</v>
      </c>
    </row>
    <row r="226" spans="1:1">
      <c r="A226" t="s">
        <v>40481</v>
      </c>
    </row>
    <row r="227" spans="1:1">
      <c r="A227" t="s">
        <v>40482</v>
      </c>
    </row>
    <row r="228" spans="1:1">
      <c r="A228" t="s">
        <v>40483</v>
      </c>
    </row>
    <row r="229" spans="1:1">
      <c r="A229" t="s">
        <v>40484</v>
      </c>
    </row>
    <row r="230" spans="1:1">
      <c r="A230" t="s">
        <v>40485</v>
      </c>
    </row>
    <row r="231" spans="1:1">
      <c r="A231" t="s">
        <v>40486</v>
      </c>
    </row>
    <row r="232" spans="1:1">
      <c r="A232" t="s">
        <v>40487</v>
      </c>
    </row>
    <row r="233" spans="1:1">
      <c r="A233" t="s">
        <v>40488</v>
      </c>
    </row>
    <row r="234" spans="1:1">
      <c r="A234" t="s">
        <v>40489</v>
      </c>
    </row>
    <row r="235" spans="1:1">
      <c r="A235" t="s">
        <v>40490</v>
      </c>
    </row>
    <row r="236" spans="1:1">
      <c r="A236" t="s">
        <v>40491</v>
      </c>
    </row>
    <row r="237" spans="1:1">
      <c r="A237" t="s">
        <v>40492</v>
      </c>
    </row>
    <row r="238" spans="1:1">
      <c r="A238" t="s">
        <v>40493</v>
      </c>
    </row>
    <row r="239" spans="1:1">
      <c r="A239" t="s">
        <v>40494</v>
      </c>
    </row>
    <row r="240" spans="1:1">
      <c r="A240" t="s">
        <v>40495</v>
      </c>
    </row>
    <row r="241" spans="1:1">
      <c r="A241" t="s">
        <v>40496</v>
      </c>
    </row>
    <row r="242" spans="1:1">
      <c r="A242" t="s">
        <v>40497</v>
      </c>
    </row>
    <row r="243" spans="1:1">
      <c r="A243" t="s">
        <v>40498</v>
      </c>
    </row>
    <row r="244" spans="1:1">
      <c r="A244" t="s">
        <v>40499</v>
      </c>
    </row>
    <row r="245" spans="1:1">
      <c r="A245" t="s">
        <v>40500</v>
      </c>
    </row>
    <row r="246" spans="1:1">
      <c r="A246" t="s">
        <v>40501</v>
      </c>
    </row>
    <row r="247" spans="1:1">
      <c r="A247" t="s">
        <v>40502</v>
      </c>
    </row>
    <row r="248" spans="1:1">
      <c r="A248" t="s">
        <v>40503</v>
      </c>
    </row>
    <row r="249" spans="1:1">
      <c r="A249" t="s">
        <v>40504</v>
      </c>
    </row>
    <row r="250" spans="1:1">
      <c r="A250" t="s">
        <v>40505</v>
      </c>
    </row>
    <row r="251" spans="1:1">
      <c r="A251" t="s">
        <v>40506</v>
      </c>
    </row>
    <row r="252" spans="1:1">
      <c r="A252" t="s">
        <v>40507</v>
      </c>
    </row>
    <row r="253" spans="1:1">
      <c r="A253" t="s">
        <v>40508</v>
      </c>
    </row>
    <row r="254" spans="1:1">
      <c r="A254" t="s">
        <v>40509</v>
      </c>
    </row>
    <row r="255" spans="1:1">
      <c r="A255" t="s">
        <v>40510</v>
      </c>
    </row>
    <row r="256" spans="1:1">
      <c r="A256" t="s">
        <v>40511</v>
      </c>
    </row>
    <row r="257" spans="1:1">
      <c r="A257" t="s">
        <v>40512</v>
      </c>
    </row>
    <row r="258" spans="1:1">
      <c r="A258" t="s">
        <v>40513</v>
      </c>
    </row>
    <row r="259" spans="1:1">
      <c r="A259" t="s">
        <v>40514</v>
      </c>
    </row>
    <row r="260" spans="1:1">
      <c r="A260" t="s">
        <v>40515</v>
      </c>
    </row>
    <row r="261" spans="1:1">
      <c r="A261" t="s">
        <v>40516</v>
      </c>
    </row>
    <row r="262" spans="1:1">
      <c r="A262" t="s">
        <v>40517</v>
      </c>
    </row>
    <row r="263" spans="1:1">
      <c r="A263" t="s">
        <v>40518</v>
      </c>
    </row>
    <row r="264" spans="1:1">
      <c r="A264" t="s">
        <v>40519</v>
      </c>
    </row>
    <row r="265" spans="1:1">
      <c r="A265" t="s">
        <v>40520</v>
      </c>
    </row>
    <row r="266" spans="1:1">
      <c r="A266" t="s">
        <v>40521</v>
      </c>
    </row>
    <row r="267" spans="1:1">
      <c r="A267" t="s">
        <v>40522</v>
      </c>
    </row>
    <row r="268" spans="1:1">
      <c r="A268" t="s">
        <v>40523</v>
      </c>
    </row>
    <row r="269" spans="1:1">
      <c r="A269" t="s">
        <v>40524</v>
      </c>
    </row>
    <row r="270" spans="1:1">
      <c r="A270" t="s">
        <v>40525</v>
      </c>
    </row>
    <row r="271" spans="1:1">
      <c r="A271" t="s">
        <v>40526</v>
      </c>
    </row>
    <row r="272" spans="1:1">
      <c r="A272" t="s">
        <v>40527</v>
      </c>
    </row>
    <row r="273" spans="1:1">
      <c r="A273" t="s">
        <v>40528</v>
      </c>
    </row>
    <row r="274" spans="1:1">
      <c r="A274" t="s">
        <v>40529</v>
      </c>
    </row>
    <row r="275" spans="1:1">
      <c r="A275" t="s">
        <v>40530</v>
      </c>
    </row>
    <row r="276" spans="1:1">
      <c r="A276" t="s">
        <v>40531</v>
      </c>
    </row>
    <row r="277" spans="1:1">
      <c r="A277" t="s">
        <v>40532</v>
      </c>
    </row>
    <row r="278" spans="1:1">
      <c r="A278" t="s">
        <v>40533</v>
      </c>
    </row>
    <row r="279" spans="1:1">
      <c r="A279" t="s">
        <v>40534</v>
      </c>
    </row>
    <row r="280" spans="1:1">
      <c r="A280" t="s">
        <v>40535</v>
      </c>
    </row>
    <row r="281" spans="1:1">
      <c r="A281" t="s">
        <v>40536</v>
      </c>
    </row>
    <row r="282" spans="1:1">
      <c r="A282" t="s">
        <v>40537</v>
      </c>
    </row>
    <row r="283" spans="1:1">
      <c r="A283" t="s">
        <v>40538</v>
      </c>
    </row>
    <row r="284" spans="1:1">
      <c r="A284" t="s">
        <v>40539</v>
      </c>
    </row>
    <row r="285" spans="1:1">
      <c r="A285" t="s">
        <v>40540</v>
      </c>
    </row>
    <row r="286" spans="1:1">
      <c r="A286" t="s">
        <v>40541</v>
      </c>
    </row>
    <row r="287" spans="1:1">
      <c r="A287" t="s">
        <v>40542</v>
      </c>
    </row>
    <row r="288" spans="1:1">
      <c r="A288" t="s">
        <v>40543</v>
      </c>
    </row>
    <row r="289" spans="1:1">
      <c r="A289" t="s">
        <v>40544</v>
      </c>
    </row>
    <row r="290" spans="1:1">
      <c r="A290" t="s">
        <v>40545</v>
      </c>
    </row>
    <row r="291" spans="1:1">
      <c r="A291" t="s">
        <v>40546</v>
      </c>
    </row>
    <row r="292" spans="1:1">
      <c r="A292" t="s">
        <v>40547</v>
      </c>
    </row>
    <row r="293" spans="1:1">
      <c r="A293" t="s">
        <v>40548</v>
      </c>
    </row>
    <row r="294" spans="1:1">
      <c r="A294" t="s">
        <v>40549</v>
      </c>
    </row>
    <row r="295" spans="1:1">
      <c r="A295" t="s">
        <v>40550</v>
      </c>
    </row>
    <row r="296" spans="1:1">
      <c r="A296" t="s">
        <v>40551</v>
      </c>
    </row>
    <row r="297" spans="1:1">
      <c r="A297" t="s">
        <v>40552</v>
      </c>
    </row>
    <row r="298" spans="1:1">
      <c r="A298" t="s">
        <v>40553</v>
      </c>
    </row>
    <row r="299" spans="1:1">
      <c r="A299" t="s">
        <v>40554</v>
      </c>
    </row>
    <row r="300" spans="1:1">
      <c r="A300" t="s">
        <v>40555</v>
      </c>
    </row>
    <row r="301" spans="1:1">
      <c r="A301" t="s">
        <v>40556</v>
      </c>
    </row>
    <row r="302" spans="1:1">
      <c r="A302" t="s">
        <v>40557</v>
      </c>
    </row>
    <row r="303" spans="1:1">
      <c r="A303" t="s">
        <v>40558</v>
      </c>
    </row>
    <row r="304" spans="1:1">
      <c r="A304" t="s">
        <v>40559</v>
      </c>
    </row>
    <row r="305" spans="1:1">
      <c r="A305" t="s">
        <v>40560</v>
      </c>
    </row>
    <row r="306" spans="1:1">
      <c r="A306" t="s">
        <v>40561</v>
      </c>
    </row>
    <row r="307" spans="1:1">
      <c r="A307" t="s">
        <v>40562</v>
      </c>
    </row>
    <row r="308" spans="1:1">
      <c r="A308" t="s">
        <v>40563</v>
      </c>
    </row>
    <row r="309" spans="1:1">
      <c r="A309" t="s">
        <v>40564</v>
      </c>
    </row>
    <row r="310" spans="1:1">
      <c r="A310" t="s">
        <v>40565</v>
      </c>
    </row>
    <row r="311" spans="1:1">
      <c r="A311" t="s">
        <v>40566</v>
      </c>
    </row>
    <row r="312" spans="1:1">
      <c r="A312" t="s">
        <v>40567</v>
      </c>
    </row>
    <row r="313" spans="1:1">
      <c r="A313" t="s">
        <v>40568</v>
      </c>
    </row>
    <row r="314" spans="1:1">
      <c r="A314" t="s">
        <v>40569</v>
      </c>
    </row>
    <row r="315" spans="1:1">
      <c r="A315" t="s">
        <v>40570</v>
      </c>
    </row>
    <row r="316" spans="1:1">
      <c r="A316" t="s">
        <v>40571</v>
      </c>
    </row>
    <row r="317" spans="1:1">
      <c r="A317" t="s">
        <v>40572</v>
      </c>
    </row>
    <row r="318" spans="1:1">
      <c r="A318" t="s">
        <v>40573</v>
      </c>
    </row>
    <row r="319" spans="1:1">
      <c r="A319" t="s">
        <v>40574</v>
      </c>
    </row>
    <row r="320" spans="1:1">
      <c r="A320" t="s">
        <v>40575</v>
      </c>
    </row>
    <row r="321" spans="1:1">
      <c r="A321" t="s">
        <v>40576</v>
      </c>
    </row>
    <row r="322" spans="1:1">
      <c r="A322" t="s">
        <v>40577</v>
      </c>
    </row>
    <row r="323" spans="1:1">
      <c r="A323" t="s">
        <v>40578</v>
      </c>
    </row>
    <row r="324" spans="1:1">
      <c r="A324" t="s">
        <v>40579</v>
      </c>
    </row>
    <row r="325" spans="1:1">
      <c r="A325" t="s">
        <v>40580</v>
      </c>
    </row>
    <row r="326" spans="1:1">
      <c r="A326" t="s">
        <v>40581</v>
      </c>
    </row>
    <row r="327" spans="1:1">
      <c r="A327" t="s">
        <v>40582</v>
      </c>
    </row>
    <row r="328" spans="1:1">
      <c r="A328" t="s">
        <v>40583</v>
      </c>
    </row>
    <row r="329" spans="1:1">
      <c r="A329" t="s">
        <v>40584</v>
      </c>
    </row>
    <row r="330" spans="1:1">
      <c r="A330" t="s">
        <v>40585</v>
      </c>
    </row>
    <row r="331" spans="1:1">
      <c r="A331" t="s">
        <v>40586</v>
      </c>
    </row>
    <row r="332" spans="1:1">
      <c r="A332" t="s">
        <v>40587</v>
      </c>
    </row>
    <row r="333" spans="1:1">
      <c r="A333" t="s">
        <v>40588</v>
      </c>
    </row>
    <row r="334" spans="1:1">
      <c r="A334" t="s">
        <v>40589</v>
      </c>
    </row>
    <row r="335" spans="1:1">
      <c r="A335" t="s">
        <v>40590</v>
      </c>
    </row>
    <row r="336" spans="1:1">
      <c r="A336" t="s">
        <v>40591</v>
      </c>
    </row>
    <row r="337" spans="1:1">
      <c r="A337" t="s">
        <v>40592</v>
      </c>
    </row>
    <row r="338" spans="1:1">
      <c r="A338" t="s">
        <v>40593</v>
      </c>
    </row>
    <row r="339" spans="1:1">
      <c r="A339" t="s">
        <v>40594</v>
      </c>
    </row>
    <row r="340" spans="1:1">
      <c r="A340" t="s">
        <v>40595</v>
      </c>
    </row>
    <row r="341" spans="1:1">
      <c r="A341" t="s">
        <v>40596</v>
      </c>
    </row>
    <row r="342" spans="1:1">
      <c r="A342" t="s">
        <v>40597</v>
      </c>
    </row>
    <row r="343" spans="1:1">
      <c r="A343" t="s">
        <v>40598</v>
      </c>
    </row>
    <row r="344" spans="1:1">
      <c r="A344" t="s">
        <v>40599</v>
      </c>
    </row>
    <row r="345" spans="1:1">
      <c r="A345" t="s">
        <v>40600</v>
      </c>
    </row>
    <row r="346" spans="1:1">
      <c r="A346" t="s">
        <v>40601</v>
      </c>
    </row>
    <row r="347" spans="1:1">
      <c r="A347" t="s">
        <v>40602</v>
      </c>
    </row>
    <row r="348" spans="1:1">
      <c r="A348" t="s">
        <v>40603</v>
      </c>
    </row>
    <row r="349" spans="1:1">
      <c r="A349" t="s">
        <v>40604</v>
      </c>
    </row>
    <row r="350" spans="1:1">
      <c r="A350" t="s">
        <v>40605</v>
      </c>
    </row>
    <row r="351" spans="1:1">
      <c r="A351" t="s">
        <v>40606</v>
      </c>
    </row>
    <row r="352" spans="1:1">
      <c r="A352" t="s">
        <v>40607</v>
      </c>
    </row>
    <row r="353" spans="1:1">
      <c r="A353" t="s">
        <v>40608</v>
      </c>
    </row>
    <row r="354" spans="1:1">
      <c r="A354" t="s">
        <v>40609</v>
      </c>
    </row>
    <row r="355" spans="1:1">
      <c r="A355" t="s">
        <v>40610</v>
      </c>
    </row>
    <row r="356" spans="1:1">
      <c r="A356" t="s">
        <v>40611</v>
      </c>
    </row>
    <row r="357" spans="1:1">
      <c r="A357" t="s">
        <v>40612</v>
      </c>
    </row>
    <row r="358" spans="1:1">
      <c r="A358" t="s">
        <v>40613</v>
      </c>
    </row>
    <row r="359" spans="1:1">
      <c r="A359" t="s">
        <v>40614</v>
      </c>
    </row>
    <row r="360" spans="1:1">
      <c r="A360" t="s">
        <v>40615</v>
      </c>
    </row>
    <row r="361" spans="1:1">
      <c r="A361" t="s">
        <v>40616</v>
      </c>
    </row>
    <row r="362" spans="1:1">
      <c r="A362" t="s">
        <v>40617</v>
      </c>
    </row>
    <row r="363" spans="1:1">
      <c r="A363" t="s">
        <v>40618</v>
      </c>
    </row>
    <row r="364" spans="1:1">
      <c r="A364" t="s">
        <v>40619</v>
      </c>
    </row>
    <row r="365" spans="1:1">
      <c r="A365" t="s">
        <v>40620</v>
      </c>
    </row>
    <row r="366" spans="1:1">
      <c r="A366" t="s">
        <v>40621</v>
      </c>
    </row>
    <row r="367" spans="1:1">
      <c r="A367" t="s">
        <v>40622</v>
      </c>
    </row>
    <row r="368" spans="1:1">
      <c r="A368" t="s">
        <v>40623</v>
      </c>
    </row>
    <row r="369" spans="1:1">
      <c r="A369" t="s">
        <v>40624</v>
      </c>
    </row>
    <row r="370" spans="1:1">
      <c r="A370" t="s">
        <v>40625</v>
      </c>
    </row>
    <row r="371" spans="1:1">
      <c r="A371" t="s">
        <v>40626</v>
      </c>
    </row>
    <row r="372" spans="1:1">
      <c r="A372" t="s">
        <v>40627</v>
      </c>
    </row>
    <row r="373" spans="1:1">
      <c r="A373" t="s">
        <v>40628</v>
      </c>
    </row>
    <row r="374" spans="1:1">
      <c r="A374" t="s">
        <v>40629</v>
      </c>
    </row>
    <row r="375" spans="1:1">
      <c r="A375" t="s">
        <v>40630</v>
      </c>
    </row>
    <row r="376" spans="1:1">
      <c r="A376" t="s">
        <v>40631</v>
      </c>
    </row>
    <row r="377" spans="1:1">
      <c r="A377" t="s">
        <v>40632</v>
      </c>
    </row>
    <row r="378" spans="1:1">
      <c r="A378" t="s">
        <v>40633</v>
      </c>
    </row>
    <row r="379" spans="1:1">
      <c r="A379" t="s">
        <v>40634</v>
      </c>
    </row>
    <row r="380" spans="1:1">
      <c r="A380" t="s">
        <v>40635</v>
      </c>
    </row>
    <row r="381" spans="1:1">
      <c r="A381" t="s">
        <v>40636</v>
      </c>
    </row>
    <row r="382" spans="1:1">
      <c r="A382" t="s">
        <v>40637</v>
      </c>
    </row>
    <row r="383" spans="1:1">
      <c r="A383" t="s">
        <v>40638</v>
      </c>
    </row>
    <row r="384" spans="1:1">
      <c r="A384" t="s">
        <v>40639</v>
      </c>
    </row>
    <row r="385" spans="1:1">
      <c r="A385" t="s">
        <v>40640</v>
      </c>
    </row>
    <row r="386" spans="1:1">
      <c r="A386" t="s">
        <v>40641</v>
      </c>
    </row>
    <row r="387" spans="1:1">
      <c r="A387" t="s">
        <v>40642</v>
      </c>
    </row>
    <row r="388" spans="1:1">
      <c r="A388" t="s">
        <v>40643</v>
      </c>
    </row>
    <row r="389" spans="1:1">
      <c r="A389" t="s">
        <v>40644</v>
      </c>
    </row>
    <row r="390" spans="1:1">
      <c r="A390" t="s">
        <v>40645</v>
      </c>
    </row>
    <row r="391" spans="1:1">
      <c r="A391" t="s">
        <v>40646</v>
      </c>
    </row>
    <row r="392" spans="1:1">
      <c r="A392" t="s">
        <v>40647</v>
      </c>
    </row>
    <row r="393" spans="1:1">
      <c r="A393" t="s">
        <v>40648</v>
      </c>
    </row>
    <row r="394" spans="1:1">
      <c r="A394" t="s">
        <v>40649</v>
      </c>
    </row>
    <row r="395" spans="1:1">
      <c r="A395" t="s">
        <v>40650</v>
      </c>
    </row>
    <row r="396" spans="1:1">
      <c r="A396" t="s">
        <v>40651</v>
      </c>
    </row>
    <row r="397" spans="1:1">
      <c r="A397" t="s">
        <v>40652</v>
      </c>
    </row>
    <row r="398" spans="1:1">
      <c r="A398" t="s">
        <v>40653</v>
      </c>
    </row>
    <row r="399" spans="1:1">
      <c r="A399" t="s">
        <v>38453</v>
      </c>
    </row>
    <row r="400" spans="1:1">
      <c r="A400" t="s">
        <v>40654</v>
      </c>
    </row>
    <row r="401" spans="1:1">
      <c r="A401" t="s">
        <v>40655</v>
      </c>
    </row>
    <row r="402" spans="1:1">
      <c r="A402" t="s">
        <v>40656</v>
      </c>
    </row>
    <row r="403" spans="1:1">
      <c r="A403" t="s">
        <v>40657</v>
      </c>
    </row>
    <row r="404" spans="1:1">
      <c r="A404" t="s">
        <v>40658</v>
      </c>
    </row>
    <row r="405" spans="1:1">
      <c r="A405" t="s">
        <v>40659</v>
      </c>
    </row>
    <row r="406" spans="1:1">
      <c r="A406" t="s">
        <v>40660</v>
      </c>
    </row>
    <row r="407" spans="1:1">
      <c r="A407" t="s">
        <v>40661</v>
      </c>
    </row>
    <row r="408" spans="1:1">
      <c r="A408" t="s">
        <v>40662</v>
      </c>
    </row>
    <row r="409" spans="1:1">
      <c r="A409" t="s">
        <v>40663</v>
      </c>
    </row>
    <row r="410" spans="1:1">
      <c r="A410" t="s">
        <v>40664</v>
      </c>
    </row>
    <row r="411" spans="1:1">
      <c r="A411" t="s">
        <v>40665</v>
      </c>
    </row>
    <row r="412" spans="1:1">
      <c r="A412" t="s">
        <v>40666</v>
      </c>
    </row>
    <row r="413" spans="1:1">
      <c r="A413" t="s">
        <v>40667</v>
      </c>
    </row>
    <row r="414" spans="1:1">
      <c r="A414" t="s">
        <v>40668</v>
      </c>
    </row>
    <row r="415" spans="1:1">
      <c r="A415" t="s">
        <v>40669</v>
      </c>
    </row>
    <row r="416" spans="1:1">
      <c r="A416" t="s">
        <v>40670</v>
      </c>
    </row>
    <row r="417" spans="1:1">
      <c r="A417" t="s">
        <v>40671</v>
      </c>
    </row>
    <row r="418" spans="1:1">
      <c r="A418" t="s">
        <v>40672</v>
      </c>
    </row>
    <row r="419" spans="1:1">
      <c r="A419" t="s">
        <v>40673</v>
      </c>
    </row>
    <row r="420" spans="1:1">
      <c r="A420" t="s">
        <v>40674</v>
      </c>
    </row>
    <row r="421" spans="1:1">
      <c r="A421" t="s">
        <v>40675</v>
      </c>
    </row>
    <row r="422" spans="1:1">
      <c r="A422" t="s">
        <v>40676</v>
      </c>
    </row>
    <row r="423" spans="1:1">
      <c r="A423" t="s">
        <v>40677</v>
      </c>
    </row>
    <row r="424" spans="1:1">
      <c r="A424" t="s">
        <v>40678</v>
      </c>
    </row>
    <row r="425" spans="1:1">
      <c r="A425" t="s">
        <v>40679</v>
      </c>
    </row>
    <row r="426" spans="1:1">
      <c r="A426" t="s">
        <v>40680</v>
      </c>
    </row>
    <row r="427" spans="1:1">
      <c r="A427" t="s">
        <v>40681</v>
      </c>
    </row>
    <row r="428" spans="1:1">
      <c r="A428" t="s">
        <v>40682</v>
      </c>
    </row>
    <row r="429" spans="1:1">
      <c r="A429" t="s">
        <v>40683</v>
      </c>
    </row>
    <row r="430" spans="1:1">
      <c r="A430" t="s">
        <v>40684</v>
      </c>
    </row>
    <row r="431" spans="1:1">
      <c r="A431" t="s">
        <v>40685</v>
      </c>
    </row>
    <row r="432" spans="1:1">
      <c r="A432" t="s">
        <v>40686</v>
      </c>
    </row>
    <row r="433" spans="1:1">
      <c r="A433" t="s">
        <v>40687</v>
      </c>
    </row>
    <row r="434" spans="1:1">
      <c r="A434" t="s">
        <v>40688</v>
      </c>
    </row>
    <row r="435" spans="1:1">
      <c r="A435" t="s">
        <v>40689</v>
      </c>
    </row>
    <row r="436" spans="1:1">
      <c r="A436" t="s">
        <v>40690</v>
      </c>
    </row>
    <row r="437" spans="1:1">
      <c r="A437" t="s">
        <v>40691</v>
      </c>
    </row>
    <row r="438" spans="1:1">
      <c r="A438" t="s">
        <v>40692</v>
      </c>
    </row>
    <row r="439" spans="1:1">
      <c r="A439" t="s">
        <v>40693</v>
      </c>
    </row>
    <row r="440" spans="1:1">
      <c r="A440" t="s">
        <v>40694</v>
      </c>
    </row>
    <row r="441" spans="1:1">
      <c r="A441" t="s">
        <v>40695</v>
      </c>
    </row>
    <row r="442" spans="1:1">
      <c r="A442" t="s">
        <v>40696</v>
      </c>
    </row>
    <row r="443" spans="1:1">
      <c r="A443" t="s">
        <v>40697</v>
      </c>
    </row>
    <row r="444" spans="1:1">
      <c r="A444" t="s">
        <v>40698</v>
      </c>
    </row>
    <row r="445" spans="1:1">
      <c r="A445" t="s">
        <v>40699</v>
      </c>
    </row>
    <row r="446" spans="1:1">
      <c r="A446" t="s">
        <v>40700</v>
      </c>
    </row>
    <row r="447" spans="1:1">
      <c r="A447" t="s">
        <v>40701</v>
      </c>
    </row>
    <row r="448" spans="1:1">
      <c r="A448" t="s">
        <v>40702</v>
      </c>
    </row>
    <row r="449" spans="1:1">
      <c r="A449" t="s">
        <v>40703</v>
      </c>
    </row>
    <row r="450" spans="1:1">
      <c r="A450" t="s">
        <v>40704</v>
      </c>
    </row>
    <row r="451" spans="1:1">
      <c r="A451" t="s">
        <v>40705</v>
      </c>
    </row>
    <row r="452" spans="1:1">
      <c r="A452" t="s">
        <v>40706</v>
      </c>
    </row>
    <row r="453" spans="1:1">
      <c r="A453" t="s">
        <v>40707</v>
      </c>
    </row>
    <row r="454" spans="1:1">
      <c r="A454" t="s">
        <v>40708</v>
      </c>
    </row>
    <row r="455" spans="1:1">
      <c r="A455" t="s">
        <v>40709</v>
      </c>
    </row>
    <row r="456" spans="1:1">
      <c r="A456" t="s">
        <v>40710</v>
      </c>
    </row>
    <row r="457" spans="1:1">
      <c r="A457" t="s">
        <v>40711</v>
      </c>
    </row>
    <row r="458" spans="1:1">
      <c r="A458" t="s">
        <v>40712</v>
      </c>
    </row>
    <row r="459" spans="1:1">
      <c r="A459" t="s">
        <v>40713</v>
      </c>
    </row>
    <row r="460" spans="1:1">
      <c r="A460" t="s">
        <v>40714</v>
      </c>
    </row>
    <row r="461" spans="1:1">
      <c r="A461" t="s">
        <v>40715</v>
      </c>
    </row>
    <row r="462" spans="1:1">
      <c r="A462" t="s">
        <v>40716</v>
      </c>
    </row>
    <row r="463" spans="1:1">
      <c r="A463" t="s">
        <v>40717</v>
      </c>
    </row>
    <row r="464" spans="1:1">
      <c r="A464" t="s">
        <v>40718</v>
      </c>
    </row>
    <row r="465" spans="1:1">
      <c r="A465" t="s">
        <v>40719</v>
      </c>
    </row>
    <row r="466" spans="1:1">
      <c r="A466" t="s">
        <v>40720</v>
      </c>
    </row>
    <row r="467" spans="1:1">
      <c r="A467" t="s">
        <v>40721</v>
      </c>
    </row>
    <row r="468" spans="1:1">
      <c r="A468" t="s">
        <v>40722</v>
      </c>
    </row>
    <row r="469" spans="1:1">
      <c r="A469" t="s">
        <v>40723</v>
      </c>
    </row>
    <row r="470" spans="1:1">
      <c r="A470" t="s">
        <v>40724</v>
      </c>
    </row>
    <row r="471" spans="1:1">
      <c r="A471" t="s">
        <v>40725</v>
      </c>
    </row>
    <row r="472" spans="1:1">
      <c r="A472" t="s">
        <v>40726</v>
      </c>
    </row>
    <row r="473" spans="1:1">
      <c r="A473" t="s">
        <v>40727</v>
      </c>
    </row>
    <row r="474" spans="1:1">
      <c r="A474" t="s">
        <v>40728</v>
      </c>
    </row>
    <row r="475" spans="1:1">
      <c r="A475" t="s">
        <v>40729</v>
      </c>
    </row>
    <row r="476" spans="1:1">
      <c r="A476" t="s">
        <v>40730</v>
      </c>
    </row>
    <row r="477" spans="1:1">
      <c r="A477" t="s">
        <v>40731</v>
      </c>
    </row>
    <row r="478" spans="1:1">
      <c r="A478" t="s">
        <v>40732</v>
      </c>
    </row>
    <row r="479" spans="1:1">
      <c r="A479" t="s">
        <v>40733</v>
      </c>
    </row>
    <row r="480" spans="1:1">
      <c r="A480" t="s">
        <v>40734</v>
      </c>
    </row>
    <row r="481" spans="1:1">
      <c r="A481" t="s">
        <v>40735</v>
      </c>
    </row>
    <row r="482" spans="1:1">
      <c r="A482" t="s">
        <v>40736</v>
      </c>
    </row>
    <row r="483" spans="1:1">
      <c r="A483" t="s">
        <v>40737</v>
      </c>
    </row>
    <row r="484" spans="1:1">
      <c r="A484" t="s">
        <v>40738</v>
      </c>
    </row>
    <row r="485" spans="1:1">
      <c r="A485" t="s">
        <v>40739</v>
      </c>
    </row>
    <row r="486" spans="1:1">
      <c r="A486" t="s">
        <v>40740</v>
      </c>
    </row>
    <row r="487" spans="1:1">
      <c r="A487" t="s">
        <v>40741</v>
      </c>
    </row>
    <row r="488" spans="1:1">
      <c r="A488" t="s">
        <v>40742</v>
      </c>
    </row>
    <row r="489" spans="1:1">
      <c r="A489" t="s">
        <v>40743</v>
      </c>
    </row>
    <row r="490" spans="1:1">
      <c r="A490" t="s">
        <v>40744</v>
      </c>
    </row>
    <row r="491" spans="1:1">
      <c r="A491" t="s">
        <v>40745</v>
      </c>
    </row>
    <row r="492" spans="1:1">
      <c r="A492" t="s">
        <v>40746</v>
      </c>
    </row>
    <row r="493" spans="1:1">
      <c r="A493" t="s">
        <v>40747</v>
      </c>
    </row>
    <row r="494" spans="1:1">
      <c r="A494" t="s">
        <v>40748</v>
      </c>
    </row>
    <row r="495" spans="1:1">
      <c r="A495" t="s">
        <v>40749</v>
      </c>
    </row>
    <row r="496" spans="1:1">
      <c r="A496" t="s">
        <v>40750</v>
      </c>
    </row>
    <row r="497" spans="1:1">
      <c r="A497" t="s">
        <v>40751</v>
      </c>
    </row>
    <row r="498" spans="1:1">
      <c r="A498" t="s">
        <v>40752</v>
      </c>
    </row>
    <row r="499" spans="1:1">
      <c r="A499" t="s">
        <v>40753</v>
      </c>
    </row>
    <row r="500" spans="1:1">
      <c r="A500" t="s">
        <v>40754</v>
      </c>
    </row>
    <row r="501" spans="1:1">
      <c r="A501" t="s">
        <v>40755</v>
      </c>
    </row>
    <row r="502" spans="1:1">
      <c r="A502" t="s">
        <v>40756</v>
      </c>
    </row>
    <row r="503" spans="1:1">
      <c r="A503" t="s">
        <v>40757</v>
      </c>
    </row>
    <row r="504" spans="1:1">
      <c r="A504" t="s">
        <v>40758</v>
      </c>
    </row>
    <row r="505" spans="1:1">
      <c r="A505" t="s">
        <v>40759</v>
      </c>
    </row>
    <row r="506" spans="1:1">
      <c r="A506" t="s">
        <v>40760</v>
      </c>
    </row>
    <row r="507" spans="1:1">
      <c r="A507" t="s">
        <v>40761</v>
      </c>
    </row>
    <row r="508" spans="1:1">
      <c r="A508" t="s">
        <v>40762</v>
      </c>
    </row>
    <row r="509" spans="1:1">
      <c r="A509" t="s">
        <v>40763</v>
      </c>
    </row>
    <row r="510" spans="1:1">
      <c r="A510" t="s">
        <v>40764</v>
      </c>
    </row>
    <row r="511" spans="1:1">
      <c r="A511" t="s">
        <v>40765</v>
      </c>
    </row>
    <row r="512" spans="1:1">
      <c r="A512" t="s">
        <v>40766</v>
      </c>
    </row>
    <row r="513" spans="1:1">
      <c r="A513" t="s">
        <v>40767</v>
      </c>
    </row>
    <row r="514" spans="1:1">
      <c r="A514" t="s">
        <v>40768</v>
      </c>
    </row>
    <row r="515" spans="1:1">
      <c r="A515" t="s">
        <v>40769</v>
      </c>
    </row>
    <row r="516" spans="1:1">
      <c r="A516" t="s">
        <v>40770</v>
      </c>
    </row>
    <row r="517" spans="1:1">
      <c r="A517" t="s">
        <v>40771</v>
      </c>
    </row>
    <row r="518" spans="1:1">
      <c r="A518" t="s">
        <v>40772</v>
      </c>
    </row>
    <row r="519" spans="1:1">
      <c r="A519" t="s">
        <v>40773</v>
      </c>
    </row>
    <row r="520" spans="1:1">
      <c r="A520" t="s">
        <v>40774</v>
      </c>
    </row>
    <row r="521" spans="1:1">
      <c r="A521" t="s">
        <v>40775</v>
      </c>
    </row>
    <row r="522" spans="1:1">
      <c r="A522" t="s">
        <v>40776</v>
      </c>
    </row>
    <row r="523" spans="1:1">
      <c r="A523" t="s">
        <v>40777</v>
      </c>
    </row>
    <row r="524" spans="1:1">
      <c r="A524" t="s">
        <v>40778</v>
      </c>
    </row>
    <row r="525" spans="1:1">
      <c r="A525" t="s">
        <v>40779</v>
      </c>
    </row>
    <row r="526" spans="1:1">
      <c r="A526" t="s">
        <v>40780</v>
      </c>
    </row>
    <row r="527" spans="1:1">
      <c r="A527" t="s">
        <v>40781</v>
      </c>
    </row>
    <row r="528" spans="1:1">
      <c r="A528" t="s">
        <v>40782</v>
      </c>
    </row>
    <row r="529" spans="1:1">
      <c r="A529" t="s">
        <v>40783</v>
      </c>
    </row>
    <row r="530" spans="1:1">
      <c r="A530" t="s">
        <v>40784</v>
      </c>
    </row>
    <row r="531" spans="1:1">
      <c r="A531" t="s">
        <v>40785</v>
      </c>
    </row>
    <row r="532" spans="1:1">
      <c r="A532" t="s">
        <v>40786</v>
      </c>
    </row>
    <row r="533" spans="1:1">
      <c r="A533" t="s">
        <v>40787</v>
      </c>
    </row>
    <row r="534" spans="1:1">
      <c r="A534" t="s">
        <v>40788</v>
      </c>
    </row>
    <row r="535" spans="1:1">
      <c r="A535" t="s">
        <v>40789</v>
      </c>
    </row>
    <row r="536" spans="1:1">
      <c r="A536" t="s">
        <v>40790</v>
      </c>
    </row>
    <row r="537" spans="1:1">
      <c r="A537" t="s">
        <v>40791</v>
      </c>
    </row>
    <row r="538" spans="1:1">
      <c r="A538" t="s">
        <v>40792</v>
      </c>
    </row>
    <row r="539" spans="1:1">
      <c r="A539" t="s">
        <v>40793</v>
      </c>
    </row>
    <row r="540" spans="1:1">
      <c r="A540" t="s">
        <v>40794</v>
      </c>
    </row>
    <row r="541" spans="1:1">
      <c r="A541" t="s">
        <v>40795</v>
      </c>
    </row>
    <row r="542" spans="1:1">
      <c r="A542" t="s">
        <v>40796</v>
      </c>
    </row>
    <row r="543" spans="1:1">
      <c r="A543" t="s">
        <v>40797</v>
      </c>
    </row>
    <row r="544" spans="1:1">
      <c r="A544" t="s">
        <v>40798</v>
      </c>
    </row>
    <row r="545" spans="1:1">
      <c r="A545" t="s">
        <v>40799</v>
      </c>
    </row>
    <row r="546" spans="1:1">
      <c r="A546" t="s">
        <v>40800</v>
      </c>
    </row>
    <row r="547" spans="1:1">
      <c r="A547" t="s">
        <v>40801</v>
      </c>
    </row>
    <row r="548" spans="1:1">
      <c r="A548" t="s">
        <v>40802</v>
      </c>
    </row>
    <row r="549" spans="1:1">
      <c r="A549" t="s">
        <v>40803</v>
      </c>
    </row>
    <row r="550" spans="1:1">
      <c r="A550" t="s">
        <v>40804</v>
      </c>
    </row>
    <row r="551" spans="1:1">
      <c r="A551" t="s">
        <v>40805</v>
      </c>
    </row>
    <row r="552" spans="1:1">
      <c r="A552" t="s">
        <v>40806</v>
      </c>
    </row>
    <row r="553" spans="1:1">
      <c r="A553" t="s">
        <v>40807</v>
      </c>
    </row>
    <row r="554" spans="1:1">
      <c r="A554" t="s">
        <v>40808</v>
      </c>
    </row>
    <row r="555" spans="1:1">
      <c r="A555" t="s">
        <v>40809</v>
      </c>
    </row>
    <row r="556" spans="1:1">
      <c r="A556" t="s">
        <v>40810</v>
      </c>
    </row>
    <row r="557" spans="1:1">
      <c r="A557" t="s">
        <v>40811</v>
      </c>
    </row>
    <row r="558" spans="1:1">
      <c r="A558" t="s">
        <v>40812</v>
      </c>
    </row>
    <row r="559" spans="1:1">
      <c r="A559" t="s">
        <v>40813</v>
      </c>
    </row>
    <row r="560" spans="1:1">
      <c r="A560" t="s">
        <v>40814</v>
      </c>
    </row>
    <row r="561" spans="1:1">
      <c r="A561" t="s">
        <v>40815</v>
      </c>
    </row>
    <row r="562" spans="1:1">
      <c r="A562" t="s">
        <v>40816</v>
      </c>
    </row>
    <row r="563" spans="1:1">
      <c r="A563" t="s">
        <v>40817</v>
      </c>
    </row>
    <row r="564" spans="1:1">
      <c r="A564" t="s">
        <v>40818</v>
      </c>
    </row>
    <row r="565" spans="1:1">
      <c r="A565" t="s">
        <v>40819</v>
      </c>
    </row>
    <row r="566" spans="1:1">
      <c r="A566" t="s">
        <v>40820</v>
      </c>
    </row>
    <row r="567" spans="1:1">
      <c r="A567" t="s">
        <v>40821</v>
      </c>
    </row>
    <row r="568" spans="1:1">
      <c r="A568" t="s">
        <v>40822</v>
      </c>
    </row>
    <row r="569" spans="1:1">
      <c r="A569" t="s">
        <v>40823</v>
      </c>
    </row>
    <row r="570" spans="1:1">
      <c r="A570" t="s">
        <v>40824</v>
      </c>
    </row>
    <row r="571" spans="1:1">
      <c r="A571" t="s">
        <v>40825</v>
      </c>
    </row>
    <row r="572" spans="1:1">
      <c r="A572" t="s">
        <v>40826</v>
      </c>
    </row>
    <row r="573" spans="1:1">
      <c r="A573" t="s">
        <v>40827</v>
      </c>
    </row>
    <row r="574" spans="1:1">
      <c r="A574" t="s">
        <v>40828</v>
      </c>
    </row>
    <row r="575" spans="1:1">
      <c r="A575" t="s">
        <v>40829</v>
      </c>
    </row>
    <row r="576" spans="1:1">
      <c r="A576" t="s">
        <v>40830</v>
      </c>
    </row>
    <row r="577" spans="1:1">
      <c r="A577" t="s">
        <v>40831</v>
      </c>
    </row>
    <row r="578" spans="1:1">
      <c r="A578" t="s">
        <v>40832</v>
      </c>
    </row>
    <row r="579" spans="1:1">
      <c r="A579" t="s">
        <v>40833</v>
      </c>
    </row>
    <row r="580" spans="1:1">
      <c r="A580" t="s">
        <v>40834</v>
      </c>
    </row>
    <row r="581" spans="1:1">
      <c r="A581" t="s">
        <v>40835</v>
      </c>
    </row>
    <row r="582" spans="1:1">
      <c r="A582" t="s">
        <v>40836</v>
      </c>
    </row>
    <row r="583" spans="1:1">
      <c r="A583" t="s">
        <v>40837</v>
      </c>
    </row>
    <row r="584" spans="1:1">
      <c r="A584" t="s">
        <v>40838</v>
      </c>
    </row>
    <row r="585" spans="1:1">
      <c r="A585" t="s">
        <v>40839</v>
      </c>
    </row>
    <row r="586" spans="1:1">
      <c r="A586" t="s">
        <v>40840</v>
      </c>
    </row>
    <row r="587" spans="1:1">
      <c r="A587" t="s">
        <v>40841</v>
      </c>
    </row>
    <row r="588" spans="1:1">
      <c r="A588" t="s">
        <v>40842</v>
      </c>
    </row>
    <row r="589" spans="1:1">
      <c r="A589" t="s">
        <v>40843</v>
      </c>
    </row>
    <row r="590" spans="1:1">
      <c r="A590" t="s">
        <v>40844</v>
      </c>
    </row>
    <row r="591" spans="1:1">
      <c r="A591" t="s">
        <v>40845</v>
      </c>
    </row>
    <row r="592" spans="1:1">
      <c r="A592" t="s">
        <v>40846</v>
      </c>
    </row>
    <row r="593" spans="1:1">
      <c r="A593" t="s">
        <v>40847</v>
      </c>
    </row>
    <row r="594" spans="1:1">
      <c r="A594" t="s">
        <v>40848</v>
      </c>
    </row>
    <row r="595" spans="1:1">
      <c r="A595" t="s">
        <v>40849</v>
      </c>
    </row>
    <row r="596" spans="1:1">
      <c r="A596" t="s">
        <v>40850</v>
      </c>
    </row>
    <row r="597" spans="1:1">
      <c r="A597" t="s">
        <v>40851</v>
      </c>
    </row>
    <row r="598" spans="1:1">
      <c r="A598" t="s">
        <v>40852</v>
      </c>
    </row>
    <row r="599" spans="1:1">
      <c r="A599" t="s">
        <v>40853</v>
      </c>
    </row>
    <row r="600" spans="1:1">
      <c r="A600" t="s">
        <v>40854</v>
      </c>
    </row>
    <row r="601" spans="1:1">
      <c r="A601" t="s">
        <v>40855</v>
      </c>
    </row>
    <row r="602" spans="1:1">
      <c r="A602" t="s">
        <v>40856</v>
      </c>
    </row>
    <row r="603" spans="1:1">
      <c r="A603" t="s">
        <v>40857</v>
      </c>
    </row>
    <row r="604" spans="1:1">
      <c r="A604" t="s">
        <v>40858</v>
      </c>
    </row>
    <row r="605" spans="1:1">
      <c r="A605" t="s">
        <v>40859</v>
      </c>
    </row>
    <row r="606" spans="1:1">
      <c r="A606" t="s">
        <v>40860</v>
      </c>
    </row>
    <row r="607" spans="1:1">
      <c r="A607" t="s">
        <v>40861</v>
      </c>
    </row>
    <row r="608" spans="1:1">
      <c r="A608" t="s">
        <v>40862</v>
      </c>
    </row>
    <row r="609" spans="1:1">
      <c r="A609" t="s">
        <v>40863</v>
      </c>
    </row>
    <row r="610" spans="1:1">
      <c r="A610" t="s">
        <v>40864</v>
      </c>
    </row>
    <row r="611" spans="1:1">
      <c r="A611" t="s">
        <v>40865</v>
      </c>
    </row>
    <row r="612" spans="1:1">
      <c r="A612" t="s">
        <v>40866</v>
      </c>
    </row>
    <row r="613" spans="1:1">
      <c r="A613" t="s">
        <v>40867</v>
      </c>
    </row>
    <row r="614" spans="1:1">
      <c r="A614" t="s">
        <v>40868</v>
      </c>
    </row>
    <row r="615" spans="1:1">
      <c r="A615" t="s">
        <v>40869</v>
      </c>
    </row>
    <row r="616" spans="1:1">
      <c r="A616" t="s">
        <v>40870</v>
      </c>
    </row>
    <row r="617" spans="1:1">
      <c r="A617" t="s">
        <v>40871</v>
      </c>
    </row>
    <row r="618" spans="1:1">
      <c r="A618" t="s">
        <v>40872</v>
      </c>
    </row>
    <row r="619" spans="1:1">
      <c r="A619" t="s">
        <v>40873</v>
      </c>
    </row>
    <row r="620" spans="1:1">
      <c r="A620" t="s">
        <v>40874</v>
      </c>
    </row>
    <row r="621" spans="1:1">
      <c r="A621" t="s">
        <v>40875</v>
      </c>
    </row>
    <row r="622" spans="1:1">
      <c r="A622" t="s">
        <v>40876</v>
      </c>
    </row>
    <row r="623" spans="1:1">
      <c r="A623" t="s">
        <v>40877</v>
      </c>
    </row>
    <row r="624" spans="1:1">
      <c r="A624" t="s">
        <v>40878</v>
      </c>
    </row>
    <row r="625" spans="1:1">
      <c r="A625" t="s">
        <v>40879</v>
      </c>
    </row>
    <row r="626" spans="1:1">
      <c r="A626" t="s">
        <v>40880</v>
      </c>
    </row>
    <row r="627" spans="1:1">
      <c r="A627" t="s">
        <v>40881</v>
      </c>
    </row>
    <row r="628" spans="1:1">
      <c r="A628" t="s">
        <v>40882</v>
      </c>
    </row>
    <row r="629" spans="1:1">
      <c r="A629" t="s">
        <v>40883</v>
      </c>
    </row>
    <row r="630" spans="1:1">
      <c r="A630" t="s">
        <v>40884</v>
      </c>
    </row>
    <row r="631" spans="1:1">
      <c r="A631" t="s">
        <v>40885</v>
      </c>
    </row>
    <row r="632" spans="1:1">
      <c r="A632" t="s">
        <v>40886</v>
      </c>
    </row>
    <row r="633" spans="1:1">
      <c r="A633" t="s">
        <v>40887</v>
      </c>
    </row>
    <row r="634" spans="1:1">
      <c r="A634" t="s">
        <v>40888</v>
      </c>
    </row>
    <row r="635" spans="1:1">
      <c r="A635" t="s">
        <v>40889</v>
      </c>
    </row>
    <row r="636" spans="1:1">
      <c r="A636" t="s">
        <v>40890</v>
      </c>
    </row>
    <row r="637" spans="1:1">
      <c r="A637" t="s">
        <v>40891</v>
      </c>
    </row>
    <row r="638" spans="1:1">
      <c r="A638" t="s">
        <v>40892</v>
      </c>
    </row>
    <row r="639" spans="1:1">
      <c r="A639" t="s">
        <v>40893</v>
      </c>
    </row>
    <row r="640" spans="1:1">
      <c r="A640" t="s">
        <v>40894</v>
      </c>
    </row>
    <row r="641" spans="1:1">
      <c r="A641" t="s">
        <v>40895</v>
      </c>
    </row>
    <row r="642" spans="1:1">
      <c r="A642" t="s">
        <v>40896</v>
      </c>
    </row>
    <row r="643" spans="1:1">
      <c r="A643" t="s">
        <v>40897</v>
      </c>
    </row>
    <row r="644" spans="1:1">
      <c r="A644" t="s">
        <v>40898</v>
      </c>
    </row>
    <row r="645" spans="1:1">
      <c r="A645" t="s">
        <v>40899</v>
      </c>
    </row>
    <row r="646" spans="1:1">
      <c r="A646" t="s">
        <v>40900</v>
      </c>
    </row>
    <row r="647" spans="1:1">
      <c r="A647" t="s">
        <v>40901</v>
      </c>
    </row>
    <row r="648" spans="1:1">
      <c r="A648" t="s">
        <v>40902</v>
      </c>
    </row>
    <row r="649" spans="1:1">
      <c r="A649" t="s">
        <v>40903</v>
      </c>
    </row>
    <row r="650" spans="1:1">
      <c r="A650" t="s">
        <v>40904</v>
      </c>
    </row>
    <row r="651" spans="1:1">
      <c r="A651" t="s">
        <v>40905</v>
      </c>
    </row>
    <row r="652" spans="1:1">
      <c r="A652" t="s">
        <v>40906</v>
      </c>
    </row>
    <row r="653" spans="1:1">
      <c r="A653" t="s">
        <v>40907</v>
      </c>
    </row>
    <row r="654" spans="1:1">
      <c r="A654" t="s">
        <v>40908</v>
      </c>
    </row>
    <row r="655" spans="1:1">
      <c r="A655" t="s">
        <v>40909</v>
      </c>
    </row>
    <row r="656" spans="1:1">
      <c r="A656" t="s">
        <v>40910</v>
      </c>
    </row>
    <row r="657" spans="1:1">
      <c r="A657" t="s">
        <v>40911</v>
      </c>
    </row>
    <row r="658" spans="1:1">
      <c r="A658" t="s">
        <v>40912</v>
      </c>
    </row>
    <row r="659" spans="1:1">
      <c r="A659" t="s">
        <v>40913</v>
      </c>
    </row>
    <row r="660" spans="1:1">
      <c r="A660" t="s">
        <v>40914</v>
      </c>
    </row>
    <row r="661" spans="1:1">
      <c r="A661" t="s">
        <v>40915</v>
      </c>
    </row>
    <row r="662" spans="1:1">
      <c r="A662" t="s">
        <v>40916</v>
      </c>
    </row>
    <row r="663" spans="1:1">
      <c r="A663" t="s">
        <v>40917</v>
      </c>
    </row>
    <row r="664" spans="1:1">
      <c r="A664" t="s">
        <v>40918</v>
      </c>
    </row>
    <row r="665" spans="1:1">
      <c r="A665" t="s">
        <v>40919</v>
      </c>
    </row>
    <row r="666" spans="1:1">
      <c r="A666" t="s">
        <v>40920</v>
      </c>
    </row>
    <row r="667" spans="1:1">
      <c r="A667" t="s">
        <v>40921</v>
      </c>
    </row>
    <row r="668" spans="1:1">
      <c r="A668" t="s">
        <v>40922</v>
      </c>
    </row>
    <row r="669" spans="1:1">
      <c r="A669" t="s">
        <v>40923</v>
      </c>
    </row>
    <row r="670" spans="1:1">
      <c r="A670" t="s">
        <v>40924</v>
      </c>
    </row>
    <row r="671" spans="1:1">
      <c r="A671" t="s">
        <v>40925</v>
      </c>
    </row>
    <row r="672" spans="1:1">
      <c r="A672" t="s">
        <v>40926</v>
      </c>
    </row>
    <row r="673" spans="1:1">
      <c r="A673" t="s">
        <v>40927</v>
      </c>
    </row>
    <row r="674" spans="1:1">
      <c r="A674" t="s">
        <v>40928</v>
      </c>
    </row>
    <row r="675" spans="1:1">
      <c r="A675" t="s">
        <v>40929</v>
      </c>
    </row>
    <row r="676" spans="1:1">
      <c r="A676" t="s">
        <v>40930</v>
      </c>
    </row>
    <row r="677" spans="1:1">
      <c r="A677" t="s">
        <v>40931</v>
      </c>
    </row>
    <row r="678" spans="1:1">
      <c r="A678" t="s">
        <v>40932</v>
      </c>
    </row>
    <row r="679" spans="1:1">
      <c r="A679" t="s">
        <v>40933</v>
      </c>
    </row>
    <row r="680" spans="1:1">
      <c r="A680" t="s">
        <v>40934</v>
      </c>
    </row>
    <row r="681" spans="1:1">
      <c r="A681" t="s">
        <v>40935</v>
      </c>
    </row>
    <row r="682" spans="1:1">
      <c r="A682" t="s">
        <v>40936</v>
      </c>
    </row>
    <row r="683" spans="1:1">
      <c r="A683" t="s">
        <v>40937</v>
      </c>
    </row>
    <row r="684" spans="1:1">
      <c r="A684" t="s">
        <v>40938</v>
      </c>
    </row>
    <row r="685" spans="1:1">
      <c r="A685" t="s">
        <v>40939</v>
      </c>
    </row>
    <row r="686" spans="1:1">
      <c r="A686" t="s">
        <v>40940</v>
      </c>
    </row>
    <row r="687" spans="1:1">
      <c r="A687" t="s">
        <v>40941</v>
      </c>
    </row>
    <row r="688" spans="1:1">
      <c r="A688" t="s">
        <v>40942</v>
      </c>
    </row>
    <row r="689" spans="1:1">
      <c r="A689" t="s">
        <v>40943</v>
      </c>
    </row>
    <row r="690" spans="1:1">
      <c r="A690" t="s">
        <v>40944</v>
      </c>
    </row>
    <row r="691" spans="1:1">
      <c r="A691" t="s">
        <v>40945</v>
      </c>
    </row>
    <row r="692" spans="1:1">
      <c r="A692" t="s">
        <v>40946</v>
      </c>
    </row>
    <row r="693" spans="1:1">
      <c r="A693" t="s">
        <v>40947</v>
      </c>
    </row>
    <row r="694" spans="1:1">
      <c r="A694" t="s">
        <v>40948</v>
      </c>
    </row>
    <row r="695" spans="1:1">
      <c r="A695" t="s">
        <v>40949</v>
      </c>
    </row>
    <row r="696" spans="1:1">
      <c r="A696" t="s">
        <v>40950</v>
      </c>
    </row>
    <row r="697" spans="1:1">
      <c r="A697" t="s">
        <v>40951</v>
      </c>
    </row>
    <row r="698" spans="1:1">
      <c r="A698" t="s">
        <v>40952</v>
      </c>
    </row>
    <row r="699" spans="1:1">
      <c r="A699" t="s">
        <v>40953</v>
      </c>
    </row>
    <row r="700" spans="1:1">
      <c r="A700" t="s">
        <v>40954</v>
      </c>
    </row>
    <row r="701" spans="1:1">
      <c r="A701" t="s">
        <v>40955</v>
      </c>
    </row>
    <row r="702" spans="1:1">
      <c r="A702" t="s">
        <v>40956</v>
      </c>
    </row>
    <row r="703" spans="1:1">
      <c r="A703" t="s">
        <v>40957</v>
      </c>
    </row>
    <row r="704" spans="1:1">
      <c r="A704" t="s">
        <v>40958</v>
      </c>
    </row>
    <row r="705" spans="1:1">
      <c r="A705" t="s">
        <v>40959</v>
      </c>
    </row>
    <row r="706" spans="1:1">
      <c r="A706" t="s">
        <v>40960</v>
      </c>
    </row>
    <row r="707" spans="1:1">
      <c r="A707" t="s">
        <v>40961</v>
      </c>
    </row>
    <row r="708" spans="1:1">
      <c r="A708" t="s">
        <v>40962</v>
      </c>
    </row>
    <row r="709" spans="1:1">
      <c r="A709" t="s">
        <v>40963</v>
      </c>
    </row>
    <row r="710" spans="1:1">
      <c r="A710" t="s">
        <v>40964</v>
      </c>
    </row>
    <row r="711" spans="1:1">
      <c r="A711" t="s">
        <v>40965</v>
      </c>
    </row>
    <row r="712" spans="1:1">
      <c r="A712" t="s">
        <v>40966</v>
      </c>
    </row>
    <row r="713" spans="1:1">
      <c r="A713" t="s">
        <v>40967</v>
      </c>
    </row>
    <row r="714" spans="1:1">
      <c r="A714" t="s">
        <v>40968</v>
      </c>
    </row>
    <row r="715" spans="1:1">
      <c r="A715" t="s">
        <v>40969</v>
      </c>
    </row>
    <row r="716" spans="1:1">
      <c r="A716" t="s">
        <v>40970</v>
      </c>
    </row>
    <row r="717" spans="1:1">
      <c r="A717" t="s">
        <v>40971</v>
      </c>
    </row>
    <row r="718" spans="1:1">
      <c r="A718" t="s">
        <v>40972</v>
      </c>
    </row>
    <row r="719" spans="1:1">
      <c r="A719" t="s">
        <v>40973</v>
      </c>
    </row>
    <row r="720" spans="1:1">
      <c r="A720" t="s">
        <v>40974</v>
      </c>
    </row>
    <row r="721" spans="1:1">
      <c r="A721" t="s">
        <v>40975</v>
      </c>
    </row>
    <row r="722" spans="1:1">
      <c r="A722" t="s">
        <v>40976</v>
      </c>
    </row>
    <row r="723" spans="1:1">
      <c r="A723" t="s">
        <v>40977</v>
      </c>
    </row>
    <row r="724" spans="1:1">
      <c r="A724" t="s">
        <v>40978</v>
      </c>
    </row>
    <row r="725" spans="1:1">
      <c r="A725" t="s">
        <v>40979</v>
      </c>
    </row>
    <row r="726" spans="1:1">
      <c r="A726" t="s">
        <v>40980</v>
      </c>
    </row>
    <row r="727" spans="1:1">
      <c r="A727" t="s">
        <v>40981</v>
      </c>
    </row>
    <row r="728" spans="1:1">
      <c r="A728" t="s">
        <v>40982</v>
      </c>
    </row>
    <row r="729" spans="1:1">
      <c r="A729" t="s">
        <v>40983</v>
      </c>
    </row>
    <row r="730" spans="1:1">
      <c r="A730" t="s">
        <v>40984</v>
      </c>
    </row>
    <row r="731" spans="1:1">
      <c r="A731" t="s">
        <v>40985</v>
      </c>
    </row>
    <row r="732" spans="1:1">
      <c r="A732" t="s">
        <v>40986</v>
      </c>
    </row>
    <row r="733" spans="1:1">
      <c r="A733" t="s">
        <v>40987</v>
      </c>
    </row>
    <row r="734" spans="1:1">
      <c r="A734" t="s">
        <v>40988</v>
      </c>
    </row>
    <row r="735" spans="1:1">
      <c r="A735" t="s">
        <v>40989</v>
      </c>
    </row>
    <row r="736" spans="1:1">
      <c r="A736" t="s">
        <v>40990</v>
      </c>
    </row>
    <row r="737" spans="1:1">
      <c r="A737" t="s">
        <v>40991</v>
      </c>
    </row>
    <row r="738" spans="1:1">
      <c r="A738" t="s">
        <v>40992</v>
      </c>
    </row>
    <row r="739" spans="1:1">
      <c r="A739" t="s">
        <v>40993</v>
      </c>
    </row>
    <row r="740" spans="1:1">
      <c r="A740" t="s">
        <v>40994</v>
      </c>
    </row>
    <row r="741" spans="1:1">
      <c r="A741" t="s">
        <v>40995</v>
      </c>
    </row>
    <row r="742" spans="1:1">
      <c r="A742" t="s">
        <v>40996</v>
      </c>
    </row>
    <row r="743" spans="1:1">
      <c r="A743" t="s">
        <v>40997</v>
      </c>
    </row>
    <row r="744" spans="1:1">
      <c r="A744" t="s">
        <v>40998</v>
      </c>
    </row>
    <row r="745" spans="1:1">
      <c r="A745" t="s">
        <v>40999</v>
      </c>
    </row>
    <row r="746" spans="1:1">
      <c r="A746" t="s">
        <v>41000</v>
      </c>
    </row>
    <row r="747" spans="1:1">
      <c r="A747" t="s">
        <v>41001</v>
      </c>
    </row>
    <row r="748" spans="1:1">
      <c r="A748" t="s">
        <v>41002</v>
      </c>
    </row>
    <row r="749" spans="1:1">
      <c r="A749" t="s">
        <v>41003</v>
      </c>
    </row>
    <row r="750" spans="1:1">
      <c r="A750" t="s">
        <v>41004</v>
      </c>
    </row>
    <row r="751" spans="1:1">
      <c r="A751" t="s">
        <v>41005</v>
      </c>
    </row>
    <row r="752" spans="1:1">
      <c r="A752" t="s">
        <v>41006</v>
      </c>
    </row>
    <row r="753" spans="1:1">
      <c r="A753" t="s">
        <v>41007</v>
      </c>
    </row>
    <row r="754" spans="1:1">
      <c r="A754" t="s">
        <v>41008</v>
      </c>
    </row>
    <row r="755" spans="1:1">
      <c r="A755" t="s">
        <v>41009</v>
      </c>
    </row>
    <row r="756" spans="1:1">
      <c r="A756" t="s">
        <v>41010</v>
      </c>
    </row>
    <row r="757" spans="1:1">
      <c r="A757" t="s">
        <v>41011</v>
      </c>
    </row>
    <row r="758" spans="1:1">
      <c r="A758" t="s">
        <v>41012</v>
      </c>
    </row>
    <row r="759" spans="1:1">
      <c r="A759" t="s">
        <v>41013</v>
      </c>
    </row>
    <row r="760" spans="1:1">
      <c r="A760" t="s">
        <v>41014</v>
      </c>
    </row>
    <row r="761" spans="1:1">
      <c r="A761" t="s">
        <v>41015</v>
      </c>
    </row>
    <row r="762" spans="1:1">
      <c r="A762" t="s">
        <v>41016</v>
      </c>
    </row>
    <row r="763" spans="1:1">
      <c r="A763" t="s">
        <v>41017</v>
      </c>
    </row>
    <row r="764" spans="1:1">
      <c r="A764" t="s">
        <v>41018</v>
      </c>
    </row>
    <row r="765" spans="1:1">
      <c r="A765" t="s">
        <v>41019</v>
      </c>
    </row>
    <row r="766" spans="1:1">
      <c r="A766" t="s">
        <v>41020</v>
      </c>
    </row>
    <row r="767" spans="1:1">
      <c r="A767" t="s">
        <v>41021</v>
      </c>
    </row>
    <row r="768" spans="1:1">
      <c r="A768" t="s">
        <v>41022</v>
      </c>
    </row>
    <row r="769" spans="1:1">
      <c r="A769" t="s">
        <v>41023</v>
      </c>
    </row>
    <row r="770" spans="1:1">
      <c r="A770" t="s">
        <v>41024</v>
      </c>
    </row>
    <row r="771" spans="1:1">
      <c r="A771" t="s">
        <v>41025</v>
      </c>
    </row>
    <row r="772" spans="1:1">
      <c r="A772" t="s">
        <v>41026</v>
      </c>
    </row>
    <row r="773" spans="1:1">
      <c r="A773" t="s">
        <v>41027</v>
      </c>
    </row>
    <row r="774" spans="1:1">
      <c r="A774" t="s">
        <v>41028</v>
      </c>
    </row>
    <row r="775" spans="1:1">
      <c r="A775" t="s">
        <v>41029</v>
      </c>
    </row>
    <row r="776" spans="1:1">
      <c r="A776" t="s">
        <v>41030</v>
      </c>
    </row>
    <row r="777" spans="1:1">
      <c r="A777" t="s">
        <v>41031</v>
      </c>
    </row>
    <row r="778" spans="1:1">
      <c r="A778" t="s">
        <v>41032</v>
      </c>
    </row>
    <row r="779" spans="1:1">
      <c r="A779" t="s">
        <v>41033</v>
      </c>
    </row>
    <row r="780" spans="1:1">
      <c r="A780" t="s">
        <v>41034</v>
      </c>
    </row>
    <row r="781" spans="1:1">
      <c r="A781" t="s">
        <v>41035</v>
      </c>
    </row>
    <row r="782" spans="1:1">
      <c r="A782" t="s">
        <v>41036</v>
      </c>
    </row>
    <row r="783" spans="1:1">
      <c r="A783" t="s">
        <v>41037</v>
      </c>
    </row>
    <row r="784" spans="1:1">
      <c r="A784" t="s">
        <v>41038</v>
      </c>
    </row>
    <row r="785" spans="1:1">
      <c r="A785" t="s">
        <v>41039</v>
      </c>
    </row>
    <row r="786" spans="1:1">
      <c r="A786" t="s">
        <v>41040</v>
      </c>
    </row>
    <row r="787" spans="1:1">
      <c r="A787" t="s">
        <v>41041</v>
      </c>
    </row>
    <row r="788" spans="1:1">
      <c r="A788" t="s">
        <v>41042</v>
      </c>
    </row>
    <row r="789" spans="1:1">
      <c r="A789" t="s">
        <v>41043</v>
      </c>
    </row>
    <row r="790" spans="1:1">
      <c r="A790" t="s">
        <v>41044</v>
      </c>
    </row>
    <row r="791" spans="1:1">
      <c r="A791" t="s">
        <v>41045</v>
      </c>
    </row>
    <row r="792" spans="1:1">
      <c r="A792" t="s">
        <v>41046</v>
      </c>
    </row>
    <row r="793" spans="1:1">
      <c r="A793" t="s">
        <v>41047</v>
      </c>
    </row>
    <row r="794" spans="1:1">
      <c r="A794" t="s">
        <v>41048</v>
      </c>
    </row>
    <row r="795" spans="1:1">
      <c r="A795" t="s">
        <v>41049</v>
      </c>
    </row>
    <row r="796" spans="1:1">
      <c r="A796" t="s">
        <v>41050</v>
      </c>
    </row>
    <row r="797" spans="1:1">
      <c r="A797" t="s">
        <v>41051</v>
      </c>
    </row>
    <row r="798" spans="1:1">
      <c r="A798" t="s">
        <v>41052</v>
      </c>
    </row>
    <row r="799" spans="1:1">
      <c r="A799" t="s">
        <v>41053</v>
      </c>
    </row>
    <row r="800" spans="1:1">
      <c r="A800" t="s">
        <v>41054</v>
      </c>
    </row>
    <row r="801" spans="1:1">
      <c r="A801" t="s">
        <v>41055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287F7-C5D4-A249-9AD7-7F0553E425E9}">
  <dimension ref="A1:A4191"/>
  <sheetViews>
    <sheetView workbookViewId="0">
      <selection activeCell="B4" sqref="B4"/>
    </sheetView>
  </sheetViews>
  <sheetFormatPr baseColWidth="10" defaultRowHeight="16"/>
  <sheetData>
    <row r="1" spans="1:1">
      <c r="A1" t="s">
        <v>40257</v>
      </c>
    </row>
    <row r="2" spans="1:1">
      <c r="A2" t="e">
        <v>#NAME?</v>
      </c>
    </row>
    <row r="3" spans="1:1">
      <c r="A3" t="s">
        <v>41056</v>
      </c>
    </row>
    <row r="4" spans="1:1">
      <c r="A4" t="s">
        <v>41057</v>
      </c>
    </row>
    <row r="5" spans="1:1">
      <c r="A5" t="s">
        <v>41057</v>
      </c>
    </row>
    <row r="6" spans="1:1">
      <c r="A6" t="e">
        <v>#NAME?</v>
      </c>
    </row>
    <row r="7" spans="1:1">
      <c r="A7" t="s">
        <v>41058</v>
      </c>
    </row>
    <row r="8" spans="1:1">
      <c r="A8" t="s">
        <v>41059</v>
      </c>
    </row>
    <row r="9" spans="1:1">
      <c r="A9" t="s">
        <v>41057</v>
      </c>
    </row>
    <row r="10" spans="1:1">
      <c r="A10" t="s">
        <v>41060</v>
      </c>
    </row>
    <row r="11" spans="1:1">
      <c r="A11" t="s">
        <v>41061</v>
      </c>
    </row>
    <row r="12" spans="1:1">
      <c r="A12" t="s">
        <v>41057</v>
      </c>
    </row>
    <row r="13" spans="1:1">
      <c r="A13" t="s">
        <v>41057</v>
      </c>
    </row>
    <row r="14" spans="1:1">
      <c r="A14" t="s">
        <v>41057</v>
      </c>
    </row>
    <row r="15" spans="1:1">
      <c r="A15" t="s">
        <v>41057</v>
      </c>
    </row>
    <row r="16" spans="1:1">
      <c r="A16" t="e">
        <v>#NAME?</v>
      </c>
    </row>
    <row r="17" spans="1:1">
      <c r="A17" t="s">
        <v>41062</v>
      </c>
    </row>
    <row r="18" spans="1:1">
      <c r="A18" t="s">
        <v>41063</v>
      </c>
    </row>
    <row r="19" spans="1:1">
      <c r="A19" t="s">
        <v>41064</v>
      </c>
    </row>
    <row r="20" spans="1:1">
      <c r="A20" t="s">
        <v>41057</v>
      </c>
    </row>
    <row r="21" spans="1:1">
      <c r="A21" t="e">
        <v>#NAME?</v>
      </c>
    </row>
    <row r="22" spans="1:1">
      <c r="A22" t="s">
        <v>41065</v>
      </c>
    </row>
    <row r="23" spans="1:1">
      <c r="A23" t="s">
        <v>41066</v>
      </c>
    </row>
    <row r="24" spans="1:1">
      <c r="A24" t="s">
        <v>41067</v>
      </c>
    </row>
    <row r="25" spans="1:1">
      <c r="A25" t="s">
        <v>41068</v>
      </c>
    </row>
    <row r="26" spans="1:1">
      <c r="A26" t="s">
        <v>41069</v>
      </c>
    </row>
    <row r="27" spans="1:1">
      <c r="A27" t="s">
        <v>41070</v>
      </c>
    </row>
    <row r="28" spans="1:1">
      <c r="A28" t="s">
        <v>41071</v>
      </c>
    </row>
    <row r="29" spans="1:1">
      <c r="A29" t="s">
        <v>41072</v>
      </c>
    </row>
    <row r="30" spans="1:1">
      <c r="A30" t="s">
        <v>41073</v>
      </c>
    </row>
    <row r="31" spans="1:1">
      <c r="A31" t="s">
        <v>41057</v>
      </c>
    </row>
    <row r="32" spans="1:1">
      <c r="A32" t="s">
        <v>41057</v>
      </c>
    </row>
    <row r="33" spans="1:1">
      <c r="A33" t="s">
        <v>41074</v>
      </c>
    </row>
    <row r="34" spans="1:1">
      <c r="A34" t="s">
        <v>40934</v>
      </c>
    </row>
    <row r="35" spans="1:1">
      <c r="A35" t="e">
        <v>#NAME?</v>
      </c>
    </row>
    <row r="36" spans="1:1">
      <c r="A36" t="s">
        <v>41056</v>
      </c>
    </row>
    <row r="37" spans="1:1">
      <c r="A37" t="s">
        <v>41057</v>
      </c>
    </row>
    <row r="38" spans="1:1">
      <c r="A38" t="s">
        <v>41057</v>
      </c>
    </row>
    <row r="39" spans="1:1">
      <c r="A39" t="e">
        <v>#NAME?</v>
      </c>
    </row>
    <row r="40" spans="1:1">
      <c r="A40" t="s">
        <v>41058</v>
      </c>
    </row>
    <row r="41" spans="1:1">
      <c r="A41" t="s">
        <v>41059</v>
      </c>
    </row>
    <row r="42" spans="1:1">
      <c r="A42" t="s">
        <v>41057</v>
      </c>
    </row>
    <row r="43" spans="1:1">
      <c r="A43" t="s">
        <v>41060</v>
      </c>
    </row>
    <row r="44" spans="1:1">
      <c r="A44" t="s">
        <v>41061</v>
      </c>
    </row>
    <row r="45" spans="1:1">
      <c r="A45" t="s">
        <v>41057</v>
      </c>
    </row>
    <row r="46" spans="1:1">
      <c r="A46" t="s">
        <v>41057</v>
      </c>
    </row>
    <row r="47" spans="1:1">
      <c r="A47" t="s">
        <v>41057</v>
      </c>
    </row>
    <row r="48" spans="1:1">
      <c r="A48" t="s">
        <v>41057</v>
      </c>
    </row>
    <row r="49" spans="1:1">
      <c r="A49" t="e">
        <v>#NAME?</v>
      </c>
    </row>
    <row r="50" spans="1:1">
      <c r="A50" t="s">
        <v>41062</v>
      </c>
    </row>
    <row r="51" spans="1:1">
      <c r="A51" t="s">
        <v>41063</v>
      </c>
    </row>
    <row r="52" spans="1:1">
      <c r="A52" t="s">
        <v>41064</v>
      </c>
    </row>
    <row r="53" spans="1:1">
      <c r="A53" t="s">
        <v>41057</v>
      </c>
    </row>
    <row r="54" spans="1:1">
      <c r="A54" t="e">
        <v>#NAME?</v>
      </c>
    </row>
    <row r="55" spans="1:1">
      <c r="A55" t="s">
        <v>41065</v>
      </c>
    </row>
    <row r="56" spans="1:1">
      <c r="A56" t="s">
        <v>41066</v>
      </c>
    </row>
    <row r="57" spans="1:1">
      <c r="A57" t="s">
        <v>41067</v>
      </c>
    </row>
    <row r="58" spans="1:1">
      <c r="A58" t="s">
        <v>41068</v>
      </c>
    </row>
    <row r="59" spans="1:1">
      <c r="A59" t="s">
        <v>41069</v>
      </c>
    </row>
    <row r="60" spans="1:1">
      <c r="A60" t="s">
        <v>41070</v>
      </c>
    </row>
    <row r="61" spans="1:1">
      <c r="A61" t="s">
        <v>41071</v>
      </c>
    </row>
    <row r="62" spans="1:1">
      <c r="A62" t="s">
        <v>41072</v>
      </c>
    </row>
    <row r="63" spans="1:1">
      <c r="A63" t="s">
        <v>41073</v>
      </c>
    </row>
    <row r="64" spans="1:1">
      <c r="A64" t="s">
        <v>41057</v>
      </c>
    </row>
    <row r="65" spans="1:1">
      <c r="A65" t="s">
        <v>41057</v>
      </c>
    </row>
    <row r="66" spans="1:1">
      <c r="A66" t="s">
        <v>41074</v>
      </c>
    </row>
    <row r="67" spans="1:1">
      <c r="A67" t="s">
        <v>40263</v>
      </c>
    </row>
    <row r="68" spans="1:1">
      <c r="A68" t="e">
        <v>#NAME?</v>
      </c>
    </row>
    <row r="69" spans="1:1">
      <c r="A69" t="s">
        <v>41075</v>
      </c>
    </row>
    <row r="70" spans="1:1">
      <c r="A70" t="s">
        <v>41057</v>
      </c>
    </row>
    <row r="71" spans="1:1">
      <c r="A71" t="s">
        <v>41057</v>
      </c>
    </row>
    <row r="72" spans="1:1">
      <c r="A72" t="e">
        <v>#NAME?</v>
      </c>
    </row>
    <row r="73" spans="1:1">
      <c r="A73" t="s">
        <v>41076</v>
      </c>
    </row>
    <row r="74" spans="1:1">
      <c r="A74" t="s">
        <v>41077</v>
      </c>
    </row>
    <row r="75" spans="1:1">
      <c r="A75" t="s">
        <v>41057</v>
      </c>
    </row>
    <row r="76" spans="1:1">
      <c r="A76" t="s">
        <v>41060</v>
      </c>
    </row>
    <row r="77" spans="1:1">
      <c r="A77" t="s">
        <v>41078</v>
      </c>
    </row>
    <row r="78" spans="1:1">
      <c r="A78" t="s">
        <v>41057</v>
      </c>
    </row>
    <row r="79" spans="1:1">
      <c r="A79" t="s">
        <v>41057</v>
      </c>
    </row>
    <row r="80" spans="1:1">
      <c r="A80" t="s">
        <v>41057</v>
      </c>
    </row>
    <row r="81" spans="1:1">
      <c r="A81" t="s">
        <v>41057</v>
      </c>
    </row>
    <row r="82" spans="1:1">
      <c r="A82" t="e">
        <v>#NAME?</v>
      </c>
    </row>
    <row r="83" spans="1:1">
      <c r="A83" t="s">
        <v>41079</v>
      </c>
    </row>
    <row r="84" spans="1:1">
      <c r="A84" t="s">
        <v>41080</v>
      </c>
    </row>
    <row r="85" spans="1:1">
      <c r="A85" t="s">
        <v>41064</v>
      </c>
    </row>
    <row r="86" spans="1:1">
      <c r="A86" t="s">
        <v>41057</v>
      </c>
    </row>
    <row r="87" spans="1:1">
      <c r="A87" t="e">
        <v>#NAME?</v>
      </c>
    </row>
    <row r="88" spans="1:1">
      <c r="A88" t="s">
        <v>41081</v>
      </c>
    </row>
    <row r="89" spans="1:1">
      <c r="A89" t="s">
        <v>41082</v>
      </c>
    </row>
    <row r="90" spans="1:1">
      <c r="A90" t="s">
        <v>41067</v>
      </c>
    </row>
    <row r="91" spans="1:1">
      <c r="A91" t="s">
        <v>41083</v>
      </c>
    </row>
    <row r="92" spans="1:1">
      <c r="A92" t="s">
        <v>41084</v>
      </c>
    </row>
    <row r="93" spans="1:1">
      <c r="A93" t="s">
        <v>41070</v>
      </c>
    </row>
    <row r="94" spans="1:1">
      <c r="A94" t="s">
        <v>41085</v>
      </c>
    </row>
    <row r="95" spans="1:1">
      <c r="A95" t="s">
        <v>41086</v>
      </c>
    </row>
    <row r="96" spans="1:1">
      <c r="A96" t="s">
        <v>41073</v>
      </c>
    </row>
    <row r="97" spans="1:1">
      <c r="A97" t="s">
        <v>41057</v>
      </c>
    </row>
    <row r="98" spans="1:1">
      <c r="A98" t="s">
        <v>41057</v>
      </c>
    </row>
    <row r="99" spans="1:1">
      <c r="A99" t="s">
        <v>41074</v>
      </c>
    </row>
    <row r="100" spans="1:1">
      <c r="A100" t="s">
        <v>40269</v>
      </c>
    </row>
    <row r="101" spans="1:1">
      <c r="A101" t="e">
        <v>#NAME?</v>
      </c>
    </row>
    <row r="102" spans="1:1">
      <c r="A102" t="s">
        <v>41087</v>
      </c>
    </row>
    <row r="103" spans="1:1">
      <c r="A103" t="s">
        <v>41057</v>
      </c>
    </row>
    <row r="104" spans="1:1">
      <c r="A104" t="s">
        <v>41057</v>
      </c>
    </row>
    <row r="105" spans="1:1">
      <c r="A105" t="e">
        <v>#NAME?</v>
      </c>
    </row>
    <row r="106" spans="1:1">
      <c r="A106" t="s">
        <v>41088</v>
      </c>
    </row>
    <row r="107" spans="1:1">
      <c r="A107" t="s">
        <v>41089</v>
      </c>
    </row>
    <row r="108" spans="1:1">
      <c r="A108" t="s">
        <v>41057</v>
      </c>
    </row>
    <row r="109" spans="1:1">
      <c r="A109" t="s">
        <v>41090</v>
      </c>
    </row>
    <row r="110" spans="1:1">
      <c r="A110" t="s">
        <v>41091</v>
      </c>
    </row>
    <row r="111" spans="1:1">
      <c r="A111" t="s">
        <v>41057</v>
      </c>
    </row>
    <row r="112" spans="1:1">
      <c r="A112" t="s">
        <v>41057</v>
      </c>
    </row>
    <row r="113" spans="1:1">
      <c r="A113" t="s">
        <v>41057</v>
      </c>
    </row>
    <row r="114" spans="1:1">
      <c r="A114" t="s">
        <v>41057</v>
      </c>
    </row>
    <row r="115" spans="1:1">
      <c r="A115" t="e">
        <v>#NAME?</v>
      </c>
    </row>
    <row r="116" spans="1:1">
      <c r="A116" t="s">
        <v>41092</v>
      </c>
    </row>
    <row r="117" spans="1:1">
      <c r="A117" t="s">
        <v>41093</v>
      </c>
    </row>
    <row r="118" spans="1:1">
      <c r="A118" t="s">
        <v>41094</v>
      </c>
    </row>
    <row r="119" spans="1:1">
      <c r="A119" t="s">
        <v>41057</v>
      </c>
    </row>
    <row r="120" spans="1:1">
      <c r="A120" t="e">
        <v>#NAME?</v>
      </c>
    </row>
    <row r="121" spans="1:1">
      <c r="A121" t="s">
        <v>41095</v>
      </c>
    </row>
    <row r="122" spans="1:1">
      <c r="A122" t="s">
        <v>41096</v>
      </c>
    </row>
    <row r="123" spans="1:1">
      <c r="A123" t="s">
        <v>41097</v>
      </c>
    </row>
    <row r="124" spans="1:1">
      <c r="A124" t="s">
        <v>41098</v>
      </c>
    </row>
    <row r="125" spans="1:1">
      <c r="A125" t="s">
        <v>41099</v>
      </c>
    </row>
    <row r="126" spans="1:1">
      <c r="A126" t="s">
        <v>41100</v>
      </c>
    </row>
    <row r="127" spans="1:1">
      <c r="A127" t="s">
        <v>41101</v>
      </c>
    </row>
    <row r="128" spans="1:1">
      <c r="A128" t="s">
        <v>41102</v>
      </c>
    </row>
    <row r="129" spans="1:1">
      <c r="A129" t="s">
        <v>41103</v>
      </c>
    </row>
    <row r="130" spans="1:1">
      <c r="A130" t="s">
        <v>41057</v>
      </c>
    </row>
    <row r="131" spans="1:1">
      <c r="A131" t="s">
        <v>41057</v>
      </c>
    </row>
    <row r="132" spans="1:1">
      <c r="A132" t="s">
        <v>41074</v>
      </c>
    </row>
    <row r="133" spans="1:1">
      <c r="A133" t="s">
        <v>40275</v>
      </c>
    </row>
    <row r="134" spans="1:1">
      <c r="A134" t="e">
        <v>#NAME?</v>
      </c>
    </row>
    <row r="135" spans="1:1">
      <c r="A135" t="s">
        <v>41087</v>
      </c>
    </row>
    <row r="136" spans="1:1">
      <c r="A136" t="s">
        <v>41057</v>
      </c>
    </row>
    <row r="137" spans="1:1">
      <c r="A137" t="s">
        <v>41057</v>
      </c>
    </row>
    <row r="138" spans="1:1">
      <c r="A138" t="e">
        <v>#NAME?</v>
      </c>
    </row>
    <row r="139" spans="1:1">
      <c r="A139" t="s">
        <v>41104</v>
      </c>
    </row>
    <row r="140" spans="1:1">
      <c r="A140" t="s">
        <v>41105</v>
      </c>
    </row>
    <row r="141" spans="1:1">
      <c r="A141" t="s">
        <v>41057</v>
      </c>
    </row>
    <row r="142" spans="1:1">
      <c r="A142" t="s">
        <v>41106</v>
      </c>
    </row>
    <row r="143" spans="1:1">
      <c r="A143" t="s">
        <v>41107</v>
      </c>
    </row>
    <row r="144" spans="1:1">
      <c r="A144" t="s">
        <v>41057</v>
      </c>
    </row>
    <row r="145" spans="1:1">
      <c r="A145" t="s">
        <v>41057</v>
      </c>
    </row>
    <row r="146" spans="1:1">
      <c r="A146" t="s">
        <v>41057</v>
      </c>
    </row>
    <row r="147" spans="1:1">
      <c r="A147" t="s">
        <v>41057</v>
      </c>
    </row>
    <row r="148" spans="1:1">
      <c r="A148" t="e">
        <v>#NAME?</v>
      </c>
    </row>
    <row r="149" spans="1:1">
      <c r="A149" t="s">
        <v>41108</v>
      </c>
    </row>
    <row r="150" spans="1:1">
      <c r="A150" t="s">
        <v>41109</v>
      </c>
    </row>
    <row r="151" spans="1:1">
      <c r="A151" t="s">
        <v>41110</v>
      </c>
    </row>
    <row r="152" spans="1:1">
      <c r="A152" t="s">
        <v>41057</v>
      </c>
    </row>
    <row r="153" spans="1:1">
      <c r="A153" t="e">
        <v>#NAME?</v>
      </c>
    </row>
    <row r="154" spans="1:1">
      <c r="A154" t="s">
        <v>41111</v>
      </c>
    </row>
    <row r="155" spans="1:1">
      <c r="A155" t="s">
        <v>41112</v>
      </c>
    </row>
    <row r="156" spans="1:1">
      <c r="A156" t="s">
        <v>41113</v>
      </c>
    </row>
    <row r="157" spans="1:1">
      <c r="A157" t="s">
        <v>41114</v>
      </c>
    </row>
    <row r="158" spans="1:1">
      <c r="A158" t="s">
        <v>41115</v>
      </c>
    </row>
    <row r="159" spans="1:1">
      <c r="A159" t="s">
        <v>41100</v>
      </c>
    </row>
    <row r="160" spans="1:1">
      <c r="A160" t="s">
        <v>41116</v>
      </c>
    </row>
    <row r="161" spans="1:1">
      <c r="A161" t="s">
        <v>41117</v>
      </c>
    </row>
    <row r="162" spans="1:1">
      <c r="A162" t="s">
        <v>41118</v>
      </c>
    </row>
    <row r="163" spans="1:1">
      <c r="A163" t="s">
        <v>41057</v>
      </c>
    </row>
    <row r="164" spans="1:1">
      <c r="A164" t="s">
        <v>41057</v>
      </c>
    </row>
    <row r="165" spans="1:1">
      <c r="A165" t="s">
        <v>41074</v>
      </c>
    </row>
    <row r="166" spans="1:1">
      <c r="A166" t="s">
        <v>40281</v>
      </c>
    </row>
    <row r="167" spans="1:1">
      <c r="A167" t="e">
        <v>#NAME?</v>
      </c>
    </row>
    <row r="168" spans="1:1">
      <c r="A168" t="s">
        <v>41087</v>
      </c>
    </row>
    <row r="169" spans="1:1">
      <c r="A169" t="s">
        <v>41057</v>
      </c>
    </row>
    <row r="170" spans="1:1">
      <c r="A170" t="s">
        <v>41057</v>
      </c>
    </row>
    <row r="171" spans="1:1">
      <c r="A171" t="e">
        <v>#NAME?</v>
      </c>
    </row>
    <row r="172" spans="1:1">
      <c r="A172" t="s">
        <v>41104</v>
      </c>
    </row>
    <row r="173" spans="1:1">
      <c r="A173" t="s">
        <v>41119</v>
      </c>
    </row>
    <row r="174" spans="1:1">
      <c r="A174" t="s">
        <v>41057</v>
      </c>
    </row>
    <row r="175" spans="1:1">
      <c r="A175" t="s">
        <v>41120</v>
      </c>
    </row>
    <row r="176" spans="1:1">
      <c r="A176" t="s">
        <v>41107</v>
      </c>
    </row>
    <row r="177" spans="1:1">
      <c r="A177" t="s">
        <v>41057</v>
      </c>
    </row>
    <row r="178" spans="1:1">
      <c r="A178" t="s">
        <v>41057</v>
      </c>
    </row>
    <row r="179" spans="1:1">
      <c r="A179" t="s">
        <v>41057</v>
      </c>
    </row>
    <row r="180" spans="1:1">
      <c r="A180" t="s">
        <v>41057</v>
      </c>
    </row>
    <row r="181" spans="1:1">
      <c r="A181" t="e">
        <v>#NAME?</v>
      </c>
    </row>
    <row r="182" spans="1:1">
      <c r="A182" t="s">
        <v>41121</v>
      </c>
    </row>
    <row r="183" spans="1:1">
      <c r="A183" t="s">
        <v>41122</v>
      </c>
    </row>
    <row r="184" spans="1:1">
      <c r="A184" t="s">
        <v>41123</v>
      </c>
    </row>
    <row r="185" spans="1:1">
      <c r="A185" t="s">
        <v>41057</v>
      </c>
    </row>
    <row r="186" spans="1:1">
      <c r="A186" t="e">
        <v>#NAME?</v>
      </c>
    </row>
    <row r="187" spans="1:1">
      <c r="A187" t="s">
        <v>41124</v>
      </c>
    </row>
    <row r="188" spans="1:1">
      <c r="A188" t="s">
        <v>41125</v>
      </c>
    </row>
    <row r="189" spans="1:1">
      <c r="A189" t="s">
        <v>41126</v>
      </c>
    </row>
    <row r="190" spans="1:1">
      <c r="A190" t="s">
        <v>41127</v>
      </c>
    </row>
    <row r="191" spans="1:1">
      <c r="A191" t="s">
        <v>41099</v>
      </c>
    </row>
    <row r="192" spans="1:1">
      <c r="A192" t="s">
        <v>41100</v>
      </c>
    </row>
    <row r="193" spans="1:1">
      <c r="A193" t="s">
        <v>41101</v>
      </c>
    </row>
    <row r="194" spans="1:1">
      <c r="A194" t="s">
        <v>41102</v>
      </c>
    </row>
    <row r="195" spans="1:1">
      <c r="A195" t="s">
        <v>41103</v>
      </c>
    </row>
    <row r="196" spans="1:1">
      <c r="A196" t="s">
        <v>41057</v>
      </c>
    </row>
    <row r="197" spans="1:1">
      <c r="A197" t="s">
        <v>41057</v>
      </c>
    </row>
    <row r="198" spans="1:1">
      <c r="A198" t="s">
        <v>41074</v>
      </c>
    </row>
    <row r="199" spans="1:1">
      <c r="A199" t="s">
        <v>40286</v>
      </c>
    </row>
    <row r="200" spans="1:1">
      <c r="A200" t="e">
        <v>#NAME?</v>
      </c>
    </row>
    <row r="201" spans="1:1">
      <c r="A201" t="s">
        <v>41128</v>
      </c>
    </row>
    <row r="202" spans="1:1">
      <c r="A202" t="s">
        <v>41057</v>
      </c>
    </row>
    <row r="203" spans="1:1">
      <c r="A203" t="s">
        <v>41057</v>
      </c>
    </row>
    <row r="204" spans="1:1">
      <c r="A204" t="e">
        <v>#NAME?</v>
      </c>
    </row>
    <row r="205" spans="1:1">
      <c r="A205" t="s">
        <v>41129</v>
      </c>
    </row>
    <row r="206" spans="1:1">
      <c r="A206" t="s">
        <v>41130</v>
      </c>
    </row>
    <row r="207" spans="1:1">
      <c r="A207" t="s">
        <v>41057</v>
      </c>
    </row>
    <row r="208" spans="1:1">
      <c r="A208" t="s">
        <v>41131</v>
      </c>
    </row>
    <row r="209" spans="1:1">
      <c r="A209" t="s">
        <v>41132</v>
      </c>
    </row>
    <row r="210" spans="1:1">
      <c r="A210" t="s">
        <v>41057</v>
      </c>
    </row>
    <row r="211" spans="1:1">
      <c r="A211" t="s">
        <v>41057</v>
      </c>
    </row>
    <row r="212" spans="1:1">
      <c r="A212" t="s">
        <v>41057</v>
      </c>
    </row>
    <row r="213" spans="1:1">
      <c r="A213" t="s">
        <v>41057</v>
      </c>
    </row>
    <row r="214" spans="1:1">
      <c r="A214" t="e">
        <v>#NAME?</v>
      </c>
    </row>
    <row r="215" spans="1:1">
      <c r="A215" t="s">
        <v>41133</v>
      </c>
    </row>
    <row r="216" spans="1:1">
      <c r="A216" t="s">
        <v>41134</v>
      </c>
    </row>
    <row r="217" spans="1:1">
      <c r="A217" t="s">
        <v>41135</v>
      </c>
    </row>
    <row r="218" spans="1:1">
      <c r="A218" t="s">
        <v>41057</v>
      </c>
    </row>
    <row r="219" spans="1:1">
      <c r="A219" t="e">
        <v>#NAME?</v>
      </c>
    </row>
    <row r="220" spans="1:1">
      <c r="A220" t="s">
        <v>41136</v>
      </c>
    </row>
    <row r="221" spans="1:1">
      <c r="A221" t="s">
        <v>41137</v>
      </c>
    </row>
    <row r="222" spans="1:1">
      <c r="A222" t="s">
        <v>41138</v>
      </c>
    </row>
    <row r="223" spans="1:1">
      <c r="A223" t="s">
        <v>41139</v>
      </c>
    </row>
    <row r="224" spans="1:1">
      <c r="A224" t="s">
        <v>41140</v>
      </c>
    </row>
    <row r="225" spans="1:1">
      <c r="A225" t="s">
        <v>41141</v>
      </c>
    </row>
    <row r="226" spans="1:1">
      <c r="A226" t="s">
        <v>41142</v>
      </c>
    </row>
    <row r="227" spans="1:1">
      <c r="A227" t="s">
        <v>41143</v>
      </c>
    </row>
    <row r="228" spans="1:1">
      <c r="A228" t="s">
        <v>41144</v>
      </c>
    </row>
    <row r="229" spans="1:1">
      <c r="A229" t="s">
        <v>41057</v>
      </c>
    </row>
    <row r="230" spans="1:1">
      <c r="A230" t="s">
        <v>41057</v>
      </c>
    </row>
    <row r="231" spans="1:1">
      <c r="A231" t="s">
        <v>41074</v>
      </c>
    </row>
    <row r="232" spans="1:1">
      <c r="A232" t="s">
        <v>40292</v>
      </c>
    </row>
    <row r="233" spans="1:1">
      <c r="A233" t="e">
        <v>#NAME?</v>
      </c>
    </row>
    <row r="234" spans="1:1">
      <c r="A234" t="s">
        <v>41056</v>
      </c>
    </row>
    <row r="235" spans="1:1">
      <c r="A235" t="s">
        <v>41057</v>
      </c>
    </row>
    <row r="236" spans="1:1">
      <c r="A236" t="s">
        <v>41057</v>
      </c>
    </row>
    <row r="237" spans="1:1">
      <c r="A237" t="e">
        <v>#NAME?</v>
      </c>
    </row>
    <row r="238" spans="1:1">
      <c r="A238" t="s">
        <v>41129</v>
      </c>
    </row>
    <row r="239" spans="1:1">
      <c r="A239" t="s">
        <v>41145</v>
      </c>
    </row>
    <row r="240" spans="1:1">
      <c r="A240" t="s">
        <v>41057</v>
      </c>
    </row>
    <row r="241" spans="1:1">
      <c r="A241" t="s">
        <v>41146</v>
      </c>
    </row>
    <row r="242" spans="1:1">
      <c r="A242" t="s">
        <v>41147</v>
      </c>
    </row>
    <row r="243" spans="1:1">
      <c r="A243" t="s">
        <v>41057</v>
      </c>
    </row>
    <row r="244" spans="1:1">
      <c r="A244" t="s">
        <v>41057</v>
      </c>
    </row>
    <row r="245" spans="1:1">
      <c r="A245" t="s">
        <v>41057</v>
      </c>
    </row>
    <row r="246" spans="1:1">
      <c r="A246" t="s">
        <v>41057</v>
      </c>
    </row>
    <row r="247" spans="1:1">
      <c r="A247" t="e">
        <v>#NAME?</v>
      </c>
    </row>
    <row r="248" spans="1:1">
      <c r="A248" t="s">
        <v>41148</v>
      </c>
    </row>
    <row r="249" spans="1:1">
      <c r="A249" t="s">
        <v>41149</v>
      </c>
    </row>
    <row r="250" spans="1:1">
      <c r="A250" t="s">
        <v>41150</v>
      </c>
    </row>
    <row r="251" spans="1:1">
      <c r="A251" t="s">
        <v>41057</v>
      </c>
    </row>
    <row r="252" spans="1:1">
      <c r="A252" t="e">
        <v>#NAME?</v>
      </c>
    </row>
    <row r="253" spans="1:1">
      <c r="A253" t="s">
        <v>41151</v>
      </c>
    </row>
    <row r="254" spans="1:1">
      <c r="A254" t="s">
        <v>41152</v>
      </c>
    </row>
    <row r="255" spans="1:1">
      <c r="A255" t="e">
        <v>#NAME?</v>
      </c>
    </row>
    <row r="256" spans="1:1">
      <c r="A256" t="s">
        <v>41153</v>
      </c>
    </row>
    <row r="257" spans="1:1">
      <c r="A257" t="s">
        <v>41154</v>
      </c>
    </row>
    <row r="258" spans="1:1">
      <c r="A258" t="s">
        <v>41155</v>
      </c>
    </row>
    <row r="259" spans="1:1">
      <c r="A259" t="s">
        <v>41156</v>
      </c>
    </row>
    <row r="260" spans="1:1">
      <c r="A260" t="s">
        <v>41157</v>
      </c>
    </row>
    <row r="261" spans="1:1">
      <c r="A261" t="s">
        <v>41144</v>
      </c>
    </row>
    <row r="262" spans="1:1">
      <c r="A262" t="s">
        <v>41057</v>
      </c>
    </row>
    <row r="263" spans="1:1">
      <c r="A263" t="s">
        <v>41057</v>
      </c>
    </row>
    <row r="264" spans="1:1">
      <c r="A264" t="s">
        <v>41074</v>
      </c>
    </row>
    <row r="265" spans="1:1">
      <c r="A265" t="s">
        <v>40298</v>
      </c>
    </row>
    <row r="266" spans="1:1">
      <c r="A266" t="e">
        <v>#NAME?</v>
      </c>
    </row>
    <row r="267" spans="1:1">
      <c r="A267" t="s">
        <v>41056</v>
      </c>
    </row>
    <row r="268" spans="1:1">
      <c r="A268" t="s">
        <v>41057</v>
      </c>
    </row>
    <row r="269" spans="1:1">
      <c r="A269" t="s">
        <v>41057</v>
      </c>
    </row>
    <row r="270" spans="1:1">
      <c r="A270" t="e">
        <v>#NAME?</v>
      </c>
    </row>
    <row r="271" spans="1:1">
      <c r="A271" t="s">
        <v>41158</v>
      </c>
    </row>
    <row r="272" spans="1:1">
      <c r="A272" t="s">
        <v>41159</v>
      </c>
    </row>
    <row r="273" spans="1:1">
      <c r="A273" t="s">
        <v>41057</v>
      </c>
    </row>
    <row r="274" spans="1:1">
      <c r="A274" t="s">
        <v>41160</v>
      </c>
    </row>
    <row r="275" spans="1:1">
      <c r="A275" t="s">
        <v>41132</v>
      </c>
    </row>
    <row r="276" spans="1:1">
      <c r="A276" t="s">
        <v>41057</v>
      </c>
    </row>
    <row r="277" spans="1:1">
      <c r="A277" t="s">
        <v>41057</v>
      </c>
    </row>
    <row r="278" spans="1:1">
      <c r="A278" t="s">
        <v>41057</v>
      </c>
    </row>
    <row r="279" spans="1:1">
      <c r="A279" t="s">
        <v>41057</v>
      </c>
    </row>
    <row r="280" spans="1:1">
      <c r="A280" t="e">
        <v>#NAME?</v>
      </c>
    </row>
    <row r="281" spans="1:1">
      <c r="A281" t="s">
        <v>41161</v>
      </c>
    </row>
    <row r="282" spans="1:1">
      <c r="A282" t="s">
        <v>41162</v>
      </c>
    </row>
    <row r="283" spans="1:1">
      <c r="A283" t="s">
        <v>41163</v>
      </c>
    </row>
    <row r="284" spans="1:1">
      <c r="A284" t="s">
        <v>41057</v>
      </c>
    </row>
    <row r="285" spans="1:1">
      <c r="A285" t="e">
        <v>#NAME?</v>
      </c>
    </row>
    <row r="286" spans="1:1">
      <c r="A286" t="s">
        <v>41164</v>
      </c>
    </row>
    <row r="287" spans="1:1">
      <c r="A287" t="s">
        <v>41165</v>
      </c>
    </row>
    <row r="288" spans="1:1">
      <c r="A288" t="e">
        <v>#NAME?</v>
      </c>
    </row>
    <row r="289" spans="1:1">
      <c r="A289" t="s">
        <v>41166</v>
      </c>
    </row>
    <row r="290" spans="1:1">
      <c r="A290" t="s">
        <v>41167</v>
      </c>
    </row>
    <row r="291" spans="1:1">
      <c r="A291" t="s">
        <v>41168</v>
      </c>
    </row>
    <row r="292" spans="1:1">
      <c r="A292" t="s">
        <v>41169</v>
      </c>
    </row>
    <row r="293" spans="1:1">
      <c r="A293" t="s">
        <v>41143</v>
      </c>
    </row>
    <row r="294" spans="1:1">
      <c r="A294" t="s">
        <v>41144</v>
      </c>
    </row>
    <row r="295" spans="1:1">
      <c r="A295" t="s">
        <v>41057</v>
      </c>
    </row>
    <row r="296" spans="1:1">
      <c r="A296" t="s">
        <v>41057</v>
      </c>
    </row>
    <row r="297" spans="1:1">
      <c r="A297" t="s">
        <v>41074</v>
      </c>
    </row>
    <row r="298" spans="1:1">
      <c r="A298" t="s">
        <v>40304</v>
      </c>
    </row>
    <row r="299" spans="1:1">
      <c r="A299" t="s">
        <v>41057</v>
      </c>
    </row>
    <row r="300" spans="1:1">
      <c r="A300" t="s">
        <v>41057</v>
      </c>
    </row>
    <row r="301" spans="1:1">
      <c r="A301" t="s">
        <v>41057</v>
      </c>
    </row>
    <row r="302" spans="1:1">
      <c r="A302" t="s">
        <v>41057</v>
      </c>
    </row>
    <row r="303" spans="1:1">
      <c r="A303" t="s">
        <v>41057</v>
      </c>
    </row>
    <row r="304" spans="1:1">
      <c r="A304" t="s">
        <v>41057</v>
      </c>
    </row>
    <row r="305" spans="1:1">
      <c r="A305" t="s">
        <v>41170</v>
      </c>
    </row>
    <row r="306" spans="1:1">
      <c r="A306" t="s">
        <v>41057</v>
      </c>
    </row>
    <row r="307" spans="1:1">
      <c r="A307" t="s">
        <v>41171</v>
      </c>
    </row>
    <row r="308" spans="1:1">
      <c r="A308" t="s">
        <v>41172</v>
      </c>
    </row>
    <row r="309" spans="1:1">
      <c r="A309" t="s">
        <v>41057</v>
      </c>
    </row>
    <row r="310" spans="1:1">
      <c r="A310" t="s">
        <v>41057</v>
      </c>
    </row>
    <row r="311" spans="1:1">
      <c r="A311" t="s">
        <v>41057</v>
      </c>
    </row>
    <row r="312" spans="1:1">
      <c r="A312" t="s">
        <v>41057</v>
      </c>
    </row>
    <row r="313" spans="1:1">
      <c r="A313" t="e">
        <v>#NAME?</v>
      </c>
    </row>
    <row r="314" spans="1:1">
      <c r="A314" t="s">
        <v>41173</v>
      </c>
    </row>
    <row r="315" spans="1:1">
      <c r="A315" t="s">
        <v>41174</v>
      </c>
    </row>
    <row r="316" spans="1:1">
      <c r="A316" t="s">
        <v>41175</v>
      </c>
    </row>
    <row r="317" spans="1:1">
      <c r="A317" t="s">
        <v>41057</v>
      </c>
    </row>
    <row r="318" spans="1:1">
      <c r="A318" t="e">
        <v>#NAME?</v>
      </c>
    </row>
    <row r="319" spans="1:1">
      <c r="A319" t="s">
        <v>41176</v>
      </c>
    </row>
    <row r="320" spans="1:1">
      <c r="A320" t="s">
        <v>41177</v>
      </c>
    </row>
    <row r="321" spans="1:1">
      <c r="A321" t="s">
        <v>41178</v>
      </c>
    </row>
    <row r="322" spans="1:1">
      <c r="A322" t="s">
        <v>41179</v>
      </c>
    </row>
    <row r="323" spans="1:1">
      <c r="A323" t="s">
        <v>41180</v>
      </c>
    </row>
    <row r="324" spans="1:1">
      <c r="A324" t="s">
        <v>41057</v>
      </c>
    </row>
    <row r="325" spans="1:1">
      <c r="A325" t="s">
        <v>41057</v>
      </c>
    </row>
    <row r="326" spans="1:1">
      <c r="A326" t="s">
        <v>41057</v>
      </c>
    </row>
    <row r="327" spans="1:1">
      <c r="A327" t="s">
        <v>41181</v>
      </c>
    </row>
    <row r="328" spans="1:1">
      <c r="A328" t="s">
        <v>41057</v>
      </c>
    </row>
    <row r="329" spans="1:1">
      <c r="A329" t="s">
        <v>41057</v>
      </c>
    </row>
    <row r="330" spans="1:1">
      <c r="A330" t="s">
        <v>41074</v>
      </c>
    </row>
    <row r="331" spans="1:1">
      <c r="A331" t="s">
        <v>40309</v>
      </c>
    </row>
    <row r="332" spans="1:1">
      <c r="A332" t="e">
        <v>#NAME?</v>
      </c>
    </row>
    <row r="333" spans="1:1">
      <c r="A333" t="s">
        <v>41182</v>
      </c>
    </row>
    <row r="334" spans="1:1">
      <c r="A334" t="s">
        <v>41057</v>
      </c>
    </row>
    <row r="335" spans="1:1">
      <c r="A335" t="s">
        <v>41057</v>
      </c>
    </row>
    <row r="336" spans="1:1">
      <c r="A336" t="s">
        <v>41057</v>
      </c>
    </row>
    <row r="337" spans="1:1">
      <c r="A337" t="s">
        <v>41057</v>
      </c>
    </row>
    <row r="338" spans="1:1">
      <c r="A338" t="s">
        <v>41183</v>
      </c>
    </row>
    <row r="339" spans="1:1">
      <c r="A339" t="s">
        <v>41184</v>
      </c>
    </row>
    <row r="340" spans="1:1">
      <c r="A340" t="s">
        <v>41185</v>
      </c>
    </row>
    <row r="341" spans="1:1">
      <c r="A341" t="s">
        <v>41186</v>
      </c>
    </row>
    <row r="342" spans="1:1">
      <c r="A342" t="s">
        <v>41057</v>
      </c>
    </row>
    <row r="343" spans="1:1">
      <c r="A343" t="s">
        <v>41057</v>
      </c>
    </row>
    <row r="344" spans="1:1">
      <c r="A344" t="s">
        <v>41057</v>
      </c>
    </row>
    <row r="345" spans="1:1">
      <c r="A345" t="s">
        <v>41057</v>
      </c>
    </row>
    <row r="346" spans="1:1">
      <c r="A346" t="e">
        <v>#NAME?</v>
      </c>
    </row>
    <row r="347" spans="1:1">
      <c r="A347" t="s">
        <v>41187</v>
      </c>
    </row>
    <row r="348" spans="1:1">
      <c r="A348" t="s">
        <v>41188</v>
      </c>
    </row>
    <row r="349" spans="1:1">
      <c r="A349" t="s">
        <v>41189</v>
      </c>
    </row>
    <row r="350" spans="1:1">
      <c r="A350" t="s">
        <v>41190</v>
      </c>
    </row>
    <row r="351" spans="1:1">
      <c r="A351" t="e">
        <v>#NAME?</v>
      </c>
    </row>
    <row r="352" spans="1:1">
      <c r="A352" t="s">
        <v>41191</v>
      </c>
    </row>
    <row r="353" spans="1:1">
      <c r="A353" t="s">
        <v>41192</v>
      </c>
    </row>
    <row r="354" spans="1:1">
      <c r="A354" t="s">
        <v>41193</v>
      </c>
    </row>
    <row r="355" spans="1:1">
      <c r="A355" t="e">
        <v>#NAME?</v>
      </c>
    </row>
    <row r="356" spans="1:1">
      <c r="A356" t="s">
        <v>41194</v>
      </c>
    </row>
    <row r="357" spans="1:1">
      <c r="A357" t="s">
        <v>41195</v>
      </c>
    </row>
    <row r="358" spans="1:1">
      <c r="A358" t="s">
        <v>41196</v>
      </c>
    </row>
    <row r="359" spans="1:1">
      <c r="A359" t="s">
        <v>41197</v>
      </c>
    </row>
    <row r="360" spans="1:1">
      <c r="A360" t="s">
        <v>41198</v>
      </c>
    </row>
    <row r="361" spans="1:1">
      <c r="A361" t="s">
        <v>41199</v>
      </c>
    </row>
    <row r="362" spans="1:1">
      <c r="A362" t="s">
        <v>41057</v>
      </c>
    </row>
    <row r="363" spans="1:1">
      <c r="A363" t="s">
        <v>41074</v>
      </c>
    </row>
    <row r="364" spans="1:1">
      <c r="A364" t="s">
        <v>40318</v>
      </c>
    </row>
    <row r="365" spans="1:1">
      <c r="A365" t="s">
        <v>41200</v>
      </c>
    </row>
    <row r="366" spans="1:1">
      <c r="A366" t="s">
        <v>41057</v>
      </c>
    </row>
    <row r="367" spans="1:1">
      <c r="A367" t="s">
        <v>41057</v>
      </c>
    </row>
    <row r="368" spans="1:1">
      <c r="A368" t="s">
        <v>41201</v>
      </c>
    </row>
    <row r="369" spans="1:1">
      <c r="A369" t="s">
        <v>41057</v>
      </c>
    </row>
    <row r="370" spans="1:1">
      <c r="A370" t="e">
        <v>#NAME?</v>
      </c>
    </row>
    <row r="371" spans="1:1">
      <c r="A371" t="s">
        <v>41202</v>
      </c>
    </row>
    <row r="372" spans="1:1">
      <c r="A372" t="s">
        <v>41057</v>
      </c>
    </row>
    <row r="373" spans="1:1">
      <c r="A373" t="s">
        <v>41203</v>
      </c>
    </row>
    <row r="374" spans="1:1">
      <c r="A374" t="s">
        <v>41204</v>
      </c>
    </row>
    <row r="375" spans="1:1">
      <c r="A375" t="s">
        <v>41057</v>
      </c>
    </row>
    <row r="376" spans="1:1">
      <c r="A376" t="s">
        <v>41057</v>
      </c>
    </row>
    <row r="377" spans="1:1">
      <c r="A377" t="s">
        <v>41057</v>
      </c>
    </row>
    <row r="378" spans="1:1">
      <c r="A378" t="s">
        <v>41057</v>
      </c>
    </row>
    <row r="379" spans="1:1">
      <c r="A379" t="e">
        <v>#NAME?</v>
      </c>
    </row>
    <row r="380" spans="1:1">
      <c r="A380" t="s">
        <v>41205</v>
      </c>
    </row>
    <row r="381" spans="1:1">
      <c r="A381" t="s">
        <v>41206</v>
      </c>
    </row>
    <row r="382" spans="1:1">
      <c r="A382" t="s">
        <v>41207</v>
      </c>
    </row>
    <row r="383" spans="1:1">
      <c r="A383" t="s">
        <v>41208</v>
      </c>
    </row>
    <row r="384" spans="1:1">
      <c r="A384" t="s">
        <v>41209</v>
      </c>
    </row>
    <row r="385" spans="1:1">
      <c r="A385" t="s">
        <v>41210</v>
      </c>
    </row>
    <row r="386" spans="1:1">
      <c r="A386" t="s">
        <v>41211</v>
      </c>
    </row>
    <row r="387" spans="1:1">
      <c r="A387" t="s">
        <v>41212</v>
      </c>
    </row>
    <row r="388" spans="1:1">
      <c r="A388" t="s">
        <v>41213</v>
      </c>
    </row>
    <row r="389" spans="1:1">
      <c r="A389" t="s">
        <v>41214</v>
      </c>
    </row>
    <row r="390" spans="1:1">
      <c r="A390" t="s">
        <v>41215</v>
      </c>
    </row>
    <row r="391" spans="1:1">
      <c r="A391" t="s">
        <v>41216</v>
      </c>
    </row>
    <row r="392" spans="1:1">
      <c r="A392" t="s">
        <v>41217</v>
      </c>
    </row>
    <row r="393" spans="1:1">
      <c r="A393" t="s">
        <v>41218</v>
      </c>
    </row>
    <row r="394" spans="1:1">
      <c r="A394" t="s">
        <v>41057</v>
      </c>
    </row>
    <row r="395" spans="1:1">
      <c r="A395" t="s">
        <v>41057</v>
      </c>
    </row>
    <row r="396" spans="1:1">
      <c r="A396" t="s">
        <v>41074</v>
      </c>
    </row>
    <row r="397" spans="1:1">
      <c r="A397" t="s">
        <v>40324</v>
      </c>
    </row>
    <row r="398" spans="1:1">
      <c r="A398" t="s">
        <v>41057</v>
      </c>
    </row>
    <row r="399" spans="1:1">
      <c r="A399" t="s">
        <v>41057</v>
      </c>
    </row>
    <row r="400" spans="1:1">
      <c r="A400" t="s">
        <v>41057</v>
      </c>
    </row>
    <row r="401" spans="1:1">
      <c r="A401" t="s">
        <v>41219</v>
      </c>
    </row>
    <row r="402" spans="1:1">
      <c r="A402" t="s">
        <v>41057</v>
      </c>
    </row>
    <row r="403" spans="1:1">
      <c r="A403" t="e">
        <v>#NAME?</v>
      </c>
    </row>
    <row r="404" spans="1:1">
      <c r="A404" t="s">
        <v>41220</v>
      </c>
    </row>
    <row r="405" spans="1:1">
      <c r="A405" t="s">
        <v>41057</v>
      </c>
    </row>
    <row r="406" spans="1:1">
      <c r="A406" t="s">
        <v>41221</v>
      </c>
    </row>
    <row r="407" spans="1:1">
      <c r="A407" t="s">
        <v>41222</v>
      </c>
    </row>
    <row r="408" spans="1:1">
      <c r="A408" t="s">
        <v>41057</v>
      </c>
    </row>
    <row r="409" spans="1:1">
      <c r="A409" t="s">
        <v>41057</v>
      </c>
    </row>
    <row r="410" spans="1:1">
      <c r="A410" t="s">
        <v>41057</v>
      </c>
    </row>
    <row r="411" spans="1:1">
      <c r="A411" t="s">
        <v>41057</v>
      </c>
    </row>
    <row r="412" spans="1:1">
      <c r="A412" t="e">
        <v>#NAME?</v>
      </c>
    </row>
    <row r="413" spans="1:1">
      <c r="A413" t="s">
        <v>41223</v>
      </c>
    </row>
    <row r="414" spans="1:1">
      <c r="A414" t="s">
        <v>41224</v>
      </c>
    </row>
    <row r="415" spans="1:1">
      <c r="A415" t="s">
        <v>41225</v>
      </c>
    </row>
    <row r="416" spans="1:1">
      <c r="A416" t="s">
        <v>41226</v>
      </c>
    </row>
    <row r="417" spans="1:1">
      <c r="A417" t="s">
        <v>41227</v>
      </c>
    </row>
    <row r="418" spans="1:1">
      <c r="A418" t="s">
        <v>41228</v>
      </c>
    </row>
    <row r="419" spans="1:1">
      <c r="A419" t="s">
        <v>41229</v>
      </c>
    </row>
    <row r="420" spans="1:1">
      <c r="A420" t="s">
        <v>41230</v>
      </c>
    </row>
    <row r="421" spans="1:1">
      <c r="A421" t="s">
        <v>41231</v>
      </c>
    </row>
    <row r="422" spans="1:1">
      <c r="A422" t="s">
        <v>41232</v>
      </c>
    </row>
    <row r="423" spans="1:1">
      <c r="A423" t="s">
        <v>41233</v>
      </c>
    </row>
    <row r="424" spans="1:1">
      <c r="A424" t="s">
        <v>41234</v>
      </c>
    </row>
    <row r="425" spans="1:1">
      <c r="A425" t="s">
        <v>41235</v>
      </c>
    </row>
    <row r="426" spans="1:1">
      <c r="A426" t="s">
        <v>41057</v>
      </c>
    </row>
    <row r="427" spans="1:1">
      <c r="A427" t="s">
        <v>41236</v>
      </c>
    </row>
    <row r="428" spans="1:1">
      <c r="A428" t="s">
        <v>41057</v>
      </c>
    </row>
    <row r="429" spans="1:1">
      <c r="A429" t="s">
        <v>41074</v>
      </c>
    </row>
    <row r="430" spans="1:1">
      <c r="A430" t="s">
        <v>40330</v>
      </c>
    </row>
    <row r="431" spans="1:1">
      <c r="A431" t="s">
        <v>41200</v>
      </c>
    </row>
    <row r="432" spans="1:1">
      <c r="A432" t="s">
        <v>41057</v>
      </c>
    </row>
    <row r="433" spans="1:1">
      <c r="A433" t="s">
        <v>41057</v>
      </c>
    </row>
    <row r="434" spans="1:1">
      <c r="A434" t="s">
        <v>41057</v>
      </c>
    </row>
    <row r="435" spans="1:1">
      <c r="A435" t="s">
        <v>41057</v>
      </c>
    </row>
    <row r="436" spans="1:1">
      <c r="A436" t="e">
        <v>#NAME?</v>
      </c>
    </row>
    <row r="437" spans="1:1">
      <c r="A437" t="s">
        <v>41237</v>
      </c>
    </row>
    <row r="438" spans="1:1">
      <c r="A438" t="s">
        <v>41057</v>
      </c>
    </row>
    <row r="439" spans="1:1">
      <c r="A439" t="s">
        <v>41238</v>
      </c>
    </row>
    <row r="440" spans="1:1">
      <c r="A440" t="s">
        <v>41239</v>
      </c>
    </row>
    <row r="441" spans="1:1">
      <c r="A441" t="s">
        <v>41057</v>
      </c>
    </row>
    <row r="442" spans="1:1">
      <c r="A442" t="s">
        <v>41057</v>
      </c>
    </row>
    <row r="443" spans="1:1">
      <c r="A443" t="s">
        <v>41057</v>
      </c>
    </row>
    <row r="444" spans="1:1">
      <c r="A444" t="s">
        <v>41057</v>
      </c>
    </row>
    <row r="445" spans="1:1">
      <c r="A445" t="e">
        <v>#NAME?</v>
      </c>
    </row>
    <row r="446" spans="1:1">
      <c r="A446" t="s">
        <v>41240</v>
      </c>
    </row>
    <row r="447" spans="1:1">
      <c r="A447" t="s">
        <v>41241</v>
      </c>
    </row>
    <row r="448" spans="1:1">
      <c r="A448" t="s">
        <v>41242</v>
      </c>
    </row>
    <row r="449" spans="1:1">
      <c r="A449" t="s">
        <v>41243</v>
      </c>
    </row>
    <row r="450" spans="1:1">
      <c r="A450" t="s">
        <v>41244</v>
      </c>
    </row>
    <row r="451" spans="1:1">
      <c r="A451" t="s">
        <v>41245</v>
      </c>
    </row>
    <row r="452" spans="1:1">
      <c r="A452" t="s">
        <v>41246</v>
      </c>
    </row>
    <row r="453" spans="1:1">
      <c r="A453" t="s">
        <v>41247</v>
      </c>
    </row>
    <row r="454" spans="1:1">
      <c r="A454" t="s">
        <v>41248</v>
      </c>
    </row>
    <row r="455" spans="1:1">
      <c r="A455" t="s">
        <v>41249</v>
      </c>
    </row>
    <row r="456" spans="1:1">
      <c r="A456" t="s">
        <v>41250</v>
      </c>
    </row>
    <row r="457" spans="1:1">
      <c r="A457" t="s">
        <v>41251</v>
      </c>
    </row>
    <row r="458" spans="1:1">
      <c r="A458" t="s">
        <v>41252</v>
      </c>
    </row>
    <row r="459" spans="1:1">
      <c r="A459" t="s">
        <v>41057</v>
      </c>
    </row>
    <row r="460" spans="1:1">
      <c r="A460" t="s">
        <v>41057</v>
      </c>
    </row>
    <row r="461" spans="1:1">
      <c r="A461" t="s">
        <v>41057</v>
      </c>
    </row>
    <row r="462" spans="1:1">
      <c r="A462" t="s">
        <v>41074</v>
      </c>
    </row>
    <row r="463" spans="1:1">
      <c r="A463" t="s">
        <v>40336</v>
      </c>
    </row>
    <row r="464" spans="1:1">
      <c r="A464" t="s">
        <v>41200</v>
      </c>
    </row>
    <row r="465" spans="1:1">
      <c r="A465" t="s">
        <v>41057</v>
      </c>
    </row>
    <row r="466" spans="1:1">
      <c r="A466" t="s">
        <v>41057</v>
      </c>
    </row>
    <row r="467" spans="1:1">
      <c r="A467" t="s">
        <v>41057</v>
      </c>
    </row>
    <row r="468" spans="1:1">
      <c r="A468" t="s">
        <v>41057</v>
      </c>
    </row>
    <row r="469" spans="1:1">
      <c r="A469" t="e">
        <v>#NAME?</v>
      </c>
    </row>
    <row r="470" spans="1:1">
      <c r="A470" t="s">
        <v>41253</v>
      </c>
    </row>
    <row r="471" spans="1:1">
      <c r="A471" t="s">
        <v>41057</v>
      </c>
    </row>
    <row r="472" spans="1:1">
      <c r="A472" t="s">
        <v>41254</v>
      </c>
    </row>
    <row r="473" spans="1:1">
      <c r="A473" t="s">
        <v>41239</v>
      </c>
    </row>
    <row r="474" spans="1:1">
      <c r="A474" t="s">
        <v>41057</v>
      </c>
    </row>
    <row r="475" spans="1:1">
      <c r="A475" t="s">
        <v>41057</v>
      </c>
    </row>
    <row r="476" spans="1:1">
      <c r="A476" t="s">
        <v>41057</v>
      </c>
    </row>
    <row r="477" spans="1:1">
      <c r="A477" t="s">
        <v>41057</v>
      </c>
    </row>
    <row r="478" spans="1:1">
      <c r="A478" t="e">
        <v>#NAME?</v>
      </c>
    </row>
    <row r="479" spans="1:1">
      <c r="A479" t="s">
        <v>41240</v>
      </c>
    </row>
    <row r="480" spans="1:1">
      <c r="A480" t="s">
        <v>41241</v>
      </c>
    </row>
    <row r="481" spans="1:1">
      <c r="A481" t="s">
        <v>41255</v>
      </c>
    </row>
    <row r="482" spans="1:1">
      <c r="A482" t="s">
        <v>41243</v>
      </c>
    </row>
    <row r="483" spans="1:1">
      <c r="A483" t="s">
        <v>41256</v>
      </c>
    </row>
    <row r="484" spans="1:1">
      <c r="A484" t="s">
        <v>41257</v>
      </c>
    </row>
    <row r="485" spans="1:1">
      <c r="A485" t="s">
        <v>41258</v>
      </c>
    </row>
    <row r="486" spans="1:1">
      <c r="A486" t="s">
        <v>41259</v>
      </c>
    </row>
    <row r="487" spans="1:1">
      <c r="A487" t="s">
        <v>41248</v>
      </c>
    </row>
    <row r="488" spans="1:1">
      <c r="A488" t="s">
        <v>41260</v>
      </c>
    </row>
    <row r="489" spans="1:1">
      <c r="A489" t="s">
        <v>41261</v>
      </c>
    </row>
    <row r="490" spans="1:1">
      <c r="A490" t="s">
        <v>41262</v>
      </c>
    </row>
    <row r="491" spans="1:1">
      <c r="A491" t="s">
        <v>41263</v>
      </c>
    </row>
    <row r="492" spans="1:1">
      <c r="A492" t="s">
        <v>41057</v>
      </c>
    </row>
    <row r="493" spans="1:1">
      <c r="A493" t="s">
        <v>41057</v>
      </c>
    </row>
    <row r="494" spans="1:1">
      <c r="A494" t="s">
        <v>41057</v>
      </c>
    </row>
    <row r="495" spans="1:1">
      <c r="A495" t="s">
        <v>41074</v>
      </c>
    </row>
    <row r="496" spans="1:1">
      <c r="A496" t="s">
        <v>40342</v>
      </c>
    </row>
    <row r="497" spans="1:1">
      <c r="A497" t="s">
        <v>41200</v>
      </c>
    </row>
    <row r="498" spans="1:1">
      <c r="A498" t="s">
        <v>41057</v>
      </c>
    </row>
    <row r="499" spans="1:1">
      <c r="A499" t="s">
        <v>41057</v>
      </c>
    </row>
    <row r="500" spans="1:1">
      <c r="A500" t="s">
        <v>41057</v>
      </c>
    </row>
    <row r="501" spans="1:1">
      <c r="A501" t="s">
        <v>41057</v>
      </c>
    </row>
    <row r="502" spans="1:1">
      <c r="A502" t="e">
        <v>#NAME?</v>
      </c>
    </row>
    <row r="503" spans="1:1">
      <c r="A503" t="s">
        <v>41264</v>
      </c>
    </row>
    <row r="504" spans="1:1">
      <c r="A504" t="s">
        <v>41057</v>
      </c>
    </row>
    <row r="505" spans="1:1">
      <c r="A505" t="s">
        <v>41265</v>
      </c>
    </row>
    <row r="506" spans="1:1">
      <c r="A506" t="s">
        <v>41239</v>
      </c>
    </row>
    <row r="507" spans="1:1">
      <c r="A507" t="s">
        <v>41057</v>
      </c>
    </row>
    <row r="508" spans="1:1">
      <c r="A508" t="s">
        <v>41057</v>
      </c>
    </row>
    <row r="509" spans="1:1">
      <c r="A509" t="s">
        <v>41057</v>
      </c>
    </row>
    <row r="510" spans="1:1">
      <c r="A510" t="s">
        <v>41057</v>
      </c>
    </row>
    <row r="511" spans="1:1">
      <c r="A511" t="e">
        <v>#NAME?</v>
      </c>
    </row>
    <row r="512" spans="1:1">
      <c r="A512" t="s">
        <v>41266</v>
      </c>
    </row>
    <row r="513" spans="1:1">
      <c r="A513" t="s">
        <v>41241</v>
      </c>
    </row>
    <row r="514" spans="1:1">
      <c r="A514" t="s">
        <v>41267</v>
      </c>
    </row>
    <row r="515" spans="1:1">
      <c r="A515" t="s">
        <v>41268</v>
      </c>
    </row>
    <row r="516" spans="1:1">
      <c r="A516" t="s">
        <v>41269</v>
      </c>
    </row>
    <row r="517" spans="1:1">
      <c r="A517" t="s">
        <v>41270</v>
      </c>
    </row>
    <row r="518" spans="1:1">
      <c r="A518" t="s">
        <v>41271</v>
      </c>
    </row>
    <row r="519" spans="1:1">
      <c r="A519" t="s">
        <v>41272</v>
      </c>
    </row>
    <row r="520" spans="1:1">
      <c r="A520" t="s">
        <v>41273</v>
      </c>
    </row>
    <row r="521" spans="1:1">
      <c r="A521" t="s">
        <v>41274</v>
      </c>
    </row>
    <row r="522" spans="1:1">
      <c r="A522" t="s">
        <v>41275</v>
      </c>
    </row>
    <row r="523" spans="1:1">
      <c r="A523" t="s">
        <v>41276</v>
      </c>
    </row>
    <row r="524" spans="1:1">
      <c r="A524" t="s">
        <v>41277</v>
      </c>
    </row>
    <row r="525" spans="1:1">
      <c r="A525" t="s">
        <v>41057</v>
      </c>
    </row>
    <row r="526" spans="1:1">
      <c r="A526" t="s">
        <v>41057</v>
      </c>
    </row>
    <row r="527" spans="1:1">
      <c r="A527" t="s">
        <v>41057</v>
      </c>
    </row>
    <row r="528" spans="1:1">
      <c r="A528" t="s">
        <v>41074</v>
      </c>
    </row>
    <row r="529" spans="1:1">
      <c r="A529" t="s">
        <v>40348</v>
      </c>
    </row>
    <row r="530" spans="1:1">
      <c r="A530" t="s">
        <v>41200</v>
      </c>
    </row>
    <row r="531" spans="1:1">
      <c r="A531" t="s">
        <v>41057</v>
      </c>
    </row>
    <row r="532" spans="1:1">
      <c r="A532" t="s">
        <v>41057</v>
      </c>
    </row>
    <row r="533" spans="1:1">
      <c r="A533" t="s">
        <v>41057</v>
      </c>
    </row>
    <row r="534" spans="1:1">
      <c r="A534" t="s">
        <v>41057</v>
      </c>
    </row>
    <row r="535" spans="1:1">
      <c r="A535" t="e">
        <v>#NAME?</v>
      </c>
    </row>
    <row r="536" spans="1:1">
      <c r="A536" t="s">
        <v>41278</v>
      </c>
    </row>
    <row r="537" spans="1:1">
      <c r="A537" t="s">
        <v>41057</v>
      </c>
    </row>
    <row r="538" spans="1:1">
      <c r="A538" t="s">
        <v>41238</v>
      </c>
    </row>
    <row r="539" spans="1:1">
      <c r="A539" t="s">
        <v>41239</v>
      </c>
    </row>
    <row r="540" spans="1:1">
      <c r="A540" t="s">
        <v>41057</v>
      </c>
    </row>
    <row r="541" spans="1:1">
      <c r="A541" t="s">
        <v>41057</v>
      </c>
    </row>
    <row r="542" spans="1:1">
      <c r="A542" t="s">
        <v>41057</v>
      </c>
    </row>
    <row r="543" spans="1:1">
      <c r="A543" t="s">
        <v>41057</v>
      </c>
    </row>
    <row r="544" spans="1:1">
      <c r="A544" t="e">
        <v>#NAME?</v>
      </c>
    </row>
    <row r="545" spans="1:1">
      <c r="A545" t="s">
        <v>41279</v>
      </c>
    </row>
    <row r="546" spans="1:1">
      <c r="A546" t="s">
        <v>41280</v>
      </c>
    </row>
    <row r="547" spans="1:1">
      <c r="A547" t="s">
        <v>41281</v>
      </c>
    </row>
    <row r="548" spans="1:1">
      <c r="A548" t="s">
        <v>41282</v>
      </c>
    </row>
    <row r="549" spans="1:1">
      <c r="A549" t="s">
        <v>41283</v>
      </c>
    </row>
    <row r="550" spans="1:1">
      <c r="A550" t="s">
        <v>41284</v>
      </c>
    </row>
    <row r="551" spans="1:1">
      <c r="A551" t="s">
        <v>41285</v>
      </c>
    </row>
    <row r="552" spans="1:1">
      <c r="A552" t="s">
        <v>41286</v>
      </c>
    </row>
    <row r="553" spans="1:1">
      <c r="A553" t="s">
        <v>41287</v>
      </c>
    </row>
    <row r="554" spans="1:1">
      <c r="A554" t="s">
        <v>41288</v>
      </c>
    </row>
    <row r="555" spans="1:1">
      <c r="A555" t="s">
        <v>41289</v>
      </c>
    </row>
    <row r="556" spans="1:1">
      <c r="A556" t="s">
        <v>41290</v>
      </c>
    </row>
    <row r="557" spans="1:1">
      <c r="A557" t="s">
        <v>41291</v>
      </c>
    </row>
    <row r="558" spans="1:1">
      <c r="A558" t="s">
        <v>41057</v>
      </c>
    </row>
    <row r="559" spans="1:1">
      <c r="A559" t="s">
        <v>41057</v>
      </c>
    </row>
    <row r="560" spans="1:1">
      <c r="A560" t="s">
        <v>41057</v>
      </c>
    </row>
    <row r="561" spans="1:1">
      <c r="A561" t="s">
        <v>41074</v>
      </c>
    </row>
    <row r="562" spans="1:1">
      <c r="A562" t="s">
        <v>40354</v>
      </c>
    </row>
    <row r="563" spans="1:1">
      <c r="A563" t="s">
        <v>41057</v>
      </c>
    </row>
    <row r="564" spans="1:1">
      <c r="A564" t="s">
        <v>41057</v>
      </c>
    </row>
    <row r="565" spans="1:1">
      <c r="A565" t="s">
        <v>41057</v>
      </c>
    </row>
    <row r="566" spans="1:1">
      <c r="A566" t="s">
        <v>41057</v>
      </c>
    </row>
    <row r="567" spans="1:1">
      <c r="A567" t="s">
        <v>41057</v>
      </c>
    </row>
    <row r="568" spans="1:1">
      <c r="A568" t="s">
        <v>41057</v>
      </c>
    </row>
    <row r="569" spans="1:1">
      <c r="A569" t="s">
        <v>41057</v>
      </c>
    </row>
    <row r="570" spans="1:1">
      <c r="A570" t="s">
        <v>41057</v>
      </c>
    </row>
    <row r="571" spans="1:1">
      <c r="A571" t="s">
        <v>41292</v>
      </c>
    </row>
    <row r="572" spans="1:1">
      <c r="A572" t="s">
        <v>41293</v>
      </c>
    </row>
    <row r="573" spans="1:1">
      <c r="A573" t="s">
        <v>41057</v>
      </c>
    </row>
    <row r="574" spans="1:1">
      <c r="A574" t="s">
        <v>41057</v>
      </c>
    </row>
    <row r="575" spans="1:1">
      <c r="A575" t="s">
        <v>41057</v>
      </c>
    </row>
    <row r="576" spans="1:1">
      <c r="A576" t="s">
        <v>41057</v>
      </c>
    </row>
    <row r="577" spans="1:1">
      <c r="A577" t="e">
        <v>#NAME?</v>
      </c>
    </row>
    <row r="578" spans="1:1">
      <c r="A578" t="s">
        <v>41294</v>
      </c>
    </row>
    <row r="579" spans="1:1">
      <c r="A579" t="s">
        <v>41295</v>
      </c>
    </row>
    <row r="580" spans="1:1">
      <c r="A580" t="s">
        <v>41296</v>
      </c>
    </row>
    <row r="581" spans="1:1">
      <c r="A581" t="s">
        <v>41297</v>
      </c>
    </row>
    <row r="582" spans="1:1">
      <c r="A582" t="s">
        <v>41298</v>
      </c>
    </row>
    <row r="583" spans="1:1">
      <c r="A583" t="s">
        <v>41299</v>
      </c>
    </row>
    <row r="584" spans="1:1">
      <c r="A584" t="s">
        <v>41300</v>
      </c>
    </row>
    <row r="585" spans="1:1">
      <c r="A585" t="s">
        <v>41301</v>
      </c>
    </row>
    <row r="586" spans="1:1">
      <c r="A586" t="s">
        <v>41302</v>
      </c>
    </row>
    <row r="587" spans="1:1">
      <c r="A587" t="s">
        <v>41303</v>
      </c>
    </row>
    <row r="588" spans="1:1">
      <c r="A588" t="s">
        <v>41304</v>
      </c>
    </row>
    <row r="589" spans="1:1">
      <c r="A589" t="s">
        <v>41305</v>
      </c>
    </row>
    <row r="590" spans="1:1">
      <c r="A590" t="s">
        <v>41306</v>
      </c>
    </row>
    <row r="591" spans="1:1">
      <c r="A591" t="s">
        <v>41057</v>
      </c>
    </row>
    <row r="592" spans="1:1">
      <c r="A592" t="s">
        <v>41057</v>
      </c>
    </row>
    <row r="593" spans="1:1">
      <c r="A593" t="s">
        <v>41057</v>
      </c>
    </row>
    <row r="594" spans="1:1">
      <c r="A594" t="s">
        <v>41074</v>
      </c>
    </row>
    <row r="595" spans="1:1">
      <c r="A595" t="s">
        <v>40360</v>
      </c>
    </row>
    <row r="596" spans="1:1">
      <c r="A596" t="s">
        <v>41057</v>
      </c>
    </row>
    <row r="597" spans="1:1">
      <c r="A597" t="s">
        <v>41057</v>
      </c>
    </row>
    <row r="598" spans="1:1">
      <c r="A598" t="s">
        <v>41057</v>
      </c>
    </row>
    <row r="599" spans="1:1">
      <c r="A599" t="s">
        <v>41307</v>
      </c>
    </row>
    <row r="600" spans="1:1">
      <c r="A600" t="s">
        <v>41057</v>
      </c>
    </row>
    <row r="601" spans="1:1">
      <c r="A601" t="e">
        <v>#NAME?</v>
      </c>
    </row>
    <row r="602" spans="1:1">
      <c r="A602" t="s">
        <v>41308</v>
      </c>
    </row>
    <row r="603" spans="1:1">
      <c r="A603" t="s">
        <v>41057</v>
      </c>
    </row>
    <row r="604" spans="1:1">
      <c r="A604" t="s">
        <v>41309</v>
      </c>
    </row>
    <row r="605" spans="1:1">
      <c r="A605" t="s">
        <v>41293</v>
      </c>
    </row>
    <row r="606" spans="1:1">
      <c r="A606" t="s">
        <v>41057</v>
      </c>
    </row>
    <row r="607" spans="1:1">
      <c r="A607" t="s">
        <v>41057</v>
      </c>
    </row>
    <row r="608" spans="1:1">
      <c r="A608" t="s">
        <v>41057</v>
      </c>
    </row>
    <row r="609" spans="1:1">
      <c r="A609" t="s">
        <v>41057</v>
      </c>
    </row>
    <row r="610" spans="1:1">
      <c r="A610" t="e">
        <v>#NAME?</v>
      </c>
    </row>
    <row r="611" spans="1:1">
      <c r="A611" t="s">
        <v>41310</v>
      </c>
    </row>
    <row r="612" spans="1:1">
      <c r="A612" t="s">
        <v>41311</v>
      </c>
    </row>
    <row r="613" spans="1:1">
      <c r="A613" t="s">
        <v>41312</v>
      </c>
    </row>
    <row r="614" spans="1:1">
      <c r="A614" t="s">
        <v>41313</v>
      </c>
    </row>
    <row r="615" spans="1:1">
      <c r="A615" t="s">
        <v>41314</v>
      </c>
    </row>
    <row r="616" spans="1:1">
      <c r="A616" t="s">
        <v>41315</v>
      </c>
    </row>
    <row r="617" spans="1:1">
      <c r="A617" t="s">
        <v>41316</v>
      </c>
    </row>
    <row r="618" spans="1:1">
      <c r="A618" t="s">
        <v>41317</v>
      </c>
    </row>
    <row r="619" spans="1:1">
      <c r="A619" t="s">
        <v>41318</v>
      </c>
    </row>
    <row r="620" spans="1:1">
      <c r="A620" t="s">
        <v>41319</v>
      </c>
    </row>
    <row r="621" spans="1:1">
      <c r="A621" t="s">
        <v>41320</v>
      </c>
    </row>
    <row r="622" spans="1:1">
      <c r="A622" t="s">
        <v>41321</v>
      </c>
    </row>
    <row r="623" spans="1:1">
      <c r="A623" t="s">
        <v>41322</v>
      </c>
    </row>
    <row r="624" spans="1:1">
      <c r="A624" t="s">
        <v>41057</v>
      </c>
    </row>
    <row r="625" spans="1:1">
      <c r="A625" t="s">
        <v>41057</v>
      </c>
    </row>
    <row r="626" spans="1:1">
      <c r="A626" t="s">
        <v>41057</v>
      </c>
    </row>
    <row r="627" spans="1:1">
      <c r="A627" t="s">
        <v>41074</v>
      </c>
    </row>
    <row r="628" spans="1:1">
      <c r="A628" t="s">
        <v>40366</v>
      </c>
    </row>
    <row r="629" spans="1:1">
      <c r="A629" t="s">
        <v>41323</v>
      </c>
    </row>
    <row r="630" spans="1:1">
      <c r="A630" t="s">
        <v>41057</v>
      </c>
    </row>
    <row r="631" spans="1:1">
      <c r="A631" t="s">
        <v>41057</v>
      </c>
    </row>
    <row r="632" spans="1:1">
      <c r="A632" t="s">
        <v>41324</v>
      </c>
    </row>
    <row r="633" spans="1:1">
      <c r="A633" t="s">
        <v>41057</v>
      </c>
    </row>
    <row r="634" spans="1:1">
      <c r="A634" t="e">
        <v>#NAME?</v>
      </c>
    </row>
    <row r="635" spans="1:1">
      <c r="A635" t="s">
        <v>41325</v>
      </c>
    </row>
    <row r="636" spans="1:1">
      <c r="A636" t="s">
        <v>41057</v>
      </c>
    </row>
    <row r="637" spans="1:1">
      <c r="A637" t="s">
        <v>41309</v>
      </c>
    </row>
    <row r="638" spans="1:1">
      <c r="A638" t="s">
        <v>41239</v>
      </c>
    </row>
    <row r="639" spans="1:1">
      <c r="A639" t="s">
        <v>41057</v>
      </c>
    </row>
    <row r="640" spans="1:1">
      <c r="A640" t="s">
        <v>41057</v>
      </c>
    </row>
    <row r="641" spans="1:1">
      <c r="A641" t="s">
        <v>41057</v>
      </c>
    </row>
    <row r="642" spans="1:1">
      <c r="A642" t="s">
        <v>41057</v>
      </c>
    </row>
    <row r="643" spans="1:1">
      <c r="A643" t="e">
        <v>#NAME?</v>
      </c>
    </row>
    <row r="644" spans="1:1">
      <c r="A644" t="s">
        <v>41326</v>
      </c>
    </row>
    <row r="645" spans="1:1">
      <c r="A645" t="s">
        <v>41327</v>
      </c>
    </row>
    <row r="646" spans="1:1">
      <c r="A646" t="s">
        <v>41328</v>
      </c>
    </row>
    <row r="647" spans="1:1">
      <c r="A647" t="s">
        <v>41329</v>
      </c>
    </row>
    <row r="648" spans="1:1">
      <c r="A648" t="s">
        <v>41330</v>
      </c>
    </row>
    <row r="649" spans="1:1">
      <c r="A649" t="s">
        <v>41331</v>
      </c>
    </row>
    <row r="650" spans="1:1">
      <c r="A650" t="s">
        <v>41332</v>
      </c>
    </row>
    <row r="651" spans="1:1">
      <c r="A651" t="s">
        <v>41333</v>
      </c>
    </row>
    <row r="652" spans="1:1">
      <c r="A652" t="s">
        <v>41334</v>
      </c>
    </row>
    <row r="653" spans="1:1">
      <c r="A653" t="s">
        <v>41335</v>
      </c>
    </row>
    <row r="654" spans="1:1">
      <c r="A654" t="s">
        <v>41336</v>
      </c>
    </row>
    <row r="655" spans="1:1">
      <c r="A655" t="s">
        <v>41337</v>
      </c>
    </row>
    <row r="656" spans="1:1">
      <c r="A656" t="s">
        <v>41338</v>
      </c>
    </row>
    <row r="657" spans="1:1">
      <c r="A657" t="s">
        <v>41057</v>
      </c>
    </row>
    <row r="658" spans="1:1">
      <c r="A658" t="s">
        <v>41057</v>
      </c>
    </row>
    <row r="659" spans="1:1">
      <c r="A659" t="s">
        <v>41057</v>
      </c>
    </row>
    <row r="660" spans="1:1">
      <c r="A660" t="s">
        <v>41074</v>
      </c>
    </row>
    <row r="661" spans="1:1">
      <c r="A661" t="s">
        <v>40372</v>
      </c>
    </row>
    <row r="662" spans="1:1">
      <c r="A662" t="s">
        <v>41057</v>
      </c>
    </row>
    <row r="663" spans="1:1">
      <c r="A663" t="s">
        <v>41057</v>
      </c>
    </row>
    <row r="664" spans="1:1">
      <c r="A664" t="s">
        <v>41057</v>
      </c>
    </row>
    <row r="665" spans="1:1">
      <c r="A665" t="s">
        <v>41339</v>
      </c>
    </row>
    <row r="666" spans="1:1">
      <c r="A666" t="s">
        <v>41057</v>
      </c>
    </row>
    <row r="667" spans="1:1">
      <c r="A667" t="e">
        <v>#NAME?</v>
      </c>
    </row>
    <row r="668" spans="1:1">
      <c r="A668" t="s">
        <v>41340</v>
      </c>
    </row>
    <row r="669" spans="1:1">
      <c r="A669" t="s">
        <v>41057</v>
      </c>
    </row>
    <row r="670" spans="1:1">
      <c r="A670" t="s">
        <v>41341</v>
      </c>
    </row>
    <row r="671" spans="1:1">
      <c r="A671" t="s">
        <v>41239</v>
      </c>
    </row>
    <row r="672" spans="1:1">
      <c r="A672" t="s">
        <v>41057</v>
      </c>
    </row>
    <row r="673" spans="1:1">
      <c r="A673" t="s">
        <v>41057</v>
      </c>
    </row>
    <row r="674" spans="1:1">
      <c r="A674" t="s">
        <v>41057</v>
      </c>
    </row>
    <row r="675" spans="1:1">
      <c r="A675" t="s">
        <v>41057</v>
      </c>
    </row>
    <row r="676" spans="1:1">
      <c r="A676" t="e">
        <v>#NAME?</v>
      </c>
    </row>
    <row r="677" spans="1:1">
      <c r="A677" t="s">
        <v>41342</v>
      </c>
    </row>
    <row r="678" spans="1:1">
      <c r="A678" t="s">
        <v>41343</v>
      </c>
    </row>
    <row r="679" spans="1:1">
      <c r="A679" t="s">
        <v>41344</v>
      </c>
    </row>
    <row r="680" spans="1:1">
      <c r="A680" t="s">
        <v>41345</v>
      </c>
    </row>
    <row r="681" spans="1:1">
      <c r="A681" t="s">
        <v>41346</v>
      </c>
    </row>
    <row r="682" spans="1:1">
      <c r="A682" t="s">
        <v>41347</v>
      </c>
    </row>
    <row r="683" spans="1:1">
      <c r="A683" t="s">
        <v>41348</v>
      </c>
    </row>
    <row r="684" spans="1:1">
      <c r="A684" t="s">
        <v>41349</v>
      </c>
    </row>
    <row r="685" spans="1:1">
      <c r="A685" t="s">
        <v>41350</v>
      </c>
    </row>
    <row r="686" spans="1:1">
      <c r="A686" t="s">
        <v>41351</v>
      </c>
    </row>
    <row r="687" spans="1:1">
      <c r="A687" t="s">
        <v>41352</v>
      </c>
    </row>
    <row r="688" spans="1:1">
      <c r="A688" t="s">
        <v>41353</v>
      </c>
    </row>
    <row r="689" spans="1:1">
      <c r="A689" t="e">
        <v>#NAME?</v>
      </c>
    </row>
    <row r="690" spans="1:1">
      <c r="A690" t="s">
        <v>41354</v>
      </c>
    </row>
    <row r="691" spans="1:1">
      <c r="A691" t="s">
        <v>41355</v>
      </c>
    </row>
    <row r="692" spans="1:1">
      <c r="A692" t="s">
        <v>41057</v>
      </c>
    </row>
    <row r="693" spans="1:1">
      <c r="A693" t="e">
        <v>#NAME?</v>
      </c>
    </row>
    <row r="694" spans="1:1">
      <c r="A694" t="s">
        <v>40379</v>
      </c>
    </row>
    <row r="695" spans="1:1">
      <c r="A695" t="s">
        <v>41200</v>
      </c>
    </row>
    <row r="696" spans="1:1">
      <c r="A696" t="s">
        <v>41057</v>
      </c>
    </row>
    <row r="697" spans="1:1">
      <c r="A697" t="s">
        <v>41057</v>
      </c>
    </row>
    <row r="698" spans="1:1">
      <c r="A698" t="s">
        <v>41356</v>
      </c>
    </row>
    <row r="699" spans="1:1">
      <c r="A699" t="s">
        <v>41057</v>
      </c>
    </row>
    <row r="700" spans="1:1">
      <c r="A700" t="e">
        <v>#NAME?</v>
      </c>
    </row>
    <row r="701" spans="1:1">
      <c r="A701" t="s">
        <v>41357</v>
      </c>
    </row>
    <row r="702" spans="1:1">
      <c r="A702" t="s">
        <v>41057</v>
      </c>
    </row>
    <row r="703" spans="1:1">
      <c r="A703" t="s">
        <v>41358</v>
      </c>
    </row>
    <row r="704" spans="1:1">
      <c r="A704" t="s">
        <v>41239</v>
      </c>
    </row>
    <row r="705" spans="1:1">
      <c r="A705" t="s">
        <v>41057</v>
      </c>
    </row>
    <row r="706" spans="1:1">
      <c r="A706" t="s">
        <v>41057</v>
      </c>
    </row>
    <row r="707" spans="1:1">
      <c r="A707" t="s">
        <v>41057</v>
      </c>
    </row>
    <row r="708" spans="1:1">
      <c r="A708" t="s">
        <v>41057</v>
      </c>
    </row>
    <row r="709" spans="1:1">
      <c r="A709" t="e">
        <v>#NAME?</v>
      </c>
    </row>
    <row r="710" spans="1:1">
      <c r="A710" t="s">
        <v>41359</v>
      </c>
    </row>
    <row r="711" spans="1:1">
      <c r="A711" t="s">
        <v>41360</v>
      </c>
    </row>
    <row r="712" spans="1:1">
      <c r="A712" t="s">
        <v>41361</v>
      </c>
    </row>
    <row r="713" spans="1:1">
      <c r="A713" t="s">
        <v>41362</v>
      </c>
    </row>
    <row r="714" spans="1:1">
      <c r="A714" t="s">
        <v>41363</v>
      </c>
    </row>
    <row r="715" spans="1:1">
      <c r="A715" t="s">
        <v>41364</v>
      </c>
    </row>
    <row r="716" spans="1:1">
      <c r="A716" t="s">
        <v>41365</v>
      </c>
    </row>
    <row r="717" spans="1:1">
      <c r="A717" t="s">
        <v>41366</v>
      </c>
    </row>
    <row r="718" spans="1:1">
      <c r="A718" t="s">
        <v>41367</v>
      </c>
    </row>
    <row r="719" spans="1:1">
      <c r="A719" t="s">
        <v>41368</v>
      </c>
    </row>
    <row r="720" spans="1:1">
      <c r="A720" t="s">
        <v>41369</v>
      </c>
    </row>
    <row r="721" spans="1:1">
      <c r="A721" t="s">
        <v>41370</v>
      </c>
    </row>
    <row r="722" spans="1:1">
      <c r="A722" t="s">
        <v>41371</v>
      </c>
    </row>
    <row r="723" spans="1:1">
      <c r="A723" t="s">
        <v>41372</v>
      </c>
    </row>
    <row r="724" spans="1:1">
      <c r="A724" t="s">
        <v>41057</v>
      </c>
    </row>
    <row r="725" spans="1:1">
      <c r="A725" t="s">
        <v>41057</v>
      </c>
    </row>
    <row r="726" spans="1:1">
      <c r="A726" t="s">
        <v>41074</v>
      </c>
    </row>
    <row r="727" spans="1:1">
      <c r="A727" t="s">
        <v>40385</v>
      </c>
    </row>
    <row r="728" spans="1:1">
      <c r="A728" t="s">
        <v>41200</v>
      </c>
    </row>
    <row r="729" spans="1:1">
      <c r="A729" t="s">
        <v>41057</v>
      </c>
    </row>
    <row r="730" spans="1:1">
      <c r="A730" t="s">
        <v>41057</v>
      </c>
    </row>
    <row r="731" spans="1:1">
      <c r="A731" t="s">
        <v>41373</v>
      </c>
    </row>
    <row r="732" spans="1:1">
      <c r="A732" t="s">
        <v>41057</v>
      </c>
    </row>
    <row r="733" spans="1:1">
      <c r="A733" t="e">
        <v>#NAME?</v>
      </c>
    </row>
    <row r="734" spans="1:1">
      <c r="A734" t="s">
        <v>41374</v>
      </c>
    </row>
    <row r="735" spans="1:1">
      <c r="A735" t="s">
        <v>41057</v>
      </c>
    </row>
    <row r="736" spans="1:1">
      <c r="A736" t="s">
        <v>41375</v>
      </c>
    </row>
    <row r="737" spans="1:1">
      <c r="A737" t="s">
        <v>41239</v>
      </c>
    </row>
    <row r="738" spans="1:1">
      <c r="A738" t="s">
        <v>41057</v>
      </c>
    </row>
    <row r="739" spans="1:1">
      <c r="A739" t="s">
        <v>41057</v>
      </c>
    </row>
    <row r="740" spans="1:1">
      <c r="A740" t="s">
        <v>41057</v>
      </c>
    </row>
    <row r="741" spans="1:1">
      <c r="A741" t="s">
        <v>41057</v>
      </c>
    </row>
    <row r="742" spans="1:1">
      <c r="A742" t="e">
        <v>#NAME?</v>
      </c>
    </row>
    <row r="743" spans="1:1">
      <c r="A743" t="s">
        <v>41376</v>
      </c>
    </row>
    <row r="744" spans="1:1">
      <c r="A744" t="s">
        <v>41377</v>
      </c>
    </row>
    <row r="745" spans="1:1">
      <c r="A745" t="s">
        <v>41378</v>
      </c>
    </row>
    <row r="746" spans="1:1">
      <c r="A746" t="s">
        <v>41379</v>
      </c>
    </row>
    <row r="747" spans="1:1">
      <c r="A747" t="s">
        <v>41380</v>
      </c>
    </row>
    <row r="748" spans="1:1">
      <c r="A748" t="s">
        <v>41381</v>
      </c>
    </row>
    <row r="749" spans="1:1">
      <c r="A749" t="s">
        <v>41382</v>
      </c>
    </row>
    <row r="750" spans="1:1">
      <c r="A750" t="s">
        <v>41383</v>
      </c>
    </row>
    <row r="751" spans="1:1">
      <c r="A751" t="s">
        <v>41384</v>
      </c>
    </row>
    <row r="752" spans="1:1">
      <c r="A752" t="s">
        <v>41385</v>
      </c>
    </row>
    <row r="753" spans="1:1">
      <c r="A753" t="s">
        <v>41386</v>
      </c>
    </row>
    <row r="754" spans="1:1">
      <c r="A754" t="s">
        <v>41387</v>
      </c>
    </row>
    <row r="755" spans="1:1">
      <c r="A755" t="s">
        <v>41388</v>
      </c>
    </row>
    <row r="756" spans="1:1">
      <c r="A756" t="s">
        <v>41057</v>
      </c>
    </row>
    <row r="757" spans="1:1">
      <c r="A757" t="s">
        <v>41057</v>
      </c>
    </row>
    <row r="758" spans="1:1">
      <c r="A758" t="s">
        <v>41057</v>
      </c>
    </row>
    <row r="759" spans="1:1">
      <c r="A759" t="s">
        <v>41074</v>
      </c>
    </row>
    <row r="760" spans="1:1">
      <c r="A760" t="s">
        <v>40391</v>
      </c>
    </row>
    <row r="761" spans="1:1">
      <c r="A761" t="s">
        <v>41200</v>
      </c>
    </row>
    <row r="762" spans="1:1">
      <c r="A762" t="s">
        <v>41057</v>
      </c>
    </row>
    <row r="763" spans="1:1">
      <c r="A763" t="s">
        <v>41057</v>
      </c>
    </row>
    <row r="764" spans="1:1">
      <c r="A764" t="s">
        <v>41389</v>
      </c>
    </row>
    <row r="765" spans="1:1">
      <c r="A765" t="s">
        <v>41057</v>
      </c>
    </row>
    <row r="766" spans="1:1">
      <c r="A766" t="e">
        <v>#NAME?</v>
      </c>
    </row>
    <row r="767" spans="1:1">
      <c r="A767" t="s">
        <v>41390</v>
      </c>
    </row>
    <row r="768" spans="1:1">
      <c r="A768" t="s">
        <v>41057</v>
      </c>
    </row>
    <row r="769" spans="1:1">
      <c r="A769" t="s">
        <v>41391</v>
      </c>
    </row>
    <row r="770" spans="1:1">
      <c r="A770" t="s">
        <v>41239</v>
      </c>
    </row>
    <row r="771" spans="1:1">
      <c r="A771" t="s">
        <v>41057</v>
      </c>
    </row>
    <row r="772" spans="1:1">
      <c r="A772" t="s">
        <v>41057</v>
      </c>
    </row>
    <row r="773" spans="1:1">
      <c r="A773" t="s">
        <v>41057</v>
      </c>
    </row>
    <row r="774" spans="1:1">
      <c r="A774" t="s">
        <v>41057</v>
      </c>
    </row>
    <row r="775" spans="1:1">
      <c r="A775" t="e">
        <v>#NAME?</v>
      </c>
    </row>
    <row r="776" spans="1:1">
      <c r="A776" t="s">
        <v>41392</v>
      </c>
    </row>
    <row r="777" spans="1:1">
      <c r="A777" t="s">
        <v>41393</v>
      </c>
    </row>
    <row r="778" spans="1:1">
      <c r="A778" t="s">
        <v>41394</v>
      </c>
    </row>
    <row r="779" spans="1:1">
      <c r="A779" t="s">
        <v>41395</v>
      </c>
    </row>
    <row r="780" spans="1:1">
      <c r="A780" t="s">
        <v>41396</v>
      </c>
    </row>
    <row r="781" spans="1:1">
      <c r="A781" t="s">
        <v>41397</v>
      </c>
    </row>
    <row r="782" spans="1:1">
      <c r="A782" t="s">
        <v>41398</v>
      </c>
    </row>
    <row r="783" spans="1:1">
      <c r="A783" t="s">
        <v>41399</v>
      </c>
    </row>
    <row r="784" spans="1:1">
      <c r="A784" t="s">
        <v>41400</v>
      </c>
    </row>
    <row r="785" spans="1:1">
      <c r="A785" t="s">
        <v>41401</v>
      </c>
    </row>
    <row r="786" spans="1:1">
      <c r="A786" t="s">
        <v>41402</v>
      </c>
    </row>
    <row r="787" spans="1:1">
      <c r="A787" t="s">
        <v>41403</v>
      </c>
    </row>
    <row r="788" spans="1:1">
      <c r="A788" t="e">
        <v>#NAME?</v>
      </c>
    </row>
    <row r="789" spans="1:1">
      <c r="A789" t="s">
        <v>41404</v>
      </c>
    </row>
    <row r="790" spans="1:1">
      <c r="A790" t="s">
        <v>41057</v>
      </c>
    </row>
    <row r="791" spans="1:1">
      <c r="A791" t="s">
        <v>41057</v>
      </c>
    </row>
    <row r="792" spans="1:1">
      <c r="A792" t="s">
        <v>41074</v>
      </c>
    </row>
    <row r="793" spans="1:1">
      <c r="A793" t="s">
        <v>40398</v>
      </c>
    </row>
    <row r="794" spans="1:1">
      <c r="A794" t="s">
        <v>41200</v>
      </c>
    </row>
    <row r="795" spans="1:1">
      <c r="A795" t="s">
        <v>41057</v>
      </c>
    </row>
    <row r="796" spans="1:1">
      <c r="A796" t="s">
        <v>41057</v>
      </c>
    </row>
    <row r="797" spans="1:1">
      <c r="A797" t="s">
        <v>41389</v>
      </c>
    </row>
    <row r="798" spans="1:1">
      <c r="A798" t="s">
        <v>41057</v>
      </c>
    </row>
    <row r="799" spans="1:1">
      <c r="A799" t="e">
        <v>#NAME?</v>
      </c>
    </row>
    <row r="800" spans="1:1">
      <c r="A800" t="s">
        <v>41405</v>
      </c>
    </row>
    <row r="801" spans="1:1">
      <c r="A801" t="s">
        <v>41057</v>
      </c>
    </row>
    <row r="802" spans="1:1">
      <c r="A802" t="s">
        <v>41391</v>
      </c>
    </row>
    <row r="803" spans="1:1">
      <c r="A803" t="s">
        <v>41239</v>
      </c>
    </row>
    <row r="804" spans="1:1">
      <c r="A804" t="s">
        <v>41057</v>
      </c>
    </row>
    <row r="805" spans="1:1">
      <c r="A805" t="s">
        <v>41057</v>
      </c>
    </row>
    <row r="806" spans="1:1">
      <c r="A806" t="s">
        <v>41057</v>
      </c>
    </row>
    <row r="807" spans="1:1">
      <c r="A807" t="s">
        <v>41057</v>
      </c>
    </row>
    <row r="808" spans="1:1">
      <c r="A808" t="e">
        <v>#NAME?</v>
      </c>
    </row>
    <row r="809" spans="1:1">
      <c r="A809" t="s">
        <v>41392</v>
      </c>
    </row>
    <row r="810" spans="1:1">
      <c r="A810" t="s">
        <v>41406</v>
      </c>
    </row>
    <row r="811" spans="1:1">
      <c r="A811" t="s">
        <v>41407</v>
      </c>
    </row>
    <row r="812" spans="1:1">
      <c r="A812" t="s">
        <v>41408</v>
      </c>
    </row>
    <row r="813" spans="1:1">
      <c r="A813" t="s">
        <v>41409</v>
      </c>
    </row>
    <row r="814" spans="1:1">
      <c r="A814" t="s">
        <v>41410</v>
      </c>
    </row>
    <row r="815" spans="1:1">
      <c r="A815" t="s">
        <v>41411</v>
      </c>
    </row>
    <row r="816" spans="1:1">
      <c r="A816" t="s">
        <v>41399</v>
      </c>
    </row>
    <row r="817" spans="1:1">
      <c r="A817" t="s">
        <v>41412</v>
      </c>
    </row>
    <row r="818" spans="1:1">
      <c r="A818" t="s">
        <v>41413</v>
      </c>
    </row>
    <row r="819" spans="1:1">
      <c r="A819" t="s">
        <v>41414</v>
      </c>
    </row>
    <row r="820" spans="1:1">
      <c r="A820" t="s">
        <v>41415</v>
      </c>
    </row>
    <row r="821" spans="1:1">
      <c r="A821" t="e">
        <v>#NAME?</v>
      </c>
    </row>
    <row r="822" spans="1:1">
      <c r="A822" t="s">
        <v>41416</v>
      </c>
    </row>
    <row r="823" spans="1:1">
      <c r="A823" t="s">
        <v>41057</v>
      </c>
    </row>
    <row r="824" spans="1:1">
      <c r="A824" t="s">
        <v>41057</v>
      </c>
    </row>
    <row r="825" spans="1:1">
      <c r="A825" t="s">
        <v>41074</v>
      </c>
    </row>
    <row r="826" spans="1:1">
      <c r="A826" t="s">
        <v>40405</v>
      </c>
    </row>
    <row r="827" spans="1:1">
      <c r="A827" t="s">
        <v>41200</v>
      </c>
    </row>
    <row r="828" spans="1:1">
      <c r="A828" t="s">
        <v>41057</v>
      </c>
    </row>
    <row r="829" spans="1:1">
      <c r="A829" t="s">
        <v>41057</v>
      </c>
    </row>
    <row r="830" spans="1:1">
      <c r="A830" t="s">
        <v>41417</v>
      </c>
    </row>
    <row r="831" spans="1:1">
      <c r="A831" t="s">
        <v>41057</v>
      </c>
    </row>
    <row r="832" spans="1:1">
      <c r="A832" t="e">
        <v>#NAME?</v>
      </c>
    </row>
    <row r="833" spans="1:1">
      <c r="A833" t="s">
        <v>41418</v>
      </c>
    </row>
    <row r="834" spans="1:1">
      <c r="A834" t="s">
        <v>41057</v>
      </c>
    </row>
    <row r="835" spans="1:1">
      <c r="A835" t="s">
        <v>41419</v>
      </c>
    </row>
    <row r="836" spans="1:1">
      <c r="A836" t="s">
        <v>41420</v>
      </c>
    </row>
    <row r="837" spans="1:1">
      <c r="A837" t="s">
        <v>41057</v>
      </c>
    </row>
    <row r="838" spans="1:1">
      <c r="A838" t="s">
        <v>41057</v>
      </c>
    </row>
    <row r="839" spans="1:1">
      <c r="A839" t="s">
        <v>41057</v>
      </c>
    </row>
    <row r="840" spans="1:1">
      <c r="A840" t="s">
        <v>41057</v>
      </c>
    </row>
    <row r="841" spans="1:1">
      <c r="A841" t="e">
        <v>#NAME?</v>
      </c>
    </row>
    <row r="842" spans="1:1">
      <c r="A842" t="s">
        <v>41421</v>
      </c>
    </row>
    <row r="843" spans="1:1">
      <c r="A843" t="s">
        <v>41422</v>
      </c>
    </row>
    <row r="844" spans="1:1">
      <c r="A844" t="s">
        <v>41423</v>
      </c>
    </row>
    <row r="845" spans="1:1">
      <c r="A845" t="s">
        <v>41424</v>
      </c>
    </row>
    <row r="846" spans="1:1">
      <c r="A846" t="s">
        <v>41425</v>
      </c>
    </row>
    <row r="847" spans="1:1">
      <c r="A847" t="s">
        <v>41426</v>
      </c>
    </row>
    <row r="848" spans="1:1">
      <c r="A848" t="s">
        <v>41427</v>
      </c>
    </row>
    <row r="849" spans="1:1">
      <c r="A849" t="s">
        <v>41428</v>
      </c>
    </row>
    <row r="850" spans="1:1">
      <c r="A850" t="s">
        <v>41429</v>
      </c>
    </row>
    <row r="851" spans="1:1">
      <c r="A851" t="s">
        <v>41430</v>
      </c>
    </row>
    <row r="852" spans="1:1">
      <c r="A852" t="s">
        <v>41431</v>
      </c>
    </row>
    <row r="853" spans="1:1">
      <c r="A853" t="s">
        <v>41432</v>
      </c>
    </row>
    <row r="854" spans="1:1">
      <c r="A854" t="e">
        <v>#NAME?</v>
      </c>
    </row>
    <row r="855" spans="1:1">
      <c r="A855" t="s">
        <v>41433</v>
      </c>
    </row>
    <row r="856" spans="1:1">
      <c r="A856" t="s">
        <v>41057</v>
      </c>
    </row>
    <row r="857" spans="1:1">
      <c r="A857" t="s">
        <v>41057</v>
      </c>
    </row>
    <row r="858" spans="1:1">
      <c r="A858" t="s">
        <v>41074</v>
      </c>
    </row>
    <row r="859" spans="1:1">
      <c r="A859" t="s">
        <v>40412</v>
      </c>
    </row>
    <row r="860" spans="1:1">
      <c r="A860" t="s">
        <v>41200</v>
      </c>
    </row>
    <row r="861" spans="1:1">
      <c r="A861" t="s">
        <v>41057</v>
      </c>
    </row>
    <row r="862" spans="1:1">
      <c r="A862" t="s">
        <v>41057</v>
      </c>
    </row>
    <row r="863" spans="1:1">
      <c r="A863" t="s">
        <v>41434</v>
      </c>
    </row>
    <row r="864" spans="1:1">
      <c r="A864" t="s">
        <v>41057</v>
      </c>
    </row>
    <row r="865" spans="1:1">
      <c r="A865" t="e">
        <v>#NAME?</v>
      </c>
    </row>
    <row r="866" spans="1:1">
      <c r="A866" t="s">
        <v>41435</v>
      </c>
    </row>
    <row r="867" spans="1:1">
      <c r="A867" t="s">
        <v>41057</v>
      </c>
    </row>
    <row r="868" spans="1:1">
      <c r="A868" t="s">
        <v>41436</v>
      </c>
    </row>
    <row r="869" spans="1:1">
      <c r="A869" t="s">
        <v>41239</v>
      </c>
    </row>
    <row r="870" spans="1:1">
      <c r="A870" t="s">
        <v>41057</v>
      </c>
    </row>
    <row r="871" spans="1:1">
      <c r="A871" t="s">
        <v>41057</v>
      </c>
    </row>
    <row r="872" spans="1:1">
      <c r="A872" t="s">
        <v>41057</v>
      </c>
    </row>
    <row r="873" spans="1:1">
      <c r="A873" t="s">
        <v>41057</v>
      </c>
    </row>
    <row r="874" spans="1:1">
      <c r="A874" t="e">
        <v>#NAME?</v>
      </c>
    </row>
    <row r="875" spans="1:1">
      <c r="A875" t="s">
        <v>41437</v>
      </c>
    </row>
    <row r="876" spans="1:1">
      <c r="A876" t="s">
        <v>41438</v>
      </c>
    </row>
    <row r="877" spans="1:1">
      <c r="A877" t="s">
        <v>41439</v>
      </c>
    </row>
    <row r="878" spans="1:1">
      <c r="A878" t="s">
        <v>41440</v>
      </c>
    </row>
    <row r="879" spans="1:1">
      <c r="A879" t="s">
        <v>41441</v>
      </c>
    </row>
    <row r="880" spans="1:1">
      <c r="A880" t="s">
        <v>41442</v>
      </c>
    </row>
    <row r="881" spans="1:1">
      <c r="A881" t="s">
        <v>41443</v>
      </c>
    </row>
    <row r="882" spans="1:1">
      <c r="A882" t="s">
        <v>41444</v>
      </c>
    </row>
    <row r="883" spans="1:1">
      <c r="A883" t="s">
        <v>41445</v>
      </c>
    </row>
    <row r="884" spans="1:1">
      <c r="A884" t="s">
        <v>41446</v>
      </c>
    </row>
    <row r="885" spans="1:1">
      <c r="A885" t="s">
        <v>41447</v>
      </c>
    </row>
    <row r="886" spans="1:1">
      <c r="A886" t="s">
        <v>41448</v>
      </c>
    </row>
    <row r="887" spans="1:1">
      <c r="A887" t="s">
        <v>41449</v>
      </c>
    </row>
    <row r="888" spans="1:1">
      <c r="A888" t="s">
        <v>41450</v>
      </c>
    </row>
    <row r="889" spans="1:1">
      <c r="A889" t="s">
        <v>41057</v>
      </c>
    </row>
    <row r="890" spans="1:1">
      <c r="A890" t="s">
        <v>41057</v>
      </c>
    </row>
    <row r="891" spans="1:1">
      <c r="A891" t="s">
        <v>41074</v>
      </c>
    </row>
    <row r="892" spans="1:1">
      <c r="A892" t="s">
        <v>40418</v>
      </c>
    </row>
    <row r="893" spans="1:1">
      <c r="A893" t="s">
        <v>41057</v>
      </c>
    </row>
    <row r="894" spans="1:1">
      <c r="A894" t="s">
        <v>41057</v>
      </c>
    </row>
    <row r="895" spans="1:1">
      <c r="A895" t="s">
        <v>41057</v>
      </c>
    </row>
    <row r="896" spans="1:1">
      <c r="A896" t="s">
        <v>41451</v>
      </c>
    </row>
    <row r="897" spans="1:1">
      <c r="A897" t="s">
        <v>41057</v>
      </c>
    </row>
    <row r="898" spans="1:1">
      <c r="A898" t="e">
        <v>#NAME?</v>
      </c>
    </row>
    <row r="899" spans="1:1">
      <c r="A899" t="s">
        <v>41452</v>
      </c>
    </row>
    <row r="900" spans="1:1">
      <c r="A900" t="s">
        <v>41057</v>
      </c>
    </row>
    <row r="901" spans="1:1">
      <c r="A901" t="s">
        <v>41453</v>
      </c>
    </row>
    <row r="902" spans="1:1">
      <c r="A902" t="s">
        <v>41420</v>
      </c>
    </row>
    <row r="903" spans="1:1">
      <c r="A903" t="s">
        <v>41057</v>
      </c>
    </row>
    <row r="904" spans="1:1">
      <c r="A904" t="s">
        <v>41057</v>
      </c>
    </row>
    <row r="905" spans="1:1">
      <c r="A905" t="s">
        <v>41057</v>
      </c>
    </row>
    <row r="906" spans="1:1">
      <c r="A906" t="s">
        <v>41057</v>
      </c>
    </row>
    <row r="907" spans="1:1">
      <c r="A907" t="e">
        <v>#NAME?</v>
      </c>
    </row>
    <row r="908" spans="1:1">
      <c r="A908" t="s">
        <v>41454</v>
      </c>
    </row>
    <row r="909" spans="1:1">
      <c r="A909" t="s">
        <v>41455</v>
      </c>
    </row>
    <row r="910" spans="1:1">
      <c r="A910" t="s">
        <v>41456</v>
      </c>
    </row>
    <row r="911" spans="1:1">
      <c r="A911" t="s">
        <v>41457</v>
      </c>
    </row>
    <row r="912" spans="1:1">
      <c r="A912" t="s">
        <v>41458</v>
      </c>
    </row>
    <row r="913" spans="1:1">
      <c r="A913" t="s">
        <v>41459</v>
      </c>
    </row>
    <row r="914" spans="1:1">
      <c r="A914" t="s">
        <v>41460</v>
      </c>
    </row>
    <row r="915" spans="1:1">
      <c r="A915" t="s">
        <v>41461</v>
      </c>
    </row>
    <row r="916" spans="1:1">
      <c r="A916" t="s">
        <v>41462</v>
      </c>
    </row>
    <row r="917" spans="1:1">
      <c r="A917" t="s">
        <v>41463</v>
      </c>
    </row>
    <row r="918" spans="1:1">
      <c r="A918" t="s">
        <v>41464</v>
      </c>
    </row>
    <row r="919" spans="1:1">
      <c r="A919" t="s">
        <v>41465</v>
      </c>
    </row>
    <row r="920" spans="1:1">
      <c r="A920" t="s">
        <v>41466</v>
      </c>
    </row>
    <row r="921" spans="1:1">
      <c r="A921" t="s">
        <v>41467</v>
      </c>
    </row>
    <row r="922" spans="1:1">
      <c r="A922" t="s">
        <v>41057</v>
      </c>
    </row>
    <row r="923" spans="1:1">
      <c r="A923" t="s">
        <v>41057</v>
      </c>
    </row>
    <row r="924" spans="1:1">
      <c r="A924" t="s">
        <v>41074</v>
      </c>
    </row>
    <row r="925" spans="1:1">
      <c r="A925" t="s">
        <v>40425</v>
      </c>
    </row>
    <row r="926" spans="1:1">
      <c r="A926" t="s">
        <v>41057</v>
      </c>
    </row>
    <row r="927" spans="1:1">
      <c r="A927" t="s">
        <v>41057</v>
      </c>
    </row>
    <row r="928" spans="1:1">
      <c r="A928" t="s">
        <v>41057</v>
      </c>
    </row>
    <row r="929" spans="1:1">
      <c r="A929" t="s">
        <v>41468</v>
      </c>
    </row>
    <row r="930" spans="1:1">
      <c r="A930" t="s">
        <v>41057</v>
      </c>
    </row>
    <row r="931" spans="1:1">
      <c r="A931" t="e">
        <v>#NAME?</v>
      </c>
    </row>
    <row r="932" spans="1:1">
      <c r="A932" t="s">
        <v>41469</v>
      </c>
    </row>
    <row r="933" spans="1:1">
      <c r="A933" t="s">
        <v>41057</v>
      </c>
    </row>
    <row r="934" spans="1:1">
      <c r="A934" t="s">
        <v>41470</v>
      </c>
    </row>
    <row r="935" spans="1:1">
      <c r="A935" t="s">
        <v>41239</v>
      </c>
    </row>
    <row r="936" spans="1:1">
      <c r="A936" t="s">
        <v>41057</v>
      </c>
    </row>
    <row r="937" spans="1:1">
      <c r="A937" t="s">
        <v>41057</v>
      </c>
    </row>
    <row r="938" spans="1:1">
      <c r="A938" t="s">
        <v>41057</v>
      </c>
    </row>
    <row r="939" spans="1:1">
      <c r="A939" t="s">
        <v>41057</v>
      </c>
    </row>
    <row r="940" spans="1:1">
      <c r="A940" t="e">
        <v>#NAME?</v>
      </c>
    </row>
    <row r="941" spans="1:1">
      <c r="A941" t="s">
        <v>41471</v>
      </c>
    </row>
    <row r="942" spans="1:1">
      <c r="A942" t="s">
        <v>41472</v>
      </c>
    </row>
    <row r="943" spans="1:1">
      <c r="A943" t="s">
        <v>41473</v>
      </c>
    </row>
    <row r="944" spans="1:1">
      <c r="A944" t="s">
        <v>41474</v>
      </c>
    </row>
    <row r="945" spans="1:1">
      <c r="A945" t="s">
        <v>41475</v>
      </c>
    </row>
    <row r="946" spans="1:1">
      <c r="A946" t="s">
        <v>41476</v>
      </c>
    </row>
    <row r="947" spans="1:1">
      <c r="A947" t="s">
        <v>41477</v>
      </c>
    </row>
    <row r="948" spans="1:1">
      <c r="A948" t="s">
        <v>41478</v>
      </c>
    </row>
    <row r="949" spans="1:1">
      <c r="A949" t="s">
        <v>41479</v>
      </c>
    </row>
    <row r="950" spans="1:1">
      <c r="A950" t="s">
        <v>41480</v>
      </c>
    </row>
    <row r="951" spans="1:1">
      <c r="A951" t="s">
        <v>41481</v>
      </c>
    </row>
    <row r="952" spans="1:1">
      <c r="A952" t="s">
        <v>41482</v>
      </c>
    </row>
    <row r="953" spans="1:1">
      <c r="A953" t="s">
        <v>41483</v>
      </c>
    </row>
    <row r="954" spans="1:1">
      <c r="A954" t="s">
        <v>41484</v>
      </c>
    </row>
    <row r="955" spans="1:1">
      <c r="A955" t="s">
        <v>41057</v>
      </c>
    </row>
    <row r="956" spans="1:1">
      <c r="A956" t="s">
        <v>41057</v>
      </c>
    </row>
    <row r="957" spans="1:1">
      <c r="A957" t="s">
        <v>41074</v>
      </c>
    </row>
    <row r="958" spans="1:1">
      <c r="A958" t="s">
        <v>40432</v>
      </c>
    </row>
    <row r="959" spans="1:1">
      <c r="A959" t="e">
        <v>#NAME?</v>
      </c>
    </row>
    <row r="960" spans="1:1">
      <c r="A960" t="s">
        <v>41485</v>
      </c>
    </row>
    <row r="961" spans="1:1">
      <c r="A961" t="s">
        <v>41057</v>
      </c>
    </row>
    <row r="962" spans="1:1">
      <c r="A962" t="s">
        <v>41486</v>
      </c>
    </row>
    <row r="963" spans="1:1">
      <c r="A963" t="s">
        <v>41057</v>
      </c>
    </row>
    <row r="964" spans="1:1">
      <c r="A964" t="e">
        <v>#NAME?</v>
      </c>
    </row>
    <row r="965" spans="1:1">
      <c r="A965" t="s">
        <v>41487</v>
      </c>
    </row>
    <row r="966" spans="1:1">
      <c r="A966" t="s">
        <v>41057</v>
      </c>
    </row>
    <row r="967" spans="1:1">
      <c r="A967" t="s">
        <v>41488</v>
      </c>
    </row>
    <row r="968" spans="1:1">
      <c r="A968" t="s">
        <v>41204</v>
      </c>
    </row>
    <row r="969" spans="1:1">
      <c r="A969" t="s">
        <v>41057</v>
      </c>
    </row>
    <row r="970" spans="1:1">
      <c r="A970" t="s">
        <v>41057</v>
      </c>
    </row>
    <row r="971" spans="1:1">
      <c r="A971" t="s">
        <v>41057</v>
      </c>
    </row>
    <row r="972" spans="1:1">
      <c r="A972" t="s">
        <v>41057</v>
      </c>
    </row>
    <row r="973" spans="1:1">
      <c r="A973" t="e">
        <v>#NAME?</v>
      </c>
    </row>
    <row r="974" spans="1:1">
      <c r="A974" t="s">
        <v>41489</v>
      </c>
    </row>
    <row r="975" spans="1:1">
      <c r="A975" t="s">
        <v>41490</v>
      </c>
    </row>
    <row r="976" spans="1:1">
      <c r="A976" t="s">
        <v>41491</v>
      </c>
    </row>
    <row r="977" spans="1:1">
      <c r="A977" t="s">
        <v>41492</v>
      </c>
    </row>
    <row r="978" spans="1:1">
      <c r="A978" t="s">
        <v>41493</v>
      </c>
    </row>
    <row r="979" spans="1:1">
      <c r="A979" t="s">
        <v>41494</v>
      </c>
    </row>
    <row r="980" spans="1:1">
      <c r="A980" t="s">
        <v>41495</v>
      </c>
    </row>
    <row r="981" spans="1:1">
      <c r="A981" t="s">
        <v>41496</v>
      </c>
    </row>
    <row r="982" spans="1:1">
      <c r="A982" t="s">
        <v>41497</v>
      </c>
    </row>
    <row r="983" spans="1:1">
      <c r="A983" t="s">
        <v>41498</v>
      </c>
    </row>
    <row r="984" spans="1:1">
      <c r="A984" t="s">
        <v>41499</v>
      </c>
    </row>
    <row r="985" spans="1:1">
      <c r="A985" t="s">
        <v>41500</v>
      </c>
    </row>
    <row r="986" spans="1:1">
      <c r="A986" t="s">
        <v>41501</v>
      </c>
    </row>
    <row r="987" spans="1:1">
      <c r="A987" t="s">
        <v>41057</v>
      </c>
    </row>
    <row r="988" spans="1:1">
      <c r="A988" t="s">
        <v>41057</v>
      </c>
    </row>
    <row r="989" spans="1:1">
      <c r="A989" t="s">
        <v>41057</v>
      </c>
    </row>
    <row r="990" spans="1:1">
      <c r="A990" t="s">
        <v>41074</v>
      </c>
    </row>
    <row r="991" spans="1:1">
      <c r="A991" t="s">
        <v>40439</v>
      </c>
    </row>
    <row r="992" spans="1:1">
      <c r="A992" t="s">
        <v>41502</v>
      </c>
    </row>
    <row r="993" spans="1:1">
      <c r="A993" t="s">
        <v>41503</v>
      </c>
    </row>
    <row r="994" spans="1:1">
      <c r="A994" t="e">
        <v>#NAME?</v>
      </c>
    </row>
    <row r="995" spans="1:1">
      <c r="A995" t="s">
        <v>41504</v>
      </c>
    </row>
    <row r="996" spans="1:1">
      <c r="A996" t="s">
        <v>41057</v>
      </c>
    </row>
    <row r="997" spans="1:1">
      <c r="A997" t="e">
        <v>#NAME?</v>
      </c>
    </row>
    <row r="998" spans="1:1">
      <c r="A998" t="s">
        <v>41505</v>
      </c>
    </row>
    <row r="999" spans="1:1">
      <c r="A999" t="s">
        <v>41057</v>
      </c>
    </row>
    <row r="1000" spans="1:1">
      <c r="A1000" t="s">
        <v>41506</v>
      </c>
    </row>
    <row r="1001" spans="1:1">
      <c r="A1001" t="s">
        <v>41107</v>
      </c>
    </row>
    <row r="1002" spans="1:1">
      <c r="A1002" t="s">
        <v>41057</v>
      </c>
    </row>
    <row r="1003" spans="1:1">
      <c r="A1003" t="s">
        <v>41057</v>
      </c>
    </row>
    <row r="1004" spans="1:1">
      <c r="A1004" t="s">
        <v>41057</v>
      </c>
    </row>
    <row r="1005" spans="1:1">
      <c r="A1005" t="s">
        <v>41057</v>
      </c>
    </row>
    <row r="1006" spans="1:1">
      <c r="A1006" t="e">
        <v>#NAME?</v>
      </c>
    </row>
    <row r="1007" spans="1:1">
      <c r="A1007" t="s">
        <v>41507</v>
      </c>
    </row>
    <row r="1008" spans="1:1">
      <c r="A1008" t="s">
        <v>41508</v>
      </c>
    </row>
    <row r="1009" spans="1:1">
      <c r="A1009" t="s">
        <v>41509</v>
      </c>
    </row>
    <row r="1010" spans="1:1">
      <c r="A1010" t="s">
        <v>41510</v>
      </c>
    </row>
    <row r="1011" spans="1:1">
      <c r="A1011" t="s">
        <v>41511</v>
      </c>
    </row>
    <row r="1012" spans="1:1">
      <c r="A1012" t="s">
        <v>41512</v>
      </c>
    </row>
    <row r="1013" spans="1:1">
      <c r="A1013" t="s">
        <v>41513</v>
      </c>
    </row>
    <row r="1014" spans="1:1">
      <c r="A1014" t="s">
        <v>41514</v>
      </c>
    </row>
    <row r="1015" spans="1:1">
      <c r="A1015" t="s">
        <v>41515</v>
      </c>
    </row>
    <row r="1016" spans="1:1">
      <c r="A1016" t="s">
        <v>41057</v>
      </c>
    </row>
    <row r="1017" spans="1:1">
      <c r="A1017" t="s">
        <v>41057</v>
      </c>
    </row>
    <row r="1018" spans="1:1">
      <c r="A1018" t="s">
        <v>41057</v>
      </c>
    </row>
    <row r="1019" spans="1:1">
      <c r="A1019" t="s">
        <v>41057</v>
      </c>
    </row>
    <row r="1020" spans="1:1">
      <c r="A1020" t="s">
        <v>41057</v>
      </c>
    </row>
    <row r="1021" spans="1:1">
      <c r="A1021" t="s">
        <v>41057</v>
      </c>
    </row>
    <row r="1022" spans="1:1">
      <c r="A1022" t="s">
        <v>41057</v>
      </c>
    </row>
    <row r="1023" spans="1:1">
      <c r="A1023" t="s">
        <v>41074</v>
      </c>
    </row>
    <row r="1024" spans="1:1">
      <c r="A1024" t="s">
        <v>40446</v>
      </c>
    </row>
    <row r="1025" spans="1:1">
      <c r="A1025" t="e">
        <v>#NAME?</v>
      </c>
    </row>
    <row r="1026" spans="1:1">
      <c r="A1026" t="s">
        <v>41516</v>
      </c>
    </row>
    <row r="1027" spans="1:1">
      <c r="A1027" t="s">
        <v>41057</v>
      </c>
    </row>
    <row r="1028" spans="1:1">
      <c r="A1028" t="s">
        <v>41517</v>
      </c>
    </row>
    <row r="1029" spans="1:1">
      <c r="A1029" t="s">
        <v>41057</v>
      </c>
    </row>
    <row r="1030" spans="1:1">
      <c r="A1030" t="s">
        <v>41518</v>
      </c>
    </row>
    <row r="1031" spans="1:1">
      <c r="A1031" t="s">
        <v>41519</v>
      </c>
    </row>
    <row r="1032" spans="1:1">
      <c r="A1032" t="s">
        <v>41057</v>
      </c>
    </row>
    <row r="1033" spans="1:1">
      <c r="A1033" t="s">
        <v>41520</v>
      </c>
    </row>
    <row r="1034" spans="1:1">
      <c r="A1034" t="s">
        <v>41239</v>
      </c>
    </row>
    <row r="1035" spans="1:1">
      <c r="A1035" t="s">
        <v>41057</v>
      </c>
    </row>
    <row r="1036" spans="1:1">
      <c r="A1036" t="s">
        <v>41057</v>
      </c>
    </row>
    <row r="1037" spans="1:1">
      <c r="A1037" t="s">
        <v>41057</v>
      </c>
    </row>
    <row r="1038" spans="1:1">
      <c r="A1038" t="s">
        <v>41057</v>
      </c>
    </row>
    <row r="1039" spans="1:1">
      <c r="A1039" t="e">
        <v>#NAME?</v>
      </c>
    </row>
    <row r="1040" spans="1:1">
      <c r="A1040" t="s">
        <v>41521</v>
      </c>
    </row>
    <row r="1041" spans="1:1">
      <c r="A1041" t="s">
        <v>41522</v>
      </c>
    </row>
    <row r="1042" spans="1:1">
      <c r="A1042" t="s">
        <v>41523</v>
      </c>
    </row>
    <row r="1043" spans="1:1">
      <c r="A1043" t="s">
        <v>41524</v>
      </c>
    </row>
    <row r="1044" spans="1:1">
      <c r="A1044" t="s">
        <v>41525</v>
      </c>
    </row>
    <row r="1045" spans="1:1">
      <c r="A1045" t="s">
        <v>41526</v>
      </c>
    </row>
    <row r="1046" spans="1:1">
      <c r="A1046" t="s">
        <v>41527</v>
      </c>
    </row>
    <row r="1047" spans="1:1">
      <c r="A1047" t="s">
        <v>41528</v>
      </c>
    </row>
    <row r="1048" spans="1:1">
      <c r="A1048" t="s">
        <v>41529</v>
      </c>
    </row>
    <row r="1049" spans="1:1">
      <c r="A1049" t="s">
        <v>41530</v>
      </c>
    </row>
    <row r="1050" spans="1:1">
      <c r="A1050" t="s">
        <v>41531</v>
      </c>
    </row>
    <row r="1051" spans="1:1">
      <c r="A1051" t="s">
        <v>41532</v>
      </c>
    </row>
    <row r="1052" spans="1:1">
      <c r="A1052" t="s">
        <v>41533</v>
      </c>
    </row>
    <row r="1053" spans="1:1">
      <c r="A1053" t="s">
        <v>41057</v>
      </c>
    </row>
    <row r="1054" spans="1:1">
      <c r="A1054" t="s">
        <v>41057</v>
      </c>
    </row>
    <row r="1055" spans="1:1">
      <c r="A1055" t="s">
        <v>41057</v>
      </c>
    </row>
    <row r="1056" spans="1:1">
      <c r="A1056" t="e">
        <v>#NAME?</v>
      </c>
    </row>
    <row r="1057" spans="1:1">
      <c r="A1057" t="s">
        <v>40452</v>
      </c>
    </row>
    <row r="1058" spans="1:1">
      <c r="A1058" t="e">
        <v>#NAME?</v>
      </c>
    </row>
    <row r="1059" spans="1:1">
      <c r="A1059" t="s">
        <v>41534</v>
      </c>
    </row>
    <row r="1060" spans="1:1">
      <c r="A1060" t="s">
        <v>41057</v>
      </c>
    </row>
    <row r="1061" spans="1:1">
      <c r="A1061" t="s">
        <v>41057</v>
      </c>
    </row>
    <row r="1062" spans="1:1">
      <c r="A1062" t="s">
        <v>41057</v>
      </c>
    </row>
    <row r="1063" spans="1:1">
      <c r="A1063" t="e">
        <v>#NAME?</v>
      </c>
    </row>
    <row r="1064" spans="1:1">
      <c r="A1064" t="s">
        <v>41535</v>
      </c>
    </row>
    <row r="1065" spans="1:1">
      <c r="A1065" t="s">
        <v>41536</v>
      </c>
    </row>
    <row r="1066" spans="1:1">
      <c r="A1066" t="s">
        <v>41537</v>
      </c>
    </row>
    <row r="1067" spans="1:1">
      <c r="A1067" t="s">
        <v>41538</v>
      </c>
    </row>
    <row r="1068" spans="1:1">
      <c r="A1068" t="s">
        <v>41057</v>
      </c>
    </row>
    <row r="1069" spans="1:1">
      <c r="A1069" t="s">
        <v>41057</v>
      </c>
    </row>
    <row r="1070" spans="1:1">
      <c r="A1070" t="s">
        <v>41057</v>
      </c>
    </row>
    <row r="1071" spans="1:1">
      <c r="A1071" t="s">
        <v>41057</v>
      </c>
    </row>
    <row r="1072" spans="1:1">
      <c r="A1072" t="e">
        <v>#NAME?</v>
      </c>
    </row>
    <row r="1073" spans="1:1">
      <c r="A1073" t="s">
        <v>41539</v>
      </c>
    </row>
    <row r="1074" spans="1:1">
      <c r="A1074" t="s">
        <v>41540</v>
      </c>
    </row>
    <row r="1075" spans="1:1">
      <c r="A1075" t="s">
        <v>41541</v>
      </c>
    </row>
    <row r="1076" spans="1:1">
      <c r="A1076" t="s">
        <v>41542</v>
      </c>
    </row>
    <row r="1077" spans="1:1">
      <c r="A1077" t="s">
        <v>41543</v>
      </c>
    </row>
    <row r="1078" spans="1:1">
      <c r="A1078" t="s">
        <v>41544</v>
      </c>
    </row>
    <row r="1079" spans="1:1">
      <c r="A1079" t="s">
        <v>41545</v>
      </c>
    </row>
    <row r="1080" spans="1:1">
      <c r="A1080" t="s">
        <v>41546</v>
      </c>
    </row>
    <row r="1081" spans="1:1">
      <c r="A1081" t="s">
        <v>41547</v>
      </c>
    </row>
    <row r="1082" spans="1:1">
      <c r="A1082" t="s">
        <v>41548</v>
      </c>
    </row>
    <row r="1083" spans="1:1">
      <c r="A1083" t="s">
        <v>41549</v>
      </c>
    </row>
    <row r="1084" spans="1:1">
      <c r="A1084" t="s">
        <v>41057</v>
      </c>
    </row>
    <row r="1085" spans="1:1">
      <c r="A1085" t="s">
        <v>41550</v>
      </c>
    </row>
    <row r="1086" spans="1:1">
      <c r="A1086" t="s">
        <v>41057</v>
      </c>
    </row>
    <row r="1087" spans="1:1">
      <c r="A1087" t="s">
        <v>41551</v>
      </c>
    </row>
    <row r="1088" spans="1:1">
      <c r="A1088" t="s">
        <v>41057</v>
      </c>
    </row>
    <row r="1089" spans="1:1">
      <c r="A1089" t="s">
        <v>41074</v>
      </c>
    </row>
    <row r="1090" spans="1:1">
      <c r="A1090" t="s">
        <v>40458</v>
      </c>
    </row>
    <row r="1091" spans="1:1">
      <c r="A1091" t="s">
        <v>41057</v>
      </c>
    </row>
    <row r="1092" spans="1:1">
      <c r="A1092" t="s">
        <v>41057</v>
      </c>
    </row>
    <row r="1093" spans="1:1">
      <c r="A1093" t="s">
        <v>41057</v>
      </c>
    </row>
    <row r="1094" spans="1:1">
      <c r="A1094" t="s">
        <v>41057</v>
      </c>
    </row>
    <row r="1095" spans="1:1">
      <c r="A1095" t="s">
        <v>41057</v>
      </c>
    </row>
    <row r="1096" spans="1:1">
      <c r="A1096" t="s">
        <v>41057</v>
      </c>
    </row>
    <row r="1097" spans="1:1">
      <c r="A1097" t="s">
        <v>41552</v>
      </c>
    </row>
    <row r="1098" spans="1:1">
      <c r="A1098" t="s">
        <v>41057</v>
      </c>
    </row>
    <row r="1099" spans="1:1">
      <c r="A1099" t="s">
        <v>41553</v>
      </c>
    </row>
    <row r="1100" spans="1:1">
      <c r="A1100" t="s">
        <v>41554</v>
      </c>
    </row>
    <row r="1101" spans="1:1">
      <c r="A1101" t="s">
        <v>41057</v>
      </c>
    </row>
    <row r="1102" spans="1:1">
      <c r="A1102" t="s">
        <v>41057</v>
      </c>
    </row>
    <row r="1103" spans="1:1">
      <c r="A1103" t="s">
        <v>41057</v>
      </c>
    </row>
    <row r="1104" spans="1:1">
      <c r="A1104" t="s">
        <v>41057</v>
      </c>
    </row>
    <row r="1105" spans="1:1">
      <c r="A1105" t="e">
        <v>#NAME?</v>
      </c>
    </row>
    <row r="1106" spans="1:1">
      <c r="A1106" t="s">
        <v>41555</v>
      </c>
    </row>
    <row r="1107" spans="1:1">
      <c r="A1107" t="s">
        <v>41556</v>
      </c>
    </row>
    <row r="1108" spans="1:1">
      <c r="A1108" t="s">
        <v>41557</v>
      </c>
    </row>
    <row r="1109" spans="1:1">
      <c r="A1109" t="s">
        <v>41558</v>
      </c>
    </row>
    <row r="1110" spans="1:1">
      <c r="A1110" t="s">
        <v>41559</v>
      </c>
    </row>
    <row r="1111" spans="1:1">
      <c r="A1111" t="s">
        <v>41560</v>
      </c>
    </row>
    <row r="1112" spans="1:1">
      <c r="A1112" t="s">
        <v>41561</v>
      </c>
    </row>
    <row r="1113" spans="1:1">
      <c r="A1113" t="s">
        <v>41562</v>
      </c>
    </row>
    <row r="1114" spans="1:1">
      <c r="A1114" t="s">
        <v>41563</v>
      </c>
    </row>
    <row r="1115" spans="1:1">
      <c r="A1115" t="s">
        <v>41564</v>
      </c>
    </row>
    <row r="1116" spans="1:1">
      <c r="A1116" t="s">
        <v>41565</v>
      </c>
    </row>
    <row r="1117" spans="1:1">
      <c r="A1117" t="s">
        <v>41566</v>
      </c>
    </row>
    <row r="1118" spans="1:1">
      <c r="A1118" t="s">
        <v>41567</v>
      </c>
    </row>
    <row r="1119" spans="1:1">
      <c r="A1119" t="s">
        <v>41057</v>
      </c>
    </row>
    <row r="1120" spans="1:1">
      <c r="A1120" t="s">
        <v>41057</v>
      </c>
    </row>
    <row r="1121" spans="1:1">
      <c r="A1121" t="s">
        <v>41057</v>
      </c>
    </row>
    <row r="1122" spans="1:1">
      <c r="A1122" t="s">
        <v>41074</v>
      </c>
    </row>
    <row r="1123" spans="1:1">
      <c r="A1123" t="s">
        <v>40464</v>
      </c>
    </row>
    <row r="1124" spans="1:1">
      <c r="A1124" t="s">
        <v>41057</v>
      </c>
    </row>
    <row r="1125" spans="1:1">
      <c r="A1125" t="s">
        <v>41057</v>
      </c>
    </row>
    <row r="1126" spans="1:1">
      <c r="A1126" t="s">
        <v>41057</v>
      </c>
    </row>
    <row r="1127" spans="1:1">
      <c r="A1127" t="s">
        <v>41057</v>
      </c>
    </row>
    <row r="1128" spans="1:1">
      <c r="A1128" t="s">
        <v>41057</v>
      </c>
    </row>
    <row r="1129" spans="1:1">
      <c r="A1129" t="s">
        <v>41057</v>
      </c>
    </row>
    <row r="1130" spans="1:1">
      <c r="A1130" t="s">
        <v>41568</v>
      </c>
    </row>
    <row r="1131" spans="1:1">
      <c r="A1131" t="s">
        <v>41057</v>
      </c>
    </row>
    <row r="1132" spans="1:1">
      <c r="A1132" t="s">
        <v>41569</v>
      </c>
    </row>
    <row r="1133" spans="1:1">
      <c r="A1133" t="s">
        <v>41570</v>
      </c>
    </row>
    <row r="1134" spans="1:1">
      <c r="A1134" t="s">
        <v>41057</v>
      </c>
    </row>
    <row r="1135" spans="1:1">
      <c r="A1135" t="s">
        <v>41057</v>
      </c>
    </row>
    <row r="1136" spans="1:1">
      <c r="A1136" t="s">
        <v>41057</v>
      </c>
    </row>
    <row r="1137" spans="1:1">
      <c r="A1137" t="s">
        <v>41057</v>
      </c>
    </row>
    <row r="1138" spans="1:1">
      <c r="A1138" t="e">
        <v>#NAME?</v>
      </c>
    </row>
    <row r="1139" spans="1:1">
      <c r="A1139" t="s">
        <v>41571</v>
      </c>
    </row>
    <row r="1140" spans="1:1">
      <c r="A1140" t="s">
        <v>41572</v>
      </c>
    </row>
    <row r="1141" spans="1:1">
      <c r="A1141" t="s">
        <v>41573</v>
      </c>
    </row>
    <row r="1142" spans="1:1">
      <c r="A1142" t="s">
        <v>41574</v>
      </c>
    </row>
    <row r="1143" spans="1:1">
      <c r="A1143" t="s">
        <v>41575</v>
      </c>
    </row>
    <row r="1144" spans="1:1">
      <c r="A1144" t="s">
        <v>41576</v>
      </c>
    </row>
    <row r="1145" spans="1:1">
      <c r="A1145" t="s">
        <v>41577</v>
      </c>
    </row>
    <row r="1146" spans="1:1">
      <c r="A1146" t="s">
        <v>41578</v>
      </c>
    </row>
    <row r="1147" spans="1:1">
      <c r="A1147" t="s">
        <v>41579</v>
      </c>
    </row>
    <row r="1148" spans="1:1">
      <c r="A1148" t="s">
        <v>41580</v>
      </c>
    </row>
    <row r="1149" spans="1:1">
      <c r="A1149" t="s">
        <v>41581</v>
      </c>
    </row>
    <row r="1150" spans="1:1">
      <c r="A1150" t="s">
        <v>41582</v>
      </c>
    </row>
    <row r="1151" spans="1:1">
      <c r="A1151" t="s">
        <v>41583</v>
      </c>
    </row>
    <row r="1152" spans="1:1">
      <c r="A1152" t="s">
        <v>41057</v>
      </c>
    </row>
    <row r="1153" spans="1:1">
      <c r="A1153" t="s">
        <v>41057</v>
      </c>
    </row>
    <row r="1154" spans="1:1">
      <c r="A1154" t="s">
        <v>41057</v>
      </c>
    </row>
    <row r="1155" spans="1:1">
      <c r="A1155" t="s">
        <v>41074</v>
      </c>
    </row>
    <row r="1156" spans="1:1">
      <c r="A1156" t="s">
        <v>40470</v>
      </c>
    </row>
    <row r="1157" spans="1:1">
      <c r="A1157" t="s">
        <v>41057</v>
      </c>
    </row>
    <row r="1158" spans="1:1">
      <c r="A1158" t="s">
        <v>41057</v>
      </c>
    </row>
    <row r="1159" spans="1:1">
      <c r="A1159" t="s">
        <v>41057</v>
      </c>
    </row>
    <row r="1160" spans="1:1">
      <c r="A1160" t="s">
        <v>41057</v>
      </c>
    </row>
    <row r="1161" spans="1:1">
      <c r="A1161" t="s">
        <v>41057</v>
      </c>
    </row>
    <row r="1162" spans="1:1">
      <c r="A1162" t="s">
        <v>41057</v>
      </c>
    </row>
    <row r="1163" spans="1:1">
      <c r="A1163" t="s">
        <v>41584</v>
      </c>
    </row>
    <row r="1164" spans="1:1">
      <c r="A1164" t="s">
        <v>41057</v>
      </c>
    </row>
    <row r="1165" spans="1:1">
      <c r="A1165" t="s">
        <v>41585</v>
      </c>
    </row>
    <row r="1166" spans="1:1">
      <c r="A1166" t="s">
        <v>41586</v>
      </c>
    </row>
    <row r="1167" spans="1:1">
      <c r="A1167" t="s">
        <v>41057</v>
      </c>
    </row>
    <row r="1168" spans="1:1">
      <c r="A1168" t="s">
        <v>41057</v>
      </c>
    </row>
    <row r="1169" spans="1:1">
      <c r="A1169" t="s">
        <v>41057</v>
      </c>
    </row>
    <row r="1170" spans="1:1">
      <c r="A1170" t="s">
        <v>41057</v>
      </c>
    </row>
    <row r="1171" spans="1:1">
      <c r="A1171" t="e">
        <v>#NAME?</v>
      </c>
    </row>
    <row r="1172" spans="1:1">
      <c r="A1172" t="s">
        <v>41587</v>
      </c>
    </row>
    <row r="1173" spans="1:1">
      <c r="A1173" t="s">
        <v>41588</v>
      </c>
    </row>
    <row r="1174" spans="1:1">
      <c r="A1174" t="s">
        <v>41589</v>
      </c>
    </row>
    <row r="1175" spans="1:1">
      <c r="A1175" t="e">
        <v>#NAME?</v>
      </c>
    </row>
    <row r="1176" spans="1:1">
      <c r="A1176" t="s">
        <v>41590</v>
      </c>
    </row>
    <row r="1177" spans="1:1">
      <c r="A1177" t="s">
        <v>41591</v>
      </c>
    </row>
    <row r="1178" spans="1:1">
      <c r="A1178" t="s">
        <v>41592</v>
      </c>
    </row>
    <row r="1179" spans="1:1">
      <c r="A1179" t="s">
        <v>41593</v>
      </c>
    </row>
    <row r="1180" spans="1:1">
      <c r="A1180" t="s">
        <v>41594</v>
      </c>
    </row>
    <row r="1181" spans="1:1">
      <c r="A1181" t="s">
        <v>41595</v>
      </c>
    </row>
    <row r="1182" spans="1:1">
      <c r="A1182" t="s">
        <v>41596</v>
      </c>
    </row>
    <row r="1183" spans="1:1">
      <c r="A1183" t="s">
        <v>41597</v>
      </c>
    </row>
    <row r="1184" spans="1:1">
      <c r="A1184" t="e">
        <v>#NAME?</v>
      </c>
    </row>
    <row r="1185" spans="1:1">
      <c r="A1185" t="s">
        <v>41057</v>
      </c>
    </row>
    <row r="1186" spans="1:1">
      <c r="A1186" t="s">
        <v>41057</v>
      </c>
    </row>
    <row r="1187" spans="1:1">
      <c r="A1187" t="s">
        <v>41057</v>
      </c>
    </row>
    <row r="1188" spans="1:1">
      <c r="A1188" t="s">
        <v>41074</v>
      </c>
    </row>
    <row r="1189" spans="1:1">
      <c r="A1189" t="s">
        <v>40476</v>
      </c>
    </row>
    <row r="1190" spans="1:1">
      <c r="A1190" t="s">
        <v>41057</v>
      </c>
    </row>
    <row r="1191" spans="1:1">
      <c r="A1191" t="s">
        <v>41057</v>
      </c>
    </row>
    <row r="1192" spans="1:1">
      <c r="A1192" t="s">
        <v>41057</v>
      </c>
    </row>
    <row r="1193" spans="1:1">
      <c r="A1193" t="s">
        <v>41057</v>
      </c>
    </row>
    <row r="1194" spans="1:1">
      <c r="A1194" t="s">
        <v>41057</v>
      </c>
    </row>
    <row r="1195" spans="1:1">
      <c r="A1195" t="s">
        <v>41057</v>
      </c>
    </row>
    <row r="1196" spans="1:1">
      <c r="A1196" t="s">
        <v>41598</v>
      </c>
    </row>
    <row r="1197" spans="1:1">
      <c r="A1197" t="s">
        <v>41057</v>
      </c>
    </row>
    <row r="1198" spans="1:1">
      <c r="A1198" t="s">
        <v>41599</v>
      </c>
    </row>
    <row r="1199" spans="1:1">
      <c r="A1199" t="s">
        <v>41600</v>
      </c>
    </row>
    <row r="1200" spans="1:1">
      <c r="A1200" t="s">
        <v>41057</v>
      </c>
    </row>
    <row r="1201" spans="1:1">
      <c r="A1201" t="s">
        <v>41057</v>
      </c>
    </row>
    <row r="1202" spans="1:1">
      <c r="A1202" t="s">
        <v>41057</v>
      </c>
    </row>
    <row r="1203" spans="1:1">
      <c r="A1203" t="s">
        <v>41057</v>
      </c>
    </row>
    <row r="1204" spans="1:1">
      <c r="A1204" t="e">
        <v>#NAME?</v>
      </c>
    </row>
    <row r="1205" spans="1:1">
      <c r="A1205" t="s">
        <v>41601</v>
      </c>
    </row>
    <row r="1206" spans="1:1">
      <c r="A1206" t="s">
        <v>41602</v>
      </c>
    </row>
    <row r="1207" spans="1:1">
      <c r="A1207" t="s">
        <v>41603</v>
      </c>
    </row>
    <row r="1208" spans="1:1">
      <c r="A1208" t="e">
        <v>#NAME?</v>
      </c>
    </row>
    <row r="1209" spans="1:1">
      <c r="A1209" t="s">
        <v>41604</v>
      </c>
    </row>
    <row r="1210" spans="1:1">
      <c r="A1210" t="s">
        <v>41605</v>
      </c>
    </row>
    <row r="1211" spans="1:1">
      <c r="A1211" t="s">
        <v>41606</v>
      </c>
    </row>
    <row r="1212" spans="1:1">
      <c r="A1212" t="s">
        <v>41607</v>
      </c>
    </row>
    <row r="1213" spans="1:1">
      <c r="A1213" t="s">
        <v>41608</v>
      </c>
    </row>
    <row r="1214" spans="1:1">
      <c r="A1214" t="s">
        <v>41609</v>
      </c>
    </row>
    <row r="1215" spans="1:1">
      <c r="A1215" t="s">
        <v>41610</v>
      </c>
    </row>
    <row r="1216" spans="1:1">
      <c r="A1216" t="s">
        <v>41611</v>
      </c>
    </row>
    <row r="1217" spans="1:1">
      <c r="A1217" t="e">
        <v>#NAME?</v>
      </c>
    </row>
    <row r="1218" spans="1:1">
      <c r="A1218" t="s">
        <v>41057</v>
      </c>
    </row>
    <row r="1219" spans="1:1">
      <c r="A1219" t="s">
        <v>41057</v>
      </c>
    </row>
    <row r="1220" spans="1:1">
      <c r="A1220" t="s">
        <v>41057</v>
      </c>
    </row>
    <row r="1221" spans="1:1">
      <c r="A1221" t="s">
        <v>41074</v>
      </c>
    </row>
    <row r="1222" spans="1:1">
      <c r="A1222" t="s">
        <v>40482</v>
      </c>
    </row>
    <row r="1223" spans="1:1">
      <c r="A1223" t="s">
        <v>41057</v>
      </c>
    </row>
    <row r="1224" spans="1:1">
      <c r="A1224" t="s">
        <v>41057</v>
      </c>
    </row>
    <row r="1225" spans="1:1">
      <c r="A1225" t="s">
        <v>41057</v>
      </c>
    </row>
    <row r="1226" spans="1:1">
      <c r="A1226" t="s">
        <v>41057</v>
      </c>
    </row>
    <row r="1227" spans="1:1">
      <c r="A1227" t="s">
        <v>41057</v>
      </c>
    </row>
    <row r="1228" spans="1:1">
      <c r="A1228" t="s">
        <v>41057</v>
      </c>
    </row>
    <row r="1229" spans="1:1">
      <c r="A1229" t="s">
        <v>41612</v>
      </c>
    </row>
    <row r="1230" spans="1:1">
      <c r="A1230" t="s">
        <v>41057</v>
      </c>
    </row>
    <row r="1231" spans="1:1">
      <c r="A1231" t="s">
        <v>41613</v>
      </c>
    </row>
    <row r="1232" spans="1:1">
      <c r="A1232" t="s">
        <v>41614</v>
      </c>
    </row>
    <row r="1233" spans="1:1">
      <c r="A1233" t="s">
        <v>41057</v>
      </c>
    </row>
    <row r="1234" spans="1:1">
      <c r="A1234" t="s">
        <v>41057</v>
      </c>
    </row>
    <row r="1235" spans="1:1">
      <c r="A1235" t="s">
        <v>41057</v>
      </c>
    </row>
    <row r="1236" spans="1:1">
      <c r="A1236" t="s">
        <v>41057</v>
      </c>
    </row>
    <row r="1237" spans="1:1">
      <c r="A1237" t="e">
        <v>#NAME?</v>
      </c>
    </row>
    <row r="1238" spans="1:1">
      <c r="A1238" t="s">
        <v>41615</v>
      </c>
    </row>
    <row r="1239" spans="1:1">
      <c r="A1239" t="s">
        <v>41616</v>
      </c>
    </row>
    <row r="1240" spans="1:1">
      <c r="A1240" t="s">
        <v>41617</v>
      </c>
    </row>
    <row r="1241" spans="1:1">
      <c r="A1241" t="e">
        <v>#NAME?</v>
      </c>
    </row>
    <row r="1242" spans="1:1">
      <c r="A1242" t="s">
        <v>41618</v>
      </c>
    </row>
    <row r="1243" spans="1:1">
      <c r="A1243" t="s">
        <v>41619</v>
      </c>
    </row>
    <row r="1244" spans="1:1">
      <c r="A1244" t="s">
        <v>41620</v>
      </c>
    </row>
    <row r="1245" spans="1:1">
      <c r="A1245" t="s">
        <v>41621</v>
      </c>
    </row>
    <row r="1246" spans="1:1">
      <c r="A1246" t="s">
        <v>41622</v>
      </c>
    </row>
    <row r="1247" spans="1:1">
      <c r="A1247" t="s">
        <v>41623</v>
      </c>
    </row>
    <row r="1248" spans="1:1">
      <c r="A1248" t="s">
        <v>41624</v>
      </c>
    </row>
    <row r="1249" spans="1:1">
      <c r="A1249" t="s">
        <v>41625</v>
      </c>
    </row>
    <row r="1250" spans="1:1">
      <c r="A1250" t="e">
        <v>#NAME?</v>
      </c>
    </row>
    <row r="1251" spans="1:1">
      <c r="A1251" t="s">
        <v>41057</v>
      </c>
    </row>
    <row r="1252" spans="1:1">
      <c r="A1252" t="s">
        <v>41057</v>
      </c>
    </row>
    <row r="1253" spans="1:1">
      <c r="A1253" t="s">
        <v>41057</v>
      </c>
    </row>
    <row r="1254" spans="1:1">
      <c r="A1254" t="s">
        <v>41074</v>
      </c>
    </row>
    <row r="1255" spans="1:1">
      <c r="A1255" t="s">
        <v>40488</v>
      </c>
    </row>
    <row r="1256" spans="1:1">
      <c r="A1256" t="s">
        <v>41057</v>
      </c>
    </row>
    <row r="1257" spans="1:1">
      <c r="A1257" t="s">
        <v>41057</v>
      </c>
    </row>
    <row r="1258" spans="1:1">
      <c r="A1258" t="s">
        <v>41057</v>
      </c>
    </row>
    <row r="1259" spans="1:1">
      <c r="A1259" t="s">
        <v>41057</v>
      </c>
    </row>
    <row r="1260" spans="1:1">
      <c r="A1260" t="s">
        <v>41057</v>
      </c>
    </row>
    <row r="1261" spans="1:1">
      <c r="A1261" t="s">
        <v>41057</v>
      </c>
    </row>
    <row r="1262" spans="1:1">
      <c r="A1262" t="s">
        <v>41626</v>
      </c>
    </row>
    <row r="1263" spans="1:1">
      <c r="A1263" t="s">
        <v>41057</v>
      </c>
    </row>
    <row r="1264" spans="1:1">
      <c r="A1264" t="s">
        <v>41627</v>
      </c>
    </row>
    <row r="1265" spans="1:1">
      <c r="A1265" t="s">
        <v>41614</v>
      </c>
    </row>
    <row r="1266" spans="1:1">
      <c r="A1266" t="s">
        <v>41057</v>
      </c>
    </row>
    <row r="1267" spans="1:1">
      <c r="A1267" t="s">
        <v>41057</v>
      </c>
    </row>
    <row r="1268" spans="1:1">
      <c r="A1268" t="s">
        <v>41057</v>
      </c>
    </row>
    <row r="1269" spans="1:1">
      <c r="A1269" t="s">
        <v>41057</v>
      </c>
    </row>
    <row r="1270" spans="1:1">
      <c r="A1270" t="e">
        <v>#NAME?</v>
      </c>
    </row>
    <row r="1271" spans="1:1">
      <c r="A1271" t="s">
        <v>41628</v>
      </c>
    </row>
    <row r="1272" spans="1:1">
      <c r="A1272" t="s">
        <v>41602</v>
      </c>
    </row>
    <row r="1273" spans="1:1">
      <c r="A1273" t="s">
        <v>41629</v>
      </c>
    </row>
    <row r="1274" spans="1:1">
      <c r="A1274" t="e">
        <v>#NAME?</v>
      </c>
    </row>
    <row r="1275" spans="1:1">
      <c r="A1275" t="s">
        <v>41630</v>
      </c>
    </row>
    <row r="1276" spans="1:1">
      <c r="A1276" t="s">
        <v>41631</v>
      </c>
    </row>
    <row r="1277" spans="1:1">
      <c r="A1277" t="s">
        <v>41620</v>
      </c>
    </row>
    <row r="1278" spans="1:1">
      <c r="A1278" t="s">
        <v>41632</v>
      </c>
    </row>
    <row r="1279" spans="1:1">
      <c r="A1279" t="s">
        <v>41633</v>
      </c>
    </row>
    <row r="1280" spans="1:1">
      <c r="A1280" t="s">
        <v>41634</v>
      </c>
    </row>
    <row r="1281" spans="1:1">
      <c r="A1281" t="s">
        <v>41635</v>
      </c>
    </row>
    <row r="1282" spans="1:1">
      <c r="A1282" t="s">
        <v>41636</v>
      </c>
    </row>
    <row r="1283" spans="1:1">
      <c r="A1283" t="e">
        <v>#NAME?</v>
      </c>
    </row>
    <row r="1284" spans="1:1">
      <c r="A1284" t="s">
        <v>41057</v>
      </c>
    </row>
    <row r="1285" spans="1:1">
      <c r="A1285" t="s">
        <v>41057</v>
      </c>
    </row>
    <row r="1286" spans="1:1">
      <c r="A1286" t="s">
        <v>41057</v>
      </c>
    </row>
    <row r="1287" spans="1:1">
      <c r="A1287" t="s">
        <v>41074</v>
      </c>
    </row>
    <row r="1288" spans="1:1">
      <c r="A1288" t="s">
        <v>41040</v>
      </c>
    </row>
    <row r="1289" spans="1:1">
      <c r="A1289" t="s">
        <v>41057</v>
      </c>
    </row>
    <row r="1290" spans="1:1">
      <c r="A1290" t="s">
        <v>41057</v>
      </c>
    </row>
    <row r="1291" spans="1:1">
      <c r="A1291" t="s">
        <v>41057</v>
      </c>
    </row>
    <row r="1292" spans="1:1">
      <c r="A1292" t="s">
        <v>41057</v>
      </c>
    </row>
    <row r="1293" spans="1:1">
      <c r="A1293" t="s">
        <v>41057</v>
      </c>
    </row>
    <row r="1294" spans="1:1">
      <c r="A1294" t="e">
        <v>#NAME?</v>
      </c>
    </row>
    <row r="1295" spans="1:1">
      <c r="A1295" t="s">
        <v>41637</v>
      </c>
    </row>
    <row r="1296" spans="1:1">
      <c r="A1296" t="s">
        <v>41057</v>
      </c>
    </row>
    <row r="1297" spans="1:1">
      <c r="A1297" t="s">
        <v>41638</v>
      </c>
    </row>
    <row r="1298" spans="1:1">
      <c r="A1298" t="s">
        <v>41614</v>
      </c>
    </row>
    <row r="1299" spans="1:1">
      <c r="A1299" t="s">
        <v>41057</v>
      </c>
    </row>
    <row r="1300" spans="1:1">
      <c r="A1300" t="s">
        <v>41057</v>
      </c>
    </row>
    <row r="1301" spans="1:1">
      <c r="A1301" t="s">
        <v>41057</v>
      </c>
    </row>
    <row r="1302" spans="1:1">
      <c r="A1302" t="s">
        <v>41057</v>
      </c>
    </row>
    <row r="1303" spans="1:1">
      <c r="A1303" t="e">
        <v>#NAME?</v>
      </c>
    </row>
    <row r="1304" spans="1:1">
      <c r="A1304" t="s">
        <v>41639</v>
      </c>
    </row>
    <row r="1305" spans="1:1">
      <c r="A1305" t="s">
        <v>41616</v>
      </c>
    </row>
    <row r="1306" spans="1:1">
      <c r="A1306" t="s">
        <v>41640</v>
      </c>
    </row>
    <row r="1307" spans="1:1">
      <c r="A1307" t="e">
        <v>#NAME?</v>
      </c>
    </row>
    <row r="1308" spans="1:1">
      <c r="A1308" t="s">
        <v>41641</v>
      </c>
    </row>
    <row r="1309" spans="1:1">
      <c r="A1309" t="s">
        <v>41642</v>
      </c>
    </row>
    <row r="1310" spans="1:1">
      <c r="A1310" t="s">
        <v>41620</v>
      </c>
    </row>
    <row r="1311" spans="1:1">
      <c r="A1311" t="s">
        <v>41632</v>
      </c>
    </row>
    <row r="1312" spans="1:1">
      <c r="A1312" t="s">
        <v>41643</v>
      </c>
    </row>
    <row r="1313" spans="1:1">
      <c r="A1313" t="s">
        <v>41644</v>
      </c>
    </row>
    <row r="1314" spans="1:1">
      <c r="A1314" t="s">
        <v>41645</v>
      </c>
    </row>
    <row r="1315" spans="1:1">
      <c r="A1315" t="s">
        <v>41646</v>
      </c>
    </row>
    <row r="1316" spans="1:1">
      <c r="A1316" t="e">
        <v>#NAME?</v>
      </c>
    </row>
    <row r="1317" spans="1:1">
      <c r="A1317" t="s">
        <v>41057</v>
      </c>
    </row>
    <row r="1318" spans="1:1">
      <c r="A1318" t="s">
        <v>41057</v>
      </c>
    </row>
    <row r="1319" spans="1:1">
      <c r="A1319" t="s">
        <v>41057</v>
      </c>
    </row>
    <row r="1320" spans="1:1">
      <c r="A1320" t="s">
        <v>41074</v>
      </c>
    </row>
    <row r="1321" spans="1:1">
      <c r="A1321" t="s">
        <v>40494</v>
      </c>
    </row>
    <row r="1322" spans="1:1">
      <c r="A1322" t="s">
        <v>41057</v>
      </c>
    </row>
    <row r="1323" spans="1:1">
      <c r="A1323" t="s">
        <v>41057</v>
      </c>
    </row>
    <row r="1324" spans="1:1">
      <c r="A1324" t="s">
        <v>41057</v>
      </c>
    </row>
    <row r="1325" spans="1:1">
      <c r="A1325" t="s">
        <v>41057</v>
      </c>
    </row>
    <row r="1326" spans="1:1">
      <c r="A1326" t="s">
        <v>41057</v>
      </c>
    </row>
    <row r="1327" spans="1:1">
      <c r="A1327" t="s">
        <v>41057</v>
      </c>
    </row>
    <row r="1328" spans="1:1">
      <c r="A1328" t="s">
        <v>41647</v>
      </c>
    </row>
    <row r="1329" spans="1:1">
      <c r="A1329" t="s">
        <v>41057</v>
      </c>
    </row>
    <row r="1330" spans="1:1">
      <c r="A1330" t="s">
        <v>41648</v>
      </c>
    </row>
    <row r="1331" spans="1:1">
      <c r="A1331" t="s">
        <v>41614</v>
      </c>
    </row>
    <row r="1332" spans="1:1">
      <c r="A1332" t="s">
        <v>41057</v>
      </c>
    </row>
    <row r="1333" spans="1:1">
      <c r="A1333" t="s">
        <v>41057</v>
      </c>
    </row>
    <row r="1334" spans="1:1">
      <c r="A1334" t="s">
        <v>41057</v>
      </c>
    </row>
    <row r="1335" spans="1:1">
      <c r="A1335" t="s">
        <v>41057</v>
      </c>
    </row>
    <row r="1336" spans="1:1">
      <c r="A1336" t="e">
        <v>#NAME?</v>
      </c>
    </row>
    <row r="1337" spans="1:1">
      <c r="A1337" t="s">
        <v>41649</v>
      </c>
    </row>
    <row r="1338" spans="1:1">
      <c r="A1338" t="s">
        <v>41616</v>
      </c>
    </row>
    <row r="1339" spans="1:1">
      <c r="A1339" t="s">
        <v>41650</v>
      </c>
    </row>
    <row r="1340" spans="1:1">
      <c r="A1340" t="e">
        <v>#NAME?</v>
      </c>
    </row>
    <row r="1341" spans="1:1">
      <c r="A1341" t="s">
        <v>41651</v>
      </c>
    </row>
    <row r="1342" spans="1:1">
      <c r="A1342" t="s">
        <v>41652</v>
      </c>
    </row>
    <row r="1343" spans="1:1">
      <c r="A1343" t="s">
        <v>41620</v>
      </c>
    </row>
    <row r="1344" spans="1:1">
      <c r="A1344" t="s">
        <v>41653</v>
      </c>
    </row>
    <row r="1345" spans="1:1">
      <c r="A1345" t="s">
        <v>41654</v>
      </c>
    </row>
    <row r="1346" spans="1:1">
      <c r="A1346" t="s">
        <v>41655</v>
      </c>
    </row>
    <row r="1347" spans="1:1">
      <c r="A1347" t="s">
        <v>41656</v>
      </c>
    </row>
    <row r="1348" spans="1:1">
      <c r="A1348" t="s">
        <v>41657</v>
      </c>
    </row>
    <row r="1349" spans="1:1">
      <c r="A1349" t="e">
        <v>#NAME?</v>
      </c>
    </row>
    <row r="1350" spans="1:1">
      <c r="A1350" t="s">
        <v>41057</v>
      </c>
    </row>
    <row r="1351" spans="1:1">
      <c r="A1351" t="s">
        <v>41057</v>
      </c>
    </row>
    <row r="1352" spans="1:1">
      <c r="A1352" t="s">
        <v>41057</v>
      </c>
    </row>
    <row r="1353" spans="1:1">
      <c r="A1353" t="s">
        <v>41074</v>
      </c>
    </row>
    <row r="1354" spans="1:1">
      <c r="A1354" t="s">
        <v>41045</v>
      </c>
    </row>
    <row r="1355" spans="1:1">
      <c r="A1355" t="s">
        <v>41057</v>
      </c>
    </row>
    <row r="1356" spans="1:1">
      <c r="A1356" t="s">
        <v>41057</v>
      </c>
    </row>
    <row r="1357" spans="1:1">
      <c r="A1357" t="s">
        <v>41057</v>
      </c>
    </row>
    <row r="1358" spans="1:1">
      <c r="A1358" t="s">
        <v>41057</v>
      </c>
    </row>
    <row r="1359" spans="1:1">
      <c r="A1359" t="s">
        <v>41057</v>
      </c>
    </row>
    <row r="1360" spans="1:1">
      <c r="A1360" t="e">
        <v>#NAME?</v>
      </c>
    </row>
    <row r="1361" spans="1:1">
      <c r="A1361" t="s">
        <v>41658</v>
      </c>
    </row>
    <row r="1362" spans="1:1">
      <c r="A1362" t="s">
        <v>41057</v>
      </c>
    </row>
    <row r="1363" spans="1:1">
      <c r="A1363" t="s">
        <v>41659</v>
      </c>
    </row>
    <row r="1364" spans="1:1">
      <c r="A1364" t="s">
        <v>41614</v>
      </c>
    </row>
    <row r="1365" spans="1:1">
      <c r="A1365" t="s">
        <v>41057</v>
      </c>
    </row>
    <row r="1366" spans="1:1">
      <c r="A1366" t="s">
        <v>41057</v>
      </c>
    </row>
    <row r="1367" spans="1:1">
      <c r="A1367" t="s">
        <v>41057</v>
      </c>
    </row>
    <row r="1368" spans="1:1">
      <c r="A1368" t="s">
        <v>41057</v>
      </c>
    </row>
    <row r="1369" spans="1:1">
      <c r="A1369" t="e">
        <v>#NAME?</v>
      </c>
    </row>
    <row r="1370" spans="1:1">
      <c r="A1370" t="s">
        <v>41660</v>
      </c>
    </row>
    <row r="1371" spans="1:1">
      <c r="A1371" t="s">
        <v>41616</v>
      </c>
    </row>
    <row r="1372" spans="1:1">
      <c r="A1372" t="s">
        <v>41661</v>
      </c>
    </row>
    <row r="1373" spans="1:1">
      <c r="A1373" t="e">
        <v>#NAME?</v>
      </c>
    </row>
    <row r="1374" spans="1:1">
      <c r="A1374" t="s">
        <v>41662</v>
      </c>
    </row>
    <row r="1375" spans="1:1">
      <c r="A1375" t="s">
        <v>41663</v>
      </c>
    </row>
    <row r="1376" spans="1:1">
      <c r="A1376" t="s">
        <v>41664</v>
      </c>
    </row>
    <row r="1377" spans="1:1">
      <c r="A1377" t="s">
        <v>41665</v>
      </c>
    </row>
    <row r="1378" spans="1:1">
      <c r="A1378" t="s">
        <v>41666</v>
      </c>
    </row>
    <row r="1379" spans="1:1">
      <c r="A1379" t="s">
        <v>41667</v>
      </c>
    </row>
    <row r="1380" spans="1:1">
      <c r="A1380" t="s">
        <v>41668</v>
      </c>
    </row>
    <row r="1381" spans="1:1">
      <c r="A1381" t="s">
        <v>41669</v>
      </c>
    </row>
    <row r="1382" spans="1:1">
      <c r="A1382" t="e">
        <v>#NAME?</v>
      </c>
    </row>
    <row r="1383" spans="1:1">
      <c r="A1383" t="s">
        <v>41057</v>
      </c>
    </row>
    <row r="1384" spans="1:1">
      <c r="A1384" t="s">
        <v>41057</v>
      </c>
    </row>
    <row r="1385" spans="1:1">
      <c r="A1385" t="s">
        <v>41057</v>
      </c>
    </row>
    <row r="1386" spans="1:1">
      <c r="A1386" t="s">
        <v>41074</v>
      </c>
    </row>
    <row r="1387" spans="1:1">
      <c r="A1387" t="s">
        <v>41022</v>
      </c>
    </row>
    <row r="1388" spans="1:1">
      <c r="A1388" t="s">
        <v>41057</v>
      </c>
    </row>
    <row r="1389" spans="1:1">
      <c r="A1389" t="s">
        <v>41057</v>
      </c>
    </row>
    <row r="1390" spans="1:1">
      <c r="A1390" t="s">
        <v>41057</v>
      </c>
    </row>
    <row r="1391" spans="1:1">
      <c r="A1391" t="s">
        <v>41057</v>
      </c>
    </row>
    <row r="1392" spans="1:1">
      <c r="A1392" t="s">
        <v>41057</v>
      </c>
    </row>
    <row r="1393" spans="1:1">
      <c r="A1393" t="e">
        <v>#NAME?</v>
      </c>
    </row>
    <row r="1394" spans="1:1">
      <c r="A1394" t="s">
        <v>41670</v>
      </c>
    </row>
    <row r="1395" spans="1:1">
      <c r="A1395" t="s">
        <v>41057</v>
      </c>
    </row>
    <row r="1396" spans="1:1">
      <c r="A1396" t="s">
        <v>41671</v>
      </c>
    </row>
    <row r="1397" spans="1:1">
      <c r="A1397" t="s">
        <v>41614</v>
      </c>
    </row>
    <row r="1398" spans="1:1">
      <c r="A1398" t="s">
        <v>41057</v>
      </c>
    </row>
    <row r="1399" spans="1:1">
      <c r="A1399" t="s">
        <v>41057</v>
      </c>
    </row>
    <row r="1400" spans="1:1">
      <c r="A1400" t="s">
        <v>41057</v>
      </c>
    </row>
    <row r="1401" spans="1:1">
      <c r="A1401" t="s">
        <v>41057</v>
      </c>
    </row>
    <row r="1402" spans="1:1">
      <c r="A1402" t="e">
        <v>#NAME?</v>
      </c>
    </row>
    <row r="1403" spans="1:1">
      <c r="A1403" t="s">
        <v>41672</v>
      </c>
    </row>
    <row r="1404" spans="1:1">
      <c r="A1404" t="s">
        <v>41673</v>
      </c>
    </row>
    <row r="1405" spans="1:1">
      <c r="A1405" t="s">
        <v>41674</v>
      </c>
    </row>
    <row r="1406" spans="1:1">
      <c r="A1406" t="e">
        <v>#NAME?</v>
      </c>
    </row>
    <row r="1407" spans="1:1">
      <c r="A1407" t="s">
        <v>41675</v>
      </c>
    </row>
    <row r="1408" spans="1:1">
      <c r="A1408" t="s">
        <v>41676</v>
      </c>
    </row>
    <row r="1409" spans="1:1">
      <c r="A1409" t="s">
        <v>41677</v>
      </c>
    </row>
    <row r="1410" spans="1:1">
      <c r="A1410" t="s">
        <v>41678</v>
      </c>
    </row>
    <row r="1411" spans="1:1">
      <c r="A1411" t="s">
        <v>41679</v>
      </c>
    </row>
    <row r="1412" spans="1:1">
      <c r="A1412" t="s">
        <v>41680</v>
      </c>
    </row>
    <row r="1413" spans="1:1">
      <c r="A1413" t="s">
        <v>41681</v>
      </c>
    </row>
    <row r="1414" spans="1:1">
      <c r="A1414" t="s">
        <v>41682</v>
      </c>
    </row>
    <row r="1415" spans="1:1">
      <c r="A1415" t="e">
        <v>#NAME?</v>
      </c>
    </row>
    <row r="1416" spans="1:1">
      <c r="A1416" t="s">
        <v>41057</v>
      </c>
    </row>
    <row r="1417" spans="1:1">
      <c r="A1417" t="s">
        <v>41057</v>
      </c>
    </row>
    <row r="1418" spans="1:1">
      <c r="A1418" t="s">
        <v>41057</v>
      </c>
    </row>
    <row r="1419" spans="1:1">
      <c r="A1419" t="s">
        <v>41074</v>
      </c>
    </row>
    <row r="1420" spans="1:1">
      <c r="A1420" t="s">
        <v>40500</v>
      </c>
    </row>
    <row r="1421" spans="1:1">
      <c r="A1421" t="s">
        <v>41057</v>
      </c>
    </row>
    <row r="1422" spans="1:1">
      <c r="A1422" t="s">
        <v>41057</v>
      </c>
    </row>
    <row r="1423" spans="1:1">
      <c r="A1423" t="s">
        <v>41057</v>
      </c>
    </row>
    <row r="1424" spans="1:1">
      <c r="A1424" t="s">
        <v>41057</v>
      </c>
    </row>
    <row r="1425" spans="1:1">
      <c r="A1425" t="s">
        <v>41057</v>
      </c>
    </row>
    <row r="1426" spans="1:1">
      <c r="A1426" t="s">
        <v>41057</v>
      </c>
    </row>
    <row r="1427" spans="1:1">
      <c r="A1427" t="s">
        <v>41683</v>
      </c>
    </row>
    <row r="1428" spans="1:1">
      <c r="A1428" t="s">
        <v>41057</v>
      </c>
    </row>
    <row r="1429" spans="1:1">
      <c r="A1429" t="s">
        <v>41684</v>
      </c>
    </row>
    <row r="1430" spans="1:1">
      <c r="A1430" t="s">
        <v>41685</v>
      </c>
    </row>
    <row r="1431" spans="1:1">
      <c r="A1431" t="s">
        <v>41057</v>
      </c>
    </row>
    <row r="1432" spans="1:1">
      <c r="A1432" t="s">
        <v>41057</v>
      </c>
    </row>
    <row r="1433" spans="1:1">
      <c r="A1433" t="s">
        <v>41057</v>
      </c>
    </row>
    <row r="1434" spans="1:1">
      <c r="A1434" t="s">
        <v>41057</v>
      </c>
    </row>
    <row r="1435" spans="1:1">
      <c r="A1435" t="e">
        <v>#NAME?</v>
      </c>
    </row>
    <row r="1436" spans="1:1">
      <c r="A1436" t="s">
        <v>41686</v>
      </c>
    </row>
    <row r="1437" spans="1:1">
      <c r="A1437" t="s">
        <v>41687</v>
      </c>
    </row>
    <row r="1438" spans="1:1">
      <c r="A1438" t="s">
        <v>41688</v>
      </c>
    </row>
    <row r="1439" spans="1:1">
      <c r="A1439" t="e">
        <v>#NAME?</v>
      </c>
    </row>
    <row r="1440" spans="1:1">
      <c r="A1440" t="s">
        <v>41689</v>
      </c>
    </row>
    <row r="1441" spans="1:1">
      <c r="A1441" t="s">
        <v>41690</v>
      </c>
    </row>
    <row r="1442" spans="1:1">
      <c r="A1442" t="s">
        <v>41691</v>
      </c>
    </row>
    <row r="1443" spans="1:1">
      <c r="A1443" t="s">
        <v>41692</v>
      </c>
    </row>
    <row r="1444" spans="1:1">
      <c r="A1444" t="s">
        <v>41693</v>
      </c>
    </row>
    <row r="1445" spans="1:1">
      <c r="A1445" t="s">
        <v>41057</v>
      </c>
    </row>
    <row r="1446" spans="1:1">
      <c r="A1446" t="s">
        <v>41057</v>
      </c>
    </row>
    <row r="1447" spans="1:1">
      <c r="A1447" t="s">
        <v>41057</v>
      </c>
    </row>
    <row r="1448" spans="1:1">
      <c r="A1448" t="s">
        <v>41057</v>
      </c>
    </row>
    <row r="1449" spans="1:1">
      <c r="A1449" t="s">
        <v>41057</v>
      </c>
    </row>
    <row r="1450" spans="1:1">
      <c r="A1450" t="s">
        <v>41057</v>
      </c>
    </row>
    <row r="1451" spans="1:1">
      <c r="A1451" t="s">
        <v>41057</v>
      </c>
    </row>
    <row r="1452" spans="1:1">
      <c r="A1452" t="s">
        <v>41074</v>
      </c>
    </row>
    <row r="1453" spans="1:1">
      <c r="A1453" t="s">
        <v>40505</v>
      </c>
    </row>
    <row r="1454" spans="1:1">
      <c r="A1454" t="s">
        <v>41057</v>
      </c>
    </row>
    <row r="1455" spans="1:1">
      <c r="A1455" t="s">
        <v>41057</v>
      </c>
    </row>
    <row r="1456" spans="1:1">
      <c r="A1456" t="s">
        <v>41057</v>
      </c>
    </row>
    <row r="1457" spans="1:1">
      <c r="A1457" t="s">
        <v>41057</v>
      </c>
    </row>
    <row r="1458" spans="1:1">
      <c r="A1458" t="s">
        <v>41057</v>
      </c>
    </row>
    <row r="1459" spans="1:1">
      <c r="A1459" t="s">
        <v>41057</v>
      </c>
    </row>
    <row r="1460" spans="1:1">
      <c r="A1460" t="s">
        <v>41694</v>
      </c>
    </row>
    <row r="1461" spans="1:1">
      <c r="A1461" t="s">
        <v>41057</v>
      </c>
    </row>
    <row r="1462" spans="1:1">
      <c r="A1462" t="s">
        <v>41695</v>
      </c>
    </row>
    <row r="1463" spans="1:1">
      <c r="A1463" t="s">
        <v>41554</v>
      </c>
    </row>
    <row r="1464" spans="1:1">
      <c r="A1464" t="s">
        <v>41057</v>
      </c>
    </row>
    <row r="1465" spans="1:1">
      <c r="A1465" t="s">
        <v>41057</v>
      </c>
    </row>
    <row r="1466" spans="1:1">
      <c r="A1466" t="s">
        <v>41057</v>
      </c>
    </row>
    <row r="1467" spans="1:1">
      <c r="A1467" t="s">
        <v>41057</v>
      </c>
    </row>
    <row r="1468" spans="1:1">
      <c r="A1468" t="e">
        <v>#NAME?</v>
      </c>
    </row>
    <row r="1469" spans="1:1">
      <c r="A1469" t="s">
        <v>41696</v>
      </c>
    </row>
    <row r="1470" spans="1:1">
      <c r="A1470" t="s">
        <v>41697</v>
      </c>
    </row>
    <row r="1471" spans="1:1">
      <c r="A1471" t="s">
        <v>41698</v>
      </c>
    </row>
    <row r="1472" spans="1:1">
      <c r="A1472" t="s">
        <v>41699</v>
      </c>
    </row>
    <row r="1473" spans="1:1">
      <c r="A1473" t="e">
        <v>#NAME?</v>
      </c>
    </row>
    <row r="1474" spans="1:1">
      <c r="A1474" t="s">
        <v>41700</v>
      </c>
    </row>
    <row r="1475" spans="1:1">
      <c r="A1475" t="s">
        <v>41701</v>
      </c>
    </row>
    <row r="1476" spans="1:1">
      <c r="A1476" t="s">
        <v>41702</v>
      </c>
    </row>
    <row r="1477" spans="1:1">
      <c r="A1477" t="s">
        <v>41703</v>
      </c>
    </row>
    <row r="1478" spans="1:1">
      <c r="A1478" t="s">
        <v>41704</v>
      </c>
    </row>
    <row r="1479" spans="1:1">
      <c r="A1479" t="s">
        <v>41705</v>
      </c>
    </row>
    <row r="1480" spans="1:1">
      <c r="A1480" t="s">
        <v>41706</v>
      </c>
    </row>
    <row r="1481" spans="1:1">
      <c r="A1481" t="s">
        <v>41707</v>
      </c>
    </row>
    <row r="1482" spans="1:1">
      <c r="A1482" t="s">
        <v>41057</v>
      </c>
    </row>
    <row r="1483" spans="1:1">
      <c r="A1483" t="s">
        <v>41057</v>
      </c>
    </row>
    <row r="1484" spans="1:1">
      <c r="A1484" t="s">
        <v>41057</v>
      </c>
    </row>
    <row r="1485" spans="1:1">
      <c r="A1485" t="s">
        <v>41074</v>
      </c>
    </row>
    <row r="1486" spans="1:1">
      <c r="A1486" t="s">
        <v>40511</v>
      </c>
    </row>
    <row r="1487" spans="1:1">
      <c r="A1487" t="e">
        <v>#NAME?</v>
      </c>
    </row>
    <row r="1488" spans="1:1">
      <c r="A1488" t="s">
        <v>41087</v>
      </c>
    </row>
    <row r="1489" spans="1:1">
      <c r="A1489" t="s">
        <v>41057</v>
      </c>
    </row>
    <row r="1490" spans="1:1">
      <c r="A1490" t="s">
        <v>41057</v>
      </c>
    </row>
    <row r="1491" spans="1:1">
      <c r="A1491" t="s">
        <v>41057</v>
      </c>
    </row>
    <row r="1492" spans="1:1">
      <c r="A1492" t="e">
        <v>#NAME?</v>
      </c>
    </row>
    <row r="1493" spans="1:1">
      <c r="A1493" t="s">
        <v>41708</v>
      </c>
    </row>
    <row r="1494" spans="1:1">
      <c r="A1494" t="s">
        <v>41057</v>
      </c>
    </row>
    <row r="1495" spans="1:1">
      <c r="A1495" t="s">
        <v>41695</v>
      </c>
    </row>
    <row r="1496" spans="1:1">
      <c r="A1496" t="s">
        <v>41554</v>
      </c>
    </row>
    <row r="1497" spans="1:1">
      <c r="A1497" t="s">
        <v>41057</v>
      </c>
    </row>
    <row r="1498" spans="1:1">
      <c r="A1498" t="s">
        <v>41057</v>
      </c>
    </row>
    <row r="1499" spans="1:1">
      <c r="A1499" t="s">
        <v>41057</v>
      </c>
    </row>
    <row r="1500" spans="1:1">
      <c r="A1500" t="s">
        <v>41057</v>
      </c>
    </row>
    <row r="1501" spans="1:1">
      <c r="A1501" t="e">
        <v>#NAME?</v>
      </c>
    </row>
    <row r="1502" spans="1:1">
      <c r="A1502" t="s">
        <v>41709</v>
      </c>
    </row>
    <row r="1503" spans="1:1">
      <c r="A1503" t="s">
        <v>41710</v>
      </c>
    </row>
    <row r="1504" spans="1:1">
      <c r="A1504" t="s">
        <v>41711</v>
      </c>
    </row>
    <row r="1505" spans="1:1">
      <c r="A1505" t="s">
        <v>41712</v>
      </c>
    </row>
    <row r="1506" spans="1:1">
      <c r="A1506" t="e">
        <v>#NAME?</v>
      </c>
    </row>
    <row r="1507" spans="1:1">
      <c r="A1507" t="s">
        <v>41713</v>
      </c>
    </row>
    <row r="1508" spans="1:1">
      <c r="A1508" t="s">
        <v>41714</v>
      </c>
    </row>
    <row r="1509" spans="1:1">
      <c r="A1509" t="s">
        <v>41702</v>
      </c>
    </row>
    <row r="1510" spans="1:1">
      <c r="A1510" t="s">
        <v>41715</v>
      </c>
    </row>
    <row r="1511" spans="1:1">
      <c r="A1511" t="s">
        <v>41716</v>
      </c>
    </row>
    <row r="1512" spans="1:1">
      <c r="A1512" t="s">
        <v>41717</v>
      </c>
    </row>
    <row r="1513" spans="1:1">
      <c r="A1513" t="s">
        <v>41718</v>
      </c>
    </row>
    <row r="1514" spans="1:1">
      <c r="A1514" t="s">
        <v>41719</v>
      </c>
    </row>
    <row r="1515" spans="1:1">
      <c r="A1515" t="s">
        <v>41057</v>
      </c>
    </row>
    <row r="1516" spans="1:1">
      <c r="A1516" t="s">
        <v>41057</v>
      </c>
    </row>
    <row r="1517" spans="1:1">
      <c r="A1517" t="s">
        <v>41057</v>
      </c>
    </row>
    <row r="1518" spans="1:1">
      <c r="A1518" t="s">
        <v>41074</v>
      </c>
    </row>
    <row r="1519" spans="1:1">
      <c r="A1519" t="s">
        <v>40517</v>
      </c>
    </row>
    <row r="1520" spans="1:1">
      <c r="A1520" t="s">
        <v>41057</v>
      </c>
    </row>
    <row r="1521" spans="1:1">
      <c r="A1521" t="s">
        <v>41057</v>
      </c>
    </row>
    <row r="1522" spans="1:1">
      <c r="A1522" t="s">
        <v>41057</v>
      </c>
    </row>
    <row r="1523" spans="1:1">
      <c r="A1523" t="s">
        <v>41057</v>
      </c>
    </row>
    <row r="1524" spans="1:1">
      <c r="A1524" t="s">
        <v>41057</v>
      </c>
    </row>
    <row r="1525" spans="1:1">
      <c r="A1525" t="s">
        <v>41057</v>
      </c>
    </row>
    <row r="1526" spans="1:1">
      <c r="A1526" t="s">
        <v>41720</v>
      </c>
    </row>
    <row r="1527" spans="1:1">
      <c r="A1527" t="s">
        <v>41057</v>
      </c>
    </row>
    <row r="1528" spans="1:1">
      <c r="A1528" t="s">
        <v>41721</v>
      </c>
    </row>
    <row r="1529" spans="1:1">
      <c r="A1529" t="s">
        <v>41554</v>
      </c>
    </row>
    <row r="1530" spans="1:1">
      <c r="A1530" t="s">
        <v>41057</v>
      </c>
    </row>
    <row r="1531" spans="1:1">
      <c r="A1531" t="s">
        <v>41057</v>
      </c>
    </row>
    <row r="1532" spans="1:1">
      <c r="A1532" t="s">
        <v>41057</v>
      </c>
    </row>
    <row r="1533" spans="1:1">
      <c r="A1533" t="s">
        <v>41057</v>
      </c>
    </row>
    <row r="1534" spans="1:1">
      <c r="A1534" t="e">
        <v>#NAME?</v>
      </c>
    </row>
    <row r="1535" spans="1:1">
      <c r="A1535" t="s">
        <v>41722</v>
      </c>
    </row>
    <row r="1536" spans="1:1">
      <c r="A1536" t="s">
        <v>41723</v>
      </c>
    </row>
    <row r="1537" spans="1:1">
      <c r="A1537" t="s">
        <v>41724</v>
      </c>
    </row>
    <row r="1538" spans="1:1">
      <c r="A1538" t="s">
        <v>41725</v>
      </c>
    </row>
    <row r="1539" spans="1:1">
      <c r="A1539" t="e">
        <v>#NAME?</v>
      </c>
    </row>
    <row r="1540" spans="1:1">
      <c r="A1540" t="s">
        <v>41713</v>
      </c>
    </row>
    <row r="1541" spans="1:1">
      <c r="A1541" t="s">
        <v>41726</v>
      </c>
    </row>
    <row r="1542" spans="1:1">
      <c r="A1542" t="s">
        <v>41727</v>
      </c>
    </row>
    <row r="1543" spans="1:1">
      <c r="A1543" t="s">
        <v>41728</v>
      </c>
    </row>
    <row r="1544" spans="1:1">
      <c r="A1544" t="s">
        <v>41729</v>
      </c>
    </row>
    <row r="1545" spans="1:1">
      <c r="A1545" t="s">
        <v>41730</v>
      </c>
    </row>
    <row r="1546" spans="1:1">
      <c r="A1546" t="s">
        <v>41731</v>
      </c>
    </row>
    <row r="1547" spans="1:1">
      <c r="A1547" t="s">
        <v>41732</v>
      </c>
    </row>
    <row r="1548" spans="1:1">
      <c r="A1548" t="s">
        <v>41057</v>
      </c>
    </row>
    <row r="1549" spans="1:1">
      <c r="A1549" t="s">
        <v>41057</v>
      </c>
    </row>
    <row r="1550" spans="1:1">
      <c r="A1550" t="s">
        <v>41057</v>
      </c>
    </row>
    <row r="1551" spans="1:1">
      <c r="A1551" t="s">
        <v>41074</v>
      </c>
    </row>
    <row r="1552" spans="1:1">
      <c r="A1552" t="s">
        <v>40523</v>
      </c>
    </row>
    <row r="1553" spans="1:1">
      <c r="A1553" t="s">
        <v>41057</v>
      </c>
    </row>
    <row r="1554" spans="1:1">
      <c r="A1554" t="s">
        <v>41057</v>
      </c>
    </row>
    <row r="1555" spans="1:1">
      <c r="A1555" t="s">
        <v>41057</v>
      </c>
    </row>
    <row r="1556" spans="1:1">
      <c r="A1556" t="s">
        <v>41057</v>
      </c>
    </row>
    <row r="1557" spans="1:1">
      <c r="A1557" t="s">
        <v>41057</v>
      </c>
    </row>
    <row r="1558" spans="1:1">
      <c r="A1558" t="s">
        <v>41057</v>
      </c>
    </row>
    <row r="1559" spans="1:1">
      <c r="A1559" t="s">
        <v>41733</v>
      </c>
    </row>
    <row r="1560" spans="1:1">
      <c r="A1560" t="s">
        <v>41057</v>
      </c>
    </row>
    <row r="1561" spans="1:1">
      <c r="A1561" t="s">
        <v>41734</v>
      </c>
    </row>
    <row r="1562" spans="1:1">
      <c r="A1562" t="s">
        <v>41554</v>
      </c>
    </row>
    <row r="1563" spans="1:1">
      <c r="A1563" t="s">
        <v>41057</v>
      </c>
    </row>
    <row r="1564" spans="1:1">
      <c r="A1564" t="s">
        <v>41057</v>
      </c>
    </row>
    <row r="1565" spans="1:1">
      <c r="A1565" t="s">
        <v>41057</v>
      </c>
    </row>
    <row r="1566" spans="1:1">
      <c r="A1566" t="s">
        <v>41057</v>
      </c>
    </row>
    <row r="1567" spans="1:1">
      <c r="A1567" t="e">
        <v>#NAME?</v>
      </c>
    </row>
    <row r="1568" spans="1:1">
      <c r="A1568" t="s">
        <v>41735</v>
      </c>
    </row>
    <row r="1569" spans="1:1">
      <c r="A1569" t="s">
        <v>41710</v>
      </c>
    </row>
    <row r="1570" spans="1:1">
      <c r="A1570" t="s">
        <v>41736</v>
      </c>
    </row>
    <row r="1571" spans="1:1">
      <c r="A1571" t="s">
        <v>41737</v>
      </c>
    </row>
    <row r="1572" spans="1:1">
      <c r="A1572" t="e">
        <v>#NAME?</v>
      </c>
    </row>
    <row r="1573" spans="1:1">
      <c r="A1573" t="s">
        <v>41738</v>
      </c>
    </row>
    <row r="1574" spans="1:1">
      <c r="A1574" t="s">
        <v>41739</v>
      </c>
    </row>
    <row r="1575" spans="1:1">
      <c r="A1575" t="s">
        <v>41740</v>
      </c>
    </row>
    <row r="1576" spans="1:1">
      <c r="A1576" t="s">
        <v>41741</v>
      </c>
    </row>
    <row r="1577" spans="1:1">
      <c r="A1577" t="s">
        <v>41742</v>
      </c>
    </row>
    <row r="1578" spans="1:1">
      <c r="A1578" t="s">
        <v>41743</v>
      </c>
    </row>
    <row r="1579" spans="1:1">
      <c r="A1579" t="s">
        <v>41744</v>
      </c>
    </row>
    <row r="1580" spans="1:1">
      <c r="A1580" t="s">
        <v>41745</v>
      </c>
    </row>
    <row r="1581" spans="1:1">
      <c r="A1581" t="s">
        <v>41057</v>
      </c>
    </row>
    <row r="1582" spans="1:1">
      <c r="A1582" t="s">
        <v>41057</v>
      </c>
    </row>
    <row r="1583" spans="1:1">
      <c r="A1583" t="s">
        <v>41057</v>
      </c>
    </row>
    <row r="1584" spans="1:1">
      <c r="A1584" t="s">
        <v>41074</v>
      </c>
    </row>
    <row r="1585" spans="1:1">
      <c r="A1585" t="s">
        <v>40529</v>
      </c>
    </row>
    <row r="1586" spans="1:1">
      <c r="A1586" t="s">
        <v>41200</v>
      </c>
    </row>
    <row r="1587" spans="1:1">
      <c r="A1587" t="s">
        <v>41057</v>
      </c>
    </row>
    <row r="1588" spans="1:1">
      <c r="A1588" t="s">
        <v>41057</v>
      </c>
    </row>
    <row r="1589" spans="1:1">
      <c r="A1589" t="s">
        <v>41057</v>
      </c>
    </row>
    <row r="1590" spans="1:1">
      <c r="A1590" t="s">
        <v>41057</v>
      </c>
    </row>
    <row r="1591" spans="1:1">
      <c r="A1591" t="e">
        <v>#NAME?</v>
      </c>
    </row>
    <row r="1592" spans="1:1">
      <c r="A1592" t="s">
        <v>41746</v>
      </c>
    </row>
    <row r="1593" spans="1:1">
      <c r="A1593" t="s">
        <v>41057</v>
      </c>
    </row>
    <row r="1594" spans="1:1">
      <c r="A1594" t="s">
        <v>41747</v>
      </c>
    </row>
    <row r="1595" spans="1:1">
      <c r="A1595" t="s">
        <v>41748</v>
      </c>
    </row>
    <row r="1596" spans="1:1">
      <c r="A1596" t="s">
        <v>41057</v>
      </c>
    </row>
    <row r="1597" spans="1:1">
      <c r="A1597" t="s">
        <v>41057</v>
      </c>
    </row>
    <row r="1598" spans="1:1">
      <c r="A1598" t="s">
        <v>41057</v>
      </c>
    </row>
    <row r="1599" spans="1:1">
      <c r="A1599" t="s">
        <v>41057</v>
      </c>
    </row>
    <row r="1600" spans="1:1">
      <c r="A1600" t="e">
        <v>#NAME?</v>
      </c>
    </row>
    <row r="1601" spans="1:1">
      <c r="A1601" t="s">
        <v>41749</v>
      </c>
    </row>
    <row r="1602" spans="1:1">
      <c r="A1602" t="s">
        <v>41750</v>
      </c>
    </row>
    <row r="1603" spans="1:1">
      <c r="A1603" t="s">
        <v>41751</v>
      </c>
    </row>
    <row r="1604" spans="1:1">
      <c r="A1604" t="s">
        <v>41752</v>
      </c>
    </row>
    <row r="1605" spans="1:1">
      <c r="A1605" t="e">
        <v>#NAME?</v>
      </c>
    </row>
    <row r="1606" spans="1:1">
      <c r="A1606" t="s">
        <v>41753</v>
      </c>
    </row>
    <row r="1607" spans="1:1">
      <c r="A1607" t="s">
        <v>41754</v>
      </c>
    </row>
    <row r="1608" spans="1:1">
      <c r="A1608" t="s">
        <v>41740</v>
      </c>
    </row>
    <row r="1609" spans="1:1">
      <c r="A1609" t="s">
        <v>41755</v>
      </c>
    </row>
    <row r="1610" spans="1:1">
      <c r="A1610" t="s">
        <v>41756</v>
      </c>
    </row>
    <row r="1611" spans="1:1">
      <c r="A1611" t="s">
        <v>41757</v>
      </c>
    </row>
    <row r="1612" spans="1:1">
      <c r="A1612" t="s">
        <v>41758</v>
      </c>
    </row>
    <row r="1613" spans="1:1">
      <c r="A1613" t="s">
        <v>41759</v>
      </c>
    </row>
    <row r="1614" spans="1:1">
      <c r="A1614" t="s">
        <v>41057</v>
      </c>
    </row>
    <row r="1615" spans="1:1">
      <c r="A1615" t="s">
        <v>41057</v>
      </c>
    </row>
    <row r="1616" spans="1:1">
      <c r="A1616" t="s">
        <v>41057</v>
      </c>
    </row>
    <row r="1617" spans="1:1">
      <c r="A1617" t="s">
        <v>41074</v>
      </c>
    </row>
    <row r="1618" spans="1:1">
      <c r="A1618" t="s">
        <v>40535</v>
      </c>
    </row>
    <row r="1619" spans="1:1">
      <c r="A1619" t="s">
        <v>41057</v>
      </c>
    </row>
    <row r="1620" spans="1:1">
      <c r="A1620" t="s">
        <v>41057</v>
      </c>
    </row>
    <row r="1621" spans="1:1">
      <c r="A1621" t="s">
        <v>41057</v>
      </c>
    </row>
    <row r="1622" spans="1:1">
      <c r="A1622" t="s">
        <v>41057</v>
      </c>
    </row>
    <row r="1623" spans="1:1">
      <c r="A1623" t="s">
        <v>41057</v>
      </c>
    </row>
    <row r="1624" spans="1:1">
      <c r="A1624" t="s">
        <v>41057</v>
      </c>
    </row>
    <row r="1625" spans="1:1">
      <c r="A1625" t="s">
        <v>41760</v>
      </c>
    </row>
    <row r="1626" spans="1:1">
      <c r="A1626" t="s">
        <v>41057</v>
      </c>
    </row>
    <row r="1627" spans="1:1">
      <c r="A1627" t="s">
        <v>41761</v>
      </c>
    </row>
    <row r="1628" spans="1:1">
      <c r="A1628" t="s">
        <v>41107</v>
      </c>
    </row>
    <row r="1629" spans="1:1">
      <c r="A1629" t="s">
        <v>41057</v>
      </c>
    </row>
    <row r="1630" spans="1:1">
      <c r="A1630" t="s">
        <v>41057</v>
      </c>
    </row>
    <row r="1631" spans="1:1">
      <c r="A1631" t="s">
        <v>41057</v>
      </c>
    </row>
    <row r="1632" spans="1:1">
      <c r="A1632" t="s">
        <v>41057</v>
      </c>
    </row>
    <row r="1633" spans="1:1">
      <c r="A1633" t="e">
        <v>#NAME?</v>
      </c>
    </row>
    <row r="1634" spans="1:1">
      <c r="A1634" t="s">
        <v>41762</v>
      </c>
    </row>
    <row r="1635" spans="1:1">
      <c r="A1635" t="s">
        <v>41763</v>
      </c>
    </row>
    <row r="1636" spans="1:1">
      <c r="A1636" t="s">
        <v>41764</v>
      </c>
    </row>
    <row r="1637" spans="1:1">
      <c r="A1637" t="s">
        <v>41765</v>
      </c>
    </row>
    <row r="1638" spans="1:1">
      <c r="A1638" t="e">
        <v>#NAME?</v>
      </c>
    </row>
    <row r="1639" spans="1:1">
      <c r="A1639" t="s">
        <v>41766</v>
      </c>
    </row>
    <row r="1640" spans="1:1">
      <c r="A1640" t="s">
        <v>41767</v>
      </c>
    </row>
    <row r="1641" spans="1:1">
      <c r="A1641" t="s">
        <v>41768</v>
      </c>
    </row>
    <row r="1642" spans="1:1">
      <c r="A1642" t="s">
        <v>41769</v>
      </c>
    </row>
    <row r="1643" spans="1:1">
      <c r="A1643" t="s">
        <v>41770</v>
      </c>
    </row>
    <row r="1644" spans="1:1">
      <c r="A1644" t="s">
        <v>41771</v>
      </c>
    </row>
    <row r="1645" spans="1:1">
      <c r="A1645" t="s">
        <v>41772</v>
      </c>
    </row>
    <row r="1646" spans="1:1">
      <c r="A1646" t="s">
        <v>41773</v>
      </c>
    </row>
    <row r="1647" spans="1:1">
      <c r="A1647" t="s">
        <v>41057</v>
      </c>
    </row>
    <row r="1648" spans="1:1">
      <c r="A1648" t="s">
        <v>41057</v>
      </c>
    </row>
    <row r="1649" spans="1:1">
      <c r="A1649" t="s">
        <v>41057</v>
      </c>
    </row>
    <row r="1650" spans="1:1">
      <c r="A1650" t="s">
        <v>41074</v>
      </c>
    </row>
    <row r="1651" spans="1:1">
      <c r="A1651" t="s">
        <v>40541</v>
      </c>
    </row>
    <row r="1652" spans="1:1">
      <c r="A1652" t="e">
        <v>#NAME?</v>
      </c>
    </row>
    <row r="1653" spans="1:1">
      <c r="A1653" t="s">
        <v>41774</v>
      </c>
    </row>
    <row r="1654" spans="1:1">
      <c r="A1654" t="s">
        <v>41775</v>
      </c>
    </row>
    <row r="1655" spans="1:1">
      <c r="A1655" t="s">
        <v>41776</v>
      </c>
    </row>
    <row r="1656" spans="1:1">
      <c r="A1656" t="s">
        <v>41777</v>
      </c>
    </row>
    <row r="1657" spans="1:1">
      <c r="A1657" t="e">
        <v>#NAME?</v>
      </c>
    </row>
    <row r="1658" spans="1:1">
      <c r="A1658" t="s">
        <v>41778</v>
      </c>
    </row>
    <row r="1659" spans="1:1">
      <c r="A1659" t="s">
        <v>41057</v>
      </c>
    </row>
    <row r="1660" spans="1:1">
      <c r="A1660" t="s">
        <v>41779</v>
      </c>
    </row>
    <row r="1661" spans="1:1">
      <c r="A1661" t="s">
        <v>41107</v>
      </c>
    </row>
    <row r="1662" spans="1:1">
      <c r="A1662" t="s">
        <v>41057</v>
      </c>
    </row>
    <row r="1663" spans="1:1">
      <c r="A1663" t="s">
        <v>41057</v>
      </c>
    </row>
    <row r="1664" spans="1:1">
      <c r="A1664" t="s">
        <v>41057</v>
      </c>
    </row>
    <row r="1665" spans="1:1">
      <c r="A1665" t="s">
        <v>41057</v>
      </c>
    </row>
    <row r="1666" spans="1:1">
      <c r="A1666" t="e">
        <v>#NAME?</v>
      </c>
    </row>
    <row r="1667" spans="1:1">
      <c r="A1667" t="s">
        <v>41780</v>
      </c>
    </row>
    <row r="1668" spans="1:1">
      <c r="A1668" t="s">
        <v>41781</v>
      </c>
    </row>
    <row r="1669" spans="1:1">
      <c r="A1669" t="s">
        <v>41782</v>
      </c>
    </row>
    <row r="1670" spans="1:1">
      <c r="A1670" t="s">
        <v>41783</v>
      </c>
    </row>
    <row r="1671" spans="1:1">
      <c r="A1671" t="e">
        <v>#NAME?</v>
      </c>
    </row>
    <row r="1672" spans="1:1">
      <c r="A1672" t="s">
        <v>41784</v>
      </c>
    </row>
    <row r="1673" spans="1:1">
      <c r="A1673" t="s">
        <v>41785</v>
      </c>
    </row>
    <row r="1674" spans="1:1">
      <c r="A1674" t="s">
        <v>41740</v>
      </c>
    </row>
    <row r="1675" spans="1:1">
      <c r="A1675" t="s">
        <v>41786</v>
      </c>
    </row>
    <row r="1676" spans="1:1">
      <c r="A1676" t="s">
        <v>41787</v>
      </c>
    </row>
    <row r="1677" spans="1:1">
      <c r="A1677" t="s">
        <v>41788</v>
      </c>
    </row>
    <row r="1678" spans="1:1">
      <c r="A1678" t="s">
        <v>41789</v>
      </c>
    </row>
    <row r="1679" spans="1:1">
      <c r="A1679" t="s">
        <v>41790</v>
      </c>
    </row>
    <row r="1680" spans="1:1">
      <c r="A1680" t="s">
        <v>41057</v>
      </c>
    </row>
    <row r="1681" spans="1:1">
      <c r="A1681" t="s">
        <v>41057</v>
      </c>
    </row>
    <row r="1682" spans="1:1">
      <c r="A1682" t="s">
        <v>41057</v>
      </c>
    </row>
    <row r="1683" spans="1:1">
      <c r="A1683" t="s">
        <v>41074</v>
      </c>
    </row>
    <row r="1684" spans="1:1">
      <c r="A1684" t="s">
        <v>40548</v>
      </c>
    </row>
    <row r="1685" spans="1:1">
      <c r="A1685" t="s">
        <v>41057</v>
      </c>
    </row>
    <row r="1686" spans="1:1">
      <c r="A1686" t="s">
        <v>41057</v>
      </c>
    </row>
    <row r="1687" spans="1:1">
      <c r="A1687" t="s">
        <v>41057</v>
      </c>
    </row>
    <row r="1688" spans="1:1">
      <c r="A1688" t="s">
        <v>41057</v>
      </c>
    </row>
    <row r="1689" spans="1:1">
      <c r="A1689" t="s">
        <v>41057</v>
      </c>
    </row>
    <row r="1690" spans="1:1">
      <c r="A1690" t="s">
        <v>41057</v>
      </c>
    </row>
    <row r="1691" spans="1:1">
      <c r="A1691" t="s">
        <v>41791</v>
      </c>
    </row>
    <row r="1692" spans="1:1">
      <c r="A1692" t="s">
        <v>41057</v>
      </c>
    </row>
    <row r="1693" spans="1:1">
      <c r="A1693" t="s">
        <v>41792</v>
      </c>
    </row>
    <row r="1694" spans="1:1">
      <c r="A1694" t="s">
        <v>41107</v>
      </c>
    </row>
    <row r="1695" spans="1:1">
      <c r="A1695" t="s">
        <v>41057</v>
      </c>
    </row>
    <row r="1696" spans="1:1">
      <c r="A1696" t="s">
        <v>41057</v>
      </c>
    </row>
    <row r="1697" spans="1:1">
      <c r="A1697" t="s">
        <v>41057</v>
      </c>
    </row>
    <row r="1698" spans="1:1">
      <c r="A1698" t="s">
        <v>41057</v>
      </c>
    </row>
    <row r="1699" spans="1:1">
      <c r="A1699" t="e">
        <v>#NAME?</v>
      </c>
    </row>
    <row r="1700" spans="1:1">
      <c r="A1700" t="s">
        <v>41793</v>
      </c>
    </row>
    <row r="1701" spans="1:1">
      <c r="A1701" t="s">
        <v>41723</v>
      </c>
    </row>
    <row r="1702" spans="1:1">
      <c r="A1702" t="s">
        <v>41794</v>
      </c>
    </row>
    <row r="1703" spans="1:1">
      <c r="A1703" t="s">
        <v>41795</v>
      </c>
    </row>
    <row r="1704" spans="1:1">
      <c r="A1704" t="e">
        <v>#NAME?</v>
      </c>
    </row>
    <row r="1705" spans="1:1">
      <c r="A1705" t="s">
        <v>41796</v>
      </c>
    </row>
    <row r="1706" spans="1:1">
      <c r="A1706" t="s">
        <v>41797</v>
      </c>
    </row>
    <row r="1707" spans="1:1">
      <c r="A1707" t="s">
        <v>41798</v>
      </c>
    </row>
    <row r="1708" spans="1:1">
      <c r="A1708" t="s">
        <v>41799</v>
      </c>
    </row>
    <row r="1709" spans="1:1">
      <c r="A1709" t="s">
        <v>41800</v>
      </c>
    </row>
    <row r="1710" spans="1:1">
      <c r="A1710" t="s">
        <v>41801</v>
      </c>
    </row>
    <row r="1711" spans="1:1">
      <c r="A1711" t="s">
        <v>41802</v>
      </c>
    </row>
    <row r="1712" spans="1:1">
      <c r="A1712" t="s">
        <v>41803</v>
      </c>
    </row>
    <row r="1713" spans="1:1">
      <c r="A1713" t="s">
        <v>41057</v>
      </c>
    </row>
    <row r="1714" spans="1:1">
      <c r="A1714" t="s">
        <v>41057</v>
      </c>
    </row>
    <row r="1715" spans="1:1">
      <c r="A1715" t="s">
        <v>41057</v>
      </c>
    </row>
    <row r="1716" spans="1:1">
      <c r="A1716" t="s">
        <v>41074</v>
      </c>
    </row>
    <row r="1717" spans="1:1">
      <c r="A1717" t="s">
        <v>40916</v>
      </c>
    </row>
    <row r="1718" spans="1:1">
      <c r="A1718" t="s">
        <v>41057</v>
      </c>
    </row>
    <row r="1719" spans="1:1">
      <c r="A1719" t="s">
        <v>41057</v>
      </c>
    </row>
    <row r="1720" spans="1:1">
      <c r="A1720" t="s">
        <v>41057</v>
      </c>
    </row>
    <row r="1721" spans="1:1">
      <c r="A1721" t="s">
        <v>41057</v>
      </c>
    </row>
    <row r="1722" spans="1:1">
      <c r="A1722" t="s">
        <v>41057</v>
      </c>
    </row>
    <row r="1723" spans="1:1">
      <c r="A1723" t="s">
        <v>41057</v>
      </c>
    </row>
    <row r="1724" spans="1:1">
      <c r="A1724" t="s">
        <v>41057</v>
      </c>
    </row>
    <row r="1725" spans="1:1">
      <c r="A1725" t="s">
        <v>41057</v>
      </c>
    </row>
    <row r="1726" spans="1:1">
      <c r="A1726" t="s">
        <v>41057</v>
      </c>
    </row>
    <row r="1727" spans="1:1">
      <c r="A1727" t="s">
        <v>41057</v>
      </c>
    </row>
    <row r="1728" spans="1:1">
      <c r="A1728" t="s">
        <v>41057</v>
      </c>
    </row>
    <row r="1729" spans="1:1">
      <c r="A1729" t="s">
        <v>41057</v>
      </c>
    </row>
    <row r="1730" spans="1:1">
      <c r="A1730" t="s">
        <v>41057</v>
      </c>
    </row>
    <row r="1731" spans="1:1">
      <c r="A1731" t="s">
        <v>41057</v>
      </c>
    </row>
    <row r="1732" spans="1:1">
      <c r="A1732" t="s">
        <v>41057</v>
      </c>
    </row>
    <row r="1733" spans="1:1">
      <c r="A1733" t="s">
        <v>41057</v>
      </c>
    </row>
    <row r="1734" spans="1:1">
      <c r="A1734" t="s">
        <v>41057</v>
      </c>
    </row>
    <row r="1735" spans="1:1">
      <c r="A1735" t="s">
        <v>41057</v>
      </c>
    </row>
    <row r="1736" spans="1:1">
      <c r="A1736" t="s">
        <v>41057</v>
      </c>
    </row>
    <row r="1737" spans="1:1">
      <c r="A1737" t="s">
        <v>41057</v>
      </c>
    </row>
    <row r="1738" spans="1:1">
      <c r="A1738" t="s">
        <v>41804</v>
      </c>
    </row>
    <row r="1739" spans="1:1">
      <c r="A1739" t="s">
        <v>41805</v>
      </c>
    </row>
    <row r="1740" spans="1:1">
      <c r="A1740" t="s">
        <v>41806</v>
      </c>
    </row>
    <row r="1741" spans="1:1">
      <c r="A1741" t="s">
        <v>41807</v>
      </c>
    </row>
    <row r="1742" spans="1:1">
      <c r="A1742" t="s">
        <v>41808</v>
      </c>
    </row>
    <row r="1743" spans="1:1">
      <c r="A1743" t="s">
        <v>41057</v>
      </c>
    </row>
    <row r="1744" spans="1:1">
      <c r="A1744" t="s">
        <v>41057</v>
      </c>
    </row>
    <row r="1745" spans="1:1">
      <c r="A1745" t="s">
        <v>41057</v>
      </c>
    </row>
    <row r="1746" spans="1:1">
      <c r="A1746" t="s">
        <v>41057</v>
      </c>
    </row>
    <row r="1747" spans="1:1">
      <c r="A1747" t="s">
        <v>41057</v>
      </c>
    </row>
    <row r="1748" spans="1:1">
      <c r="A1748" t="s">
        <v>41057</v>
      </c>
    </row>
    <row r="1749" spans="1:1">
      <c r="A1749" t="s">
        <v>41074</v>
      </c>
    </row>
    <row r="1750" spans="1:1">
      <c r="A1750" t="s">
        <v>40554</v>
      </c>
    </row>
    <row r="1751" spans="1:1">
      <c r="A1751" t="s">
        <v>41057</v>
      </c>
    </row>
    <row r="1752" spans="1:1">
      <c r="A1752" t="s">
        <v>41057</v>
      </c>
    </row>
    <row r="1753" spans="1:1">
      <c r="A1753" t="s">
        <v>41057</v>
      </c>
    </row>
    <row r="1754" spans="1:1">
      <c r="A1754" t="s">
        <v>41057</v>
      </c>
    </row>
    <row r="1755" spans="1:1">
      <c r="A1755" t="s">
        <v>41057</v>
      </c>
    </row>
    <row r="1756" spans="1:1">
      <c r="A1756" t="s">
        <v>41057</v>
      </c>
    </row>
    <row r="1757" spans="1:1">
      <c r="A1757" t="s">
        <v>41809</v>
      </c>
    </row>
    <row r="1758" spans="1:1">
      <c r="A1758" t="s">
        <v>41057</v>
      </c>
    </row>
    <row r="1759" spans="1:1">
      <c r="A1759" t="s">
        <v>41810</v>
      </c>
    </row>
    <row r="1760" spans="1:1">
      <c r="A1760" t="s">
        <v>41554</v>
      </c>
    </row>
    <row r="1761" spans="1:1">
      <c r="A1761" t="s">
        <v>41057</v>
      </c>
    </row>
    <row r="1762" spans="1:1">
      <c r="A1762" t="s">
        <v>41057</v>
      </c>
    </row>
    <row r="1763" spans="1:1">
      <c r="A1763" t="s">
        <v>41057</v>
      </c>
    </row>
    <row r="1764" spans="1:1">
      <c r="A1764" t="s">
        <v>41057</v>
      </c>
    </row>
    <row r="1765" spans="1:1">
      <c r="A1765" t="e">
        <v>#NAME?</v>
      </c>
    </row>
    <row r="1766" spans="1:1">
      <c r="A1766" t="s">
        <v>41811</v>
      </c>
    </row>
    <row r="1767" spans="1:1">
      <c r="A1767" t="s">
        <v>41812</v>
      </c>
    </row>
    <row r="1768" spans="1:1">
      <c r="A1768" t="s">
        <v>41813</v>
      </c>
    </row>
    <row r="1769" spans="1:1">
      <c r="A1769" t="s">
        <v>41814</v>
      </c>
    </row>
    <row r="1770" spans="1:1">
      <c r="A1770" t="e">
        <v>#NAME?</v>
      </c>
    </row>
    <row r="1771" spans="1:1">
      <c r="A1771" t="s">
        <v>41815</v>
      </c>
    </row>
    <row r="1772" spans="1:1">
      <c r="A1772" t="s">
        <v>41816</v>
      </c>
    </row>
    <row r="1773" spans="1:1">
      <c r="A1773" t="s">
        <v>41817</v>
      </c>
    </row>
    <row r="1774" spans="1:1">
      <c r="A1774" t="s">
        <v>41818</v>
      </c>
    </row>
    <row r="1775" spans="1:1">
      <c r="A1775" t="s">
        <v>41819</v>
      </c>
    </row>
    <row r="1776" spans="1:1">
      <c r="A1776" t="s">
        <v>41820</v>
      </c>
    </row>
    <row r="1777" spans="1:1">
      <c r="A1777" t="s">
        <v>41821</v>
      </c>
    </row>
    <row r="1778" spans="1:1">
      <c r="A1778" t="s">
        <v>41822</v>
      </c>
    </row>
    <row r="1779" spans="1:1">
      <c r="A1779" t="s">
        <v>41057</v>
      </c>
    </row>
    <row r="1780" spans="1:1">
      <c r="A1780" t="s">
        <v>41057</v>
      </c>
    </row>
    <row r="1781" spans="1:1">
      <c r="A1781" t="s">
        <v>41057</v>
      </c>
    </row>
    <row r="1782" spans="1:1">
      <c r="A1782" t="s">
        <v>41074</v>
      </c>
    </row>
    <row r="1783" spans="1:1">
      <c r="A1783" t="s">
        <v>40906</v>
      </c>
    </row>
    <row r="1784" spans="1:1">
      <c r="A1784" t="e">
        <v>#NAME?</v>
      </c>
    </row>
    <row r="1785" spans="1:1">
      <c r="A1785" t="s">
        <v>41823</v>
      </c>
    </row>
    <row r="1786" spans="1:1">
      <c r="A1786" t="s">
        <v>41057</v>
      </c>
    </row>
    <row r="1787" spans="1:1">
      <c r="A1787" t="s">
        <v>41057</v>
      </c>
    </row>
    <row r="1788" spans="1:1">
      <c r="A1788" t="s">
        <v>41057</v>
      </c>
    </row>
    <row r="1789" spans="1:1">
      <c r="A1789" t="e">
        <v>#NAME?</v>
      </c>
    </row>
    <row r="1790" spans="1:1">
      <c r="A1790" t="s">
        <v>41824</v>
      </c>
    </row>
    <row r="1791" spans="1:1">
      <c r="A1791" t="s">
        <v>41057</v>
      </c>
    </row>
    <row r="1792" spans="1:1">
      <c r="A1792" t="s">
        <v>41825</v>
      </c>
    </row>
    <row r="1793" spans="1:1">
      <c r="A1793" t="s">
        <v>41293</v>
      </c>
    </row>
    <row r="1794" spans="1:1">
      <c r="A1794" t="s">
        <v>41057</v>
      </c>
    </row>
    <row r="1795" spans="1:1">
      <c r="A1795" t="s">
        <v>41057</v>
      </c>
    </row>
    <row r="1796" spans="1:1">
      <c r="A1796" t="s">
        <v>41057</v>
      </c>
    </row>
    <row r="1797" spans="1:1">
      <c r="A1797" t="s">
        <v>41057</v>
      </c>
    </row>
    <row r="1798" spans="1:1">
      <c r="A1798" t="e">
        <v>#NAME?</v>
      </c>
    </row>
    <row r="1799" spans="1:1">
      <c r="A1799" t="s">
        <v>41826</v>
      </c>
    </row>
    <row r="1800" spans="1:1">
      <c r="A1800" t="s">
        <v>41827</v>
      </c>
    </row>
    <row r="1801" spans="1:1">
      <c r="A1801" t="s">
        <v>41828</v>
      </c>
    </row>
    <row r="1802" spans="1:1">
      <c r="A1802" t="s">
        <v>41829</v>
      </c>
    </row>
    <row r="1803" spans="1:1">
      <c r="A1803" t="e">
        <v>#NAME?</v>
      </c>
    </row>
    <row r="1804" spans="1:1">
      <c r="A1804" t="s">
        <v>41830</v>
      </c>
    </row>
    <row r="1805" spans="1:1">
      <c r="A1805" t="s">
        <v>41831</v>
      </c>
    </row>
    <row r="1806" spans="1:1">
      <c r="A1806" t="s">
        <v>41832</v>
      </c>
    </row>
    <row r="1807" spans="1:1">
      <c r="A1807" t="s">
        <v>41833</v>
      </c>
    </row>
    <row r="1808" spans="1:1">
      <c r="A1808" t="s">
        <v>41834</v>
      </c>
    </row>
    <row r="1809" spans="1:1">
      <c r="A1809" t="s">
        <v>41057</v>
      </c>
    </row>
    <row r="1810" spans="1:1">
      <c r="A1810" t="s">
        <v>41057</v>
      </c>
    </row>
    <row r="1811" spans="1:1">
      <c r="A1811" t="s">
        <v>41057</v>
      </c>
    </row>
    <row r="1812" spans="1:1">
      <c r="A1812" t="s">
        <v>41057</v>
      </c>
    </row>
    <row r="1813" spans="1:1">
      <c r="A1813" t="s">
        <v>41057</v>
      </c>
    </row>
    <row r="1814" spans="1:1">
      <c r="A1814" t="s">
        <v>41057</v>
      </c>
    </row>
    <row r="1815" spans="1:1">
      <c r="A1815" t="s">
        <v>41074</v>
      </c>
    </row>
    <row r="1816" spans="1:1">
      <c r="A1816" t="s">
        <v>40972</v>
      </c>
    </row>
    <row r="1817" spans="1:1">
      <c r="A1817" t="s">
        <v>41057</v>
      </c>
    </row>
    <row r="1818" spans="1:1">
      <c r="A1818" t="s">
        <v>41057</v>
      </c>
    </row>
    <row r="1819" spans="1:1">
      <c r="A1819" t="s">
        <v>41057</v>
      </c>
    </row>
    <row r="1820" spans="1:1">
      <c r="A1820" t="s">
        <v>41057</v>
      </c>
    </row>
    <row r="1821" spans="1:1">
      <c r="A1821" t="s">
        <v>41057</v>
      </c>
    </row>
    <row r="1822" spans="1:1">
      <c r="A1822" t="s">
        <v>41057</v>
      </c>
    </row>
    <row r="1823" spans="1:1">
      <c r="A1823" t="s">
        <v>41057</v>
      </c>
    </row>
    <row r="1824" spans="1:1">
      <c r="A1824" t="s">
        <v>41057</v>
      </c>
    </row>
    <row r="1825" spans="1:1">
      <c r="A1825" t="s">
        <v>41057</v>
      </c>
    </row>
    <row r="1826" spans="1:1">
      <c r="A1826" t="s">
        <v>41057</v>
      </c>
    </row>
    <row r="1827" spans="1:1">
      <c r="A1827" t="s">
        <v>41057</v>
      </c>
    </row>
    <row r="1828" spans="1:1">
      <c r="A1828" t="s">
        <v>41057</v>
      </c>
    </row>
    <row r="1829" spans="1:1">
      <c r="A1829" t="s">
        <v>41057</v>
      </c>
    </row>
    <row r="1830" spans="1:1">
      <c r="A1830" t="s">
        <v>41057</v>
      </c>
    </row>
    <row r="1831" spans="1:1">
      <c r="A1831" t="e">
        <v>#NAME?</v>
      </c>
    </row>
    <row r="1832" spans="1:1">
      <c r="A1832" t="s">
        <v>41826</v>
      </c>
    </row>
    <row r="1833" spans="1:1">
      <c r="A1833" t="s">
        <v>41827</v>
      </c>
    </row>
    <row r="1834" spans="1:1">
      <c r="A1834" t="s">
        <v>41828</v>
      </c>
    </row>
    <row r="1835" spans="1:1">
      <c r="A1835" t="s">
        <v>41835</v>
      </c>
    </row>
    <row r="1836" spans="1:1">
      <c r="A1836" t="e">
        <v>#NAME?</v>
      </c>
    </row>
    <row r="1837" spans="1:1">
      <c r="A1837" t="s">
        <v>41830</v>
      </c>
    </row>
    <row r="1838" spans="1:1">
      <c r="A1838" t="s">
        <v>41831</v>
      </c>
    </row>
    <row r="1839" spans="1:1">
      <c r="A1839" t="s">
        <v>41832</v>
      </c>
    </row>
    <row r="1840" spans="1:1">
      <c r="A1840" t="s">
        <v>41833</v>
      </c>
    </row>
    <row r="1841" spans="1:1">
      <c r="A1841" t="s">
        <v>41836</v>
      </c>
    </row>
    <row r="1842" spans="1:1">
      <c r="A1842" t="s">
        <v>41057</v>
      </c>
    </row>
    <row r="1843" spans="1:1">
      <c r="A1843" t="s">
        <v>41837</v>
      </c>
    </row>
    <row r="1844" spans="1:1">
      <c r="A1844" t="e">
        <v>#NAME?</v>
      </c>
    </row>
    <row r="1845" spans="1:1">
      <c r="A1845" t="s">
        <v>41838</v>
      </c>
    </row>
    <row r="1846" spans="1:1">
      <c r="A1846" t="s">
        <v>41057</v>
      </c>
    </row>
    <row r="1847" spans="1:1">
      <c r="A1847" t="s">
        <v>41057</v>
      </c>
    </row>
    <row r="1848" spans="1:1">
      <c r="A1848" t="s">
        <v>41074</v>
      </c>
    </row>
    <row r="1849" spans="1:1">
      <c r="A1849" t="s">
        <v>40995</v>
      </c>
    </row>
    <row r="1850" spans="1:1">
      <c r="A1850" t="s">
        <v>41057</v>
      </c>
    </row>
    <row r="1851" spans="1:1">
      <c r="A1851" t="s">
        <v>41839</v>
      </c>
    </row>
    <row r="1852" spans="1:1">
      <c r="A1852" t="s">
        <v>41057</v>
      </c>
    </row>
    <row r="1853" spans="1:1">
      <c r="A1853" t="s">
        <v>41057</v>
      </c>
    </row>
    <row r="1854" spans="1:1">
      <c r="A1854" t="s">
        <v>41057</v>
      </c>
    </row>
    <row r="1855" spans="1:1">
      <c r="A1855" t="e">
        <v>#NAME?</v>
      </c>
    </row>
    <row r="1856" spans="1:1">
      <c r="A1856" t="s">
        <v>41840</v>
      </c>
    </row>
    <row r="1857" spans="1:1">
      <c r="A1857" t="s">
        <v>41057</v>
      </c>
    </row>
    <row r="1858" spans="1:1">
      <c r="A1858" t="s">
        <v>41841</v>
      </c>
    </row>
    <row r="1859" spans="1:1">
      <c r="A1859" t="s">
        <v>41239</v>
      </c>
    </row>
    <row r="1860" spans="1:1">
      <c r="A1860" t="s">
        <v>41057</v>
      </c>
    </row>
    <row r="1861" spans="1:1">
      <c r="A1861" t="s">
        <v>41057</v>
      </c>
    </row>
    <row r="1862" spans="1:1">
      <c r="A1862" t="s">
        <v>41057</v>
      </c>
    </row>
    <row r="1863" spans="1:1">
      <c r="A1863" t="s">
        <v>41057</v>
      </c>
    </row>
    <row r="1864" spans="1:1">
      <c r="A1864" t="e">
        <v>#NAME?</v>
      </c>
    </row>
    <row r="1865" spans="1:1">
      <c r="A1865" t="s">
        <v>41842</v>
      </c>
    </row>
    <row r="1866" spans="1:1">
      <c r="A1866" t="s">
        <v>41843</v>
      </c>
    </row>
    <row r="1867" spans="1:1">
      <c r="A1867" t="s">
        <v>41844</v>
      </c>
    </row>
    <row r="1868" spans="1:1">
      <c r="A1868" t="s">
        <v>41845</v>
      </c>
    </row>
    <row r="1869" spans="1:1">
      <c r="A1869" t="e">
        <v>#NAME?</v>
      </c>
    </row>
    <row r="1870" spans="1:1">
      <c r="A1870" t="s">
        <v>41846</v>
      </c>
    </row>
    <row r="1871" spans="1:1">
      <c r="A1871" t="s">
        <v>41847</v>
      </c>
    </row>
    <row r="1872" spans="1:1">
      <c r="A1872" t="s">
        <v>41848</v>
      </c>
    </row>
    <row r="1873" spans="1:1">
      <c r="A1873" t="s">
        <v>41849</v>
      </c>
    </row>
    <row r="1874" spans="1:1">
      <c r="A1874" t="s">
        <v>41850</v>
      </c>
    </row>
    <row r="1875" spans="1:1">
      <c r="A1875" t="s">
        <v>41851</v>
      </c>
    </row>
    <row r="1876" spans="1:1">
      <c r="A1876" t="s">
        <v>41852</v>
      </c>
    </row>
    <row r="1877" spans="1:1">
      <c r="A1877" t="s">
        <v>41853</v>
      </c>
    </row>
    <row r="1878" spans="1:1">
      <c r="A1878" t="s">
        <v>41057</v>
      </c>
    </row>
    <row r="1879" spans="1:1">
      <c r="A1879" t="s">
        <v>41057</v>
      </c>
    </row>
    <row r="1880" spans="1:1">
      <c r="A1880" t="s">
        <v>41057</v>
      </c>
    </row>
    <row r="1881" spans="1:1">
      <c r="A1881" t="s">
        <v>41074</v>
      </c>
    </row>
    <row r="1882" spans="1:1">
      <c r="A1882" t="s">
        <v>40960</v>
      </c>
    </row>
    <row r="1883" spans="1:1">
      <c r="A1883" t="s">
        <v>41854</v>
      </c>
    </row>
    <row r="1884" spans="1:1">
      <c r="A1884" t="s">
        <v>41855</v>
      </c>
    </row>
    <row r="1885" spans="1:1">
      <c r="A1885" t="e">
        <v>#NAME?</v>
      </c>
    </row>
    <row r="1886" spans="1:1">
      <c r="A1886" t="s">
        <v>41856</v>
      </c>
    </row>
    <row r="1887" spans="1:1">
      <c r="A1887" t="s">
        <v>41057</v>
      </c>
    </row>
    <row r="1888" spans="1:1">
      <c r="A1888" t="e">
        <v>#NAME?</v>
      </c>
    </row>
    <row r="1889" spans="1:1">
      <c r="A1889" t="s">
        <v>41857</v>
      </c>
    </row>
    <row r="1890" spans="1:1">
      <c r="A1890" t="s">
        <v>41858</v>
      </c>
    </row>
    <row r="1891" spans="1:1">
      <c r="A1891" t="e">
        <v>#NAME?</v>
      </c>
    </row>
    <row r="1892" spans="1:1">
      <c r="A1892" t="s">
        <v>41859</v>
      </c>
    </row>
    <row r="1893" spans="1:1">
      <c r="A1893" t="s">
        <v>41860</v>
      </c>
    </row>
    <row r="1894" spans="1:1">
      <c r="A1894" t="s">
        <v>41861</v>
      </c>
    </row>
    <row r="1895" spans="1:1">
      <c r="A1895" t="s">
        <v>41862</v>
      </c>
    </row>
    <row r="1896" spans="1:1">
      <c r="A1896" t="s">
        <v>41863</v>
      </c>
    </row>
    <row r="1897" spans="1:1">
      <c r="A1897" t="s">
        <v>41864</v>
      </c>
    </row>
    <row r="1898" spans="1:1">
      <c r="A1898" t="s">
        <v>41865</v>
      </c>
    </row>
    <row r="1899" spans="1:1">
      <c r="A1899" t="s">
        <v>41866</v>
      </c>
    </row>
    <row r="1900" spans="1:1">
      <c r="A1900" t="s">
        <v>41867</v>
      </c>
    </row>
    <row r="1901" spans="1:1">
      <c r="A1901" t="e">
        <v>#NAME?</v>
      </c>
    </row>
    <row r="1902" spans="1:1">
      <c r="A1902" t="s">
        <v>41868</v>
      </c>
    </row>
    <row r="1903" spans="1:1">
      <c r="A1903" t="s">
        <v>41869</v>
      </c>
    </row>
    <row r="1904" spans="1:1">
      <c r="A1904" t="s">
        <v>41870</v>
      </c>
    </row>
    <row r="1905" spans="1:1">
      <c r="A1905" t="s">
        <v>41871</v>
      </c>
    </row>
    <row r="1906" spans="1:1">
      <c r="A1906" t="s">
        <v>41872</v>
      </c>
    </row>
    <row r="1907" spans="1:1">
      <c r="A1907" t="s">
        <v>41873</v>
      </c>
    </row>
    <row r="1908" spans="1:1">
      <c r="A1908" t="s">
        <v>41874</v>
      </c>
    </row>
    <row r="1909" spans="1:1">
      <c r="A1909" t="s">
        <v>41875</v>
      </c>
    </row>
    <row r="1910" spans="1:1">
      <c r="A1910" t="s">
        <v>41876</v>
      </c>
    </row>
    <row r="1911" spans="1:1">
      <c r="A1911" t="s">
        <v>41877</v>
      </c>
    </row>
    <row r="1912" spans="1:1">
      <c r="A1912" t="s">
        <v>41057</v>
      </c>
    </row>
    <row r="1913" spans="1:1">
      <c r="A1913" t="s">
        <v>41057</v>
      </c>
    </row>
    <row r="1914" spans="1:1">
      <c r="A1914" t="s">
        <v>41074</v>
      </c>
    </row>
    <row r="1915" spans="1:1">
      <c r="A1915" t="s">
        <v>40560</v>
      </c>
    </row>
    <row r="1916" spans="1:1">
      <c r="A1916" t="s">
        <v>41057</v>
      </c>
    </row>
    <row r="1917" spans="1:1">
      <c r="A1917" t="s">
        <v>41057</v>
      </c>
    </row>
    <row r="1918" spans="1:1">
      <c r="A1918" t="s">
        <v>41057</v>
      </c>
    </row>
    <row r="1919" spans="1:1">
      <c r="A1919" t="s">
        <v>41057</v>
      </c>
    </row>
    <row r="1920" spans="1:1">
      <c r="A1920" t="s">
        <v>41057</v>
      </c>
    </row>
    <row r="1921" spans="1:1">
      <c r="A1921" t="s">
        <v>41057</v>
      </c>
    </row>
    <row r="1922" spans="1:1">
      <c r="A1922" t="s">
        <v>41878</v>
      </c>
    </row>
    <row r="1923" spans="1:1">
      <c r="A1923" t="s">
        <v>41057</v>
      </c>
    </row>
    <row r="1924" spans="1:1">
      <c r="A1924" t="s">
        <v>41879</v>
      </c>
    </row>
    <row r="1925" spans="1:1">
      <c r="A1925" t="s">
        <v>41091</v>
      </c>
    </row>
    <row r="1926" spans="1:1">
      <c r="A1926" t="s">
        <v>41057</v>
      </c>
    </row>
    <row r="1927" spans="1:1">
      <c r="A1927" t="s">
        <v>41057</v>
      </c>
    </row>
    <row r="1928" spans="1:1">
      <c r="A1928" t="s">
        <v>41057</v>
      </c>
    </row>
    <row r="1929" spans="1:1">
      <c r="A1929" t="s">
        <v>41057</v>
      </c>
    </row>
    <row r="1930" spans="1:1">
      <c r="A1930" t="e">
        <v>#NAME?</v>
      </c>
    </row>
    <row r="1931" spans="1:1">
      <c r="A1931" t="s">
        <v>41880</v>
      </c>
    </row>
    <row r="1932" spans="1:1">
      <c r="A1932" t="s">
        <v>41881</v>
      </c>
    </row>
    <row r="1933" spans="1:1">
      <c r="A1933" t="s">
        <v>41882</v>
      </c>
    </row>
    <row r="1934" spans="1:1">
      <c r="A1934" t="s">
        <v>41883</v>
      </c>
    </row>
    <row r="1935" spans="1:1">
      <c r="A1935" t="e">
        <v>#NAME?</v>
      </c>
    </row>
    <row r="1936" spans="1:1">
      <c r="A1936" t="s">
        <v>41884</v>
      </c>
    </row>
    <row r="1937" spans="1:1">
      <c r="A1937" t="s">
        <v>41885</v>
      </c>
    </row>
    <row r="1938" spans="1:1">
      <c r="A1938" t="s">
        <v>41886</v>
      </c>
    </row>
    <row r="1939" spans="1:1">
      <c r="A1939" t="s">
        <v>41887</v>
      </c>
    </row>
    <row r="1940" spans="1:1">
      <c r="A1940" t="s">
        <v>41888</v>
      </c>
    </row>
    <row r="1941" spans="1:1">
      <c r="A1941" t="s">
        <v>41889</v>
      </c>
    </row>
    <row r="1942" spans="1:1">
      <c r="A1942" t="s">
        <v>41890</v>
      </c>
    </row>
    <row r="1943" spans="1:1">
      <c r="A1943" t="s">
        <v>41891</v>
      </c>
    </row>
    <row r="1944" spans="1:1">
      <c r="A1944" t="s">
        <v>41057</v>
      </c>
    </row>
    <row r="1945" spans="1:1">
      <c r="A1945" t="s">
        <v>41057</v>
      </c>
    </row>
    <row r="1946" spans="1:1">
      <c r="A1946" t="s">
        <v>41057</v>
      </c>
    </row>
    <row r="1947" spans="1:1">
      <c r="A1947" t="s">
        <v>41074</v>
      </c>
    </row>
    <row r="1948" spans="1:1">
      <c r="A1948" t="s">
        <v>40566</v>
      </c>
    </row>
    <row r="1949" spans="1:1">
      <c r="A1949" t="s">
        <v>41057</v>
      </c>
    </row>
    <row r="1950" spans="1:1">
      <c r="A1950" t="s">
        <v>41057</v>
      </c>
    </row>
    <row r="1951" spans="1:1">
      <c r="A1951" t="s">
        <v>41057</v>
      </c>
    </row>
    <row r="1952" spans="1:1">
      <c r="A1952" t="s">
        <v>41057</v>
      </c>
    </row>
    <row r="1953" spans="1:1">
      <c r="A1953" t="s">
        <v>41057</v>
      </c>
    </row>
    <row r="1954" spans="1:1">
      <c r="A1954" t="s">
        <v>41057</v>
      </c>
    </row>
    <row r="1955" spans="1:1">
      <c r="A1955" t="s">
        <v>41892</v>
      </c>
    </row>
    <row r="1956" spans="1:1">
      <c r="A1956" t="s">
        <v>41057</v>
      </c>
    </row>
    <row r="1957" spans="1:1">
      <c r="A1957" t="s">
        <v>41893</v>
      </c>
    </row>
    <row r="1958" spans="1:1">
      <c r="A1958" t="s">
        <v>41091</v>
      </c>
    </row>
    <row r="1959" spans="1:1">
      <c r="A1959" t="s">
        <v>41057</v>
      </c>
    </row>
    <row r="1960" spans="1:1">
      <c r="A1960" t="s">
        <v>41057</v>
      </c>
    </row>
    <row r="1961" spans="1:1">
      <c r="A1961" t="s">
        <v>41057</v>
      </c>
    </row>
    <row r="1962" spans="1:1">
      <c r="A1962" t="s">
        <v>41057</v>
      </c>
    </row>
    <row r="1963" spans="1:1">
      <c r="A1963" t="e">
        <v>#NAME?</v>
      </c>
    </row>
    <row r="1964" spans="1:1">
      <c r="A1964" t="s">
        <v>41894</v>
      </c>
    </row>
    <row r="1965" spans="1:1">
      <c r="A1965" t="s">
        <v>41895</v>
      </c>
    </row>
    <row r="1966" spans="1:1">
      <c r="A1966" t="s">
        <v>41896</v>
      </c>
    </row>
    <row r="1967" spans="1:1">
      <c r="A1967" t="s">
        <v>41883</v>
      </c>
    </row>
    <row r="1968" spans="1:1">
      <c r="A1968" t="e">
        <v>#NAME?</v>
      </c>
    </row>
    <row r="1969" spans="1:1">
      <c r="A1969" t="s">
        <v>41897</v>
      </c>
    </row>
    <row r="1970" spans="1:1">
      <c r="A1970" t="s">
        <v>41885</v>
      </c>
    </row>
    <row r="1971" spans="1:1">
      <c r="A1971" t="s">
        <v>41898</v>
      </c>
    </row>
    <row r="1972" spans="1:1">
      <c r="A1972" t="s">
        <v>41899</v>
      </c>
    </row>
    <row r="1973" spans="1:1">
      <c r="A1973" t="s">
        <v>41900</v>
      </c>
    </row>
    <row r="1974" spans="1:1">
      <c r="A1974" t="s">
        <v>41901</v>
      </c>
    </row>
    <row r="1975" spans="1:1">
      <c r="A1975" t="s">
        <v>41890</v>
      </c>
    </row>
    <row r="1976" spans="1:1">
      <c r="A1976" t="s">
        <v>41902</v>
      </c>
    </row>
    <row r="1977" spans="1:1">
      <c r="A1977" t="s">
        <v>41057</v>
      </c>
    </row>
    <row r="1978" spans="1:1">
      <c r="A1978" t="s">
        <v>41057</v>
      </c>
    </row>
    <row r="1979" spans="1:1">
      <c r="A1979" t="s">
        <v>41057</v>
      </c>
    </row>
    <row r="1980" spans="1:1">
      <c r="A1980" t="s">
        <v>41074</v>
      </c>
    </row>
    <row r="1981" spans="1:1">
      <c r="A1981" t="s">
        <v>40572</v>
      </c>
    </row>
    <row r="1982" spans="1:1">
      <c r="A1982" t="s">
        <v>41057</v>
      </c>
    </row>
    <row r="1983" spans="1:1">
      <c r="A1983" t="s">
        <v>41057</v>
      </c>
    </row>
    <row r="1984" spans="1:1">
      <c r="A1984" t="s">
        <v>41057</v>
      </c>
    </row>
    <row r="1985" spans="1:1">
      <c r="A1985" t="s">
        <v>41057</v>
      </c>
    </row>
    <row r="1986" spans="1:1">
      <c r="A1986" t="s">
        <v>41057</v>
      </c>
    </row>
    <row r="1987" spans="1:1">
      <c r="A1987" t="s">
        <v>41057</v>
      </c>
    </row>
    <row r="1988" spans="1:1">
      <c r="A1988" t="s">
        <v>41903</v>
      </c>
    </row>
    <row r="1989" spans="1:1">
      <c r="A1989" t="s">
        <v>41057</v>
      </c>
    </row>
    <row r="1990" spans="1:1">
      <c r="A1990" t="s">
        <v>41893</v>
      </c>
    </row>
    <row r="1991" spans="1:1">
      <c r="A1991" t="s">
        <v>41091</v>
      </c>
    </row>
    <row r="1992" spans="1:1">
      <c r="A1992" t="s">
        <v>41057</v>
      </c>
    </row>
    <row r="1993" spans="1:1">
      <c r="A1993" t="s">
        <v>41057</v>
      </c>
    </row>
    <row r="1994" spans="1:1">
      <c r="A1994" t="s">
        <v>41057</v>
      </c>
    </row>
    <row r="1995" spans="1:1">
      <c r="A1995" t="s">
        <v>41057</v>
      </c>
    </row>
    <row r="1996" spans="1:1">
      <c r="A1996" t="e">
        <v>#NAME?</v>
      </c>
    </row>
    <row r="1997" spans="1:1">
      <c r="A1997" t="s">
        <v>41904</v>
      </c>
    </row>
    <row r="1998" spans="1:1">
      <c r="A1998" t="s">
        <v>41905</v>
      </c>
    </row>
    <row r="1999" spans="1:1">
      <c r="A1999" t="s">
        <v>41906</v>
      </c>
    </row>
    <row r="2000" spans="1:1">
      <c r="A2000" t="s">
        <v>41907</v>
      </c>
    </row>
    <row r="2001" spans="1:1">
      <c r="A2001" t="e">
        <v>#NAME?</v>
      </c>
    </row>
    <row r="2002" spans="1:1">
      <c r="A2002" t="s">
        <v>41908</v>
      </c>
    </row>
    <row r="2003" spans="1:1">
      <c r="A2003" t="s">
        <v>41885</v>
      </c>
    </row>
    <row r="2004" spans="1:1">
      <c r="A2004" t="s">
        <v>41909</v>
      </c>
    </row>
    <row r="2005" spans="1:1">
      <c r="A2005" t="s">
        <v>41910</v>
      </c>
    </row>
    <row r="2006" spans="1:1">
      <c r="A2006" t="s">
        <v>41911</v>
      </c>
    </row>
    <row r="2007" spans="1:1">
      <c r="A2007" t="s">
        <v>41912</v>
      </c>
    </row>
    <row r="2008" spans="1:1">
      <c r="A2008" t="s">
        <v>41913</v>
      </c>
    </row>
    <row r="2009" spans="1:1">
      <c r="A2009" t="s">
        <v>41914</v>
      </c>
    </row>
    <row r="2010" spans="1:1">
      <c r="A2010" t="s">
        <v>41057</v>
      </c>
    </row>
    <row r="2011" spans="1:1">
      <c r="A2011" t="s">
        <v>41057</v>
      </c>
    </row>
    <row r="2012" spans="1:1">
      <c r="A2012" t="s">
        <v>41057</v>
      </c>
    </row>
    <row r="2013" spans="1:1">
      <c r="A2013" t="s">
        <v>41074</v>
      </c>
    </row>
    <row r="2014" spans="1:1">
      <c r="A2014" t="s">
        <v>40578</v>
      </c>
    </row>
    <row r="2015" spans="1:1">
      <c r="A2015" t="s">
        <v>41057</v>
      </c>
    </row>
    <row r="2016" spans="1:1">
      <c r="A2016" t="s">
        <v>41057</v>
      </c>
    </row>
    <row r="2017" spans="1:1">
      <c r="A2017" t="s">
        <v>41057</v>
      </c>
    </row>
    <row r="2018" spans="1:1">
      <c r="A2018" t="s">
        <v>41057</v>
      </c>
    </row>
    <row r="2019" spans="1:1">
      <c r="A2019" t="s">
        <v>41057</v>
      </c>
    </row>
    <row r="2020" spans="1:1">
      <c r="A2020" t="s">
        <v>41057</v>
      </c>
    </row>
    <row r="2021" spans="1:1">
      <c r="A2021" t="s">
        <v>41915</v>
      </c>
    </row>
    <row r="2022" spans="1:1">
      <c r="A2022" t="s">
        <v>41057</v>
      </c>
    </row>
    <row r="2023" spans="1:1">
      <c r="A2023" t="s">
        <v>41916</v>
      </c>
    </row>
    <row r="2024" spans="1:1">
      <c r="A2024" t="s">
        <v>41091</v>
      </c>
    </row>
    <row r="2025" spans="1:1">
      <c r="A2025" t="s">
        <v>41057</v>
      </c>
    </row>
    <row r="2026" spans="1:1">
      <c r="A2026" t="s">
        <v>41057</v>
      </c>
    </row>
    <row r="2027" spans="1:1">
      <c r="A2027" t="s">
        <v>41057</v>
      </c>
    </row>
    <row r="2028" spans="1:1">
      <c r="A2028" t="s">
        <v>41057</v>
      </c>
    </row>
    <row r="2029" spans="1:1">
      <c r="A2029" t="e">
        <v>#NAME?</v>
      </c>
    </row>
    <row r="2030" spans="1:1">
      <c r="A2030" t="s">
        <v>41917</v>
      </c>
    </row>
    <row r="2031" spans="1:1">
      <c r="A2031" t="s">
        <v>41918</v>
      </c>
    </row>
    <row r="2032" spans="1:1">
      <c r="A2032" t="s">
        <v>41919</v>
      </c>
    </row>
    <row r="2033" spans="1:1">
      <c r="A2033" t="s">
        <v>41920</v>
      </c>
    </row>
    <row r="2034" spans="1:1">
      <c r="A2034" t="e">
        <v>#NAME?</v>
      </c>
    </row>
    <row r="2035" spans="1:1">
      <c r="A2035" t="s">
        <v>41921</v>
      </c>
    </row>
    <row r="2036" spans="1:1">
      <c r="A2036" t="s">
        <v>41885</v>
      </c>
    </row>
    <row r="2037" spans="1:1">
      <c r="A2037" t="s">
        <v>41909</v>
      </c>
    </row>
    <row r="2038" spans="1:1">
      <c r="A2038" t="s">
        <v>41922</v>
      </c>
    </row>
    <row r="2039" spans="1:1">
      <c r="A2039" t="s">
        <v>41923</v>
      </c>
    </row>
    <row r="2040" spans="1:1">
      <c r="A2040" t="s">
        <v>41924</v>
      </c>
    </row>
    <row r="2041" spans="1:1">
      <c r="A2041" t="s">
        <v>41890</v>
      </c>
    </row>
    <row r="2042" spans="1:1">
      <c r="A2042" t="s">
        <v>41925</v>
      </c>
    </row>
    <row r="2043" spans="1:1">
      <c r="A2043" t="s">
        <v>41057</v>
      </c>
    </row>
    <row r="2044" spans="1:1">
      <c r="A2044" t="s">
        <v>41057</v>
      </c>
    </row>
    <row r="2045" spans="1:1">
      <c r="A2045" t="s">
        <v>41057</v>
      </c>
    </row>
    <row r="2046" spans="1:1">
      <c r="A2046" t="s">
        <v>41074</v>
      </c>
    </row>
    <row r="2047" spans="1:1">
      <c r="A2047" t="s">
        <v>40981</v>
      </c>
    </row>
    <row r="2048" spans="1:1">
      <c r="A2048" t="s">
        <v>41057</v>
      </c>
    </row>
    <row r="2049" spans="1:1">
      <c r="A2049" t="s">
        <v>41057</v>
      </c>
    </row>
    <row r="2050" spans="1:1">
      <c r="A2050" t="s">
        <v>41057</v>
      </c>
    </row>
    <row r="2051" spans="1:1">
      <c r="A2051" t="s">
        <v>41926</v>
      </c>
    </row>
    <row r="2052" spans="1:1">
      <c r="A2052" t="s">
        <v>41057</v>
      </c>
    </row>
    <row r="2053" spans="1:1">
      <c r="A2053" t="e">
        <v>#NAME?</v>
      </c>
    </row>
    <row r="2054" spans="1:1">
      <c r="A2054" t="s">
        <v>41927</v>
      </c>
    </row>
    <row r="2055" spans="1:1">
      <c r="A2055" t="s">
        <v>41057</v>
      </c>
    </row>
    <row r="2056" spans="1:1">
      <c r="A2056" t="s">
        <v>41928</v>
      </c>
    </row>
    <row r="2057" spans="1:1">
      <c r="A2057" t="s">
        <v>41929</v>
      </c>
    </row>
    <row r="2058" spans="1:1">
      <c r="A2058" t="s">
        <v>41057</v>
      </c>
    </row>
    <row r="2059" spans="1:1">
      <c r="A2059" t="s">
        <v>41057</v>
      </c>
    </row>
    <row r="2060" spans="1:1">
      <c r="A2060" t="s">
        <v>41057</v>
      </c>
    </row>
    <row r="2061" spans="1:1">
      <c r="A2061" t="s">
        <v>41057</v>
      </c>
    </row>
    <row r="2062" spans="1:1">
      <c r="A2062" t="e">
        <v>#NAME?</v>
      </c>
    </row>
    <row r="2063" spans="1:1">
      <c r="A2063" t="s">
        <v>41930</v>
      </c>
    </row>
    <row r="2064" spans="1:1">
      <c r="A2064" t="s">
        <v>41931</v>
      </c>
    </row>
    <row r="2065" spans="1:1">
      <c r="A2065" t="s">
        <v>41932</v>
      </c>
    </row>
    <row r="2066" spans="1:1">
      <c r="A2066" t="s">
        <v>41933</v>
      </c>
    </row>
    <row r="2067" spans="1:1">
      <c r="A2067" t="e">
        <v>#NAME?</v>
      </c>
    </row>
    <row r="2068" spans="1:1">
      <c r="A2068" t="s">
        <v>41934</v>
      </c>
    </row>
    <row r="2069" spans="1:1">
      <c r="A2069" t="s">
        <v>41935</v>
      </c>
    </row>
    <row r="2070" spans="1:1">
      <c r="A2070" t="s">
        <v>41936</v>
      </c>
    </row>
    <row r="2071" spans="1:1">
      <c r="A2071" t="s">
        <v>41937</v>
      </c>
    </row>
    <row r="2072" spans="1:1">
      <c r="A2072" t="s">
        <v>41938</v>
      </c>
    </row>
    <row r="2073" spans="1:1">
      <c r="A2073" t="s">
        <v>41939</v>
      </c>
    </row>
    <row r="2074" spans="1:1">
      <c r="A2074" t="s">
        <v>41940</v>
      </c>
    </row>
    <row r="2075" spans="1:1">
      <c r="A2075" t="s">
        <v>41941</v>
      </c>
    </row>
    <row r="2076" spans="1:1">
      <c r="A2076" t="s">
        <v>41057</v>
      </c>
    </row>
    <row r="2077" spans="1:1">
      <c r="A2077" t="s">
        <v>41057</v>
      </c>
    </row>
    <row r="2078" spans="1:1">
      <c r="A2078" t="s">
        <v>41057</v>
      </c>
    </row>
    <row r="2079" spans="1:1">
      <c r="A2079" t="s">
        <v>41074</v>
      </c>
    </row>
    <row r="2080" spans="1:1">
      <c r="A2080" t="s">
        <v>41000</v>
      </c>
    </row>
    <row r="2081" spans="1:1">
      <c r="A2081" t="s">
        <v>41057</v>
      </c>
    </row>
    <row r="2082" spans="1:1">
      <c r="A2082" t="s">
        <v>41057</v>
      </c>
    </row>
    <row r="2083" spans="1:1">
      <c r="A2083" t="s">
        <v>41057</v>
      </c>
    </row>
    <row r="2084" spans="1:1">
      <c r="A2084" t="s">
        <v>41942</v>
      </c>
    </row>
    <row r="2085" spans="1:1">
      <c r="A2085" t="s">
        <v>41057</v>
      </c>
    </row>
    <row r="2086" spans="1:1">
      <c r="A2086" t="e">
        <v>#NAME?</v>
      </c>
    </row>
    <row r="2087" spans="1:1">
      <c r="A2087" t="s">
        <v>41943</v>
      </c>
    </row>
    <row r="2088" spans="1:1">
      <c r="A2088" t="s">
        <v>41057</v>
      </c>
    </row>
    <row r="2089" spans="1:1">
      <c r="A2089" t="s">
        <v>41944</v>
      </c>
    </row>
    <row r="2090" spans="1:1">
      <c r="A2090" t="s">
        <v>41929</v>
      </c>
    </row>
    <row r="2091" spans="1:1">
      <c r="A2091" t="s">
        <v>41057</v>
      </c>
    </row>
    <row r="2092" spans="1:1">
      <c r="A2092" t="s">
        <v>41057</v>
      </c>
    </row>
    <row r="2093" spans="1:1">
      <c r="A2093" t="s">
        <v>41057</v>
      </c>
    </row>
    <row r="2094" spans="1:1">
      <c r="A2094" t="s">
        <v>41057</v>
      </c>
    </row>
    <row r="2095" spans="1:1">
      <c r="A2095" t="e">
        <v>#NAME?</v>
      </c>
    </row>
    <row r="2096" spans="1:1">
      <c r="A2096" t="s">
        <v>41945</v>
      </c>
    </row>
    <row r="2097" spans="1:1">
      <c r="A2097" t="s">
        <v>41946</v>
      </c>
    </row>
    <row r="2098" spans="1:1">
      <c r="A2098" t="s">
        <v>41947</v>
      </c>
    </row>
    <row r="2099" spans="1:1">
      <c r="A2099" t="s">
        <v>41948</v>
      </c>
    </row>
    <row r="2100" spans="1:1">
      <c r="A2100" t="e">
        <v>#NAME?</v>
      </c>
    </row>
    <row r="2101" spans="1:1">
      <c r="A2101" t="s">
        <v>41949</v>
      </c>
    </row>
    <row r="2102" spans="1:1">
      <c r="A2102" t="s">
        <v>41950</v>
      </c>
    </row>
    <row r="2103" spans="1:1">
      <c r="A2103" t="s">
        <v>41951</v>
      </c>
    </row>
    <row r="2104" spans="1:1">
      <c r="A2104" t="s">
        <v>41952</v>
      </c>
    </row>
    <row r="2105" spans="1:1">
      <c r="A2105" t="s">
        <v>41953</v>
      </c>
    </row>
    <row r="2106" spans="1:1">
      <c r="A2106" t="s">
        <v>41954</v>
      </c>
    </row>
    <row r="2107" spans="1:1">
      <c r="A2107" t="s">
        <v>41955</v>
      </c>
    </row>
    <row r="2108" spans="1:1">
      <c r="A2108" t="s">
        <v>41956</v>
      </c>
    </row>
    <row r="2109" spans="1:1">
      <c r="A2109" t="s">
        <v>41057</v>
      </c>
    </row>
    <row r="2110" spans="1:1">
      <c r="A2110" t="s">
        <v>41057</v>
      </c>
    </row>
    <row r="2111" spans="1:1">
      <c r="A2111" t="s">
        <v>41057</v>
      </c>
    </row>
    <row r="2112" spans="1:1">
      <c r="A2112" t="s">
        <v>41074</v>
      </c>
    </row>
    <row r="2113" spans="1:1">
      <c r="A2113" t="s">
        <v>40891</v>
      </c>
    </row>
    <row r="2114" spans="1:1">
      <c r="A2114" t="s">
        <v>41957</v>
      </c>
    </row>
    <row r="2115" spans="1:1">
      <c r="A2115" t="s">
        <v>41057</v>
      </c>
    </row>
    <row r="2116" spans="1:1">
      <c r="A2116" t="s">
        <v>41057</v>
      </c>
    </row>
    <row r="2117" spans="1:1">
      <c r="A2117" t="s">
        <v>41057</v>
      </c>
    </row>
    <row r="2118" spans="1:1">
      <c r="A2118" t="s">
        <v>41057</v>
      </c>
    </row>
    <row r="2119" spans="1:1">
      <c r="A2119" t="e">
        <v>#NAME?</v>
      </c>
    </row>
    <row r="2120" spans="1:1">
      <c r="A2120" t="s">
        <v>41958</v>
      </c>
    </row>
    <row r="2121" spans="1:1">
      <c r="A2121" t="s">
        <v>41057</v>
      </c>
    </row>
    <row r="2122" spans="1:1">
      <c r="A2122" t="s">
        <v>41959</v>
      </c>
    </row>
    <row r="2123" spans="1:1">
      <c r="A2123" t="s">
        <v>41960</v>
      </c>
    </row>
    <row r="2124" spans="1:1">
      <c r="A2124" t="s">
        <v>41057</v>
      </c>
    </row>
    <row r="2125" spans="1:1">
      <c r="A2125" t="s">
        <v>41057</v>
      </c>
    </row>
    <row r="2126" spans="1:1">
      <c r="A2126" t="s">
        <v>41057</v>
      </c>
    </row>
    <row r="2127" spans="1:1">
      <c r="A2127" t="s">
        <v>41057</v>
      </c>
    </row>
    <row r="2128" spans="1:1">
      <c r="A2128" t="e">
        <v>#NAME?</v>
      </c>
    </row>
    <row r="2129" spans="1:1">
      <c r="A2129" t="s">
        <v>41961</v>
      </c>
    </row>
    <row r="2130" spans="1:1">
      <c r="A2130" t="s">
        <v>41962</v>
      </c>
    </row>
    <row r="2131" spans="1:1">
      <c r="A2131" t="s">
        <v>41963</v>
      </c>
    </row>
    <row r="2132" spans="1:1">
      <c r="A2132" t="s">
        <v>41964</v>
      </c>
    </row>
    <row r="2133" spans="1:1">
      <c r="A2133" t="e">
        <v>#NAME?</v>
      </c>
    </row>
    <row r="2134" spans="1:1">
      <c r="A2134" t="s">
        <v>41965</v>
      </c>
    </row>
    <row r="2135" spans="1:1">
      <c r="A2135" t="s">
        <v>41966</v>
      </c>
    </row>
    <row r="2136" spans="1:1">
      <c r="A2136" t="s">
        <v>41967</v>
      </c>
    </row>
    <row r="2137" spans="1:1">
      <c r="A2137" t="s">
        <v>41968</v>
      </c>
    </row>
    <row r="2138" spans="1:1">
      <c r="A2138" t="s">
        <v>41969</v>
      </c>
    </row>
    <row r="2139" spans="1:1">
      <c r="A2139" t="s">
        <v>41970</v>
      </c>
    </row>
    <row r="2140" spans="1:1">
      <c r="A2140" t="s">
        <v>41971</v>
      </c>
    </row>
    <row r="2141" spans="1:1">
      <c r="A2141" t="s">
        <v>41972</v>
      </c>
    </row>
    <row r="2142" spans="1:1">
      <c r="A2142" t="s">
        <v>41057</v>
      </c>
    </row>
    <row r="2143" spans="1:1">
      <c r="A2143" t="s">
        <v>41057</v>
      </c>
    </row>
    <row r="2144" spans="1:1">
      <c r="A2144" t="s">
        <v>41057</v>
      </c>
    </row>
    <row r="2145" spans="1:1">
      <c r="A2145" t="s">
        <v>41074</v>
      </c>
    </row>
    <row r="2146" spans="1:1">
      <c r="A2146" t="s">
        <v>40901</v>
      </c>
    </row>
    <row r="2147" spans="1:1">
      <c r="A2147" t="s">
        <v>41973</v>
      </c>
    </row>
    <row r="2148" spans="1:1">
      <c r="A2148" t="s">
        <v>41057</v>
      </c>
    </row>
    <row r="2149" spans="1:1">
      <c r="A2149" t="s">
        <v>41057</v>
      </c>
    </row>
    <row r="2150" spans="1:1">
      <c r="A2150" t="s">
        <v>41057</v>
      </c>
    </row>
    <row r="2151" spans="1:1">
      <c r="A2151" t="s">
        <v>41057</v>
      </c>
    </row>
    <row r="2152" spans="1:1">
      <c r="A2152" t="e">
        <v>#NAME?</v>
      </c>
    </row>
    <row r="2153" spans="1:1">
      <c r="A2153" t="s">
        <v>41974</v>
      </c>
    </row>
    <row r="2154" spans="1:1">
      <c r="A2154" t="s">
        <v>41057</v>
      </c>
    </row>
    <row r="2155" spans="1:1">
      <c r="A2155" t="s">
        <v>41975</v>
      </c>
    </row>
    <row r="2156" spans="1:1">
      <c r="A2156" t="s">
        <v>41960</v>
      </c>
    </row>
    <row r="2157" spans="1:1">
      <c r="A2157" t="s">
        <v>41057</v>
      </c>
    </row>
    <row r="2158" spans="1:1">
      <c r="A2158" t="s">
        <v>41057</v>
      </c>
    </row>
    <row r="2159" spans="1:1">
      <c r="A2159" t="s">
        <v>41057</v>
      </c>
    </row>
    <row r="2160" spans="1:1">
      <c r="A2160" t="s">
        <v>41057</v>
      </c>
    </row>
    <row r="2161" spans="1:1">
      <c r="A2161" t="e">
        <v>#NAME?</v>
      </c>
    </row>
    <row r="2162" spans="1:1">
      <c r="A2162" t="s">
        <v>41976</v>
      </c>
    </row>
    <row r="2163" spans="1:1">
      <c r="A2163" t="s">
        <v>41977</v>
      </c>
    </row>
    <row r="2164" spans="1:1">
      <c r="A2164" t="s">
        <v>41978</v>
      </c>
    </row>
    <row r="2165" spans="1:1">
      <c r="A2165" t="s">
        <v>41979</v>
      </c>
    </row>
    <row r="2166" spans="1:1">
      <c r="A2166" t="e">
        <v>#NAME?</v>
      </c>
    </row>
    <row r="2167" spans="1:1">
      <c r="A2167" t="s">
        <v>41980</v>
      </c>
    </row>
    <row r="2168" spans="1:1">
      <c r="A2168" t="s">
        <v>41981</v>
      </c>
    </row>
    <row r="2169" spans="1:1">
      <c r="A2169" t="s">
        <v>41982</v>
      </c>
    </row>
    <row r="2170" spans="1:1">
      <c r="A2170" t="s">
        <v>41983</v>
      </c>
    </row>
    <row r="2171" spans="1:1">
      <c r="A2171" t="s">
        <v>41984</v>
      </c>
    </row>
    <row r="2172" spans="1:1">
      <c r="A2172" t="s">
        <v>41985</v>
      </c>
    </row>
    <row r="2173" spans="1:1">
      <c r="A2173" t="s">
        <v>41986</v>
      </c>
    </row>
    <row r="2174" spans="1:1">
      <c r="A2174" t="s">
        <v>41987</v>
      </c>
    </row>
    <row r="2175" spans="1:1">
      <c r="A2175" t="s">
        <v>41057</v>
      </c>
    </row>
    <row r="2176" spans="1:1">
      <c r="A2176" t="s">
        <v>41057</v>
      </c>
    </row>
    <row r="2177" spans="1:1">
      <c r="A2177" t="s">
        <v>41057</v>
      </c>
    </row>
    <row r="2178" spans="1:1">
      <c r="A2178" t="s">
        <v>41074</v>
      </c>
    </row>
    <row r="2179" spans="1:1">
      <c r="A2179" t="s">
        <v>40950</v>
      </c>
    </row>
    <row r="2180" spans="1:1">
      <c r="A2180" t="s">
        <v>41988</v>
      </c>
    </row>
    <row r="2181" spans="1:1">
      <c r="A2181" t="s">
        <v>41057</v>
      </c>
    </row>
    <row r="2182" spans="1:1">
      <c r="A2182" t="s">
        <v>41057</v>
      </c>
    </row>
    <row r="2183" spans="1:1">
      <c r="A2183" t="s">
        <v>41057</v>
      </c>
    </row>
    <row r="2184" spans="1:1">
      <c r="A2184" t="s">
        <v>41057</v>
      </c>
    </row>
    <row r="2185" spans="1:1">
      <c r="A2185" t="e">
        <v>#NAME?</v>
      </c>
    </row>
    <row r="2186" spans="1:1">
      <c r="A2186" t="s">
        <v>41989</v>
      </c>
    </row>
    <row r="2187" spans="1:1">
      <c r="A2187" t="s">
        <v>41057</v>
      </c>
    </row>
    <row r="2188" spans="1:1">
      <c r="A2188" t="s">
        <v>41990</v>
      </c>
    </row>
    <row r="2189" spans="1:1">
      <c r="A2189" t="s">
        <v>41960</v>
      </c>
    </row>
    <row r="2190" spans="1:1">
      <c r="A2190" t="s">
        <v>41057</v>
      </c>
    </row>
    <row r="2191" spans="1:1">
      <c r="A2191" t="s">
        <v>41057</v>
      </c>
    </row>
    <row r="2192" spans="1:1">
      <c r="A2192" t="s">
        <v>41057</v>
      </c>
    </row>
    <row r="2193" spans="1:1">
      <c r="A2193" t="s">
        <v>41057</v>
      </c>
    </row>
    <row r="2194" spans="1:1">
      <c r="A2194" t="e">
        <v>#NAME?</v>
      </c>
    </row>
    <row r="2195" spans="1:1">
      <c r="A2195" t="s">
        <v>41991</v>
      </c>
    </row>
    <row r="2196" spans="1:1">
      <c r="A2196" t="s">
        <v>41977</v>
      </c>
    </row>
    <row r="2197" spans="1:1">
      <c r="A2197" t="s">
        <v>41963</v>
      </c>
    </row>
    <row r="2198" spans="1:1">
      <c r="A2198" t="s">
        <v>41979</v>
      </c>
    </row>
    <row r="2199" spans="1:1">
      <c r="A2199" t="e">
        <v>#NAME?</v>
      </c>
    </row>
    <row r="2200" spans="1:1">
      <c r="A2200" t="s">
        <v>41992</v>
      </c>
    </row>
    <row r="2201" spans="1:1">
      <c r="A2201" t="s">
        <v>41993</v>
      </c>
    </row>
    <row r="2202" spans="1:1">
      <c r="A2202" t="s">
        <v>41994</v>
      </c>
    </row>
    <row r="2203" spans="1:1">
      <c r="A2203" t="s">
        <v>41995</v>
      </c>
    </row>
    <row r="2204" spans="1:1">
      <c r="A2204" t="s">
        <v>41996</v>
      </c>
    </row>
    <row r="2205" spans="1:1">
      <c r="A2205" t="s">
        <v>41997</v>
      </c>
    </row>
    <row r="2206" spans="1:1">
      <c r="A2206" t="s">
        <v>41971</v>
      </c>
    </row>
    <row r="2207" spans="1:1">
      <c r="A2207" t="s">
        <v>41998</v>
      </c>
    </row>
    <row r="2208" spans="1:1">
      <c r="A2208" t="s">
        <v>41057</v>
      </c>
    </row>
    <row r="2209" spans="1:1">
      <c r="A2209" t="s">
        <v>41057</v>
      </c>
    </row>
    <row r="2210" spans="1:1">
      <c r="A2210" t="s">
        <v>41057</v>
      </c>
    </row>
    <row r="2211" spans="1:1">
      <c r="A2211" t="s">
        <v>41074</v>
      </c>
    </row>
    <row r="2212" spans="1:1">
      <c r="A2212" t="s">
        <v>40911</v>
      </c>
    </row>
    <row r="2213" spans="1:1">
      <c r="A2213" t="s">
        <v>41999</v>
      </c>
    </row>
    <row r="2214" spans="1:1">
      <c r="A2214" t="s">
        <v>41057</v>
      </c>
    </row>
    <row r="2215" spans="1:1">
      <c r="A2215" t="s">
        <v>41057</v>
      </c>
    </row>
    <row r="2216" spans="1:1">
      <c r="A2216" t="s">
        <v>41057</v>
      </c>
    </row>
    <row r="2217" spans="1:1">
      <c r="A2217" t="s">
        <v>41057</v>
      </c>
    </row>
    <row r="2218" spans="1:1">
      <c r="A2218" t="e">
        <v>#NAME?</v>
      </c>
    </row>
    <row r="2219" spans="1:1">
      <c r="A2219" t="s">
        <v>42000</v>
      </c>
    </row>
    <row r="2220" spans="1:1">
      <c r="A2220" t="s">
        <v>41057</v>
      </c>
    </row>
    <row r="2221" spans="1:1">
      <c r="A2221" t="s">
        <v>42001</v>
      </c>
    </row>
    <row r="2222" spans="1:1">
      <c r="A2222" t="s">
        <v>41960</v>
      </c>
    </row>
    <row r="2223" spans="1:1">
      <c r="A2223" t="s">
        <v>41057</v>
      </c>
    </row>
    <row r="2224" spans="1:1">
      <c r="A2224" t="s">
        <v>41057</v>
      </c>
    </row>
    <row r="2225" spans="1:1">
      <c r="A2225" t="s">
        <v>41057</v>
      </c>
    </row>
    <row r="2226" spans="1:1">
      <c r="A2226" t="s">
        <v>41057</v>
      </c>
    </row>
    <row r="2227" spans="1:1">
      <c r="A2227" t="e">
        <v>#NAME?</v>
      </c>
    </row>
    <row r="2228" spans="1:1">
      <c r="A2228" t="s">
        <v>42002</v>
      </c>
    </row>
    <row r="2229" spans="1:1">
      <c r="A2229" t="s">
        <v>42003</v>
      </c>
    </row>
    <row r="2230" spans="1:1">
      <c r="A2230" t="s">
        <v>42004</v>
      </c>
    </row>
    <row r="2231" spans="1:1">
      <c r="A2231" t="s">
        <v>42005</v>
      </c>
    </row>
    <row r="2232" spans="1:1">
      <c r="A2232" t="e">
        <v>#NAME?</v>
      </c>
    </row>
    <row r="2233" spans="1:1">
      <c r="A2233" t="s">
        <v>42006</v>
      </c>
    </row>
    <row r="2234" spans="1:1">
      <c r="A2234" t="s">
        <v>42007</v>
      </c>
    </row>
    <row r="2235" spans="1:1">
      <c r="A2235" t="s">
        <v>42008</v>
      </c>
    </row>
    <row r="2236" spans="1:1">
      <c r="A2236" t="s">
        <v>42009</v>
      </c>
    </row>
    <row r="2237" spans="1:1">
      <c r="A2237" t="s">
        <v>42010</v>
      </c>
    </row>
    <row r="2238" spans="1:1">
      <c r="A2238" t="s">
        <v>42011</v>
      </c>
    </row>
    <row r="2239" spans="1:1">
      <c r="A2239" t="s">
        <v>42012</v>
      </c>
    </row>
    <row r="2240" spans="1:1">
      <c r="A2240" t="s">
        <v>42013</v>
      </c>
    </row>
    <row r="2241" spans="1:1">
      <c r="A2241" t="s">
        <v>41057</v>
      </c>
    </row>
    <row r="2242" spans="1:1">
      <c r="A2242" t="s">
        <v>41057</v>
      </c>
    </row>
    <row r="2243" spans="1:1">
      <c r="A2243" t="s">
        <v>41057</v>
      </c>
    </row>
    <row r="2244" spans="1:1">
      <c r="A2244" t="s">
        <v>41074</v>
      </c>
    </row>
    <row r="2245" spans="1:1">
      <c r="A2245" t="s">
        <v>40945</v>
      </c>
    </row>
    <row r="2246" spans="1:1">
      <c r="A2246" t="e">
        <v>#NAME?</v>
      </c>
    </row>
    <row r="2247" spans="1:1">
      <c r="A2247" t="s">
        <v>41087</v>
      </c>
    </row>
    <row r="2248" spans="1:1">
      <c r="A2248" t="s">
        <v>42014</v>
      </c>
    </row>
    <row r="2249" spans="1:1">
      <c r="A2249" t="s">
        <v>41057</v>
      </c>
    </row>
    <row r="2250" spans="1:1">
      <c r="A2250" t="s">
        <v>41057</v>
      </c>
    </row>
    <row r="2251" spans="1:1">
      <c r="A2251" t="e">
        <v>#NAME?</v>
      </c>
    </row>
    <row r="2252" spans="1:1">
      <c r="A2252" t="s">
        <v>42015</v>
      </c>
    </row>
    <row r="2253" spans="1:1">
      <c r="A2253" t="s">
        <v>41057</v>
      </c>
    </row>
    <row r="2254" spans="1:1">
      <c r="A2254" t="s">
        <v>42016</v>
      </c>
    </row>
    <row r="2255" spans="1:1">
      <c r="A2255" t="s">
        <v>42017</v>
      </c>
    </row>
    <row r="2256" spans="1:1">
      <c r="A2256" t="s">
        <v>41057</v>
      </c>
    </row>
    <row r="2257" spans="1:1">
      <c r="A2257" t="s">
        <v>41057</v>
      </c>
    </row>
    <row r="2258" spans="1:1">
      <c r="A2258" t="s">
        <v>41057</v>
      </c>
    </row>
    <row r="2259" spans="1:1">
      <c r="A2259" t="s">
        <v>41057</v>
      </c>
    </row>
    <row r="2260" spans="1:1">
      <c r="A2260" t="e">
        <v>#NAME?</v>
      </c>
    </row>
    <row r="2261" spans="1:1">
      <c r="A2261" t="s">
        <v>42018</v>
      </c>
    </row>
    <row r="2262" spans="1:1">
      <c r="A2262" t="s">
        <v>42019</v>
      </c>
    </row>
    <row r="2263" spans="1:1">
      <c r="A2263" t="s">
        <v>42020</v>
      </c>
    </row>
    <row r="2264" spans="1:1">
      <c r="A2264" t="s">
        <v>42021</v>
      </c>
    </row>
    <row r="2265" spans="1:1">
      <c r="A2265" t="e">
        <v>#NAME?</v>
      </c>
    </row>
    <row r="2266" spans="1:1">
      <c r="A2266" t="s">
        <v>42022</v>
      </c>
    </row>
    <row r="2267" spans="1:1">
      <c r="A2267" t="s">
        <v>42023</v>
      </c>
    </row>
    <row r="2268" spans="1:1">
      <c r="A2268" t="s">
        <v>42024</v>
      </c>
    </row>
    <row r="2269" spans="1:1">
      <c r="A2269" t="s">
        <v>42025</v>
      </c>
    </row>
    <row r="2270" spans="1:1">
      <c r="A2270" t="s">
        <v>42026</v>
      </c>
    </row>
    <row r="2271" spans="1:1">
      <c r="A2271" t="s">
        <v>41057</v>
      </c>
    </row>
    <row r="2272" spans="1:1">
      <c r="A2272" t="s">
        <v>42027</v>
      </c>
    </row>
    <row r="2273" spans="1:1">
      <c r="A2273" t="s">
        <v>42028</v>
      </c>
    </row>
    <row r="2274" spans="1:1">
      <c r="A2274" t="s">
        <v>41057</v>
      </c>
    </row>
    <row r="2275" spans="1:1">
      <c r="A2275" t="s">
        <v>41057</v>
      </c>
    </row>
    <row r="2276" spans="1:1">
      <c r="A2276" t="s">
        <v>41057</v>
      </c>
    </row>
    <row r="2277" spans="1:1">
      <c r="A2277" t="s">
        <v>41074</v>
      </c>
    </row>
    <row r="2278" spans="1:1">
      <c r="A2278" t="s">
        <v>40976</v>
      </c>
    </row>
    <row r="2279" spans="1:1">
      <c r="A2279" t="s">
        <v>42029</v>
      </c>
    </row>
    <row r="2280" spans="1:1">
      <c r="A2280" t="s">
        <v>41057</v>
      </c>
    </row>
    <row r="2281" spans="1:1">
      <c r="A2281" t="s">
        <v>41057</v>
      </c>
    </row>
    <row r="2282" spans="1:1">
      <c r="A2282" t="s">
        <v>41057</v>
      </c>
    </row>
    <row r="2283" spans="1:1">
      <c r="A2283" t="s">
        <v>41057</v>
      </c>
    </row>
    <row r="2284" spans="1:1">
      <c r="A2284" t="e">
        <v>#NAME?</v>
      </c>
    </row>
    <row r="2285" spans="1:1">
      <c r="A2285" t="s">
        <v>42030</v>
      </c>
    </row>
    <row r="2286" spans="1:1">
      <c r="A2286" t="s">
        <v>41057</v>
      </c>
    </row>
    <row r="2287" spans="1:1">
      <c r="A2287" t="s">
        <v>42031</v>
      </c>
    </row>
    <row r="2288" spans="1:1">
      <c r="A2288" t="s">
        <v>42017</v>
      </c>
    </row>
    <row r="2289" spans="1:1">
      <c r="A2289" t="s">
        <v>41057</v>
      </c>
    </row>
    <row r="2290" spans="1:1">
      <c r="A2290" t="s">
        <v>41057</v>
      </c>
    </row>
    <row r="2291" spans="1:1">
      <c r="A2291" t="s">
        <v>41057</v>
      </c>
    </row>
    <row r="2292" spans="1:1">
      <c r="A2292" t="s">
        <v>41057</v>
      </c>
    </row>
    <row r="2293" spans="1:1">
      <c r="A2293" t="e">
        <v>#NAME?</v>
      </c>
    </row>
    <row r="2294" spans="1:1">
      <c r="A2294" t="s">
        <v>42032</v>
      </c>
    </row>
    <row r="2295" spans="1:1">
      <c r="A2295" t="s">
        <v>42033</v>
      </c>
    </row>
    <row r="2296" spans="1:1">
      <c r="A2296" t="s">
        <v>42020</v>
      </c>
    </row>
    <row r="2297" spans="1:1">
      <c r="A2297" t="s">
        <v>42021</v>
      </c>
    </row>
    <row r="2298" spans="1:1">
      <c r="A2298" t="e">
        <v>#NAME?</v>
      </c>
    </row>
    <row r="2299" spans="1:1">
      <c r="A2299" t="s">
        <v>42022</v>
      </c>
    </row>
    <row r="2300" spans="1:1">
      <c r="A2300" t="s">
        <v>42034</v>
      </c>
    </row>
    <row r="2301" spans="1:1">
      <c r="A2301" t="s">
        <v>42024</v>
      </c>
    </row>
    <row r="2302" spans="1:1">
      <c r="A2302" t="s">
        <v>42035</v>
      </c>
    </row>
    <row r="2303" spans="1:1">
      <c r="A2303" t="s">
        <v>42036</v>
      </c>
    </row>
    <row r="2304" spans="1:1">
      <c r="A2304" t="s">
        <v>41057</v>
      </c>
    </row>
    <row r="2305" spans="1:1">
      <c r="A2305" t="s">
        <v>42037</v>
      </c>
    </row>
    <row r="2306" spans="1:1">
      <c r="A2306" t="s">
        <v>42038</v>
      </c>
    </row>
    <row r="2307" spans="1:1">
      <c r="A2307" t="s">
        <v>41057</v>
      </c>
    </row>
    <row r="2308" spans="1:1">
      <c r="A2308" t="s">
        <v>41057</v>
      </c>
    </row>
    <row r="2309" spans="1:1">
      <c r="A2309" t="s">
        <v>41057</v>
      </c>
    </row>
    <row r="2310" spans="1:1">
      <c r="A2310" t="s">
        <v>41074</v>
      </c>
    </row>
    <row r="2311" spans="1:1">
      <c r="A2311" t="s">
        <v>40955</v>
      </c>
    </row>
    <row r="2312" spans="1:1">
      <c r="A2312" t="s">
        <v>42039</v>
      </c>
    </row>
    <row r="2313" spans="1:1">
      <c r="A2313" t="s">
        <v>41057</v>
      </c>
    </row>
    <row r="2314" spans="1:1">
      <c r="A2314" t="s">
        <v>41057</v>
      </c>
    </row>
    <row r="2315" spans="1:1">
      <c r="A2315" t="s">
        <v>41057</v>
      </c>
    </row>
    <row r="2316" spans="1:1">
      <c r="A2316" t="s">
        <v>41057</v>
      </c>
    </row>
    <row r="2317" spans="1:1">
      <c r="A2317" t="e">
        <v>#NAME?</v>
      </c>
    </row>
    <row r="2318" spans="1:1">
      <c r="A2318" t="s">
        <v>42040</v>
      </c>
    </row>
    <row r="2319" spans="1:1">
      <c r="A2319" t="s">
        <v>41057</v>
      </c>
    </row>
    <row r="2320" spans="1:1">
      <c r="A2320" t="s">
        <v>42041</v>
      </c>
    </row>
    <row r="2321" spans="1:1">
      <c r="A2321" t="s">
        <v>42017</v>
      </c>
    </row>
    <row r="2322" spans="1:1">
      <c r="A2322" t="s">
        <v>41057</v>
      </c>
    </row>
    <row r="2323" spans="1:1">
      <c r="A2323" t="s">
        <v>41057</v>
      </c>
    </row>
    <row r="2324" spans="1:1">
      <c r="A2324" t="s">
        <v>41057</v>
      </c>
    </row>
    <row r="2325" spans="1:1">
      <c r="A2325" t="s">
        <v>41057</v>
      </c>
    </row>
    <row r="2326" spans="1:1">
      <c r="A2326" t="e">
        <v>#NAME?</v>
      </c>
    </row>
    <row r="2327" spans="1:1">
      <c r="A2327" t="s">
        <v>42042</v>
      </c>
    </row>
    <row r="2328" spans="1:1">
      <c r="A2328" t="s">
        <v>42043</v>
      </c>
    </row>
    <row r="2329" spans="1:1">
      <c r="A2329" t="s">
        <v>42020</v>
      </c>
    </row>
    <row r="2330" spans="1:1">
      <c r="A2330" t="s">
        <v>42021</v>
      </c>
    </row>
    <row r="2331" spans="1:1">
      <c r="A2331" t="e">
        <v>#NAME?</v>
      </c>
    </row>
    <row r="2332" spans="1:1">
      <c r="A2332" t="s">
        <v>42022</v>
      </c>
    </row>
    <row r="2333" spans="1:1">
      <c r="A2333" t="s">
        <v>42044</v>
      </c>
    </row>
    <row r="2334" spans="1:1">
      <c r="A2334" t="s">
        <v>42024</v>
      </c>
    </row>
    <row r="2335" spans="1:1">
      <c r="A2335" t="s">
        <v>42045</v>
      </c>
    </row>
    <row r="2336" spans="1:1">
      <c r="A2336" t="s">
        <v>42046</v>
      </c>
    </row>
    <row r="2337" spans="1:1">
      <c r="A2337" t="s">
        <v>41057</v>
      </c>
    </row>
    <row r="2338" spans="1:1">
      <c r="A2338" t="s">
        <v>42047</v>
      </c>
    </row>
    <row r="2339" spans="1:1">
      <c r="A2339" t="s">
        <v>42013</v>
      </c>
    </row>
    <row r="2340" spans="1:1">
      <c r="A2340" t="s">
        <v>41057</v>
      </c>
    </row>
    <row r="2341" spans="1:1">
      <c r="A2341" t="s">
        <v>41057</v>
      </c>
    </row>
    <row r="2342" spans="1:1">
      <c r="A2342" t="s">
        <v>41057</v>
      </c>
    </row>
    <row r="2343" spans="1:1">
      <c r="A2343" t="s">
        <v>41074</v>
      </c>
    </row>
    <row r="2344" spans="1:1">
      <c r="A2344" t="s">
        <v>40584</v>
      </c>
    </row>
    <row r="2345" spans="1:1">
      <c r="A2345" t="s">
        <v>42048</v>
      </c>
    </row>
    <row r="2346" spans="1:1">
      <c r="A2346" t="s">
        <v>41057</v>
      </c>
    </row>
    <row r="2347" spans="1:1">
      <c r="A2347" t="e">
        <v>#NAME?</v>
      </c>
    </row>
    <row r="2348" spans="1:1">
      <c r="A2348" t="s">
        <v>42049</v>
      </c>
    </row>
    <row r="2349" spans="1:1">
      <c r="A2349" t="s">
        <v>42050</v>
      </c>
    </row>
    <row r="2350" spans="1:1">
      <c r="A2350" t="s">
        <v>42051</v>
      </c>
    </row>
    <row r="2351" spans="1:1">
      <c r="A2351" t="s">
        <v>42052</v>
      </c>
    </row>
    <row r="2352" spans="1:1">
      <c r="A2352" t="s">
        <v>41057</v>
      </c>
    </row>
    <row r="2353" spans="1:1">
      <c r="A2353" t="s">
        <v>42053</v>
      </c>
    </row>
    <row r="2354" spans="1:1">
      <c r="A2354" t="s">
        <v>42054</v>
      </c>
    </row>
    <row r="2355" spans="1:1">
      <c r="A2355" t="s">
        <v>41057</v>
      </c>
    </row>
    <row r="2356" spans="1:1">
      <c r="A2356" t="s">
        <v>41057</v>
      </c>
    </row>
    <row r="2357" spans="1:1">
      <c r="A2357" t="s">
        <v>41057</v>
      </c>
    </row>
    <row r="2358" spans="1:1">
      <c r="A2358" t="s">
        <v>41057</v>
      </c>
    </row>
    <row r="2359" spans="1:1">
      <c r="A2359" t="e">
        <v>#NAME?</v>
      </c>
    </row>
    <row r="2360" spans="1:1">
      <c r="A2360" t="s">
        <v>42055</v>
      </c>
    </row>
    <row r="2361" spans="1:1">
      <c r="A2361" t="s">
        <v>42056</v>
      </c>
    </row>
    <row r="2362" spans="1:1">
      <c r="A2362" t="s">
        <v>42057</v>
      </c>
    </row>
    <row r="2363" spans="1:1">
      <c r="A2363" t="s">
        <v>41057</v>
      </c>
    </row>
    <row r="2364" spans="1:1">
      <c r="A2364" t="s">
        <v>42058</v>
      </c>
    </row>
    <row r="2365" spans="1:1">
      <c r="A2365" t="s">
        <v>42059</v>
      </c>
    </row>
    <row r="2366" spans="1:1">
      <c r="A2366" t="s">
        <v>42060</v>
      </c>
    </row>
    <row r="2367" spans="1:1">
      <c r="A2367" t="s">
        <v>42061</v>
      </c>
    </row>
    <row r="2368" spans="1:1">
      <c r="A2368" t="s">
        <v>42062</v>
      </c>
    </row>
    <row r="2369" spans="1:1">
      <c r="A2369" t="s">
        <v>42063</v>
      </c>
    </row>
    <row r="2370" spans="1:1">
      <c r="A2370" t="s">
        <v>42064</v>
      </c>
    </row>
    <row r="2371" spans="1:1">
      <c r="A2371" t="s">
        <v>41057</v>
      </c>
    </row>
    <row r="2372" spans="1:1">
      <c r="A2372" t="s">
        <v>42065</v>
      </c>
    </row>
    <row r="2373" spans="1:1">
      <c r="A2373" t="s">
        <v>42066</v>
      </c>
    </row>
    <row r="2374" spans="1:1">
      <c r="A2374" t="s">
        <v>41057</v>
      </c>
    </row>
    <row r="2375" spans="1:1">
      <c r="A2375" t="s">
        <v>41057</v>
      </c>
    </row>
    <row r="2376" spans="1:1">
      <c r="A2376" t="s">
        <v>41074</v>
      </c>
    </row>
    <row r="2377" spans="1:1">
      <c r="A2377" t="s">
        <v>40592</v>
      </c>
    </row>
    <row r="2378" spans="1:1">
      <c r="A2378" t="s">
        <v>42067</v>
      </c>
    </row>
    <row r="2379" spans="1:1">
      <c r="A2379" t="s">
        <v>41057</v>
      </c>
    </row>
    <row r="2380" spans="1:1">
      <c r="A2380" t="e">
        <v>#NAME?</v>
      </c>
    </row>
    <row r="2381" spans="1:1">
      <c r="A2381" t="s">
        <v>42068</v>
      </c>
    </row>
    <row r="2382" spans="1:1">
      <c r="A2382" t="s">
        <v>42069</v>
      </c>
    </row>
    <row r="2383" spans="1:1">
      <c r="A2383" t="s">
        <v>42070</v>
      </c>
    </row>
    <row r="2384" spans="1:1">
      <c r="A2384" t="s">
        <v>42071</v>
      </c>
    </row>
    <row r="2385" spans="1:1">
      <c r="A2385" t="s">
        <v>41057</v>
      </c>
    </row>
    <row r="2386" spans="1:1">
      <c r="A2386" t="s">
        <v>42072</v>
      </c>
    </row>
    <row r="2387" spans="1:1">
      <c r="A2387" t="s">
        <v>41107</v>
      </c>
    </row>
    <row r="2388" spans="1:1">
      <c r="A2388" t="s">
        <v>41057</v>
      </c>
    </row>
    <row r="2389" spans="1:1">
      <c r="A2389" t="s">
        <v>41057</v>
      </c>
    </row>
    <row r="2390" spans="1:1">
      <c r="A2390" t="s">
        <v>41057</v>
      </c>
    </row>
    <row r="2391" spans="1:1">
      <c r="A2391" t="s">
        <v>41057</v>
      </c>
    </row>
    <row r="2392" spans="1:1">
      <c r="A2392" t="e">
        <v>#NAME?</v>
      </c>
    </row>
    <row r="2393" spans="1:1">
      <c r="A2393" t="s">
        <v>42073</v>
      </c>
    </row>
    <row r="2394" spans="1:1">
      <c r="A2394" t="s">
        <v>42074</v>
      </c>
    </row>
    <row r="2395" spans="1:1">
      <c r="A2395" t="s">
        <v>42075</v>
      </c>
    </row>
    <row r="2396" spans="1:1">
      <c r="A2396" t="s">
        <v>41057</v>
      </c>
    </row>
    <row r="2397" spans="1:1">
      <c r="A2397" t="s">
        <v>42076</v>
      </c>
    </row>
    <row r="2398" spans="1:1">
      <c r="A2398" t="s">
        <v>42077</v>
      </c>
    </row>
    <row r="2399" spans="1:1">
      <c r="A2399" t="s">
        <v>42078</v>
      </c>
    </row>
    <row r="2400" spans="1:1">
      <c r="A2400" t="s">
        <v>42079</v>
      </c>
    </row>
    <row r="2401" spans="1:1">
      <c r="A2401" t="s">
        <v>42080</v>
      </c>
    </row>
    <row r="2402" spans="1:1">
      <c r="A2402" t="s">
        <v>42081</v>
      </c>
    </row>
    <row r="2403" spans="1:1">
      <c r="A2403" t="s">
        <v>42082</v>
      </c>
    </row>
    <row r="2404" spans="1:1">
      <c r="A2404" t="s">
        <v>41057</v>
      </c>
    </row>
    <row r="2405" spans="1:1">
      <c r="A2405" t="s">
        <v>42065</v>
      </c>
    </row>
    <row r="2406" spans="1:1">
      <c r="A2406" t="s">
        <v>42066</v>
      </c>
    </row>
    <row r="2407" spans="1:1">
      <c r="A2407" t="s">
        <v>41057</v>
      </c>
    </row>
    <row r="2408" spans="1:1">
      <c r="A2408" t="s">
        <v>41057</v>
      </c>
    </row>
    <row r="2409" spans="1:1">
      <c r="A2409" t="s">
        <v>41074</v>
      </c>
    </row>
    <row r="2410" spans="1:1">
      <c r="A2410" t="s">
        <v>40601</v>
      </c>
    </row>
    <row r="2411" spans="1:1">
      <c r="A2411" t="s">
        <v>42067</v>
      </c>
    </row>
    <row r="2412" spans="1:1">
      <c r="A2412" t="s">
        <v>41057</v>
      </c>
    </row>
    <row r="2413" spans="1:1">
      <c r="A2413" t="e">
        <v>#NAME?</v>
      </c>
    </row>
    <row r="2414" spans="1:1">
      <c r="A2414" t="s">
        <v>42083</v>
      </c>
    </row>
    <row r="2415" spans="1:1">
      <c r="A2415" t="s">
        <v>42084</v>
      </c>
    </row>
    <row r="2416" spans="1:1">
      <c r="A2416" t="s">
        <v>42085</v>
      </c>
    </row>
    <row r="2417" spans="1:1">
      <c r="A2417" t="s">
        <v>42086</v>
      </c>
    </row>
    <row r="2418" spans="1:1">
      <c r="A2418" t="s">
        <v>41057</v>
      </c>
    </row>
    <row r="2419" spans="1:1">
      <c r="A2419" t="s">
        <v>42087</v>
      </c>
    </row>
    <row r="2420" spans="1:1">
      <c r="A2420" t="s">
        <v>42054</v>
      </c>
    </row>
    <row r="2421" spans="1:1">
      <c r="A2421" t="s">
        <v>41057</v>
      </c>
    </row>
    <row r="2422" spans="1:1">
      <c r="A2422" t="s">
        <v>41057</v>
      </c>
    </row>
    <row r="2423" spans="1:1">
      <c r="A2423" t="s">
        <v>41057</v>
      </c>
    </row>
    <row r="2424" spans="1:1">
      <c r="A2424" t="s">
        <v>41057</v>
      </c>
    </row>
    <row r="2425" spans="1:1">
      <c r="A2425" t="e">
        <v>#NAME?</v>
      </c>
    </row>
    <row r="2426" spans="1:1">
      <c r="A2426" t="s">
        <v>42088</v>
      </c>
    </row>
    <row r="2427" spans="1:1">
      <c r="A2427" t="s">
        <v>42089</v>
      </c>
    </row>
    <row r="2428" spans="1:1">
      <c r="A2428" t="s">
        <v>42090</v>
      </c>
    </row>
    <row r="2429" spans="1:1">
      <c r="A2429" t="s">
        <v>41057</v>
      </c>
    </row>
    <row r="2430" spans="1:1">
      <c r="A2430" t="s">
        <v>42091</v>
      </c>
    </row>
    <row r="2431" spans="1:1">
      <c r="A2431" t="s">
        <v>42092</v>
      </c>
    </row>
    <row r="2432" spans="1:1">
      <c r="A2432" t="s">
        <v>42093</v>
      </c>
    </row>
    <row r="2433" spans="1:1">
      <c r="A2433" t="s">
        <v>42094</v>
      </c>
    </row>
    <row r="2434" spans="1:1">
      <c r="A2434" t="s">
        <v>42095</v>
      </c>
    </row>
    <row r="2435" spans="1:1">
      <c r="A2435" t="s">
        <v>42096</v>
      </c>
    </row>
    <row r="2436" spans="1:1">
      <c r="A2436" t="s">
        <v>42097</v>
      </c>
    </row>
    <row r="2437" spans="1:1">
      <c r="A2437" t="s">
        <v>41057</v>
      </c>
    </row>
    <row r="2438" spans="1:1">
      <c r="A2438" t="s">
        <v>42065</v>
      </c>
    </row>
    <row r="2439" spans="1:1">
      <c r="A2439" t="s">
        <v>42066</v>
      </c>
    </row>
    <row r="2440" spans="1:1">
      <c r="A2440" t="s">
        <v>41057</v>
      </c>
    </row>
    <row r="2441" spans="1:1">
      <c r="A2441" t="s">
        <v>41057</v>
      </c>
    </row>
    <row r="2442" spans="1:1">
      <c r="A2442" t="s">
        <v>41074</v>
      </c>
    </row>
    <row r="2443" spans="1:1">
      <c r="A2443" t="s">
        <v>40609</v>
      </c>
    </row>
    <row r="2444" spans="1:1">
      <c r="A2444" t="e">
        <v>#NAME?</v>
      </c>
    </row>
    <row r="2445" spans="1:1">
      <c r="A2445" t="s">
        <v>41182</v>
      </c>
    </row>
    <row r="2446" spans="1:1">
      <c r="A2446" t="e">
        <v>#NAME?</v>
      </c>
    </row>
    <row r="2447" spans="1:1">
      <c r="A2447" t="s">
        <v>42098</v>
      </c>
    </row>
    <row r="2448" spans="1:1">
      <c r="A2448" t="s">
        <v>42099</v>
      </c>
    </row>
    <row r="2449" spans="1:1">
      <c r="A2449" t="s">
        <v>42100</v>
      </c>
    </row>
    <row r="2450" spans="1:1">
      <c r="A2450" t="s">
        <v>42101</v>
      </c>
    </row>
    <row r="2451" spans="1:1">
      <c r="A2451" t="s">
        <v>41057</v>
      </c>
    </row>
    <row r="2452" spans="1:1">
      <c r="A2452" t="s">
        <v>42102</v>
      </c>
    </row>
    <row r="2453" spans="1:1">
      <c r="A2453" t="s">
        <v>42054</v>
      </c>
    </row>
    <row r="2454" spans="1:1">
      <c r="A2454" t="s">
        <v>41057</v>
      </c>
    </row>
    <row r="2455" spans="1:1">
      <c r="A2455" t="s">
        <v>41057</v>
      </c>
    </row>
    <row r="2456" spans="1:1">
      <c r="A2456" t="s">
        <v>41057</v>
      </c>
    </row>
    <row r="2457" spans="1:1">
      <c r="A2457" t="s">
        <v>41057</v>
      </c>
    </row>
    <row r="2458" spans="1:1">
      <c r="A2458" t="e">
        <v>#NAME?</v>
      </c>
    </row>
    <row r="2459" spans="1:1">
      <c r="A2459" t="s">
        <v>42103</v>
      </c>
    </row>
    <row r="2460" spans="1:1">
      <c r="A2460" t="s">
        <v>42104</v>
      </c>
    </row>
    <row r="2461" spans="1:1">
      <c r="A2461" t="s">
        <v>42105</v>
      </c>
    </row>
    <row r="2462" spans="1:1">
      <c r="A2462" t="s">
        <v>41057</v>
      </c>
    </row>
    <row r="2463" spans="1:1">
      <c r="A2463" t="s">
        <v>42106</v>
      </c>
    </row>
    <row r="2464" spans="1:1">
      <c r="A2464" t="s">
        <v>42107</v>
      </c>
    </row>
    <row r="2465" spans="1:1">
      <c r="A2465" t="s">
        <v>42108</v>
      </c>
    </row>
    <row r="2466" spans="1:1">
      <c r="A2466" t="s">
        <v>42109</v>
      </c>
    </row>
    <row r="2467" spans="1:1">
      <c r="A2467" t="s">
        <v>42110</v>
      </c>
    </row>
    <row r="2468" spans="1:1">
      <c r="A2468" t="s">
        <v>42111</v>
      </c>
    </row>
    <row r="2469" spans="1:1">
      <c r="A2469" t="s">
        <v>42097</v>
      </c>
    </row>
    <row r="2470" spans="1:1">
      <c r="A2470" t="s">
        <v>41057</v>
      </c>
    </row>
    <row r="2471" spans="1:1">
      <c r="A2471" t="s">
        <v>42112</v>
      </c>
    </row>
    <row r="2472" spans="1:1">
      <c r="A2472" t="s">
        <v>42066</v>
      </c>
    </row>
    <row r="2473" spans="1:1">
      <c r="A2473" t="s">
        <v>41057</v>
      </c>
    </row>
    <row r="2474" spans="1:1">
      <c r="A2474" t="s">
        <v>41057</v>
      </c>
    </row>
    <row r="2475" spans="1:1">
      <c r="A2475" t="s">
        <v>41074</v>
      </c>
    </row>
    <row r="2476" spans="1:1">
      <c r="A2476" t="s">
        <v>40617</v>
      </c>
    </row>
    <row r="2477" spans="1:1">
      <c r="A2477" t="e">
        <v>#NAME?</v>
      </c>
    </row>
    <row r="2478" spans="1:1">
      <c r="A2478" t="s">
        <v>42113</v>
      </c>
    </row>
    <row r="2479" spans="1:1">
      <c r="A2479" t="e">
        <v>#NAME?</v>
      </c>
    </row>
    <row r="2480" spans="1:1">
      <c r="A2480" t="s">
        <v>42114</v>
      </c>
    </row>
    <row r="2481" spans="1:1">
      <c r="A2481" t="s">
        <v>42115</v>
      </c>
    </row>
    <row r="2482" spans="1:1">
      <c r="A2482" t="e">
        <v>#NAME?</v>
      </c>
    </row>
    <row r="2483" spans="1:1">
      <c r="A2483" t="s">
        <v>42116</v>
      </c>
    </row>
    <row r="2484" spans="1:1">
      <c r="A2484" t="s">
        <v>41057</v>
      </c>
    </row>
    <row r="2485" spans="1:1">
      <c r="A2485" t="s">
        <v>42117</v>
      </c>
    </row>
    <row r="2486" spans="1:1">
      <c r="A2486" t="s">
        <v>42118</v>
      </c>
    </row>
    <row r="2487" spans="1:1">
      <c r="A2487" t="s">
        <v>41057</v>
      </c>
    </row>
    <row r="2488" spans="1:1">
      <c r="A2488" t="s">
        <v>41057</v>
      </c>
    </row>
    <row r="2489" spans="1:1">
      <c r="A2489" t="s">
        <v>41057</v>
      </c>
    </row>
    <row r="2490" spans="1:1">
      <c r="A2490" t="s">
        <v>41057</v>
      </c>
    </row>
    <row r="2491" spans="1:1">
      <c r="A2491" t="e">
        <v>#NAME?</v>
      </c>
    </row>
    <row r="2492" spans="1:1">
      <c r="A2492" t="s">
        <v>42119</v>
      </c>
    </row>
    <row r="2493" spans="1:1">
      <c r="A2493" t="s">
        <v>42120</v>
      </c>
    </row>
    <row r="2494" spans="1:1">
      <c r="A2494" t="s">
        <v>42121</v>
      </c>
    </row>
    <row r="2495" spans="1:1">
      <c r="A2495" t="s">
        <v>41057</v>
      </c>
    </row>
    <row r="2496" spans="1:1">
      <c r="A2496" t="s">
        <v>42122</v>
      </c>
    </row>
    <row r="2497" spans="1:1">
      <c r="A2497" t="s">
        <v>42123</v>
      </c>
    </row>
    <row r="2498" spans="1:1">
      <c r="A2498" t="s">
        <v>42124</v>
      </c>
    </row>
    <row r="2499" spans="1:1">
      <c r="A2499" t="s">
        <v>42125</v>
      </c>
    </row>
    <row r="2500" spans="1:1">
      <c r="A2500" t="s">
        <v>42126</v>
      </c>
    </row>
    <row r="2501" spans="1:1">
      <c r="A2501" t="s">
        <v>42127</v>
      </c>
    </row>
    <row r="2502" spans="1:1">
      <c r="A2502" t="s">
        <v>42128</v>
      </c>
    </row>
    <row r="2503" spans="1:1">
      <c r="A2503" t="s">
        <v>41057</v>
      </c>
    </row>
    <row r="2504" spans="1:1">
      <c r="A2504" t="s">
        <v>42129</v>
      </c>
    </row>
    <row r="2505" spans="1:1">
      <c r="A2505" t="s">
        <v>42066</v>
      </c>
    </row>
    <row r="2506" spans="1:1">
      <c r="A2506" t="s">
        <v>41057</v>
      </c>
    </row>
    <row r="2507" spans="1:1">
      <c r="A2507" t="s">
        <v>41057</v>
      </c>
    </row>
    <row r="2508" spans="1:1">
      <c r="A2508" t="s">
        <v>41074</v>
      </c>
    </row>
    <row r="2509" spans="1:1">
      <c r="A2509" t="s">
        <v>40624</v>
      </c>
    </row>
    <row r="2510" spans="1:1">
      <c r="A2510" t="s">
        <v>42130</v>
      </c>
    </row>
    <row r="2511" spans="1:1">
      <c r="A2511" t="s">
        <v>41057</v>
      </c>
    </row>
    <row r="2512" spans="1:1">
      <c r="A2512" t="e">
        <v>#NAME?</v>
      </c>
    </row>
    <row r="2513" spans="1:1">
      <c r="A2513" t="s">
        <v>42131</v>
      </c>
    </row>
    <row r="2514" spans="1:1">
      <c r="A2514" t="s">
        <v>42132</v>
      </c>
    </row>
    <row r="2515" spans="1:1">
      <c r="A2515" t="s">
        <v>42133</v>
      </c>
    </row>
    <row r="2516" spans="1:1">
      <c r="A2516" t="s">
        <v>42134</v>
      </c>
    </row>
    <row r="2517" spans="1:1">
      <c r="A2517" t="s">
        <v>41057</v>
      </c>
    </row>
    <row r="2518" spans="1:1">
      <c r="A2518" t="s">
        <v>42117</v>
      </c>
    </row>
    <row r="2519" spans="1:1">
      <c r="A2519" t="s">
        <v>42135</v>
      </c>
    </row>
    <row r="2520" spans="1:1">
      <c r="A2520" t="s">
        <v>41057</v>
      </c>
    </row>
    <row r="2521" spans="1:1">
      <c r="A2521" t="s">
        <v>41057</v>
      </c>
    </row>
    <row r="2522" spans="1:1">
      <c r="A2522" t="s">
        <v>41057</v>
      </c>
    </row>
    <row r="2523" spans="1:1">
      <c r="A2523" t="s">
        <v>41057</v>
      </c>
    </row>
    <row r="2524" spans="1:1">
      <c r="A2524" t="e">
        <v>#NAME?</v>
      </c>
    </row>
    <row r="2525" spans="1:1">
      <c r="A2525" t="s">
        <v>42136</v>
      </c>
    </row>
    <row r="2526" spans="1:1">
      <c r="A2526" t="s">
        <v>42120</v>
      </c>
    </row>
    <row r="2527" spans="1:1">
      <c r="A2527" t="s">
        <v>42137</v>
      </c>
    </row>
    <row r="2528" spans="1:1">
      <c r="A2528" t="s">
        <v>41057</v>
      </c>
    </row>
    <row r="2529" spans="1:1">
      <c r="A2529" t="s">
        <v>42138</v>
      </c>
    </row>
    <row r="2530" spans="1:1">
      <c r="A2530" t="s">
        <v>42139</v>
      </c>
    </row>
    <row r="2531" spans="1:1">
      <c r="A2531" t="s">
        <v>42140</v>
      </c>
    </row>
    <row r="2532" spans="1:1">
      <c r="A2532" t="s">
        <v>42141</v>
      </c>
    </row>
    <row r="2533" spans="1:1">
      <c r="A2533" t="s">
        <v>42142</v>
      </c>
    </row>
    <row r="2534" spans="1:1">
      <c r="A2534" t="s">
        <v>42143</v>
      </c>
    </row>
    <row r="2535" spans="1:1">
      <c r="A2535" t="s">
        <v>42144</v>
      </c>
    </row>
    <row r="2536" spans="1:1">
      <c r="A2536" t="s">
        <v>41057</v>
      </c>
    </row>
    <row r="2537" spans="1:1">
      <c r="A2537" t="s">
        <v>42145</v>
      </c>
    </row>
    <row r="2538" spans="1:1">
      <c r="A2538" t="s">
        <v>42066</v>
      </c>
    </row>
    <row r="2539" spans="1:1">
      <c r="A2539" t="s">
        <v>41057</v>
      </c>
    </row>
    <row r="2540" spans="1:1">
      <c r="A2540" t="s">
        <v>41057</v>
      </c>
    </row>
    <row r="2541" spans="1:1">
      <c r="A2541" t="s">
        <v>41074</v>
      </c>
    </row>
    <row r="2542" spans="1:1">
      <c r="A2542" t="s">
        <v>40631</v>
      </c>
    </row>
    <row r="2543" spans="1:1">
      <c r="A2543" t="s">
        <v>42130</v>
      </c>
    </row>
    <row r="2544" spans="1:1">
      <c r="A2544" t="s">
        <v>41057</v>
      </c>
    </row>
    <row r="2545" spans="1:1">
      <c r="A2545" t="e">
        <v>#NAME?</v>
      </c>
    </row>
    <row r="2546" spans="1:1">
      <c r="A2546" t="s">
        <v>42146</v>
      </c>
    </row>
    <row r="2547" spans="1:1">
      <c r="A2547" t="s">
        <v>42147</v>
      </c>
    </row>
    <row r="2548" spans="1:1">
      <c r="A2548" t="e">
        <v>#NAME?</v>
      </c>
    </row>
    <row r="2549" spans="1:1">
      <c r="A2549" t="s">
        <v>42148</v>
      </c>
    </row>
    <row r="2550" spans="1:1">
      <c r="A2550" t="s">
        <v>41057</v>
      </c>
    </row>
    <row r="2551" spans="1:1">
      <c r="A2551" t="s">
        <v>42149</v>
      </c>
    </row>
    <row r="2552" spans="1:1">
      <c r="A2552" t="s">
        <v>42135</v>
      </c>
    </row>
    <row r="2553" spans="1:1">
      <c r="A2553" t="s">
        <v>41057</v>
      </c>
    </row>
    <row r="2554" spans="1:1">
      <c r="A2554" t="s">
        <v>41057</v>
      </c>
    </row>
    <row r="2555" spans="1:1">
      <c r="A2555" t="s">
        <v>41057</v>
      </c>
    </row>
    <row r="2556" spans="1:1">
      <c r="A2556" t="s">
        <v>41057</v>
      </c>
    </row>
    <row r="2557" spans="1:1">
      <c r="A2557" t="e">
        <v>#NAME?</v>
      </c>
    </row>
    <row r="2558" spans="1:1">
      <c r="A2558" t="s">
        <v>42150</v>
      </c>
    </row>
    <row r="2559" spans="1:1">
      <c r="A2559" t="s">
        <v>42120</v>
      </c>
    </row>
    <row r="2560" spans="1:1">
      <c r="A2560" t="s">
        <v>42151</v>
      </c>
    </row>
    <row r="2561" spans="1:1">
      <c r="A2561" t="s">
        <v>41057</v>
      </c>
    </row>
    <row r="2562" spans="1:1">
      <c r="A2562" t="s">
        <v>42152</v>
      </c>
    </row>
    <row r="2563" spans="1:1">
      <c r="A2563" t="s">
        <v>42153</v>
      </c>
    </row>
    <row r="2564" spans="1:1">
      <c r="A2564" t="s">
        <v>42154</v>
      </c>
    </row>
    <row r="2565" spans="1:1">
      <c r="A2565" t="s">
        <v>42155</v>
      </c>
    </row>
    <row r="2566" spans="1:1">
      <c r="A2566" t="s">
        <v>42156</v>
      </c>
    </row>
    <row r="2567" spans="1:1">
      <c r="A2567" t="s">
        <v>42157</v>
      </c>
    </row>
    <row r="2568" spans="1:1">
      <c r="A2568" t="s">
        <v>42158</v>
      </c>
    </row>
    <row r="2569" spans="1:1">
      <c r="A2569" t="s">
        <v>41057</v>
      </c>
    </row>
    <row r="2570" spans="1:1">
      <c r="A2570" t="s">
        <v>42145</v>
      </c>
    </row>
    <row r="2571" spans="1:1">
      <c r="A2571" t="s">
        <v>42066</v>
      </c>
    </row>
    <row r="2572" spans="1:1">
      <c r="A2572" t="s">
        <v>41057</v>
      </c>
    </row>
    <row r="2573" spans="1:1">
      <c r="A2573" t="s">
        <v>41057</v>
      </c>
    </row>
    <row r="2574" spans="1:1">
      <c r="A2574" t="s">
        <v>41074</v>
      </c>
    </row>
    <row r="2575" spans="1:1">
      <c r="A2575" t="s">
        <v>40638</v>
      </c>
    </row>
    <row r="2576" spans="1:1">
      <c r="A2576" t="s">
        <v>42159</v>
      </c>
    </row>
    <row r="2577" spans="1:1">
      <c r="A2577" t="s">
        <v>41057</v>
      </c>
    </row>
    <row r="2578" spans="1:1">
      <c r="A2578" t="e">
        <v>#NAME?</v>
      </c>
    </row>
    <row r="2579" spans="1:1">
      <c r="A2579" t="s">
        <v>42160</v>
      </c>
    </row>
    <row r="2580" spans="1:1">
      <c r="A2580" t="s">
        <v>42161</v>
      </c>
    </row>
    <row r="2581" spans="1:1">
      <c r="A2581" t="s">
        <v>42162</v>
      </c>
    </row>
    <row r="2582" spans="1:1">
      <c r="A2582" t="s">
        <v>42163</v>
      </c>
    </row>
    <row r="2583" spans="1:1">
      <c r="A2583" t="s">
        <v>41057</v>
      </c>
    </row>
    <row r="2584" spans="1:1">
      <c r="A2584" t="s">
        <v>42164</v>
      </c>
    </row>
    <row r="2585" spans="1:1">
      <c r="A2585" t="s">
        <v>42054</v>
      </c>
    </row>
    <row r="2586" spans="1:1">
      <c r="A2586" t="s">
        <v>41057</v>
      </c>
    </row>
    <row r="2587" spans="1:1">
      <c r="A2587" t="s">
        <v>41057</v>
      </c>
    </row>
    <row r="2588" spans="1:1">
      <c r="A2588" t="s">
        <v>41057</v>
      </c>
    </row>
    <row r="2589" spans="1:1">
      <c r="A2589" t="s">
        <v>41057</v>
      </c>
    </row>
    <row r="2590" spans="1:1">
      <c r="A2590" t="e">
        <v>#NAME?</v>
      </c>
    </row>
    <row r="2591" spans="1:1">
      <c r="A2591" t="s">
        <v>42165</v>
      </c>
    </row>
    <row r="2592" spans="1:1">
      <c r="A2592" t="s">
        <v>42166</v>
      </c>
    </row>
    <row r="2593" spans="1:1">
      <c r="A2593" t="s">
        <v>42167</v>
      </c>
    </row>
    <row r="2594" spans="1:1">
      <c r="A2594" t="s">
        <v>41057</v>
      </c>
    </row>
    <row r="2595" spans="1:1">
      <c r="A2595" t="s">
        <v>42168</v>
      </c>
    </row>
    <row r="2596" spans="1:1">
      <c r="A2596" t="s">
        <v>42169</v>
      </c>
    </row>
    <row r="2597" spans="1:1">
      <c r="A2597" t="s">
        <v>42170</v>
      </c>
    </row>
    <row r="2598" spans="1:1">
      <c r="A2598" t="s">
        <v>42171</v>
      </c>
    </row>
    <row r="2599" spans="1:1">
      <c r="A2599" t="s">
        <v>42172</v>
      </c>
    </row>
    <row r="2600" spans="1:1">
      <c r="A2600" t="s">
        <v>42173</v>
      </c>
    </row>
    <row r="2601" spans="1:1">
      <c r="A2601" t="s">
        <v>42174</v>
      </c>
    </row>
    <row r="2602" spans="1:1">
      <c r="A2602" t="s">
        <v>42175</v>
      </c>
    </row>
    <row r="2603" spans="1:1">
      <c r="A2603" t="s">
        <v>42176</v>
      </c>
    </row>
    <row r="2604" spans="1:1">
      <c r="A2604" t="s">
        <v>42177</v>
      </c>
    </row>
    <row r="2605" spans="1:1">
      <c r="A2605" t="s">
        <v>41057</v>
      </c>
    </row>
    <row r="2606" spans="1:1">
      <c r="A2606" t="s">
        <v>41057</v>
      </c>
    </row>
    <row r="2607" spans="1:1">
      <c r="A2607" t="s">
        <v>41074</v>
      </c>
    </row>
    <row r="2608" spans="1:1">
      <c r="A2608" t="s">
        <v>40646</v>
      </c>
    </row>
    <row r="2609" spans="1:1">
      <c r="A2609" t="s">
        <v>42178</v>
      </c>
    </row>
    <row r="2610" spans="1:1">
      <c r="A2610" t="s">
        <v>41057</v>
      </c>
    </row>
    <row r="2611" spans="1:1">
      <c r="A2611" t="e">
        <v>#NAME?</v>
      </c>
    </row>
    <row r="2612" spans="1:1">
      <c r="A2612" t="s">
        <v>42179</v>
      </c>
    </row>
    <row r="2613" spans="1:1">
      <c r="A2613" t="s">
        <v>42180</v>
      </c>
    </row>
    <row r="2614" spans="1:1">
      <c r="A2614" t="s">
        <v>42181</v>
      </c>
    </row>
    <row r="2615" spans="1:1">
      <c r="A2615" t="s">
        <v>42182</v>
      </c>
    </row>
    <row r="2616" spans="1:1">
      <c r="A2616" t="s">
        <v>41057</v>
      </c>
    </row>
    <row r="2617" spans="1:1">
      <c r="A2617" t="s">
        <v>42183</v>
      </c>
    </row>
    <row r="2618" spans="1:1">
      <c r="A2618" t="s">
        <v>42054</v>
      </c>
    </row>
    <row r="2619" spans="1:1">
      <c r="A2619" t="s">
        <v>41057</v>
      </c>
    </row>
    <row r="2620" spans="1:1">
      <c r="A2620" t="s">
        <v>41057</v>
      </c>
    </row>
    <row r="2621" spans="1:1">
      <c r="A2621" t="s">
        <v>41057</v>
      </c>
    </row>
    <row r="2622" spans="1:1">
      <c r="A2622" t="s">
        <v>41057</v>
      </c>
    </row>
    <row r="2623" spans="1:1">
      <c r="A2623" t="e">
        <v>#NAME?</v>
      </c>
    </row>
    <row r="2624" spans="1:1">
      <c r="A2624" t="s">
        <v>42184</v>
      </c>
    </row>
    <row r="2625" spans="1:1">
      <c r="A2625" t="s">
        <v>42185</v>
      </c>
    </row>
    <row r="2626" spans="1:1">
      <c r="A2626" t="s">
        <v>42186</v>
      </c>
    </row>
    <row r="2627" spans="1:1">
      <c r="A2627" t="s">
        <v>41057</v>
      </c>
    </row>
    <row r="2628" spans="1:1">
      <c r="A2628" t="s">
        <v>42187</v>
      </c>
    </row>
    <row r="2629" spans="1:1">
      <c r="A2629" t="s">
        <v>42188</v>
      </c>
    </row>
    <row r="2630" spans="1:1">
      <c r="A2630" t="s">
        <v>42189</v>
      </c>
    </row>
    <row r="2631" spans="1:1">
      <c r="A2631" t="s">
        <v>42190</v>
      </c>
    </row>
    <row r="2632" spans="1:1">
      <c r="A2632" t="s">
        <v>42191</v>
      </c>
    </row>
    <row r="2633" spans="1:1">
      <c r="A2633" t="s">
        <v>42192</v>
      </c>
    </row>
    <row r="2634" spans="1:1">
      <c r="A2634" t="s">
        <v>42193</v>
      </c>
    </row>
    <row r="2635" spans="1:1">
      <c r="A2635" t="s">
        <v>42175</v>
      </c>
    </row>
    <row r="2636" spans="1:1">
      <c r="A2636" t="s">
        <v>42194</v>
      </c>
    </row>
    <row r="2637" spans="1:1">
      <c r="A2637" t="s">
        <v>42177</v>
      </c>
    </row>
    <row r="2638" spans="1:1">
      <c r="A2638" t="s">
        <v>41057</v>
      </c>
    </row>
    <row r="2639" spans="1:1">
      <c r="A2639" t="s">
        <v>41057</v>
      </c>
    </row>
    <row r="2640" spans="1:1">
      <c r="A2640" t="s">
        <v>41074</v>
      </c>
    </row>
    <row r="2641" spans="1:1">
      <c r="A2641" t="s">
        <v>40654</v>
      </c>
    </row>
    <row r="2642" spans="1:1">
      <c r="A2642" t="e">
        <v>#NAME?</v>
      </c>
    </row>
    <row r="2643" spans="1:1">
      <c r="A2643" t="s">
        <v>41057</v>
      </c>
    </row>
    <row r="2644" spans="1:1">
      <c r="A2644" t="s">
        <v>41057</v>
      </c>
    </row>
    <row r="2645" spans="1:1">
      <c r="A2645" t="s">
        <v>41057</v>
      </c>
    </row>
    <row r="2646" spans="1:1">
      <c r="A2646" t="s">
        <v>41057</v>
      </c>
    </row>
    <row r="2647" spans="1:1">
      <c r="A2647" t="e">
        <v>#NAME?</v>
      </c>
    </row>
    <row r="2648" spans="1:1">
      <c r="A2648" t="s">
        <v>42195</v>
      </c>
    </row>
    <row r="2649" spans="1:1">
      <c r="A2649" t="s">
        <v>41057</v>
      </c>
    </row>
    <row r="2650" spans="1:1">
      <c r="A2650" t="s">
        <v>42196</v>
      </c>
    </row>
    <row r="2651" spans="1:1">
      <c r="A2651" t="s">
        <v>42054</v>
      </c>
    </row>
    <row r="2652" spans="1:1">
      <c r="A2652" t="s">
        <v>41057</v>
      </c>
    </row>
    <row r="2653" spans="1:1">
      <c r="A2653" t="s">
        <v>41057</v>
      </c>
    </row>
    <row r="2654" spans="1:1">
      <c r="A2654" t="s">
        <v>41057</v>
      </c>
    </row>
    <row r="2655" spans="1:1">
      <c r="A2655" t="s">
        <v>41057</v>
      </c>
    </row>
    <row r="2656" spans="1:1">
      <c r="A2656" t="e">
        <v>#NAME?</v>
      </c>
    </row>
    <row r="2657" spans="1:1">
      <c r="A2657" t="s">
        <v>42197</v>
      </c>
    </row>
    <row r="2658" spans="1:1">
      <c r="A2658" t="s">
        <v>42198</v>
      </c>
    </row>
    <row r="2659" spans="1:1">
      <c r="A2659" t="s">
        <v>42199</v>
      </c>
    </row>
    <row r="2660" spans="1:1">
      <c r="A2660" t="s">
        <v>41057</v>
      </c>
    </row>
    <row r="2661" spans="1:1">
      <c r="A2661" t="s">
        <v>42200</v>
      </c>
    </row>
    <row r="2662" spans="1:1">
      <c r="A2662" t="s">
        <v>42201</v>
      </c>
    </row>
    <row r="2663" spans="1:1">
      <c r="A2663" t="s">
        <v>42202</v>
      </c>
    </row>
    <row r="2664" spans="1:1">
      <c r="A2664" t="s">
        <v>42061</v>
      </c>
    </row>
    <row r="2665" spans="1:1">
      <c r="A2665" t="s">
        <v>42203</v>
      </c>
    </row>
    <row r="2666" spans="1:1">
      <c r="A2666" t="s">
        <v>42204</v>
      </c>
    </row>
    <row r="2667" spans="1:1">
      <c r="A2667" t="s">
        <v>42205</v>
      </c>
    </row>
    <row r="2668" spans="1:1">
      <c r="A2668" t="s">
        <v>42206</v>
      </c>
    </row>
    <row r="2669" spans="1:1">
      <c r="A2669" t="s">
        <v>42207</v>
      </c>
    </row>
    <row r="2670" spans="1:1">
      <c r="A2670" t="e">
        <v>#NAME?</v>
      </c>
    </row>
    <row r="2671" spans="1:1">
      <c r="A2671" t="s">
        <v>42208</v>
      </c>
    </row>
    <row r="2672" spans="1:1">
      <c r="A2672" t="s">
        <v>42209</v>
      </c>
    </row>
    <row r="2673" spans="1:1">
      <c r="A2673" t="s">
        <v>42210</v>
      </c>
    </row>
    <row r="2674" spans="1:1">
      <c r="A2674" t="s">
        <v>40663</v>
      </c>
    </row>
    <row r="2675" spans="1:1">
      <c r="A2675" t="e">
        <v>#NAME?</v>
      </c>
    </row>
    <row r="2676" spans="1:1">
      <c r="A2676" t="s">
        <v>42211</v>
      </c>
    </row>
    <row r="2677" spans="1:1">
      <c r="A2677" t="s">
        <v>41057</v>
      </c>
    </row>
    <row r="2678" spans="1:1">
      <c r="A2678" t="s">
        <v>41057</v>
      </c>
    </row>
    <row r="2679" spans="1:1">
      <c r="A2679" t="s">
        <v>41057</v>
      </c>
    </row>
    <row r="2680" spans="1:1">
      <c r="A2680" t="e">
        <v>#NAME?</v>
      </c>
    </row>
    <row r="2681" spans="1:1">
      <c r="A2681" t="s">
        <v>42212</v>
      </c>
    </row>
    <row r="2682" spans="1:1">
      <c r="A2682" t="s">
        <v>41057</v>
      </c>
    </row>
    <row r="2683" spans="1:1">
      <c r="A2683" t="s">
        <v>42196</v>
      </c>
    </row>
    <row r="2684" spans="1:1">
      <c r="A2684" t="s">
        <v>42054</v>
      </c>
    </row>
    <row r="2685" spans="1:1">
      <c r="A2685" t="s">
        <v>41057</v>
      </c>
    </row>
    <row r="2686" spans="1:1">
      <c r="A2686" t="s">
        <v>41057</v>
      </c>
    </row>
    <row r="2687" spans="1:1">
      <c r="A2687" t="s">
        <v>41057</v>
      </c>
    </row>
    <row r="2688" spans="1:1">
      <c r="A2688" t="s">
        <v>41057</v>
      </c>
    </row>
    <row r="2689" spans="1:1">
      <c r="A2689" t="e">
        <v>#NAME?</v>
      </c>
    </row>
    <row r="2690" spans="1:1">
      <c r="A2690" t="s">
        <v>42197</v>
      </c>
    </row>
    <row r="2691" spans="1:1">
      <c r="A2691" t="s">
        <v>42213</v>
      </c>
    </row>
    <row r="2692" spans="1:1">
      <c r="A2692" t="s">
        <v>42214</v>
      </c>
    </row>
    <row r="2693" spans="1:1">
      <c r="A2693" t="s">
        <v>41057</v>
      </c>
    </row>
    <row r="2694" spans="1:1">
      <c r="A2694" t="s">
        <v>42215</v>
      </c>
    </row>
    <row r="2695" spans="1:1">
      <c r="A2695" t="s">
        <v>42201</v>
      </c>
    </row>
    <row r="2696" spans="1:1">
      <c r="A2696" t="s">
        <v>42216</v>
      </c>
    </row>
    <row r="2697" spans="1:1">
      <c r="A2697" t="s">
        <v>42061</v>
      </c>
    </row>
    <row r="2698" spans="1:1">
      <c r="A2698" t="s">
        <v>42217</v>
      </c>
    </row>
    <row r="2699" spans="1:1">
      <c r="A2699" t="s">
        <v>42218</v>
      </c>
    </row>
    <row r="2700" spans="1:1">
      <c r="A2700" t="s">
        <v>42219</v>
      </c>
    </row>
    <row r="2701" spans="1:1">
      <c r="A2701" t="s">
        <v>42220</v>
      </c>
    </row>
    <row r="2702" spans="1:1">
      <c r="A2702" t="s">
        <v>42207</v>
      </c>
    </row>
    <row r="2703" spans="1:1">
      <c r="A2703" t="s">
        <v>42221</v>
      </c>
    </row>
    <row r="2704" spans="1:1">
      <c r="A2704" t="s">
        <v>42222</v>
      </c>
    </row>
    <row r="2705" spans="1:1">
      <c r="A2705" t="s">
        <v>42223</v>
      </c>
    </row>
    <row r="2706" spans="1:1">
      <c r="A2706" t="s">
        <v>42210</v>
      </c>
    </row>
    <row r="2707" spans="1:1">
      <c r="A2707" t="s">
        <v>40672</v>
      </c>
    </row>
    <row r="2708" spans="1:1">
      <c r="A2708" t="s">
        <v>42224</v>
      </c>
    </row>
    <row r="2709" spans="1:1">
      <c r="A2709" t="s">
        <v>41057</v>
      </c>
    </row>
    <row r="2710" spans="1:1">
      <c r="A2710" t="s">
        <v>41057</v>
      </c>
    </row>
    <row r="2711" spans="1:1">
      <c r="A2711" t="s">
        <v>41057</v>
      </c>
    </row>
    <row r="2712" spans="1:1">
      <c r="A2712" t="s">
        <v>41057</v>
      </c>
    </row>
    <row r="2713" spans="1:1">
      <c r="A2713" t="e">
        <v>#NAME?</v>
      </c>
    </row>
    <row r="2714" spans="1:1">
      <c r="A2714" t="s">
        <v>42225</v>
      </c>
    </row>
    <row r="2715" spans="1:1">
      <c r="A2715" t="s">
        <v>41057</v>
      </c>
    </row>
    <row r="2716" spans="1:1">
      <c r="A2716" t="s">
        <v>42196</v>
      </c>
    </row>
    <row r="2717" spans="1:1">
      <c r="A2717" t="s">
        <v>42054</v>
      </c>
    </row>
    <row r="2718" spans="1:1">
      <c r="A2718" t="s">
        <v>41057</v>
      </c>
    </row>
    <row r="2719" spans="1:1">
      <c r="A2719" t="s">
        <v>41057</v>
      </c>
    </row>
    <row r="2720" spans="1:1">
      <c r="A2720" t="s">
        <v>41057</v>
      </c>
    </row>
    <row r="2721" spans="1:1">
      <c r="A2721" t="s">
        <v>41057</v>
      </c>
    </row>
    <row r="2722" spans="1:1">
      <c r="A2722" t="e">
        <v>#NAME?</v>
      </c>
    </row>
    <row r="2723" spans="1:1">
      <c r="A2723" t="s">
        <v>42226</v>
      </c>
    </row>
    <row r="2724" spans="1:1">
      <c r="A2724" t="s">
        <v>42198</v>
      </c>
    </row>
    <row r="2725" spans="1:1">
      <c r="A2725" t="s">
        <v>42199</v>
      </c>
    </row>
    <row r="2726" spans="1:1">
      <c r="A2726" t="s">
        <v>41057</v>
      </c>
    </row>
    <row r="2727" spans="1:1">
      <c r="A2727" t="s">
        <v>42200</v>
      </c>
    </row>
    <row r="2728" spans="1:1">
      <c r="A2728" t="s">
        <v>42201</v>
      </c>
    </row>
    <row r="2729" spans="1:1">
      <c r="A2729" t="s">
        <v>42227</v>
      </c>
    </row>
    <row r="2730" spans="1:1">
      <c r="A2730" t="s">
        <v>42061</v>
      </c>
    </row>
    <row r="2731" spans="1:1">
      <c r="A2731" t="s">
        <v>42228</v>
      </c>
    </row>
    <row r="2732" spans="1:1">
      <c r="A2732" t="s">
        <v>42229</v>
      </c>
    </row>
    <row r="2733" spans="1:1">
      <c r="A2733" t="s">
        <v>42230</v>
      </c>
    </row>
    <row r="2734" spans="1:1">
      <c r="A2734" t="s">
        <v>42206</v>
      </c>
    </row>
    <row r="2735" spans="1:1">
      <c r="A2735" t="s">
        <v>42207</v>
      </c>
    </row>
    <row r="2736" spans="1:1">
      <c r="A2736" t="e">
        <v>#NAME?</v>
      </c>
    </row>
    <row r="2737" spans="1:1">
      <c r="A2737" t="s">
        <v>42231</v>
      </c>
    </row>
    <row r="2738" spans="1:1">
      <c r="A2738" t="s">
        <v>42232</v>
      </c>
    </row>
    <row r="2739" spans="1:1">
      <c r="A2739" t="s">
        <v>42210</v>
      </c>
    </row>
    <row r="2740" spans="1:1">
      <c r="A2740" t="s">
        <v>40681</v>
      </c>
    </row>
    <row r="2741" spans="1:1">
      <c r="A2741" t="e">
        <v>#NAME?</v>
      </c>
    </row>
    <row r="2742" spans="1:1">
      <c r="A2742" t="s">
        <v>41057</v>
      </c>
    </row>
    <row r="2743" spans="1:1">
      <c r="A2743" t="s">
        <v>41057</v>
      </c>
    </row>
    <row r="2744" spans="1:1">
      <c r="A2744" t="s">
        <v>41057</v>
      </c>
    </row>
    <row r="2745" spans="1:1">
      <c r="A2745" t="s">
        <v>41057</v>
      </c>
    </row>
    <row r="2746" spans="1:1">
      <c r="A2746" t="e">
        <v>#NAME?</v>
      </c>
    </row>
    <row r="2747" spans="1:1">
      <c r="A2747" t="s">
        <v>42233</v>
      </c>
    </row>
    <row r="2748" spans="1:1">
      <c r="A2748" t="s">
        <v>41057</v>
      </c>
    </row>
    <row r="2749" spans="1:1">
      <c r="A2749" t="s">
        <v>42196</v>
      </c>
    </row>
    <row r="2750" spans="1:1">
      <c r="A2750" t="s">
        <v>42054</v>
      </c>
    </row>
    <row r="2751" spans="1:1">
      <c r="A2751" t="s">
        <v>41057</v>
      </c>
    </row>
    <row r="2752" spans="1:1">
      <c r="A2752" t="s">
        <v>41057</v>
      </c>
    </row>
    <row r="2753" spans="1:1">
      <c r="A2753" t="s">
        <v>41057</v>
      </c>
    </row>
    <row r="2754" spans="1:1">
      <c r="A2754" t="s">
        <v>41057</v>
      </c>
    </row>
    <row r="2755" spans="1:1">
      <c r="A2755" t="e">
        <v>#NAME?</v>
      </c>
    </row>
    <row r="2756" spans="1:1">
      <c r="A2756" t="s">
        <v>42234</v>
      </c>
    </row>
    <row r="2757" spans="1:1">
      <c r="A2757" t="s">
        <v>42235</v>
      </c>
    </row>
    <row r="2758" spans="1:1">
      <c r="A2758" t="s">
        <v>42236</v>
      </c>
    </row>
    <row r="2759" spans="1:1">
      <c r="A2759" t="s">
        <v>41057</v>
      </c>
    </row>
    <row r="2760" spans="1:1">
      <c r="A2760" t="s">
        <v>42237</v>
      </c>
    </row>
    <row r="2761" spans="1:1">
      <c r="A2761" t="s">
        <v>42238</v>
      </c>
    </row>
    <row r="2762" spans="1:1">
      <c r="A2762" t="s">
        <v>42227</v>
      </c>
    </row>
    <row r="2763" spans="1:1">
      <c r="A2763" t="s">
        <v>42239</v>
      </c>
    </row>
    <row r="2764" spans="1:1">
      <c r="A2764" t="s">
        <v>42240</v>
      </c>
    </row>
    <row r="2765" spans="1:1">
      <c r="A2765" t="s">
        <v>42241</v>
      </c>
    </row>
    <row r="2766" spans="1:1">
      <c r="A2766" t="s">
        <v>42242</v>
      </c>
    </row>
    <row r="2767" spans="1:1">
      <c r="A2767" t="s">
        <v>42206</v>
      </c>
    </row>
    <row r="2768" spans="1:1">
      <c r="A2768" t="s">
        <v>42243</v>
      </c>
    </row>
    <row r="2769" spans="1:1">
      <c r="A2769" t="s">
        <v>42244</v>
      </c>
    </row>
    <row r="2770" spans="1:1">
      <c r="A2770" t="s">
        <v>42245</v>
      </c>
    </row>
    <row r="2771" spans="1:1">
      <c r="A2771" t="e">
        <v>#NAME?</v>
      </c>
    </row>
    <row r="2772" spans="1:1">
      <c r="A2772" t="s">
        <v>42246</v>
      </c>
    </row>
    <row r="2773" spans="1:1">
      <c r="A2773" t="s">
        <v>40690</v>
      </c>
    </row>
    <row r="2774" spans="1:1">
      <c r="A2774" t="s">
        <v>42247</v>
      </c>
    </row>
    <row r="2775" spans="1:1">
      <c r="A2775" t="s">
        <v>41057</v>
      </c>
    </row>
    <row r="2776" spans="1:1">
      <c r="A2776" t="s">
        <v>41057</v>
      </c>
    </row>
    <row r="2777" spans="1:1">
      <c r="A2777" t="s">
        <v>41057</v>
      </c>
    </row>
    <row r="2778" spans="1:1">
      <c r="A2778" t="s">
        <v>41057</v>
      </c>
    </row>
    <row r="2779" spans="1:1">
      <c r="A2779" t="e">
        <v>#NAME?</v>
      </c>
    </row>
    <row r="2780" spans="1:1">
      <c r="A2780" t="s">
        <v>42248</v>
      </c>
    </row>
    <row r="2781" spans="1:1">
      <c r="A2781" t="s">
        <v>42249</v>
      </c>
    </row>
    <row r="2782" spans="1:1">
      <c r="A2782" t="s">
        <v>42250</v>
      </c>
    </row>
    <row r="2783" spans="1:1">
      <c r="A2783" t="s">
        <v>42251</v>
      </c>
    </row>
    <row r="2784" spans="1:1">
      <c r="A2784" t="s">
        <v>41057</v>
      </c>
    </row>
    <row r="2785" spans="1:1">
      <c r="A2785" t="s">
        <v>41057</v>
      </c>
    </row>
    <row r="2786" spans="1:1">
      <c r="A2786" t="s">
        <v>41057</v>
      </c>
    </row>
    <row r="2787" spans="1:1">
      <c r="A2787" t="s">
        <v>41057</v>
      </c>
    </row>
    <row r="2788" spans="1:1">
      <c r="A2788" t="e">
        <v>#NAME?</v>
      </c>
    </row>
    <row r="2789" spans="1:1">
      <c r="A2789" t="s">
        <v>42252</v>
      </c>
    </row>
    <row r="2790" spans="1:1">
      <c r="A2790" t="s">
        <v>42253</v>
      </c>
    </row>
    <row r="2791" spans="1:1">
      <c r="A2791" t="s">
        <v>42254</v>
      </c>
    </row>
    <row r="2792" spans="1:1">
      <c r="A2792" t="s">
        <v>41057</v>
      </c>
    </row>
    <row r="2793" spans="1:1">
      <c r="A2793" t="s">
        <v>42255</v>
      </c>
    </row>
    <row r="2794" spans="1:1">
      <c r="A2794" t="s">
        <v>42256</v>
      </c>
    </row>
    <row r="2795" spans="1:1">
      <c r="A2795" t="s">
        <v>42257</v>
      </c>
    </row>
    <row r="2796" spans="1:1">
      <c r="A2796" t="s">
        <v>42258</v>
      </c>
    </row>
    <row r="2797" spans="1:1">
      <c r="A2797" t="s">
        <v>42259</v>
      </c>
    </row>
    <row r="2798" spans="1:1">
      <c r="A2798" t="s">
        <v>42260</v>
      </c>
    </row>
    <row r="2799" spans="1:1">
      <c r="A2799" t="s">
        <v>41057</v>
      </c>
    </row>
    <row r="2800" spans="1:1">
      <c r="A2800" t="s">
        <v>41057</v>
      </c>
    </row>
    <row r="2801" spans="1:1">
      <c r="A2801" t="s">
        <v>41057</v>
      </c>
    </row>
    <row r="2802" spans="1:1">
      <c r="A2802" t="s">
        <v>41057</v>
      </c>
    </row>
    <row r="2803" spans="1:1">
      <c r="A2803" t="s">
        <v>41057</v>
      </c>
    </row>
    <row r="2804" spans="1:1">
      <c r="A2804" t="s">
        <v>41057</v>
      </c>
    </row>
    <row r="2805" spans="1:1">
      <c r="A2805" t="s">
        <v>41074</v>
      </c>
    </row>
    <row r="2806" spans="1:1">
      <c r="A2806" t="s">
        <v>40696</v>
      </c>
    </row>
    <row r="2807" spans="1:1">
      <c r="A2807" t="s">
        <v>41200</v>
      </c>
    </row>
    <row r="2808" spans="1:1">
      <c r="A2808" t="s">
        <v>41057</v>
      </c>
    </row>
    <row r="2809" spans="1:1">
      <c r="A2809" t="s">
        <v>41057</v>
      </c>
    </row>
    <row r="2810" spans="1:1">
      <c r="A2810" t="s">
        <v>41057</v>
      </c>
    </row>
    <row r="2811" spans="1:1">
      <c r="A2811" t="s">
        <v>41057</v>
      </c>
    </row>
    <row r="2812" spans="1:1">
      <c r="A2812" t="e">
        <v>#NAME?</v>
      </c>
    </row>
    <row r="2813" spans="1:1">
      <c r="A2813" t="s">
        <v>42261</v>
      </c>
    </row>
    <row r="2814" spans="1:1">
      <c r="A2814" t="s">
        <v>42262</v>
      </c>
    </row>
    <row r="2815" spans="1:1">
      <c r="A2815" t="s">
        <v>42263</v>
      </c>
    </row>
    <row r="2816" spans="1:1">
      <c r="A2816" t="s">
        <v>42251</v>
      </c>
    </row>
    <row r="2817" spans="1:1">
      <c r="A2817" t="s">
        <v>41057</v>
      </c>
    </row>
    <row r="2818" spans="1:1">
      <c r="A2818" t="s">
        <v>41057</v>
      </c>
    </row>
    <row r="2819" spans="1:1">
      <c r="A2819" t="s">
        <v>41057</v>
      </c>
    </row>
    <row r="2820" spans="1:1">
      <c r="A2820" t="s">
        <v>41057</v>
      </c>
    </row>
    <row r="2821" spans="1:1">
      <c r="A2821" t="e">
        <v>#NAME?</v>
      </c>
    </row>
    <row r="2822" spans="1:1">
      <c r="A2822" t="s">
        <v>42264</v>
      </c>
    </row>
    <row r="2823" spans="1:1">
      <c r="A2823" t="s">
        <v>42265</v>
      </c>
    </row>
    <row r="2824" spans="1:1">
      <c r="A2824" t="s">
        <v>42266</v>
      </c>
    </row>
    <row r="2825" spans="1:1">
      <c r="A2825" t="s">
        <v>41057</v>
      </c>
    </row>
    <row r="2826" spans="1:1">
      <c r="A2826" t="s">
        <v>42267</v>
      </c>
    </row>
    <row r="2827" spans="1:1">
      <c r="A2827" t="s">
        <v>42268</v>
      </c>
    </row>
    <row r="2828" spans="1:1">
      <c r="A2828" t="s">
        <v>42269</v>
      </c>
    </row>
    <row r="2829" spans="1:1">
      <c r="A2829" t="s">
        <v>42270</v>
      </c>
    </row>
    <row r="2830" spans="1:1">
      <c r="A2830" t="s">
        <v>42271</v>
      </c>
    </row>
    <row r="2831" spans="1:1">
      <c r="A2831" t="s">
        <v>42272</v>
      </c>
    </row>
    <row r="2832" spans="1:1">
      <c r="A2832" t="s">
        <v>41057</v>
      </c>
    </row>
    <row r="2833" spans="1:1">
      <c r="A2833" t="s">
        <v>41057</v>
      </c>
    </row>
    <row r="2834" spans="1:1">
      <c r="A2834" t="s">
        <v>41057</v>
      </c>
    </row>
    <row r="2835" spans="1:1">
      <c r="A2835" t="s">
        <v>41057</v>
      </c>
    </row>
    <row r="2836" spans="1:1">
      <c r="A2836" t="s">
        <v>41057</v>
      </c>
    </row>
    <row r="2837" spans="1:1">
      <c r="A2837" t="s">
        <v>41057</v>
      </c>
    </row>
    <row r="2838" spans="1:1">
      <c r="A2838" t="s">
        <v>41074</v>
      </c>
    </row>
    <row r="2839" spans="1:1">
      <c r="A2839" t="s">
        <v>40702</v>
      </c>
    </row>
    <row r="2840" spans="1:1">
      <c r="A2840" t="s">
        <v>41200</v>
      </c>
    </row>
    <row r="2841" spans="1:1">
      <c r="A2841" t="s">
        <v>41057</v>
      </c>
    </row>
    <row r="2842" spans="1:1">
      <c r="A2842" t="s">
        <v>41057</v>
      </c>
    </row>
    <row r="2843" spans="1:1">
      <c r="A2843" t="s">
        <v>41057</v>
      </c>
    </row>
    <row r="2844" spans="1:1">
      <c r="A2844" t="s">
        <v>41057</v>
      </c>
    </row>
    <row r="2845" spans="1:1">
      <c r="A2845" t="e">
        <v>#NAME?</v>
      </c>
    </row>
    <row r="2846" spans="1:1">
      <c r="A2846" t="s">
        <v>42273</v>
      </c>
    </row>
    <row r="2847" spans="1:1">
      <c r="A2847" t="s">
        <v>42274</v>
      </c>
    </row>
    <row r="2848" spans="1:1">
      <c r="A2848" t="s">
        <v>42263</v>
      </c>
    </row>
    <row r="2849" spans="1:1">
      <c r="A2849" t="s">
        <v>41222</v>
      </c>
    </row>
    <row r="2850" spans="1:1">
      <c r="A2850" t="s">
        <v>41057</v>
      </c>
    </row>
    <row r="2851" spans="1:1">
      <c r="A2851" t="s">
        <v>41057</v>
      </c>
    </row>
    <row r="2852" spans="1:1">
      <c r="A2852" t="s">
        <v>41057</v>
      </c>
    </row>
    <row r="2853" spans="1:1">
      <c r="A2853" t="s">
        <v>41057</v>
      </c>
    </row>
    <row r="2854" spans="1:1">
      <c r="A2854" t="e">
        <v>#NAME?</v>
      </c>
    </row>
    <row r="2855" spans="1:1">
      <c r="A2855" t="s">
        <v>42275</v>
      </c>
    </row>
    <row r="2856" spans="1:1">
      <c r="A2856" t="s">
        <v>42276</v>
      </c>
    </row>
    <row r="2857" spans="1:1">
      <c r="A2857" t="s">
        <v>42277</v>
      </c>
    </row>
    <row r="2858" spans="1:1">
      <c r="A2858" t="s">
        <v>41057</v>
      </c>
    </row>
    <row r="2859" spans="1:1">
      <c r="A2859" t="s">
        <v>42278</v>
      </c>
    </row>
    <row r="2860" spans="1:1">
      <c r="A2860" t="s">
        <v>42279</v>
      </c>
    </row>
    <row r="2861" spans="1:1">
      <c r="A2861" t="s">
        <v>42280</v>
      </c>
    </row>
    <row r="2862" spans="1:1">
      <c r="A2862" t="s">
        <v>42281</v>
      </c>
    </row>
    <row r="2863" spans="1:1">
      <c r="A2863" t="s">
        <v>42282</v>
      </c>
    </row>
    <row r="2864" spans="1:1">
      <c r="A2864" t="s">
        <v>42283</v>
      </c>
    </row>
    <row r="2865" spans="1:1">
      <c r="A2865" t="s">
        <v>41057</v>
      </c>
    </row>
    <row r="2866" spans="1:1">
      <c r="A2866" t="s">
        <v>41057</v>
      </c>
    </row>
    <row r="2867" spans="1:1">
      <c r="A2867" t="s">
        <v>41057</v>
      </c>
    </row>
    <row r="2868" spans="1:1">
      <c r="A2868" t="s">
        <v>41057</v>
      </c>
    </row>
    <row r="2869" spans="1:1">
      <c r="A2869" t="s">
        <v>41057</v>
      </c>
    </row>
    <row r="2870" spans="1:1">
      <c r="A2870" t="s">
        <v>41057</v>
      </c>
    </row>
    <row r="2871" spans="1:1">
      <c r="A2871" t="s">
        <v>41074</v>
      </c>
    </row>
    <row r="2872" spans="1:1">
      <c r="A2872" t="s">
        <v>40708</v>
      </c>
    </row>
    <row r="2873" spans="1:1">
      <c r="A2873" t="s">
        <v>41200</v>
      </c>
    </row>
    <row r="2874" spans="1:1">
      <c r="A2874" t="s">
        <v>41057</v>
      </c>
    </row>
    <row r="2875" spans="1:1">
      <c r="A2875" t="s">
        <v>41057</v>
      </c>
    </row>
    <row r="2876" spans="1:1">
      <c r="A2876" t="s">
        <v>41057</v>
      </c>
    </row>
    <row r="2877" spans="1:1">
      <c r="A2877" t="s">
        <v>41057</v>
      </c>
    </row>
    <row r="2878" spans="1:1">
      <c r="A2878" t="e">
        <v>#NAME?</v>
      </c>
    </row>
    <row r="2879" spans="1:1">
      <c r="A2879" t="s">
        <v>42284</v>
      </c>
    </row>
    <row r="2880" spans="1:1">
      <c r="A2880" t="s">
        <v>42285</v>
      </c>
    </row>
    <row r="2881" spans="1:1">
      <c r="A2881" t="s">
        <v>42286</v>
      </c>
    </row>
    <row r="2882" spans="1:1">
      <c r="A2882" t="s">
        <v>42251</v>
      </c>
    </row>
    <row r="2883" spans="1:1">
      <c r="A2883" t="s">
        <v>41057</v>
      </c>
    </row>
    <row r="2884" spans="1:1">
      <c r="A2884" t="s">
        <v>41057</v>
      </c>
    </row>
    <row r="2885" spans="1:1">
      <c r="A2885" t="s">
        <v>41057</v>
      </c>
    </row>
    <row r="2886" spans="1:1">
      <c r="A2886" t="s">
        <v>41057</v>
      </c>
    </row>
    <row r="2887" spans="1:1">
      <c r="A2887" t="e">
        <v>#NAME?</v>
      </c>
    </row>
    <row r="2888" spans="1:1">
      <c r="A2888" t="s">
        <v>42287</v>
      </c>
    </row>
    <row r="2889" spans="1:1">
      <c r="A2889" t="s">
        <v>42288</v>
      </c>
    </row>
    <row r="2890" spans="1:1">
      <c r="A2890" t="s">
        <v>42289</v>
      </c>
    </row>
    <row r="2891" spans="1:1">
      <c r="A2891" t="s">
        <v>41057</v>
      </c>
    </row>
    <row r="2892" spans="1:1">
      <c r="A2892" t="s">
        <v>42290</v>
      </c>
    </row>
    <row r="2893" spans="1:1">
      <c r="A2893" t="s">
        <v>42291</v>
      </c>
    </row>
    <row r="2894" spans="1:1">
      <c r="A2894" t="s">
        <v>42292</v>
      </c>
    </row>
    <row r="2895" spans="1:1">
      <c r="A2895" t="s">
        <v>42293</v>
      </c>
    </row>
    <row r="2896" spans="1:1">
      <c r="A2896" t="s">
        <v>42294</v>
      </c>
    </row>
    <row r="2897" spans="1:1">
      <c r="A2897" t="s">
        <v>42295</v>
      </c>
    </row>
    <row r="2898" spans="1:1">
      <c r="A2898" t="s">
        <v>42296</v>
      </c>
    </row>
    <row r="2899" spans="1:1">
      <c r="A2899" t="s">
        <v>42297</v>
      </c>
    </row>
    <row r="2900" spans="1:1">
      <c r="A2900" t="s">
        <v>42298</v>
      </c>
    </row>
    <row r="2901" spans="1:1">
      <c r="A2901" t="s">
        <v>42299</v>
      </c>
    </row>
    <row r="2902" spans="1:1">
      <c r="A2902" t="s">
        <v>42300</v>
      </c>
    </row>
    <row r="2903" spans="1:1">
      <c r="A2903" t="s">
        <v>41057</v>
      </c>
    </row>
    <row r="2904" spans="1:1">
      <c r="A2904" t="s">
        <v>41074</v>
      </c>
    </row>
    <row r="2905" spans="1:1">
      <c r="A2905" t="s">
        <v>40714</v>
      </c>
    </row>
    <row r="2906" spans="1:1">
      <c r="A2906" t="s">
        <v>42301</v>
      </c>
    </row>
    <row r="2907" spans="1:1">
      <c r="A2907" t="s">
        <v>41057</v>
      </c>
    </row>
    <row r="2908" spans="1:1">
      <c r="A2908" t="s">
        <v>41057</v>
      </c>
    </row>
    <row r="2909" spans="1:1">
      <c r="A2909" t="s">
        <v>41057</v>
      </c>
    </row>
    <row r="2910" spans="1:1">
      <c r="A2910" t="s">
        <v>41057</v>
      </c>
    </row>
    <row r="2911" spans="1:1">
      <c r="A2911" t="e">
        <v>#NAME?</v>
      </c>
    </row>
    <row r="2912" spans="1:1">
      <c r="A2912" t="s">
        <v>42302</v>
      </c>
    </row>
    <row r="2913" spans="1:1">
      <c r="A2913" t="s">
        <v>42303</v>
      </c>
    </row>
    <row r="2914" spans="1:1">
      <c r="A2914" t="s">
        <v>42304</v>
      </c>
    </row>
    <row r="2915" spans="1:1">
      <c r="A2915" t="s">
        <v>42305</v>
      </c>
    </row>
    <row r="2916" spans="1:1">
      <c r="A2916" t="s">
        <v>41057</v>
      </c>
    </row>
    <row r="2917" spans="1:1">
      <c r="A2917" t="s">
        <v>41057</v>
      </c>
    </row>
    <row r="2918" spans="1:1">
      <c r="A2918" t="s">
        <v>41057</v>
      </c>
    </row>
    <row r="2919" spans="1:1">
      <c r="A2919" t="s">
        <v>41057</v>
      </c>
    </row>
    <row r="2920" spans="1:1">
      <c r="A2920" t="e">
        <v>#NAME?</v>
      </c>
    </row>
    <row r="2921" spans="1:1">
      <c r="A2921" t="s">
        <v>42306</v>
      </c>
    </row>
    <row r="2922" spans="1:1">
      <c r="A2922" t="s">
        <v>42307</v>
      </c>
    </row>
    <row r="2923" spans="1:1">
      <c r="A2923" t="s">
        <v>42308</v>
      </c>
    </row>
    <row r="2924" spans="1:1">
      <c r="A2924" t="s">
        <v>41057</v>
      </c>
    </row>
    <row r="2925" spans="1:1">
      <c r="A2925" t="s">
        <v>42309</v>
      </c>
    </row>
    <row r="2926" spans="1:1">
      <c r="A2926" t="s">
        <v>42310</v>
      </c>
    </row>
    <row r="2927" spans="1:1">
      <c r="A2927" t="s">
        <v>42311</v>
      </c>
    </row>
    <row r="2928" spans="1:1">
      <c r="A2928" t="s">
        <v>42312</v>
      </c>
    </row>
    <row r="2929" spans="1:1">
      <c r="A2929" t="s">
        <v>42313</v>
      </c>
    </row>
    <row r="2930" spans="1:1">
      <c r="A2930" t="s">
        <v>42314</v>
      </c>
    </row>
    <row r="2931" spans="1:1">
      <c r="A2931" t="s">
        <v>41057</v>
      </c>
    </row>
    <row r="2932" spans="1:1">
      <c r="A2932" t="s">
        <v>41057</v>
      </c>
    </row>
    <row r="2933" spans="1:1">
      <c r="A2933" t="s">
        <v>41057</v>
      </c>
    </row>
    <row r="2934" spans="1:1">
      <c r="A2934" t="s">
        <v>41057</v>
      </c>
    </row>
    <row r="2935" spans="1:1">
      <c r="A2935" t="s">
        <v>41057</v>
      </c>
    </row>
    <row r="2936" spans="1:1">
      <c r="A2936" t="s">
        <v>41057</v>
      </c>
    </row>
    <row r="2937" spans="1:1">
      <c r="A2937" t="s">
        <v>41074</v>
      </c>
    </row>
    <row r="2938" spans="1:1">
      <c r="A2938" t="s">
        <v>40720</v>
      </c>
    </row>
    <row r="2939" spans="1:1">
      <c r="A2939" t="s">
        <v>42315</v>
      </c>
    </row>
    <row r="2940" spans="1:1">
      <c r="A2940" t="s">
        <v>41057</v>
      </c>
    </row>
    <row r="2941" spans="1:1">
      <c r="A2941" t="s">
        <v>41057</v>
      </c>
    </row>
    <row r="2942" spans="1:1">
      <c r="A2942" t="s">
        <v>41057</v>
      </c>
    </row>
    <row r="2943" spans="1:1">
      <c r="A2943" t="s">
        <v>41057</v>
      </c>
    </row>
    <row r="2944" spans="1:1">
      <c r="A2944" t="e">
        <v>#NAME?</v>
      </c>
    </row>
    <row r="2945" spans="1:1">
      <c r="A2945" t="s">
        <v>42316</v>
      </c>
    </row>
    <row r="2946" spans="1:1">
      <c r="A2946" t="s">
        <v>42317</v>
      </c>
    </row>
    <row r="2947" spans="1:1">
      <c r="A2947" t="s">
        <v>42318</v>
      </c>
    </row>
    <row r="2948" spans="1:1">
      <c r="A2948" t="s">
        <v>42305</v>
      </c>
    </row>
    <row r="2949" spans="1:1">
      <c r="A2949" t="s">
        <v>41057</v>
      </c>
    </row>
    <row r="2950" spans="1:1">
      <c r="A2950" t="s">
        <v>41057</v>
      </c>
    </row>
    <row r="2951" spans="1:1">
      <c r="A2951" t="s">
        <v>41057</v>
      </c>
    </row>
    <row r="2952" spans="1:1">
      <c r="A2952" t="s">
        <v>41057</v>
      </c>
    </row>
    <row r="2953" spans="1:1">
      <c r="A2953" t="e">
        <v>#NAME?</v>
      </c>
    </row>
    <row r="2954" spans="1:1">
      <c r="A2954" t="s">
        <v>42319</v>
      </c>
    </row>
    <row r="2955" spans="1:1">
      <c r="A2955" t="s">
        <v>42320</v>
      </c>
    </row>
    <row r="2956" spans="1:1">
      <c r="A2956" t="s">
        <v>42321</v>
      </c>
    </row>
    <row r="2957" spans="1:1">
      <c r="A2957" t="s">
        <v>41057</v>
      </c>
    </row>
    <row r="2958" spans="1:1">
      <c r="A2958" t="s">
        <v>42322</v>
      </c>
    </row>
    <row r="2959" spans="1:1">
      <c r="A2959" t="s">
        <v>42323</v>
      </c>
    </row>
    <row r="2960" spans="1:1">
      <c r="A2960" t="s">
        <v>42324</v>
      </c>
    </row>
    <row r="2961" spans="1:1">
      <c r="A2961" t="s">
        <v>42325</v>
      </c>
    </row>
    <row r="2962" spans="1:1">
      <c r="A2962" t="s">
        <v>42326</v>
      </c>
    </row>
    <row r="2963" spans="1:1">
      <c r="A2963" t="s">
        <v>42327</v>
      </c>
    </row>
    <row r="2964" spans="1:1">
      <c r="A2964" t="s">
        <v>41057</v>
      </c>
    </row>
    <row r="2965" spans="1:1">
      <c r="A2965" t="s">
        <v>41057</v>
      </c>
    </row>
    <row r="2966" spans="1:1">
      <c r="A2966" t="s">
        <v>41057</v>
      </c>
    </row>
    <row r="2967" spans="1:1">
      <c r="A2967" t="s">
        <v>41057</v>
      </c>
    </row>
    <row r="2968" spans="1:1">
      <c r="A2968" t="s">
        <v>41057</v>
      </c>
    </row>
    <row r="2969" spans="1:1">
      <c r="A2969" t="s">
        <v>41057</v>
      </c>
    </row>
    <row r="2970" spans="1:1">
      <c r="A2970" t="s">
        <v>41074</v>
      </c>
    </row>
    <row r="2971" spans="1:1">
      <c r="A2971" t="s">
        <v>40726</v>
      </c>
    </row>
    <row r="2972" spans="1:1">
      <c r="A2972" t="s">
        <v>42328</v>
      </c>
    </row>
    <row r="2973" spans="1:1">
      <c r="A2973" t="s">
        <v>41057</v>
      </c>
    </row>
    <row r="2974" spans="1:1">
      <c r="A2974" t="s">
        <v>41057</v>
      </c>
    </row>
    <row r="2975" spans="1:1">
      <c r="A2975" t="s">
        <v>41057</v>
      </c>
    </row>
    <row r="2976" spans="1:1">
      <c r="A2976" t="s">
        <v>41057</v>
      </c>
    </row>
    <row r="2977" spans="1:1">
      <c r="A2977" t="e">
        <v>#NAME?</v>
      </c>
    </row>
    <row r="2978" spans="1:1">
      <c r="A2978" t="s">
        <v>42329</v>
      </c>
    </row>
    <row r="2979" spans="1:1">
      <c r="A2979" t="s">
        <v>42330</v>
      </c>
    </row>
    <row r="2980" spans="1:1">
      <c r="A2980" t="s">
        <v>42331</v>
      </c>
    </row>
    <row r="2981" spans="1:1">
      <c r="A2981" t="s">
        <v>42251</v>
      </c>
    </row>
    <row r="2982" spans="1:1">
      <c r="A2982" t="s">
        <v>41057</v>
      </c>
    </row>
    <row r="2983" spans="1:1">
      <c r="A2983" t="s">
        <v>41057</v>
      </c>
    </row>
    <row r="2984" spans="1:1">
      <c r="A2984" t="s">
        <v>41057</v>
      </c>
    </row>
    <row r="2985" spans="1:1">
      <c r="A2985" t="s">
        <v>41057</v>
      </c>
    </row>
    <row r="2986" spans="1:1">
      <c r="A2986" t="e">
        <v>#NAME?</v>
      </c>
    </row>
    <row r="2987" spans="1:1">
      <c r="A2987" t="s">
        <v>42332</v>
      </c>
    </row>
    <row r="2988" spans="1:1">
      <c r="A2988" t="s">
        <v>42333</v>
      </c>
    </row>
    <row r="2989" spans="1:1">
      <c r="A2989" t="s">
        <v>42334</v>
      </c>
    </row>
    <row r="2990" spans="1:1">
      <c r="A2990" t="s">
        <v>41057</v>
      </c>
    </row>
    <row r="2991" spans="1:1">
      <c r="A2991" t="s">
        <v>42335</v>
      </c>
    </row>
    <row r="2992" spans="1:1">
      <c r="A2992" t="s">
        <v>42336</v>
      </c>
    </row>
    <row r="2993" spans="1:1">
      <c r="A2993" t="s">
        <v>42337</v>
      </c>
    </row>
    <row r="2994" spans="1:1">
      <c r="A2994" t="s">
        <v>42338</v>
      </c>
    </row>
    <row r="2995" spans="1:1">
      <c r="A2995" t="s">
        <v>42339</v>
      </c>
    </row>
    <row r="2996" spans="1:1">
      <c r="A2996" t="s">
        <v>42340</v>
      </c>
    </row>
    <row r="2997" spans="1:1">
      <c r="A2997" t="s">
        <v>42341</v>
      </c>
    </row>
    <row r="2998" spans="1:1">
      <c r="A2998" t="s">
        <v>42342</v>
      </c>
    </row>
    <row r="2999" spans="1:1">
      <c r="A2999" t="s">
        <v>42343</v>
      </c>
    </row>
    <row r="3000" spans="1:1">
      <c r="A3000" t="s">
        <v>42344</v>
      </c>
    </row>
    <row r="3001" spans="1:1">
      <c r="A3001" t="s">
        <v>42345</v>
      </c>
    </row>
    <row r="3002" spans="1:1">
      <c r="A3002" t="s">
        <v>41057</v>
      </c>
    </row>
    <row r="3003" spans="1:1">
      <c r="A3003" t="s">
        <v>41074</v>
      </c>
    </row>
    <row r="3004" spans="1:1">
      <c r="A3004" t="s">
        <v>40733</v>
      </c>
    </row>
    <row r="3005" spans="1:1">
      <c r="A3005" t="s">
        <v>41200</v>
      </c>
    </row>
    <row r="3006" spans="1:1">
      <c r="A3006" t="s">
        <v>41057</v>
      </c>
    </row>
    <row r="3007" spans="1:1">
      <c r="A3007" t="s">
        <v>41057</v>
      </c>
    </row>
    <row r="3008" spans="1:1">
      <c r="A3008" t="s">
        <v>41057</v>
      </c>
    </row>
    <row r="3009" spans="1:1">
      <c r="A3009" t="s">
        <v>41057</v>
      </c>
    </row>
    <row r="3010" spans="1:1">
      <c r="A3010" t="s">
        <v>41057</v>
      </c>
    </row>
    <row r="3011" spans="1:1">
      <c r="A3011" t="s">
        <v>42346</v>
      </c>
    </row>
    <row r="3012" spans="1:1">
      <c r="A3012" t="s">
        <v>42347</v>
      </c>
    </row>
    <row r="3013" spans="1:1">
      <c r="A3013" t="s">
        <v>42348</v>
      </c>
    </row>
    <row r="3014" spans="1:1">
      <c r="A3014" t="s">
        <v>42251</v>
      </c>
    </row>
    <row r="3015" spans="1:1">
      <c r="A3015" t="s">
        <v>41057</v>
      </c>
    </row>
    <row r="3016" spans="1:1">
      <c r="A3016" t="s">
        <v>41057</v>
      </c>
    </row>
    <row r="3017" spans="1:1">
      <c r="A3017" t="s">
        <v>41057</v>
      </c>
    </row>
    <row r="3018" spans="1:1">
      <c r="A3018" t="s">
        <v>41057</v>
      </c>
    </row>
    <row r="3019" spans="1:1">
      <c r="A3019" t="e">
        <v>#NAME?</v>
      </c>
    </row>
    <row r="3020" spans="1:1">
      <c r="A3020" t="s">
        <v>42349</v>
      </c>
    </row>
    <row r="3021" spans="1:1">
      <c r="A3021" t="s">
        <v>42350</v>
      </c>
    </row>
    <row r="3022" spans="1:1">
      <c r="A3022" t="s">
        <v>42351</v>
      </c>
    </row>
    <row r="3023" spans="1:1">
      <c r="A3023" t="s">
        <v>41057</v>
      </c>
    </row>
    <row r="3024" spans="1:1">
      <c r="A3024" t="s">
        <v>42352</v>
      </c>
    </row>
    <row r="3025" spans="1:1">
      <c r="A3025" t="s">
        <v>42353</v>
      </c>
    </row>
    <row r="3026" spans="1:1">
      <c r="A3026" t="s">
        <v>42354</v>
      </c>
    </row>
    <row r="3027" spans="1:1">
      <c r="A3027" t="s">
        <v>42355</v>
      </c>
    </row>
    <row r="3028" spans="1:1">
      <c r="A3028" t="s">
        <v>42356</v>
      </c>
    </row>
    <row r="3029" spans="1:1">
      <c r="A3029" t="s">
        <v>42357</v>
      </c>
    </row>
    <row r="3030" spans="1:1">
      <c r="A3030" t="s">
        <v>42358</v>
      </c>
    </row>
    <row r="3031" spans="1:1">
      <c r="A3031" t="s">
        <v>42359</v>
      </c>
    </row>
    <row r="3032" spans="1:1">
      <c r="A3032" t="s">
        <v>42360</v>
      </c>
    </row>
    <row r="3033" spans="1:1">
      <c r="A3033" t="s">
        <v>42361</v>
      </c>
    </row>
    <row r="3034" spans="1:1">
      <c r="A3034" t="s">
        <v>42362</v>
      </c>
    </row>
    <row r="3035" spans="1:1">
      <c r="A3035" t="s">
        <v>41057</v>
      </c>
    </row>
    <row r="3036" spans="1:1">
      <c r="A3036" t="s">
        <v>41074</v>
      </c>
    </row>
    <row r="3037" spans="1:1">
      <c r="A3037" t="s">
        <v>40740</v>
      </c>
    </row>
    <row r="3038" spans="1:1">
      <c r="A3038" t="s">
        <v>42363</v>
      </c>
    </row>
    <row r="3039" spans="1:1">
      <c r="A3039" t="s">
        <v>41057</v>
      </c>
    </row>
    <row r="3040" spans="1:1">
      <c r="A3040" t="s">
        <v>41057</v>
      </c>
    </row>
    <row r="3041" spans="1:1">
      <c r="A3041" t="s">
        <v>41057</v>
      </c>
    </row>
    <row r="3042" spans="1:1">
      <c r="A3042" t="s">
        <v>41057</v>
      </c>
    </row>
    <row r="3043" spans="1:1">
      <c r="A3043" t="s">
        <v>41057</v>
      </c>
    </row>
    <row r="3044" spans="1:1">
      <c r="A3044" t="s">
        <v>42364</v>
      </c>
    </row>
    <row r="3045" spans="1:1">
      <c r="A3045" t="s">
        <v>42365</v>
      </c>
    </row>
    <row r="3046" spans="1:1">
      <c r="A3046" t="s">
        <v>42366</v>
      </c>
    </row>
    <row r="3047" spans="1:1">
      <c r="A3047" t="s">
        <v>42367</v>
      </c>
    </row>
    <row r="3048" spans="1:1">
      <c r="A3048" t="s">
        <v>41057</v>
      </c>
    </row>
    <row r="3049" spans="1:1">
      <c r="A3049" t="s">
        <v>41057</v>
      </c>
    </row>
    <row r="3050" spans="1:1">
      <c r="A3050" t="s">
        <v>41057</v>
      </c>
    </row>
    <row r="3051" spans="1:1">
      <c r="A3051" t="s">
        <v>41057</v>
      </c>
    </row>
    <row r="3052" spans="1:1">
      <c r="A3052" t="e">
        <v>#NAME?</v>
      </c>
    </row>
    <row r="3053" spans="1:1">
      <c r="A3053" t="s">
        <v>42368</v>
      </c>
    </row>
    <row r="3054" spans="1:1">
      <c r="A3054" t="s">
        <v>42369</v>
      </c>
    </row>
    <row r="3055" spans="1:1">
      <c r="A3055" t="s">
        <v>42370</v>
      </c>
    </row>
    <row r="3056" spans="1:1">
      <c r="A3056" t="s">
        <v>41057</v>
      </c>
    </row>
    <row r="3057" spans="1:1">
      <c r="A3057" t="s">
        <v>42371</v>
      </c>
    </row>
    <row r="3058" spans="1:1">
      <c r="A3058" t="s">
        <v>42372</v>
      </c>
    </row>
    <row r="3059" spans="1:1">
      <c r="A3059" t="s">
        <v>42373</v>
      </c>
    </row>
    <row r="3060" spans="1:1">
      <c r="A3060" t="s">
        <v>42374</v>
      </c>
    </row>
    <row r="3061" spans="1:1">
      <c r="A3061" t="s">
        <v>42375</v>
      </c>
    </row>
    <row r="3062" spans="1:1">
      <c r="A3062" t="s">
        <v>42376</v>
      </c>
    </row>
    <row r="3063" spans="1:1">
      <c r="A3063" t="s">
        <v>41057</v>
      </c>
    </row>
    <row r="3064" spans="1:1">
      <c r="A3064" t="s">
        <v>41057</v>
      </c>
    </row>
    <row r="3065" spans="1:1">
      <c r="A3065" t="s">
        <v>41057</v>
      </c>
    </row>
    <row r="3066" spans="1:1">
      <c r="A3066" t="s">
        <v>41057</v>
      </c>
    </row>
    <row r="3067" spans="1:1">
      <c r="A3067" t="s">
        <v>41057</v>
      </c>
    </row>
    <row r="3068" spans="1:1">
      <c r="A3068" t="s">
        <v>41057</v>
      </c>
    </row>
    <row r="3069" spans="1:1">
      <c r="A3069" t="s">
        <v>41074</v>
      </c>
    </row>
    <row r="3070" spans="1:1">
      <c r="A3070" t="s">
        <v>40746</v>
      </c>
    </row>
    <row r="3071" spans="1:1">
      <c r="A3071" t="s">
        <v>42328</v>
      </c>
    </row>
    <row r="3072" spans="1:1">
      <c r="A3072" t="s">
        <v>41057</v>
      </c>
    </row>
    <row r="3073" spans="1:1">
      <c r="A3073" t="s">
        <v>41057</v>
      </c>
    </row>
    <row r="3074" spans="1:1">
      <c r="A3074" t="s">
        <v>41057</v>
      </c>
    </row>
    <row r="3075" spans="1:1">
      <c r="A3075" t="s">
        <v>41057</v>
      </c>
    </row>
    <row r="3076" spans="1:1">
      <c r="A3076" t="s">
        <v>41057</v>
      </c>
    </row>
    <row r="3077" spans="1:1">
      <c r="A3077" t="s">
        <v>42377</v>
      </c>
    </row>
    <row r="3078" spans="1:1">
      <c r="A3078" t="s">
        <v>42378</v>
      </c>
    </row>
    <row r="3079" spans="1:1">
      <c r="A3079" t="s">
        <v>42379</v>
      </c>
    </row>
    <row r="3080" spans="1:1">
      <c r="A3080" t="s">
        <v>42367</v>
      </c>
    </row>
    <row r="3081" spans="1:1">
      <c r="A3081" t="s">
        <v>41057</v>
      </c>
    </row>
    <row r="3082" spans="1:1">
      <c r="A3082" t="s">
        <v>41057</v>
      </c>
    </row>
    <row r="3083" spans="1:1">
      <c r="A3083" t="s">
        <v>41057</v>
      </c>
    </row>
    <row r="3084" spans="1:1">
      <c r="A3084" t="s">
        <v>41057</v>
      </c>
    </row>
    <row r="3085" spans="1:1">
      <c r="A3085" t="e">
        <v>#NAME?</v>
      </c>
    </row>
    <row r="3086" spans="1:1">
      <c r="A3086" t="s">
        <v>42380</v>
      </c>
    </row>
    <row r="3087" spans="1:1">
      <c r="A3087" t="s">
        <v>42381</v>
      </c>
    </row>
    <row r="3088" spans="1:1">
      <c r="A3088" t="s">
        <v>42382</v>
      </c>
    </row>
    <row r="3089" spans="1:1">
      <c r="A3089" t="s">
        <v>41057</v>
      </c>
    </row>
    <row r="3090" spans="1:1">
      <c r="A3090" t="s">
        <v>42383</v>
      </c>
    </row>
    <row r="3091" spans="1:1">
      <c r="A3091" t="s">
        <v>42384</v>
      </c>
    </row>
    <row r="3092" spans="1:1">
      <c r="A3092" t="s">
        <v>42385</v>
      </c>
    </row>
    <row r="3093" spans="1:1">
      <c r="A3093" t="s">
        <v>42386</v>
      </c>
    </row>
    <row r="3094" spans="1:1">
      <c r="A3094" t="s">
        <v>42387</v>
      </c>
    </row>
    <row r="3095" spans="1:1">
      <c r="A3095" t="s">
        <v>42388</v>
      </c>
    </row>
    <row r="3096" spans="1:1">
      <c r="A3096" t="s">
        <v>41057</v>
      </c>
    </row>
    <row r="3097" spans="1:1">
      <c r="A3097" t="s">
        <v>41057</v>
      </c>
    </row>
    <row r="3098" spans="1:1">
      <c r="A3098" t="s">
        <v>41057</v>
      </c>
    </row>
    <row r="3099" spans="1:1">
      <c r="A3099" t="s">
        <v>41057</v>
      </c>
    </row>
    <row r="3100" spans="1:1">
      <c r="A3100" t="s">
        <v>41057</v>
      </c>
    </row>
    <row r="3101" spans="1:1">
      <c r="A3101" t="s">
        <v>41057</v>
      </c>
    </row>
    <row r="3102" spans="1:1">
      <c r="A3102" t="s">
        <v>41074</v>
      </c>
    </row>
    <row r="3103" spans="1:1">
      <c r="A3103" t="s">
        <v>40752</v>
      </c>
    </row>
    <row r="3104" spans="1:1">
      <c r="A3104" t="s">
        <v>41057</v>
      </c>
    </row>
    <row r="3105" spans="1:1">
      <c r="A3105" t="s">
        <v>41057</v>
      </c>
    </row>
    <row r="3106" spans="1:1">
      <c r="A3106" t="s">
        <v>41057</v>
      </c>
    </row>
    <row r="3107" spans="1:1">
      <c r="A3107" t="s">
        <v>41057</v>
      </c>
    </row>
    <row r="3108" spans="1:1">
      <c r="A3108" t="s">
        <v>41057</v>
      </c>
    </row>
    <row r="3109" spans="1:1">
      <c r="A3109" t="s">
        <v>41057</v>
      </c>
    </row>
    <row r="3110" spans="1:1">
      <c r="A3110" t="s">
        <v>42389</v>
      </c>
    </row>
    <row r="3111" spans="1:1">
      <c r="A3111" t="s">
        <v>42390</v>
      </c>
    </row>
    <row r="3112" spans="1:1">
      <c r="A3112" t="s">
        <v>42391</v>
      </c>
    </row>
    <row r="3113" spans="1:1">
      <c r="A3113" t="s">
        <v>42392</v>
      </c>
    </row>
    <row r="3114" spans="1:1">
      <c r="A3114" t="s">
        <v>41057</v>
      </c>
    </row>
    <row r="3115" spans="1:1">
      <c r="A3115" t="s">
        <v>41057</v>
      </c>
    </row>
    <row r="3116" spans="1:1">
      <c r="A3116" t="s">
        <v>41057</v>
      </c>
    </row>
    <row r="3117" spans="1:1">
      <c r="A3117" t="s">
        <v>41057</v>
      </c>
    </row>
    <row r="3118" spans="1:1">
      <c r="A3118" t="e">
        <v>#NAME?</v>
      </c>
    </row>
    <row r="3119" spans="1:1">
      <c r="A3119" t="s">
        <v>42393</v>
      </c>
    </row>
    <row r="3120" spans="1:1">
      <c r="A3120" t="s">
        <v>42394</v>
      </c>
    </row>
    <row r="3121" spans="1:1">
      <c r="A3121" t="s">
        <v>42395</v>
      </c>
    </row>
    <row r="3122" spans="1:1">
      <c r="A3122" t="s">
        <v>41057</v>
      </c>
    </row>
    <row r="3123" spans="1:1">
      <c r="A3123" t="s">
        <v>42396</v>
      </c>
    </row>
    <row r="3124" spans="1:1">
      <c r="A3124" t="s">
        <v>42397</v>
      </c>
    </row>
    <row r="3125" spans="1:1">
      <c r="A3125" t="s">
        <v>42398</v>
      </c>
    </row>
    <row r="3126" spans="1:1">
      <c r="A3126" t="s">
        <v>42399</v>
      </c>
    </row>
    <row r="3127" spans="1:1">
      <c r="A3127" t="s">
        <v>42400</v>
      </c>
    </row>
    <row r="3128" spans="1:1">
      <c r="A3128" t="s">
        <v>42401</v>
      </c>
    </row>
    <row r="3129" spans="1:1">
      <c r="A3129" t="s">
        <v>41057</v>
      </c>
    </row>
    <row r="3130" spans="1:1">
      <c r="A3130" t="s">
        <v>41057</v>
      </c>
    </row>
    <row r="3131" spans="1:1">
      <c r="A3131" t="s">
        <v>41057</v>
      </c>
    </row>
    <row r="3132" spans="1:1">
      <c r="A3132" t="s">
        <v>41057</v>
      </c>
    </row>
    <row r="3133" spans="1:1">
      <c r="A3133" t="s">
        <v>41057</v>
      </c>
    </row>
    <row r="3134" spans="1:1">
      <c r="A3134" t="s">
        <v>41057</v>
      </c>
    </row>
    <row r="3135" spans="1:1">
      <c r="A3135" t="s">
        <v>41074</v>
      </c>
    </row>
    <row r="3136" spans="1:1">
      <c r="A3136" t="s">
        <v>40757</v>
      </c>
    </row>
    <row r="3137" spans="1:1">
      <c r="A3137" t="s">
        <v>41200</v>
      </c>
    </row>
    <row r="3138" spans="1:1">
      <c r="A3138" t="s">
        <v>41057</v>
      </c>
    </row>
    <row r="3139" spans="1:1">
      <c r="A3139" t="s">
        <v>41057</v>
      </c>
    </row>
    <row r="3140" spans="1:1">
      <c r="A3140" t="s">
        <v>41057</v>
      </c>
    </row>
    <row r="3141" spans="1:1">
      <c r="A3141" t="s">
        <v>41057</v>
      </c>
    </row>
    <row r="3142" spans="1:1">
      <c r="A3142" t="s">
        <v>41057</v>
      </c>
    </row>
    <row r="3143" spans="1:1">
      <c r="A3143" t="s">
        <v>42402</v>
      </c>
    </row>
    <row r="3144" spans="1:1">
      <c r="A3144" t="s">
        <v>42403</v>
      </c>
    </row>
    <row r="3145" spans="1:1">
      <c r="A3145" t="s">
        <v>42404</v>
      </c>
    </row>
    <row r="3146" spans="1:1">
      <c r="A3146" t="s">
        <v>42405</v>
      </c>
    </row>
    <row r="3147" spans="1:1">
      <c r="A3147" t="s">
        <v>41057</v>
      </c>
    </row>
    <row r="3148" spans="1:1">
      <c r="A3148" t="s">
        <v>41057</v>
      </c>
    </row>
    <row r="3149" spans="1:1">
      <c r="A3149" t="s">
        <v>41057</v>
      </c>
    </row>
    <row r="3150" spans="1:1">
      <c r="A3150" t="s">
        <v>41057</v>
      </c>
    </row>
    <row r="3151" spans="1:1">
      <c r="A3151" t="e">
        <v>#NAME?</v>
      </c>
    </row>
    <row r="3152" spans="1:1">
      <c r="A3152" t="s">
        <v>42406</v>
      </c>
    </row>
    <row r="3153" spans="1:1">
      <c r="A3153" t="s">
        <v>42407</v>
      </c>
    </row>
    <row r="3154" spans="1:1">
      <c r="A3154" t="s">
        <v>42408</v>
      </c>
    </row>
    <row r="3155" spans="1:1">
      <c r="A3155" t="s">
        <v>41057</v>
      </c>
    </row>
    <row r="3156" spans="1:1">
      <c r="A3156" t="s">
        <v>42409</v>
      </c>
    </row>
    <row r="3157" spans="1:1">
      <c r="A3157" t="s">
        <v>42410</v>
      </c>
    </row>
    <row r="3158" spans="1:1">
      <c r="A3158" t="s">
        <v>42411</v>
      </c>
    </row>
    <row r="3159" spans="1:1">
      <c r="A3159" t="s">
        <v>42412</v>
      </c>
    </row>
    <row r="3160" spans="1:1">
      <c r="A3160" t="s">
        <v>42413</v>
      </c>
    </row>
    <row r="3161" spans="1:1">
      <c r="A3161" t="s">
        <v>42414</v>
      </c>
    </row>
    <row r="3162" spans="1:1">
      <c r="A3162" t="s">
        <v>41057</v>
      </c>
    </row>
    <row r="3163" spans="1:1">
      <c r="A3163" t="s">
        <v>41057</v>
      </c>
    </row>
    <row r="3164" spans="1:1">
      <c r="A3164" t="s">
        <v>41057</v>
      </c>
    </row>
    <row r="3165" spans="1:1">
      <c r="A3165" t="s">
        <v>41057</v>
      </c>
    </row>
    <row r="3166" spans="1:1">
      <c r="A3166" t="s">
        <v>41057</v>
      </c>
    </row>
    <row r="3167" spans="1:1">
      <c r="A3167" t="s">
        <v>41057</v>
      </c>
    </row>
    <row r="3168" spans="1:1">
      <c r="A3168" t="s">
        <v>41074</v>
      </c>
    </row>
    <row r="3169" spans="1:1">
      <c r="A3169" t="s">
        <v>40763</v>
      </c>
    </row>
    <row r="3170" spans="1:1">
      <c r="A3170" t="s">
        <v>41200</v>
      </c>
    </row>
    <row r="3171" spans="1:1">
      <c r="A3171" t="s">
        <v>41057</v>
      </c>
    </row>
    <row r="3172" spans="1:1">
      <c r="A3172" t="s">
        <v>41057</v>
      </c>
    </row>
    <row r="3173" spans="1:1">
      <c r="A3173" t="s">
        <v>41057</v>
      </c>
    </row>
    <row r="3174" spans="1:1">
      <c r="A3174" t="s">
        <v>41057</v>
      </c>
    </row>
    <row r="3175" spans="1:1">
      <c r="A3175" t="e">
        <v>#NAME?</v>
      </c>
    </row>
    <row r="3176" spans="1:1">
      <c r="A3176" t="s">
        <v>42415</v>
      </c>
    </row>
    <row r="3177" spans="1:1">
      <c r="A3177" t="s">
        <v>42416</v>
      </c>
    </row>
    <row r="3178" spans="1:1">
      <c r="A3178" t="s">
        <v>42417</v>
      </c>
    </row>
    <row r="3179" spans="1:1">
      <c r="A3179" t="s">
        <v>42418</v>
      </c>
    </row>
    <row r="3180" spans="1:1">
      <c r="A3180" t="s">
        <v>41057</v>
      </c>
    </row>
    <row r="3181" spans="1:1">
      <c r="A3181" t="s">
        <v>41057</v>
      </c>
    </row>
    <row r="3182" spans="1:1">
      <c r="A3182" t="s">
        <v>41057</v>
      </c>
    </row>
    <row r="3183" spans="1:1">
      <c r="A3183" t="s">
        <v>41057</v>
      </c>
    </row>
    <row r="3184" spans="1:1">
      <c r="A3184" t="e">
        <v>#NAME?</v>
      </c>
    </row>
    <row r="3185" spans="1:1">
      <c r="A3185" t="s">
        <v>42419</v>
      </c>
    </row>
    <row r="3186" spans="1:1">
      <c r="A3186" t="s">
        <v>42420</v>
      </c>
    </row>
    <row r="3187" spans="1:1">
      <c r="A3187" t="s">
        <v>42421</v>
      </c>
    </row>
    <row r="3188" spans="1:1">
      <c r="A3188" t="s">
        <v>41057</v>
      </c>
    </row>
    <row r="3189" spans="1:1">
      <c r="A3189" t="s">
        <v>42422</v>
      </c>
    </row>
    <row r="3190" spans="1:1">
      <c r="A3190" t="s">
        <v>42423</v>
      </c>
    </row>
    <row r="3191" spans="1:1">
      <c r="A3191" t="s">
        <v>42424</v>
      </c>
    </row>
    <row r="3192" spans="1:1">
      <c r="A3192" t="s">
        <v>42425</v>
      </c>
    </row>
    <row r="3193" spans="1:1">
      <c r="A3193" t="s">
        <v>42426</v>
      </c>
    </row>
    <row r="3194" spans="1:1">
      <c r="A3194" t="s">
        <v>42427</v>
      </c>
    </row>
    <row r="3195" spans="1:1">
      <c r="A3195" t="s">
        <v>41057</v>
      </c>
    </row>
    <row r="3196" spans="1:1">
      <c r="A3196" t="s">
        <v>41057</v>
      </c>
    </row>
    <row r="3197" spans="1:1">
      <c r="A3197" t="s">
        <v>41057</v>
      </c>
    </row>
    <row r="3198" spans="1:1">
      <c r="A3198" t="s">
        <v>41057</v>
      </c>
    </row>
    <row r="3199" spans="1:1">
      <c r="A3199" t="s">
        <v>41057</v>
      </c>
    </row>
    <row r="3200" spans="1:1">
      <c r="A3200" t="s">
        <v>41057</v>
      </c>
    </row>
    <row r="3201" spans="1:1">
      <c r="A3201" t="s">
        <v>41074</v>
      </c>
    </row>
    <row r="3202" spans="1:1">
      <c r="A3202" t="s">
        <v>40769</v>
      </c>
    </row>
    <row r="3203" spans="1:1">
      <c r="A3203" t="e">
        <v>#NAME?</v>
      </c>
    </row>
    <row r="3204" spans="1:1">
      <c r="A3204" t="s">
        <v>41056</v>
      </c>
    </row>
    <row r="3205" spans="1:1">
      <c r="A3205" t="s">
        <v>41057</v>
      </c>
    </row>
    <row r="3206" spans="1:1">
      <c r="A3206" t="s">
        <v>41057</v>
      </c>
    </row>
    <row r="3207" spans="1:1">
      <c r="A3207" t="s">
        <v>41057</v>
      </c>
    </row>
    <row r="3208" spans="1:1">
      <c r="A3208" t="e">
        <v>#NAME?</v>
      </c>
    </row>
    <row r="3209" spans="1:1">
      <c r="A3209" t="s">
        <v>42428</v>
      </c>
    </row>
    <row r="3210" spans="1:1">
      <c r="A3210" t="s">
        <v>41057</v>
      </c>
    </row>
    <row r="3211" spans="1:1">
      <c r="A3211" t="s">
        <v>42429</v>
      </c>
    </row>
    <row r="3212" spans="1:1">
      <c r="A3212" t="s">
        <v>42430</v>
      </c>
    </row>
    <row r="3213" spans="1:1">
      <c r="A3213" t="s">
        <v>41057</v>
      </c>
    </row>
    <row r="3214" spans="1:1">
      <c r="A3214" t="s">
        <v>41057</v>
      </c>
    </row>
    <row r="3215" spans="1:1">
      <c r="A3215" t="s">
        <v>41057</v>
      </c>
    </row>
    <row r="3216" spans="1:1">
      <c r="A3216" t="s">
        <v>41057</v>
      </c>
    </row>
    <row r="3217" spans="1:1">
      <c r="A3217" t="e">
        <v>#NAME?</v>
      </c>
    </row>
    <row r="3218" spans="1:1">
      <c r="A3218" t="s">
        <v>42431</v>
      </c>
    </row>
    <row r="3219" spans="1:1">
      <c r="A3219" t="s">
        <v>42432</v>
      </c>
    </row>
    <row r="3220" spans="1:1">
      <c r="A3220" t="s">
        <v>42433</v>
      </c>
    </row>
    <row r="3221" spans="1:1">
      <c r="A3221" t="e">
        <v>#NAME?</v>
      </c>
    </row>
    <row r="3222" spans="1:1">
      <c r="A3222" t="s">
        <v>42434</v>
      </c>
    </row>
    <row r="3223" spans="1:1">
      <c r="A3223" t="s">
        <v>42435</v>
      </c>
    </row>
    <row r="3224" spans="1:1">
      <c r="A3224" t="s">
        <v>42436</v>
      </c>
    </row>
    <row r="3225" spans="1:1">
      <c r="A3225" t="s">
        <v>42437</v>
      </c>
    </row>
    <row r="3226" spans="1:1">
      <c r="A3226" t="s">
        <v>42438</v>
      </c>
    </row>
    <row r="3227" spans="1:1">
      <c r="A3227" t="s">
        <v>42439</v>
      </c>
    </row>
    <row r="3228" spans="1:1">
      <c r="A3228" t="s">
        <v>41057</v>
      </c>
    </row>
    <row r="3229" spans="1:1">
      <c r="A3229" t="s">
        <v>42440</v>
      </c>
    </row>
    <row r="3230" spans="1:1">
      <c r="A3230" t="s">
        <v>41057</v>
      </c>
    </row>
    <row r="3231" spans="1:1">
      <c r="A3231" t="s">
        <v>41057</v>
      </c>
    </row>
    <row r="3232" spans="1:1">
      <c r="A3232" t="s">
        <v>41057</v>
      </c>
    </row>
    <row r="3233" spans="1:1">
      <c r="A3233" t="s">
        <v>41057</v>
      </c>
    </row>
    <row r="3234" spans="1:1">
      <c r="A3234" t="s">
        <v>41074</v>
      </c>
    </row>
    <row r="3235" spans="1:1">
      <c r="A3235" t="s">
        <v>40775</v>
      </c>
    </row>
    <row r="3236" spans="1:1">
      <c r="A3236" t="s">
        <v>41057</v>
      </c>
    </row>
    <row r="3237" spans="1:1">
      <c r="A3237" t="s">
        <v>41057</v>
      </c>
    </row>
    <row r="3238" spans="1:1">
      <c r="A3238" t="s">
        <v>41057</v>
      </c>
    </row>
    <row r="3239" spans="1:1">
      <c r="A3239" t="s">
        <v>41057</v>
      </c>
    </row>
    <row r="3240" spans="1:1">
      <c r="A3240" t="s">
        <v>41057</v>
      </c>
    </row>
    <row r="3241" spans="1:1">
      <c r="A3241" t="s">
        <v>41057</v>
      </c>
    </row>
    <row r="3242" spans="1:1">
      <c r="A3242" t="s">
        <v>42441</v>
      </c>
    </row>
    <row r="3243" spans="1:1">
      <c r="A3243" t="s">
        <v>41057</v>
      </c>
    </row>
    <row r="3244" spans="1:1">
      <c r="A3244" t="s">
        <v>42442</v>
      </c>
    </row>
    <row r="3245" spans="1:1">
      <c r="A3245" t="s">
        <v>42430</v>
      </c>
    </row>
    <row r="3246" spans="1:1">
      <c r="A3246" t="s">
        <v>41057</v>
      </c>
    </row>
    <row r="3247" spans="1:1">
      <c r="A3247" t="s">
        <v>41057</v>
      </c>
    </row>
    <row r="3248" spans="1:1">
      <c r="A3248" t="s">
        <v>41057</v>
      </c>
    </row>
    <row r="3249" spans="1:1">
      <c r="A3249" t="s">
        <v>41057</v>
      </c>
    </row>
    <row r="3250" spans="1:1">
      <c r="A3250" t="e">
        <v>#NAME?</v>
      </c>
    </row>
    <row r="3251" spans="1:1">
      <c r="A3251" t="s">
        <v>42443</v>
      </c>
    </row>
    <row r="3252" spans="1:1">
      <c r="A3252" t="s">
        <v>42444</v>
      </c>
    </row>
    <row r="3253" spans="1:1">
      <c r="A3253" t="s">
        <v>42445</v>
      </c>
    </row>
    <row r="3254" spans="1:1">
      <c r="A3254" t="e">
        <v>#NAME?</v>
      </c>
    </row>
    <row r="3255" spans="1:1">
      <c r="A3255" t="s">
        <v>42434</v>
      </c>
    </row>
    <row r="3256" spans="1:1">
      <c r="A3256" t="s">
        <v>42446</v>
      </c>
    </row>
    <row r="3257" spans="1:1">
      <c r="A3257" t="s">
        <v>42447</v>
      </c>
    </row>
    <row r="3258" spans="1:1">
      <c r="A3258" t="s">
        <v>42448</v>
      </c>
    </row>
    <row r="3259" spans="1:1">
      <c r="A3259" t="s">
        <v>42449</v>
      </c>
    </row>
    <row r="3260" spans="1:1">
      <c r="A3260" t="s">
        <v>42450</v>
      </c>
    </row>
    <row r="3261" spans="1:1">
      <c r="A3261" t="s">
        <v>41057</v>
      </c>
    </row>
    <row r="3262" spans="1:1">
      <c r="A3262" t="s">
        <v>42451</v>
      </c>
    </row>
    <row r="3263" spans="1:1">
      <c r="A3263" t="s">
        <v>41057</v>
      </c>
    </row>
    <row r="3264" spans="1:1">
      <c r="A3264" t="s">
        <v>41057</v>
      </c>
    </row>
    <row r="3265" spans="1:1">
      <c r="A3265" t="s">
        <v>41057</v>
      </c>
    </row>
    <row r="3266" spans="1:1">
      <c r="A3266" t="s">
        <v>41057</v>
      </c>
    </row>
    <row r="3267" spans="1:1">
      <c r="A3267" t="s">
        <v>41074</v>
      </c>
    </row>
    <row r="3268" spans="1:1">
      <c r="A3268" t="s">
        <v>40780</v>
      </c>
    </row>
    <row r="3269" spans="1:1">
      <c r="A3269" t="s">
        <v>42452</v>
      </c>
    </row>
    <row r="3270" spans="1:1">
      <c r="A3270" t="s">
        <v>42453</v>
      </c>
    </row>
    <row r="3271" spans="1:1">
      <c r="A3271" t="e">
        <v>#NAME?</v>
      </c>
    </row>
    <row r="3272" spans="1:1">
      <c r="A3272" t="s">
        <v>42454</v>
      </c>
    </row>
    <row r="3273" spans="1:1">
      <c r="A3273" t="s">
        <v>41057</v>
      </c>
    </row>
    <row r="3274" spans="1:1">
      <c r="A3274" t="e">
        <v>#NAME?</v>
      </c>
    </row>
    <row r="3275" spans="1:1">
      <c r="A3275" t="s">
        <v>42455</v>
      </c>
    </row>
    <row r="3276" spans="1:1">
      <c r="A3276" t="s">
        <v>42456</v>
      </c>
    </row>
    <row r="3277" spans="1:1">
      <c r="A3277" t="s">
        <v>42457</v>
      </c>
    </row>
    <row r="3278" spans="1:1">
      <c r="A3278" t="s">
        <v>42458</v>
      </c>
    </row>
    <row r="3279" spans="1:1">
      <c r="A3279" t="s">
        <v>41057</v>
      </c>
    </row>
    <row r="3280" spans="1:1">
      <c r="A3280" t="s">
        <v>41057</v>
      </c>
    </row>
    <row r="3281" spans="1:1">
      <c r="A3281" t="s">
        <v>41057</v>
      </c>
    </row>
    <row r="3282" spans="1:1">
      <c r="A3282" t="s">
        <v>41057</v>
      </c>
    </row>
    <row r="3283" spans="1:1">
      <c r="A3283" t="e">
        <v>#NAME?</v>
      </c>
    </row>
    <row r="3284" spans="1:1">
      <c r="A3284" t="s">
        <v>42459</v>
      </c>
    </row>
    <row r="3285" spans="1:1">
      <c r="A3285" t="s">
        <v>42460</v>
      </c>
    </row>
    <row r="3286" spans="1:1">
      <c r="A3286" t="s">
        <v>42461</v>
      </c>
    </row>
    <row r="3287" spans="1:1">
      <c r="A3287" t="s">
        <v>41057</v>
      </c>
    </row>
    <row r="3288" spans="1:1">
      <c r="A3288" t="s">
        <v>42462</v>
      </c>
    </row>
    <row r="3289" spans="1:1">
      <c r="A3289" t="s">
        <v>42463</v>
      </c>
    </row>
    <row r="3290" spans="1:1">
      <c r="A3290" t="s">
        <v>42464</v>
      </c>
    </row>
    <row r="3291" spans="1:1">
      <c r="A3291" t="s">
        <v>42465</v>
      </c>
    </row>
    <row r="3292" spans="1:1">
      <c r="A3292" t="s">
        <v>42466</v>
      </c>
    </row>
    <row r="3293" spans="1:1">
      <c r="A3293" t="s">
        <v>42467</v>
      </c>
    </row>
    <row r="3294" spans="1:1">
      <c r="A3294" t="s">
        <v>42468</v>
      </c>
    </row>
    <row r="3295" spans="1:1">
      <c r="A3295" t="s">
        <v>41057</v>
      </c>
    </row>
    <row r="3296" spans="1:1">
      <c r="A3296" t="s">
        <v>42469</v>
      </c>
    </row>
    <row r="3297" spans="1:1">
      <c r="A3297" t="s">
        <v>41057</v>
      </c>
    </row>
    <row r="3298" spans="1:1">
      <c r="A3298" t="s">
        <v>41057</v>
      </c>
    </row>
    <row r="3299" spans="1:1">
      <c r="A3299" t="s">
        <v>41057</v>
      </c>
    </row>
    <row r="3300" spans="1:1">
      <c r="A3300" t="s">
        <v>41074</v>
      </c>
    </row>
    <row r="3301" spans="1:1">
      <c r="A3301" t="s">
        <v>40787</v>
      </c>
    </row>
    <row r="3302" spans="1:1">
      <c r="A3302" t="e">
        <v>#NAME?</v>
      </c>
    </row>
    <row r="3303" spans="1:1">
      <c r="A3303" t="s">
        <v>42470</v>
      </c>
    </row>
    <row r="3304" spans="1:1">
      <c r="A3304" t="e">
        <v>#NAME?</v>
      </c>
    </row>
    <row r="3305" spans="1:1">
      <c r="A3305" t="s">
        <v>42471</v>
      </c>
    </row>
    <row r="3306" spans="1:1">
      <c r="A3306" t="s">
        <v>41057</v>
      </c>
    </row>
    <row r="3307" spans="1:1">
      <c r="A3307" t="e">
        <v>#NAME?</v>
      </c>
    </row>
    <row r="3308" spans="1:1">
      <c r="A3308" t="s">
        <v>42472</v>
      </c>
    </row>
    <row r="3309" spans="1:1">
      <c r="A3309" t="s">
        <v>42473</v>
      </c>
    </row>
    <row r="3310" spans="1:1">
      <c r="A3310" t="s">
        <v>42474</v>
      </c>
    </row>
    <row r="3311" spans="1:1">
      <c r="A3311" t="s">
        <v>42475</v>
      </c>
    </row>
    <row r="3312" spans="1:1">
      <c r="A3312" t="s">
        <v>41057</v>
      </c>
    </row>
    <row r="3313" spans="1:1">
      <c r="A3313" t="s">
        <v>41057</v>
      </c>
    </row>
    <row r="3314" spans="1:1">
      <c r="A3314" t="s">
        <v>41057</v>
      </c>
    </row>
    <row r="3315" spans="1:1">
      <c r="A3315" t="s">
        <v>41057</v>
      </c>
    </row>
    <row r="3316" spans="1:1">
      <c r="A3316" t="e">
        <v>#NAME?</v>
      </c>
    </row>
    <row r="3317" spans="1:1">
      <c r="A3317" t="s">
        <v>42476</v>
      </c>
    </row>
    <row r="3318" spans="1:1">
      <c r="A3318" t="s">
        <v>42477</v>
      </c>
    </row>
    <row r="3319" spans="1:1">
      <c r="A3319" t="s">
        <v>42478</v>
      </c>
    </row>
    <row r="3320" spans="1:1">
      <c r="A3320" t="s">
        <v>41057</v>
      </c>
    </row>
    <row r="3321" spans="1:1">
      <c r="A3321" t="s">
        <v>42479</v>
      </c>
    </row>
    <row r="3322" spans="1:1">
      <c r="A3322" t="s">
        <v>42480</v>
      </c>
    </row>
    <row r="3323" spans="1:1">
      <c r="A3323" t="s">
        <v>42481</v>
      </c>
    </row>
    <row r="3324" spans="1:1">
      <c r="A3324" t="s">
        <v>42482</v>
      </c>
    </row>
    <row r="3325" spans="1:1">
      <c r="A3325" t="s">
        <v>42483</v>
      </c>
    </row>
    <row r="3326" spans="1:1">
      <c r="A3326" t="s">
        <v>42484</v>
      </c>
    </row>
    <row r="3327" spans="1:1">
      <c r="A3327" t="s">
        <v>42485</v>
      </c>
    </row>
    <row r="3328" spans="1:1">
      <c r="A3328" t="s">
        <v>42486</v>
      </c>
    </row>
    <row r="3329" spans="1:1">
      <c r="A3329" t="s">
        <v>41057</v>
      </c>
    </row>
    <row r="3330" spans="1:1">
      <c r="A3330" t="s">
        <v>41057</v>
      </c>
    </row>
    <row r="3331" spans="1:1">
      <c r="A3331" t="s">
        <v>41057</v>
      </c>
    </row>
    <row r="3332" spans="1:1">
      <c r="A3332" t="s">
        <v>41057</v>
      </c>
    </row>
    <row r="3333" spans="1:1">
      <c r="A3333" t="s">
        <v>41074</v>
      </c>
    </row>
    <row r="3334" spans="1:1">
      <c r="A3334" t="s">
        <v>40794</v>
      </c>
    </row>
    <row r="3335" spans="1:1">
      <c r="A3335" t="e">
        <v>#NAME?</v>
      </c>
    </row>
    <row r="3336" spans="1:1">
      <c r="A3336" t="s">
        <v>41056</v>
      </c>
    </row>
    <row r="3337" spans="1:1">
      <c r="A3337" t="s">
        <v>41057</v>
      </c>
    </row>
    <row r="3338" spans="1:1">
      <c r="A3338" t="s">
        <v>41057</v>
      </c>
    </row>
    <row r="3339" spans="1:1">
      <c r="A3339" t="s">
        <v>41057</v>
      </c>
    </row>
    <row r="3340" spans="1:1">
      <c r="A3340" t="e">
        <v>#NAME?</v>
      </c>
    </row>
    <row r="3341" spans="1:1">
      <c r="A3341" t="s">
        <v>42487</v>
      </c>
    </row>
    <row r="3342" spans="1:1">
      <c r="A3342" t="s">
        <v>41057</v>
      </c>
    </row>
    <row r="3343" spans="1:1">
      <c r="A3343" t="s">
        <v>42488</v>
      </c>
    </row>
    <row r="3344" spans="1:1">
      <c r="A3344" t="s">
        <v>42489</v>
      </c>
    </row>
    <row r="3345" spans="1:1">
      <c r="A3345" t="s">
        <v>41057</v>
      </c>
    </row>
    <row r="3346" spans="1:1">
      <c r="A3346" t="s">
        <v>41057</v>
      </c>
    </row>
    <row r="3347" spans="1:1">
      <c r="A3347" t="s">
        <v>41057</v>
      </c>
    </row>
    <row r="3348" spans="1:1">
      <c r="A3348" t="s">
        <v>41057</v>
      </c>
    </row>
    <row r="3349" spans="1:1">
      <c r="A3349" t="e">
        <v>#NAME?</v>
      </c>
    </row>
    <row r="3350" spans="1:1">
      <c r="A3350" t="s">
        <v>42490</v>
      </c>
    </row>
    <row r="3351" spans="1:1">
      <c r="A3351" t="s">
        <v>42491</v>
      </c>
    </row>
    <row r="3352" spans="1:1">
      <c r="A3352" t="s">
        <v>42492</v>
      </c>
    </row>
    <row r="3353" spans="1:1">
      <c r="A3353" t="s">
        <v>41057</v>
      </c>
    </row>
    <row r="3354" spans="1:1">
      <c r="A3354" t="s">
        <v>42493</v>
      </c>
    </row>
    <row r="3355" spans="1:1">
      <c r="A3355" t="s">
        <v>42494</v>
      </c>
    </row>
    <row r="3356" spans="1:1">
      <c r="A3356" t="s">
        <v>42495</v>
      </c>
    </row>
    <row r="3357" spans="1:1">
      <c r="A3357" t="s">
        <v>42496</v>
      </c>
    </row>
    <row r="3358" spans="1:1">
      <c r="A3358" t="s">
        <v>42497</v>
      </c>
    </row>
    <row r="3359" spans="1:1">
      <c r="A3359" t="s">
        <v>42498</v>
      </c>
    </row>
    <row r="3360" spans="1:1">
      <c r="A3360" t="s">
        <v>41057</v>
      </c>
    </row>
    <row r="3361" spans="1:1">
      <c r="A3361" t="s">
        <v>41057</v>
      </c>
    </row>
    <row r="3362" spans="1:1">
      <c r="A3362" t="s">
        <v>42499</v>
      </c>
    </row>
    <row r="3363" spans="1:1">
      <c r="A3363" t="s">
        <v>41057</v>
      </c>
    </row>
    <row r="3364" spans="1:1">
      <c r="A3364" t="s">
        <v>41057</v>
      </c>
    </row>
    <row r="3365" spans="1:1">
      <c r="A3365" t="s">
        <v>41057</v>
      </c>
    </row>
    <row r="3366" spans="1:1">
      <c r="A3366" t="s">
        <v>41074</v>
      </c>
    </row>
    <row r="3367" spans="1:1">
      <c r="A3367" t="s">
        <v>40800</v>
      </c>
    </row>
    <row r="3368" spans="1:1">
      <c r="A3368" t="e">
        <v>#NAME?</v>
      </c>
    </row>
    <row r="3369" spans="1:1">
      <c r="A3369" t="s">
        <v>41056</v>
      </c>
    </row>
    <row r="3370" spans="1:1">
      <c r="A3370" t="s">
        <v>41057</v>
      </c>
    </row>
    <row r="3371" spans="1:1">
      <c r="A3371" t="s">
        <v>41057</v>
      </c>
    </row>
    <row r="3372" spans="1:1">
      <c r="A3372" t="s">
        <v>41057</v>
      </c>
    </row>
    <row r="3373" spans="1:1">
      <c r="A3373" t="e">
        <v>#NAME?</v>
      </c>
    </row>
    <row r="3374" spans="1:1">
      <c r="A3374" t="s">
        <v>42500</v>
      </c>
    </row>
    <row r="3375" spans="1:1">
      <c r="A3375" t="s">
        <v>41057</v>
      </c>
    </row>
    <row r="3376" spans="1:1">
      <c r="A3376" t="s">
        <v>42488</v>
      </c>
    </row>
    <row r="3377" spans="1:1">
      <c r="A3377" t="s">
        <v>42501</v>
      </c>
    </row>
    <row r="3378" spans="1:1">
      <c r="A3378" t="s">
        <v>41057</v>
      </c>
    </row>
    <row r="3379" spans="1:1">
      <c r="A3379" t="s">
        <v>41057</v>
      </c>
    </row>
    <row r="3380" spans="1:1">
      <c r="A3380" t="s">
        <v>41057</v>
      </c>
    </row>
    <row r="3381" spans="1:1">
      <c r="A3381" t="s">
        <v>41057</v>
      </c>
    </row>
    <row r="3382" spans="1:1">
      <c r="A3382" t="e">
        <v>#NAME?</v>
      </c>
    </row>
    <row r="3383" spans="1:1">
      <c r="A3383" t="s">
        <v>42502</v>
      </c>
    </row>
    <row r="3384" spans="1:1">
      <c r="A3384" t="s">
        <v>42491</v>
      </c>
    </row>
    <row r="3385" spans="1:1">
      <c r="A3385" t="s">
        <v>42503</v>
      </c>
    </row>
    <row r="3386" spans="1:1">
      <c r="A3386" t="s">
        <v>41057</v>
      </c>
    </row>
    <row r="3387" spans="1:1">
      <c r="A3387" t="s">
        <v>42504</v>
      </c>
    </row>
    <row r="3388" spans="1:1">
      <c r="A3388" t="s">
        <v>42505</v>
      </c>
    </row>
    <row r="3389" spans="1:1">
      <c r="A3389" t="s">
        <v>42495</v>
      </c>
    </row>
    <row r="3390" spans="1:1">
      <c r="A3390" t="s">
        <v>42496</v>
      </c>
    </row>
    <row r="3391" spans="1:1">
      <c r="A3391" t="s">
        <v>42497</v>
      </c>
    </row>
    <row r="3392" spans="1:1">
      <c r="A3392" t="s">
        <v>42498</v>
      </c>
    </row>
    <row r="3393" spans="1:1">
      <c r="A3393" t="s">
        <v>41057</v>
      </c>
    </row>
    <row r="3394" spans="1:1">
      <c r="A3394" t="s">
        <v>41057</v>
      </c>
    </row>
    <row r="3395" spans="1:1">
      <c r="A3395" t="s">
        <v>42499</v>
      </c>
    </row>
    <row r="3396" spans="1:1">
      <c r="A3396" t="s">
        <v>41057</v>
      </c>
    </row>
    <row r="3397" spans="1:1">
      <c r="A3397" t="s">
        <v>41057</v>
      </c>
    </row>
    <row r="3398" spans="1:1">
      <c r="A3398" t="s">
        <v>41057</v>
      </c>
    </row>
    <row r="3399" spans="1:1">
      <c r="A3399" t="s">
        <v>41074</v>
      </c>
    </row>
    <row r="3400" spans="1:1">
      <c r="A3400" t="s">
        <v>40806</v>
      </c>
    </row>
    <row r="3401" spans="1:1">
      <c r="A3401" t="s">
        <v>41057</v>
      </c>
    </row>
    <row r="3402" spans="1:1">
      <c r="A3402" t="s">
        <v>41057</v>
      </c>
    </row>
    <row r="3403" spans="1:1">
      <c r="A3403" t="s">
        <v>41057</v>
      </c>
    </row>
    <row r="3404" spans="1:1">
      <c r="A3404" t="s">
        <v>41057</v>
      </c>
    </row>
    <row r="3405" spans="1:1">
      <c r="A3405" t="s">
        <v>41057</v>
      </c>
    </row>
    <row r="3406" spans="1:1">
      <c r="A3406" t="e">
        <v>#NAME?</v>
      </c>
    </row>
    <row r="3407" spans="1:1">
      <c r="A3407" t="s">
        <v>42506</v>
      </c>
    </row>
    <row r="3408" spans="1:1">
      <c r="A3408" t="s">
        <v>41057</v>
      </c>
    </row>
    <row r="3409" spans="1:1">
      <c r="A3409" t="s">
        <v>42507</v>
      </c>
    </row>
    <row r="3410" spans="1:1">
      <c r="A3410" t="s">
        <v>42508</v>
      </c>
    </row>
    <row r="3411" spans="1:1">
      <c r="A3411" t="s">
        <v>41057</v>
      </c>
    </row>
    <row r="3412" spans="1:1">
      <c r="A3412" t="s">
        <v>41057</v>
      </c>
    </row>
    <row r="3413" spans="1:1">
      <c r="A3413" t="s">
        <v>41057</v>
      </c>
    </row>
    <row r="3414" spans="1:1">
      <c r="A3414" t="s">
        <v>41057</v>
      </c>
    </row>
    <row r="3415" spans="1:1">
      <c r="A3415" t="e">
        <v>#NAME?</v>
      </c>
    </row>
    <row r="3416" spans="1:1">
      <c r="A3416" t="s">
        <v>42509</v>
      </c>
    </row>
    <row r="3417" spans="1:1">
      <c r="A3417" t="s">
        <v>42510</v>
      </c>
    </row>
    <row r="3418" spans="1:1">
      <c r="A3418" t="s">
        <v>42511</v>
      </c>
    </row>
    <row r="3419" spans="1:1">
      <c r="A3419" t="s">
        <v>42512</v>
      </c>
    </row>
    <row r="3420" spans="1:1">
      <c r="A3420" t="s">
        <v>42513</v>
      </c>
    </row>
    <row r="3421" spans="1:1">
      <c r="A3421" t="s">
        <v>42514</v>
      </c>
    </row>
    <row r="3422" spans="1:1">
      <c r="A3422" t="s">
        <v>42515</v>
      </c>
    </row>
    <row r="3423" spans="1:1">
      <c r="A3423" t="s">
        <v>42516</v>
      </c>
    </row>
    <row r="3424" spans="1:1">
      <c r="A3424" t="s">
        <v>42517</v>
      </c>
    </row>
    <row r="3425" spans="1:1">
      <c r="A3425" t="s">
        <v>42518</v>
      </c>
    </row>
    <row r="3426" spans="1:1">
      <c r="A3426" t="s">
        <v>42519</v>
      </c>
    </row>
    <row r="3427" spans="1:1">
      <c r="A3427" t="s">
        <v>42520</v>
      </c>
    </row>
    <row r="3428" spans="1:1">
      <c r="A3428" t="s">
        <v>42521</v>
      </c>
    </row>
    <row r="3429" spans="1:1">
      <c r="A3429" t="s">
        <v>42522</v>
      </c>
    </row>
    <row r="3430" spans="1:1">
      <c r="A3430" t="s">
        <v>42523</v>
      </c>
    </row>
    <row r="3431" spans="1:1">
      <c r="A3431" t="s">
        <v>41057</v>
      </c>
    </row>
    <row r="3432" spans="1:1">
      <c r="A3432" t="s">
        <v>41074</v>
      </c>
    </row>
    <row r="3433" spans="1:1">
      <c r="A3433" t="s">
        <v>40813</v>
      </c>
    </row>
    <row r="3434" spans="1:1">
      <c r="A3434" t="e">
        <v>#NAME?</v>
      </c>
    </row>
    <row r="3435" spans="1:1">
      <c r="A3435" t="s">
        <v>42524</v>
      </c>
    </row>
    <row r="3436" spans="1:1">
      <c r="A3436" t="s">
        <v>41057</v>
      </c>
    </row>
    <row r="3437" spans="1:1">
      <c r="A3437" t="s">
        <v>41057</v>
      </c>
    </row>
    <row r="3438" spans="1:1">
      <c r="A3438" t="s">
        <v>41057</v>
      </c>
    </row>
    <row r="3439" spans="1:1">
      <c r="A3439" t="e">
        <v>#NAME?</v>
      </c>
    </row>
    <row r="3440" spans="1:1">
      <c r="A3440" t="s">
        <v>42525</v>
      </c>
    </row>
    <row r="3441" spans="1:1">
      <c r="A3441" t="s">
        <v>41057</v>
      </c>
    </row>
    <row r="3442" spans="1:1">
      <c r="A3442" t="s">
        <v>42526</v>
      </c>
    </row>
    <row r="3443" spans="1:1">
      <c r="A3443" t="s">
        <v>42508</v>
      </c>
    </row>
    <row r="3444" spans="1:1">
      <c r="A3444" t="s">
        <v>41057</v>
      </c>
    </row>
    <row r="3445" spans="1:1">
      <c r="A3445" t="s">
        <v>41057</v>
      </c>
    </row>
    <row r="3446" spans="1:1">
      <c r="A3446" t="s">
        <v>41057</v>
      </c>
    </row>
    <row r="3447" spans="1:1">
      <c r="A3447" t="s">
        <v>41057</v>
      </c>
    </row>
    <row r="3448" spans="1:1">
      <c r="A3448" t="e">
        <v>#NAME?</v>
      </c>
    </row>
    <row r="3449" spans="1:1">
      <c r="A3449" t="s">
        <v>42527</v>
      </c>
    </row>
    <row r="3450" spans="1:1">
      <c r="A3450" t="s">
        <v>42528</v>
      </c>
    </row>
    <row r="3451" spans="1:1">
      <c r="A3451" t="s">
        <v>42529</v>
      </c>
    </row>
    <row r="3452" spans="1:1">
      <c r="A3452" t="s">
        <v>42530</v>
      </c>
    </row>
    <row r="3453" spans="1:1">
      <c r="A3453" t="s">
        <v>42531</v>
      </c>
    </row>
    <row r="3454" spans="1:1">
      <c r="A3454" t="s">
        <v>42532</v>
      </c>
    </row>
    <row r="3455" spans="1:1">
      <c r="A3455" t="s">
        <v>42533</v>
      </c>
    </row>
    <row r="3456" spans="1:1">
      <c r="A3456" t="s">
        <v>42516</v>
      </c>
    </row>
    <row r="3457" spans="1:1">
      <c r="A3457" t="s">
        <v>42534</v>
      </c>
    </row>
    <row r="3458" spans="1:1">
      <c r="A3458" t="s">
        <v>42535</v>
      </c>
    </row>
    <row r="3459" spans="1:1">
      <c r="A3459" t="s">
        <v>42536</v>
      </c>
    </row>
    <row r="3460" spans="1:1">
      <c r="A3460" t="s">
        <v>42537</v>
      </c>
    </row>
    <row r="3461" spans="1:1">
      <c r="A3461" t="s">
        <v>42538</v>
      </c>
    </row>
    <row r="3462" spans="1:1">
      <c r="A3462" t="s">
        <v>41057</v>
      </c>
    </row>
    <row r="3463" spans="1:1">
      <c r="A3463" t="s">
        <v>41057</v>
      </c>
    </row>
    <row r="3464" spans="1:1">
      <c r="A3464" t="s">
        <v>41057</v>
      </c>
    </row>
    <row r="3465" spans="1:1">
      <c r="A3465" t="s">
        <v>41074</v>
      </c>
    </row>
    <row r="3466" spans="1:1">
      <c r="A3466" t="s">
        <v>40819</v>
      </c>
    </row>
    <row r="3467" spans="1:1">
      <c r="A3467" t="e">
        <v>#NAME?</v>
      </c>
    </row>
    <row r="3468" spans="1:1">
      <c r="A3468" t="s">
        <v>42539</v>
      </c>
    </row>
    <row r="3469" spans="1:1">
      <c r="A3469" t="s">
        <v>41057</v>
      </c>
    </row>
    <row r="3470" spans="1:1">
      <c r="A3470" t="s">
        <v>41057</v>
      </c>
    </row>
    <row r="3471" spans="1:1">
      <c r="A3471" t="s">
        <v>41057</v>
      </c>
    </row>
    <row r="3472" spans="1:1">
      <c r="A3472" t="e">
        <v>#NAME?</v>
      </c>
    </row>
    <row r="3473" spans="1:1">
      <c r="A3473" t="s">
        <v>42540</v>
      </c>
    </row>
    <row r="3474" spans="1:1">
      <c r="A3474" t="s">
        <v>41057</v>
      </c>
    </row>
    <row r="3475" spans="1:1">
      <c r="A3475" t="s">
        <v>42541</v>
      </c>
    </row>
    <row r="3476" spans="1:1">
      <c r="A3476" t="s">
        <v>41554</v>
      </c>
    </row>
    <row r="3477" spans="1:1">
      <c r="A3477" t="s">
        <v>41057</v>
      </c>
    </row>
    <row r="3478" spans="1:1">
      <c r="A3478" t="s">
        <v>41057</v>
      </c>
    </row>
    <row r="3479" spans="1:1">
      <c r="A3479" t="s">
        <v>41057</v>
      </c>
    </row>
    <row r="3480" spans="1:1">
      <c r="A3480" t="s">
        <v>41057</v>
      </c>
    </row>
    <row r="3481" spans="1:1">
      <c r="A3481" t="e">
        <v>#NAME?</v>
      </c>
    </row>
    <row r="3482" spans="1:1">
      <c r="A3482" t="s">
        <v>42542</v>
      </c>
    </row>
    <row r="3483" spans="1:1">
      <c r="A3483" t="s">
        <v>42543</v>
      </c>
    </row>
    <row r="3484" spans="1:1">
      <c r="A3484" t="s">
        <v>42544</v>
      </c>
    </row>
    <row r="3485" spans="1:1">
      <c r="A3485" t="s">
        <v>42545</v>
      </c>
    </row>
    <row r="3486" spans="1:1">
      <c r="A3486" t="s">
        <v>42546</v>
      </c>
    </row>
    <row r="3487" spans="1:1">
      <c r="A3487" t="s">
        <v>42547</v>
      </c>
    </row>
    <row r="3488" spans="1:1">
      <c r="A3488" t="s">
        <v>42548</v>
      </c>
    </row>
    <row r="3489" spans="1:1">
      <c r="A3489" t="s">
        <v>42549</v>
      </c>
    </row>
    <row r="3490" spans="1:1">
      <c r="A3490" t="s">
        <v>42550</v>
      </c>
    </row>
    <row r="3491" spans="1:1">
      <c r="A3491" t="s">
        <v>42551</v>
      </c>
    </row>
    <row r="3492" spans="1:1">
      <c r="A3492" t="s">
        <v>42552</v>
      </c>
    </row>
    <row r="3493" spans="1:1">
      <c r="A3493" t="s">
        <v>42553</v>
      </c>
    </row>
    <row r="3494" spans="1:1">
      <c r="A3494" t="s">
        <v>42554</v>
      </c>
    </row>
    <row r="3495" spans="1:1">
      <c r="A3495" t="s">
        <v>41057</v>
      </c>
    </row>
    <row r="3496" spans="1:1">
      <c r="A3496" t="s">
        <v>41057</v>
      </c>
    </row>
    <row r="3497" spans="1:1">
      <c r="A3497" t="s">
        <v>41057</v>
      </c>
    </row>
    <row r="3498" spans="1:1">
      <c r="A3498" t="s">
        <v>41074</v>
      </c>
    </row>
    <row r="3499" spans="1:1">
      <c r="A3499" t="s">
        <v>41017</v>
      </c>
    </row>
    <row r="3500" spans="1:1">
      <c r="A3500" t="s">
        <v>41057</v>
      </c>
    </row>
    <row r="3501" spans="1:1">
      <c r="A3501" t="s">
        <v>41057</v>
      </c>
    </row>
    <row r="3502" spans="1:1">
      <c r="A3502" t="s">
        <v>41057</v>
      </c>
    </row>
    <row r="3503" spans="1:1">
      <c r="A3503" t="s">
        <v>41057</v>
      </c>
    </row>
    <row r="3504" spans="1:1">
      <c r="A3504" t="s">
        <v>41057</v>
      </c>
    </row>
    <row r="3505" spans="1:1">
      <c r="A3505" t="s">
        <v>41057</v>
      </c>
    </row>
    <row r="3506" spans="1:1">
      <c r="A3506" t="s">
        <v>42555</v>
      </c>
    </row>
    <row r="3507" spans="1:1">
      <c r="A3507" t="s">
        <v>41057</v>
      </c>
    </row>
    <row r="3508" spans="1:1">
      <c r="A3508" t="s">
        <v>42556</v>
      </c>
    </row>
    <row r="3509" spans="1:1">
      <c r="A3509" t="s">
        <v>42557</v>
      </c>
    </row>
    <row r="3510" spans="1:1">
      <c r="A3510" t="s">
        <v>41057</v>
      </c>
    </row>
    <row r="3511" spans="1:1">
      <c r="A3511" t="s">
        <v>41057</v>
      </c>
    </row>
    <row r="3512" spans="1:1">
      <c r="A3512" t="s">
        <v>41057</v>
      </c>
    </row>
    <row r="3513" spans="1:1">
      <c r="A3513" t="s">
        <v>41057</v>
      </c>
    </row>
    <row r="3514" spans="1:1">
      <c r="A3514" t="e">
        <v>#NAME?</v>
      </c>
    </row>
    <row r="3515" spans="1:1">
      <c r="A3515" t="s">
        <v>42558</v>
      </c>
    </row>
    <row r="3516" spans="1:1">
      <c r="A3516" t="s">
        <v>42559</v>
      </c>
    </row>
    <row r="3517" spans="1:1">
      <c r="A3517" t="s">
        <v>42560</v>
      </c>
    </row>
    <row r="3518" spans="1:1">
      <c r="A3518" t="s">
        <v>42561</v>
      </c>
    </row>
    <row r="3519" spans="1:1">
      <c r="A3519" t="e">
        <v>#NAME?</v>
      </c>
    </row>
    <row r="3520" spans="1:1">
      <c r="A3520" t="s">
        <v>42562</v>
      </c>
    </row>
    <row r="3521" spans="1:1">
      <c r="A3521" t="s">
        <v>42563</v>
      </c>
    </row>
    <row r="3522" spans="1:1">
      <c r="A3522" t="s">
        <v>42564</v>
      </c>
    </row>
    <row r="3523" spans="1:1">
      <c r="A3523" t="s">
        <v>42565</v>
      </c>
    </row>
    <row r="3524" spans="1:1">
      <c r="A3524" t="s">
        <v>42566</v>
      </c>
    </row>
    <row r="3525" spans="1:1">
      <c r="A3525" t="s">
        <v>42567</v>
      </c>
    </row>
    <row r="3526" spans="1:1">
      <c r="A3526" t="s">
        <v>41057</v>
      </c>
    </row>
    <row r="3527" spans="1:1">
      <c r="A3527" t="s">
        <v>42568</v>
      </c>
    </row>
    <row r="3528" spans="1:1">
      <c r="A3528" t="s">
        <v>41057</v>
      </c>
    </row>
    <row r="3529" spans="1:1">
      <c r="A3529" t="s">
        <v>41057</v>
      </c>
    </row>
    <row r="3530" spans="1:1">
      <c r="A3530" t="s">
        <v>41057</v>
      </c>
    </row>
    <row r="3531" spans="1:1">
      <c r="A3531" t="e">
        <v>#NAME?</v>
      </c>
    </row>
    <row r="3532" spans="1:1">
      <c r="A3532" t="s">
        <v>41033</v>
      </c>
    </row>
    <row r="3533" spans="1:1">
      <c r="A3533" t="e">
        <v>#NAME?</v>
      </c>
    </row>
    <row r="3534" spans="1:1">
      <c r="A3534" t="s">
        <v>42569</v>
      </c>
    </row>
    <row r="3535" spans="1:1">
      <c r="A3535" t="e">
        <v>#NAME?</v>
      </c>
    </row>
    <row r="3536" spans="1:1">
      <c r="A3536" t="s">
        <v>42570</v>
      </c>
    </row>
    <row r="3537" spans="1:1">
      <c r="A3537" t="e">
        <v>#NAME?</v>
      </c>
    </row>
    <row r="3538" spans="1:1">
      <c r="A3538" t="s">
        <v>42571</v>
      </c>
    </row>
    <row r="3539" spans="1:1">
      <c r="A3539" t="s">
        <v>42572</v>
      </c>
    </row>
    <row r="3540" spans="1:1">
      <c r="A3540" t="s">
        <v>41057</v>
      </c>
    </row>
    <row r="3541" spans="1:1">
      <c r="A3541" t="s">
        <v>42573</v>
      </c>
    </row>
    <row r="3542" spans="1:1">
      <c r="A3542" t="s">
        <v>41554</v>
      </c>
    </row>
    <row r="3543" spans="1:1">
      <c r="A3543" t="s">
        <v>41057</v>
      </c>
    </row>
    <row r="3544" spans="1:1">
      <c r="A3544" t="s">
        <v>41057</v>
      </c>
    </row>
    <row r="3545" spans="1:1">
      <c r="A3545" t="s">
        <v>41057</v>
      </c>
    </row>
    <row r="3546" spans="1:1">
      <c r="A3546" t="s">
        <v>41057</v>
      </c>
    </row>
    <row r="3547" spans="1:1">
      <c r="A3547" t="e">
        <v>#NAME?</v>
      </c>
    </row>
    <row r="3548" spans="1:1">
      <c r="A3548" t="s">
        <v>42574</v>
      </c>
    </row>
    <row r="3549" spans="1:1">
      <c r="A3549" t="s">
        <v>42575</v>
      </c>
    </row>
    <row r="3550" spans="1:1">
      <c r="A3550" t="s">
        <v>42576</v>
      </c>
    </row>
    <row r="3551" spans="1:1">
      <c r="A3551" t="s">
        <v>42577</v>
      </c>
    </row>
    <row r="3552" spans="1:1">
      <c r="A3552" t="e">
        <v>#NAME?</v>
      </c>
    </row>
    <row r="3553" spans="1:1">
      <c r="A3553" t="s">
        <v>42578</v>
      </c>
    </row>
    <row r="3554" spans="1:1">
      <c r="A3554" t="s">
        <v>42579</v>
      </c>
    </row>
    <row r="3555" spans="1:1">
      <c r="A3555" t="s">
        <v>42580</v>
      </c>
    </row>
    <row r="3556" spans="1:1">
      <c r="A3556" t="s">
        <v>42581</v>
      </c>
    </row>
    <row r="3557" spans="1:1">
      <c r="A3557" t="e">
        <v>#NAME?</v>
      </c>
    </row>
    <row r="3558" spans="1:1">
      <c r="A3558" t="s">
        <v>42582</v>
      </c>
    </row>
    <row r="3559" spans="1:1">
      <c r="A3559" t="s">
        <v>42583</v>
      </c>
    </row>
    <row r="3560" spans="1:1">
      <c r="A3560" t="s">
        <v>42584</v>
      </c>
    </row>
    <row r="3561" spans="1:1">
      <c r="A3561" t="s">
        <v>41057</v>
      </c>
    </row>
    <row r="3562" spans="1:1">
      <c r="A3562" t="s">
        <v>41057</v>
      </c>
    </row>
    <row r="3563" spans="1:1">
      <c r="A3563" t="s">
        <v>41057</v>
      </c>
    </row>
    <row r="3564" spans="1:1">
      <c r="A3564" t="s">
        <v>41074</v>
      </c>
    </row>
    <row r="3565" spans="1:1">
      <c r="A3565" t="s">
        <v>40825</v>
      </c>
    </row>
    <row r="3566" spans="1:1">
      <c r="A3566" t="e">
        <v>#NAME?</v>
      </c>
    </row>
    <row r="3567" spans="1:1">
      <c r="A3567" t="s">
        <v>41534</v>
      </c>
    </row>
    <row r="3568" spans="1:1">
      <c r="A3568" t="s">
        <v>41057</v>
      </c>
    </row>
    <row r="3569" spans="1:1">
      <c r="A3569" t="s">
        <v>41057</v>
      </c>
    </row>
    <row r="3570" spans="1:1">
      <c r="A3570" t="s">
        <v>41057</v>
      </c>
    </row>
    <row r="3571" spans="1:1">
      <c r="A3571" t="e">
        <v>#NAME?</v>
      </c>
    </row>
    <row r="3572" spans="1:1">
      <c r="A3572" t="s">
        <v>42585</v>
      </c>
    </row>
    <row r="3573" spans="1:1">
      <c r="A3573" t="s">
        <v>41057</v>
      </c>
    </row>
    <row r="3574" spans="1:1">
      <c r="A3574" t="s">
        <v>42586</v>
      </c>
    </row>
    <row r="3575" spans="1:1">
      <c r="A3575" t="s">
        <v>41554</v>
      </c>
    </row>
    <row r="3576" spans="1:1">
      <c r="A3576" t="s">
        <v>41057</v>
      </c>
    </row>
    <row r="3577" spans="1:1">
      <c r="A3577" t="s">
        <v>41057</v>
      </c>
    </row>
    <row r="3578" spans="1:1">
      <c r="A3578" t="s">
        <v>41057</v>
      </c>
    </row>
    <row r="3579" spans="1:1">
      <c r="A3579" t="s">
        <v>41057</v>
      </c>
    </row>
    <row r="3580" spans="1:1">
      <c r="A3580" t="e">
        <v>#NAME?</v>
      </c>
    </row>
    <row r="3581" spans="1:1">
      <c r="A3581" t="s">
        <v>42587</v>
      </c>
    </row>
    <row r="3582" spans="1:1">
      <c r="A3582" t="s">
        <v>42588</v>
      </c>
    </row>
    <row r="3583" spans="1:1">
      <c r="A3583" t="s">
        <v>42589</v>
      </c>
    </row>
    <row r="3584" spans="1:1">
      <c r="A3584" t="s">
        <v>42590</v>
      </c>
    </row>
    <row r="3585" spans="1:1">
      <c r="A3585" t="s">
        <v>42591</v>
      </c>
    </row>
    <row r="3586" spans="1:1">
      <c r="A3586" t="s">
        <v>42592</v>
      </c>
    </row>
    <row r="3587" spans="1:1">
      <c r="A3587" t="s">
        <v>42593</v>
      </c>
    </row>
    <row r="3588" spans="1:1">
      <c r="A3588" t="s">
        <v>42594</v>
      </c>
    </row>
    <row r="3589" spans="1:1">
      <c r="A3589" t="s">
        <v>42595</v>
      </c>
    </row>
    <row r="3590" spans="1:1">
      <c r="A3590" t="s">
        <v>42596</v>
      </c>
    </row>
    <row r="3591" spans="1:1">
      <c r="A3591" t="e">
        <v>#NAME?</v>
      </c>
    </row>
    <row r="3592" spans="1:1">
      <c r="A3592" t="s">
        <v>42597</v>
      </c>
    </row>
    <row r="3593" spans="1:1">
      <c r="A3593" t="s">
        <v>42598</v>
      </c>
    </row>
    <row r="3594" spans="1:1">
      <c r="A3594" t="s">
        <v>41057</v>
      </c>
    </row>
    <row r="3595" spans="1:1">
      <c r="A3595" t="s">
        <v>41057</v>
      </c>
    </row>
    <row r="3596" spans="1:1">
      <c r="A3596" t="s">
        <v>41057</v>
      </c>
    </row>
    <row r="3597" spans="1:1">
      <c r="A3597" t="s">
        <v>41074</v>
      </c>
    </row>
    <row r="3598" spans="1:1">
      <c r="A3598" t="s">
        <v>40832</v>
      </c>
    </row>
    <row r="3599" spans="1:1">
      <c r="A3599" t="s">
        <v>41057</v>
      </c>
    </row>
    <row r="3600" spans="1:1">
      <c r="A3600" t="s">
        <v>41057</v>
      </c>
    </row>
    <row r="3601" spans="1:1">
      <c r="A3601" t="s">
        <v>41057</v>
      </c>
    </row>
    <row r="3602" spans="1:1">
      <c r="A3602" t="s">
        <v>41057</v>
      </c>
    </row>
    <row r="3603" spans="1:1">
      <c r="A3603" t="s">
        <v>41057</v>
      </c>
    </row>
    <row r="3604" spans="1:1">
      <c r="A3604" t="e">
        <v>#NAME?</v>
      </c>
    </row>
    <row r="3605" spans="1:1">
      <c r="A3605" t="s">
        <v>42599</v>
      </c>
    </row>
    <row r="3606" spans="1:1">
      <c r="A3606" t="s">
        <v>41057</v>
      </c>
    </row>
    <row r="3607" spans="1:1">
      <c r="A3607" t="s">
        <v>42600</v>
      </c>
    </row>
    <row r="3608" spans="1:1">
      <c r="A3608" t="s">
        <v>42601</v>
      </c>
    </row>
    <row r="3609" spans="1:1">
      <c r="A3609" t="s">
        <v>41057</v>
      </c>
    </row>
    <row r="3610" spans="1:1">
      <c r="A3610" t="s">
        <v>41057</v>
      </c>
    </row>
    <row r="3611" spans="1:1">
      <c r="A3611" t="s">
        <v>41057</v>
      </c>
    </row>
    <row r="3612" spans="1:1">
      <c r="A3612" t="s">
        <v>41057</v>
      </c>
    </row>
    <row r="3613" spans="1:1">
      <c r="A3613" t="e">
        <v>#NAME?</v>
      </c>
    </row>
    <row r="3614" spans="1:1">
      <c r="A3614" t="s">
        <v>42602</v>
      </c>
    </row>
    <row r="3615" spans="1:1">
      <c r="A3615" t="s">
        <v>42603</v>
      </c>
    </row>
    <row r="3616" spans="1:1">
      <c r="A3616" t="s">
        <v>42604</v>
      </c>
    </row>
    <row r="3617" spans="1:1">
      <c r="A3617" t="s">
        <v>42605</v>
      </c>
    </row>
    <row r="3618" spans="1:1">
      <c r="A3618" t="e">
        <v>#NAME?</v>
      </c>
    </row>
    <row r="3619" spans="1:1">
      <c r="A3619" t="s">
        <v>42606</v>
      </c>
    </row>
    <row r="3620" spans="1:1">
      <c r="A3620" t="s">
        <v>42607</v>
      </c>
    </row>
    <row r="3621" spans="1:1">
      <c r="A3621" t="s">
        <v>42608</v>
      </c>
    </row>
    <row r="3622" spans="1:1">
      <c r="A3622" t="s">
        <v>42609</v>
      </c>
    </row>
    <row r="3623" spans="1:1">
      <c r="A3623" t="s">
        <v>42610</v>
      </c>
    </row>
    <row r="3624" spans="1:1">
      <c r="A3624" t="s">
        <v>42611</v>
      </c>
    </row>
    <row r="3625" spans="1:1">
      <c r="A3625" t="s">
        <v>42612</v>
      </c>
    </row>
    <row r="3626" spans="1:1">
      <c r="A3626" t="s">
        <v>42613</v>
      </c>
    </row>
    <row r="3627" spans="1:1">
      <c r="A3627" t="s">
        <v>42614</v>
      </c>
    </row>
    <row r="3628" spans="1:1">
      <c r="A3628" t="s">
        <v>42615</v>
      </c>
    </row>
    <row r="3629" spans="1:1">
      <c r="A3629" t="s">
        <v>41057</v>
      </c>
    </row>
    <row r="3630" spans="1:1">
      <c r="A3630" t="s">
        <v>41074</v>
      </c>
    </row>
    <row r="3631" spans="1:1">
      <c r="A3631" t="s">
        <v>41027</v>
      </c>
    </row>
    <row r="3632" spans="1:1">
      <c r="A3632" t="e">
        <v>#NAME?</v>
      </c>
    </row>
    <row r="3633" spans="1:1">
      <c r="A3633" t="s">
        <v>42616</v>
      </c>
    </row>
    <row r="3634" spans="1:1">
      <c r="A3634" t="s">
        <v>41057</v>
      </c>
    </row>
    <row r="3635" spans="1:1">
      <c r="A3635" t="s">
        <v>41057</v>
      </c>
    </row>
    <row r="3636" spans="1:1">
      <c r="A3636" t="s">
        <v>41057</v>
      </c>
    </row>
    <row r="3637" spans="1:1">
      <c r="A3637" t="e">
        <v>#NAME?</v>
      </c>
    </row>
    <row r="3638" spans="1:1">
      <c r="A3638" t="s">
        <v>42617</v>
      </c>
    </row>
    <row r="3639" spans="1:1">
      <c r="A3639" t="s">
        <v>41057</v>
      </c>
    </row>
    <row r="3640" spans="1:1">
      <c r="A3640" t="s">
        <v>42618</v>
      </c>
    </row>
    <row r="3641" spans="1:1">
      <c r="A3641" t="s">
        <v>42619</v>
      </c>
    </row>
    <row r="3642" spans="1:1">
      <c r="A3642" t="s">
        <v>41057</v>
      </c>
    </row>
    <row r="3643" spans="1:1">
      <c r="A3643" t="s">
        <v>41057</v>
      </c>
    </row>
    <row r="3644" spans="1:1">
      <c r="A3644" t="s">
        <v>41057</v>
      </c>
    </row>
    <row r="3645" spans="1:1">
      <c r="A3645" t="s">
        <v>41057</v>
      </c>
    </row>
    <row r="3646" spans="1:1">
      <c r="A3646" t="e">
        <v>#NAME?</v>
      </c>
    </row>
    <row r="3647" spans="1:1">
      <c r="A3647" t="s">
        <v>42620</v>
      </c>
    </row>
    <row r="3648" spans="1:1">
      <c r="A3648" t="s">
        <v>42621</v>
      </c>
    </row>
    <row r="3649" spans="1:1">
      <c r="A3649" t="s">
        <v>42622</v>
      </c>
    </row>
    <row r="3650" spans="1:1">
      <c r="A3650" t="s">
        <v>42623</v>
      </c>
    </row>
    <row r="3651" spans="1:1">
      <c r="A3651" t="e">
        <v>#NAME?</v>
      </c>
    </row>
    <row r="3652" spans="1:1">
      <c r="A3652" t="s">
        <v>42624</v>
      </c>
    </row>
    <row r="3653" spans="1:1">
      <c r="A3653" t="s">
        <v>42625</v>
      </c>
    </row>
    <row r="3654" spans="1:1">
      <c r="A3654" t="s">
        <v>42626</v>
      </c>
    </row>
    <row r="3655" spans="1:1">
      <c r="A3655" t="s">
        <v>42627</v>
      </c>
    </row>
    <row r="3656" spans="1:1">
      <c r="A3656" t="e">
        <v>#NAME?</v>
      </c>
    </row>
    <row r="3657" spans="1:1">
      <c r="A3657" t="s">
        <v>42628</v>
      </c>
    </row>
    <row r="3658" spans="1:1">
      <c r="A3658" t="s">
        <v>42629</v>
      </c>
    </row>
    <row r="3659" spans="1:1">
      <c r="A3659" t="s">
        <v>42630</v>
      </c>
    </row>
    <row r="3660" spans="1:1">
      <c r="A3660" t="s">
        <v>41057</v>
      </c>
    </row>
    <row r="3661" spans="1:1">
      <c r="A3661" t="s">
        <v>41057</v>
      </c>
    </row>
    <row r="3662" spans="1:1">
      <c r="A3662" t="s">
        <v>41057</v>
      </c>
    </row>
    <row r="3663" spans="1:1">
      <c r="A3663" t="s">
        <v>41074</v>
      </c>
    </row>
    <row r="3664" spans="1:1">
      <c r="A3664" t="s">
        <v>40838</v>
      </c>
    </row>
    <row r="3665" spans="1:1">
      <c r="A3665" t="s">
        <v>42631</v>
      </c>
    </row>
    <row r="3666" spans="1:1">
      <c r="A3666" t="s">
        <v>41057</v>
      </c>
    </row>
    <row r="3667" spans="1:1">
      <c r="A3667" t="s">
        <v>41057</v>
      </c>
    </row>
    <row r="3668" spans="1:1">
      <c r="A3668" t="s">
        <v>41057</v>
      </c>
    </row>
    <row r="3669" spans="1:1">
      <c r="A3669" t="s">
        <v>41057</v>
      </c>
    </row>
    <row r="3670" spans="1:1">
      <c r="A3670" t="e">
        <v>#NAME?</v>
      </c>
    </row>
    <row r="3671" spans="1:1">
      <c r="A3671" t="s">
        <v>42632</v>
      </c>
    </row>
    <row r="3672" spans="1:1">
      <c r="A3672" t="s">
        <v>41057</v>
      </c>
    </row>
    <row r="3673" spans="1:1">
      <c r="A3673" t="s">
        <v>42633</v>
      </c>
    </row>
    <row r="3674" spans="1:1">
      <c r="A3674" t="s">
        <v>42634</v>
      </c>
    </row>
    <row r="3675" spans="1:1">
      <c r="A3675" t="s">
        <v>41057</v>
      </c>
    </row>
    <row r="3676" spans="1:1">
      <c r="A3676" t="s">
        <v>41057</v>
      </c>
    </row>
    <row r="3677" spans="1:1">
      <c r="A3677" t="s">
        <v>41057</v>
      </c>
    </row>
    <row r="3678" spans="1:1">
      <c r="A3678" t="s">
        <v>41057</v>
      </c>
    </row>
    <row r="3679" spans="1:1">
      <c r="A3679" t="e">
        <v>#NAME?</v>
      </c>
    </row>
    <row r="3680" spans="1:1">
      <c r="A3680" t="s">
        <v>42635</v>
      </c>
    </row>
    <row r="3681" spans="1:1">
      <c r="A3681" t="s">
        <v>42636</v>
      </c>
    </row>
    <row r="3682" spans="1:1">
      <c r="A3682" t="s">
        <v>42637</v>
      </c>
    </row>
    <row r="3683" spans="1:1">
      <c r="A3683" t="s">
        <v>42638</v>
      </c>
    </row>
    <row r="3684" spans="1:1">
      <c r="A3684" t="e">
        <v>#NAME?</v>
      </c>
    </row>
    <row r="3685" spans="1:1">
      <c r="A3685" t="s">
        <v>42639</v>
      </c>
    </row>
    <row r="3686" spans="1:1">
      <c r="A3686" t="s">
        <v>42640</v>
      </c>
    </row>
    <row r="3687" spans="1:1">
      <c r="A3687" t="s">
        <v>42641</v>
      </c>
    </row>
    <row r="3688" spans="1:1">
      <c r="A3688" t="s">
        <v>42642</v>
      </c>
    </row>
    <row r="3689" spans="1:1">
      <c r="A3689" t="s">
        <v>42643</v>
      </c>
    </row>
    <row r="3690" spans="1:1">
      <c r="A3690" t="e">
        <v>#NAME?</v>
      </c>
    </row>
    <row r="3691" spans="1:1">
      <c r="A3691" t="s">
        <v>42644</v>
      </c>
    </row>
    <row r="3692" spans="1:1">
      <c r="A3692" t="s">
        <v>42645</v>
      </c>
    </row>
    <row r="3693" spans="1:1">
      <c r="A3693" t="s">
        <v>42646</v>
      </c>
    </row>
    <row r="3694" spans="1:1">
      <c r="A3694" t="s">
        <v>42647</v>
      </c>
    </row>
    <row r="3695" spans="1:1">
      <c r="A3695" t="s">
        <v>41057</v>
      </c>
    </row>
    <row r="3696" spans="1:1">
      <c r="A3696" t="s">
        <v>41074</v>
      </c>
    </row>
    <row r="3697" spans="1:1">
      <c r="A3697" t="s">
        <v>40846</v>
      </c>
    </row>
    <row r="3698" spans="1:1">
      <c r="A3698" t="e">
        <v>#NAME?</v>
      </c>
    </row>
    <row r="3699" spans="1:1">
      <c r="A3699" t="s">
        <v>42648</v>
      </c>
    </row>
    <row r="3700" spans="1:1">
      <c r="A3700" t="s">
        <v>41057</v>
      </c>
    </row>
    <row r="3701" spans="1:1">
      <c r="A3701" t="s">
        <v>41057</v>
      </c>
    </row>
    <row r="3702" spans="1:1">
      <c r="A3702" t="s">
        <v>41057</v>
      </c>
    </row>
    <row r="3703" spans="1:1">
      <c r="A3703" t="e">
        <v>#NAME?</v>
      </c>
    </row>
    <row r="3704" spans="1:1">
      <c r="A3704" t="s">
        <v>42649</v>
      </c>
    </row>
    <row r="3705" spans="1:1">
      <c r="A3705" t="s">
        <v>41057</v>
      </c>
    </row>
    <row r="3706" spans="1:1">
      <c r="A3706" t="s">
        <v>42650</v>
      </c>
    </row>
    <row r="3707" spans="1:1">
      <c r="A3707" t="s">
        <v>42651</v>
      </c>
    </row>
    <row r="3708" spans="1:1">
      <c r="A3708" t="s">
        <v>41057</v>
      </c>
    </row>
    <row r="3709" spans="1:1">
      <c r="A3709" t="s">
        <v>41057</v>
      </c>
    </row>
    <row r="3710" spans="1:1">
      <c r="A3710" t="s">
        <v>41057</v>
      </c>
    </row>
    <row r="3711" spans="1:1">
      <c r="A3711" t="s">
        <v>41057</v>
      </c>
    </row>
    <row r="3712" spans="1:1">
      <c r="A3712" t="e">
        <v>#NAME?</v>
      </c>
    </row>
    <row r="3713" spans="1:1">
      <c r="A3713" t="s">
        <v>42652</v>
      </c>
    </row>
    <row r="3714" spans="1:1">
      <c r="A3714" t="s">
        <v>42653</v>
      </c>
    </row>
    <row r="3715" spans="1:1">
      <c r="A3715" t="s">
        <v>42654</v>
      </c>
    </row>
    <row r="3716" spans="1:1">
      <c r="A3716" t="e">
        <v>#NAME?</v>
      </c>
    </row>
    <row r="3717" spans="1:1">
      <c r="A3717" t="s">
        <v>42655</v>
      </c>
    </row>
    <row r="3718" spans="1:1">
      <c r="A3718" t="s">
        <v>42656</v>
      </c>
    </row>
    <row r="3719" spans="1:1">
      <c r="A3719" t="s">
        <v>42657</v>
      </c>
    </row>
    <row r="3720" spans="1:1">
      <c r="A3720" t="s">
        <v>42658</v>
      </c>
    </row>
    <row r="3721" spans="1:1">
      <c r="A3721" t="s">
        <v>42659</v>
      </c>
    </row>
    <row r="3722" spans="1:1">
      <c r="A3722" t="s">
        <v>42660</v>
      </c>
    </row>
    <row r="3723" spans="1:1">
      <c r="A3723" t="s">
        <v>42661</v>
      </c>
    </row>
    <row r="3724" spans="1:1">
      <c r="A3724" t="s">
        <v>42662</v>
      </c>
    </row>
    <row r="3725" spans="1:1">
      <c r="A3725" t="s">
        <v>42663</v>
      </c>
    </row>
    <row r="3726" spans="1:1">
      <c r="A3726" t="s">
        <v>42664</v>
      </c>
    </row>
    <row r="3727" spans="1:1">
      <c r="A3727" t="s">
        <v>42665</v>
      </c>
    </row>
    <row r="3728" spans="1:1">
      <c r="A3728" t="s">
        <v>41057</v>
      </c>
    </row>
    <row r="3729" spans="1:1">
      <c r="A3729" t="s">
        <v>41074</v>
      </c>
    </row>
    <row r="3730" spans="1:1">
      <c r="A3730" t="s">
        <v>40896</v>
      </c>
    </row>
    <row r="3731" spans="1:1">
      <c r="A3731" t="s">
        <v>41057</v>
      </c>
    </row>
    <row r="3732" spans="1:1">
      <c r="A3732" t="s">
        <v>41057</v>
      </c>
    </row>
    <row r="3733" spans="1:1">
      <c r="A3733" t="s">
        <v>41057</v>
      </c>
    </row>
    <row r="3734" spans="1:1">
      <c r="A3734" t="s">
        <v>41057</v>
      </c>
    </row>
    <row r="3735" spans="1:1">
      <c r="A3735" t="s">
        <v>41057</v>
      </c>
    </row>
    <row r="3736" spans="1:1">
      <c r="A3736" t="e">
        <v>#NAME?</v>
      </c>
    </row>
    <row r="3737" spans="1:1">
      <c r="A3737" t="s">
        <v>42666</v>
      </c>
    </row>
    <row r="3738" spans="1:1">
      <c r="A3738" t="s">
        <v>42667</v>
      </c>
    </row>
    <row r="3739" spans="1:1">
      <c r="A3739" t="s">
        <v>42668</v>
      </c>
    </row>
    <row r="3740" spans="1:1">
      <c r="A3740" t="s">
        <v>42669</v>
      </c>
    </row>
    <row r="3741" spans="1:1">
      <c r="A3741" t="s">
        <v>41057</v>
      </c>
    </row>
    <row r="3742" spans="1:1">
      <c r="A3742" t="s">
        <v>41057</v>
      </c>
    </row>
    <row r="3743" spans="1:1">
      <c r="A3743" t="s">
        <v>41057</v>
      </c>
    </row>
    <row r="3744" spans="1:1">
      <c r="A3744" t="s">
        <v>41057</v>
      </c>
    </row>
    <row r="3745" spans="1:1">
      <c r="A3745" t="e">
        <v>#NAME?</v>
      </c>
    </row>
    <row r="3746" spans="1:1">
      <c r="A3746" t="s">
        <v>42670</v>
      </c>
    </row>
    <row r="3747" spans="1:1">
      <c r="A3747" t="s">
        <v>42671</v>
      </c>
    </row>
    <row r="3748" spans="1:1">
      <c r="A3748" t="s">
        <v>42672</v>
      </c>
    </row>
    <row r="3749" spans="1:1">
      <c r="A3749" t="s">
        <v>42673</v>
      </c>
    </row>
    <row r="3750" spans="1:1">
      <c r="A3750" t="s">
        <v>42674</v>
      </c>
    </row>
    <row r="3751" spans="1:1">
      <c r="A3751" t="s">
        <v>42675</v>
      </c>
    </row>
    <row r="3752" spans="1:1">
      <c r="A3752" t="s">
        <v>42676</v>
      </c>
    </row>
    <row r="3753" spans="1:1">
      <c r="A3753" t="s">
        <v>42677</v>
      </c>
    </row>
    <row r="3754" spans="1:1">
      <c r="A3754" t="s">
        <v>41057</v>
      </c>
    </row>
    <row r="3755" spans="1:1">
      <c r="A3755" t="s">
        <v>42678</v>
      </c>
    </row>
    <row r="3756" spans="1:1">
      <c r="A3756" t="s">
        <v>42679</v>
      </c>
    </row>
    <row r="3757" spans="1:1">
      <c r="A3757" t="s">
        <v>42680</v>
      </c>
    </row>
    <row r="3758" spans="1:1">
      <c r="A3758" t="s">
        <v>41057</v>
      </c>
    </row>
    <row r="3759" spans="1:1">
      <c r="A3759" t="s">
        <v>41057</v>
      </c>
    </row>
    <row r="3760" spans="1:1">
      <c r="A3760" t="s">
        <v>41057</v>
      </c>
    </row>
    <row r="3761" spans="1:1">
      <c r="A3761" t="s">
        <v>41057</v>
      </c>
    </row>
    <row r="3762" spans="1:1">
      <c r="A3762" t="s">
        <v>41074</v>
      </c>
    </row>
    <row r="3763" spans="1:1">
      <c r="A3763" t="s">
        <v>40924</v>
      </c>
    </row>
    <row r="3764" spans="1:1">
      <c r="A3764" t="s">
        <v>41057</v>
      </c>
    </row>
    <row r="3765" spans="1:1">
      <c r="A3765" t="s">
        <v>41057</v>
      </c>
    </row>
    <row r="3766" spans="1:1">
      <c r="A3766" t="s">
        <v>41057</v>
      </c>
    </row>
    <row r="3767" spans="1:1">
      <c r="A3767" t="s">
        <v>41057</v>
      </c>
    </row>
    <row r="3768" spans="1:1">
      <c r="A3768" t="s">
        <v>41057</v>
      </c>
    </row>
    <row r="3769" spans="1:1">
      <c r="A3769" t="e">
        <v>#NAME?</v>
      </c>
    </row>
    <row r="3770" spans="1:1">
      <c r="A3770" t="s">
        <v>42681</v>
      </c>
    </row>
    <row r="3771" spans="1:1">
      <c r="A3771" t="s">
        <v>42682</v>
      </c>
    </row>
    <row r="3772" spans="1:1">
      <c r="A3772" t="s">
        <v>42683</v>
      </c>
    </row>
    <row r="3773" spans="1:1">
      <c r="A3773" t="s">
        <v>42684</v>
      </c>
    </row>
    <row r="3774" spans="1:1">
      <c r="A3774" t="s">
        <v>41057</v>
      </c>
    </row>
    <row r="3775" spans="1:1">
      <c r="A3775" t="s">
        <v>41057</v>
      </c>
    </row>
    <row r="3776" spans="1:1">
      <c r="A3776" t="s">
        <v>41057</v>
      </c>
    </row>
    <row r="3777" spans="1:1">
      <c r="A3777" t="s">
        <v>41057</v>
      </c>
    </row>
    <row r="3778" spans="1:1">
      <c r="A3778" t="e">
        <v>#NAME?</v>
      </c>
    </row>
    <row r="3779" spans="1:1">
      <c r="A3779" t="s">
        <v>42685</v>
      </c>
    </row>
    <row r="3780" spans="1:1">
      <c r="A3780" t="s">
        <v>42686</v>
      </c>
    </row>
    <row r="3781" spans="1:1">
      <c r="A3781" t="s">
        <v>42687</v>
      </c>
    </row>
    <row r="3782" spans="1:1">
      <c r="A3782" t="s">
        <v>42688</v>
      </c>
    </row>
    <row r="3783" spans="1:1">
      <c r="A3783" t="s">
        <v>42689</v>
      </c>
    </row>
    <row r="3784" spans="1:1">
      <c r="A3784" t="s">
        <v>42690</v>
      </c>
    </row>
    <row r="3785" spans="1:1">
      <c r="A3785" t="s">
        <v>42691</v>
      </c>
    </row>
    <row r="3786" spans="1:1">
      <c r="A3786" t="s">
        <v>42692</v>
      </c>
    </row>
    <row r="3787" spans="1:1">
      <c r="A3787" t="s">
        <v>41057</v>
      </c>
    </row>
    <row r="3788" spans="1:1">
      <c r="A3788" t="s">
        <v>42693</v>
      </c>
    </row>
    <row r="3789" spans="1:1">
      <c r="A3789" t="s">
        <v>42694</v>
      </c>
    </row>
    <row r="3790" spans="1:1">
      <c r="A3790" t="s">
        <v>41057</v>
      </c>
    </row>
    <row r="3791" spans="1:1">
      <c r="A3791" t="s">
        <v>41057</v>
      </c>
    </row>
    <row r="3792" spans="1:1">
      <c r="A3792" t="s">
        <v>41057</v>
      </c>
    </row>
    <row r="3793" spans="1:1">
      <c r="A3793" t="s">
        <v>41057</v>
      </c>
    </row>
    <row r="3794" spans="1:1">
      <c r="A3794" t="s">
        <v>41057</v>
      </c>
    </row>
    <row r="3795" spans="1:1">
      <c r="A3795" t="s">
        <v>41074</v>
      </c>
    </row>
    <row r="3796" spans="1:1">
      <c r="A3796" t="s">
        <v>40939</v>
      </c>
    </row>
    <row r="3797" spans="1:1">
      <c r="A3797" t="s">
        <v>41057</v>
      </c>
    </row>
    <row r="3798" spans="1:1">
      <c r="A3798" t="s">
        <v>42695</v>
      </c>
    </row>
    <row r="3799" spans="1:1">
      <c r="A3799" t="s">
        <v>41057</v>
      </c>
    </row>
    <row r="3800" spans="1:1">
      <c r="A3800" t="s">
        <v>42696</v>
      </c>
    </row>
    <row r="3801" spans="1:1">
      <c r="A3801" t="s">
        <v>41057</v>
      </c>
    </row>
    <row r="3802" spans="1:1">
      <c r="A3802" t="e">
        <v>#NAME?</v>
      </c>
    </row>
    <row r="3803" spans="1:1">
      <c r="A3803" t="s">
        <v>42697</v>
      </c>
    </row>
    <row r="3804" spans="1:1">
      <c r="A3804" t="s">
        <v>42698</v>
      </c>
    </row>
    <row r="3805" spans="1:1">
      <c r="A3805" t="s">
        <v>42699</v>
      </c>
    </row>
    <row r="3806" spans="1:1">
      <c r="A3806" t="s">
        <v>42700</v>
      </c>
    </row>
    <row r="3807" spans="1:1">
      <c r="A3807" t="s">
        <v>41057</v>
      </c>
    </row>
    <row r="3808" spans="1:1">
      <c r="A3808" t="s">
        <v>41057</v>
      </c>
    </row>
    <row r="3809" spans="1:1">
      <c r="A3809" t="s">
        <v>41057</v>
      </c>
    </row>
    <row r="3810" spans="1:1">
      <c r="A3810" t="s">
        <v>41057</v>
      </c>
    </row>
    <row r="3811" spans="1:1">
      <c r="A3811" t="e">
        <v>#NAME?</v>
      </c>
    </row>
    <row r="3812" spans="1:1">
      <c r="A3812" t="s">
        <v>42701</v>
      </c>
    </row>
    <row r="3813" spans="1:1">
      <c r="A3813" t="s">
        <v>42702</v>
      </c>
    </row>
    <row r="3814" spans="1:1">
      <c r="A3814" t="s">
        <v>42703</v>
      </c>
    </row>
    <row r="3815" spans="1:1">
      <c r="A3815" t="s">
        <v>41057</v>
      </c>
    </row>
    <row r="3816" spans="1:1">
      <c r="A3816" t="e">
        <v>#NAME?</v>
      </c>
    </row>
    <row r="3817" spans="1:1">
      <c r="A3817" t="s">
        <v>42704</v>
      </c>
    </row>
    <row r="3818" spans="1:1">
      <c r="A3818" t="s">
        <v>42705</v>
      </c>
    </row>
    <row r="3819" spans="1:1">
      <c r="A3819" t="e">
        <v>#NAME?</v>
      </c>
    </row>
    <row r="3820" spans="1:1">
      <c r="A3820" t="s">
        <v>42706</v>
      </c>
    </row>
    <row r="3821" spans="1:1">
      <c r="A3821" t="e">
        <v>#NAME?</v>
      </c>
    </row>
    <row r="3822" spans="1:1">
      <c r="A3822" t="s">
        <v>42707</v>
      </c>
    </row>
    <row r="3823" spans="1:1">
      <c r="A3823" t="e">
        <v>#NAME?</v>
      </c>
    </row>
    <row r="3824" spans="1:1">
      <c r="A3824" t="s">
        <v>42708</v>
      </c>
    </row>
    <row r="3825" spans="1:1">
      <c r="A3825" t="s">
        <v>42709</v>
      </c>
    </row>
    <row r="3826" spans="1:1">
      <c r="A3826" t="s">
        <v>42710</v>
      </c>
    </row>
    <row r="3827" spans="1:1">
      <c r="A3827" t="s">
        <v>41057</v>
      </c>
    </row>
    <row r="3828" spans="1:1">
      <c r="A3828" t="s">
        <v>41074</v>
      </c>
    </row>
    <row r="3829" spans="1:1">
      <c r="A3829" t="s">
        <v>40919</v>
      </c>
    </row>
    <row r="3830" spans="1:1">
      <c r="A3830" t="e">
        <v>#NAME?</v>
      </c>
    </row>
    <row r="3831" spans="1:1">
      <c r="A3831" t="s">
        <v>42711</v>
      </c>
    </row>
    <row r="3832" spans="1:1">
      <c r="A3832" t="e">
        <v>#NAME?</v>
      </c>
    </row>
    <row r="3833" spans="1:1">
      <c r="A3833" t="s">
        <v>42712</v>
      </c>
    </row>
    <row r="3834" spans="1:1">
      <c r="A3834" t="e">
        <v>#NAME?</v>
      </c>
    </row>
    <row r="3835" spans="1:1">
      <c r="A3835" t="e">
        <v>#NAME?</v>
      </c>
    </row>
    <row r="3836" spans="1:1">
      <c r="A3836" t="s">
        <v>42713</v>
      </c>
    </row>
    <row r="3837" spans="1:1">
      <c r="A3837" t="s">
        <v>41057</v>
      </c>
    </row>
    <row r="3838" spans="1:1">
      <c r="A3838" t="s">
        <v>42714</v>
      </c>
    </row>
    <row r="3839" spans="1:1">
      <c r="A3839" t="s">
        <v>42715</v>
      </c>
    </row>
    <row r="3840" spans="1:1">
      <c r="A3840" t="s">
        <v>41057</v>
      </c>
    </row>
    <row r="3841" spans="1:1">
      <c r="A3841" t="s">
        <v>41057</v>
      </c>
    </row>
    <row r="3842" spans="1:1">
      <c r="A3842" t="s">
        <v>41057</v>
      </c>
    </row>
    <row r="3843" spans="1:1">
      <c r="A3843" t="s">
        <v>41057</v>
      </c>
    </row>
    <row r="3844" spans="1:1">
      <c r="A3844" t="e">
        <v>#NAME?</v>
      </c>
    </row>
    <row r="3845" spans="1:1">
      <c r="A3845" t="s">
        <v>42716</v>
      </c>
    </row>
    <row r="3846" spans="1:1">
      <c r="A3846" t="s">
        <v>42717</v>
      </c>
    </row>
    <row r="3847" spans="1:1">
      <c r="A3847" t="s">
        <v>42718</v>
      </c>
    </row>
    <row r="3848" spans="1:1">
      <c r="A3848" t="s">
        <v>42719</v>
      </c>
    </row>
    <row r="3849" spans="1:1">
      <c r="A3849" t="s">
        <v>42720</v>
      </c>
    </row>
    <row r="3850" spans="1:1">
      <c r="A3850" t="s">
        <v>42721</v>
      </c>
    </row>
    <row r="3851" spans="1:1">
      <c r="A3851" t="s">
        <v>42722</v>
      </c>
    </row>
    <row r="3852" spans="1:1">
      <c r="A3852" t="s">
        <v>42723</v>
      </c>
    </row>
    <row r="3853" spans="1:1">
      <c r="A3853" t="s">
        <v>42724</v>
      </c>
    </row>
    <row r="3854" spans="1:1">
      <c r="A3854" t="s">
        <v>42725</v>
      </c>
    </row>
    <row r="3855" spans="1:1">
      <c r="A3855" t="s">
        <v>41057</v>
      </c>
    </row>
    <row r="3856" spans="1:1">
      <c r="A3856" t="s">
        <v>41057</v>
      </c>
    </row>
    <row r="3857" spans="1:1">
      <c r="A3857" t="s">
        <v>41057</v>
      </c>
    </row>
    <row r="3858" spans="1:1">
      <c r="A3858" t="s">
        <v>41057</v>
      </c>
    </row>
    <row r="3859" spans="1:1">
      <c r="A3859" t="s">
        <v>41057</v>
      </c>
    </row>
    <row r="3860" spans="1:1">
      <c r="A3860" t="s">
        <v>41057</v>
      </c>
    </row>
    <row r="3861" spans="1:1">
      <c r="A3861" t="s">
        <v>41074</v>
      </c>
    </row>
    <row r="3862" spans="1:1">
      <c r="A3862" t="s">
        <v>41050</v>
      </c>
    </row>
    <row r="3863" spans="1:1">
      <c r="A3863" t="e">
        <v>#NAME?</v>
      </c>
    </row>
    <row r="3864" spans="1:1">
      <c r="A3864" t="s">
        <v>41182</v>
      </c>
    </row>
    <row r="3865" spans="1:1">
      <c r="A3865" t="s">
        <v>41057</v>
      </c>
    </row>
    <row r="3866" spans="1:1">
      <c r="A3866" t="s">
        <v>41057</v>
      </c>
    </row>
    <row r="3867" spans="1:1">
      <c r="A3867" t="s">
        <v>41057</v>
      </c>
    </row>
    <row r="3868" spans="1:1">
      <c r="A3868" t="e">
        <v>#NAME?</v>
      </c>
    </row>
    <row r="3869" spans="1:1">
      <c r="A3869" t="s">
        <v>42726</v>
      </c>
    </row>
    <row r="3870" spans="1:1">
      <c r="A3870" t="s">
        <v>41057</v>
      </c>
    </row>
    <row r="3871" spans="1:1">
      <c r="A3871" t="s">
        <v>42727</v>
      </c>
    </row>
    <row r="3872" spans="1:1">
      <c r="A3872" t="s">
        <v>42728</v>
      </c>
    </row>
    <row r="3873" spans="1:1">
      <c r="A3873" t="s">
        <v>41057</v>
      </c>
    </row>
    <row r="3874" spans="1:1">
      <c r="A3874" t="s">
        <v>41057</v>
      </c>
    </row>
    <row r="3875" spans="1:1">
      <c r="A3875" t="s">
        <v>41057</v>
      </c>
    </row>
    <row r="3876" spans="1:1">
      <c r="A3876" t="s">
        <v>41057</v>
      </c>
    </row>
    <row r="3877" spans="1:1">
      <c r="A3877" t="e">
        <v>#NAME?</v>
      </c>
    </row>
    <row r="3878" spans="1:1">
      <c r="A3878" t="s">
        <v>42729</v>
      </c>
    </row>
    <row r="3879" spans="1:1">
      <c r="A3879" t="s">
        <v>42730</v>
      </c>
    </row>
    <row r="3880" spans="1:1">
      <c r="A3880" t="s">
        <v>42731</v>
      </c>
    </row>
    <row r="3881" spans="1:1">
      <c r="A3881" t="s">
        <v>41057</v>
      </c>
    </row>
    <row r="3882" spans="1:1">
      <c r="A3882" t="s">
        <v>42732</v>
      </c>
    </row>
    <row r="3883" spans="1:1">
      <c r="A3883" t="s">
        <v>42733</v>
      </c>
    </row>
    <row r="3884" spans="1:1">
      <c r="A3884" t="s">
        <v>42734</v>
      </c>
    </row>
    <row r="3885" spans="1:1">
      <c r="A3885" t="s">
        <v>42735</v>
      </c>
    </row>
    <row r="3886" spans="1:1">
      <c r="A3886" t="s">
        <v>42736</v>
      </c>
    </row>
    <row r="3887" spans="1:1">
      <c r="A3887" t="s">
        <v>42737</v>
      </c>
    </row>
    <row r="3888" spans="1:1">
      <c r="A3888" t="s">
        <v>42738</v>
      </c>
    </row>
    <row r="3889" spans="1:1">
      <c r="A3889" t="s">
        <v>42739</v>
      </c>
    </row>
    <row r="3890" spans="1:1">
      <c r="A3890" t="s">
        <v>42740</v>
      </c>
    </row>
    <row r="3891" spans="1:1">
      <c r="A3891" t="s">
        <v>42741</v>
      </c>
    </row>
    <row r="3892" spans="1:1">
      <c r="A3892" t="s">
        <v>41057</v>
      </c>
    </row>
    <row r="3893" spans="1:1">
      <c r="A3893" t="s">
        <v>41057</v>
      </c>
    </row>
    <row r="3894" spans="1:1">
      <c r="A3894" t="s">
        <v>41074</v>
      </c>
    </row>
    <row r="3895" spans="1:1">
      <c r="A3895" t="s">
        <v>40853</v>
      </c>
    </row>
    <row r="3896" spans="1:1">
      <c r="A3896" t="s">
        <v>42742</v>
      </c>
    </row>
    <row r="3897" spans="1:1">
      <c r="A3897" t="s">
        <v>41057</v>
      </c>
    </row>
    <row r="3898" spans="1:1">
      <c r="A3898" t="s">
        <v>41057</v>
      </c>
    </row>
    <row r="3899" spans="1:1">
      <c r="A3899" t="s">
        <v>41057</v>
      </c>
    </row>
    <row r="3900" spans="1:1">
      <c r="A3900" t="s">
        <v>41057</v>
      </c>
    </row>
    <row r="3901" spans="1:1">
      <c r="A3901" t="s">
        <v>41057</v>
      </c>
    </row>
    <row r="3902" spans="1:1">
      <c r="A3902" t="s">
        <v>42743</v>
      </c>
    </row>
    <row r="3903" spans="1:1">
      <c r="A3903" t="s">
        <v>42744</v>
      </c>
    </row>
    <row r="3904" spans="1:1">
      <c r="A3904" t="s">
        <v>42745</v>
      </c>
    </row>
    <row r="3905" spans="1:1">
      <c r="A3905" t="s">
        <v>42746</v>
      </c>
    </row>
    <row r="3906" spans="1:1">
      <c r="A3906" t="s">
        <v>41057</v>
      </c>
    </row>
    <row r="3907" spans="1:1">
      <c r="A3907" t="s">
        <v>41057</v>
      </c>
    </row>
    <row r="3908" spans="1:1">
      <c r="A3908" t="s">
        <v>41057</v>
      </c>
    </row>
    <row r="3909" spans="1:1">
      <c r="A3909" t="s">
        <v>41057</v>
      </c>
    </row>
    <row r="3910" spans="1:1">
      <c r="A3910" t="e">
        <v>#NAME?</v>
      </c>
    </row>
    <row r="3911" spans="1:1">
      <c r="A3911" t="s">
        <v>42747</v>
      </c>
    </row>
    <row r="3912" spans="1:1">
      <c r="A3912" t="e">
        <v>#NAME?</v>
      </c>
    </row>
    <row r="3913" spans="1:1">
      <c r="A3913" t="s">
        <v>42748</v>
      </c>
    </row>
    <row r="3914" spans="1:1">
      <c r="A3914" t="s">
        <v>42749</v>
      </c>
    </row>
    <row r="3915" spans="1:1">
      <c r="A3915" t="s">
        <v>42750</v>
      </c>
    </row>
    <row r="3916" spans="1:1">
      <c r="A3916" t="s">
        <v>42751</v>
      </c>
    </row>
    <row r="3917" spans="1:1">
      <c r="A3917" t="s">
        <v>42752</v>
      </c>
    </row>
    <row r="3918" spans="1:1">
      <c r="A3918" t="s">
        <v>42753</v>
      </c>
    </row>
    <row r="3919" spans="1:1">
      <c r="A3919" t="s">
        <v>42754</v>
      </c>
    </row>
    <row r="3920" spans="1:1">
      <c r="A3920" t="s">
        <v>42755</v>
      </c>
    </row>
    <row r="3921" spans="1:1">
      <c r="A3921" t="s">
        <v>41057</v>
      </c>
    </row>
    <row r="3922" spans="1:1">
      <c r="A3922" t="s">
        <v>41057</v>
      </c>
    </row>
    <row r="3923" spans="1:1">
      <c r="A3923" t="s">
        <v>42756</v>
      </c>
    </row>
    <row r="3924" spans="1:1">
      <c r="A3924" t="s">
        <v>41057</v>
      </c>
    </row>
    <row r="3925" spans="1:1">
      <c r="A3925" t="s">
        <v>42757</v>
      </c>
    </row>
    <row r="3926" spans="1:1">
      <c r="A3926" t="s">
        <v>41057</v>
      </c>
    </row>
    <row r="3927" spans="1:1">
      <c r="A3927" t="s">
        <v>41074</v>
      </c>
    </row>
    <row r="3928" spans="1:1">
      <c r="A3928" t="s">
        <v>40860</v>
      </c>
    </row>
    <row r="3929" spans="1:1">
      <c r="A3929" t="e">
        <v>#NAME?</v>
      </c>
    </row>
    <row r="3930" spans="1:1">
      <c r="A3930" t="s">
        <v>42758</v>
      </c>
    </row>
    <row r="3931" spans="1:1">
      <c r="A3931" t="s">
        <v>41057</v>
      </c>
    </row>
    <row r="3932" spans="1:1">
      <c r="A3932" t="s">
        <v>41057</v>
      </c>
    </row>
    <row r="3933" spans="1:1">
      <c r="A3933" t="s">
        <v>41057</v>
      </c>
    </row>
    <row r="3934" spans="1:1">
      <c r="A3934" t="s">
        <v>41057</v>
      </c>
    </row>
    <row r="3935" spans="1:1">
      <c r="A3935" t="s">
        <v>42759</v>
      </c>
    </row>
    <row r="3936" spans="1:1">
      <c r="A3936" t="s">
        <v>41057</v>
      </c>
    </row>
    <row r="3937" spans="1:1">
      <c r="A3937" t="s">
        <v>42760</v>
      </c>
    </row>
    <row r="3938" spans="1:1">
      <c r="A3938" t="s">
        <v>42761</v>
      </c>
    </row>
    <row r="3939" spans="1:1">
      <c r="A3939" t="s">
        <v>41057</v>
      </c>
    </row>
    <row r="3940" spans="1:1">
      <c r="A3940" t="s">
        <v>41057</v>
      </c>
    </row>
    <row r="3941" spans="1:1">
      <c r="A3941" t="s">
        <v>41057</v>
      </c>
    </row>
    <row r="3942" spans="1:1">
      <c r="A3942" t="s">
        <v>41057</v>
      </c>
    </row>
    <row r="3943" spans="1:1">
      <c r="A3943" t="e">
        <v>#NAME?</v>
      </c>
    </row>
    <row r="3944" spans="1:1">
      <c r="A3944" t="s">
        <v>42762</v>
      </c>
    </row>
    <row r="3945" spans="1:1">
      <c r="A3945" t="s">
        <v>42763</v>
      </c>
    </row>
    <row r="3946" spans="1:1">
      <c r="A3946" t="e">
        <v>#NAME?</v>
      </c>
    </row>
    <row r="3947" spans="1:1">
      <c r="A3947" t="s">
        <v>42764</v>
      </c>
    </row>
    <row r="3948" spans="1:1">
      <c r="A3948" t="s">
        <v>42765</v>
      </c>
    </row>
    <row r="3949" spans="1:1">
      <c r="A3949" t="s">
        <v>42766</v>
      </c>
    </row>
    <row r="3950" spans="1:1">
      <c r="A3950" t="s">
        <v>42767</v>
      </c>
    </row>
    <row r="3951" spans="1:1">
      <c r="A3951" t="s">
        <v>42768</v>
      </c>
    </row>
    <row r="3952" spans="1:1">
      <c r="A3952" t="s">
        <v>42769</v>
      </c>
    </row>
    <row r="3953" spans="1:1">
      <c r="A3953" t="s">
        <v>42770</v>
      </c>
    </row>
    <row r="3954" spans="1:1">
      <c r="A3954" t="s">
        <v>41057</v>
      </c>
    </row>
    <row r="3955" spans="1:1">
      <c r="A3955" t="s">
        <v>41057</v>
      </c>
    </row>
    <row r="3956" spans="1:1">
      <c r="A3956" t="s">
        <v>42771</v>
      </c>
    </row>
    <row r="3957" spans="1:1">
      <c r="A3957" t="s">
        <v>41057</v>
      </c>
    </row>
    <row r="3958" spans="1:1">
      <c r="A3958" t="s">
        <v>41057</v>
      </c>
    </row>
    <row r="3959" spans="1:1">
      <c r="A3959" t="s">
        <v>41057</v>
      </c>
    </row>
    <row r="3960" spans="1:1">
      <c r="A3960" t="s">
        <v>41074</v>
      </c>
    </row>
    <row r="3961" spans="1:1">
      <c r="A3961" t="s">
        <v>40867</v>
      </c>
    </row>
    <row r="3962" spans="1:1">
      <c r="A3962" t="s">
        <v>42772</v>
      </c>
    </row>
    <row r="3963" spans="1:1">
      <c r="A3963" t="s">
        <v>41057</v>
      </c>
    </row>
    <row r="3964" spans="1:1">
      <c r="A3964" t="s">
        <v>41057</v>
      </c>
    </row>
    <row r="3965" spans="1:1">
      <c r="A3965" t="s">
        <v>41057</v>
      </c>
    </row>
    <row r="3966" spans="1:1">
      <c r="A3966" t="s">
        <v>41057</v>
      </c>
    </row>
    <row r="3967" spans="1:1">
      <c r="A3967" t="e">
        <v>#NAME?</v>
      </c>
    </row>
    <row r="3968" spans="1:1">
      <c r="A3968" t="s">
        <v>42773</v>
      </c>
    </row>
    <row r="3969" spans="1:1">
      <c r="A3969" t="s">
        <v>42774</v>
      </c>
    </row>
    <row r="3970" spans="1:1">
      <c r="A3970" t="s">
        <v>42775</v>
      </c>
    </row>
    <row r="3971" spans="1:1">
      <c r="A3971" t="s">
        <v>42776</v>
      </c>
    </row>
    <row r="3972" spans="1:1">
      <c r="A3972" t="s">
        <v>41057</v>
      </c>
    </row>
    <row r="3973" spans="1:1">
      <c r="A3973" t="s">
        <v>41057</v>
      </c>
    </row>
    <row r="3974" spans="1:1">
      <c r="A3974" t="s">
        <v>41057</v>
      </c>
    </row>
    <row r="3975" spans="1:1">
      <c r="A3975" t="s">
        <v>41057</v>
      </c>
    </row>
    <row r="3976" spans="1:1">
      <c r="A3976" t="e">
        <v>#NAME?</v>
      </c>
    </row>
    <row r="3977" spans="1:1">
      <c r="A3977" t="s">
        <v>42777</v>
      </c>
    </row>
    <row r="3978" spans="1:1">
      <c r="A3978" t="s">
        <v>42778</v>
      </c>
    </row>
    <row r="3979" spans="1:1">
      <c r="A3979" t="e">
        <v>#NAME?</v>
      </c>
    </row>
    <row r="3980" spans="1:1">
      <c r="A3980" t="s">
        <v>42779</v>
      </c>
    </row>
    <row r="3981" spans="1:1">
      <c r="A3981" t="s">
        <v>42780</v>
      </c>
    </row>
    <row r="3982" spans="1:1">
      <c r="A3982" t="s">
        <v>42781</v>
      </c>
    </row>
    <row r="3983" spans="1:1">
      <c r="A3983" t="s">
        <v>42782</v>
      </c>
    </row>
    <row r="3984" spans="1:1">
      <c r="A3984" t="s">
        <v>42783</v>
      </c>
    </row>
    <row r="3985" spans="1:1">
      <c r="A3985" t="s">
        <v>42784</v>
      </c>
    </row>
    <row r="3986" spans="1:1">
      <c r="A3986" t="s">
        <v>42785</v>
      </c>
    </row>
    <row r="3987" spans="1:1">
      <c r="A3987" t="s">
        <v>41057</v>
      </c>
    </row>
    <row r="3988" spans="1:1">
      <c r="A3988" t="s">
        <v>41057</v>
      </c>
    </row>
    <row r="3989" spans="1:1">
      <c r="A3989" t="s">
        <v>42786</v>
      </c>
    </row>
    <row r="3990" spans="1:1">
      <c r="A3990" t="s">
        <v>41057</v>
      </c>
    </row>
    <row r="3991" spans="1:1">
      <c r="A3991" t="s">
        <v>41057</v>
      </c>
    </row>
    <row r="3992" spans="1:1">
      <c r="A3992" t="s">
        <v>41057</v>
      </c>
    </row>
    <row r="3993" spans="1:1">
      <c r="A3993" t="s">
        <v>41074</v>
      </c>
    </row>
    <row r="3994" spans="1:1">
      <c r="A3994" t="s">
        <v>40874</v>
      </c>
    </row>
    <row r="3995" spans="1:1">
      <c r="A3995" t="e">
        <v>#NAME?</v>
      </c>
    </row>
    <row r="3996" spans="1:1">
      <c r="A3996" t="s">
        <v>42539</v>
      </c>
    </row>
    <row r="3997" spans="1:1">
      <c r="A3997" t="s">
        <v>41057</v>
      </c>
    </row>
    <row r="3998" spans="1:1">
      <c r="A3998" t="s">
        <v>41057</v>
      </c>
    </row>
    <row r="3999" spans="1:1">
      <c r="A3999" t="s">
        <v>41057</v>
      </c>
    </row>
    <row r="4000" spans="1:1">
      <c r="A4000" t="e">
        <v>#NAME?</v>
      </c>
    </row>
    <row r="4001" spans="1:1">
      <c r="A4001" t="s">
        <v>42787</v>
      </c>
    </row>
    <row r="4002" spans="1:1">
      <c r="A4002" t="s">
        <v>42788</v>
      </c>
    </row>
    <row r="4003" spans="1:1">
      <c r="A4003" t="s">
        <v>42789</v>
      </c>
    </row>
    <row r="4004" spans="1:1">
      <c r="A4004" t="s">
        <v>42790</v>
      </c>
    </row>
    <row r="4005" spans="1:1">
      <c r="A4005" t="s">
        <v>41057</v>
      </c>
    </row>
    <row r="4006" spans="1:1">
      <c r="A4006" t="s">
        <v>41057</v>
      </c>
    </row>
    <row r="4007" spans="1:1">
      <c r="A4007" t="s">
        <v>41057</v>
      </c>
    </row>
    <row r="4008" spans="1:1">
      <c r="A4008" t="s">
        <v>41057</v>
      </c>
    </row>
    <row r="4009" spans="1:1">
      <c r="A4009" t="e">
        <v>#NAME?</v>
      </c>
    </row>
    <row r="4010" spans="1:1">
      <c r="A4010" t="s">
        <v>42791</v>
      </c>
    </row>
    <row r="4011" spans="1:1">
      <c r="A4011" t="s">
        <v>42792</v>
      </c>
    </row>
    <row r="4012" spans="1:1">
      <c r="A4012" t="e">
        <v>#NAME?</v>
      </c>
    </row>
    <row r="4013" spans="1:1">
      <c r="A4013" t="s">
        <v>42793</v>
      </c>
    </row>
    <row r="4014" spans="1:1">
      <c r="A4014" t="s">
        <v>42794</v>
      </c>
    </row>
    <row r="4015" spans="1:1">
      <c r="A4015" t="s">
        <v>42795</v>
      </c>
    </row>
    <row r="4016" spans="1:1">
      <c r="A4016" t="s">
        <v>42796</v>
      </c>
    </row>
    <row r="4017" spans="1:1">
      <c r="A4017" t="s">
        <v>42797</v>
      </c>
    </row>
    <row r="4018" spans="1:1">
      <c r="A4018" t="s">
        <v>42798</v>
      </c>
    </row>
    <row r="4019" spans="1:1">
      <c r="A4019" t="s">
        <v>42799</v>
      </c>
    </row>
    <row r="4020" spans="1:1">
      <c r="A4020" t="s">
        <v>41057</v>
      </c>
    </row>
    <row r="4021" spans="1:1">
      <c r="A4021" t="s">
        <v>41057</v>
      </c>
    </row>
    <row r="4022" spans="1:1">
      <c r="A4022" t="s">
        <v>42800</v>
      </c>
    </row>
    <row r="4023" spans="1:1">
      <c r="A4023" t="s">
        <v>41057</v>
      </c>
    </row>
    <row r="4024" spans="1:1">
      <c r="A4024" t="s">
        <v>41057</v>
      </c>
    </row>
    <row r="4025" spans="1:1">
      <c r="A4025" t="s">
        <v>41057</v>
      </c>
    </row>
    <row r="4026" spans="1:1">
      <c r="A4026" t="s">
        <v>41074</v>
      </c>
    </row>
    <row r="4027" spans="1:1">
      <c r="A4027" t="s">
        <v>40882</v>
      </c>
    </row>
    <row r="4028" spans="1:1">
      <c r="A4028" t="s">
        <v>41057</v>
      </c>
    </row>
    <row r="4029" spans="1:1">
      <c r="A4029" t="s">
        <v>41057</v>
      </c>
    </row>
    <row r="4030" spans="1:1">
      <c r="A4030" t="s">
        <v>41057</v>
      </c>
    </row>
    <row r="4031" spans="1:1">
      <c r="A4031" t="s">
        <v>41057</v>
      </c>
    </row>
    <row r="4032" spans="1:1">
      <c r="A4032" t="s">
        <v>41057</v>
      </c>
    </row>
    <row r="4033" spans="1:1">
      <c r="A4033" t="s">
        <v>41057</v>
      </c>
    </row>
    <row r="4034" spans="1:1">
      <c r="A4034" t="s">
        <v>42801</v>
      </c>
    </row>
    <row r="4035" spans="1:1">
      <c r="A4035" t="s">
        <v>42802</v>
      </c>
    </row>
    <row r="4036" spans="1:1">
      <c r="A4036" t="s">
        <v>42803</v>
      </c>
    </row>
    <row r="4037" spans="1:1">
      <c r="A4037" t="s">
        <v>42804</v>
      </c>
    </row>
    <row r="4038" spans="1:1">
      <c r="A4038" t="s">
        <v>41057</v>
      </c>
    </row>
    <row r="4039" spans="1:1">
      <c r="A4039" t="s">
        <v>41057</v>
      </c>
    </row>
    <row r="4040" spans="1:1">
      <c r="A4040" t="s">
        <v>41057</v>
      </c>
    </row>
    <row r="4041" spans="1:1">
      <c r="A4041" t="s">
        <v>41057</v>
      </c>
    </row>
    <row r="4042" spans="1:1">
      <c r="A4042" t="e">
        <v>#NAME?</v>
      </c>
    </row>
    <row r="4043" spans="1:1">
      <c r="A4043" t="s">
        <v>42805</v>
      </c>
    </row>
    <row r="4044" spans="1:1">
      <c r="A4044" t="s">
        <v>42806</v>
      </c>
    </row>
    <row r="4045" spans="1:1">
      <c r="A4045" t="s">
        <v>42807</v>
      </c>
    </row>
    <row r="4046" spans="1:1">
      <c r="A4046" t="s">
        <v>41057</v>
      </c>
    </row>
    <row r="4047" spans="1:1">
      <c r="A4047" t="e">
        <v>#NAME?</v>
      </c>
    </row>
    <row r="4048" spans="1:1">
      <c r="A4048" t="s">
        <v>42808</v>
      </c>
    </row>
    <row r="4049" spans="1:1">
      <c r="A4049" t="e">
        <v>#NAME?</v>
      </c>
    </row>
    <row r="4050" spans="1:1">
      <c r="A4050" t="s">
        <v>42809</v>
      </c>
    </row>
    <row r="4051" spans="1:1">
      <c r="A4051" t="s">
        <v>42810</v>
      </c>
    </row>
    <row r="4052" spans="1:1">
      <c r="A4052" t="s">
        <v>42811</v>
      </c>
    </row>
    <row r="4053" spans="1:1">
      <c r="A4053" t="s">
        <v>42812</v>
      </c>
    </row>
    <row r="4054" spans="1:1">
      <c r="A4054" t="e">
        <v>#NAME?</v>
      </c>
    </row>
    <row r="4055" spans="1:1">
      <c r="A4055" t="s">
        <v>42813</v>
      </c>
    </row>
    <row r="4056" spans="1:1">
      <c r="A4056" t="s">
        <v>42814</v>
      </c>
    </row>
    <row r="4057" spans="1:1">
      <c r="A4057" t="s">
        <v>42815</v>
      </c>
    </row>
    <row r="4058" spans="1:1">
      <c r="A4058" t="s">
        <v>42816</v>
      </c>
    </row>
    <row r="4059" spans="1:1">
      <c r="A4059" t="e">
        <v>#NAME?</v>
      </c>
    </row>
    <row r="4060" spans="1:1">
      <c r="A4060" t="s">
        <v>40986</v>
      </c>
    </row>
    <row r="4061" spans="1:1">
      <c r="A4061" t="s">
        <v>42817</v>
      </c>
    </row>
    <row r="4062" spans="1:1">
      <c r="A4062" t="s">
        <v>42818</v>
      </c>
    </row>
    <row r="4063" spans="1:1">
      <c r="A4063" t="s">
        <v>42819</v>
      </c>
    </row>
    <row r="4064" spans="1:1">
      <c r="A4064" t="s">
        <v>42820</v>
      </c>
    </row>
    <row r="4065" spans="1:1">
      <c r="A4065" t="s">
        <v>42821</v>
      </c>
    </row>
    <row r="4066" spans="1:1">
      <c r="A4066" t="s">
        <v>42822</v>
      </c>
    </row>
    <row r="4067" spans="1:1">
      <c r="A4067" t="s">
        <v>42823</v>
      </c>
    </row>
    <row r="4068" spans="1:1">
      <c r="A4068" t="s">
        <v>42824</v>
      </c>
    </row>
    <row r="4069" spans="1:1">
      <c r="A4069" t="s">
        <v>42825</v>
      </c>
    </row>
    <row r="4070" spans="1:1">
      <c r="A4070" t="s">
        <v>42826</v>
      </c>
    </row>
    <row r="4071" spans="1:1">
      <c r="A4071" t="s">
        <v>41057</v>
      </c>
    </row>
    <row r="4072" spans="1:1">
      <c r="A4072" t="s">
        <v>41057</v>
      </c>
    </row>
    <row r="4073" spans="1:1">
      <c r="A4073" t="s">
        <v>41057</v>
      </c>
    </row>
    <row r="4074" spans="1:1">
      <c r="A4074" t="s">
        <v>41057</v>
      </c>
    </row>
    <row r="4075" spans="1:1">
      <c r="A4075" t="e">
        <v>#NAME?</v>
      </c>
    </row>
    <row r="4076" spans="1:1">
      <c r="A4076" t="s">
        <v>42827</v>
      </c>
    </row>
    <row r="4077" spans="1:1">
      <c r="A4077" t="e">
        <v>#NAME?</v>
      </c>
    </row>
    <row r="4078" spans="1:1">
      <c r="A4078" t="s">
        <v>42828</v>
      </c>
    </row>
    <row r="4079" spans="1:1">
      <c r="A4079" t="e">
        <v>#NAME?</v>
      </c>
    </row>
    <row r="4080" spans="1:1">
      <c r="A4080" t="s">
        <v>42829</v>
      </c>
    </row>
    <row r="4081" spans="1:1">
      <c r="A4081" t="s">
        <v>42830</v>
      </c>
    </row>
    <row r="4082" spans="1:1">
      <c r="A4082" t="s">
        <v>42831</v>
      </c>
    </row>
    <row r="4083" spans="1:1">
      <c r="A4083" t="s">
        <v>42832</v>
      </c>
    </row>
    <row r="4084" spans="1:1">
      <c r="A4084" t="s">
        <v>42833</v>
      </c>
    </row>
    <row r="4085" spans="1:1">
      <c r="A4085" t="s">
        <v>41057</v>
      </c>
    </row>
    <row r="4086" spans="1:1">
      <c r="A4086" t="s">
        <v>41057</v>
      </c>
    </row>
    <row r="4087" spans="1:1">
      <c r="A4087" t="s">
        <v>41057</v>
      </c>
    </row>
    <row r="4088" spans="1:1">
      <c r="A4088" t="s">
        <v>41057</v>
      </c>
    </row>
    <row r="4089" spans="1:1">
      <c r="A4089" t="s">
        <v>41057</v>
      </c>
    </row>
    <row r="4090" spans="1:1">
      <c r="A4090" t="s">
        <v>41057</v>
      </c>
    </row>
    <row r="4091" spans="1:1">
      <c r="A4091" t="s">
        <v>41057</v>
      </c>
    </row>
    <row r="4092" spans="1:1">
      <c r="A4092" t="s">
        <v>41074</v>
      </c>
    </row>
    <row r="4093" spans="1:1">
      <c r="A4093" t="s">
        <v>41013</v>
      </c>
    </row>
    <row r="4094" spans="1:1">
      <c r="A4094" t="s">
        <v>41057</v>
      </c>
    </row>
    <row r="4095" spans="1:1">
      <c r="A4095" t="s">
        <v>41057</v>
      </c>
    </row>
    <row r="4096" spans="1:1">
      <c r="A4096" t="s">
        <v>42834</v>
      </c>
    </row>
    <row r="4097" spans="1:1">
      <c r="A4097" t="s">
        <v>41057</v>
      </c>
    </row>
    <row r="4098" spans="1:1">
      <c r="A4098" t="s">
        <v>41057</v>
      </c>
    </row>
    <row r="4099" spans="1:1">
      <c r="A4099" t="e">
        <v>#NAME?</v>
      </c>
    </row>
    <row r="4100" spans="1:1">
      <c r="A4100" t="s">
        <v>42835</v>
      </c>
    </row>
    <row r="4101" spans="1:1">
      <c r="A4101" t="s">
        <v>42836</v>
      </c>
    </row>
    <row r="4102" spans="1:1">
      <c r="A4102" t="s">
        <v>42837</v>
      </c>
    </row>
    <row r="4103" spans="1:1">
      <c r="A4103" t="s">
        <v>42838</v>
      </c>
    </row>
    <row r="4104" spans="1:1">
      <c r="A4104" t="s">
        <v>41057</v>
      </c>
    </row>
    <row r="4105" spans="1:1">
      <c r="A4105" t="s">
        <v>41057</v>
      </c>
    </row>
    <row r="4106" spans="1:1">
      <c r="A4106" t="s">
        <v>41057</v>
      </c>
    </row>
    <row r="4107" spans="1:1">
      <c r="A4107" t="s">
        <v>41057</v>
      </c>
    </row>
    <row r="4108" spans="1:1">
      <c r="A4108" t="e">
        <v>#NAME?</v>
      </c>
    </row>
    <row r="4109" spans="1:1">
      <c r="A4109" t="s">
        <v>42839</v>
      </c>
    </row>
    <row r="4110" spans="1:1">
      <c r="A4110" t="e">
        <v>#NAME?</v>
      </c>
    </row>
    <row r="4111" spans="1:1">
      <c r="A4111" t="s">
        <v>42840</v>
      </c>
    </row>
    <row r="4112" spans="1:1">
      <c r="A4112" t="e">
        <v>#NAME?</v>
      </c>
    </row>
    <row r="4113" spans="1:1">
      <c r="A4113" t="s">
        <v>42841</v>
      </c>
    </row>
    <row r="4114" spans="1:1">
      <c r="A4114" t="s">
        <v>42842</v>
      </c>
    </row>
    <row r="4115" spans="1:1">
      <c r="A4115" t="s">
        <v>41057</v>
      </c>
    </row>
    <row r="4116" spans="1:1">
      <c r="A4116" t="s">
        <v>42843</v>
      </c>
    </row>
    <row r="4117" spans="1:1">
      <c r="A4117" t="s">
        <v>41057</v>
      </c>
    </row>
    <row r="4118" spans="1:1">
      <c r="A4118" t="s">
        <v>42844</v>
      </c>
    </row>
    <row r="4119" spans="1:1">
      <c r="A4119" t="s">
        <v>41057</v>
      </c>
    </row>
    <row r="4120" spans="1:1">
      <c r="A4120" t="s">
        <v>41057</v>
      </c>
    </row>
    <row r="4121" spans="1:1">
      <c r="A4121" t="s">
        <v>42845</v>
      </c>
    </row>
    <row r="4122" spans="1:1">
      <c r="A4122" t="s">
        <v>41057</v>
      </c>
    </row>
    <row r="4123" spans="1:1">
      <c r="A4123" t="s">
        <v>41057</v>
      </c>
    </row>
    <row r="4124" spans="1:1">
      <c r="A4124" t="s">
        <v>41057</v>
      </c>
    </row>
    <row r="4125" spans="1:1">
      <c r="A4125" t="s">
        <v>41074</v>
      </c>
    </row>
    <row r="4126" spans="1:1">
      <c r="A4126" t="s">
        <v>40929</v>
      </c>
    </row>
    <row r="4127" spans="1:1">
      <c r="A4127" t="e">
        <v>#NAME?</v>
      </c>
    </row>
    <row r="4128" spans="1:1">
      <c r="A4128" t="s">
        <v>42470</v>
      </c>
    </row>
    <row r="4129" spans="1:1">
      <c r="A4129" t="s">
        <v>42834</v>
      </c>
    </row>
    <row r="4130" spans="1:1">
      <c r="A4130" t="s">
        <v>42846</v>
      </c>
    </row>
    <row r="4131" spans="1:1">
      <c r="A4131" t="s">
        <v>41057</v>
      </c>
    </row>
    <row r="4132" spans="1:1">
      <c r="A4132" t="e">
        <v>#NAME?</v>
      </c>
    </row>
    <row r="4133" spans="1:1">
      <c r="A4133" t="s">
        <v>42847</v>
      </c>
    </row>
    <row r="4134" spans="1:1">
      <c r="A4134" t="s">
        <v>41057</v>
      </c>
    </row>
    <row r="4135" spans="1:1">
      <c r="A4135" t="s">
        <v>42848</v>
      </c>
    </row>
    <row r="4136" spans="1:1">
      <c r="A4136" t="s">
        <v>42849</v>
      </c>
    </row>
    <row r="4137" spans="1:1">
      <c r="A4137" t="s">
        <v>41057</v>
      </c>
    </row>
    <row r="4138" spans="1:1">
      <c r="A4138" t="s">
        <v>41057</v>
      </c>
    </row>
    <row r="4139" spans="1:1">
      <c r="A4139" t="s">
        <v>41057</v>
      </c>
    </row>
    <row r="4140" spans="1:1">
      <c r="A4140" t="s">
        <v>41057</v>
      </c>
    </row>
    <row r="4141" spans="1:1">
      <c r="A4141" t="e">
        <v>#NAME?</v>
      </c>
    </row>
    <row r="4142" spans="1:1">
      <c r="A4142" t="s">
        <v>42850</v>
      </c>
    </row>
    <row r="4143" spans="1:1">
      <c r="A4143" t="s">
        <v>42851</v>
      </c>
    </row>
    <row r="4144" spans="1:1">
      <c r="A4144" t="s">
        <v>42852</v>
      </c>
    </row>
    <row r="4145" spans="1:1">
      <c r="A4145" t="s">
        <v>41057</v>
      </c>
    </row>
    <row r="4146" spans="1:1">
      <c r="A4146" t="e">
        <v>#NAME?</v>
      </c>
    </row>
    <row r="4147" spans="1:1">
      <c r="A4147" t="s">
        <v>42853</v>
      </c>
    </row>
    <row r="4148" spans="1:1">
      <c r="A4148" t="s">
        <v>42854</v>
      </c>
    </row>
    <row r="4149" spans="1:1">
      <c r="A4149" t="s">
        <v>42855</v>
      </c>
    </row>
    <row r="4150" spans="1:1">
      <c r="A4150" t="s">
        <v>42856</v>
      </c>
    </row>
    <row r="4151" spans="1:1">
      <c r="A4151" t="s">
        <v>42857</v>
      </c>
    </row>
    <row r="4152" spans="1:1">
      <c r="A4152" t="s">
        <v>41057</v>
      </c>
    </row>
    <row r="4153" spans="1:1">
      <c r="A4153" t="s">
        <v>41057</v>
      </c>
    </row>
    <row r="4154" spans="1:1">
      <c r="A4154" t="s">
        <v>42858</v>
      </c>
    </row>
    <row r="4155" spans="1:1">
      <c r="A4155" t="s">
        <v>41057</v>
      </c>
    </row>
    <row r="4156" spans="1:1">
      <c r="A4156" t="s">
        <v>41057</v>
      </c>
    </row>
    <row r="4157" spans="1:1">
      <c r="A4157" t="s">
        <v>41057</v>
      </c>
    </row>
    <row r="4158" spans="1:1">
      <c r="A4158" t="s">
        <v>41074</v>
      </c>
    </row>
    <row r="4159" spans="1:1">
      <c r="A4159" t="s">
        <v>41005</v>
      </c>
    </row>
    <row r="4160" spans="1:1">
      <c r="A4160" t="e">
        <v>#NAME?</v>
      </c>
    </row>
    <row r="4161" spans="1:1">
      <c r="A4161" t="s">
        <v>42859</v>
      </c>
    </row>
    <row r="4162" spans="1:1">
      <c r="A4162" t="s">
        <v>42860</v>
      </c>
    </row>
    <row r="4163" spans="1:1">
      <c r="A4163" t="s">
        <v>42861</v>
      </c>
    </row>
    <row r="4164" spans="1:1">
      <c r="A4164" t="s">
        <v>42862</v>
      </c>
    </row>
    <row r="4165" spans="1:1">
      <c r="A4165" t="s">
        <v>42863</v>
      </c>
    </row>
    <row r="4166" spans="1:1">
      <c r="A4166" t="s">
        <v>42864</v>
      </c>
    </row>
    <row r="4167" spans="1:1">
      <c r="A4167" t="s">
        <v>42865</v>
      </c>
    </row>
    <row r="4168" spans="1:1">
      <c r="A4168" t="s">
        <v>42866</v>
      </c>
    </row>
    <row r="4169" spans="1:1">
      <c r="A4169" t="s">
        <v>42867</v>
      </c>
    </row>
    <row r="4170" spans="1:1">
      <c r="A4170" t="s">
        <v>41057</v>
      </c>
    </row>
    <row r="4171" spans="1:1">
      <c r="A4171" t="s">
        <v>41057</v>
      </c>
    </row>
    <row r="4172" spans="1:1">
      <c r="A4172" t="s">
        <v>41057</v>
      </c>
    </row>
    <row r="4173" spans="1:1">
      <c r="A4173" t="s">
        <v>41057</v>
      </c>
    </row>
    <row r="4174" spans="1:1">
      <c r="A4174" t="e">
        <v>#NAME?</v>
      </c>
    </row>
    <row r="4175" spans="1:1">
      <c r="A4175" t="s">
        <v>42868</v>
      </c>
    </row>
    <row r="4176" spans="1:1">
      <c r="A4176" t="s">
        <v>42869</v>
      </c>
    </row>
    <row r="4177" spans="1:1">
      <c r="A4177" t="s">
        <v>42870</v>
      </c>
    </row>
    <row r="4178" spans="1:1">
      <c r="A4178" t="s">
        <v>42871</v>
      </c>
    </row>
    <row r="4179" spans="1:1">
      <c r="A4179" t="e">
        <v>#NAME?</v>
      </c>
    </row>
    <row r="4180" spans="1:1">
      <c r="A4180" t="s">
        <v>42872</v>
      </c>
    </row>
    <row r="4181" spans="1:1">
      <c r="A4181" t="s">
        <v>42873</v>
      </c>
    </row>
    <row r="4182" spans="1:1">
      <c r="A4182" t="s">
        <v>42874</v>
      </c>
    </row>
    <row r="4183" spans="1:1">
      <c r="A4183" t="s">
        <v>41057</v>
      </c>
    </row>
    <row r="4184" spans="1:1">
      <c r="A4184" t="s">
        <v>41057</v>
      </c>
    </row>
    <row r="4185" spans="1:1">
      <c r="A4185" t="s">
        <v>41057</v>
      </c>
    </row>
    <row r="4186" spans="1:1">
      <c r="A4186" t="s">
        <v>41057</v>
      </c>
    </row>
    <row r="4187" spans="1:1">
      <c r="A4187" t="s">
        <v>42875</v>
      </c>
    </row>
    <row r="4188" spans="1:1">
      <c r="A4188" t="s">
        <v>41057</v>
      </c>
    </row>
    <row r="4189" spans="1:1">
      <c r="A4189" t="s">
        <v>41057</v>
      </c>
    </row>
    <row r="4190" spans="1:1">
      <c r="A4190" t="s">
        <v>41057</v>
      </c>
    </row>
    <row r="4191" spans="1:1">
      <c r="A4191" t="s">
        <v>41074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31BA0-C1B7-124D-B4F2-62223ED35C10}">
  <dimension ref="A1:A2570"/>
  <sheetViews>
    <sheetView workbookViewId="0">
      <selection sqref="A1:XFD1048576"/>
    </sheetView>
  </sheetViews>
  <sheetFormatPr baseColWidth="10" defaultRowHeight="16"/>
  <sheetData>
    <row r="1" spans="1:1">
      <c r="A1" t="s">
        <v>42876</v>
      </c>
    </row>
    <row r="2" spans="1:1">
      <c r="A2" t="s">
        <v>42877</v>
      </c>
    </row>
    <row r="3" spans="1:1">
      <c r="A3" t="s">
        <v>42878</v>
      </c>
    </row>
    <row r="4" spans="1:1">
      <c r="A4" t="s">
        <v>42879</v>
      </c>
    </row>
    <row r="5" spans="1:1">
      <c r="A5" t="s">
        <v>42880</v>
      </c>
    </row>
    <row r="6" spans="1:1">
      <c r="A6" t="s">
        <v>42881</v>
      </c>
    </row>
    <row r="7" spans="1:1">
      <c r="A7" t="s">
        <v>42882</v>
      </c>
    </row>
    <row r="8" spans="1:1">
      <c r="A8" t="s">
        <v>42883</v>
      </c>
    </row>
    <row r="9" spans="1:1">
      <c r="A9" t="s">
        <v>42884</v>
      </c>
    </row>
    <row r="10" spans="1:1">
      <c r="A10" t="s">
        <v>42885</v>
      </c>
    </row>
    <row r="11" spans="1:1">
      <c r="A11" t="s">
        <v>42886</v>
      </c>
    </row>
    <row r="12" spans="1:1">
      <c r="A12" t="s">
        <v>42887</v>
      </c>
    </row>
    <row r="13" spans="1:1">
      <c r="A13" t="s">
        <v>42888</v>
      </c>
    </row>
    <row r="14" spans="1:1">
      <c r="A14" t="s">
        <v>42889</v>
      </c>
    </row>
    <row r="15" spans="1:1">
      <c r="A15" t="s">
        <v>42890</v>
      </c>
    </row>
    <row r="16" spans="1:1">
      <c r="A16" t="s">
        <v>42891</v>
      </c>
    </row>
    <row r="17" spans="1:1">
      <c r="A17" t="s">
        <v>42892</v>
      </c>
    </row>
    <row r="18" spans="1:1">
      <c r="A18" t="s">
        <v>42893</v>
      </c>
    </row>
    <row r="19" spans="1:1">
      <c r="A19" t="s">
        <v>42894</v>
      </c>
    </row>
    <row r="20" spans="1:1">
      <c r="A20" t="s">
        <v>42895</v>
      </c>
    </row>
    <row r="21" spans="1:1">
      <c r="A21" t="s">
        <v>42896</v>
      </c>
    </row>
    <row r="22" spans="1:1">
      <c r="A22" t="s">
        <v>42897</v>
      </c>
    </row>
    <row r="23" spans="1:1">
      <c r="A23" t="s">
        <v>42898</v>
      </c>
    </row>
    <row r="24" spans="1:1">
      <c r="A24" t="s">
        <v>42899</v>
      </c>
    </row>
    <row r="25" spans="1:1">
      <c r="A25" t="s">
        <v>42900</v>
      </c>
    </row>
    <row r="26" spans="1:1">
      <c r="A26" t="s">
        <v>42901</v>
      </c>
    </row>
    <row r="27" spans="1:1">
      <c r="A27" t="s">
        <v>42902</v>
      </c>
    </row>
    <row r="28" spans="1:1">
      <c r="A28" t="s">
        <v>42903</v>
      </c>
    </row>
    <row r="29" spans="1:1">
      <c r="A29" t="s">
        <v>42904</v>
      </c>
    </row>
    <row r="30" spans="1:1">
      <c r="A30" t="s">
        <v>42905</v>
      </c>
    </row>
    <row r="31" spans="1:1">
      <c r="A31" t="s">
        <v>42906</v>
      </c>
    </row>
    <row r="32" spans="1:1">
      <c r="A32" t="s">
        <v>42907</v>
      </c>
    </row>
    <row r="33" spans="1:1">
      <c r="A33" t="s">
        <v>42908</v>
      </c>
    </row>
    <row r="34" spans="1:1">
      <c r="A34" t="s">
        <v>42909</v>
      </c>
    </row>
    <row r="35" spans="1:1">
      <c r="A35" t="s">
        <v>42910</v>
      </c>
    </row>
    <row r="36" spans="1:1">
      <c r="A36" t="s">
        <v>42911</v>
      </c>
    </row>
    <row r="37" spans="1:1">
      <c r="A37" t="s">
        <v>42912</v>
      </c>
    </row>
    <row r="38" spans="1:1">
      <c r="A38" t="s">
        <v>42913</v>
      </c>
    </row>
    <row r="39" spans="1:1">
      <c r="A39" t="s">
        <v>42914</v>
      </c>
    </row>
    <row r="40" spans="1:1">
      <c r="A40" t="s">
        <v>42915</v>
      </c>
    </row>
    <row r="41" spans="1:1">
      <c r="A41" t="s">
        <v>42916</v>
      </c>
    </row>
    <row r="42" spans="1:1">
      <c r="A42" t="s">
        <v>42917</v>
      </c>
    </row>
    <row r="43" spans="1:1">
      <c r="A43" t="s">
        <v>42918</v>
      </c>
    </row>
    <row r="44" spans="1:1">
      <c r="A44" t="s">
        <v>42919</v>
      </c>
    </row>
    <row r="45" spans="1:1">
      <c r="A45" t="s">
        <v>42920</v>
      </c>
    </row>
    <row r="46" spans="1:1">
      <c r="A46" t="s">
        <v>42921</v>
      </c>
    </row>
    <row r="47" spans="1:1">
      <c r="A47" t="s">
        <v>42922</v>
      </c>
    </row>
    <row r="48" spans="1:1">
      <c r="A48" t="s">
        <v>42923</v>
      </c>
    </row>
    <row r="49" spans="1:1">
      <c r="A49" t="s">
        <v>42924</v>
      </c>
    </row>
    <row r="50" spans="1:1">
      <c r="A50" t="s">
        <v>42925</v>
      </c>
    </row>
    <row r="51" spans="1:1">
      <c r="A51" t="s">
        <v>42926</v>
      </c>
    </row>
    <row r="52" spans="1:1">
      <c r="A52" t="s">
        <v>42927</v>
      </c>
    </row>
    <row r="53" spans="1:1">
      <c r="A53" t="s">
        <v>42928</v>
      </c>
    </row>
    <row r="54" spans="1:1">
      <c r="A54" t="s">
        <v>42929</v>
      </c>
    </row>
    <row r="55" spans="1:1">
      <c r="A55" t="s">
        <v>42930</v>
      </c>
    </row>
    <row r="56" spans="1:1">
      <c r="A56" t="s">
        <v>42931</v>
      </c>
    </row>
    <row r="57" spans="1:1">
      <c r="A57" t="s">
        <v>42932</v>
      </c>
    </row>
    <row r="58" spans="1:1">
      <c r="A58" t="s">
        <v>42933</v>
      </c>
    </row>
    <row r="59" spans="1:1">
      <c r="A59" t="s">
        <v>42934</v>
      </c>
    </row>
    <row r="60" spans="1:1">
      <c r="A60" t="s">
        <v>42935</v>
      </c>
    </row>
    <row r="61" spans="1:1">
      <c r="A61" t="s">
        <v>42936</v>
      </c>
    </row>
    <row r="62" spans="1:1">
      <c r="A62" t="s">
        <v>42937</v>
      </c>
    </row>
    <row r="63" spans="1:1">
      <c r="A63" t="s">
        <v>42938</v>
      </c>
    </row>
    <row r="64" spans="1:1">
      <c r="A64" t="s">
        <v>42939</v>
      </c>
    </row>
    <row r="65" spans="1:1">
      <c r="A65" t="s">
        <v>42940</v>
      </c>
    </row>
    <row r="66" spans="1:1">
      <c r="A66" t="s">
        <v>42941</v>
      </c>
    </row>
    <row r="67" spans="1:1">
      <c r="A67" t="s">
        <v>42942</v>
      </c>
    </row>
    <row r="68" spans="1:1">
      <c r="A68" t="s">
        <v>42943</v>
      </c>
    </row>
    <row r="69" spans="1:1">
      <c r="A69" t="s">
        <v>42944</v>
      </c>
    </row>
    <row r="70" spans="1:1">
      <c r="A70" t="s">
        <v>42945</v>
      </c>
    </row>
    <row r="71" spans="1:1">
      <c r="A71" t="s">
        <v>42946</v>
      </c>
    </row>
    <row r="72" spans="1:1">
      <c r="A72" t="s">
        <v>42947</v>
      </c>
    </row>
    <row r="73" spans="1:1">
      <c r="A73" t="s">
        <v>42948</v>
      </c>
    </row>
    <row r="74" spans="1:1">
      <c r="A74" t="s">
        <v>42949</v>
      </c>
    </row>
    <row r="75" spans="1:1">
      <c r="A75" t="s">
        <v>42950</v>
      </c>
    </row>
    <row r="76" spans="1:1">
      <c r="A76" t="s">
        <v>42951</v>
      </c>
    </row>
    <row r="77" spans="1:1">
      <c r="A77" t="s">
        <v>42952</v>
      </c>
    </row>
    <row r="78" spans="1:1">
      <c r="A78" t="s">
        <v>42953</v>
      </c>
    </row>
    <row r="79" spans="1:1">
      <c r="A79" t="s">
        <v>42954</v>
      </c>
    </row>
    <row r="80" spans="1:1">
      <c r="A80" t="s">
        <v>42955</v>
      </c>
    </row>
    <row r="81" spans="1:1">
      <c r="A81" t="s">
        <v>42956</v>
      </c>
    </row>
    <row r="82" spans="1:1">
      <c r="A82" t="s">
        <v>42957</v>
      </c>
    </row>
    <row r="83" spans="1:1">
      <c r="A83" t="s">
        <v>42958</v>
      </c>
    </row>
    <row r="84" spans="1:1">
      <c r="A84" t="s">
        <v>42959</v>
      </c>
    </row>
    <row r="85" spans="1:1">
      <c r="A85" t="s">
        <v>42960</v>
      </c>
    </row>
    <row r="86" spans="1:1">
      <c r="A86" t="s">
        <v>42961</v>
      </c>
    </row>
    <row r="87" spans="1:1">
      <c r="A87" t="s">
        <v>42962</v>
      </c>
    </row>
    <row r="88" spans="1:1">
      <c r="A88" t="s">
        <v>42963</v>
      </c>
    </row>
    <row r="89" spans="1:1">
      <c r="A89" t="s">
        <v>42964</v>
      </c>
    </row>
    <row r="90" spans="1:1">
      <c r="A90" t="s">
        <v>42965</v>
      </c>
    </row>
    <row r="91" spans="1:1">
      <c r="A91" t="s">
        <v>42966</v>
      </c>
    </row>
    <row r="92" spans="1:1">
      <c r="A92" t="s">
        <v>42967</v>
      </c>
    </row>
    <row r="93" spans="1:1">
      <c r="A93" t="s">
        <v>42968</v>
      </c>
    </row>
    <row r="94" spans="1:1">
      <c r="A94" t="s">
        <v>42969</v>
      </c>
    </row>
    <row r="95" spans="1:1">
      <c r="A95" t="s">
        <v>42970</v>
      </c>
    </row>
    <row r="96" spans="1:1">
      <c r="A96" t="s">
        <v>42971</v>
      </c>
    </row>
    <row r="97" spans="1:1">
      <c r="A97" t="s">
        <v>42972</v>
      </c>
    </row>
    <row r="98" spans="1:1">
      <c r="A98" t="s">
        <v>42973</v>
      </c>
    </row>
    <row r="99" spans="1:1">
      <c r="A99" t="s">
        <v>42974</v>
      </c>
    </row>
    <row r="100" spans="1:1">
      <c r="A100" t="s">
        <v>42975</v>
      </c>
    </row>
    <row r="101" spans="1:1">
      <c r="A101" t="s">
        <v>42976</v>
      </c>
    </row>
    <row r="102" spans="1:1">
      <c r="A102" t="s">
        <v>42977</v>
      </c>
    </row>
    <row r="103" spans="1:1">
      <c r="A103" t="s">
        <v>42978</v>
      </c>
    </row>
    <row r="104" spans="1:1">
      <c r="A104" t="s">
        <v>42979</v>
      </c>
    </row>
    <row r="105" spans="1:1">
      <c r="A105" t="s">
        <v>42980</v>
      </c>
    </row>
    <row r="106" spans="1:1">
      <c r="A106" t="s">
        <v>42981</v>
      </c>
    </row>
    <row r="107" spans="1:1">
      <c r="A107" t="s">
        <v>42982</v>
      </c>
    </row>
    <row r="108" spans="1:1">
      <c r="A108" t="s">
        <v>42983</v>
      </c>
    </row>
    <row r="109" spans="1:1">
      <c r="A109" t="s">
        <v>42984</v>
      </c>
    </row>
    <row r="110" spans="1:1">
      <c r="A110" t="s">
        <v>42985</v>
      </c>
    </row>
    <row r="111" spans="1:1">
      <c r="A111" t="s">
        <v>42986</v>
      </c>
    </row>
    <row r="112" spans="1:1">
      <c r="A112" t="s">
        <v>42987</v>
      </c>
    </row>
    <row r="113" spans="1:1">
      <c r="A113" t="s">
        <v>42988</v>
      </c>
    </row>
    <row r="114" spans="1:1">
      <c r="A114" t="s">
        <v>42989</v>
      </c>
    </row>
    <row r="115" spans="1:1">
      <c r="A115" t="s">
        <v>42990</v>
      </c>
    </row>
    <row r="116" spans="1:1">
      <c r="A116" t="s">
        <v>42991</v>
      </c>
    </row>
    <row r="117" spans="1:1">
      <c r="A117" t="s">
        <v>42992</v>
      </c>
    </row>
    <row r="118" spans="1:1">
      <c r="A118" t="s">
        <v>42993</v>
      </c>
    </row>
    <row r="119" spans="1:1">
      <c r="A119" t="s">
        <v>42994</v>
      </c>
    </row>
    <row r="120" spans="1:1">
      <c r="A120" t="s">
        <v>42995</v>
      </c>
    </row>
    <row r="121" spans="1:1">
      <c r="A121" t="s">
        <v>42996</v>
      </c>
    </row>
    <row r="122" spans="1:1">
      <c r="A122" t="s">
        <v>42997</v>
      </c>
    </row>
    <row r="123" spans="1:1">
      <c r="A123" t="s">
        <v>42998</v>
      </c>
    </row>
    <row r="124" spans="1:1">
      <c r="A124" t="s">
        <v>42999</v>
      </c>
    </row>
    <row r="125" spans="1:1">
      <c r="A125" t="s">
        <v>43000</v>
      </c>
    </row>
    <row r="126" spans="1:1">
      <c r="A126" t="s">
        <v>43001</v>
      </c>
    </row>
    <row r="127" spans="1:1">
      <c r="A127" t="s">
        <v>43002</v>
      </c>
    </row>
    <row r="128" spans="1:1">
      <c r="A128" t="s">
        <v>43003</v>
      </c>
    </row>
    <row r="129" spans="1:1">
      <c r="A129" t="s">
        <v>43004</v>
      </c>
    </row>
    <row r="130" spans="1:1">
      <c r="A130" t="s">
        <v>43005</v>
      </c>
    </row>
    <row r="131" spans="1:1">
      <c r="A131" t="s">
        <v>43006</v>
      </c>
    </row>
    <row r="132" spans="1:1">
      <c r="A132" t="s">
        <v>43007</v>
      </c>
    </row>
    <row r="133" spans="1:1">
      <c r="A133" t="s">
        <v>43008</v>
      </c>
    </row>
    <row r="134" spans="1:1">
      <c r="A134" t="s">
        <v>43009</v>
      </c>
    </row>
    <row r="135" spans="1:1">
      <c r="A135" t="s">
        <v>43010</v>
      </c>
    </row>
    <row r="136" spans="1:1">
      <c r="A136" t="s">
        <v>43011</v>
      </c>
    </row>
    <row r="137" spans="1:1">
      <c r="A137" t="s">
        <v>43012</v>
      </c>
    </row>
    <row r="138" spans="1:1">
      <c r="A138" t="s">
        <v>43013</v>
      </c>
    </row>
    <row r="139" spans="1:1">
      <c r="A139" t="s">
        <v>43014</v>
      </c>
    </row>
    <row r="140" spans="1:1">
      <c r="A140" t="s">
        <v>43015</v>
      </c>
    </row>
    <row r="141" spans="1:1">
      <c r="A141" t="s">
        <v>43016</v>
      </c>
    </row>
    <row r="142" spans="1:1">
      <c r="A142" t="s">
        <v>43017</v>
      </c>
    </row>
    <row r="143" spans="1:1">
      <c r="A143" t="s">
        <v>43018</v>
      </c>
    </row>
    <row r="144" spans="1:1">
      <c r="A144" t="s">
        <v>43019</v>
      </c>
    </row>
    <row r="145" spans="1:1">
      <c r="A145" t="s">
        <v>43020</v>
      </c>
    </row>
    <row r="146" spans="1:1">
      <c r="A146" t="s">
        <v>43021</v>
      </c>
    </row>
    <row r="147" spans="1:1">
      <c r="A147" t="s">
        <v>43022</v>
      </c>
    </row>
    <row r="148" spans="1:1">
      <c r="A148" t="s">
        <v>43023</v>
      </c>
    </row>
    <row r="149" spans="1:1">
      <c r="A149" t="s">
        <v>43024</v>
      </c>
    </row>
    <row r="150" spans="1:1">
      <c r="A150" t="s">
        <v>43025</v>
      </c>
    </row>
    <row r="151" spans="1:1">
      <c r="A151" t="s">
        <v>43026</v>
      </c>
    </row>
    <row r="152" spans="1:1">
      <c r="A152" t="s">
        <v>43027</v>
      </c>
    </row>
    <row r="153" spans="1:1">
      <c r="A153" t="s">
        <v>43028</v>
      </c>
    </row>
    <row r="154" spans="1:1">
      <c r="A154" t="s">
        <v>43029</v>
      </c>
    </row>
    <row r="155" spans="1:1">
      <c r="A155" t="s">
        <v>43030</v>
      </c>
    </row>
    <row r="156" spans="1:1">
      <c r="A156" t="s">
        <v>43031</v>
      </c>
    </row>
    <row r="157" spans="1:1">
      <c r="A157" t="s">
        <v>43032</v>
      </c>
    </row>
    <row r="158" spans="1:1">
      <c r="A158" t="s">
        <v>43033</v>
      </c>
    </row>
    <row r="159" spans="1:1">
      <c r="A159" t="s">
        <v>43034</v>
      </c>
    </row>
    <row r="160" spans="1:1">
      <c r="A160" t="s">
        <v>43035</v>
      </c>
    </row>
    <row r="161" spans="1:1">
      <c r="A161" t="s">
        <v>43036</v>
      </c>
    </row>
    <row r="162" spans="1:1">
      <c r="A162" t="s">
        <v>43037</v>
      </c>
    </row>
    <row r="163" spans="1:1">
      <c r="A163" t="s">
        <v>43038</v>
      </c>
    </row>
    <row r="164" spans="1:1">
      <c r="A164" t="s">
        <v>43039</v>
      </c>
    </row>
    <row r="165" spans="1:1">
      <c r="A165" t="s">
        <v>43040</v>
      </c>
    </row>
    <row r="166" spans="1:1">
      <c r="A166" t="s">
        <v>43041</v>
      </c>
    </row>
    <row r="167" spans="1:1">
      <c r="A167" t="s">
        <v>43042</v>
      </c>
    </row>
    <row r="168" spans="1:1">
      <c r="A168" t="s">
        <v>43043</v>
      </c>
    </row>
    <row r="169" spans="1:1">
      <c r="A169" t="s">
        <v>43044</v>
      </c>
    </row>
    <row r="170" spans="1:1">
      <c r="A170" t="s">
        <v>43045</v>
      </c>
    </row>
    <row r="171" spans="1:1">
      <c r="A171" t="s">
        <v>43046</v>
      </c>
    </row>
    <row r="172" spans="1:1">
      <c r="A172" t="s">
        <v>43047</v>
      </c>
    </row>
    <row r="173" spans="1:1">
      <c r="A173" t="s">
        <v>43048</v>
      </c>
    </row>
    <row r="174" spans="1:1">
      <c r="A174" t="s">
        <v>43049</v>
      </c>
    </row>
    <row r="175" spans="1:1">
      <c r="A175" t="s">
        <v>42942</v>
      </c>
    </row>
    <row r="176" spans="1:1">
      <c r="A176" t="s">
        <v>43050</v>
      </c>
    </row>
    <row r="177" spans="1:1">
      <c r="A177" t="s">
        <v>43051</v>
      </c>
    </row>
    <row r="178" spans="1:1">
      <c r="A178" t="s">
        <v>42945</v>
      </c>
    </row>
    <row r="179" spans="1:1">
      <c r="A179" t="s">
        <v>43052</v>
      </c>
    </row>
    <row r="180" spans="1:1">
      <c r="A180" t="s">
        <v>43053</v>
      </c>
    </row>
    <row r="181" spans="1:1">
      <c r="A181" t="s">
        <v>43054</v>
      </c>
    </row>
    <row r="182" spans="1:1">
      <c r="A182" t="s">
        <v>43055</v>
      </c>
    </row>
    <row r="183" spans="1:1">
      <c r="A183" t="s">
        <v>43056</v>
      </c>
    </row>
    <row r="184" spans="1:1">
      <c r="A184" t="s">
        <v>43057</v>
      </c>
    </row>
    <row r="185" spans="1:1">
      <c r="A185" t="s">
        <v>43058</v>
      </c>
    </row>
    <row r="186" spans="1:1">
      <c r="A186" t="s">
        <v>43059</v>
      </c>
    </row>
    <row r="187" spans="1:1">
      <c r="A187" t="s">
        <v>43060</v>
      </c>
    </row>
    <row r="188" spans="1:1">
      <c r="A188" t="s">
        <v>43061</v>
      </c>
    </row>
    <row r="189" spans="1:1">
      <c r="A189" t="s">
        <v>43062</v>
      </c>
    </row>
    <row r="190" spans="1:1">
      <c r="A190" t="s">
        <v>43063</v>
      </c>
    </row>
    <row r="191" spans="1:1">
      <c r="A191" t="s">
        <v>43064</v>
      </c>
    </row>
    <row r="192" spans="1:1">
      <c r="A192" t="s">
        <v>43065</v>
      </c>
    </row>
    <row r="193" spans="1:1">
      <c r="A193" t="s">
        <v>43066</v>
      </c>
    </row>
    <row r="194" spans="1:1">
      <c r="A194" t="s">
        <v>43067</v>
      </c>
    </row>
    <row r="195" spans="1:1">
      <c r="A195" t="s">
        <v>43068</v>
      </c>
    </row>
    <row r="196" spans="1:1">
      <c r="A196" t="s">
        <v>43069</v>
      </c>
    </row>
    <row r="197" spans="1:1">
      <c r="A197" t="s">
        <v>43070</v>
      </c>
    </row>
    <row r="198" spans="1:1">
      <c r="A198" t="s">
        <v>43071</v>
      </c>
    </row>
    <row r="199" spans="1:1">
      <c r="A199" t="s">
        <v>43072</v>
      </c>
    </row>
    <row r="200" spans="1:1">
      <c r="A200" t="s">
        <v>43073</v>
      </c>
    </row>
    <row r="201" spans="1:1">
      <c r="A201" t="s">
        <v>43074</v>
      </c>
    </row>
    <row r="202" spans="1:1">
      <c r="A202" t="s">
        <v>43075</v>
      </c>
    </row>
    <row r="203" spans="1:1">
      <c r="A203" t="s">
        <v>43076</v>
      </c>
    </row>
    <row r="204" spans="1:1">
      <c r="A204" t="s">
        <v>43077</v>
      </c>
    </row>
    <row r="205" spans="1:1">
      <c r="A205" t="s">
        <v>43078</v>
      </c>
    </row>
    <row r="206" spans="1:1">
      <c r="A206" t="s">
        <v>43079</v>
      </c>
    </row>
    <row r="207" spans="1:1">
      <c r="A207" t="s">
        <v>43080</v>
      </c>
    </row>
    <row r="208" spans="1:1">
      <c r="A208" t="s">
        <v>43081</v>
      </c>
    </row>
    <row r="209" spans="1:1">
      <c r="A209" t="s">
        <v>43082</v>
      </c>
    </row>
    <row r="210" spans="1:1">
      <c r="A210" t="s">
        <v>43083</v>
      </c>
    </row>
    <row r="211" spans="1:1">
      <c r="A211" t="s">
        <v>43084</v>
      </c>
    </row>
    <row r="212" spans="1:1">
      <c r="A212" t="s">
        <v>43085</v>
      </c>
    </row>
    <row r="213" spans="1:1">
      <c r="A213" t="s">
        <v>43086</v>
      </c>
    </row>
    <row r="214" spans="1:1">
      <c r="A214" t="s">
        <v>43087</v>
      </c>
    </row>
    <row r="215" spans="1:1">
      <c r="A215" t="s">
        <v>43088</v>
      </c>
    </row>
    <row r="216" spans="1:1">
      <c r="A216" t="s">
        <v>43089</v>
      </c>
    </row>
    <row r="217" spans="1:1">
      <c r="A217" t="s">
        <v>43090</v>
      </c>
    </row>
    <row r="218" spans="1:1">
      <c r="A218" t="s">
        <v>43091</v>
      </c>
    </row>
    <row r="219" spans="1:1">
      <c r="A219" t="s">
        <v>43092</v>
      </c>
    </row>
    <row r="220" spans="1:1">
      <c r="A220" t="s">
        <v>43093</v>
      </c>
    </row>
    <row r="221" spans="1:1">
      <c r="A221" t="s">
        <v>43094</v>
      </c>
    </row>
    <row r="222" spans="1:1">
      <c r="A222" t="s">
        <v>43095</v>
      </c>
    </row>
    <row r="223" spans="1:1">
      <c r="A223" t="s">
        <v>43096</v>
      </c>
    </row>
    <row r="224" spans="1:1">
      <c r="A224" t="s">
        <v>43097</v>
      </c>
    </row>
    <row r="225" spans="1:1">
      <c r="A225" t="s">
        <v>43098</v>
      </c>
    </row>
    <row r="226" spans="1:1">
      <c r="A226" t="s">
        <v>43099</v>
      </c>
    </row>
    <row r="227" spans="1:1">
      <c r="A227" t="s">
        <v>43100</v>
      </c>
    </row>
    <row r="228" spans="1:1">
      <c r="A228" t="s">
        <v>43101</v>
      </c>
    </row>
    <row r="229" spans="1:1">
      <c r="A229" t="s">
        <v>43102</v>
      </c>
    </row>
    <row r="230" spans="1:1">
      <c r="A230" t="s">
        <v>43103</v>
      </c>
    </row>
    <row r="231" spans="1:1">
      <c r="A231" t="s">
        <v>43104</v>
      </c>
    </row>
    <row r="232" spans="1:1">
      <c r="A232" t="s">
        <v>43105</v>
      </c>
    </row>
    <row r="233" spans="1:1">
      <c r="A233" t="s">
        <v>43106</v>
      </c>
    </row>
    <row r="234" spans="1:1">
      <c r="A234" t="s">
        <v>43107</v>
      </c>
    </row>
    <row r="235" spans="1:1">
      <c r="A235" t="s">
        <v>43108</v>
      </c>
    </row>
    <row r="236" spans="1:1">
      <c r="A236" t="s">
        <v>43109</v>
      </c>
    </row>
    <row r="237" spans="1:1">
      <c r="A237" t="s">
        <v>43110</v>
      </c>
    </row>
    <row r="238" spans="1:1">
      <c r="A238" t="s">
        <v>43111</v>
      </c>
    </row>
    <row r="239" spans="1:1">
      <c r="A239" t="s">
        <v>43112</v>
      </c>
    </row>
    <row r="240" spans="1:1">
      <c r="A240" t="s">
        <v>43113</v>
      </c>
    </row>
    <row r="241" spans="1:1">
      <c r="A241" t="s">
        <v>43114</v>
      </c>
    </row>
    <row r="242" spans="1:1">
      <c r="A242" t="s">
        <v>43115</v>
      </c>
    </row>
    <row r="243" spans="1:1">
      <c r="A243" t="s">
        <v>43116</v>
      </c>
    </row>
    <row r="244" spans="1:1">
      <c r="A244" t="s">
        <v>43117</v>
      </c>
    </row>
    <row r="245" spans="1:1">
      <c r="A245" t="s">
        <v>43118</v>
      </c>
    </row>
    <row r="246" spans="1:1">
      <c r="A246" t="s">
        <v>43119</v>
      </c>
    </row>
    <row r="247" spans="1:1">
      <c r="A247" t="s">
        <v>43120</v>
      </c>
    </row>
    <row r="248" spans="1:1">
      <c r="A248" t="s">
        <v>43121</v>
      </c>
    </row>
    <row r="249" spans="1:1">
      <c r="A249" t="s">
        <v>43122</v>
      </c>
    </row>
    <row r="250" spans="1:1">
      <c r="A250" t="s">
        <v>43123</v>
      </c>
    </row>
    <row r="251" spans="1:1">
      <c r="A251" t="s">
        <v>43124</v>
      </c>
    </row>
    <row r="252" spans="1:1">
      <c r="A252" t="s">
        <v>43125</v>
      </c>
    </row>
    <row r="253" spans="1:1">
      <c r="A253" t="s">
        <v>43126</v>
      </c>
    </row>
    <row r="254" spans="1:1">
      <c r="A254" t="s">
        <v>43127</v>
      </c>
    </row>
    <row r="255" spans="1:1">
      <c r="A255" t="s">
        <v>43128</v>
      </c>
    </row>
    <row r="256" spans="1:1">
      <c r="A256" t="s">
        <v>43129</v>
      </c>
    </row>
    <row r="257" spans="1:1">
      <c r="A257" t="s">
        <v>43130</v>
      </c>
    </row>
    <row r="258" spans="1:1">
      <c r="A258" t="s">
        <v>43131</v>
      </c>
    </row>
    <row r="259" spans="1:1">
      <c r="A259" t="s">
        <v>43132</v>
      </c>
    </row>
    <row r="260" spans="1:1">
      <c r="A260" t="s">
        <v>43133</v>
      </c>
    </row>
    <row r="261" spans="1:1">
      <c r="A261" t="s">
        <v>43134</v>
      </c>
    </row>
    <row r="262" spans="1:1">
      <c r="A262" t="s">
        <v>43135</v>
      </c>
    </row>
    <row r="263" spans="1:1">
      <c r="A263" t="s">
        <v>43136</v>
      </c>
    </row>
    <row r="264" spans="1:1">
      <c r="A264" t="s">
        <v>43137</v>
      </c>
    </row>
    <row r="265" spans="1:1">
      <c r="A265" t="s">
        <v>43138</v>
      </c>
    </row>
    <row r="266" spans="1:1">
      <c r="A266" t="s">
        <v>43139</v>
      </c>
    </row>
    <row r="267" spans="1:1">
      <c r="A267" t="s">
        <v>43140</v>
      </c>
    </row>
    <row r="268" spans="1:1">
      <c r="A268" t="s">
        <v>43141</v>
      </c>
    </row>
    <row r="269" spans="1:1">
      <c r="A269" t="s">
        <v>43142</v>
      </c>
    </row>
    <row r="270" spans="1:1">
      <c r="A270" t="s">
        <v>43143</v>
      </c>
    </row>
    <row r="271" spans="1:1">
      <c r="A271" t="s">
        <v>43144</v>
      </c>
    </row>
    <row r="272" spans="1:1">
      <c r="A272" t="s">
        <v>43145</v>
      </c>
    </row>
    <row r="273" spans="1:1">
      <c r="A273" t="s">
        <v>43146</v>
      </c>
    </row>
    <row r="274" spans="1:1">
      <c r="A274" t="s">
        <v>43147</v>
      </c>
    </row>
    <row r="275" spans="1:1">
      <c r="A275" t="s">
        <v>43148</v>
      </c>
    </row>
    <row r="276" spans="1:1">
      <c r="A276" t="s">
        <v>43149</v>
      </c>
    </row>
    <row r="277" spans="1:1">
      <c r="A277" t="s">
        <v>43150</v>
      </c>
    </row>
    <row r="278" spans="1:1">
      <c r="A278" t="s">
        <v>43151</v>
      </c>
    </row>
    <row r="279" spans="1:1">
      <c r="A279" t="s">
        <v>43152</v>
      </c>
    </row>
    <row r="280" spans="1:1">
      <c r="A280" t="s">
        <v>43153</v>
      </c>
    </row>
    <row r="281" spans="1:1">
      <c r="A281" t="s">
        <v>43154</v>
      </c>
    </row>
    <row r="282" spans="1:1">
      <c r="A282" t="s">
        <v>43155</v>
      </c>
    </row>
    <row r="283" spans="1:1">
      <c r="A283" t="s">
        <v>43156</v>
      </c>
    </row>
    <row r="284" spans="1:1">
      <c r="A284" t="s">
        <v>43157</v>
      </c>
    </row>
    <row r="285" spans="1:1">
      <c r="A285" t="s">
        <v>43158</v>
      </c>
    </row>
    <row r="286" spans="1:1">
      <c r="A286" t="s">
        <v>43159</v>
      </c>
    </row>
    <row r="287" spans="1:1">
      <c r="A287" t="s">
        <v>43160</v>
      </c>
    </row>
    <row r="288" spans="1:1">
      <c r="A288" t="s">
        <v>43161</v>
      </c>
    </row>
    <row r="289" spans="1:1">
      <c r="A289" t="s">
        <v>43162</v>
      </c>
    </row>
    <row r="290" spans="1:1">
      <c r="A290" t="s">
        <v>43163</v>
      </c>
    </row>
    <row r="291" spans="1:1">
      <c r="A291" t="s">
        <v>43164</v>
      </c>
    </row>
    <row r="292" spans="1:1">
      <c r="A292" t="s">
        <v>43165</v>
      </c>
    </row>
    <row r="293" spans="1:1">
      <c r="A293" t="s">
        <v>43166</v>
      </c>
    </row>
    <row r="294" spans="1:1">
      <c r="A294" t="s">
        <v>43167</v>
      </c>
    </row>
    <row r="295" spans="1:1">
      <c r="A295" t="s">
        <v>43168</v>
      </c>
    </row>
    <row r="296" spans="1:1">
      <c r="A296" t="s">
        <v>43169</v>
      </c>
    </row>
    <row r="297" spans="1:1">
      <c r="A297" t="s">
        <v>43170</v>
      </c>
    </row>
    <row r="298" spans="1:1">
      <c r="A298" t="s">
        <v>43171</v>
      </c>
    </row>
    <row r="299" spans="1:1">
      <c r="A299" t="s">
        <v>43172</v>
      </c>
    </row>
    <row r="300" spans="1:1">
      <c r="A300" t="s">
        <v>43173</v>
      </c>
    </row>
    <row r="301" spans="1:1">
      <c r="A301" t="s">
        <v>43174</v>
      </c>
    </row>
    <row r="302" spans="1:1">
      <c r="A302" t="s">
        <v>43175</v>
      </c>
    </row>
    <row r="303" spans="1:1">
      <c r="A303" t="s">
        <v>43176</v>
      </c>
    </row>
    <row r="304" spans="1:1">
      <c r="A304" t="s">
        <v>43177</v>
      </c>
    </row>
    <row r="305" spans="1:1">
      <c r="A305" t="s">
        <v>43178</v>
      </c>
    </row>
    <row r="306" spans="1:1">
      <c r="A306" t="s">
        <v>43179</v>
      </c>
    </row>
    <row r="307" spans="1:1">
      <c r="A307" t="s">
        <v>43180</v>
      </c>
    </row>
    <row r="308" spans="1:1">
      <c r="A308" t="s">
        <v>43181</v>
      </c>
    </row>
    <row r="309" spans="1:1">
      <c r="A309" t="s">
        <v>43182</v>
      </c>
    </row>
    <row r="310" spans="1:1">
      <c r="A310" t="s">
        <v>43183</v>
      </c>
    </row>
    <row r="311" spans="1:1">
      <c r="A311" t="s">
        <v>43184</v>
      </c>
    </row>
    <row r="312" spans="1:1">
      <c r="A312" t="s">
        <v>43185</v>
      </c>
    </row>
    <row r="313" spans="1:1">
      <c r="A313" t="s">
        <v>43186</v>
      </c>
    </row>
    <row r="314" spans="1:1">
      <c r="A314" t="s">
        <v>43187</v>
      </c>
    </row>
    <row r="315" spans="1:1">
      <c r="A315" t="s">
        <v>43188</v>
      </c>
    </row>
    <row r="316" spans="1:1">
      <c r="A316" t="s">
        <v>43189</v>
      </c>
    </row>
    <row r="317" spans="1:1">
      <c r="A317" t="s">
        <v>43190</v>
      </c>
    </row>
    <row r="318" spans="1:1">
      <c r="A318" t="s">
        <v>43191</v>
      </c>
    </row>
    <row r="319" spans="1:1">
      <c r="A319" t="s">
        <v>43192</v>
      </c>
    </row>
    <row r="320" spans="1:1">
      <c r="A320" t="s">
        <v>43193</v>
      </c>
    </row>
    <row r="321" spans="1:1">
      <c r="A321" t="s">
        <v>43194</v>
      </c>
    </row>
    <row r="322" spans="1:1">
      <c r="A322" t="s">
        <v>43195</v>
      </c>
    </row>
    <row r="323" spans="1:1">
      <c r="A323" t="s">
        <v>43196</v>
      </c>
    </row>
    <row r="324" spans="1:1">
      <c r="A324" t="s">
        <v>43197</v>
      </c>
    </row>
    <row r="325" spans="1:1">
      <c r="A325" t="s">
        <v>43198</v>
      </c>
    </row>
    <row r="326" spans="1:1">
      <c r="A326" t="s">
        <v>43199</v>
      </c>
    </row>
    <row r="327" spans="1:1">
      <c r="A327" t="s">
        <v>43200</v>
      </c>
    </row>
    <row r="328" spans="1:1">
      <c r="A328" t="s">
        <v>43201</v>
      </c>
    </row>
    <row r="329" spans="1:1">
      <c r="A329" t="s">
        <v>43202</v>
      </c>
    </row>
    <row r="330" spans="1:1">
      <c r="A330" t="s">
        <v>43203</v>
      </c>
    </row>
    <row r="331" spans="1:1">
      <c r="A331" t="s">
        <v>43204</v>
      </c>
    </row>
    <row r="332" spans="1:1">
      <c r="A332" t="s">
        <v>43205</v>
      </c>
    </row>
    <row r="333" spans="1:1">
      <c r="A333" t="s">
        <v>43206</v>
      </c>
    </row>
    <row r="334" spans="1:1">
      <c r="A334" t="s">
        <v>43207</v>
      </c>
    </row>
    <row r="335" spans="1:1">
      <c r="A335" t="s">
        <v>43208</v>
      </c>
    </row>
    <row r="336" spans="1:1">
      <c r="A336" t="s">
        <v>43209</v>
      </c>
    </row>
    <row r="337" spans="1:1">
      <c r="A337" t="s">
        <v>43210</v>
      </c>
    </row>
    <row r="338" spans="1:1">
      <c r="A338" t="s">
        <v>43211</v>
      </c>
    </row>
    <row r="339" spans="1:1">
      <c r="A339" t="s">
        <v>43212</v>
      </c>
    </row>
    <row r="340" spans="1:1">
      <c r="A340" t="s">
        <v>43213</v>
      </c>
    </row>
    <row r="341" spans="1:1">
      <c r="A341" t="s">
        <v>43214</v>
      </c>
    </row>
    <row r="342" spans="1:1">
      <c r="A342" t="s">
        <v>43215</v>
      </c>
    </row>
    <row r="343" spans="1:1">
      <c r="A343" t="s">
        <v>43216</v>
      </c>
    </row>
    <row r="344" spans="1:1">
      <c r="A344" t="s">
        <v>43217</v>
      </c>
    </row>
    <row r="345" spans="1:1">
      <c r="A345" t="s">
        <v>43218</v>
      </c>
    </row>
    <row r="346" spans="1:1">
      <c r="A346" t="s">
        <v>43219</v>
      </c>
    </row>
    <row r="347" spans="1:1">
      <c r="A347" t="s">
        <v>43220</v>
      </c>
    </row>
    <row r="348" spans="1:1">
      <c r="A348" t="s">
        <v>43221</v>
      </c>
    </row>
    <row r="349" spans="1:1">
      <c r="A349" t="s">
        <v>43222</v>
      </c>
    </row>
    <row r="350" spans="1:1">
      <c r="A350" t="s">
        <v>43223</v>
      </c>
    </row>
    <row r="351" spans="1:1">
      <c r="A351" t="s">
        <v>43224</v>
      </c>
    </row>
    <row r="352" spans="1:1">
      <c r="A352" t="s">
        <v>43225</v>
      </c>
    </row>
    <row r="353" spans="1:1">
      <c r="A353" t="s">
        <v>43226</v>
      </c>
    </row>
    <row r="354" spans="1:1">
      <c r="A354" t="s">
        <v>43227</v>
      </c>
    </row>
    <row r="355" spans="1:1">
      <c r="A355" t="s">
        <v>43228</v>
      </c>
    </row>
    <row r="356" spans="1:1">
      <c r="A356" t="s">
        <v>43229</v>
      </c>
    </row>
    <row r="357" spans="1:1">
      <c r="A357" t="s">
        <v>43230</v>
      </c>
    </row>
    <row r="358" spans="1:1">
      <c r="A358" t="s">
        <v>43231</v>
      </c>
    </row>
    <row r="359" spans="1:1">
      <c r="A359" t="s">
        <v>43232</v>
      </c>
    </row>
    <row r="360" spans="1:1">
      <c r="A360" t="s">
        <v>43233</v>
      </c>
    </row>
    <row r="361" spans="1:1">
      <c r="A361" t="s">
        <v>43234</v>
      </c>
    </row>
    <row r="362" spans="1:1">
      <c r="A362" t="s">
        <v>43235</v>
      </c>
    </row>
    <row r="363" spans="1:1">
      <c r="A363" t="s">
        <v>43236</v>
      </c>
    </row>
    <row r="364" spans="1:1">
      <c r="A364" t="s">
        <v>43237</v>
      </c>
    </row>
    <row r="365" spans="1:1">
      <c r="A365" t="s">
        <v>43238</v>
      </c>
    </row>
    <row r="366" spans="1:1">
      <c r="A366" t="s">
        <v>43239</v>
      </c>
    </row>
    <row r="367" spans="1:1">
      <c r="A367" t="s">
        <v>43240</v>
      </c>
    </row>
    <row r="368" spans="1:1">
      <c r="A368" t="s">
        <v>43241</v>
      </c>
    </row>
    <row r="369" spans="1:1">
      <c r="A369" t="s">
        <v>43242</v>
      </c>
    </row>
    <row r="370" spans="1:1">
      <c r="A370" t="s">
        <v>43243</v>
      </c>
    </row>
    <row r="371" spans="1:1">
      <c r="A371" t="s">
        <v>43244</v>
      </c>
    </row>
    <row r="372" spans="1:1">
      <c r="A372" t="s">
        <v>43245</v>
      </c>
    </row>
    <row r="373" spans="1:1">
      <c r="A373" t="s">
        <v>43246</v>
      </c>
    </row>
    <row r="374" spans="1:1">
      <c r="A374" t="s">
        <v>43247</v>
      </c>
    </row>
    <row r="375" spans="1:1">
      <c r="A375" t="s">
        <v>43248</v>
      </c>
    </row>
    <row r="376" spans="1:1">
      <c r="A376" t="s">
        <v>43249</v>
      </c>
    </row>
    <row r="377" spans="1:1">
      <c r="A377" t="s">
        <v>43250</v>
      </c>
    </row>
    <row r="378" spans="1:1">
      <c r="A378" t="s">
        <v>43251</v>
      </c>
    </row>
    <row r="379" spans="1:1">
      <c r="A379" t="s">
        <v>43252</v>
      </c>
    </row>
    <row r="380" spans="1:1">
      <c r="A380" t="s">
        <v>43253</v>
      </c>
    </row>
    <row r="381" spans="1:1">
      <c r="A381" t="s">
        <v>43254</v>
      </c>
    </row>
    <row r="382" spans="1:1">
      <c r="A382" t="s">
        <v>43255</v>
      </c>
    </row>
    <row r="383" spans="1:1">
      <c r="A383" t="s">
        <v>43256</v>
      </c>
    </row>
    <row r="384" spans="1:1">
      <c r="A384" t="s">
        <v>43257</v>
      </c>
    </row>
    <row r="385" spans="1:1">
      <c r="A385" t="s">
        <v>43258</v>
      </c>
    </row>
    <row r="386" spans="1:1">
      <c r="A386" t="s">
        <v>43259</v>
      </c>
    </row>
    <row r="387" spans="1:1">
      <c r="A387" t="s">
        <v>43260</v>
      </c>
    </row>
    <row r="388" spans="1:1">
      <c r="A388" t="s">
        <v>43261</v>
      </c>
    </row>
    <row r="389" spans="1:1">
      <c r="A389" t="s">
        <v>43262</v>
      </c>
    </row>
    <row r="390" spans="1:1">
      <c r="A390" t="s">
        <v>43263</v>
      </c>
    </row>
    <row r="391" spans="1:1">
      <c r="A391" t="s">
        <v>43264</v>
      </c>
    </row>
    <row r="392" spans="1:1">
      <c r="A392" t="s">
        <v>43265</v>
      </c>
    </row>
    <row r="393" spans="1:1">
      <c r="A393" t="s">
        <v>43266</v>
      </c>
    </row>
    <row r="394" spans="1:1">
      <c r="A394" t="s">
        <v>43267</v>
      </c>
    </row>
    <row r="395" spans="1:1">
      <c r="A395" t="s">
        <v>43268</v>
      </c>
    </row>
    <row r="396" spans="1:1">
      <c r="A396" t="s">
        <v>43269</v>
      </c>
    </row>
    <row r="397" spans="1:1">
      <c r="A397" t="s">
        <v>43270</v>
      </c>
    </row>
    <row r="398" spans="1:1">
      <c r="A398" t="s">
        <v>43271</v>
      </c>
    </row>
    <row r="399" spans="1:1">
      <c r="A399" t="s">
        <v>43272</v>
      </c>
    </row>
    <row r="400" spans="1:1">
      <c r="A400" t="s">
        <v>43273</v>
      </c>
    </row>
    <row r="401" spans="1:1">
      <c r="A401" t="s">
        <v>43274</v>
      </c>
    </row>
    <row r="402" spans="1:1">
      <c r="A402" t="s">
        <v>43275</v>
      </c>
    </row>
    <row r="403" spans="1:1">
      <c r="A403" t="s">
        <v>43276</v>
      </c>
    </row>
    <row r="404" spans="1:1">
      <c r="A404" t="s">
        <v>43277</v>
      </c>
    </row>
    <row r="405" spans="1:1">
      <c r="A405" t="s">
        <v>43278</v>
      </c>
    </row>
    <row r="406" spans="1:1">
      <c r="A406" t="s">
        <v>43279</v>
      </c>
    </row>
    <row r="407" spans="1:1">
      <c r="A407" t="s">
        <v>43280</v>
      </c>
    </row>
    <row r="408" spans="1:1">
      <c r="A408" t="s">
        <v>43281</v>
      </c>
    </row>
    <row r="409" spans="1:1">
      <c r="A409" t="s">
        <v>43282</v>
      </c>
    </row>
    <row r="410" spans="1:1">
      <c r="A410" t="s">
        <v>43283</v>
      </c>
    </row>
    <row r="411" spans="1:1">
      <c r="A411" t="s">
        <v>43284</v>
      </c>
    </row>
    <row r="412" spans="1:1">
      <c r="A412" t="s">
        <v>43285</v>
      </c>
    </row>
    <row r="413" spans="1:1">
      <c r="A413" t="s">
        <v>43286</v>
      </c>
    </row>
    <row r="414" spans="1:1">
      <c r="A414" t="s">
        <v>43287</v>
      </c>
    </row>
    <row r="415" spans="1:1">
      <c r="A415" t="s">
        <v>43288</v>
      </c>
    </row>
    <row r="416" spans="1:1">
      <c r="A416" t="s">
        <v>43289</v>
      </c>
    </row>
    <row r="417" spans="1:1">
      <c r="A417" t="s">
        <v>43290</v>
      </c>
    </row>
    <row r="418" spans="1:1">
      <c r="A418" t="s">
        <v>43291</v>
      </c>
    </row>
    <row r="419" spans="1:1">
      <c r="A419" t="s">
        <v>43292</v>
      </c>
    </row>
    <row r="420" spans="1:1">
      <c r="A420" t="s">
        <v>43293</v>
      </c>
    </row>
    <row r="421" spans="1:1">
      <c r="A421" t="s">
        <v>43294</v>
      </c>
    </row>
    <row r="422" spans="1:1">
      <c r="A422" t="s">
        <v>43295</v>
      </c>
    </row>
    <row r="423" spans="1:1">
      <c r="A423" t="s">
        <v>43296</v>
      </c>
    </row>
    <row r="424" spans="1:1">
      <c r="A424" t="s">
        <v>43297</v>
      </c>
    </row>
    <row r="425" spans="1:1">
      <c r="A425" t="s">
        <v>43298</v>
      </c>
    </row>
    <row r="426" spans="1:1">
      <c r="A426" t="s">
        <v>43299</v>
      </c>
    </row>
    <row r="427" spans="1:1">
      <c r="A427" t="s">
        <v>43300</v>
      </c>
    </row>
    <row r="428" spans="1:1">
      <c r="A428" t="s">
        <v>43301</v>
      </c>
    </row>
    <row r="429" spans="1:1">
      <c r="A429" t="s">
        <v>43302</v>
      </c>
    </row>
    <row r="430" spans="1:1">
      <c r="A430" t="s">
        <v>43303</v>
      </c>
    </row>
    <row r="431" spans="1:1">
      <c r="A431" t="s">
        <v>43304</v>
      </c>
    </row>
    <row r="432" spans="1:1">
      <c r="A432" t="s">
        <v>43305</v>
      </c>
    </row>
    <row r="433" spans="1:1">
      <c r="A433" t="s">
        <v>43306</v>
      </c>
    </row>
    <row r="434" spans="1:1">
      <c r="A434" t="s">
        <v>43307</v>
      </c>
    </row>
    <row r="435" spans="1:1">
      <c r="A435" t="s">
        <v>43308</v>
      </c>
    </row>
    <row r="436" spans="1:1">
      <c r="A436" t="s">
        <v>43309</v>
      </c>
    </row>
    <row r="437" spans="1:1">
      <c r="A437" t="s">
        <v>43310</v>
      </c>
    </row>
    <row r="438" spans="1:1">
      <c r="A438" t="s">
        <v>43311</v>
      </c>
    </row>
    <row r="439" spans="1:1">
      <c r="A439" t="s">
        <v>43312</v>
      </c>
    </row>
    <row r="440" spans="1:1">
      <c r="A440" t="s">
        <v>43313</v>
      </c>
    </row>
    <row r="441" spans="1:1">
      <c r="A441" t="s">
        <v>43314</v>
      </c>
    </row>
    <row r="442" spans="1:1">
      <c r="A442" t="s">
        <v>43315</v>
      </c>
    </row>
    <row r="443" spans="1:1">
      <c r="A443" t="s">
        <v>43316</v>
      </c>
    </row>
    <row r="444" spans="1:1">
      <c r="A444" t="s">
        <v>43317</v>
      </c>
    </row>
    <row r="445" spans="1:1">
      <c r="A445" t="s">
        <v>43318</v>
      </c>
    </row>
    <row r="446" spans="1:1">
      <c r="A446" t="s">
        <v>43319</v>
      </c>
    </row>
    <row r="447" spans="1:1">
      <c r="A447" t="s">
        <v>43320</v>
      </c>
    </row>
    <row r="448" spans="1:1">
      <c r="A448" t="s">
        <v>43321</v>
      </c>
    </row>
    <row r="449" spans="1:1">
      <c r="A449" t="s">
        <v>43322</v>
      </c>
    </row>
    <row r="450" spans="1:1">
      <c r="A450" t="s">
        <v>43323</v>
      </c>
    </row>
    <row r="451" spans="1:1">
      <c r="A451" t="s">
        <v>43324</v>
      </c>
    </row>
    <row r="452" spans="1:1">
      <c r="A452" t="s">
        <v>43325</v>
      </c>
    </row>
    <row r="453" spans="1:1">
      <c r="A453" t="s">
        <v>43326</v>
      </c>
    </row>
    <row r="454" spans="1:1">
      <c r="A454" t="s">
        <v>43327</v>
      </c>
    </row>
    <row r="455" spans="1:1">
      <c r="A455" t="s">
        <v>43328</v>
      </c>
    </row>
    <row r="456" spans="1:1">
      <c r="A456" t="s">
        <v>43329</v>
      </c>
    </row>
    <row r="457" spans="1:1">
      <c r="A457" t="s">
        <v>43330</v>
      </c>
    </row>
    <row r="458" spans="1:1">
      <c r="A458" t="s">
        <v>43331</v>
      </c>
    </row>
    <row r="459" spans="1:1">
      <c r="A459" t="s">
        <v>43332</v>
      </c>
    </row>
    <row r="460" spans="1:1">
      <c r="A460" t="s">
        <v>43333</v>
      </c>
    </row>
    <row r="461" spans="1:1">
      <c r="A461" t="s">
        <v>43334</v>
      </c>
    </row>
    <row r="462" spans="1:1">
      <c r="A462" t="s">
        <v>43335</v>
      </c>
    </row>
    <row r="463" spans="1:1">
      <c r="A463" t="s">
        <v>43336</v>
      </c>
    </row>
    <row r="464" spans="1:1">
      <c r="A464" t="s">
        <v>43337</v>
      </c>
    </row>
    <row r="465" spans="1:1">
      <c r="A465" t="s">
        <v>43338</v>
      </c>
    </row>
    <row r="466" spans="1:1">
      <c r="A466" t="s">
        <v>43339</v>
      </c>
    </row>
    <row r="467" spans="1:1">
      <c r="A467" t="s">
        <v>43340</v>
      </c>
    </row>
    <row r="468" spans="1:1">
      <c r="A468" t="s">
        <v>43341</v>
      </c>
    </row>
    <row r="469" spans="1:1">
      <c r="A469" t="s">
        <v>43342</v>
      </c>
    </row>
    <row r="470" spans="1:1">
      <c r="A470" t="s">
        <v>43343</v>
      </c>
    </row>
    <row r="471" spans="1:1">
      <c r="A471" t="s">
        <v>43344</v>
      </c>
    </row>
    <row r="472" spans="1:1">
      <c r="A472" t="s">
        <v>43345</v>
      </c>
    </row>
    <row r="473" spans="1:1">
      <c r="A473" t="s">
        <v>43346</v>
      </c>
    </row>
    <row r="474" spans="1:1">
      <c r="A474" t="s">
        <v>43347</v>
      </c>
    </row>
    <row r="475" spans="1:1">
      <c r="A475" t="s">
        <v>43348</v>
      </c>
    </row>
    <row r="476" spans="1:1">
      <c r="A476" t="s">
        <v>43349</v>
      </c>
    </row>
    <row r="477" spans="1:1">
      <c r="A477" t="s">
        <v>43350</v>
      </c>
    </row>
    <row r="478" spans="1:1">
      <c r="A478" t="s">
        <v>43351</v>
      </c>
    </row>
    <row r="479" spans="1:1">
      <c r="A479" t="s">
        <v>43352</v>
      </c>
    </row>
    <row r="480" spans="1:1">
      <c r="A480" t="s">
        <v>43353</v>
      </c>
    </row>
    <row r="481" spans="1:1">
      <c r="A481" t="s">
        <v>43354</v>
      </c>
    </row>
    <row r="482" spans="1:1">
      <c r="A482" t="s">
        <v>43355</v>
      </c>
    </row>
    <row r="483" spans="1:1">
      <c r="A483" t="s">
        <v>43356</v>
      </c>
    </row>
    <row r="484" spans="1:1">
      <c r="A484" t="s">
        <v>43357</v>
      </c>
    </row>
    <row r="485" spans="1:1">
      <c r="A485" t="s">
        <v>43358</v>
      </c>
    </row>
    <row r="486" spans="1:1">
      <c r="A486" t="s">
        <v>43359</v>
      </c>
    </row>
    <row r="487" spans="1:1">
      <c r="A487" t="s">
        <v>43360</v>
      </c>
    </row>
    <row r="488" spans="1:1">
      <c r="A488" t="s">
        <v>43361</v>
      </c>
    </row>
    <row r="489" spans="1:1">
      <c r="A489" t="s">
        <v>43362</v>
      </c>
    </row>
    <row r="490" spans="1:1">
      <c r="A490" t="s">
        <v>43363</v>
      </c>
    </row>
    <row r="491" spans="1:1">
      <c r="A491" t="s">
        <v>43364</v>
      </c>
    </row>
    <row r="492" spans="1:1">
      <c r="A492" t="s">
        <v>43365</v>
      </c>
    </row>
    <row r="493" spans="1:1">
      <c r="A493" t="s">
        <v>43366</v>
      </c>
    </row>
    <row r="494" spans="1:1">
      <c r="A494" t="s">
        <v>43367</v>
      </c>
    </row>
    <row r="495" spans="1:1">
      <c r="A495" t="s">
        <v>43368</v>
      </c>
    </row>
    <row r="496" spans="1:1">
      <c r="A496" t="s">
        <v>43369</v>
      </c>
    </row>
    <row r="497" spans="1:1">
      <c r="A497" t="s">
        <v>43370</v>
      </c>
    </row>
    <row r="498" spans="1:1">
      <c r="A498" t="s">
        <v>43371</v>
      </c>
    </row>
    <row r="499" spans="1:1">
      <c r="A499" t="s">
        <v>43372</v>
      </c>
    </row>
    <row r="500" spans="1:1">
      <c r="A500" t="s">
        <v>43373</v>
      </c>
    </row>
    <row r="501" spans="1:1">
      <c r="A501" t="s">
        <v>43374</v>
      </c>
    </row>
    <row r="502" spans="1:1">
      <c r="A502" t="s">
        <v>43375</v>
      </c>
    </row>
    <row r="503" spans="1:1">
      <c r="A503" t="s">
        <v>43376</v>
      </c>
    </row>
    <row r="504" spans="1:1">
      <c r="A504" t="s">
        <v>43377</v>
      </c>
    </row>
    <row r="505" spans="1:1">
      <c r="A505" t="s">
        <v>43378</v>
      </c>
    </row>
    <row r="506" spans="1:1">
      <c r="A506" t="s">
        <v>43379</v>
      </c>
    </row>
    <row r="507" spans="1:1">
      <c r="A507" t="s">
        <v>43380</v>
      </c>
    </row>
    <row r="508" spans="1:1">
      <c r="A508" t="s">
        <v>43381</v>
      </c>
    </row>
    <row r="509" spans="1:1">
      <c r="A509" t="s">
        <v>43382</v>
      </c>
    </row>
    <row r="510" spans="1:1">
      <c r="A510" t="s">
        <v>43383</v>
      </c>
    </row>
    <row r="511" spans="1:1">
      <c r="A511" t="s">
        <v>43384</v>
      </c>
    </row>
    <row r="512" spans="1:1">
      <c r="A512" t="s">
        <v>43385</v>
      </c>
    </row>
    <row r="513" spans="1:1">
      <c r="A513" t="s">
        <v>43386</v>
      </c>
    </row>
    <row r="514" spans="1:1">
      <c r="A514" t="s">
        <v>43387</v>
      </c>
    </row>
    <row r="515" spans="1:1">
      <c r="A515" t="s">
        <v>43388</v>
      </c>
    </row>
    <row r="516" spans="1:1">
      <c r="A516" t="s">
        <v>43389</v>
      </c>
    </row>
    <row r="517" spans="1:1">
      <c r="A517" t="s">
        <v>43390</v>
      </c>
    </row>
    <row r="518" spans="1:1">
      <c r="A518" t="s">
        <v>43391</v>
      </c>
    </row>
    <row r="519" spans="1:1">
      <c r="A519" t="s">
        <v>43392</v>
      </c>
    </row>
    <row r="520" spans="1:1">
      <c r="A520" t="s">
        <v>43393</v>
      </c>
    </row>
    <row r="521" spans="1:1">
      <c r="A521" t="s">
        <v>43394</v>
      </c>
    </row>
    <row r="522" spans="1:1">
      <c r="A522" t="s">
        <v>43395</v>
      </c>
    </row>
    <row r="523" spans="1:1">
      <c r="A523" t="s">
        <v>43396</v>
      </c>
    </row>
    <row r="524" spans="1:1">
      <c r="A524" t="s">
        <v>43397</v>
      </c>
    </row>
    <row r="525" spans="1:1">
      <c r="A525" t="s">
        <v>43398</v>
      </c>
    </row>
    <row r="526" spans="1:1">
      <c r="A526" t="s">
        <v>43399</v>
      </c>
    </row>
    <row r="527" spans="1:1">
      <c r="A527" t="s">
        <v>43400</v>
      </c>
    </row>
    <row r="528" spans="1:1">
      <c r="A528" t="s">
        <v>43401</v>
      </c>
    </row>
    <row r="529" spans="1:1">
      <c r="A529" t="s">
        <v>43402</v>
      </c>
    </row>
    <row r="530" spans="1:1">
      <c r="A530" t="s">
        <v>43403</v>
      </c>
    </row>
    <row r="531" spans="1:1">
      <c r="A531" t="s">
        <v>43404</v>
      </c>
    </row>
    <row r="532" spans="1:1">
      <c r="A532" t="s">
        <v>43405</v>
      </c>
    </row>
    <row r="533" spans="1:1">
      <c r="A533" t="s">
        <v>43406</v>
      </c>
    </row>
    <row r="534" spans="1:1">
      <c r="A534" t="s">
        <v>43407</v>
      </c>
    </row>
    <row r="535" spans="1:1">
      <c r="A535" t="s">
        <v>43408</v>
      </c>
    </row>
    <row r="536" spans="1:1">
      <c r="A536" t="s">
        <v>43409</v>
      </c>
    </row>
    <row r="537" spans="1:1">
      <c r="A537" t="s">
        <v>43410</v>
      </c>
    </row>
    <row r="538" spans="1:1">
      <c r="A538" t="s">
        <v>43411</v>
      </c>
    </row>
    <row r="539" spans="1:1">
      <c r="A539" t="s">
        <v>43412</v>
      </c>
    </row>
    <row r="540" spans="1:1">
      <c r="A540" t="s">
        <v>43413</v>
      </c>
    </row>
    <row r="541" spans="1:1">
      <c r="A541" t="s">
        <v>43414</v>
      </c>
    </row>
    <row r="542" spans="1:1">
      <c r="A542" t="s">
        <v>43415</v>
      </c>
    </row>
    <row r="543" spans="1:1">
      <c r="A543" t="s">
        <v>43416</v>
      </c>
    </row>
    <row r="544" spans="1:1">
      <c r="A544" t="s">
        <v>43417</v>
      </c>
    </row>
    <row r="545" spans="1:1">
      <c r="A545" t="s">
        <v>43418</v>
      </c>
    </row>
    <row r="546" spans="1:1">
      <c r="A546" t="s">
        <v>43419</v>
      </c>
    </row>
    <row r="547" spans="1:1">
      <c r="A547" t="s">
        <v>43420</v>
      </c>
    </row>
    <row r="548" spans="1:1">
      <c r="A548" t="s">
        <v>43421</v>
      </c>
    </row>
    <row r="549" spans="1:1">
      <c r="A549" t="s">
        <v>43422</v>
      </c>
    </row>
    <row r="550" spans="1:1">
      <c r="A550" t="s">
        <v>43423</v>
      </c>
    </row>
    <row r="551" spans="1:1">
      <c r="A551" t="s">
        <v>43424</v>
      </c>
    </row>
    <row r="552" spans="1:1">
      <c r="A552" t="s">
        <v>43425</v>
      </c>
    </row>
    <row r="553" spans="1:1">
      <c r="A553" t="s">
        <v>43426</v>
      </c>
    </row>
    <row r="554" spans="1:1">
      <c r="A554" t="s">
        <v>43427</v>
      </c>
    </row>
    <row r="555" spans="1:1">
      <c r="A555" t="s">
        <v>43428</v>
      </c>
    </row>
    <row r="556" spans="1:1">
      <c r="A556" t="s">
        <v>43429</v>
      </c>
    </row>
    <row r="557" spans="1:1">
      <c r="A557" t="s">
        <v>43430</v>
      </c>
    </row>
    <row r="558" spans="1:1">
      <c r="A558" t="s">
        <v>43431</v>
      </c>
    </row>
    <row r="559" spans="1:1">
      <c r="A559" t="s">
        <v>43432</v>
      </c>
    </row>
    <row r="560" spans="1:1">
      <c r="A560" t="s">
        <v>43433</v>
      </c>
    </row>
    <row r="561" spans="1:1">
      <c r="A561" t="s">
        <v>43434</v>
      </c>
    </row>
    <row r="562" spans="1:1">
      <c r="A562" t="s">
        <v>43435</v>
      </c>
    </row>
    <row r="563" spans="1:1">
      <c r="A563" t="s">
        <v>43436</v>
      </c>
    </row>
    <row r="564" spans="1:1">
      <c r="A564" t="s">
        <v>43437</v>
      </c>
    </row>
    <row r="565" spans="1:1">
      <c r="A565" t="s">
        <v>43438</v>
      </c>
    </row>
    <row r="566" spans="1:1">
      <c r="A566" t="s">
        <v>43439</v>
      </c>
    </row>
    <row r="567" spans="1:1">
      <c r="A567" t="s">
        <v>43440</v>
      </c>
    </row>
    <row r="568" spans="1:1">
      <c r="A568" t="s">
        <v>43441</v>
      </c>
    </row>
    <row r="569" spans="1:1">
      <c r="A569" t="s">
        <v>43442</v>
      </c>
    </row>
    <row r="570" spans="1:1">
      <c r="A570" t="s">
        <v>43443</v>
      </c>
    </row>
    <row r="571" spans="1:1">
      <c r="A571" t="s">
        <v>43444</v>
      </c>
    </row>
    <row r="572" spans="1:1">
      <c r="A572" t="s">
        <v>43445</v>
      </c>
    </row>
    <row r="573" spans="1:1">
      <c r="A573" t="s">
        <v>43446</v>
      </c>
    </row>
    <row r="574" spans="1:1">
      <c r="A574" t="s">
        <v>43447</v>
      </c>
    </row>
    <row r="575" spans="1:1">
      <c r="A575" t="s">
        <v>43448</v>
      </c>
    </row>
    <row r="576" spans="1:1">
      <c r="A576" t="s">
        <v>43449</v>
      </c>
    </row>
    <row r="577" spans="1:1">
      <c r="A577" t="s">
        <v>43450</v>
      </c>
    </row>
    <row r="578" spans="1:1">
      <c r="A578" t="s">
        <v>43451</v>
      </c>
    </row>
    <row r="579" spans="1:1">
      <c r="A579" t="s">
        <v>43452</v>
      </c>
    </row>
    <row r="580" spans="1:1">
      <c r="A580" t="s">
        <v>43453</v>
      </c>
    </row>
    <row r="581" spans="1:1">
      <c r="A581" t="s">
        <v>43454</v>
      </c>
    </row>
    <row r="582" spans="1:1">
      <c r="A582" t="s">
        <v>43455</v>
      </c>
    </row>
    <row r="583" spans="1:1">
      <c r="A583" t="s">
        <v>43456</v>
      </c>
    </row>
    <row r="584" spans="1:1">
      <c r="A584" t="s">
        <v>43457</v>
      </c>
    </row>
    <row r="585" spans="1:1">
      <c r="A585" t="s">
        <v>43458</v>
      </c>
    </row>
    <row r="586" spans="1:1">
      <c r="A586" t="s">
        <v>43459</v>
      </c>
    </row>
    <row r="587" spans="1:1">
      <c r="A587" t="s">
        <v>43460</v>
      </c>
    </row>
    <row r="588" spans="1:1">
      <c r="A588" t="s">
        <v>43461</v>
      </c>
    </row>
    <row r="589" spans="1:1">
      <c r="A589" t="s">
        <v>43462</v>
      </c>
    </row>
    <row r="590" spans="1:1">
      <c r="A590" t="s">
        <v>43463</v>
      </c>
    </row>
    <row r="591" spans="1:1">
      <c r="A591" t="s">
        <v>43464</v>
      </c>
    </row>
    <row r="592" spans="1:1">
      <c r="A592" t="s">
        <v>43465</v>
      </c>
    </row>
    <row r="593" spans="1:1">
      <c r="A593" t="s">
        <v>43466</v>
      </c>
    </row>
    <row r="594" spans="1:1">
      <c r="A594" t="s">
        <v>43467</v>
      </c>
    </row>
    <row r="595" spans="1:1">
      <c r="A595" t="s">
        <v>43468</v>
      </c>
    </row>
    <row r="596" spans="1:1">
      <c r="A596" t="s">
        <v>43469</v>
      </c>
    </row>
    <row r="597" spans="1:1">
      <c r="A597" t="s">
        <v>43470</v>
      </c>
    </row>
    <row r="598" spans="1:1">
      <c r="A598" t="s">
        <v>43471</v>
      </c>
    </row>
    <row r="599" spans="1:1">
      <c r="A599" t="s">
        <v>43472</v>
      </c>
    </row>
    <row r="600" spans="1:1">
      <c r="A600" t="s">
        <v>43473</v>
      </c>
    </row>
    <row r="601" spans="1:1">
      <c r="A601" t="s">
        <v>43474</v>
      </c>
    </row>
    <row r="602" spans="1:1">
      <c r="A602" t="s">
        <v>43475</v>
      </c>
    </row>
    <row r="603" spans="1:1">
      <c r="A603" t="s">
        <v>43476</v>
      </c>
    </row>
    <row r="604" spans="1:1">
      <c r="A604" t="s">
        <v>43477</v>
      </c>
    </row>
    <row r="605" spans="1:1">
      <c r="A605" t="s">
        <v>43478</v>
      </c>
    </row>
    <row r="606" spans="1:1">
      <c r="A606" t="s">
        <v>43479</v>
      </c>
    </row>
    <row r="607" spans="1:1">
      <c r="A607" t="s">
        <v>43480</v>
      </c>
    </row>
    <row r="608" spans="1:1">
      <c r="A608" t="s">
        <v>43481</v>
      </c>
    </row>
    <row r="609" spans="1:1">
      <c r="A609" t="s">
        <v>43482</v>
      </c>
    </row>
    <row r="610" spans="1:1">
      <c r="A610" t="s">
        <v>43483</v>
      </c>
    </row>
    <row r="611" spans="1:1">
      <c r="A611" t="s">
        <v>43484</v>
      </c>
    </row>
    <row r="612" spans="1:1">
      <c r="A612" t="s">
        <v>43485</v>
      </c>
    </row>
    <row r="613" spans="1:1">
      <c r="A613" t="s">
        <v>43486</v>
      </c>
    </row>
    <row r="614" spans="1:1">
      <c r="A614" t="s">
        <v>43487</v>
      </c>
    </row>
    <row r="615" spans="1:1">
      <c r="A615" t="s">
        <v>43488</v>
      </c>
    </row>
    <row r="616" spans="1:1">
      <c r="A616" t="s">
        <v>43489</v>
      </c>
    </row>
    <row r="617" spans="1:1">
      <c r="A617" t="s">
        <v>43490</v>
      </c>
    </row>
    <row r="618" spans="1:1">
      <c r="A618" t="s">
        <v>43491</v>
      </c>
    </row>
    <row r="619" spans="1:1">
      <c r="A619" t="s">
        <v>43492</v>
      </c>
    </row>
    <row r="620" spans="1:1">
      <c r="A620" t="s">
        <v>43493</v>
      </c>
    </row>
    <row r="621" spans="1:1">
      <c r="A621" t="s">
        <v>43494</v>
      </c>
    </row>
    <row r="622" spans="1:1">
      <c r="A622" t="s">
        <v>43495</v>
      </c>
    </row>
    <row r="623" spans="1:1">
      <c r="A623" t="s">
        <v>43496</v>
      </c>
    </row>
    <row r="624" spans="1:1">
      <c r="A624" t="s">
        <v>43497</v>
      </c>
    </row>
    <row r="625" spans="1:1">
      <c r="A625" t="s">
        <v>43498</v>
      </c>
    </row>
    <row r="626" spans="1:1">
      <c r="A626" t="s">
        <v>43499</v>
      </c>
    </row>
    <row r="627" spans="1:1">
      <c r="A627" t="s">
        <v>43500</v>
      </c>
    </row>
    <row r="628" spans="1:1">
      <c r="A628" t="s">
        <v>43501</v>
      </c>
    </row>
    <row r="629" spans="1:1">
      <c r="A629" t="s">
        <v>43502</v>
      </c>
    </row>
    <row r="630" spans="1:1">
      <c r="A630" t="s">
        <v>43503</v>
      </c>
    </row>
    <row r="631" spans="1:1">
      <c r="A631" t="s">
        <v>43504</v>
      </c>
    </row>
    <row r="632" spans="1:1">
      <c r="A632" t="s">
        <v>43505</v>
      </c>
    </row>
    <row r="633" spans="1:1">
      <c r="A633" t="s">
        <v>43506</v>
      </c>
    </row>
    <row r="634" spans="1:1">
      <c r="A634" t="s">
        <v>43507</v>
      </c>
    </row>
    <row r="635" spans="1:1">
      <c r="A635" t="s">
        <v>43508</v>
      </c>
    </row>
    <row r="636" spans="1:1">
      <c r="A636" t="s">
        <v>43509</v>
      </c>
    </row>
    <row r="637" spans="1:1">
      <c r="A637" t="s">
        <v>43510</v>
      </c>
    </row>
    <row r="638" spans="1:1">
      <c r="A638" t="s">
        <v>43511</v>
      </c>
    </row>
    <row r="639" spans="1:1">
      <c r="A639" t="s">
        <v>43512</v>
      </c>
    </row>
    <row r="640" spans="1:1">
      <c r="A640" t="s">
        <v>43513</v>
      </c>
    </row>
    <row r="641" spans="1:1">
      <c r="A641" t="s">
        <v>43514</v>
      </c>
    </row>
    <row r="642" spans="1:1">
      <c r="A642" t="s">
        <v>43515</v>
      </c>
    </row>
    <row r="643" spans="1:1">
      <c r="A643" t="s">
        <v>43516</v>
      </c>
    </row>
    <row r="644" spans="1:1">
      <c r="A644" t="s">
        <v>43517</v>
      </c>
    </row>
    <row r="645" spans="1:1">
      <c r="A645" t="s">
        <v>43518</v>
      </c>
    </row>
    <row r="646" spans="1:1">
      <c r="A646" t="s">
        <v>43519</v>
      </c>
    </row>
    <row r="647" spans="1:1">
      <c r="A647" t="s">
        <v>43520</v>
      </c>
    </row>
    <row r="648" spans="1:1">
      <c r="A648" t="s">
        <v>43521</v>
      </c>
    </row>
    <row r="649" spans="1:1">
      <c r="A649" t="s">
        <v>43522</v>
      </c>
    </row>
    <row r="650" spans="1:1">
      <c r="A650" t="s">
        <v>43523</v>
      </c>
    </row>
    <row r="651" spans="1:1">
      <c r="A651" t="s">
        <v>43524</v>
      </c>
    </row>
    <row r="652" spans="1:1">
      <c r="A652" t="s">
        <v>43525</v>
      </c>
    </row>
    <row r="653" spans="1:1">
      <c r="A653" t="s">
        <v>43526</v>
      </c>
    </row>
    <row r="654" spans="1:1">
      <c r="A654" t="s">
        <v>43527</v>
      </c>
    </row>
    <row r="655" spans="1:1">
      <c r="A655" t="s">
        <v>43528</v>
      </c>
    </row>
    <row r="656" spans="1:1">
      <c r="A656" t="s">
        <v>43529</v>
      </c>
    </row>
    <row r="657" spans="1:1">
      <c r="A657" t="s">
        <v>43530</v>
      </c>
    </row>
    <row r="658" spans="1:1">
      <c r="A658" t="s">
        <v>43531</v>
      </c>
    </row>
    <row r="659" spans="1:1">
      <c r="A659" t="s">
        <v>43532</v>
      </c>
    </row>
    <row r="660" spans="1:1">
      <c r="A660" t="s">
        <v>43533</v>
      </c>
    </row>
    <row r="661" spans="1:1">
      <c r="A661" t="s">
        <v>43506</v>
      </c>
    </row>
    <row r="662" spans="1:1">
      <c r="A662" t="s">
        <v>43507</v>
      </c>
    </row>
    <row r="663" spans="1:1">
      <c r="A663" t="s">
        <v>43508</v>
      </c>
    </row>
    <row r="664" spans="1:1">
      <c r="A664" t="s">
        <v>43509</v>
      </c>
    </row>
    <row r="665" spans="1:1">
      <c r="A665" t="s">
        <v>43510</v>
      </c>
    </row>
    <row r="666" spans="1:1">
      <c r="A666" t="s">
        <v>43511</v>
      </c>
    </row>
    <row r="667" spans="1:1">
      <c r="A667" t="s">
        <v>43512</v>
      </c>
    </row>
    <row r="668" spans="1:1">
      <c r="A668" t="s">
        <v>43513</v>
      </c>
    </row>
    <row r="669" spans="1:1">
      <c r="A669" t="s">
        <v>43514</v>
      </c>
    </row>
    <row r="670" spans="1:1">
      <c r="A670" t="s">
        <v>43515</v>
      </c>
    </row>
    <row r="671" spans="1:1">
      <c r="A671" t="s">
        <v>43516</v>
      </c>
    </row>
    <row r="672" spans="1:1">
      <c r="A672" t="s">
        <v>43517</v>
      </c>
    </row>
    <row r="673" spans="1:1">
      <c r="A673" t="s">
        <v>43518</v>
      </c>
    </row>
    <row r="674" spans="1:1">
      <c r="A674" t="s">
        <v>43534</v>
      </c>
    </row>
    <row r="675" spans="1:1">
      <c r="A675" t="s">
        <v>43535</v>
      </c>
    </row>
    <row r="676" spans="1:1">
      <c r="A676" t="s">
        <v>43536</v>
      </c>
    </row>
    <row r="677" spans="1:1">
      <c r="A677" t="s">
        <v>43537</v>
      </c>
    </row>
    <row r="678" spans="1:1">
      <c r="A678" t="s">
        <v>43538</v>
      </c>
    </row>
    <row r="679" spans="1:1">
      <c r="A679" t="s">
        <v>43539</v>
      </c>
    </row>
    <row r="680" spans="1:1">
      <c r="A680" t="s">
        <v>43540</v>
      </c>
    </row>
    <row r="681" spans="1:1">
      <c r="A681" t="s">
        <v>43541</v>
      </c>
    </row>
    <row r="682" spans="1:1">
      <c r="A682" t="s">
        <v>43542</v>
      </c>
    </row>
    <row r="683" spans="1:1">
      <c r="A683" t="s">
        <v>43543</v>
      </c>
    </row>
    <row r="684" spans="1:1">
      <c r="A684" t="s">
        <v>43544</v>
      </c>
    </row>
    <row r="685" spans="1:1">
      <c r="A685" t="s">
        <v>43545</v>
      </c>
    </row>
    <row r="686" spans="1:1">
      <c r="A686" t="s">
        <v>43546</v>
      </c>
    </row>
    <row r="687" spans="1:1">
      <c r="A687" t="s">
        <v>43547</v>
      </c>
    </row>
    <row r="688" spans="1:1">
      <c r="A688" t="s">
        <v>43548</v>
      </c>
    </row>
    <row r="689" spans="1:1">
      <c r="A689" t="s">
        <v>43549</v>
      </c>
    </row>
    <row r="690" spans="1:1">
      <c r="A690" t="s">
        <v>43550</v>
      </c>
    </row>
    <row r="691" spans="1:1">
      <c r="A691" t="s">
        <v>43551</v>
      </c>
    </row>
    <row r="692" spans="1:1">
      <c r="A692" t="s">
        <v>43552</v>
      </c>
    </row>
    <row r="693" spans="1:1">
      <c r="A693" t="s">
        <v>43553</v>
      </c>
    </row>
    <row r="694" spans="1:1">
      <c r="A694" t="s">
        <v>43554</v>
      </c>
    </row>
    <row r="695" spans="1:1">
      <c r="A695" t="s">
        <v>43555</v>
      </c>
    </row>
    <row r="696" spans="1:1">
      <c r="A696" t="s">
        <v>43556</v>
      </c>
    </row>
    <row r="697" spans="1:1">
      <c r="A697" t="s">
        <v>43557</v>
      </c>
    </row>
    <row r="698" spans="1:1">
      <c r="A698" t="s">
        <v>43558</v>
      </c>
    </row>
    <row r="699" spans="1:1">
      <c r="A699" t="s">
        <v>43559</v>
      </c>
    </row>
    <row r="700" spans="1:1">
      <c r="A700" t="s">
        <v>43560</v>
      </c>
    </row>
    <row r="701" spans="1:1">
      <c r="A701" t="s">
        <v>43561</v>
      </c>
    </row>
    <row r="702" spans="1:1">
      <c r="A702" t="s">
        <v>43562</v>
      </c>
    </row>
    <row r="703" spans="1:1">
      <c r="A703" t="s">
        <v>43563</v>
      </c>
    </row>
    <row r="704" spans="1:1">
      <c r="A704" t="s">
        <v>43564</v>
      </c>
    </row>
    <row r="705" spans="1:1">
      <c r="A705" t="s">
        <v>43565</v>
      </c>
    </row>
    <row r="706" spans="1:1">
      <c r="A706" t="s">
        <v>43566</v>
      </c>
    </row>
    <row r="707" spans="1:1">
      <c r="A707" t="s">
        <v>43567</v>
      </c>
    </row>
    <row r="708" spans="1:1">
      <c r="A708" t="s">
        <v>43568</v>
      </c>
    </row>
    <row r="709" spans="1:1">
      <c r="A709" t="s">
        <v>43569</v>
      </c>
    </row>
    <row r="710" spans="1:1">
      <c r="A710" t="s">
        <v>43570</v>
      </c>
    </row>
    <row r="711" spans="1:1">
      <c r="A711" t="s">
        <v>43571</v>
      </c>
    </row>
    <row r="712" spans="1:1">
      <c r="A712" t="s">
        <v>43572</v>
      </c>
    </row>
    <row r="713" spans="1:1">
      <c r="A713" t="s">
        <v>43573</v>
      </c>
    </row>
    <row r="714" spans="1:1">
      <c r="A714" t="s">
        <v>43574</v>
      </c>
    </row>
    <row r="715" spans="1:1">
      <c r="A715" t="s">
        <v>43575</v>
      </c>
    </row>
    <row r="716" spans="1:1">
      <c r="A716" t="s">
        <v>43576</v>
      </c>
    </row>
    <row r="717" spans="1:1">
      <c r="A717" t="s">
        <v>43577</v>
      </c>
    </row>
    <row r="718" spans="1:1">
      <c r="A718" t="s">
        <v>43578</v>
      </c>
    </row>
    <row r="719" spans="1:1">
      <c r="A719" t="s">
        <v>43579</v>
      </c>
    </row>
    <row r="720" spans="1:1">
      <c r="A720" t="s">
        <v>43580</v>
      </c>
    </row>
    <row r="721" spans="1:1">
      <c r="A721" t="s">
        <v>43581</v>
      </c>
    </row>
    <row r="722" spans="1:1">
      <c r="A722" t="s">
        <v>43582</v>
      </c>
    </row>
    <row r="723" spans="1:1">
      <c r="A723" t="s">
        <v>43583</v>
      </c>
    </row>
    <row r="724" spans="1:1">
      <c r="A724" t="s">
        <v>43584</v>
      </c>
    </row>
    <row r="725" spans="1:1">
      <c r="A725" t="s">
        <v>43585</v>
      </c>
    </row>
    <row r="726" spans="1:1">
      <c r="A726" t="s">
        <v>43586</v>
      </c>
    </row>
    <row r="727" spans="1:1">
      <c r="A727" t="s">
        <v>43587</v>
      </c>
    </row>
    <row r="728" spans="1:1">
      <c r="A728" t="s">
        <v>43588</v>
      </c>
    </row>
    <row r="729" spans="1:1">
      <c r="A729" t="s">
        <v>43589</v>
      </c>
    </row>
    <row r="730" spans="1:1">
      <c r="A730" t="s">
        <v>43590</v>
      </c>
    </row>
    <row r="731" spans="1:1">
      <c r="A731" t="s">
        <v>43591</v>
      </c>
    </row>
    <row r="732" spans="1:1">
      <c r="A732" t="s">
        <v>43592</v>
      </c>
    </row>
    <row r="733" spans="1:1">
      <c r="A733" t="s">
        <v>43593</v>
      </c>
    </row>
    <row r="734" spans="1:1">
      <c r="A734" t="s">
        <v>43594</v>
      </c>
    </row>
    <row r="735" spans="1:1">
      <c r="A735" t="s">
        <v>43595</v>
      </c>
    </row>
    <row r="736" spans="1:1">
      <c r="A736" t="s">
        <v>43596</v>
      </c>
    </row>
    <row r="737" spans="1:1">
      <c r="A737" t="s">
        <v>43597</v>
      </c>
    </row>
    <row r="738" spans="1:1">
      <c r="A738" t="s">
        <v>43598</v>
      </c>
    </row>
    <row r="739" spans="1:1">
      <c r="A739" t="s">
        <v>43599</v>
      </c>
    </row>
    <row r="740" spans="1:1">
      <c r="A740" t="s">
        <v>43600</v>
      </c>
    </row>
    <row r="741" spans="1:1">
      <c r="A741" t="s">
        <v>43601</v>
      </c>
    </row>
    <row r="742" spans="1:1">
      <c r="A742" t="s">
        <v>43602</v>
      </c>
    </row>
    <row r="743" spans="1:1">
      <c r="A743" t="s">
        <v>43603</v>
      </c>
    </row>
    <row r="744" spans="1:1">
      <c r="A744" t="s">
        <v>43604</v>
      </c>
    </row>
    <row r="745" spans="1:1">
      <c r="A745" t="s">
        <v>43605</v>
      </c>
    </row>
    <row r="746" spans="1:1">
      <c r="A746" t="s">
        <v>43606</v>
      </c>
    </row>
    <row r="747" spans="1:1">
      <c r="A747" t="s">
        <v>43607</v>
      </c>
    </row>
    <row r="748" spans="1:1">
      <c r="A748" t="s">
        <v>43608</v>
      </c>
    </row>
    <row r="749" spans="1:1">
      <c r="A749" t="s">
        <v>43609</v>
      </c>
    </row>
    <row r="750" spans="1:1">
      <c r="A750" t="s">
        <v>43610</v>
      </c>
    </row>
    <row r="751" spans="1:1">
      <c r="A751" t="s">
        <v>43611</v>
      </c>
    </row>
    <row r="752" spans="1:1">
      <c r="A752" t="s">
        <v>43612</v>
      </c>
    </row>
    <row r="753" spans="1:1">
      <c r="A753" t="s">
        <v>43613</v>
      </c>
    </row>
    <row r="754" spans="1:1">
      <c r="A754" t="s">
        <v>43614</v>
      </c>
    </row>
    <row r="755" spans="1:1">
      <c r="A755" t="s">
        <v>43615</v>
      </c>
    </row>
    <row r="756" spans="1:1">
      <c r="A756" t="s">
        <v>43616</v>
      </c>
    </row>
    <row r="757" spans="1:1">
      <c r="A757" t="s">
        <v>43617</v>
      </c>
    </row>
    <row r="758" spans="1:1">
      <c r="A758" t="s">
        <v>43618</v>
      </c>
    </row>
    <row r="759" spans="1:1">
      <c r="A759" t="s">
        <v>43619</v>
      </c>
    </row>
    <row r="760" spans="1:1">
      <c r="A760" t="s">
        <v>43620</v>
      </c>
    </row>
    <row r="761" spans="1:1">
      <c r="A761" t="s">
        <v>43621</v>
      </c>
    </row>
    <row r="762" spans="1:1">
      <c r="A762" t="s">
        <v>43622</v>
      </c>
    </row>
    <row r="763" spans="1:1">
      <c r="A763" t="s">
        <v>43623</v>
      </c>
    </row>
    <row r="764" spans="1:1">
      <c r="A764" t="s">
        <v>43624</v>
      </c>
    </row>
    <row r="765" spans="1:1">
      <c r="A765" t="s">
        <v>43625</v>
      </c>
    </row>
    <row r="766" spans="1:1">
      <c r="A766" t="s">
        <v>43626</v>
      </c>
    </row>
    <row r="767" spans="1:1">
      <c r="A767" t="s">
        <v>43627</v>
      </c>
    </row>
    <row r="768" spans="1:1">
      <c r="A768" t="s">
        <v>43628</v>
      </c>
    </row>
    <row r="769" spans="1:1">
      <c r="A769" t="s">
        <v>43629</v>
      </c>
    </row>
    <row r="770" spans="1:1">
      <c r="A770" t="s">
        <v>43630</v>
      </c>
    </row>
    <row r="771" spans="1:1">
      <c r="A771" t="s">
        <v>43631</v>
      </c>
    </row>
    <row r="772" spans="1:1">
      <c r="A772" t="s">
        <v>43632</v>
      </c>
    </row>
    <row r="773" spans="1:1">
      <c r="A773" t="s">
        <v>43633</v>
      </c>
    </row>
    <row r="774" spans="1:1">
      <c r="A774" t="s">
        <v>43634</v>
      </c>
    </row>
    <row r="775" spans="1:1">
      <c r="A775" t="s">
        <v>43635</v>
      </c>
    </row>
    <row r="776" spans="1:1">
      <c r="A776" t="s">
        <v>43636</v>
      </c>
    </row>
    <row r="777" spans="1:1">
      <c r="A777" t="s">
        <v>43637</v>
      </c>
    </row>
    <row r="778" spans="1:1">
      <c r="A778" t="s">
        <v>43638</v>
      </c>
    </row>
    <row r="779" spans="1:1">
      <c r="A779" t="s">
        <v>43639</v>
      </c>
    </row>
    <row r="780" spans="1:1">
      <c r="A780" t="s">
        <v>43640</v>
      </c>
    </row>
    <row r="781" spans="1:1">
      <c r="A781" t="s">
        <v>43641</v>
      </c>
    </row>
    <row r="782" spans="1:1">
      <c r="A782" t="s">
        <v>43642</v>
      </c>
    </row>
    <row r="783" spans="1:1">
      <c r="A783" t="s">
        <v>43643</v>
      </c>
    </row>
    <row r="784" spans="1:1">
      <c r="A784" t="s">
        <v>43644</v>
      </c>
    </row>
    <row r="785" spans="1:1">
      <c r="A785" t="s">
        <v>43645</v>
      </c>
    </row>
    <row r="786" spans="1:1">
      <c r="A786" t="s">
        <v>43646</v>
      </c>
    </row>
    <row r="787" spans="1:1">
      <c r="A787" t="s">
        <v>43647</v>
      </c>
    </row>
    <row r="788" spans="1:1">
      <c r="A788" t="s">
        <v>43648</v>
      </c>
    </row>
    <row r="789" spans="1:1">
      <c r="A789" t="s">
        <v>43649</v>
      </c>
    </row>
    <row r="790" spans="1:1">
      <c r="A790" t="s">
        <v>43650</v>
      </c>
    </row>
    <row r="791" spans="1:1">
      <c r="A791" t="s">
        <v>43651</v>
      </c>
    </row>
    <row r="792" spans="1:1">
      <c r="A792" t="s">
        <v>43652</v>
      </c>
    </row>
    <row r="793" spans="1:1">
      <c r="A793" t="s">
        <v>43653</v>
      </c>
    </row>
    <row r="794" spans="1:1">
      <c r="A794" t="s">
        <v>43654</v>
      </c>
    </row>
    <row r="795" spans="1:1">
      <c r="A795" t="s">
        <v>43655</v>
      </c>
    </row>
    <row r="796" spans="1:1">
      <c r="A796" t="s">
        <v>43656</v>
      </c>
    </row>
    <row r="797" spans="1:1">
      <c r="A797" t="s">
        <v>43657</v>
      </c>
    </row>
    <row r="798" spans="1:1">
      <c r="A798" t="s">
        <v>43658</v>
      </c>
    </row>
    <row r="799" spans="1:1">
      <c r="A799" t="s">
        <v>43659</v>
      </c>
    </row>
    <row r="800" spans="1:1">
      <c r="A800" t="s">
        <v>43660</v>
      </c>
    </row>
    <row r="801" spans="1:1">
      <c r="A801" t="s">
        <v>43661</v>
      </c>
    </row>
    <row r="802" spans="1:1">
      <c r="A802" t="s">
        <v>43662</v>
      </c>
    </row>
    <row r="803" spans="1:1">
      <c r="A803" t="s">
        <v>43663</v>
      </c>
    </row>
    <row r="804" spans="1:1">
      <c r="A804" t="s">
        <v>43664</v>
      </c>
    </row>
    <row r="805" spans="1:1">
      <c r="A805" t="s">
        <v>43665</v>
      </c>
    </row>
    <row r="806" spans="1:1">
      <c r="A806" t="s">
        <v>43666</v>
      </c>
    </row>
    <row r="807" spans="1:1">
      <c r="A807" t="s">
        <v>43667</v>
      </c>
    </row>
    <row r="808" spans="1:1">
      <c r="A808" t="s">
        <v>43668</v>
      </c>
    </row>
    <row r="809" spans="1:1">
      <c r="A809" t="s">
        <v>43669</v>
      </c>
    </row>
    <row r="810" spans="1:1">
      <c r="A810" t="s">
        <v>43670</v>
      </c>
    </row>
    <row r="811" spans="1:1">
      <c r="A811" t="s">
        <v>43671</v>
      </c>
    </row>
    <row r="812" spans="1:1">
      <c r="A812" t="s">
        <v>43672</v>
      </c>
    </row>
    <row r="813" spans="1:1">
      <c r="A813" t="s">
        <v>43673</v>
      </c>
    </row>
    <row r="814" spans="1:1">
      <c r="A814" t="s">
        <v>43674</v>
      </c>
    </row>
    <row r="815" spans="1:1">
      <c r="A815" t="s">
        <v>43675</v>
      </c>
    </row>
    <row r="816" spans="1:1">
      <c r="A816" t="s">
        <v>43676</v>
      </c>
    </row>
    <row r="817" spans="1:1">
      <c r="A817" t="s">
        <v>43677</v>
      </c>
    </row>
    <row r="818" spans="1:1">
      <c r="A818" t="s">
        <v>43678</v>
      </c>
    </row>
    <row r="819" spans="1:1">
      <c r="A819" t="s">
        <v>43679</v>
      </c>
    </row>
    <row r="820" spans="1:1">
      <c r="A820" t="s">
        <v>43680</v>
      </c>
    </row>
    <row r="821" spans="1:1">
      <c r="A821" t="s">
        <v>43681</v>
      </c>
    </row>
    <row r="822" spans="1:1">
      <c r="A822" t="s">
        <v>43682</v>
      </c>
    </row>
    <row r="823" spans="1:1">
      <c r="A823" t="s">
        <v>43683</v>
      </c>
    </row>
    <row r="824" spans="1:1">
      <c r="A824" t="s">
        <v>43684</v>
      </c>
    </row>
    <row r="825" spans="1:1">
      <c r="A825" t="s">
        <v>43685</v>
      </c>
    </row>
    <row r="826" spans="1:1">
      <c r="A826" t="s">
        <v>43686</v>
      </c>
    </row>
    <row r="827" spans="1:1">
      <c r="A827" t="s">
        <v>43687</v>
      </c>
    </row>
    <row r="828" spans="1:1">
      <c r="A828" t="s">
        <v>43688</v>
      </c>
    </row>
    <row r="829" spans="1:1">
      <c r="A829" t="s">
        <v>43689</v>
      </c>
    </row>
    <row r="830" spans="1:1">
      <c r="A830" t="s">
        <v>43690</v>
      </c>
    </row>
    <row r="831" spans="1:1">
      <c r="A831" t="s">
        <v>43691</v>
      </c>
    </row>
    <row r="832" spans="1:1">
      <c r="A832" t="s">
        <v>43692</v>
      </c>
    </row>
    <row r="833" spans="1:1">
      <c r="A833" t="s">
        <v>43693</v>
      </c>
    </row>
    <row r="834" spans="1:1">
      <c r="A834" t="s">
        <v>43694</v>
      </c>
    </row>
    <row r="835" spans="1:1">
      <c r="A835" t="s">
        <v>43695</v>
      </c>
    </row>
    <row r="836" spans="1:1">
      <c r="A836" t="s">
        <v>43696</v>
      </c>
    </row>
    <row r="837" spans="1:1">
      <c r="A837" t="s">
        <v>43697</v>
      </c>
    </row>
    <row r="838" spans="1:1">
      <c r="A838" t="s">
        <v>43698</v>
      </c>
    </row>
    <row r="839" spans="1:1">
      <c r="A839" t="s">
        <v>43699</v>
      </c>
    </row>
    <row r="840" spans="1:1">
      <c r="A840" t="s">
        <v>43700</v>
      </c>
    </row>
    <row r="841" spans="1:1">
      <c r="A841" t="s">
        <v>43701</v>
      </c>
    </row>
    <row r="842" spans="1:1">
      <c r="A842" t="s">
        <v>43702</v>
      </c>
    </row>
    <row r="843" spans="1:1">
      <c r="A843" t="s">
        <v>43703</v>
      </c>
    </row>
    <row r="844" spans="1:1">
      <c r="A844" t="s">
        <v>43704</v>
      </c>
    </row>
    <row r="845" spans="1:1">
      <c r="A845" t="s">
        <v>43705</v>
      </c>
    </row>
    <row r="846" spans="1:1">
      <c r="A846" t="s">
        <v>43706</v>
      </c>
    </row>
    <row r="847" spans="1:1">
      <c r="A847" t="s">
        <v>43707</v>
      </c>
    </row>
    <row r="848" spans="1:1">
      <c r="A848" t="s">
        <v>43708</v>
      </c>
    </row>
    <row r="849" spans="1:1">
      <c r="A849" t="s">
        <v>43709</v>
      </c>
    </row>
    <row r="850" spans="1:1">
      <c r="A850" t="s">
        <v>43710</v>
      </c>
    </row>
    <row r="851" spans="1:1">
      <c r="A851" t="s">
        <v>43711</v>
      </c>
    </row>
    <row r="852" spans="1:1">
      <c r="A852" t="s">
        <v>43712</v>
      </c>
    </row>
    <row r="853" spans="1:1">
      <c r="A853" t="s">
        <v>43713</v>
      </c>
    </row>
    <row r="854" spans="1:1">
      <c r="A854" t="s">
        <v>43714</v>
      </c>
    </row>
    <row r="855" spans="1:1">
      <c r="A855" t="s">
        <v>43715</v>
      </c>
    </row>
    <row r="856" spans="1:1">
      <c r="A856" t="s">
        <v>43716</v>
      </c>
    </row>
    <row r="857" spans="1:1">
      <c r="A857" t="s">
        <v>43717</v>
      </c>
    </row>
    <row r="858" spans="1:1">
      <c r="A858" t="s">
        <v>43718</v>
      </c>
    </row>
    <row r="859" spans="1:1">
      <c r="A859" t="s">
        <v>43719</v>
      </c>
    </row>
    <row r="860" spans="1:1">
      <c r="A860" t="s">
        <v>43720</v>
      </c>
    </row>
    <row r="861" spans="1:1">
      <c r="A861" t="s">
        <v>43721</v>
      </c>
    </row>
    <row r="862" spans="1:1">
      <c r="A862" t="s">
        <v>43722</v>
      </c>
    </row>
    <row r="863" spans="1:1">
      <c r="A863" t="s">
        <v>43723</v>
      </c>
    </row>
    <row r="864" spans="1:1">
      <c r="A864" t="s">
        <v>43724</v>
      </c>
    </row>
    <row r="865" spans="1:1">
      <c r="A865" t="s">
        <v>43725</v>
      </c>
    </row>
    <row r="866" spans="1:1">
      <c r="A866" t="s">
        <v>43726</v>
      </c>
    </row>
    <row r="867" spans="1:1">
      <c r="A867" t="s">
        <v>43727</v>
      </c>
    </row>
    <row r="868" spans="1:1">
      <c r="A868" t="s">
        <v>43728</v>
      </c>
    </row>
    <row r="869" spans="1:1">
      <c r="A869" t="s">
        <v>43729</v>
      </c>
    </row>
    <row r="870" spans="1:1">
      <c r="A870" t="s">
        <v>43730</v>
      </c>
    </row>
    <row r="871" spans="1:1">
      <c r="A871" t="s">
        <v>43731</v>
      </c>
    </row>
    <row r="872" spans="1:1">
      <c r="A872" t="s">
        <v>43732</v>
      </c>
    </row>
    <row r="873" spans="1:1">
      <c r="A873" t="s">
        <v>43733</v>
      </c>
    </row>
    <row r="874" spans="1:1">
      <c r="A874" t="s">
        <v>43734</v>
      </c>
    </row>
    <row r="875" spans="1:1">
      <c r="A875" t="s">
        <v>43735</v>
      </c>
    </row>
    <row r="876" spans="1:1">
      <c r="A876" t="s">
        <v>43736</v>
      </c>
    </row>
    <row r="877" spans="1:1">
      <c r="A877" t="s">
        <v>43737</v>
      </c>
    </row>
    <row r="878" spans="1:1">
      <c r="A878" t="s">
        <v>43738</v>
      </c>
    </row>
    <row r="879" spans="1:1">
      <c r="A879" t="s">
        <v>43739</v>
      </c>
    </row>
    <row r="880" spans="1:1">
      <c r="A880" t="s">
        <v>43740</v>
      </c>
    </row>
    <row r="881" spans="1:1">
      <c r="A881" t="s">
        <v>43741</v>
      </c>
    </row>
    <row r="882" spans="1:1">
      <c r="A882" t="s">
        <v>43742</v>
      </c>
    </row>
    <row r="883" spans="1:1">
      <c r="A883" t="s">
        <v>43743</v>
      </c>
    </row>
    <row r="884" spans="1:1">
      <c r="A884" t="s">
        <v>43744</v>
      </c>
    </row>
    <row r="885" spans="1:1">
      <c r="A885" t="s">
        <v>43745</v>
      </c>
    </row>
    <row r="886" spans="1:1">
      <c r="A886" t="s">
        <v>43746</v>
      </c>
    </row>
    <row r="887" spans="1:1">
      <c r="A887" t="s">
        <v>43747</v>
      </c>
    </row>
    <row r="888" spans="1:1">
      <c r="A888" t="s">
        <v>43748</v>
      </c>
    </row>
    <row r="889" spans="1:1">
      <c r="A889" t="s">
        <v>43749</v>
      </c>
    </row>
    <row r="890" spans="1:1">
      <c r="A890" t="s">
        <v>43750</v>
      </c>
    </row>
    <row r="891" spans="1:1">
      <c r="A891" t="s">
        <v>43751</v>
      </c>
    </row>
    <row r="892" spans="1:1">
      <c r="A892" t="s">
        <v>43752</v>
      </c>
    </row>
    <row r="893" spans="1:1">
      <c r="A893" t="s">
        <v>43753</v>
      </c>
    </row>
    <row r="894" spans="1:1">
      <c r="A894" t="s">
        <v>43754</v>
      </c>
    </row>
    <row r="895" spans="1:1">
      <c r="A895" t="s">
        <v>43755</v>
      </c>
    </row>
    <row r="896" spans="1:1">
      <c r="A896" t="s">
        <v>43756</v>
      </c>
    </row>
    <row r="897" spans="1:1">
      <c r="A897" t="s">
        <v>43757</v>
      </c>
    </row>
    <row r="898" spans="1:1">
      <c r="A898" t="s">
        <v>43758</v>
      </c>
    </row>
    <row r="899" spans="1:1">
      <c r="A899" t="s">
        <v>43759</v>
      </c>
    </row>
    <row r="900" spans="1:1">
      <c r="A900" t="s">
        <v>43760</v>
      </c>
    </row>
    <row r="901" spans="1:1">
      <c r="A901" t="s">
        <v>43761</v>
      </c>
    </row>
    <row r="902" spans="1:1">
      <c r="A902" t="s">
        <v>43762</v>
      </c>
    </row>
    <row r="903" spans="1:1">
      <c r="A903" t="s">
        <v>43763</v>
      </c>
    </row>
    <row r="904" spans="1:1">
      <c r="A904" t="s">
        <v>43764</v>
      </c>
    </row>
    <row r="905" spans="1:1">
      <c r="A905" t="s">
        <v>43765</v>
      </c>
    </row>
    <row r="906" spans="1:1">
      <c r="A906" t="s">
        <v>43766</v>
      </c>
    </row>
    <row r="907" spans="1:1">
      <c r="A907" t="s">
        <v>43767</v>
      </c>
    </row>
    <row r="908" spans="1:1">
      <c r="A908" t="s">
        <v>43768</v>
      </c>
    </row>
    <row r="909" spans="1:1">
      <c r="A909" t="s">
        <v>43769</v>
      </c>
    </row>
    <row r="910" spans="1:1">
      <c r="A910" t="s">
        <v>43770</v>
      </c>
    </row>
    <row r="911" spans="1:1">
      <c r="A911" t="s">
        <v>43771</v>
      </c>
    </row>
    <row r="912" spans="1:1">
      <c r="A912" t="s">
        <v>43772</v>
      </c>
    </row>
    <row r="913" spans="1:1">
      <c r="A913" t="s">
        <v>43773</v>
      </c>
    </row>
    <row r="914" spans="1:1">
      <c r="A914" t="s">
        <v>43774</v>
      </c>
    </row>
    <row r="915" spans="1:1">
      <c r="A915" t="s">
        <v>43775</v>
      </c>
    </row>
    <row r="916" spans="1:1">
      <c r="A916" t="s">
        <v>43776</v>
      </c>
    </row>
    <row r="917" spans="1:1">
      <c r="A917" t="s">
        <v>43777</v>
      </c>
    </row>
    <row r="918" spans="1:1">
      <c r="A918" t="s">
        <v>43778</v>
      </c>
    </row>
    <row r="919" spans="1:1">
      <c r="A919" t="s">
        <v>43779</v>
      </c>
    </row>
    <row r="920" spans="1:1">
      <c r="A920" t="s">
        <v>43780</v>
      </c>
    </row>
    <row r="921" spans="1:1">
      <c r="A921" t="s">
        <v>43781</v>
      </c>
    </row>
    <row r="922" spans="1:1">
      <c r="A922" t="s">
        <v>43782</v>
      </c>
    </row>
    <row r="923" spans="1:1">
      <c r="A923" t="s">
        <v>43783</v>
      </c>
    </row>
    <row r="924" spans="1:1">
      <c r="A924" t="s">
        <v>43784</v>
      </c>
    </row>
    <row r="925" spans="1:1">
      <c r="A925" t="s">
        <v>43785</v>
      </c>
    </row>
    <row r="926" spans="1:1">
      <c r="A926" t="s">
        <v>43786</v>
      </c>
    </row>
    <row r="927" spans="1:1">
      <c r="A927" t="s">
        <v>43787</v>
      </c>
    </row>
    <row r="928" spans="1:1">
      <c r="A928" t="s">
        <v>43788</v>
      </c>
    </row>
    <row r="929" spans="1:1">
      <c r="A929" t="s">
        <v>43789</v>
      </c>
    </row>
    <row r="930" spans="1:1">
      <c r="A930" t="s">
        <v>43790</v>
      </c>
    </row>
    <row r="931" spans="1:1">
      <c r="A931" t="s">
        <v>43791</v>
      </c>
    </row>
    <row r="932" spans="1:1">
      <c r="A932" t="s">
        <v>43792</v>
      </c>
    </row>
    <row r="933" spans="1:1">
      <c r="A933" t="s">
        <v>43793</v>
      </c>
    </row>
    <row r="934" spans="1:1">
      <c r="A934" t="s">
        <v>43794</v>
      </c>
    </row>
    <row r="935" spans="1:1">
      <c r="A935" t="s">
        <v>43795</v>
      </c>
    </row>
    <row r="936" spans="1:1">
      <c r="A936" t="s">
        <v>43796</v>
      </c>
    </row>
    <row r="937" spans="1:1">
      <c r="A937" t="s">
        <v>43797</v>
      </c>
    </row>
    <row r="938" spans="1:1">
      <c r="A938" t="s">
        <v>43798</v>
      </c>
    </row>
    <row r="939" spans="1:1">
      <c r="A939" t="s">
        <v>43799</v>
      </c>
    </row>
    <row r="940" spans="1:1">
      <c r="A940" t="s">
        <v>43800</v>
      </c>
    </row>
    <row r="941" spans="1:1">
      <c r="A941" t="s">
        <v>43801</v>
      </c>
    </row>
    <row r="942" spans="1:1">
      <c r="A942" t="s">
        <v>43802</v>
      </c>
    </row>
    <row r="943" spans="1:1">
      <c r="A943" t="s">
        <v>43803</v>
      </c>
    </row>
    <row r="944" spans="1:1">
      <c r="A944" t="s">
        <v>43804</v>
      </c>
    </row>
    <row r="945" spans="1:1">
      <c r="A945" t="s">
        <v>43805</v>
      </c>
    </row>
    <row r="946" spans="1:1">
      <c r="A946" t="s">
        <v>43806</v>
      </c>
    </row>
    <row r="947" spans="1:1">
      <c r="A947" t="s">
        <v>43807</v>
      </c>
    </row>
    <row r="948" spans="1:1">
      <c r="A948" t="s">
        <v>43808</v>
      </c>
    </row>
    <row r="949" spans="1:1">
      <c r="A949" t="s">
        <v>43809</v>
      </c>
    </row>
    <row r="950" spans="1:1">
      <c r="A950" t="s">
        <v>43810</v>
      </c>
    </row>
    <row r="951" spans="1:1">
      <c r="A951" t="s">
        <v>43811</v>
      </c>
    </row>
    <row r="952" spans="1:1">
      <c r="A952" t="s">
        <v>43812</v>
      </c>
    </row>
    <row r="953" spans="1:1">
      <c r="A953" t="s">
        <v>43813</v>
      </c>
    </row>
    <row r="954" spans="1:1">
      <c r="A954" t="s">
        <v>43814</v>
      </c>
    </row>
    <row r="955" spans="1:1">
      <c r="A955" t="s">
        <v>43815</v>
      </c>
    </row>
    <row r="956" spans="1:1">
      <c r="A956" t="s">
        <v>43816</v>
      </c>
    </row>
    <row r="957" spans="1:1">
      <c r="A957" t="s">
        <v>43817</v>
      </c>
    </row>
    <row r="958" spans="1:1">
      <c r="A958" t="s">
        <v>43818</v>
      </c>
    </row>
    <row r="959" spans="1:1">
      <c r="A959" t="s">
        <v>43819</v>
      </c>
    </row>
    <row r="960" spans="1:1">
      <c r="A960" t="s">
        <v>43820</v>
      </c>
    </row>
    <row r="961" spans="1:1">
      <c r="A961" t="s">
        <v>43821</v>
      </c>
    </row>
    <row r="962" spans="1:1">
      <c r="A962" t="s">
        <v>43822</v>
      </c>
    </row>
    <row r="963" spans="1:1">
      <c r="A963" t="s">
        <v>43823</v>
      </c>
    </row>
    <row r="964" spans="1:1">
      <c r="A964" t="s">
        <v>43824</v>
      </c>
    </row>
    <row r="965" spans="1:1">
      <c r="A965" t="s">
        <v>43825</v>
      </c>
    </row>
    <row r="966" spans="1:1">
      <c r="A966" t="s">
        <v>43826</v>
      </c>
    </row>
    <row r="967" spans="1:1">
      <c r="A967" t="s">
        <v>43827</v>
      </c>
    </row>
    <row r="968" spans="1:1">
      <c r="A968" t="s">
        <v>43828</v>
      </c>
    </row>
    <row r="969" spans="1:1">
      <c r="A969" t="s">
        <v>43829</v>
      </c>
    </row>
    <row r="970" spans="1:1">
      <c r="A970" t="s">
        <v>43830</v>
      </c>
    </row>
    <row r="971" spans="1:1">
      <c r="A971" t="s">
        <v>43831</v>
      </c>
    </row>
    <row r="972" spans="1:1">
      <c r="A972" t="s">
        <v>43832</v>
      </c>
    </row>
    <row r="973" spans="1:1">
      <c r="A973" t="s">
        <v>43833</v>
      </c>
    </row>
    <row r="974" spans="1:1">
      <c r="A974" t="s">
        <v>43834</v>
      </c>
    </row>
    <row r="975" spans="1:1">
      <c r="A975" t="s">
        <v>43835</v>
      </c>
    </row>
    <row r="976" spans="1:1">
      <c r="A976" t="s">
        <v>43836</v>
      </c>
    </row>
    <row r="977" spans="1:1">
      <c r="A977" t="s">
        <v>43837</v>
      </c>
    </row>
    <row r="978" spans="1:1">
      <c r="A978" t="s">
        <v>43838</v>
      </c>
    </row>
    <row r="979" spans="1:1">
      <c r="A979" t="s">
        <v>43839</v>
      </c>
    </row>
    <row r="980" spans="1:1">
      <c r="A980" t="s">
        <v>43840</v>
      </c>
    </row>
    <row r="981" spans="1:1">
      <c r="A981" t="s">
        <v>43841</v>
      </c>
    </row>
    <row r="982" spans="1:1">
      <c r="A982" t="s">
        <v>43842</v>
      </c>
    </row>
    <row r="983" spans="1:1">
      <c r="A983" t="s">
        <v>43843</v>
      </c>
    </row>
    <row r="984" spans="1:1">
      <c r="A984" t="s">
        <v>43844</v>
      </c>
    </row>
    <row r="985" spans="1:1">
      <c r="A985" t="s">
        <v>43845</v>
      </c>
    </row>
    <row r="986" spans="1:1">
      <c r="A986" t="s">
        <v>43846</v>
      </c>
    </row>
    <row r="987" spans="1:1">
      <c r="A987" t="s">
        <v>43847</v>
      </c>
    </row>
    <row r="988" spans="1:1">
      <c r="A988" t="s">
        <v>43848</v>
      </c>
    </row>
    <row r="989" spans="1:1">
      <c r="A989" t="s">
        <v>43849</v>
      </c>
    </row>
    <row r="990" spans="1:1">
      <c r="A990" t="s">
        <v>43850</v>
      </c>
    </row>
    <row r="991" spans="1:1">
      <c r="A991" t="s">
        <v>43851</v>
      </c>
    </row>
    <row r="992" spans="1:1">
      <c r="A992" t="s">
        <v>43852</v>
      </c>
    </row>
    <row r="993" spans="1:1">
      <c r="A993" t="s">
        <v>43853</v>
      </c>
    </row>
    <row r="994" spans="1:1">
      <c r="A994" t="s">
        <v>43854</v>
      </c>
    </row>
    <row r="995" spans="1:1">
      <c r="A995" t="s">
        <v>43855</v>
      </c>
    </row>
    <row r="996" spans="1:1">
      <c r="A996" t="s">
        <v>43856</v>
      </c>
    </row>
    <row r="997" spans="1:1">
      <c r="A997" t="s">
        <v>43857</v>
      </c>
    </row>
    <row r="998" spans="1:1">
      <c r="A998" t="s">
        <v>43858</v>
      </c>
    </row>
    <row r="999" spans="1:1">
      <c r="A999" t="s">
        <v>43859</v>
      </c>
    </row>
    <row r="1000" spans="1:1">
      <c r="A1000" t="s">
        <v>43860</v>
      </c>
    </row>
    <row r="1001" spans="1:1">
      <c r="A1001" t="s">
        <v>43861</v>
      </c>
    </row>
    <row r="1002" spans="1:1">
      <c r="A1002" t="s">
        <v>43862</v>
      </c>
    </row>
    <row r="1003" spans="1:1">
      <c r="A1003" t="s">
        <v>43863</v>
      </c>
    </row>
    <row r="1004" spans="1:1">
      <c r="A1004" t="s">
        <v>43864</v>
      </c>
    </row>
    <row r="1005" spans="1:1">
      <c r="A1005" t="s">
        <v>43865</v>
      </c>
    </row>
    <row r="1006" spans="1:1">
      <c r="A1006" t="s">
        <v>43866</v>
      </c>
    </row>
    <row r="1007" spans="1:1">
      <c r="A1007" t="s">
        <v>43867</v>
      </c>
    </row>
    <row r="1008" spans="1:1">
      <c r="A1008" t="s">
        <v>43868</v>
      </c>
    </row>
    <row r="1009" spans="1:1">
      <c r="A1009" t="s">
        <v>43869</v>
      </c>
    </row>
    <row r="1010" spans="1:1">
      <c r="A1010" t="s">
        <v>43870</v>
      </c>
    </row>
    <row r="1011" spans="1:1">
      <c r="A1011" t="s">
        <v>43871</v>
      </c>
    </row>
    <row r="1012" spans="1:1">
      <c r="A1012" t="s">
        <v>43872</v>
      </c>
    </row>
    <row r="1013" spans="1:1">
      <c r="A1013" t="s">
        <v>43873</v>
      </c>
    </row>
    <row r="1014" spans="1:1">
      <c r="A1014" t="s">
        <v>43874</v>
      </c>
    </row>
    <row r="1015" spans="1:1">
      <c r="A1015" t="s">
        <v>43875</v>
      </c>
    </row>
    <row r="1016" spans="1:1">
      <c r="A1016" t="s">
        <v>43876</v>
      </c>
    </row>
    <row r="1017" spans="1:1">
      <c r="A1017" t="s">
        <v>43877</v>
      </c>
    </row>
    <row r="1018" spans="1:1">
      <c r="A1018" t="s">
        <v>43878</v>
      </c>
    </row>
    <row r="1019" spans="1:1">
      <c r="A1019" t="s">
        <v>43879</v>
      </c>
    </row>
    <row r="1020" spans="1:1">
      <c r="A1020" t="s">
        <v>43880</v>
      </c>
    </row>
    <row r="1021" spans="1:1">
      <c r="A1021" t="s">
        <v>43881</v>
      </c>
    </row>
    <row r="1022" spans="1:1">
      <c r="A1022" t="s">
        <v>43882</v>
      </c>
    </row>
    <row r="1023" spans="1:1">
      <c r="A1023" t="s">
        <v>43883</v>
      </c>
    </row>
    <row r="1024" spans="1:1">
      <c r="A1024" t="s">
        <v>43884</v>
      </c>
    </row>
    <row r="1025" spans="1:1">
      <c r="A1025" t="s">
        <v>43885</v>
      </c>
    </row>
    <row r="1026" spans="1:1">
      <c r="A1026" t="s">
        <v>43886</v>
      </c>
    </row>
    <row r="1027" spans="1:1">
      <c r="A1027" t="s">
        <v>43887</v>
      </c>
    </row>
    <row r="1028" spans="1:1">
      <c r="A1028" t="s">
        <v>43888</v>
      </c>
    </row>
    <row r="1029" spans="1:1">
      <c r="A1029" t="s">
        <v>43889</v>
      </c>
    </row>
    <row r="1030" spans="1:1">
      <c r="A1030" t="s">
        <v>43890</v>
      </c>
    </row>
    <row r="1031" spans="1:1">
      <c r="A1031" t="s">
        <v>43891</v>
      </c>
    </row>
    <row r="1032" spans="1:1">
      <c r="A1032" t="s">
        <v>43892</v>
      </c>
    </row>
    <row r="1033" spans="1:1">
      <c r="A1033" t="s">
        <v>43893</v>
      </c>
    </row>
    <row r="1034" spans="1:1">
      <c r="A1034" t="s">
        <v>43894</v>
      </c>
    </row>
    <row r="1035" spans="1:1">
      <c r="A1035" t="s">
        <v>43895</v>
      </c>
    </row>
    <row r="1036" spans="1:1">
      <c r="A1036" t="s">
        <v>43896</v>
      </c>
    </row>
    <row r="1037" spans="1:1">
      <c r="A1037" t="s">
        <v>43897</v>
      </c>
    </row>
    <row r="1038" spans="1:1">
      <c r="A1038" t="s">
        <v>43898</v>
      </c>
    </row>
    <row r="1039" spans="1:1">
      <c r="A1039" t="s">
        <v>43899</v>
      </c>
    </row>
    <row r="1040" spans="1:1">
      <c r="A1040" t="s">
        <v>43900</v>
      </c>
    </row>
    <row r="1041" spans="1:1">
      <c r="A1041" t="s">
        <v>43901</v>
      </c>
    </row>
    <row r="1042" spans="1:1">
      <c r="A1042" t="s">
        <v>43902</v>
      </c>
    </row>
    <row r="1043" spans="1:1">
      <c r="A1043" t="s">
        <v>43903</v>
      </c>
    </row>
    <row r="1044" spans="1:1">
      <c r="A1044" t="s">
        <v>43904</v>
      </c>
    </row>
    <row r="1045" spans="1:1">
      <c r="A1045" t="s">
        <v>43905</v>
      </c>
    </row>
    <row r="1046" spans="1:1">
      <c r="A1046" t="s">
        <v>43906</v>
      </c>
    </row>
    <row r="1047" spans="1:1">
      <c r="A1047" t="s">
        <v>43907</v>
      </c>
    </row>
    <row r="1048" spans="1:1">
      <c r="A1048" t="s">
        <v>43908</v>
      </c>
    </row>
    <row r="1049" spans="1:1">
      <c r="A1049" t="s">
        <v>43909</v>
      </c>
    </row>
    <row r="1050" spans="1:1">
      <c r="A1050" t="s">
        <v>43910</v>
      </c>
    </row>
    <row r="1051" spans="1:1">
      <c r="A1051" t="s">
        <v>43911</v>
      </c>
    </row>
    <row r="1052" spans="1:1">
      <c r="A1052" t="s">
        <v>43912</v>
      </c>
    </row>
    <row r="1053" spans="1:1">
      <c r="A1053" t="s">
        <v>43913</v>
      </c>
    </row>
    <row r="1054" spans="1:1">
      <c r="A1054" t="s">
        <v>43914</v>
      </c>
    </row>
    <row r="1055" spans="1:1">
      <c r="A1055" t="s">
        <v>43915</v>
      </c>
    </row>
    <row r="1056" spans="1:1">
      <c r="A1056" t="s">
        <v>43916</v>
      </c>
    </row>
    <row r="1057" spans="1:1">
      <c r="A1057" t="s">
        <v>43917</v>
      </c>
    </row>
    <row r="1058" spans="1:1">
      <c r="A1058" t="s">
        <v>43918</v>
      </c>
    </row>
    <row r="1059" spans="1:1">
      <c r="A1059" t="s">
        <v>43919</v>
      </c>
    </row>
    <row r="1060" spans="1:1">
      <c r="A1060" t="s">
        <v>43920</v>
      </c>
    </row>
    <row r="1061" spans="1:1">
      <c r="A1061" t="s">
        <v>43921</v>
      </c>
    </row>
    <row r="1062" spans="1:1">
      <c r="A1062" t="s">
        <v>43922</v>
      </c>
    </row>
    <row r="1063" spans="1:1">
      <c r="A1063" t="s">
        <v>43923</v>
      </c>
    </row>
    <row r="1064" spans="1:1">
      <c r="A1064" t="s">
        <v>43924</v>
      </c>
    </row>
    <row r="1065" spans="1:1">
      <c r="A1065" t="s">
        <v>43925</v>
      </c>
    </row>
    <row r="1066" spans="1:1">
      <c r="A1066" t="s">
        <v>43926</v>
      </c>
    </row>
    <row r="1067" spans="1:1">
      <c r="A1067" t="s">
        <v>43927</v>
      </c>
    </row>
    <row r="1068" spans="1:1">
      <c r="A1068" t="s">
        <v>43928</v>
      </c>
    </row>
    <row r="1069" spans="1:1">
      <c r="A1069" t="s">
        <v>43929</v>
      </c>
    </row>
    <row r="1070" spans="1:1">
      <c r="A1070" t="s">
        <v>43930</v>
      </c>
    </row>
    <row r="1071" spans="1:1">
      <c r="A1071" t="s">
        <v>43931</v>
      </c>
    </row>
    <row r="1072" spans="1:1">
      <c r="A1072" t="s">
        <v>43932</v>
      </c>
    </row>
    <row r="1073" spans="1:1">
      <c r="A1073" t="s">
        <v>43933</v>
      </c>
    </row>
    <row r="1074" spans="1:1">
      <c r="A1074" t="s">
        <v>43934</v>
      </c>
    </row>
    <row r="1075" spans="1:1">
      <c r="A1075" t="s">
        <v>43935</v>
      </c>
    </row>
    <row r="1076" spans="1:1">
      <c r="A1076" t="s">
        <v>43936</v>
      </c>
    </row>
    <row r="1077" spans="1:1">
      <c r="A1077" t="s">
        <v>43937</v>
      </c>
    </row>
    <row r="1078" spans="1:1">
      <c r="A1078" t="s">
        <v>43938</v>
      </c>
    </row>
    <row r="1079" spans="1:1">
      <c r="A1079" t="s">
        <v>43939</v>
      </c>
    </row>
    <row r="1080" spans="1:1">
      <c r="A1080" t="s">
        <v>43940</v>
      </c>
    </row>
    <row r="1081" spans="1:1">
      <c r="A1081" t="s">
        <v>43941</v>
      </c>
    </row>
    <row r="1082" spans="1:1">
      <c r="A1082" t="s">
        <v>43942</v>
      </c>
    </row>
    <row r="1083" spans="1:1">
      <c r="A1083" t="s">
        <v>43943</v>
      </c>
    </row>
    <row r="1084" spans="1:1">
      <c r="A1084" t="s">
        <v>43944</v>
      </c>
    </row>
    <row r="1085" spans="1:1">
      <c r="A1085" t="s">
        <v>43945</v>
      </c>
    </row>
    <row r="1086" spans="1:1">
      <c r="A1086" t="s">
        <v>43946</v>
      </c>
    </row>
    <row r="1087" spans="1:1">
      <c r="A1087" t="s">
        <v>43947</v>
      </c>
    </row>
    <row r="1088" spans="1:1">
      <c r="A1088" t="s">
        <v>43948</v>
      </c>
    </row>
    <row r="1089" spans="1:1">
      <c r="A1089" t="s">
        <v>43949</v>
      </c>
    </row>
    <row r="1090" spans="1:1">
      <c r="A1090" t="s">
        <v>43950</v>
      </c>
    </row>
    <row r="1091" spans="1:1">
      <c r="A1091" t="s">
        <v>43951</v>
      </c>
    </row>
    <row r="1092" spans="1:1">
      <c r="A1092" t="s">
        <v>43952</v>
      </c>
    </row>
    <row r="1093" spans="1:1">
      <c r="A1093" t="s">
        <v>43953</v>
      </c>
    </row>
    <row r="1094" spans="1:1">
      <c r="A1094" t="s">
        <v>43954</v>
      </c>
    </row>
    <row r="1095" spans="1:1">
      <c r="A1095" t="s">
        <v>43955</v>
      </c>
    </row>
    <row r="1096" spans="1:1">
      <c r="A1096" t="s">
        <v>43956</v>
      </c>
    </row>
    <row r="1097" spans="1:1">
      <c r="A1097" t="s">
        <v>43957</v>
      </c>
    </row>
    <row r="1098" spans="1:1">
      <c r="A1098" t="s">
        <v>43958</v>
      </c>
    </row>
    <row r="1099" spans="1:1">
      <c r="A1099" t="s">
        <v>43959</v>
      </c>
    </row>
    <row r="1100" spans="1:1">
      <c r="A1100" t="s">
        <v>43960</v>
      </c>
    </row>
    <row r="1101" spans="1:1">
      <c r="A1101" t="s">
        <v>43961</v>
      </c>
    </row>
    <row r="1102" spans="1:1">
      <c r="A1102" t="s">
        <v>43962</v>
      </c>
    </row>
    <row r="1103" spans="1:1">
      <c r="A1103" t="s">
        <v>43963</v>
      </c>
    </row>
    <row r="1104" spans="1:1">
      <c r="A1104" t="s">
        <v>43964</v>
      </c>
    </row>
    <row r="1105" spans="1:1">
      <c r="A1105" t="s">
        <v>43965</v>
      </c>
    </row>
    <row r="1106" spans="1:1">
      <c r="A1106" t="s">
        <v>43966</v>
      </c>
    </row>
    <row r="1107" spans="1:1">
      <c r="A1107" t="s">
        <v>43967</v>
      </c>
    </row>
    <row r="1108" spans="1:1">
      <c r="A1108" t="s">
        <v>43968</v>
      </c>
    </row>
    <row r="1109" spans="1:1">
      <c r="A1109" t="s">
        <v>43969</v>
      </c>
    </row>
    <row r="1110" spans="1:1">
      <c r="A1110" t="s">
        <v>43970</v>
      </c>
    </row>
    <row r="1111" spans="1:1">
      <c r="A1111" t="s">
        <v>43971</v>
      </c>
    </row>
    <row r="1112" spans="1:1">
      <c r="A1112" t="s">
        <v>43972</v>
      </c>
    </row>
    <row r="1113" spans="1:1">
      <c r="A1113" t="s">
        <v>43973</v>
      </c>
    </row>
    <row r="1114" spans="1:1">
      <c r="A1114" t="s">
        <v>43974</v>
      </c>
    </row>
    <row r="1115" spans="1:1">
      <c r="A1115" t="s">
        <v>43975</v>
      </c>
    </row>
    <row r="1116" spans="1:1">
      <c r="A1116" t="s">
        <v>43976</v>
      </c>
    </row>
    <row r="1117" spans="1:1">
      <c r="A1117" t="s">
        <v>43977</v>
      </c>
    </row>
    <row r="1118" spans="1:1">
      <c r="A1118" t="s">
        <v>43978</v>
      </c>
    </row>
    <row r="1119" spans="1:1">
      <c r="A1119" t="s">
        <v>43979</v>
      </c>
    </row>
    <row r="1120" spans="1:1">
      <c r="A1120" t="s">
        <v>43980</v>
      </c>
    </row>
    <row r="1121" spans="1:1">
      <c r="A1121" t="s">
        <v>43981</v>
      </c>
    </row>
    <row r="1122" spans="1:1">
      <c r="A1122" t="s">
        <v>43982</v>
      </c>
    </row>
    <row r="1123" spans="1:1">
      <c r="A1123" t="s">
        <v>43983</v>
      </c>
    </row>
    <row r="1124" spans="1:1">
      <c r="A1124" t="s">
        <v>43984</v>
      </c>
    </row>
    <row r="1125" spans="1:1">
      <c r="A1125" t="s">
        <v>43985</v>
      </c>
    </row>
    <row r="1126" spans="1:1">
      <c r="A1126" t="s">
        <v>43986</v>
      </c>
    </row>
    <row r="1127" spans="1:1">
      <c r="A1127" t="s">
        <v>43987</v>
      </c>
    </row>
    <row r="1128" spans="1:1">
      <c r="A1128" t="s">
        <v>43988</v>
      </c>
    </row>
    <row r="1129" spans="1:1">
      <c r="A1129" t="s">
        <v>43989</v>
      </c>
    </row>
    <row r="1130" spans="1:1">
      <c r="A1130" t="s">
        <v>43990</v>
      </c>
    </row>
    <row r="1131" spans="1:1">
      <c r="A1131" t="s">
        <v>43991</v>
      </c>
    </row>
    <row r="1132" spans="1:1">
      <c r="A1132" t="s">
        <v>43992</v>
      </c>
    </row>
    <row r="1133" spans="1:1">
      <c r="A1133" t="s">
        <v>43993</v>
      </c>
    </row>
    <row r="1134" spans="1:1">
      <c r="A1134" t="s">
        <v>43994</v>
      </c>
    </row>
    <row r="1135" spans="1:1">
      <c r="A1135" t="s">
        <v>43995</v>
      </c>
    </row>
    <row r="1136" spans="1:1">
      <c r="A1136" t="s">
        <v>43996</v>
      </c>
    </row>
    <row r="1137" spans="1:1">
      <c r="A1137" t="s">
        <v>43997</v>
      </c>
    </row>
    <row r="1138" spans="1:1">
      <c r="A1138" t="s">
        <v>43998</v>
      </c>
    </row>
    <row r="1139" spans="1:1">
      <c r="A1139" t="s">
        <v>43999</v>
      </c>
    </row>
    <row r="1140" spans="1:1">
      <c r="A1140" t="s">
        <v>44000</v>
      </c>
    </row>
    <row r="1141" spans="1:1">
      <c r="A1141" t="s">
        <v>44001</v>
      </c>
    </row>
    <row r="1142" spans="1:1">
      <c r="A1142" t="s">
        <v>44002</v>
      </c>
    </row>
    <row r="1143" spans="1:1">
      <c r="A1143" t="s">
        <v>44003</v>
      </c>
    </row>
    <row r="1144" spans="1:1">
      <c r="A1144" t="s">
        <v>44004</v>
      </c>
    </row>
    <row r="1145" spans="1:1">
      <c r="A1145" t="s">
        <v>44005</v>
      </c>
    </row>
    <row r="1146" spans="1:1">
      <c r="A1146" t="s">
        <v>44006</v>
      </c>
    </row>
    <row r="1147" spans="1:1">
      <c r="A1147" t="s">
        <v>44007</v>
      </c>
    </row>
    <row r="1148" spans="1:1">
      <c r="A1148" t="s">
        <v>44008</v>
      </c>
    </row>
    <row r="1149" spans="1:1">
      <c r="A1149" t="s">
        <v>44009</v>
      </c>
    </row>
    <row r="1150" spans="1:1">
      <c r="A1150" t="s">
        <v>44010</v>
      </c>
    </row>
    <row r="1151" spans="1:1">
      <c r="A1151" t="s">
        <v>44011</v>
      </c>
    </row>
    <row r="1152" spans="1:1">
      <c r="A1152" t="s">
        <v>44012</v>
      </c>
    </row>
    <row r="1153" spans="1:1">
      <c r="A1153" t="s">
        <v>44013</v>
      </c>
    </row>
    <row r="1154" spans="1:1">
      <c r="A1154" t="s">
        <v>44014</v>
      </c>
    </row>
    <row r="1155" spans="1:1">
      <c r="A1155" t="s">
        <v>44015</v>
      </c>
    </row>
    <row r="1156" spans="1:1">
      <c r="A1156" t="s">
        <v>44016</v>
      </c>
    </row>
    <row r="1157" spans="1:1">
      <c r="A1157" t="s">
        <v>44017</v>
      </c>
    </row>
    <row r="1158" spans="1:1">
      <c r="A1158" t="s">
        <v>44018</v>
      </c>
    </row>
    <row r="1159" spans="1:1">
      <c r="A1159" t="s">
        <v>44019</v>
      </c>
    </row>
    <row r="1160" spans="1:1">
      <c r="A1160" t="s">
        <v>44020</v>
      </c>
    </row>
    <row r="1161" spans="1:1">
      <c r="A1161" t="s">
        <v>44021</v>
      </c>
    </row>
    <row r="1162" spans="1:1">
      <c r="A1162" t="s">
        <v>44022</v>
      </c>
    </row>
    <row r="1163" spans="1:1">
      <c r="A1163" t="s">
        <v>44023</v>
      </c>
    </row>
    <row r="1164" spans="1:1">
      <c r="A1164" t="s">
        <v>44024</v>
      </c>
    </row>
    <row r="1165" spans="1:1">
      <c r="A1165" t="s">
        <v>44025</v>
      </c>
    </row>
    <row r="1166" spans="1:1">
      <c r="A1166" t="s">
        <v>44026</v>
      </c>
    </row>
    <row r="1167" spans="1:1">
      <c r="A1167" t="s">
        <v>44027</v>
      </c>
    </row>
    <row r="1168" spans="1:1">
      <c r="A1168" t="s">
        <v>44028</v>
      </c>
    </row>
    <row r="1169" spans="1:1">
      <c r="A1169" t="s">
        <v>44029</v>
      </c>
    </row>
    <row r="1170" spans="1:1">
      <c r="A1170" t="s">
        <v>44030</v>
      </c>
    </row>
    <row r="1171" spans="1:1">
      <c r="A1171" t="s">
        <v>44031</v>
      </c>
    </row>
    <row r="1172" spans="1:1">
      <c r="A1172" t="s">
        <v>44032</v>
      </c>
    </row>
    <row r="1173" spans="1:1">
      <c r="A1173" t="s">
        <v>44033</v>
      </c>
    </row>
    <row r="1174" spans="1:1">
      <c r="A1174" t="s">
        <v>44034</v>
      </c>
    </row>
    <row r="1175" spans="1:1">
      <c r="A1175" t="s">
        <v>44035</v>
      </c>
    </row>
    <row r="1176" spans="1:1">
      <c r="A1176" t="s">
        <v>44036</v>
      </c>
    </row>
    <row r="1177" spans="1:1">
      <c r="A1177" t="s">
        <v>44037</v>
      </c>
    </row>
    <row r="1178" spans="1:1">
      <c r="A1178" t="s">
        <v>44038</v>
      </c>
    </row>
    <row r="1179" spans="1:1">
      <c r="A1179" t="s">
        <v>44039</v>
      </c>
    </row>
    <row r="1180" spans="1:1">
      <c r="A1180" t="s">
        <v>44040</v>
      </c>
    </row>
    <row r="1181" spans="1:1">
      <c r="A1181" t="s">
        <v>44041</v>
      </c>
    </row>
    <row r="1182" spans="1:1">
      <c r="A1182" t="s">
        <v>44042</v>
      </c>
    </row>
    <row r="1183" spans="1:1">
      <c r="A1183" t="s">
        <v>44043</v>
      </c>
    </row>
    <row r="1184" spans="1:1">
      <c r="A1184" t="s">
        <v>44044</v>
      </c>
    </row>
    <row r="1185" spans="1:1">
      <c r="A1185" t="s">
        <v>44045</v>
      </c>
    </row>
    <row r="1186" spans="1:1">
      <c r="A1186" t="s">
        <v>44046</v>
      </c>
    </row>
    <row r="1187" spans="1:1">
      <c r="A1187" t="s">
        <v>44047</v>
      </c>
    </row>
    <row r="1188" spans="1:1">
      <c r="A1188" t="s">
        <v>44048</v>
      </c>
    </row>
    <row r="1189" spans="1:1">
      <c r="A1189" t="s">
        <v>44049</v>
      </c>
    </row>
    <row r="1190" spans="1:1">
      <c r="A1190" t="s">
        <v>44050</v>
      </c>
    </row>
    <row r="1191" spans="1:1">
      <c r="A1191" t="s">
        <v>44051</v>
      </c>
    </row>
    <row r="1192" spans="1:1">
      <c r="A1192" t="s">
        <v>44052</v>
      </c>
    </row>
    <row r="1193" spans="1:1">
      <c r="A1193" t="s">
        <v>44053</v>
      </c>
    </row>
    <row r="1194" spans="1:1">
      <c r="A1194" t="s">
        <v>44054</v>
      </c>
    </row>
    <row r="1195" spans="1:1">
      <c r="A1195" t="s">
        <v>44055</v>
      </c>
    </row>
    <row r="1196" spans="1:1">
      <c r="A1196" t="s">
        <v>44056</v>
      </c>
    </row>
    <row r="1197" spans="1:1">
      <c r="A1197" t="s">
        <v>44057</v>
      </c>
    </row>
    <row r="1198" spans="1:1">
      <c r="A1198" t="s">
        <v>44058</v>
      </c>
    </row>
    <row r="1199" spans="1:1">
      <c r="A1199" t="s">
        <v>44059</v>
      </c>
    </row>
    <row r="1200" spans="1:1">
      <c r="A1200" t="s">
        <v>44060</v>
      </c>
    </row>
    <row r="1201" spans="1:1">
      <c r="A1201" t="s">
        <v>44061</v>
      </c>
    </row>
    <row r="1202" spans="1:1">
      <c r="A1202" t="s">
        <v>44062</v>
      </c>
    </row>
    <row r="1203" spans="1:1">
      <c r="A1203" t="s">
        <v>44063</v>
      </c>
    </row>
    <row r="1204" spans="1:1">
      <c r="A1204" t="s">
        <v>44064</v>
      </c>
    </row>
    <row r="1205" spans="1:1">
      <c r="A1205" t="s">
        <v>44065</v>
      </c>
    </row>
    <row r="1206" spans="1:1">
      <c r="A1206" t="s">
        <v>44066</v>
      </c>
    </row>
    <row r="1207" spans="1:1">
      <c r="A1207" t="s">
        <v>44067</v>
      </c>
    </row>
    <row r="1208" spans="1:1">
      <c r="A1208" t="s">
        <v>44068</v>
      </c>
    </row>
    <row r="1209" spans="1:1">
      <c r="A1209" t="s">
        <v>44069</v>
      </c>
    </row>
    <row r="1210" spans="1:1">
      <c r="A1210" t="s">
        <v>44070</v>
      </c>
    </row>
    <row r="1211" spans="1:1">
      <c r="A1211" t="s">
        <v>44071</v>
      </c>
    </row>
    <row r="1212" spans="1:1">
      <c r="A1212" t="s">
        <v>44072</v>
      </c>
    </row>
    <row r="1213" spans="1:1">
      <c r="A1213" t="s">
        <v>44073</v>
      </c>
    </row>
    <row r="1214" spans="1:1">
      <c r="A1214" t="s">
        <v>44074</v>
      </c>
    </row>
    <row r="1215" spans="1:1">
      <c r="A1215" t="s">
        <v>44075</v>
      </c>
    </row>
    <row r="1216" spans="1:1">
      <c r="A1216" t="s">
        <v>44076</v>
      </c>
    </row>
    <row r="1217" spans="1:1">
      <c r="A1217" t="s">
        <v>44077</v>
      </c>
    </row>
    <row r="1218" spans="1:1">
      <c r="A1218" t="s">
        <v>44078</v>
      </c>
    </row>
    <row r="1219" spans="1:1">
      <c r="A1219" t="s">
        <v>44079</v>
      </c>
    </row>
    <row r="1220" spans="1:1">
      <c r="A1220" t="s">
        <v>44080</v>
      </c>
    </row>
    <row r="1221" spans="1:1">
      <c r="A1221" t="s">
        <v>44081</v>
      </c>
    </row>
    <row r="1222" spans="1:1">
      <c r="A1222" t="s">
        <v>44082</v>
      </c>
    </row>
    <row r="1223" spans="1:1">
      <c r="A1223" t="s">
        <v>44083</v>
      </c>
    </row>
    <row r="1224" spans="1:1">
      <c r="A1224" t="s">
        <v>44084</v>
      </c>
    </row>
    <row r="1225" spans="1:1">
      <c r="A1225" t="s">
        <v>44085</v>
      </c>
    </row>
    <row r="1226" spans="1:1">
      <c r="A1226" t="s">
        <v>44086</v>
      </c>
    </row>
    <row r="1227" spans="1:1">
      <c r="A1227" t="s">
        <v>44087</v>
      </c>
    </row>
    <row r="1228" spans="1:1">
      <c r="A1228" t="s">
        <v>44088</v>
      </c>
    </row>
    <row r="1229" spans="1:1">
      <c r="A1229" t="s">
        <v>44089</v>
      </c>
    </row>
    <row r="1230" spans="1:1">
      <c r="A1230" t="s">
        <v>44090</v>
      </c>
    </row>
    <row r="1231" spans="1:1">
      <c r="A1231" t="s">
        <v>44091</v>
      </c>
    </row>
    <row r="1232" spans="1:1">
      <c r="A1232" t="s">
        <v>44092</v>
      </c>
    </row>
    <row r="1233" spans="1:1">
      <c r="A1233" t="s">
        <v>44093</v>
      </c>
    </row>
    <row r="1234" spans="1:1">
      <c r="A1234" t="s">
        <v>44094</v>
      </c>
    </row>
    <row r="1235" spans="1:1">
      <c r="A1235" t="s">
        <v>44095</v>
      </c>
    </row>
    <row r="1236" spans="1:1">
      <c r="A1236" t="s">
        <v>44096</v>
      </c>
    </row>
    <row r="1237" spans="1:1">
      <c r="A1237" t="s">
        <v>44097</v>
      </c>
    </row>
    <row r="1238" spans="1:1">
      <c r="A1238" t="s">
        <v>44098</v>
      </c>
    </row>
    <row r="1239" spans="1:1">
      <c r="A1239" t="s">
        <v>44099</v>
      </c>
    </row>
    <row r="1240" spans="1:1">
      <c r="A1240" t="s">
        <v>44100</v>
      </c>
    </row>
    <row r="1241" spans="1:1">
      <c r="A1241" t="s">
        <v>44101</v>
      </c>
    </row>
    <row r="1242" spans="1:1">
      <c r="A1242" t="s">
        <v>44102</v>
      </c>
    </row>
    <row r="1243" spans="1:1">
      <c r="A1243" t="s">
        <v>44103</v>
      </c>
    </row>
    <row r="1244" spans="1:1">
      <c r="A1244" t="s">
        <v>44104</v>
      </c>
    </row>
    <row r="1245" spans="1:1">
      <c r="A1245" t="s">
        <v>44105</v>
      </c>
    </row>
    <row r="1246" spans="1:1">
      <c r="A1246" t="s">
        <v>44106</v>
      </c>
    </row>
    <row r="1247" spans="1:1">
      <c r="A1247" t="s">
        <v>44107</v>
      </c>
    </row>
    <row r="1248" spans="1:1">
      <c r="A1248" t="s">
        <v>44108</v>
      </c>
    </row>
    <row r="1249" spans="1:1">
      <c r="A1249" t="s">
        <v>44109</v>
      </c>
    </row>
    <row r="1250" spans="1:1">
      <c r="A1250" t="s">
        <v>44110</v>
      </c>
    </row>
    <row r="1251" spans="1:1">
      <c r="A1251" t="s">
        <v>44111</v>
      </c>
    </row>
    <row r="1252" spans="1:1">
      <c r="A1252" t="s">
        <v>44112</v>
      </c>
    </row>
    <row r="1253" spans="1:1">
      <c r="A1253" t="s">
        <v>44113</v>
      </c>
    </row>
    <row r="1254" spans="1:1">
      <c r="A1254" t="s">
        <v>44114</v>
      </c>
    </row>
    <row r="1255" spans="1:1">
      <c r="A1255" t="s">
        <v>44115</v>
      </c>
    </row>
    <row r="1256" spans="1:1">
      <c r="A1256" t="s">
        <v>44116</v>
      </c>
    </row>
    <row r="1257" spans="1:1">
      <c r="A1257" t="s">
        <v>44117</v>
      </c>
    </row>
    <row r="1258" spans="1:1">
      <c r="A1258" t="s">
        <v>44118</v>
      </c>
    </row>
    <row r="1259" spans="1:1">
      <c r="A1259" t="s">
        <v>44119</v>
      </c>
    </row>
    <row r="1260" spans="1:1">
      <c r="A1260" t="s">
        <v>44120</v>
      </c>
    </row>
    <row r="1261" spans="1:1">
      <c r="A1261" t="s">
        <v>44121</v>
      </c>
    </row>
    <row r="1262" spans="1:1">
      <c r="A1262" t="s">
        <v>44122</v>
      </c>
    </row>
    <row r="1263" spans="1:1">
      <c r="A1263" t="s">
        <v>44123</v>
      </c>
    </row>
    <row r="1264" spans="1:1">
      <c r="A1264" t="s">
        <v>44124</v>
      </c>
    </row>
    <row r="1265" spans="1:1">
      <c r="A1265" t="s">
        <v>44125</v>
      </c>
    </row>
    <row r="1266" spans="1:1">
      <c r="A1266" t="s">
        <v>44126</v>
      </c>
    </row>
    <row r="1267" spans="1:1">
      <c r="A1267" t="s">
        <v>44127</v>
      </c>
    </row>
    <row r="1268" spans="1:1">
      <c r="A1268" t="s">
        <v>44128</v>
      </c>
    </row>
    <row r="1269" spans="1:1">
      <c r="A1269" t="s">
        <v>44129</v>
      </c>
    </row>
    <row r="1270" spans="1:1">
      <c r="A1270" t="s">
        <v>44130</v>
      </c>
    </row>
    <row r="1271" spans="1:1">
      <c r="A1271" t="s">
        <v>39340</v>
      </c>
    </row>
    <row r="1272" spans="1:1">
      <c r="A1272" t="s">
        <v>44131</v>
      </c>
    </row>
    <row r="1273" spans="1:1">
      <c r="A1273" t="s">
        <v>44132</v>
      </c>
    </row>
    <row r="1274" spans="1:1">
      <c r="A1274" t="s">
        <v>44133</v>
      </c>
    </row>
    <row r="1275" spans="1:1">
      <c r="A1275" t="s">
        <v>44134</v>
      </c>
    </row>
    <row r="1276" spans="1:1">
      <c r="A1276" t="s">
        <v>44135</v>
      </c>
    </row>
    <row r="1277" spans="1:1">
      <c r="A1277" t="s">
        <v>44136</v>
      </c>
    </row>
    <row r="1278" spans="1:1">
      <c r="A1278" t="s">
        <v>44137</v>
      </c>
    </row>
    <row r="1279" spans="1:1">
      <c r="A1279" t="s">
        <v>44138</v>
      </c>
    </row>
    <row r="1280" spans="1:1">
      <c r="A1280" t="s">
        <v>44139</v>
      </c>
    </row>
    <row r="1281" spans="1:1">
      <c r="A1281" t="s">
        <v>44140</v>
      </c>
    </row>
    <row r="1282" spans="1:1">
      <c r="A1282" t="s">
        <v>44141</v>
      </c>
    </row>
    <row r="1283" spans="1:1">
      <c r="A1283" t="s">
        <v>44142</v>
      </c>
    </row>
    <row r="1284" spans="1:1">
      <c r="A1284" t="s">
        <v>44143</v>
      </c>
    </row>
    <row r="1285" spans="1:1">
      <c r="A1285" t="s">
        <v>44144</v>
      </c>
    </row>
    <row r="1286" spans="1:1">
      <c r="A1286" t="s">
        <v>44145</v>
      </c>
    </row>
    <row r="1287" spans="1:1">
      <c r="A1287" t="s">
        <v>44146</v>
      </c>
    </row>
    <row r="1288" spans="1:1">
      <c r="A1288" t="s">
        <v>44147</v>
      </c>
    </row>
    <row r="1289" spans="1:1">
      <c r="A1289" t="s">
        <v>44148</v>
      </c>
    </row>
    <row r="1290" spans="1:1">
      <c r="A1290" t="s">
        <v>44149</v>
      </c>
    </row>
    <row r="1291" spans="1:1">
      <c r="A1291" t="s">
        <v>44150</v>
      </c>
    </row>
    <row r="1292" spans="1:1">
      <c r="A1292" t="s">
        <v>44151</v>
      </c>
    </row>
    <row r="1293" spans="1:1">
      <c r="A1293" t="s">
        <v>44152</v>
      </c>
    </row>
    <row r="1294" spans="1:1">
      <c r="A1294" t="s">
        <v>44153</v>
      </c>
    </row>
    <row r="1295" spans="1:1">
      <c r="A1295" t="s">
        <v>44154</v>
      </c>
    </row>
    <row r="1296" spans="1:1">
      <c r="A1296" t="s">
        <v>44155</v>
      </c>
    </row>
    <row r="1297" spans="1:1">
      <c r="A1297" t="s">
        <v>44156</v>
      </c>
    </row>
    <row r="1298" spans="1:1">
      <c r="A1298" t="s">
        <v>44157</v>
      </c>
    </row>
    <row r="1299" spans="1:1">
      <c r="A1299" t="s">
        <v>44158</v>
      </c>
    </row>
    <row r="1300" spans="1:1">
      <c r="A1300" t="s">
        <v>44159</v>
      </c>
    </row>
    <row r="1301" spans="1:1">
      <c r="A1301" t="s">
        <v>44160</v>
      </c>
    </row>
    <row r="1302" spans="1:1">
      <c r="A1302" t="s">
        <v>44161</v>
      </c>
    </row>
    <row r="1303" spans="1:1">
      <c r="A1303" t="s">
        <v>44162</v>
      </c>
    </row>
    <row r="1304" spans="1:1">
      <c r="A1304" t="s">
        <v>44163</v>
      </c>
    </row>
    <row r="1305" spans="1:1">
      <c r="A1305" t="s">
        <v>44164</v>
      </c>
    </row>
    <row r="1306" spans="1:1">
      <c r="A1306" t="s">
        <v>44165</v>
      </c>
    </row>
    <row r="1307" spans="1:1">
      <c r="A1307" t="s">
        <v>44166</v>
      </c>
    </row>
    <row r="1308" spans="1:1">
      <c r="A1308" t="s">
        <v>44167</v>
      </c>
    </row>
    <row r="1309" spans="1:1">
      <c r="A1309" t="s">
        <v>44168</v>
      </c>
    </row>
    <row r="1310" spans="1:1">
      <c r="A1310" t="s">
        <v>44169</v>
      </c>
    </row>
    <row r="1311" spans="1:1">
      <c r="A1311" t="s">
        <v>44170</v>
      </c>
    </row>
    <row r="1312" spans="1:1">
      <c r="A1312" t="s">
        <v>44171</v>
      </c>
    </row>
    <row r="1313" spans="1:1">
      <c r="A1313" t="s">
        <v>44172</v>
      </c>
    </row>
    <row r="1314" spans="1:1">
      <c r="A1314" t="s">
        <v>44173</v>
      </c>
    </row>
    <row r="1315" spans="1:1">
      <c r="A1315" t="s">
        <v>44174</v>
      </c>
    </row>
    <row r="1316" spans="1:1">
      <c r="A1316" t="s">
        <v>44175</v>
      </c>
    </row>
    <row r="1317" spans="1:1">
      <c r="A1317" t="s">
        <v>44176</v>
      </c>
    </row>
    <row r="1318" spans="1:1">
      <c r="A1318" t="s">
        <v>44177</v>
      </c>
    </row>
    <row r="1319" spans="1:1">
      <c r="A1319" t="s">
        <v>44178</v>
      </c>
    </row>
    <row r="1320" spans="1:1">
      <c r="A1320" t="s">
        <v>44179</v>
      </c>
    </row>
    <row r="1321" spans="1:1">
      <c r="A1321" t="s">
        <v>44180</v>
      </c>
    </row>
    <row r="1322" spans="1:1">
      <c r="A1322" t="s">
        <v>44181</v>
      </c>
    </row>
    <row r="1323" spans="1:1">
      <c r="A1323" t="s">
        <v>44182</v>
      </c>
    </row>
    <row r="1324" spans="1:1">
      <c r="A1324" t="s">
        <v>44183</v>
      </c>
    </row>
    <row r="1325" spans="1:1">
      <c r="A1325" t="s">
        <v>44184</v>
      </c>
    </row>
    <row r="1326" spans="1:1">
      <c r="A1326" t="s">
        <v>44185</v>
      </c>
    </row>
    <row r="1327" spans="1:1">
      <c r="A1327" t="s">
        <v>44186</v>
      </c>
    </row>
    <row r="1328" spans="1:1">
      <c r="A1328" t="s">
        <v>44187</v>
      </c>
    </row>
    <row r="1329" spans="1:1">
      <c r="A1329" t="s">
        <v>44188</v>
      </c>
    </row>
    <row r="1330" spans="1:1">
      <c r="A1330" t="s">
        <v>44189</v>
      </c>
    </row>
    <row r="1331" spans="1:1">
      <c r="A1331" t="s">
        <v>44190</v>
      </c>
    </row>
    <row r="1332" spans="1:1">
      <c r="A1332" t="s">
        <v>44191</v>
      </c>
    </row>
    <row r="1333" spans="1:1">
      <c r="A1333" t="s">
        <v>44192</v>
      </c>
    </row>
    <row r="1334" spans="1:1">
      <c r="A1334" t="s">
        <v>44193</v>
      </c>
    </row>
    <row r="1335" spans="1:1">
      <c r="A1335" t="s">
        <v>44194</v>
      </c>
    </row>
    <row r="1336" spans="1:1">
      <c r="A1336" t="s">
        <v>44195</v>
      </c>
    </row>
    <row r="1337" spans="1:1">
      <c r="A1337" t="s">
        <v>44196</v>
      </c>
    </row>
    <row r="1338" spans="1:1">
      <c r="A1338" t="s">
        <v>44197</v>
      </c>
    </row>
    <row r="1339" spans="1:1">
      <c r="A1339" t="s">
        <v>44198</v>
      </c>
    </row>
    <row r="1340" spans="1:1">
      <c r="A1340" t="s">
        <v>44199</v>
      </c>
    </row>
    <row r="1341" spans="1:1">
      <c r="A1341" t="s">
        <v>44200</v>
      </c>
    </row>
    <row r="1342" spans="1:1">
      <c r="A1342" t="s">
        <v>44201</v>
      </c>
    </row>
    <row r="1343" spans="1:1">
      <c r="A1343" t="s">
        <v>44202</v>
      </c>
    </row>
    <row r="1344" spans="1:1">
      <c r="A1344" t="s">
        <v>44203</v>
      </c>
    </row>
    <row r="1345" spans="1:1">
      <c r="A1345" t="s">
        <v>44204</v>
      </c>
    </row>
    <row r="1346" spans="1:1">
      <c r="A1346" t="s">
        <v>44205</v>
      </c>
    </row>
    <row r="1347" spans="1:1">
      <c r="A1347" t="s">
        <v>44206</v>
      </c>
    </row>
    <row r="1348" spans="1:1">
      <c r="A1348" t="s">
        <v>44207</v>
      </c>
    </row>
    <row r="1349" spans="1:1">
      <c r="A1349" t="s">
        <v>44208</v>
      </c>
    </row>
    <row r="1350" spans="1:1">
      <c r="A1350" t="s">
        <v>44209</v>
      </c>
    </row>
    <row r="1351" spans="1:1">
      <c r="A1351" t="s">
        <v>44210</v>
      </c>
    </row>
    <row r="1352" spans="1:1">
      <c r="A1352" t="s">
        <v>44211</v>
      </c>
    </row>
    <row r="1353" spans="1:1">
      <c r="A1353" t="s">
        <v>44212</v>
      </c>
    </row>
    <row r="1354" spans="1:1">
      <c r="A1354" t="s">
        <v>44213</v>
      </c>
    </row>
    <row r="1355" spans="1:1">
      <c r="A1355" t="s">
        <v>44214</v>
      </c>
    </row>
    <row r="1356" spans="1:1">
      <c r="A1356" t="s">
        <v>44215</v>
      </c>
    </row>
    <row r="1357" spans="1:1">
      <c r="A1357" t="s">
        <v>44216</v>
      </c>
    </row>
    <row r="1358" spans="1:1">
      <c r="A1358" t="s">
        <v>44217</v>
      </c>
    </row>
    <row r="1359" spans="1:1">
      <c r="A1359" t="s">
        <v>44218</v>
      </c>
    </row>
    <row r="1360" spans="1:1">
      <c r="A1360" t="s">
        <v>44219</v>
      </c>
    </row>
    <row r="1361" spans="1:1">
      <c r="A1361" t="s">
        <v>44220</v>
      </c>
    </row>
    <row r="1362" spans="1:1">
      <c r="A1362" t="s">
        <v>44221</v>
      </c>
    </row>
    <row r="1363" spans="1:1">
      <c r="A1363" t="s">
        <v>44222</v>
      </c>
    </row>
    <row r="1364" spans="1:1">
      <c r="A1364" t="s">
        <v>44223</v>
      </c>
    </row>
    <row r="1365" spans="1:1">
      <c r="A1365" t="s">
        <v>44224</v>
      </c>
    </row>
    <row r="1366" spans="1:1">
      <c r="A1366" t="s">
        <v>44225</v>
      </c>
    </row>
    <row r="1367" spans="1:1">
      <c r="A1367" t="s">
        <v>44226</v>
      </c>
    </row>
    <row r="1368" spans="1:1">
      <c r="A1368" t="s">
        <v>44227</v>
      </c>
    </row>
    <row r="1369" spans="1:1">
      <c r="A1369" t="s">
        <v>44228</v>
      </c>
    </row>
    <row r="1370" spans="1:1">
      <c r="A1370" t="s">
        <v>44229</v>
      </c>
    </row>
    <row r="1371" spans="1:1">
      <c r="A1371" t="s">
        <v>44230</v>
      </c>
    </row>
    <row r="1372" spans="1:1">
      <c r="A1372" t="s">
        <v>44231</v>
      </c>
    </row>
    <row r="1373" spans="1:1">
      <c r="A1373" t="s">
        <v>44232</v>
      </c>
    </row>
    <row r="1374" spans="1:1">
      <c r="A1374" t="s">
        <v>44233</v>
      </c>
    </row>
    <row r="1375" spans="1:1">
      <c r="A1375" t="s">
        <v>44234</v>
      </c>
    </row>
    <row r="1376" spans="1:1">
      <c r="A1376" t="s">
        <v>44235</v>
      </c>
    </row>
    <row r="1377" spans="1:1">
      <c r="A1377" t="s">
        <v>44236</v>
      </c>
    </row>
    <row r="1378" spans="1:1">
      <c r="A1378" t="s">
        <v>44237</v>
      </c>
    </row>
    <row r="1379" spans="1:1">
      <c r="A1379" t="s">
        <v>44238</v>
      </c>
    </row>
    <row r="1380" spans="1:1">
      <c r="A1380" t="s">
        <v>44239</v>
      </c>
    </row>
    <row r="1381" spans="1:1">
      <c r="A1381" t="s">
        <v>44240</v>
      </c>
    </row>
    <row r="1382" spans="1:1">
      <c r="A1382" t="s">
        <v>44241</v>
      </c>
    </row>
    <row r="1383" spans="1:1">
      <c r="A1383" t="s">
        <v>44242</v>
      </c>
    </row>
    <row r="1384" spans="1:1">
      <c r="A1384" t="s">
        <v>44243</v>
      </c>
    </row>
    <row r="1385" spans="1:1">
      <c r="A1385" t="s">
        <v>44244</v>
      </c>
    </row>
    <row r="1386" spans="1:1">
      <c r="A1386" t="s">
        <v>44245</v>
      </c>
    </row>
    <row r="1387" spans="1:1">
      <c r="A1387" t="s">
        <v>44246</v>
      </c>
    </row>
    <row r="1388" spans="1:1">
      <c r="A1388" t="s">
        <v>44247</v>
      </c>
    </row>
    <row r="1389" spans="1:1">
      <c r="A1389" t="s">
        <v>44248</v>
      </c>
    </row>
    <row r="1390" spans="1:1">
      <c r="A1390" t="s">
        <v>44249</v>
      </c>
    </row>
    <row r="1391" spans="1:1">
      <c r="A1391" t="s">
        <v>44250</v>
      </c>
    </row>
    <row r="1392" spans="1:1">
      <c r="A1392" t="s">
        <v>44251</v>
      </c>
    </row>
    <row r="1393" spans="1:1">
      <c r="A1393" t="s">
        <v>44252</v>
      </c>
    </row>
    <row r="1394" spans="1:1">
      <c r="A1394" t="s">
        <v>44253</v>
      </c>
    </row>
    <row r="1395" spans="1:1">
      <c r="A1395" t="s">
        <v>44254</v>
      </c>
    </row>
    <row r="1396" spans="1:1">
      <c r="A1396" t="s">
        <v>44255</v>
      </c>
    </row>
    <row r="1397" spans="1:1">
      <c r="A1397" t="s">
        <v>44256</v>
      </c>
    </row>
    <row r="1398" spans="1:1">
      <c r="A1398" t="s">
        <v>44257</v>
      </c>
    </row>
    <row r="1399" spans="1:1">
      <c r="A1399" t="s">
        <v>44258</v>
      </c>
    </row>
    <row r="1400" spans="1:1">
      <c r="A1400" t="s">
        <v>44259</v>
      </c>
    </row>
    <row r="1401" spans="1:1">
      <c r="A1401" t="s">
        <v>44260</v>
      </c>
    </row>
    <row r="1402" spans="1:1">
      <c r="A1402" t="s">
        <v>44261</v>
      </c>
    </row>
    <row r="1403" spans="1:1">
      <c r="A1403" t="s">
        <v>44262</v>
      </c>
    </row>
    <row r="1404" spans="1:1">
      <c r="A1404" t="s">
        <v>44263</v>
      </c>
    </row>
    <row r="1405" spans="1:1">
      <c r="A1405" t="s">
        <v>44264</v>
      </c>
    </row>
    <row r="1406" spans="1:1">
      <c r="A1406" t="s">
        <v>44265</v>
      </c>
    </row>
    <row r="1407" spans="1:1">
      <c r="A1407" t="s">
        <v>44266</v>
      </c>
    </row>
    <row r="1408" spans="1:1">
      <c r="A1408" t="s">
        <v>44267</v>
      </c>
    </row>
    <row r="1409" spans="1:1">
      <c r="A1409" t="s">
        <v>44268</v>
      </c>
    </row>
    <row r="1410" spans="1:1">
      <c r="A1410" t="s">
        <v>44269</v>
      </c>
    </row>
    <row r="1411" spans="1:1">
      <c r="A1411" t="s">
        <v>44270</v>
      </c>
    </row>
    <row r="1412" spans="1:1">
      <c r="A1412" t="s">
        <v>44271</v>
      </c>
    </row>
    <row r="1413" spans="1:1">
      <c r="A1413" t="s">
        <v>43729</v>
      </c>
    </row>
    <row r="1414" spans="1:1">
      <c r="A1414" t="s">
        <v>44272</v>
      </c>
    </row>
    <row r="1415" spans="1:1">
      <c r="A1415" t="s">
        <v>43731</v>
      </c>
    </row>
    <row r="1416" spans="1:1">
      <c r="A1416" t="s">
        <v>44273</v>
      </c>
    </row>
    <row r="1417" spans="1:1">
      <c r="A1417" t="s">
        <v>44274</v>
      </c>
    </row>
    <row r="1418" spans="1:1">
      <c r="A1418" t="s">
        <v>43734</v>
      </c>
    </row>
    <row r="1419" spans="1:1">
      <c r="A1419" t="s">
        <v>44275</v>
      </c>
    </row>
    <row r="1420" spans="1:1">
      <c r="A1420" t="s">
        <v>43736</v>
      </c>
    </row>
    <row r="1421" spans="1:1">
      <c r="A1421" t="s">
        <v>43737</v>
      </c>
    </row>
    <row r="1422" spans="1:1">
      <c r="A1422" t="s">
        <v>43738</v>
      </c>
    </row>
    <row r="1423" spans="1:1">
      <c r="A1423" t="s">
        <v>44276</v>
      </c>
    </row>
    <row r="1424" spans="1:1">
      <c r="A1424" t="s">
        <v>44277</v>
      </c>
    </row>
    <row r="1425" spans="1:1">
      <c r="A1425" t="s">
        <v>44278</v>
      </c>
    </row>
    <row r="1426" spans="1:1">
      <c r="A1426" t="s">
        <v>44279</v>
      </c>
    </row>
    <row r="1427" spans="1:1">
      <c r="A1427" t="s">
        <v>44280</v>
      </c>
    </row>
    <row r="1428" spans="1:1">
      <c r="A1428" t="s">
        <v>44281</v>
      </c>
    </row>
    <row r="1429" spans="1:1">
      <c r="A1429" t="s">
        <v>44282</v>
      </c>
    </row>
    <row r="1430" spans="1:1">
      <c r="A1430" t="s">
        <v>44283</v>
      </c>
    </row>
    <row r="1431" spans="1:1">
      <c r="A1431" t="s">
        <v>44284</v>
      </c>
    </row>
    <row r="1432" spans="1:1">
      <c r="A1432" t="s">
        <v>44285</v>
      </c>
    </row>
    <row r="1433" spans="1:1">
      <c r="A1433" t="s">
        <v>44286</v>
      </c>
    </row>
    <row r="1434" spans="1:1">
      <c r="A1434" t="s">
        <v>44287</v>
      </c>
    </row>
    <row r="1435" spans="1:1">
      <c r="A1435" t="s">
        <v>44288</v>
      </c>
    </row>
    <row r="1436" spans="1:1">
      <c r="A1436" t="s">
        <v>44289</v>
      </c>
    </row>
    <row r="1437" spans="1:1">
      <c r="A1437" t="s">
        <v>44290</v>
      </c>
    </row>
    <row r="1438" spans="1:1">
      <c r="A1438" t="s">
        <v>44291</v>
      </c>
    </row>
    <row r="1439" spans="1:1">
      <c r="A1439" t="s">
        <v>44292</v>
      </c>
    </row>
    <row r="1440" spans="1:1">
      <c r="A1440" t="s">
        <v>44293</v>
      </c>
    </row>
    <row r="1441" spans="1:1">
      <c r="A1441" t="s">
        <v>44294</v>
      </c>
    </row>
    <row r="1442" spans="1:1">
      <c r="A1442" t="s">
        <v>44295</v>
      </c>
    </row>
    <row r="1443" spans="1:1">
      <c r="A1443" t="s">
        <v>44296</v>
      </c>
    </row>
    <row r="1444" spans="1:1">
      <c r="A1444" t="s">
        <v>44297</v>
      </c>
    </row>
    <row r="1445" spans="1:1">
      <c r="A1445" t="s">
        <v>44298</v>
      </c>
    </row>
    <row r="1446" spans="1:1">
      <c r="A1446" t="s">
        <v>44299</v>
      </c>
    </row>
    <row r="1447" spans="1:1">
      <c r="A1447" t="s">
        <v>44300</v>
      </c>
    </row>
    <row r="1448" spans="1:1">
      <c r="A1448" t="s">
        <v>44301</v>
      </c>
    </row>
    <row r="1449" spans="1:1">
      <c r="A1449" t="s">
        <v>44302</v>
      </c>
    </row>
    <row r="1450" spans="1:1">
      <c r="A1450" t="s">
        <v>44303</v>
      </c>
    </row>
    <row r="1451" spans="1:1">
      <c r="A1451" t="s">
        <v>44304</v>
      </c>
    </row>
    <row r="1452" spans="1:1">
      <c r="A1452" t="s">
        <v>44305</v>
      </c>
    </row>
    <row r="1453" spans="1:1">
      <c r="A1453" t="s">
        <v>44306</v>
      </c>
    </row>
    <row r="1454" spans="1:1">
      <c r="A1454" t="s">
        <v>44307</v>
      </c>
    </row>
    <row r="1455" spans="1:1">
      <c r="A1455" t="s">
        <v>44308</v>
      </c>
    </row>
    <row r="1456" spans="1:1">
      <c r="A1456" t="s">
        <v>44309</v>
      </c>
    </row>
    <row r="1457" spans="1:1">
      <c r="A1457" t="s">
        <v>44310</v>
      </c>
    </row>
    <row r="1458" spans="1:1">
      <c r="A1458" t="s">
        <v>44311</v>
      </c>
    </row>
    <row r="1459" spans="1:1">
      <c r="A1459" t="s">
        <v>44312</v>
      </c>
    </row>
    <row r="1460" spans="1:1">
      <c r="A1460" t="s">
        <v>44313</v>
      </c>
    </row>
    <row r="1461" spans="1:1">
      <c r="A1461" t="s">
        <v>44314</v>
      </c>
    </row>
    <row r="1462" spans="1:1">
      <c r="A1462" t="s">
        <v>44315</v>
      </c>
    </row>
    <row r="1463" spans="1:1">
      <c r="A1463" t="s">
        <v>44316</v>
      </c>
    </row>
    <row r="1464" spans="1:1">
      <c r="A1464" t="s">
        <v>44317</v>
      </c>
    </row>
    <row r="1465" spans="1:1">
      <c r="A1465" t="s">
        <v>44318</v>
      </c>
    </row>
    <row r="1466" spans="1:1">
      <c r="A1466" t="s">
        <v>44319</v>
      </c>
    </row>
    <row r="1467" spans="1:1">
      <c r="A1467" t="s">
        <v>44320</v>
      </c>
    </row>
    <row r="1468" spans="1:1">
      <c r="A1468" t="s">
        <v>44321</v>
      </c>
    </row>
    <row r="1469" spans="1:1">
      <c r="A1469" t="s">
        <v>44322</v>
      </c>
    </row>
    <row r="1470" spans="1:1">
      <c r="A1470" t="s">
        <v>44323</v>
      </c>
    </row>
    <row r="1471" spans="1:1">
      <c r="A1471" t="s">
        <v>44324</v>
      </c>
    </row>
    <row r="1472" spans="1:1">
      <c r="A1472" t="s">
        <v>44325</v>
      </c>
    </row>
    <row r="1473" spans="1:1">
      <c r="A1473" t="s">
        <v>44326</v>
      </c>
    </row>
    <row r="1474" spans="1:1">
      <c r="A1474" t="s">
        <v>44327</v>
      </c>
    </row>
    <row r="1475" spans="1:1">
      <c r="A1475" t="s">
        <v>44328</v>
      </c>
    </row>
    <row r="1476" spans="1:1">
      <c r="A1476" t="s">
        <v>44329</v>
      </c>
    </row>
    <row r="1477" spans="1:1">
      <c r="A1477" t="s">
        <v>44330</v>
      </c>
    </row>
    <row r="1478" spans="1:1">
      <c r="A1478" t="s">
        <v>44331</v>
      </c>
    </row>
    <row r="1479" spans="1:1">
      <c r="A1479" t="s">
        <v>44332</v>
      </c>
    </row>
    <row r="1480" spans="1:1">
      <c r="A1480" t="s">
        <v>44333</v>
      </c>
    </row>
    <row r="1481" spans="1:1">
      <c r="A1481" t="s">
        <v>44334</v>
      </c>
    </row>
    <row r="1482" spans="1:1">
      <c r="A1482" t="s">
        <v>44335</v>
      </c>
    </row>
    <row r="1483" spans="1:1">
      <c r="A1483" t="s">
        <v>44336</v>
      </c>
    </row>
    <row r="1484" spans="1:1">
      <c r="A1484" t="s">
        <v>44337</v>
      </c>
    </row>
    <row r="1485" spans="1:1">
      <c r="A1485" t="s">
        <v>44338</v>
      </c>
    </row>
    <row r="1486" spans="1:1">
      <c r="A1486" t="s">
        <v>44339</v>
      </c>
    </row>
    <row r="1487" spans="1:1">
      <c r="A1487" t="s">
        <v>44340</v>
      </c>
    </row>
    <row r="1488" spans="1:1">
      <c r="A1488" t="s">
        <v>44341</v>
      </c>
    </row>
    <row r="1489" spans="1:1">
      <c r="A1489" t="s">
        <v>44342</v>
      </c>
    </row>
    <row r="1490" spans="1:1">
      <c r="A1490" t="s">
        <v>44343</v>
      </c>
    </row>
    <row r="1491" spans="1:1">
      <c r="A1491" t="s">
        <v>44344</v>
      </c>
    </row>
    <row r="1492" spans="1:1">
      <c r="A1492" t="s">
        <v>44345</v>
      </c>
    </row>
    <row r="1493" spans="1:1">
      <c r="A1493" t="s">
        <v>44346</v>
      </c>
    </row>
    <row r="1494" spans="1:1">
      <c r="A1494" t="s">
        <v>44347</v>
      </c>
    </row>
    <row r="1495" spans="1:1">
      <c r="A1495" t="s">
        <v>44348</v>
      </c>
    </row>
    <row r="1496" spans="1:1">
      <c r="A1496" t="s">
        <v>44349</v>
      </c>
    </row>
    <row r="1497" spans="1:1">
      <c r="A1497" t="s">
        <v>44350</v>
      </c>
    </row>
    <row r="1498" spans="1:1">
      <c r="A1498" t="s">
        <v>44351</v>
      </c>
    </row>
    <row r="1499" spans="1:1">
      <c r="A1499" t="s">
        <v>44352</v>
      </c>
    </row>
    <row r="1500" spans="1:1">
      <c r="A1500" t="s">
        <v>44353</v>
      </c>
    </row>
    <row r="1501" spans="1:1">
      <c r="A1501" t="s">
        <v>44354</v>
      </c>
    </row>
    <row r="1502" spans="1:1">
      <c r="A1502" t="s">
        <v>44355</v>
      </c>
    </row>
    <row r="1503" spans="1:1">
      <c r="A1503" t="s">
        <v>44356</v>
      </c>
    </row>
    <row r="1504" spans="1:1">
      <c r="A1504" t="s">
        <v>44357</v>
      </c>
    </row>
    <row r="1505" spans="1:1">
      <c r="A1505" t="s">
        <v>44358</v>
      </c>
    </row>
    <row r="1506" spans="1:1">
      <c r="A1506" t="s">
        <v>44359</v>
      </c>
    </row>
    <row r="1507" spans="1:1">
      <c r="A1507" t="s">
        <v>44360</v>
      </c>
    </row>
    <row r="1508" spans="1:1">
      <c r="A1508" t="s">
        <v>44361</v>
      </c>
    </row>
    <row r="1509" spans="1:1">
      <c r="A1509" t="s">
        <v>44362</v>
      </c>
    </row>
    <row r="1510" spans="1:1">
      <c r="A1510" t="s">
        <v>44363</v>
      </c>
    </row>
    <row r="1511" spans="1:1">
      <c r="A1511" t="s">
        <v>44364</v>
      </c>
    </row>
    <row r="1512" spans="1:1">
      <c r="A1512" t="s">
        <v>44365</v>
      </c>
    </row>
    <row r="1513" spans="1:1">
      <c r="A1513" t="s">
        <v>44366</v>
      </c>
    </row>
    <row r="1514" spans="1:1">
      <c r="A1514" t="s">
        <v>44367</v>
      </c>
    </row>
    <row r="1515" spans="1:1">
      <c r="A1515" t="s">
        <v>44368</v>
      </c>
    </row>
    <row r="1516" spans="1:1">
      <c r="A1516" t="s">
        <v>44369</v>
      </c>
    </row>
    <row r="1517" spans="1:1">
      <c r="A1517" t="s">
        <v>44370</v>
      </c>
    </row>
    <row r="1518" spans="1:1">
      <c r="A1518" t="s">
        <v>44371</v>
      </c>
    </row>
    <row r="1519" spans="1:1">
      <c r="A1519" t="s">
        <v>44372</v>
      </c>
    </row>
    <row r="1520" spans="1:1">
      <c r="A1520" t="s">
        <v>44373</v>
      </c>
    </row>
    <row r="1521" spans="1:1">
      <c r="A1521" t="s">
        <v>44374</v>
      </c>
    </row>
    <row r="1522" spans="1:1">
      <c r="A1522" t="s">
        <v>44375</v>
      </c>
    </row>
    <row r="1523" spans="1:1">
      <c r="A1523" t="s">
        <v>44376</v>
      </c>
    </row>
    <row r="1524" spans="1:1">
      <c r="A1524" t="s">
        <v>44377</v>
      </c>
    </row>
    <row r="1525" spans="1:1">
      <c r="A1525" t="s">
        <v>44378</v>
      </c>
    </row>
    <row r="1526" spans="1:1">
      <c r="A1526" t="s">
        <v>44379</v>
      </c>
    </row>
    <row r="1527" spans="1:1">
      <c r="A1527" t="s">
        <v>44380</v>
      </c>
    </row>
    <row r="1528" spans="1:1">
      <c r="A1528" t="s">
        <v>44381</v>
      </c>
    </row>
    <row r="1529" spans="1:1">
      <c r="A1529" t="s">
        <v>44382</v>
      </c>
    </row>
    <row r="1530" spans="1:1">
      <c r="A1530" t="s">
        <v>44383</v>
      </c>
    </row>
    <row r="1531" spans="1:1">
      <c r="A1531" t="s">
        <v>44384</v>
      </c>
    </row>
    <row r="1532" spans="1:1">
      <c r="A1532" t="s">
        <v>44385</v>
      </c>
    </row>
    <row r="1533" spans="1:1">
      <c r="A1533" t="s">
        <v>43225</v>
      </c>
    </row>
    <row r="1534" spans="1:1">
      <c r="A1534" t="s">
        <v>44386</v>
      </c>
    </row>
    <row r="1535" spans="1:1">
      <c r="A1535" t="s">
        <v>44387</v>
      </c>
    </row>
    <row r="1536" spans="1:1">
      <c r="A1536" t="s">
        <v>44388</v>
      </c>
    </row>
    <row r="1537" spans="1:1">
      <c r="A1537" t="s">
        <v>44389</v>
      </c>
    </row>
    <row r="1538" spans="1:1">
      <c r="A1538" t="s">
        <v>44390</v>
      </c>
    </row>
    <row r="1539" spans="1:1">
      <c r="A1539" t="s">
        <v>44391</v>
      </c>
    </row>
    <row r="1540" spans="1:1">
      <c r="A1540" t="s">
        <v>44392</v>
      </c>
    </row>
    <row r="1541" spans="1:1">
      <c r="A1541" t="s">
        <v>44393</v>
      </c>
    </row>
    <row r="1542" spans="1:1">
      <c r="A1542" t="s">
        <v>44394</v>
      </c>
    </row>
    <row r="1543" spans="1:1">
      <c r="A1543" t="s">
        <v>44395</v>
      </c>
    </row>
    <row r="1544" spans="1:1">
      <c r="A1544" t="s">
        <v>44396</v>
      </c>
    </row>
    <row r="1545" spans="1:1">
      <c r="A1545" t="s">
        <v>44397</v>
      </c>
    </row>
    <row r="1546" spans="1:1">
      <c r="A1546" t="s">
        <v>44398</v>
      </c>
    </row>
    <row r="1547" spans="1:1">
      <c r="A1547" t="s">
        <v>44399</v>
      </c>
    </row>
    <row r="1548" spans="1:1">
      <c r="A1548" t="s">
        <v>44400</v>
      </c>
    </row>
    <row r="1549" spans="1:1">
      <c r="A1549" t="s">
        <v>44401</v>
      </c>
    </row>
    <row r="1550" spans="1:1">
      <c r="A1550" t="s">
        <v>44402</v>
      </c>
    </row>
    <row r="1551" spans="1:1">
      <c r="A1551" t="s">
        <v>44403</v>
      </c>
    </row>
    <row r="1552" spans="1:1">
      <c r="A1552" t="s">
        <v>44404</v>
      </c>
    </row>
    <row r="1553" spans="1:1">
      <c r="A1553" t="s">
        <v>44405</v>
      </c>
    </row>
    <row r="1554" spans="1:1">
      <c r="A1554" t="s">
        <v>44406</v>
      </c>
    </row>
    <row r="1555" spans="1:1">
      <c r="A1555" t="s">
        <v>44407</v>
      </c>
    </row>
    <row r="1556" spans="1:1">
      <c r="A1556" t="s">
        <v>44408</v>
      </c>
    </row>
    <row r="1557" spans="1:1">
      <c r="A1557" t="s">
        <v>44409</v>
      </c>
    </row>
    <row r="1558" spans="1:1">
      <c r="A1558" t="s">
        <v>44410</v>
      </c>
    </row>
    <row r="1559" spans="1:1">
      <c r="A1559" t="s">
        <v>44411</v>
      </c>
    </row>
    <row r="1560" spans="1:1">
      <c r="A1560" t="s">
        <v>44412</v>
      </c>
    </row>
    <row r="1561" spans="1:1">
      <c r="A1561" t="s">
        <v>44413</v>
      </c>
    </row>
    <row r="1562" spans="1:1">
      <c r="A1562" t="s">
        <v>44414</v>
      </c>
    </row>
    <row r="1563" spans="1:1">
      <c r="A1563" t="s">
        <v>44415</v>
      </c>
    </row>
    <row r="1564" spans="1:1">
      <c r="A1564" t="s">
        <v>44416</v>
      </c>
    </row>
    <row r="1565" spans="1:1">
      <c r="A1565" t="s">
        <v>44417</v>
      </c>
    </row>
    <row r="1566" spans="1:1">
      <c r="A1566" t="s">
        <v>44418</v>
      </c>
    </row>
    <row r="1567" spans="1:1">
      <c r="A1567" t="s">
        <v>44419</v>
      </c>
    </row>
    <row r="1568" spans="1:1">
      <c r="A1568" t="s">
        <v>44420</v>
      </c>
    </row>
    <row r="1569" spans="1:1">
      <c r="A1569" t="s">
        <v>44421</v>
      </c>
    </row>
    <row r="1570" spans="1:1">
      <c r="A1570" t="s">
        <v>44422</v>
      </c>
    </row>
    <row r="1571" spans="1:1">
      <c r="A1571" t="s">
        <v>44423</v>
      </c>
    </row>
    <row r="1572" spans="1:1">
      <c r="A1572" t="s">
        <v>44424</v>
      </c>
    </row>
    <row r="1573" spans="1:1">
      <c r="A1573" t="s">
        <v>44425</v>
      </c>
    </row>
    <row r="1574" spans="1:1">
      <c r="A1574" t="s">
        <v>44426</v>
      </c>
    </row>
    <row r="1575" spans="1:1">
      <c r="A1575" t="s">
        <v>44427</v>
      </c>
    </row>
    <row r="1576" spans="1:1">
      <c r="A1576" t="s">
        <v>44428</v>
      </c>
    </row>
    <row r="1577" spans="1:1">
      <c r="A1577" t="s">
        <v>44429</v>
      </c>
    </row>
    <row r="1578" spans="1:1">
      <c r="A1578" t="s">
        <v>44430</v>
      </c>
    </row>
    <row r="1579" spans="1:1">
      <c r="A1579" t="s">
        <v>44431</v>
      </c>
    </row>
    <row r="1580" spans="1:1">
      <c r="A1580" t="s">
        <v>44432</v>
      </c>
    </row>
    <row r="1581" spans="1:1">
      <c r="A1581" t="s">
        <v>44433</v>
      </c>
    </row>
    <row r="1582" spans="1:1">
      <c r="A1582" t="s">
        <v>44434</v>
      </c>
    </row>
    <row r="1583" spans="1:1">
      <c r="A1583" t="s">
        <v>44435</v>
      </c>
    </row>
    <row r="1584" spans="1:1">
      <c r="A1584" t="s">
        <v>44436</v>
      </c>
    </row>
    <row r="1585" spans="1:1">
      <c r="A1585" t="s">
        <v>44437</v>
      </c>
    </row>
    <row r="1586" spans="1:1">
      <c r="A1586" t="s">
        <v>44438</v>
      </c>
    </row>
    <row r="1587" spans="1:1">
      <c r="A1587" t="s">
        <v>44439</v>
      </c>
    </row>
    <row r="1588" spans="1:1">
      <c r="A1588" t="s">
        <v>44440</v>
      </c>
    </row>
    <row r="1589" spans="1:1">
      <c r="A1589" t="s">
        <v>44441</v>
      </c>
    </row>
    <row r="1590" spans="1:1">
      <c r="A1590" t="s">
        <v>44442</v>
      </c>
    </row>
    <row r="1591" spans="1:1">
      <c r="A1591" t="s">
        <v>44443</v>
      </c>
    </row>
    <row r="1592" spans="1:1">
      <c r="A1592" t="s">
        <v>44444</v>
      </c>
    </row>
    <row r="1593" spans="1:1">
      <c r="A1593" t="s">
        <v>44445</v>
      </c>
    </row>
    <row r="1594" spans="1:1">
      <c r="A1594" t="s">
        <v>44446</v>
      </c>
    </row>
    <row r="1595" spans="1:1">
      <c r="A1595" t="s">
        <v>44447</v>
      </c>
    </row>
    <row r="1596" spans="1:1">
      <c r="A1596" t="s">
        <v>44448</v>
      </c>
    </row>
    <row r="1597" spans="1:1">
      <c r="A1597" t="s">
        <v>44449</v>
      </c>
    </row>
    <row r="1598" spans="1:1">
      <c r="A1598" t="s">
        <v>44450</v>
      </c>
    </row>
    <row r="1599" spans="1:1">
      <c r="A1599" t="s">
        <v>44451</v>
      </c>
    </row>
    <row r="1600" spans="1:1">
      <c r="A1600" t="s">
        <v>44452</v>
      </c>
    </row>
    <row r="1601" spans="1:1">
      <c r="A1601" t="s">
        <v>44453</v>
      </c>
    </row>
    <row r="1602" spans="1:1">
      <c r="A1602" t="s">
        <v>44454</v>
      </c>
    </row>
    <row r="1603" spans="1:1">
      <c r="A1603" t="s">
        <v>44455</v>
      </c>
    </row>
    <row r="1604" spans="1:1">
      <c r="A1604" t="s">
        <v>44456</v>
      </c>
    </row>
    <row r="1605" spans="1:1">
      <c r="A1605" t="s">
        <v>44457</v>
      </c>
    </row>
    <row r="1606" spans="1:1">
      <c r="A1606" t="s">
        <v>44458</v>
      </c>
    </row>
    <row r="1607" spans="1:1">
      <c r="A1607" t="s">
        <v>44459</v>
      </c>
    </row>
    <row r="1608" spans="1:1">
      <c r="A1608" t="s">
        <v>44460</v>
      </c>
    </row>
    <row r="1609" spans="1:1">
      <c r="A1609" t="s">
        <v>44461</v>
      </c>
    </row>
    <row r="1610" spans="1:1">
      <c r="A1610" t="s">
        <v>44462</v>
      </c>
    </row>
    <row r="1611" spans="1:1">
      <c r="A1611" t="s">
        <v>44463</v>
      </c>
    </row>
    <row r="1612" spans="1:1">
      <c r="A1612" t="s">
        <v>44464</v>
      </c>
    </row>
    <row r="1613" spans="1:1">
      <c r="A1613" t="s">
        <v>44465</v>
      </c>
    </row>
    <row r="1614" spans="1:1">
      <c r="A1614" t="s">
        <v>44466</v>
      </c>
    </row>
    <row r="1615" spans="1:1">
      <c r="A1615" t="s">
        <v>44467</v>
      </c>
    </row>
    <row r="1616" spans="1:1">
      <c r="A1616" t="s">
        <v>44468</v>
      </c>
    </row>
    <row r="1617" spans="1:1">
      <c r="A1617" t="s">
        <v>44469</v>
      </c>
    </row>
    <row r="1618" spans="1:1">
      <c r="A1618" t="s">
        <v>44470</v>
      </c>
    </row>
    <row r="1619" spans="1:1">
      <c r="A1619" t="s">
        <v>44471</v>
      </c>
    </row>
    <row r="1620" spans="1:1">
      <c r="A1620" t="s">
        <v>44472</v>
      </c>
    </row>
    <row r="1621" spans="1:1">
      <c r="A1621" t="s">
        <v>44473</v>
      </c>
    </row>
    <row r="1622" spans="1:1">
      <c r="A1622" t="s">
        <v>44474</v>
      </c>
    </row>
    <row r="1623" spans="1:1">
      <c r="A1623" t="s">
        <v>44475</v>
      </c>
    </row>
    <row r="1624" spans="1:1">
      <c r="A1624" t="s">
        <v>44476</v>
      </c>
    </row>
    <row r="1625" spans="1:1">
      <c r="A1625" t="s">
        <v>44477</v>
      </c>
    </row>
    <row r="1626" spans="1:1">
      <c r="A1626" t="s">
        <v>44478</v>
      </c>
    </row>
    <row r="1627" spans="1:1">
      <c r="A1627" t="s">
        <v>44479</v>
      </c>
    </row>
    <row r="1628" spans="1:1">
      <c r="A1628" t="s">
        <v>44480</v>
      </c>
    </row>
    <row r="1629" spans="1:1">
      <c r="A1629" t="s">
        <v>44481</v>
      </c>
    </row>
    <row r="1630" spans="1:1">
      <c r="A1630" t="s">
        <v>44482</v>
      </c>
    </row>
    <row r="1631" spans="1:1">
      <c r="A1631" t="s">
        <v>44483</v>
      </c>
    </row>
    <row r="1632" spans="1:1">
      <c r="A1632" t="s">
        <v>44484</v>
      </c>
    </row>
    <row r="1633" spans="1:1">
      <c r="A1633" t="s">
        <v>44485</v>
      </c>
    </row>
    <row r="1634" spans="1:1">
      <c r="A1634" t="s">
        <v>44486</v>
      </c>
    </row>
    <row r="1635" spans="1:1">
      <c r="A1635" t="s">
        <v>44487</v>
      </c>
    </row>
    <row r="1636" spans="1:1">
      <c r="A1636" t="s">
        <v>44488</v>
      </c>
    </row>
    <row r="1637" spans="1:1">
      <c r="A1637" t="s">
        <v>44489</v>
      </c>
    </row>
    <row r="1638" spans="1:1">
      <c r="A1638" t="s">
        <v>44490</v>
      </c>
    </row>
    <row r="1639" spans="1:1">
      <c r="A1639" t="s">
        <v>44491</v>
      </c>
    </row>
    <row r="1640" spans="1:1">
      <c r="A1640" t="s">
        <v>44492</v>
      </c>
    </row>
    <row r="1641" spans="1:1">
      <c r="A1641" t="s">
        <v>44493</v>
      </c>
    </row>
    <row r="1642" spans="1:1">
      <c r="A1642" t="s">
        <v>44494</v>
      </c>
    </row>
    <row r="1643" spans="1:1">
      <c r="A1643" t="s">
        <v>44495</v>
      </c>
    </row>
    <row r="1644" spans="1:1">
      <c r="A1644" t="s">
        <v>44496</v>
      </c>
    </row>
    <row r="1645" spans="1:1">
      <c r="A1645" t="s">
        <v>44497</v>
      </c>
    </row>
    <row r="1646" spans="1:1">
      <c r="A1646" t="s">
        <v>44498</v>
      </c>
    </row>
    <row r="1647" spans="1:1">
      <c r="A1647" t="s">
        <v>44499</v>
      </c>
    </row>
    <row r="1648" spans="1:1">
      <c r="A1648" t="s">
        <v>44500</v>
      </c>
    </row>
    <row r="1649" spans="1:1">
      <c r="A1649" t="s">
        <v>44501</v>
      </c>
    </row>
    <row r="1650" spans="1:1">
      <c r="A1650" t="s">
        <v>44502</v>
      </c>
    </row>
    <row r="1651" spans="1:1">
      <c r="A1651" t="s">
        <v>44503</v>
      </c>
    </row>
    <row r="1652" spans="1:1">
      <c r="A1652" t="s">
        <v>44504</v>
      </c>
    </row>
    <row r="1653" spans="1:1">
      <c r="A1653" t="s">
        <v>44505</v>
      </c>
    </row>
    <row r="1654" spans="1:1">
      <c r="A1654" t="s">
        <v>44506</v>
      </c>
    </row>
    <row r="1655" spans="1:1">
      <c r="A1655" t="s">
        <v>44507</v>
      </c>
    </row>
    <row r="1656" spans="1:1">
      <c r="A1656" t="s">
        <v>44508</v>
      </c>
    </row>
    <row r="1657" spans="1:1">
      <c r="A1657" t="s">
        <v>44509</v>
      </c>
    </row>
    <row r="1658" spans="1:1">
      <c r="A1658" t="s">
        <v>44510</v>
      </c>
    </row>
    <row r="1659" spans="1:1">
      <c r="A1659" t="s">
        <v>44511</v>
      </c>
    </row>
    <row r="1660" spans="1:1">
      <c r="A1660" t="s">
        <v>44512</v>
      </c>
    </row>
    <row r="1661" spans="1:1">
      <c r="A1661" t="s">
        <v>44513</v>
      </c>
    </row>
    <row r="1662" spans="1:1">
      <c r="A1662" t="s">
        <v>44514</v>
      </c>
    </row>
    <row r="1663" spans="1:1">
      <c r="A1663" t="s">
        <v>44515</v>
      </c>
    </row>
    <row r="1664" spans="1:1">
      <c r="A1664" t="s">
        <v>44516</v>
      </c>
    </row>
    <row r="1665" spans="1:1">
      <c r="A1665" t="s">
        <v>44517</v>
      </c>
    </row>
    <row r="1666" spans="1:1">
      <c r="A1666" t="s">
        <v>44518</v>
      </c>
    </row>
    <row r="1667" spans="1:1">
      <c r="A1667" t="s">
        <v>44519</v>
      </c>
    </row>
    <row r="1668" spans="1:1">
      <c r="A1668" t="s">
        <v>44520</v>
      </c>
    </row>
    <row r="1669" spans="1:1">
      <c r="A1669" t="s">
        <v>44521</v>
      </c>
    </row>
    <row r="1670" spans="1:1">
      <c r="A1670" t="s">
        <v>44522</v>
      </c>
    </row>
    <row r="1671" spans="1:1">
      <c r="A1671" t="s">
        <v>44523</v>
      </c>
    </row>
    <row r="1672" spans="1:1">
      <c r="A1672" t="s">
        <v>44524</v>
      </c>
    </row>
    <row r="1673" spans="1:1">
      <c r="A1673" t="s">
        <v>44525</v>
      </c>
    </row>
    <row r="1674" spans="1:1">
      <c r="A1674" t="s">
        <v>44526</v>
      </c>
    </row>
    <row r="1675" spans="1:1">
      <c r="A1675" t="s">
        <v>44527</v>
      </c>
    </row>
    <row r="1676" spans="1:1">
      <c r="A1676" t="s">
        <v>44528</v>
      </c>
    </row>
    <row r="1677" spans="1:1">
      <c r="A1677" t="s">
        <v>44529</v>
      </c>
    </row>
    <row r="1678" spans="1:1">
      <c r="A1678" t="s">
        <v>44530</v>
      </c>
    </row>
    <row r="1679" spans="1:1">
      <c r="A1679" t="s">
        <v>44531</v>
      </c>
    </row>
    <row r="1680" spans="1:1">
      <c r="A1680" t="s">
        <v>44532</v>
      </c>
    </row>
    <row r="1681" spans="1:1">
      <c r="A1681" t="s">
        <v>44533</v>
      </c>
    </row>
    <row r="1682" spans="1:1">
      <c r="A1682" t="s">
        <v>44534</v>
      </c>
    </row>
    <row r="1683" spans="1:1">
      <c r="A1683" t="s">
        <v>44535</v>
      </c>
    </row>
    <row r="1684" spans="1:1">
      <c r="A1684" t="s">
        <v>44536</v>
      </c>
    </row>
    <row r="1685" spans="1:1">
      <c r="A1685" t="s">
        <v>44537</v>
      </c>
    </row>
    <row r="1686" spans="1:1">
      <c r="A1686" t="s">
        <v>44538</v>
      </c>
    </row>
    <row r="1687" spans="1:1">
      <c r="A1687" t="s">
        <v>44539</v>
      </c>
    </row>
    <row r="1688" spans="1:1">
      <c r="A1688" t="s">
        <v>44540</v>
      </c>
    </row>
    <row r="1689" spans="1:1">
      <c r="A1689" t="s">
        <v>44541</v>
      </c>
    </row>
    <row r="1690" spans="1:1">
      <c r="A1690" t="s">
        <v>44542</v>
      </c>
    </row>
    <row r="1691" spans="1:1">
      <c r="A1691" t="s">
        <v>44543</v>
      </c>
    </row>
    <row r="1692" spans="1:1">
      <c r="A1692" t="s">
        <v>44544</v>
      </c>
    </row>
    <row r="1693" spans="1:1">
      <c r="A1693" t="s">
        <v>44545</v>
      </c>
    </row>
    <row r="1694" spans="1:1">
      <c r="A1694" t="s">
        <v>44546</v>
      </c>
    </row>
    <row r="1695" spans="1:1">
      <c r="A1695" t="s">
        <v>44547</v>
      </c>
    </row>
    <row r="1696" spans="1:1">
      <c r="A1696" t="s">
        <v>44548</v>
      </c>
    </row>
    <row r="1697" spans="1:1">
      <c r="A1697" t="s">
        <v>44549</v>
      </c>
    </row>
    <row r="1698" spans="1:1">
      <c r="A1698" t="s">
        <v>44550</v>
      </c>
    </row>
    <row r="1699" spans="1:1">
      <c r="A1699" t="s">
        <v>44551</v>
      </c>
    </row>
    <row r="1700" spans="1:1">
      <c r="A1700" t="s">
        <v>44552</v>
      </c>
    </row>
    <row r="1701" spans="1:1">
      <c r="A1701" t="s">
        <v>44553</v>
      </c>
    </row>
    <row r="1702" spans="1:1">
      <c r="A1702" t="s">
        <v>44554</v>
      </c>
    </row>
    <row r="1703" spans="1:1">
      <c r="A1703" t="s">
        <v>44555</v>
      </c>
    </row>
    <row r="1704" spans="1:1">
      <c r="A1704" t="s">
        <v>44556</v>
      </c>
    </row>
    <row r="1705" spans="1:1">
      <c r="A1705" t="s">
        <v>44557</v>
      </c>
    </row>
    <row r="1706" spans="1:1">
      <c r="A1706" t="s">
        <v>44558</v>
      </c>
    </row>
    <row r="1707" spans="1:1">
      <c r="A1707" t="s">
        <v>44559</v>
      </c>
    </row>
    <row r="1708" spans="1:1">
      <c r="A1708" t="s">
        <v>44560</v>
      </c>
    </row>
    <row r="1709" spans="1:1">
      <c r="A1709" t="s">
        <v>44561</v>
      </c>
    </row>
    <row r="1710" spans="1:1">
      <c r="A1710" t="s">
        <v>44562</v>
      </c>
    </row>
    <row r="1711" spans="1:1">
      <c r="A1711" t="s">
        <v>44563</v>
      </c>
    </row>
    <row r="1712" spans="1:1">
      <c r="A1712" t="s">
        <v>44564</v>
      </c>
    </row>
    <row r="1713" spans="1:1">
      <c r="A1713" t="s">
        <v>44565</v>
      </c>
    </row>
    <row r="1714" spans="1:1">
      <c r="A1714" t="s">
        <v>44566</v>
      </c>
    </row>
    <row r="1715" spans="1:1">
      <c r="A1715" t="s">
        <v>44567</v>
      </c>
    </row>
    <row r="1716" spans="1:1">
      <c r="A1716" t="s">
        <v>44568</v>
      </c>
    </row>
    <row r="1717" spans="1:1">
      <c r="A1717" t="s">
        <v>44052</v>
      </c>
    </row>
    <row r="1718" spans="1:1">
      <c r="A1718" t="s">
        <v>44569</v>
      </c>
    </row>
    <row r="1719" spans="1:1">
      <c r="A1719" t="s">
        <v>44570</v>
      </c>
    </row>
    <row r="1720" spans="1:1">
      <c r="A1720" t="s">
        <v>44571</v>
      </c>
    </row>
    <row r="1721" spans="1:1">
      <c r="A1721" t="s">
        <v>44572</v>
      </c>
    </row>
    <row r="1722" spans="1:1">
      <c r="A1722" t="s">
        <v>44573</v>
      </c>
    </row>
    <row r="1723" spans="1:1">
      <c r="A1723" t="s">
        <v>44574</v>
      </c>
    </row>
    <row r="1724" spans="1:1">
      <c r="A1724" t="s">
        <v>44575</v>
      </c>
    </row>
    <row r="1725" spans="1:1">
      <c r="A1725" t="s">
        <v>44576</v>
      </c>
    </row>
    <row r="1726" spans="1:1">
      <c r="A1726" t="s">
        <v>44577</v>
      </c>
    </row>
    <row r="1727" spans="1:1">
      <c r="A1727" t="s">
        <v>44578</v>
      </c>
    </row>
    <row r="1728" spans="1:1">
      <c r="A1728" t="s">
        <v>44579</v>
      </c>
    </row>
    <row r="1729" spans="1:1">
      <c r="A1729" t="s">
        <v>44580</v>
      </c>
    </row>
    <row r="1730" spans="1:1">
      <c r="A1730" t="s">
        <v>44581</v>
      </c>
    </row>
    <row r="1731" spans="1:1">
      <c r="A1731" t="s">
        <v>44582</v>
      </c>
    </row>
    <row r="1732" spans="1:1">
      <c r="A1732" t="s">
        <v>44583</v>
      </c>
    </row>
    <row r="1733" spans="1:1">
      <c r="A1733" t="s">
        <v>44584</v>
      </c>
    </row>
    <row r="1734" spans="1:1">
      <c r="A1734" t="s">
        <v>44585</v>
      </c>
    </row>
    <row r="1735" spans="1:1">
      <c r="A1735" t="s">
        <v>44586</v>
      </c>
    </row>
    <row r="1736" spans="1:1">
      <c r="A1736" t="s">
        <v>44587</v>
      </c>
    </row>
    <row r="1737" spans="1:1">
      <c r="A1737" t="s">
        <v>44588</v>
      </c>
    </row>
    <row r="1738" spans="1:1">
      <c r="A1738" t="s">
        <v>44589</v>
      </c>
    </row>
    <row r="1739" spans="1:1">
      <c r="A1739" t="s">
        <v>44590</v>
      </c>
    </row>
    <row r="1740" spans="1:1">
      <c r="A1740" t="s">
        <v>44591</v>
      </c>
    </row>
    <row r="1741" spans="1:1">
      <c r="A1741" t="s">
        <v>44592</v>
      </c>
    </row>
    <row r="1742" spans="1:1">
      <c r="A1742" t="s">
        <v>44593</v>
      </c>
    </row>
    <row r="1743" spans="1:1">
      <c r="A1743" t="s">
        <v>44594</v>
      </c>
    </row>
    <row r="1744" spans="1:1">
      <c r="A1744" t="s">
        <v>44595</v>
      </c>
    </row>
    <row r="1745" spans="1:1">
      <c r="A1745" t="s">
        <v>44596</v>
      </c>
    </row>
    <row r="1746" spans="1:1">
      <c r="A1746" t="s">
        <v>44597</v>
      </c>
    </row>
    <row r="1747" spans="1:1">
      <c r="A1747" t="s">
        <v>44598</v>
      </c>
    </row>
    <row r="1748" spans="1:1">
      <c r="A1748" t="s">
        <v>44599</v>
      </c>
    </row>
    <row r="1749" spans="1:1">
      <c r="A1749" t="s">
        <v>44600</v>
      </c>
    </row>
    <row r="1750" spans="1:1">
      <c r="A1750" t="s">
        <v>44601</v>
      </c>
    </row>
    <row r="1751" spans="1:1">
      <c r="A1751" t="s">
        <v>44602</v>
      </c>
    </row>
    <row r="1752" spans="1:1">
      <c r="A1752" t="s">
        <v>44603</v>
      </c>
    </row>
    <row r="1753" spans="1:1">
      <c r="A1753" t="s">
        <v>44604</v>
      </c>
    </row>
    <row r="1754" spans="1:1">
      <c r="A1754" t="s">
        <v>44605</v>
      </c>
    </row>
    <row r="1755" spans="1:1">
      <c r="A1755" t="s">
        <v>44606</v>
      </c>
    </row>
    <row r="1756" spans="1:1">
      <c r="A1756" t="s">
        <v>44607</v>
      </c>
    </row>
    <row r="1757" spans="1:1">
      <c r="A1757" t="s">
        <v>44608</v>
      </c>
    </row>
    <row r="1758" spans="1:1">
      <c r="A1758" t="s">
        <v>44609</v>
      </c>
    </row>
    <row r="1759" spans="1:1">
      <c r="A1759" t="s">
        <v>44610</v>
      </c>
    </row>
    <row r="1760" spans="1:1">
      <c r="A1760" t="s">
        <v>44611</v>
      </c>
    </row>
    <row r="1761" spans="1:1">
      <c r="A1761" t="s">
        <v>44612</v>
      </c>
    </row>
    <row r="1762" spans="1:1">
      <c r="A1762" t="s">
        <v>44613</v>
      </c>
    </row>
    <row r="1763" spans="1:1">
      <c r="A1763" t="s">
        <v>44614</v>
      </c>
    </row>
    <row r="1764" spans="1:1">
      <c r="A1764" t="s">
        <v>44615</v>
      </c>
    </row>
    <row r="1765" spans="1:1">
      <c r="A1765" t="s">
        <v>44616</v>
      </c>
    </row>
    <row r="1766" spans="1:1">
      <c r="A1766" t="s">
        <v>44617</v>
      </c>
    </row>
    <row r="1767" spans="1:1">
      <c r="A1767" t="s">
        <v>44618</v>
      </c>
    </row>
    <row r="1768" spans="1:1">
      <c r="A1768" t="s">
        <v>44619</v>
      </c>
    </row>
    <row r="1769" spans="1:1">
      <c r="A1769" t="s">
        <v>44620</v>
      </c>
    </row>
    <row r="1770" spans="1:1">
      <c r="A1770" t="s">
        <v>44621</v>
      </c>
    </row>
    <row r="1771" spans="1:1">
      <c r="A1771" t="s">
        <v>44622</v>
      </c>
    </row>
    <row r="1772" spans="1:1">
      <c r="A1772" t="s">
        <v>44623</v>
      </c>
    </row>
    <row r="1773" spans="1:1">
      <c r="A1773" t="s">
        <v>44624</v>
      </c>
    </row>
    <row r="1774" spans="1:1">
      <c r="A1774" t="s">
        <v>44625</v>
      </c>
    </row>
    <row r="1775" spans="1:1">
      <c r="A1775" t="s">
        <v>44626</v>
      </c>
    </row>
    <row r="1776" spans="1:1">
      <c r="A1776" t="s">
        <v>44627</v>
      </c>
    </row>
    <row r="1777" spans="1:1">
      <c r="A1777" t="s">
        <v>44628</v>
      </c>
    </row>
    <row r="1778" spans="1:1">
      <c r="A1778" t="s">
        <v>44629</v>
      </c>
    </row>
    <row r="1779" spans="1:1">
      <c r="A1779" t="s">
        <v>44630</v>
      </c>
    </row>
    <row r="1780" spans="1:1">
      <c r="A1780" t="s">
        <v>44631</v>
      </c>
    </row>
    <row r="1781" spans="1:1">
      <c r="A1781" t="s">
        <v>44632</v>
      </c>
    </row>
    <row r="1782" spans="1:1">
      <c r="A1782" t="s">
        <v>44633</v>
      </c>
    </row>
    <row r="1783" spans="1:1">
      <c r="A1783" t="s">
        <v>44634</v>
      </c>
    </row>
    <row r="1784" spans="1:1">
      <c r="A1784" t="s">
        <v>44635</v>
      </c>
    </row>
    <row r="1785" spans="1:1">
      <c r="A1785" t="s">
        <v>38483</v>
      </c>
    </row>
    <row r="1786" spans="1:1">
      <c r="A1786" t="s">
        <v>44636</v>
      </c>
    </row>
    <row r="1787" spans="1:1">
      <c r="A1787" t="s">
        <v>44637</v>
      </c>
    </row>
    <row r="1788" spans="1:1">
      <c r="A1788" t="s">
        <v>44638</v>
      </c>
    </row>
    <row r="1789" spans="1:1">
      <c r="A1789" t="s">
        <v>44639</v>
      </c>
    </row>
    <row r="1790" spans="1:1">
      <c r="A1790" t="s">
        <v>44640</v>
      </c>
    </row>
    <row r="1791" spans="1:1">
      <c r="A1791" t="s">
        <v>44641</v>
      </c>
    </row>
    <row r="1792" spans="1:1">
      <c r="A1792" t="s">
        <v>44642</v>
      </c>
    </row>
    <row r="1793" spans="1:1">
      <c r="A1793" t="s">
        <v>44643</v>
      </c>
    </row>
    <row r="1794" spans="1:1">
      <c r="A1794" t="s">
        <v>44644</v>
      </c>
    </row>
    <row r="1795" spans="1:1">
      <c r="A1795" t="s">
        <v>44645</v>
      </c>
    </row>
    <row r="1796" spans="1:1">
      <c r="A1796" t="s">
        <v>44646</v>
      </c>
    </row>
    <row r="1797" spans="1:1">
      <c r="A1797" t="s">
        <v>44647</v>
      </c>
    </row>
    <row r="1798" spans="1:1">
      <c r="A1798" t="s">
        <v>44648</v>
      </c>
    </row>
    <row r="1799" spans="1:1">
      <c r="A1799" t="s">
        <v>44649</v>
      </c>
    </row>
    <row r="1800" spans="1:1">
      <c r="A1800" t="s">
        <v>44650</v>
      </c>
    </row>
    <row r="1801" spans="1:1">
      <c r="A1801" t="s">
        <v>44651</v>
      </c>
    </row>
    <row r="1802" spans="1:1">
      <c r="A1802" t="s">
        <v>44652</v>
      </c>
    </row>
    <row r="1803" spans="1:1">
      <c r="A1803" t="s">
        <v>44653</v>
      </c>
    </row>
    <row r="1804" spans="1:1">
      <c r="A1804" t="s">
        <v>44654</v>
      </c>
    </row>
    <row r="1805" spans="1:1">
      <c r="A1805" t="s">
        <v>44655</v>
      </c>
    </row>
    <row r="1806" spans="1:1">
      <c r="A1806" t="s">
        <v>44656</v>
      </c>
    </row>
    <row r="1807" spans="1:1">
      <c r="A1807" t="s">
        <v>44657</v>
      </c>
    </row>
    <row r="1808" spans="1:1">
      <c r="A1808" t="s">
        <v>44658</v>
      </c>
    </row>
    <row r="1809" spans="1:1">
      <c r="A1809" t="s">
        <v>44659</v>
      </c>
    </row>
    <row r="1810" spans="1:1">
      <c r="A1810" t="s">
        <v>44660</v>
      </c>
    </row>
    <row r="1811" spans="1:1">
      <c r="A1811" t="s">
        <v>44661</v>
      </c>
    </row>
    <row r="1812" spans="1:1">
      <c r="A1812" t="s">
        <v>44662</v>
      </c>
    </row>
    <row r="1813" spans="1:1">
      <c r="A1813" t="s">
        <v>44663</v>
      </c>
    </row>
    <row r="1814" spans="1:1">
      <c r="A1814" t="s">
        <v>44664</v>
      </c>
    </row>
    <row r="1815" spans="1:1">
      <c r="A1815" t="s">
        <v>44665</v>
      </c>
    </row>
    <row r="1816" spans="1:1">
      <c r="A1816" t="s">
        <v>44666</v>
      </c>
    </row>
    <row r="1817" spans="1:1">
      <c r="A1817" t="s">
        <v>44667</v>
      </c>
    </row>
    <row r="1818" spans="1:1">
      <c r="A1818" t="s">
        <v>44668</v>
      </c>
    </row>
    <row r="1819" spans="1:1">
      <c r="A1819" t="s">
        <v>44669</v>
      </c>
    </row>
    <row r="1820" spans="1:1">
      <c r="A1820" t="s">
        <v>44670</v>
      </c>
    </row>
    <row r="1821" spans="1:1">
      <c r="A1821" t="s">
        <v>44671</v>
      </c>
    </row>
    <row r="1822" spans="1:1">
      <c r="A1822" t="s">
        <v>44672</v>
      </c>
    </row>
    <row r="1823" spans="1:1">
      <c r="A1823" t="s">
        <v>44673</v>
      </c>
    </row>
    <row r="1824" spans="1:1">
      <c r="A1824" t="s">
        <v>44674</v>
      </c>
    </row>
    <row r="1825" spans="1:1">
      <c r="A1825" t="s">
        <v>44675</v>
      </c>
    </row>
    <row r="1826" spans="1:1">
      <c r="A1826" t="s">
        <v>44676</v>
      </c>
    </row>
    <row r="1827" spans="1:1">
      <c r="A1827" t="s">
        <v>44677</v>
      </c>
    </row>
    <row r="1828" spans="1:1">
      <c r="A1828" t="s">
        <v>44678</v>
      </c>
    </row>
    <row r="1829" spans="1:1">
      <c r="A1829" t="s">
        <v>44679</v>
      </c>
    </row>
    <row r="1830" spans="1:1">
      <c r="A1830" t="s">
        <v>44680</v>
      </c>
    </row>
    <row r="1831" spans="1:1">
      <c r="A1831" t="s">
        <v>44681</v>
      </c>
    </row>
    <row r="1832" spans="1:1">
      <c r="A1832" t="s">
        <v>44682</v>
      </c>
    </row>
    <row r="1833" spans="1:1">
      <c r="A1833" t="s">
        <v>44683</v>
      </c>
    </row>
    <row r="1834" spans="1:1">
      <c r="A1834" t="s">
        <v>44684</v>
      </c>
    </row>
    <row r="1835" spans="1:1">
      <c r="A1835" t="s">
        <v>44685</v>
      </c>
    </row>
    <row r="1836" spans="1:1">
      <c r="A1836" t="s">
        <v>44686</v>
      </c>
    </row>
    <row r="1837" spans="1:1">
      <c r="A1837" t="s">
        <v>44687</v>
      </c>
    </row>
    <row r="1838" spans="1:1">
      <c r="A1838" t="s">
        <v>44688</v>
      </c>
    </row>
    <row r="1839" spans="1:1">
      <c r="A1839" t="s">
        <v>44689</v>
      </c>
    </row>
    <row r="1840" spans="1:1">
      <c r="A1840" t="s">
        <v>44690</v>
      </c>
    </row>
    <row r="1841" spans="1:1">
      <c r="A1841" t="s">
        <v>44691</v>
      </c>
    </row>
    <row r="1842" spans="1:1">
      <c r="A1842" t="s">
        <v>44692</v>
      </c>
    </row>
    <row r="1843" spans="1:1">
      <c r="A1843" t="s">
        <v>44693</v>
      </c>
    </row>
    <row r="1844" spans="1:1">
      <c r="A1844" t="s">
        <v>44694</v>
      </c>
    </row>
    <row r="1845" spans="1:1">
      <c r="A1845" t="s">
        <v>44695</v>
      </c>
    </row>
    <row r="1846" spans="1:1">
      <c r="A1846" t="s">
        <v>44696</v>
      </c>
    </row>
    <row r="1847" spans="1:1">
      <c r="A1847" t="s">
        <v>44697</v>
      </c>
    </row>
    <row r="1848" spans="1:1">
      <c r="A1848" t="s">
        <v>44698</v>
      </c>
    </row>
    <row r="1849" spans="1:1">
      <c r="A1849" t="s">
        <v>44699</v>
      </c>
    </row>
    <row r="1850" spans="1:1">
      <c r="A1850" t="s">
        <v>44700</v>
      </c>
    </row>
    <row r="1851" spans="1:1">
      <c r="A1851" t="s">
        <v>44701</v>
      </c>
    </row>
    <row r="1852" spans="1:1">
      <c r="A1852" t="s">
        <v>44702</v>
      </c>
    </row>
    <row r="1853" spans="1:1">
      <c r="A1853" t="s">
        <v>44703</v>
      </c>
    </row>
    <row r="1854" spans="1:1">
      <c r="A1854" t="s">
        <v>44704</v>
      </c>
    </row>
    <row r="1855" spans="1:1">
      <c r="A1855" t="s">
        <v>44705</v>
      </c>
    </row>
    <row r="1856" spans="1:1">
      <c r="A1856" t="s">
        <v>44706</v>
      </c>
    </row>
    <row r="1857" spans="1:1">
      <c r="A1857" t="s">
        <v>44707</v>
      </c>
    </row>
    <row r="1858" spans="1:1">
      <c r="A1858" t="s">
        <v>44708</v>
      </c>
    </row>
    <row r="1859" spans="1:1">
      <c r="A1859" t="s">
        <v>44709</v>
      </c>
    </row>
    <row r="1860" spans="1:1">
      <c r="A1860" t="s">
        <v>44710</v>
      </c>
    </row>
    <row r="1861" spans="1:1">
      <c r="A1861" t="s">
        <v>44711</v>
      </c>
    </row>
    <row r="1862" spans="1:1">
      <c r="A1862" t="s">
        <v>44712</v>
      </c>
    </row>
    <row r="1863" spans="1:1">
      <c r="A1863" t="s">
        <v>44713</v>
      </c>
    </row>
    <row r="1864" spans="1:1">
      <c r="A1864" t="s">
        <v>44714</v>
      </c>
    </row>
    <row r="1865" spans="1:1">
      <c r="A1865" t="s">
        <v>44715</v>
      </c>
    </row>
    <row r="1866" spans="1:1">
      <c r="A1866" t="s">
        <v>44716</v>
      </c>
    </row>
    <row r="1867" spans="1:1">
      <c r="A1867" t="s">
        <v>44717</v>
      </c>
    </row>
    <row r="1868" spans="1:1">
      <c r="A1868" t="s">
        <v>44718</v>
      </c>
    </row>
    <row r="1869" spans="1:1">
      <c r="A1869" t="s">
        <v>44719</v>
      </c>
    </row>
    <row r="1870" spans="1:1">
      <c r="A1870" t="s">
        <v>44720</v>
      </c>
    </row>
    <row r="1871" spans="1:1">
      <c r="A1871" t="s">
        <v>44721</v>
      </c>
    </row>
    <row r="1872" spans="1:1">
      <c r="A1872" t="s">
        <v>44722</v>
      </c>
    </row>
    <row r="1873" spans="1:1">
      <c r="A1873" t="s">
        <v>44723</v>
      </c>
    </row>
    <row r="1874" spans="1:1">
      <c r="A1874" t="s">
        <v>44724</v>
      </c>
    </row>
    <row r="1875" spans="1:1">
      <c r="A1875" t="s">
        <v>44725</v>
      </c>
    </row>
    <row r="1876" spans="1:1">
      <c r="A1876" t="s">
        <v>44726</v>
      </c>
    </row>
    <row r="1877" spans="1:1">
      <c r="A1877" t="s">
        <v>44727</v>
      </c>
    </row>
    <row r="1878" spans="1:1">
      <c r="A1878" t="s">
        <v>44728</v>
      </c>
    </row>
    <row r="1879" spans="1:1">
      <c r="A1879" t="s">
        <v>44729</v>
      </c>
    </row>
    <row r="1880" spans="1:1">
      <c r="A1880" t="s">
        <v>44730</v>
      </c>
    </row>
    <row r="1881" spans="1:1">
      <c r="A1881" t="s">
        <v>44731</v>
      </c>
    </row>
    <row r="1882" spans="1:1">
      <c r="A1882" t="s">
        <v>44732</v>
      </c>
    </row>
    <row r="1883" spans="1:1">
      <c r="A1883" t="s">
        <v>44733</v>
      </c>
    </row>
    <row r="1884" spans="1:1">
      <c r="A1884" t="s">
        <v>44734</v>
      </c>
    </row>
    <row r="1885" spans="1:1">
      <c r="A1885" t="s">
        <v>44735</v>
      </c>
    </row>
    <row r="1886" spans="1:1">
      <c r="A1886" t="s">
        <v>44736</v>
      </c>
    </row>
    <row r="1887" spans="1:1">
      <c r="A1887" t="s">
        <v>44737</v>
      </c>
    </row>
    <row r="1888" spans="1:1">
      <c r="A1888" t="s">
        <v>44738</v>
      </c>
    </row>
    <row r="1889" spans="1:1">
      <c r="A1889" t="s">
        <v>44739</v>
      </c>
    </row>
    <row r="1890" spans="1:1">
      <c r="A1890" t="s">
        <v>44740</v>
      </c>
    </row>
    <row r="1891" spans="1:1">
      <c r="A1891" t="s">
        <v>44741</v>
      </c>
    </row>
    <row r="1892" spans="1:1">
      <c r="A1892" t="s">
        <v>44742</v>
      </c>
    </row>
    <row r="1893" spans="1:1">
      <c r="A1893" t="s">
        <v>44743</v>
      </c>
    </row>
    <row r="1894" spans="1:1">
      <c r="A1894" t="s">
        <v>44744</v>
      </c>
    </row>
    <row r="1895" spans="1:1">
      <c r="A1895" t="s">
        <v>44745</v>
      </c>
    </row>
    <row r="1896" spans="1:1">
      <c r="A1896" t="s">
        <v>44746</v>
      </c>
    </row>
    <row r="1897" spans="1:1">
      <c r="A1897" t="s">
        <v>44747</v>
      </c>
    </row>
    <row r="1898" spans="1:1">
      <c r="A1898" t="s">
        <v>44748</v>
      </c>
    </row>
    <row r="1899" spans="1:1">
      <c r="A1899" t="s">
        <v>44749</v>
      </c>
    </row>
    <row r="1900" spans="1:1">
      <c r="A1900" t="s">
        <v>44750</v>
      </c>
    </row>
    <row r="1901" spans="1:1">
      <c r="A1901" t="s">
        <v>44751</v>
      </c>
    </row>
    <row r="1902" spans="1:1">
      <c r="A1902" t="s">
        <v>44752</v>
      </c>
    </row>
    <row r="1903" spans="1:1">
      <c r="A1903" t="s">
        <v>44753</v>
      </c>
    </row>
    <row r="1904" spans="1:1">
      <c r="A1904" t="s">
        <v>44754</v>
      </c>
    </row>
    <row r="1905" spans="1:1">
      <c r="A1905" t="s">
        <v>44755</v>
      </c>
    </row>
    <row r="1906" spans="1:1">
      <c r="A1906" t="s">
        <v>44756</v>
      </c>
    </row>
    <row r="1907" spans="1:1">
      <c r="A1907" t="s">
        <v>44757</v>
      </c>
    </row>
    <row r="1908" spans="1:1">
      <c r="A1908" t="s">
        <v>44758</v>
      </c>
    </row>
    <row r="1909" spans="1:1">
      <c r="A1909" t="s">
        <v>44759</v>
      </c>
    </row>
    <row r="1910" spans="1:1">
      <c r="A1910" t="s">
        <v>44760</v>
      </c>
    </row>
    <row r="1911" spans="1:1">
      <c r="A1911" t="s">
        <v>44761</v>
      </c>
    </row>
    <row r="1912" spans="1:1">
      <c r="A1912" t="s">
        <v>44762</v>
      </c>
    </row>
    <row r="1913" spans="1:1">
      <c r="A1913" t="s">
        <v>44763</v>
      </c>
    </row>
    <row r="1914" spans="1:1">
      <c r="A1914" t="s">
        <v>44764</v>
      </c>
    </row>
    <row r="1915" spans="1:1">
      <c r="A1915" t="s">
        <v>44765</v>
      </c>
    </row>
    <row r="1916" spans="1:1">
      <c r="A1916" t="s">
        <v>44766</v>
      </c>
    </row>
    <row r="1917" spans="1:1">
      <c r="A1917" t="s">
        <v>44767</v>
      </c>
    </row>
    <row r="1918" spans="1:1">
      <c r="A1918" t="s">
        <v>44768</v>
      </c>
    </row>
    <row r="1919" spans="1:1">
      <c r="A1919" t="s">
        <v>44769</v>
      </c>
    </row>
    <row r="1920" spans="1:1">
      <c r="A1920" t="s">
        <v>44770</v>
      </c>
    </row>
    <row r="1921" spans="1:1">
      <c r="A1921" t="s">
        <v>44771</v>
      </c>
    </row>
    <row r="1922" spans="1:1">
      <c r="A1922" t="s">
        <v>44772</v>
      </c>
    </row>
    <row r="1923" spans="1:1">
      <c r="A1923" t="s">
        <v>44773</v>
      </c>
    </row>
    <row r="1924" spans="1:1">
      <c r="A1924" t="s">
        <v>44774</v>
      </c>
    </row>
    <row r="1925" spans="1:1">
      <c r="A1925" t="s">
        <v>44775</v>
      </c>
    </row>
    <row r="1926" spans="1:1">
      <c r="A1926" t="s">
        <v>44776</v>
      </c>
    </row>
    <row r="1927" spans="1:1">
      <c r="A1927" t="s">
        <v>44777</v>
      </c>
    </row>
    <row r="1928" spans="1:1">
      <c r="A1928" t="s">
        <v>44778</v>
      </c>
    </row>
    <row r="1929" spans="1:1">
      <c r="A1929" t="s">
        <v>44779</v>
      </c>
    </row>
    <row r="1930" spans="1:1">
      <c r="A1930" t="s">
        <v>44780</v>
      </c>
    </row>
    <row r="1931" spans="1:1">
      <c r="A1931" t="s">
        <v>44781</v>
      </c>
    </row>
    <row r="1932" spans="1:1">
      <c r="A1932" t="s">
        <v>44782</v>
      </c>
    </row>
    <row r="1933" spans="1:1">
      <c r="A1933" t="s">
        <v>44783</v>
      </c>
    </row>
    <row r="1934" spans="1:1">
      <c r="A1934" t="s">
        <v>44784</v>
      </c>
    </row>
    <row r="1935" spans="1:1">
      <c r="A1935" t="s">
        <v>44785</v>
      </c>
    </row>
    <row r="1936" spans="1:1">
      <c r="A1936" t="s">
        <v>44786</v>
      </c>
    </row>
    <row r="1937" spans="1:1">
      <c r="A1937" t="s">
        <v>44787</v>
      </c>
    </row>
    <row r="1938" spans="1:1">
      <c r="A1938" t="s">
        <v>44788</v>
      </c>
    </row>
    <row r="1939" spans="1:1">
      <c r="A1939" t="s">
        <v>44789</v>
      </c>
    </row>
    <row r="1940" spans="1:1">
      <c r="A1940" t="s">
        <v>44790</v>
      </c>
    </row>
    <row r="1941" spans="1:1">
      <c r="A1941" t="s">
        <v>44791</v>
      </c>
    </row>
    <row r="1942" spans="1:1">
      <c r="A1942" t="s">
        <v>44792</v>
      </c>
    </row>
    <row r="1943" spans="1:1">
      <c r="A1943" t="s">
        <v>44793</v>
      </c>
    </row>
    <row r="1944" spans="1:1">
      <c r="A1944" t="s">
        <v>44794</v>
      </c>
    </row>
    <row r="1945" spans="1:1">
      <c r="A1945" t="s">
        <v>44795</v>
      </c>
    </row>
    <row r="1946" spans="1:1">
      <c r="A1946" t="s">
        <v>44796</v>
      </c>
    </row>
    <row r="1947" spans="1:1">
      <c r="A1947" t="s">
        <v>44797</v>
      </c>
    </row>
    <row r="1948" spans="1:1">
      <c r="A1948" t="s">
        <v>44798</v>
      </c>
    </row>
    <row r="1949" spans="1:1">
      <c r="A1949" t="s">
        <v>44799</v>
      </c>
    </row>
    <row r="1950" spans="1:1">
      <c r="A1950" t="s">
        <v>44800</v>
      </c>
    </row>
    <row r="1951" spans="1:1">
      <c r="A1951" t="s">
        <v>44801</v>
      </c>
    </row>
    <row r="1952" spans="1:1">
      <c r="A1952" t="s">
        <v>44802</v>
      </c>
    </row>
    <row r="1953" spans="1:1">
      <c r="A1953" t="s">
        <v>44803</v>
      </c>
    </row>
    <row r="1954" spans="1:1">
      <c r="A1954" t="s">
        <v>44804</v>
      </c>
    </row>
    <row r="1955" spans="1:1">
      <c r="A1955" t="s">
        <v>44805</v>
      </c>
    </row>
    <row r="1956" spans="1:1">
      <c r="A1956" t="s">
        <v>44806</v>
      </c>
    </row>
    <row r="1957" spans="1:1">
      <c r="A1957" t="s">
        <v>44807</v>
      </c>
    </row>
    <row r="1958" spans="1:1">
      <c r="A1958" t="s">
        <v>44808</v>
      </c>
    </row>
    <row r="1959" spans="1:1">
      <c r="A1959" t="s">
        <v>44809</v>
      </c>
    </row>
    <row r="1960" spans="1:1">
      <c r="A1960" t="s">
        <v>44810</v>
      </c>
    </row>
    <row r="1961" spans="1:1">
      <c r="A1961" t="s">
        <v>44811</v>
      </c>
    </row>
    <row r="1962" spans="1:1">
      <c r="A1962" t="s">
        <v>44812</v>
      </c>
    </row>
    <row r="1963" spans="1:1">
      <c r="A1963" t="s">
        <v>44813</v>
      </c>
    </row>
    <row r="1964" spans="1:1">
      <c r="A1964" t="s">
        <v>44814</v>
      </c>
    </row>
    <row r="1965" spans="1:1">
      <c r="A1965" t="s">
        <v>44815</v>
      </c>
    </row>
    <row r="1966" spans="1:1">
      <c r="A1966" t="s">
        <v>44816</v>
      </c>
    </row>
    <row r="1967" spans="1:1">
      <c r="A1967" t="s">
        <v>44817</v>
      </c>
    </row>
    <row r="1968" spans="1:1">
      <c r="A1968" t="s">
        <v>44818</v>
      </c>
    </row>
    <row r="1969" spans="1:1">
      <c r="A1969" t="s">
        <v>44819</v>
      </c>
    </row>
    <row r="1970" spans="1:1">
      <c r="A1970" t="s">
        <v>44820</v>
      </c>
    </row>
    <row r="1971" spans="1:1">
      <c r="A1971" t="s">
        <v>44821</v>
      </c>
    </row>
    <row r="1972" spans="1:1">
      <c r="A1972" t="s">
        <v>44822</v>
      </c>
    </row>
    <row r="1973" spans="1:1">
      <c r="A1973" t="s">
        <v>44823</v>
      </c>
    </row>
    <row r="1974" spans="1:1">
      <c r="A1974" t="s">
        <v>44824</v>
      </c>
    </row>
    <row r="1975" spans="1:1">
      <c r="A1975" t="s">
        <v>44825</v>
      </c>
    </row>
    <row r="1976" spans="1:1">
      <c r="A1976" t="s">
        <v>44826</v>
      </c>
    </row>
    <row r="1977" spans="1:1">
      <c r="A1977" t="s">
        <v>44827</v>
      </c>
    </row>
    <row r="1978" spans="1:1">
      <c r="A1978" t="s">
        <v>44828</v>
      </c>
    </row>
    <row r="1979" spans="1:1">
      <c r="A1979" t="s">
        <v>44829</v>
      </c>
    </row>
    <row r="1980" spans="1:1">
      <c r="A1980" t="s">
        <v>44830</v>
      </c>
    </row>
    <row r="1981" spans="1:1">
      <c r="A1981" t="s">
        <v>44831</v>
      </c>
    </row>
    <row r="1982" spans="1:1">
      <c r="A1982" t="s">
        <v>44832</v>
      </c>
    </row>
    <row r="1983" spans="1:1">
      <c r="A1983" t="s">
        <v>44833</v>
      </c>
    </row>
    <row r="1984" spans="1:1">
      <c r="A1984" t="s">
        <v>44834</v>
      </c>
    </row>
    <row r="1985" spans="1:1">
      <c r="A1985" t="s">
        <v>44835</v>
      </c>
    </row>
    <row r="1986" spans="1:1">
      <c r="A1986" t="s">
        <v>44836</v>
      </c>
    </row>
    <row r="1987" spans="1:1">
      <c r="A1987" t="s">
        <v>44837</v>
      </c>
    </row>
    <row r="1988" spans="1:1">
      <c r="A1988" t="s">
        <v>44838</v>
      </c>
    </row>
    <row r="1989" spans="1:1">
      <c r="A1989" t="s">
        <v>44839</v>
      </c>
    </row>
    <row r="1990" spans="1:1">
      <c r="A1990" t="s">
        <v>44840</v>
      </c>
    </row>
    <row r="1991" spans="1:1">
      <c r="A1991" t="s">
        <v>44841</v>
      </c>
    </row>
    <row r="1992" spans="1:1">
      <c r="A1992" t="s">
        <v>44842</v>
      </c>
    </row>
    <row r="1993" spans="1:1">
      <c r="A1993" t="s">
        <v>44843</v>
      </c>
    </row>
    <row r="1994" spans="1:1">
      <c r="A1994" t="s">
        <v>44844</v>
      </c>
    </row>
    <row r="1995" spans="1:1">
      <c r="A1995" t="s">
        <v>44845</v>
      </c>
    </row>
    <row r="1996" spans="1:1">
      <c r="A1996" t="s">
        <v>44846</v>
      </c>
    </row>
    <row r="1997" spans="1:1">
      <c r="A1997" t="s">
        <v>44847</v>
      </c>
    </row>
    <row r="1998" spans="1:1">
      <c r="A1998" t="s">
        <v>44848</v>
      </c>
    </row>
    <row r="1999" spans="1:1">
      <c r="A1999" t="s">
        <v>44849</v>
      </c>
    </row>
    <row r="2000" spans="1:1">
      <c r="A2000" t="s">
        <v>44850</v>
      </c>
    </row>
    <row r="2001" spans="1:1">
      <c r="A2001" t="s">
        <v>44851</v>
      </c>
    </row>
    <row r="2002" spans="1:1">
      <c r="A2002" t="s">
        <v>44852</v>
      </c>
    </row>
    <row r="2003" spans="1:1">
      <c r="A2003" t="s">
        <v>44853</v>
      </c>
    </row>
    <row r="2004" spans="1:1">
      <c r="A2004" t="s">
        <v>44854</v>
      </c>
    </row>
    <row r="2005" spans="1:1">
      <c r="A2005" t="s">
        <v>44855</v>
      </c>
    </row>
    <row r="2006" spans="1:1">
      <c r="A2006" t="s">
        <v>44856</v>
      </c>
    </row>
    <row r="2007" spans="1:1">
      <c r="A2007" t="s">
        <v>44857</v>
      </c>
    </row>
    <row r="2008" spans="1:1">
      <c r="A2008" t="s">
        <v>44858</v>
      </c>
    </row>
    <row r="2009" spans="1:1">
      <c r="A2009" t="s">
        <v>44859</v>
      </c>
    </row>
    <row r="2010" spans="1:1">
      <c r="A2010" t="s">
        <v>44860</v>
      </c>
    </row>
    <row r="2011" spans="1:1">
      <c r="A2011" t="s">
        <v>44861</v>
      </c>
    </row>
    <row r="2012" spans="1:1">
      <c r="A2012" t="s">
        <v>44862</v>
      </c>
    </row>
    <row r="2013" spans="1:1">
      <c r="A2013" t="s">
        <v>44863</v>
      </c>
    </row>
    <row r="2014" spans="1:1">
      <c r="A2014" t="s">
        <v>44864</v>
      </c>
    </row>
    <row r="2015" spans="1:1">
      <c r="A2015" t="s">
        <v>44865</v>
      </c>
    </row>
    <row r="2016" spans="1:1">
      <c r="A2016" t="s">
        <v>44866</v>
      </c>
    </row>
    <row r="2017" spans="1:1">
      <c r="A2017" t="s">
        <v>44867</v>
      </c>
    </row>
    <row r="2018" spans="1:1">
      <c r="A2018" t="s">
        <v>44868</v>
      </c>
    </row>
    <row r="2019" spans="1:1">
      <c r="A2019" t="s">
        <v>44869</v>
      </c>
    </row>
    <row r="2020" spans="1:1">
      <c r="A2020" t="s">
        <v>44870</v>
      </c>
    </row>
    <row r="2021" spans="1:1">
      <c r="A2021" t="s">
        <v>44871</v>
      </c>
    </row>
    <row r="2022" spans="1:1">
      <c r="A2022" t="s">
        <v>44872</v>
      </c>
    </row>
    <row r="2023" spans="1:1">
      <c r="A2023" t="s">
        <v>44873</v>
      </c>
    </row>
    <row r="2024" spans="1:1">
      <c r="A2024" t="s">
        <v>44874</v>
      </c>
    </row>
    <row r="2025" spans="1:1">
      <c r="A2025" t="s">
        <v>44875</v>
      </c>
    </row>
    <row r="2026" spans="1:1">
      <c r="A2026" t="s">
        <v>44876</v>
      </c>
    </row>
    <row r="2027" spans="1:1">
      <c r="A2027" t="s">
        <v>44877</v>
      </c>
    </row>
    <row r="2028" spans="1:1">
      <c r="A2028" t="s">
        <v>44878</v>
      </c>
    </row>
    <row r="2029" spans="1:1">
      <c r="A2029" t="s">
        <v>44879</v>
      </c>
    </row>
    <row r="2030" spans="1:1">
      <c r="A2030" t="s">
        <v>44880</v>
      </c>
    </row>
    <row r="2031" spans="1:1">
      <c r="A2031" t="s">
        <v>44881</v>
      </c>
    </row>
    <row r="2032" spans="1:1">
      <c r="A2032" t="s">
        <v>44882</v>
      </c>
    </row>
    <row r="2033" spans="1:1">
      <c r="A2033" t="s">
        <v>44883</v>
      </c>
    </row>
    <row r="2034" spans="1:1">
      <c r="A2034" t="s">
        <v>44884</v>
      </c>
    </row>
    <row r="2035" spans="1:1">
      <c r="A2035" t="s">
        <v>44885</v>
      </c>
    </row>
    <row r="2036" spans="1:1">
      <c r="A2036" t="s">
        <v>44886</v>
      </c>
    </row>
    <row r="2037" spans="1:1">
      <c r="A2037" t="s">
        <v>44887</v>
      </c>
    </row>
    <row r="2038" spans="1:1">
      <c r="A2038" t="s">
        <v>44888</v>
      </c>
    </row>
    <row r="2039" spans="1:1">
      <c r="A2039" t="s">
        <v>44889</v>
      </c>
    </row>
    <row r="2040" spans="1:1">
      <c r="A2040" t="s">
        <v>44890</v>
      </c>
    </row>
    <row r="2041" spans="1:1">
      <c r="A2041" t="s">
        <v>44891</v>
      </c>
    </row>
    <row r="2042" spans="1:1">
      <c r="A2042" t="s">
        <v>44892</v>
      </c>
    </row>
    <row r="2043" spans="1:1">
      <c r="A2043" t="s">
        <v>44893</v>
      </c>
    </row>
    <row r="2044" spans="1:1">
      <c r="A2044" t="s">
        <v>44894</v>
      </c>
    </row>
    <row r="2045" spans="1:1">
      <c r="A2045" t="s">
        <v>44895</v>
      </c>
    </row>
    <row r="2046" spans="1:1">
      <c r="A2046" t="s">
        <v>44896</v>
      </c>
    </row>
    <row r="2047" spans="1:1">
      <c r="A2047" t="s">
        <v>44897</v>
      </c>
    </row>
    <row r="2048" spans="1:1">
      <c r="A2048" t="s">
        <v>44898</v>
      </c>
    </row>
    <row r="2049" spans="1:1">
      <c r="A2049" t="s">
        <v>44899</v>
      </c>
    </row>
    <row r="2050" spans="1:1">
      <c r="A2050" t="s">
        <v>44900</v>
      </c>
    </row>
    <row r="2051" spans="1:1">
      <c r="A2051" t="s">
        <v>44901</v>
      </c>
    </row>
    <row r="2052" spans="1:1">
      <c r="A2052" t="s">
        <v>44902</v>
      </c>
    </row>
    <row r="2053" spans="1:1">
      <c r="A2053" t="s">
        <v>44903</v>
      </c>
    </row>
    <row r="2054" spans="1:1">
      <c r="A2054" t="s">
        <v>44904</v>
      </c>
    </row>
    <row r="2055" spans="1:1">
      <c r="A2055" t="s">
        <v>44905</v>
      </c>
    </row>
    <row r="2056" spans="1:1">
      <c r="A2056" t="s">
        <v>44906</v>
      </c>
    </row>
    <row r="2057" spans="1:1">
      <c r="A2057" t="s">
        <v>44907</v>
      </c>
    </row>
    <row r="2058" spans="1:1">
      <c r="A2058" t="s">
        <v>44908</v>
      </c>
    </row>
    <row r="2059" spans="1:1">
      <c r="A2059" t="s">
        <v>44909</v>
      </c>
    </row>
    <row r="2060" spans="1:1">
      <c r="A2060" t="s">
        <v>44910</v>
      </c>
    </row>
    <row r="2061" spans="1:1">
      <c r="A2061" t="s">
        <v>44911</v>
      </c>
    </row>
    <row r="2062" spans="1:1">
      <c r="A2062" t="s">
        <v>44912</v>
      </c>
    </row>
    <row r="2063" spans="1:1">
      <c r="A2063" t="s">
        <v>44913</v>
      </c>
    </row>
    <row r="2064" spans="1:1">
      <c r="A2064" t="s">
        <v>44914</v>
      </c>
    </row>
    <row r="2065" spans="1:1">
      <c r="A2065" t="s">
        <v>44915</v>
      </c>
    </row>
    <row r="2066" spans="1:1">
      <c r="A2066" t="s">
        <v>44916</v>
      </c>
    </row>
    <row r="2067" spans="1:1">
      <c r="A2067" t="s">
        <v>44917</v>
      </c>
    </row>
    <row r="2068" spans="1:1">
      <c r="A2068" t="s">
        <v>44918</v>
      </c>
    </row>
    <row r="2069" spans="1:1">
      <c r="A2069" t="s">
        <v>44919</v>
      </c>
    </row>
    <row r="2070" spans="1:1">
      <c r="A2070" t="s">
        <v>44920</v>
      </c>
    </row>
    <row r="2071" spans="1:1">
      <c r="A2071" t="s">
        <v>44921</v>
      </c>
    </row>
    <row r="2072" spans="1:1">
      <c r="A2072" t="s">
        <v>44922</v>
      </c>
    </row>
    <row r="2073" spans="1:1">
      <c r="A2073" t="s">
        <v>44923</v>
      </c>
    </row>
    <row r="2074" spans="1:1">
      <c r="A2074" t="s">
        <v>44924</v>
      </c>
    </row>
    <row r="2075" spans="1:1">
      <c r="A2075" t="s">
        <v>44925</v>
      </c>
    </row>
    <row r="2076" spans="1:1">
      <c r="A2076" t="s">
        <v>44926</v>
      </c>
    </row>
    <row r="2077" spans="1:1">
      <c r="A2077" t="s">
        <v>44927</v>
      </c>
    </row>
    <row r="2078" spans="1:1">
      <c r="A2078" t="s">
        <v>44928</v>
      </c>
    </row>
    <row r="2079" spans="1:1">
      <c r="A2079" t="s">
        <v>44929</v>
      </c>
    </row>
    <row r="2080" spans="1:1">
      <c r="A2080" t="s">
        <v>44930</v>
      </c>
    </row>
    <row r="2081" spans="1:1">
      <c r="A2081" t="s">
        <v>44931</v>
      </c>
    </row>
    <row r="2082" spans="1:1">
      <c r="A2082" t="s">
        <v>44932</v>
      </c>
    </row>
    <row r="2083" spans="1:1">
      <c r="A2083" t="s">
        <v>44933</v>
      </c>
    </row>
    <row r="2084" spans="1:1">
      <c r="A2084" t="s">
        <v>44934</v>
      </c>
    </row>
    <row r="2085" spans="1:1">
      <c r="A2085" t="s">
        <v>44935</v>
      </c>
    </row>
    <row r="2086" spans="1:1">
      <c r="A2086" t="s">
        <v>44936</v>
      </c>
    </row>
    <row r="2087" spans="1:1">
      <c r="A2087" t="s">
        <v>44937</v>
      </c>
    </row>
    <row r="2088" spans="1:1">
      <c r="A2088" t="s">
        <v>44938</v>
      </c>
    </row>
    <row r="2089" spans="1:1">
      <c r="A2089" t="s">
        <v>44939</v>
      </c>
    </row>
    <row r="2090" spans="1:1">
      <c r="A2090" t="s">
        <v>44940</v>
      </c>
    </row>
    <row r="2091" spans="1:1">
      <c r="A2091" t="s">
        <v>44941</v>
      </c>
    </row>
    <row r="2092" spans="1:1">
      <c r="A2092" t="s">
        <v>44942</v>
      </c>
    </row>
    <row r="2093" spans="1:1">
      <c r="A2093" t="s">
        <v>44943</v>
      </c>
    </row>
    <row r="2094" spans="1:1">
      <c r="A2094" t="s">
        <v>44944</v>
      </c>
    </row>
    <row r="2095" spans="1:1">
      <c r="A2095" t="s">
        <v>44945</v>
      </c>
    </row>
    <row r="2096" spans="1:1">
      <c r="A2096" t="s">
        <v>44946</v>
      </c>
    </row>
    <row r="2097" spans="1:1">
      <c r="A2097" t="s">
        <v>44947</v>
      </c>
    </row>
    <row r="2098" spans="1:1">
      <c r="A2098" t="s">
        <v>44948</v>
      </c>
    </row>
    <row r="2099" spans="1:1">
      <c r="A2099" t="s">
        <v>44949</v>
      </c>
    </row>
    <row r="2100" spans="1:1">
      <c r="A2100" t="s">
        <v>44950</v>
      </c>
    </row>
    <row r="2101" spans="1:1">
      <c r="A2101" t="s">
        <v>44951</v>
      </c>
    </row>
    <row r="2102" spans="1:1">
      <c r="A2102" t="s">
        <v>44952</v>
      </c>
    </row>
    <row r="2103" spans="1:1">
      <c r="A2103" t="s">
        <v>44953</v>
      </c>
    </row>
    <row r="2104" spans="1:1">
      <c r="A2104" t="s">
        <v>44954</v>
      </c>
    </row>
    <row r="2105" spans="1:1">
      <c r="A2105" t="s">
        <v>44955</v>
      </c>
    </row>
    <row r="2106" spans="1:1">
      <c r="A2106" t="s">
        <v>44956</v>
      </c>
    </row>
    <row r="2107" spans="1:1">
      <c r="A2107" t="s">
        <v>44957</v>
      </c>
    </row>
    <row r="2108" spans="1:1">
      <c r="A2108" t="s">
        <v>44958</v>
      </c>
    </row>
    <row r="2109" spans="1:1">
      <c r="A2109" t="s">
        <v>44959</v>
      </c>
    </row>
    <row r="2110" spans="1:1">
      <c r="A2110" t="s">
        <v>44960</v>
      </c>
    </row>
    <row r="2111" spans="1:1">
      <c r="A2111" t="s">
        <v>44961</v>
      </c>
    </row>
    <row r="2112" spans="1:1">
      <c r="A2112" t="s">
        <v>44962</v>
      </c>
    </row>
    <row r="2113" spans="1:1">
      <c r="A2113" t="s">
        <v>44963</v>
      </c>
    </row>
    <row r="2114" spans="1:1">
      <c r="A2114" t="s">
        <v>44964</v>
      </c>
    </row>
    <row r="2115" spans="1:1">
      <c r="A2115" t="s">
        <v>44965</v>
      </c>
    </row>
    <row r="2116" spans="1:1">
      <c r="A2116" t="s">
        <v>44966</v>
      </c>
    </row>
    <row r="2117" spans="1:1">
      <c r="A2117" t="s">
        <v>44967</v>
      </c>
    </row>
    <row r="2118" spans="1:1">
      <c r="A2118" t="s">
        <v>44968</v>
      </c>
    </row>
    <row r="2119" spans="1:1">
      <c r="A2119" t="s">
        <v>44969</v>
      </c>
    </row>
    <row r="2120" spans="1:1">
      <c r="A2120" t="s">
        <v>44970</v>
      </c>
    </row>
    <row r="2121" spans="1:1">
      <c r="A2121" t="s">
        <v>44971</v>
      </c>
    </row>
    <row r="2122" spans="1:1">
      <c r="A2122" t="s">
        <v>44972</v>
      </c>
    </row>
    <row r="2123" spans="1:1">
      <c r="A2123" t="s">
        <v>44973</v>
      </c>
    </row>
    <row r="2124" spans="1:1">
      <c r="A2124" t="s">
        <v>44974</v>
      </c>
    </row>
    <row r="2125" spans="1:1">
      <c r="A2125" t="s">
        <v>44975</v>
      </c>
    </row>
    <row r="2126" spans="1:1">
      <c r="A2126" t="s">
        <v>44976</v>
      </c>
    </row>
    <row r="2127" spans="1:1">
      <c r="A2127" t="s">
        <v>44977</v>
      </c>
    </row>
    <row r="2128" spans="1:1">
      <c r="A2128" t="s">
        <v>44978</v>
      </c>
    </row>
    <row r="2129" spans="1:1">
      <c r="A2129" t="s">
        <v>44979</v>
      </c>
    </row>
    <row r="2130" spans="1:1">
      <c r="A2130" t="s">
        <v>44980</v>
      </c>
    </row>
    <row r="2131" spans="1:1">
      <c r="A2131" t="s">
        <v>44981</v>
      </c>
    </row>
    <row r="2132" spans="1:1">
      <c r="A2132" t="s">
        <v>44982</v>
      </c>
    </row>
    <row r="2133" spans="1:1">
      <c r="A2133" t="s">
        <v>44983</v>
      </c>
    </row>
    <row r="2134" spans="1:1">
      <c r="A2134" t="s">
        <v>44984</v>
      </c>
    </row>
    <row r="2135" spans="1:1">
      <c r="A2135" t="s">
        <v>44985</v>
      </c>
    </row>
    <row r="2136" spans="1:1">
      <c r="A2136" t="s">
        <v>44986</v>
      </c>
    </row>
    <row r="2137" spans="1:1">
      <c r="A2137" t="s">
        <v>44987</v>
      </c>
    </row>
    <row r="2138" spans="1:1">
      <c r="A2138" t="s">
        <v>44988</v>
      </c>
    </row>
    <row r="2139" spans="1:1">
      <c r="A2139" t="s">
        <v>44989</v>
      </c>
    </row>
    <row r="2140" spans="1:1">
      <c r="A2140" t="s">
        <v>44990</v>
      </c>
    </row>
    <row r="2141" spans="1:1">
      <c r="A2141" t="s">
        <v>44991</v>
      </c>
    </row>
    <row r="2142" spans="1:1">
      <c r="A2142" t="s">
        <v>44992</v>
      </c>
    </row>
    <row r="2143" spans="1:1">
      <c r="A2143" t="s">
        <v>44993</v>
      </c>
    </row>
    <row r="2144" spans="1:1">
      <c r="A2144" t="s">
        <v>44994</v>
      </c>
    </row>
    <row r="2145" spans="1:1">
      <c r="A2145" t="s">
        <v>44995</v>
      </c>
    </row>
    <row r="2146" spans="1:1">
      <c r="A2146" t="s">
        <v>44996</v>
      </c>
    </row>
    <row r="2147" spans="1:1">
      <c r="A2147" t="s">
        <v>44997</v>
      </c>
    </row>
    <row r="2148" spans="1:1">
      <c r="A2148" t="s">
        <v>44998</v>
      </c>
    </row>
    <row r="2149" spans="1:1">
      <c r="A2149" t="s">
        <v>44999</v>
      </c>
    </row>
    <row r="2150" spans="1:1">
      <c r="A2150" t="s">
        <v>45000</v>
      </c>
    </row>
    <row r="2151" spans="1:1">
      <c r="A2151" t="s">
        <v>45001</v>
      </c>
    </row>
    <row r="2152" spans="1:1">
      <c r="A2152" t="s">
        <v>45002</v>
      </c>
    </row>
    <row r="2153" spans="1:1">
      <c r="A2153" t="s">
        <v>45003</v>
      </c>
    </row>
    <row r="2154" spans="1:1">
      <c r="A2154" t="s">
        <v>45004</v>
      </c>
    </row>
    <row r="2155" spans="1:1">
      <c r="A2155" t="s">
        <v>45005</v>
      </c>
    </row>
    <row r="2156" spans="1:1">
      <c r="A2156" t="s">
        <v>45006</v>
      </c>
    </row>
    <row r="2157" spans="1:1">
      <c r="A2157" t="s">
        <v>45007</v>
      </c>
    </row>
    <row r="2158" spans="1:1">
      <c r="A2158" t="s">
        <v>45008</v>
      </c>
    </row>
    <row r="2159" spans="1:1">
      <c r="A2159" t="s">
        <v>45009</v>
      </c>
    </row>
    <row r="2160" spans="1:1">
      <c r="A2160" t="s">
        <v>45010</v>
      </c>
    </row>
    <row r="2161" spans="1:1">
      <c r="A2161" t="s">
        <v>45011</v>
      </c>
    </row>
    <row r="2162" spans="1:1">
      <c r="A2162" t="s">
        <v>45012</v>
      </c>
    </row>
    <row r="2163" spans="1:1">
      <c r="A2163" t="s">
        <v>45013</v>
      </c>
    </row>
    <row r="2164" spans="1:1">
      <c r="A2164" t="s">
        <v>45014</v>
      </c>
    </row>
    <row r="2165" spans="1:1">
      <c r="A2165" t="s">
        <v>45015</v>
      </c>
    </row>
    <row r="2166" spans="1:1">
      <c r="A2166" t="s">
        <v>45016</v>
      </c>
    </row>
    <row r="2167" spans="1:1">
      <c r="A2167" t="s">
        <v>45017</v>
      </c>
    </row>
    <row r="2168" spans="1:1">
      <c r="A2168" t="s">
        <v>45018</v>
      </c>
    </row>
    <row r="2169" spans="1:1">
      <c r="A2169" t="s">
        <v>45019</v>
      </c>
    </row>
    <row r="2170" spans="1:1">
      <c r="A2170" t="s">
        <v>45020</v>
      </c>
    </row>
    <row r="2171" spans="1:1">
      <c r="A2171" t="s">
        <v>45021</v>
      </c>
    </row>
    <row r="2172" spans="1:1">
      <c r="A2172" t="s">
        <v>45022</v>
      </c>
    </row>
    <row r="2173" spans="1:1">
      <c r="A2173" t="s">
        <v>45023</v>
      </c>
    </row>
    <row r="2174" spans="1:1">
      <c r="A2174" t="s">
        <v>45024</v>
      </c>
    </row>
    <row r="2175" spans="1:1">
      <c r="A2175" t="s">
        <v>45025</v>
      </c>
    </row>
    <row r="2176" spans="1:1">
      <c r="A2176" t="s">
        <v>45026</v>
      </c>
    </row>
    <row r="2177" spans="1:1">
      <c r="A2177" t="s">
        <v>45027</v>
      </c>
    </row>
    <row r="2178" spans="1:1">
      <c r="A2178" t="s">
        <v>45028</v>
      </c>
    </row>
    <row r="2179" spans="1:1">
      <c r="A2179" t="s">
        <v>45029</v>
      </c>
    </row>
    <row r="2180" spans="1:1">
      <c r="A2180" t="s">
        <v>45030</v>
      </c>
    </row>
    <row r="2181" spans="1:1">
      <c r="A2181" t="s">
        <v>45031</v>
      </c>
    </row>
    <row r="2182" spans="1:1">
      <c r="A2182" t="s">
        <v>45032</v>
      </c>
    </row>
    <row r="2183" spans="1:1">
      <c r="A2183" t="s">
        <v>45033</v>
      </c>
    </row>
    <row r="2184" spans="1:1">
      <c r="A2184" t="s">
        <v>45034</v>
      </c>
    </row>
    <row r="2185" spans="1:1">
      <c r="A2185" t="s">
        <v>45035</v>
      </c>
    </row>
    <row r="2186" spans="1:1">
      <c r="A2186" t="s">
        <v>45036</v>
      </c>
    </row>
    <row r="2187" spans="1:1">
      <c r="A2187" t="s">
        <v>45037</v>
      </c>
    </row>
    <row r="2188" spans="1:1">
      <c r="A2188" t="s">
        <v>45038</v>
      </c>
    </row>
    <row r="2189" spans="1:1">
      <c r="A2189" t="s">
        <v>45039</v>
      </c>
    </row>
    <row r="2190" spans="1:1">
      <c r="A2190" t="s">
        <v>45040</v>
      </c>
    </row>
    <row r="2191" spans="1:1">
      <c r="A2191" t="s">
        <v>45041</v>
      </c>
    </row>
    <row r="2192" spans="1:1">
      <c r="A2192" t="s">
        <v>45042</v>
      </c>
    </row>
    <row r="2193" spans="1:1">
      <c r="A2193" t="s">
        <v>45043</v>
      </c>
    </row>
    <row r="2194" spans="1:1">
      <c r="A2194" t="s">
        <v>45044</v>
      </c>
    </row>
    <row r="2195" spans="1:1">
      <c r="A2195" t="s">
        <v>45045</v>
      </c>
    </row>
    <row r="2196" spans="1:1">
      <c r="A2196" t="s">
        <v>45046</v>
      </c>
    </row>
    <row r="2197" spans="1:1">
      <c r="A2197" t="s">
        <v>45047</v>
      </c>
    </row>
    <row r="2198" spans="1:1">
      <c r="A2198" t="s">
        <v>45048</v>
      </c>
    </row>
    <row r="2199" spans="1:1">
      <c r="A2199" t="s">
        <v>45049</v>
      </c>
    </row>
    <row r="2200" spans="1:1">
      <c r="A2200" t="s">
        <v>45050</v>
      </c>
    </row>
    <row r="2201" spans="1:1">
      <c r="A2201" t="s">
        <v>45051</v>
      </c>
    </row>
    <row r="2202" spans="1:1">
      <c r="A2202" t="s">
        <v>45052</v>
      </c>
    </row>
    <row r="2203" spans="1:1">
      <c r="A2203" t="s">
        <v>45053</v>
      </c>
    </row>
    <row r="2204" spans="1:1">
      <c r="A2204" t="s">
        <v>45054</v>
      </c>
    </row>
    <row r="2205" spans="1:1">
      <c r="A2205" t="s">
        <v>45055</v>
      </c>
    </row>
    <row r="2206" spans="1:1">
      <c r="A2206" t="s">
        <v>45056</v>
      </c>
    </row>
    <row r="2207" spans="1:1">
      <c r="A2207" t="s">
        <v>45057</v>
      </c>
    </row>
    <row r="2208" spans="1:1">
      <c r="A2208" t="s">
        <v>45058</v>
      </c>
    </row>
    <row r="2209" spans="1:1">
      <c r="A2209" t="s">
        <v>45059</v>
      </c>
    </row>
    <row r="2210" spans="1:1">
      <c r="A2210" t="s">
        <v>45060</v>
      </c>
    </row>
    <row r="2211" spans="1:1">
      <c r="A2211" t="s">
        <v>45061</v>
      </c>
    </row>
    <row r="2212" spans="1:1">
      <c r="A2212" t="s">
        <v>45062</v>
      </c>
    </row>
    <row r="2213" spans="1:1">
      <c r="A2213" t="s">
        <v>45063</v>
      </c>
    </row>
    <row r="2214" spans="1:1">
      <c r="A2214" t="s">
        <v>45064</v>
      </c>
    </row>
    <row r="2215" spans="1:1">
      <c r="A2215" t="s">
        <v>45065</v>
      </c>
    </row>
    <row r="2216" spans="1:1">
      <c r="A2216" t="s">
        <v>45066</v>
      </c>
    </row>
    <row r="2217" spans="1:1">
      <c r="A2217" t="s">
        <v>45067</v>
      </c>
    </row>
    <row r="2218" spans="1:1">
      <c r="A2218" t="s">
        <v>45068</v>
      </c>
    </row>
    <row r="2219" spans="1:1">
      <c r="A2219" t="s">
        <v>45069</v>
      </c>
    </row>
    <row r="2220" spans="1:1">
      <c r="A2220" t="s">
        <v>45070</v>
      </c>
    </row>
    <row r="2221" spans="1:1">
      <c r="A2221" t="s">
        <v>45071</v>
      </c>
    </row>
    <row r="2222" spans="1:1">
      <c r="A2222" t="s">
        <v>45072</v>
      </c>
    </row>
    <row r="2223" spans="1:1">
      <c r="A2223" t="s">
        <v>45073</v>
      </c>
    </row>
    <row r="2224" spans="1:1">
      <c r="A2224" t="s">
        <v>45074</v>
      </c>
    </row>
    <row r="2225" spans="1:1">
      <c r="A2225" t="s">
        <v>45075</v>
      </c>
    </row>
    <row r="2226" spans="1:1">
      <c r="A2226" t="s">
        <v>45076</v>
      </c>
    </row>
    <row r="2227" spans="1:1">
      <c r="A2227" t="s">
        <v>45077</v>
      </c>
    </row>
    <row r="2228" spans="1:1">
      <c r="A2228" t="s">
        <v>45078</v>
      </c>
    </row>
    <row r="2229" spans="1:1">
      <c r="A2229" t="s">
        <v>45079</v>
      </c>
    </row>
    <row r="2230" spans="1:1">
      <c r="A2230" t="s">
        <v>45080</v>
      </c>
    </row>
    <row r="2231" spans="1:1">
      <c r="A2231" t="s">
        <v>45081</v>
      </c>
    </row>
    <row r="2232" spans="1:1">
      <c r="A2232" t="s">
        <v>45082</v>
      </c>
    </row>
    <row r="2233" spans="1:1">
      <c r="A2233" t="s">
        <v>45083</v>
      </c>
    </row>
    <row r="2234" spans="1:1">
      <c r="A2234" t="s">
        <v>45084</v>
      </c>
    </row>
    <row r="2235" spans="1:1">
      <c r="A2235" t="s">
        <v>45085</v>
      </c>
    </row>
    <row r="2236" spans="1:1">
      <c r="A2236" t="s">
        <v>45086</v>
      </c>
    </row>
    <row r="2237" spans="1:1">
      <c r="A2237" t="s">
        <v>45087</v>
      </c>
    </row>
    <row r="2238" spans="1:1">
      <c r="A2238" t="s">
        <v>45088</v>
      </c>
    </row>
    <row r="2239" spans="1:1">
      <c r="A2239" t="s">
        <v>45089</v>
      </c>
    </row>
    <row r="2240" spans="1:1">
      <c r="A2240" t="s">
        <v>45090</v>
      </c>
    </row>
    <row r="2241" spans="1:1">
      <c r="A2241" t="s">
        <v>45091</v>
      </c>
    </row>
    <row r="2242" spans="1:1">
      <c r="A2242" t="s">
        <v>45092</v>
      </c>
    </row>
    <row r="2243" spans="1:1">
      <c r="A2243" t="s">
        <v>45093</v>
      </c>
    </row>
    <row r="2244" spans="1:1">
      <c r="A2244" t="s">
        <v>45094</v>
      </c>
    </row>
    <row r="2245" spans="1:1">
      <c r="A2245" t="s">
        <v>45095</v>
      </c>
    </row>
    <row r="2246" spans="1:1">
      <c r="A2246" t="s">
        <v>45096</v>
      </c>
    </row>
    <row r="2247" spans="1:1">
      <c r="A2247" t="s">
        <v>45097</v>
      </c>
    </row>
    <row r="2248" spans="1:1">
      <c r="A2248" t="s">
        <v>45098</v>
      </c>
    </row>
    <row r="2249" spans="1:1">
      <c r="A2249" t="s">
        <v>45099</v>
      </c>
    </row>
    <row r="2250" spans="1:1">
      <c r="A2250" t="s">
        <v>45100</v>
      </c>
    </row>
    <row r="2251" spans="1:1">
      <c r="A2251" t="s">
        <v>45101</v>
      </c>
    </row>
    <row r="2252" spans="1:1">
      <c r="A2252" t="s">
        <v>45102</v>
      </c>
    </row>
    <row r="2253" spans="1:1">
      <c r="A2253" t="s">
        <v>45103</v>
      </c>
    </row>
    <row r="2254" spans="1:1">
      <c r="A2254" t="s">
        <v>45104</v>
      </c>
    </row>
    <row r="2255" spans="1:1">
      <c r="A2255" t="s">
        <v>45105</v>
      </c>
    </row>
    <row r="2256" spans="1:1">
      <c r="A2256" t="s">
        <v>45106</v>
      </c>
    </row>
    <row r="2257" spans="1:1">
      <c r="A2257" t="s">
        <v>45107</v>
      </c>
    </row>
    <row r="2258" spans="1:1">
      <c r="A2258" t="s">
        <v>45108</v>
      </c>
    </row>
    <row r="2259" spans="1:1">
      <c r="A2259" t="s">
        <v>45109</v>
      </c>
    </row>
    <row r="2260" spans="1:1">
      <c r="A2260" t="s">
        <v>45110</v>
      </c>
    </row>
    <row r="2261" spans="1:1">
      <c r="A2261" t="s">
        <v>45111</v>
      </c>
    </row>
    <row r="2262" spans="1:1">
      <c r="A2262" t="s">
        <v>45112</v>
      </c>
    </row>
    <row r="2263" spans="1:1">
      <c r="A2263" t="s">
        <v>45113</v>
      </c>
    </row>
    <row r="2264" spans="1:1">
      <c r="A2264" t="s">
        <v>45114</v>
      </c>
    </row>
    <row r="2265" spans="1:1">
      <c r="A2265" t="s">
        <v>45115</v>
      </c>
    </row>
    <row r="2266" spans="1:1">
      <c r="A2266" t="s">
        <v>45116</v>
      </c>
    </row>
    <row r="2267" spans="1:1">
      <c r="A2267" t="s">
        <v>45117</v>
      </c>
    </row>
    <row r="2268" spans="1:1">
      <c r="A2268" t="s">
        <v>45118</v>
      </c>
    </row>
    <row r="2269" spans="1:1">
      <c r="A2269" t="s">
        <v>45119</v>
      </c>
    </row>
    <row r="2270" spans="1:1">
      <c r="A2270" t="s">
        <v>45120</v>
      </c>
    </row>
    <row r="2271" spans="1:1">
      <c r="A2271" t="s">
        <v>45121</v>
      </c>
    </row>
    <row r="2272" spans="1:1">
      <c r="A2272" t="s">
        <v>45122</v>
      </c>
    </row>
    <row r="2273" spans="1:1">
      <c r="A2273" t="s">
        <v>45123</v>
      </c>
    </row>
    <row r="2274" spans="1:1">
      <c r="A2274" t="s">
        <v>45124</v>
      </c>
    </row>
    <row r="2275" spans="1:1">
      <c r="A2275" t="s">
        <v>45125</v>
      </c>
    </row>
    <row r="2276" spans="1:1">
      <c r="A2276" t="s">
        <v>45126</v>
      </c>
    </row>
    <row r="2277" spans="1:1">
      <c r="A2277" t="s">
        <v>45127</v>
      </c>
    </row>
    <row r="2278" spans="1:1">
      <c r="A2278" t="s">
        <v>45128</v>
      </c>
    </row>
    <row r="2279" spans="1:1">
      <c r="A2279" t="s">
        <v>45129</v>
      </c>
    </row>
    <row r="2280" spans="1:1">
      <c r="A2280" t="s">
        <v>45130</v>
      </c>
    </row>
    <row r="2281" spans="1:1">
      <c r="A2281" t="s">
        <v>45131</v>
      </c>
    </row>
    <row r="2282" spans="1:1">
      <c r="A2282" t="s">
        <v>45132</v>
      </c>
    </row>
    <row r="2283" spans="1:1">
      <c r="A2283" t="s">
        <v>45133</v>
      </c>
    </row>
    <row r="2284" spans="1:1">
      <c r="A2284" t="s">
        <v>45134</v>
      </c>
    </row>
    <row r="2285" spans="1:1">
      <c r="A2285" t="s">
        <v>45135</v>
      </c>
    </row>
    <row r="2286" spans="1:1">
      <c r="A2286" t="s">
        <v>45136</v>
      </c>
    </row>
    <row r="2287" spans="1:1">
      <c r="A2287" t="s">
        <v>45137</v>
      </c>
    </row>
    <row r="2288" spans="1:1">
      <c r="A2288" t="s">
        <v>45138</v>
      </c>
    </row>
    <row r="2289" spans="1:1">
      <c r="A2289" t="s">
        <v>45139</v>
      </c>
    </row>
    <row r="2290" spans="1:1">
      <c r="A2290" t="s">
        <v>45140</v>
      </c>
    </row>
    <row r="2291" spans="1:1">
      <c r="A2291" t="s">
        <v>45141</v>
      </c>
    </row>
    <row r="2292" spans="1:1">
      <c r="A2292" t="s">
        <v>45142</v>
      </c>
    </row>
    <row r="2293" spans="1:1">
      <c r="A2293" t="s">
        <v>45143</v>
      </c>
    </row>
    <row r="2294" spans="1:1">
      <c r="A2294" t="s">
        <v>45144</v>
      </c>
    </row>
    <row r="2295" spans="1:1">
      <c r="A2295" t="s">
        <v>45145</v>
      </c>
    </row>
    <row r="2296" spans="1:1">
      <c r="A2296" t="s">
        <v>45146</v>
      </c>
    </row>
    <row r="2297" spans="1:1">
      <c r="A2297" t="s">
        <v>45147</v>
      </c>
    </row>
    <row r="2298" spans="1:1">
      <c r="A2298" t="s">
        <v>45148</v>
      </c>
    </row>
    <row r="2299" spans="1:1">
      <c r="A2299" t="s">
        <v>45149</v>
      </c>
    </row>
    <row r="2300" spans="1:1">
      <c r="A2300" t="s">
        <v>45150</v>
      </c>
    </row>
    <row r="2301" spans="1:1">
      <c r="A2301" t="s">
        <v>45151</v>
      </c>
    </row>
    <row r="2302" spans="1:1">
      <c r="A2302" t="s">
        <v>45152</v>
      </c>
    </row>
    <row r="2303" spans="1:1">
      <c r="A2303" t="s">
        <v>45153</v>
      </c>
    </row>
    <row r="2304" spans="1:1">
      <c r="A2304" t="s">
        <v>45154</v>
      </c>
    </row>
    <row r="2305" spans="1:1">
      <c r="A2305" t="s">
        <v>45155</v>
      </c>
    </row>
    <row r="2306" spans="1:1">
      <c r="A2306" t="s">
        <v>45156</v>
      </c>
    </row>
    <row r="2307" spans="1:1">
      <c r="A2307" t="s">
        <v>45157</v>
      </c>
    </row>
    <row r="2308" spans="1:1">
      <c r="A2308" t="s">
        <v>45158</v>
      </c>
    </row>
    <row r="2309" spans="1:1">
      <c r="A2309" t="s">
        <v>45159</v>
      </c>
    </row>
    <row r="2310" spans="1:1">
      <c r="A2310" t="s">
        <v>45160</v>
      </c>
    </row>
    <row r="2311" spans="1:1">
      <c r="A2311" t="s">
        <v>45161</v>
      </c>
    </row>
    <row r="2312" spans="1:1">
      <c r="A2312" t="s">
        <v>45162</v>
      </c>
    </row>
    <row r="2313" spans="1:1">
      <c r="A2313" t="s">
        <v>45163</v>
      </c>
    </row>
    <row r="2314" spans="1:1">
      <c r="A2314" t="s">
        <v>45164</v>
      </c>
    </row>
    <row r="2315" spans="1:1">
      <c r="A2315" t="s">
        <v>45165</v>
      </c>
    </row>
    <row r="2316" spans="1:1">
      <c r="A2316" t="s">
        <v>45166</v>
      </c>
    </row>
    <row r="2317" spans="1:1">
      <c r="A2317" t="s">
        <v>45167</v>
      </c>
    </row>
    <row r="2318" spans="1:1">
      <c r="A2318" t="s">
        <v>45168</v>
      </c>
    </row>
    <row r="2319" spans="1:1">
      <c r="A2319" t="s">
        <v>45169</v>
      </c>
    </row>
    <row r="2320" spans="1:1">
      <c r="A2320" t="s">
        <v>45170</v>
      </c>
    </row>
    <row r="2321" spans="1:1">
      <c r="A2321" t="s">
        <v>45171</v>
      </c>
    </row>
    <row r="2322" spans="1:1">
      <c r="A2322" t="s">
        <v>45172</v>
      </c>
    </row>
    <row r="2323" spans="1:1">
      <c r="A2323" t="s">
        <v>45173</v>
      </c>
    </row>
    <row r="2324" spans="1:1">
      <c r="A2324" t="s">
        <v>45174</v>
      </c>
    </row>
    <row r="2325" spans="1:1">
      <c r="A2325" t="s">
        <v>45175</v>
      </c>
    </row>
    <row r="2326" spans="1:1">
      <c r="A2326" t="s">
        <v>45176</v>
      </c>
    </row>
    <row r="2327" spans="1:1">
      <c r="A2327" t="s">
        <v>45177</v>
      </c>
    </row>
    <row r="2328" spans="1:1">
      <c r="A2328" t="s">
        <v>45178</v>
      </c>
    </row>
    <row r="2329" spans="1:1">
      <c r="A2329" t="s">
        <v>45179</v>
      </c>
    </row>
    <row r="2330" spans="1:1">
      <c r="A2330" t="s">
        <v>45180</v>
      </c>
    </row>
    <row r="2331" spans="1:1">
      <c r="A2331" t="s">
        <v>45181</v>
      </c>
    </row>
    <row r="2332" spans="1:1">
      <c r="A2332" t="s">
        <v>45182</v>
      </c>
    </row>
    <row r="2333" spans="1:1">
      <c r="A2333" t="s">
        <v>45183</v>
      </c>
    </row>
    <row r="2334" spans="1:1">
      <c r="A2334" t="s">
        <v>45184</v>
      </c>
    </row>
    <row r="2335" spans="1:1">
      <c r="A2335" t="s">
        <v>45185</v>
      </c>
    </row>
    <row r="2336" spans="1:1">
      <c r="A2336" t="s">
        <v>45186</v>
      </c>
    </row>
    <row r="2337" spans="1:1">
      <c r="A2337" t="s">
        <v>45187</v>
      </c>
    </row>
    <row r="2338" spans="1:1">
      <c r="A2338" t="s">
        <v>45188</v>
      </c>
    </row>
    <row r="2339" spans="1:1">
      <c r="A2339" t="s">
        <v>45189</v>
      </c>
    </row>
    <row r="2340" spans="1:1">
      <c r="A2340" t="s">
        <v>45190</v>
      </c>
    </row>
    <row r="2341" spans="1:1">
      <c r="A2341" t="s">
        <v>45191</v>
      </c>
    </row>
    <row r="2342" spans="1:1">
      <c r="A2342" t="s">
        <v>45192</v>
      </c>
    </row>
    <row r="2343" spans="1:1">
      <c r="A2343" t="s">
        <v>45193</v>
      </c>
    </row>
    <row r="2344" spans="1:1">
      <c r="A2344" t="s">
        <v>45194</v>
      </c>
    </row>
    <row r="2345" spans="1:1">
      <c r="A2345" t="s">
        <v>45195</v>
      </c>
    </row>
    <row r="2346" spans="1:1">
      <c r="A2346" t="s">
        <v>45196</v>
      </c>
    </row>
    <row r="2347" spans="1:1">
      <c r="A2347" t="s">
        <v>45197</v>
      </c>
    </row>
    <row r="2348" spans="1:1">
      <c r="A2348" t="s">
        <v>45198</v>
      </c>
    </row>
    <row r="2349" spans="1:1">
      <c r="A2349" t="s">
        <v>45199</v>
      </c>
    </row>
    <row r="2350" spans="1:1">
      <c r="A2350" t="s">
        <v>45200</v>
      </c>
    </row>
    <row r="2351" spans="1:1">
      <c r="A2351" t="s">
        <v>45201</v>
      </c>
    </row>
    <row r="2352" spans="1:1">
      <c r="A2352" t="s">
        <v>45202</v>
      </c>
    </row>
    <row r="2353" spans="1:1">
      <c r="A2353" t="s">
        <v>45203</v>
      </c>
    </row>
    <row r="2354" spans="1:1">
      <c r="A2354" t="s">
        <v>45204</v>
      </c>
    </row>
    <row r="2355" spans="1:1">
      <c r="A2355" t="s">
        <v>45205</v>
      </c>
    </row>
    <row r="2356" spans="1:1">
      <c r="A2356" t="s">
        <v>45206</v>
      </c>
    </row>
    <row r="2357" spans="1:1">
      <c r="A2357" t="s">
        <v>45207</v>
      </c>
    </row>
    <row r="2358" spans="1:1">
      <c r="A2358" t="s">
        <v>45208</v>
      </c>
    </row>
    <row r="2359" spans="1:1">
      <c r="A2359" t="s">
        <v>45209</v>
      </c>
    </row>
    <row r="2360" spans="1:1">
      <c r="A2360" t="s">
        <v>45210</v>
      </c>
    </row>
    <row r="2361" spans="1:1">
      <c r="A2361" t="s">
        <v>45211</v>
      </c>
    </row>
    <row r="2362" spans="1:1">
      <c r="A2362" t="s">
        <v>45212</v>
      </c>
    </row>
    <row r="2363" spans="1:1">
      <c r="A2363" t="s">
        <v>45213</v>
      </c>
    </row>
    <row r="2364" spans="1:1">
      <c r="A2364" t="s">
        <v>45214</v>
      </c>
    </row>
    <row r="2365" spans="1:1">
      <c r="A2365" t="s">
        <v>45215</v>
      </c>
    </row>
    <row r="2366" spans="1:1">
      <c r="A2366" t="s">
        <v>45216</v>
      </c>
    </row>
    <row r="2367" spans="1:1">
      <c r="A2367" t="s">
        <v>45217</v>
      </c>
    </row>
    <row r="2368" spans="1:1">
      <c r="A2368" t="s">
        <v>45218</v>
      </c>
    </row>
    <row r="2369" spans="1:1">
      <c r="A2369" t="s">
        <v>45219</v>
      </c>
    </row>
    <row r="2370" spans="1:1">
      <c r="A2370" t="s">
        <v>45220</v>
      </c>
    </row>
    <row r="2371" spans="1:1">
      <c r="A2371" t="s">
        <v>45221</v>
      </c>
    </row>
    <row r="2372" spans="1:1">
      <c r="A2372" t="s">
        <v>45222</v>
      </c>
    </row>
    <row r="2373" spans="1:1">
      <c r="A2373" t="s">
        <v>45223</v>
      </c>
    </row>
    <row r="2374" spans="1:1">
      <c r="A2374" t="s">
        <v>45224</v>
      </c>
    </row>
    <row r="2375" spans="1:1">
      <c r="A2375" t="s">
        <v>45225</v>
      </c>
    </row>
    <row r="2376" spans="1:1">
      <c r="A2376" t="s">
        <v>45226</v>
      </c>
    </row>
    <row r="2377" spans="1:1">
      <c r="A2377" t="s">
        <v>45227</v>
      </c>
    </row>
    <row r="2378" spans="1:1">
      <c r="A2378" t="s">
        <v>45228</v>
      </c>
    </row>
    <row r="2379" spans="1:1">
      <c r="A2379" t="s">
        <v>45229</v>
      </c>
    </row>
    <row r="2380" spans="1:1">
      <c r="A2380" t="s">
        <v>45230</v>
      </c>
    </row>
    <row r="2381" spans="1:1">
      <c r="A2381" t="s">
        <v>45231</v>
      </c>
    </row>
    <row r="2382" spans="1:1">
      <c r="A2382" t="s">
        <v>45232</v>
      </c>
    </row>
    <row r="2383" spans="1:1">
      <c r="A2383" t="s">
        <v>45233</v>
      </c>
    </row>
    <row r="2384" spans="1:1">
      <c r="A2384" t="s">
        <v>45234</v>
      </c>
    </row>
    <row r="2385" spans="1:1">
      <c r="A2385" t="s">
        <v>45235</v>
      </c>
    </row>
    <row r="2386" spans="1:1">
      <c r="A2386" t="s">
        <v>45236</v>
      </c>
    </row>
    <row r="2387" spans="1:1">
      <c r="A2387" t="s">
        <v>45237</v>
      </c>
    </row>
    <row r="2388" spans="1:1">
      <c r="A2388" t="s">
        <v>45238</v>
      </c>
    </row>
    <row r="2389" spans="1:1">
      <c r="A2389" t="s">
        <v>45239</v>
      </c>
    </row>
    <row r="2390" spans="1:1">
      <c r="A2390" t="s">
        <v>45240</v>
      </c>
    </row>
    <row r="2391" spans="1:1">
      <c r="A2391" t="s">
        <v>45241</v>
      </c>
    </row>
    <row r="2392" spans="1:1">
      <c r="A2392" t="s">
        <v>45242</v>
      </c>
    </row>
    <row r="2393" spans="1:1">
      <c r="A2393" t="s">
        <v>45243</v>
      </c>
    </row>
    <row r="2394" spans="1:1">
      <c r="A2394" t="s">
        <v>45244</v>
      </c>
    </row>
    <row r="2395" spans="1:1">
      <c r="A2395" t="s">
        <v>45245</v>
      </c>
    </row>
    <row r="2396" spans="1:1">
      <c r="A2396" t="s">
        <v>45246</v>
      </c>
    </row>
    <row r="2397" spans="1:1">
      <c r="A2397" t="s">
        <v>45247</v>
      </c>
    </row>
    <row r="2398" spans="1:1">
      <c r="A2398" t="s">
        <v>45248</v>
      </c>
    </row>
    <row r="2399" spans="1:1">
      <c r="A2399" t="s">
        <v>45249</v>
      </c>
    </row>
    <row r="2400" spans="1:1">
      <c r="A2400" t="s">
        <v>45250</v>
      </c>
    </row>
    <row r="2401" spans="1:1">
      <c r="A2401" t="s">
        <v>45251</v>
      </c>
    </row>
    <row r="2402" spans="1:1">
      <c r="A2402" t="s">
        <v>45252</v>
      </c>
    </row>
    <row r="2403" spans="1:1">
      <c r="A2403" t="s">
        <v>45253</v>
      </c>
    </row>
    <row r="2404" spans="1:1">
      <c r="A2404" t="s">
        <v>45254</v>
      </c>
    </row>
    <row r="2405" spans="1:1">
      <c r="A2405" t="s">
        <v>45255</v>
      </c>
    </row>
    <row r="2406" spans="1:1">
      <c r="A2406" t="s">
        <v>45256</v>
      </c>
    </row>
    <row r="2407" spans="1:1">
      <c r="A2407" t="s">
        <v>45257</v>
      </c>
    </row>
    <row r="2408" spans="1:1">
      <c r="A2408" t="s">
        <v>45258</v>
      </c>
    </row>
    <row r="2409" spans="1:1">
      <c r="A2409" t="s">
        <v>45259</v>
      </c>
    </row>
    <row r="2410" spans="1:1">
      <c r="A2410" t="s">
        <v>45260</v>
      </c>
    </row>
    <row r="2411" spans="1:1">
      <c r="A2411" t="s">
        <v>45261</v>
      </c>
    </row>
    <row r="2412" spans="1:1">
      <c r="A2412" t="s">
        <v>45262</v>
      </c>
    </row>
    <row r="2413" spans="1:1">
      <c r="A2413" t="s">
        <v>45263</v>
      </c>
    </row>
    <row r="2414" spans="1:1">
      <c r="A2414" t="s">
        <v>45264</v>
      </c>
    </row>
    <row r="2415" spans="1:1">
      <c r="A2415" t="s">
        <v>45265</v>
      </c>
    </row>
    <row r="2416" spans="1:1">
      <c r="A2416" t="s">
        <v>45266</v>
      </c>
    </row>
    <row r="2417" spans="1:1">
      <c r="A2417" t="s">
        <v>45267</v>
      </c>
    </row>
    <row r="2418" spans="1:1">
      <c r="A2418" t="s">
        <v>45268</v>
      </c>
    </row>
    <row r="2419" spans="1:1">
      <c r="A2419" t="s">
        <v>45269</v>
      </c>
    </row>
    <row r="2420" spans="1:1">
      <c r="A2420" t="s">
        <v>45270</v>
      </c>
    </row>
    <row r="2421" spans="1:1">
      <c r="A2421" t="s">
        <v>45271</v>
      </c>
    </row>
    <row r="2422" spans="1:1">
      <c r="A2422" t="s">
        <v>45272</v>
      </c>
    </row>
    <row r="2423" spans="1:1">
      <c r="A2423" t="s">
        <v>45273</v>
      </c>
    </row>
    <row r="2424" spans="1:1">
      <c r="A2424" t="s">
        <v>45274</v>
      </c>
    </row>
    <row r="2425" spans="1:1">
      <c r="A2425" t="s">
        <v>45275</v>
      </c>
    </row>
    <row r="2426" spans="1:1">
      <c r="A2426" t="s">
        <v>45276</v>
      </c>
    </row>
    <row r="2427" spans="1:1">
      <c r="A2427" t="s">
        <v>45277</v>
      </c>
    </row>
    <row r="2428" spans="1:1">
      <c r="A2428" t="s">
        <v>45278</v>
      </c>
    </row>
    <row r="2429" spans="1:1">
      <c r="A2429" t="s">
        <v>45279</v>
      </c>
    </row>
    <row r="2430" spans="1:1">
      <c r="A2430" t="s">
        <v>45280</v>
      </c>
    </row>
    <row r="2431" spans="1:1">
      <c r="A2431" t="s">
        <v>45281</v>
      </c>
    </row>
    <row r="2432" spans="1:1">
      <c r="A2432" t="s">
        <v>45282</v>
      </c>
    </row>
    <row r="2433" spans="1:1">
      <c r="A2433" t="s">
        <v>45283</v>
      </c>
    </row>
    <row r="2434" spans="1:1">
      <c r="A2434" t="s">
        <v>45284</v>
      </c>
    </row>
    <row r="2435" spans="1:1">
      <c r="A2435" t="s">
        <v>45285</v>
      </c>
    </row>
    <row r="2436" spans="1:1">
      <c r="A2436" t="s">
        <v>45286</v>
      </c>
    </row>
    <row r="2437" spans="1:1">
      <c r="A2437" t="s">
        <v>45287</v>
      </c>
    </row>
    <row r="2438" spans="1:1">
      <c r="A2438" t="s">
        <v>45288</v>
      </c>
    </row>
    <row r="2439" spans="1:1">
      <c r="A2439" t="s">
        <v>45289</v>
      </c>
    </row>
    <row r="2440" spans="1:1">
      <c r="A2440" t="s">
        <v>45290</v>
      </c>
    </row>
    <row r="2441" spans="1:1">
      <c r="A2441" t="s">
        <v>45291</v>
      </c>
    </row>
    <row r="2442" spans="1:1">
      <c r="A2442" t="s">
        <v>45292</v>
      </c>
    </row>
    <row r="2443" spans="1:1">
      <c r="A2443" t="s">
        <v>45293</v>
      </c>
    </row>
    <row r="2444" spans="1:1">
      <c r="A2444" t="s">
        <v>45294</v>
      </c>
    </row>
    <row r="2445" spans="1:1">
      <c r="A2445" t="s">
        <v>45295</v>
      </c>
    </row>
    <row r="2446" spans="1:1">
      <c r="A2446" t="s">
        <v>45296</v>
      </c>
    </row>
    <row r="2447" spans="1:1">
      <c r="A2447" t="s">
        <v>45297</v>
      </c>
    </row>
    <row r="2448" spans="1:1">
      <c r="A2448" t="s">
        <v>45298</v>
      </c>
    </row>
    <row r="2449" spans="1:1">
      <c r="A2449" t="s">
        <v>45299</v>
      </c>
    </row>
    <row r="2450" spans="1:1">
      <c r="A2450" t="s">
        <v>45300</v>
      </c>
    </row>
    <row r="2451" spans="1:1">
      <c r="A2451" t="s">
        <v>45301</v>
      </c>
    </row>
    <row r="2452" spans="1:1">
      <c r="A2452" t="s">
        <v>45302</v>
      </c>
    </row>
    <row r="2453" spans="1:1">
      <c r="A2453" t="s">
        <v>45303</v>
      </c>
    </row>
    <row r="2454" spans="1:1">
      <c r="A2454" t="s">
        <v>45304</v>
      </c>
    </row>
    <row r="2455" spans="1:1">
      <c r="A2455" t="s">
        <v>45305</v>
      </c>
    </row>
    <row r="2456" spans="1:1">
      <c r="A2456" t="s">
        <v>45306</v>
      </c>
    </row>
    <row r="2457" spans="1:1">
      <c r="A2457" t="s">
        <v>45307</v>
      </c>
    </row>
    <row r="2458" spans="1:1">
      <c r="A2458" t="s">
        <v>45308</v>
      </c>
    </row>
    <row r="2459" spans="1:1">
      <c r="A2459" t="s">
        <v>45309</v>
      </c>
    </row>
    <row r="2460" spans="1:1">
      <c r="A2460" t="s">
        <v>45310</v>
      </c>
    </row>
    <row r="2461" spans="1:1">
      <c r="A2461" t="s">
        <v>45311</v>
      </c>
    </row>
    <row r="2462" spans="1:1">
      <c r="A2462" t="s">
        <v>45312</v>
      </c>
    </row>
    <row r="2463" spans="1:1">
      <c r="A2463" t="s">
        <v>45313</v>
      </c>
    </row>
    <row r="2464" spans="1:1">
      <c r="A2464" t="s">
        <v>45314</v>
      </c>
    </row>
    <row r="2465" spans="1:1">
      <c r="A2465" t="s">
        <v>45315</v>
      </c>
    </row>
    <row r="2466" spans="1:1">
      <c r="A2466" t="s">
        <v>45316</v>
      </c>
    </row>
    <row r="2467" spans="1:1">
      <c r="A2467" t="s">
        <v>45317</v>
      </c>
    </row>
    <row r="2468" spans="1:1">
      <c r="A2468" t="s">
        <v>45318</v>
      </c>
    </row>
    <row r="2469" spans="1:1">
      <c r="A2469" t="s">
        <v>45319</v>
      </c>
    </row>
    <row r="2470" spans="1:1">
      <c r="A2470" t="s">
        <v>45320</v>
      </c>
    </row>
    <row r="2471" spans="1:1">
      <c r="A2471" t="s">
        <v>45321</v>
      </c>
    </row>
    <row r="2472" spans="1:1">
      <c r="A2472" t="s">
        <v>45322</v>
      </c>
    </row>
    <row r="2473" spans="1:1">
      <c r="A2473" t="s">
        <v>45323</v>
      </c>
    </row>
    <row r="2474" spans="1:1">
      <c r="A2474" t="s">
        <v>45324</v>
      </c>
    </row>
    <row r="2475" spans="1:1">
      <c r="A2475" t="s">
        <v>45325</v>
      </c>
    </row>
    <row r="2476" spans="1:1">
      <c r="A2476" t="s">
        <v>45326</v>
      </c>
    </row>
    <row r="2477" spans="1:1">
      <c r="A2477" t="s">
        <v>45327</v>
      </c>
    </row>
    <row r="2478" spans="1:1">
      <c r="A2478" t="s">
        <v>45328</v>
      </c>
    </row>
    <row r="2479" spans="1:1">
      <c r="A2479" t="s">
        <v>45329</v>
      </c>
    </row>
    <row r="2480" spans="1:1">
      <c r="A2480" t="s">
        <v>45330</v>
      </c>
    </row>
    <row r="2481" spans="1:1">
      <c r="A2481" t="s">
        <v>45331</v>
      </c>
    </row>
    <row r="2482" spans="1:1">
      <c r="A2482" t="s">
        <v>45332</v>
      </c>
    </row>
    <row r="2483" spans="1:1">
      <c r="A2483" t="s">
        <v>45333</v>
      </c>
    </row>
    <row r="2484" spans="1:1">
      <c r="A2484" t="s">
        <v>45334</v>
      </c>
    </row>
    <row r="2485" spans="1:1">
      <c r="A2485" t="s">
        <v>45335</v>
      </c>
    </row>
    <row r="2486" spans="1:1">
      <c r="A2486" t="s">
        <v>45336</v>
      </c>
    </row>
    <row r="2487" spans="1:1">
      <c r="A2487" t="s">
        <v>45337</v>
      </c>
    </row>
    <row r="2488" spans="1:1">
      <c r="A2488" t="s">
        <v>45338</v>
      </c>
    </row>
    <row r="2489" spans="1:1">
      <c r="A2489" t="s">
        <v>45339</v>
      </c>
    </row>
    <row r="2490" spans="1:1">
      <c r="A2490" t="s">
        <v>45340</v>
      </c>
    </row>
    <row r="2491" spans="1:1">
      <c r="A2491" t="s">
        <v>45341</v>
      </c>
    </row>
    <row r="2492" spans="1:1">
      <c r="A2492" t="s">
        <v>45342</v>
      </c>
    </row>
    <row r="2493" spans="1:1">
      <c r="A2493" t="s">
        <v>45343</v>
      </c>
    </row>
    <row r="2494" spans="1:1">
      <c r="A2494" t="s">
        <v>45344</v>
      </c>
    </row>
    <row r="2495" spans="1:1">
      <c r="A2495" t="s">
        <v>45345</v>
      </c>
    </row>
    <row r="2496" spans="1:1">
      <c r="A2496" t="s">
        <v>45346</v>
      </c>
    </row>
    <row r="2497" spans="1:1">
      <c r="A2497" t="s">
        <v>45347</v>
      </c>
    </row>
    <row r="2498" spans="1:1">
      <c r="A2498" t="s">
        <v>45348</v>
      </c>
    </row>
    <row r="2499" spans="1:1">
      <c r="A2499" t="s">
        <v>45349</v>
      </c>
    </row>
    <row r="2500" spans="1:1">
      <c r="A2500" t="s">
        <v>45350</v>
      </c>
    </row>
    <row r="2501" spans="1:1">
      <c r="A2501" t="s">
        <v>45351</v>
      </c>
    </row>
    <row r="2502" spans="1:1">
      <c r="A2502" t="s">
        <v>45352</v>
      </c>
    </row>
    <row r="2503" spans="1:1">
      <c r="A2503" t="s">
        <v>45353</v>
      </c>
    </row>
    <row r="2504" spans="1:1">
      <c r="A2504" t="s">
        <v>45354</v>
      </c>
    </row>
    <row r="2505" spans="1:1">
      <c r="A2505" t="s">
        <v>45355</v>
      </c>
    </row>
    <row r="2506" spans="1:1">
      <c r="A2506" t="s">
        <v>45356</v>
      </c>
    </row>
    <row r="2507" spans="1:1">
      <c r="A2507" t="s">
        <v>45357</v>
      </c>
    </row>
    <row r="2508" spans="1:1">
      <c r="A2508" t="s">
        <v>45358</v>
      </c>
    </row>
    <row r="2509" spans="1:1">
      <c r="A2509" t="s">
        <v>45359</v>
      </c>
    </row>
    <row r="2510" spans="1:1">
      <c r="A2510" t="s">
        <v>45360</v>
      </c>
    </row>
    <row r="2511" spans="1:1">
      <c r="A2511" t="s">
        <v>45361</v>
      </c>
    </row>
    <row r="2512" spans="1:1">
      <c r="A2512" t="s">
        <v>45362</v>
      </c>
    </row>
    <row r="2513" spans="1:1">
      <c r="A2513" t="s">
        <v>45363</v>
      </c>
    </row>
    <row r="2514" spans="1:1">
      <c r="A2514" t="s">
        <v>45364</v>
      </c>
    </row>
    <row r="2515" spans="1:1">
      <c r="A2515" t="s">
        <v>45365</v>
      </c>
    </row>
    <row r="2516" spans="1:1">
      <c r="A2516" t="s">
        <v>45366</v>
      </c>
    </row>
    <row r="2517" spans="1:1">
      <c r="A2517" t="s">
        <v>45367</v>
      </c>
    </row>
    <row r="2518" spans="1:1">
      <c r="A2518" t="s">
        <v>45368</v>
      </c>
    </row>
    <row r="2519" spans="1:1">
      <c r="A2519" t="s">
        <v>45369</v>
      </c>
    </row>
    <row r="2520" spans="1:1">
      <c r="A2520" t="s">
        <v>45370</v>
      </c>
    </row>
    <row r="2521" spans="1:1">
      <c r="A2521" t="s">
        <v>45371</v>
      </c>
    </row>
    <row r="2522" spans="1:1">
      <c r="A2522" t="s">
        <v>45372</v>
      </c>
    </row>
    <row r="2523" spans="1:1">
      <c r="A2523" t="s">
        <v>45373</v>
      </c>
    </row>
    <row r="2524" spans="1:1">
      <c r="A2524" t="s">
        <v>45374</v>
      </c>
    </row>
    <row r="2525" spans="1:1">
      <c r="A2525" t="s">
        <v>45375</v>
      </c>
    </row>
    <row r="2526" spans="1:1">
      <c r="A2526" t="s">
        <v>45376</v>
      </c>
    </row>
    <row r="2527" spans="1:1">
      <c r="A2527" t="s">
        <v>45377</v>
      </c>
    </row>
    <row r="2528" spans="1:1">
      <c r="A2528" t="s">
        <v>45378</v>
      </c>
    </row>
    <row r="2529" spans="1:1">
      <c r="A2529" t="s">
        <v>45379</v>
      </c>
    </row>
    <row r="2530" spans="1:1">
      <c r="A2530" t="s">
        <v>45380</v>
      </c>
    </row>
    <row r="2531" spans="1:1">
      <c r="A2531" t="s">
        <v>45381</v>
      </c>
    </row>
    <row r="2532" spans="1:1">
      <c r="A2532" t="s">
        <v>45382</v>
      </c>
    </row>
    <row r="2533" spans="1:1">
      <c r="A2533" t="s">
        <v>45383</v>
      </c>
    </row>
    <row r="2534" spans="1:1">
      <c r="A2534" t="s">
        <v>45384</v>
      </c>
    </row>
    <row r="2535" spans="1:1">
      <c r="A2535" t="s">
        <v>45385</v>
      </c>
    </row>
    <row r="2536" spans="1:1">
      <c r="A2536" t="s">
        <v>45386</v>
      </c>
    </row>
    <row r="2537" spans="1:1">
      <c r="A2537" t="s">
        <v>45387</v>
      </c>
    </row>
    <row r="2538" spans="1:1">
      <c r="A2538" t="s">
        <v>45388</v>
      </c>
    </row>
    <row r="2539" spans="1:1">
      <c r="A2539" t="s">
        <v>45389</v>
      </c>
    </row>
    <row r="2540" spans="1:1">
      <c r="A2540" t="s">
        <v>45390</v>
      </c>
    </row>
    <row r="2541" spans="1:1">
      <c r="A2541" t="s">
        <v>45391</v>
      </c>
    </row>
    <row r="2542" spans="1:1">
      <c r="A2542" t="s">
        <v>45392</v>
      </c>
    </row>
    <row r="2543" spans="1:1">
      <c r="A2543" t="s">
        <v>45393</v>
      </c>
    </row>
    <row r="2544" spans="1:1">
      <c r="A2544" t="s">
        <v>45394</v>
      </c>
    </row>
    <row r="2545" spans="1:1">
      <c r="A2545" t="s">
        <v>45395</v>
      </c>
    </row>
    <row r="2546" spans="1:1">
      <c r="A2546" t="s">
        <v>45396</v>
      </c>
    </row>
    <row r="2547" spans="1:1">
      <c r="A2547" t="s">
        <v>45397</v>
      </c>
    </row>
    <row r="2548" spans="1:1">
      <c r="A2548" t="s">
        <v>45398</v>
      </c>
    </row>
    <row r="2549" spans="1:1">
      <c r="A2549" t="s">
        <v>45399</v>
      </c>
    </row>
    <row r="2550" spans="1:1">
      <c r="A2550" t="s">
        <v>45400</v>
      </c>
    </row>
    <row r="2551" spans="1:1">
      <c r="A2551" t="s">
        <v>45401</v>
      </c>
    </row>
    <row r="2552" spans="1:1">
      <c r="A2552" t="s">
        <v>45402</v>
      </c>
    </row>
    <row r="2553" spans="1:1">
      <c r="A2553" t="s">
        <v>45403</v>
      </c>
    </row>
    <row r="2554" spans="1:1">
      <c r="A2554" t="s">
        <v>45404</v>
      </c>
    </row>
    <row r="2555" spans="1:1">
      <c r="A2555" t="s">
        <v>45405</v>
      </c>
    </row>
    <row r="2556" spans="1:1">
      <c r="A2556" t="s">
        <v>45406</v>
      </c>
    </row>
    <row r="2557" spans="1:1">
      <c r="A2557" t="s">
        <v>45407</v>
      </c>
    </row>
    <row r="2558" spans="1:1">
      <c r="A2558" t="s">
        <v>45408</v>
      </c>
    </row>
    <row r="2559" spans="1:1">
      <c r="A2559" t="s">
        <v>45409</v>
      </c>
    </row>
    <row r="2560" spans="1:1">
      <c r="A2560" t="s">
        <v>45410</v>
      </c>
    </row>
    <row r="2561" spans="1:1">
      <c r="A2561" t="s">
        <v>45411</v>
      </c>
    </row>
    <row r="2562" spans="1:1">
      <c r="A2562" t="s">
        <v>45412</v>
      </c>
    </row>
    <row r="2563" spans="1:1">
      <c r="A2563" t="s">
        <v>45413</v>
      </c>
    </row>
    <row r="2564" spans="1:1">
      <c r="A2564" t="s">
        <v>45414</v>
      </c>
    </row>
    <row r="2565" spans="1:1">
      <c r="A2565" t="s">
        <v>45415</v>
      </c>
    </row>
    <row r="2566" spans="1:1">
      <c r="A2566" t="s">
        <v>45416</v>
      </c>
    </row>
    <row r="2567" spans="1:1">
      <c r="A2567" t="s">
        <v>45417</v>
      </c>
    </row>
    <row r="2568" spans="1:1">
      <c r="A2568" t="s">
        <v>45418</v>
      </c>
    </row>
    <row r="2569" spans="1:1">
      <c r="A2569" t="s">
        <v>45419</v>
      </c>
    </row>
    <row r="2570" spans="1:1">
      <c r="A2570" t="s">
        <v>45420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5A728-747B-6B47-B97F-E860FE02A723}">
  <dimension ref="A1:A15744"/>
  <sheetViews>
    <sheetView workbookViewId="0">
      <selection sqref="A1:XFD1048576"/>
    </sheetView>
  </sheetViews>
  <sheetFormatPr baseColWidth="10" defaultRowHeight="16"/>
  <sheetData>
    <row r="1" spans="1:1">
      <c r="A1" t="s">
        <v>42876</v>
      </c>
    </row>
    <row r="2" spans="1:1">
      <c r="A2" t="s">
        <v>41057</v>
      </c>
    </row>
    <row r="3" spans="1:1">
      <c r="A3" t="s">
        <v>41057</v>
      </c>
    </row>
    <row r="4" spans="1:1">
      <c r="A4" t="s">
        <v>45421</v>
      </c>
    </row>
    <row r="5" spans="1:1">
      <c r="A5" t="s">
        <v>41057</v>
      </c>
    </row>
    <row r="6" spans="1:1">
      <c r="A6" t="s">
        <v>45422</v>
      </c>
    </row>
    <row r="7" spans="1:1">
      <c r="A7" t="s">
        <v>45423</v>
      </c>
    </row>
    <row r="8" spans="1:1">
      <c r="A8" t="s">
        <v>45424</v>
      </c>
    </row>
    <row r="9" spans="1:1">
      <c r="A9" t="s">
        <v>45425</v>
      </c>
    </row>
    <row r="10" spans="1:1">
      <c r="A10" t="e" cm="1">
        <f t="array" ref="A10">------------------------------DQEEE-----------------------EK</f>
        <v>#NAME?</v>
      </c>
    </row>
    <row r="11" spans="1:1">
      <c r="A11" t="s">
        <v>45426</v>
      </c>
    </row>
    <row r="12" spans="1:1">
      <c r="A12" t="s">
        <v>45427</v>
      </c>
    </row>
    <row r="13" spans="1:1">
      <c r="A13" t="s">
        <v>45428</v>
      </c>
    </row>
    <row r="14" spans="1:1">
      <c r="A14" t="s">
        <v>45429</v>
      </c>
    </row>
    <row r="15" spans="1:1">
      <c r="A15" t="s">
        <v>45430</v>
      </c>
    </row>
    <row r="16" spans="1:1">
      <c r="A16" t="s">
        <v>45431</v>
      </c>
    </row>
    <row r="17" spans="1:1">
      <c r="A17" t="s">
        <v>45432</v>
      </c>
    </row>
    <row r="18" spans="1:1">
      <c r="A18" t="s">
        <v>45433</v>
      </c>
    </row>
    <row r="19" spans="1:1">
      <c r="A19" t="s">
        <v>45434</v>
      </c>
    </row>
    <row r="20" spans="1:1">
      <c r="A20" t="s">
        <v>45435</v>
      </c>
    </row>
    <row r="21" spans="1:1">
      <c r="A21" t="s">
        <v>41057</v>
      </c>
    </row>
    <row r="22" spans="1:1">
      <c r="A22" t="s">
        <v>41057</v>
      </c>
    </row>
    <row r="23" spans="1:1">
      <c r="A23" t="s">
        <v>41057</v>
      </c>
    </row>
    <row r="24" spans="1:1">
      <c r="A24" t="s">
        <v>45436</v>
      </c>
    </row>
    <row r="25" spans="1:1">
      <c r="A25" t="s">
        <v>45437</v>
      </c>
    </row>
    <row r="26" spans="1:1">
      <c r="A26" t="s">
        <v>45438</v>
      </c>
    </row>
    <row r="27" spans="1:1">
      <c r="A27" t="s">
        <v>45439</v>
      </c>
    </row>
    <row r="28" spans="1:1">
      <c r="A28" t="e" cm="1">
        <f t="array" ref="A28">---DDKYIYDRILRI---DK---REGKKQGV---------------------NINALK-N</f>
        <v>#NAME?</v>
      </c>
    </row>
    <row r="29" spans="1:1">
      <c r="A29" t="s">
        <v>45440</v>
      </c>
    </row>
    <row r="30" spans="1:1">
      <c r="A30" t="e" cm="1">
        <f t="array" ref="A30">-DKKISSKASRFIQIRGGTYVENGNNLKYVQSPGI----TYFEVKNLSSSALG-DNELKF</f>
        <v>#NAME?</v>
      </c>
    </row>
    <row r="31" spans="1:1">
      <c r="A31" t="s">
        <v>45441</v>
      </c>
    </row>
    <row r="32" spans="1:1">
      <c r="A32" t="s">
        <v>45442</v>
      </c>
    </row>
    <row r="33" spans="1:1">
      <c r="A33" t="s">
        <v>45443</v>
      </c>
    </row>
    <row r="34" spans="1:1">
      <c r="A34" t="s">
        <v>45444</v>
      </c>
    </row>
    <row r="35" spans="1:1">
      <c r="A35" t="s">
        <v>45445</v>
      </c>
    </row>
    <row r="36" spans="1:1">
      <c r="A36" t="e" cm="1">
        <f t="array" ref="A36">-------------------------HHTKI-------NEYFEE----------------G</f>
        <v>#NAME?</v>
      </c>
    </row>
    <row r="37" spans="1:1">
      <c r="A37" t="s">
        <v>45446</v>
      </c>
    </row>
    <row r="38" spans="1:1">
      <c r="A38" t="s">
        <v>41057</v>
      </c>
    </row>
    <row r="39" spans="1:1">
      <c r="A39" t="s">
        <v>45447</v>
      </c>
    </row>
    <row r="40" spans="1:1">
      <c r="A40" t="e" cm="1">
        <f t="array" ref="A40">--------------YCLKDCK-----------------LV--------NLLLAKL-EIIV</f>
        <v>#NAME?</v>
      </c>
    </row>
    <row r="41" spans="1:1">
      <c r="A41" t="s">
        <v>45448</v>
      </c>
    </row>
    <row r="42" spans="1:1">
      <c r="A42" t="s">
        <v>45449</v>
      </c>
    </row>
    <row r="43" spans="1:1">
      <c r="A43" t="s">
        <v>41057</v>
      </c>
    </row>
    <row r="44" spans="1:1">
      <c r="A44" t="s">
        <v>45450</v>
      </c>
    </row>
    <row r="45" spans="1:1">
      <c r="A45" t="e" cm="1">
        <f t="array" ref="A45">------------T-YE--------------------------------GATV-ITPKPNV</f>
        <v>#NAME?</v>
      </c>
    </row>
    <row r="46" spans="1:1">
      <c r="A46" t="s">
        <v>45451</v>
      </c>
    </row>
    <row r="47" spans="1:1">
      <c r="A47" t="s">
        <v>41057</v>
      </c>
    </row>
    <row r="48" spans="1:1">
      <c r="A48" t="s">
        <v>41057</v>
      </c>
    </row>
    <row r="49" spans="1:1">
      <c r="A49" t="s">
        <v>41057</v>
      </c>
    </row>
    <row r="50" spans="1:1">
      <c r="A50" t="s">
        <v>41057</v>
      </c>
    </row>
    <row r="51" spans="1:1">
      <c r="A51" t="s">
        <v>41057</v>
      </c>
    </row>
    <row r="52" spans="1:1">
      <c r="A52" t="s">
        <v>41057</v>
      </c>
    </row>
    <row r="53" spans="1:1">
      <c r="A53" t="s">
        <v>41057</v>
      </c>
    </row>
    <row r="54" spans="1:1">
      <c r="A54" t="s">
        <v>41057</v>
      </c>
    </row>
    <row r="55" spans="1:1">
      <c r="A55" t="s">
        <v>45452</v>
      </c>
    </row>
    <row r="56" spans="1:1">
      <c r="A56" t="s">
        <v>45453</v>
      </c>
    </row>
    <row r="57" spans="1:1">
      <c r="A57" t="e" cm="1">
        <f t="array" ref="A57">---------------VEIILKDKKGKILRNIDGT-PQKEYHRFAQEIITDEQINRELKDI</f>
        <v>#NAME?</v>
      </c>
    </row>
    <row r="58" spans="1:1">
      <c r="A58" t="s">
        <v>45454</v>
      </c>
    </row>
    <row r="59" spans="1:1">
      <c r="A59" t="s">
        <v>45455</v>
      </c>
    </row>
    <row r="60" spans="1:1">
      <c r="A60" t="e" cm="1">
        <f t="array" ref="A60">----------------------------KIK-LD-----------SK------IEIDNLS</f>
        <v>#NAME?</v>
      </c>
    </row>
    <row r="61" spans="1:1">
      <c r="A61" t="s">
        <v>45456</v>
      </c>
    </row>
    <row r="62" spans="1:1">
      <c r="A62" t="s">
        <v>45457</v>
      </c>
    </row>
    <row r="63" spans="1:1">
      <c r="A63" t="s">
        <v>45458</v>
      </c>
    </row>
    <row r="64" spans="1:1">
      <c r="A64" t="s">
        <v>45459</v>
      </c>
    </row>
    <row r="65" spans="1:1">
      <c r="A65" t="s">
        <v>45460</v>
      </c>
    </row>
    <row r="66" spans="1:1">
      <c r="A66" t="s">
        <v>45461</v>
      </c>
    </row>
    <row r="67" spans="1:1">
      <c r="A67" t="s">
        <v>45462</v>
      </c>
    </row>
    <row r="68" spans="1:1">
      <c r="A68" t="s">
        <v>41057</v>
      </c>
    </row>
    <row r="69" spans="1:1">
      <c r="A69" t="s">
        <v>41057</v>
      </c>
    </row>
    <row r="70" spans="1:1">
      <c r="A70" t="s">
        <v>41057</v>
      </c>
    </row>
    <row r="71" spans="1:1">
      <c r="A71" t="s">
        <v>41057</v>
      </c>
    </row>
    <row r="72" spans="1:1">
      <c r="A72" t="s">
        <v>41057</v>
      </c>
    </row>
    <row r="73" spans="1:1">
      <c r="A73" t="s">
        <v>41057</v>
      </c>
    </row>
    <row r="74" spans="1:1">
      <c r="A74" t="s">
        <v>41057</v>
      </c>
    </row>
    <row r="75" spans="1:1">
      <c r="A75" t="s">
        <v>41057</v>
      </c>
    </row>
    <row r="76" spans="1:1">
      <c r="A76" t="s">
        <v>41057</v>
      </c>
    </row>
    <row r="77" spans="1:1">
      <c r="A77" t="s">
        <v>45463</v>
      </c>
    </row>
    <row r="78" spans="1:1">
      <c r="A78" t="s">
        <v>41057</v>
      </c>
    </row>
    <row r="79" spans="1:1">
      <c r="A79" t="s">
        <v>41057</v>
      </c>
    </row>
    <row r="80" spans="1:1">
      <c r="A80" t="s">
        <v>41057</v>
      </c>
    </row>
    <row r="81" spans="1:1">
      <c r="A81" t="s">
        <v>41057</v>
      </c>
    </row>
    <row r="82" spans="1:1">
      <c r="A82" t="s">
        <v>41057</v>
      </c>
    </row>
    <row r="83" spans="1:1">
      <c r="A83" t="s">
        <v>45464</v>
      </c>
    </row>
    <row r="84" spans="1:1">
      <c r="A84" t="s">
        <v>45465</v>
      </c>
    </row>
    <row r="85" spans="1:1">
      <c r="A85" t="s">
        <v>41057</v>
      </c>
    </row>
    <row r="86" spans="1:1">
      <c r="A86" t="s">
        <v>41057</v>
      </c>
    </row>
    <row r="87" spans="1:1">
      <c r="A87" t="s">
        <v>45466</v>
      </c>
    </row>
    <row r="88" spans="1:1">
      <c r="A88" t="e" cm="1">
        <f t="array" ref="A88">-------------SEVIYGDSV------------TGDTPIITRH-QN-GD--INITTIEE</f>
        <v>#NAME?</v>
      </c>
    </row>
    <row r="89" spans="1:1">
      <c r="A89" t="s">
        <v>45467</v>
      </c>
    </row>
    <row r="90" spans="1:1">
      <c r="A90" t="s">
        <v>41057</v>
      </c>
    </row>
    <row r="91" spans="1:1">
      <c r="A91" t="e" cm="1">
        <f t="array" ref="A91">-------------------------------------------HEK--------NSNRKF</f>
        <v>#NAME?</v>
      </c>
    </row>
    <row r="92" spans="1:1">
      <c r="A92" t="s">
        <v>45468</v>
      </c>
    </row>
    <row r="93" spans="1:1">
      <c r="A93" t="s">
        <v>45469</v>
      </c>
    </row>
    <row r="94" spans="1:1">
      <c r="A94" t="s">
        <v>45470</v>
      </c>
    </row>
    <row r="95" spans="1:1">
      <c r="A95" t="e" cm="1">
        <f t="array" ref="A95">---VLNKCKKYLEETENIQFKILDT-MKSSSVYKLV-------PIRKIK---YMVNKYRK</f>
        <v>#NAME?</v>
      </c>
    </row>
    <row r="96" spans="1:1">
      <c r="A96" t="s">
        <v>45471</v>
      </c>
    </row>
    <row r="97" spans="1:1">
      <c r="A97" t="s">
        <v>45472</v>
      </c>
    </row>
    <row r="98" spans="1:1">
      <c r="A98" t="s">
        <v>45473</v>
      </c>
    </row>
    <row r="99" spans="1:1">
      <c r="A99" t="s">
        <v>45474</v>
      </c>
    </row>
    <row r="100" spans="1:1">
      <c r="A100" t="e" cm="1">
        <f t="array" ref="A100">-----------------SGSFHAGVG----E--MIV---------KNTDSI--------F</f>
        <v>#NAME?</v>
      </c>
    </row>
    <row r="101" spans="1:1">
      <c r="A101" t="s">
        <v>45475</v>
      </c>
    </row>
    <row r="102" spans="1:1">
      <c r="A102" t="s">
        <v>45476</v>
      </c>
    </row>
    <row r="103" spans="1:1">
      <c r="A103" t="e" cm="1">
        <f t="array" ref="A103">--GEEKTDKEA----------------------------LMK----TIA----------K</f>
        <v>#NAME?</v>
      </c>
    </row>
    <row r="104" spans="1:1">
      <c r="A104" t="s">
        <v>45477</v>
      </c>
    </row>
    <row r="105" spans="1:1">
      <c r="A105" t="e" cm="1">
        <f t="array" ref="A105">--------PQ------SIVYEK-TLHPFIL----------V-AKKKYV-----------G</f>
        <v>#NAME?</v>
      </c>
    </row>
    <row r="106" spans="1:1">
      <c r="A106" t="s">
        <v>45478</v>
      </c>
    </row>
    <row r="107" spans="1:1">
      <c r="A107" t="s">
        <v>45479</v>
      </c>
    </row>
    <row r="108" spans="1:1">
      <c r="A108" t="s">
        <v>45480</v>
      </c>
    </row>
    <row r="109" spans="1:1">
      <c r="A109" t="s">
        <v>45481</v>
      </c>
    </row>
    <row r="110" spans="1:1">
      <c r="A110" t="s">
        <v>45482</v>
      </c>
    </row>
    <row r="111" spans="1:1">
      <c r="A111" t="s">
        <v>45483</v>
      </c>
    </row>
    <row r="112" spans="1:1">
      <c r="A112" t="s">
        <v>45484</v>
      </c>
    </row>
    <row r="113" spans="1:1">
      <c r="A113" t="s">
        <v>45485</v>
      </c>
    </row>
    <row r="114" spans="1:1">
      <c r="A114" t="s">
        <v>45486</v>
      </c>
    </row>
    <row r="115" spans="1:1">
      <c r="A115" t="s">
        <v>45487</v>
      </c>
    </row>
    <row r="116" spans="1:1">
      <c r="A116" t="s">
        <v>45488</v>
      </c>
    </row>
    <row r="117" spans="1:1">
      <c r="A117" t="s">
        <v>41057</v>
      </c>
    </row>
    <row r="118" spans="1:1">
      <c r="A118" t="s">
        <v>45489</v>
      </c>
    </row>
    <row r="119" spans="1:1">
      <c r="A119" t="s">
        <v>41057</v>
      </c>
    </row>
    <row r="120" spans="1:1">
      <c r="A120" t="s">
        <v>41057</v>
      </c>
    </row>
    <row r="121" spans="1:1">
      <c r="A121" t="s">
        <v>45490</v>
      </c>
    </row>
    <row r="122" spans="1:1">
      <c r="A122" t="s">
        <v>45491</v>
      </c>
    </row>
    <row r="123" spans="1:1">
      <c r="A123" t="s">
        <v>45492</v>
      </c>
    </row>
    <row r="124" spans="1:1">
      <c r="A124" t="s">
        <v>45493</v>
      </c>
    </row>
    <row r="125" spans="1:1">
      <c r="A125" t="e" cm="1">
        <f t="array" ref="A125">--------GSK----------------------------------------TAKKP-YQS</f>
        <v>#NAME?</v>
      </c>
    </row>
    <row r="126" spans="1:1">
      <c r="A126" t="s">
        <v>45494</v>
      </c>
    </row>
    <row r="127" spans="1:1">
      <c r="A127" t="s">
        <v>45495</v>
      </c>
    </row>
    <row r="128" spans="1:1">
      <c r="A128" t="s">
        <v>45496</v>
      </c>
    </row>
    <row r="129" spans="1:1">
      <c r="A129" t="s">
        <v>42906</v>
      </c>
    </row>
    <row r="130" spans="1:1">
      <c r="A130" t="s">
        <v>41057</v>
      </c>
    </row>
    <row r="131" spans="1:1">
      <c r="A131" t="s">
        <v>41057</v>
      </c>
    </row>
    <row r="132" spans="1:1">
      <c r="A132" t="s">
        <v>45421</v>
      </c>
    </row>
    <row r="133" spans="1:1">
      <c r="A133" t="s">
        <v>41057</v>
      </c>
    </row>
    <row r="134" spans="1:1">
      <c r="A134" t="s">
        <v>45497</v>
      </c>
    </row>
    <row r="135" spans="1:1">
      <c r="A135" t="s">
        <v>45498</v>
      </c>
    </row>
    <row r="136" spans="1:1">
      <c r="A136" t="s">
        <v>45499</v>
      </c>
    </row>
    <row r="137" spans="1:1">
      <c r="A137" t="s">
        <v>45500</v>
      </c>
    </row>
    <row r="138" spans="1:1">
      <c r="A138" t="e" cm="1">
        <f t="array" ref="A138">------------------------------DPEDE-----------------------KK</f>
        <v>#NAME?</v>
      </c>
    </row>
    <row r="139" spans="1:1">
      <c r="A139" t="s">
        <v>45501</v>
      </c>
    </row>
    <row r="140" spans="1:1">
      <c r="A140" t="s">
        <v>45502</v>
      </c>
    </row>
    <row r="141" spans="1:1">
      <c r="A141" t="s">
        <v>45503</v>
      </c>
    </row>
    <row r="142" spans="1:1">
      <c r="A142" t="s">
        <v>45504</v>
      </c>
    </row>
    <row r="143" spans="1:1">
      <c r="A143" t="s">
        <v>45505</v>
      </c>
    </row>
    <row r="144" spans="1:1">
      <c r="A144" t="s">
        <v>45506</v>
      </c>
    </row>
    <row r="145" spans="1:1">
      <c r="A145" t="s">
        <v>45507</v>
      </c>
    </row>
    <row r="146" spans="1:1">
      <c r="A146" t="s">
        <v>45508</v>
      </c>
    </row>
    <row r="147" spans="1:1">
      <c r="A147" t="s">
        <v>45509</v>
      </c>
    </row>
    <row r="148" spans="1:1">
      <c r="A148" t="s">
        <v>45510</v>
      </c>
    </row>
    <row r="149" spans="1:1">
      <c r="A149" t="s">
        <v>41057</v>
      </c>
    </row>
    <row r="150" spans="1:1">
      <c r="A150" t="s">
        <v>41057</v>
      </c>
    </row>
    <row r="151" spans="1:1">
      <c r="A151" t="s">
        <v>41057</v>
      </c>
    </row>
    <row r="152" spans="1:1">
      <c r="A152" t="s">
        <v>45511</v>
      </c>
    </row>
    <row r="153" spans="1:1">
      <c r="A153" t="s">
        <v>45512</v>
      </c>
    </row>
    <row r="154" spans="1:1">
      <c r="A154" t="s">
        <v>45438</v>
      </c>
    </row>
    <row r="155" spans="1:1">
      <c r="A155" t="s">
        <v>45513</v>
      </c>
    </row>
    <row r="156" spans="1:1">
      <c r="A156" t="e" cm="1">
        <f t="array" ref="A156">---DDKYIFDRINRI---DR---EEADRQGI---------------------SVNELE-N</f>
        <v>#NAME?</v>
      </c>
    </row>
    <row r="157" spans="1:1">
      <c r="A157" t="s">
        <v>45514</v>
      </c>
    </row>
    <row r="158" spans="1:1">
      <c r="A158" t="e" cm="1">
        <f t="array" ref="A158">-------------------------DSNTRQHEGIRKSLTYFEIKNLSSSALG-DNELKF</f>
        <v>#NAME?</v>
      </c>
    </row>
    <row r="159" spans="1:1">
      <c r="A159" t="s">
        <v>45515</v>
      </c>
    </row>
    <row r="160" spans="1:1">
      <c r="A160" t="s">
        <v>45516</v>
      </c>
    </row>
    <row r="161" spans="1:1">
      <c r="A161" t="s">
        <v>45517</v>
      </c>
    </row>
    <row r="162" spans="1:1">
      <c r="A162" t="s">
        <v>45518</v>
      </c>
    </row>
    <row r="163" spans="1:1">
      <c r="A163" t="s">
        <v>45519</v>
      </c>
    </row>
    <row r="164" spans="1:1">
      <c r="A164" t="e" cm="1">
        <f t="array" ref="A164">-------------------------HHTLI-------NKYFNE----------------G</f>
        <v>#NAME?</v>
      </c>
    </row>
    <row r="165" spans="1:1">
      <c r="A165" t="s">
        <v>45446</v>
      </c>
    </row>
    <row r="166" spans="1:1">
      <c r="A166" t="s">
        <v>41057</v>
      </c>
    </row>
    <row r="167" spans="1:1">
      <c r="A167" t="s">
        <v>45447</v>
      </c>
    </row>
    <row r="168" spans="1:1">
      <c r="A168" t="e" cm="1">
        <f t="array" ref="A168">--------------YCIKDCK-----------------LV--------NLLLAKL-EIIV</f>
        <v>#NAME?</v>
      </c>
    </row>
    <row r="169" spans="1:1">
      <c r="A169" t="s">
        <v>45448</v>
      </c>
    </row>
    <row r="170" spans="1:1">
      <c r="A170" t="s">
        <v>45520</v>
      </c>
    </row>
    <row r="171" spans="1:1">
      <c r="A171" t="s">
        <v>41057</v>
      </c>
    </row>
    <row r="172" spans="1:1">
      <c r="A172" t="s">
        <v>45521</v>
      </c>
    </row>
    <row r="173" spans="1:1">
      <c r="A173" t="e" cm="1">
        <f t="array" ref="A173">------------T-YE--------------------------------GATV-ITPKPNV</f>
        <v>#NAME?</v>
      </c>
    </row>
    <row r="174" spans="1:1">
      <c r="A174" t="s">
        <v>45451</v>
      </c>
    </row>
    <row r="175" spans="1:1">
      <c r="A175" t="s">
        <v>41057</v>
      </c>
    </row>
    <row r="176" spans="1:1">
      <c r="A176" t="s">
        <v>41057</v>
      </c>
    </row>
    <row r="177" spans="1:1">
      <c r="A177" t="s">
        <v>41057</v>
      </c>
    </row>
    <row r="178" spans="1:1">
      <c r="A178" t="s">
        <v>41057</v>
      </c>
    </row>
    <row r="179" spans="1:1">
      <c r="A179" t="s">
        <v>41057</v>
      </c>
    </row>
    <row r="180" spans="1:1">
      <c r="A180" t="s">
        <v>41057</v>
      </c>
    </row>
    <row r="181" spans="1:1">
      <c r="A181" t="s">
        <v>41057</v>
      </c>
    </row>
    <row r="182" spans="1:1">
      <c r="A182" t="s">
        <v>41057</v>
      </c>
    </row>
    <row r="183" spans="1:1">
      <c r="A183" t="s">
        <v>45522</v>
      </c>
    </row>
    <row r="184" spans="1:1">
      <c r="A184" t="s">
        <v>45523</v>
      </c>
    </row>
    <row r="185" spans="1:1">
      <c r="A185" t="e" cm="1">
        <f t="array" ref="A185">---------------VTIILKDKKGKIIRNLDGS-PKKEHHRFAQELINDKQINTEMKDI</f>
        <v>#NAME?</v>
      </c>
    </row>
    <row r="186" spans="1:1">
      <c r="A186" t="s">
        <v>45524</v>
      </c>
    </row>
    <row r="187" spans="1:1">
      <c r="A187" t="s">
        <v>45525</v>
      </c>
    </row>
    <row r="188" spans="1:1">
      <c r="A188" t="e" cm="1">
        <f t="array" ref="A188">----------------------------EIS-IK-----------KK------LSIDNID</f>
        <v>#NAME?</v>
      </c>
    </row>
    <row r="189" spans="1:1">
      <c r="A189" t="s">
        <v>45526</v>
      </c>
    </row>
    <row r="190" spans="1:1">
      <c r="A190" t="s">
        <v>45527</v>
      </c>
    </row>
    <row r="191" spans="1:1">
      <c r="A191" t="s">
        <v>45528</v>
      </c>
    </row>
    <row r="192" spans="1:1">
      <c r="A192" t="s">
        <v>45459</v>
      </c>
    </row>
    <row r="193" spans="1:1">
      <c r="A193" t="s">
        <v>45529</v>
      </c>
    </row>
    <row r="194" spans="1:1">
      <c r="A194" t="s">
        <v>45530</v>
      </c>
    </row>
    <row r="195" spans="1:1">
      <c r="A195" t="s">
        <v>45462</v>
      </c>
    </row>
    <row r="196" spans="1:1">
      <c r="A196" t="s">
        <v>41057</v>
      </c>
    </row>
    <row r="197" spans="1:1">
      <c r="A197" t="s">
        <v>41057</v>
      </c>
    </row>
    <row r="198" spans="1:1">
      <c r="A198" t="s">
        <v>41057</v>
      </c>
    </row>
    <row r="199" spans="1:1">
      <c r="A199" t="s">
        <v>41057</v>
      </c>
    </row>
    <row r="200" spans="1:1">
      <c r="A200" t="s">
        <v>41057</v>
      </c>
    </row>
    <row r="201" spans="1:1">
      <c r="A201" t="s">
        <v>41057</v>
      </c>
    </row>
    <row r="202" spans="1:1">
      <c r="A202" t="s">
        <v>41057</v>
      </c>
    </row>
    <row r="203" spans="1:1">
      <c r="A203" t="s">
        <v>41057</v>
      </c>
    </row>
    <row r="204" spans="1:1">
      <c r="A204" t="s">
        <v>41057</v>
      </c>
    </row>
    <row r="205" spans="1:1">
      <c r="A205" t="s">
        <v>45463</v>
      </c>
    </row>
    <row r="206" spans="1:1">
      <c r="A206" t="s">
        <v>41057</v>
      </c>
    </row>
    <row r="207" spans="1:1">
      <c r="A207" t="s">
        <v>41057</v>
      </c>
    </row>
    <row r="208" spans="1:1">
      <c r="A208" t="s">
        <v>41057</v>
      </c>
    </row>
    <row r="209" spans="1:1">
      <c r="A209" t="s">
        <v>41057</v>
      </c>
    </row>
    <row r="210" spans="1:1">
      <c r="A210" t="s">
        <v>41057</v>
      </c>
    </row>
    <row r="211" spans="1:1">
      <c r="A211" t="s">
        <v>45531</v>
      </c>
    </row>
    <row r="212" spans="1:1">
      <c r="A212" t="s">
        <v>45532</v>
      </c>
    </row>
    <row r="213" spans="1:1">
      <c r="A213" t="s">
        <v>41057</v>
      </c>
    </row>
    <row r="214" spans="1:1">
      <c r="A214" t="s">
        <v>41057</v>
      </c>
    </row>
    <row r="215" spans="1:1">
      <c r="A215" t="s">
        <v>45466</v>
      </c>
    </row>
    <row r="216" spans="1:1">
      <c r="A216" t="e" cm="1">
        <f t="array" ref="A216">-------------SEVIYGDSV------------TGDTPIMIKD-KN-NN--INIVTIKE</f>
        <v>#NAME?</v>
      </c>
    </row>
    <row r="217" spans="1:1">
      <c r="A217" t="s">
        <v>45533</v>
      </c>
    </row>
    <row r="218" spans="1:1">
      <c r="A218" t="s">
        <v>41057</v>
      </c>
    </row>
    <row r="219" spans="1:1">
      <c r="A219" t="e" cm="1">
        <f t="array" ref="A219">-------------------------------------------HEI--------NSNRKY</f>
        <v>#NAME?</v>
      </c>
    </row>
    <row r="220" spans="1:1">
      <c r="A220" t="s">
        <v>45534</v>
      </c>
    </row>
    <row r="221" spans="1:1">
      <c r="A221" t="s">
        <v>45535</v>
      </c>
    </row>
    <row r="222" spans="1:1">
      <c r="A222" t="s">
        <v>45536</v>
      </c>
    </row>
    <row r="223" spans="1:1">
      <c r="A223" t="s">
        <v>45537</v>
      </c>
    </row>
    <row r="224" spans="1:1">
      <c r="A224" t="s">
        <v>45538</v>
      </c>
    </row>
    <row r="225" spans="1:1">
      <c r="A225" t="e" cm="1">
        <f t="array" ref="A225">--YITNNKINAQMVYY--LMKCLGY------NIVIDL-----------IE--------SS</f>
        <v>#NAME?</v>
      </c>
    </row>
    <row r="226" spans="1:1">
      <c r="A226" t="s">
        <v>45539</v>
      </c>
    </row>
    <row r="227" spans="1:1">
      <c r="A227" t="s">
        <v>45540</v>
      </c>
    </row>
    <row r="228" spans="1:1">
      <c r="A228" t="e" cm="1">
        <f t="array" ref="A228">-----------------SGTFHAGIG----E--LIV---------KNTDSI--------F</f>
        <v>#NAME?</v>
      </c>
    </row>
    <row r="229" spans="1:1">
      <c r="A229" t="s">
        <v>45475</v>
      </c>
    </row>
    <row r="230" spans="1:1">
      <c r="A230" t="s">
        <v>45476</v>
      </c>
    </row>
    <row r="231" spans="1:1">
      <c r="A231" t="e" cm="1">
        <f t="array" ref="A231">--GQERTDKEA----------------------------LIQ----TIA----------K</f>
        <v>#NAME?</v>
      </c>
    </row>
    <row r="232" spans="1:1">
      <c r="A232" t="s">
        <v>45477</v>
      </c>
    </row>
    <row r="233" spans="1:1">
      <c r="A233" t="e" cm="1">
        <f t="array" ref="A233">--------PQ------SIVYEK-TFHPFIL----------V-AKKKYV-----------G</f>
        <v>#NAME?</v>
      </c>
    </row>
    <row r="234" spans="1:1">
      <c r="A234" t="s">
        <v>45541</v>
      </c>
    </row>
    <row r="235" spans="1:1">
      <c r="A235" t="s">
        <v>45542</v>
      </c>
    </row>
    <row r="236" spans="1:1">
      <c r="A236" t="s">
        <v>45543</v>
      </c>
    </row>
    <row r="237" spans="1:1">
      <c r="A237" t="s">
        <v>45481</v>
      </c>
    </row>
    <row r="238" spans="1:1">
      <c r="A238" t="s">
        <v>45544</v>
      </c>
    </row>
    <row r="239" spans="1:1">
      <c r="A239" t="s">
        <v>45545</v>
      </c>
    </row>
    <row r="240" spans="1:1">
      <c r="A240" t="s">
        <v>45546</v>
      </c>
    </row>
    <row r="241" spans="1:1">
      <c r="A241" t="s">
        <v>45547</v>
      </c>
    </row>
    <row r="242" spans="1:1">
      <c r="A242" t="s">
        <v>45548</v>
      </c>
    </row>
    <row r="243" spans="1:1">
      <c r="A243" t="s">
        <v>45549</v>
      </c>
    </row>
    <row r="244" spans="1:1">
      <c r="A244" t="s">
        <v>45550</v>
      </c>
    </row>
    <row r="245" spans="1:1">
      <c r="A245" t="s">
        <v>41057</v>
      </c>
    </row>
    <row r="246" spans="1:1">
      <c r="A246" t="s">
        <v>45551</v>
      </c>
    </row>
    <row r="247" spans="1:1">
      <c r="A247" t="s">
        <v>41057</v>
      </c>
    </row>
    <row r="248" spans="1:1">
      <c r="A248" t="s">
        <v>41057</v>
      </c>
    </row>
    <row r="249" spans="1:1">
      <c r="A249" t="s">
        <v>45552</v>
      </c>
    </row>
    <row r="250" spans="1:1">
      <c r="A250" t="s">
        <v>45553</v>
      </c>
    </row>
    <row r="251" spans="1:1">
      <c r="A251" t="s">
        <v>45554</v>
      </c>
    </row>
    <row r="252" spans="1:1">
      <c r="A252" t="s">
        <v>45555</v>
      </c>
    </row>
    <row r="253" spans="1:1">
      <c r="A253" t="e" cm="1">
        <f t="array" ref="A253">--------GSK----------------------------------------TTKLV-LKS</f>
        <v>#NAME?</v>
      </c>
    </row>
    <row r="254" spans="1:1">
      <c r="A254" t="s">
        <v>45556</v>
      </c>
    </row>
    <row r="255" spans="1:1">
      <c r="A255" t="s">
        <v>45557</v>
      </c>
    </row>
    <row r="256" spans="1:1">
      <c r="A256" t="s">
        <v>45558</v>
      </c>
    </row>
    <row r="257" spans="1:1">
      <c r="A257" t="s">
        <v>43019</v>
      </c>
    </row>
    <row r="258" spans="1:1">
      <c r="A258" t="s">
        <v>41057</v>
      </c>
    </row>
    <row r="259" spans="1:1">
      <c r="A259" t="s">
        <v>41057</v>
      </c>
    </row>
    <row r="260" spans="1:1">
      <c r="A260" t="s">
        <v>45421</v>
      </c>
    </row>
    <row r="261" spans="1:1">
      <c r="A261" t="s">
        <v>41057</v>
      </c>
    </row>
    <row r="262" spans="1:1">
      <c r="A262" t="s">
        <v>45559</v>
      </c>
    </row>
    <row r="263" spans="1:1">
      <c r="A263" t="s">
        <v>45423</v>
      </c>
    </row>
    <row r="264" spans="1:1">
      <c r="A264" t="s">
        <v>45499</v>
      </c>
    </row>
    <row r="265" spans="1:1">
      <c r="A265" t="s">
        <v>45500</v>
      </c>
    </row>
    <row r="266" spans="1:1">
      <c r="A266" t="e" cm="1">
        <f t="array" ref="A266">------------------------------DSEDE-----------------------KK</f>
        <v>#NAME?</v>
      </c>
    </row>
    <row r="267" spans="1:1">
      <c r="A267" t="s">
        <v>45501</v>
      </c>
    </row>
    <row r="268" spans="1:1">
      <c r="A268" t="s">
        <v>45560</v>
      </c>
    </row>
    <row r="269" spans="1:1">
      <c r="A269" t="s">
        <v>45561</v>
      </c>
    </row>
    <row r="270" spans="1:1">
      <c r="A270" t="s">
        <v>45562</v>
      </c>
    </row>
    <row r="271" spans="1:1">
      <c r="A271" t="s">
        <v>45505</v>
      </c>
    </row>
    <row r="272" spans="1:1">
      <c r="A272" t="s">
        <v>45506</v>
      </c>
    </row>
    <row r="273" spans="1:1">
      <c r="A273" t="s">
        <v>45563</v>
      </c>
    </row>
    <row r="274" spans="1:1">
      <c r="A274" t="s">
        <v>45564</v>
      </c>
    </row>
    <row r="275" spans="1:1">
      <c r="A275" t="s">
        <v>45509</v>
      </c>
    </row>
    <row r="276" spans="1:1">
      <c r="A276" t="s">
        <v>45565</v>
      </c>
    </row>
    <row r="277" spans="1:1">
      <c r="A277" t="s">
        <v>41057</v>
      </c>
    </row>
    <row r="278" spans="1:1">
      <c r="A278" t="s">
        <v>41057</v>
      </c>
    </row>
    <row r="279" spans="1:1">
      <c r="A279" t="s">
        <v>41057</v>
      </c>
    </row>
    <row r="280" spans="1:1">
      <c r="A280" t="s">
        <v>45511</v>
      </c>
    </row>
    <row r="281" spans="1:1">
      <c r="A281" t="s">
        <v>45566</v>
      </c>
    </row>
    <row r="282" spans="1:1">
      <c r="A282" t="s">
        <v>45438</v>
      </c>
    </row>
    <row r="283" spans="1:1">
      <c r="A283" t="s">
        <v>45513</v>
      </c>
    </row>
    <row r="284" spans="1:1">
      <c r="A284" t="e" cm="1">
        <f t="array" ref="A284">---DDKYIFDRINRI---DR---EEAARQGI---------------------SVNELD-N</f>
        <v>#NAME?</v>
      </c>
    </row>
    <row r="285" spans="1:1">
      <c r="A285" t="s">
        <v>45567</v>
      </c>
    </row>
    <row r="286" spans="1:1">
      <c r="A286" t="e" cm="1">
        <f t="array" ref="A286">-------------------------DTNTRQHEGIRKSLTYFEIKNLSSSALG-DNELKF</f>
        <v>#NAME?</v>
      </c>
    </row>
    <row r="287" spans="1:1">
      <c r="A287" t="s">
        <v>45515</v>
      </c>
    </row>
    <row r="288" spans="1:1">
      <c r="A288" t="s">
        <v>45516</v>
      </c>
    </row>
    <row r="289" spans="1:1">
      <c r="A289" t="s">
        <v>45568</v>
      </c>
    </row>
    <row r="290" spans="1:1">
      <c r="A290" t="s">
        <v>45569</v>
      </c>
    </row>
    <row r="291" spans="1:1">
      <c r="A291" t="s">
        <v>45519</v>
      </c>
    </row>
    <row r="292" spans="1:1">
      <c r="A292" t="e" cm="1">
        <f t="array" ref="A292">-------------------------HHTLI-------NKYFNE----------------G</f>
        <v>#NAME?</v>
      </c>
    </row>
    <row r="293" spans="1:1">
      <c r="A293" t="s">
        <v>45446</v>
      </c>
    </row>
    <row r="294" spans="1:1">
      <c r="A294" t="s">
        <v>41057</v>
      </c>
    </row>
    <row r="295" spans="1:1">
      <c r="A295" t="s">
        <v>45447</v>
      </c>
    </row>
    <row r="296" spans="1:1">
      <c r="A296" t="e" cm="1">
        <f t="array" ref="A296">--------------YCIKDCK-----------------LV--------NLLLAKL-EIIV</f>
        <v>#NAME?</v>
      </c>
    </row>
    <row r="297" spans="1:1">
      <c r="A297" t="s">
        <v>45448</v>
      </c>
    </row>
    <row r="298" spans="1:1">
      <c r="A298" t="s">
        <v>45520</v>
      </c>
    </row>
    <row r="299" spans="1:1">
      <c r="A299" t="s">
        <v>41057</v>
      </c>
    </row>
    <row r="300" spans="1:1">
      <c r="A300" t="s">
        <v>45521</v>
      </c>
    </row>
    <row r="301" spans="1:1">
      <c r="A301" t="e" cm="1">
        <f t="array" ref="A301">------------T-YE--------------------------------GATV-ITPKPNV</f>
        <v>#NAME?</v>
      </c>
    </row>
    <row r="302" spans="1:1">
      <c r="A302" t="s">
        <v>45451</v>
      </c>
    </row>
    <row r="303" spans="1:1">
      <c r="A303" t="s">
        <v>41057</v>
      </c>
    </row>
    <row r="304" spans="1:1">
      <c r="A304" t="s">
        <v>41057</v>
      </c>
    </row>
    <row r="305" spans="1:1">
      <c r="A305" t="s">
        <v>41057</v>
      </c>
    </row>
    <row r="306" spans="1:1">
      <c r="A306" t="s">
        <v>41057</v>
      </c>
    </row>
    <row r="307" spans="1:1">
      <c r="A307" t="s">
        <v>41057</v>
      </c>
    </row>
    <row r="308" spans="1:1">
      <c r="A308" t="s">
        <v>41057</v>
      </c>
    </row>
    <row r="309" spans="1:1">
      <c r="A309" t="s">
        <v>41057</v>
      </c>
    </row>
    <row r="310" spans="1:1">
      <c r="A310" t="s">
        <v>41057</v>
      </c>
    </row>
    <row r="311" spans="1:1">
      <c r="A311" t="s">
        <v>45522</v>
      </c>
    </row>
    <row r="312" spans="1:1">
      <c r="A312" t="s">
        <v>45570</v>
      </c>
    </row>
    <row r="313" spans="1:1">
      <c r="A313" t="e" cm="1">
        <f t="array" ref="A313">---------------VTIILKDKKGKIIRNLDGS-PKKEHHRFAQELISDKQINTEMKDV</f>
        <v>#NAME?</v>
      </c>
    </row>
    <row r="314" spans="1:1">
      <c r="A314" t="s">
        <v>45571</v>
      </c>
    </row>
    <row r="315" spans="1:1">
      <c r="A315" t="s">
        <v>45525</v>
      </c>
    </row>
    <row r="316" spans="1:1">
      <c r="A316" t="e" cm="1">
        <f t="array" ref="A316">----------------------------EIN-LK-----------KK------LSIDNID</f>
        <v>#NAME?</v>
      </c>
    </row>
    <row r="317" spans="1:1">
      <c r="A317" t="s">
        <v>45572</v>
      </c>
    </row>
    <row r="318" spans="1:1">
      <c r="A318" t="s">
        <v>45573</v>
      </c>
    </row>
    <row r="319" spans="1:1">
      <c r="A319" t="s">
        <v>45528</v>
      </c>
    </row>
    <row r="320" spans="1:1">
      <c r="A320" t="s">
        <v>45459</v>
      </c>
    </row>
    <row r="321" spans="1:1">
      <c r="A321" t="s">
        <v>45529</v>
      </c>
    </row>
    <row r="322" spans="1:1">
      <c r="A322" t="s">
        <v>45530</v>
      </c>
    </row>
    <row r="323" spans="1:1">
      <c r="A323" t="s">
        <v>45462</v>
      </c>
    </row>
    <row r="324" spans="1:1">
      <c r="A324" t="s">
        <v>41057</v>
      </c>
    </row>
    <row r="325" spans="1:1">
      <c r="A325" t="s">
        <v>41057</v>
      </c>
    </row>
    <row r="326" spans="1:1">
      <c r="A326" t="s">
        <v>41057</v>
      </c>
    </row>
    <row r="327" spans="1:1">
      <c r="A327" t="s">
        <v>41057</v>
      </c>
    </row>
    <row r="328" spans="1:1">
      <c r="A328" t="s">
        <v>41057</v>
      </c>
    </row>
    <row r="329" spans="1:1">
      <c r="A329" t="s">
        <v>41057</v>
      </c>
    </row>
    <row r="330" spans="1:1">
      <c r="A330" t="s">
        <v>41057</v>
      </c>
    </row>
    <row r="331" spans="1:1">
      <c r="A331" t="s">
        <v>41057</v>
      </c>
    </row>
    <row r="332" spans="1:1">
      <c r="A332" t="s">
        <v>41057</v>
      </c>
    </row>
    <row r="333" spans="1:1">
      <c r="A333" t="s">
        <v>45463</v>
      </c>
    </row>
    <row r="334" spans="1:1">
      <c r="A334" t="s">
        <v>41057</v>
      </c>
    </row>
    <row r="335" spans="1:1">
      <c r="A335" t="s">
        <v>41057</v>
      </c>
    </row>
    <row r="336" spans="1:1">
      <c r="A336" t="s">
        <v>41057</v>
      </c>
    </row>
    <row r="337" spans="1:1">
      <c r="A337" t="s">
        <v>41057</v>
      </c>
    </row>
    <row r="338" spans="1:1">
      <c r="A338" t="s">
        <v>41057</v>
      </c>
    </row>
    <row r="339" spans="1:1">
      <c r="A339" t="s">
        <v>45531</v>
      </c>
    </row>
    <row r="340" spans="1:1">
      <c r="A340" t="s">
        <v>45532</v>
      </c>
    </row>
    <row r="341" spans="1:1">
      <c r="A341" t="s">
        <v>41057</v>
      </c>
    </row>
    <row r="342" spans="1:1">
      <c r="A342" t="s">
        <v>41057</v>
      </c>
    </row>
    <row r="343" spans="1:1">
      <c r="A343" t="s">
        <v>45466</v>
      </c>
    </row>
    <row r="344" spans="1:1">
      <c r="A344" t="s">
        <v>45574</v>
      </c>
    </row>
    <row r="345" spans="1:1">
      <c r="A345" t="s">
        <v>41057</v>
      </c>
    </row>
    <row r="346" spans="1:1">
      <c r="A346" t="s">
        <v>41057</v>
      </c>
    </row>
    <row r="347" spans="1:1">
      <c r="A347" t="s">
        <v>41057</v>
      </c>
    </row>
    <row r="348" spans="1:1">
      <c r="A348" t="s">
        <v>41057</v>
      </c>
    </row>
    <row r="349" spans="1:1">
      <c r="A349" t="s">
        <v>41057</v>
      </c>
    </row>
    <row r="350" spans="1:1">
      <c r="A350" t="s">
        <v>41057</v>
      </c>
    </row>
    <row r="351" spans="1:1">
      <c r="A351" t="s">
        <v>41057</v>
      </c>
    </row>
    <row r="352" spans="1:1">
      <c r="A352" t="s">
        <v>41057</v>
      </c>
    </row>
    <row r="353" spans="1:1">
      <c r="A353" t="s">
        <v>41057</v>
      </c>
    </row>
    <row r="354" spans="1:1">
      <c r="A354" t="s">
        <v>41057</v>
      </c>
    </row>
    <row r="355" spans="1:1">
      <c r="A355" t="s">
        <v>41057</v>
      </c>
    </row>
    <row r="356" spans="1:1">
      <c r="A356" t="e" cm="1">
        <f t="array" ref="A356">-----------------------------------------------TDSI--------F</f>
        <v>#NAME?</v>
      </c>
    </row>
    <row r="357" spans="1:1">
      <c r="A357" t="s">
        <v>45475</v>
      </c>
    </row>
    <row r="358" spans="1:1">
      <c r="A358" t="s">
        <v>45476</v>
      </c>
    </row>
    <row r="359" spans="1:1">
      <c r="A359" t="e" cm="1">
        <f t="array" ref="A359">--GQERTDKEA----------------------------LIQ----TIA----------K</f>
        <v>#NAME?</v>
      </c>
    </row>
    <row r="360" spans="1:1">
      <c r="A360" t="s">
        <v>45477</v>
      </c>
    </row>
    <row r="361" spans="1:1">
      <c r="A361" t="e" cm="1">
        <f t="array" ref="A361">--------PQ------SIVYEK-TFHPFIL----------V-AKKKYV-----------G</f>
        <v>#NAME?</v>
      </c>
    </row>
    <row r="362" spans="1:1">
      <c r="A362" t="s">
        <v>45541</v>
      </c>
    </row>
    <row r="363" spans="1:1">
      <c r="A363" t="s">
        <v>45542</v>
      </c>
    </row>
    <row r="364" spans="1:1">
      <c r="A364" t="s">
        <v>45543</v>
      </c>
    </row>
    <row r="365" spans="1:1">
      <c r="A365" t="s">
        <v>45481</v>
      </c>
    </row>
    <row r="366" spans="1:1">
      <c r="A366" t="s">
        <v>45544</v>
      </c>
    </row>
    <row r="367" spans="1:1">
      <c r="A367" t="s">
        <v>45545</v>
      </c>
    </row>
    <row r="368" spans="1:1">
      <c r="A368" t="s">
        <v>45546</v>
      </c>
    </row>
    <row r="369" spans="1:1">
      <c r="A369" t="s">
        <v>45547</v>
      </c>
    </row>
    <row r="370" spans="1:1">
      <c r="A370" t="s">
        <v>45548</v>
      </c>
    </row>
    <row r="371" spans="1:1">
      <c r="A371" t="s">
        <v>45549</v>
      </c>
    </row>
    <row r="372" spans="1:1">
      <c r="A372" t="s">
        <v>45550</v>
      </c>
    </row>
    <row r="373" spans="1:1">
      <c r="A373" t="s">
        <v>41057</v>
      </c>
    </row>
    <row r="374" spans="1:1">
      <c r="A374" t="s">
        <v>45551</v>
      </c>
    </row>
    <row r="375" spans="1:1">
      <c r="A375" t="s">
        <v>41057</v>
      </c>
    </row>
    <row r="376" spans="1:1">
      <c r="A376" t="s">
        <v>41057</v>
      </c>
    </row>
    <row r="377" spans="1:1">
      <c r="A377" t="s">
        <v>45552</v>
      </c>
    </row>
    <row r="378" spans="1:1">
      <c r="A378" t="s">
        <v>45553</v>
      </c>
    </row>
    <row r="379" spans="1:1">
      <c r="A379" t="s">
        <v>45554</v>
      </c>
    </row>
    <row r="380" spans="1:1">
      <c r="A380" t="s">
        <v>45555</v>
      </c>
    </row>
    <row r="381" spans="1:1">
      <c r="A381" t="e" cm="1">
        <f t="array" ref="A381">--------GSK----------------------------------------TTKLV-LKS</f>
        <v>#NAME?</v>
      </c>
    </row>
    <row r="382" spans="1:1">
      <c r="A382" t="s">
        <v>45556</v>
      </c>
    </row>
    <row r="383" spans="1:1">
      <c r="A383" t="s">
        <v>45557</v>
      </c>
    </row>
    <row r="384" spans="1:1">
      <c r="A384" t="s">
        <v>45575</v>
      </c>
    </row>
    <row r="385" spans="1:1">
      <c r="A385" t="s">
        <v>42935</v>
      </c>
    </row>
    <row r="386" spans="1:1">
      <c r="A386" t="s">
        <v>41057</v>
      </c>
    </row>
    <row r="387" spans="1:1">
      <c r="A387" t="s">
        <v>41057</v>
      </c>
    </row>
    <row r="388" spans="1:1">
      <c r="A388" t="s">
        <v>41057</v>
      </c>
    </row>
    <row r="389" spans="1:1">
      <c r="A389" t="s">
        <v>41057</v>
      </c>
    </row>
    <row r="390" spans="1:1">
      <c r="A390" t="s">
        <v>45576</v>
      </c>
    </row>
    <row r="391" spans="1:1">
      <c r="A391" t="s">
        <v>45577</v>
      </c>
    </row>
    <row r="392" spans="1:1">
      <c r="A392" t="s">
        <v>45499</v>
      </c>
    </row>
    <row r="393" spans="1:1">
      <c r="A393" t="s">
        <v>45578</v>
      </c>
    </row>
    <row r="394" spans="1:1">
      <c r="A394" t="e" cm="1">
        <f t="array" ref="A394">------------------------------DSDDE-----------------------DK</f>
        <v>#NAME?</v>
      </c>
    </row>
    <row r="395" spans="1:1">
      <c r="A395" t="s">
        <v>45501</v>
      </c>
    </row>
    <row r="396" spans="1:1">
      <c r="A396" t="s">
        <v>45579</v>
      </c>
    </row>
    <row r="397" spans="1:1">
      <c r="A397" t="s">
        <v>45580</v>
      </c>
    </row>
    <row r="398" spans="1:1">
      <c r="A398" t="s">
        <v>45581</v>
      </c>
    </row>
    <row r="399" spans="1:1">
      <c r="A399" t="s">
        <v>45582</v>
      </c>
    </row>
    <row r="400" spans="1:1">
      <c r="A400" t="s">
        <v>45583</v>
      </c>
    </row>
    <row r="401" spans="1:1">
      <c r="A401" t="s">
        <v>45584</v>
      </c>
    </row>
    <row r="402" spans="1:1">
      <c r="A402" t="s">
        <v>45585</v>
      </c>
    </row>
    <row r="403" spans="1:1">
      <c r="A403" t="s">
        <v>45586</v>
      </c>
    </row>
    <row r="404" spans="1:1">
      <c r="A404" t="s">
        <v>45565</v>
      </c>
    </row>
    <row r="405" spans="1:1">
      <c r="A405" t="s">
        <v>41057</v>
      </c>
    </row>
    <row r="406" spans="1:1">
      <c r="A406" t="s">
        <v>41057</v>
      </c>
    </row>
    <row r="407" spans="1:1">
      <c r="A407" t="s">
        <v>41057</v>
      </c>
    </row>
    <row r="408" spans="1:1">
      <c r="A408" t="s">
        <v>45511</v>
      </c>
    </row>
    <row r="409" spans="1:1">
      <c r="A409" t="s">
        <v>45566</v>
      </c>
    </row>
    <row r="410" spans="1:1">
      <c r="A410" t="s">
        <v>45438</v>
      </c>
    </row>
    <row r="411" spans="1:1">
      <c r="A411" t="s">
        <v>45587</v>
      </c>
    </row>
    <row r="412" spans="1:1">
      <c r="A412" t="e" cm="1">
        <f t="array" ref="A412">---DDKYIIDRINRI---DQ---DEAKRQGI---------------------TVDELE-N</f>
        <v>#NAME?</v>
      </c>
    </row>
    <row r="413" spans="1:1">
      <c r="A413" t="s">
        <v>45588</v>
      </c>
    </row>
    <row r="414" spans="1:1">
      <c r="A414" t="e" cm="1">
        <f t="array" ref="A414">-------------------------------NEGLKKSLSYFEVKNLSSSALG-DNELKF</f>
        <v>#NAME?</v>
      </c>
    </row>
    <row r="415" spans="1:1">
      <c r="A415" t="s">
        <v>45589</v>
      </c>
    </row>
    <row r="416" spans="1:1">
      <c r="A416" t="s">
        <v>45516</v>
      </c>
    </row>
    <row r="417" spans="1:1">
      <c r="A417" t="s">
        <v>45590</v>
      </c>
    </row>
    <row r="418" spans="1:1">
      <c r="A418" t="s">
        <v>45591</v>
      </c>
    </row>
    <row r="419" spans="1:1">
      <c r="A419" t="s">
        <v>45592</v>
      </c>
    </row>
    <row r="420" spans="1:1">
      <c r="A420" t="e" cm="1">
        <f t="array" ref="A420">-------------------------HHTLI-------NKYFNE----------------G</f>
        <v>#NAME?</v>
      </c>
    </row>
    <row r="421" spans="1:1">
      <c r="A421" t="s">
        <v>45446</v>
      </c>
    </row>
    <row r="422" spans="1:1">
      <c r="A422" t="s">
        <v>41057</v>
      </c>
    </row>
    <row r="423" spans="1:1">
      <c r="A423" t="s">
        <v>45447</v>
      </c>
    </row>
    <row r="424" spans="1:1">
      <c r="A424" t="e" cm="1">
        <f t="array" ref="A424">--------------YCIKDCK-----------------LV--------NLLLAKL-EIIV</f>
        <v>#NAME?</v>
      </c>
    </row>
    <row r="425" spans="1:1">
      <c r="A425" t="s">
        <v>45448</v>
      </c>
    </row>
    <row r="426" spans="1:1">
      <c r="A426" t="s">
        <v>45593</v>
      </c>
    </row>
    <row r="427" spans="1:1">
      <c r="A427" t="s">
        <v>41057</v>
      </c>
    </row>
    <row r="428" spans="1:1">
      <c r="A428" t="s">
        <v>45594</v>
      </c>
    </row>
    <row r="429" spans="1:1">
      <c r="A429" t="e" cm="1">
        <f t="array" ref="A429">------------T-YE--------------------------------GATV-ITPKPNV</f>
        <v>#NAME?</v>
      </c>
    </row>
    <row r="430" spans="1:1">
      <c r="A430" t="s">
        <v>45451</v>
      </c>
    </row>
    <row r="431" spans="1:1">
      <c r="A431" t="s">
        <v>41057</v>
      </c>
    </row>
    <row r="432" spans="1:1">
      <c r="A432" t="s">
        <v>41057</v>
      </c>
    </row>
    <row r="433" spans="1:1">
      <c r="A433" t="s">
        <v>41057</v>
      </c>
    </row>
    <row r="434" spans="1:1">
      <c r="A434" t="s">
        <v>41057</v>
      </c>
    </row>
    <row r="435" spans="1:1">
      <c r="A435" t="s">
        <v>41057</v>
      </c>
    </row>
    <row r="436" spans="1:1">
      <c r="A436" t="s">
        <v>41057</v>
      </c>
    </row>
    <row r="437" spans="1:1">
      <c r="A437" t="s">
        <v>41057</v>
      </c>
    </row>
    <row r="438" spans="1:1">
      <c r="A438" t="s">
        <v>41057</v>
      </c>
    </row>
    <row r="439" spans="1:1">
      <c r="A439" t="s">
        <v>45595</v>
      </c>
    </row>
    <row r="440" spans="1:1">
      <c r="A440" t="s">
        <v>45596</v>
      </c>
    </row>
    <row r="441" spans="1:1">
      <c r="A441" t="e" cm="1">
        <f t="array" ref="A441">---------------ITIILKDKKGKILRNLDGT-PKKEHHRFAQEIISDKQINIEMKDI</f>
        <v>#NAME?</v>
      </c>
    </row>
    <row r="442" spans="1:1">
      <c r="A442" t="s">
        <v>45597</v>
      </c>
    </row>
    <row r="443" spans="1:1">
      <c r="A443" t="s">
        <v>45598</v>
      </c>
    </row>
    <row r="444" spans="1:1">
      <c r="A444" t="e" cm="1">
        <f t="array" ref="A444">----------------------------EIL-LK-----------EK------ISIENIN</f>
        <v>#NAME?</v>
      </c>
    </row>
    <row r="445" spans="1:1">
      <c r="A445" t="s">
        <v>45599</v>
      </c>
    </row>
    <row r="446" spans="1:1">
      <c r="A446" t="s">
        <v>45600</v>
      </c>
    </row>
    <row r="447" spans="1:1">
      <c r="A447" t="s">
        <v>45601</v>
      </c>
    </row>
    <row r="448" spans="1:1">
      <c r="A448" t="s">
        <v>45459</v>
      </c>
    </row>
    <row r="449" spans="1:1">
      <c r="A449" t="s">
        <v>45602</v>
      </c>
    </row>
    <row r="450" spans="1:1">
      <c r="A450" t="s">
        <v>45603</v>
      </c>
    </row>
    <row r="451" spans="1:1">
      <c r="A451" t="s">
        <v>45462</v>
      </c>
    </row>
    <row r="452" spans="1:1">
      <c r="A452" t="s">
        <v>41057</v>
      </c>
    </row>
    <row r="453" spans="1:1">
      <c r="A453" t="s">
        <v>41057</v>
      </c>
    </row>
    <row r="454" spans="1:1">
      <c r="A454" t="s">
        <v>41057</v>
      </c>
    </row>
    <row r="455" spans="1:1">
      <c r="A455" t="s">
        <v>41057</v>
      </c>
    </row>
    <row r="456" spans="1:1">
      <c r="A456" t="s">
        <v>41057</v>
      </c>
    </row>
    <row r="457" spans="1:1">
      <c r="A457" t="s">
        <v>41057</v>
      </c>
    </row>
    <row r="458" spans="1:1">
      <c r="A458" t="s">
        <v>41057</v>
      </c>
    </row>
    <row r="459" spans="1:1">
      <c r="A459" t="s">
        <v>41057</v>
      </c>
    </row>
    <row r="460" spans="1:1">
      <c r="A460" t="s">
        <v>41057</v>
      </c>
    </row>
    <row r="461" spans="1:1">
      <c r="A461" t="s">
        <v>45463</v>
      </c>
    </row>
    <row r="462" spans="1:1">
      <c r="A462" t="s">
        <v>41057</v>
      </c>
    </row>
    <row r="463" spans="1:1">
      <c r="A463" t="s">
        <v>41057</v>
      </c>
    </row>
    <row r="464" spans="1:1">
      <c r="A464" t="s">
        <v>41057</v>
      </c>
    </row>
    <row r="465" spans="1:1">
      <c r="A465" t="s">
        <v>41057</v>
      </c>
    </row>
    <row r="466" spans="1:1">
      <c r="A466" t="s">
        <v>41057</v>
      </c>
    </row>
    <row r="467" spans="1:1">
      <c r="A467" t="s">
        <v>45604</v>
      </c>
    </row>
    <row r="468" spans="1:1">
      <c r="A468" t="s">
        <v>45605</v>
      </c>
    </row>
    <row r="469" spans="1:1">
      <c r="A469" t="s">
        <v>41057</v>
      </c>
    </row>
    <row r="470" spans="1:1">
      <c r="A470" t="s">
        <v>41057</v>
      </c>
    </row>
    <row r="471" spans="1:1">
      <c r="A471" t="s">
        <v>45466</v>
      </c>
    </row>
    <row r="472" spans="1:1">
      <c r="A472" t="e" cm="1">
        <f t="array" ref="A472">-------------SEVIYGDSV------------TGDTPIIVKL-PNSND--VEIKTIQE</f>
        <v>#NAME?</v>
      </c>
    </row>
    <row r="473" spans="1:1">
      <c r="A473" t="s">
        <v>45606</v>
      </c>
    </row>
    <row r="474" spans="1:1">
      <c r="A474" t="s">
        <v>41057</v>
      </c>
    </row>
    <row r="475" spans="1:1">
      <c r="A475" t="e" cm="1">
        <f t="array" ref="A475">-------------------------------------------GD----------SNRKD</f>
        <v>#NAME?</v>
      </c>
    </row>
    <row r="476" spans="1:1">
      <c r="A476" t="s">
        <v>45607</v>
      </c>
    </row>
    <row r="477" spans="1:1">
      <c r="A477" t="s">
        <v>45608</v>
      </c>
    </row>
    <row r="478" spans="1:1">
      <c r="A478" t="s">
        <v>45609</v>
      </c>
    </row>
    <row r="479" spans="1:1">
      <c r="A479" t="s">
        <v>45610</v>
      </c>
    </row>
    <row r="480" spans="1:1">
      <c r="A480" t="s">
        <v>45611</v>
      </c>
    </row>
    <row r="481" spans="1:1">
      <c r="A481" t="e" cm="1">
        <f t="array" ref="A481">-FYNIENKVEAQFLYY--VLKSLGH------NVNIHMPI--------TKE--------DI</f>
        <v>#NAME?</v>
      </c>
    </row>
    <row r="482" spans="1:1">
      <c r="A482" t="s">
        <v>45612</v>
      </c>
    </row>
    <row r="483" spans="1:1">
      <c r="A483" t="s">
        <v>45613</v>
      </c>
    </row>
    <row r="484" spans="1:1">
      <c r="A484" t="e" cm="1">
        <f t="array" ref="A484">-----------------SGTFHAGIG----E--MIV---------KNTDSI--------F</f>
        <v>#NAME?</v>
      </c>
    </row>
    <row r="485" spans="1:1">
      <c r="A485" t="s">
        <v>45475</v>
      </c>
    </row>
    <row r="486" spans="1:1">
      <c r="A486" t="s">
        <v>45476</v>
      </c>
    </row>
    <row r="487" spans="1:1">
      <c r="A487" t="e" cm="1">
        <f t="array" ref="A487">--GNERTDKEA----------------------------LIQ----TIA----------K</f>
        <v>#NAME?</v>
      </c>
    </row>
    <row r="488" spans="1:1">
      <c r="A488" t="s">
        <v>45477</v>
      </c>
    </row>
    <row r="489" spans="1:1">
      <c r="A489" t="e" cm="1">
        <f t="array" ref="A489">--------PQ------SIVYEK-TFHPFIL----------V-AKKKYV-----------G</f>
        <v>#NAME?</v>
      </c>
    </row>
    <row r="490" spans="1:1">
      <c r="A490" t="s">
        <v>45614</v>
      </c>
    </row>
    <row r="491" spans="1:1">
      <c r="A491" t="s">
        <v>45615</v>
      </c>
    </row>
    <row r="492" spans="1:1">
      <c r="A492" t="s">
        <v>45616</v>
      </c>
    </row>
    <row r="493" spans="1:1">
      <c r="A493" t="s">
        <v>45617</v>
      </c>
    </row>
    <row r="494" spans="1:1">
      <c r="A494" t="s">
        <v>45544</v>
      </c>
    </row>
    <row r="495" spans="1:1">
      <c r="A495" t="s">
        <v>45618</v>
      </c>
    </row>
    <row r="496" spans="1:1">
      <c r="A496" t="s">
        <v>45546</v>
      </c>
    </row>
    <row r="497" spans="1:1">
      <c r="A497" t="s">
        <v>45485</v>
      </c>
    </row>
    <row r="498" spans="1:1">
      <c r="A498" t="s">
        <v>45619</v>
      </c>
    </row>
    <row r="499" spans="1:1">
      <c r="A499" t="s">
        <v>45620</v>
      </c>
    </row>
    <row r="500" spans="1:1">
      <c r="A500" t="s">
        <v>45621</v>
      </c>
    </row>
    <row r="501" spans="1:1">
      <c r="A501" t="s">
        <v>41057</v>
      </c>
    </row>
    <row r="502" spans="1:1">
      <c r="A502" t="s">
        <v>45622</v>
      </c>
    </row>
    <row r="503" spans="1:1">
      <c r="A503" t="s">
        <v>41057</v>
      </c>
    </row>
    <row r="504" spans="1:1">
      <c r="A504" t="s">
        <v>41057</v>
      </c>
    </row>
    <row r="505" spans="1:1">
      <c r="A505" t="s">
        <v>45623</v>
      </c>
    </row>
    <row r="506" spans="1:1">
      <c r="A506" t="s">
        <v>45624</v>
      </c>
    </row>
    <row r="507" spans="1:1">
      <c r="A507" t="s">
        <v>45554</v>
      </c>
    </row>
    <row r="508" spans="1:1">
      <c r="A508" t="s">
        <v>45625</v>
      </c>
    </row>
    <row r="509" spans="1:1">
      <c r="A509" t="e" cm="1">
        <f t="array" ref="A509">--------GSK----------------------------------------TTKIP-LKS</f>
        <v>#NAME?</v>
      </c>
    </row>
    <row r="510" spans="1:1">
      <c r="A510" t="s">
        <v>45626</v>
      </c>
    </row>
    <row r="511" spans="1:1">
      <c r="A511" t="s">
        <v>45627</v>
      </c>
    </row>
    <row r="512" spans="1:1">
      <c r="A512" t="s">
        <v>45628</v>
      </c>
    </row>
    <row r="513" spans="1:1">
      <c r="A513" t="s">
        <v>43043</v>
      </c>
    </row>
    <row r="514" spans="1:1">
      <c r="A514" t="s">
        <v>41057</v>
      </c>
    </row>
    <row r="515" spans="1:1">
      <c r="A515" t="s">
        <v>41057</v>
      </c>
    </row>
    <row r="516" spans="1:1">
      <c r="A516" t="s">
        <v>41057</v>
      </c>
    </row>
    <row r="517" spans="1:1">
      <c r="A517" t="s">
        <v>41057</v>
      </c>
    </row>
    <row r="518" spans="1:1">
      <c r="A518" t="s">
        <v>45629</v>
      </c>
    </row>
    <row r="519" spans="1:1">
      <c r="A519" t="s">
        <v>45577</v>
      </c>
    </row>
    <row r="520" spans="1:1">
      <c r="A520" t="s">
        <v>45499</v>
      </c>
    </row>
    <row r="521" spans="1:1">
      <c r="A521" t="s">
        <v>45630</v>
      </c>
    </row>
    <row r="522" spans="1:1">
      <c r="A522" t="e" cm="1">
        <f t="array" ref="A522">------------------------------DSEDE-----------------------EK</f>
        <v>#NAME?</v>
      </c>
    </row>
    <row r="523" spans="1:1">
      <c r="A523" t="s">
        <v>45501</v>
      </c>
    </row>
    <row r="524" spans="1:1">
      <c r="A524" t="s">
        <v>45631</v>
      </c>
    </row>
    <row r="525" spans="1:1">
      <c r="A525" t="s">
        <v>45632</v>
      </c>
    </row>
    <row r="526" spans="1:1">
      <c r="A526" t="s">
        <v>45633</v>
      </c>
    </row>
    <row r="527" spans="1:1">
      <c r="A527" t="s">
        <v>45634</v>
      </c>
    </row>
    <row r="528" spans="1:1">
      <c r="A528" t="s">
        <v>45583</v>
      </c>
    </row>
    <row r="529" spans="1:1">
      <c r="A529" t="s">
        <v>45635</v>
      </c>
    </row>
    <row r="530" spans="1:1">
      <c r="A530" t="s">
        <v>45636</v>
      </c>
    </row>
    <row r="531" spans="1:1">
      <c r="A531" t="s">
        <v>45586</v>
      </c>
    </row>
    <row r="532" spans="1:1">
      <c r="A532" t="s">
        <v>45565</v>
      </c>
    </row>
    <row r="533" spans="1:1">
      <c r="A533" t="s">
        <v>41057</v>
      </c>
    </row>
    <row r="534" spans="1:1">
      <c r="A534" t="s">
        <v>41057</v>
      </c>
    </row>
    <row r="535" spans="1:1">
      <c r="A535" t="s">
        <v>41057</v>
      </c>
    </row>
    <row r="536" spans="1:1">
      <c r="A536" t="s">
        <v>45511</v>
      </c>
    </row>
    <row r="537" spans="1:1">
      <c r="A537" t="s">
        <v>45637</v>
      </c>
    </row>
    <row r="538" spans="1:1">
      <c r="A538" t="s">
        <v>45438</v>
      </c>
    </row>
    <row r="539" spans="1:1">
      <c r="A539" t="s">
        <v>45638</v>
      </c>
    </row>
    <row r="540" spans="1:1">
      <c r="A540" t="e" cm="1">
        <f t="array" ref="A540">---DDKYIIDRINRI---DQ---EEAKRQGI---------------------TVDELE-N</f>
        <v>#NAME?</v>
      </c>
    </row>
    <row r="541" spans="1:1">
      <c r="A541" t="s">
        <v>45639</v>
      </c>
    </row>
    <row r="542" spans="1:1">
      <c r="A542" t="e" cm="1">
        <f t="array" ref="A542">-------------------------------NEGLKKSLSYFEVKNLSSSALG-DNELKF</f>
        <v>#NAME?</v>
      </c>
    </row>
    <row r="543" spans="1:1">
      <c r="A543" t="s">
        <v>45589</v>
      </c>
    </row>
    <row r="544" spans="1:1">
      <c r="A544" t="s">
        <v>45516</v>
      </c>
    </row>
    <row r="545" spans="1:1">
      <c r="A545" t="s">
        <v>45640</v>
      </c>
    </row>
    <row r="546" spans="1:1">
      <c r="A546" t="s">
        <v>45641</v>
      </c>
    </row>
    <row r="547" spans="1:1">
      <c r="A547" t="s">
        <v>45642</v>
      </c>
    </row>
    <row r="548" spans="1:1">
      <c r="A548" t="e" cm="1">
        <f t="array" ref="A548">-------------------------HHTLI-------NKYFNE----------------G</f>
        <v>#NAME?</v>
      </c>
    </row>
    <row r="549" spans="1:1">
      <c r="A549" t="s">
        <v>45446</v>
      </c>
    </row>
    <row r="550" spans="1:1">
      <c r="A550" t="s">
        <v>41057</v>
      </c>
    </row>
    <row r="551" spans="1:1">
      <c r="A551" t="s">
        <v>45447</v>
      </c>
    </row>
    <row r="552" spans="1:1">
      <c r="A552" t="e" cm="1">
        <f t="array" ref="A552">--------------YCIKDCK-----------------LV--------NLLLAKL-EIIV</f>
        <v>#NAME?</v>
      </c>
    </row>
    <row r="553" spans="1:1">
      <c r="A553" t="s">
        <v>45448</v>
      </c>
    </row>
    <row r="554" spans="1:1">
      <c r="A554" t="s">
        <v>45520</v>
      </c>
    </row>
    <row r="555" spans="1:1">
      <c r="A555" t="s">
        <v>41057</v>
      </c>
    </row>
    <row r="556" spans="1:1">
      <c r="A556" t="s">
        <v>45594</v>
      </c>
    </row>
    <row r="557" spans="1:1">
      <c r="A557" t="e" cm="1">
        <f t="array" ref="A557">------------T-YE--------------------------------GATV-ITPKPNV</f>
        <v>#NAME?</v>
      </c>
    </row>
    <row r="558" spans="1:1">
      <c r="A558" t="s">
        <v>45451</v>
      </c>
    </row>
    <row r="559" spans="1:1">
      <c r="A559" t="s">
        <v>41057</v>
      </c>
    </row>
    <row r="560" spans="1:1">
      <c r="A560" t="s">
        <v>41057</v>
      </c>
    </row>
    <row r="561" spans="1:1">
      <c r="A561" t="s">
        <v>41057</v>
      </c>
    </row>
    <row r="562" spans="1:1">
      <c r="A562" t="s">
        <v>41057</v>
      </c>
    </row>
    <row r="563" spans="1:1">
      <c r="A563" t="s">
        <v>41057</v>
      </c>
    </row>
    <row r="564" spans="1:1">
      <c r="A564" t="s">
        <v>41057</v>
      </c>
    </row>
    <row r="565" spans="1:1">
      <c r="A565" t="s">
        <v>41057</v>
      </c>
    </row>
    <row r="566" spans="1:1">
      <c r="A566" t="s">
        <v>41057</v>
      </c>
    </row>
    <row r="567" spans="1:1">
      <c r="A567" t="s">
        <v>45595</v>
      </c>
    </row>
    <row r="568" spans="1:1">
      <c r="A568" t="s">
        <v>45596</v>
      </c>
    </row>
    <row r="569" spans="1:1">
      <c r="A569" t="e" cm="1">
        <f t="array" ref="A569">---------------ITIVLKDKKGKILRNLDGT-PKKEHHRFAQEIISDKQINIEMKDI</f>
        <v>#NAME?</v>
      </c>
    </row>
    <row r="570" spans="1:1">
      <c r="A570" t="s">
        <v>45643</v>
      </c>
    </row>
    <row r="571" spans="1:1">
      <c r="A571" t="s">
        <v>45644</v>
      </c>
    </row>
    <row r="572" spans="1:1">
      <c r="A572" t="e" cm="1">
        <f t="array" ref="A572">----------------------------EIL-LG-----------EK------ISVENIN</f>
        <v>#NAME?</v>
      </c>
    </row>
    <row r="573" spans="1:1">
      <c r="A573" t="s">
        <v>45645</v>
      </c>
    </row>
    <row r="574" spans="1:1">
      <c r="A574" t="s">
        <v>45646</v>
      </c>
    </row>
    <row r="575" spans="1:1">
      <c r="A575" t="s">
        <v>45647</v>
      </c>
    </row>
    <row r="576" spans="1:1">
      <c r="A576" t="s">
        <v>45459</v>
      </c>
    </row>
    <row r="577" spans="1:1">
      <c r="A577" t="s">
        <v>45648</v>
      </c>
    </row>
    <row r="578" spans="1:1">
      <c r="A578" t="s">
        <v>45649</v>
      </c>
    </row>
    <row r="579" spans="1:1">
      <c r="A579" t="s">
        <v>45462</v>
      </c>
    </row>
    <row r="580" spans="1:1">
      <c r="A580" t="s">
        <v>41057</v>
      </c>
    </row>
    <row r="581" spans="1:1">
      <c r="A581" t="s">
        <v>41057</v>
      </c>
    </row>
    <row r="582" spans="1:1">
      <c r="A582" t="s">
        <v>41057</v>
      </c>
    </row>
    <row r="583" spans="1:1">
      <c r="A583" t="s">
        <v>41057</v>
      </c>
    </row>
    <row r="584" spans="1:1">
      <c r="A584" t="s">
        <v>41057</v>
      </c>
    </row>
    <row r="585" spans="1:1">
      <c r="A585" t="s">
        <v>41057</v>
      </c>
    </row>
    <row r="586" spans="1:1">
      <c r="A586" t="s">
        <v>41057</v>
      </c>
    </row>
    <row r="587" spans="1:1">
      <c r="A587" t="s">
        <v>41057</v>
      </c>
    </row>
    <row r="588" spans="1:1">
      <c r="A588" t="s">
        <v>41057</v>
      </c>
    </row>
    <row r="589" spans="1:1">
      <c r="A589" t="s">
        <v>45463</v>
      </c>
    </row>
    <row r="590" spans="1:1">
      <c r="A590" t="s">
        <v>41057</v>
      </c>
    </row>
    <row r="591" spans="1:1">
      <c r="A591" t="s">
        <v>41057</v>
      </c>
    </row>
    <row r="592" spans="1:1">
      <c r="A592" t="s">
        <v>41057</v>
      </c>
    </row>
    <row r="593" spans="1:1">
      <c r="A593" t="s">
        <v>41057</v>
      </c>
    </row>
    <row r="594" spans="1:1">
      <c r="A594" t="s">
        <v>41057</v>
      </c>
    </row>
    <row r="595" spans="1:1">
      <c r="A595" t="s">
        <v>45604</v>
      </c>
    </row>
    <row r="596" spans="1:1">
      <c r="A596" t="s">
        <v>45650</v>
      </c>
    </row>
    <row r="597" spans="1:1">
      <c r="A597" t="s">
        <v>41057</v>
      </c>
    </row>
    <row r="598" spans="1:1">
      <c r="A598" t="s">
        <v>41057</v>
      </c>
    </row>
    <row r="599" spans="1:1">
      <c r="A599" t="s">
        <v>45466</v>
      </c>
    </row>
    <row r="600" spans="1:1">
      <c r="A600" t="s">
        <v>45651</v>
      </c>
    </row>
    <row r="601" spans="1:1">
      <c r="A601" t="s">
        <v>41057</v>
      </c>
    </row>
    <row r="602" spans="1:1">
      <c r="A602" t="s">
        <v>41057</v>
      </c>
    </row>
    <row r="603" spans="1:1">
      <c r="A603" t="s">
        <v>41057</v>
      </c>
    </row>
    <row r="604" spans="1:1">
      <c r="A604" t="s">
        <v>41057</v>
      </c>
    </row>
    <row r="605" spans="1:1">
      <c r="A605" t="s">
        <v>41057</v>
      </c>
    </row>
    <row r="606" spans="1:1">
      <c r="A606" t="s">
        <v>41057</v>
      </c>
    </row>
    <row r="607" spans="1:1">
      <c r="A607" t="s">
        <v>41057</v>
      </c>
    </row>
    <row r="608" spans="1:1">
      <c r="A608" t="s">
        <v>41057</v>
      </c>
    </row>
    <row r="609" spans="1:1">
      <c r="A609" t="s">
        <v>41057</v>
      </c>
    </row>
    <row r="610" spans="1:1">
      <c r="A610" t="s">
        <v>41057</v>
      </c>
    </row>
    <row r="611" spans="1:1">
      <c r="A611" t="s">
        <v>41057</v>
      </c>
    </row>
    <row r="612" spans="1:1">
      <c r="A612" t="e" cm="1">
        <f t="array" ref="A612">-----------------------------------------------TDSI--------F</f>
        <v>#NAME?</v>
      </c>
    </row>
    <row r="613" spans="1:1">
      <c r="A613" t="s">
        <v>45475</v>
      </c>
    </row>
    <row r="614" spans="1:1">
      <c r="A614" t="s">
        <v>45476</v>
      </c>
    </row>
    <row r="615" spans="1:1">
      <c r="A615" t="e" cm="1">
        <f t="array" ref="A615">--GNERTDKEA----------------------------LIQ----TIA----------K</f>
        <v>#NAME?</v>
      </c>
    </row>
    <row r="616" spans="1:1">
      <c r="A616" t="s">
        <v>45477</v>
      </c>
    </row>
    <row r="617" spans="1:1">
      <c r="A617" t="e" cm="1">
        <f t="array" ref="A617">--------PQ------SIVYEK-TFHPFIL----------V-AKKKYV-----------G</f>
        <v>#NAME?</v>
      </c>
    </row>
    <row r="618" spans="1:1">
      <c r="A618" t="s">
        <v>45614</v>
      </c>
    </row>
    <row r="619" spans="1:1">
      <c r="A619" t="s">
        <v>45615</v>
      </c>
    </row>
    <row r="620" spans="1:1">
      <c r="A620" t="s">
        <v>45652</v>
      </c>
    </row>
    <row r="621" spans="1:1">
      <c r="A621" t="s">
        <v>45617</v>
      </c>
    </row>
    <row r="622" spans="1:1">
      <c r="A622" t="s">
        <v>45544</v>
      </c>
    </row>
    <row r="623" spans="1:1">
      <c r="A623" t="s">
        <v>45618</v>
      </c>
    </row>
    <row r="624" spans="1:1">
      <c r="A624" t="s">
        <v>45546</v>
      </c>
    </row>
    <row r="625" spans="1:1">
      <c r="A625" t="s">
        <v>45547</v>
      </c>
    </row>
    <row r="626" spans="1:1">
      <c r="A626" t="s">
        <v>45653</v>
      </c>
    </row>
    <row r="627" spans="1:1">
      <c r="A627" t="s">
        <v>45654</v>
      </c>
    </row>
    <row r="628" spans="1:1">
      <c r="A628" t="s">
        <v>45621</v>
      </c>
    </row>
    <row r="629" spans="1:1">
      <c r="A629" t="s">
        <v>41057</v>
      </c>
    </row>
    <row r="630" spans="1:1">
      <c r="A630" t="s">
        <v>45622</v>
      </c>
    </row>
    <row r="631" spans="1:1">
      <c r="A631" t="s">
        <v>41057</v>
      </c>
    </row>
    <row r="632" spans="1:1">
      <c r="A632" t="s">
        <v>41057</v>
      </c>
    </row>
    <row r="633" spans="1:1">
      <c r="A633" t="s">
        <v>45623</v>
      </c>
    </row>
    <row r="634" spans="1:1">
      <c r="A634" t="s">
        <v>45624</v>
      </c>
    </row>
    <row r="635" spans="1:1">
      <c r="A635" t="s">
        <v>45554</v>
      </c>
    </row>
    <row r="636" spans="1:1">
      <c r="A636" t="s">
        <v>45625</v>
      </c>
    </row>
    <row r="637" spans="1:1">
      <c r="A637" t="e" cm="1">
        <f t="array" ref="A637">--------GSK----------------------------------------TTKIP-LKS</f>
        <v>#NAME?</v>
      </c>
    </row>
    <row r="638" spans="1:1">
      <c r="A638" t="s">
        <v>45655</v>
      </c>
    </row>
    <row r="639" spans="1:1">
      <c r="A639" t="s">
        <v>45656</v>
      </c>
    </row>
    <row r="640" spans="1:1">
      <c r="A640" t="s">
        <v>45657</v>
      </c>
    </row>
    <row r="641" spans="1:1">
      <c r="A641" t="s">
        <v>42994</v>
      </c>
    </row>
    <row r="642" spans="1:1">
      <c r="A642" t="s">
        <v>41057</v>
      </c>
    </row>
    <row r="643" spans="1:1">
      <c r="A643" t="s">
        <v>41057</v>
      </c>
    </row>
    <row r="644" spans="1:1">
      <c r="A644" t="s">
        <v>45658</v>
      </c>
    </row>
    <row r="645" spans="1:1">
      <c r="A645" t="s">
        <v>41057</v>
      </c>
    </row>
    <row r="646" spans="1:1">
      <c r="A646" t="s">
        <v>45659</v>
      </c>
    </row>
    <row r="647" spans="1:1">
      <c r="A647" t="s">
        <v>45660</v>
      </c>
    </row>
    <row r="648" spans="1:1">
      <c r="A648" t="s">
        <v>45499</v>
      </c>
    </row>
    <row r="649" spans="1:1">
      <c r="A649" t="s">
        <v>45661</v>
      </c>
    </row>
    <row r="650" spans="1:1">
      <c r="A650" t="e" cm="1">
        <f t="array" ref="A650">------------------------------DSEDE-----------------------KK</f>
        <v>#NAME?</v>
      </c>
    </row>
    <row r="651" spans="1:1">
      <c r="A651" t="s">
        <v>45501</v>
      </c>
    </row>
    <row r="652" spans="1:1">
      <c r="A652" t="s">
        <v>45579</v>
      </c>
    </row>
    <row r="653" spans="1:1">
      <c r="A653" t="s">
        <v>45662</v>
      </c>
    </row>
    <row r="654" spans="1:1">
      <c r="A654" t="s">
        <v>45663</v>
      </c>
    </row>
    <row r="655" spans="1:1">
      <c r="A655" t="s">
        <v>45664</v>
      </c>
    </row>
    <row r="656" spans="1:1">
      <c r="A656" t="s">
        <v>45583</v>
      </c>
    </row>
    <row r="657" spans="1:1">
      <c r="A657" t="s">
        <v>45665</v>
      </c>
    </row>
    <row r="658" spans="1:1">
      <c r="A658" t="s">
        <v>45666</v>
      </c>
    </row>
    <row r="659" spans="1:1">
      <c r="A659" t="s">
        <v>45586</v>
      </c>
    </row>
    <row r="660" spans="1:1">
      <c r="A660" t="s">
        <v>45565</v>
      </c>
    </row>
    <row r="661" spans="1:1">
      <c r="A661" t="s">
        <v>41057</v>
      </c>
    </row>
    <row r="662" spans="1:1">
      <c r="A662" t="s">
        <v>41057</v>
      </c>
    </row>
    <row r="663" spans="1:1">
      <c r="A663" t="s">
        <v>41057</v>
      </c>
    </row>
    <row r="664" spans="1:1">
      <c r="A664" t="s">
        <v>45667</v>
      </c>
    </row>
    <row r="665" spans="1:1">
      <c r="A665" t="s">
        <v>45566</v>
      </c>
    </row>
    <row r="666" spans="1:1">
      <c r="A666" t="s">
        <v>45438</v>
      </c>
    </row>
    <row r="667" spans="1:1">
      <c r="A667" t="s">
        <v>45668</v>
      </c>
    </row>
    <row r="668" spans="1:1">
      <c r="A668" t="e" cm="1">
        <f t="array" ref="A668">---DDKYILDRIKRI---DR---EEAKRLGI---------------------TVDELE-N</f>
        <v>#NAME?</v>
      </c>
    </row>
    <row r="669" spans="1:1">
      <c r="A669" t="s">
        <v>45669</v>
      </c>
    </row>
    <row r="670" spans="1:1">
      <c r="A670" t="s">
        <v>45670</v>
      </c>
    </row>
    <row r="671" spans="1:1">
      <c r="A671" t="s">
        <v>45589</v>
      </c>
    </row>
    <row r="672" spans="1:1">
      <c r="A672" t="s">
        <v>45516</v>
      </c>
    </row>
    <row r="673" spans="1:1">
      <c r="A673" t="s">
        <v>45671</v>
      </c>
    </row>
    <row r="674" spans="1:1">
      <c r="A674" t="s">
        <v>45672</v>
      </c>
    </row>
    <row r="675" spans="1:1">
      <c r="A675" t="s">
        <v>45673</v>
      </c>
    </row>
    <row r="676" spans="1:1">
      <c r="A676" t="e" cm="1">
        <f t="array" ref="A676">-------------------------HHTLI-------NKYFNE----------------G</f>
        <v>#NAME?</v>
      </c>
    </row>
    <row r="677" spans="1:1">
      <c r="A677" t="s">
        <v>45446</v>
      </c>
    </row>
    <row r="678" spans="1:1">
      <c r="A678" t="s">
        <v>41057</v>
      </c>
    </row>
    <row r="679" spans="1:1">
      <c r="A679" t="s">
        <v>45447</v>
      </c>
    </row>
    <row r="680" spans="1:1">
      <c r="A680" t="e" cm="1">
        <f t="array" ref="A680">--------------YCIKDCK-----------------LV--------NLLLAKL-EIIV</f>
        <v>#NAME?</v>
      </c>
    </row>
    <row r="681" spans="1:1">
      <c r="A681" t="s">
        <v>45448</v>
      </c>
    </row>
    <row r="682" spans="1:1">
      <c r="A682" t="s">
        <v>45593</v>
      </c>
    </row>
    <row r="683" spans="1:1">
      <c r="A683" t="s">
        <v>41057</v>
      </c>
    </row>
    <row r="684" spans="1:1">
      <c r="A684" t="s">
        <v>45594</v>
      </c>
    </row>
    <row r="685" spans="1:1">
      <c r="A685" t="e" cm="1">
        <f t="array" ref="A685">------------T-YE--------------------------------GATV-ITPKPNV</f>
        <v>#NAME?</v>
      </c>
    </row>
    <row r="686" spans="1:1">
      <c r="A686" t="s">
        <v>45451</v>
      </c>
    </row>
    <row r="687" spans="1:1">
      <c r="A687" t="s">
        <v>41057</v>
      </c>
    </row>
    <row r="688" spans="1:1">
      <c r="A688" t="s">
        <v>41057</v>
      </c>
    </row>
    <row r="689" spans="1:1">
      <c r="A689" t="s">
        <v>41057</v>
      </c>
    </row>
    <row r="690" spans="1:1">
      <c r="A690" t="s">
        <v>41057</v>
      </c>
    </row>
    <row r="691" spans="1:1">
      <c r="A691" t="s">
        <v>41057</v>
      </c>
    </row>
    <row r="692" spans="1:1">
      <c r="A692" t="s">
        <v>41057</v>
      </c>
    </row>
    <row r="693" spans="1:1">
      <c r="A693" t="s">
        <v>41057</v>
      </c>
    </row>
    <row r="694" spans="1:1">
      <c r="A694" t="s">
        <v>41057</v>
      </c>
    </row>
    <row r="695" spans="1:1">
      <c r="A695" t="s">
        <v>45595</v>
      </c>
    </row>
    <row r="696" spans="1:1">
      <c r="A696" t="s">
        <v>45596</v>
      </c>
    </row>
    <row r="697" spans="1:1">
      <c r="A697" t="e" cm="1">
        <f t="array" ref="A697">---------------ITIVLKDKKGKIMRNLDGT-PKKEHHRFAQEIITEKQINKEMRDI</f>
        <v>#NAME?</v>
      </c>
    </row>
    <row r="698" spans="1:1">
      <c r="A698" t="s">
        <v>45674</v>
      </c>
    </row>
    <row r="699" spans="1:1">
      <c r="A699" t="s">
        <v>45675</v>
      </c>
    </row>
    <row r="700" spans="1:1">
      <c r="A700" t="e" cm="1">
        <f t="array" ref="A700">----------------------------EVL-LK-----------EK------ISIENIN</f>
        <v>#NAME?</v>
      </c>
    </row>
    <row r="701" spans="1:1">
      <c r="A701" t="s">
        <v>45676</v>
      </c>
    </row>
    <row r="702" spans="1:1">
      <c r="A702" t="s">
        <v>45677</v>
      </c>
    </row>
    <row r="703" spans="1:1">
      <c r="A703" t="s">
        <v>45678</v>
      </c>
    </row>
    <row r="704" spans="1:1">
      <c r="A704" t="s">
        <v>45459</v>
      </c>
    </row>
    <row r="705" spans="1:1">
      <c r="A705" t="s">
        <v>45602</v>
      </c>
    </row>
    <row r="706" spans="1:1">
      <c r="A706" t="s">
        <v>45603</v>
      </c>
    </row>
    <row r="707" spans="1:1">
      <c r="A707" t="s">
        <v>45462</v>
      </c>
    </row>
    <row r="708" spans="1:1">
      <c r="A708" t="s">
        <v>41057</v>
      </c>
    </row>
    <row r="709" spans="1:1">
      <c r="A709" t="s">
        <v>41057</v>
      </c>
    </row>
    <row r="710" spans="1:1">
      <c r="A710" t="s">
        <v>41057</v>
      </c>
    </row>
    <row r="711" spans="1:1">
      <c r="A711" t="s">
        <v>41057</v>
      </c>
    </row>
    <row r="712" spans="1:1">
      <c r="A712" t="s">
        <v>41057</v>
      </c>
    </row>
    <row r="713" spans="1:1">
      <c r="A713" t="s">
        <v>41057</v>
      </c>
    </row>
    <row r="714" spans="1:1">
      <c r="A714" t="s">
        <v>41057</v>
      </c>
    </row>
    <row r="715" spans="1:1">
      <c r="A715" t="s">
        <v>41057</v>
      </c>
    </row>
    <row r="716" spans="1:1">
      <c r="A716" t="s">
        <v>41057</v>
      </c>
    </row>
    <row r="717" spans="1:1">
      <c r="A717" t="s">
        <v>45463</v>
      </c>
    </row>
    <row r="718" spans="1:1">
      <c r="A718" t="s">
        <v>41057</v>
      </c>
    </row>
    <row r="719" spans="1:1">
      <c r="A719" t="s">
        <v>41057</v>
      </c>
    </row>
    <row r="720" spans="1:1">
      <c r="A720" t="s">
        <v>41057</v>
      </c>
    </row>
    <row r="721" spans="1:1">
      <c r="A721" t="s">
        <v>41057</v>
      </c>
    </row>
    <row r="722" spans="1:1">
      <c r="A722" t="s">
        <v>41057</v>
      </c>
    </row>
    <row r="723" spans="1:1">
      <c r="A723" t="s">
        <v>45604</v>
      </c>
    </row>
    <row r="724" spans="1:1">
      <c r="A724" t="s">
        <v>45679</v>
      </c>
    </row>
    <row r="725" spans="1:1">
      <c r="A725" t="s">
        <v>41057</v>
      </c>
    </row>
    <row r="726" spans="1:1">
      <c r="A726" t="s">
        <v>41057</v>
      </c>
    </row>
    <row r="727" spans="1:1">
      <c r="A727" t="s">
        <v>45466</v>
      </c>
    </row>
    <row r="728" spans="1:1">
      <c r="A728" t="s">
        <v>45651</v>
      </c>
    </row>
    <row r="729" spans="1:1">
      <c r="A729" t="s">
        <v>41057</v>
      </c>
    </row>
    <row r="730" spans="1:1">
      <c r="A730" t="s">
        <v>41057</v>
      </c>
    </row>
    <row r="731" spans="1:1">
      <c r="A731" t="s">
        <v>41057</v>
      </c>
    </row>
    <row r="732" spans="1:1">
      <c r="A732" t="s">
        <v>41057</v>
      </c>
    </row>
    <row r="733" spans="1:1">
      <c r="A733" t="s">
        <v>41057</v>
      </c>
    </row>
    <row r="734" spans="1:1">
      <c r="A734" t="s">
        <v>41057</v>
      </c>
    </row>
    <row r="735" spans="1:1">
      <c r="A735" t="s">
        <v>41057</v>
      </c>
    </row>
    <row r="736" spans="1:1">
      <c r="A736" t="s">
        <v>41057</v>
      </c>
    </row>
    <row r="737" spans="1:1">
      <c r="A737" t="s">
        <v>41057</v>
      </c>
    </row>
    <row r="738" spans="1:1">
      <c r="A738" t="s">
        <v>41057</v>
      </c>
    </row>
    <row r="739" spans="1:1">
      <c r="A739" t="s">
        <v>41057</v>
      </c>
    </row>
    <row r="740" spans="1:1">
      <c r="A740" t="e" cm="1">
        <f t="array" ref="A740">-----------------------------------------------TDSI--------F</f>
        <v>#NAME?</v>
      </c>
    </row>
    <row r="741" spans="1:1">
      <c r="A741" t="s">
        <v>45475</v>
      </c>
    </row>
    <row r="742" spans="1:1">
      <c r="A742" t="s">
        <v>45476</v>
      </c>
    </row>
    <row r="743" spans="1:1">
      <c r="A743" t="e" cm="1">
        <f t="array" ref="A743">--DNERTDKEA----------------------------LIQ----TIA----------K</f>
        <v>#NAME?</v>
      </c>
    </row>
    <row r="744" spans="1:1">
      <c r="A744" t="s">
        <v>45477</v>
      </c>
    </row>
    <row r="745" spans="1:1">
      <c r="A745" t="e" cm="1">
        <f t="array" ref="A745">--------PQ------SIVYEK-TFHPFIL----------V-AKKKYV-----------G</f>
        <v>#NAME?</v>
      </c>
    </row>
    <row r="746" spans="1:1">
      <c r="A746" t="s">
        <v>45614</v>
      </c>
    </row>
    <row r="747" spans="1:1">
      <c r="A747" t="s">
        <v>45615</v>
      </c>
    </row>
    <row r="748" spans="1:1">
      <c r="A748" t="s">
        <v>45652</v>
      </c>
    </row>
    <row r="749" spans="1:1">
      <c r="A749" t="s">
        <v>45617</v>
      </c>
    </row>
    <row r="750" spans="1:1">
      <c r="A750" t="s">
        <v>45544</v>
      </c>
    </row>
    <row r="751" spans="1:1">
      <c r="A751" t="s">
        <v>45618</v>
      </c>
    </row>
    <row r="752" spans="1:1">
      <c r="A752" t="s">
        <v>45546</v>
      </c>
    </row>
    <row r="753" spans="1:1">
      <c r="A753" t="s">
        <v>45485</v>
      </c>
    </row>
    <row r="754" spans="1:1">
      <c r="A754" t="s">
        <v>45680</v>
      </c>
    </row>
    <row r="755" spans="1:1">
      <c r="A755" t="s">
        <v>45681</v>
      </c>
    </row>
    <row r="756" spans="1:1">
      <c r="A756" t="s">
        <v>45621</v>
      </c>
    </row>
    <row r="757" spans="1:1">
      <c r="A757" t="s">
        <v>41057</v>
      </c>
    </row>
    <row r="758" spans="1:1">
      <c r="A758" t="s">
        <v>45682</v>
      </c>
    </row>
    <row r="759" spans="1:1">
      <c r="A759" t="s">
        <v>41057</v>
      </c>
    </row>
    <row r="760" spans="1:1">
      <c r="A760" t="s">
        <v>41057</v>
      </c>
    </row>
    <row r="761" spans="1:1">
      <c r="A761" t="s">
        <v>45623</v>
      </c>
    </row>
    <row r="762" spans="1:1">
      <c r="A762" t="s">
        <v>45683</v>
      </c>
    </row>
    <row r="763" spans="1:1">
      <c r="A763" t="s">
        <v>45684</v>
      </c>
    </row>
    <row r="764" spans="1:1">
      <c r="A764" t="s">
        <v>45685</v>
      </c>
    </row>
    <row r="765" spans="1:1">
      <c r="A765" t="e" cm="1">
        <f t="array" ref="A765">--------GSK----------------------------------------TTKIQ-PKS</f>
        <v>#NAME?</v>
      </c>
    </row>
    <row r="766" spans="1:1">
      <c r="A766" t="s">
        <v>45686</v>
      </c>
    </row>
    <row r="767" spans="1:1">
      <c r="A767" t="s">
        <v>45687</v>
      </c>
    </row>
    <row r="768" spans="1:1">
      <c r="A768" t="s">
        <v>45688</v>
      </c>
    </row>
    <row r="769" spans="1:1">
      <c r="A769" t="s">
        <v>43065</v>
      </c>
    </row>
    <row r="770" spans="1:1">
      <c r="A770" t="s">
        <v>41057</v>
      </c>
    </row>
    <row r="771" spans="1:1">
      <c r="A771" t="s">
        <v>41057</v>
      </c>
    </row>
    <row r="772" spans="1:1">
      <c r="A772" t="s">
        <v>45689</v>
      </c>
    </row>
    <row r="773" spans="1:1">
      <c r="A773" t="s">
        <v>45690</v>
      </c>
    </row>
    <row r="774" spans="1:1">
      <c r="A774" t="e" cm="1">
        <f t="array" ref="A774">-----------KTNSPTKKETTNTLKKGSKTHSSTKKEVEADIKLALK------KSKTKS</f>
        <v>#NAME?</v>
      </c>
    </row>
    <row r="775" spans="1:1">
      <c r="A775" t="s">
        <v>45691</v>
      </c>
    </row>
    <row r="776" spans="1:1">
      <c r="A776" t="s">
        <v>45692</v>
      </c>
    </row>
    <row r="777" spans="1:1">
      <c r="A777" t="s">
        <v>45693</v>
      </c>
    </row>
    <row r="778" spans="1:1">
      <c r="A778" t="e" cm="1">
        <f t="array" ref="A778">------------------------------DGNDE-----------------------EK</f>
        <v>#NAME?</v>
      </c>
    </row>
    <row r="779" spans="1:1">
      <c r="A779" t="s">
        <v>45694</v>
      </c>
    </row>
    <row r="780" spans="1:1">
      <c r="A780" t="s">
        <v>45695</v>
      </c>
    </row>
    <row r="781" spans="1:1">
      <c r="A781" t="s">
        <v>45696</v>
      </c>
    </row>
    <row r="782" spans="1:1">
      <c r="A782" t="s">
        <v>45697</v>
      </c>
    </row>
    <row r="783" spans="1:1">
      <c r="A783" t="s">
        <v>45698</v>
      </c>
    </row>
    <row r="784" spans="1:1">
      <c r="A784" t="s">
        <v>45699</v>
      </c>
    </row>
    <row r="785" spans="1:1">
      <c r="A785" t="s">
        <v>45700</v>
      </c>
    </row>
    <row r="786" spans="1:1">
      <c r="A786" t="s">
        <v>45701</v>
      </c>
    </row>
    <row r="787" spans="1:1">
      <c r="A787" t="s">
        <v>45702</v>
      </c>
    </row>
    <row r="788" spans="1:1">
      <c r="A788" t="s">
        <v>45703</v>
      </c>
    </row>
    <row r="789" spans="1:1">
      <c r="A789" t="s">
        <v>41057</v>
      </c>
    </row>
    <row r="790" spans="1:1">
      <c r="A790" t="s">
        <v>41057</v>
      </c>
    </row>
    <row r="791" spans="1:1">
      <c r="A791" t="s">
        <v>41057</v>
      </c>
    </row>
    <row r="792" spans="1:1">
      <c r="A792" t="s">
        <v>45704</v>
      </c>
    </row>
    <row r="793" spans="1:1">
      <c r="A793" t="s">
        <v>45705</v>
      </c>
    </row>
    <row r="794" spans="1:1">
      <c r="A794" t="s">
        <v>45438</v>
      </c>
    </row>
    <row r="795" spans="1:1">
      <c r="A795" t="s">
        <v>45706</v>
      </c>
    </row>
    <row r="796" spans="1:1">
      <c r="A796" t="e" cm="1">
        <f t="array" ref="A796">---DDKYIFDRIARI---DQ---EEADKQGI---------------------SVEELE-N</f>
        <v>#NAME?</v>
      </c>
    </row>
    <row r="797" spans="1:1">
      <c r="A797" t="s">
        <v>45707</v>
      </c>
    </row>
    <row r="798" spans="1:1">
      <c r="A798" t="e" cm="1">
        <f t="array" ref="A798">-------------------------------AEGLKKSLTYFEIKNLSSSALG-DNELKF</f>
        <v>#NAME?</v>
      </c>
    </row>
    <row r="799" spans="1:1">
      <c r="A799" t="s">
        <v>45708</v>
      </c>
    </row>
    <row r="800" spans="1:1">
      <c r="A800" t="s">
        <v>45709</v>
      </c>
    </row>
    <row r="801" spans="1:1">
      <c r="A801" t="s">
        <v>45710</v>
      </c>
    </row>
    <row r="802" spans="1:1">
      <c r="A802" t="s">
        <v>45711</v>
      </c>
    </row>
    <row r="803" spans="1:1">
      <c r="A803" t="s">
        <v>45712</v>
      </c>
    </row>
    <row r="804" spans="1:1">
      <c r="A804" t="e" cm="1">
        <f t="array" ref="A804">-------------------------HHTLI-------NKYFKE----------------G</f>
        <v>#NAME?</v>
      </c>
    </row>
    <row r="805" spans="1:1">
      <c r="A805" t="s">
        <v>45713</v>
      </c>
    </row>
    <row r="806" spans="1:1">
      <c r="A806" t="s">
        <v>41057</v>
      </c>
    </row>
    <row r="807" spans="1:1">
      <c r="A807" t="s">
        <v>45447</v>
      </c>
    </row>
    <row r="808" spans="1:1">
      <c r="A808" t="e" cm="1">
        <f t="array" ref="A808">--------------YCLKDCK-----------------LV--------NLLLAKL-EIIV</f>
        <v>#NAME?</v>
      </c>
    </row>
    <row r="809" spans="1:1">
      <c r="A809" t="s">
        <v>45448</v>
      </c>
    </row>
    <row r="810" spans="1:1">
      <c r="A810" t="s">
        <v>45714</v>
      </c>
    </row>
    <row r="811" spans="1:1">
      <c r="A811" t="s">
        <v>41057</v>
      </c>
    </row>
    <row r="812" spans="1:1">
      <c r="A812" t="s">
        <v>45715</v>
      </c>
    </row>
    <row r="813" spans="1:1">
      <c r="A813" t="e" cm="1">
        <f t="array" ref="A813">------------T-YE--------------------------------GATV-ITPKPDV</f>
        <v>#NAME?</v>
      </c>
    </row>
    <row r="814" spans="1:1">
      <c r="A814" t="s">
        <v>45451</v>
      </c>
    </row>
    <row r="815" spans="1:1">
      <c r="A815" t="s">
        <v>41057</v>
      </c>
    </row>
    <row r="816" spans="1:1">
      <c r="A816" t="s">
        <v>41057</v>
      </c>
    </row>
    <row r="817" spans="1:1">
      <c r="A817" t="s">
        <v>41057</v>
      </c>
    </row>
    <row r="818" spans="1:1">
      <c r="A818" t="s">
        <v>41057</v>
      </c>
    </row>
    <row r="819" spans="1:1">
      <c r="A819" t="s">
        <v>41057</v>
      </c>
    </row>
    <row r="820" spans="1:1">
      <c r="A820" t="s">
        <v>41057</v>
      </c>
    </row>
    <row r="821" spans="1:1">
      <c r="A821" t="s">
        <v>41057</v>
      </c>
    </row>
    <row r="822" spans="1:1">
      <c r="A822" t="s">
        <v>41057</v>
      </c>
    </row>
    <row r="823" spans="1:1">
      <c r="A823" t="s">
        <v>45716</v>
      </c>
    </row>
    <row r="824" spans="1:1">
      <c r="A824" t="s">
        <v>45717</v>
      </c>
    </row>
    <row r="825" spans="1:1">
      <c r="A825" t="e" cm="1">
        <f t="array" ref="A825">---------------VYIVLKDKKGKILRNIDGT-PQKEHHRFAQELITEEQINEELKDI</f>
        <v>#NAME?</v>
      </c>
    </row>
    <row r="826" spans="1:1">
      <c r="A826" t="s">
        <v>45718</v>
      </c>
    </row>
    <row r="827" spans="1:1">
      <c r="A827" t="s">
        <v>45719</v>
      </c>
    </row>
    <row r="828" spans="1:1">
      <c r="A828" t="e" cm="1">
        <f t="array" ref="A828">---------------------------------K-----------EKEEFNKKCETIKDN</f>
        <v>#NAME?</v>
      </c>
    </row>
    <row r="829" spans="1:1">
      <c r="A829" t="s">
        <v>45720</v>
      </c>
    </row>
    <row r="830" spans="1:1">
      <c r="A830" t="s">
        <v>45721</v>
      </c>
    </row>
    <row r="831" spans="1:1">
      <c r="A831" t="s">
        <v>45722</v>
      </c>
    </row>
    <row r="832" spans="1:1">
      <c r="A832" t="s">
        <v>45723</v>
      </c>
    </row>
    <row r="833" spans="1:1">
      <c r="A833" t="s">
        <v>45724</v>
      </c>
    </row>
    <row r="834" spans="1:1">
      <c r="A834" t="s">
        <v>45725</v>
      </c>
    </row>
    <row r="835" spans="1:1">
      <c r="A835" t="s">
        <v>45462</v>
      </c>
    </row>
    <row r="836" spans="1:1">
      <c r="A836" t="s">
        <v>41057</v>
      </c>
    </row>
    <row r="837" spans="1:1">
      <c r="A837" t="s">
        <v>41057</v>
      </c>
    </row>
    <row r="838" spans="1:1">
      <c r="A838" t="s">
        <v>41057</v>
      </c>
    </row>
    <row r="839" spans="1:1">
      <c r="A839" t="s">
        <v>41057</v>
      </c>
    </row>
    <row r="840" spans="1:1">
      <c r="A840" t="s">
        <v>41057</v>
      </c>
    </row>
    <row r="841" spans="1:1">
      <c r="A841" t="s">
        <v>41057</v>
      </c>
    </row>
    <row r="842" spans="1:1">
      <c r="A842" t="s">
        <v>41057</v>
      </c>
    </row>
    <row r="843" spans="1:1">
      <c r="A843" t="s">
        <v>41057</v>
      </c>
    </row>
    <row r="844" spans="1:1">
      <c r="A844" t="s">
        <v>41057</v>
      </c>
    </row>
    <row r="845" spans="1:1">
      <c r="A845" t="s">
        <v>45463</v>
      </c>
    </row>
    <row r="846" spans="1:1">
      <c r="A846" t="s">
        <v>41057</v>
      </c>
    </row>
    <row r="847" spans="1:1">
      <c r="A847" t="s">
        <v>41057</v>
      </c>
    </row>
    <row r="848" spans="1:1">
      <c r="A848" t="s">
        <v>41057</v>
      </c>
    </row>
    <row r="849" spans="1:1">
      <c r="A849" t="s">
        <v>41057</v>
      </c>
    </row>
    <row r="850" spans="1:1">
      <c r="A850" t="s">
        <v>41057</v>
      </c>
    </row>
    <row r="851" spans="1:1">
      <c r="A851" t="s">
        <v>45604</v>
      </c>
    </row>
    <row r="852" spans="1:1">
      <c r="A852" t="s">
        <v>45726</v>
      </c>
    </row>
    <row r="853" spans="1:1">
      <c r="A853" t="s">
        <v>41057</v>
      </c>
    </row>
    <row r="854" spans="1:1">
      <c r="A854" t="s">
        <v>41057</v>
      </c>
    </row>
    <row r="855" spans="1:1">
      <c r="A855" t="s">
        <v>45727</v>
      </c>
    </row>
    <row r="856" spans="1:1">
      <c r="A856" t="s">
        <v>45574</v>
      </c>
    </row>
    <row r="857" spans="1:1">
      <c r="A857" t="s">
        <v>41057</v>
      </c>
    </row>
    <row r="858" spans="1:1">
      <c r="A858" t="s">
        <v>41057</v>
      </c>
    </row>
    <row r="859" spans="1:1">
      <c r="A859" t="s">
        <v>41057</v>
      </c>
    </row>
    <row r="860" spans="1:1">
      <c r="A860" t="s">
        <v>41057</v>
      </c>
    </row>
    <row r="861" spans="1:1">
      <c r="A861" t="s">
        <v>41057</v>
      </c>
    </row>
    <row r="862" spans="1:1">
      <c r="A862" t="s">
        <v>41057</v>
      </c>
    </row>
    <row r="863" spans="1:1">
      <c r="A863" t="s">
        <v>41057</v>
      </c>
    </row>
    <row r="864" spans="1:1">
      <c r="A864" t="s">
        <v>41057</v>
      </c>
    </row>
    <row r="865" spans="1:1">
      <c r="A865" t="s">
        <v>41057</v>
      </c>
    </row>
    <row r="866" spans="1:1">
      <c r="A866" t="s">
        <v>41057</v>
      </c>
    </row>
    <row r="867" spans="1:1">
      <c r="A867" t="s">
        <v>41057</v>
      </c>
    </row>
    <row r="868" spans="1:1">
      <c r="A868" t="e" cm="1">
        <f t="array" ref="A868">-----------------------------------------------TDSI--------F</f>
        <v>#NAME?</v>
      </c>
    </row>
    <row r="869" spans="1:1">
      <c r="A869" t="s">
        <v>45475</v>
      </c>
    </row>
    <row r="870" spans="1:1">
      <c r="A870" t="s">
        <v>45728</v>
      </c>
    </row>
    <row r="871" spans="1:1">
      <c r="A871" t="e" cm="1">
        <f t="array" ref="A871">--GNERTDKEA----------------------------LKE----TIE----------L</f>
        <v>#NAME?</v>
      </c>
    </row>
    <row r="872" spans="1:1">
      <c r="A872" t="s">
        <v>45729</v>
      </c>
    </row>
    <row r="873" spans="1:1">
      <c r="A873" t="e" cm="1">
        <f t="array" ref="A873">--------PQ------SIVYEK-TLHPFIL----------V-AKKKYV-----------G</f>
        <v>#NAME?</v>
      </c>
    </row>
    <row r="874" spans="1:1">
      <c r="A874" t="s">
        <v>45730</v>
      </c>
    </row>
    <row r="875" spans="1:1">
      <c r="A875" t="s">
        <v>45731</v>
      </c>
    </row>
    <row r="876" spans="1:1">
      <c r="A876" t="s">
        <v>45732</v>
      </c>
    </row>
    <row r="877" spans="1:1">
      <c r="A877" t="s">
        <v>45733</v>
      </c>
    </row>
    <row r="878" spans="1:1">
      <c r="A878" t="s">
        <v>45544</v>
      </c>
    </row>
    <row r="879" spans="1:1">
      <c r="A879" t="s">
        <v>45618</v>
      </c>
    </row>
    <row r="880" spans="1:1">
      <c r="A880" t="s">
        <v>45734</v>
      </c>
    </row>
    <row r="881" spans="1:1">
      <c r="A881" t="s">
        <v>45485</v>
      </c>
    </row>
    <row r="882" spans="1:1">
      <c r="A882" t="s">
        <v>45735</v>
      </c>
    </row>
    <row r="883" spans="1:1">
      <c r="A883" t="s">
        <v>45736</v>
      </c>
    </row>
    <row r="884" spans="1:1">
      <c r="A884" t="s">
        <v>45621</v>
      </c>
    </row>
    <row r="885" spans="1:1">
      <c r="A885" t="s">
        <v>41057</v>
      </c>
    </row>
    <row r="886" spans="1:1">
      <c r="A886" t="s">
        <v>45737</v>
      </c>
    </row>
    <row r="887" spans="1:1">
      <c r="A887" t="s">
        <v>41057</v>
      </c>
    </row>
    <row r="888" spans="1:1">
      <c r="A888" t="s">
        <v>41057</v>
      </c>
    </row>
    <row r="889" spans="1:1">
      <c r="A889" t="s">
        <v>45738</v>
      </c>
    </row>
    <row r="890" spans="1:1">
      <c r="A890" t="s">
        <v>45739</v>
      </c>
    </row>
    <row r="891" spans="1:1">
      <c r="A891" t="s">
        <v>45740</v>
      </c>
    </row>
    <row r="892" spans="1:1">
      <c r="A892" t="s">
        <v>45741</v>
      </c>
    </row>
    <row r="893" spans="1:1">
      <c r="A893" t="e" cm="1">
        <f t="array" ref="A893">--------GSK----------------------------------------TAKVP-TKS</f>
        <v>#NAME?</v>
      </c>
    </row>
    <row r="894" spans="1:1">
      <c r="A894" t="s">
        <v>45742</v>
      </c>
    </row>
    <row r="895" spans="1:1">
      <c r="A895" t="s">
        <v>45743</v>
      </c>
    </row>
    <row r="896" spans="1:1">
      <c r="A896" t="s">
        <v>45744</v>
      </c>
    </row>
    <row r="897" spans="1:1">
      <c r="A897" t="s">
        <v>43091</v>
      </c>
    </row>
    <row r="898" spans="1:1">
      <c r="A898" t="s">
        <v>41057</v>
      </c>
    </row>
    <row r="899" spans="1:1">
      <c r="A899" t="s">
        <v>41057</v>
      </c>
    </row>
    <row r="900" spans="1:1">
      <c r="A900" t="s">
        <v>45745</v>
      </c>
    </row>
    <row r="901" spans="1:1">
      <c r="A901" t="s">
        <v>45746</v>
      </c>
    </row>
    <row r="902" spans="1:1">
      <c r="A902" t="e" cm="1">
        <f t="array" ref="A902">-----------KTNSPRKKETDSPIKEGSKTNSPTKKEVESDIKLALK--------KTNS</f>
        <v>#NAME?</v>
      </c>
    </row>
    <row r="903" spans="1:1">
      <c r="A903" t="s">
        <v>45747</v>
      </c>
    </row>
    <row r="904" spans="1:1">
      <c r="A904" t="s">
        <v>45692</v>
      </c>
    </row>
    <row r="905" spans="1:1">
      <c r="A905" t="s">
        <v>45693</v>
      </c>
    </row>
    <row r="906" spans="1:1">
      <c r="A906" t="e" cm="1">
        <f t="array" ref="A906">------------------------------DGNDE-----------------------EK</f>
        <v>#NAME?</v>
      </c>
    </row>
    <row r="907" spans="1:1">
      <c r="A907" t="s">
        <v>45694</v>
      </c>
    </row>
    <row r="908" spans="1:1">
      <c r="A908" t="s">
        <v>45695</v>
      </c>
    </row>
    <row r="909" spans="1:1">
      <c r="A909" t="s">
        <v>45748</v>
      </c>
    </row>
    <row r="910" spans="1:1">
      <c r="A910" t="s">
        <v>45749</v>
      </c>
    </row>
    <row r="911" spans="1:1">
      <c r="A911" t="s">
        <v>45750</v>
      </c>
    </row>
    <row r="912" spans="1:1">
      <c r="A912" t="s">
        <v>45699</v>
      </c>
    </row>
    <row r="913" spans="1:1">
      <c r="A913" t="s">
        <v>45700</v>
      </c>
    </row>
    <row r="914" spans="1:1">
      <c r="A914" t="s">
        <v>45751</v>
      </c>
    </row>
    <row r="915" spans="1:1">
      <c r="A915" t="s">
        <v>45702</v>
      </c>
    </row>
    <row r="916" spans="1:1">
      <c r="A916" t="s">
        <v>45752</v>
      </c>
    </row>
    <row r="917" spans="1:1">
      <c r="A917" t="s">
        <v>41057</v>
      </c>
    </row>
    <row r="918" spans="1:1">
      <c r="A918" t="s">
        <v>41057</v>
      </c>
    </row>
    <row r="919" spans="1:1">
      <c r="A919" t="s">
        <v>41057</v>
      </c>
    </row>
    <row r="920" spans="1:1">
      <c r="A920" t="s">
        <v>45511</v>
      </c>
    </row>
    <row r="921" spans="1:1">
      <c r="A921" t="s">
        <v>45705</v>
      </c>
    </row>
    <row r="922" spans="1:1">
      <c r="A922" t="s">
        <v>45438</v>
      </c>
    </row>
    <row r="923" spans="1:1">
      <c r="A923" t="s">
        <v>45706</v>
      </c>
    </row>
    <row r="924" spans="1:1">
      <c r="A924" t="e" cm="1">
        <f t="array" ref="A924">---DDKYIFDRIARI---DQ---EEADKQGV---------------------SVEELE-N</f>
        <v>#NAME?</v>
      </c>
    </row>
    <row r="925" spans="1:1">
      <c r="A925" t="s">
        <v>45753</v>
      </c>
    </row>
    <row r="926" spans="1:1">
      <c r="A926" t="e" cm="1">
        <f t="array" ref="A926">-------------------------------MEGLKKSLTYFEVKNLSSSALG-DNELKF</f>
        <v>#NAME?</v>
      </c>
    </row>
    <row r="927" spans="1:1">
      <c r="A927" t="s">
        <v>45754</v>
      </c>
    </row>
    <row r="928" spans="1:1">
      <c r="A928" t="s">
        <v>45709</v>
      </c>
    </row>
    <row r="929" spans="1:1">
      <c r="A929" t="s">
        <v>45755</v>
      </c>
    </row>
    <row r="930" spans="1:1">
      <c r="A930" t="s">
        <v>45756</v>
      </c>
    </row>
    <row r="931" spans="1:1">
      <c r="A931" t="s">
        <v>45712</v>
      </c>
    </row>
    <row r="932" spans="1:1">
      <c r="A932" t="e" cm="1">
        <f t="array" ref="A932">-------------------------HHTLI-------NKYFKE----------------G</f>
        <v>#NAME?</v>
      </c>
    </row>
    <row r="933" spans="1:1">
      <c r="A933" t="s">
        <v>45713</v>
      </c>
    </row>
    <row r="934" spans="1:1">
      <c r="A934" t="s">
        <v>41057</v>
      </c>
    </row>
    <row r="935" spans="1:1">
      <c r="A935" t="s">
        <v>45447</v>
      </c>
    </row>
    <row r="936" spans="1:1">
      <c r="A936" t="e" cm="1">
        <f t="array" ref="A936">--------------YCLKDCK-----------------LV--------NLLLAKL-EIIV</f>
        <v>#NAME?</v>
      </c>
    </row>
    <row r="937" spans="1:1">
      <c r="A937" t="s">
        <v>45448</v>
      </c>
    </row>
    <row r="938" spans="1:1">
      <c r="A938" t="s">
        <v>45714</v>
      </c>
    </row>
    <row r="939" spans="1:1">
      <c r="A939" t="s">
        <v>41057</v>
      </c>
    </row>
    <row r="940" spans="1:1">
      <c r="A940" t="s">
        <v>45715</v>
      </c>
    </row>
    <row r="941" spans="1:1">
      <c r="A941" t="e" cm="1">
        <f t="array" ref="A941">------------T-YE--------------------------------GATV-ITPKPDV</f>
        <v>#NAME?</v>
      </c>
    </row>
    <row r="942" spans="1:1">
      <c r="A942" t="s">
        <v>45451</v>
      </c>
    </row>
    <row r="943" spans="1:1">
      <c r="A943" t="s">
        <v>41057</v>
      </c>
    </row>
    <row r="944" spans="1:1">
      <c r="A944" t="s">
        <v>41057</v>
      </c>
    </row>
    <row r="945" spans="1:1">
      <c r="A945" t="s">
        <v>41057</v>
      </c>
    </row>
    <row r="946" spans="1:1">
      <c r="A946" t="s">
        <v>41057</v>
      </c>
    </row>
    <row r="947" spans="1:1">
      <c r="A947" t="s">
        <v>41057</v>
      </c>
    </row>
    <row r="948" spans="1:1">
      <c r="A948" t="s">
        <v>41057</v>
      </c>
    </row>
    <row r="949" spans="1:1">
      <c r="A949" t="s">
        <v>41057</v>
      </c>
    </row>
    <row r="950" spans="1:1">
      <c r="A950" t="s">
        <v>41057</v>
      </c>
    </row>
    <row r="951" spans="1:1">
      <c r="A951" t="s">
        <v>45716</v>
      </c>
    </row>
    <row r="952" spans="1:1">
      <c r="A952" t="s">
        <v>45757</v>
      </c>
    </row>
    <row r="953" spans="1:1">
      <c r="A953" t="e" cm="1">
        <f t="array" ref="A953">---------------VYIVLKDKKGKILRNIDGT-PQKEHHRFAQELITEEQMNEELKDI</f>
        <v>#NAME?</v>
      </c>
    </row>
    <row r="954" spans="1:1">
      <c r="A954" t="s">
        <v>45758</v>
      </c>
    </row>
    <row r="955" spans="1:1">
      <c r="A955" t="s">
        <v>45759</v>
      </c>
    </row>
    <row r="956" spans="1:1">
      <c r="A956" t="s">
        <v>45760</v>
      </c>
    </row>
    <row r="957" spans="1:1">
      <c r="A957" t="s">
        <v>45761</v>
      </c>
    </row>
    <row r="958" spans="1:1">
      <c r="A958" t="s">
        <v>45762</v>
      </c>
    </row>
    <row r="959" spans="1:1">
      <c r="A959" t="s">
        <v>45763</v>
      </c>
    </row>
    <row r="960" spans="1:1">
      <c r="A960" t="s">
        <v>45459</v>
      </c>
    </row>
    <row r="961" spans="1:1">
      <c r="A961" t="s">
        <v>45724</v>
      </c>
    </row>
    <row r="962" spans="1:1">
      <c r="A962" t="s">
        <v>45764</v>
      </c>
    </row>
    <row r="963" spans="1:1">
      <c r="A963" t="s">
        <v>45462</v>
      </c>
    </row>
    <row r="964" spans="1:1">
      <c r="A964" t="s">
        <v>41057</v>
      </c>
    </row>
    <row r="965" spans="1:1">
      <c r="A965" t="s">
        <v>41057</v>
      </c>
    </row>
    <row r="966" spans="1:1">
      <c r="A966" t="s">
        <v>41057</v>
      </c>
    </row>
    <row r="967" spans="1:1">
      <c r="A967" t="s">
        <v>41057</v>
      </c>
    </row>
    <row r="968" spans="1:1">
      <c r="A968" t="s">
        <v>41057</v>
      </c>
    </row>
    <row r="969" spans="1:1">
      <c r="A969" t="s">
        <v>41057</v>
      </c>
    </row>
    <row r="970" spans="1:1">
      <c r="A970" t="s">
        <v>41057</v>
      </c>
    </row>
    <row r="971" spans="1:1">
      <c r="A971" t="s">
        <v>41057</v>
      </c>
    </row>
    <row r="972" spans="1:1">
      <c r="A972" t="s">
        <v>41057</v>
      </c>
    </row>
    <row r="973" spans="1:1">
      <c r="A973" t="s">
        <v>45463</v>
      </c>
    </row>
    <row r="974" spans="1:1">
      <c r="A974" t="s">
        <v>41057</v>
      </c>
    </row>
    <row r="975" spans="1:1">
      <c r="A975" t="s">
        <v>41057</v>
      </c>
    </row>
    <row r="976" spans="1:1">
      <c r="A976" t="s">
        <v>41057</v>
      </c>
    </row>
    <row r="977" spans="1:1">
      <c r="A977" t="s">
        <v>41057</v>
      </c>
    </row>
    <row r="978" spans="1:1">
      <c r="A978" t="s">
        <v>41057</v>
      </c>
    </row>
    <row r="979" spans="1:1">
      <c r="A979" t="s">
        <v>45604</v>
      </c>
    </row>
    <row r="980" spans="1:1">
      <c r="A980" t="s">
        <v>45726</v>
      </c>
    </row>
    <row r="981" spans="1:1">
      <c r="A981" t="s">
        <v>41057</v>
      </c>
    </row>
    <row r="982" spans="1:1">
      <c r="A982" t="s">
        <v>41057</v>
      </c>
    </row>
    <row r="983" spans="1:1">
      <c r="A983" t="s">
        <v>45727</v>
      </c>
    </row>
    <row r="984" spans="1:1">
      <c r="A984" t="s">
        <v>45574</v>
      </c>
    </row>
    <row r="985" spans="1:1">
      <c r="A985" t="s">
        <v>41057</v>
      </c>
    </row>
    <row r="986" spans="1:1">
      <c r="A986" t="s">
        <v>41057</v>
      </c>
    </row>
    <row r="987" spans="1:1">
      <c r="A987" t="s">
        <v>41057</v>
      </c>
    </row>
    <row r="988" spans="1:1">
      <c r="A988" t="s">
        <v>41057</v>
      </c>
    </row>
    <row r="989" spans="1:1">
      <c r="A989" t="s">
        <v>41057</v>
      </c>
    </row>
    <row r="990" spans="1:1">
      <c r="A990" t="s">
        <v>41057</v>
      </c>
    </row>
    <row r="991" spans="1:1">
      <c r="A991" t="s">
        <v>41057</v>
      </c>
    </row>
    <row r="992" spans="1:1">
      <c r="A992" t="s">
        <v>41057</v>
      </c>
    </row>
    <row r="993" spans="1:1">
      <c r="A993" t="s">
        <v>41057</v>
      </c>
    </row>
    <row r="994" spans="1:1">
      <c r="A994" t="s">
        <v>41057</v>
      </c>
    </row>
    <row r="995" spans="1:1">
      <c r="A995" t="s">
        <v>41057</v>
      </c>
    </row>
    <row r="996" spans="1:1">
      <c r="A996" t="e" cm="1">
        <f t="array" ref="A996">-----------------------------------------------TDSI--------F</f>
        <v>#NAME?</v>
      </c>
    </row>
    <row r="997" spans="1:1">
      <c r="A997" t="s">
        <v>45475</v>
      </c>
    </row>
    <row r="998" spans="1:1">
      <c r="A998" t="s">
        <v>45765</v>
      </c>
    </row>
    <row r="999" spans="1:1">
      <c r="A999" t="e" cm="1">
        <f t="array" ref="A999">--GNDRTDKKA----------------------------LIK----TIE----------L</f>
        <v>#NAME?</v>
      </c>
    </row>
    <row r="1000" spans="1:1">
      <c r="A1000" t="s">
        <v>45766</v>
      </c>
    </row>
    <row r="1001" spans="1:1">
      <c r="A1001" t="e" cm="1">
        <f t="array" ref="A1001">--------PQ------GIVYEK-TLHPFIL----------V-AKKKYV-----------G</f>
        <v>#NAME?</v>
      </c>
    </row>
    <row r="1002" spans="1:1">
      <c r="A1002" t="s">
        <v>45730</v>
      </c>
    </row>
    <row r="1003" spans="1:1">
      <c r="A1003" t="s">
        <v>45731</v>
      </c>
    </row>
    <row r="1004" spans="1:1">
      <c r="A1004" t="s">
        <v>45767</v>
      </c>
    </row>
    <row r="1005" spans="1:1">
      <c r="A1005" t="s">
        <v>45733</v>
      </c>
    </row>
    <row r="1006" spans="1:1">
      <c r="A1006" t="s">
        <v>45544</v>
      </c>
    </row>
    <row r="1007" spans="1:1">
      <c r="A1007" t="s">
        <v>45768</v>
      </c>
    </row>
    <row r="1008" spans="1:1">
      <c r="A1008" t="s">
        <v>45734</v>
      </c>
    </row>
    <row r="1009" spans="1:1">
      <c r="A1009" t="s">
        <v>45485</v>
      </c>
    </row>
    <row r="1010" spans="1:1">
      <c r="A1010" t="s">
        <v>45769</v>
      </c>
    </row>
    <row r="1011" spans="1:1">
      <c r="A1011" t="s">
        <v>45736</v>
      </c>
    </row>
    <row r="1012" spans="1:1">
      <c r="A1012" t="s">
        <v>45621</v>
      </c>
    </row>
    <row r="1013" spans="1:1">
      <c r="A1013" t="s">
        <v>41057</v>
      </c>
    </row>
    <row r="1014" spans="1:1">
      <c r="A1014" t="s">
        <v>45737</v>
      </c>
    </row>
    <row r="1015" spans="1:1">
      <c r="A1015" t="s">
        <v>41057</v>
      </c>
    </row>
    <row r="1016" spans="1:1">
      <c r="A1016" t="s">
        <v>41057</v>
      </c>
    </row>
    <row r="1017" spans="1:1">
      <c r="A1017" t="s">
        <v>45770</v>
      </c>
    </row>
    <row r="1018" spans="1:1">
      <c r="A1018" t="s">
        <v>45739</v>
      </c>
    </row>
    <row r="1019" spans="1:1">
      <c r="A1019" t="s">
        <v>45771</v>
      </c>
    </row>
    <row r="1020" spans="1:1">
      <c r="A1020" t="s">
        <v>45772</v>
      </c>
    </row>
    <row r="1021" spans="1:1">
      <c r="A1021" t="e" cm="1">
        <f t="array" ref="A1021">--------GSK----------------------------------------TAKVPSTKS</f>
        <v>#NAME?</v>
      </c>
    </row>
    <row r="1022" spans="1:1">
      <c r="A1022" t="s">
        <v>45773</v>
      </c>
    </row>
    <row r="1023" spans="1:1">
      <c r="A1023" t="s">
        <v>45774</v>
      </c>
    </row>
    <row r="1024" spans="1:1">
      <c r="A1024" t="s">
        <v>45775</v>
      </c>
    </row>
    <row r="1025" spans="1:1">
      <c r="A1025" t="s">
        <v>42963</v>
      </c>
    </row>
    <row r="1026" spans="1:1">
      <c r="A1026" t="s">
        <v>41057</v>
      </c>
    </row>
    <row r="1027" spans="1:1">
      <c r="A1027" t="s">
        <v>41057</v>
      </c>
    </row>
    <row r="1028" spans="1:1">
      <c r="A1028" t="s">
        <v>45776</v>
      </c>
    </row>
    <row r="1029" spans="1:1">
      <c r="A1029" t="s">
        <v>45777</v>
      </c>
    </row>
    <row r="1030" spans="1:1">
      <c r="A1030" t="s">
        <v>45778</v>
      </c>
    </row>
    <row r="1031" spans="1:1">
      <c r="A1031" t="s">
        <v>45779</v>
      </c>
    </row>
    <row r="1032" spans="1:1">
      <c r="A1032" t="s">
        <v>45780</v>
      </c>
    </row>
    <row r="1033" spans="1:1">
      <c r="A1033" t="s">
        <v>45693</v>
      </c>
    </row>
    <row r="1034" spans="1:1">
      <c r="A1034" t="e" cm="1">
        <f t="array" ref="A1034">------------------------------DSYDE-----------------------ER</f>
        <v>#NAME?</v>
      </c>
    </row>
    <row r="1035" spans="1:1">
      <c r="A1035" t="s">
        <v>45694</v>
      </c>
    </row>
    <row r="1036" spans="1:1">
      <c r="A1036" t="s">
        <v>45781</v>
      </c>
    </row>
    <row r="1037" spans="1:1">
      <c r="A1037" t="s">
        <v>45782</v>
      </c>
    </row>
    <row r="1038" spans="1:1">
      <c r="A1038" t="s">
        <v>45783</v>
      </c>
    </row>
    <row r="1039" spans="1:1">
      <c r="A1039" t="s">
        <v>45784</v>
      </c>
    </row>
    <row r="1040" spans="1:1">
      <c r="A1040" t="s">
        <v>45785</v>
      </c>
    </row>
    <row r="1041" spans="1:1">
      <c r="A1041" t="s">
        <v>45786</v>
      </c>
    </row>
    <row r="1042" spans="1:1">
      <c r="A1042" t="s">
        <v>45787</v>
      </c>
    </row>
    <row r="1043" spans="1:1">
      <c r="A1043" t="s">
        <v>45788</v>
      </c>
    </row>
    <row r="1044" spans="1:1">
      <c r="A1044" t="s">
        <v>45789</v>
      </c>
    </row>
    <row r="1045" spans="1:1">
      <c r="A1045" t="s">
        <v>41057</v>
      </c>
    </row>
    <row r="1046" spans="1:1">
      <c r="A1046" t="s">
        <v>41057</v>
      </c>
    </row>
    <row r="1047" spans="1:1">
      <c r="A1047" t="s">
        <v>41057</v>
      </c>
    </row>
    <row r="1048" spans="1:1">
      <c r="A1048" t="s">
        <v>45511</v>
      </c>
    </row>
    <row r="1049" spans="1:1">
      <c r="A1049" t="s">
        <v>45790</v>
      </c>
    </row>
    <row r="1050" spans="1:1">
      <c r="A1050" t="s">
        <v>45438</v>
      </c>
    </row>
    <row r="1051" spans="1:1">
      <c r="A1051" t="s">
        <v>45791</v>
      </c>
    </row>
    <row r="1052" spans="1:1">
      <c r="A1052" t="e" cm="1">
        <f t="array" ref="A1052">---DDKYIFDRIMRI---DQ---VRADKENI---------------------NFEVLE-N</f>
        <v>#NAME?</v>
      </c>
    </row>
    <row r="1053" spans="1:1">
      <c r="A1053" t="s">
        <v>45792</v>
      </c>
    </row>
    <row r="1054" spans="1:1">
      <c r="A1054" t="e" cm="1">
        <f t="array" ref="A1054">-NKYIYQTGSSYFG----------------------PSLTSFEIKNLSSAAMG-DNELKF</f>
        <v>#NAME?</v>
      </c>
    </row>
    <row r="1055" spans="1:1">
      <c r="A1055" t="s">
        <v>45793</v>
      </c>
    </row>
    <row r="1056" spans="1:1">
      <c r="A1056" t="s">
        <v>45794</v>
      </c>
    </row>
    <row r="1057" spans="1:1">
      <c r="A1057" t="s">
        <v>45795</v>
      </c>
    </row>
    <row r="1058" spans="1:1">
      <c r="A1058" t="s">
        <v>45796</v>
      </c>
    </row>
    <row r="1059" spans="1:1">
      <c r="A1059" t="s">
        <v>45797</v>
      </c>
    </row>
    <row r="1060" spans="1:1">
      <c r="A1060" t="e" cm="1">
        <f t="array" ref="A1060">-------------------------HYMLI-------NKYFKE----------------G</f>
        <v>#NAME?</v>
      </c>
    </row>
    <row r="1061" spans="1:1">
      <c r="A1061" t="s">
        <v>45798</v>
      </c>
    </row>
    <row r="1062" spans="1:1">
      <c r="A1062" t="s">
        <v>41057</v>
      </c>
    </row>
    <row r="1063" spans="1:1">
      <c r="A1063" t="s">
        <v>45447</v>
      </c>
    </row>
    <row r="1064" spans="1:1">
      <c r="A1064" t="e" cm="1">
        <f t="array" ref="A1064">--------------YCIKDCK-----------------LV--------NLLLAKL-EIIV</f>
        <v>#NAME?</v>
      </c>
    </row>
    <row r="1065" spans="1:1">
      <c r="A1065" t="s">
        <v>45799</v>
      </c>
    </row>
    <row r="1066" spans="1:1">
      <c r="A1066" t="s">
        <v>45800</v>
      </c>
    </row>
    <row r="1067" spans="1:1">
      <c r="A1067" t="s">
        <v>41057</v>
      </c>
    </row>
    <row r="1068" spans="1:1">
      <c r="A1068" t="s">
        <v>45801</v>
      </c>
    </row>
    <row r="1069" spans="1:1">
      <c r="A1069" t="e" cm="1">
        <f t="array" ref="A1069">------------T-YE--------------------------------GATV-ITPKPGV</f>
        <v>#NAME?</v>
      </c>
    </row>
    <row r="1070" spans="1:1">
      <c r="A1070" t="s">
        <v>45451</v>
      </c>
    </row>
    <row r="1071" spans="1:1">
      <c r="A1071" t="s">
        <v>41057</v>
      </c>
    </row>
    <row r="1072" spans="1:1">
      <c r="A1072" t="s">
        <v>41057</v>
      </c>
    </row>
    <row r="1073" spans="1:1">
      <c r="A1073" t="s">
        <v>41057</v>
      </c>
    </row>
    <row r="1074" spans="1:1">
      <c r="A1074" t="s">
        <v>41057</v>
      </c>
    </row>
    <row r="1075" spans="1:1">
      <c r="A1075" t="s">
        <v>41057</v>
      </c>
    </row>
    <row r="1076" spans="1:1">
      <c r="A1076" t="s">
        <v>41057</v>
      </c>
    </row>
    <row r="1077" spans="1:1">
      <c r="A1077" t="s">
        <v>41057</v>
      </c>
    </row>
    <row r="1078" spans="1:1">
      <c r="A1078" t="s">
        <v>41057</v>
      </c>
    </row>
    <row r="1079" spans="1:1">
      <c r="A1079" t="s">
        <v>45802</v>
      </c>
    </row>
    <row r="1080" spans="1:1">
      <c r="A1080" t="s">
        <v>45803</v>
      </c>
    </row>
    <row r="1081" spans="1:1">
      <c r="A1081" t="e" cm="1">
        <f t="array" ref="A1081">---------------VNIVSKDKKGRIIKNADAT-PQKQHNRFAQEIITDEQINTEMKDI</f>
        <v>#NAME?</v>
      </c>
    </row>
    <row r="1082" spans="1:1">
      <c r="A1082" t="s">
        <v>45804</v>
      </c>
    </row>
    <row r="1083" spans="1:1">
      <c r="A1083" t="s">
        <v>45805</v>
      </c>
    </row>
    <row r="1084" spans="1:1">
      <c r="A1084" t="e" cm="1">
        <f t="array" ref="A1084">----------KE------------VERLEKI-VK-----------NETDLD--LDLDLVN</f>
        <v>#NAME?</v>
      </c>
    </row>
    <row r="1085" spans="1:1">
      <c r="A1085" t="s">
        <v>45806</v>
      </c>
    </row>
    <row r="1086" spans="1:1">
      <c r="A1086" t="s">
        <v>45807</v>
      </c>
    </row>
    <row r="1087" spans="1:1">
      <c r="A1087" t="s">
        <v>45808</v>
      </c>
    </row>
    <row r="1088" spans="1:1">
      <c r="A1088" t="s">
        <v>45809</v>
      </c>
    </row>
    <row r="1089" spans="1:1">
      <c r="A1089" t="s">
        <v>45810</v>
      </c>
    </row>
    <row r="1090" spans="1:1">
      <c r="A1090" t="s">
        <v>45811</v>
      </c>
    </row>
    <row r="1091" spans="1:1">
      <c r="A1091" t="s">
        <v>45812</v>
      </c>
    </row>
    <row r="1092" spans="1:1">
      <c r="A1092" t="s">
        <v>41057</v>
      </c>
    </row>
    <row r="1093" spans="1:1">
      <c r="A1093" t="s">
        <v>41057</v>
      </c>
    </row>
    <row r="1094" spans="1:1">
      <c r="A1094" t="s">
        <v>41057</v>
      </c>
    </row>
    <row r="1095" spans="1:1">
      <c r="A1095" t="s">
        <v>41057</v>
      </c>
    </row>
    <row r="1096" spans="1:1">
      <c r="A1096" t="s">
        <v>41057</v>
      </c>
    </row>
    <row r="1097" spans="1:1">
      <c r="A1097" t="s">
        <v>41057</v>
      </c>
    </row>
    <row r="1098" spans="1:1">
      <c r="A1098" t="s">
        <v>41057</v>
      </c>
    </row>
    <row r="1099" spans="1:1">
      <c r="A1099" t="s">
        <v>41057</v>
      </c>
    </row>
    <row r="1100" spans="1:1">
      <c r="A1100" t="s">
        <v>41057</v>
      </c>
    </row>
    <row r="1101" spans="1:1">
      <c r="A1101" t="s">
        <v>45463</v>
      </c>
    </row>
    <row r="1102" spans="1:1">
      <c r="A1102" t="s">
        <v>41057</v>
      </c>
    </row>
    <row r="1103" spans="1:1">
      <c r="A1103" t="s">
        <v>41057</v>
      </c>
    </row>
    <row r="1104" spans="1:1">
      <c r="A1104" t="s">
        <v>41057</v>
      </c>
    </row>
    <row r="1105" spans="1:1">
      <c r="A1105" t="s">
        <v>41057</v>
      </c>
    </row>
    <row r="1106" spans="1:1">
      <c r="A1106" t="s">
        <v>41057</v>
      </c>
    </row>
    <row r="1107" spans="1:1">
      <c r="A1107" t="s">
        <v>45813</v>
      </c>
    </row>
    <row r="1108" spans="1:1">
      <c r="A1108" t="s">
        <v>45814</v>
      </c>
    </row>
    <row r="1109" spans="1:1">
      <c r="A1109" t="s">
        <v>41057</v>
      </c>
    </row>
    <row r="1110" spans="1:1">
      <c r="A1110" t="s">
        <v>41057</v>
      </c>
    </row>
    <row r="1111" spans="1:1">
      <c r="A1111" t="s">
        <v>45815</v>
      </c>
    </row>
    <row r="1112" spans="1:1">
      <c r="A1112" t="e" cm="1">
        <f t="array" ref="A1112">-------------AEVIYGDSV------------TGDTPIIYRD-EY-KN--INITEIKE</f>
        <v>#NAME?</v>
      </c>
    </row>
    <row r="1113" spans="1:1">
      <c r="A1113" t="s">
        <v>45816</v>
      </c>
    </row>
    <row r="1114" spans="1:1">
      <c r="A1114" t="s">
        <v>41057</v>
      </c>
    </row>
    <row r="1115" spans="1:1">
      <c r="A1115" t="e" cm="1">
        <f t="array" ref="A1115">-------------------------------------------GE----------SNITK</f>
        <v>#NAME?</v>
      </c>
    </row>
    <row r="1116" spans="1:1">
      <c r="A1116" t="s">
        <v>45817</v>
      </c>
    </row>
    <row r="1117" spans="1:1">
      <c r="A1117" t="s">
        <v>45818</v>
      </c>
    </row>
    <row r="1118" spans="1:1">
      <c r="A1118" t="s">
        <v>45819</v>
      </c>
    </row>
    <row r="1119" spans="1:1">
      <c r="A1119" t="e" cm="1">
        <f t="array" ref="A1119">---ILKKCKEYLEEIENTKFEIQYT-KEIYFKYNLV------TTTNKCK---YMFDKYKR</f>
        <v>#NAME?</v>
      </c>
    </row>
    <row r="1120" spans="1:1">
      <c r="A1120" t="s">
        <v>45820</v>
      </c>
    </row>
    <row r="1121" spans="1:1">
      <c r="A1121" t="s">
        <v>45821</v>
      </c>
    </row>
    <row r="1122" spans="1:1">
      <c r="A1122" t="s">
        <v>45822</v>
      </c>
    </row>
    <row r="1123" spans="1:1">
      <c r="A1123" t="s">
        <v>45823</v>
      </c>
    </row>
    <row r="1124" spans="1:1">
      <c r="A1124" t="e" cm="1">
        <f t="array" ref="A1124">-----------------DGTFHAGIG----E--LVV---------KNTDSI--------F</f>
        <v>#NAME?</v>
      </c>
    </row>
    <row r="1125" spans="1:1">
      <c r="A1125" t="s">
        <v>45475</v>
      </c>
    </row>
    <row r="1126" spans="1:1">
      <c r="A1126" t="s">
        <v>45824</v>
      </c>
    </row>
    <row r="1127" spans="1:1">
      <c r="A1127" t="e" cm="1">
        <f t="array" ref="A1127">--GNEKTDTEA----------------------------LLK----TIE----------L</f>
        <v>#NAME?</v>
      </c>
    </row>
    <row r="1128" spans="1:1">
      <c r="A1128" t="s">
        <v>45825</v>
      </c>
    </row>
    <row r="1129" spans="1:1">
      <c r="A1129" t="e" cm="1">
        <f t="array" ref="A1129">--------PQ------SIVYEK-TLHPLIL----------V-SKKKYV-----------G</f>
        <v>#NAME?</v>
      </c>
    </row>
    <row r="1130" spans="1:1">
      <c r="A1130" t="s">
        <v>45826</v>
      </c>
    </row>
    <row r="1131" spans="1:1">
      <c r="A1131" t="s">
        <v>45827</v>
      </c>
    </row>
    <row r="1132" spans="1:1">
      <c r="A1132" t="s">
        <v>45828</v>
      </c>
    </row>
    <row r="1133" spans="1:1">
      <c r="A1133" t="s">
        <v>45829</v>
      </c>
    </row>
    <row r="1134" spans="1:1">
      <c r="A1134" t="s">
        <v>45544</v>
      </c>
    </row>
    <row r="1135" spans="1:1">
      <c r="A1135" t="s">
        <v>45618</v>
      </c>
    </row>
    <row r="1136" spans="1:1">
      <c r="A1136" t="s">
        <v>45546</v>
      </c>
    </row>
    <row r="1137" spans="1:1">
      <c r="A1137" t="s">
        <v>45547</v>
      </c>
    </row>
    <row r="1138" spans="1:1">
      <c r="A1138" t="s">
        <v>45830</v>
      </c>
    </row>
    <row r="1139" spans="1:1">
      <c r="A1139" t="s">
        <v>45831</v>
      </c>
    </row>
    <row r="1140" spans="1:1">
      <c r="A1140" t="s">
        <v>45832</v>
      </c>
    </row>
    <row r="1141" spans="1:1">
      <c r="A1141" t="s">
        <v>41057</v>
      </c>
    </row>
    <row r="1142" spans="1:1">
      <c r="A1142" t="s">
        <v>45833</v>
      </c>
    </row>
    <row r="1143" spans="1:1">
      <c r="A1143" t="s">
        <v>41057</v>
      </c>
    </row>
    <row r="1144" spans="1:1">
      <c r="A1144" t="s">
        <v>41057</v>
      </c>
    </row>
    <row r="1145" spans="1:1">
      <c r="A1145" t="s">
        <v>45834</v>
      </c>
    </row>
    <row r="1146" spans="1:1">
      <c r="A1146" t="s">
        <v>45624</v>
      </c>
    </row>
    <row r="1147" spans="1:1">
      <c r="A1147" t="s">
        <v>45740</v>
      </c>
    </row>
    <row r="1148" spans="1:1">
      <c r="A1148" t="s">
        <v>45835</v>
      </c>
    </row>
    <row r="1149" spans="1:1">
      <c r="A1149" t="s">
        <v>45836</v>
      </c>
    </row>
    <row r="1150" spans="1:1">
      <c r="A1150" t="e" cm="1">
        <f t="array" ref="A1150">-----------------------NKTNEYS--------------------NLP---FVGK</f>
        <v>#NAME?</v>
      </c>
    </row>
    <row r="1151" spans="1:1">
      <c r="A1151" t="s">
        <v>45837</v>
      </c>
    </row>
    <row r="1152" spans="1:1">
      <c r="A1152" t="s">
        <v>45838</v>
      </c>
    </row>
    <row r="1153" spans="1:1">
      <c r="A1153" t="s">
        <v>43147</v>
      </c>
    </row>
    <row r="1154" spans="1:1">
      <c r="A1154" t="s">
        <v>41057</v>
      </c>
    </row>
    <row r="1155" spans="1:1">
      <c r="A1155" t="s">
        <v>41057</v>
      </c>
    </row>
    <row r="1156" spans="1:1">
      <c r="A1156" t="s">
        <v>41057</v>
      </c>
    </row>
    <row r="1157" spans="1:1">
      <c r="A1157" t="s">
        <v>41057</v>
      </c>
    </row>
    <row r="1158" spans="1:1">
      <c r="A1158" t="s">
        <v>41057</v>
      </c>
    </row>
    <row r="1159" spans="1:1">
      <c r="A1159" t="s">
        <v>41057</v>
      </c>
    </row>
    <row r="1160" spans="1:1">
      <c r="A1160" t="s">
        <v>41057</v>
      </c>
    </row>
    <row r="1161" spans="1:1">
      <c r="A1161" t="s">
        <v>41057</v>
      </c>
    </row>
    <row r="1162" spans="1:1">
      <c r="A1162" t="s">
        <v>41057</v>
      </c>
    </row>
    <row r="1163" spans="1:1">
      <c r="A1163" t="s">
        <v>41057</v>
      </c>
    </row>
    <row r="1164" spans="1:1">
      <c r="A1164" t="s">
        <v>41057</v>
      </c>
    </row>
    <row r="1165" spans="1:1">
      <c r="A1165" t="s">
        <v>41057</v>
      </c>
    </row>
    <row r="1166" spans="1:1">
      <c r="A1166" t="s">
        <v>41057</v>
      </c>
    </row>
    <row r="1167" spans="1:1">
      <c r="A1167" t="s">
        <v>41057</v>
      </c>
    </row>
    <row r="1168" spans="1:1">
      <c r="A1168" t="s">
        <v>41057</v>
      </c>
    </row>
    <row r="1169" spans="1:1">
      <c r="A1169" t="s">
        <v>41057</v>
      </c>
    </row>
    <row r="1170" spans="1:1">
      <c r="A1170" t="s">
        <v>41057</v>
      </c>
    </row>
    <row r="1171" spans="1:1">
      <c r="A1171" t="s">
        <v>41057</v>
      </c>
    </row>
    <row r="1172" spans="1:1">
      <c r="A1172" t="s">
        <v>41057</v>
      </c>
    </row>
    <row r="1173" spans="1:1">
      <c r="A1173" t="s">
        <v>41057</v>
      </c>
    </row>
    <row r="1174" spans="1:1">
      <c r="A1174" t="s">
        <v>41057</v>
      </c>
    </row>
    <row r="1175" spans="1:1">
      <c r="A1175" t="s">
        <v>41057</v>
      </c>
    </row>
    <row r="1176" spans="1:1">
      <c r="A1176" t="s">
        <v>41057</v>
      </c>
    </row>
    <row r="1177" spans="1:1">
      <c r="A1177" t="s">
        <v>41057</v>
      </c>
    </row>
    <row r="1178" spans="1:1">
      <c r="A1178" t="s">
        <v>41057</v>
      </c>
    </row>
    <row r="1179" spans="1:1">
      <c r="A1179" t="s">
        <v>41057</v>
      </c>
    </row>
    <row r="1180" spans="1:1">
      <c r="A1180" t="s">
        <v>41057</v>
      </c>
    </row>
    <row r="1181" spans="1:1">
      <c r="A1181" t="s">
        <v>45839</v>
      </c>
    </row>
    <row r="1182" spans="1:1">
      <c r="A1182" t="e" cm="1">
        <f t="array" ref="A1182">-------------------------DSNTRQHEGIRKSLTYFEIKNLSSSALG-DNELKF</f>
        <v>#NAME?</v>
      </c>
    </row>
    <row r="1183" spans="1:1">
      <c r="A1183" t="s">
        <v>45515</v>
      </c>
    </row>
    <row r="1184" spans="1:1">
      <c r="A1184" t="s">
        <v>45516</v>
      </c>
    </row>
    <row r="1185" spans="1:1">
      <c r="A1185" t="s">
        <v>45517</v>
      </c>
    </row>
    <row r="1186" spans="1:1">
      <c r="A1186" t="s">
        <v>45518</v>
      </c>
    </row>
    <row r="1187" spans="1:1">
      <c r="A1187" t="s">
        <v>45519</v>
      </c>
    </row>
    <row r="1188" spans="1:1">
      <c r="A1188" t="e" cm="1">
        <f t="array" ref="A1188">-------------------------HHTLI-------NKYFNE----------------G</f>
        <v>#NAME?</v>
      </c>
    </row>
    <row r="1189" spans="1:1">
      <c r="A1189" t="s">
        <v>45446</v>
      </c>
    </row>
    <row r="1190" spans="1:1">
      <c r="A1190" t="s">
        <v>41057</v>
      </c>
    </row>
    <row r="1191" spans="1:1">
      <c r="A1191" t="s">
        <v>45447</v>
      </c>
    </row>
    <row r="1192" spans="1:1">
      <c r="A1192" t="e" cm="1">
        <f t="array" ref="A1192">--------------YCIKDCK-----------------LV--------NLLLAKL-EIIV</f>
        <v>#NAME?</v>
      </c>
    </row>
    <row r="1193" spans="1:1">
      <c r="A1193" t="s">
        <v>45448</v>
      </c>
    </row>
    <row r="1194" spans="1:1">
      <c r="A1194" t="s">
        <v>45520</v>
      </c>
    </row>
    <row r="1195" spans="1:1">
      <c r="A1195" t="s">
        <v>41057</v>
      </c>
    </row>
    <row r="1196" spans="1:1">
      <c r="A1196" t="s">
        <v>45521</v>
      </c>
    </row>
    <row r="1197" spans="1:1">
      <c r="A1197" t="e" cm="1">
        <f t="array" ref="A1197">------------T-YE--------------------------------GATV-ITPKPNV</f>
        <v>#NAME?</v>
      </c>
    </row>
    <row r="1198" spans="1:1">
      <c r="A1198" t="s">
        <v>45451</v>
      </c>
    </row>
    <row r="1199" spans="1:1">
      <c r="A1199" t="s">
        <v>41057</v>
      </c>
    </row>
    <row r="1200" spans="1:1">
      <c r="A1200" t="s">
        <v>41057</v>
      </c>
    </row>
    <row r="1201" spans="1:1">
      <c r="A1201" t="s">
        <v>41057</v>
      </c>
    </row>
    <row r="1202" spans="1:1">
      <c r="A1202" t="s">
        <v>41057</v>
      </c>
    </row>
    <row r="1203" spans="1:1">
      <c r="A1203" t="s">
        <v>41057</v>
      </c>
    </row>
    <row r="1204" spans="1:1">
      <c r="A1204" t="s">
        <v>41057</v>
      </c>
    </row>
    <row r="1205" spans="1:1">
      <c r="A1205" t="s">
        <v>41057</v>
      </c>
    </row>
    <row r="1206" spans="1:1">
      <c r="A1206" t="s">
        <v>41057</v>
      </c>
    </row>
    <row r="1207" spans="1:1">
      <c r="A1207" t="s">
        <v>45522</v>
      </c>
    </row>
    <row r="1208" spans="1:1">
      <c r="A1208" t="s">
        <v>45840</v>
      </c>
    </row>
    <row r="1209" spans="1:1">
      <c r="A1209" t="s">
        <v>45841</v>
      </c>
    </row>
    <row r="1210" spans="1:1">
      <c r="A1210" t="e" cm="1">
        <f t="array" ref="A1210">----------ASEILRRGEYF-------------------VSDIVDYNVFTERPGERIIM</f>
        <v>#NAME?</v>
      </c>
    </row>
    <row r="1211" spans="1:1">
      <c r="A1211" t="s">
        <v>45842</v>
      </c>
    </row>
    <row r="1212" spans="1:1">
      <c r="A1212" t="s">
        <v>45843</v>
      </c>
    </row>
    <row r="1213" spans="1:1">
      <c r="A1213" t="s">
        <v>45844</v>
      </c>
    </row>
    <row r="1214" spans="1:1">
      <c r="A1214" t="s">
        <v>45845</v>
      </c>
    </row>
    <row r="1215" spans="1:1">
      <c r="A1215" t="s">
        <v>41057</v>
      </c>
    </row>
    <row r="1216" spans="1:1">
      <c r="A1216" t="s">
        <v>45846</v>
      </c>
    </row>
    <row r="1217" spans="1:1">
      <c r="A1217" t="s">
        <v>45847</v>
      </c>
    </row>
    <row r="1218" spans="1:1">
      <c r="A1218" t="s">
        <v>45848</v>
      </c>
    </row>
    <row r="1219" spans="1:1">
      <c r="A1219" t="s">
        <v>45849</v>
      </c>
    </row>
    <row r="1220" spans="1:1">
      <c r="A1220" t="s">
        <v>41057</v>
      </c>
    </row>
    <row r="1221" spans="1:1">
      <c r="A1221" t="s">
        <v>41057</v>
      </c>
    </row>
    <row r="1222" spans="1:1">
      <c r="A1222" t="s">
        <v>41057</v>
      </c>
    </row>
    <row r="1223" spans="1:1">
      <c r="A1223" t="s">
        <v>41057</v>
      </c>
    </row>
    <row r="1224" spans="1:1">
      <c r="A1224" t="s">
        <v>41057</v>
      </c>
    </row>
    <row r="1225" spans="1:1">
      <c r="A1225" t="s">
        <v>41057</v>
      </c>
    </row>
    <row r="1226" spans="1:1">
      <c r="A1226" t="s">
        <v>41057</v>
      </c>
    </row>
    <row r="1227" spans="1:1">
      <c r="A1227" t="s">
        <v>41057</v>
      </c>
    </row>
    <row r="1228" spans="1:1">
      <c r="A1228" t="s">
        <v>41057</v>
      </c>
    </row>
    <row r="1229" spans="1:1">
      <c r="A1229" t="s">
        <v>45850</v>
      </c>
    </row>
    <row r="1230" spans="1:1">
      <c r="A1230" t="s">
        <v>41057</v>
      </c>
    </row>
    <row r="1231" spans="1:1">
      <c r="A1231" t="s">
        <v>41057</v>
      </c>
    </row>
    <row r="1232" spans="1:1">
      <c r="A1232" t="s">
        <v>41057</v>
      </c>
    </row>
    <row r="1233" spans="1:1">
      <c r="A1233" t="s">
        <v>41057</v>
      </c>
    </row>
    <row r="1234" spans="1:1">
      <c r="A1234" t="s">
        <v>41057</v>
      </c>
    </row>
    <row r="1235" spans="1:1">
      <c r="A1235" t="s">
        <v>45851</v>
      </c>
    </row>
    <row r="1236" spans="1:1">
      <c r="A1236" t="s">
        <v>41057</v>
      </c>
    </row>
    <row r="1237" spans="1:1">
      <c r="A1237" t="s">
        <v>41057</v>
      </c>
    </row>
    <row r="1238" spans="1:1">
      <c r="A1238" t="s">
        <v>41057</v>
      </c>
    </row>
    <row r="1239" spans="1:1">
      <c r="A1239" t="s">
        <v>41057</v>
      </c>
    </row>
    <row r="1240" spans="1:1">
      <c r="A1240" t="s">
        <v>41057</v>
      </c>
    </row>
    <row r="1241" spans="1:1">
      <c r="A1241" t="s">
        <v>41057</v>
      </c>
    </row>
    <row r="1242" spans="1:1">
      <c r="A1242" t="s">
        <v>41057</v>
      </c>
    </row>
    <row r="1243" spans="1:1">
      <c r="A1243" t="s">
        <v>41057</v>
      </c>
    </row>
    <row r="1244" spans="1:1">
      <c r="A1244" t="s">
        <v>45852</v>
      </c>
    </row>
    <row r="1245" spans="1:1">
      <c r="A1245" t="s">
        <v>45853</v>
      </c>
    </row>
    <row r="1246" spans="1:1">
      <c r="A1246" t="s">
        <v>41057</v>
      </c>
    </row>
    <row r="1247" spans="1:1">
      <c r="A1247" t="s">
        <v>41057</v>
      </c>
    </row>
    <row r="1248" spans="1:1">
      <c r="A1248" t="s">
        <v>41057</v>
      </c>
    </row>
    <row r="1249" spans="1:1">
      <c r="A1249" t="s">
        <v>45854</v>
      </c>
    </row>
    <row r="1250" spans="1:1">
      <c r="A1250" t="s">
        <v>41057</v>
      </c>
    </row>
    <row r="1251" spans="1:1">
      <c r="A1251" t="s">
        <v>45855</v>
      </c>
    </row>
    <row r="1252" spans="1:1">
      <c r="A1252" t="s">
        <v>41057</v>
      </c>
    </row>
    <row r="1253" spans="1:1">
      <c r="A1253" t="s">
        <v>41057</v>
      </c>
    </row>
    <row r="1254" spans="1:1">
      <c r="A1254" t="s">
        <v>41057</v>
      </c>
    </row>
    <row r="1255" spans="1:1">
      <c r="A1255" t="s">
        <v>45856</v>
      </c>
    </row>
    <row r="1256" spans="1:1">
      <c r="A1256" t="s">
        <v>41057</v>
      </c>
    </row>
    <row r="1257" spans="1:1">
      <c r="A1257" t="s">
        <v>41057</v>
      </c>
    </row>
    <row r="1258" spans="1:1">
      <c r="A1258" t="e" cm="1">
        <f t="array" ref="A1258">--------------------NL-SNYY-KSQ---------------------------VI</f>
        <v>#NAME?</v>
      </c>
    </row>
    <row r="1259" spans="1:1">
      <c r="A1259" t="s">
        <v>45857</v>
      </c>
    </row>
    <row r="1260" spans="1:1">
      <c r="A1260" t="s">
        <v>45858</v>
      </c>
    </row>
    <row r="1261" spans="1:1">
      <c r="A1261" t="s">
        <v>45859</v>
      </c>
    </row>
    <row r="1262" spans="1:1">
      <c r="A1262" t="s">
        <v>45860</v>
      </c>
    </row>
    <row r="1263" spans="1:1">
      <c r="A1263" t="s">
        <v>45861</v>
      </c>
    </row>
    <row r="1264" spans="1:1">
      <c r="A1264" t="s">
        <v>45862</v>
      </c>
    </row>
    <row r="1265" spans="1:1">
      <c r="A1265" t="s">
        <v>45863</v>
      </c>
    </row>
    <row r="1266" spans="1:1">
      <c r="A1266" t="s">
        <v>45864</v>
      </c>
    </row>
    <row r="1267" spans="1:1">
      <c r="A1267" t="s">
        <v>45865</v>
      </c>
    </row>
    <row r="1268" spans="1:1">
      <c r="A1268" t="s">
        <v>41057</v>
      </c>
    </row>
    <row r="1269" spans="1:1">
      <c r="A1269" t="s">
        <v>41057</v>
      </c>
    </row>
    <row r="1270" spans="1:1">
      <c r="A1270" t="s">
        <v>41057</v>
      </c>
    </row>
    <row r="1271" spans="1:1">
      <c r="A1271" t="s">
        <v>41057</v>
      </c>
    </row>
    <row r="1272" spans="1:1">
      <c r="A1272" t="s">
        <v>41057</v>
      </c>
    </row>
    <row r="1273" spans="1:1">
      <c r="A1273" t="s">
        <v>41057</v>
      </c>
    </row>
    <row r="1274" spans="1:1">
      <c r="A1274" t="s">
        <v>45866</v>
      </c>
    </row>
    <row r="1275" spans="1:1">
      <c r="A1275" t="s">
        <v>45867</v>
      </c>
    </row>
    <row r="1276" spans="1:1">
      <c r="A1276" t="s">
        <v>45868</v>
      </c>
    </row>
    <row r="1277" spans="1:1">
      <c r="A1277" t="s">
        <v>41057</v>
      </c>
    </row>
    <row r="1278" spans="1:1">
      <c r="A1278" t="e" cm="1">
        <f t="array" ref="A1278">-------------------------YKKIL--------------------DIR---FHYI</f>
        <v>#NAME?</v>
      </c>
    </row>
    <row r="1279" spans="1:1">
      <c r="A1279" t="s">
        <v>45869</v>
      </c>
    </row>
    <row r="1280" spans="1:1">
      <c r="A1280" t="s">
        <v>45870</v>
      </c>
    </row>
    <row r="1281" spans="1:1">
      <c r="A1281" t="s">
        <v>43118</v>
      </c>
    </row>
    <row r="1282" spans="1:1">
      <c r="A1282" t="s">
        <v>41057</v>
      </c>
    </row>
    <row r="1283" spans="1:1">
      <c r="A1283" t="s">
        <v>41057</v>
      </c>
    </row>
    <row r="1284" spans="1:1">
      <c r="A1284" t="s">
        <v>45871</v>
      </c>
    </row>
    <row r="1285" spans="1:1">
      <c r="A1285" t="s">
        <v>41057</v>
      </c>
    </row>
    <row r="1286" spans="1:1">
      <c r="A1286" t="s">
        <v>45872</v>
      </c>
    </row>
    <row r="1287" spans="1:1">
      <c r="A1287" t="s">
        <v>45873</v>
      </c>
    </row>
    <row r="1288" spans="1:1">
      <c r="A1288" t="s">
        <v>45874</v>
      </c>
    </row>
    <row r="1289" spans="1:1">
      <c r="A1289" t="s">
        <v>45875</v>
      </c>
    </row>
    <row r="1290" spans="1:1">
      <c r="A1290" t="e" cm="1">
        <f t="array" ref="A1290">--------------KL--D------DDSEDEDSDN-----------------------LE</f>
        <v>#NAME?</v>
      </c>
    </row>
    <row r="1291" spans="1:1">
      <c r="A1291" t="s">
        <v>45876</v>
      </c>
    </row>
    <row r="1292" spans="1:1">
      <c r="A1292" t="s">
        <v>45877</v>
      </c>
    </row>
    <row r="1293" spans="1:1">
      <c r="A1293" t="s">
        <v>45878</v>
      </c>
    </row>
    <row r="1294" spans="1:1">
      <c r="A1294" t="s">
        <v>45879</v>
      </c>
    </row>
    <row r="1295" spans="1:1">
      <c r="A1295" t="s">
        <v>45880</v>
      </c>
    </row>
    <row r="1296" spans="1:1">
      <c r="A1296" t="s">
        <v>45881</v>
      </c>
    </row>
    <row r="1297" spans="1:1">
      <c r="A1297" t="s">
        <v>45882</v>
      </c>
    </row>
    <row r="1298" spans="1:1">
      <c r="A1298" t="s">
        <v>45883</v>
      </c>
    </row>
    <row r="1299" spans="1:1">
      <c r="A1299" t="s">
        <v>45884</v>
      </c>
    </row>
    <row r="1300" spans="1:1">
      <c r="A1300" t="e" cm="1">
        <f t="array" ref="A1300">---PLA--KKNYKKLAAELLDNVHKKLKKNDEDKELYSD-LLSNENDER--------QEQ</f>
        <v>#NAME?</v>
      </c>
    </row>
    <row r="1301" spans="1:1">
      <c r="A1301" t="s">
        <v>45885</v>
      </c>
    </row>
    <row r="1302" spans="1:1">
      <c r="A1302" t="s">
        <v>45886</v>
      </c>
    </row>
    <row r="1303" spans="1:1">
      <c r="A1303" t="s">
        <v>45887</v>
      </c>
    </row>
    <row r="1304" spans="1:1">
      <c r="A1304" t="s">
        <v>45888</v>
      </c>
    </row>
    <row r="1305" spans="1:1">
      <c r="A1305" t="s">
        <v>45889</v>
      </c>
    </row>
    <row r="1306" spans="1:1">
      <c r="A1306" t="s">
        <v>45438</v>
      </c>
    </row>
    <row r="1307" spans="1:1">
      <c r="A1307" t="s">
        <v>45890</v>
      </c>
    </row>
    <row r="1308" spans="1:1">
      <c r="A1308" t="s">
        <v>45891</v>
      </c>
    </row>
    <row r="1309" spans="1:1">
      <c r="A1309" t="s">
        <v>45892</v>
      </c>
    </row>
    <row r="1310" spans="1:1">
      <c r="A1310" t="e" cm="1">
        <f t="array" ref="A1310">-------------------------------------SELELEEKNLSSSALG-DNILTY</f>
        <v>#NAME?</v>
      </c>
    </row>
    <row r="1311" spans="1:1">
      <c r="A1311" t="s">
        <v>45893</v>
      </c>
    </row>
    <row r="1312" spans="1:1">
      <c r="A1312" t="s">
        <v>45894</v>
      </c>
    </row>
    <row r="1313" spans="1:1">
      <c r="A1313" t="s">
        <v>45895</v>
      </c>
    </row>
    <row r="1314" spans="1:1">
      <c r="A1314" t="s">
        <v>45896</v>
      </c>
    </row>
    <row r="1315" spans="1:1">
      <c r="A1315" t="s">
        <v>45897</v>
      </c>
    </row>
    <row r="1316" spans="1:1">
      <c r="A1316" t="e" cm="1">
        <f t="array" ref="A1316">-------------------------GPKDI-------FR-LQK----------------Q</f>
        <v>#NAME?</v>
      </c>
    </row>
    <row r="1317" spans="1:1">
      <c r="A1317" t="s">
        <v>45898</v>
      </c>
    </row>
    <row r="1318" spans="1:1">
      <c r="A1318" t="s">
        <v>41057</v>
      </c>
    </row>
    <row r="1319" spans="1:1">
      <c r="A1319" t="s">
        <v>45447</v>
      </c>
    </row>
    <row r="1320" spans="1:1">
      <c r="A1320" t="e" cm="1">
        <f t="array" ref="A1320">--------------YCIQDCA-----------------LC--------NKLINKL-SIIS</f>
        <v>#NAME?</v>
      </c>
    </row>
    <row r="1321" spans="1:1">
      <c r="A1321" t="s">
        <v>45899</v>
      </c>
    </row>
    <row r="1322" spans="1:1">
      <c r="A1322" t="s">
        <v>45900</v>
      </c>
    </row>
    <row r="1323" spans="1:1">
      <c r="A1323" t="s">
        <v>45901</v>
      </c>
    </row>
    <row r="1324" spans="1:1">
      <c r="A1324" t="s">
        <v>45902</v>
      </c>
    </row>
    <row r="1325" spans="1:1">
      <c r="A1325" t="e" cm="1">
        <f t="array" ref="A1325">-----------GG-YE--------------------------------GAIV-LPPNPGI</f>
        <v>#NAME?</v>
      </c>
    </row>
    <row r="1326" spans="1:1">
      <c r="A1326" t="s">
        <v>45903</v>
      </c>
    </row>
    <row r="1327" spans="1:1">
      <c r="A1327" t="s">
        <v>41057</v>
      </c>
    </row>
    <row r="1328" spans="1:1">
      <c r="A1328" t="s">
        <v>41057</v>
      </c>
    </row>
    <row r="1329" spans="1:1">
      <c r="A1329" t="s">
        <v>41057</v>
      </c>
    </row>
    <row r="1330" spans="1:1">
      <c r="A1330" t="s">
        <v>41057</v>
      </c>
    </row>
    <row r="1331" spans="1:1">
      <c r="A1331" t="s">
        <v>41057</v>
      </c>
    </row>
    <row r="1332" spans="1:1">
      <c r="A1332" t="s">
        <v>41057</v>
      </c>
    </row>
    <row r="1333" spans="1:1">
      <c r="A1333" t="s">
        <v>41057</v>
      </c>
    </row>
    <row r="1334" spans="1:1">
      <c r="A1334" t="s">
        <v>41057</v>
      </c>
    </row>
    <row r="1335" spans="1:1">
      <c r="A1335" t="s">
        <v>45904</v>
      </c>
    </row>
    <row r="1336" spans="1:1">
      <c r="A1336" t="s">
        <v>45905</v>
      </c>
    </row>
    <row r="1337" spans="1:1">
      <c r="A1337" t="e" cm="1">
        <f t="array" ref="A1337">---------------ITH----------------------------------------DV</f>
        <v>#NAME?</v>
      </c>
    </row>
    <row r="1338" spans="1:1">
      <c r="A1338" t="s">
        <v>45906</v>
      </c>
    </row>
    <row r="1339" spans="1:1">
      <c r="A1339" t="s">
        <v>41057</v>
      </c>
    </row>
    <row r="1340" spans="1:1">
      <c r="A1340" t="s">
        <v>45907</v>
      </c>
    </row>
    <row r="1341" spans="1:1">
      <c r="A1341" t="s">
        <v>41057</v>
      </c>
    </row>
    <row r="1342" spans="1:1">
      <c r="A1342" t="s">
        <v>45908</v>
      </c>
    </row>
    <row r="1343" spans="1:1">
      <c r="A1343" t="s">
        <v>45909</v>
      </c>
    </row>
    <row r="1344" spans="1:1">
      <c r="A1344" t="s">
        <v>45910</v>
      </c>
    </row>
    <row r="1345" spans="1:1">
      <c r="A1345" t="s">
        <v>45911</v>
      </c>
    </row>
    <row r="1346" spans="1:1">
      <c r="A1346" t="s">
        <v>45912</v>
      </c>
    </row>
    <row r="1347" spans="1:1">
      <c r="A1347" t="s">
        <v>45913</v>
      </c>
    </row>
    <row r="1348" spans="1:1">
      <c r="A1348" t="s">
        <v>41057</v>
      </c>
    </row>
    <row r="1349" spans="1:1">
      <c r="A1349" t="s">
        <v>41057</v>
      </c>
    </row>
    <row r="1350" spans="1:1">
      <c r="A1350" t="s">
        <v>41057</v>
      </c>
    </row>
    <row r="1351" spans="1:1">
      <c r="A1351" t="s">
        <v>41057</v>
      </c>
    </row>
    <row r="1352" spans="1:1">
      <c r="A1352" t="s">
        <v>41057</v>
      </c>
    </row>
    <row r="1353" spans="1:1">
      <c r="A1353" t="s">
        <v>41057</v>
      </c>
    </row>
    <row r="1354" spans="1:1">
      <c r="A1354" t="s">
        <v>41057</v>
      </c>
    </row>
    <row r="1355" spans="1:1">
      <c r="A1355" t="s">
        <v>41057</v>
      </c>
    </row>
    <row r="1356" spans="1:1">
      <c r="A1356" t="s">
        <v>41057</v>
      </c>
    </row>
    <row r="1357" spans="1:1">
      <c r="A1357" t="s">
        <v>45914</v>
      </c>
    </row>
    <row r="1358" spans="1:1">
      <c r="A1358" t="s">
        <v>41057</v>
      </c>
    </row>
    <row r="1359" spans="1:1">
      <c r="A1359" t="s">
        <v>41057</v>
      </c>
    </row>
    <row r="1360" spans="1:1">
      <c r="A1360" t="s">
        <v>41057</v>
      </c>
    </row>
    <row r="1361" spans="1:1">
      <c r="A1361" t="s">
        <v>41057</v>
      </c>
    </row>
    <row r="1362" spans="1:1">
      <c r="A1362" t="s">
        <v>41057</v>
      </c>
    </row>
    <row r="1363" spans="1:1">
      <c r="A1363" t="s">
        <v>45915</v>
      </c>
    </row>
    <row r="1364" spans="1:1">
      <c r="A1364" t="s">
        <v>45916</v>
      </c>
    </row>
    <row r="1365" spans="1:1">
      <c r="A1365" t="s">
        <v>41057</v>
      </c>
    </row>
    <row r="1366" spans="1:1">
      <c r="A1366" t="s">
        <v>41057</v>
      </c>
    </row>
    <row r="1367" spans="1:1">
      <c r="A1367" t="s">
        <v>45917</v>
      </c>
    </row>
    <row r="1368" spans="1:1">
      <c r="A1368" t="e" cm="1">
        <f t="array" ref="A1368">-------------AKIVYGDSV------------TNDTPLLLLN-KITNQ--IEIKQIDD</f>
        <v>#NAME?</v>
      </c>
    </row>
    <row r="1369" spans="1:1">
      <c r="A1369" t="s">
        <v>45918</v>
      </c>
    </row>
    <row r="1370" spans="1:1">
      <c r="A1370" t="s">
        <v>41057</v>
      </c>
    </row>
    <row r="1371" spans="1:1">
      <c r="A1371" t="e" cm="1">
        <f t="array" ref="A1371">----------------------K--------------------FD----------SNRRE</f>
        <v>#NAME?</v>
      </c>
    </row>
    <row r="1372" spans="1:1">
      <c r="A1372" t="s">
        <v>45919</v>
      </c>
    </row>
    <row r="1373" spans="1:1">
      <c r="A1373" t="s">
        <v>45920</v>
      </c>
    </row>
    <row r="1374" spans="1:1">
      <c r="A1374" t="s">
        <v>45921</v>
      </c>
    </row>
    <row r="1375" spans="1:1">
      <c r="A1375" t="s">
        <v>45922</v>
      </c>
    </row>
    <row r="1376" spans="1:1">
      <c r="A1376" t="s">
        <v>45923</v>
      </c>
    </row>
    <row r="1377" spans="1:1">
      <c r="A1377" t="s">
        <v>45924</v>
      </c>
    </row>
    <row r="1378" spans="1:1">
      <c r="A1378" t="s">
        <v>45925</v>
      </c>
    </row>
    <row r="1379" spans="1:1">
      <c r="A1379" t="s">
        <v>45926</v>
      </c>
    </row>
    <row r="1380" spans="1:1">
      <c r="A1380" t="e" cm="1">
        <f t="array" ref="A1380">-----------------TGNFNTGF-----E--LIV---------KNTDSI--------F</f>
        <v>#NAME?</v>
      </c>
    </row>
    <row r="1381" spans="1:1">
      <c r="A1381" t="s">
        <v>45475</v>
      </c>
    </row>
    <row r="1382" spans="1:1">
      <c r="A1382" t="s">
        <v>45927</v>
      </c>
    </row>
    <row r="1383" spans="1:1">
      <c r="A1383" t="e" cm="1">
        <f t="array" ref="A1383">--GKLLEEKEG----------------------------LKR----SIE----------L</f>
        <v>#NAME?</v>
      </c>
    </row>
    <row r="1384" spans="1:1">
      <c r="A1384" t="s">
        <v>45928</v>
      </c>
    </row>
    <row r="1385" spans="1:1">
      <c r="A1385" t="e" cm="1">
        <f t="array" ref="A1385">--------PH------KLEYEK-TFWPFIL----------F-TKKRYI-----------G</f>
        <v>#NAME?</v>
      </c>
    </row>
    <row r="1386" spans="1:1">
      <c r="A1386" t="s">
        <v>45929</v>
      </c>
    </row>
    <row r="1387" spans="1:1">
      <c r="A1387" t="s">
        <v>45930</v>
      </c>
    </row>
    <row r="1388" spans="1:1">
      <c r="A1388" t="s">
        <v>45931</v>
      </c>
    </row>
    <row r="1389" spans="1:1">
      <c r="A1389" t="s">
        <v>45932</v>
      </c>
    </row>
    <row r="1390" spans="1:1">
      <c r="A1390" t="s">
        <v>45933</v>
      </c>
    </row>
    <row r="1391" spans="1:1">
      <c r="A1391" t="s">
        <v>45934</v>
      </c>
    </row>
    <row r="1392" spans="1:1">
      <c r="A1392" t="s">
        <v>45935</v>
      </c>
    </row>
    <row r="1393" spans="1:1">
      <c r="A1393" t="s">
        <v>45936</v>
      </c>
    </row>
    <row r="1394" spans="1:1">
      <c r="A1394" t="s">
        <v>45937</v>
      </c>
    </row>
    <row r="1395" spans="1:1">
      <c r="A1395" t="s">
        <v>45938</v>
      </c>
    </row>
    <row r="1396" spans="1:1">
      <c r="A1396" t="s">
        <v>45939</v>
      </c>
    </row>
    <row r="1397" spans="1:1">
      <c r="A1397" t="s">
        <v>41057</v>
      </c>
    </row>
    <row r="1398" spans="1:1">
      <c r="A1398" t="s">
        <v>45940</v>
      </c>
    </row>
    <row r="1399" spans="1:1">
      <c r="A1399" t="s">
        <v>45941</v>
      </c>
    </row>
    <row r="1400" spans="1:1">
      <c r="A1400" t="s">
        <v>45942</v>
      </c>
    </row>
    <row r="1401" spans="1:1">
      <c r="A1401" t="s">
        <v>45943</v>
      </c>
    </row>
    <row r="1402" spans="1:1">
      <c r="A1402" t="s">
        <v>45944</v>
      </c>
    </row>
    <row r="1403" spans="1:1">
      <c r="A1403" t="s">
        <v>45945</v>
      </c>
    </row>
    <row r="1404" spans="1:1">
      <c r="A1404" t="s">
        <v>45946</v>
      </c>
    </row>
    <row r="1405" spans="1:1">
      <c r="A1405" t="s">
        <v>41057</v>
      </c>
    </row>
    <row r="1406" spans="1:1">
      <c r="A1406" t="s">
        <v>41057</v>
      </c>
    </row>
    <row r="1407" spans="1:1">
      <c r="A1407" t="s">
        <v>45947</v>
      </c>
    </row>
    <row r="1408" spans="1:1">
      <c r="A1408" t="s">
        <v>45948</v>
      </c>
    </row>
    <row r="1409" spans="1:1">
      <c r="A1409" t="s">
        <v>43755</v>
      </c>
    </row>
    <row r="1410" spans="1:1">
      <c r="A1410" t="s">
        <v>41057</v>
      </c>
    </row>
    <row r="1411" spans="1:1">
      <c r="A1411" t="s">
        <v>41057</v>
      </c>
    </row>
    <row r="1412" spans="1:1">
      <c r="A1412" t="s">
        <v>45949</v>
      </c>
    </row>
    <row r="1413" spans="1:1">
      <c r="A1413" t="s">
        <v>41057</v>
      </c>
    </row>
    <row r="1414" spans="1:1">
      <c r="A1414" t="s">
        <v>45950</v>
      </c>
    </row>
    <row r="1415" spans="1:1">
      <c r="A1415" t="s">
        <v>45951</v>
      </c>
    </row>
    <row r="1416" spans="1:1">
      <c r="A1416" t="s">
        <v>45952</v>
      </c>
    </row>
    <row r="1417" spans="1:1">
      <c r="A1417" t="s">
        <v>45953</v>
      </c>
    </row>
    <row r="1418" spans="1:1">
      <c r="A1418" t="e" cm="1">
        <f t="array" ref="A1418">--------------------------DYTNEDSNE-----------------------SQ</f>
        <v>#NAME?</v>
      </c>
    </row>
    <row r="1419" spans="1:1">
      <c r="A1419" t="s">
        <v>45954</v>
      </c>
    </row>
    <row r="1420" spans="1:1">
      <c r="A1420" t="s">
        <v>45955</v>
      </c>
    </row>
    <row r="1421" spans="1:1">
      <c r="A1421" t="s">
        <v>45956</v>
      </c>
    </row>
    <row r="1422" spans="1:1">
      <c r="A1422" t="s">
        <v>45957</v>
      </c>
    </row>
    <row r="1423" spans="1:1">
      <c r="A1423" t="s">
        <v>45958</v>
      </c>
    </row>
    <row r="1424" spans="1:1">
      <c r="A1424" t="s">
        <v>45959</v>
      </c>
    </row>
    <row r="1425" spans="1:1">
      <c r="A1425" t="s">
        <v>45960</v>
      </c>
    </row>
    <row r="1426" spans="1:1">
      <c r="A1426" t="s">
        <v>45961</v>
      </c>
    </row>
    <row r="1427" spans="1:1">
      <c r="A1427" t="s">
        <v>45962</v>
      </c>
    </row>
    <row r="1428" spans="1:1">
      <c r="A1428" t="s">
        <v>45963</v>
      </c>
    </row>
    <row r="1429" spans="1:1">
      <c r="A1429" t="e" cm="1">
        <f t="array" ref="A1429">---------GF---------------IPALY-----------KCFM-GIYTDEKEFMNDC</f>
        <v>#NAME?</v>
      </c>
    </row>
    <row r="1430" spans="1:1">
      <c r="A1430" t="s">
        <v>45964</v>
      </c>
    </row>
    <row r="1431" spans="1:1">
      <c r="A1431" t="s">
        <v>45965</v>
      </c>
    </row>
    <row r="1432" spans="1:1">
      <c r="A1432" t="s">
        <v>45966</v>
      </c>
    </row>
    <row r="1433" spans="1:1">
      <c r="A1433" t="s">
        <v>45967</v>
      </c>
    </row>
    <row r="1434" spans="1:1">
      <c r="A1434" t="s">
        <v>45438</v>
      </c>
    </row>
    <row r="1435" spans="1:1">
      <c r="A1435" t="s">
        <v>45968</v>
      </c>
    </row>
    <row r="1436" spans="1:1">
      <c r="A1436" t="e" cm="1">
        <f t="array" ref="A1436">---DFDYIYKRALEL---G-------------------------------------CE-K</f>
        <v>#NAME?</v>
      </c>
    </row>
    <row r="1437" spans="1:1">
      <c r="A1437" t="s">
        <v>45969</v>
      </c>
    </row>
    <row r="1438" spans="1:1">
      <c r="A1438" t="e" cm="1">
        <f t="array" ref="A1438">-------------------------------------HKSKFKEKMLASSALG-ENLLKY</f>
        <v>#NAME?</v>
      </c>
    </row>
    <row r="1439" spans="1:1">
      <c r="A1439" t="s">
        <v>45970</v>
      </c>
    </row>
    <row r="1440" spans="1:1">
      <c r="A1440" t="s">
        <v>45971</v>
      </c>
    </row>
    <row r="1441" spans="1:1">
      <c r="A1441" t="s">
        <v>45972</v>
      </c>
    </row>
    <row r="1442" spans="1:1">
      <c r="A1442" t="e" cm="1">
        <f t="array" ref="A1442">--KC-MVL-------------------SVDSNIIVID------------------TELDE</f>
        <v>#NAME?</v>
      </c>
    </row>
    <row r="1443" spans="1:1">
      <c r="A1443" t="s">
        <v>45973</v>
      </c>
    </row>
    <row r="1444" spans="1:1">
      <c r="A1444" t="e" cm="1">
        <f t="array" ref="A1444">-------------------------SPKEI-------FA-CQK----------------G</f>
        <v>#NAME?</v>
      </c>
    </row>
    <row r="1445" spans="1:1">
      <c r="A1445" t="s">
        <v>45974</v>
      </c>
    </row>
    <row r="1446" spans="1:1">
      <c r="A1446" t="s">
        <v>41057</v>
      </c>
    </row>
    <row r="1447" spans="1:1">
      <c r="A1447" t="s">
        <v>45447</v>
      </c>
    </row>
    <row r="1448" spans="1:1">
      <c r="A1448" t="e" cm="1">
        <f t="array" ref="A1448">--------------YCVQDCA-----------------LC--------NMLIIKL-EVFA</f>
        <v>#NAME?</v>
      </c>
    </row>
    <row r="1449" spans="1:1">
      <c r="A1449" t="s">
        <v>45975</v>
      </c>
    </row>
    <row r="1450" spans="1:1">
      <c r="A1450" t="s">
        <v>45976</v>
      </c>
    </row>
    <row r="1451" spans="1:1">
      <c r="A1451" t="s">
        <v>41057</v>
      </c>
    </row>
    <row r="1452" spans="1:1">
      <c r="A1452" t="s">
        <v>45977</v>
      </c>
    </row>
    <row r="1453" spans="1:1">
      <c r="A1453" t="e" cm="1">
        <f t="array" ref="A1453">------------G-YE--------------------------------GAIV-LDPIPGI</f>
        <v>#NAME?</v>
      </c>
    </row>
    <row r="1454" spans="1:1">
      <c r="A1454" t="s">
        <v>45978</v>
      </c>
    </row>
    <row r="1455" spans="1:1">
      <c r="A1455" t="s">
        <v>41057</v>
      </c>
    </row>
    <row r="1456" spans="1:1">
      <c r="A1456" t="s">
        <v>41057</v>
      </c>
    </row>
    <row r="1457" spans="1:1">
      <c r="A1457" t="s">
        <v>41057</v>
      </c>
    </row>
    <row r="1458" spans="1:1">
      <c r="A1458" t="s">
        <v>41057</v>
      </c>
    </row>
    <row r="1459" spans="1:1">
      <c r="A1459" t="s">
        <v>41057</v>
      </c>
    </row>
    <row r="1460" spans="1:1">
      <c r="A1460" t="s">
        <v>41057</v>
      </c>
    </row>
    <row r="1461" spans="1:1">
      <c r="A1461" t="s">
        <v>41057</v>
      </c>
    </row>
    <row r="1462" spans="1:1">
      <c r="A1462" t="s">
        <v>41057</v>
      </c>
    </row>
    <row r="1463" spans="1:1">
      <c r="A1463" t="s">
        <v>45979</v>
      </c>
    </row>
    <row r="1464" spans="1:1">
      <c r="A1464" t="s">
        <v>45980</v>
      </c>
    </row>
    <row r="1465" spans="1:1">
      <c r="A1465" t="e" cm="1">
        <f t="array" ref="A1465">---------------VTY----------------------------------------DI</f>
        <v>#NAME?</v>
      </c>
    </row>
    <row r="1466" spans="1:1">
      <c r="A1466" t="s">
        <v>45981</v>
      </c>
    </row>
    <row r="1467" spans="1:1">
      <c r="A1467" t="s">
        <v>41057</v>
      </c>
    </row>
    <row r="1468" spans="1:1">
      <c r="A1468" t="s">
        <v>45982</v>
      </c>
    </row>
    <row r="1469" spans="1:1">
      <c r="A1469" t="s">
        <v>41057</v>
      </c>
    </row>
    <row r="1470" spans="1:1">
      <c r="A1470" t="s">
        <v>45983</v>
      </c>
    </row>
    <row r="1471" spans="1:1">
      <c r="A1471" t="s">
        <v>45984</v>
      </c>
    </row>
    <row r="1472" spans="1:1">
      <c r="A1472" t="s">
        <v>45985</v>
      </c>
    </row>
    <row r="1473" spans="1:1">
      <c r="A1473" t="s">
        <v>45986</v>
      </c>
    </row>
    <row r="1474" spans="1:1">
      <c r="A1474" t="s">
        <v>45987</v>
      </c>
    </row>
    <row r="1475" spans="1:1">
      <c r="A1475" t="s">
        <v>45913</v>
      </c>
    </row>
    <row r="1476" spans="1:1">
      <c r="A1476" t="s">
        <v>41057</v>
      </c>
    </row>
    <row r="1477" spans="1:1">
      <c r="A1477" t="s">
        <v>41057</v>
      </c>
    </row>
    <row r="1478" spans="1:1">
      <c r="A1478" t="s">
        <v>41057</v>
      </c>
    </row>
    <row r="1479" spans="1:1">
      <c r="A1479" t="s">
        <v>41057</v>
      </c>
    </row>
    <row r="1480" spans="1:1">
      <c r="A1480" t="s">
        <v>41057</v>
      </c>
    </row>
    <row r="1481" spans="1:1">
      <c r="A1481" t="s">
        <v>41057</v>
      </c>
    </row>
    <row r="1482" spans="1:1">
      <c r="A1482" t="s">
        <v>41057</v>
      </c>
    </row>
    <row r="1483" spans="1:1">
      <c r="A1483" t="s">
        <v>41057</v>
      </c>
    </row>
    <row r="1484" spans="1:1">
      <c r="A1484" t="s">
        <v>41057</v>
      </c>
    </row>
    <row r="1485" spans="1:1">
      <c r="A1485" t="s">
        <v>45914</v>
      </c>
    </row>
    <row r="1486" spans="1:1">
      <c r="A1486" t="s">
        <v>41057</v>
      </c>
    </row>
    <row r="1487" spans="1:1">
      <c r="A1487" t="s">
        <v>41057</v>
      </c>
    </row>
    <row r="1488" spans="1:1">
      <c r="A1488" t="s">
        <v>41057</v>
      </c>
    </row>
    <row r="1489" spans="1:1">
      <c r="A1489" t="s">
        <v>41057</v>
      </c>
    </row>
    <row r="1490" spans="1:1">
      <c r="A1490" t="s">
        <v>41057</v>
      </c>
    </row>
    <row r="1491" spans="1:1">
      <c r="A1491" t="s">
        <v>45988</v>
      </c>
    </row>
    <row r="1492" spans="1:1">
      <c r="A1492" t="s">
        <v>45989</v>
      </c>
    </row>
    <row r="1493" spans="1:1">
      <c r="A1493" t="s">
        <v>41057</v>
      </c>
    </row>
    <row r="1494" spans="1:1">
      <c r="A1494" t="s">
        <v>41057</v>
      </c>
    </row>
    <row r="1495" spans="1:1">
      <c r="A1495" t="s">
        <v>45990</v>
      </c>
    </row>
    <row r="1496" spans="1:1">
      <c r="A1496" t="s">
        <v>45991</v>
      </c>
    </row>
    <row r="1497" spans="1:1">
      <c r="A1497" t="s">
        <v>41057</v>
      </c>
    </row>
    <row r="1498" spans="1:1">
      <c r="A1498" t="s">
        <v>41057</v>
      </c>
    </row>
    <row r="1499" spans="1:1">
      <c r="A1499" t="s">
        <v>41057</v>
      </c>
    </row>
    <row r="1500" spans="1:1">
      <c r="A1500" t="s">
        <v>41057</v>
      </c>
    </row>
    <row r="1501" spans="1:1">
      <c r="A1501" t="s">
        <v>41057</v>
      </c>
    </row>
    <row r="1502" spans="1:1">
      <c r="A1502" t="s">
        <v>41057</v>
      </c>
    </row>
    <row r="1503" spans="1:1">
      <c r="A1503" t="s">
        <v>41057</v>
      </c>
    </row>
    <row r="1504" spans="1:1">
      <c r="A1504" t="s">
        <v>41057</v>
      </c>
    </row>
    <row r="1505" spans="1:1">
      <c r="A1505" t="s">
        <v>41057</v>
      </c>
    </row>
    <row r="1506" spans="1:1">
      <c r="A1506" t="s">
        <v>41057</v>
      </c>
    </row>
    <row r="1507" spans="1:1">
      <c r="A1507" t="s">
        <v>41057</v>
      </c>
    </row>
    <row r="1508" spans="1:1">
      <c r="A1508" t="e" cm="1">
        <f t="array" ref="A1508">-----------------------------------------------TDSI--------F</f>
        <v>#NAME?</v>
      </c>
    </row>
    <row r="1509" spans="1:1">
      <c r="A1509" t="s">
        <v>41087</v>
      </c>
    </row>
    <row r="1510" spans="1:1">
      <c r="A1510" t="s">
        <v>45992</v>
      </c>
    </row>
    <row r="1511" spans="1:1">
      <c r="A1511" t="e" cm="1">
        <f t="array" ref="A1511">--GLL--DKDA----------------------------LQK----SID----------I</f>
        <v>#NAME?</v>
      </c>
    </row>
    <row r="1512" spans="1:1">
      <c r="A1512" t="s">
        <v>45993</v>
      </c>
    </row>
    <row r="1513" spans="1:1">
      <c r="A1513" t="e" cm="1">
        <f t="array" ref="A1513">--------PH------DLEYEK-TFFPFII----------L-SKKKYV-----------G</f>
        <v>#NAME?</v>
      </c>
    </row>
    <row r="1514" spans="1:1">
      <c r="A1514" t="s">
        <v>45994</v>
      </c>
    </row>
    <row r="1515" spans="1:1">
      <c r="A1515" t="s">
        <v>45995</v>
      </c>
    </row>
    <row r="1516" spans="1:1">
      <c r="A1516" t="s">
        <v>45996</v>
      </c>
    </row>
    <row r="1517" spans="1:1">
      <c r="A1517" t="s">
        <v>45997</v>
      </c>
    </row>
    <row r="1518" spans="1:1">
      <c r="A1518" t="s">
        <v>45998</v>
      </c>
    </row>
    <row r="1519" spans="1:1">
      <c r="A1519" t="s">
        <v>45999</v>
      </c>
    </row>
    <row r="1520" spans="1:1">
      <c r="A1520" t="s">
        <v>46000</v>
      </c>
    </row>
    <row r="1521" spans="1:1">
      <c r="A1521" t="s">
        <v>46001</v>
      </c>
    </row>
    <row r="1522" spans="1:1">
      <c r="A1522" t="s">
        <v>46002</v>
      </c>
    </row>
    <row r="1523" spans="1:1">
      <c r="A1523" t="s">
        <v>46003</v>
      </c>
    </row>
    <row r="1524" spans="1:1">
      <c r="A1524" t="s">
        <v>46004</v>
      </c>
    </row>
    <row r="1525" spans="1:1">
      <c r="A1525" t="s">
        <v>41057</v>
      </c>
    </row>
    <row r="1526" spans="1:1">
      <c r="A1526" t="s">
        <v>46005</v>
      </c>
    </row>
    <row r="1527" spans="1:1">
      <c r="A1527" t="s">
        <v>46006</v>
      </c>
    </row>
    <row r="1528" spans="1:1">
      <c r="A1528" t="s">
        <v>46007</v>
      </c>
    </row>
    <row r="1529" spans="1:1">
      <c r="A1529" t="s">
        <v>46008</v>
      </c>
    </row>
    <row r="1530" spans="1:1">
      <c r="A1530" t="s">
        <v>46009</v>
      </c>
    </row>
    <row r="1531" spans="1:1">
      <c r="A1531" t="s">
        <v>46010</v>
      </c>
    </row>
    <row r="1532" spans="1:1">
      <c r="A1532" t="s">
        <v>46011</v>
      </c>
    </row>
    <row r="1533" spans="1:1">
      <c r="A1533" t="s">
        <v>41057</v>
      </c>
    </row>
    <row r="1534" spans="1:1">
      <c r="A1534" t="s">
        <v>41057</v>
      </c>
    </row>
    <row r="1535" spans="1:1">
      <c r="A1535" t="e" cm="1">
        <f t="array" ref="A1535">---------------------------------------------------------SVT</f>
        <v>#NAME?</v>
      </c>
    </row>
    <row r="1536" spans="1:1">
      <c r="A1536" t="s">
        <v>45948</v>
      </c>
    </row>
    <row r="1537" spans="1:1">
      <c r="A1537" t="s">
        <v>43777</v>
      </c>
    </row>
    <row r="1538" spans="1:1">
      <c r="A1538" t="s">
        <v>41057</v>
      </c>
    </row>
    <row r="1539" spans="1:1">
      <c r="A1539" t="s">
        <v>41057</v>
      </c>
    </row>
    <row r="1540" spans="1:1">
      <c r="A1540" t="s">
        <v>41057</v>
      </c>
    </row>
    <row r="1541" spans="1:1">
      <c r="A1541" t="s">
        <v>41057</v>
      </c>
    </row>
    <row r="1542" spans="1:1">
      <c r="A1542" t="s">
        <v>41057</v>
      </c>
    </row>
    <row r="1543" spans="1:1">
      <c r="A1543" t="s">
        <v>46012</v>
      </c>
    </row>
    <row r="1544" spans="1:1">
      <c r="A1544" t="s">
        <v>46013</v>
      </c>
    </row>
    <row r="1545" spans="1:1">
      <c r="A1545" t="s">
        <v>46014</v>
      </c>
    </row>
    <row r="1546" spans="1:1">
      <c r="A1546" t="e" cm="1">
        <f t="array" ref="A1546">--------------LINED------EDSDNEVSEK-----------------------QN</f>
        <v>#NAME?</v>
      </c>
    </row>
    <row r="1547" spans="1:1">
      <c r="A1547" t="s">
        <v>46015</v>
      </c>
    </row>
    <row r="1548" spans="1:1">
      <c r="A1548" t="s">
        <v>46016</v>
      </c>
    </row>
    <row r="1549" spans="1:1">
      <c r="A1549" t="s">
        <v>46017</v>
      </c>
    </row>
    <row r="1550" spans="1:1">
      <c r="A1550" t="s">
        <v>46018</v>
      </c>
    </row>
    <row r="1551" spans="1:1">
      <c r="A1551" t="s">
        <v>46019</v>
      </c>
    </row>
    <row r="1552" spans="1:1">
      <c r="A1552" t="s">
        <v>46020</v>
      </c>
    </row>
    <row r="1553" spans="1:1">
      <c r="A1553" t="s">
        <v>46021</v>
      </c>
    </row>
    <row r="1554" spans="1:1">
      <c r="A1554" t="s">
        <v>46022</v>
      </c>
    </row>
    <row r="1555" spans="1:1">
      <c r="A1555" t="s">
        <v>46023</v>
      </c>
    </row>
    <row r="1556" spans="1:1">
      <c r="A1556" t="e" cm="1">
        <f t="array" ref="A1556">---PVA--KKDYQKLASNIYE--------------EYLR-LLRNNKKVN--------PTL</f>
        <v>#NAME?</v>
      </c>
    </row>
    <row r="1557" spans="1:1">
      <c r="A1557" t="s">
        <v>46024</v>
      </c>
    </row>
    <row r="1558" spans="1:1">
      <c r="A1558" t="e" cm="1">
        <f t="array" ref="A1558">------MKILG------ILIK-----------------------------------KMKG</f>
        <v>#NAME?</v>
      </c>
    </row>
    <row r="1559" spans="1:1">
      <c r="A1559" t="s">
        <v>46025</v>
      </c>
    </row>
    <row r="1560" spans="1:1">
      <c r="A1560" t="s">
        <v>46026</v>
      </c>
    </row>
    <row r="1561" spans="1:1">
      <c r="A1561" t="s">
        <v>46027</v>
      </c>
    </row>
    <row r="1562" spans="1:1">
      <c r="A1562" t="s">
        <v>46028</v>
      </c>
    </row>
    <row r="1563" spans="1:1">
      <c r="A1563" t="s">
        <v>46029</v>
      </c>
    </row>
    <row r="1564" spans="1:1">
      <c r="A1564" t="e" cm="1">
        <f t="array" ref="A1564">---DIKFLWECAEEF---G-------------------------------------CL-K</f>
        <v>#NAME?</v>
      </c>
    </row>
    <row r="1565" spans="1:1">
      <c r="A1565" t="s">
        <v>46030</v>
      </c>
    </row>
    <row r="1566" spans="1:1">
      <c r="A1566" t="e" cm="1">
        <f t="array" ref="A1566">-------------------------------------QECTMETKELYSAALG-HNFLYY</f>
        <v>#NAME?</v>
      </c>
    </row>
    <row r="1567" spans="1:1">
      <c r="A1567" t="s">
        <v>46031</v>
      </c>
    </row>
    <row r="1568" spans="1:1">
      <c r="A1568" t="s">
        <v>46032</v>
      </c>
    </row>
    <row r="1569" spans="1:1">
      <c r="A1569" t="s">
        <v>46033</v>
      </c>
    </row>
    <row r="1570" spans="1:1">
      <c r="A1570" t="s">
        <v>46034</v>
      </c>
    </row>
    <row r="1571" spans="1:1">
      <c r="A1571" t="s">
        <v>46035</v>
      </c>
    </row>
    <row r="1572" spans="1:1">
      <c r="A1572" t="e" cm="1">
        <f t="array" ref="A1572">-------------------------SPQDI-------FD-MQR----------------G</f>
        <v>#NAME?</v>
      </c>
    </row>
    <row r="1573" spans="1:1">
      <c r="A1573" t="s">
        <v>46036</v>
      </c>
    </row>
    <row r="1574" spans="1:1">
      <c r="A1574" t="s">
        <v>41057</v>
      </c>
    </row>
    <row r="1575" spans="1:1">
      <c r="A1575" t="s">
        <v>45447</v>
      </c>
    </row>
    <row r="1576" spans="1:1">
      <c r="A1576" t="e" cm="1">
        <f t="array" ref="A1576">--------------YCVQDCE-----------------LC--------LNIMQKL-EIVT</f>
        <v>#NAME?</v>
      </c>
    </row>
    <row r="1577" spans="1:1">
      <c r="A1577" t="s">
        <v>46037</v>
      </c>
    </row>
    <row r="1578" spans="1:1">
      <c r="A1578" t="s">
        <v>46038</v>
      </c>
    </row>
    <row r="1579" spans="1:1">
      <c r="A1579" t="s">
        <v>46039</v>
      </c>
    </row>
    <row r="1580" spans="1:1">
      <c r="A1580" t="s">
        <v>46040</v>
      </c>
    </row>
    <row r="1581" spans="1:1">
      <c r="A1581" t="e" cm="1">
        <f t="array" ref="A1581">------------S-YE--------------------------------GAEV-LEPTPAI</f>
        <v>#NAME?</v>
      </c>
    </row>
    <row r="1582" spans="1:1">
      <c r="A1582" t="s">
        <v>46041</v>
      </c>
    </row>
    <row r="1583" spans="1:1">
      <c r="A1583" t="s">
        <v>41057</v>
      </c>
    </row>
    <row r="1584" spans="1:1">
      <c r="A1584" t="s">
        <v>41057</v>
      </c>
    </row>
    <row r="1585" spans="1:1">
      <c r="A1585" t="s">
        <v>41057</v>
      </c>
    </row>
    <row r="1586" spans="1:1">
      <c r="A1586" t="s">
        <v>41057</v>
      </c>
    </row>
    <row r="1587" spans="1:1">
      <c r="A1587" t="s">
        <v>41057</v>
      </c>
    </row>
    <row r="1588" spans="1:1">
      <c r="A1588" t="s">
        <v>41057</v>
      </c>
    </row>
    <row r="1589" spans="1:1">
      <c r="A1589" t="s">
        <v>41057</v>
      </c>
    </row>
    <row r="1590" spans="1:1">
      <c r="A1590" t="s">
        <v>41057</v>
      </c>
    </row>
    <row r="1591" spans="1:1">
      <c r="A1591" t="s">
        <v>46042</v>
      </c>
    </row>
    <row r="1592" spans="1:1">
      <c r="A1592" t="s">
        <v>46043</v>
      </c>
    </row>
    <row r="1593" spans="1:1">
      <c r="A1593" t="e" cm="1">
        <f t="array" ref="A1593">---------------VYY----------------------------------------DN</f>
        <v>#NAME?</v>
      </c>
    </row>
    <row r="1594" spans="1:1">
      <c r="A1594" t="s">
        <v>46044</v>
      </c>
    </row>
    <row r="1595" spans="1:1">
      <c r="A1595" t="s">
        <v>41057</v>
      </c>
    </row>
    <row r="1596" spans="1:1">
      <c r="A1596" t="s">
        <v>46045</v>
      </c>
    </row>
    <row r="1597" spans="1:1">
      <c r="A1597" t="s">
        <v>46046</v>
      </c>
    </row>
    <row r="1598" spans="1:1">
      <c r="A1598" t="s">
        <v>46047</v>
      </c>
    </row>
    <row r="1599" spans="1:1">
      <c r="A1599" t="s">
        <v>46048</v>
      </c>
    </row>
    <row r="1600" spans="1:1">
      <c r="A1600" t="s">
        <v>46049</v>
      </c>
    </row>
    <row r="1601" spans="1:1">
      <c r="A1601" t="s">
        <v>46050</v>
      </c>
    </row>
    <row r="1602" spans="1:1">
      <c r="A1602" t="s">
        <v>46051</v>
      </c>
    </row>
    <row r="1603" spans="1:1">
      <c r="A1603" t="s">
        <v>45913</v>
      </c>
    </row>
    <row r="1604" spans="1:1">
      <c r="A1604" t="s">
        <v>41057</v>
      </c>
    </row>
    <row r="1605" spans="1:1">
      <c r="A1605" t="s">
        <v>41057</v>
      </c>
    </row>
    <row r="1606" spans="1:1">
      <c r="A1606" t="s">
        <v>41057</v>
      </c>
    </row>
    <row r="1607" spans="1:1">
      <c r="A1607" t="s">
        <v>41057</v>
      </c>
    </row>
    <row r="1608" spans="1:1">
      <c r="A1608" t="s">
        <v>41057</v>
      </c>
    </row>
    <row r="1609" spans="1:1">
      <c r="A1609" t="s">
        <v>41057</v>
      </c>
    </row>
    <row r="1610" spans="1:1">
      <c r="A1610" t="s">
        <v>41057</v>
      </c>
    </row>
    <row r="1611" spans="1:1">
      <c r="A1611" t="s">
        <v>41057</v>
      </c>
    </row>
    <row r="1612" spans="1:1">
      <c r="A1612" t="s">
        <v>41057</v>
      </c>
    </row>
    <row r="1613" spans="1:1">
      <c r="A1613" t="s">
        <v>45463</v>
      </c>
    </row>
    <row r="1614" spans="1:1">
      <c r="A1614" t="s">
        <v>41057</v>
      </c>
    </row>
    <row r="1615" spans="1:1">
      <c r="A1615" t="s">
        <v>41057</v>
      </c>
    </row>
    <row r="1616" spans="1:1">
      <c r="A1616" t="s">
        <v>41057</v>
      </c>
    </row>
    <row r="1617" spans="1:1">
      <c r="A1617" t="s">
        <v>41057</v>
      </c>
    </row>
    <row r="1618" spans="1:1">
      <c r="A1618" t="s">
        <v>41057</v>
      </c>
    </row>
    <row r="1619" spans="1:1">
      <c r="A1619" t="s">
        <v>46052</v>
      </c>
    </row>
    <row r="1620" spans="1:1">
      <c r="A1620" t="s">
        <v>46053</v>
      </c>
    </row>
    <row r="1621" spans="1:1">
      <c r="A1621" t="s">
        <v>41057</v>
      </c>
    </row>
    <row r="1622" spans="1:1">
      <c r="A1622" t="s">
        <v>41057</v>
      </c>
    </row>
    <row r="1623" spans="1:1">
      <c r="A1623" t="s">
        <v>46054</v>
      </c>
    </row>
    <row r="1624" spans="1:1">
      <c r="A1624" t="e" cm="1">
        <f t="array" ref="A1624">-------------ADIVYGDSV------------TGYTPITI---KYKEQ--IFIEKIEN</f>
        <v>#NAME?</v>
      </c>
    </row>
    <row r="1625" spans="1:1">
      <c r="A1625" t="s">
        <v>46055</v>
      </c>
    </row>
    <row r="1626" spans="1:1">
      <c r="A1626" t="s">
        <v>41057</v>
      </c>
    </row>
    <row r="1627" spans="1:1">
      <c r="A1627" t="e" cm="1">
        <f t="array" ref="A1627">----------------------KC-------------------ID----------PGKQE</f>
        <v>#NAME?</v>
      </c>
    </row>
    <row r="1628" spans="1:1">
      <c r="A1628" t="s">
        <v>46056</v>
      </c>
    </row>
    <row r="1629" spans="1:1">
      <c r="A1629" t="s">
        <v>46057</v>
      </c>
    </row>
    <row r="1630" spans="1:1">
      <c r="A1630" t="s">
        <v>46058</v>
      </c>
    </row>
    <row r="1631" spans="1:1">
      <c r="A1631" t="s">
        <v>46059</v>
      </c>
    </row>
    <row r="1632" spans="1:1">
      <c r="A1632" t="s">
        <v>46060</v>
      </c>
    </row>
    <row r="1633" spans="1:1">
      <c r="A1633" t="s">
        <v>41057</v>
      </c>
    </row>
    <row r="1634" spans="1:1">
      <c r="A1634" t="s">
        <v>46061</v>
      </c>
    </row>
    <row r="1635" spans="1:1">
      <c r="A1635" t="s">
        <v>46062</v>
      </c>
    </row>
    <row r="1636" spans="1:1">
      <c r="A1636" t="e" cm="1">
        <f t="array" ref="A1636">-----------------NHEFQAGIG----N--IIV---------HNTDSI--------F</f>
        <v>#NAME?</v>
      </c>
    </row>
    <row r="1637" spans="1:1">
      <c r="A1637" t="s">
        <v>41087</v>
      </c>
    </row>
    <row r="1638" spans="1:1">
      <c r="A1638" t="s">
        <v>46063</v>
      </c>
    </row>
    <row r="1639" spans="1:1">
      <c r="A1639" t="s">
        <v>46064</v>
      </c>
    </row>
    <row r="1640" spans="1:1">
      <c r="A1640" t="s">
        <v>46065</v>
      </c>
    </row>
    <row r="1641" spans="1:1">
      <c r="A1641" t="e" cm="1">
        <f t="array" ref="A1641">--------PH------KLEYEK-TFSPFIL----------L-RKKGYI-----------G</f>
        <v>#NAME?</v>
      </c>
    </row>
    <row r="1642" spans="1:1">
      <c r="A1642" t="s">
        <v>46066</v>
      </c>
    </row>
    <row r="1643" spans="1:1">
      <c r="A1643" t="s">
        <v>46067</v>
      </c>
    </row>
    <row r="1644" spans="1:1">
      <c r="A1644" t="s">
        <v>46068</v>
      </c>
    </row>
    <row r="1645" spans="1:1">
      <c r="A1645" t="s">
        <v>45932</v>
      </c>
    </row>
    <row r="1646" spans="1:1">
      <c r="A1646" t="s">
        <v>46069</v>
      </c>
    </row>
    <row r="1647" spans="1:1">
      <c r="A1647" t="s">
        <v>46070</v>
      </c>
    </row>
    <row r="1648" spans="1:1">
      <c r="A1648" t="s">
        <v>46071</v>
      </c>
    </row>
    <row r="1649" spans="1:1">
      <c r="A1649" t="s">
        <v>46072</v>
      </c>
    </row>
    <row r="1650" spans="1:1">
      <c r="A1650" t="s">
        <v>46073</v>
      </c>
    </row>
    <row r="1651" spans="1:1">
      <c r="A1651" t="s">
        <v>46074</v>
      </c>
    </row>
    <row r="1652" spans="1:1">
      <c r="A1652" t="s">
        <v>46075</v>
      </c>
    </row>
    <row r="1653" spans="1:1">
      <c r="A1653" t="s">
        <v>41057</v>
      </c>
    </row>
    <row r="1654" spans="1:1">
      <c r="A1654" t="s">
        <v>46076</v>
      </c>
    </row>
    <row r="1655" spans="1:1">
      <c r="A1655" t="s">
        <v>46077</v>
      </c>
    </row>
    <row r="1656" spans="1:1">
      <c r="A1656" t="s">
        <v>46078</v>
      </c>
    </row>
    <row r="1657" spans="1:1">
      <c r="A1657" t="s">
        <v>46079</v>
      </c>
    </row>
    <row r="1658" spans="1:1">
      <c r="A1658" t="s">
        <v>46080</v>
      </c>
    </row>
    <row r="1659" spans="1:1">
      <c r="A1659" t="s">
        <v>46081</v>
      </c>
    </row>
    <row r="1660" spans="1:1">
      <c r="A1660" t="s">
        <v>46082</v>
      </c>
    </row>
    <row r="1661" spans="1:1">
      <c r="A1661" t="s">
        <v>41057</v>
      </c>
    </row>
    <row r="1662" spans="1:1">
      <c r="A1662" t="s">
        <v>41057</v>
      </c>
    </row>
    <row r="1663" spans="1:1">
      <c r="A1663" t="e" cm="1">
        <f t="array" ref="A1663">---------------------------------------------------------KKK</f>
        <v>#NAME?</v>
      </c>
    </row>
    <row r="1664" spans="1:1">
      <c r="A1664" t="s">
        <v>45870</v>
      </c>
    </row>
    <row r="1665" spans="1:1">
      <c r="A1665" t="s">
        <v>43188</v>
      </c>
    </row>
    <row r="1666" spans="1:1">
      <c r="A1666" t="s">
        <v>41057</v>
      </c>
    </row>
    <row r="1667" spans="1:1">
      <c r="A1667" t="s">
        <v>41057</v>
      </c>
    </row>
    <row r="1668" spans="1:1">
      <c r="A1668" t="s">
        <v>41057</v>
      </c>
    </row>
    <row r="1669" spans="1:1">
      <c r="A1669" t="s">
        <v>41057</v>
      </c>
    </row>
    <row r="1670" spans="1:1">
      <c r="A1670" t="s">
        <v>46083</v>
      </c>
    </row>
    <row r="1671" spans="1:1">
      <c r="A1671" t="s">
        <v>46084</v>
      </c>
    </row>
    <row r="1672" spans="1:1">
      <c r="A1672" t="s">
        <v>46085</v>
      </c>
    </row>
    <row r="1673" spans="1:1">
      <c r="A1673" t="s">
        <v>46086</v>
      </c>
    </row>
    <row r="1674" spans="1:1">
      <c r="A1674" t="e" cm="1">
        <f t="array" ref="A1674">-------------------------EN-----EDG-----------------------KD</f>
        <v>#NAME?</v>
      </c>
    </row>
    <row r="1675" spans="1:1">
      <c r="A1675" t="s">
        <v>46087</v>
      </c>
    </row>
    <row r="1676" spans="1:1">
      <c r="A1676" t="s">
        <v>46088</v>
      </c>
    </row>
    <row r="1677" spans="1:1">
      <c r="A1677" t="s">
        <v>46089</v>
      </c>
    </row>
    <row r="1678" spans="1:1">
      <c r="A1678" t="s">
        <v>46090</v>
      </c>
    </row>
    <row r="1679" spans="1:1">
      <c r="A1679" t="s">
        <v>46091</v>
      </c>
    </row>
    <row r="1680" spans="1:1">
      <c r="A1680" t="s">
        <v>46092</v>
      </c>
    </row>
    <row r="1681" spans="1:1">
      <c r="A1681" t="s">
        <v>46093</v>
      </c>
    </row>
    <row r="1682" spans="1:1">
      <c r="A1682" t="s">
        <v>46094</v>
      </c>
    </row>
    <row r="1683" spans="1:1">
      <c r="A1683" t="s">
        <v>46095</v>
      </c>
    </row>
    <row r="1684" spans="1:1">
      <c r="A1684" t="s">
        <v>46096</v>
      </c>
    </row>
    <row r="1685" spans="1:1">
      <c r="A1685" t="s">
        <v>41057</v>
      </c>
    </row>
    <row r="1686" spans="1:1">
      <c r="A1686" t="s">
        <v>41057</v>
      </c>
    </row>
    <row r="1687" spans="1:1">
      <c r="A1687" t="s">
        <v>41057</v>
      </c>
    </row>
    <row r="1688" spans="1:1">
      <c r="A1688" t="s">
        <v>46097</v>
      </c>
    </row>
    <row r="1689" spans="1:1">
      <c r="A1689" t="s">
        <v>46098</v>
      </c>
    </row>
    <row r="1690" spans="1:1">
      <c r="A1690" t="s">
        <v>45438</v>
      </c>
    </row>
    <row r="1691" spans="1:1">
      <c r="A1691" t="s">
        <v>46099</v>
      </c>
    </row>
    <row r="1692" spans="1:1">
      <c r="A1692" t="e" cm="1">
        <f t="array" ref="A1692">---DYKYLKNRAKKL---G-------------------------------------IE-Y</f>
        <v>#NAME?</v>
      </c>
    </row>
    <row r="1693" spans="1:1">
      <c r="A1693" t="s">
        <v>46100</v>
      </c>
    </row>
    <row r="1694" spans="1:1">
      <c r="A1694" t="e" cm="1">
        <f t="array" ref="A1694">-------------------------------------ECTQFKEKDLSSAALG-KNIMTY</f>
        <v>#NAME?</v>
      </c>
    </row>
    <row r="1695" spans="1:1">
      <c r="A1695" t="s">
        <v>46101</v>
      </c>
    </row>
    <row r="1696" spans="1:1">
      <c r="A1696" t="s">
        <v>46102</v>
      </c>
    </row>
    <row r="1697" spans="1:1">
      <c r="A1697" t="s">
        <v>46103</v>
      </c>
    </row>
    <row r="1698" spans="1:1">
      <c r="A1698" t="s">
        <v>46104</v>
      </c>
    </row>
    <row r="1699" spans="1:1">
      <c r="A1699" t="s">
        <v>46105</v>
      </c>
    </row>
    <row r="1700" spans="1:1">
      <c r="A1700" t="e" cm="1">
        <f t="array" ref="A1700">-------------------------SAKDI-------FR-LQK----------------G</f>
        <v>#NAME?</v>
      </c>
    </row>
    <row r="1701" spans="1:1">
      <c r="A1701" t="s">
        <v>46106</v>
      </c>
    </row>
    <row r="1702" spans="1:1">
      <c r="A1702" t="s">
        <v>41057</v>
      </c>
    </row>
    <row r="1703" spans="1:1">
      <c r="A1703" t="s">
        <v>45447</v>
      </c>
    </row>
    <row r="1704" spans="1:1">
      <c r="A1704" t="e" cm="1">
        <f t="array" ref="A1704">--------------YCLMDCA-----------------LC--------NKLMAKL-CVIT</f>
        <v>#NAME?</v>
      </c>
    </row>
    <row r="1705" spans="1:1">
      <c r="A1705" t="s">
        <v>46107</v>
      </c>
    </row>
    <row r="1706" spans="1:1">
      <c r="A1706" t="s">
        <v>46108</v>
      </c>
    </row>
    <row r="1707" spans="1:1">
      <c r="A1707" t="s">
        <v>46109</v>
      </c>
    </row>
    <row r="1708" spans="1:1">
      <c r="A1708" t="s">
        <v>46110</v>
      </c>
    </row>
    <row r="1709" spans="1:1">
      <c r="A1709" t="e" cm="1">
        <f t="array" ref="A1709">------------S-YE--------------------------------GATV-FPPQKGV</f>
        <v>#NAME?</v>
      </c>
    </row>
    <row r="1710" spans="1:1">
      <c r="A1710" t="s">
        <v>46111</v>
      </c>
    </row>
    <row r="1711" spans="1:1">
      <c r="A1711" t="s">
        <v>41057</v>
      </c>
    </row>
    <row r="1712" spans="1:1">
      <c r="A1712" t="s">
        <v>41057</v>
      </c>
    </row>
    <row r="1713" spans="1:1">
      <c r="A1713" t="s">
        <v>41057</v>
      </c>
    </row>
    <row r="1714" spans="1:1">
      <c r="A1714" t="s">
        <v>41057</v>
      </c>
    </row>
    <row r="1715" spans="1:1">
      <c r="A1715" t="s">
        <v>41057</v>
      </c>
    </row>
    <row r="1716" spans="1:1">
      <c r="A1716" t="s">
        <v>41057</v>
      </c>
    </row>
    <row r="1717" spans="1:1">
      <c r="A1717" t="s">
        <v>41057</v>
      </c>
    </row>
    <row r="1718" spans="1:1">
      <c r="A1718" t="s">
        <v>41057</v>
      </c>
    </row>
    <row r="1719" spans="1:1">
      <c r="A1719" t="s">
        <v>46112</v>
      </c>
    </row>
    <row r="1720" spans="1:1">
      <c r="A1720" t="s">
        <v>46113</v>
      </c>
    </row>
    <row r="1721" spans="1:1">
      <c r="A1721" t="e" cm="1">
        <f t="array" ref="A1721">---------------TTYMVS----KIVEDVDKKYPQA-------SIIIFKDRLQKTIKK</f>
        <v>#NAME?</v>
      </c>
    </row>
    <row r="1722" spans="1:1">
      <c r="A1722" t="s">
        <v>46114</v>
      </c>
    </row>
    <row r="1723" spans="1:1">
      <c r="A1723" t="s">
        <v>46115</v>
      </c>
    </row>
    <row r="1724" spans="1:1">
      <c r="A1724" t="s">
        <v>46116</v>
      </c>
    </row>
    <row r="1725" spans="1:1">
      <c r="A1725" t="s">
        <v>46117</v>
      </c>
    </row>
    <row r="1726" spans="1:1">
      <c r="A1726" t="s">
        <v>46118</v>
      </c>
    </row>
    <row r="1727" spans="1:1">
      <c r="A1727" t="s">
        <v>46119</v>
      </c>
    </row>
    <row r="1728" spans="1:1">
      <c r="A1728" t="s">
        <v>46120</v>
      </c>
    </row>
    <row r="1729" spans="1:1">
      <c r="A1729" t="s">
        <v>46121</v>
      </c>
    </row>
    <row r="1730" spans="1:1">
      <c r="A1730" t="s">
        <v>46122</v>
      </c>
    </row>
    <row r="1731" spans="1:1">
      <c r="A1731" t="s">
        <v>46123</v>
      </c>
    </row>
    <row r="1732" spans="1:1">
      <c r="A1732" t="s">
        <v>41057</v>
      </c>
    </row>
    <row r="1733" spans="1:1">
      <c r="A1733" t="s">
        <v>41057</v>
      </c>
    </row>
    <row r="1734" spans="1:1">
      <c r="A1734" t="s">
        <v>41057</v>
      </c>
    </row>
    <row r="1735" spans="1:1">
      <c r="A1735" t="s">
        <v>41057</v>
      </c>
    </row>
    <row r="1736" spans="1:1">
      <c r="A1736" t="s">
        <v>41057</v>
      </c>
    </row>
    <row r="1737" spans="1:1">
      <c r="A1737" t="s">
        <v>41057</v>
      </c>
    </row>
    <row r="1738" spans="1:1">
      <c r="A1738" t="s">
        <v>41057</v>
      </c>
    </row>
    <row r="1739" spans="1:1">
      <c r="A1739" t="s">
        <v>41057</v>
      </c>
    </row>
    <row r="1740" spans="1:1">
      <c r="A1740" t="s">
        <v>41057</v>
      </c>
    </row>
    <row r="1741" spans="1:1">
      <c r="A1741" t="s">
        <v>45463</v>
      </c>
    </row>
    <row r="1742" spans="1:1">
      <c r="A1742" t="s">
        <v>41057</v>
      </c>
    </row>
    <row r="1743" spans="1:1">
      <c r="A1743" t="s">
        <v>41057</v>
      </c>
    </row>
    <row r="1744" spans="1:1">
      <c r="A1744" t="s">
        <v>41057</v>
      </c>
    </row>
    <row r="1745" spans="1:1">
      <c r="A1745" t="s">
        <v>41057</v>
      </c>
    </row>
    <row r="1746" spans="1:1">
      <c r="A1746" t="s">
        <v>41057</v>
      </c>
    </row>
    <row r="1747" spans="1:1">
      <c r="A1747" t="s">
        <v>46124</v>
      </c>
    </row>
    <row r="1748" spans="1:1">
      <c r="A1748" t="s">
        <v>46125</v>
      </c>
    </row>
    <row r="1749" spans="1:1">
      <c r="A1749" t="e" cm="1">
        <f t="array" ref="A1749">-----------------------------------------------------------T</f>
        <v>#NAME?</v>
      </c>
    </row>
    <row r="1750" spans="1:1">
      <c r="A1750" t="s">
        <v>46126</v>
      </c>
    </row>
    <row r="1751" spans="1:1">
      <c r="A1751" t="e" cm="1">
        <f t="array" ref="A1751">--------------NKFVQ---------------------PKNGFVNREQFYDAFYNKVS</f>
        <v>#NAME?</v>
      </c>
    </row>
    <row r="1752" spans="1:1">
      <c r="A1752" t="s">
        <v>46127</v>
      </c>
    </row>
    <row r="1753" spans="1:1">
      <c r="A1753" t="s">
        <v>46128</v>
      </c>
    </row>
    <row r="1754" spans="1:1">
      <c r="A1754" t="s">
        <v>46129</v>
      </c>
    </row>
    <row r="1755" spans="1:1">
      <c r="A1755" t="s">
        <v>46130</v>
      </c>
    </row>
    <row r="1756" spans="1:1">
      <c r="A1756" t="s">
        <v>46131</v>
      </c>
    </row>
    <row r="1757" spans="1:1">
      <c r="A1757" t="s">
        <v>46132</v>
      </c>
    </row>
    <row r="1758" spans="1:1">
      <c r="A1758" t="s">
        <v>46133</v>
      </c>
    </row>
    <row r="1759" spans="1:1">
      <c r="A1759" t="s">
        <v>41057</v>
      </c>
    </row>
    <row r="1760" spans="1:1">
      <c r="A1760" t="s">
        <v>46134</v>
      </c>
    </row>
    <row r="1761" spans="1:1">
      <c r="A1761" t="s">
        <v>46135</v>
      </c>
    </row>
    <row r="1762" spans="1:1">
      <c r="A1762" t="s">
        <v>46136</v>
      </c>
    </row>
    <row r="1763" spans="1:1">
      <c r="A1763" t="s">
        <v>46137</v>
      </c>
    </row>
    <row r="1764" spans="1:1">
      <c r="A1764" t="e" cm="1">
        <f t="array" ref="A1764">-----------------HGRFHAGVG----E--LIV---------TNTDST--------F</f>
        <v>#NAME?</v>
      </c>
    </row>
    <row r="1765" spans="1:1">
      <c r="A1765" t="s">
        <v>46138</v>
      </c>
    </row>
    <row r="1766" spans="1:1">
      <c r="A1766" t="s">
        <v>46139</v>
      </c>
    </row>
    <row r="1767" spans="1:1">
      <c r="A1767" t="e" cm="1">
        <f t="array" ref="A1767">--GEIRKDFWS----------------------------REC----CIQ----------L</f>
        <v>#NAME?</v>
      </c>
    </row>
    <row r="1768" spans="1:1">
      <c r="A1768" t="s">
        <v>46140</v>
      </c>
    </row>
    <row r="1769" spans="1:1">
      <c r="A1769" t="e" cm="1">
        <f t="array" ref="A1769">--------PM------QMAYEK-VLHPFII----------L-TKKRYV-----------G</f>
        <v>#NAME?</v>
      </c>
    </row>
    <row r="1770" spans="1:1">
      <c r="A1770" t="s">
        <v>46141</v>
      </c>
    </row>
    <row r="1771" spans="1:1">
      <c r="A1771" t="s">
        <v>46142</v>
      </c>
    </row>
    <row r="1772" spans="1:1">
      <c r="A1772" t="s">
        <v>46143</v>
      </c>
    </row>
    <row r="1773" spans="1:1">
      <c r="A1773" t="s">
        <v>46144</v>
      </c>
    </row>
    <row r="1774" spans="1:1">
      <c r="A1774" t="e" cm="1">
        <f t="array" ref="A1774">--IDKYIITK-TLR----------G---------------------------PGLNFNER</f>
        <v>#NAME?</v>
      </c>
    </row>
    <row r="1775" spans="1:1">
      <c r="A1775" t="s">
        <v>46145</v>
      </c>
    </row>
    <row r="1776" spans="1:1">
      <c r="A1776" t="s">
        <v>46146</v>
      </c>
    </row>
    <row r="1777" spans="1:1">
      <c r="A1777" t="s">
        <v>46147</v>
      </c>
    </row>
    <row r="1778" spans="1:1">
      <c r="A1778" t="s">
        <v>46148</v>
      </c>
    </row>
    <row r="1779" spans="1:1">
      <c r="A1779" t="s">
        <v>46149</v>
      </c>
    </row>
    <row r="1780" spans="1:1">
      <c r="A1780" t="s">
        <v>46150</v>
      </c>
    </row>
    <row r="1781" spans="1:1">
      <c r="A1781" t="s">
        <v>41057</v>
      </c>
    </row>
    <row r="1782" spans="1:1">
      <c r="A1782" t="s">
        <v>46151</v>
      </c>
    </row>
    <row r="1783" spans="1:1">
      <c r="A1783" t="s">
        <v>41057</v>
      </c>
    </row>
    <row r="1784" spans="1:1">
      <c r="A1784" t="s">
        <v>41057</v>
      </c>
    </row>
    <row r="1785" spans="1:1">
      <c r="A1785" t="s">
        <v>46152</v>
      </c>
    </row>
    <row r="1786" spans="1:1">
      <c r="A1786" t="s">
        <v>46153</v>
      </c>
    </row>
    <row r="1787" spans="1:1">
      <c r="A1787" t="s">
        <v>46154</v>
      </c>
    </row>
    <row r="1788" spans="1:1">
      <c r="A1788" t="s">
        <v>46155</v>
      </c>
    </row>
    <row r="1789" spans="1:1">
      <c r="A1789" t="s">
        <v>46156</v>
      </c>
    </row>
    <row r="1790" spans="1:1">
      <c r="A1790" t="s">
        <v>46157</v>
      </c>
    </row>
    <row r="1791" spans="1:1">
      <c r="A1791" t="e" cm="1">
        <f t="array" ref="A1791">-KKPKVRVVKS----------------------------------------------KKK</f>
        <v>#NAME?</v>
      </c>
    </row>
    <row r="1792" spans="1:1">
      <c r="A1792" t="s">
        <v>46158</v>
      </c>
    </row>
    <row r="1793" spans="1:1">
      <c r="A1793" t="s">
        <v>43240</v>
      </c>
    </row>
    <row r="1794" spans="1:1">
      <c r="A1794" t="s">
        <v>41057</v>
      </c>
    </row>
    <row r="1795" spans="1:1">
      <c r="A1795" t="s">
        <v>41057</v>
      </c>
    </row>
    <row r="1796" spans="1:1">
      <c r="A1796" t="s">
        <v>46159</v>
      </c>
    </row>
    <row r="1797" spans="1:1">
      <c r="A1797" t="s">
        <v>41057</v>
      </c>
    </row>
    <row r="1798" spans="1:1">
      <c r="A1798" t="s">
        <v>41057</v>
      </c>
    </row>
    <row r="1799" spans="1:1">
      <c r="A1799" t="s">
        <v>45577</v>
      </c>
    </row>
    <row r="1800" spans="1:1">
      <c r="A1800" t="s">
        <v>46085</v>
      </c>
    </row>
    <row r="1801" spans="1:1">
      <c r="A1801" t="s">
        <v>46160</v>
      </c>
    </row>
    <row r="1802" spans="1:1">
      <c r="A1802" t="e" cm="1">
        <f t="array" ref="A1802">--------------------------------HEE-----------------------NS</f>
        <v>#NAME?</v>
      </c>
    </row>
    <row r="1803" spans="1:1">
      <c r="A1803" t="s">
        <v>46161</v>
      </c>
    </row>
    <row r="1804" spans="1:1">
      <c r="A1804" t="s">
        <v>46162</v>
      </c>
    </row>
    <row r="1805" spans="1:1">
      <c r="A1805" t="s">
        <v>46163</v>
      </c>
    </row>
    <row r="1806" spans="1:1">
      <c r="A1806" t="s">
        <v>46164</v>
      </c>
    </row>
    <row r="1807" spans="1:1">
      <c r="A1807" t="s">
        <v>46165</v>
      </c>
    </row>
    <row r="1808" spans="1:1">
      <c r="A1808" t="s">
        <v>46166</v>
      </c>
    </row>
    <row r="1809" spans="1:1">
      <c r="A1809" t="s">
        <v>46167</v>
      </c>
    </row>
    <row r="1810" spans="1:1">
      <c r="A1810" t="s">
        <v>46168</v>
      </c>
    </row>
    <row r="1811" spans="1:1">
      <c r="A1811" t="s">
        <v>46169</v>
      </c>
    </row>
    <row r="1812" spans="1:1">
      <c r="A1812" t="s">
        <v>46170</v>
      </c>
    </row>
    <row r="1813" spans="1:1">
      <c r="A1813" t="s">
        <v>41057</v>
      </c>
    </row>
    <row r="1814" spans="1:1">
      <c r="A1814" t="s">
        <v>41057</v>
      </c>
    </row>
    <row r="1815" spans="1:1">
      <c r="A1815" t="s">
        <v>41057</v>
      </c>
    </row>
    <row r="1816" spans="1:1">
      <c r="A1816" t="s">
        <v>46171</v>
      </c>
    </row>
    <row r="1817" spans="1:1">
      <c r="A1817" t="s">
        <v>46172</v>
      </c>
    </row>
    <row r="1818" spans="1:1">
      <c r="A1818" t="s">
        <v>45438</v>
      </c>
    </row>
    <row r="1819" spans="1:1">
      <c r="A1819" t="s">
        <v>46173</v>
      </c>
    </row>
    <row r="1820" spans="1:1">
      <c r="A1820" t="e" cm="1">
        <f t="array" ref="A1820">---DLQYLKDRSKKL---G-------------------------------------IF-E</f>
        <v>#NAME?</v>
      </c>
    </row>
    <row r="1821" spans="1:1">
      <c r="A1821" t="s">
        <v>46174</v>
      </c>
    </row>
    <row r="1822" spans="1:1">
      <c r="A1822" t="e" cm="1">
        <f t="array" ref="A1822">-------------------------------------EISPFKETKLASSALG-ENILKY</f>
        <v>#NAME?</v>
      </c>
    </row>
    <row r="1823" spans="1:1">
      <c r="A1823" t="s">
        <v>46175</v>
      </c>
    </row>
    <row r="1824" spans="1:1">
      <c r="A1824" t="s">
        <v>46176</v>
      </c>
    </row>
    <row r="1825" spans="1:1">
      <c r="A1825" t="s">
        <v>46177</v>
      </c>
    </row>
    <row r="1826" spans="1:1">
      <c r="A1826" t="s">
        <v>46178</v>
      </c>
    </row>
    <row r="1827" spans="1:1">
      <c r="A1827" t="s">
        <v>46179</v>
      </c>
    </row>
    <row r="1828" spans="1:1">
      <c r="A1828" t="e" cm="1">
        <f t="array" ref="A1828">-------------------------SPKDI-------FR-LQR----------------G</f>
        <v>#NAME?</v>
      </c>
    </row>
    <row r="1829" spans="1:1">
      <c r="A1829" t="s">
        <v>46180</v>
      </c>
    </row>
    <row r="1830" spans="1:1">
      <c r="A1830" t="s">
        <v>41057</v>
      </c>
    </row>
    <row r="1831" spans="1:1">
      <c r="A1831" t="s">
        <v>45447</v>
      </c>
    </row>
    <row r="1832" spans="1:1">
      <c r="A1832" t="e" cm="1">
        <f t="array" ref="A1832">--------------YCLQDCV-----------------LC--------NKLIAKL-SVII</f>
        <v>#NAME?</v>
      </c>
    </row>
    <row r="1833" spans="1:1">
      <c r="A1833" t="s">
        <v>46181</v>
      </c>
    </row>
    <row r="1834" spans="1:1">
      <c r="A1834" t="s">
        <v>46182</v>
      </c>
    </row>
    <row r="1835" spans="1:1">
      <c r="A1835" t="s">
        <v>46183</v>
      </c>
    </row>
    <row r="1836" spans="1:1">
      <c r="A1836" t="s">
        <v>46184</v>
      </c>
    </row>
    <row r="1837" spans="1:1">
      <c r="A1837" t="e" cm="1">
        <f t="array" ref="A1837">------------G-YE--------------------------------GAIV-FPPTAGV</f>
        <v>#NAME?</v>
      </c>
    </row>
    <row r="1838" spans="1:1">
      <c r="A1838" t="s">
        <v>46185</v>
      </c>
    </row>
    <row r="1839" spans="1:1">
      <c r="A1839" t="s">
        <v>41057</v>
      </c>
    </row>
    <row r="1840" spans="1:1">
      <c r="A1840" t="s">
        <v>41057</v>
      </c>
    </row>
    <row r="1841" spans="1:1">
      <c r="A1841" t="s">
        <v>41057</v>
      </c>
    </row>
    <row r="1842" spans="1:1">
      <c r="A1842" t="s">
        <v>41057</v>
      </c>
    </row>
    <row r="1843" spans="1:1">
      <c r="A1843" t="s">
        <v>41057</v>
      </c>
    </row>
    <row r="1844" spans="1:1">
      <c r="A1844" t="s">
        <v>41057</v>
      </c>
    </row>
    <row r="1845" spans="1:1">
      <c r="A1845" t="s">
        <v>41057</v>
      </c>
    </row>
    <row r="1846" spans="1:1">
      <c r="A1846" t="s">
        <v>41057</v>
      </c>
    </row>
    <row r="1847" spans="1:1">
      <c r="A1847" t="s">
        <v>46186</v>
      </c>
    </row>
    <row r="1848" spans="1:1">
      <c r="A1848" t="s">
        <v>46187</v>
      </c>
    </row>
    <row r="1849" spans="1:1">
      <c r="A1849" t="e" cm="1">
        <f t="array" ref="A1849">---------------IQYTTG----TMNEPYERG------------------KLKSLLDS</f>
        <v>#NAME?</v>
      </c>
    </row>
    <row r="1850" spans="1:1">
      <c r="A1850" t="s">
        <v>46188</v>
      </c>
    </row>
    <row r="1851" spans="1:1">
      <c r="A1851" t="s">
        <v>46189</v>
      </c>
    </row>
    <row r="1852" spans="1:1">
      <c r="A1852" t="s">
        <v>46190</v>
      </c>
    </row>
    <row r="1853" spans="1:1">
      <c r="A1853" t="s">
        <v>46191</v>
      </c>
    </row>
    <row r="1854" spans="1:1">
      <c r="A1854" t="s">
        <v>46192</v>
      </c>
    </row>
    <row r="1855" spans="1:1">
      <c r="A1855" t="s">
        <v>46193</v>
      </c>
    </row>
    <row r="1856" spans="1:1">
      <c r="A1856" t="s">
        <v>46194</v>
      </c>
    </row>
    <row r="1857" spans="1:1">
      <c r="A1857" t="s">
        <v>46195</v>
      </c>
    </row>
    <row r="1858" spans="1:1">
      <c r="A1858" t="s">
        <v>46196</v>
      </c>
    </row>
    <row r="1859" spans="1:1">
      <c r="A1859" t="s">
        <v>46197</v>
      </c>
    </row>
    <row r="1860" spans="1:1">
      <c r="A1860" t="s">
        <v>41057</v>
      </c>
    </row>
    <row r="1861" spans="1:1">
      <c r="A1861" t="s">
        <v>41057</v>
      </c>
    </row>
    <row r="1862" spans="1:1">
      <c r="A1862" t="s">
        <v>41057</v>
      </c>
    </row>
    <row r="1863" spans="1:1">
      <c r="A1863" t="s">
        <v>41057</v>
      </c>
    </row>
    <row r="1864" spans="1:1">
      <c r="A1864" t="s">
        <v>41057</v>
      </c>
    </row>
    <row r="1865" spans="1:1">
      <c r="A1865" t="s">
        <v>41057</v>
      </c>
    </row>
    <row r="1866" spans="1:1">
      <c r="A1866" t="s">
        <v>41057</v>
      </c>
    </row>
    <row r="1867" spans="1:1">
      <c r="A1867" t="s">
        <v>41057</v>
      </c>
    </row>
    <row r="1868" spans="1:1">
      <c r="A1868" t="s">
        <v>41057</v>
      </c>
    </row>
    <row r="1869" spans="1:1">
      <c r="A1869" t="s">
        <v>45463</v>
      </c>
    </row>
    <row r="1870" spans="1:1">
      <c r="A1870" t="s">
        <v>41057</v>
      </c>
    </row>
    <row r="1871" spans="1:1">
      <c r="A1871" t="s">
        <v>41057</v>
      </c>
    </row>
    <row r="1872" spans="1:1">
      <c r="A1872" t="s">
        <v>41057</v>
      </c>
    </row>
    <row r="1873" spans="1:1">
      <c r="A1873" t="s">
        <v>41057</v>
      </c>
    </row>
    <row r="1874" spans="1:1">
      <c r="A1874" t="s">
        <v>41057</v>
      </c>
    </row>
    <row r="1875" spans="1:1">
      <c r="A1875" t="s">
        <v>46198</v>
      </c>
    </row>
    <row r="1876" spans="1:1">
      <c r="A1876" t="s">
        <v>46199</v>
      </c>
    </row>
    <row r="1877" spans="1:1">
      <c r="A1877" t="e" cm="1">
        <f t="array" ref="A1877">-----------------------------------------------------------T</f>
        <v>#NAME?</v>
      </c>
    </row>
    <row r="1878" spans="1:1">
      <c r="A1878" t="s">
        <v>46200</v>
      </c>
    </row>
    <row r="1879" spans="1:1">
      <c r="A1879" t="e" cm="1">
        <f t="array" ref="A1879">--------------KKFKR---------------------EKNGYKTKDEFVELFEKTML</f>
        <v>#NAME?</v>
      </c>
    </row>
    <row r="1880" spans="1:1">
      <c r="A1880" t="s">
        <v>46201</v>
      </c>
    </row>
    <row r="1881" spans="1:1">
      <c r="A1881" t="s">
        <v>46202</v>
      </c>
    </row>
    <row r="1882" spans="1:1">
      <c r="A1882" t="s">
        <v>41057</v>
      </c>
    </row>
    <row r="1883" spans="1:1">
      <c r="A1883" t="e" cm="1">
        <f t="array" ref="A1883">-------------------------------------------SDK---------KGLSE</f>
        <v>#NAME?</v>
      </c>
    </row>
    <row r="1884" spans="1:1">
      <c r="A1884" t="s">
        <v>46203</v>
      </c>
    </row>
    <row r="1885" spans="1:1">
      <c r="A1885" t="s">
        <v>46204</v>
      </c>
    </row>
    <row r="1886" spans="1:1">
      <c r="A1886" t="s">
        <v>46205</v>
      </c>
    </row>
    <row r="1887" spans="1:1">
      <c r="A1887" t="s">
        <v>46206</v>
      </c>
    </row>
    <row r="1888" spans="1:1">
      <c r="A1888" t="s">
        <v>46207</v>
      </c>
    </row>
    <row r="1889" spans="1:1">
      <c r="A1889" t="s">
        <v>46208</v>
      </c>
    </row>
    <row r="1890" spans="1:1">
      <c r="A1890" t="s">
        <v>46209</v>
      </c>
    </row>
    <row r="1891" spans="1:1">
      <c r="A1891" t="s">
        <v>46210</v>
      </c>
    </row>
    <row r="1892" spans="1:1">
      <c r="A1892" t="e" cm="1">
        <f t="array" ref="A1892">-----------------AGHFHAGVG----Q--MIV---------KNTDSV--------F</f>
        <v>#NAME?</v>
      </c>
    </row>
    <row r="1893" spans="1:1">
      <c r="A1893" t="s">
        <v>46138</v>
      </c>
    </row>
    <row r="1894" spans="1:1">
      <c r="A1894" t="s">
        <v>46211</v>
      </c>
    </row>
    <row r="1895" spans="1:1">
      <c r="A1895" t="e" cm="1">
        <f t="array" ref="A1895">--GEVGRDKKA----------------------------LEI----SIQ----------L</f>
        <v>#NAME?</v>
      </c>
    </row>
    <row r="1896" spans="1:1">
      <c r="A1896" t="s">
        <v>46212</v>
      </c>
    </row>
    <row r="1897" spans="1:1">
      <c r="A1897" t="e" cm="1">
        <f t="array" ref="A1897">--------PQ------EQCYEK-VMWPFMI----------L-TKKRYV-----------G</f>
        <v>#NAME?</v>
      </c>
    </row>
    <row r="1898" spans="1:1">
      <c r="A1898" t="s">
        <v>46213</v>
      </c>
    </row>
    <row r="1899" spans="1:1">
      <c r="A1899" t="s">
        <v>46214</v>
      </c>
    </row>
    <row r="1900" spans="1:1">
      <c r="A1900" t="s">
        <v>46215</v>
      </c>
    </row>
    <row r="1901" spans="1:1">
      <c r="A1901" t="s">
        <v>46216</v>
      </c>
    </row>
    <row r="1902" spans="1:1">
      <c r="A1902" t="s">
        <v>46217</v>
      </c>
    </row>
    <row r="1903" spans="1:1">
      <c r="A1903" t="s">
        <v>46218</v>
      </c>
    </row>
    <row r="1904" spans="1:1">
      <c r="A1904" t="s">
        <v>46219</v>
      </c>
    </row>
    <row r="1905" spans="1:1">
      <c r="A1905" t="s">
        <v>46220</v>
      </c>
    </row>
    <row r="1906" spans="1:1">
      <c r="A1906" t="s">
        <v>46221</v>
      </c>
    </row>
    <row r="1907" spans="1:1">
      <c r="A1907" t="s">
        <v>46222</v>
      </c>
    </row>
    <row r="1908" spans="1:1">
      <c r="A1908" t="s">
        <v>46223</v>
      </c>
    </row>
    <row r="1909" spans="1:1">
      <c r="A1909" t="s">
        <v>41057</v>
      </c>
    </row>
    <row r="1910" spans="1:1">
      <c r="A1910" t="s">
        <v>46224</v>
      </c>
    </row>
    <row r="1911" spans="1:1">
      <c r="A1911" t="s">
        <v>41057</v>
      </c>
    </row>
    <row r="1912" spans="1:1">
      <c r="A1912" t="s">
        <v>41057</v>
      </c>
    </row>
    <row r="1913" spans="1:1">
      <c r="A1913" t="s">
        <v>46225</v>
      </c>
    </row>
    <row r="1914" spans="1:1">
      <c r="A1914" t="s">
        <v>46226</v>
      </c>
    </row>
    <row r="1915" spans="1:1">
      <c r="A1915" t="s">
        <v>46227</v>
      </c>
    </row>
    <row r="1916" spans="1:1">
      <c r="A1916" t="s">
        <v>46228</v>
      </c>
    </row>
    <row r="1917" spans="1:1">
      <c r="A1917" t="s">
        <v>46229</v>
      </c>
    </row>
    <row r="1918" spans="1:1">
      <c r="A1918" t="s">
        <v>46230</v>
      </c>
    </row>
    <row r="1919" spans="1:1">
      <c r="A1919" t="e" cm="1">
        <f t="array" ref="A1919">--QPKKKKQTR-----------------------------------------------KK</f>
        <v>#NAME?</v>
      </c>
    </row>
    <row r="1920" spans="1:1">
      <c r="A1920" t="s">
        <v>46231</v>
      </c>
    </row>
    <row r="1921" spans="1:1">
      <c r="A1921" t="s">
        <v>43266</v>
      </c>
    </row>
    <row r="1922" spans="1:1">
      <c r="A1922" t="s">
        <v>41057</v>
      </c>
    </row>
    <row r="1923" spans="1:1">
      <c r="A1923" t="s">
        <v>41057</v>
      </c>
    </row>
    <row r="1924" spans="1:1">
      <c r="A1924" t="s">
        <v>46232</v>
      </c>
    </row>
    <row r="1925" spans="1:1">
      <c r="A1925" t="s">
        <v>46233</v>
      </c>
    </row>
    <row r="1926" spans="1:1">
      <c r="A1926" t="s">
        <v>41057</v>
      </c>
    </row>
    <row r="1927" spans="1:1">
      <c r="A1927" t="s">
        <v>46234</v>
      </c>
    </row>
    <row r="1928" spans="1:1">
      <c r="A1928" t="s">
        <v>46085</v>
      </c>
    </row>
    <row r="1929" spans="1:1">
      <c r="A1929" t="s">
        <v>46235</v>
      </c>
    </row>
    <row r="1930" spans="1:1">
      <c r="A1930" t="e" cm="1">
        <f t="array" ref="A1930">-------------------------ADE--GVHAA-----------------------KP</f>
        <v>#NAME?</v>
      </c>
    </row>
    <row r="1931" spans="1:1">
      <c r="A1931" t="s">
        <v>46236</v>
      </c>
    </row>
    <row r="1932" spans="1:1">
      <c r="A1932" t="s">
        <v>46237</v>
      </c>
    </row>
    <row r="1933" spans="1:1">
      <c r="A1933" t="s">
        <v>46238</v>
      </c>
    </row>
    <row r="1934" spans="1:1">
      <c r="A1934" t="s">
        <v>46239</v>
      </c>
    </row>
    <row r="1935" spans="1:1">
      <c r="A1935" t="s">
        <v>46240</v>
      </c>
    </row>
    <row r="1936" spans="1:1">
      <c r="A1936" t="s">
        <v>46241</v>
      </c>
    </row>
    <row r="1937" spans="1:1">
      <c r="A1937" t="s">
        <v>46242</v>
      </c>
    </row>
    <row r="1938" spans="1:1">
      <c r="A1938" t="s">
        <v>46243</v>
      </c>
    </row>
    <row r="1939" spans="1:1">
      <c r="A1939" t="s">
        <v>46244</v>
      </c>
    </row>
    <row r="1940" spans="1:1">
      <c r="A1940" t="s">
        <v>46245</v>
      </c>
    </row>
    <row r="1941" spans="1:1">
      <c r="A1941" t="s">
        <v>41057</v>
      </c>
    </row>
    <row r="1942" spans="1:1">
      <c r="A1942" t="s">
        <v>41057</v>
      </c>
    </row>
    <row r="1943" spans="1:1">
      <c r="A1943" t="s">
        <v>41057</v>
      </c>
    </row>
    <row r="1944" spans="1:1">
      <c r="A1944" t="s">
        <v>46246</v>
      </c>
    </row>
    <row r="1945" spans="1:1">
      <c r="A1945" t="s">
        <v>46247</v>
      </c>
    </row>
    <row r="1946" spans="1:1">
      <c r="A1946" t="s">
        <v>45438</v>
      </c>
    </row>
    <row r="1947" spans="1:1">
      <c r="A1947" t="s">
        <v>46248</v>
      </c>
    </row>
    <row r="1948" spans="1:1">
      <c r="A1948" t="e" cm="1">
        <f t="array" ref="A1948">---DFLYLRDRSKKL---G-------------------------------------IY-E</f>
        <v>#NAME?</v>
      </c>
    </row>
    <row r="1949" spans="1:1">
      <c r="A1949" t="s">
        <v>46174</v>
      </c>
    </row>
    <row r="1950" spans="1:1">
      <c r="A1950" t="e" cm="1">
        <f t="array" ref="A1950">-------------------------------------EITPFKETKLASSALG-ENILRY</f>
        <v>#NAME?</v>
      </c>
    </row>
    <row r="1951" spans="1:1">
      <c r="A1951" t="s">
        <v>46249</v>
      </c>
    </row>
    <row r="1952" spans="1:1">
      <c r="A1952" t="s">
        <v>46250</v>
      </c>
    </row>
    <row r="1953" spans="1:1">
      <c r="A1953" t="s">
        <v>46251</v>
      </c>
    </row>
    <row r="1954" spans="1:1">
      <c r="A1954" t="s">
        <v>46252</v>
      </c>
    </row>
    <row r="1955" spans="1:1">
      <c r="A1955" t="s">
        <v>46253</v>
      </c>
    </row>
    <row r="1956" spans="1:1">
      <c r="A1956" t="e" cm="1">
        <f t="array" ref="A1956">-------------------------SPKDI-------FR-LQQ----------------G</f>
        <v>#NAME?</v>
      </c>
    </row>
    <row r="1957" spans="1:1">
      <c r="A1957" t="s">
        <v>46254</v>
      </c>
    </row>
    <row r="1958" spans="1:1">
      <c r="A1958" t="s">
        <v>41057</v>
      </c>
    </row>
    <row r="1959" spans="1:1">
      <c r="A1959" t="s">
        <v>45447</v>
      </c>
    </row>
    <row r="1960" spans="1:1">
      <c r="A1960" t="e" cm="1">
        <f t="array" ref="A1960">--------------YCIQDCV-----------------LC--------NKLIAKL-SVII</f>
        <v>#NAME?</v>
      </c>
    </row>
    <row r="1961" spans="1:1">
      <c r="A1961" t="s">
        <v>46255</v>
      </c>
    </row>
    <row r="1962" spans="1:1">
      <c r="A1962" t="s">
        <v>46256</v>
      </c>
    </row>
    <row r="1963" spans="1:1">
      <c r="A1963" t="s">
        <v>46257</v>
      </c>
    </row>
    <row r="1964" spans="1:1">
      <c r="A1964" t="s">
        <v>46258</v>
      </c>
    </row>
    <row r="1965" spans="1:1">
      <c r="A1965" t="e" cm="1">
        <f t="array" ref="A1965">------------G-YE--------------------------------GAIV-FTPKAKV</f>
        <v>#NAME?</v>
      </c>
    </row>
    <row r="1966" spans="1:1">
      <c r="A1966" t="s">
        <v>46185</v>
      </c>
    </row>
    <row r="1967" spans="1:1">
      <c r="A1967" t="s">
        <v>41057</v>
      </c>
    </row>
    <row r="1968" spans="1:1">
      <c r="A1968" t="s">
        <v>41057</v>
      </c>
    </row>
    <row r="1969" spans="1:1">
      <c r="A1969" t="s">
        <v>41057</v>
      </c>
    </row>
    <row r="1970" spans="1:1">
      <c r="A1970" t="s">
        <v>41057</v>
      </c>
    </row>
    <row r="1971" spans="1:1">
      <c r="A1971" t="s">
        <v>41057</v>
      </c>
    </row>
    <row r="1972" spans="1:1">
      <c r="A1972" t="s">
        <v>41057</v>
      </c>
    </row>
    <row r="1973" spans="1:1">
      <c r="A1973" t="s">
        <v>41057</v>
      </c>
    </row>
    <row r="1974" spans="1:1">
      <c r="A1974" t="s">
        <v>41057</v>
      </c>
    </row>
    <row r="1975" spans="1:1">
      <c r="A1975" t="s">
        <v>46259</v>
      </c>
    </row>
    <row r="1976" spans="1:1">
      <c r="A1976" t="s">
        <v>46260</v>
      </c>
    </row>
    <row r="1977" spans="1:1">
      <c r="A1977" t="e" cm="1">
        <f t="array" ref="A1977">---------------IQYTTG----TIVEPYERK------------------KLVSLLNS</f>
        <v>#NAME?</v>
      </c>
    </row>
    <row r="1978" spans="1:1">
      <c r="A1978" t="s">
        <v>46261</v>
      </c>
    </row>
    <row r="1979" spans="1:1">
      <c r="A1979" t="s">
        <v>46262</v>
      </c>
    </row>
    <row r="1980" spans="1:1">
      <c r="A1980" t="s">
        <v>46263</v>
      </c>
    </row>
    <row r="1981" spans="1:1">
      <c r="A1981" t="s">
        <v>46191</v>
      </c>
    </row>
    <row r="1982" spans="1:1">
      <c r="A1982" t="s">
        <v>46192</v>
      </c>
    </row>
    <row r="1983" spans="1:1">
      <c r="A1983" t="s">
        <v>46119</v>
      </c>
    </row>
    <row r="1984" spans="1:1">
      <c r="A1984" t="s">
        <v>46264</v>
      </c>
    </row>
    <row r="1985" spans="1:1">
      <c r="A1985" t="s">
        <v>46265</v>
      </c>
    </row>
    <row r="1986" spans="1:1">
      <c r="A1986" t="s">
        <v>46196</v>
      </c>
    </row>
    <row r="1987" spans="1:1">
      <c r="A1987" t="s">
        <v>46266</v>
      </c>
    </row>
    <row r="1988" spans="1:1">
      <c r="A1988" t="s">
        <v>41057</v>
      </c>
    </row>
    <row r="1989" spans="1:1">
      <c r="A1989" t="s">
        <v>41057</v>
      </c>
    </row>
    <row r="1990" spans="1:1">
      <c r="A1990" t="s">
        <v>41057</v>
      </c>
    </row>
    <row r="1991" spans="1:1">
      <c r="A1991" t="s">
        <v>41057</v>
      </c>
    </row>
    <row r="1992" spans="1:1">
      <c r="A1992" t="s">
        <v>41057</v>
      </c>
    </row>
    <row r="1993" spans="1:1">
      <c r="A1993" t="s">
        <v>41057</v>
      </c>
    </row>
    <row r="1994" spans="1:1">
      <c r="A1994" t="s">
        <v>41057</v>
      </c>
    </row>
    <row r="1995" spans="1:1">
      <c r="A1995" t="s">
        <v>41057</v>
      </c>
    </row>
    <row r="1996" spans="1:1">
      <c r="A1996" t="s">
        <v>41057</v>
      </c>
    </row>
    <row r="1997" spans="1:1">
      <c r="A1997" t="s">
        <v>45463</v>
      </c>
    </row>
    <row r="1998" spans="1:1">
      <c r="A1998" t="s">
        <v>41057</v>
      </c>
    </row>
    <row r="1999" spans="1:1">
      <c r="A1999" t="s">
        <v>41057</v>
      </c>
    </row>
    <row r="2000" spans="1:1">
      <c r="A2000" t="s">
        <v>41057</v>
      </c>
    </row>
    <row r="2001" spans="1:1">
      <c r="A2001" t="s">
        <v>41057</v>
      </c>
    </row>
    <row r="2002" spans="1:1">
      <c r="A2002" t="s">
        <v>41057</v>
      </c>
    </row>
    <row r="2003" spans="1:1">
      <c r="A2003" t="s">
        <v>46267</v>
      </c>
    </row>
    <row r="2004" spans="1:1">
      <c r="A2004" t="s">
        <v>46268</v>
      </c>
    </row>
    <row r="2005" spans="1:1">
      <c r="A2005" t="e" cm="1">
        <f t="array" ref="A2005">-----------------------------------------------------------T</f>
        <v>#NAME?</v>
      </c>
    </row>
    <row r="2006" spans="1:1">
      <c r="A2006" t="s">
        <v>46269</v>
      </c>
    </row>
    <row r="2007" spans="1:1">
      <c r="A2007" t="e" cm="1">
        <f t="array" ref="A2007">--------------KKFQK---------------------PGEGYNSKDEFVRSFEEIMK</f>
        <v>#NAME?</v>
      </c>
    </row>
    <row r="2008" spans="1:1">
      <c r="A2008" t="s">
        <v>46270</v>
      </c>
    </row>
    <row r="2009" spans="1:1">
      <c r="A2009" t="s">
        <v>46271</v>
      </c>
    </row>
    <row r="2010" spans="1:1">
      <c r="A2010" t="s">
        <v>41057</v>
      </c>
    </row>
    <row r="2011" spans="1:1">
      <c r="A2011" t="e" cm="1">
        <f t="array" ref="A2011">-------------------------------------------IDQ---------DGLSE</f>
        <v>#NAME?</v>
      </c>
    </row>
    <row r="2012" spans="1:1">
      <c r="A2012" t="s">
        <v>46272</v>
      </c>
    </row>
    <row r="2013" spans="1:1">
      <c r="A2013" t="s">
        <v>46273</v>
      </c>
    </row>
    <row r="2014" spans="1:1">
      <c r="A2014" t="s">
        <v>46274</v>
      </c>
    </row>
    <row r="2015" spans="1:1">
      <c r="A2015" t="s">
        <v>46275</v>
      </c>
    </row>
    <row r="2016" spans="1:1">
      <c r="A2016" t="s">
        <v>46276</v>
      </c>
    </row>
    <row r="2017" spans="1:1">
      <c r="A2017" t="s">
        <v>46277</v>
      </c>
    </row>
    <row r="2018" spans="1:1">
      <c r="A2018" t="s">
        <v>46278</v>
      </c>
    </row>
    <row r="2019" spans="1:1">
      <c r="A2019" t="s">
        <v>46279</v>
      </c>
    </row>
    <row r="2020" spans="1:1">
      <c r="A2020" t="e" cm="1">
        <f t="array" ref="A2020">-----------------SGHFHAGVG----Q--MIV---------KNTDSV--------F</f>
        <v>#NAME?</v>
      </c>
    </row>
    <row r="2021" spans="1:1">
      <c r="A2021" t="s">
        <v>46138</v>
      </c>
    </row>
    <row r="2022" spans="1:1">
      <c r="A2022" t="s">
        <v>46280</v>
      </c>
    </row>
    <row r="2023" spans="1:1">
      <c r="A2023" t="e" cm="1">
        <f t="array" ref="A2023">--GESGKDKKA----------------------------LEI----SIQ----------L</f>
        <v>#NAME?</v>
      </c>
    </row>
    <row r="2024" spans="1:1">
      <c r="A2024" t="s">
        <v>46212</v>
      </c>
    </row>
    <row r="2025" spans="1:1">
      <c r="A2025" t="e" cm="1">
        <f t="array" ref="A2025">--------PQ------EQSYEK-VMWPFMI----------L-TKKRYV-----------G</f>
        <v>#NAME?</v>
      </c>
    </row>
    <row r="2026" spans="1:1">
      <c r="A2026" t="s">
        <v>46281</v>
      </c>
    </row>
    <row r="2027" spans="1:1">
      <c r="A2027" t="s">
        <v>46214</v>
      </c>
    </row>
    <row r="2028" spans="1:1">
      <c r="A2028" t="s">
        <v>46282</v>
      </c>
    </row>
    <row r="2029" spans="1:1">
      <c r="A2029" t="s">
        <v>46283</v>
      </c>
    </row>
    <row r="2030" spans="1:1">
      <c r="A2030" t="s">
        <v>46284</v>
      </c>
    </row>
    <row r="2031" spans="1:1">
      <c r="A2031" t="s">
        <v>46285</v>
      </c>
    </row>
    <row r="2032" spans="1:1">
      <c r="A2032" t="s">
        <v>46219</v>
      </c>
    </row>
    <row r="2033" spans="1:1">
      <c r="A2033" t="s">
        <v>46286</v>
      </c>
    </row>
    <row r="2034" spans="1:1">
      <c r="A2034" t="s">
        <v>46287</v>
      </c>
    </row>
    <row r="2035" spans="1:1">
      <c r="A2035" t="s">
        <v>46288</v>
      </c>
    </row>
    <row r="2036" spans="1:1">
      <c r="A2036" t="s">
        <v>46289</v>
      </c>
    </row>
    <row r="2037" spans="1:1">
      <c r="A2037" t="s">
        <v>41057</v>
      </c>
    </row>
    <row r="2038" spans="1:1">
      <c r="A2038" t="s">
        <v>46290</v>
      </c>
    </row>
    <row r="2039" spans="1:1">
      <c r="A2039" t="s">
        <v>41057</v>
      </c>
    </row>
    <row r="2040" spans="1:1">
      <c r="A2040" t="s">
        <v>41057</v>
      </c>
    </row>
    <row r="2041" spans="1:1">
      <c r="A2041" t="s">
        <v>46291</v>
      </c>
    </row>
    <row r="2042" spans="1:1">
      <c r="A2042" t="s">
        <v>46292</v>
      </c>
    </row>
    <row r="2043" spans="1:1">
      <c r="A2043" t="s">
        <v>46227</v>
      </c>
    </row>
    <row r="2044" spans="1:1">
      <c r="A2044" t="s">
        <v>46293</v>
      </c>
    </row>
    <row r="2045" spans="1:1">
      <c r="A2045" t="s">
        <v>46294</v>
      </c>
    </row>
    <row r="2046" spans="1:1">
      <c r="A2046" t="s">
        <v>46295</v>
      </c>
    </row>
    <row r="2047" spans="1:1">
      <c r="A2047" t="e" cm="1">
        <f t="array" ref="A2047">--APKKKKLQR-----------------------------------------------KK</f>
        <v>#NAME?</v>
      </c>
    </row>
    <row r="2048" spans="1:1">
      <c r="A2048" t="s">
        <v>46296</v>
      </c>
    </row>
    <row r="2049" spans="1:1">
      <c r="A2049" t="s">
        <v>43556</v>
      </c>
    </row>
    <row r="2050" spans="1:1">
      <c r="A2050" t="s">
        <v>41057</v>
      </c>
    </row>
    <row r="2051" spans="1:1">
      <c r="A2051" t="s">
        <v>46297</v>
      </c>
    </row>
    <row r="2052" spans="1:1">
      <c r="A2052" t="s">
        <v>46298</v>
      </c>
    </row>
    <row r="2053" spans="1:1">
      <c r="A2053" t="s">
        <v>46299</v>
      </c>
    </row>
    <row r="2054" spans="1:1">
      <c r="A2054" t="s">
        <v>46300</v>
      </c>
    </row>
    <row r="2055" spans="1:1">
      <c r="A2055" t="s">
        <v>46301</v>
      </c>
    </row>
    <row r="2056" spans="1:1">
      <c r="A2056" t="s">
        <v>46085</v>
      </c>
    </row>
    <row r="2057" spans="1:1">
      <c r="A2057" t="s">
        <v>46302</v>
      </c>
    </row>
    <row r="2058" spans="1:1">
      <c r="A2058" t="e" cm="1">
        <f t="array" ref="A2058">-------------------------DDD----NGQ-----------------------KI</f>
        <v>#NAME?</v>
      </c>
    </row>
    <row r="2059" spans="1:1">
      <c r="A2059" t="s">
        <v>46303</v>
      </c>
    </row>
    <row r="2060" spans="1:1">
      <c r="A2060" t="s">
        <v>46304</v>
      </c>
    </row>
    <row r="2061" spans="1:1">
      <c r="A2061" t="s">
        <v>46305</v>
      </c>
    </row>
    <row r="2062" spans="1:1">
      <c r="A2062" t="s">
        <v>46306</v>
      </c>
    </row>
    <row r="2063" spans="1:1">
      <c r="A2063" t="s">
        <v>46307</v>
      </c>
    </row>
    <row r="2064" spans="1:1">
      <c r="A2064" t="s">
        <v>46308</v>
      </c>
    </row>
    <row r="2065" spans="1:1">
      <c r="A2065" t="s">
        <v>46309</v>
      </c>
    </row>
    <row r="2066" spans="1:1">
      <c r="A2066" t="s">
        <v>46310</v>
      </c>
    </row>
    <row r="2067" spans="1:1">
      <c r="A2067" t="s">
        <v>46311</v>
      </c>
    </row>
    <row r="2068" spans="1:1">
      <c r="A2068" t="s">
        <v>46312</v>
      </c>
    </row>
    <row r="2069" spans="1:1">
      <c r="A2069" t="s">
        <v>41057</v>
      </c>
    </row>
    <row r="2070" spans="1:1">
      <c r="A2070" t="s">
        <v>41057</v>
      </c>
    </row>
    <row r="2071" spans="1:1">
      <c r="A2071" t="s">
        <v>41057</v>
      </c>
    </row>
    <row r="2072" spans="1:1">
      <c r="A2072" t="s">
        <v>46313</v>
      </c>
    </row>
    <row r="2073" spans="1:1">
      <c r="A2073" t="s">
        <v>46314</v>
      </c>
    </row>
    <row r="2074" spans="1:1">
      <c r="A2074" t="s">
        <v>45438</v>
      </c>
    </row>
    <row r="2075" spans="1:1">
      <c r="A2075" t="s">
        <v>46315</v>
      </c>
    </row>
    <row r="2076" spans="1:1">
      <c r="A2076" t="e" cm="1">
        <f t="array" ref="A2076">---DFVYLKDRAKKL---G-------------------------------------IY-D</f>
        <v>#NAME?</v>
      </c>
    </row>
    <row r="2077" spans="1:1">
      <c r="A2077" t="s">
        <v>46316</v>
      </c>
    </row>
    <row r="2078" spans="1:1">
      <c r="A2078" t="e" cm="1">
        <f t="array" ref="A2078">-------------------------------------LNAEWKEKQLASAALG-DNLLKY</f>
        <v>#NAME?</v>
      </c>
    </row>
    <row r="2079" spans="1:1">
      <c r="A2079" t="s">
        <v>46317</v>
      </c>
    </row>
    <row r="2080" spans="1:1">
      <c r="A2080" t="s">
        <v>46318</v>
      </c>
    </row>
    <row r="2081" spans="1:1">
      <c r="A2081" t="s">
        <v>46319</v>
      </c>
    </row>
    <row r="2082" spans="1:1">
      <c r="A2082" t="s">
        <v>46320</v>
      </c>
    </row>
    <row r="2083" spans="1:1">
      <c r="A2083" t="s">
        <v>46321</v>
      </c>
    </row>
    <row r="2084" spans="1:1">
      <c r="A2084" t="e" cm="1">
        <f t="array" ref="A2084">-------------------------SPKDI-------FR-LQK----------------G</f>
        <v>#NAME?</v>
      </c>
    </row>
    <row r="2085" spans="1:1">
      <c r="A2085" t="s">
        <v>46106</v>
      </c>
    </row>
    <row r="2086" spans="1:1">
      <c r="A2086" t="s">
        <v>41057</v>
      </c>
    </row>
    <row r="2087" spans="1:1">
      <c r="A2087" t="s">
        <v>46322</v>
      </c>
    </row>
    <row r="2088" spans="1:1">
      <c r="A2088" t="e" cm="1">
        <f t="array" ref="A2088">--------------YCIMDCA-----------------LC--------NKLMAKL-QVLT</f>
        <v>#NAME?</v>
      </c>
    </row>
    <row r="2089" spans="1:1">
      <c r="A2089" t="s">
        <v>46323</v>
      </c>
    </row>
    <row r="2090" spans="1:1">
      <c r="A2090" t="s">
        <v>46324</v>
      </c>
    </row>
    <row r="2091" spans="1:1">
      <c r="A2091" t="s">
        <v>46325</v>
      </c>
    </row>
    <row r="2092" spans="1:1">
      <c r="A2092" t="s">
        <v>46326</v>
      </c>
    </row>
    <row r="2093" spans="1:1">
      <c r="A2093" t="e" cm="1">
        <f t="array" ref="A2093">------------G-YE--------------------------------GAIV-FPPIPGV</f>
        <v>#NAME?</v>
      </c>
    </row>
    <row r="2094" spans="1:1">
      <c r="A2094" t="s">
        <v>46327</v>
      </c>
    </row>
    <row r="2095" spans="1:1">
      <c r="A2095" t="s">
        <v>41057</v>
      </c>
    </row>
    <row r="2096" spans="1:1">
      <c r="A2096" t="s">
        <v>41057</v>
      </c>
    </row>
    <row r="2097" spans="1:1">
      <c r="A2097" t="s">
        <v>41057</v>
      </c>
    </row>
    <row r="2098" spans="1:1">
      <c r="A2098" t="s">
        <v>41057</v>
      </c>
    </row>
    <row r="2099" spans="1:1">
      <c r="A2099" t="s">
        <v>41057</v>
      </c>
    </row>
    <row r="2100" spans="1:1">
      <c r="A2100" t="s">
        <v>41057</v>
      </c>
    </row>
    <row r="2101" spans="1:1">
      <c r="A2101" t="s">
        <v>41057</v>
      </c>
    </row>
    <row r="2102" spans="1:1">
      <c r="A2102" t="s">
        <v>41057</v>
      </c>
    </row>
    <row r="2103" spans="1:1">
      <c r="A2103" t="s">
        <v>46328</v>
      </c>
    </row>
    <row r="2104" spans="1:1">
      <c r="A2104" t="s">
        <v>46329</v>
      </c>
    </row>
    <row r="2105" spans="1:1">
      <c r="A2105" t="e" cm="1">
        <f t="array" ref="A2105">---------------IPYITK----TIKQQYDRR------------------LLRDLIKA</f>
        <v>#NAME?</v>
      </c>
    </row>
    <row r="2106" spans="1:1">
      <c r="A2106" t="s">
        <v>46330</v>
      </c>
    </row>
    <row r="2107" spans="1:1">
      <c r="A2107" t="s">
        <v>46331</v>
      </c>
    </row>
    <row r="2108" spans="1:1">
      <c r="A2108" t="s">
        <v>46332</v>
      </c>
    </row>
    <row r="2109" spans="1:1">
      <c r="A2109" t="s">
        <v>46333</v>
      </c>
    </row>
    <row r="2110" spans="1:1">
      <c r="A2110" t="s">
        <v>46334</v>
      </c>
    </row>
    <row r="2111" spans="1:1">
      <c r="A2111" t="s">
        <v>46335</v>
      </c>
    </row>
    <row r="2112" spans="1:1">
      <c r="A2112" t="s">
        <v>46336</v>
      </c>
    </row>
    <row r="2113" spans="1:1">
      <c r="A2113" t="s">
        <v>46337</v>
      </c>
    </row>
    <row r="2114" spans="1:1">
      <c r="A2114" t="s">
        <v>46338</v>
      </c>
    </row>
    <row r="2115" spans="1:1">
      <c r="A2115" t="s">
        <v>45913</v>
      </c>
    </row>
    <row r="2116" spans="1:1">
      <c r="A2116" t="s">
        <v>41057</v>
      </c>
    </row>
    <row r="2117" spans="1:1">
      <c r="A2117" t="s">
        <v>41057</v>
      </c>
    </row>
    <row r="2118" spans="1:1">
      <c r="A2118" t="s">
        <v>41057</v>
      </c>
    </row>
    <row r="2119" spans="1:1">
      <c r="A2119" t="s">
        <v>41057</v>
      </c>
    </row>
    <row r="2120" spans="1:1">
      <c r="A2120" t="s">
        <v>41057</v>
      </c>
    </row>
    <row r="2121" spans="1:1">
      <c r="A2121" t="s">
        <v>41057</v>
      </c>
    </row>
    <row r="2122" spans="1:1">
      <c r="A2122" t="s">
        <v>41057</v>
      </c>
    </row>
    <row r="2123" spans="1:1">
      <c r="A2123" t="s">
        <v>41057</v>
      </c>
    </row>
    <row r="2124" spans="1:1">
      <c r="A2124" t="s">
        <v>41057</v>
      </c>
    </row>
    <row r="2125" spans="1:1">
      <c r="A2125" t="s">
        <v>45463</v>
      </c>
    </row>
    <row r="2126" spans="1:1">
      <c r="A2126" t="s">
        <v>41057</v>
      </c>
    </row>
    <row r="2127" spans="1:1">
      <c r="A2127" t="s">
        <v>41057</v>
      </c>
    </row>
    <row r="2128" spans="1:1">
      <c r="A2128" t="s">
        <v>41057</v>
      </c>
    </row>
    <row r="2129" spans="1:1">
      <c r="A2129" t="s">
        <v>41057</v>
      </c>
    </row>
    <row r="2130" spans="1:1">
      <c r="A2130" t="s">
        <v>41057</v>
      </c>
    </row>
    <row r="2131" spans="1:1">
      <c r="A2131" t="s">
        <v>46339</v>
      </c>
    </row>
    <row r="2132" spans="1:1">
      <c r="A2132" t="s">
        <v>46340</v>
      </c>
    </row>
    <row r="2133" spans="1:1">
      <c r="A2133" t="e" cm="1">
        <f t="array" ref="A2133">-----------------------------------------------------------T</f>
        <v>#NAME?</v>
      </c>
    </row>
    <row r="2134" spans="1:1">
      <c r="A2134" t="s">
        <v>46341</v>
      </c>
    </row>
    <row r="2135" spans="1:1">
      <c r="A2135" t="e" cm="1">
        <f t="array" ref="A2135">--------------KKFKKTTKE---KVKNPDGTETYVVVPEESWDNRQEFFEKFYDKMN</f>
        <v>#NAME?</v>
      </c>
    </row>
    <row r="2136" spans="1:1">
      <c r="A2136" t="s">
        <v>46342</v>
      </c>
    </row>
    <row r="2137" spans="1:1">
      <c r="A2137" t="s">
        <v>41057</v>
      </c>
    </row>
    <row r="2138" spans="1:1">
      <c r="A2138" t="s">
        <v>41057</v>
      </c>
    </row>
    <row r="2139" spans="1:1">
      <c r="A2139" t="s">
        <v>41057</v>
      </c>
    </row>
    <row r="2140" spans="1:1">
      <c r="A2140" t="s">
        <v>41057</v>
      </c>
    </row>
    <row r="2141" spans="1:1">
      <c r="A2141" t="s">
        <v>41057</v>
      </c>
    </row>
    <row r="2142" spans="1:1">
      <c r="A2142" t="s">
        <v>41057</v>
      </c>
    </row>
    <row r="2143" spans="1:1">
      <c r="A2143" t="s">
        <v>41057</v>
      </c>
    </row>
    <row r="2144" spans="1:1">
      <c r="A2144" t="s">
        <v>41057</v>
      </c>
    </row>
    <row r="2145" spans="1:1">
      <c r="A2145" t="s">
        <v>41057</v>
      </c>
    </row>
    <row r="2146" spans="1:1">
      <c r="A2146" t="s">
        <v>41057</v>
      </c>
    </row>
    <row r="2147" spans="1:1">
      <c r="A2147" t="s">
        <v>41057</v>
      </c>
    </row>
    <row r="2148" spans="1:1">
      <c r="A2148" t="e" cm="1">
        <f t="array" ref="A2148">-----------------------------------------------TDSV--------F</f>
        <v>#NAME?</v>
      </c>
    </row>
    <row r="2149" spans="1:1">
      <c r="A2149" t="s">
        <v>46138</v>
      </c>
    </row>
    <row r="2150" spans="1:1">
      <c r="A2150" t="s">
        <v>46343</v>
      </c>
    </row>
    <row r="2151" spans="1:1">
      <c r="A2151" t="e" cm="1">
        <f t="array" ref="A2151">--GEIGRDKNA----------------------------LVQ----CIT----------A</f>
        <v>#NAME?</v>
      </c>
    </row>
    <row r="2152" spans="1:1">
      <c r="A2152" t="s">
        <v>46344</v>
      </c>
    </row>
    <row r="2153" spans="1:1">
      <c r="A2153" t="e" cm="1">
        <f t="array" ref="A2153">--------YQ------EQAYEK-VLWPFMI----------I-TKKRYV-----------G</f>
        <v>#NAME?</v>
      </c>
    </row>
    <row r="2154" spans="1:1">
      <c r="A2154" t="s">
        <v>46345</v>
      </c>
    </row>
    <row r="2155" spans="1:1">
      <c r="A2155" t="s">
        <v>46346</v>
      </c>
    </row>
    <row r="2156" spans="1:1">
      <c r="A2156" t="s">
        <v>46347</v>
      </c>
    </row>
    <row r="2157" spans="1:1">
      <c r="A2157" t="s">
        <v>46348</v>
      </c>
    </row>
    <row r="2158" spans="1:1">
      <c r="A2158" t="s">
        <v>46349</v>
      </c>
    </row>
    <row r="2159" spans="1:1">
      <c r="A2159" t="s">
        <v>46350</v>
      </c>
    </row>
    <row r="2160" spans="1:1">
      <c r="A2160" t="s">
        <v>46351</v>
      </c>
    </row>
    <row r="2161" spans="1:1">
      <c r="A2161" t="s">
        <v>46352</v>
      </c>
    </row>
    <row r="2162" spans="1:1">
      <c r="A2162" t="s">
        <v>46353</v>
      </c>
    </row>
    <row r="2163" spans="1:1">
      <c r="A2163" t="s">
        <v>46354</v>
      </c>
    </row>
    <row r="2164" spans="1:1">
      <c r="A2164" t="s">
        <v>46355</v>
      </c>
    </row>
    <row r="2165" spans="1:1">
      <c r="A2165" t="s">
        <v>41057</v>
      </c>
    </row>
    <row r="2166" spans="1:1">
      <c r="A2166" t="s">
        <v>46356</v>
      </c>
    </row>
    <row r="2167" spans="1:1">
      <c r="A2167" t="s">
        <v>41057</v>
      </c>
    </row>
    <row r="2168" spans="1:1">
      <c r="A2168" t="s">
        <v>41057</v>
      </c>
    </row>
    <row r="2169" spans="1:1">
      <c r="A2169" t="s">
        <v>46357</v>
      </c>
    </row>
    <row r="2170" spans="1:1">
      <c r="A2170" t="s">
        <v>46153</v>
      </c>
    </row>
    <row r="2171" spans="1:1">
      <c r="A2171" t="s">
        <v>46358</v>
      </c>
    </row>
    <row r="2172" spans="1:1">
      <c r="A2172" t="s">
        <v>46359</v>
      </c>
    </row>
    <row r="2173" spans="1:1">
      <c r="A2173" t="s">
        <v>46294</v>
      </c>
    </row>
    <row r="2174" spans="1:1">
      <c r="A2174" t="s">
        <v>46360</v>
      </c>
    </row>
    <row r="2175" spans="1:1">
      <c r="A2175" t="s">
        <v>46361</v>
      </c>
    </row>
    <row r="2176" spans="1:1">
      <c r="A2176" t="s">
        <v>46362</v>
      </c>
    </row>
    <row r="2177" spans="1:1">
      <c r="A2177" t="s">
        <v>43337</v>
      </c>
    </row>
    <row r="2178" spans="1:1">
      <c r="A2178" t="s">
        <v>41057</v>
      </c>
    </row>
    <row r="2179" spans="1:1">
      <c r="A2179" t="s">
        <v>41057</v>
      </c>
    </row>
    <row r="2180" spans="1:1">
      <c r="A2180" t="s">
        <v>46363</v>
      </c>
    </row>
    <row r="2181" spans="1:1">
      <c r="A2181" t="s">
        <v>41057</v>
      </c>
    </row>
    <row r="2182" spans="1:1">
      <c r="A2182" t="s">
        <v>41057</v>
      </c>
    </row>
    <row r="2183" spans="1:1">
      <c r="A2183" t="s">
        <v>46364</v>
      </c>
    </row>
    <row r="2184" spans="1:1">
      <c r="A2184" t="s">
        <v>46365</v>
      </c>
    </row>
    <row r="2185" spans="1:1">
      <c r="A2185" t="s">
        <v>46366</v>
      </c>
    </row>
    <row r="2186" spans="1:1">
      <c r="A2186" t="e" cm="1">
        <f t="array" ref="A2186">-------------------------E-----VEEV-----------------------KK</f>
        <v>#NAME?</v>
      </c>
    </row>
    <row r="2187" spans="1:1">
      <c r="A2187" t="s">
        <v>46367</v>
      </c>
    </row>
    <row r="2188" spans="1:1">
      <c r="A2188" t="s">
        <v>46368</v>
      </c>
    </row>
    <row r="2189" spans="1:1">
      <c r="A2189" t="s">
        <v>46369</v>
      </c>
    </row>
    <row r="2190" spans="1:1">
      <c r="A2190" t="s">
        <v>46370</v>
      </c>
    </row>
    <row r="2191" spans="1:1">
      <c r="A2191" t="s">
        <v>46371</v>
      </c>
    </row>
    <row r="2192" spans="1:1">
      <c r="A2192" t="s">
        <v>46372</v>
      </c>
    </row>
    <row r="2193" spans="1:1">
      <c r="A2193" t="s">
        <v>46373</v>
      </c>
    </row>
    <row r="2194" spans="1:1">
      <c r="A2194" t="s">
        <v>46374</v>
      </c>
    </row>
    <row r="2195" spans="1:1">
      <c r="A2195" t="s">
        <v>46375</v>
      </c>
    </row>
    <row r="2196" spans="1:1">
      <c r="A2196" t="s">
        <v>46376</v>
      </c>
    </row>
    <row r="2197" spans="1:1">
      <c r="A2197" t="s">
        <v>41057</v>
      </c>
    </row>
    <row r="2198" spans="1:1">
      <c r="A2198" t="s">
        <v>41057</v>
      </c>
    </row>
    <row r="2199" spans="1:1">
      <c r="A2199" t="s">
        <v>41057</v>
      </c>
    </row>
    <row r="2200" spans="1:1">
      <c r="A2200" t="s">
        <v>46377</v>
      </c>
    </row>
    <row r="2201" spans="1:1">
      <c r="A2201" t="s">
        <v>46378</v>
      </c>
    </row>
    <row r="2202" spans="1:1">
      <c r="A2202" t="s">
        <v>45438</v>
      </c>
    </row>
    <row r="2203" spans="1:1">
      <c r="A2203" t="s">
        <v>46379</v>
      </c>
    </row>
    <row r="2204" spans="1:1">
      <c r="A2204" t="e" cm="1">
        <f t="array" ref="A2204">---DYQYLHDRSIFL---G-------------------------------------IQ-K</f>
        <v>#NAME?</v>
      </c>
    </row>
    <row r="2205" spans="1:1">
      <c r="A2205" t="s">
        <v>46380</v>
      </c>
    </row>
    <row r="2206" spans="1:1">
      <c r="A2206" t="e" cm="1">
        <f t="array" ref="A2206">-------------------------------------ESSKFEIKELASSALG-KNILKY</f>
        <v>#NAME?</v>
      </c>
    </row>
    <row r="2207" spans="1:1">
      <c r="A2207" t="s">
        <v>46381</v>
      </c>
    </row>
    <row r="2208" spans="1:1">
      <c r="A2208" t="s">
        <v>46382</v>
      </c>
    </row>
    <row r="2209" spans="1:1">
      <c r="A2209" t="s">
        <v>46383</v>
      </c>
    </row>
    <row r="2210" spans="1:1">
      <c r="A2210" t="s">
        <v>46384</v>
      </c>
    </row>
    <row r="2211" spans="1:1">
      <c r="A2211" t="s">
        <v>46385</v>
      </c>
    </row>
    <row r="2212" spans="1:1">
      <c r="A2212" t="e" cm="1">
        <f t="array" ref="A2212">-------------------------SPAEI-------FA-LQK----------------K</f>
        <v>#NAME?</v>
      </c>
    </row>
    <row r="2213" spans="1:1">
      <c r="A2213" t="s">
        <v>46386</v>
      </c>
    </row>
    <row r="2214" spans="1:1">
      <c r="A2214" t="s">
        <v>41057</v>
      </c>
    </row>
    <row r="2215" spans="1:1">
      <c r="A2215" t="s">
        <v>46322</v>
      </c>
    </row>
    <row r="2216" spans="1:1">
      <c r="A2216" t="e" cm="1">
        <f t="array" ref="A2216">--------------YCLMDCV-----------------LV--------SKLVAKL-QVLT</f>
        <v>#NAME?</v>
      </c>
    </row>
    <row r="2217" spans="1:1">
      <c r="A2217" t="s">
        <v>46387</v>
      </c>
    </row>
    <row r="2218" spans="1:1">
      <c r="A2218" t="s">
        <v>46388</v>
      </c>
    </row>
    <row r="2219" spans="1:1">
      <c r="A2219" t="s">
        <v>46389</v>
      </c>
    </row>
    <row r="2220" spans="1:1">
      <c r="A2220" t="s">
        <v>46390</v>
      </c>
    </row>
    <row r="2221" spans="1:1">
      <c r="A2221" t="e" cm="1">
        <f t="array" ref="A2221">------------G-FE--------------------------------GATV-FDPIKGV</f>
        <v>#NAME?</v>
      </c>
    </row>
    <row r="2222" spans="1:1">
      <c r="A2222" t="s">
        <v>46391</v>
      </c>
    </row>
    <row r="2223" spans="1:1">
      <c r="A2223" t="s">
        <v>41057</v>
      </c>
    </row>
    <row r="2224" spans="1:1">
      <c r="A2224" t="s">
        <v>41057</v>
      </c>
    </row>
    <row r="2225" spans="1:1">
      <c r="A2225" t="s">
        <v>41057</v>
      </c>
    </row>
    <row r="2226" spans="1:1">
      <c r="A2226" t="s">
        <v>41057</v>
      </c>
    </row>
    <row r="2227" spans="1:1">
      <c r="A2227" t="s">
        <v>41057</v>
      </c>
    </row>
    <row r="2228" spans="1:1">
      <c r="A2228" t="s">
        <v>41057</v>
      </c>
    </row>
    <row r="2229" spans="1:1">
      <c r="A2229" t="s">
        <v>41057</v>
      </c>
    </row>
    <row r="2230" spans="1:1">
      <c r="A2230" t="s">
        <v>41057</v>
      </c>
    </row>
    <row r="2231" spans="1:1">
      <c r="A2231" t="s">
        <v>46392</v>
      </c>
    </row>
    <row r="2232" spans="1:1">
      <c r="A2232" t="s">
        <v>46393</v>
      </c>
    </row>
    <row r="2233" spans="1:1">
      <c r="A2233" t="s">
        <v>46394</v>
      </c>
    </row>
    <row r="2234" spans="1:1">
      <c r="A2234" t="s">
        <v>46395</v>
      </c>
    </row>
    <row r="2235" spans="1:1">
      <c r="A2235" t="s">
        <v>41057</v>
      </c>
    </row>
    <row r="2236" spans="1:1">
      <c r="A2236" t="s">
        <v>41057</v>
      </c>
    </row>
    <row r="2237" spans="1:1">
      <c r="A2237" t="s">
        <v>41057</v>
      </c>
    </row>
    <row r="2238" spans="1:1">
      <c r="A2238" t="s">
        <v>46396</v>
      </c>
    </row>
    <row r="2239" spans="1:1">
      <c r="A2239" t="s">
        <v>46397</v>
      </c>
    </row>
    <row r="2240" spans="1:1">
      <c r="A2240" t="s">
        <v>46398</v>
      </c>
    </row>
    <row r="2241" spans="1:1">
      <c r="A2241" t="s">
        <v>46399</v>
      </c>
    </row>
    <row r="2242" spans="1:1">
      <c r="A2242" t="s">
        <v>46400</v>
      </c>
    </row>
    <row r="2243" spans="1:1">
      <c r="A2243" t="s">
        <v>46401</v>
      </c>
    </row>
    <row r="2244" spans="1:1">
      <c r="A2244" t="s">
        <v>41057</v>
      </c>
    </row>
    <row r="2245" spans="1:1">
      <c r="A2245" t="s">
        <v>41057</v>
      </c>
    </row>
    <row r="2246" spans="1:1">
      <c r="A2246" t="s">
        <v>41057</v>
      </c>
    </row>
    <row r="2247" spans="1:1">
      <c r="A2247" t="s">
        <v>41057</v>
      </c>
    </row>
    <row r="2248" spans="1:1">
      <c r="A2248" t="s">
        <v>41057</v>
      </c>
    </row>
    <row r="2249" spans="1:1">
      <c r="A2249" t="s">
        <v>41057</v>
      </c>
    </row>
    <row r="2250" spans="1:1">
      <c r="A2250" t="s">
        <v>41057</v>
      </c>
    </row>
    <row r="2251" spans="1:1">
      <c r="A2251" t="s">
        <v>41057</v>
      </c>
    </row>
    <row r="2252" spans="1:1">
      <c r="A2252" t="s">
        <v>41057</v>
      </c>
    </row>
    <row r="2253" spans="1:1">
      <c r="A2253" t="s">
        <v>45463</v>
      </c>
    </row>
    <row r="2254" spans="1:1">
      <c r="A2254" t="s">
        <v>41057</v>
      </c>
    </row>
    <row r="2255" spans="1:1">
      <c r="A2255" t="s">
        <v>41057</v>
      </c>
    </row>
    <row r="2256" spans="1:1">
      <c r="A2256" t="s">
        <v>41057</v>
      </c>
    </row>
    <row r="2257" spans="1:1">
      <c r="A2257" t="s">
        <v>41057</v>
      </c>
    </row>
    <row r="2258" spans="1:1">
      <c r="A2258" t="s">
        <v>41057</v>
      </c>
    </row>
    <row r="2259" spans="1:1">
      <c r="A2259" t="s">
        <v>46402</v>
      </c>
    </row>
    <row r="2260" spans="1:1">
      <c r="A2260" t="s">
        <v>46403</v>
      </c>
    </row>
    <row r="2261" spans="1:1">
      <c r="A2261" t="e" cm="1">
        <f t="array" ref="A2261">------------------------KKINTDLQDEEKKKT--YSEMFISELLPKL--QKMV</f>
        <v>#NAME?</v>
      </c>
    </row>
    <row r="2262" spans="1:1">
      <c r="A2262" t="s">
        <v>46404</v>
      </c>
    </row>
    <row r="2263" spans="1:1">
      <c r="A2263" t="e" cm="1">
        <f t="array" ref="A2263">--------------KKFKS---------------------KDKPWQTKEEYIKNFKEVMN</f>
        <v>#NAME?</v>
      </c>
    </row>
    <row r="2264" spans="1:1">
      <c r="A2264" t="s">
        <v>46405</v>
      </c>
    </row>
    <row r="2265" spans="1:1">
      <c r="A2265" t="s">
        <v>46406</v>
      </c>
    </row>
    <row r="2266" spans="1:1">
      <c r="A2266" t="s">
        <v>41057</v>
      </c>
    </row>
    <row r="2267" spans="1:1">
      <c r="A2267" t="e" cm="1">
        <f t="array" ref="A2267">-------------------------------------------NDQ---------AGLSE</f>
        <v>#NAME?</v>
      </c>
    </row>
    <row r="2268" spans="1:1">
      <c r="A2268" t="s">
        <v>46407</v>
      </c>
    </row>
    <row r="2269" spans="1:1">
      <c r="A2269" t="s">
        <v>46408</v>
      </c>
    </row>
    <row r="2270" spans="1:1">
      <c r="A2270" t="s">
        <v>46409</v>
      </c>
    </row>
    <row r="2271" spans="1:1">
      <c r="A2271" t="s">
        <v>46410</v>
      </c>
    </row>
    <row r="2272" spans="1:1">
      <c r="A2272" t="s">
        <v>46411</v>
      </c>
    </row>
    <row r="2273" spans="1:1">
      <c r="A2273" t="s">
        <v>46412</v>
      </c>
    </row>
    <row r="2274" spans="1:1">
      <c r="A2274" t="s">
        <v>46413</v>
      </c>
    </row>
    <row r="2275" spans="1:1">
      <c r="A2275" t="s">
        <v>46279</v>
      </c>
    </row>
    <row r="2276" spans="1:1">
      <c r="A2276" t="e" cm="1">
        <f t="array" ref="A2276">-----------------TGHFHAGVG----Q--LIV---------KNTDSV--------F</f>
        <v>#NAME?</v>
      </c>
    </row>
    <row r="2277" spans="1:1">
      <c r="A2277" t="s">
        <v>46138</v>
      </c>
    </row>
    <row r="2278" spans="1:1">
      <c r="A2278" t="s">
        <v>46414</v>
      </c>
    </row>
    <row r="2279" spans="1:1">
      <c r="A2279" t="e" cm="1">
        <f t="array" ref="A2279">--GKKLKDKQA----------------------------LEI----AIQ----------L</f>
        <v>#NAME?</v>
      </c>
    </row>
    <row r="2280" spans="1:1">
      <c r="A2280" t="s">
        <v>46415</v>
      </c>
    </row>
    <row r="2281" spans="1:1">
      <c r="A2281" t="e" cm="1">
        <f t="array" ref="A2281">--------VQ------KQSYEK-TLWPFAI----------I-TKKRYV-----------G</f>
        <v>#NAME?</v>
      </c>
    </row>
    <row r="2282" spans="1:1">
      <c r="A2282" t="s">
        <v>46416</v>
      </c>
    </row>
    <row r="2283" spans="1:1">
      <c r="A2283" t="s">
        <v>46142</v>
      </c>
    </row>
    <row r="2284" spans="1:1">
      <c r="A2284" t="s">
        <v>46417</v>
      </c>
    </row>
    <row r="2285" spans="1:1">
      <c r="A2285" t="s">
        <v>46418</v>
      </c>
    </row>
    <row r="2286" spans="1:1">
      <c r="A2286" t="e" cm="1">
        <f t="array" ref="A2286">--IEKFIITK-TLKYVKSDNTEE-T---------------------------DKIKEEED</f>
        <v>#NAME?</v>
      </c>
    </row>
    <row r="2287" spans="1:1">
      <c r="A2287" t="s">
        <v>46419</v>
      </c>
    </row>
    <row r="2288" spans="1:1">
      <c r="A2288" t="s">
        <v>46420</v>
      </c>
    </row>
    <row r="2289" spans="1:1">
      <c r="A2289" t="s">
        <v>46421</v>
      </c>
    </row>
    <row r="2290" spans="1:1">
      <c r="A2290" t="s">
        <v>46422</v>
      </c>
    </row>
    <row r="2291" spans="1:1">
      <c r="A2291" t="s">
        <v>46423</v>
      </c>
    </row>
    <row r="2292" spans="1:1">
      <c r="A2292" t="s">
        <v>46424</v>
      </c>
    </row>
    <row r="2293" spans="1:1">
      <c r="A2293" t="s">
        <v>41057</v>
      </c>
    </row>
    <row r="2294" spans="1:1">
      <c r="A2294" t="s">
        <v>46425</v>
      </c>
    </row>
    <row r="2295" spans="1:1">
      <c r="A2295" t="s">
        <v>41057</v>
      </c>
    </row>
    <row r="2296" spans="1:1">
      <c r="A2296" t="s">
        <v>41057</v>
      </c>
    </row>
    <row r="2297" spans="1:1">
      <c r="A2297" t="s">
        <v>46426</v>
      </c>
    </row>
    <row r="2298" spans="1:1">
      <c r="A2298" t="s">
        <v>46427</v>
      </c>
    </row>
    <row r="2299" spans="1:1">
      <c r="A2299" t="s">
        <v>46428</v>
      </c>
    </row>
    <row r="2300" spans="1:1">
      <c r="A2300" t="s">
        <v>46429</v>
      </c>
    </row>
    <row r="2301" spans="1:1">
      <c r="A2301" t="s">
        <v>46156</v>
      </c>
    </row>
    <row r="2302" spans="1:1">
      <c r="A2302" t="s">
        <v>46430</v>
      </c>
    </row>
    <row r="2303" spans="1:1">
      <c r="A2303" t="e" cm="1">
        <f t="array" ref="A2303">----KKNKIKT-----------------------------------------------PK</f>
        <v>#NAME?</v>
      </c>
    </row>
    <row r="2304" spans="1:1">
      <c r="A2304" t="s">
        <v>46431</v>
      </c>
    </row>
    <row r="2305" spans="1:1">
      <c r="A2305" t="s">
        <v>43292</v>
      </c>
    </row>
    <row r="2306" spans="1:1">
      <c r="A2306" t="s">
        <v>41057</v>
      </c>
    </row>
    <row r="2307" spans="1:1">
      <c r="A2307" t="s">
        <v>41057</v>
      </c>
    </row>
    <row r="2308" spans="1:1">
      <c r="A2308" t="s">
        <v>46432</v>
      </c>
    </row>
    <row r="2309" spans="1:1">
      <c r="A2309" t="s">
        <v>41057</v>
      </c>
    </row>
    <row r="2310" spans="1:1">
      <c r="A2310" t="s">
        <v>46433</v>
      </c>
    </row>
    <row r="2311" spans="1:1">
      <c r="A2311" t="s">
        <v>46434</v>
      </c>
    </row>
    <row r="2312" spans="1:1">
      <c r="A2312" t="s">
        <v>46435</v>
      </c>
    </row>
    <row r="2313" spans="1:1">
      <c r="A2313" t="s">
        <v>46436</v>
      </c>
    </row>
    <row r="2314" spans="1:1">
      <c r="A2314" t="e" cm="1">
        <f t="array" ref="A2314">-------------------------EVDGDDGESM-----------------------SK</f>
        <v>#NAME?</v>
      </c>
    </row>
    <row r="2315" spans="1:1">
      <c r="A2315" t="s">
        <v>46437</v>
      </c>
    </row>
    <row r="2316" spans="1:1">
      <c r="A2316" t="s">
        <v>46438</v>
      </c>
    </row>
    <row r="2317" spans="1:1">
      <c r="A2317" t="s">
        <v>46439</v>
      </c>
    </row>
    <row r="2318" spans="1:1">
      <c r="A2318" t="s">
        <v>46440</v>
      </c>
    </row>
    <row r="2319" spans="1:1">
      <c r="A2319" t="s">
        <v>46441</v>
      </c>
    </row>
    <row r="2320" spans="1:1">
      <c r="A2320" t="s">
        <v>46442</v>
      </c>
    </row>
    <row r="2321" spans="1:1">
      <c r="A2321" t="s">
        <v>46443</v>
      </c>
    </row>
    <row r="2322" spans="1:1">
      <c r="A2322" t="s">
        <v>46444</v>
      </c>
    </row>
    <row r="2323" spans="1:1">
      <c r="A2323" t="s">
        <v>46445</v>
      </c>
    </row>
    <row r="2324" spans="1:1">
      <c r="A2324" t="s">
        <v>46446</v>
      </c>
    </row>
    <row r="2325" spans="1:1">
      <c r="A2325" t="s">
        <v>41057</v>
      </c>
    </row>
    <row r="2326" spans="1:1">
      <c r="A2326" t="s">
        <v>41057</v>
      </c>
    </row>
    <row r="2327" spans="1:1">
      <c r="A2327" t="s">
        <v>41057</v>
      </c>
    </row>
    <row r="2328" spans="1:1">
      <c r="A2328" t="s">
        <v>46447</v>
      </c>
    </row>
    <row r="2329" spans="1:1">
      <c r="A2329" t="s">
        <v>46448</v>
      </c>
    </row>
    <row r="2330" spans="1:1">
      <c r="A2330" t="s">
        <v>45438</v>
      </c>
    </row>
    <row r="2331" spans="1:1">
      <c r="A2331" t="s">
        <v>46449</v>
      </c>
    </row>
    <row r="2332" spans="1:1">
      <c r="A2332" t="e" cm="1">
        <f t="array" ref="A2332">---DYRYLEARSRKL---G-------------------------------------CA-S</f>
        <v>#NAME?</v>
      </c>
    </row>
    <row r="2333" spans="1:1">
      <c r="A2333" t="s">
        <v>46450</v>
      </c>
    </row>
    <row r="2334" spans="1:1">
      <c r="A2334" t="e" cm="1">
        <f t="array" ref="A2334">-------------------------------------SHCKFREKELSSSALG-NNKLSY</f>
        <v>#NAME?</v>
      </c>
    </row>
    <row r="2335" spans="1:1">
      <c r="A2335" t="s">
        <v>46451</v>
      </c>
    </row>
    <row r="2336" spans="1:1">
      <c r="A2336" t="s">
        <v>46452</v>
      </c>
    </row>
    <row r="2337" spans="1:1">
      <c r="A2337" t="e" cm="1">
        <f t="array" ref="A2337">------------RKK-KKKT-IITTGSTAGI---TVGRYVKILYNDGL--SDNAYGK--G</f>
        <v>#NAME?</v>
      </c>
    </row>
    <row r="2338" spans="1:1">
      <c r="A2338" t="s">
        <v>46453</v>
      </c>
    </row>
    <row r="2339" spans="1:1">
      <c r="A2339" t="s">
        <v>46454</v>
      </c>
    </row>
    <row r="2340" spans="1:1">
      <c r="A2340" t="e" cm="1">
        <f t="array" ref="A2340">-------------------------KPADI-------FR-MQK----------------G</f>
        <v>#NAME?</v>
      </c>
    </row>
    <row r="2341" spans="1:1">
      <c r="A2341" t="s">
        <v>46455</v>
      </c>
    </row>
    <row r="2342" spans="1:1">
      <c r="A2342" t="s">
        <v>41057</v>
      </c>
    </row>
    <row r="2343" spans="1:1">
      <c r="A2343" t="s">
        <v>46456</v>
      </c>
    </row>
    <row r="2344" spans="1:1">
      <c r="A2344" t="e" cm="1">
        <f t="array" ref="A2344">--------------YCVQDCV-----------------IC--------NIIMEKL-QVIT</f>
        <v>#NAME?</v>
      </c>
    </row>
    <row r="2345" spans="1:1">
      <c r="A2345" t="s">
        <v>46457</v>
      </c>
    </row>
    <row r="2346" spans="1:1">
      <c r="A2346" t="s">
        <v>46458</v>
      </c>
    </row>
    <row r="2347" spans="1:1">
      <c r="A2347" t="s">
        <v>46459</v>
      </c>
    </row>
    <row r="2348" spans="1:1">
      <c r="A2348" t="s">
        <v>46460</v>
      </c>
    </row>
    <row r="2349" spans="1:1">
      <c r="A2349" t="e" cm="1">
        <f t="array" ref="A2349">------------G-YE--------------------------------GATV-FRPQRKV</f>
        <v>#NAME?</v>
      </c>
    </row>
    <row r="2350" spans="1:1">
      <c r="A2350" t="s">
        <v>46461</v>
      </c>
    </row>
    <row r="2351" spans="1:1">
      <c r="A2351" t="s">
        <v>41057</v>
      </c>
    </row>
    <row r="2352" spans="1:1">
      <c r="A2352" t="s">
        <v>41057</v>
      </c>
    </row>
    <row r="2353" spans="1:1">
      <c r="A2353" t="s">
        <v>41057</v>
      </c>
    </row>
    <row r="2354" spans="1:1">
      <c r="A2354" t="s">
        <v>41057</v>
      </c>
    </row>
    <row r="2355" spans="1:1">
      <c r="A2355" t="s">
        <v>41057</v>
      </c>
    </row>
    <row r="2356" spans="1:1">
      <c r="A2356" t="s">
        <v>41057</v>
      </c>
    </row>
    <row r="2357" spans="1:1">
      <c r="A2357" t="s">
        <v>41057</v>
      </c>
    </row>
    <row r="2358" spans="1:1">
      <c r="A2358" t="s">
        <v>41057</v>
      </c>
    </row>
    <row r="2359" spans="1:1">
      <c r="A2359" t="s">
        <v>46462</v>
      </c>
    </row>
    <row r="2360" spans="1:1">
      <c r="A2360" t="s">
        <v>46463</v>
      </c>
    </row>
    <row r="2361" spans="1:1">
      <c r="A2361" t="s">
        <v>46464</v>
      </c>
    </row>
    <row r="2362" spans="1:1">
      <c r="A2362" t="s">
        <v>46465</v>
      </c>
    </row>
    <row r="2363" spans="1:1">
      <c r="A2363" t="s">
        <v>41057</v>
      </c>
    </row>
    <row r="2364" spans="1:1">
      <c r="A2364" t="s">
        <v>41057</v>
      </c>
    </row>
    <row r="2365" spans="1:1">
      <c r="A2365" t="s">
        <v>41057</v>
      </c>
    </row>
    <row r="2366" spans="1:1">
      <c r="A2366" t="s">
        <v>46466</v>
      </c>
    </row>
    <row r="2367" spans="1:1">
      <c r="A2367" t="s">
        <v>46467</v>
      </c>
    </row>
    <row r="2368" spans="1:1">
      <c r="A2368" t="s">
        <v>46468</v>
      </c>
    </row>
    <row r="2369" spans="1:1">
      <c r="A2369" t="s">
        <v>46469</v>
      </c>
    </row>
    <row r="2370" spans="1:1">
      <c r="A2370" t="s">
        <v>46470</v>
      </c>
    </row>
    <row r="2371" spans="1:1">
      <c r="A2371" t="s">
        <v>46471</v>
      </c>
    </row>
    <row r="2372" spans="1:1">
      <c r="A2372" t="s">
        <v>41057</v>
      </c>
    </row>
    <row r="2373" spans="1:1">
      <c r="A2373" t="s">
        <v>41057</v>
      </c>
    </row>
    <row r="2374" spans="1:1">
      <c r="A2374" t="s">
        <v>41057</v>
      </c>
    </row>
    <row r="2375" spans="1:1">
      <c r="A2375" t="s">
        <v>41057</v>
      </c>
    </row>
    <row r="2376" spans="1:1">
      <c r="A2376" t="s">
        <v>41057</v>
      </c>
    </row>
    <row r="2377" spans="1:1">
      <c r="A2377" t="s">
        <v>41057</v>
      </c>
    </row>
    <row r="2378" spans="1:1">
      <c r="A2378" t="s">
        <v>41057</v>
      </c>
    </row>
    <row r="2379" spans="1:1">
      <c r="A2379" t="s">
        <v>41057</v>
      </c>
    </row>
    <row r="2380" spans="1:1">
      <c r="A2380" t="s">
        <v>41057</v>
      </c>
    </row>
    <row r="2381" spans="1:1">
      <c r="A2381" t="s">
        <v>45914</v>
      </c>
    </row>
    <row r="2382" spans="1:1">
      <c r="A2382" t="s">
        <v>41057</v>
      </c>
    </row>
    <row r="2383" spans="1:1">
      <c r="A2383" t="s">
        <v>41057</v>
      </c>
    </row>
    <row r="2384" spans="1:1">
      <c r="A2384" t="s">
        <v>41057</v>
      </c>
    </row>
    <row r="2385" spans="1:1">
      <c r="A2385" t="s">
        <v>41057</v>
      </c>
    </row>
    <row r="2386" spans="1:1">
      <c r="A2386" t="s">
        <v>41057</v>
      </c>
    </row>
    <row r="2387" spans="1:1">
      <c r="A2387" t="s">
        <v>46472</v>
      </c>
    </row>
    <row r="2388" spans="1:1">
      <c r="A2388" t="e" cm="1">
        <f t="array" ref="A2388">-------------------------EMLHCARIFAEEIFPLIVLCVIEHKYGLFKKRLRM</f>
        <v>#NAME?</v>
      </c>
    </row>
    <row r="2389" spans="1:1">
      <c r="A2389" t="s">
        <v>46473</v>
      </c>
    </row>
    <row r="2390" spans="1:1">
      <c r="A2390" t="s">
        <v>46474</v>
      </c>
    </row>
    <row r="2391" spans="1:1">
      <c r="A2391" t="e" cm="1">
        <f t="array" ref="A2391">--------------KDFEN---------------------EKLNHKNIKDFMKYLYRKIR</f>
        <v>#NAME?</v>
      </c>
    </row>
    <row r="2392" spans="1:1">
      <c r="A2392" t="s">
        <v>46475</v>
      </c>
    </row>
    <row r="2393" spans="1:1">
      <c r="A2393" t="s">
        <v>41057</v>
      </c>
    </row>
    <row r="2394" spans="1:1">
      <c r="A2394" t="s">
        <v>41057</v>
      </c>
    </row>
    <row r="2395" spans="1:1">
      <c r="A2395" t="s">
        <v>41057</v>
      </c>
    </row>
    <row r="2396" spans="1:1">
      <c r="A2396" t="s">
        <v>41057</v>
      </c>
    </row>
    <row r="2397" spans="1:1">
      <c r="A2397" t="s">
        <v>41057</v>
      </c>
    </row>
    <row r="2398" spans="1:1">
      <c r="A2398" t="s">
        <v>41057</v>
      </c>
    </row>
    <row r="2399" spans="1:1">
      <c r="A2399" t="s">
        <v>41057</v>
      </c>
    </row>
    <row r="2400" spans="1:1">
      <c r="A2400" t="s">
        <v>41057</v>
      </c>
    </row>
    <row r="2401" spans="1:1">
      <c r="A2401" t="s">
        <v>41057</v>
      </c>
    </row>
    <row r="2402" spans="1:1">
      <c r="A2402" t="s">
        <v>41057</v>
      </c>
    </row>
    <row r="2403" spans="1:1">
      <c r="A2403" t="s">
        <v>41057</v>
      </c>
    </row>
    <row r="2404" spans="1:1">
      <c r="A2404" t="e" cm="1">
        <f t="array" ref="A2404">-----------------------------------------------TDSI--------F</f>
        <v>#NAME?</v>
      </c>
    </row>
    <row r="2405" spans="1:1">
      <c r="A2405" t="s">
        <v>41087</v>
      </c>
    </row>
    <row r="2406" spans="1:1">
      <c r="A2406" t="s">
        <v>46476</v>
      </c>
    </row>
    <row r="2407" spans="1:1">
      <c r="A2407" t="e" cm="1">
        <f t="array" ref="A2407">---ILITGRDA----------------------------RTI----AIK----------L</f>
        <v>#NAME?</v>
      </c>
    </row>
    <row r="2408" spans="1:1">
      <c r="A2408" t="s">
        <v>46477</v>
      </c>
    </row>
    <row r="2409" spans="1:1">
      <c r="A2409" t="e" cm="1">
        <f t="array" ref="A2409">--------PQ------KLNYEK-VLHPLIQ----------L-SKKRYV-----------G</f>
        <v>#NAME?</v>
      </c>
    </row>
    <row r="2410" spans="1:1">
      <c r="A2410" t="s">
        <v>46478</v>
      </c>
    </row>
    <row r="2411" spans="1:1">
      <c r="A2411" t="s">
        <v>46479</v>
      </c>
    </row>
    <row r="2412" spans="1:1">
      <c r="A2412" t="s">
        <v>46480</v>
      </c>
    </row>
    <row r="2413" spans="1:1">
      <c r="A2413" t="s">
        <v>46418</v>
      </c>
    </row>
    <row r="2414" spans="1:1">
      <c r="A2414" t="e" cm="1">
        <f t="array" ref="A2414">--IDKFIITK-TLR----------G---------------------------NGLTKEEC</f>
        <v>#NAME?</v>
      </c>
    </row>
    <row r="2415" spans="1:1">
      <c r="A2415" t="s">
        <v>46481</v>
      </c>
    </row>
    <row r="2416" spans="1:1">
      <c r="A2416" t="s">
        <v>46482</v>
      </c>
    </row>
    <row r="2417" spans="1:1">
      <c r="A2417" t="s">
        <v>46483</v>
      </c>
    </row>
    <row r="2418" spans="1:1">
      <c r="A2418" t="s">
        <v>46484</v>
      </c>
    </row>
    <row r="2419" spans="1:1">
      <c r="A2419" t="s">
        <v>46485</v>
      </c>
    </row>
    <row r="2420" spans="1:1">
      <c r="A2420" t="s">
        <v>46486</v>
      </c>
    </row>
    <row r="2421" spans="1:1">
      <c r="A2421" t="s">
        <v>41057</v>
      </c>
    </row>
    <row r="2422" spans="1:1">
      <c r="A2422" t="s">
        <v>46487</v>
      </c>
    </row>
    <row r="2423" spans="1:1">
      <c r="A2423" t="s">
        <v>41057</v>
      </c>
    </row>
    <row r="2424" spans="1:1">
      <c r="A2424" t="s">
        <v>41057</v>
      </c>
    </row>
    <row r="2425" spans="1:1">
      <c r="A2425" t="s">
        <v>46488</v>
      </c>
    </row>
    <row r="2426" spans="1:1">
      <c r="A2426" t="s">
        <v>46489</v>
      </c>
    </row>
    <row r="2427" spans="1:1">
      <c r="A2427" t="s">
        <v>46490</v>
      </c>
    </row>
    <row r="2428" spans="1:1">
      <c r="A2428" t="s">
        <v>46491</v>
      </c>
    </row>
    <row r="2429" spans="1:1">
      <c r="A2429" t="s">
        <v>46492</v>
      </c>
    </row>
    <row r="2430" spans="1:1">
      <c r="A2430" t="s">
        <v>46493</v>
      </c>
    </row>
    <row r="2431" spans="1:1">
      <c r="A2431" t="e" cm="1">
        <f t="array" ref="A2431">-KKKKRRKTKK----------------------------------------------KKK</f>
        <v>#NAME?</v>
      </c>
    </row>
    <row r="2432" spans="1:1">
      <c r="A2432" t="s">
        <v>46494</v>
      </c>
    </row>
    <row r="2433" spans="1:1">
      <c r="A2433" t="s">
        <v>43387</v>
      </c>
    </row>
    <row r="2434" spans="1:1">
      <c r="A2434" t="s">
        <v>41057</v>
      </c>
    </row>
    <row r="2435" spans="1:1">
      <c r="A2435" t="s">
        <v>41057</v>
      </c>
    </row>
    <row r="2436" spans="1:1">
      <c r="A2436" t="s">
        <v>46495</v>
      </c>
    </row>
    <row r="2437" spans="1:1">
      <c r="A2437" t="s">
        <v>41057</v>
      </c>
    </row>
    <row r="2438" spans="1:1">
      <c r="A2438" t="s">
        <v>46496</v>
      </c>
    </row>
    <row r="2439" spans="1:1">
      <c r="A2439" t="s">
        <v>46497</v>
      </c>
    </row>
    <row r="2440" spans="1:1">
      <c r="A2440" t="s">
        <v>46498</v>
      </c>
    </row>
    <row r="2441" spans="1:1">
      <c r="A2441" t="s">
        <v>46499</v>
      </c>
    </row>
    <row r="2442" spans="1:1">
      <c r="A2442" t="e" cm="1">
        <f t="array" ref="A2442">-------------------------EIENNDGELV-----------------------TK</f>
        <v>#NAME?</v>
      </c>
    </row>
    <row r="2443" spans="1:1">
      <c r="A2443" t="s">
        <v>46500</v>
      </c>
    </row>
    <row r="2444" spans="1:1">
      <c r="A2444" t="s">
        <v>46501</v>
      </c>
    </row>
    <row r="2445" spans="1:1">
      <c r="A2445" t="s">
        <v>46502</v>
      </c>
    </row>
    <row r="2446" spans="1:1">
      <c r="A2446" t="s">
        <v>46503</v>
      </c>
    </row>
    <row r="2447" spans="1:1">
      <c r="A2447" t="s">
        <v>46504</v>
      </c>
    </row>
    <row r="2448" spans="1:1">
      <c r="A2448" t="s">
        <v>46505</v>
      </c>
    </row>
    <row r="2449" spans="1:1">
      <c r="A2449" t="s">
        <v>46506</v>
      </c>
    </row>
    <row r="2450" spans="1:1">
      <c r="A2450" t="s">
        <v>46507</v>
      </c>
    </row>
    <row r="2451" spans="1:1">
      <c r="A2451" t="s">
        <v>46508</v>
      </c>
    </row>
    <row r="2452" spans="1:1">
      <c r="A2452" t="s">
        <v>46509</v>
      </c>
    </row>
    <row r="2453" spans="1:1">
      <c r="A2453" t="s">
        <v>41057</v>
      </c>
    </row>
    <row r="2454" spans="1:1">
      <c r="A2454" t="s">
        <v>41057</v>
      </c>
    </row>
    <row r="2455" spans="1:1">
      <c r="A2455" t="s">
        <v>41057</v>
      </c>
    </row>
    <row r="2456" spans="1:1">
      <c r="A2456" t="s">
        <v>46510</v>
      </c>
    </row>
    <row r="2457" spans="1:1">
      <c r="A2457" t="s">
        <v>46511</v>
      </c>
    </row>
    <row r="2458" spans="1:1">
      <c r="A2458" t="s">
        <v>45438</v>
      </c>
    </row>
    <row r="2459" spans="1:1">
      <c r="A2459" t="s">
        <v>46512</v>
      </c>
    </row>
    <row r="2460" spans="1:1">
      <c r="A2460" t="e" cm="1">
        <f t="array" ref="A2460">---DYRYLEARSQKL---G-------------------------------------CN-S</f>
        <v>#NAME?</v>
      </c>
    </row>
    <row r="2461" spans="1:1">
      <c r="A2461" t="s">
        <v>46513</v>
      </c>
    </row>
    <row r="2462" spans="1:1">
      <c r="A2462" t="e" cm="1">
        <f t="array" ref="A2462">-------------------------------------TRSPFIKKDLSSAALG-KNILTY</f>
        <v>#NAME?</v>
      </c>
    </row>
    <row r="2463" spans="1:1">
      <c r="A2463" t="s">
        <v>46514</v>
      </c>
    </row>
    <row r="2464" spans="1:1">
      <c r="A2464" t="s">
        <v>46515</v>
      </c>
    </row>
    <row r="2465" spans="1:1">
      <c r="A2465" t="s">
        <v>46516</v>
      </c>
    </row>
    <row r="2466" spans="1:1">
      <c r="A2466" t="e" cm="1">
        <f t="array" ref="A2466">-TKF-KVM-------------------ELTDKSIKIN------------------EIVDK</f>
        <v>#NAME?</v>
      </c>
    </row>
    <row r="2467" spans="1:1">
      <c r="A2467" t="s">
        <v>46517</v>
      </c>
    </row>
    <row r="2468" spans="1:1">
      <c r="A2468" t="e" cm="1">
        <f t="array" ref="A2468">-------------------------KPHDI-------FR-LQK----------------G</f>
        <v>#NAME?</v>
      </c>
    </row>
    <row r="2469" spans="1:1">
      <c r="A2469" t="s">
        <v>46518</v>
      </c>
    </row>
    <row r="2470" spans="1:1">
      <c r="A2470" t="s">
        <v>41057</v>
      </c>
    </row>
    <row r="2471" spans="1:1">
      <c r="A2471" t="s">
        <v>46322</v>
      </c>
    </row>
    <row r="2472" spans="1:1">
      <c r="A2472" t="e" cm="1">
        <f t="array" ref="A2472">--------------YCLQDCM-----------------LC--------NILLEKL-QVIT</f>
        <v>#NAME?</v>
      </c>
    </row>
    <row r="2473" spans="1:1">
      <c r="A2473" t="s">
        <v>46519</v>
      </c>
    </row>
    <row r="2474" spans="1:1">
      <c r="A2474" t="s">
        <v>46520</v>
      </c>
    </row>
    <row r="2475" spans="1:1">
      <c r="A2475" t="s">
        <v>46521</v>
      </c>
    </row>
    <row r="2476" spans="1:1">
      <c r="A2476" t="s">
        <v>46522</v>
      </c>
    </row>
    <row r="2477" spans="1:1">
      <c r="A2477" t="e" cm="1">
        <f t="array" ref="A2477">------------G-YE--------------------------------GATV-LRPHPGV</f>
        <v>#NAME?</v>
      </c>
    </row>
    <row r="2478" spans="1:1">
      <c r="A2478" t="s">
        <v>46523</v>
      </c>
    </row>
    <row r="2479" spans="1:1">
      <c r="A2479" t="s">
        <v>41057</v>
      </c>
    </row>
    <row r="2480" spans="1:1">
      <c r="A2480" t="s">
        <v>41057</v>
      </c>
    </row>
    <row r="2481" spans="1:1">
      <c r="A2481" t="s">
        <v>41057</v>
      </c>
    </row>
    <row r="2482" spans="1:1">
      <c r="A2482" t="s">
        <v>41057</v>
      </c>
    </row>
    <row r="2483" spans="1:1">
      <c r="A2483" t="s">
        <v>41057</v>
      </c>
    </row>
    <row r="2484" spans="1:1">
      <c r="A2484" t="s">
        <v>41057</v>
      </c>
    </row>
    <row r="2485" spans="1:1">
      <c r="A2485" t="s">
        <v>41057</v>
      </c>
    </row>
    <row r="2486" spans="1:1">
      <c r="A2486" t="s">
        <v>41057</v>
      </c>
    </row>
    <row r="2487" spans="1:1">
      <c r="A2487" t="s">
        <v>46524</v>
      </c>
    </row>
    <row r="2488" spans="1:1">
      <c r="A2488" t="s">
        <v>46525</v>
      </c>
    </row>
    <row r="2489" spans="1:1">
      <c r="A2489" t="s">
        <v>46526</v>
      </c>
    </row>
    <row r="2490" spans="1:1">
      <c r="A2490" t="s">
        <v>46527</v>
      </c>
    </row>
    <row r="2491" spans="1:1">
      <c r="A2491" t="s">
        <v>41057</v>
      </c>
    </row>
    <row r="2492" spans="1:1">
      <c r="A2492" t="s">
        <v>41057</v>
      </c>
    </row>
    <row r="2493" spans="1:1">
      <c r="A2493" t="s">
        <v>41057</v>
      </c>
    </row>
    <row r="2494" spans="1:1">
      <c r="A2494" t="s">
        <v>46528</v>
      </c>
    </row>
    <row r="2495" spans="1:1">
      <c r="A2495" t="s">
        <v>46529</v>
      </c>
    </row>
    <row r="2496" spans="1:1">
      <c r="A2496" t="s">
        <v>46530</v>
      </c>
    </row>
    <row r="2497" spans="1:1">
      <c r="A2497" t="s">
        <v>46531</v>
      </c>
    </row>
    <row r="2498" spans="1:1">
      <c r="A2498" t="s">
        <v>46532</v>
      </c>
    </row>
    <row r="2499" spans="1:1">
      <c r="A2499" t="s">
        <v>46533</v>
      </c>
    </row>
    <row r="2500" spans="1:1">
      <c r="A2500" t="s">
        <v>41057</v>
      </c>
    </row>
    <row r="2501" spans="1:1">
      <c r="A2501" t="s">
        <v>41057</v>
      </c>
    </row>
    <row r="2502" spans="1:1">
      <c r="A2502" t="s">
        <v>41057</v>
      </c>
    </row>
    <row r="2503" spans="1:1">
      <c r="A2503" t="s">
        <v>41057</v>
      </c>
    </row>
    <row r="2504" spans="1:1">
      <c r="A2504" t="s">
        <v>41057</v>
      </c>
    </row>
    <row r="2505" spans="1:1">
      <c r="A2505" t="s">
        <v>41057</v>
      </c>
    </row>
    <row r="2506" spans="1:1">
      <c r="A2506" t="s">
        <v>41057</v>
      </c>
    </row>
    <row r="2507" spans="1:1">
      <c r="A2507" t="s">
        <v>41057</v>
      </c>
    </row>
    <row r="2508" spans="1:1">
      <c r="A2508" t="s">
        <v>41057</v>
      </c>
    </row>
    <row r="2509" spans="1:1">
      <c r="A2509" t="s">
        <v>45914</v>
      </c>
    </row>
    <row r="2510" spans="1:1">
      <c r="A2510" t="s">
        <v>41057</v>
      </c>
    </row>
    <row r="2511" spans="1:1">
      <c r="A2511" t="s">
        <v>41057</v>
      </c>
    </row>
    <row r="2512" spans="1:1">
      <c r="A2512" t="s">
        <v>41057</v>
      </c>
    </row>
    <row r="2513" spans="1:1">
      <c r="A2513" t="s">
        <v>41057</v>
      </c>
    </row>
    <row r="2514" spans="1:1">
      <c r="A2514" t="s">
        <v>41057</v>
      </c>
    </row>
    <row r="2515" spans="1:1">
      <c r="A2515" t="s">
        <v>46534</v>
      </c>
    </row>
    <row r="2516" spans="1:1">
      <c r="A2516" t="e" cm="1">
        <f t="array" ref="A2516">-------------------------EMLNLARLFAEYIYPIIIFPILQGDHQLYRKRAKL</f>
        <v>#NAME?</v>
      </c>
    </row>
    <row r="2517" spans="1:1">
      <c r="A2517" t="s">
        <v>46535</v>
      </c>
    </row>
    <row r="2518" spans="1:1">
      <c r="A2518" t="s">
        <v>46536</v>
      </c>
    </row>
    <row r="2519" spans="1:1">
      <c r="A2519" t="e" cm="1">
        <f t="array" ref="A2519">--------------KEFIN---------------------KKLGHKCMMDFLDYFYKEIQ</f>
        <v>#NAME?</v>
      </c>
    </row>
    <row r="2520" spans="1:1">
      <c r="A2520" t="s">
        <v>46537</v>
      </c>
    </row>
    <row r="2521" spans="1:1">
      <c r="A2521" t="s">
        <v>41057</v>
      </c>
    </row>
    <row r="2522" spans="1:1">
      <c r="A2522" t="s">
        <v>41057</v>
      </c>
    </row>
    <row r="2523" spans="1:1">
      <c r="A2523" t="s">
        <v>41057</v>
      </c>
    </row>
    <row r="2524" spans="1:1">
      <c r="A2524" t="s">
        <v>41057</v>
      </c>
    </row>
    <row r="2525" spans="1:1">
      <c r="A2525" t="s">
        <v>41057</v>
      </c>
    </row>
    <row r="2526" spans="1:1">
      <c r="A2526" t="s">
        <v>41057</v>
      </c>
    </row>
    <row r="2527" spans="1:1">
      <c r="A2527" t="s">
        <v>41057</v>
      </c>
    </row>
    <row r="2528" spans="1:1">
      <c r="A2528" t="s">
        <v>41057</v>
      </c>
    </row>
    <row r="2529" spans="1:1">
      <c r="A2529" t="s">
        <v>41057</v>
      </c>
    </row>
    <row r="2530" spans="1:1">
      <c r="A2530" t="s">
        <v>41057</v>
      </c>
    </row>
    <row r="2531" spans="1:1">
      <c r="A2531" t="s">
        <v>41057</v>
      </c>
    </row>
    <row r="2532" spans="1:1">
      <c r="A2532" t="e" cm="1">
        <f t="array" ref="A2532">-----------------------------------------------TDSV--------F</f>
        <v>#NAME?</v>
      </c>
    </row>
    <row r="2533" spans="1:1">
      <c r="A2533" t="s">
        <v>41087</v>
      </c>
    </row>
    <row r="2534" spans="1:1">
      <c r="A2534" t="s">
        <v>46538</v>
      </c>
    </row>
    <row r="2535" spans="1:1">
      <c r="A2535" t="e" cm="1">
        <f t="array" ref="A2535">---EILTNKSA----------------------------LKM----AIK----------L</f>
        <v>#NAME?</v>
      </c>
    </row>
    <row r="2536" spans="1:1">
      <c r="A2536" t="s">
        <v>46539</v>
      </c>
    </row>
    <row r="2537" spans="1:1">
      <c r="A2537" t="e" cm="1">
        <f t="array" ref="A2537">--------PQ------KLNYEK-TFHPWIQ----------L-AKKMYT-----------G</f>
        <v>#NAME?</v>
      </c>
    </row>
    <row r="2538" spans="1:1">
      <c r="A2538" t="s">
        <v>46540</v>
      </c>
    </row>
    <row r="2539" spans="1:1">
      <c r="A2539" t="s">
        <v>46541</v>
      </c>
    </row>
    <row r="2540" spans="1:1">
      <c r="A2540" t="s">
        <v>46542</v>
      </c>
    </row>
    <row r="2541" spans="1:1">
      <c r="A2541" t="s">
        <v>46543</v>
      </c>
    </row>
    <row r="2542" spans="1:1">
      <c r="A2542" t="e" cm="1">
        <f t="array" ref="A2542">--MDKFIITK-TLK----------G---------------------------NALTKSER</f>
        <v>#NAME?</v>
      </c>
    </row>
    <row r="2543" spans="1:1">
      <c r="A2543" t="s">
        <v>46544</v>
      </c>
    </row>
    <row r="2544" spans="1:1">
      <c r="A2544" t="s">
        <v>46545</v>
      </c>
    </row>
    <row r="2545" spans="1:1">
      <c r="A2545" t="s">
        <v>46546</v>
      </c>
    </row>
    <row r="2546" spans="1:1">
      <c r="A2546" t="s">
        <v>46547</v>
      </c>
    </row>
    <row r="2547" spans="1:1">
      <c r="A2547" t="s">
        <v>46548</v>
      </c>
    </row>
    <row r="2548" spans="1:1">
      <c r="A2548" t="s">
        <v>46549</v>
      </c>
    </row>
    <row r="2549" spans="1:1">
      <c r="A2549" t="s">
        <v>41057</v>
      </c>
    </row>
    <row r="2550" spans="1:1">
      <c r="A2550" t="s">
        <v>46550</v>
      </c>
    </row>
    <row r="2551" spans="1:1">
      <c r="A2551" t="s">
        <v>41057</v>
      </c>
    </row>
    <row r="2552" spans="1:1">
      <c r="A2552" t="s">
        <v>41057</v>
      </c>
    </row>
    <row r="2553" spans="1:1">
      <c r="A2553" t="s">
        <v>46551</v>
      </c>
    </row>
    <row r="2554" spans="1:1">
      <c r="A2554" t="s">
        <v>46552</v>
      </c>
    </row>
    <row r="2555" spans="1:1">
      <c r="A2555" t="s">
        <v>46553</v>
      </c>
    </row>
    <row r="2556" spans="1:1">
      <c r="A2556" t="s">
        <v>46554</v>
      </c>
    </row>
    <row r="2557" spans="1:1">
      <c r="A2557" t="e" cm="1">
        <f t="array" ref="A2557">---------YEK---------------------------------------CDLVNSLKY</f>
        <v>#NAME?</v>
      </c>
    </row>
    <row r="2558" spans="1:1">
      <c r="A2558" t="s">
        <v>46555</v>
      </c>
    </row>
    <row r="2559" spans="1:1">
      <c r="A2559" t="e" cm="1">
        <f t="array" ref="A2559">-KQKQKRKTKK----------------------------------------------KKK</f>
        <v>#NAME?</v>
      </c>
    </row>
    <row r="2560" spans="1:1">
      <c r="A2560" t="s">
        <v>46556</v>
      </c>
    </row>
    <row r="2561" spans="1:1">
      <c r="A2561" t="s">
        <v>43315</v>
      </c>
    </row>
    <row r="2562" spans="1:1">
      <c r="A2562" t="s">
        <v>41057</v>
      </c>
    </row>
    <row r="2563" spans="1:1">
      <c r="A2563" t="s">
        <v>41057</v>
      </c>
    </row>
    <row r="2564" spans="1:1">
      <c r="A2564" t="s">
        <v>41057</v>
      </c>
    </row>
    <row r="2565" spans="1:1">
      <c r="A2565" t="s">
        <v>41057</v>
      </c>
    </row>
    <row r="2566" spans="1:1">
      <c r="A2566" t="s">
        <v>46557</v>
      </c>
    </row>
    <row r="2567" spans="1:1">
      <c r="A2567" t="s">
        <v>46558</v>
      </c>
    </row>
    <row r="2568" spans="1:1">
      <c r="A2568" t="s">
        <v>46559</v>
      </c>
    </row>
    <row r="2569" spans="1:1">
      <c r="A2569" t="s">
        <v>46560</v>
      </c>
    </row>
    <row r="2570" spans="1:1">
      <c r="A2570" t="e" cm="1">
        <f t="array" ref="A2570">-------------------------DTDFGD-DIL-----------------------KK</f>
        <v>#NAME?</v>
      </c>
    </row>
    <row r="2571" spans="1:1">
      <c r="A2571" t="s">
        <v>46561</v>
      </c>
    </row>
    <row r="2572" spans="1:1">
      <c r="A2572" t="s">
        <v>46562</v>
      </c>
    </row>
    <row r="2573" spans="1:1">
      <c r="A2573" t="s">
        <v>46563</v>
      </c>
    </row>
    <row r="2574" spans="1:1">
      <c r="A2574" t="s">
        <v>46564</v>
      </c>
    </row>
    <row r="2575" spans="1:1">
      <c r="A2575" t="s">
        <v>46565</v>
      </c>
    </row>
    <row r="2576" spans="1:1">
      <c r="A2576" t="s">
        <v>46566</v>
      </c>
    </row>
    <row r="2577" spans="1:1">
      <c r="A2577" t="s">
        <v>46567</v>
      </c>
    </row>
    <row r="2578" spans="1:1">
      <c r="A2578" t="s">
        <v>46568</v>
      </c>
    </row>
    <row r="2579" spans="1:1">
      <c r="A2579" t="s">
        <v>46569</v>
      </c>
    </row>
    <row r="2580" spans="1:1">
      <c r="A2580" t="s">
        <v>46570</v>
      </c>
    </row>
    <row r="2581" spans="1:1">
      <c r="A2581" t="s">
        <v>41057</v>
      </c>
    </row>
    <row r="2582" spans="1:1">
      <c r="A2582" t="s">
        <v>41057</v>
      </c>
    </row>
    <row r="2583" spans="1:1">
      <c r="A2583" t="s">
        <v>41057</v>
      </c>
    </row>
    <row r="2584" spans="1:1">
      <c r="A2584" t="s">
        <v>46571</v>
      </c>
    </row>
    <row r="2585" spans="1:1">
      <c r="A2585" t="s">
        <v>46572</v>
      </c>
    </row>
    <row r="2586" spans="1:1">
      <c r="A2586" t="s">
        <v>45438</v>
      </c>
    </row>
    <row r="2587" spans="1:1">
      <c r="A2587" t="s">
        <v>46573</v>
      </c>
    </row>
    <row r="2588" spans="1:1">
      <c r="A2588" t="e" cm="1">
        <f t="array" ref="A2588">---DFKYLEERSKKL---G-------------------------------------CH-T</f>
        <v>#NAME?</v>
      </c>
    </row>
    <row r="2589" spans="1:1">
      <c r="A2589" t="s">
        <v>46574</v>
      </c>
    </row>
    <row r="2590" spans="1:1">
      <c r="A2590" t="e" cm="1">
        <f t="array" ref="A2590">-------------------------------------EMSPFLDKTLASSALG-KNELKY</f>
        <v>#NAME?</v>
      </c>
    </row>
    <row r="2591" spans="1:1">
      <c r="A2591" t="s">
        <v>46575</v>
      </c>
    </row>
    <row r="2592" spans="1:1">
      <c r="A2592" t="s">
        <v>46576</v>
      </c>
    </row>
    <row r="2593" spans="1:1">
      <c r="A2593" t="s">
        <v>46577</v>
      </c>
    </row>
    <row r="2594" spans="1:1">
      <c r="A2594" t="s">
        <v>46578</v>
      </c>
    </row>
    <row r="2595" spans="1:1">
      <c r="A2595" t="s">
        <v>46579</v>
      </c>
    </row>
    <row r="2596" spans="1:1">
      <c r="A2596" t="e" cm="1">
        <f t="array" ref="A2596">-------------------------SPQDI-------FR-LQK----------------G</f>
        <v>#NAME?</v>
      </c>
    </row>
    <row r="2597" spans="1:1">
      <c r="A2597" t="s">
        <v>46580</v>
      </c>
    </row>
    <row r="2598" spans="1:1">
      <c r="A2598" t="s">
        <v>41057</v>
      </c>
    </row>
    <row r="2599" spans="1:1">
      <c r="A2599" t="s">
        <v>46322</v>
      </c>
    </row>
    <row r="2600" spans="1:1">
      <c r="A2600" t="e" cm="1">
        <f t="array" ref="A2600">--------------YCLQDCI-----------------LC--------NKLVNKL-QILT</f>
        <v>#NAME?</v>
      </c>
    </row>
    <row r="2601" spans="1:1">
      <c r="A2601" t="s">
        <v>46581</v>
      </c>
    </row>
    <row r="2602" spans="1:1">
      <c r="A2602" t="s">
        <v>46582</v>
      </c>
    </row>
    <row r="2603" spans="1:1">
      <c r="A2603" t="s">
        <v>46583</v>
      </c>
    </row>
    <row r="2604" spans="1:1">
      <c r="A2604" t="s">
        <v>46584</v>
      </c>
    </row>
    <row r="2605" spans="1:1">
      <c r="A2605" t="e" cm="1">
        <f t="array" ref="A2605">-----------EG-YE--------------------------------GATV-FEPTVGV</f>
        <v>#NAME?</v>
      </c>
    </row>
    <row r="2606" spans="1:1">
      <c r="A2606" t="s">
        <v>46585</v>
      </c>
    </row>
    <row r="2607" spans="1:1">
      <c r="A2607" t="s">
        <v>41057</v>
      </c>
    </row>
    <row r="2608" spans="1:1">
      <c r="A2608" t="s">
        <v>41057</v>
      </c>
    </row>
    <row r="2609" spans="1:1">
      <c r="A2609" t="s">
        <v>41057</v>
      </c>
    </row>
    <row r="2610" spans="1:1">
      <c r="A2610" t="s">
        <v>41057</v>
      </c>
    </row>
    <row r="2611" spans="1:1">
      <c r="A2611" t="s">
        <v>41057</v>
      </c>
    </row>
    <row r="2612" spans="1:1">
      <c r="A2612" t="s">
        <v>41057</v>
      </c>
    </row>
    <row r="2613" spans="1:1">
      <c r="A2613" t="s">
        <v>41057</v>
      </c>
    </row>
    <row r="2614" spans="1:1">
      <c r="A2614" t="s">
        <v>41057</v>
      </c>
    </row>
    <row r="2615" spans="1:1">
      <c r="A2615" t="s">
        <v>46586</v>
      </c>
    </row>
    <row r="2616" spans="1:1">
      <c r="A2616" t="s">
        <v>46587</v>
      </c>
    </row>
    <row r="2617" spans="1:1">
      <c r="A2617" t="s">
        <v>46588</v>
      </c>
    </row>
    <row r="2618" spans="1:1">
      <c r="A2618" t="s">
        <v>46589</v>
      </c>
    </row>
    <row r="2619" spans="1:1">
      <c r="A2619" t="s">
        <v>41057</v>
      </c>
    </row>
    <row r="2620" spans="1:1">
      <c r="A2620" t="s">
        <v>41057</v>
      </c>
    </row>
    <row r="2621" spans="1:1">
      <c r="A2621" t="s">
        <v>41057</v>
      </c>
    </row>
    <row r="2622" spans="1:1">
      <c r="A2622" t="s">
        <v>46590</v>
      </c>
    </row>
    <row r="2623" spans="1:1">
      <c r="A2623" t="s">
        <v>46591</v>
      </c>
    </row>
    <row r="2624" spans="1:1">
      <c r="A2624" t="s">
        <v>46592</v>
      </c>
    </row>
    <row r="2625" spans="1:1">
      <c r="A2625" t="s">
        <v>46593</v>
      </c>
    </row>
    <row r="2626" spans="1:1">
      <c r="A2626" t="s">
        <v>46594</v>
      </c>
    </row>
    <row r="2627" spans="1:1">
      <c r="A2627" t="s">
        <v>46595</v>
      </c>
    </row>
    <row r="2628" spans="1:1">
      <c r="A2628" t="s">
        <v>41057</v>
      </c>
    </row>
    <row r="2629" spans="1:1">
      <c r="A2629" t="s">
        <v>41057</v>
      </c>
    </row>
    <row r="2630" spans="1:1">
      <c r="A2630" t="s">
        <v>41057</v>
      </c>
    </row>
    <row r="2631" spans="1:1">
      <c r="A2631" t="s">
        <v>41057</v>
      </c>
    </row>
    <row r="2632" spans="1:1">
      <c r="A2632" t="s">
        <v>41057</v>
      </c>
    </row>
    <row r="2633" spans="1:1">
      <c r="A2633" t="s">
        <v>41057</v>
      </c>
    </row>
    <row r="2634" spans="1:1">
      <c r="A2634" t="s">
        <v>41057</v>
      </c>
    </row>
    <row r="2635" spans="1:1">
      <c r="A2635" t="s">
        <v>41057</v>
      </c>
    </row>
    <row r="2636" spans="1:1">
      <c r="A2636" t="s">
        <v>41057</v>
      </c>
    </row>
    <row r="2637" spans="1:1">
      <c r="A2637" t="s">
        <v>46596</v>
      </c>
    </row>
    <row r="2638" spans="1:1">
      <c r="A2638" t="s">
        <v>41057</v>
      </c>
    </row>
    <row r="2639" spans="1:1">
      <c r="A2639" t="s">
        <v>41057</v>
      </c>
    </row>
    <row r="2640" spans="1:1">
      <c r="A2640" t="s">
        <v>41057</v>
      </c>
    </row>
    <row r="2641" spans="1:1">
      <c r="A2641" t="s">
        <v>41057</v>
      </c>
    </row>
    <row r="2642" spans="1:1">
      <c r="A2642" t="s">
        <v>41057</v>
      </c>
    </row>
    <row r="2643" spans="1:1">
      <c r="A2643" t="s">
        <v>46597</v>
      </c>
    </row>
    <row r="2644" spans="1:1">
      <c r="A2644" t="e" cm="1">
        <f t="array" ref="A2644">-------------------------EMLNASRIFVEVIFPILVRSILDNDYNEFIKIIEL</f>
        <v>#NAME?</v>
      </c>
    </row>
    <row r="2645" spans="1:1">
      <c r="A2645" t="s">
        <v>46598</v>
      </c>
    </row>
    <row r="2646" spans="1:1">
      <c r="A2646" t="s">
        <v>46599</v>
      </c>
    </row>
    <row r="2647" spans="1:1">
      <c r="A2647" t="e" cm="1">
        <f t="array" ref="A2647">--------------KKFID---------------------KKLNHECKKDFTKWMYDKIK</f>
        <v>#NAME?</v>
      </c>
    </row>
    <row r="2648" spans="1:1">
      <c r="A2648" t="s">
        <v>46600</v>
      </c>
    </row>
    <row r="2649" spans="1:1">
      <c r="A2649" t="s">
        <v>41057</v>
      </c>
    </row>
    <row r="2650" spans="1:1">
      <c r="A2650" t="s">
        <v>41057</v>
      </c>
    </row>
    <row r="2651" spans="1:1">
      <c r="A2651" t="s">
        <v>41057</v>
      </c>
    </row>
    <row r="2652" spans="1:1">
      <c r="A2652" t="s">
        <v>41057</v>
      </c>
    </row>
    <row r="2653" spans="1:1">
      <c r="A2653" t="s">
        <v>41057</v>
      </c>
    </row>
    <row r="2654" spans="1:1">
      <c r="A2654" t="s">
        <v>41057</v>
      </c>
    </row>
    <row r="2655" spans="1:1">
      <c r="A2655" t="s">
        <v>41057</v>
      </c>
    </row>
    <row r="2656" spans="1:1">
      <c r="A2656" t="s">
        <v>41057</v>
      </c>
    </row>
    <row r="2657" spans="1:1">
      <c r="A2657" t="s">
        <v>41057</v>
      </c>
    </row>
    <row r="2658" spans="1:1">
      <c r="A2658" t="s">
        <v>41057</v>
      </c>
    </row>
    <row r="2659" spans="1:1">
      <c r="A2659" t="s">
        <v>41057</v>
      </c>
    </row>
    <row r="2660" spans="1:1">
      <c r="A2660" t="e" cm="1">
        <f t="array" ref="A2660">-----------------------------------------------TDSV--------F</f>
        <v>#NAME?</v>
      </c>
    </row>
    <row r="2661" spans="1:1">
      <c r="A2661" t="s">
        <v>45475</v>
      </c>
    </row>
    <row r="2662" spans="1:1">
      <c r="A2662" t="s">
        <v>46601</v>
      </c>
    </row>
    <row r="2663" spans="1:1">
      <c r="A2663" t="e" cm="1">
        <f t="array" ref="A2663">--DKFLTDSSS----------------------------LAI----SIE----------L</f>
        <v>#NAME?</v>
      </c>
    </row>
    <row r="2664" spans="1:1">
      <c r="A2664" t="s">
        <v>46602</v>
      </c>
    </row>
    <row r="2665" spans="1:1">
      <c r="A2665" t="e" cm="1">
        <f t="array" ref="A2665">--------PH------NMEYEK-TFHPFII----------L-TKKKYV-----------G</f>
        <v>#NAME?</v>
      </c>
    </row>
    <row r="2666" spans="1:1">
      <c r="A2666" t="s">
        <v>46603</v>
      </c>
    </row>
    <row r="2667" spans="1:1">
      <c r="A2667" t="s">
        <v>46604</v>
      </c>
    </row>
    <row r="2668" spans="1:1">
      <c r="A2668" t="s">
        <v>46605</v>
      </c>
    </row>
    <row r="2669" spans="1:1">
      <c r="A2669" t="s">
        <v>46606</v>
      </c>
    </row>
    <row r="2670" spans="1:1">
      <c r="A2670" t="e" cm="1">
        <f t="array" ref="A2670">--LDKFIITK-TIK----------G---------------------------NGLTKDER</f>
        <v>#NAME?</v>
      </c>
    </row>
    <row r="2671" spans="1:1">
      <c r="A2671" t="s">
        <v>46607</v>
      </c>
    </row>
    <row r="2672" spans="1:1">
      <c r="A2672" t="s">
        <v>46608</v>
      </c>
    </row>
    <row r="2673" spans="1:1">
      <c r="A2673" t="s">
        <v>46609</v>
      </c>
    </row>
    <row r="2674" spans="1:1">
      <c r="A2674" t="s">
        <v>46610</v>
      </c>
    </row>
    <row r="2675" spans="1:1">
      <c r="A2675" t="s">
        <v>46611</v>
      </c>
    </row>
    <row r="2676" spans="1:1">
      <c r="A2676" t="s">
        <v>46612</v>
      </c>
    </row>
    <row r="2677" spans="1:1">
      <c r="A2677" t="s">
        <v>41057</v>
      </c>
    </row>
    <row r="2678" spans="1:1">
      <c r="A2678" t="s">
        <v>46613</v>
      </c>
    </row>
    <row r="2679" spans="1:1">
      <c r="A2679" t="s">
        <v>41057</v>
      </c>
    </row>
    <row r="2680" spans="1:1">
      <c r="A2680" t="s">
        <v>41057</v>
      </c>
    </row>
    <row r="2681" spans="1:1">
      <c r="A2681" t="s">
        <v>46614</v>
      </c>
    </row>
    <row r="2682" spans="1:1">
      <c r="A2682" t="s">
        <v>46615</v>
      </c>
    </row>
    <row r="2683" spans="1:1">
      <c r="A2683" t="s">
        <v>46616</v>
      </c>
    </row>
    <row r="2684" spans="1:1">
      <c r="A2684" t="s">
        <v>46617</v>
      </c>
    </row>
    <row r="2685" spans="1:1">
      <c r="A2685" t="e" cm="1">
        <f t="array" ref="A2685">---------EDP-----------------------------------------------F</f>
        <v>#NAME?</v>
      </c>
    </row>
    <row r="2686" spans="1:1">
      <c r="A2686" t="s">
        <v>46618</v>
      </c>
    </row>
    <row r="2687" spans="1:1">
      <c r="A2687" t="e" cm="1">
        <f t="array" ref="A2687">-KVMPKQEPKKQI--------------------------------------------KKK</f>
        <v>#NAME?</v>
      </c>
    </row>
    <row r="2688" spans="1:1">
      <c r="A2688" t="s">
        <v>46619</v>
      </c>
    </row>
    <row r="2689" spans="1:1">
      <c r="A2689" t="s">
        <v>43364</v>
      </c>
    </row>
    <row r="2690" spans="1:1">
      <c r="A2690" t="s">
        <v>41057</v>
      </c>
    </row>
    <row r="2691" spans="1:1">
      <c r="A2691" t="s">
        <v>41057</v>
      </c>
    </row>
    <row r="2692" spans="1:1">
      <c r="A2692" t="s">
        <v>46620</v>
      </c>
    </row>
    <row r="2693" spans="1:1">
      <c r="A2693" t="s">
        <v>41057</v>
      </c>
    </row>
    <row r="2694" spans="1:1">
      <c r="A2694" t="s">
        <v>46621</v>
      </c>
    </row>
    <row r="2695" spans="1:1">
      <c r="A2695" t="s">
        <v>46622</v>
      </c>
    </row>
    <row r="2696" spans="1:1">
      <c r="A2696" t="s">
        <v>46623</v>
      </c>
    </row>
    <row r="2697" spans="1:1">
      <c r="A2697" t="s">
        <v>46624</v>
      </c>
    </row>
    <row r="2698" spans="1:1">
      <c r="A2698" t="e" cm="1">
        <f t="array" ref="A2698">-------------------------DTEFAG-ETL-----------------------KK</f>
        <v>#NAME?</v>
      </c>
    </row>
    <row r="2699" spans="1:1">
      <c r="A2699" t="s">
        <v>46625</v>
      </c>
    </row>
    <row r="2700" spans="1:1">
      <c r="A2700" t="s">
        <v>46626</v>
      </c>
    </row>
    <row r="2701" spans="1:1">
      <c r="A2701" t="s">
        <v>46627</v>
      </c>
    </row>
    <row r="2702" spans="1:1">
      <c r="A2702" t="s">
        <v>46628</v>
      </c>
    </row>
    <row r="2703" spans="1:1">
      <c r="A2703" t="s">
        <v>46629</v>
      </c>
    </row>
    <row r="2704" spans="1:1">
      <c r="A2704" t="s">
        <v>46630</v>
      </c>
    </row>
    <row r="2705" spans="1:1">
      <c r="A2705" t="s">
        <v>46631</v>
      </c>
    </row>
    <row r="2706" spans="1:1">
      <c r="A2706" t="s">
        <v>46632</v>
      </c>
    </row>
    <row r="2707" spans="1:1">
      <c r="A2707" t="s">
        <v>46633</v>
      </c>
    </row>
    <row r="2708" spans="1:1">
      <c r="A2708" t="s">
        <v>46570</v>
      </c>
    </row>
    <row r="2709" spans="1:1">
      <c r="A2709" t="s">
        <v>41057</v>
      </c>
    </row>
    <row r="2710" spans="1:1">
      <c r="A2710" t="s">
        <v>41057</v>
      </c>
    </row>
    <row r="2711" spans="1:1">
      <c r="A2711" t="s">
        <v>41057</v>
      </c>
    </row>
    <row r="2712" spans="1:1">
      <c r="A2712" t="s">
        <v>46634</v>
      </c>
    </row>
    <row r="2713" spans="1:1">
      <c r="A2713" t="s">
        <v>46635</v>
      </c>
    </row>
    <row r="2714" spans="1:1">
      <c r="A2714" t="s">
        <v>45438</v>
      </c>
    </row>
    <row r="2715" spans="1:1">
      <c r="A2715" t="s">
        <v>46636</v>
      </c>
    </row>
    <row r="2716" spans="1:1">
      <c r="A2716" t="e" cm="1">
        <f t="array" ref="A2716">---DYKYLAERAQKL---G-------------------------------------CY-T</f>
        <v>#NAME?</v>
      </c>
    </row>
    <row r="2717" spans="1:1">
      <c r="A2717" t="s">
        <v>46637</v>
      </c>
    </row>
    <row r="2718" spans="1:1">
      <c r="A2718" t="e" cm="1">
        <f t="array" ref="A2718">-------------------------------------EPSQFIDKTLASSALG-KNELKY</f>
        <v>#NAME?</v>
      </c>
    </row>
    <row r="2719" spans="1:1">
      <c r="A2719" t="s">
        <v>46638</v>
      </c>
    </row>
    <row r="2720" spans="1:1">
      <c r="A2720" t="s">
        <v>46639</v>
      </c>
    </row>
    <row r="2721" spans="1:1">
      <c r="A2721" t="s">
        <v>46640</v>
      </c>
    </row>
    <row r="2722" spans="1:1">
      <c r="A2722" t="s">
        <v>46641</v>
      </c>
    </row>
    <row r="2723" spans="1:1">
      <c r="A2723" t="s">
        <v>46642</v>
      </c>
    </row>
    <row r="2724" spans="1:1">
      <c r="A2724" t="e" cm="1">
        <f t="array" ref="A2724">-------------------------SPQDI-------FR-LQK----------------G</f>
        <v>#NAME?</v>
      </c>
    </row>
    <row r="2725" spans="1:1">
      <c r="A2725" t="s">
        <v>46643</v>
      </c>
    </row>
    <row r="2726" spans="1:1">
      <c r="A2726" t="s">
        <v>41057</v>
      </c>
    </row>
    <row r="2727" spans="1:1">
      <c r="A2727" t="s">
        <v>46644</v>
      </c>
    </row>
    <row r="2728" spans="1:1">
      <c r="A2728" t="e" cm="1">
        <f t="array" ref="A2728">--------------YCVNDSV-----------------LC--------NKLMNKL-QILT</f>
        <v>#NAME?</v>
      </c>
    </row>
    <row r="2729" spans="1:1">
      <c r="A2729" t="s">
        <v>46645</v>
      </c>
    </row>
    <row r="2730" spans="1:1">
      <c r="A2730" t="e" cm="1">
        <f t="array" ref="A2730">-VIPVIRKPYNNNGQGPGPNQGLP--------------------------PGLGP----Q</f>
        <v>#NAME?</v>
      </c>
    </row>
    <row r="2731" spans="1:1">
      <c r="A2731" t="s">
        <v>46646</v>
      </c>
    </row>
    <row r="2732" spans="1:1">
      <c r="A2732" t="s">
        <v>46647</v>
      </c>
    </row>
    <row r="2733" spans="1:1">
      <c r="A2733" t="e" cm="1">
        <f t="array" ref="A2733">------------G-YE--------------------------------GATV-FEPDTGV</f>
        <v>#NAME?</v>
      </c>
    </row>
    <row r="2734" spans="1:1">
      <c r="A2734" t="s">
        <v>46648</v>
      </c>
    </row>
    <row r="2735" spans="1:1">
      <c r="A2735" t="s">
        <v>41057</v>
      </c>
    </row>
    <row r="2736" spans="1:1">
      <c r="A2736" t="s">
        <v>41057</v>
      </c>
    </row>
    <row r="2737" spans="1:1">
      <c r="A2737" t="s">
        <v>41057</v>
      </c>
    </row>
    <row r="2738" spans="1:1">
      <c r="A2738" t="s">
        <v>41057</v>
      </c>
    </row>
    <row r="2739" spans="1:1">
      <c r="A2739" t="s">
        <v>41057</v>
      </c>
    </row>
    <row r="2740" spans="1:1">
      <c r="A2740" t="s">
        <v>41057</v>
      </c>
    </row>
    <row r="2741" spans="1:1">
      <c r="A2741" t="s">
        <v>41057</v>
      </c>
    </row>
    <row r="2742" spans="1:1">
      <c r="A2742" t="s">
        <v>41057</v>
      </c>
    </row>
    <row r="2743" spans="1:1">
      <c r="A2743" t="s">
        <v>46649</v>
      </c>
    </row>
    <row r="2744" spans="1:1">
      <c r="A2744" t="s">
        <v>46650</v>
      </c>
    </row>
    <row r="2745" spans="1:1">
      <c r="A2745" t="s">
        <v>46588</v>
      </c>
    </row>
    <row r="2746" spans="1:1">
      <c r="A2746" t="s">
        <v>46651</v>
      </c>
    </row>
    <row r="2747" spans="1:1">
      <c r="A2747" t="s">
        <v>41057</v>
      </c>
    </row>
    <row r="2748" spans="1:1">
      <c r="A2748" t="s">
        <v>41057</v>
      </c>
    </row>
    <row r="2749" spans="1:1">
      <c r="A2749" t="s">
        <v>41057</v>
      </c>
    </row>
    <row r="2750" spans="1:1">
      <c r="A2750" t="s">
        <v>46652</v>
      </c>
    </row>
    <row r="2751" spans="1:1">
      <c r="A2751" t="s">
        <v>46591</v>
      </c>
    </row>
    <row r="2752" spans="1:1">
      <c r="A2752" t="s">
        <v>46592</v>
      </c>
    </row>
    <row r="2753" spans="1:1">
      <c r="A2753" t="s">
        <v>46653</v>
      </c>
    </row>
    <row r="2754" spans="1:1">
      <c r="A2754" t="s">
        <v>46654</v>
      </c>
    </row>
    <row r="2755" spans="1:1">
      <c r="A2755" t="s">
        <v>46655</v>
      </c>
    </row>
    <row r="2756" spans="1:1">
      <c r="A2756" t="s">
        <v>41057</v>
      </c>
    </row>
    <row r="2757" spans="1:1">
      <c r="A2757" t="s">
        <v>41057</v>
      </c>
    </row>
    <row r="2758" spans="1:1">
      <c r="A2758" t="s">
        <v>41057</v>
      </c>
    </row>
    <row r="2759" spans="1:1">
      <c r="A2759" t="s">
        <v>41057</v>
      </c>
    </row>
    <row r="2760" spans="1:1">
      <c r="A2760" t="s">
        <v>41057</v>
      </c>
    </row>
    <row r="2761" spans="1:1">
      <c r="A2761" t="s">
        <v>41057</v>
      </c>
    </row>
    <row r="2762" spans="1:1">
      <c r="A2762" t="s">
        <v>41057</v>
      </c>
    </row>
    <row r="2763" spans="1:1">
      <c r="A2763" t="s">
        <v>41057</v>
      </c>
    </row>
    <row r="2764" spans="1:1">
      <c r="A2764" t="s">
        <v>41057</v>
      </c>
    </row>
    <row r="2765" spans="1:1">
      <c r="A2765" t="s">
        <v>46596</v>
      </c>
    </row>
    <row r="2766" spans="1:1">
      <c r="A2766" t="s">
        <v>41057</v>
      </c>
    </row>
    <row r="2767" spans="1:1">
      <c r="A2767" t="s">
        <v>41057</v>
      </c>
    </row>
    <row r="2768" spans="1:1">
      <c r="A2768" t="s">
        <v>41057</v>
      </c>
    </row>
    <row r="2769" spans="1:1">
      <c r="A2769" t="s">
        <v>41057</v>
      </c>
    </row>
    <row r="2770" spans="1:1">
      <c r="A2770" t="s">
        <v>41057</v>
      </c>
    </row>
    <row r="2771" spans="1:1">
      <c r="A2771" t="s">
        <v>46656</v>
      </c>
    </row>
    <row r="2772" spans="1:1">
      <c r="A2772" t="e" cm="1">
        <f t="array" ref="A2772">-------------------------ENLNVSRIFIEVILPILVRSALANNYENFVKTCDL</f>
        <v>#NAME?</v>
      </c>
    </row>
    <row r="2773" spans="1:1">
      <c r="A2773" t="s">
        <v>46657</v>
      </c>
    </row>
    <row r="2774" spans="1:1">
      <c r="A2774" t="s">
        <v>46658</v>
      </c>
    </row>
    <row r="2775" spans="1:1">
      <c r="A2775" t="e" cm="1">
        <f t="array" ref="A2775">-------------NKKFID---------------------KKLGHECKSDFTKWLFEKIT</f>
        <v>#NAME?</v>
      </c>
    </row>
    <row r="2776" spans="1:1">
      <c r="A2776" t="s">
        <v>46659</v>
      </c>
    </row>
    <row r="2777" spans="1:1">
      <c r="A2777" t="s">
        <v>41057</v>
      </c>
    </row>
    <row r="2778" spans="1:1">
      <c r="A2778" t="s">
        <v>41057</v>
      </c>
    </row>
    <row r="2779" spans="1:1">
      <c r="A2779" t="s">
        <v>41057</v>
      </c>
    </row>
    <row r="2780" spans="1:1">
      <c r="A2780" t="s">
        <v>41057</v>
      </c>
    </row>
    <row r="2781" spans="1:1">
      <c r="A2781" t="s">
        <v>41057</v>
      </c>
    </row>
    <row r="2782" spans="1:1">
      <c r="A2782" t="s">
        <v>41057</v>
      </c>
    </row>
    <row r="2783" spans="1:1">
      <c r="A2783" t="s">
        <v>41057</v>
      </c>
    </row>
    <row r="2784" spans="1:1">
      <c r="A2784" t="s">
        <v>41057</v>
      </c>
    </row>
    <row r="2785" spans="1:1">
      <c r="A2785" t="s">
        <v>41057</v>
      </c>
    </row>
    <row r="2786" spans="1:1">
      <c r="A2786" t="s">
        <v>41057</v>
      </c>
    </row>
    <row r="2787" spans="1:1">
      <c r="A2787" t="s">
        <v>41057</v>
      </c>
    </row>
    <row r="2788" spans="1:1">
      <c r="A2788" t="e" cm="1">
        <f t="array" ref="A2788">-----------------------------------------------TDSV--------F</f>
        <v>#NAME?</v>
      </c>
    </row>
    <row r="2789" spans="1:1">
      <c r="A2789" t="s">
        <v>45475</v>
      </c>
    </row>
    <row r="2790" spans="1:1">
      <c r="A2790" t="s">
        <v>46660</v>
      </c>
    </row>
    <row r="2791" spans="1:1">
      <c r="A2791" t="e" cm="1">
        <f t="array" ref="A2791">--DKFLTDTIA----------------------------LTI----SIE----------L</f>
        <v>#NAME?</v>
      </c>
    </row>
    <row r="2792" spans="1:1">
      <c r="A2792" t="s">
        <v>46661</v>
      </c>
    </row>
    <row r="2793" spans="1:1">
      <c r="A2793" t="e" cm="1">
        <f t="array" ref="A2793">--------PH------NMEYEK-TFHPFII----------L-TKKKYV-----------G</f>
        <v>#NAME?</v>
      </c>
    </row>
    <row r="2794" spans="1:1">
      <c r="A2794" t="s">
        <v>46662</v>
      </c>
    </row>
    <row r="2795" spans="1:1">
      <c r="A2795" t="s">
        <v>46663</v>
      </c>
    </row>
    <row r="2796" spans="1:1">
      <c r="A2796" t="s">
        <v>46664</v>
      </c>
    </row>
    <row r="2797" spans="1:1">
      <c r="A2797" t="s">
        <v>46665</v>
      </c>
    </row>
    <row r="2798" spans="1:1">
      <c r="A2798" t="e" cm="1">
        <f t="array" ref="A2798">--LDKFIITK-TIK----------G---------------------------NGLSEDER</f>
        <v>#NAME?</v>
      </c>
    </row>
    <row r="2799" spans="1:1">
      <c r="A2799" t="s">
        <v>46666</v>
      </c>
    </row>
    <row r="2800" spans="1:1">
      <c r="A2800" t="s">
        <v>46667</v>
      </c>
    </row>
    <row r="2801" spans="1:1">
      <c r="A2801" t="s">
        <v>46668</v>
      </c>
    </row>
    <row r="2802" spans="1:1">
      <c r="A2802" t="s">
        <v>46669</v>
      </c>
    </row>
    <row r="2803" spans="1:1">
      <c r="A2803" t="s">
        <v>46670</v>
      </c>
    </row>
    <row r="2804" spans="1:1">
      <c r="A2804" t="s">
        <v>46671</v>
      </c>
    </row>
    <row r="2805" spans="1:1">
      <c r="A2805" t="s">
        <v>41057</v>
      </c>
    </row>
    <row r="2806" spans="1:1">
      <c r="A2806" t="s">
        <v>46672</v>
      </c>
    </row>
    <row r="2807" spans="1:1">
      <c r="A2807" t="s">
        <v>41057</v>
      </c>
    </row>
    <row r="2808" spans="1:1">
      <c r="A2808" t="s">
        <v>41057</v>
      </c>
    </row>
    <row r="2809" spans="1:1">
      <c r="A2809" t="s">
        <v>46673</v>
      </c>
    </row>
    <row r="2810" spans="1:1">
      <c r="A2810" t="s">
        <v>46674</v>
      </c>
    </row>
    <row r="2811" spans="1:1">
      <c r="A2811" t="s">
        <v>46616</v>
      </c>
    </row>
    <row r="2812" spans="1:1">
      <c r="A2812" t="s">
        <v>46675</v>
      </c>
    </row>
    <row r="2813" spans="1:1">
      <c r="A2813" t="s">
        <v>46676</v>
      </c>
    </row>
    <row r="2814" spans="1:1">
      <c r="A2814" t="s">
        <v>46677</v>
      </c>
    </row>
    <row r="2815" spans="1:1">
      <c r="A2815" t="e" cm="1">
        <f t="array" ref="A2815">-NKPKKAVTKKTVA-----------------------KKTVAKKTVAKKTVVKKAVSKKK</f>
        <v>#NAME?</v>
      </c>
    </row>
    <row r="2816" spans="1:1">
      <c r="A2816" t="s">
        <v>46678</v>
      </c>
    </row>
    <row r="2817" spans="1:1">
      <c r="A2817" t="s">
        <v>43542</v>
      </c>
    </row>
    <row r="2818" spans="1:1">
      <c r="A2818" t="s">
        <v>41057</v>
      </c>
    </row>
    <row r="2819" spans="1:1">
      <c r="A2819" t="s">
        <v>41057</v>
      </c>
    </row>
    <row r="2820" spans="1:1">
      <c r="A2820" t="s">
        <v>46679</v>
      </c>
    </row>
    <row r="2821" spans="1:1">
      <c r="A2821" t="s">
        <v>41057</v>
      </c>
    </row>
    <row r="2822" spans="1:1">
      <c r="A2822" t="s">
        <v>46680</v>
      </c>
    </row>
    <row r="2823" spans="1:1">
      <c r="A2823" t="s">
        <v>46681</v>
      </c>
    </row>
    <row r="2824" spans="1:1">
      <c r="A2824" t="s">
        <v>45424</v>
      </c>
    </row>
    <row r="2825" spans="1:1">
      <c r="A2825" t="s">
        <v>46366</v>
      </c>
    </row>
    <row r="2826" spans="1:1">
      <c r="A2826" t="e" cm="1">
        <f t="array" ref="A2826">-------------------------EFDLDE-ATL-----------------------KK</f>
        <v>#NAME?</v>
      </c>
    </row>
    <row r="2827" spans="1:1">
      <c r="A2827" t="s">
        <v>46682</v>
      </c>
    </row>
    <row r="2828" spans="1:1">
      <c r="A2828" t="s">
        <v>46683</v>
      </c>
    </row>
    <row r="2829" spans="1:1">
      <c r="A2829" t="s">
        <v>46684</v>
      </c>
    </row>
    <row r="2830" spans="1:1">
      <c r="A2830" t="s">
        <v>46685</v>
      </c>
    </row>
    <row r="2831" spans="1:1">
      <c r="A2831" t="s">
        <v>46686</v>
      </c>
    </row>
    <row r="2832" spans="1:1">
      <c r="A2832" t="s">
        <v>46687</v>
      </c>
    </row>
    <row r="2833" spans="1:1">
      <c r="A2833" t="s">
        <v>46688</v>
      </c>
    </row>
    <row r="2834" spans="1:1">
      <c r="A2834" t="s">
        <v>46689</v>
      </c>
    </row>
    <row r="2835" spans="1:1">
      <c r="A2835" t="s">
        <v>46690</v>
      </c>
    </row>
    <row r="2836" spans="1:1">
      <c r="A2836" t="s">
        <v>46509</v>
      </c>
    </row>
    <row r="2837" spans="1:1">
      <c r="A2837" t="s">
        <v>41057</v>
      </c>
    </row>
    <row r="2838" spans="1:1">
      <c r="A2838" t="s">
        <v>41057</v>
      </c>
    </row>
    <row r="2839" spans="1:1">
      <c r="A2839" t="s">
        <v>41057</v>
      </c>
    </row>
    <row r="2840" spans="1:1">
      <c r="A2840" t="s">
        <v>46691</v>
      </c>
    </row>
    <row r="2841" spans="1:1">
      <c r="A2841" t="s">
        <v>46692</v>
      </c>
    </row>
    <row r="2842" spans="1:1">
      <c r="A2842" t="s">
        <v>45438</v>
      </c>
    </row>
    <row r="2843" spans="1:1">
      <c r="A2843" t="s">
        <v>46693</v>
      </c>
    </row>
    <row r="2844" spans="1:1">
      <c r="A2844" t="e" cm="1">
        <f t="array" ref="A2844">---DYWYMHKRAKKF---G-------------------------------------CE-K</f>
        <v>#NAME?</v>
      </c>
    </row>
    <row r="2845" spans="1:1">
      <c r="A2845" t="s">
        <v>46694</v>
      </c>
    </row>
    <row r="2846" spans="1:1">
      <c r="A2846" t="e" cm="1">
        <f t="array" ref="A2846">-------------------------------------EETPYIKKDLSSAAMG-QNKLKF</f>
        <v>#NAME?</v>
      </c>
    </row>
    <row r="2847" spans="1:1">
      <c r="A2847" t="s">
        <v>46695</v>
      </c>
    </row>
    <row r="2848" spans="1:1">
      <c r="A2848" t="s">
        <v>46696</v>
      </c>
    </row>
    <row r="2849" spans="1:1">
      <c r="A2849" t="s">
        <v>46697</v>
      </c>
    </row>
    <row r="2850" spans="1:1">
      <c r="A2850" t="s">
        <v>46698</v>
      </c>
    </row>
    <row r="2851" spans="1:1">
      <c r="A2851" t="s">
        <v>46699</v>
      </c>
    </row>
    <row r="2852" spans="1:1">
      <c r="A2852" t="e" cm="1">
        <f t="array" ref="A2852">-------------------------GPHDI-------FR-LQK----------------G</f>
        <v>#NAME?</v>
      </c>
    </row>
    <row r="2853" spans="1:1">
      <c r="A2853" t="s">
        <v>46700</v>
      </c>
    </row>
    <row r="2854" spans="1:1">
      <c r="A2854" t="s">
        <v>41057</v>
      </c>
    </row>
    <row r="2855" spans="1:1">
      <c r="A2855" t="s">
        <v>45447</v>
      </c>
    </row>
    <row r="2856" spans="1:1">
      <c r="A2856" t="e" cm="1">
        <f t="array" ref="A2856">--------------YCLVDCI-----------------LC--------NKLMNKL-QVLT</f>
        <v>#NAME?</v>
      </c>
    </row>
    <row r="2857" spans="1:1">
      <c r="A2857" t="s">
        <v>46701</v>
      </c>
    </row>
    <row r="2858" spans="1:1">
      <c r="A2858" t="s">
        <v>46702</v>
      </c>
    </row>
    <row r="2859" spans="1:1">
      <c r="A2859" t="s">
        <v>46703</v>
      </c>
    </row>
    <row r="2860" spans="1:1">
      <c r="A2860" t="s">
        <v>46704</v>
      </c>
    </row>
    <row r="2861" spans="1:1">
      <c r="A2861" t="e" cm="1">
        <f t="array" ref="A2861">------------G-YE--------------------------------GATV-FNPDTGV</f>
        <v>#NAME?</v>
      </c>
    </row>
    <row r="2862" spans="1:1">
      <c r="A2862" t="s">
        <v>46705</v>
      </c>
    </row>
    <row r="2863" spans="1:1">
      <c r="A2863" t="s">
        <v>41057</v>
      </c>
    </row>
    <row r="2864" spans="1:1">
      <c r="A2864" t="s">
        <v>41057</v>
      </c>
    </row>
    <row r="2865" spans="1:1">
      <c r="A2865" t="s">
        <v>41057</v>
      </c>
    </row>
    <row r="2866" spans="1:1">
      <c r="A2866" t="s">
        <v>41057</v>
      </c>
    </row>
    <row r="2867" spans="1:1">
      <c r="A2867" t="s">
        <v>41057</v>
      </c>
    </row>
    <row r="2868" spans="1:1">
      <c r="A2868" t="s">
        <v>41057</v>
      </c>
    </row>
    <row r="2869" spans="1:1">
      <c r="A2869" t="s">
        <v>41057</v>
      </c>
    </row>
    <row r="2870" spans="1:1">
      <c r="A2870" t="s">
        <v>41057</v>
      </c>
    </row>
    <row r="2871" spans="1:1">
      <c r="A2871" t="s">
        <v>46706</v>
      </c>
    </row>
    <row r="2872" spans="1:1">
      <c r="A2872" t="s">
        <v>46707</v>
      </c>
    </row>
    <row r="2873" spans="1:1">
      <c r="A2873" t="s">
        <v>46588</v>
      </c>
    </row>
    <row r="2874" spans="1:1">
      <c r="A2874" t="s">
        <v>46708</v>
      </c>
    </row>
    <row r="2875" spans="1:1">
      <c r="A2875" t="s">
        <v>41057</v>
      </c>
    </row>
    <row r="2876" spans="1:1">
      <c r="A2876" t="s">
        <v>41057</v>
      </c>
    </row>
    <row r="2877" spans="1:1">
      <c r="A2877" t="s">
        <v>41057</v>
      </c>
    </row>
    <row r="2878" spans="1:1">
      <c r="A2878" t="s">
        <v>46709</v>
      </c>
    </row>
    <row r="2879" spans="1:1">
      <c r="A2879" t="s">
        <v>46710</v>
      </c>
    </row>
    <row r="2880" spans="1:1">
      <c r="A2880" t="s">
        <v>46711</v>
      </c>
    </row>
    <row r="2881" spans="1:1">
      <c r="A2881" t="s">
        <v>46712</v>
      </c>
    </row>
    <row r="2882" spans="1:1">
      <c r="A2882" t="s">
        <v>46713</v>
      </c>
    </row>
    <row r="2883" spans="1:1">
      <c r="A2883" t="s">
        <v>46714</v>
      </c>
    </row>
    <row r="2884" spans="1:1">
      <c r="A2884" t="s">
        <v>41057</v>
      </c>
    </row>
    <row r="2885" spans="1:1">
      <c r="A2885" t="s">
        <v>41057</v>
      </c>
    </row>
    <row r="2886" spans="1:1">
      <c r="A2886" t="s">
        <v>41057</v>
      </c>
    </row>
    <row r="2887" spans="1:1">
      <c r="A2887" t="s">
        <v>41057</v>
      </c>
    </row>
    <row r="2888" spans="1:1">
      <c r="A2888" t="s">
        <v>41057</v>
      </c>
    </row>
    <row r="2889" spans="1:1">
      <c r="A2889" t="s">
        <v>41057</v>
      </c>
    </row>
    <row r="2890" spans="1:1">
      <c r="A2890" t="s">
        <v>41057</v>
      </c>
    </row>
    <row r="2891" spans="1:1">
      <c r="A2891" t="s">
        <v>41057</v>
      </c>
    </row>
    <row r="2892" spans="1:1">
      <c r="A2892" t="s">
        <v>41057</v>
      </c>
    </row>
    <row r="2893" spans="1:1">
      <c r="A2893" t="s">
        <v>46715</v>
      </c>
    </row>
    <row r="2894" spans="1:1">
      <c r="A2894" t="s">
        <v>41057</v>
      </c>
    </row>
    <row r="2895" spans="1:1">
      <c r="A2895" t="s">
        <v>41057</v>
      </c>
    </row>
    <row r="2896" spans="1:1">
      <c r="A2896" t="s">
        <v>41057</v>
      </c>
    </row>
    <row r="2897" spans="1:1">
      <c r="A2897" t="s">
        <v>41057</v>
      </c>
    </row>
    <row r="2898" spans="1:1">
      <c r="A2898" t="s">
        <v>41057</v>
      </c>
    </row>
    <row r="2899" spans="1:1">
      <c r="A2899" t="s">
        <v>41057</v>
      </c>
    </row>
    <row r="2900" spans="1:1">
      <c r="A2900" t="s">
        <v>41057</v>
      </c>
    </row>
    <row r="2901" spans="1:1">
      <c r="A2901" t="s">
        <v>41057</v>
      </c>
    </row>
    <row r="2902" spans="1:1">
      <c r="A2902" t="s">
        <v>41057</v>
      </c>
    </row>
    <row r="2903" spans="1:1">
      <c r="A2903" t="s">
        <v>41057</v>
      </c>
    </row>
    <row r="2904" spans="1:1">
      <c r="A2904" t="s">
        <v>41057</v>
      </c>
    </row>
    <row r="2905" spans="1:1">
      <c r="A2905" t="s">
        <v>41057</v>
      </c>
    </row>
    <row r="2906" spans="1:1">
      <c r="A2906" t="s">
        <v>41057</v>
      </c>
    </row>
    <row r="2907" spans="1:1">
      <c r="A2907" t="s">
        <v>41057</v>
      </c>
    </row>
    <row r="2908" spans="1:1">
      <c r="A2908" t="s">
        <v>41057</v>
      </c>
    </row>
    <row r="2909" spans="1:1">
      <c r="A2909" t="s">
        <v>41057</v>
      </c>
    </row>
    <row r="2910" spans="1:1">
      <c r="A2910" t="s">
        <v>41057</v>
      </c>
    </row>
    <row r="2911" spans="1:1">
      <c r="A2911" t="s">
        <v>41057</v>
      </c>
    </row>
    <row r="2912" spans="1:1">
      <c r="A2912" t="s">
        <v>41057</v>
      </c>
    </row>
    <row r="2913" spans="1:1">
      <c r="A2913" t="s">
        <v>41057</v>
      </c>
    </row>
    <row r="2914" spans="1:1">
      <c r="A2914" t="s">
        <v>41057</v>
      </c>
    </row>
    <row r="2915" spans="1:1">
      <c r="A2915" t="s">
        <v>41057</v>
      </c>
    </row>
    <row r="2916" spans="1:1">
      <c r="A2916" t="s">
        <v>41057</v>
      </c>
    </row>
    <row r="2917" spans="1:1">
      <c r="A2917" t="s">
        <v>41057</v>
      </c>
    </row>
    <row r="2918" spans="1:1">
      <c r="A2918" t="s">
        <v>41057</v>
      </c>
    </row>
    <row r="2919" spans="1:1">
      <c r="A2919" t="s">
        <v>41057</v>
      </c>
    </row>
    <row r="2920" spans="1:1">
      <c r="A2920" t="s">
        <v>41057</v>
      </c>
    </row>
    <row r="2921" spans="1:1">
      <c r="A2921" t="s">
        <v>41057</v>
      </c>
    </row>
    <row r="2922" spans="1:1">
      <c r="A2922" t="s">
        <v>46716</v>
      </c>
    </row>
    <row r="2923" spans="1:1">
      <c r="A2923" t="s">
        <v>41057</v>
      </c>
    </row>
    <row r="2924" spans="1:1">
      <c r="A2924" t="s">
        <v>41057</v>
      </c>
    </row>
    <row r="2925" spans="1:1">
      <c r="A2925" t="s">
        <v>41057</v>
      </c>
    </row>
    <row r="2926" spans="1:1">
      <c r="A2926" t="s">
        <v>41057</v>
      </c>
    </row>
    <row r="2927" spans="1:1">
      <c r="A2927" t="s">
        <v>41057</v>
      </c>
    </row>
    <row r="2928" spans="1:1">
      <c r="A2928" t="s">
        <v>41057</v>
      </c>
    </row>
    <row r="2929" spans="1:1">
      <c r="A2929" t="s">
        <v>41057</v>
      </c>
    </row>
    <row r="2930" spans="1:1">
      <c r="A2930" t="s">
        <v>41057</v>
      </c>
    </row>
    <row r="2931" spans="1:1">
      <c r="A2931" t="s">
        <v>41057</v>
      </c>
    </row>
    <row r="2932" spans="1:1">
      <c r="A2932" t="s">
        <v>41057</v>
      </c>
    </row>
    <row r="2933" spans="1:1">
      <c r="A2933" t="s">
        <v>41057</v>
      </c>
    </row>
    <row r="2934" spans="1:1">
      <c r="A2934" t="s">
        <v>41057</v>
      </c>
    </row>
    <row r="2935" spans="1:1">
      <c r="A2935" t="s">
        <v>41057</v>
      </c>
    </row>
    <row r="2936" spans="1:1">
      <c r="A2936" t="s">
        <v>41057</v>
      </c>
    </row>
    <row r="2937" spans="1:1">
      <c r="A2937" t="s">
        <v>41057</v>
      </c>
    </row>
    <row r="2938" spans="1:1">
      <c r="A2938" t="s">
        <v>41057</v>
      </c>
    </row>
    <row r="2939" spans="1:1">
      <c r="A2939" t="s">
        <v>41057</v>
      </c>
    </row>
    <row r="2940" spans="1:1">
      <c r="A2940" t="s">
        <v>41057</v>
      </c>
    </row>
    <row r="2941" spans="1:1">
      <c r="A2941" t="s">
        <v>41057</v>
      </c>
    </row>
    <row r="2942" spans="1:1">
      <c r="A2942" t="s">
        <v>41057</v>
      </c>
    </row>
    <row r="2943" spans="1:1">
      <c r="A2943" t="s">
        <v>46717</v>
      </c>
    </row>
    <row r="2944" spans="1:1">
      <c r="A2944" t="s">
        <v>45870</v>
      </c>
    </row>
    <row r="2945" spans="1:1">
      <c r="A2945" t="s">
        <v>43941</v>
      </c>
    </row>
    <row r="2946" spans="1:1">
      <c r="A2946" t="s">
        <v>41057</v>
      </c>
    </row>
    <row r="2947" spans="1:1">
      <c r="A2947" t="s">
        <v>46718</v>
      </c>
    </row>
    <row r="2948" spans="1:1">
      <c r="A2948" t="e" cm="1">
        <f t="array" ref="A2948">--------------------------------SIKNEERKNINKTNDIKQTVSKTNIKQT</f>
        <v>#NAME?</v>
      </c>
    </row>
    <row r="2949" spans="1:1">
      <c r="A2949" t="s">
        <v>46719</v>
      </c>
    </row>
    <row r="2950" spans="1:1">
      <c r="A2950" t="s">
        <v>46720</v>
      </c>
    </row>
    <row r="2951" spans="1:1">
      <c r="A2951" t="s">
        <v>46721</v>
      </c>
    </row>
    <row r="2952" spans="1:1">
      <c r="A2952" t="s">
        <v>46722</v>
      </c>
    </row>
    <row r="2953" spans="1:1">
      <c r="A2953" t="s">
        <v>46723</v>
      </c>
    </row>
    <row r="2954" spans="1:1">
      <c r="A2954" t="e" cm="1">
        <f t="array" ref="A2954">----------IVTSNIDSD-----GDSNKSDDNNN-----------------------GN</f>
        <v>#NAME?</v>
      </c>
    </row>
    <row r="2955" spans="1:1">
      <c r="A2955" t="s">
        <v>46724</v>
      </c>
    </row>
    <row r="2956" spans="1:1">
      <c r="A2956" t="s">
        <v>46725</v>
      </c>
    </row>
    <row r="2957" spans="1:1">
      <c r="A2957" t="s">
        <v>46726</v>
      </c>
    </row>
    <row r="2958" spans="1:1">
      <c r="A2958" t="s">
        <v>46727</v>
      </c>
    </row>
    <row r="2959" spans="1:1">
      <c r="A2959" t="s">
        <v>46728</v>
      </c>
    </row>
    <row r="2960" spans="1:1">
      <c r="A2960" t="s">
        <v>46729</v>
      </c>
    </row>
    <row r="2961" spans="1:1">
      <c r="A2961" t="s">
        <v>46730</v>
      </c>
    </row>
    <row r="2962" spans="1:1">
      <c r="A2962" t="s">
        <v>46731</v>
      </c>
    </row>
    <row r="2963" spans="1:1">
      <c r="A2963" t="s">
        <v>46732</v>
      </c>
    </row>
    <row r="2964" spans="1:1">
      <c r="A2964" t="s">
        <v>46733</v>
      </c>
    </row>
    <row r="2965" spans="1:1">
      <c r="A2965" t="s">
        <v>41057</v>
      </c>
    </row>
    <row r="2966" spans="1:1">
      <c r="A2966" t="s">
        <v>41057</v>
      </c>
    </row>
    <row r="2967" spans="1:1">
      <c r="A2967" t="s">
        <v>41057</v>
      </c>
    </row>
    <row r="2968" spans="1:1">
      <c r="A2968" t="s">
        <v>46734</v>
      </c>
    </row>
    <row r="2969" spans="1:1">
      <c r="A2969" t="s">
        <v>46735</v>
      </c>
    </row>
    <row r="2970" spans="1:1">
      <c r="A2970" t="s">
        <v>45438</v>
      </c>
    </row>
    <row r="2971" spans="1:1">
      <c r="A2971" t="s">
        <v>46736</v>
      </c>
    </row>
    <row r="2972" spans="1:1">
      <c r="A2972" t="s">
        <v>46737</v>
      </c>
    </row>
    <row r="2973" spans="1:1">
      <c r="A2973" t="s">
        <v>46738</v>
      </c>
    </row>
    <row r="2974" spans="1:1">
      <c r="A2974" t="e" cm="1">
        <f t="array" ref="A2974">-------------------------------------YNCEYVKKNLNSAGLG-DNKLKY</f>
        <v>#NAME?</v>
      </c>
    </row>
    <row r="2975" spans="1:1">
      <c r="A2975" t="s">
        <v>46739</v>
      </c>
    </row>
    <row r="2976" spans="1:1">
      <c r="A2976" t="s">
        <v>46740</v>
      </c>
    </row>
    <row r="2977" spans="1:1">
      <c r="A2977" t="e" cm="1">
        <f t="array" ref="A2977">------------EEQ-DDTT-ILYTESSYGL---YPERYIKIYYNDSL--SDYTCEDINK</f>
        <v>#NAME?</v>
      </c>
    </row>
    <row r="2978" spans="1:1">
      <c r="A2978" t="s">
        <v>46741</v>
      </c>
    </row>
    <row r="2979" spans="1:1">
      <c r="A2979" t="s">
        <v>46742</v>
      </c>
    </row>
    <row r="2980" spans="1:1">
      <c r="A2980" t="e" cm="1">
        <f t="array" ref="A2980">-------------------------PYRHM-------FK-LQE----------------G</f>
        <v>#NAME?</v>
      </c>
    </row>
    <row r="2981" spans="1:1">
      <c r="A2981" t="s">
        <v>46743</v>
      </c>
    </row>
    <row r="2982" spans="1:1">
      <c r="A2982" t="s">
        <v>41057</v>
      </c>
    </row>
    <row r="2983" spans="1:1">
      <c r="A2983" t="s">
        <v>45447</v>
      </c>
    </row>
    <row r="2984" spans="1:1">
      <c r="A2984" t="e" cm="1">
        <f t="array" ref="A2984">--------------YCIQDCK-----------------LC--------NILMEKL-QVLT</f>
        <v>#NAME?</v>
      </c>
    </row>
    <row r="2985" spans="1:1">
      <c r="A2985" t="s">
        <v>46744</v>
      </c>
    </row>
    <row r="2986" spans="1:1">
      <c r="A2986" t="e" cm="1">
        <f t="array" ref="A2986">-LM---RKNYKNKTKEQLAREKKAR-----DIKEKIYIEEIKTPEQIENDKKIKKKNILA</f>
        <v>#NAME?</v>
      </c>
    </row>
    <row r="2987" spans="1:1">
      <c r="A2987" t="s">
        <v>46745</v>
      </c>
    </row>
    <row r="2988" spans="1:1">
      <c r="A2988" t="s">
        <v>46746</v>
      </c>
    </row>
    <row r="2989" spans="1:1">
      <c r="A2989" t="e" cm="1">
        <f t="array" ref="A2989">------------G-YE--------------------------------GATV-LDPITGL</f>
        <v>#NAME?</v>
      </c>
    </row>
    <row r="2990" spans="1:1">
      <c r="A2990" t="s">
        <v>46747</v>
      </c>
    </row>
    <row r="2991" spans="1:1">
      <c r="A2991" t="s">
        <v>41057</v>
      </c>
    </row>
    <row r="2992" spans="1:1">
      <c r="A2992" t="s">
        <v>41057</v>
      </c>
    </row>
    <row r="2993" spans="1:1">
      <c r="A2993" t="s">
        <v>41057</v>
      </c>
    </row>
    <row r="2994" spans="1:1">
      <c r="A2994" t="s">
        <v>41057</v>
      </c>
    </row>
    <row r="2995" spans="1:1">
      <c r="A2995" t="s">
        <v>41057</v>
      </c>
    </row>
    <row r="2996" spans="1:1">
      <c r="A2996" t="s">
        <v>41057</v>
      </c>
    </row>
    <row r="2997" spans="1:1">
      <c r="A2997" t="s">
        <v>41057</v>
      </c>
    </row>
    <row r="2998" spans="1:1">
      <c r="A2998" t="s">
        <v>41057</v>
      </c>
    </row>
    <row r="2999" spans="1:1">
      <c r="A2999" t="s">
        <v>46748</v>
      </c>
    </row>
    <row r="3000" spans="1:1">
      <c r="A3000" t="s">
        <v>46749</v>
      </c>
    </row>
    <row r="3001" spans="1:1">
      <c r="A3001" t="s">
        <v>46750</v>
      </c>
    </row>
    <row r="3002" spans="1:1">
      <c r="A3002" t="s">
        <v>46751</v>
      </c>
    </row>
    <row r="3003" spans="1:1">
      <c r="A3003" t="s">
        <v>41057</v>
      </c>
    </row>
    <row r="3004" spans="1:1">
      <c r="A3004" t="s">
        <v>41057</v>
      </c>
    </row>
    <row r="3005" spans="1:1">
      <c r="A3005" t="s">
        <v>41057</v>
      </c>
    </row>
    <row r="3006" spans="1:1">
      <c r="A3006" t="s">
        <v>46752</v>
      </c>
    </row>
    <row r="3007" spans="1:1">
      <c r="A3007" t="s">
        <v>46753</v>
      </c>
    </row>
    <row r="3008" spans="1:1">
      <c r="A3008" t="s">
        <v>46754</v>
      </c>
    </row>
    <row r="3009" spans="1:1">
      <c r="A3009" t="s">
        <v>46755</v>
      </c>
    </row>
    <row r="3010" spans="1:1">
      <c r="A3010" t="s">
        <v>46756</v>
      </c>
    </row>
    <row r="3011" spans="1:1">
      <c r="A3011" t="s">
        <v>45913</v>
      </c>
    </row>
    <row r="3012" spans="1:1">
      <c r="A3012" t="s">
        <v>41057</v>
      </c>
    </row>
    <row r="3013" spans="1:1">
      <c r="A3013" t="s">
        <v>41057</v>
      </c>
    </row>
    <row r="3014" spans="1:1">
      <c r="A3014" t="s">
        <v>41057</v>
      </c>
    </row>
    <row r="3015" spans="1:1">
      <c r="A3015" t="s">
        <v>41057</v>
      </c>
    </row>
    <row r="3016" spans="1:1">
      <c r="A3016" t="s">
        <v>41057</v>
      </c>
    </row>
    <row r="3017" spans="1:1">
      <c r="A3017" t="s">
        <v>41057</v>
      </c>
    </row>
    <row r="3018" spans="1:1">
      <c r="A3018" t="s">
        <v>41057</v>
      </c>
    </row>
    <row r="3019" spans="1:1">
      <c r="A3019" t="s">
        <v>41057</v>
      </c>
    </row>
    <row r="3020" spans="1:1">
      <c r="A3020" t="s">
        <v>41057</v>
      </c>
    </row>
    <row r="3021" spans="1:1">
      <c r="A3021" t="s">
        <v>45463</v>
      </c>
    </row>
    <row r="3022" spans="1:1">
      <c r="A3022" t="s">
        <v>41057</v>
      </c>
    </row>
    <row r="3023" spans="1:1">
      <c r="A3023" t="s">
        <v>41057</v>
      </c>
    </row>
    <row r="3024" spans="1:1">
      <c r="A3024" t="s">
        <v>41057</v>
      </c>
    </row>
    <row r="3025" spans="1:1">
      <c r="A3025" t="s">
        <v>41057</v>
      </c>
    </row>
    <row r="3026" spans="1:1">
      <c r="A3026" t="s">
        <v>41057</v>
      </c>
    </row>
    <row r="3027" spans="1:1">
      <c r="A3027" t="s">
        <v>46757</v>
      </c>
    </row>
    <row r="3028" spans="1:1">
      <c r="A3028" t="s">
        <v>46758</v>
      </c>
    </row>
    <row r="3029" spans="1:1">
      <c r="A3029" t="s">
        <v>46759</v>
      </c>
    </row>
    <row r="3030" spans="1:1">
      <c r="A3030" t="s">
        <v>46760</v>
      </c>
    </row>
    <row r="3031" spans="1:1">
      <c r="A3031" t="e" cm="1">
        <f t="array" ref="A3031">--------------NAFNDYS-------------------KDKKYTNREEFIEWTFNEFV</f>
        <v>#NAME?</v>
      </c>
    </row>
    <row r="3032" spans="1:1">
      <c r="A3032" t="s">
        <v>46761</v>
      </c>
    </row>
    <row r="3033" spans="1:1">
      <c r="A3033" t="s">
        <v>41057</v>
      </c>
    </row>
    <row r="3034" spans="1:1">
      <c r="A3034" t="s">
        <v>41057</v>
      </c>
    </row>
    <row r="3035" spans="1:1">
      <c r="A3035" t="s">
        <v>41057</v>
      </c>
    </row>
    <row r="3036" spans="1:1">
      <c r="A3036" t="s">
        <v>41057</v>
      </c>
    </row>
    <row r="3037" spans="1:1">
      <c r="A3037" t="s">
        <v>41057</v>
      </c>
    </row>
    <row r="3038" spans="1:1">
      <c r="A3038" t="s">
        <v>41057</v>
      </c>
    </row>
    <row r="3039" spans="1:1">
      <c r="A3039" t="s">
        <v>41057</v>
      </c>
    </row>
    <row r="3040" spans="1:1">
      <c r="A3040" t="s">
        <v>41057</v>
      </c>
    </row>
    <row r="3041" spans="1:1">
      <c r="A3041" t="s">
        <v>41057</v>
      </c>
    </row>
    <row r="3042" spans="1:1">
      <c r="A3042" t="s">
        <v>41057</v>
      </c>
    </row>
    <row r="3043" spans="1:1">
      <c r="A3043" t="s">
        <v>41057</v>
      </c>
    </row>
    <row r="3044" spans="1:1">
      <c r="A3044" t="e" cm="1">
        <f t="array" ref="A3044">-----------------------------------------------TDSV--------F</f>
        <v>#NAME?</v>
      </c>
    </row>
    <row r="3045" spans="1:1">
      <c r="A3045" t="s">
        <v>45475</v>
      </c>
    </row>
    <row r="3046" spans="1:1">
      <c r="A3046" t="s">
        <v>46762</v>
      </c>
    </row>
    <row r="3047" spans="1:1">
      <c r="A3047" t="e" cm="1">
        <f t="array" ref="A3047">--LENLQNKDA----------------------------LKM----SIR----------L</f>
        <v>#NAME?</v>
      </c>
    </row>
    <row r="3048" spans="1:1">
      <c r="A3048" t="s">
        <v>46763</v>
      </c>
    </row>
    <row r="3049" spans="1:1">
      <c r="A3049" t="e" cm="1">
        <f t="array" ref="A3049">--------PH------NLQYEK-TLWPFAI----------L-SKKRYV-----------G</f>
        <v>#NAME?</v>
      </c>
    </row>
    <row r="3050" spans="1:1">
      <c r="A3050" t="s">
        <v>46764</v>
      </c>
    </row>
    <row r="3051" spans="1:1">
      <c r="A3051" t="s">
        <v>46765</v>
      </c>
    </row>
    <row r="3052" spans="1:1">
      <c r="A3052" t="s">
        <v>46766</v>
      </c>
    </row>
    <row r="3053" spans="1:1">
      <c r="A3053" t="s">
        <v>46767</v>
      </c>
    </row>
    <row r="3054" spans="1:1">
      <c r="A3054" t="s">
        <v>46768</v>
      </c>
    </row>
    <row r="3055" spans="1:1">
      <c r="A3055" t="s">
        <v>46769</v>
      </c>
    </row>
    <row r="3056" spans="1:1">
      <c r="A3056" t="s">
        <v>46770</v>
      </c>
    </row>
    <row r="3057" spans="1:1">
      <c r="A3057" t="s">
        <v>46771</v>
      </c>
    </row>
    <row r="3058" spans="1:1">
      <c r="A3058" t="s">
        <v>46772</v>
      </c>
    </row>
    <row r="3059" spans="1:1">
      <c r="A3059" t="s">
        <v>46773</v>
      </c>
    </row>
    <row r="3060" spans="1:1">
      <c r="A3060" t="s">
        <v>46774</v>
      </c>
    </row>
    <row r="3061" spans="1:1">
      <c r="A3061" t="s">
        <v>41057</v>
      </c>
    </row>
    <row r="3062" spans="1:1">
      <c r="A3062" t="s">
        <v>46775</v>
      </c>
    </row>
    <row r="3063" spans="1:1">
      <c r="A3063" t="s">
        <v>41057</v>
      </c>
    </row>
    <row r="3064" spans="1:1">
      <c r="A3064" t="s">
        <v>41057</v>
      </c>
    </row>
    <row r="3065" spans="1:1">
      <c r="A3065" t="s">
        <v>46776</v>
      </c>
    </row>
    <row r="3066" spans="1:1">
      <c r="A3066" t="s">
        <v>46777</v>
      </c>
    </row>
    <row r="3067" spans="1:1">
      <c r="A3067" t="s">
        <v>46778</v>
      </c>
    </row>
    <row r="3068" spans="1:1">
      <c r="A3068" t="s">
        <v>46779</v>
      </c>
    </row>
    <row r="3069" spans="1:1">
      <c r="A3069" t="e" cm="1">
        <f t="array" ref="A3069">---------SDEESNFDKLSNIKTPLIKPTRKITRKIINNKIKTTNTTKPIVAKITKEKT</f>
        <v>#NAME?</v>
      </c>
    </row>
    <row r="3070" spans="1:1">
      <c r="A3070" t="s">
        <v>46780</v>
      </c>
    </row>
    <row r="3071" spans="1:1">
      <c r="A3071" t="e" cm="1">
        <f t="array" ref="A3071">-KATKEKEIEKKSTDTTDVTD----TKATNTKTTNTKTKTINAKTTNTKTINLRAT-DKK</f>
        <v>#NAME?</v>
      </c>
    </row>
    <row r="3072" spans="1:1">
      <c r="A3072" t="s">
        <v>46781</v>
      </c>
    </row>
    <row r="3073" spans="1:1">
      <c r="A3073" t="s">
        <v>43409</v>
      </c>
    </row>
    <row r="3074" spans="1:1">
      <c r="A3074" t="s">
        <v>41057</v>
      </c>
    </row>
    <row r="3075" spans="1:1">
      <c r="A3075" t="s">
        <v>41057</v>
      </c>
    </row>
    <row r="3076" spans="1:1">
      <c r="A3076" t="s">
        <v>41057</v>
      </c>
    </row>
    <row r="3077" spans="1:1">
      <c r="A3077" t="s">
        <v>41057</v>
      </c>
    </row>
    <row r="3078" spans="1:1">
      <c r="A3078" t="s">
        <v>46782</v>
      </c>
    </row>
    <row r="3079" spans="1:1">
      <c r="A3079" t="s">
        <v>46783</v>
      </c>
    </row>
    <row r="3080" spans="1:1">
      <c r="A3080" t="s">
        <v>46784</v>
      </c>
    </row>
    <row r="3081" spans="1:1">
      <c r="A3081" t="s">
        <v>46785</v>
      </c>
    </row>
    <row r="3082" spans="1:1">
      <c r="A3082" t="e" cm="1">
        <f t="array" ref="A3082">-------------------------EVD----EDK-----------------------RY</f>
        <v>#NAME?</v>
      </c>
    </row>
    <row r="3083" spans="1:1">
      <c r="A3083" t="s">
        <v>46786</v>
      </c>
    </row>
    <row r="3084" spans="1:1">
      <c r="A3084" t="s">
        <v>46787</v>
      </c>
    </row>
    <row r="3085" spans="1:1">
      <c r="A3085" t="s">
        <v>46788</v>
      </c>
    </row>
    <row r="3086" spans="1:1">
      <c r="A3086" t="s">
        <v>46789</v>
      </c>
    </row>
    <row r="3087" spans="1:1">
      <c r="A3087" t="s">
        <v>46790</v>
      </c>
    </row>
    <row r="3088" spans="1:1">
      <c r="A3088" t="s">
        <v>46791</v>
      </c>
    </row>
    <row r="3089" spans="1:1">
      <c r="A3089" t="s">
        <v>46792</v>
      </c>
    </row>
    <row r="3090" spans="1:1">
      <c r="A3090" t="s">
        <v>46793</v>
      </c>
    </row>
    <row r="3091" spans="1:1">
      <c r="A3091" t="s">
        <v>46794</v>
      </c>
    </row>
    <row r="3092" spans="1:1">
      <c r="A3092" t="s">
        <v>46795</v>
      </c>
    </row>
    <row r="3093" spans="1:1">
      <c r="A3093" t="s">
        <v>41057</v>
      </c>
    </row>
    <row r="3094" spans="1:1">
      <c r="A3094" t="s">
        <v>41057</v>
      </c>
    </row>
    <row r="3095" spans="1:1">
      <c r="A3095" t="s">
        <v>41057</v>
      </c>
    </row>
    <row r="3096" spans="1:1">
      <c r="A3096" t="s">
        <v>46796</v>
      </c>
    </row>
    <row r="3097" spans="1:1">
      <c r="A3097" t="s">
        <v>46797</v>
      </c>
    </row>
    <row r="3098" spans="1:1">
      <c r="A3098" t="s">
        <v>46798</v>
      </c>
    </row>
    <row r="3099" spans="1:1">
      <c r="A3099" t="s">
        <v>46799</v>
      </c>
    </row>
    <row r="3100" spans="1:1">
      <c r="A3100" t="s">
        <v>46800</v>
      </c>
    </row>
    <row r="3101" spans="1:1">
      <c r="A3101" t="s">
        <v>46801</v>
      </c>
    </row>
    <row r="3102" spans="1:1">
      <c r="A3102" t="e" cm="1">
        <f t="array" ref="A3102">-------------------------------------EVCEWKEAKLSSSALG-DNILKY</f>
        <v>#NAME?</v>
      </c>
    </row>
    <row r="3103" spans="1:1">
      <c r="A3103" t="s">
        <v>46802</v>
      </c>
    </row>
    <row r="3104" spans="1:1">
      <c r="A3104" t="s">
        <v>46803</v>
      </c>
    </row>
    <row r="3105" spans="1:1">
      <c r="A3105" t="s">
        <v>46804</v>
      </c>
    </row>
    <row r="3106" spans="1:1">
      <c r="A3106" t="s">
        <v>46805</v>
      </c>
    </row>
    <row r="3107" spans="1:1">
      <c r="A3107" t="s">
        <v>46806</v>
      </c>
    </row>
    <row r="3108" spans="1:1">
      <c r="A3108" t="e" cm="1">
        <f t="array" ref="A3108">-------------------------KARDI-------FK-LFK----------------Q</f>
        <v>#NAME?</v>
      </c>
    </row>
    <row r="3109" spans="1:1">
      <c r="A3109" t="s">
        <v>46807</v>
      </c>
    </row>
    <row r="3110" spans="1:1">
      <c r="A3110" t="s">
        <v>41057</v>
      </c>
    </row>
    <row r="3111" spans="1:1">
      <c r="A3111" t="s">
        <v>45447</v>
      </c>
    </row>
    <row r="3112" spans="1:1">
      <c r="A3112" t="e" cm="1">
        <f t="array" ref="A3112">--------------YCVMDCE-----------------LC--------NKLMTKL-QIIT</f>
        <v>#NAME?</v>
      </c>
    </row>
    <row r="3113" spans="1:1">
      <c r="A3113" t="s">
        <v>46808</v>
      </c>
    </row>
    <row r="3114" spans="1:1">
      <c r="A3114" t="s">
        <v>46809</v>
      </c>
    </row>
    <row r="3115" spans="1:1">
      <c r="A3115" t="s">
        <v>46810</v>
      </c>
    </row>
    <row r="3116" spans="1:1">
      <c r="A3116" t="s">
        <v>46811</v>
      </c>
    </row>
    <row r="3117" spans="1:1">
      <c r="A3117" t="e" cm="1">
        <f t="array" ref="A3117">------------G-YE--------------------------------GAIV-FEPIAGV</f>
        <v>#NAME?</v>
      </c>
    </row>
    <row r="3118" spans="1:1">
      <c r="A3118" t="s">
        <v>46812</v>
      </c>
    </row>
    <row r="3119" spans="1:1">
      <c r="A3119" t="s">
        <v>41057</v>
      </c>
    </row>
    <row r="3120" spans="1:1">
      <c r="A3120" t="s">
        <v>41057</v>
      </c>
    </row>
    <row r="3121" spans="1:1">
      <c r="A3121" t="s">
        <v>41057</v>
      </c>
    </row>
    <row r="3122" spans="1:1">
      <c r="A3122" t="s">
        <v>41057</v>
      </c>
    </row>
    <row r="3123" spans="1:1">
      <c r="A3123" t="s">
        <v>41057</v>
      </c>
    </row>
    <row r="3124" spans="1:1">
      <c r="A3124" t="s">
        <v>41057</v>
      </c>
    </row>
    <row r="3125" spans="1:1">
      <c r="A3125" t="s">
        <v>41057</v>
      </c>
    </row>
    <row r="3126" spans="1:1">
      <c r="A3126" t="s">
        <v>41057</v>
      </c>
    </row>
    <row r="3127" spans="1:1">
      <c r="A3127" t="s">
        <v>46813</v>
      </c>
    </row>
    <row r="3128" spans="1:1">
      <c r="A3128" t="s">
        <v>46814</v>
      </c>
    </row>
    <row r="3129" spans="1:1">
      <c r="A3129" t="s">
        <v>46815</v>
      </c>
    </row>
    <row r="3130" spans="1:1">
      <c r="A3130" t="s">
        <v>46816</v>
      </c>
    </row>
    <row r="3131" spans="1:1">
      <c r="A3131" t="s">
        <v>41057</v>
      </c>
    </row>
    <row r="3132" spans="1:1">
      <c r="A3132" t="s">
        <v>41057</v>
      </c>
    </row>
    <row r="3133" spans="1:1">
      <c r="A3133" t="s">
        <v>41057</v>
      </c>
    </row>
    <row r="3134" spans="1:1">
      <c r="A3134" t="s">
        <v>46817</v>
      </c>
    </row>
    <row r="3135" spans="1:1">
      <c r="A3135" t="s">
        <v>46818</v>
      </c>
    </row>
    <row r="3136" spans="1:1">
      <c r="A3136" t="s">
        <v>46819</v>
      </c>
    </row>
    <row r="3137" spans="1:1">
      <c r="A3137" t="s">
        <v>46820</v>
      </c>
    </row>
    <row r="3138" spans="1:1">
      <c r="A3138" t="s">
        <v>46821</v>
      </c>
    </row>
    <row r="3139" spans="1:1">
      <c r="A3139" t="s">
        <v>46822</v>
      </c>
    </row>
    <row r="3140" spans="1:1">
      <c r="A3140" t="s">
        <v>41057</v>
      </c>
    </row>
    <row r="3141" spans="1:1">
      <c r="A3141" t="s">
        <v>41057</v>
      </c>
    </row>
    <row r="3142" spans="1:1">
      <c r="A3142" t="s">
        <v>41057</v>
      </c>
    </row>
    <row r="3143" spans="1:1">
      <c r="A3143" t="s">
        <v>41057</v>
      </c>
    </row>
    <row r="3144" spans="1:1">
      <c r="A3144" t="s">
        <v>41057</v>
      </c>
    </row>
    <row r="3145" spans="1:1">
      <c r="A3145" t="s">
        <v>41057</v>
      </c>
    </row>
    <row r="3146" spans="1:1">
      <c r="A3146" t="s">
        <v>41057</v>
      </c>
    </row>
    <row r="3147" spans="1:1">
      <c r="A3147" t="s">
        <v>41057</v>
      </c>
    </row>
    <row r="3148" spans="1:1">
      <c r="A3148" t="s">
        <v>41057</v>
      </c>
    </row>
    <row r="3149" spans="1:1">
      <c r="A3149" t="s">
        <v>46823</v>
      </c>
    </row>
    <row r="3150" spans="1:1">
      <c r="A3150" t="s">
        <v>41057</v>
      </c>
    </row>
    <row r="3151" spans="1:1">
      <c r="A3151" t="s">
        <v>41057</v>
      </c>
    </row>
    <row r="3152" spans="1:1">
      <c r="A3152" t="s">
        <v>41057</v>
      </c>
    </row>
    <row r="3153" spans="1:1">
      <c r="A3153" t="s">
        <v>41057</v>
      </c>
    </row>
    <row r="3154" spans="1:1">
      <c r="A3154" t="s">
        <v>41057</v>
      </c>
    </row>
    <row r="3155" spans="1:1">
      <c r="A3155" t="s">
        <v>46824</v>
      </c>
    </row>
    <row r="3156" spans="1:1">
      <c r="A3156" t="e" cm="1">
        <f t="array" ref="A3156">-------------------------EMLQFSKYFIENIFSKTINLALSDKEQYYKLMNET</f>
        <v>#NAME?</v>
      </c>
    </row>
    <row r="3157" spans="1:1">
      <c r="A3157" t="s">
        <v>46825</v>
      </c>
    </row>
    <row r="3158" spans="1:1">
      <c r="A3158" t="s">
        <v>46826</v>
      </c>
    </row>
    <row r="3159" spans="1:1">
      <c r="A3159" t="s">
        <v>46827</v>
      </c>
    </row>
    <row r="3160" spans="1:1">
      <c r="A3160" t="s">
        <v>46828</v>
      </c>
    </row>
    <row r="3161" spans="1:1">
      <c r="A3161" t="s">
        <v>46829</v>
      </c>
    </row>
    <row r="3162" spans="1:1">
      <c r="A3162" t="s">
        <v>41057</v>
      </c>
    </row>
    <row r="3163" spans="1:1">
      <c r="A3163" t="e" cm="1">
        <f t="array" ref="A3163">----------------------------------------DIYHD--------------E</f>
        <v>#NAME?</v>
      </c>
    </row>
    <row r="3164" spans="1:1">
      <c r="A3164" t="s">
        <v>46830</v>
      </c>
    </row>
    <row r="3165" spans="1:1">
      <c r="A3165" t="s">
        <v>46831</v>
      </c>
    </row>
    <row r="3166" spans="1:1">
      <c r="A3166" t="s">
        <v>46832</v>
      </c>
    </row>
    <row r="3167" spans="1:1">
      <c r="A3167" t="s">
        <v>41057</v>
      </c>
    </row>
    <row r="3168" spans="1:1">
      <c r="A3168" t="s">
        <v>46833</v>
      </c>
    </row>
    <row r="3169" spans="1:1">
      <c r="A3169" t="s">
        <v>46834</v>
      </c>
    </row>
    <row r="3170" spans="1:1">
      <c r="A3170" t="s">
        <v>46835</v>
      </c>
    </row>
    <row r="3171" spans="1:1">
      <c r="A3171" t="s">
        <v>46836</v>
      </c>
    </row>
    <row r="3172" spans="1:1">
      <c r="A3172" t="e" cm="1">
        <f t="array" ref="A3172">-----------------NHHFQAGIG----N--IIV---------HNTDSV--------F</f>
        <v>#NAME?</v>
      </c>
    </row>
    <row r="3173" spans="1:1">
      <c r="A3173" t="s">
        <v>46138</v>
      </c>
    </row>
    <row r="3174" spans="1:1">
      <c r="A3174" t="s">
        <v>46837</v>
      </c>
    </row>
    <row r="3175" spans="1:1">
      <c r="A3175" t="e" cm="1">
        <f t="array" ref="A3175">--GELLKNKHA----------------------------LYI----GIR----------L</f>
        <v>#NAME?</v>
      </c>
    </row>
    <row r="3176" spans="1:1">
      <c r="A3176" t="s">
        <v>46838</v>
      </c>
    </row>
    <row r="3177" spans="1:1">
      <c r="A3177" t="e" cm="1">
        <f t="array" ref="A3177">--------PM------AQEYEK-VLWPFII----------Q-GKKRYV-----------G</f>
        <v>#NAME?</v>
      </c>
    </row>
    <row r="3178" spans="1:1">
      <c r="A3178" t="s">
        <v>46839</v>
      </c>
    </row>
    <row r="3179" spans="1:1">
      <c r="A3179" t="s">
        <v>46840</v>
      </c>
    </row>
    <row r="3180" spans="1:1">
      <c r="A3180" t="s">
        <v>46841</v>
      </c>
    </row>
    <row r="3181" spans="1:1">
      <c r="A3181" t="s">
        <v>46842</v>
      </c>
    </row>
    <row r="3182" spans="1:1">
      <c r="A3182" t="e" cm="1">
        <f t="array" ref="A3182">--IDKFIITK-TLK----------G---------------------------NALTKKER</f>
        <v>#NAME?</v>
      </c>
    </row>
    <row r="3183" spans="1:1">
      <c r="A3183" t="s">
        <v>46843</v>
      </c>
    </row>
    <row r="3184" spans="1:1">
      <c r="A3184" t="s">
        <v>46844</v>
      </c>
    </row>
    <row r="3185" spans="1:1">
      <c r="A3185" t="s">
        <v>46668</v>
      </c>
    </row>
    <row r="3186" spans="1:1">
      <c r="A3186" t="s">
        <v>46845</v>
      </c>
    </row>
    <row r="3187" spans="1:1">
      <c r="A3187" t="s">
        <v>46846</v>
      </c>
    </row>
    <row r="3188" spans="1:1">
      <c r="A3188" t="s">
        <v>46847</v>
      </c>
    </row>
    <row r="3189" spans="1:1">
      <c r="A3189" t="s">
        <v>41057</v>
      </c>
    </row>
    <row r="3190" spans="1:1">
      <c r="A3190" t="s">
        <v>46848</v>
      </c>
    </row>
    <row r="3191" spans="1:1">
      <c r="A3191" t="s">
        <v>41057</v>
      </c>
    </row>
    <row r="3192" spans="1:1">
      <c r="A3192" t="s">
        <v>41057</v>
      </c>
    </row>
    <row r="3193" spans="1:1">
      <c r="A3193" t="s">
        <v>46849</v>
      </c>
    </row>
    <row r="3194" spans="1:1">
      <c r="A3194" t="s">
        <v>46850</v>
      </c>
    </row>
    <row r="3195" spans="1:1">
      <c r="A3195" t="s">
        <v>46851</v>
      </c>
    </row>
    <row r="3196" spans="1:1">
      <c r="A3196" t="s">
        <v>46852</v>
      </c>
    </row>
    <row r="3197" spans="1:1">
      <c r="A3197" t="s">
        <v>46853</v>
      </c>
    </row>
    <row r="3198" spans="1:1">
      <c r="A3198" t="e" cm="1">
        <f t="array" ref="A3198">-------------------NVDEFIKN-----------------------NVN---DDII</f>
        <v>#NAME?</v>
      </c>
    </row>
    <row r="3199" spans="1:1">
      <c r="A3199" t="s">
        <v>46854</v>
      </c>
    </row>
    <row r="3200" spans="1:1">
      <c r="A3200" t="s">
        <v>46855</v>
      </c>
    </row>
    <row r="3201" spans="1:1">
      <c r="A3201" t="s">
        <v>43482</v>
      </c>
    </row>
    <row r="3202" spans="1:1">
      <c r="A3202" t="s">
        <v>41057</v>
      </c>
    </row>
    <row r="3203" spans="1:1">
      <c r="A3203" t="s">
        <v>41057</v>
      </c>
    </row>
    <row r="3204" spans="1:1">
      <c r="A3204" t="s">
        <v>46856</v>
      </c>
    </row>
    <row r="3205" spans="1:1">
      <c r="A3205" t="s">
        <v>46857</v>
      </c>
    </row>
    <row r="3206" spans="1:1">
      <c r="A3206" t="s">
        <v>46858</v>
      </c>
    </row>
    <row r="3207" spans="1:1">
      <c r="A3207" t="s">
        <v>46859</v>
      </c>
    </row>
    <row r="3208" spans="1:1">
      <c r="A3208" t="s">
        <v>46860</v>
      </c>
    </row>
    <row r="3209" spans="1:1">
      <c r="A3209" t="s">
        <v>46861</v>
      </c>
    </row>
    <row r="3210" spans="1:1">
      <c r="A3210" t="e" cm="1">
        <f t="array" ref="A3210">-------------------------EDE--DDDGN-----------------------KF</f>
        <v>#NAME?</v>
      </c>
    </row>
    <row r="3211" spans="1:1">
      <c r="A3211" t="s">
        <v>46862</v>
      </c>
    </row>
    <row r="3212" spans="1:1">
      <c r="A3212" t="s">
        <v>46863</v>
      </c>
    </row>
    <row r="3213" spans="1:1">
      <c r="A3213" t="s">
        <v>46864</v>
      </c>
    </row>
    <row r="3214" spans="1:1">
      <c r="A3214" t="s">
        <v>46865</v>
      </c>
    </row>
    <row r="3215" spans="1:1">
      <c r="A3215" t="s">
        <v>46866</v>
      </c>
    </row>
    <row r="3216" spans="1:1">
      <c r="A3216" t="s">
        <v>46867</v>
      </c>
    </row>
    <row r="3217" spans="1:1">
      <c r="A3217" t="s">
        <v>46868</v>
      </c>
    </row>
    <row r="3218" spans="1:1">
      <c r="A3218" t="s">
        <v>46869</v>
      </c>
    </row>
    <row r="3219" spans="1:1">
      <c r="A3219" t="s">
        <v>46870</v>
      </c>
    </row>
    <row r="3220" spans="1:1">
      <c r="A3220" t="s">
        <v>46871</v>
      </c>
    </row>
    <row r="3221" spans="1:1">
      <c r="A3221" t="s">
        <v>41057</v>
      </c>
    </row>
    <row r="3222" spans="1:1">
      <c r="A3222" t="s">
        <v>41057</v>
      </c>
    </row>
    <row r="3223" spans="1:1">
      <c r="A3223" t="s">
        <v>41057</v>
      </c>
    </row>
    <row r="3224" spans="1:1">
      <c r="A3224" t="s">
        <v>46872</v>
      </c>
    </row>
    <row r="3225" spans="1:1">
      <c r="A3225" t="s">
        <v>46873</v>
      </c>
    </row>
    <row r="3226" spans="1:1">
      <c r="A3226" t="s">
        <v>45438</v>
      </c>
    </row>
    <row r="3227" spans="1:1">
      <c r="A3227" t="s">
        <v>46874</v>
      </c>
    </row>
    <row r="3228" spans="1:1">
      <c r="A3228" t="e" cm="1">
        <f t="array" ref="A3228">---DFDYLKKRSDKL---K-------------------------------------IF-T</f>
        <v>#NAME?</v>
      </c>
    </row>
    <row r="3229" spans="1:1">
      <c r="A3229" t="s">
        <v>46875</v>
      </c>
    </row>
    <row r="3230" spans="1:1">
      <c r="A3230" t="e" cm="1">
        <f t="array" ref="A3230">-------------------------------------HVCRWIEGKLESSALG-KNKLNY</f>
        <v>#NAME?</v>
      </c>
    </row>
    <row r="3231" spans="1:1">
      <c r="A3231" t="s">
        <v>46876</v>
      </c>
    </row>
    <row r="3232" spans="1:1">
      <c r="A3232" t="s">
        <v>46877</v>
      </c>
    </row>
    <row r="3233" spans="1:1">
      <c r="A3233" t="s">
        <v>46878</v>
      </c>
    </row>
    <row r="3234" spans="1:1">
      <c r="A3234" t="s">
        <v>46879</v>
      </c>
    </row>
    <row r="3235" spans="1:1">
      <c r="A3235" t="s">
        <v>46880</v>
      </c>
    </row>
    <row r="3236" spans="1:1">
      <c r="A3236" t="e" cm="1">
        <f t="array" ref="A3236">-------------------------EPKDI-------FR-LWN----------------K</f>
        <v>#NAME?</v>
      </c>
    </row>
    <row r="3237" spans="1:1">
      <c r="A3237" t="s">
        <v>46881</v>
      </c>
    </row>
    <row r="3238" spans="1:1">
      <c r="A3238" t="s">
        <v>41057</v>
      </c>
    </row>
    <row r="3239" spans="1:1">
      <c r="A3239" t="s">
        <v>45447</v>
      </c>
    </row>
    <row r="3240" spans="1:1">
      <c r="A3240" t="e" cm="1">
        <f t="array" ref="A3240">--------------YCVKDCS-----------------LC--------NRLLAKL-QVLP</f>
        <v>#NAME?</v>
      </c>
    </row>
    <row r="3241" spans="1:1">
      <c r="A3241" t="s">
        <v>46882</v>
      </c>
    </row>
    <row r="3242" spans="1:1">
      <c r="A3242" t="s">
        <v>46883</v>
      </c>
    </row>
    <row r="3243" spans="1:1">
      <c r="A3243" t="s">
        <v>46884</v>
      </c>
    </row>
    <row r="3244" spans="1:1">
      <c r="A3244" t="s">
        <v>46885</v>
      </c>
    </row>
    <row r="3245" spans="1:1">
      <c r="A3245" t="e" cm="1">
        <f t="array" ref="A3245">------------G-YE--------------------------------GATV-YDPDSGV</f>
        <v>#NAME?</v>
      </c>
    </row>
    <row r="3246" spans="1:1">
      <c r="A3246" t="s">
        <v>46886</v>
      </c>
    </row>
    <row r="3247" spans="1:1">
      <c r="A3247" t="s">
        <v>41057</v>
      </c>
    </row>
    <row r="3248" spans="1:1">
      <c r="A3248" t="s">
        <v>41057</v>
      </c>
    </row>
    <row r="3249" spans="1:1">
      <c r="A3249" t="s">
        <v>41057</v>
      </c>
    </row>
    <row r="3250" spans="1:1">
      <c r="A3250" t="s">
        <v>41057</v>
      </c>
    </row>
    <row r="3251" spans="1:1">
      <c r="A3251" t="s">
        <v>41057</v>
      </c>
    </row>
    <row r="3252" spans="1:1">
      <c r="A3252" t="s">
        <v>41057</v>
      </c>
    </row>
    <row r="3253" spans="1:1">
      <c r="A3253" t="s">
        <v>41057</v>
      </c>
    </row>
    <row r="3254" spans="1:1">
      <c r="A3254" t="s">
        <v>41057</v>
      </c>
    </row>
    <row r="3255" spans="1:1">
      <c r="A3255" t="s">
        <v>46887</v>
      </c>
    </row>
    <row r="3256" spans="1:1">
      <c r="A3256" t="s">
        <v>46888</v>
      </c>
    </row>
    <row r="3257" spans="1:1">
      <c r="A3257" t="s">
        <v>46889</v>
      </c>
    </row>
    <row r="3258" spans="1:1">
      <c r="A3258" t="s">
        <v>46890</v>
      </c>
    </row>
    <row r="3259" spans="1:1">
      <c r="A3259" t="s">
        <v>41057</v>
      </c>
    </row>
    <row r="3260" spans="1:1">
      <c r="A3260" t="s">
        <v>41057</v>
      </c>
    </row>
    <row r="3261" spans="1:1">
      <c r="A3261" t="s">
        <v>41057</v>
      </c>
    </row>
    <row r="3262" spans="1:1">
      <c r="A3262" t="s">
        <v>46891</v>
      </c>
    </row>
    <row r="3263" spans="1:1">
      <c r="A3263" t="s">
        <v>46892</v>
      </c>
    </row>
    <row r="3264" spans="1:1">
      <c r="A3264" t="s">
        <v>46893</v>
      </c>
    </row>
    <row r="3265" spans="1:1">
      <c r="A3265" t="s">
        <v>46894</v>
      </c>
    </row>
    <row r="3266" spans="1:1">
      <c r="A3266" t="s">
        <v>46895</v>
      </c>
    </row>
    <row r="3267" spans="1:1">
      <c r="A3267" t="s">
        <v>46896</v>
      </c>
    </row>
    <row r="3268" spans="1:1">
      <c r="A3268" t="s">
        <v>41057</v>
      </c>
    </row>
    <row r="3269" spans="1:1">
      <c r="A3269" t="s">
        <v>41057</v>
      </c>
    </row>
    <row r="3270" spans="1:1">
      <c r="A3270" t="s">
        <v>41057</v>
      </c>
    </row>
    <row r="3271" spans="1:1">
      <c r="A3271" t="s">
        <v>41057</v>
      </c>
    </row>
    <row r="3272" spans="1:1">
      <c r="A3272" t="s">
        <v>41057</v>
      </c>
    </row>
    <row r="3273" spans="1:1">
      <c r="A3273" t="s">
        <v>41057</v>
      </c>
    </row>
    <row r="3274" spans="1:1">
      <c r="A3274" t="s">
        <v>41057</v>
      </c>
    </row>
    <row r="3275" spans="1:1">
      <c r="A3275" t="s">
        <v>41057</v>
      </c>
    </row>
    <row r="3276" spans="1:1">
      <c r="A3276" t="s">
        <v>41057</v>
      </c>
    </row>
    <row r="3277" spans="1:1">
      <c r="A3277" t="s">
        <v>45463</v>
      </c>
    </row>
    <row r="3278" spans="1:1">
      <c r="A3278" t="s">
        <v>41057</v>
      </c>
    </row>
    <row r="3279" spans="1:1">
      <c r="A3279" t="s">
        <v>41057</v>
      </c>
    </row>
    <row r="3280" spans="1:1">
      <c r="A3280" t="s">
        <v>41057</v>
      </c>
    </row>
    <row r="3281" spans="1:1">
      <c r="A3281" t="s">
        <v>41057</v>
      </c>
    </row>
    <row r="3282" spans="1:1">
      <c r="A3282" t="s">
        <v>41057</v>
      </c>
    </row>
    <row r="3283" spans="1:1">
      <c r="A3283" t="s">
        <v>46897</v>
      </c>
    </row>
    <row r="3284" spans="1:1">
      <c r="A3284" t="s">
        <v>46898</v>
      </c>
    </row>
    <row r="3285" spans="1:1">
      <c r="A3285" t="e" cm="1">
        <f t="array" ref="A3285">-----------------------KQAVE-------------------------------T</f>
        <v>#NAME?</v>
      </c>
    </row>
    <row r="3286" spans="1:1">
      <c r="A3286" t="s">
        <v>46899</v>
      </c>
    </row>
    <row r="3287" spans="1:1">
      <c r="A3287" t="e" cm="1">
        <f t="array" ref="A3287">--------VKED--KKVMD---------VGVDGKETE---RIVKYNDKDEYFQYVKNEIY</f>
        <v>#NAME?</v>
      </c>
    </row>
    <row r="3288" spans="1:1">
      <c r="A3288" t="s">
        <v>46900</v>
      </c>
    </row>
    <row r="3289" spans="1:1">
      <c r="A3289" t="s">
        <v>41057</v>
      </c>
    </row>
    <row r="3290" spans="1:1">
      <c r="A3290" t="s">
        <v>41057</v>
      </c>
    </row>
    <row r="3291" spans="1:1">
      <c r="A3291" t="s">
        <v>41057</v>
      </c>
    </row>
    <row r="3292" spans="1:1">
      <c r="A3292" t="s">
        <v>41057</v>
      </c>
    </row>
    <row r="3293" spans="1:1">
      <c r="A3293" t="s">
        <v>41057</v>
      </c>
    </row>
    <row r="3294" spans="1:1">
      <c r="A3294" t="s">
        <v>41057</v>
      </c>
    </row>
    <row r="3295" spans="1:1">
      <c r="A3295" t="s">
        <v>41057</v>
      </c>
    </row>
    <row r="3296" spans="1:1">
      <c r="A3296" t="s">
        <v>41057</v>
      </c>
    </row>
    <row r="3297" spans="1:1">
      <c r="A3297" t="s">
        <v>41057</v>
      </c>
    </row>
    <row r="3298" spans="1:1">
      <c r="A3298" t="s">
        <v>41057</v>
      </c>
    </row>
    <row r="3299" spans="1:1">
      <c r="A3299" t="s">
        <v>41057</v>
      </c>
    </row>
    <row r="3300" spans="1:1">
      <c r="A3300" t="e" cm="1">
        <f t="array" ref="A3300">-----------------------------------------------TDSV--------F</f>
        <v>#NAME?</v>
      </c>
    </row>
    <row r="3301" spans="1:1">
      <c r="A3301" t="s">
        <v>42470</v>
      </c>
    </row>
    <row r="3302" spans="1:1">
      <c r="A3302" t="s">
        <v>46901</v>
      </c>
    </row>
    <row r="3303" spans="1:1">
      <c r="A3303" t="e" cm="1">
        <f t="array" ref="A3303">--GTNFRDKEA----------------------------LRI----CIR----------M</f>
        <v>#NAME?</v>
      </c>
    </row>
    <row r="3304" spans="1:1">
      <c r="A3304" t="s">
        <v>46902</v>
      </c>
    </row>
    <row r="3305" spans="1:1">
      <c r="A3305" t="e" cm="1">
        <f t="array" ref="A3305">--------PQ------ALEYEK-VYWPFVI----------L-SKKRYV-----------G</f>
        <v>#NAME?</v>
      </c>
    </row>
    <row r="3306" spans="1:1">
      <c r="A3306" t="s">
        <v>46903</v>
      </c>
    </row>
    <row r="3307" spans="1:1">
      <c r="A3307" t="s">
        <v>46904</v>
      </c>
    </row>
    <row r="3308" spans="1:1">
      <c r="A3308" t="s">
        <v>46905</v>
      </c>
    </row>
    <row r="3309" spans="1:1">
      <c r="A3309" t="s">
        <v>46906</v>
      </c>
    </row>
    <row r="3310" spans="1:1">
      <c r="A3310" t="s">
        <v>46907</v>
      </c>
    </row>
    <row r="3311" spans="1:1">
      <c r="A3311" t="s">
        <v>46908</v>
      </c>
    </row>
    <row r="3312" spans="1:1">
      <c r="A3312" t="s">
        <v>46909</v>
      </c>
    </row>
    <row r="3313" spans="1:1">
      <c r="A3313" t="s">
        <v>46910</v>
      </c>
    </row>
    <row r="3314" spans="1:1">
      <c r="A3314" t="s">
        <v>46911</v>
      </c>
    </row>
    <row r="3315" spans="1:1">
      <c r="A3315" t="s">
        <v>46912</v>
      </c>
    </row>
    <row r="3316" spans="1:1">
      <c r="A3316" t="s">
        <v>46913</v>
      </c>
    </row>
    <row r="3317" spans="1:1">
      <c r="A3317" t="s">
        <v>41057</v>
      </c>
    </row>
    <row r="3318" spans="1:1">
      <c r="A3318" t="s">
        <v>46914</v>
      </c>
    </row>
    <row r="3319" spans="1:1">
      <c r="A3319" t="s">
        <v>41057</v>
      </c>
    </row>
    <row r="3320" spans="1:1">
      <c r="A3320" t="s">
        <v>41057</v>
      </c>
    </row>
    <row r="3321" spans="1:1">
      <c r="A3321" t="s">
        <v>46915</v>
      </c>
    </row>
    <row r="3322" spans="1:1">
      <c r="A3322" t="s">
        <v>46916</v>
      </c>
    </row>
    <row r="3323" spans="1:1">
      <c r="A3323" t="s">
        <v>46917</v>
      </c>
    </row>
    <row r="3324" spans="1:1">
      <c r="A3324" t="s">
        <v>46918</v>
      </c>
    </row>
    <row r="3325" spans="1:1">
      <c r="A3325" t="s">
        <v>46919</v>
      </c>
    </row>
    <row r="3326" spans="1:1">
      <c r="A3326" t="s">
        <v>46920</v>
      </c>
    </row>
    <row r="3327" spans="1:1">
      <c r="A3327" t="s">
        <v>46921</v>
      </c>
    </row>
    <row r="3328" spans="1:1">
      <c r="A3328" t="s">
        <v>45870</v>
      </c>
    </row>
    <row r="3329" spans="1:1">
      <c r="A3329" t="s">
        <v>45244</v>
      </c>
    </row>
    <row r="3330" spans="1:1">
      <c r="A3330" t="s">
        <v>41057</v>
      </c>
    </row>
    <row r="3331" spans="1:1">
      <c r="A3331" t="s">
        <v>41057</v>
      </c>
    </row>
    <row r="3332" spans="1:1">
      <c r="A3332" t="s">
        <v>41057</v>
      </c>
    </row>
    <row r="3333" spans="1:1">
      <c r="A3333" t="s">
        <v>41057</v>
      </c>
    </row>
    <row r="3334" spans="1:1">
      <c r="A3334" t="s">
        <v>46922</v>
      </c>
    </row>
    <row r="3335" spans="1:1">
      <c r="A3335" t="s">
        <v>46923</v>
      </c>
    </row>
    <row r="3336" spans="1:1">
      <c r="A3336" t="s">
        <v>46924</v>
      </c>
    </row>
    <row r="3337" spans="1:1">
      <c r="A3337" t="s">
        <v>46925</v>
      </c>
    </row>
    <row r="3338" spans="1:1">
      <c r="A3338" t="e" cm="1">
        <f t="array" ref="A3338">-----------LTENI-QDYL--YEDDDFDEANGE-----------------------ER</f>
        <v>#NAME?</v>
      </c>
    </row>
    <row r="3339" spans="1:1">
      <c r="A3339" t="s">
        <v>46926</v>
      </c>
    </row>
    <row r="3340" spans="1:1">
      <c r="A3340" t="s">
        <v>46927</v>
      </c>
    </row>
    <row r="3341" spans="1:1">
      <c r="A3341" t="s">
        <v>46928</v>
      </c>
    </row>
    <row r="3342" spans="1:1">
      <c r="A3342" t="s">
        <v>46929</v>
      </c>
    </row>
    <row r="3343" spans="1:1">
      <c r="A3343" t="s">
        <v>46930</v>
      </c>
    </row>
    <row r="3344" spans="1:1">
      <c r="A3344" t="s">
        <v>46931</v>
      </c>
    </row>
    <row r="3345" spans="1:1">
      <c r="A3345" t="s">
        <v>46932</v>
      </c>
    </row>
    <row r="3346" spans="1:1">
      <c r="A3346" t="s">
        <v>46933</v>
      </c>
    </row>
    <row r="3347" spans="1:1">
      <c r="A3347" t="s">
        <v>46934</v>
      </c>
    </row>
    <row r="3348" spans="1:1">
      <c r="A3348" t="e" cm="1">
        <f t="array" ref="A3348">---PLA--KKTYAKHGKEIVD--------------LYFL-MNDDERGNY--------GSM</f>
        <v>#NAME?</v>
      </c>
    </row>
    <row r="3349" spans="1:1">
      <c r="A3349" t="s">
        <v>46935</v>
      </c>
    </row>
    <row r="3350" spans="1:1">
      <c r="A3350" t="s">
        <v>46936</v>
      </c>
    </row>
    <row r="3351" spans="1:1">
      <c r="A3351" t="s">
        <v>46937</v>
      </c>
    </row>
    <row r="3352" spans="1:1">
      <c r="A3352" t="s">
        <v>46938</v>
      </c>
    </row>
    <row r="3353" spans="1:1">
      <c r="A3353" t="s">
        <v>46939</v>
      </c>
    </row>
    <row r="3354" spans="1:1">
      <c r="A3354" t="s">
        <v>45438</v>
      </c>
    </row>
    <row r="3355" spans="1:1">
      <c r="A3355" t="s">
        <v>46940</v>
      </c>
    </row>
    <row r="3356" spans="1:1">
      <c r="A3356" t="e" cm="1">
        <f t="array" ref="A3356">---DYDYIFNRMIEL---K-----------M---------------------IKDEKS-T</f>
        <v>#NAME?</v>
      </c>
    </row>
    <row r="3357" spans="1:1">
      <c r="A3357" t="s">
        <v>46941</v>
      </c>
    </row>
    <row r="3358" spans="1:1">
      <c r="A3358" t="e" cm="1">
        <f t="array" ref="A3358">------------------------------DNSYLTRLGSVFTNVTISSAAMG-DNINKF</f>
        <v>#NAME?</v>
      </c>
    </row>
    <row r="3359" spans="1:1">
      <c r="A3359" t="s">
        <v>46942</v>
      </c>
    </row>
    <row r="3360" spans="1:1">
      <c r="A3360" t="s">
        <v>46943</v>
      </c>
    </row>
    <row r="3361" spans="1:1">
      <c r="A3361" t="e" cm="1">
        <f t="array" ref="A3361">----------------DGLL-KCVVKSVADL---KDREYVS--FTDGET---------WI</f>
        <v>#NAME?</v>
      </c>
    </row>
    <row r="3362" spans="1:1">
      <c r="A3362" t="s">
        <v>46944</v>
      </c>
    </row>
    <row r="3363" spans="1:1">
      <c r="A3363" t="s">
        <v>46945</v>
      </c>
    </row>
    <row r="3364" spans="1:1">
      <c r="A3364" t="e" cm="1">
        <f t="array" ref="A3364">-------------------------PPNMI-------FQ-LQK----------------G</f>
        <v>#NAME?</v>
      </c>
    </row>
    <row r="3365" spans="1:1">
      <c r="A3365" t="s">
        <v>45974</v>
      </c>
    </row>
    <row r="3366" spans="1:1">
      <c r="A3366" t="s">
        <v>41057</v>
      </c>
    </row>
    <row r="3367" spans="1:1">
      <c r="A3367" t="s">
        <v>45447</v>
      </c>
    </row>
    <row r="3368" spans="1:1">
      <c r="A3368" t="e" cm="1">
        <f t="array" ref="A3368">--------------YCIQDCN-----------------LV--------LELDSKI-ENIA</f>
        <v>#NAME?</v>
      </c>
    </row>
    <row r="3369" spans="1:1">
      <c r="A3369" t="s">
        <v>46946</v>
      </c>
    </row>
    <row r="3370" spans="1:1">
      <c r="A3370" t="s">
        <v>46947</v>
      </c>
    </row>
    <row r="3371" spans="1:1">
      <c r="A3371" t="s">
        <v>41057</v>
      </c>
    </row>
    <row r="3372" spans="1:1">
      <c r="A3372" t="s">
        <v>46948</v>
      </c>
    </row>
    <row r="3373" spans="1:1">
      <c r="A3373" t="e" cm="1">
        <f t="array" ref="A3373">------------G-YE--------------------------------GAVV-LEPKTGI</f>
        <v>#NAME?</v>
      </c>
    </row>
    <row r="3374" spans="1:1">
      <c r="A3374" t="s">
        <v>46949</v>
      </c>
    </row>
    <row r="3375" spans="1:1">
      <c r="A3375" t="s">
        <v>41057</v>
      </c>
    </row>
    <row r="3376" spans="1:1">
      <c r="A3376" t="s">
        <v>41057</v>
      </c>
    </row>
    <row r="3377" spans="1:1">
      <c r="A3377" t="s">
        <v>41057</v>
      </c>
    </row>
    <row r="3378" spans="1:1">
      <c r="A3378" t="s">
        <v>41057</v>
      </c>
    </row>
    <row r="3379" spans="1:1">
      <c r="A3379" t="s">
        <v>41057</v>
      </c>
    </row>
    <row r="3380" spans="1:1">
      <c r="A3380" t="s">
        <v>41057</v>
      </c>
    </row>
    <row r="3381" spans="1:1">
      <c r="A3381" t="s">
        <v>41057</v>
      </c>
    </row>
    <row r="3382" spans="1:1">
      <c r="A3382" t="s">
        <v>41057</v>
      </c>
    </row>
    <row r="3383" spans="1:1">
      <c r="A3383" t="e" cm="1">
        <f t="array" ref="A3383">-SSLY-------------------PSSIISENISHDSIVWIKDY----------TMDGEL</f>
        <v>#NAME?</v>
      </c>
    </row>
    <row r="3384" spans="1:1">
      <c r="A3384" t="s">
        <v>46950</v>
      </c>
    </row>
    <row r="3385" spans="1:1">
      <c r="A3385" t="s">
        <v>46951</v>
      </c>
    </row>
    <row r="3386" spans="1:1">
      <c r="A3386" t="s">
        <v>46952</v>
      </c>
    </row>
    <row r="3387" spans="1:1">
      <c r="A3387" t="s">
        <v>41057</v>
      </c>
    </row>
    <row r="3388" spans="1:1">
      <c r="A3388" t="s">
        <v>46953</v>
      </c>
    </row>
    <row r="3389" spans="1:1">
      <c r="A3389" t="s">
        <v>41057</v>
      </c>
    </row>
    <row r="3390" spans="1:1">
      <c r="A3390" t="s">
        <v>46954</v>
      </c>
    </row>
    <row r="3391" spans="1:1">
      <c r="A3391" t="s">
        <v>46955</v>
      </c>
    </row>
    <row r="3392" spans="1:1">
      <c r="A3392" t="s">
        <v>46956</v>
      </c>
    </row>
    <row r="3393" spans="1:1">
      <c r="A3393" t="s">
        <v>46957</v>
      </c>
    </row>
    <row r="3394" spans="1:1">
      <c r="A3394" t="s">
        <v>46958</v>
      </c>
    </row>
    <row r="3395" spans="1:1">
      <c r="A3395" t="s">
        <v>46959</v>
      </c>
    </row>
    <row r="3396" spans="1:1">
      <c r="A3396" t="s">
        <v>41057</v>
      </c>
    </row>
    <row r="3397" spans="1:1">
      <c r="A3397" t="s">
        <v>41057</v>
      </c>
    </row>
    <row r="3398" spans="1:1">
      <c r="A3398" t="s">
        <v>41057</v>
      </c>
    </row>
    <row r="3399" spans="1:1">
      <c r="A3399" t="s">
        <v>41057</v>
      </c>
    </row>
    <row r="3400" spans="1:1">
      <c r="A3400" t="s">
        <v>41057</v>
      </c>
    </row>
    <row r="3401" spans="1:1">
      <c r="A3401" t="s">
        <v>41057</v>
      </c>
    </row>
    <row r="3402" spans="1:1">
      <c r="A3402" t="s">
        <v>41057</v>
      </c>
    </row>
    <row r="3403" spans="1:1">
      <c r="A3403" t="s">
        <v>41057</v>
      </c>
    </row>
    <row r="3404" spans="1:1">
      <c r="A3404" t="s">
        <v>41057</v>
      </c>
    </row>
    <row r="3405" spans="1:1">
      <c r="A3405" t="s">
        <v>45463</v>
      </c>
    </row>
    <row r="3406" spans="1:1">
      <c r="A3406" t="s">
        <v>41057</v>
      </c>
    </row>
    <row r="3407" spans="1:1">
      <c r="A3407" t="s">
        <v>41057</v>
      </c>
    </row>
    <row r="3408" spans="1:1">
      <c r="A3408" t="s">
        <v>41057</v>
      </c>
    </row>
    <row r="3409" spans="1:1">
      <c r="A3409" t="s">
        <v>41057</v>
      </c>
    </row>
    <row r="3410" spans="1:1">
      <c r="A3410" t="s">
        <v>41057</v>
      </c>
    </row>
    <row r="3411" spans="1:1">
      <c r="A3411" t="s">
        <v>46960</v>
      </c>
    </row>
    <row r="3412" spans="1:1">
      <c r="A3412" t="s">
        <v>46961</v>
      </c>
    </row>
    <row r="3413" spans="1:1">
      <c r="A3413" t="s">
        <v>41057</v>
      </c>
    </row>
    <row r="3414" spans="1:1">
      <c r="A3414" t="s">
        <v>46962</v>
      </c>
    </row>
    <row r="3415" spans="1:1">
      <c r="A3415" t="s">
        <v>41057</v>
      </c>
    </row>
    <row r="3416" spans="1:1">
      <c r="A3416" t="s">
        <v>46963</v>
      </c>
    </row>
    <row r="3417" spans="1:1">
      <c r="A3417" t="s">
        <v>41057</v>
      </c>
    </row>
    <row r="3418" spans="1:1">
      <c r="A3418" t="s">
        <v>41057</v>
      </c>
    </row>
    <row r="3419" spans="1:1">
      <c r="A3419" t="s">
        <v>41057</v>
      </c>
    </row>
    <row r="3420" spans="1:1">
      <c r="A3420" t="s">
        <v>41057</v>
      </c>
    </row>
    <row r="3421" spans="1:1">
      <c r="A3421" t="s">
        <v>41057</v>
      </c>
    </row>
    <row r="3422" spans="1:1">
      <c r="A3422" t="s">
        <v>41057</v>
      </c>
    </row>
    <row r="3423" spans="1:1">
      <c r="A3423" t="s">
        <v>41057</v>
      </c>
    </row>
    <row r="3424" spans="1:1">
      <c r="A3424" t="s">
        <v>41057</v>
      </c>
    </row>
    <row r="3425" spans="1:1">
      <c r="A3425" t="s">
        <v>41057</v>
      </c>
    </row>
    <row r="3426" spans="1:1">
      <c r="A3426" t="s">
        <v>41057</v>
      </c>
    </row>
    <row r="3427" spans="1:1">
      <c r="A3427" t="s">
        <v>41057</v>
      </c>
    </row>
    <row r="3428" spans="1:1">
      <c r="A3428" t="e" cm="1">
        <f t="array" ref="A3428">-----------------------------------------------TDSV--------F</f>
        <v>#NAME?</v>
      </c>
    </row>
    <row r="3429" spans="1:1">
      <c r="A3429" t="s">
        <v>45475</v>
      </c>
    </row>
    <row r="3430" spans="1:1">
      <c r="A3430" t="s">
        <v>46964</v>
      </c>
    </row>
    <row r="3431" spans="1:1">
      <c r="A3431" t="e" cm="1">
        <f t="array" ref="A3431">--GRPLRGKEA----------------------------LKA----SIE----------L</f>
        <v>#NAME?</v>
      </c>
    </row>
    <row r="3432" spans="1:1">
      <c r="A3432" t="s">
        <v>46965</v>
      </c>
    </row>
    <row r="3433" spans="1:1">
      <c r="A3433" t="e" cm="1">
        <f t="array" ref="A3433">--------PH------YLEYEK-TFMPFFL----------L-SKKRYI-----------G</f>
        <v>#NAME?</v>
      </c>
    </row>
    <row r="3434" spans="1:1">
      <c r="A3434" t="s">
        <v>46966</v>
      </c>
    </row>
    <row r="3435" spans="1:1">
      <c r="A3435" t="s">
        <v>46967</v>
      </c>
    </row>
    <row r="3436" spans="1:1">
      <c r="A3436" t="s">
        <v>46968</v>
      </c>
    </row>
    <row r="3437" spans="1:1">
      <c r="A3437" t="s">
        <v>46969</v>
      </c>
    </row>
    <row r="3438" spans="1:1">
      <c r="A3438" t="s">
        <v>46970</v>
      </c>
    </row>
    <row r="3439" spans="1:1">
      <c r="A3439" t="s">
        <v>46971</v>
      </c>
    </row>
    <row r="3440" spans="1:1">
      <c r="A3440" t="s">
        <v>46972</v>
      </c>
    </row>
    <row r="3441" spans="1:1">
      <c r="A3441" t="s">
        <v>46973</v>
      </c>
    </row>
    <row r="3442" spans="1:1">
      <c r="A3442" t="s">
        <v>46974</v>
      </c>
    </row>
    <row r="3443" spans="1:1">
      <c r="A3443" t="s">
        <v>46975</v>
      </c>
    </row>
    <row r="3444" spans="1:1">
      <c r="A3444" t="s">
        <v>46976</v>
      </c>
    </row>
    <row r="3445" spans="1:1">
      <c r="A3445" t="s">
        <v>41057</v>
      </c>
    </row>
    <row r="3446" spans="1:1">
      <c r="A3446" t="s">
        <v>46977</v>
      </c>
    </row>
    <row r="3447" spans="1:1">
      <c r="A3447" t="s">
        <v>46978</v>
      </c>
    </row>
    <row r="3448" spans="1:1">
      <c r="A3448" t="s">
        <v>46979</v>
      </c>
    </row>
    <row r="3449" spans="1:1">
      <c r="A3449" t="s">
        <v>46980</v>
      </c>
    </row>
    <row r="3450" spans="1:1">
      <c r="A3450" t="s">
        <v>46981</v>
      </c>
    </row>
    <row r="3451" spans="1:1">
      <c r="A3451" t="s">
        <v>46982</v>
      </c>
    </row>
    <row r="3452" spans="1:1">
      <c r="A3452" t="s">
        <v>46983</v>
      </c>
    </row>
    <row r="3453" spans="1:1">
      <c r="A3453" t="s">
        <v>41057</v>
      </c>
    </row>
    <row r="3454" spans="1:1">
      <c r="A3454" t="s">
        <v>41057</v>
      </c>
    </row>
    <row r="3455" spans="1:1">
      <c r="A3455" t="e" cm="1">
        <f t="array" ref="A3455">---------------------------------------------------------GTR</f>
        <v>#NAME?</v>
      </c>
    </row>
    <row r="3456" spans="1:1">
      <c r="A3456" t="s">
        <v>45870</v>
      </c>
    </row>
    <row r="3457" spans="1:1">
      <c r="A3457" t="s">
        <v>43505</v>
      </c>
    </row>
    <row r="3458" spans="1:1">
      <c r="A3458" t="s">
        <v>41057</v>
      </c>
    </row>
    <row r="3459" spans="1:1">
      <c r="A3459" t="s">
        <v>41057</v>
      </c>
    </row>
    <row r="3460" spans="1:1">
      <c r="A3460" t="s">
        <v>41057</v>
      </c>
    </row>
    <row r="3461" spans="1:1">
      <c r="A3461" t="s">
        <v>41057</v>
      </c>
    </row>
    <row r="3462" spans="1:1">
      <c r="A3462" t="s">
        <v>41057</v>
      </c>
    </row>
    <row r="3463" spans="1:1">
      <c r="A3463" t="s">
        <v>46984</v>
      </c>
    </row>
    <row r="3464" spans="1:1">
      <c r="A3464" t="s">
        <v>46985</v>
      </c>
    </row>
    <row r="3465" spans="1:1">
      <c r="A3465" t="s">
        <v>46986</v>
      </c>
    </row>
    <row r="3466" spans="1:1">
      <c r="A3466" t="e" cm="1">
        <f t="array" ref="A3466">------------------------FE-----DEDT-----------------------EK</f>
        <v>#NAME?</v>
      </c>
    </row>
    <row r="3467" spans="1:1">
      <c r="A3467" t="s">
        <v>46987</v>
      </c>
    </row>
    <row r="3468" spans="1:1">
      <c r="A3468" t="s">
        <v>46988</v>
      </c>
    </row>
    <row r="3469" spans="1:1">
      <c r="A3469" t="s">
        <v>46989</v>
      </c>
    </row>
    <row r="3470" spans="1:1">
      <c r="A3470" t="s">
        <v>46990</v>
      </c>
    </row>
    <row r="3471" spans="1:1">
      <c r="A3471" t="s">
        <v>46991</v>
      </c>
    </row>
    <row r="3472" spans="1:1">
      <c r="A3472" t="s">
        <v>46992</v>
      </c>
    </row>
    <row r="3473" spans="1:1">
      <c r="A3473" t="s">
        <v>46993</v>
      </c>
    </row>
    <row r="3474" spans="1:1">
      <c r="A3474" t="s">
        <v>46994</v>
      </c>
    </row>
    <row r="3475" spans="1:1">
      <c r="A3475" t="s">
        <v>46995</v>
      </c>
    </row>
    <row r="3476" spans="1:1">
      <c r="A3476" t="s">
        <v>46996</v>
      </c>
    </row>
    <row r="3477" spans="1:1">
      <c r="A3477" t="s">
        <v>41057</v>
      </c>
    </row>
    <row r="3478" spans="1:1">
      <c r="A3478" t="s">
        <v>41057</v>
      </c>
    </row>
    <row r="3479" spans="1:1">
      <c r="A3479" t="s">
        <v>41057</v>
      </c>
    </row>
    <row r="3480" spans="1:1">
      <c r="A3480" t="s">
        <v>46997</v>
      </c>
    </row>
    <row r="3481" spans="1:1">
      <c r="A3481" t="s">
        <v>46998</v>
      </c>
    </row>
    <row r="3482" spans="1:1">
      <c r="A3482" t="s">
        <v>45438</v>
      </c>
    </row>
    <row r="3483" spans="1:1">
      <c r="A3483" t="s">
        <v>46999</v>
      </c>
    </row>
    <row r="3484" spans="1:1">
      <c r="A3484" t="e" cm="1">
        <f t="array" ref="A3484">---DEKYIMDRAKYL---G-------------------------------------IE-I</f>
        <v>#NAME?</v>
      </c>
    </row>
    <row r="3485" spans="1:1">
      <c r="A3485" t="s">
        <v>47000</v>
      </c>
    </row>
    <row r="3486" spans="1:1">
      <c r="A3486" t="e" cm="1">
        <f t="array" ref="A3486">-------------------------------------FRCPFKEQKLASSALG-ENLLRY</f>
        <v>#NAME?</v>
      </c>
    </row>
    <row r="3487" spans="1:1">
      <c r="A3487" t="s">
        <v>47001</v>
      </c>
    </row>
    <row r="3488" spans="1:1">
      <c r="A3488" t="s">
        <v>47002</v>
      </c>
    </row>
    <row r="3489" spans="1:1">
      <c r="A3489" t="e" cm="1">
        <f t="array" ref="A3489">-------ISTKNKSP-VNKF-ELICDQVNDL---HQDDYIHLELMESFV-SED------I</f>
        <v>#NAME?</v>
      </c>
    </row>
    <row r="3490" spans="1:1">
      <c r="A3490" t="s">
        <v>47003</v>
      </c>
    </row>
    <row r="3491" spans="1:1">
      <c r="A3491" t="s">
        <v>47004</v>
      </c>
    </row>
    <row r="3492" spans="1:1">
      <c r="A3492" t="e" cm="1">
        <f t="array" ref="A3492">-------------------------PPKEI-------FKMQHM----------------G</f>
        <v>#NAME?</v>
      </c>
    </row>
    <row r="3493" spans="1:1">
      <c r="A3493" t="s">
        <v>47005</v>
      </c>
    </row>
    <row r="3494" spans="1:1">
      <c r="A3494" t="s">
        <v>41057</v>
      </c>
    </row>
    <row r="3495" spans="1:1">
      <c r="A3495" t="s">
        <v>45447</v>
      </c>
    </row>
    <row r="3496" spans="1:1">
      <c r="A3496" t="e" cm="1">
        <f t="array" ref="A3496">--------------YCLKDCK-----------------LV--------NLLINKL-EIVT</f>
        <v>#NAME?</v>
      </c>
    </row>
    <row r="3497" spans="1:1">
      <c r="A3497" t="s">
        <v>47006</v>
      </c>
    </row>
    <row r="3498" spans="1:1">
      <c r="A3498" t="s">
        <v>47007</v>
      </c>
    </row>
    <row r="3499" spans="1:1">
      <c r="A3499" t="s">
        <v>41057</v>
      </c>
    </row>
    <row r="3500" spans="1:1">
      <c r="A3500" t="s">
        <v>47008</v>
      </c>
    </row>
    <row r="3501" spans="1:1">
      <c r="A3501" t="e" cm="1">
        <f t="array" ref="A3501">-----------GS-YE--------------------------------GAIV-FDPIPKV</f>
        <v>#NAME?</v>
      </c>
    </row>
    <row r="3502" spans="1:1">
      <c r="A3502" t="s">
        <v>47009</v>
      </c>
    </row>
    <row r="3503" spans="1:1">
      <c r="A3503" t="s">
        <v>41057</v>
      </c>
    </row>
    <row r="3504" spans="1:1">
      <c r="A3504" t="s">
        <v>41057</v>
      </c>
    </row>
    <row r="3505" spans="1:1">
      <c r="A3505" t="s">
        <v>41057</v>
      </c>
    </row>
    <row r="3506" spans="1:1">
      <c r="A3506" t="s">
        <v>41057</v>
      </c>
    </row>
    <row r="3507" spans="1:1">
      <c r="A3507" t="s">
        <v>41057</v>
      </c>
    </row>
    <row r="3508" spans="1:1">
      <c r="A3508" t="s">
        <v>41057</v>
      </c>
    </row>
    <row r="3509" spans="1:1">
      <c r="A3509" t="s">
        <v>41057</v>
      </c>
    </row>
    <row r="3510" spans="1:1">
      <c r="A3510" t="s">
        <v>41057</v>
      </c>
    </row>
    <row r="3511" spans="1:1">
      <c r="A3511" t="s">
        <v>47010</v>
      </c>
    </row>
    <row r="3512" spans="1:1">
      <c r="A3512" t="s">
        <v>47011</v>
      </c>
    </row>
    <row r="3513" spans="1:1">
      <c r="A3513" t="s">
        <v>47012</v>
      </c>
    </row>
    <row r="3514" spans="1:1">
      <c r="A3514" t="s">
        <v>47013</v>
      </c>
    </row>
    <row r="3515" spans="1:1">
      <c r="A3515" t="s">
        <v>41057</v>
      </c>
    </row>
    <row r="3516" spans="1:1">
      <c r="A3516" t="s">
        <v>47014</v>
      </c>
    </row>
    <row r="3517" spans="1:1">
      <c r="A3517" t="s">
        <v>41057</v>
      </c>
    </row>
    <row r="3518" spans="1:1">
      <c r="A3518" t="s">
        <v>47015</v>
      </c>
    </row>
    <row r="3519" spans="1:1">
      <c r="A3519" t="s">
        <v>47016</v>
      </c>
    </row>
    <row r="3520" spans="1:1">
      <c r="A3520" t="s">
        <v>47017</v>
      </c>
    </row>
    <row r="3521" spans="1:1">
      <c r="A3521" t="s">
        <v>47018</v>
      </c>
    </row>
    <row r="3522" spans="1:1">
      <c r="A3522" t="s">
        <v>47019</v>
      </c>
    </row>
    <row r="3523" spans="1:1">
      <c r="A3523" t="s">
        <v>47020</v>
      </c>
    </row>
    <row r="3524" spans="1:1">
      <c r="A3524" t="s">
        <v>41057</v>
      </c>
    </row>
    <row r="3525" spans="1:1">
      <c r="A3525" t="s">
        <v>41057</v>
      </c>
    </row>
    <row r="3526" spans="1:1">
      <c r="A3526" t="s">
        <v>41057</v>
      </c>
    </row>
    <row r="3527" spans="1:1">
      <c r="A3527" t="s">
        <v>41057</v>
      </c>
    </row>
    <row r="3528" spans="1:1">
      <c r="A3528" t="s">
        <v>41057</v>
      </c>
    </row>
    <row r="3529" spans="1:1">
      <c r="A3529" t="s">
        <v>41057</v>
      </c>
    </row>
    <row r="3530" spans="1:1">
      <c r="A3530" t="s">
        <v>41057</v>
      </c>
    </row>
    <row r="3531" spans="1:1">
      <c r="A3531" t="s">
        <v>41057</v>
      </c>
    </row>
    <row r="3532" spans="1:1">
      <c r="A3532" t="s">
        <v>41057</v>
      </c>
    </row>
    <row r="3533" spans="1:1">
      <c r="A3533" t="s">
        <v>45463</v>
      </c>
    </row>
    <row r="3534" spans="1:1">
      <c r="A3534" t="s">
        <v>41057</v>
      </c>
    </row>
    <row r="3535" spans="1:1">
      <c r="A3535" t="s">
        <v>41057</v>
      </c>
    </row>
    <row r="3536" spans="1:1">
      <c r="A3536" t="s">
        <v>41057</v>
      </c>
    </row>
    <row r="3537" spans="1:1">
      <c r="A3537" t="s">
        <v>41057</v>
      </c>
    </row>
    <row r="3538" spans="1:1">
      <c r="A3538" t="s">
        <v>41057</v>
      </c>
    </row>
    <row r="3539" spans="1:1">
      <c r="A3539" t="s">
        <v>47021</v>
      </c>
    </row>
    <row r="3540" spans="1:1">
      <c r="A3540" t="s">
        <v>47022</v>
      </c>
    </row>
    <row r="3541" spans="1:1">
      <c r="A3541" t="e" cm="1">
        <f t="array" ref="A3541">-------------------------------------------------GLQKA--YQTN</f>
        <v>#NAME?</v>
      </c>
    </row>
    <row r="3542" spans="1:1">
      <c r="A3542" t="s">
        <v>47023</v>
      </c>
    </row>
    <row r="3543" spans="1:1">
      <c r="A3543" t="e" cm="1">
        <f t="array" ref="A3543">-------------NKELKDPAN------------------------------EKLKEQIK</f>
        <v>#NAME?</v>
      </c>
    </row>
    <row r="3544" spans="1:1">
      <c r="A3544" t="s">
        <v>47024</v>
      </c>
    </row>
    <row r="3545" spans="1:1">
      <c r="A3545" t="s">
        <v>47025</v>
      </c>
    </row>
    <row r="3546" spans="1:1">
      <c r="A3546" t="s">
        <v>41057</v>
      </c>
    </row>
    <row r="3547" spans="1:1">
      <c r="A3547" t="s">
        <v>47026</v>
      </c>
    </row>
    <row r="3548" spans="1:1">
      <c r="A3548" t="s">
        <v>47027</v>
      </c>
    </row>
    <row r="3549" spans="1:1">
      <c r="A3549" t="s">
        <v>47028</v>
      </c>
    </row>
    <row r="3550" spans="1:1">
      <c r="A3550" t="s">
        <v>47029</v>
      </c>
    </row>
    <row r="3551" spans="1:1">
      <c r="A3551" t="s">
        <v>47030</v>
      </c>
    </row>
    <row r="3552" spans="1:1">
      <c r="A3552" t="s">
        <v>47031</v>
      </c>
    </row>
    <row r="3553" spans="1:1">
      <c r="A3553" t="s">
        <v>47032</v>
      </c>
    </row>
    <row r="3554" spans="1:1">
      <c r="A3554" t="s">
        <v>47033</v>
      </c>
    </row>
    <row r="3555" spans="1:1">
      <c r="A3555" t="e" cm="1">
        <f t="array" ref="A3555">-GSIIVHNTDSIFS---CYQYRENTSKISTENKLTLFQEIIKFGKELILPFIPREYQEEF</f>
        <v>#NAME?</v>
      </c>
    </row>
    <row r="3556" spans="1:1">
      <c r="A3556" t="s">
        <v>47034</v>
      </c>
    </row>
    <row r="3557" spans="1:1">
      <c r="A3557" t="s">
        <v>47035</v>
      </c>
    </row>
    <row r="3558" spans="1:1">
      <c r="A3558" t="s">
        <v>47036</v>
      </c>
    </row>
    <row r="3559" spans="1:1">
      <c r="A3559" t="s">
        <v>47037</v>
      </c>
    </row>
    <row r="3560" spans="1:1">
      <c r="A3560" t="s">
        <v>47038</v>
      </c>
    </row>
    <row r="3561" spans="1:1">
      <c r="A3561" t="e" cm="1">
        <f t="array" ref="A3561">--------PH------DLEYEK-TFWPYLI----------L-TKKRYV-----------G</f>
        <v>#NAME?</v>
      </c>
    </row>
    <row r="3562" spans="1:1">
      <c r="A3562" t="s">
        <v>47039</v>
      </c>
    </row>
    <row r="3563" spans="1:1">
      <c r="A3563" t="s">
        <v>47040</v>
      </c>
    </row>
    <row r="3564" spans="1:1">
      <c r="A3564" t="s">
        <v>47041</v>
      </c>
    </row>
    <row r="3565" spans="1:1">
      <c r="A3565" t="s">
        <v>47042</v>
      </c>
    </row>
    <row r="3566" spans="1:1">
      <c r="A3566" t="s">
        <v>47043</v>
      </c>
    </row>
    <row r="3567" spans="1:1">
      <c r="A3567" t="s">
        <v>47044</v>
      </c>
    </row>
    <row r="3568" spans="1:1">
      <c r="A3568" t="s">
        <v>47045</v>
      </c>
    </row>
    <row r="3569" spans="1:1">
      <c r="A3569" t="s">
        <v>47046</v>
      </c>
    </row>
    <row r="3570" spans="1:1">
      <c r="A3570" t="s">
        <v>47047</v>
      </c>
    </row>
    <row r="3571" spans="1:1">
      <c r="A3571" t="s">
        <v>47048</v>
      </c>
    </row>
    <row r="3572" spans="1:1">
      <c r="A3572" t="s">
        <v>47049</v>
      </c>
    </row>
    <row r="3573" spans="1:1">
      <c r="A3573" t="s">
        <v>41057</v>
      </c>
    </row>
    <row r="3574" spans="1:1">
      <c r="A3574" t="s">
        <v>47050</v>
      </c>
    </row>
    <row r="3575" spans="1:1">
      <c r="A3575" t="s">
        <v>41057</v>
      </c>
    </row>
    <row r="3576" spans="1:1">
      <c r="A3576" t="s">
        <v>41057</v>
      </c>
    </row>
    <row r="3577" spans="1:1">
      <c r="A3577" t="s">
        <v>47051</v>
      </c>
    </row>
    <row r="3578" spans="1:1">
      <c r="A3578" t="s">
        <v>47052</v>
      </c>
    </row>
    <row r="3579" spans="1:1">
      <c r="A3579" t="s">
        <v>47053</v>
      </c>
    </row>
    <row r="3580" spans="1:1">
      <c r="A3580" t="s">
        <v>47054</v>
      </c>
    </row>
    <row r="3581" spans="1:1">
      <c r="A3581" t="s">
        <v>41057</v>
      </c>
    </row>
    <row r="3582" spans="1:1">
      <c r="A3582" t="e" cm="1">
        <f t="array" ref="A3582">--------------------------------------------------NM-------I</f>
        <v>#NAME?</v>
      </c>
    </row>
    <row r="3583" spans="1:1">
      <c r="A3583" t="s">
        <v>47055</v>
      </c>
    </row>
    <row r="3584" spans="1:1">
      <c r="A3584" t="s">
        <v>45870</v>
      </c>
    </row>
    <row r="3585" spans="1:1">
      <c r="A3585" t="s">
        <v>43533</v>
      </c>
    </row>
    <row r="3586" spans="1:1">
      <c r="A3586" t="s">
        <v>41057</v>
      </c>
    </row>
    <row r="3587" spans="1:1">
      <c r="A3587" t="s">
        <v>41057</v>
      </c>
    </row>
    <row r="3588" spans="1:1">
      <c r="A3588" t="s">
        <v>41057</v>
      </c>
    </row>
    <row r="3589" spans="1:1">
      <c r="A3589" t="s">
        <v>41057</v>
      </c>
    </row>
    <row r="3590" spans="1:1">
      <c r="A3590" t="s">
        <v>41057</v>
      </c>
    </row>
    <row r="3591" spans="1:1">
      <c r="A3591" t="s">
        <v>46984</v>
      </c>
    </row>
    <row r="3592" spans="1:1">
      <c r="A3592" t="s">
        <v>46985</v>
      </c>
    </row>
    <row r="3593" spans="1:1">
      <c r="A3593" t="s">
        <v>46986</v>
      </c>
    </row>
    <row r="3594" spans="1:1">
      <c r="A3594" t="e" cm="1">
        <f t="array" ref="A3594">------------------------FE-----DEDT-----------------------EK</f>
        <v>#NAME?</v>
      </c>
    </row>
    <row r="3595" spans="1:1">
      <c r="A3595" t="s">
        <v>46987</v>
      </c>
    </row>
    <row r="3596" spans="1:1">
      <c r="A3596" t="s">
        <v>46988</v>
      </c>
    </row>
    <row r="3597" spans="1:1">
      <c r="A3597" t="s">
        <v>46989</v>
      </c>
    </row>
    <row r="3598" spans="1:1">
      <c r="A3598" t="s">
        <v>46990</v>
      </c>
    </row>
    <row r="3599" spans="1:1">
      <c r="A3599" t="s">
        <v>46991</v>
      </c>
    </row>
    <row r="3600" spans="1:1">
      <c r="A3600" t="s">
        <v>46992</v>
      </c>
    </row>
    <row r="3601" spans="1:1">
      <c r="A3601" t="s">
        <v>46993</v>
      </c>
    </row>
    <row r="3602" spans="1:1">
      <c r="A3602" t="s">
        <v>46994</v>
      </c>
    </row>
    <row r="3603" spans="1:1">
      <c r="A3603" t="s">
        <v>46995</v>
      </c>
    </row>
    <row r="3604" spans="1:1">
      <c r="A3604" t="s">
        <v>46996</v>
      </c>
    </row>
    <row r="3605" spans="1:1">
      <c r="A3605" t="s">
        <v>41057</v>
      </c>
    </row>
    <row r="3606" spans="1:1">
      <c r="A3606" t="s">
        <v>41057</v>
      </c>
    </row>
    <row r="3607" spans="1:1">
      <c r="A3607" t="s">
        <v>41057</v>
      </c>
    </row>
    <row r="3608" spans="1:1">
      <c r="A3608" t="s">
        <v>46997</v>
      </c>
    </row>
    <row r="3609" spans="1:1">
      <c r="A3609" t="s">
        <v>46998</v>
      </c>
    </row>
    <row r="3610" spans="1:1">
      <c r="A3610" t="s">
        <v>45438</v>
      </c>
    </row>
    <row r="3611" spans="1:1">
      <c r="A3611" t="s">
        <v>46999</v>
      </c>
    </row>
    <row r="3612" spans="1:1">
      <c r="A3612" t="e" cm="1">
        <f t="array" ref="A3612">---DEKYIMDRAKYL---G-------------------------------------IE-I</f>
        <v>#NAME?</v>
      </c>
    </row>
    <row r="3613" spans="1:1">
      <c r="A3613" t="s">
        <v>47000</v>
      </c>
    </row>
    <row r="3614" spans="1:1">
      <c r="A3614" t="e" cm="1">
        <f t="array" ref="A3614">-------------------------------------FRCPFKEQKLASSALG-ENLLRY</f>
        <v>#NAME?</v>
      </c>
    </row>
    <row r="3615" spans="1:1">
      <c r="A3615" t="s">
        <v>47001</v>
      </c>
    </row>
    <row r="3616" spans="1:1">
      <c r="A3616" t="s">
        <v>47002</v>
      </c>
    </row>
    <row r="3617" spans="1:1">
      <c r="A3617" t="e" cm="1">
        <f t="array" ref="A3617">-------ISTKNKSP-VNKF-ELICDQVNDL---HQDDYIHLELMESFV-SED------I</f>
        <v>#NAME?</v>
      </c>
    </row>
    <row r="3618" spans="1:1">
      <c r="A3618" t="s">
        <v>47003</v>
      </c>
    </row>
    <row r="3619" spans="1:1">
      <c r="A3619" t="s">
        <v>47004</v>
      </c>
    </row>
    <row r="3620" spans="1:1">
      <c r="A3620" t="e" cm="1">
        <f t="array" ref="A3620">-------------------------PPKEI-------FKMQHM----------------G</f>
        <v>#NAME?</v>
      </c>
    </row>
    <row r="3621" spans="1:1">
      <c r="A3621" t="s">
        <v>47005</v>
      </c>
    </row>
    <row r="3622" spans="1:1">
      <c r="A3622" t="s">
        <v>41057</v>
      </c>
    </row>
    <row r="3623" spans="1:1">
      <c r="A3623" t="s">
        <v>45447</v>
      </c>
    </row>
    <row r="3624" spans="1:1">
      <c r="A3624" t="e" cm="1">
        <f t="array" ref="A3624">--------------YCLKDCK-----------------LV--------NLLINKL-EIVT</f>
        <v>#NAME?</v>
      </c>
    </row>
    <row r="3625" spans="1:1">
      <c r="A3625" t="s">
        <v>47006</v>
      </c>
    </row>
    <row r="3626" spans="1:1">
      <c r="A3626" t="s">
        <v>47007</v>
      </c>
    </row>
    <row r="3627" spans="1:1">
      <c r="A3627" t="s">
        <v>41057</v>
      </c>
    </row>
    <row r="3628" spans="1:1">
      <c r="A3628" t="s">
        <v>47008</v>
      </c>
    </row>
    <row r="3629" spans="1:1">
      <c r="A3629" t="e" cm="1">
        <f t="array" ref="A3629">-----------GS-YE--------------------------------GAIV-FDPIPKV</f>
        <v>#NAME?</v>
      </c>
    </row>
    <row r="3630" spans="1:1">
      <c r="A3630" t="s">
        <v>47009</v>
      </c>
    </row>
    <row r="3631" spans="1:1">
      <c r="A3631" t="s">
        <v>41057</v>
      </c>
    </row>
    <row r="3632" spans="1:1">
      <c r="A3632" t="s">
        <v>41057</v>
      </c>
    </row>
    <row r="3633" spans="1:1">
      <c r="A3633" t="s">
        <v>41057</v>
      </c>
    </row>
    <row r="3634" spans="1:1">
      <c r="A3634" t="s">
        <v>41057</v>
      </c>
    </row>
    <row r="3635" spans="1:1">
      <c r="A3635" t="s">
        <v>41057</v>
      </c>
    </row>
    <row r="3636" spans="1:1">
      <c r="A3636" t="s">
        <v>41057</v>
      </c>
    </row>
    <row r="3637" spans="1:1">
      <c r="A3637" t="s">
        <v>41057</v>
      </c>
    </row>
    <row r="3638" spans="1:1">
      <c r="A3638" t="s">
        <v>41057</v>
      </c>
    </row>
    <row r="3639" spans="1:1">
      <c r="A3639" t="s">
        <v>47010</v>
      </c>
    </row>
    <row r="3640" spans="1:1">
      <c r="A3640" t="s">
        <v>47011</v>
      </c>
    </row>
    <row r="3641" spans="1:1">
      <c r="A3641" t="s">
        <v>47012</v>
      </c>
    </row>
    <row r="3642" spans="1:1">
      <c r="A3642" t="s">
        <v>47013</v>
      </c>
    </row>
    <row r="3643" spans="1:1">
      <c r="A3643" t="s">
        <v>41057</v>
      </c>
    </row>
    <row r="3644" spans="1:1">
      <c r="A3644" t="s">
        <v>47014</v>
      </c>
    </row>
    <row r="3645" spans="1:1">
      <c r="A3645" t="s">
        <v>41057</v>
      </c>
    </row>
    <row r="3646" spans="1:1">
      <c r="A3646" t="s">
        <v>47015</v>
      </c>
    </row>
    <row r="3647" spans="1:1">
      <c r="A3647" t="s">
        <v>47016</v>
      </c>
    </row>
    <row r="3648" spans="1:1">
      <c r="A3648" t="s">
        <v>47017</v>
      </c>
    </row>
    <row r="3649" spans="1:1">
      <c r="A3649" t="s">
        <v>47018</v>
      </c>
    </row>
    <row r="3650" spans="1:1">
      <c r="A3650" t="s">
        <v>47019</v>
      </c>
    </row>
    <row r="3651" spans="1:1">
      <c r="A3651" t="s">
        <v>47020</v>
      </c>
    </row>
    <row r="3652" spans="1:1">
      <c r="A3652" t="s">
        <v>41057</v>
      </c>
    </row>
    <row r="3653" spans="1:1">
      <c r="A3653" t="s">
        <v>41057</v>
      </c>
    </row>
    <row r="3654" spans="1:1">
      <c r="A3654" t="s">
        <v>41057</v>
      </c>
    </row>
    <row r="3655" spans="1:1">
      <c r="A3655" t="s">
        <v>41057</v>
      </c>
    </row>
    <row r="3656" spans="1:1">
      <c r="A3656" t="s">
        <v>41057</v>
      </c>
    </row>
    <row r="3657" spans="1:1">
      <c r="A3657" t="s">
        <v>41057</v>
      </c>
    </row>
    <row r="3658" spans="1:1">
      <c r="A3658" t="s">
        <v>41057</v>
      </c>
    </row>
    <row r="3659" spans="1:1">
      <c r="A3659" t="s">
        <v>41057</v>
      </c>
    </row>
    <row r="3660" spans="1:1">
      <c r="A3660" t="s">
        <v>41057</v>
      </c>
    </row>
    <row r="3661" spans="1:1">
      <c r="A3661" t="s">
        <v>45463</v>
      </c>
    </row>
    <row r="3662" spans="1:1">
      <c r="A3662" t="s">
        <v>41057</v>
      </c>
    </row>
    <row r="3663" spans="1:1">
      <c r="A3663" t="s">
        <v>41057</v>
      </c>
    </row>
    <row r="3664" spans="1:1">
      <c r="A3664" t="s">
        <v>41057</v>
      </c>
    </row>
    <row r="3665" spans="1:1">
      <c r="A3665" t="s">
        <v>41057</v>
      </c>
    </row>
    <row r="3666" spans="1:1">
      <c r="A3666" t="s">
        <v>41057</v>
      </c>
    </row>
    <row r="3667" spans="1:1">
      <c r="A3667" t="s">
        <v>47021</v>
      </c>
    </row>
    <row r="3668" spans="1:1">
      <c r="A3668" t="s">
        <v>47022</v>
      </c>
    </row>
    <row r="3669" spans="1:1">
      <c r="A3669" t="e" cm="1">
        <f t="array" ref="A3669">-------------------------------------------------GLQKA--YQTN</f>
        <v>#NAME?</v>
      </c>
    </row>
    <row r="3670" spans="1:1">
      <c r="A3670" t="s">
        <v>47023</v>
      </c>
    </row>
    <row r="3671" spans="1:1">
      <c r="A3671" t="e" cm="1">
        <f t="array" ref="A3671">-------------NKELKDPAN------------------------------EKLKEQIK</f>
        <v>#NAME?</v>
      </c>
    </row>
    <row r="3672" spans="1:1">
      <c r="A3672" t="s">
        <v>47056</v>
      </c>
    </row>
    <row r="3673" spans="1:1">
      <c r="A3673" t="s">
        <v>41057</v>
      </c>
    </row>
    <row r="3674" spans="1:1">
      <c r="A3674" t="s">
        <v>41057</v>
      </c>
    </row>
    <row r="3675" spans="1:1">
      <c r="A3675" t="s">
        <v>41057</v>
      </c>
    </row>
    <row r="3676" spans="1:1">
      <c r="A3676" t="s">
        <v>41057</v>
      </c>
    </row>
    <row r="3677" spans="1:1">
      <c r="A3677" t="s">
        <v>41057</v>
      </c>
    </row>
    <row r="3678" spans="1:1">
      <c r="A3678" t="s">
        <v>41057</v>
      </c>
    </row>
    <row r="3679" spans="1:1">
      <c r="A3679" t="s">
        <v>41057</v>
      </c>
    </row>
    <row r="3680" spans="1:1">
      <c r="A3680" t="s">
        <v>41057</v>
      </c>
    </row>
    <row r="3681" spans="1:1">
      <c r="A3681" t="s">
        <v>41057</v>
      </c>
    </row>
    <row r="3682" spans="1:1">
      <c r="A3682" t="s">
        <v>41057</v>
      </c>
    </row>
    <row r="3683" spans="1:1">
      <c r="A3683" t="e" cm="1">
        <f t="array" ref="A3683">--------TDSIFS---CYQYRENTSKISTENKLTLFQEIIKFGKELILPFIPREYQEEF</f>
        <v>#NAME?</v>
      </c>
    </row>
    <row r="3684" spans="1:1">
      <c r="A3684" t="s">
        <v>47034</v>
      </c>
    </row>
    <row r="3685" spans="1:1">
      <c r="A3685" t="s">
        <v>47035</v>
      </c>
    </row>
    <row r="3686" spans="1:1">
      <c r="A3686" t="s">
        <v>47036</v>
      </c>
    </row>
    <row r="3687" spans="1:1">
      <c r="A3687" t="s">
        <v>47037</v>
      </c>
    </row>
    <row r="3688" spans="1:1">
      <c r="A3688" t="s">
        <v>47038</v>
      </c>
    </row>
    <row r="3689" spans="1:1">
      <c r="A3689" t="e" cm="1">
        <f t="array" ref="A3689">--------PH------DLEYEK-TFWPYLI----------L-TKKRYV-----------G</f>
        <v>#NAME?</v>
      </c>
    </row>
    <row r="3690" spans="1:1">
      <c r="A3690" t="s">
        <v>47039</v>
      </c>
    </row>
    <row r="3691" spans="1:1">
      <c r="A3691" t="s">
        <v>47040</v>
      </c>
    </row>
    <row r="3692" spans="1:1">
      <c r="A3692" t="s">
        <v>47041</v>
      </c>
    </row>
    <row r="3693" spans="1:1">
      <c r="A3693" t="s">
        <v>47042</v>
      </c>
    </row>
    <row r="3694" spans="1:1">
      <c r="A3694" t="s">
        <v>47043</v>
      </c>
    </row>
    <row r="3695" spans="1:1">
      <c r="A3695" t="s">
        <v>47044</v>
      </c>
    </row>
    <row r="3696" spans="1:1">
      <c r="A3696" t="s">
        <v>47045</v>
      </c>
    </row>
    <row r="3697" spans="1:1">
      <c r="A3697" t="s">
        <v>47046</v>
      </c>
    </row>
    <row r="3698" spans="1:1">
      <c r="A3698" t="s">
        <v>47047</v>
      </c>
    </row>
    <row r="3699" spans="1:1">
      <c r="A3699" t="s">
        <v>47048</v>
      </c>
    </row>
    <row r="3700" spans="1:1">
      <c r="A3700" t="s">
        <v>47049</v>
      </c>
    </row>
    <row r="3701" spans="1:1">
      <c r="A3701" t="s">
        <v>41057</v>
      </c>
    </row>
    <row r="3702" spans="1:1">
      <c r="A3702" t="s">
        <v>47050</v>
      </c>
    </row>
    <row r="3703" spans="1:1">
      <c r="A3703" t="s">
        <v>41057</v>
      </c>
    </row>
    <row r="3704" spans="1:1">
      <c r="A3704" t="s">
        <v>41057</v>
      </c>
    </row>
    <row r="3705" spans="1:1">
      <c r="A3705" t="s">
        <v>47051</v>
      </c>
    </row>
    <row r="3706" spans="1:1">
      <c r="A3706" t="s">
        <v>47052</v>
      </c>
    </row>
    <row r="3707" spans="1:1">
      <c r="A3707" t="s">
        <v>47053</v>
      </c>
    </row>
    <row r="3708" spans="1:1">
      <c r="A3708" t="s">
        <v>47054</v>
      </c>
    </row>
    <row r="3709" spans="1:1">
      <c r="A3709" t="s">
        <v>41057</v>
      </c>
    </row>
    <row r="3710" spans="1:1">
      <c r="A3710" t="e" cm="1">
        <f t="array" ref="A3710">--------------------------------------------------NM-------I</f>
        <v>#NAME?</v>
      </c>
    </row>
    <row r="3711" spans="1:1">
      <c r="A3711" t="s">
        <v>47055</v>
      </c>
    </row>
    <row r="3712" spans="1:1">
      <c r="A3712" t="s">
        <v>45870</v>
      </c>
    </row>
    <row r="3713" spans="1:1">
      <c r="A3713" t="s">
        <v>43579</v>
      </c>
    </row>
    <row r="3714" spans="1:1">
      <c r="A3714" t="s">
        <v>41057</v>
      </c>
    </row>
    <row r="3715" spans="1:1">
      <c r="A3715" t="s">
        <v>41057</v>
      </c>
    </row>
    <row r="3716" spans="1:1">
      <c r="A3716" t="s">
        <v>47057</v>
      </c>
    </row>
    <row r="3717" spans="1:1">
      <c r="A3717" t="s">
        <v>41057</v>
      </c>
    </row>
    <row r="3718" spans="1:1">
      <c r="A3718" t="s">
        <v>41057</v>
      </c>
    </row>
    <row r="3719" spans="1:1">
      <c r="A3719" t="s">
        <v>47058</v>
      </c>
    </row>
    <row r="3720" spans="1:1">
      <c r="A3720" t="s">
        <v>47059</v>
      </c>
    </row>
    <row r="3721" spans="1:1">
      <c r="A3721" t="s">
        <v>47060</v>
      </c>
    </row>
    <row r="3722" spans="1:1">
      <c r="A3722" t="e" cm="1">
        <f t="array" ref="A3722">------------------------DEDDSDNDEDSPEEIENADDGS--------PQEDKK</f>
        <v>#NAME?</v>
      </c>
    </row>
    <row r="3723" spans="1:1">
      <c r="A3723" t="s">
        <v>47061</v>
      </c>
    </row>
    <row r="3724" spans="1:1">
      <c r="A3724" t="s">
        <v>47062</v>
      </c>
    </row>
    <row r="3725" spans="1:1">
      <c r="A3725" t="s">
        <v>47063</v>
      </c>
    </row>
    <row r="3726" spans="1:1">
      <c r="A3726" t="s">
        <v>47064</v>
      </c>
    </row>
    <row r="3727" spans="1:1">
      <c r="A3727" t="s">
        <v>47065</v>
      </c>
    </row>
    <row r="3728" spans="1:1">
      <c r="A3728" t="s">
        <v>47066</v>
      </c>
    </row>
    <row r="3729" spans="1:1">
      <c r="A3729" t="s">
        <v>47067</v>
      </c>
    </row>
    <row r="3730" spans="1:1">
      <c r="A3730" t="s">
        <v>47068</v>
      </c>
    </row>
    <row r="3731" spans="1:1">
      <c r="A3731" t="s">
        <v>47069</v>
      </c>
    </row>
    <row r="3732" spans="1:1">
      <c r="A3732" t="s">
        <v>47070</v>
      </c>
    </row>
    <row r="3733" spans="1:1">
      <c r="A3733" t="s">
        <v>41057</v>
      </c>
    </row>
    <row r="3734" spans="1:1">
      <c r="A3734" t="s">
        <v>41057</v>
      </c>
    </row>
    <row r="3735" spans="1:1">
      <c r="A3735" t="s">
        <v>41057</v>
      </c>
    </row>
    <row r="3736" spans="1:1">
      <c r="A3736" t="s">
        <v>47071</v>
      </c>
    </row>
    <row r="3737" spans="1:1">
      <c r="A3737" t="s">
        <v>47072</v>
      </c>
    </row>
    <row r="3738" spans="1:1">
      <c r="A3738" t="s">
        <v>45438</v>
      </c>
    </row>
    <row r="3739" spans="1:1">
      <c r="A3739" t="s">
        <v>47073</v>
      </c>
    </row>
    <row r="3740" spans="1:1">
      <c r="A3740" t="e" cm="1">
        <f t="array" ref="A3740">---DELYMRDRAKIL---N-------------------------------------IL-D</f>
        <v>#NAME?</v>
      </c>
    </row>
    <row r="3741" spans="1:1">
      <c r="A3741" t="s">
        <v>47074</v>
      </c>
    </row>
    <row r="3742" spans="1:1">
      <c r="A3742" t="e" cm="1">
        <f t="array" ref="A3742">-------------------------------------VKSDFIDKELSSSALG-VNKLKY</f>
        <v>#NAME?</v>
      </c>
    </row>
    <row r="3743" spans="1:1">
      <c r="A3743" t="s">
        <v>47075</v>
      </c>
    </row>
    <row r="3744" spans="1:1">
      <c r="A3744" t="s">
        <v>47076</v>
      </c>
    </row>
    <row r="3745" spans="1:1">
      <c r="A3745" t="s">
        <v>47077</v>
      </c>
    </row>
    <row r="3746" spans="1:1">
      <c r="A3746" t="s">
        <v>47078</v>
      </c>
    </row>
    <row r="3747" spans="1:1">
      <c r="A3747" t="s">
        <v>47079</v>
      </c>
    </row>
    <row r="3748" spans="1:1">
      <c r="A3748" t="e" cm="1">
        <f t="array" ref="A3748">-------------------------KISDM-------FKMYAT----------------G</f>
        <v>#NAME?</v>
      </c>
    </row>
    <row r="3749" spans="1:1">
      <c r="A3749" t="s">
        <v>47080</v>
      </c>
    </row>
    <row r="3750" spans="1:1">
      <c r="A3750" t="s">
        <v>41057</v>
      </c>
    </row>
    <row r="3751" spans="1:1">
      <c r="A3751" t="s">
        <v>47081</v>
      </c>
    </row>
    <row r="3752" spans="1:1">
      <c r="A3752" t="e" cm="1">
        <f t="array" ref="A3752">--------------YCLQDAA-----------------LC--------ILLMAKL-EILN</f>
        <v>#NAME?</v>
      </c>
    </row>
    <row r="3753" spans="1:1">
      <c r="A3753" t="s">
        <v>47082</v>
      </c>
    </row>
    <row r="3754" spans="1:1">
      <c r="A3754" t="e" cm="1">
        <f t="array" ref="A3754">-IIPNIEIMRADITEC-------------------------------------------V</f>
        <v>#NAME?</v>
      </c>
    </row>
    <row r="3755" spans="1:1">
      <c r="A3755" t="s">
        <v>47083</v>
      </c>
    </row>
    <row r="3756" spans="1:1">
      <c r="A3756" t="e" cm="1">
        <f t="array" ref="A3756">----Y--------------KDGEQFKIL----------KIDGNNITIEGVVNLKPTQYKC</f>
        <v>#NAME?</v>
      </c>
    </row>
    <row r="3757" spans="1:1">
      <c r="A3757" t="s">
        <v>47084</v>
      </c>
    </row>
    <row r="3758" spans="1:1">
      <c r="A3758" t="s">
        <v>47085</v>
      </c>
    </row>
    <row r="3759" spans="1:1">
      <c r="A3759" t="s">
        <v>41057</v>
      </c>
    </row>
    <row r="3760" spans="1:1">
      <c r="A3760" t="s">
        <v>41057</v>
      </c>
    </row>
    <row r="3761" spans="1:1">
      <c r="A3761" t="s">
        <v>41057</v>
      </c>
    </row>
    <row r="3762" spans="1:1">
      <c r="A3762" t="s">
        <v>41057</v>
      </c>
    </row>
    <row r="3763" spans="1:1">
      <c r="A3763" t="s">
        <v>41057</v>
      </c>
    </row>
    <row r="3764" spans="1:1">
      <c r="A3764" t="s">
        <v>41057</v>
      </c>
    </row>
    <row r="3765" spans="1:1">
      <c r="A3765" t="s">
        <v>41057</v>
      </c>
    </row>
    <row r="3766" spans="1:1">
      <c r="A3766" t="s">
        <v>41057</v>
      </c>
    </row>
    <row r="3767" spans="1:1">
      <c r="A3767" t="s">
        <v>47086</v>
      </c>
    </row>
    <row r="3768" spans="1:1">
      <c r="A3768" t="s">
        <v>47087</v>
      </c>
    </row>
    <row r="3769" spans="1:1">
      <c r="A3769" t="s">
        <v>47088</v>
      </c>
    </row>
    <row r="3770" spans="1:1">
      <c r="A3770" t="s">
        <v>47089</v>
      </c>
    </row>
    <row r="3771" spans="1:1">
      <c r="A3771" t="s">
        <v>47090</v>
      </c>
    </row>
    <row r="3772" spans="1:1">
      <c r="A3772" t="s">
        <v>47091</v>
      </c>
    </row>
    <row r="3773" spans="1:1">
      <c r="A3773" t="s">
        <v>41057</v>
      </c>
    </row>
    <row r="3774" spans="1:1">
      <c r="A3774" t="s">
        <v>47092</v>
      </c>
    </row>
    <row r="3775" spans="1:1">
      <c r="A3775" t="s">
        <v>47093</v>
      </c>
    </row>
    <row r="3776" spans="1:1">
      <c r="A3776" t="s">
        <v>47094</v>
      </c>
    </row>
    <row r="3777" spans="1:1">
      <c r="A3777" t="s">
        <v>47095</v>
      </c>
    </row>
    <row r="3778" spans="1:1">
      <c r="A3778" t="s">
        <v>47096</v>
      </c>
    </row>
    <row r="3779" spans="1:1">
      <c r="A3779" t="s">
        <v>46655</v>
      </c>
    </row>
    <row r="3780" spans="1:1">
      <c r="A3780" t="s">
        <v>41057</v>
      </c>
    </row>
    <row r="3781" spans="1:1">
      <c r="A3781" t="s">
        <v>41057</v>
      </c>
    </row>
    <row r="3782" spans="1:1">
      <c r="A3782" t="s">
        <v>41057</v>
      </c>
    </row>
    <row r="3783" spans="1:1">
      <c r="A3783" t="s">
        <v>41057</v>
      </c>
    </row>
    <row r="3784" spans="1:1">
      <c r="A3784" t="s">
        <v>41057</v>
      </c>
    </row>
    <row r="3785" spans="1:1">
      <c r="A3785" t="s">
        <v>41057</v>
      </c>
    </row>
    <row r="3786" spans="1:1">
      <c r="A3786" t="s">
        <v>41057</v>
      </c>
    </row>
    <row r="3787" spans="1:1">
      <c r="A3787" t="s">
        <v>41057</v>
      </c>
    </row>
    <row r="3788" spans="1:1">
      <c r="A3788" t="s">
        <v>41057</v>
      </c>
    </row>
    <row r="3789" spans="1:1">
      <c r="A3789" t="s">
        <v>46596</v>
      </c>
    </row>
    <row r="3790" spans="1:1">
      <c r="A3790" t="s">
        <v>41057</v>
      </c>
    </row>
    <row r="3791" spans="1:1">
      <c r="A3791" t="s">
        <v>41057</v>
      </c>
    </row>
    <row r="3792" spans="1:1">
      <c r="A3792" t="s">
        <v>41057</v>
      </c>
    </row>
    <row r="3793" spans="1:1">
      <c r="A3793" t="s">
        <v>41057</v>
      </c>
    </row>
    <row r="3794" spans="1:1">
      <c r="A3794" t="s">
        <v>41057</v>
      </c>
    </row>
    <row r="3795" spans="1:1">
      <c r="A3795" t="s">
        <v>47097</v>
      </c>
    </row>
    <row r="3796" spans="1:1">
      <c r="A3796" t="s">
        <v>47098</v>
      </c>
    </row>
    <row r="3797" spans="1:1">
      <c r="A3797" t="e" cm="1">
        <f t="array" ref="A3797">----------------------------------------------------------AT</f>
        <v>#NAME?</v>
      </c>
    </row>
    <row r="3798" spans="1:1">
      <c r="A3798" t="s">
        <v>47099</v>
      </c>
    </row>
    <row r="3799" spans="1:1">
      <c r="A3799" t="s">
        <v>47100</v>
      </c>
    </row>
    <row r="3800" spans="1:1">
      <c r="A3800" t="s">
        <v>47101</v>
      </c>
    </row>
    <row r="3801" spans="1:1">
      <c r="A3801" t="s">
        <v>41057</v>
      </c>
    </row>
    <row r="3802" spans="1:1">
      <c r="A3802" t="s">
        <v>41057</v>
      </c>
    </row>
    <row r="3803" spans="1:1">
      <c r="A3803" t="s">
        <v>41057</v>
      </c>
    </row>
    <row r="3804" spans="1:1">
      <c r="A3804" t="e" cm="1">
        <f t="array" ref="A3804">------------------------------------------------TDIYDD-FVKQY</f>
        <v>#NAME?</v>
      </c>
    </row>
    <row r="3805" spans="1:1">
      <c r="A3805" t="s">
        <v>47102</v>
      </c>
    </row>
    <row r="3806" spans="1:1">
      <c r="A3806" t="s">
        <v>41057</v>
      </c>
    </row>
    <row r="3807" spans="1:1">
      <c r="A3807" t="s">
        <v>41057</v>
      </c>
    </row>
    <row r="3808" spans="1:1">
      <c r="A3808" t="s">
        <v>41057</v>
      </c>
    </row>
    <row r="3809" spans="1:1">
      <c r="A3809" t="s">
        <v>47103</v>
      </c>
    </row>
    <row r="3810" spans="1:1">
      <c r="A3810" t="s">
        <v>41057</v>
      </c>
    </row>
    <row r="3811" spans="1:1">
      <c r="A3811" t="e" cm="1">
        <f t="array" ref="A3811">-----------------KYTFDREITR-------------------------------EF</f>
        <v>#NAME?</v>
      </c>
    </row>
    <row r="3812" spans="1:1">
      <c r="A3812" t="e" cm="1">
        <f t="array" ref="A3812">-------------LR--RSNFDITPK-------IVY---------GDTDSN--------F</f>
        <v>#NAME?</v>
      </c>
    </row>
    <row r="3813" spans="1:1">
      <c r="A3813" t="s">
        <v>45475</v>
      </c>
    </row>
    <row r="3814" spans="1:1">
      <c r="A3814" t="s">
        <v>47104</v>
      </c>
    </row>
    <row r="3815" spans="1:1">
      <c r="A3815" t="e" cm="1">
        <f t="array" ref="A3815">--GDKLNDYRG----------------------------LTI----AIE----------L</f>
        <v>#NAME?</v>
      </c>
    </row>
    <row r="3816" spans="1:1">
      <c r="A3816" t="s">
        <v>47105</v>
      </c>
    </row>
    <row r="3817" spans="1:1">
      <c r="A3817" t="e" cm="1">
        <f t="array" ref="A3817">--------PH------KLNYEK-TFWPFAL----------L-SKKRYV-----------G</f>
        <v>#NAME?</v>
      </c>
    </row>
    <row r="3818" spans="1:1">
      <c r="A3818" t="s">
        <v>47106</v>
      </c>
    </row>
    <row r="3819" spans="1:1">
      <c r="A3819" t="s">
        <v>47107</v>
      </c>
    </row>
    <row r="3820" spans="1:1">
      <c r="A3820" t="s">
        <v>47108</v>
      </c>
    </row>
    <row r="3821" spans="1:1">
      <c r="A3821" t="s">
        <v>45733</v>
      </c>
    </row>
    <row r="3822" spans="1:1">
      <c r="A3822" t="s">
        <v>47109</v>
      </c>
    </row>
    <row r="3823" spans="1:1">
      <c r="A3823" t="s">
        <v>47110</v>
      </c>
    </row>
    <row r="3824" spans="1:1">
      <c r="A3824" t="s">
        <v>47111</v>
      </c>
    </row>
    <row r="3825" spans="1:1">
      <c r="A3825" t="s">
        <v>47112</v>
      </c>
    </row>
    <row r="3826" spans="1:1">
      <c r="A3826" t="s">
        <v>47113</v>
      </c>
    </row>
    <row r="3827" spans="1:1">
      <c r="A3827" t="s">
        <v>47114</v>
      </c>
    </row>
    <row r="3828" spans="1:1">
      <c r="A3828" t="s">
        <v>47115</v>
      </c>
    </row>
    <row r="3829" spans="1:1">
      <c r="A3829" t="s">
        <v>41057</v>
      </c>
    </row>
    <row r="3830" spans="1:1">
      <c r="A3830" t="s">
        <v>47116</v>
      </c>
    </row>
    <row r="3831" spans="1:1">
      <c r="A3831" t="s">
        <v>41057</v>
      </c>
    </row>
    <row r="3832" spans="1:1">
      <c r="A3832" t="s">
        <v>41057</v>
      </c>
    </row>
    <row r="3833" spans="1:1">
      <c r="A3833" t="s">
        <v>47117</v>
      </c>
    </row>
    <row r="3834" spans="1:1">
      <c r="A3834" t="s">
        <v>47118</v>
      </c>
    </row>
    <row r="3835" spans="1:1">
      <c r="A3835" t="s">
        <v>47119</v>
      </c>
    </row>
    <row r="3836" spans="1:1">
      <c r="A3836" t="e" cm="1">
        <f t="array" ref="A3836">-------------------S-E------------------------WFEMAKTSKSSQDM</f>
        <v>#NAME?</v>
      </c>
    </row>
    <row r="3837" spans="1:1">
      <c r="A3837" t="s">
        <v>41057</v>
      </c>
    </row>
    <row r="3838" spans="1:1">
      <c r="A3838" t="s">
        <v>47120</v>
      </c>
    </row>
    <row r="3839" spans="1:1">
      <c r="A3839" t="s">
        <v>47121</v>
      </c>
    </row>
    <row r="3840" spans="1:1">
      <c r="A3840" t="s">
        <v>45870</v>
      </c>
    </row>
    <row r="3841" spans="1:1">
      <c r="A3841" t="s">
        <v>43159</v>
      </c>
    </row>
    <row r="3842" spans="1:1">
      <c r="A3842" t="s">
        <v>41057</v>
      </c>
    </row>
    <row r="3843" spans="1:1">
      <c r="A3843" t="s">
        <v>41057</v>
      </c>
    </row>
    <row r="3844" spans="1:1">
      <c r="A3844" t="s">
        <v>41057</v>
      </c>
    </row>
    <row r="3845" spans="1:1">
      <c r="A3845" t="s">
        <v>41057</v>
      </c>
    </row>
    <row r="3846" spans="1:1">
      <c r="A3846" t="s">
        <v>41057</v>
      </c>
    </row>
    <row r="3847" spans="1:1">
      <c r="A3847" t="s">
        <v>47122</v>
      </c>
    </row>
    <row r="3848" spans="1:1">
      <c r="A3848" t="s">
        <v>47123</v>
      </c>
    </row>
    <row r="3849" spans="1:1">
      <c r="A3849" t="s">
        <v>47124</v>
      </c>
    </row>
    <row r="3850" spans="1:1">
      <c r="A3850" t="e" cm="1">
        <f t="array" ref="A3850">-------------------------ELETDKNEFI--PGR--DT--------------KR</f>
        <v>#NAME?</v>
      </c>
    </row>
    <row r="3851" spans="1:1">
      <c r="A3851" t="s">
        <v>47125</v>
      </c>
    </row>
    <row r="3852" spans="1:1">
      <c r="A3852" t="s">
        <v>47126</v>
      </c>
    </row>
    <row r="3853" spans="1:1">
      <c r="A3853" t="s">
        <v>47127</v>
      </c>
    </row>
    <row r="3854" spans="1:1">
      <c r="A3854" t="s">
        <v>47128</v>
      </c>
    </row>
    <row r="3855" spans="1:1">
      <c r="A3855" t="s">
        <v>47129</v>
      </c>
    </row>
    <row r="3856" spans="1:1">
      <c r="A3856" t="s">
        <v>47130</v>
      </c>
    </row>
    <row r="3857" spans="1:1">
      <c r="A3857" t="s">
        <v>47131</v>
      </c>
    </row>
    <row r="3858" spans="1:1">
      <c r="A3858" t="s">
        <v>47132</v>
      </c>
    </row>
    <row r="3859" spans="1:1">
      <c r="A3859" t="s">
        <v>47133</v>
      </c>
    </row>
    <row r="3860" spans="1:1">
      <c r="A3860" t="e" cm="1">
        <f t="array" ref="A3860">---PLA--RKNYLKLATNIVD--------------Y----LINNNIETCD-------KDL</f>
        <v>#NAME?</v>
      </c>
    </row>
    <row r="3861" spans="1:1">
      <c r="A3861" t="s">
        <v>47134</v>
      </c>
    </row>
    <row r="3862" spans="1:1">
      <c r="A3862" t="e" cm="1">
        <f t="array" ref="A3862">-------NLVD--------IKPGKKE----NYID-IK-----DEDENSDSSDIENDGIVE</f>
        <v>#NAME?</v>
      </c>
    </row>
    <row r="3863" spans="1:1">
      <c r="A3863" t="s">
        <v>47135</v>
      </c>
    </row>
    <row r="3864" spans="1:1">
      <c r="A3864" t="s">
        <v>47136</v>
      </c>
    </row>
    <row r="3865" spans="1:1">
      <c r="A3865" t="s">
        <v>47137</v>
      </c>
    </row>
    <row r="3866" spans="1:1">
      <c r="A3866" t="s">
        <v>45438</v>
      </c>
    </row>
    <row r="3867" spans="1:1">
      <c r="A3867" t="s">
        <v>47138</v>
      </c>
    </row>
    <row r="3868" spans="1:1">
      <c r="A3868" t="e" cm="1">
        <f t="array" ref="A3868">---DEGFMYDRSIEL---N-------------------------------------CM-T</f>
        <v>#NAME?</v>
      </c>
    </row>
    <row r="3869" spans="1:1">
      <c r="A3869" t="s">
        <v>47139</v>
      </c>
    </row>
    <row r="3870" spans="1:1">
      <c r="A3870" t="e" cm="1">
        <f t="array" ref="A3870">-------------------------------FQGKNKPKKITIEESSTKLASG-QFDLRY</f>
        <v>#NAME?</v>
      </c>
    </row>
    <row r="3871" spans="1:1">
      <c r="A3871" t="s">
        <v>47140</v>
      </c>
    </row>
    <row r="3872" spans="1:1">
      <c r="A3872" t="s">
        <v>47141</v>
      </c>
    </row>
    <row r="3873" spans="1:1">
      <c r="A3873" t="s">
        <v>47142</v>
      </c>
    </row>
    <row r="3874" spans="1:1">
      <c r="A3874" t="s">
        <v>47143</v>
      </c>
    </row>
    <row r="3875" spans="1:1">
      <c r="A3875" t="s">
        <v>47144</v>
      </c>
    </row>
    <row r="3876" spans="1:1">
      <c r="A3876" t="s">
        <v>47145</v>
      </c>
    </row>
    <row r="3877" spans="1:1">
      <c r="A3877" t="s">
        <v>47146</v>
      </c>
    </row>
    <row r="3878" spans="1:1">
      <c r="A3878" t="s">
        <v>41057</v>
      </c>
    </row>
    <row r="3879" spans="1:1">
      <c r="A3879" t="s">
        <v>45447</v>
      </c>
    </row>
    <row r="3880" spans="1:1">
      <c r="A3880" t="e" cm="1">
        <f t="array" ref="A3880">--------------YCIKDCD-----------------LV--------QDLMRKN-DTMT</f>
        <v>#NAME?</v>
      </c>
    </row>
    <row r="3881" spans="1:1">
      <c r="A3881" t="s">
        <v>47147</v>
      </c>
    </row>
    <row r="3882" spans="1:1">
      <c r="A3882" t="s">
        <v>47148</v>
      </c>
    </row>
    <row r="3883" spans="1:1">
      <c r="A3883" t="s">
        <v>41057</v>
      </c>
    </row>
    <row r="3884" spans="1:1">
      <c r="A3884" t="s">
        <v>47149</v>
      </c>
    </row>
    <row r="3885" spans="1:1">
      <c r="A3885" t="e" cm="1">
        <f t="array" ref="A3885">-----------EG-YE--------------------------------GAIV-LEPKCNL</f>
        <v>#NAME?</v>
      </c>
    </row>
    <row r="3886" spans="1:1">
      <c r="A3886" t="s">
        <v>47150</v>
      </c>
    </row>
    <row r="3887" spans="1:1">
      <c r="A3887" t="s">
        <v>41057</v>
      </c>
    </row>
    <row r="3888" spans="1:1">
      <c r="A3888" t="s">
        <v>41057</v>
      </c>
    </row>
    <row r="3889" spans="1:1">
      <c r="A3889" t="s">
        <v>41057</v>
      </c>
    </row>
    <row r="3890" spans="1:1">
      <c r="A3890" t="s">
        <v>41057</v>
      </c>
    </row>
    <row r="3891" spans="1:1">
      <c r="A3891" t="s">
        <v>41057</v>
      </c>
    </row>
    <row r="3892" spans="1:1">
      <c r="A3892" t="s">
        <v>41057</v>
      </c>
    </row>
    <row r="3893" spans="1:1">
      <c r="A3893" t="s">
        <v>41057</v>
      </c>
    </row>
    <row r="3894" spans="1:1">
      <c r="A3894" t="s">
        <v>41057</v>
      </c>
    </row>
    <row r="3895" spans="1:1">
      <c r="A3895" t="e" cm="1">
        <f t="array" ref="A3895">-SSLY-------------------PSSIISENISHDSKVWTKEY----------DLDDNL</f>
        <v>#NAME?</v>
      </c>
    </row>
    <row r="3896" spans="1:1">
      <c r="A3896" t="s">
        <v>47151</v>
      </c>
    </row>
    <row r="3897" spans="1:1">
      <c r="A3897" t="e" cm="1">
        <f t="array" ref="A3897">---------------ITY----------------------------------------DT</f>
        <v>#NAME?</v>
      </c>
    </row>
    <row r="3898" spans="1:1">
      <c r="A3898" t="s">
        <v>47152</v>
      </c>
    </row>
    <row r="3899" spans="1:1">
      <c r="A3899" t="s">
        <v>41057</v>
      </c>
    </row>
    <row r="3900" spans="1:1">
      <c r="A3900" t="s">
        <v>47153</v>
      </c>
    </row>
    <row r="3901" spans="1:1">
      <c r="A3901" t="s">
        <v>41057</v>
      </c>
    </row>
    <row r="3902" spans="1:1">
      <c r="A3902" t="s">
        <v>47154</v>
      </c>
    </row>
    <row r="3903" spans="1:1">
      <c r="A3903" t="s">
        <v>47155</v>
      </c>
    </row>
    <row r="3904" spans="1:1">
      <c r="A3904" t="s">
        <v>47156</v>
      </c>
    </row>
    <row r="3905" spans="1:1">
      <c r="A3905" t="s">
        <v>47157</v>
      </c>
    </row>
    <row r="3906" spans="1:1">
      <c r="A3906" t="s">
        <v>47158</v>
      </c>
    </row>
    <row r="3907" spans="1:1">
      <c r="A3907" t="s">
        <v>47159</v>
      </c>
    </row>
    <row r="3908" spans="1:1">
      <c r="A3908" t="s">
        <v>41057</v>
      </c>
    </row>
    <row r="3909" spans="1:1">
      <c r="A3909" t="s">
        <v>41057</v>
      </c>
    </row>
    <row r="3910" spans="1:1">
      <c r="A3910" t="s">
        <v>41057</v>
      </c>
    </row>
    <row r="3911" spans="1:1">
      <c r="A3911" t="s">
        <v>41057</v>
      </c>
    </row>
    <row r="3912" spans="1:1">
      <c r="A3912" t="s">
        <v>41057</v>
      </c>
    </row>
    <row r="3913" spans="1:1">
      <c r="A3913" t="s">
        <v>41057</v>
      </c>
    </row>
    <row r="3914" spans="1:1">
      <c r="A3914" t="s">
        <v>41057</v>
      </c>
    </row>
    <row r="3915" spans="1:1">
      <c r="A3915" t="s">
        <v>41057</v>
      </c>
    </row>
    <row r="3916" spans="1:1">
      <c r="A3916" t="s">
        <v>41057</v>
      </c>
    </row>
    <row r="3917" spans="1:1">
      <c r="A3917" t="s">
        <v>45914</v>
      </c>
    </row>
    <row r="3918" spans="1:1">
      <c r="A3918" t="s">
        <v>41057</v>
      </c>
    </row>
    <row r="3919" spans="1:1">
      <c r="A3919" t="s">
        <v>41057</v>
      </c>
    </row>
    <row r="3920" spans="1:1">
      <c r="A3920" t="s">
        <v>41057</v>
      </c>
    </row>
    <row r="3921" spans="1:1">
      <c r="A3921" t="s">
        <v>41057</v>
      </c>
    </row>
    <row r="3922" spans="1:1">
      <c r="A3922" t="s">
        <v>41057</v>
      </c>
    </row>
    <row r="3923" spans="1:1">
      <c r="A3923" t="s">
        <v>47160</v>
      </c>
    </row>
    <row r="3924" spans="1:1">
      <c r="A3924" t="s">
        <v>47161</v>
      </c>
    </row>
    <row r="3925" spans="1:1">
      <c r="A3925" t="s">
        <v>41057</v>
      </c>
    </row>
    <row r="3926" spans="1:1">
      <c r="A3926" t="s">
        <v>41057</v>
      </c>
    </row>
    <row r="3927" spans="1:1">
      <c r="A3927" t="s">
        <v>47162</v>
      </c>
    </row>
    <row r="3928" spans="1:1">
      <c r="A3928" t="e" cm="1">
        <f t="array" ref="A3928">--------EVKCYGEYIYGDSV------------ASYTPIYVR---YNKS-IIDICSVEE</f>
        <v>#NAME?</v>
      </c>
    </row>
    <row r="3929" spans="1:1">
      <c r="A3929" t="s">
        <v>47163</v>
      </c>
    </row>
    <row r="3930" spans="1:1">
      <c r="A3930" t="s">
        <v>41057</v>
      </c>
    </row>
    <row r="3931" spans="1:1">
      <c r="A3931" t="e" cm="1">
        <f t="array" ref="A3931">---------------------------------------------------------ESP</f>
        <v>#NAME?</v>
      </c>
    </row>
    <row r="3932" spans="1:1">
      <c r="A3932" t="s">
        <v>47164</v>
      </c>
    </row>
    <row r="3933" spans="1:1">
      <c r="A3933" t="s">
        <v>47165</v>
      </c>
    </row>
    <row r="3934" spans="1:1">
      <c r="A3934" t="s">
        <v>47166</v>
      </c>
    </row>
    <row r="3935" spans="1:1">
      <c r="A3935" t="s">
        <v>47167</v>
      </c>
    </row>
    <row r="3936" spans="1:1">
      <c r="A3936" t="s">
        <v>47168</v>
      </c>
    </row>
    <row r="3937" spans="1:1">
      <c r="A3937" t="s">
        <v>47169</v>
      </c>
    </row>
    <row r="3938" spans="1:1">
      <c r="A3938" t="e" cm="1">
        <f t="array" ref="A3938">-DKTDIYRI------TATKNKQRRDG--DKIKKIVNIQNSANIQNSANIQN-----SVNI</f>
        <v>#NAME?</v>
      </c>
    </row>
    <row r="3939" spans="1:1">
      <c r="A3939" t="s">
        <v>47170</v>
      </c>
    </row>
    <row r="3940" spans="1:1">
      <c r="A3940" t="e" cm="1">
        <f t="array" ref="A3940">-----------------HHHFAAGIG----N--MIV---------HNTDSV--------F</f>
        <v>#NAME?</v>
      </c>
    </row>
    <row r="3941" spans="1:1">
      <c r="A3941" t="s">
        <v>46138</v>
      </c>
    </row>
    <row r="3942" spans="1:1">
      <c r="A3942" t="s">
        <v>47171</v>
      </c>
    </row>
    <row r="3943" spans="1:1">
      <c r="A3943" t="e" cm="1">
        <f t="array" ref="A3943">---KEIVGKKA----------------------------LEI----TIE----------L</f>
        <v>#NAME?</v>
      </c>
    </row>
    <row r="3944" spans="1:1">
      <c r="A3944" t="s">
        <v>47172</v>
      </c>
    </row>
    <row r="3945" spans="1:1">
      <c r="A3945" t="e" cm="1">
        <f t="array" ref="A3945">--------PH------DLEYEK-TFLPFCL----------L-SKKRYV-----------G</f>
        <v>#NAME?</v>
      </c>
    </row>
    <row r="3946" spans="1:1">
      <c r="A3946" t="s">
        <v>47173</v>
      </c>
    </row>
    <row r="3947" spans="1:1">
      <c r="A3947" t="s">
        <v>47174</v>
      </c>
    </row>
    <row r="3948" spans="1:1">
      <c r="A3948" t="s">
        <v>47175</v>
      </c>
    </row>
    <row r="3949" spans="1:1">
      <c r="A3949" t="s">
        <v>47176</v>
      </c>
    </row>
    <row r="3950" spans="1:1">
      <c r="A3950" t="s">
        <v>47177</v>
      </c>
    </row>
    <row r="3951" spans="1:1">
      <c r="A3951" t="s">
        <v>47178</v>
      </c>
    </row>
    <row r="3952" spans="1:1">
      <c r="A3952" t="s">
        <v>47179</v>
      </c>
    </row>
    <row r="3953" spans="1:1">
      <c r="A3953" t="s">
        <v>47180</v>
      </c>
    </row>
    <row r="3954" spans="1:1">
      <c r="A3954" t="s">
        <v>47181</v>
      </c>
    </row>
    <row r="3955" spans="1:1">
      <c r="A3955" t="s">
        <v>47182</v>
      </c>
    </row>
    <row r="3956" spans="1:1">
      <c r="A3956" t="s">
        <v>47183</v>
      </c>
    </row>
    <row r="3957" spans="1:1">
      <c r="A3957" t="s">
        <v>41057</v>
      </c>
    </row>
    <row r="3958" spans="1:1">
      <c r="A3958" t="s">
        <v>47184</v>
      </c>
    </row>
    <row r="3959" spans="1:1">
      <c r="A3959" t="s">
        <v>47185</v>
      </c>
    </row>
    <row r="3960" spans="1:1">
      <c r="A3960" t="s">
        <v>47186</v>
      </c>
    </row>
    <row r="3961" spans="1:1">
      <c r="A3961" t="s">
        <v>47187</v>
      </c>
    </row>
    <row r="3962" spans="1:1">
      <c r="A3962" t="s">
        <v>47188</v>
      </c>
    </row>
    <row r="3963" spans="1:1">
      <c r="A3963" t="s">
        <v>41057</v>
      </c>
    </row>
    <row r="3964" spans="1:1">
      <c r="A3964" t="s">
        <v>41057</v>
      </c>
    </row>
    <row r="3965" spans="1:1">
      <c r="A3965" t="s">
        <v>41057</v>
      </c>
    </row>
    <row r="3966" spans="1:1">
      <c r="A3966" t="s">
        <v>41057</v>
      </c>
    </row>
    <row r="3967" spans="1:1">
      <c r="A3967" t="s">
        <v>41057</v>
      </c>
    </row>
    <row r="3968" spans="1:1">
      <c r="A3968" t="s">
        <v>45870</v>
      </c>
    </row>
    <row r="3969" spans="1:1">
      <c r="A3969" t="s">
        <v>43801</v>
      </c>
    </row>
    <row r="3970" spans="1:1">
      <c r="A3970" t="s">
        <v>41057</v>
      </c>
    </row>
    <row r="3971" spans="1:1">
      <c r="A3971" t="s">
        <v>41057</v>
      </c>
    </row>
    <row r="3972" spans="1:1">
      <c r="A3972" t="s">
        <v>41057</v>
      </c>
    </row>
    <row r="3973" spans="1:1">
      <c r="A3973" t="s">
        <v>41057</v>
      </c>
    </row>
    <row r="3974" spans="1:1">
      <c r="A3974" t="s">
        <v>41057</v>
      </c>
    </row>
    <row r="3975" spans="1:1">
      <c r="A3975" t="s">
        <v>47189</v>
      </c>
    </row>
    <row r="3976" spans="1:1">
      <c r="A3976" t="s">
        <v>47190</v>
      </c>
    </row>
    <row r="3977" spans="1:1">
      <c r="A3977" t="s">
        <v>47191</v>
      </c>
    </row>
    <row r="3978" spans="1:1">
      <c r="A3978" t="e" cm="1">
        <f t="array" ref="A3978">-------------EK--SSI----TKSYTD-------------N--------------KE</f>
        <v>#NAME?</v>
      </c>
    </row>
    <row r="3979" spans="1:1">
      <c r="A3979" t="s">
        <v>47192</v>
      </c>
    </row>
    <row r="3980" spans="1:1">
      <c r="A3980" t="s">
        <v>47193</v>
      </c>
    </row>
    <row r="3981" spans="1:1">
      <c r="A3981" t="s">
        <v>47194</v>
      </c>
    </row>
    <row r="3982" spans="1:1">
      <c r="A3982" t="s">
        <v>47195</v>
      </c>
    </row>
    <row r="3983" spans="1:1">
      <c r="A3983" t="s">
        <v>47196</v>
      </c>
    </row>
    <row r="3984" spans="1:1">
      <c r="A3984" t="s">
        <v>47197</v>
      </c>
    </row>
    <row r="3985" spans="1:1">
      <c r="A3985" t="s">
        <v>47198</v>
      </c>
    </row>
    <row r="3986" spans="1:1">
      <c r="A3986" t="s">
        <v>47199</v>
      </c>
    </row>
    <row r="3987" spans="1:1">
      <c r="A3987" t="s">
        <v>47200</v>
      </c>
    </row>
    <row r="3988" spans="1:1">
      <c r="A3988" t="e" cm="1">
        <f t="array" ref="A3988">---PMA--KKSYRKWVNDVMT--------------YW-----QKNRNELRRMAKSEQEKM</f>
        <v>#NAME?</v>
      </c>
    </row>
    <row r="3989" spans="1:1">
      <c r="A3989" t="s">
        <v>47201</v>
      </c>
    </row>
    <row r="3990" spans="1:1">
      <c r="A3990" t="s">
        <v>47202</v>
      </c>
    </row>
    <row r="3991" spans="1:1">
      <c r="A3991" t="s">
        <v>47203</v>
      </c>
    </row>
    <row r="3992" spans="1:1">
      <c r="A3992" t="s">
        <v>47204</v>
      </c>
    </row>
    <row r="3993" spans="1:1">
      <c r="A3993" t="s">
        <v>47205</v>
      </c>
    </row>
    <row r="3994" spans="1:1">
      <c r="A3994" t="s">
        <v>47206</v>
      </c>
    </row>
    <row r="3995" spans="1:1">
      <c r="A3995" t="s">
        <v>47207</v>
      </c>
    </row>
    <row r="3996" spans="1:1">
      <c r="A3996" t="e" cm="1">
        <f t="array" ref="A3996">---DWKFLCERAEES---K-------------------------------------CF-D</f>
        <v>#NAME?</v>
      </c>
    </row>
    <row r="3997" spans="1:1">
      <c r="A3997" t="s">
        <v>47208</v>
      </c>
    </row>
    <row r="3998" spans="1:1">
      <c r="A3998" t="e" cm="1">
        <f t="array" ref="A3998">-----------------------------------------KKVKKSIRIASG-THELTY</f>
        <v>#NAME?</v>
      </c>
    </row>
    <row r="3999" spans="1:1">
      <c r="A3999" t="s">
        <v>47209</v>
      </c>
    </row>
    <row r="4000" spans="1:1">
      <c r="A4000" t="s">
        <v>47210</v>
      </c>
    </row>
    <row r="4001" spans="1:1">
      <c r="A4001" t="s">
        <v>47211</v>
      </c>
    </row>
    <row r="4002" spans="1:1">
      <c r="A4002" t="s">
        <v>47212</v>
      </c>
    </row>
    <row r="4003" spans="1:1">
      <c r="A4003" t="s">
        <v>47213</v>
      </c>
    </row>
    <row r="4004" spans="1:1">
      <c r="A4004" t="e" cm="1">
        <f t="array" ref="A4004">-------------------------SVADL-------FKAFSEM---------------G</f>
        <v>#NAME?</v>
      </c>
    </row>
    <row r="4005" spans="1:1">
      <c r="A4005" t="s">
        <v>47214</v>
      </c>
    </row>
    <row r="4006" spans="1:1">
      <c r="A4006" t="s">
        <v>41057</v>
      </c>
    </row>
    <row r="4007" spans="1:1">
      <c r="A4007" t="s">
        <v>45447</v>
      </c>
    </row>
    <row r="4008" spans="1:1">
      <c r="A4008" t="e" cm="1">
        <f t="array" ref="A4008">--------------YCFQDCN-----------------LV--------HHLFRKN-DVWT</f>
        <v>#NAME?</v>
      </c>
    </row>
    <row r="4009" spans="1:1">
      <c r="A4009" t="s">
        <v>47215</v>
      </c>
    </row>
    <row r="4010" spans="1:1">
      <c r="A4010" t="s">
        <v>47216</v>
      </c>
    </row>
    <row r="4011" spans="1:1">
      <c r="A4011" t="s">
        <v>41057</v>
      </c>
    </row>
    <row r="4012" spans="1:1">
      <c r="A4012" t="s">
        <v>47217</v>
      </c>
    </row>
    <row r="4013" spans="1:1">
      <c r="A4013" t="e" cm="1">
        <f t="array" ref="A4013">-----------GS-YE--------------------------------GAIC-LKPKRGF</f>
        <v>#NAME?</v>
      </c>
    </row>
    <row r="4014" spans="1:1">
      <c r="A4014" t="s">
        <v>47218</v>
      </c>
    </row>
    <row r="4015" spans="1:1">
      <c r="A4015" t="s">
        <v>41057</v>
      </c>
    </row>
    <row r="4016" spans="1:1">
      <c r="A4016" t="s">
        <v>41057</v>
      </c>
    </row>
    <row r="4017" spans="1:1">
      <c r="A4017" t="s">
        <v>41057</v>
      </c>
    </row>
    <row r="4018" spans="1:1">
      <c r="A4018" t="s">
        <v>41057</v>
      </c>
    </row>
    <row r="4019" spans="1:1">
      <c r="A4019" t="s">
        <v>41057</v>
      </c>
    </row>
    <row r="4020" spans="1:1">
      <c r="A4020" t="s">
        <v>41057</v>
      </c>
    </row>
    <row r="4021" spans="1:1">
      <c r="A4021" t="s">
        <v>41057</v>
      </c>
    </row>
    <row r="4022" spans="1:1">
      <c r="A4022" t="s">
        <v>41057</v>
      </c>
    </row>
    <row r="4023" spans="1:1">
      <c r="A4023" t="e" cm="1">
        <f t="array" ref="A4023">-ASLY-------------------PSSMISENISHDSKVWTVEY----------DLEGNE</f>
        <v>#NAME?</v>
      </c>
    </row>
    <row r="4024" spans="1:1">
      <c r="A4024" t="s">
        <v>47219</v>
      </c>
    </row>
    <row r="4025" spans="1:1">
      <c r="A4025" t="e" cm="1">
        <f t="array" ref="A4025">---------------IEY----------------------------------------DR</f>
        <v>#NAME?</v>
      </c>
    </row>
    <row r="4026" spans="1:1">
      <c r="A4026" t="s">
        <v>47220</v>
      </c>
    </row>
    <row r="4027" spans="1:1">
      <c r="A4027" t="s">
        <v>41057</v>
      </c>
    </row>
    <row r="4028" spans="1:1">
      <c r="A4028" t="s">
        <v>47221</v>
      </c>
    </row>
    <row r="4029" spans="1:1">
      <c r="A4029" t="s">
        <v>41057</v>
      </c>
    </row>
    <row r="4030" spans="1:1">
      <c r="A4030" t="s">
        <v>47222</v>
      </c>
    </row>
    <row r="4031" spans="1:1">
      <c r="A4031" t="s">
        <v>47223</v>
      </c>
    </row>
    <row r="4032" spans="1:1">
      <c r="A4032" t="s">
        <v>47224</v>
      </c>
    </row>
    <row r="4033" spans="1:1">
      <c r="A4033" t="e" cm="1">
        <f t="array" ref="A4033">---VRLE-----------------------------------------------NEKLKK</f>
        <v>#NAME?</v>
      </c>
    </row>
    <row r="4034" spans="1:1">
      <c r="A4034" t="s">
        <v>47225</v>
      </c>
    </row>
    <row r="4035" spans="1:1">
      <c r="A4035" t="s">
        <v>47226</v>
      </c>
    </row>
    <row r="4036" spans="1:1">
      <c r="A4036" t="s">
        <v>41057</v>
      </c>
    </row>
    <row r="4037" spans="1:1">
      <c r="A4037" t="s">
        <v>41057</v>
      </c>
    </row>
    <row r="4038" spans="1:1">
      <c r="A4038" t="s">
        <v>41057</v>
      </c>
    </row>
    <row r="4039" spans="1:1">
      <c r="A4039" t="s">
        <v>41057</v>
      </c>
    </row>
    <row r="4040" spans="1:1">
      <c r="A4040" t="s">
        <v>41057</v>
      </c>
    </row>
    <row r="4041" spans="1:1">
      <c r="A4041" t="s">
        <v>41057</v>
      </c>
    </row>
    <row r="4042" spans="1:1">
      <c r="A4042" t="s">
        <v>41057</v>
      </c>
    </row>
    <row r="4043" spans="1:1">
      <c r="A4043" t="s">
        <v>41057</v>
      </c>
    </row>
    <row r="4044" spans="1:1">
      <c r="A4044" t="s">
        <v>41057</v>
      </c>
    </row>
    <row r="4045" spans="1:1">
      <c r="A4045" t="s">
        <v>47227</v>
      </c>
    </row>
    <row r="4046" spans="1:1">
      <c r="A4046" t="s">
        <v>41057</v>
      </c>
    </row>
    <row r="4047" spans="1:1">
      <c r="A4047" t="s">
        <v>41057</v>
      </c>
    </row>
    <row r="4048" spans="1:1">
      <c r="A4048" t="s">
        <v>41057</v>
      </c>
    </row>
    <row r="4049" spans="1:1">
      <c r="A4049" t="s">
        <v>41057</v>
      </c>
    </row>
    <row r="4050" spans="1:1">
      <c r="A4050" t="s">
        <v>41057</v>
      </c>
    </row>
    <row r="4051" spans="1:1">
      <c r="A4051" t="s">
        <v>47228</v>
      </c>
    </row>
    <row r="4052" spans="1:1">
      <c r="A4052" t="s">
        <v>47229</v>
      </c>
    </row>
    <row r="4053" spans="1:1">
      <c r="A4053" t="s">
        <v>41057</v>
      </c>
    </row>
    <row r="4054" spans="1:1">
      <c r="A4054" t="s">
        <v>41057</v>
      </c>
    </row>
    <row r="4055" spans="1:1">
      <c r="A4055" t="s">
        <v>47230</v>
      </c>
    </row>
    <row r="4056" spans="1:1">
      <c r="A4056" t="s">
        <v>47231</v>
      </c>
    </row>
    <row r="4057" spans="1:1">
      <c r="A4057" t="s">
        <v>41057</v>
      </c>
    </row>
    <row r="4058" spans="1:1">
      <c r="A4058" t="s">
        <v>41057</v>
      </c>
    </row>
    <row r="4059" spans="1:1">
      <c r="A4059" t="s">
        <v>41057</v>
      </c>
    </row>
    <row r="4060" spans="1:1">
      <c r="A4060" t="s">
        <v>41057</v>
      </c>
    </row>
    <row r="4061" spans="1:1">
      <c r="A4061" t="s">
        <v>41057</v>
      </c>
    </row>
    <row r="4062" spans="1:1">
      <c r="A4062" t="s">
        <v>41057</v>
      </c>
    </row>
    <row r="4063" spans="1:1">
      <c r="A4063" t="s">
        <v>41057</v>
      </c>
    </row>
    <row r="4064" spans="1:1">
      <c r="A4064" t="s">
        <v>41057</v>
      </c>
    </row>
    <row r="4065" spans="1:1">
      <c r="A4065" t="s">
        <v>41057</v>
      </c>
    </row>
    <row r="4066" spans="1:1">
      <c r="A4066" t="s">
        <v>41057</v>
      </c>
    </row>
    <row r="4067" spans="1:1">
      <c r="A4067" t="s">
        <v>41057</v>
      </c>
    </row>
    <row r="4068" spans="1:1">
      <c r="A4068" t="e" cm="1">
        <f t="array" ref="A4068">-----------------------------------------------TDSV--------F</f>
        <v>#NAME?</v>
      </c>
    </row>
    <row r="4069" spans="1:1">
      <c r="A4069" t="s">
        <v>46138</v>
      </c>
    </row>
    <row r="4070" spans="1:1">
      <c r="A4070" t="s">
        <v>47232</v>
      </c>
    </row>
    <row r="4071" spans="1:1">
      <c r="A4071" t="e" cm="1">
        <f t="array" ref="A4071">---TPIIGKKG----------------------------LEL----TIE----------L</f>
        <v>#NAME?</v>
      </c>
    </row>
    <row r="4072" spans="1:1">
      <c r="A4072" t="s">
        <v>47233</v>
      </c>
    </row>
    <row r="4073" spans="1:1">
      <c r="A4073" t="e" cm="1">
        <f t="array" ref="A4073">--------PH------DLEYEK-TFFPFLL----------L-SKKRYV-----------G</f>
        <v>#NAME?</v>
      </c>
    </row>
    <row r="4074" spans="1:1">
      <c r="A4074" t="s">
        <v>47234</v>
      </c>
    </row>
    <row r="4075" spans="1:1">
      <c r="A4075" t="s">
        <v>47235</v>
      </c>
    </row>
    <row r="4076" spans="1:1">
      <c r="A4076" t="s">
        <v>47236</v>
      </c>
    </row>
    <row r="4077" spans="1:1">
      <c r="A4077" t="s">
        <v>47237</v>
      </c>
    </row>
    <row r="4078" spans="1:1">
      <c r="A4078" t="s">
        <v>47238</v>
      </c>
    </row>
    <row r="4079" spans="1:1">
      <c r="A4079" t="s">
        <v>47239</v>
      </c>
    </row>
    <row r="4080" spans="1:1">
      <c r="A4080" t="s">
        <v>47240</v>
      </c>
    </row>
    <row r="4081" spans="1:1">
      <c r="A4081" t="s">
        <v>47241</v>
      </c>
    </row>
    <row r="4082" spans="1:1">
      <c r="A4082" t="s">
        <v>47242</v>
      </c>
    </row>
    <row r="4083" spans="1:1">
      <c r="A4083" t="s">
        <v>47243</v>
      </c>
    </row>
    <row r="4084" spans="1:1">
      <c r="A4084" t="s">
        <v>47244</v>
      </c>
    </row>
    <row r="4085" spans="1:1">
      <c r="A4085" t="s">
        <v>41057</v>
      </c>
    </row>
    <row r="4086" spans="1:1">
      <c r="A4086" t="s">
        <v>47245</v>
      </c>
    </row>
    <row r="4087" spans="1:1">
      <c r="A4087" t="s">
        <v>47246</v>
      </c>
    </row>
    <row r="4088" spans="1:1">
      <c r="A4088" t="s">
        <v>47247</v>
      </c>
    </row>
    <row r="4089" spans="1:1">
      <c r="A4089" t="s">
        <v>47248</v>
      </c>
    </row>
    <row r="4090" spans="1:1">
      <c r="A4090" t="s">
        <v>47249</v>
      </c>
    </row>
    <row r="4091" spans="1:1">
      <c r="A4091" t="s">
        <v>47250</v>
      </c>
    </row>
    <row r="4092" spans="1:1">
      <c r="A4092" t="s">
        <v>46082</v>
      </c>
    </row>
    <row r="4093" spans="1:1">
      <c r="A4093" t="s">
        <v>41057</v>
      </c>
    </row>
    <row r="4094" spans="1:1">
      <c r="A4094" t="s">
        <v>41057</v>
      </c>
    </row>
    <row r="4095" spans="1:1">
      <c r="A4095" t="s">
        <v>41057</v>
      </c>
    </row>
    <row r="4096" spans="1:1">
      <c r="A4096" t="s">
        <v>45870</v>
      </c>
    </row>
    <row r="4097" spans="1:1">
      <c r="A4097" t="s">
        <v>43825</v>
      </c>
    </row>
    <row r="4098" spans="1:1">
      <c r="A4098" t="s">
        <v>41057</v>
      </c>
    </row>
    <row r="4099" spans="1:1">
      <c r="A4099" t="s">
        <v>41057</v>
      </c>
    </row>
    <row r="4100" spans="1:1">
      <c r="A4100" t="s">
        <v>41057</v>
      </c>
    </row>
    <row r="4101" spans="1:1">
      <c r="A4101" t="s">
        <v>41057</v>
      </c>
    </row>
    <row r="4102" spans="1:1">
      <c r="A4102" t="s">
        <v>47251</v>
      </c>
    </row>
    <row r="4103" spans="1:1">
      <c r="A4103" t="s">
        <v>47252</v>
      </c>
    </row>
    <row r="4104" spans="1:1">
      <c r="A4104" t="s">
        <v>47253</v>
      </c>
    </row>
    <row r="4105" spans="1:1">
      <c r="A4105" t="s">
        <v>47254</v>
      </c>
    </row>
    <row r="4106" spans="1:1">
      <c r="A4106" t="e" cm="1">
        <f t="array" ref="A4106">------------------SE----MKD--------------------------------E</f>
        <v>#NAME?</v>
      </c>
    </row>
    <row r="4107" spans="1:1">
      <c r="A4107" t="s">
        <v>47255</v>
      </c>
    </row>
    <row r="4108" spans="1:1">
      <c r="A4108" t="s">
        <v>47256</v>
      </c>
    </row>
    <row r="4109" spans="1:1">
      <c r="A4109" t="s">
        <v>47257</v>
      </c>
    </row>
    <row r="4110" spans="1:1">
      <c r="A4110" t="s">
        <v>47258</v>
      </c>
    </row>
    <row r="4111" spans="1:1">
      <c r="A4111" t="s">
        <v>47259</v>
      </c>
    </row>
    <row r="4112" spans="1:1">
      <c r="A4112" t="s">
        <v>47260</v>
      </c>
    </row>
    <row r="4113" spans="1:1">
      <c r="A4113" t="s">
        <v>47261</v>
      </c>
    </row>
    <row r="4114" spans="1:1">
      <c r="A4114" t="s">
        <v>47262</v>
      </c>
    </row>
    <row r="4115" spans="1:1">
      <c r="A4115" t="s">
        <v>47263</v>
      </c>
    </row>
    <row r="4116" spans="1:1">
      <c r="A4116" t="e" cm="1">
        <f t="array" ref="A4116">---PEA--SKDYKKVAYDMVY--------------F----LEDVPKDDY--------AYL</f>
        <v>#NAME?</v>
      </c>
    </row>
    <row r="4117" spans="1:1">
      <c r="A4117" t="s">
        <v>47264</v>
      </c>
    </row>
    <row r="4118" spans="1:1">
      <c r="A4118" t="e" cm="1">
        <f t="array" ref="A4118">-------KKISTTKETEYKLKKY--------FCN--------DDEEN-----IQVRKVKQ</f>
        <v>#NAME?</v>
      </c>
    </row>
    <row r="4119" spans="1:1">
      <c r="A4119" t="s">
        <v>47265</v>
      </c>
    </row>
    <row r="4120" spans="1:1">
      <c r="A4120" t="s">
        <v>47266</v>
      </c>
    </row>
    <row r="4121" spans="1:1">
      <c r="A4121" t="s">
        <v>47267</v>
      </c>
    </row>
    <row r="4122" spans="1:1">
      <c r="A4122" t="s">
        <v>45438</v>
      </c>
    </row>
    <row r="4123" spans="1:1">
      <c r="A4123" t="s">
        <v>47268</v>
      </c>
    </row>
    <row r="4124" spans="1:1">
      <c r="A4124" t="e" cm="1">
        <f t="array" ref="A4124">---DYPFMFERANQT---N-------------------------------------CM-V</f>
        <v>#NAME?</v>
      </c>
    </row>
    <row r="4125" spans="1:1">
      <c r="A4125" t="s">
        <v>47269</v>
      </c>
    </row>
    <row r="4126" spans="1:1">
      <c r="A4126" t="e" cm="1">
        <f t="array" ref="A4126">---------------------------------------SQELIETSIVLASG-PFELKL</f>
        <v>#NAME?</v>
      </c>
    </row>
    <row r="4127" spans="1:1">
      <c r="A4127" t="s">
        <v>47270</v>
      </c>
    </row>
    <row r="4128" spans="1:1">
      <c r="A4128" t="s">
        <v>47271</v>
      </c>
    </row>
    <row r="4129" spans="1:1">
      <c r="A4129" t="s">
        <v>47272</v>
      </c>
    </row>
    <row r="4130" spans="1:1">
      <c r="A4130" t="s">
        <v>47273</v>
      </c>
    </row>
    <row r="4131" spans="1:1">
      <c r="A4131" t="s">
        <v>47274</v>
      </c>
    </row>
    <row r="4132" spans="1:1">
      <c r="A4132" t="s">
        <v>47275</v>
      </c>
    </row>
    <row r="4133" spans="1:1">
      <c r="A4133" t="s">
        <v>47276</v>
      </c>
    </row>
    <row r="4134" spans="1:1">
      <c r="A4134" t="s">
        <v>41057</v>
      </c>
    </row>
    <row r="4135" spans="1:1">
      <c r="A4135" t="s">
        <v>45447</v>
      </c>
    </row>
    <row r="4136" spans="1:1">
      <c r="A4136" t="e" cm="1">
        <f t="array" ref="A4136">--------------YCIQDCN-----------------LV--------HQIFQKI-DVMT</f>
        <v>#NAME?</v>
      </c>
    </row>
    <row r="4137" spans="1:1">
      <c r="A4137" t="s">
        <v>47277</v>
      </c>
    </row>
    <row r="4138" spans="1:1">
      <c r="A4138" t="s">
        <v>47278</v>
      </c>
    </row>
    <row r="4139" spans="1:1">
      <c r="A4139" t="s">
        <v>41057</v>
      </c>
    </row>
    <row r="4140" spans="1:1">
      <c r="A4140" t="s">
        <v>47279</v>
      </c>
    </row>
    <row r="4141" spans="1:1">
      <c r="A4141" t="e" cm="1">
        <f t="array" ref="A4141">-----------DA-YE--------------------------------GAIV-LEPKCGL</f>
        <v>#NAME?</v>
      </c>
    </row>
    <row r="4142" spans="1:1">
      <c r="A4142" t="s">
        <v>47280</v>
      </c>
    </row>
    <row r="4143" spans="1:1">
      <c r="A4143" t="s">
        <v>41057</v>
      </c>
    </row>
    <row r="4144" spans="1:1">
      <c r="A4144" t="s">
        <v>41057</v>
      </c>
    </row>
    <row r="4145" spans="1:1">
      <c r="A4145" t="s">
        <v>41057</v>
      </c>
    </row>
    <row r="4146" spans="1:1">
      <c r="A4146" t="s">
        <v>41057</v>
      </c>
    </row>
    <row r="4147" spans="1:1">
      <c r="A4147" t="s">
        <v>41057</v>
      </c>
    </row>
    <row r="4148" spans="1:1">
      <c r="A4148" t="s">
        <v>41057</v>
      </c>
    </row>
    <row r="4149" spans="1:1">
      <c r="A4149" t="s">
        <v>41057</v>
      </c>
    </row>
    <row r="4150" spans="1:1">
      <c r="A4150" t="s">
        <v>41057</v>
      </c>
    </row>
    <row r="4151" spans="1:1">
      <c r="A4151" t="e" cm="1">
        <f t="array" ref="A4151">-SSLY-------------------PSSIISENISHDSKVWTKEF----------NLDHTI</f>
        <v>#NAME?</v>
      </c>
    </row>
    <row r="4152" spans="1:1">
      <c r="A4152" t="s">
        <v>47281</v>
      </c>
    </row>
    <row r="4153" spans="1:1">
      <c r="A4153" t="e" cm="1">
        <f t="array" ref="A4153">---------------ITY----------------------------------------DT</f>
        <v>#NAME?</v>
      </c>
    </row>
    <row r="4154" spans="1:1">
      <c r="A4154" t="s">
        <v>47282</v>
      </c>
    </row>
    <row r="4155" spans="1:1">
      <c r="A4155" t="s">
        <v>41057</v>
      </c>
    </row>
    <row r="4156" spans="1:1">
      <c r="A4156" t="s">
        <v>47283</v>
      </c>
    </row>
    <row r="4157" spans="1:1">
      <c r="A4157" t="s">
        <v>41057</v>
      </c>
    </row>
    <row r="4158" spans="1:1">
      <c r="A4158" t="s">
        <v>47284</v>
      </c>
    </row>
    <row r="4159" spans="1:1">
      <c r="A4159" t="s">
        <v>47285</v>
      </c>
    </row>
    <row r="4160" spans="1:1">
      <c r="A4160" t="s">
        <v>47286</v>
      </c>
    </row>
    <row r="4161" spans="1:1">
      <c r="A4161" t="s">
        <v>47287</v>
      </c>
    </row>
    <row r="4162" spans="1:1">
      <c r="A4162" t="s">
        <v>47288</v>
      </c>
    </row>
    <row r="4163" spans="1:1">
      <c r="A4163" t="s">
        <v>47159</v>
      </c>
    </row>
    <row r="4164" spans="1:1">
      <c r="A4164" t="s">
        <v>41057</v>
      </c>
    </row>
    <row r="4165" spans="1:1">
      <c r="A4165" t="s">
        <v>41057</v>
      </c>
    </row>
    <row r="4166" spans="1:1">
      <c r="A4166" t="s">
        <v>41057</v>
      </c>
    </row>
    <row r="4167" spans="1:1">
      <c r="A4167" t="s">
        <v>41057</v>
      </c>
    </row>
    <row r="4168" spans="1:1">
      <c r="A4168" t="s">
        <v>41057</v>
      </c>
    </row>
    <row r="4169" spans="1:1">
      <c r="A4169" t="s">
        <v>41057</v>
      </c>
    </row>
    <row r="4170" spans="1:1">
      <c r="A4170" t="s">
        <v>41057</v>
      </c>
    </row>
    <row r="4171" spans="1:1">
      <c r="A4171" t="s">
        <v>41057</v>
      </c>
    </row>
    <row r="4172" spans="1:1">
      <c r="A4172" t="s">
        <v>41057</v>
      </c>
    </row>
    <row r="4173" spans="1:1">
      <c r="A4173" t="s">
        <v>45914</v>
      </c>
    </row>
    <row r="4174" spans="1:1">
      <c r="A4174" t="s">
        <v>41057</v>
      </c>
    </row>
    <row r="4175" spans="1:1">
      <c r="A4175" t="s">
        <v>41057</v>
      </c>
    </row>
    <row r="4176" spans="1:1">
      <c r="A4176" t="s">
        <v>41057</v>
      </c>
    </row>
    <row r="4177" spans="1:1">
      <c r="A4177" t="s">
        <v>41057</v>
      </c>
    </row>
    <row r="4178" spans="1:1">
      <c r="A4178" t="s">
        <v>41057</v>
      </c>
    </row>
    <row r="4179" spans="1:1">
      <c r="A4179" t="s">
        <v>47289</v>
      </c>
    </row>
    <row r="4180" spans="1:1">
      <c r="A4180" t="s">
        <v>47290</v>
      </c>
    </row>
    <row r="4181" spans="1:1">
      <c r="A4181" t="s">
        <v>41057</v>
      </c>
    </row>
    <row r="4182" spans="1:1">
      <c r="A4182" t="s">
        <v>41057</v>
      </c>
    </row>
    <row r="4183" spans="1:1">
      <c r="A4183" t="s">
        <v>47291</v>
      </c>
    </row>
    <row r="4184" spans="1:1">
      <c r="A4184" t="s">
        <v>47292</v>
      </c>
    </row>
    <row r="4185" spans="1:1">
      <c r="A4185" t="s">
        <v>41057</v>
      </c>
    </row>
    <row r="4186" spans="1:1">
      <c r="A4186" t="s">
        <v>41057</v>
      </c>
    </row>
    <row r="4187" spans="1:1">
      <c r="A4187" t="s">
        <v>41057</v>
      </c>
    </row>
    <row r="4188" spans="1:1">
      <c r="A4188" t="s">
        <v>41057</v>
      </c>
    </row>
    <row r="4189" spans="1:1">
      <c r="A4189" t="s">
        <v>41057</v>
      </c>
    </row>
    <row r="4190" spans="1:1">
      <c r="A4190" t="s">
        <v>41057</v>
      </c>
    </row>
    <row r="4191" spans="1:1">
      <c r="A4191" t="s">
        <v>41057</v>
      </c>
    </row>
    <row r="4192" spans="1:1">
      <c r="A4192" t="s">
        <v>41057</v>
      </c>
    </row>
    <row r="4193" spans="1:1">
      <c r="A4193" t="s">
        <v>41057</v>
      </c>
    </row>
    <row r="4194" spans="1:1">
      <c r="A4194" t="s">
        <v>41057</v>
      </c>
    </row>
    <row r="4195" spans="1:1">
      <c r="A4195" t="s">
        <v>41057</v>
      </c>
    </row>
    <row r="4196" spans="1:1">
      <c r="A4196" t="e" cm="1">
        <f t="array" ref="A4196">-----------------------------------------------TDSV--------F</f>
        <v>#NAME?</v>
      </c>
    </row>
    <row r="4197" spans="1:1">
      <c r="A4197" t="s">
        <v>46138</v>
      </c>
    </row>
    <row r="4198" spans="1:1">
      <c r="A4198" t="s">
        <v>47293</v>
      </c>
    </row>
    <row r="4199" spans="1:1">
      <c r="A4199" t="e" cm="1">
        <f t="array" ref="A4199">---VKIKDKQA----------------------------LEM----TIE----------L</f>
        <v>#NAME?</v>
      </c>
    </row>
    <row r="4200" spans="1:1">
      <c r="A4200" t="s">
        <v>47294</v>
      </c>
    </row>
    <row r="4201" spans="1:1">
      <c r="A4201" t="e" cm="1">
        <f t="array" ref="A4201">--------PH------DLEYEK-TFMPFCL----------L-SKKRYV-----------G</f>
        <v>#NAME?</v>
      </c>
    </row>
    <row r="4202" spans="1:1">
      <c r="A4202" t="s">
        <v>47295</v>
      </c>
    </row>
    <row r="4203" spans="1:1">
      <c r="A4203" t="s">
        <v>47296</v>
      </c>
    </row>
    <row r="4204" spans="1:1">
      <c r="A4204" t="s">
        <v>47297</v>
      </c>
    </row>
    <row r="4205" spans="1:1">
      <c r="A4205" t="s">
        <v>47298</v>
      </c>
    </row>
    <row r="4206" spans="1:1">
      <c r="A4206" t="s">
        <v>47299</v>
      </c>
    </row>
    <row r="4207" spans="1:1">
      <c r="A4207" t="s">
        <v>47300</v>
      </c>
    </row>
    <row r="4208" spans="1:1">
      <c r="A4208" t="s">
        <v>47301</v>
      </c>
    </row>
    <row r="4209" spans="1:1">
      <c r="A4209" t="s">
        <v>47302</v>
      </c>
    </row>
    <row r="4210" spans="1:1">
      <c r="A4210" t="s">
        <v>47303</v>
      </c>
    </row>
    <row r="4211" spans="1:1">
      <c r="A4211" t="s">
        <v>47304</v>
      </c>
    </row>
    <row r="4212" spans="1:1">
      <c r="A4212" t="s">
        <v>47305</v>
      </c>
    </row>
    <row r="4213" spans="1:1">
      <c r="A4213" t="s">
        <v>41057</v>
      </c>
    </row>
    <row r="4214" spans="1:1">
      <c r="A4214" t="s">
        <v>47306</v>
      </c>
    </row>
    <row r="4215" spans="1:1">
      <c r="A4215" t="s">
        <v>47307</v>
      </c>
    </row>
    <row r="4216" spans="1:1">
      <c r="A4216" t="s">
        <v>47308</v>
      </c>
    </row>
    <row r="4217" spans="1:1">
      <c r="A4217" t="s">
        <v>41057</v>
      </c>
    </row>
    <row r="4218" spans="1:1">
      <c r="A4218" t="s">
        <v>41057</v>
      </c>
    </row>
    <row r="4219" spans="1:1">
      <c r="A4219" t="s">
        <v>41057</v>
      </c>
    </row>
    <row r="4220" spans="1:1">
      <c r="A4220" t="s">
        <v>41057</v>
      </c>
    </row>
    <row r="4221" spans="1:1">
      <c r="A4221" t="s">
        <v>41057</v>
      </c>
    </row>
    <row r="4222" spans="1:1">
      <c r="A4222" t="s">
        <v>41057</v>
      </c>
    </row>
    <row r="4223" spans="1:1">
      <c r="A4223" t="s">
        <v>41057</v>
      </c>
    </row>
    <row r="4224" spans="1:1">
      <c r="A4224" t="s">
        <v>45870</v>
      </c>
    </row>
    <row r="4225" spans="1:1">
      <c r="A4225" t="s">
        <v>44014</v>
      </c>
    </row>
    <row r="4226" spans="1:1">
      <c r="A4226" t="s">
        <v>41057</v>
      </c>
    </row>
    <row r="4227" spans="1:1">
      <c r="A4227" t="s">
        <v>41057</v>
      </c>
    </row>
    <row r="4228" spans="1:1">
      <c r="A4228" t="s">
        <v>41057</v>
      </c>
    </row>
    <row r="4229" spans="1:1">
      <c r="A4229" t="s">
        <v>41057</v>
      </c>
    </row>
    <row r="4230" spans="1:1">
      <c r="A4230" t="s">
        <v>41057</v>
      </c>
    </row>
    <row r="4231" spans="1:1">
      <c r="A4231" t="s">
        <v>41057</v>
      </c>
    </row>
    <row r="4232" spans="1:1">
      <c r="A4232" t="s">
        <v>41057</v>
      </c>
    </row>
    <row r="4233" spans="1:1">
      <c r="A4233" t="s">
        <v>41057</v>
      </c>
    </row>
    <row r="4234" spans="1:1">
      <c r="A4234" t="s">
        <v>41057</v>
      </c>
    </row>
    <row r="4235" spans="1:1">
      <c r="A4235" t="s">
        <v>47309</v>
      </c>
    </row>
    <row r="4236" spans="1:1">
      <c r="A4236" t="s">
        <v>47310</v>
      </c>
    </row>
    <row r="4237" spans="1:1">
      <c r="A4237" t="s">
        <v>47311</v>
      </c>
    </row>
    <row r="4238" spans="1:1">
      <c r="A4238" t="s">
        <v>47312</v>
      </c>
    </row>
    <row r="4239" spans="1:1">
      <c r="A4239" t="s">
        <v>47313</v>
      </c>
    </row>
    <row r="4240" spans="1:1">
      <c r="A4240" t="s">
        <v>47314</v>
      </c>
    </row>
    <row r="4241" spans="1:1">
      <c r="A4241" t="s">
        <v>47315</v>
      </c>
    </row>
    <row r="4242" spans="1:1">
      <c r="A4242" t="s">
        <v>47316</v>
      </c>
    </row>
    <row r="4243" spans="1:1">
      <c r="A4243" t="s">
        <v>47317</v>
      </c>
    </row>
    <row r="4244" spans="1:1">
      <c r="A4244" t="e" cm="1">
        <f t="array" ref="A4244">---PEA--AKDYKKVAYDIVY--------------Y----LEHQNVQDY--------DYI</f>
        <v>#NAME?</v>
      </c>
    </row>
    <row r="4245" spans="1:1">
      <c r="A4245" t="s">
        <v>47318</v>
      </c>
    </row>
    <row r="4246" spans="1:1">
      <c r="A4246" t="e" cm="1">
        <f t="array" ref="A4246">-------RKIATNYVVANKLKEI--------FSK--------DDEDDEESSYVKLKKINM</f>
        <v>#NAME?</v>
      </c>
    </row>
    <row r="4247" spans="1:1">
      <c r="A4247" t="s">
        <v>47319</v>
      </c>
    </row>
    <row r="4248" spans="1:1">
      <c r="A4248" t="s">
        <v>47320</v>
      </c>
    </row>
    <row r="4249" spans="1:1">
      <c r="A4249" t="s">
        <v>47321</v>
      </c>
    </row>
    <row r="4250" spans="1:1">
      <c r="A4250" t="s">
        <v>45438</v>
      </c>
    </row>
    <row r="4251" spans="1:1">
      <c r="A4251" t="s">
        <v>47322</v>
      </c>
    </row>
    <row r="4252" spans="1:1">
      <c r="A4252" t="e" cm="1">
        <f t="array" ref="A4252">---DYPFMYERANQL---N-------------------------------------CM-D</f>
        <v>#NAME?</v>
      </c>
    </row>
    <row r="4253" spans="1:1">
      <c r="A4253" t="s">
        <v>47323</v>
      </c>
    </row>
    <row r="4254" spans="1:1">
      <c r="A4254" t="e" cm="1">
        <f t="array" ref="A4254">---------------------------------------STKLFETSIVLASG-PYDLKM</f>
        <v>#NAME?</v>
      </c>
    </row>
    <row r="4255" spans="1:1">
      <c r="A4255" t="s">
        <v>47324</v>
      </c>
    </row>
    <row r="4256" spans="1:1">
      <c r="A4256" t="s">
        <v>47325</v>
      </c>
    </row>
    <row r="4257" spans="1:1">
      <c r="A4257" t="s">
        <v>47326</v>
      </c>
    </row>
    <row r="4258" spans="1:1">
      <c r="A4258" t="s">
        <v>47327</v>
      </c>
    </row>
    <row r="4259" spans="1:1">
      <c r="A4259" t="s">
        <v>47328</v>
      </c>
    </row>
    <row r="4260" spans="1:1">
      <c r="A4260" t="s">
        <v>47329</v>
      </c>
    </row>
    <row r="4261" spans="1:1">
      <c r="A4261" t="s">
        <v>47330</v>
      </c>
    </row>
    <row r="4262" spans="1:1">
      <c r="A4262" t="s">
        <v>41057</v>
      </c>
    </row>
    <row r="4263" spans="1:1">
      <c r="A4263" t="s">
        <v>45447</v>
      </c>
    </row>
    <row r="4264" spans="1:1">
      <c r="A4264" t="e" cm="1">
        <f t="array" ref="A4264">--------------YCIQDCN-----------------LV--------HQIFQKV-DVLT</f>
        <v>#NAME?</v>
      </c>
    </row>
    <row r="4265" spans="1:1">
      <c r="A4265" t="s">
        <v>47331</v>
      </c>
    </row>
    <row r="4266" spans="1:1">
      <c r="A4266" t="s">
        <v>47278</v>
      </c>
    </row>
    <row r="4267" spans="1:1">
      <c r="A4267" t="s">
        <v>41057</v>
      </c>
    </row>
    <row r="4268" spans="1:1">
      <c r="A4268" t="s">
        <v>47332</v>
      </c>
    </row>
    <row r="4269" spans="1:1">
      <c r="A4269" t="e" cm="1">
        <f t="array" ref="A4269">-----------DA-YE--------------------------------GAIV-LEPKCGL</f>
        <v>#NAME?</v>
      </c>
    </row>
    <row r="4270" spans="1:1">
      <c r="A4270" t="s">
        <v>47333</v>
      </c>
    </row>
    <row r="4271" spans="1:1">
      <c r="A4271" t="s">
        <v>41057</v>
      </c>
    </row>
    <row r="4272" spans="1:1">
      <c r="A4272" t="s">
        <v>41057</v>
      </c>
    </row>
    <row r="4273" spans="1:1">
      <c r="A4273" t="s">
        <v>41057</v>
      </c>
    </row>
    <row r="4274" spans="1:1">
      <c r="A4274" t="s">
        <v>41057</v>
      </c>
    </row>
    <row r="4275" spans="1:1">
      <c r="A4275" t="s">
        <v>41057</v>
      </c>
    </row>
    <row r="4276" spans="1:1">
      <c r="A4276" t="s">
        <v>41057</v>
      </c>
    </row>
    <row r="4277" spans="1:1">
      <c r="A4277" t="s">
        <v>41057</v>
      </c>
    </row>
    <row r="4278" spans="1:1">
      <c r="A4278" t="s">
        <v>41057</v>
      </c>
    </row>
    <row r="4279" spans="1:1">
      <c r="A4279" t="e" cm="1">
        <f t="array" ref="A4279">-SSLY-------------------PSSIISENISHDSKVWTKEF----------DLNDHI</f>
        <v>#NAME?</v>
      </c>
    </row>
    <row r="4280" spans="1:1">
      <c r="A4280" t="s">
        <v>47334</v>
      </c>
    </row>
    <row r="4281" spans="1:1">
      <c r="A4281" t="e" cm="1">
        <f t="array" ref="A4281">---------------IQY----------------------------------------DT</f>
        <v>#NAME?</v>
      </c>
    </row>
    <row r="4282" spans="1:1">
      <c r="A4282" t="s">
        <v>47335</v>
      </c>
    </row>
    <row r="4283" spans="1:1">
      <c r="A4283" t="s">
        <v>41057</v>
      </c>
    </row>
    <row r="4284" spans="1:1">
      <c r="A4284" t="s">
        <v>47336</v>
      </c>
    </row>
    <row r="4285" spans="1:1">
      <c r="A4285" t="s">
        <v>41057</v>
      </c>
    </row>
    <row r="4286" spans="1:1">
      <c r="A4286" t="s">
        <v>47284</v>
      </c>
    </row>
    <row r="4287" spans="1:1">
      <c r="A4287" t="s">
        <v>47337</v>
      </c>
    </row>
    <row r="4288" spans="1:1">
      <c r="A4288" t="s">
        <v>47338</v>
      </c>
    </row>
    <row r="4289" spans="1:1">
      <c r="A4289" t="s">
        <v>47339</v>
      </c>
    </row>
    <row r="4290" spans="1:1">
      <c r="A4290" t="s">
        <v>47340</v>
      </c>
    </row>
    <row r="4291" spans="1:1">
      <c r="A4291" t="s">
        <v>47159</v>
      </c>
    </row>
    <row r="4292" spans="1:1">
      <c r="A4292" t="s">
        <v>41057</v>
      </c>
    </row>
    <row r="4293" spans="1:1">
      <c r="A4293" t="s">
        <v>41057</v>
      </c>
    </row>
    <row r="4294" spans="1:1">
      <c r="A4294" t="s">
        <v>41057</v>
      </c>
    </row>
    <row r="4295" spans="1:1">
      <c r="A4295" t="s">
        <v>41057</v>
      </c>
    </row>
    <row r="4296" spans="1:1">
      <c r="A4296" t="s">
        <v>41057</v>
      </c>
    </row>
    <row r="4297" spans="1:1">
      <c r="A4297" t="s">
        <v>41057</v>
      </c>
    </row>
    <row r="4298" spans="1:1">
      <c r="A4298" t="s">
        <v>41057</v>
      </c>
    </row>
    <row r="4299" spans="1:1">
      <c r="A4299" t="s">
        <v>41057</v>
      </c>
    </row>
    <row r="4300" spans="1:1">
      <c r="A4300" t="s">
        <v>41057</v>
      </c>
    </row>
    <row r="4301" spans="1:1">
      <c r="A4301" t="s">
        <v>45914</v>
      </c>
    </row>
    <row r="4302" spans="1:1">
      <c r="A4302" t="s">
        <v>41057</v>
      </c>
    </row>
    <row r="4303" spans="1:1">
      <c r="A4303" t="s">
        <v>41057</v>
      </c>
    </row>
    <row r="4304" spans="1:1">
      <c r="A4304" t="s">
        <v>41057</v>
      </c>
    </row>
    <row r="4305" spans="1:1">
      <c r="A4305" t="s">
        <v>41057</v>
      </c>
    </row>
    <row r="4306" spans="1:1">
      <c r="A4306" t="s">
        <v>41057</v>
      </c>
    </row>
    <row r="4307" spans="1:1">
      <c r="A4307" t="s">
        <v>47341</v>
      </c>
    </row>
    <row r="4308" spans="1:1">
      <c r="A4308" t="s">
        <v>47342</v>
      </c>
    </row>
    <row r="4309" spans="1:1">
      <c r="A4309" t="s">
        <v>41057</v>
      </c>
    </row>
    <row r="4310" spans="1:1">
      <c r="A4310" t="s">
        <v>41057</v>
      </c>
    </row>
    <row r="4311" spans="1:1">
      <c r="A4311" t="s">
        <v>47291</v>
      </c>
    </row>
    <row r="4312" spans="1:1">
      <c r="A4312" t="s">
        <v>47343</v>
      </c>
    </row>
    <row r="4313" spans="1:1">
      <c r="A4313" t="s">
        <v>41057</v>
      </c>
    </row>
    <row r="4314" spans="1:1">
      <c r="A4314" t="s">
        <v>41057</v>
      </c>
    </row>
    <row r="4315" spans="1:1">
      <c r="A4315" t="s">
        <v>41057</v>
      </c>
    </row>
    <row r="4316" spans="1:1">
      <c r="A4316" t="s">
        <v>41057</v>
      </c>
    </row>
    <row r="4317" spans="1:1">
      <c r="A4317" t="s">
        <v>41057</v>
      </c>
    </row>
    <row r="4318" spans="1:1">
      <c r="A4318" t="s">
        <v>41057</v>
      </c>
    </row>
    <row r="4319" spans="1:1">
      <c r="A4319" t="s">
        <v>41057</v>
      </c>
    </row>
    <row r="4320" spans="1:1">
      <c r="A4320" t="s">
        <v>41057</v>
      </c>
    </row>
    <row r="4321" spans="1:1">
      <c r="A4321" t="s">
        <v>41057</v>
      </c>
    </row>
    <row r="4322" spans="1:1">
      <c r="A4322" t="s">
        <v>41057</v>
      </c>
    </row>
    <row r="4323" spans="1:1">
      <c r="A4323" t="s">
        <v>41057</v>
      </c>
    </row>
    <row r="4324" spans="1:1">
      <c r="A4324" t="e" cm="1">
        <f t="array" ref="A4324">-----------------------------------------------TDSV--------F</f>
        <v>#NAME?</v>
      </c>
    </row>
    <row r="4325" spans="1:1">
      <c r="A4325" t="s">
        <v>46138</v>
      </c>
    </row>
    <row r="4326" spans="1:1">
      <c r="A4326" t="s">
        <v>47344</v>
      </c>
    </row>
    <row r="4327" spans="1:1">
      <c r="A4327" t="e" cm="1">
        <f t="array" ref="A4327">---NTLPDKQL----------------------------LDM----TIE----------V</f>
        <v>#NAME?</v>
      </c>
    </row>
    <row r="4328" spans="1:1">
      <c r="A4328" t="s">
        <v>47345</v>
      </c>
    </row>
    <row r="4329" spans="1:1">
      <c r="A4329" t="e" cm="1">
        <f t="array" ref="A4329">--------PH------DLEYEK-TFMPFCL----------L-SKKRYV-----------G</f>
        <v>#NAME?</v>
      </c>
    </row>
    <row r="4330" spans="1:1">
      <c r="A4330" t="s">
        <v>47346</v>
      </c>
    </row>
    <row r="4331" spans="1:1">
      <c r="A4331" t="s">
        <v>47347</v>
      </c>
    </row>
    <row r="4332" spans="1:1">
      <c r="A4332" t="s">
        <v>47348</v>
      </c>
    </row>
    <row r="4333" spans="1:1">
      <c r="A4333" t="s">
        <v>47349</v>
      </c>
    </row>
    <row r="4334" spans="1:1">
      <c r="A4334" t="s">
        <v>47350</v>
      </c>
    </row>
    <row r="4335" spans="1:1">
      <c r="A4335" t="s">
        <v>47351</v>
      </c>
    </row>
    <row r="4336" spans="1:1">
      <c r="A4336" t="s">
        <v>47352</v>
      </c>
    </row>
    <row r="4337" spans="1:1">
      <c r="A4337" t="s">
        <v>47353</v>
      </c>
    </row>
    <row r="4338" spans="1:1">
      <c r="A4338" t="s">
        <v>47354</v>
      </c>
    </row>
    <row r="4339" spans="1:1">
      <c r="A4339" t="s">
        <v>47355</v>
      </c>
    </row>
    <row r="4340" spans="1:1">
      <c r="A4340" t="s">
        <v>47356</v>
      </c>
    </row>
    <row r="4341" spans="1:1">
      <c r="A4341" t="s">
        <v>41057</v>
      </c>
    </row>
    <row r="4342" spans="1:1">
      <c r="A4342" t="s">
        <v>47357</v>
      </c>
    </row>
    <row r="4343" spans="1:1">
      <c r="A4343" t="s">
        <v>47358</v>
      </c>
    </row>
    <row r="4344" spans="1:1">
      <c r="A4344" t="s">
        <v>47359</v>
      </c>
    </row>
    <row r="4345" spans="1:1">
      <c r="A4345" t="s">
        <v>47360</v>
      </c>
    </row>
    <row r="4346" spans="1:1">
      <c r="A4346" t="s">
        <v>47361</v>
      </c>
    </row>
    <row r="4347" spans="1:1">
      <c r="A4347" t="s">
        <v>47362</v>
      </c>
    </row>
    <row r="4348" spans="1:1">
      <c r="A4348" t="s">
        <v>47363</v>
      </c>
    </row>
    <row r="4349" spans="1:1">
      <c r="A4349" t="s">
        <v>41057</v>
      </c>
    </row>
    <row r="4350" spans="1:1">
      <c r="A4350" t="s">
        <v>41057</v>
      </c>
    </row>
    <row r="4351" spans="1:1">
      <c r="A4351" t="s">
        <v>41057</v>
      </c>
    </row>
    <row r="4352" spans="1:1">
      <c r="A4352" t="s">
        <v>45870</v>
      </c>
    </row>
    <row r="4353" spans="1:1">
      <c r="A4353" t="s">
        <v>45323</v>
      </c>
    </row>
    <row r="4354" spans="1:1">
      <c r="A4354" t="s">
        <v>41057</v>
      </c>
    </row>
    <row r="4355" spans="1:1">
      <c r="A4355" t="s">
        <v>41057</v>
      </c>
    </row>
    <row r="4356" spans="1:1">
      <c r="A4356" t="s">
        <v>41057</v>
      </c>
    </row>
    <row r="4357" spans="1:1">
      <c r="A4357" t="s">
        <v>41057</v>
      </c>
    </row>
    <row r="4358" spans="1:1">
      <c r="A4358" t="s">
        <v>47364</v>
      </c>
    </row>
    <row r="4359" spans="1:1">
      <c r="A4359" t="s">
        <v>47365</v>
      </c>
    </row>
    <row r="4360" spans="1:1">
      <c r="A4360" t="s">
        <v>47366</v>
      </c>
    </row>
    <row r="4361" spans="1:1">
      <c r="A4361" t="s">
        <v>47367</v>
      </c>
    </row>
    <row r="4362" spans="1:1">
      <c r="A4362" t="e" cm="1">
        <f t="array" ref="A4362">------------VKN--TEE----DEDHEDNNDNK--NFKKGKD--------------RE</f>
        <v>#NAME?</v>
      </c>
    </row>
    <row r="4363" spans="1:1">
      <c r="A4363" t="s">
        <v>47368</v>
      </c>
    </row>
    <row r="4364" spans="1:1">
      <c r="A4364" t="s">
        <v>47369</v>
      </c>
    </row>
    <row r="4365" spans="1:1">
      <c r="A4365" t="s">
        <v>47370</v>
      </c>
    </row>
    <row r="4366" spans="1:1">
      <c r="A4366" t="s">
        <v>47371</v>
      </c>
    </row>
    <row r="4367" spans="1:1">
      <c r="A4367" t="s">
        <v>47372</v>
      </c>
    </row>
    <row r="4368" spans="1:1">
      <c r="A4368" t="s">
        <v>47373</v>
      </c>
    </row>
    <row r="4369" spans="1:1">
      <c r="A4369" t="s">
        <v>47374</v>
      </c>
    </row>
    <row r="4370" spans="1:1">
      <c r="A4370" t="s">
        <v>47375</v>
      </c>
    </row>
    <row r="4371" spans="1:1">
      <c r="A4371" t="s">
        <v>47376</v>
      </c>
    </row>
    <row r="4372" spans="1:1">
      <c r="A4372" t="s">
        <v>47377</v>
      </c>
    </row>
    <row r="4373" spans="1:1">
      <c r="A4373" t="s">
        <v>47378</v>
      </c>
    </row>
    <row r="4374" spans="1:1">
      <c r="A4374" t="e" cm="1">
        <f t="array" ref="A4374">-------RWIK-IKPAYYKLKNIDDS----DF----KECEYIDDKLEECNDEADDSQVNM</f>
        <v>#NAME?</v>
      </c>
    </row>
    <row r="4375" spans="1:1">
      <c r="A4375" t="s">
        <v>47379</v>
      </c>
    </row>
    <row r="4376" spans="1:1">
      <c r="A4376" t="s">
        <v>47380</v>
      </c>
    </row>
    <row r="4377" spans="1:1">
      <c r="A4377" t="s">
        <v>47381</v>
      </c>
    </row>
    <row r="4378" spans="1:1">
      <c r="A4378" t="s">
        <v>46028</v>
      </c>
    </row>
    <row r="4379" spans="1:1">
      <c r="A4379" t="s">
        <v>47382</v>
      </c>
    </row>
    <row r="4380" spans="1:1">
      <c r="A4380" t="e" cm="1">
        <f t="array" ref="A4380">---DYYFMYQRSKEL-----------------------------------------CITE</f>
        <v>#NAME?</v>
      </c>
    </row>
    <row r="4381" spans="1:1">
      <c r="A4381" t="s">
        <v>47383</v>
      </c>
    </row>
    <row r="4382" spans="1:1">
      <c r="A4382" t="e" cm="1">
        <f t="array" ref="A4382">----------------------------------DWRTGKEMIEESKIVIASG-QHDLKY</f>
        <v>#NAME?</v>
      </c>
    </row>
    <row r="4383" spans="1:1">
      <c r="A4383" t="s">
        <v>47384</v>
      </c>
    </row>
    <row r="4384" spans="1:1">
      <c r="A4384" t="s">
        <v>47385</v>
      </c>
    </row>
    <row r="4385" spans="1:1">
      <c r="A4385" t="s">
        <v>47386</v>
      </c>
    </row>
    <row r="4386" spans="1:1">
      <c r="A4386" t="s">
        <v>47387</v>
      </c>
    </row>
    <row r="4387" spans="1:1">
      <c r="A4387" t="s">
        <v>47388</v>
      </c>
    </row>
    <row r="4388" spans="1:1">
      <c r="A4388" t="s">
        <v>47389</v>
      </c>
    </row>
    <row r="4389" spans="1:1">
      <c r="A4389" t="s">
        <v>47390</v>
      </c>
    </row>
    <row r="4390" spans="1:1">
      <c r="A4390" t="s">
        <v>41057</v>
      </c>
    </row>
    <row r="4391" spans="1:1">
      <c r="A4391" t="s">
        <v>45447</v>
      </c>
    </row>
    <row r="4392" spans="1:1">
      <c r="A4392" t="e" cm="1">
        <f t="array" ref="A4392">--------------YCIQDCN-----------------LV--------HHLLNKI-DVIT</f>
        <v>#NAME?</v>
      </c>
    </row>
    <row r="4393" spans="1:1">
      <c r="A4393" t="s">
        <v>47391</v>
      </c>
    </row>
    <row r="4394" spans="1:1">
      <c r="A4394" t="s">
        <v>47392</v>
      </c>
    </row>
    <row r="4395" spans="1:1">
      <c r="A4395" t="s">
        <v>41057</v>
      </c>
    </row>
    <row r="4396" spans="1:1">
      <c r="A4396" t="s">
        <v>47393</v>
      </c>
    </row>
    <row r="4397" spans="1:1">
      <c r="A4397" t="e" cm="1">
        <f t="array" ref="A4397">-----------DG-YE--------------------------------GAIV-LPPKCSL</f>
        <v>#NAME?</v>
      </c>
    </row>
    <row r="4398" spans="1:1">
      <c r="A4398" t="s">
        <v>47394</v>
      </c>
    </row>
    <row r="4399" spans="1:1">
      <c r="A4399" t="s">
        <v>41057</v>
      </c>
    </row>
    <row r="4400" spans="1:1">
      <c r="A4400" t="s">
        <v>41057</v>
      </c>
    </row>
    <row r="4401" spans="1:1">
      <c r="A4401" t="s">
        <v>41057</v>
      </c>
    </row>
    <row r="4402" spans="1:1">
      <c r="A4402" t="s">
        <v>41057</v>
      </c>
    </row>
    <row r="4403" spans="1:1">
      <c r="A4403" t="s">
        <v>41057</v>
      </c>
    </row>
    <row r="4404" spans="1:1">
      <c r="A4404" t="s">
        <v>41057</v>
      </c>
    </row>
    <row r="4405" spans="1:1">
      <c r="A4405" t="s">
        <v>41057</v>
      </c>
    </row>
    <row r="4406" spans="1:1">
      <c r="A4406" t="s">
        <v>41057</v>
      </c>
    </row>
    <row r="4407" spans="1:1">
      <c r="A4407" t="e" cm="1">
        <f t="array" ref="A4407">-SSLY-------------------PSSMISENISPDSKVWTKEY----------DLDDNL</f>
        <v>#NAME?</v>
      </c>
    </row>
    <row r="4408" spans="1:1">
      <c r="A4408" t="s">
        <v>47395</v>
      </c>
    </row>
    <row r="4409" spans="1:1">
      <c r="A4409" t="e" cm="1">
        <f t="array" ref="A4409">---------------ITY----------------------------------------DT</f>
        <v>#NAME?</v>
      </c>
    </row>
    <row r="4410" spans="1:1">
      <c r="A4410" t="s">
        <v>47396</v>
      </c>
    </row>
    <row r="4411" spans="1:1">
      <c r="A4411" t="s">
        <v>41057</v>
      </c>
    </row>
    <row r="4412" spans="1:1">
      <c r="A4412" t="s">
        <v>47397</v>
      </c>
    </row>
    <row r="4413" spans="1:1">
      <c r="A4413" t="s">
        <v>41057</v>
      </c>
    </row>
    <row r="4414" spans="1:1">
      <c r="A4414" t="s">
        <v>46954</v>
      </c>
    </row>
    <row r="4415" spans="1:1">
      <c r="A4415" t="s">
        <v>47398</v>
      </c>
    </row>
    <row r="4416" spans="1:1">
      <c r="A4416" t="s">
        <v>47399</v>
      </c>
    </row>
    <row r="4417" spans="1:1">
      <c r="A4417" t="s">
        <v>47400</v>
      </c>
    </row>
    <row r="4418" spans="1:1">
      <c r="A4418" t="s">
        <v>47401</v>
      </c>
    </row>
    <row r="4419" spans="1:1">
      <c r="A4419" t="s">
        <v>47159</v>
      </c>
    </row>
    <row r="4420" spans="1:1">
      <c r="A4420" t="s">
        <v>41057</v>
      </c>
    </row>
    <row r="4421" spans="1:1">
      <c r="A4421" t="s">
        <v>41057</v>
      </c>
    </row>
    <row r="4422" spans="1:1">
      <c r="A4422" t="s">
        <v>41057</v>
      </c>
    </row>
    <row r="4423" spans="1:1">
      <c r="A4423" t="s">
        <v>41057</v>
      </c>
    </row>
    <row r="4424" spans="1:1">
      <c r="A4424" t="s">
        <v>41057</v>
      </c>
    </row>
    <row r="4425" spans="1:1">
      <c r="A4425" t="s">
        <v>41057</v>
      </c>
    </row>
    <row r="4426" spans="1:1">
      <c r="A4426" t="s">
        <v>41057</v>
      </c>
    </row>
    <row r="4427" spans="1:1">
      <c r="A4427" t="s">
        <v>41057</v>
      </c>
    </row>
    <row r="4428" spans="1:1">
      <c r="A4428" t="s">
        <v>41057</v>
      </c>
    </row>
    <row r="4429" spans="1:1">
      <c r="A4429" t="s">
        <v>45463</v>
      </c>
    </row>
    <row r="4430" spans="1:1">
      <c r="A4430" t="s">
        <v>41057</v>
      </c>
    </row>
    <row r="4431" spans="1:1">
      <c r="A4431" t="s">
        <v>41057</v>
      </c>
    </row>
    <row r="4432" spans="1:1">
      <c r="A4432" t="s">
        <v>41057</v>
      </c>
    </row>
    <row r="4433" spans="1:1">
      <c r="A4433" t="s">
        <v>41057</v>
      </c>
    </row>
    <row r="4434" spans="1:1">
      <c r="A4434" t="s">
        <v>41057</v>
      </c>
    </row>
    <row r="4435" spans="1:1">
      <c r="A4435" t="s">
        <v>47402</v>
      </c>
    </row>
    <row r="4436" spans="1:1">
      <c r="A4436" t="s">
        <v>47403</v>
      </c>
    </row>
    <row r="4437" spans="1:1">
      <c r="A4437" t="s">
        <v>41057</v>
      </c>
    </row>
    <row r="4438" spans="1:1">
      <c r="A4438" t="s">
        <v>41057</v>
      </c>
    </row>
    <row r="4439" spans="1:1">
      <c r="A4439" t="s">
        <v>47404</v>
      </c>
    </row>
    <row r="4440" spans="1:1">
      <c r="A4440" t="e" cm="1">
        <f t="array" ref="A4440">--------EVITRAEYVYGDSV------------ASYTPVYVR---VNSE-MVDVITIQE</f>
        <v>#NAME?</v>
      </c>
    </row>
    <row r="4441" spans="1:1">
      <c r="A4441" t="s">
        <v>47405</v>
      </c>
    </row>
    <row r="4442" spans="1:1">
      <c r="A4442" t="s">
        <v>41057</v>
      </c>
    </row>
    <row r="4443" spans="1:1">
      <c r="A4443" t="e" cm="1">
        <f t="array" ref="A4443">-------------------------------------------------------DGKQD</f>
        <v>#NAME?</v>
      </c>
    </row>
    <row r="4444" spans="1:1">
      <c r="A4444" t="s">
        <v>47406</v>
      </c>
    </row>
    <row r="4445" spans="1:1">
      <c r="A4445" t="s">
        <v>47407</v>
      </c>
    </row>
    <row r="4446" spans="1:1">
      <c r="A4446" t="s">
        <v>47408</v>
      </c>
    </row>
    <row r="4447" spans="1:1">
      <c r="A4447" t="e" cm="1">
        <f t="array" ref="A4447">--------------------------------------------------------KFRL</f>
        <v>#NAME?</v>
      </c>
    </row>
    <row r="4448" spans="1:1">
      <c r="A4448" t="s">
        <v>47409</v>
      </c>
    </row>
    <row r="4449" spans="1:1">
      <c r="A4449" t="s">
        <v>47410</v>
      </c>
    </row>
    <row r="4450" spans="1:1">
      <c r="A4450" t="s">
        <v>47411</v>
      </c>
    </row>
    <row r="4451" spans="1:1">
      <c r="A4451" t="s">
        <v>47412</v>
      </c>
    </row>
    <row r="4452" spans="1:1">
      <c r="A4452" t="e" cm="1">
        <f t="array" ref="A4452">------------------HHFAAGIG----N--LIV---------HNTDSV--------F</f>
        <v>#NAME?</v>
      </c>
    </row>
    <row r="4453" spans="1:1">
      <c r="A4453" t="s">
        <v>46138</v>
      </c>
    </row>
    <row r="4454" spans="1:1">
      <c r="A4454" t="s">
        <v>47413</v>
      </c>
    </row>
    <row r="4455" spans="1:1">
      <c r="A4455" t="e" cm="1">
        <f t="array" ref="A4455">---NPILSKKA----------------------------LEI----TIE----------I</f>
        <v>#NAME?</v>
      </c>
    </row>
    <row r="4456" spans="1:1">
      <c r="A4456" t="s">
        <v>47414</v>
      </c>
    </row>
    <row r="4457" spans="1:1">
      <c r="A4457" t="e" cm="1">
        <f t="array" ref="A4457">--------PH------DLEYEK-TFLPFCL----------L-SKKRYV-----------G</f>
        <v>#NAME?</v>
      </c>
    </row>
    <row r="4458" spans="1:1">
      <c r="A4458" t="s">
        <v>47415</v>
      </c>
    </row>
    <row r="4459" spans="1:1">
      <c r="A4459" t="s">
        <v>47416</v>
      </c>
    </row>
    <row r="4460" spans="1:1">
      <c r="A4460" t="s">
        <v>47417</v>
      </c>
    </row>
    <row r="4461" spans="1:1">
      <c r="A4461" t="s">
        <v>47418</v>
      </c>
    </row>
    <row r="4462" spans="1:1">
      <c r="A4462" t="s">
        <v>47419</v>
      </c>
    </row>
    <row r="4463" spans="1:1">
      <c r="A4463" t="s">
        <v>47420</v>
      </c>
    </row>
    <row r="4464" spans="1:1">
      <c r="A4464" t="s">
        <v>47421</v>
      </c>
    </row>
    <row r="4465" spans="1:1">
      <c r="A4465" t="s">
        <v>47422</v>
      </c>
    </row>
    <row r="4466" spans="1:1">
      <c r="A4466" t="s">
        <v>47423</v>
      </c>
    </row>
    <row r="4467" spans="1:1">
      <c r="A4467" t="s">
        <v>47424</v>
      </c>
    </row>
    <row r="4468" spans="1:1">
      <c r="A4468" t="s">
        <v>47425</v>
      </c>
    </row>
    <row r="4469" spans="1:1">
      <c r="A4469" t="s">
        <v>41057</v>
      </c>
    </row>
    <row r="4470" spans="1:1">
      <c r="A4470" t="s">
        <v>47426</v>
      </c>
    </row>
    <row r="4471" spans="1:1">
      <c r="A4471" t="s">
        <v>47427</v>
      </c>
    </row>
    <row r="4472" spans="1:1">
      <c r="A4472" t="s">
        <v>47428</v>
      </c>
    </row>
    <row r="4473" spans="1:1">
      <c r="A4473" t="s">
        <v>47429</v>
      </c>
    </row>
    <row r="4474" spans="1:1">
      <c r="A4474" t="s">
        <v>47430</v>
      </c>
    </row>
    <row r="4475" spans="1:1">
      <c r="A4475" t="s">
        <v>47431</v>
      </c>
    </row>
    <row r="4476" spans="1:1">
      <c r="A4476" t="s">
        <v>47432</v>
      </c>
    </row>
    <row r="4477" spans="1:1">
      <c r="A4477" t="s">
        <v>41057</v>
      </c>
    </row>
    <row r="4478" spans="1:1">
      <c r="A4478" t="s">
        <v>41057</v>
      </c>
    </row>
    <row r="4479" spans="1:1">
      <c r="A4479" t="s">
        <v>41057</v>
      </c>
    </row>
    <row r="4480" spans="1:1">
      <c r="A4480" t="s">
        <v>45870</v>
      </c>
    </row>
    <row r="4481" spans="1:1">
      <c r="A4481" t="s">
        <v>45377</v>
      </c>
    </row>
    <row r="4482" spans="1:1">
      <c r="A4482" t="s">
        <v>41057</v>
      </c>
    </row>
    <row r="4483" spans="1:1">
      <c r="A4483" t="s">
        <v>41057</v>
      </c>
    </row>
    <row r="4484" spans="1:1">
      <c r="A4484" t="s">
        <v>41057</v>
      </c>
    </row>
    <row r="4485" spans="1:1">
      <c r="A4485" t="s">
        <v>41057</v>
      </c>
    </row>
    <row r="4486" spans="1:1">
      <c r="A4486" t="s">
        <v>47433</v>
      </c>
    </row>
    <row r="4487" spans="1:1">
      <c r="A4487" t="s">
        <v>47434</v>
      </c>
    </row>
    <row r="4488" spans="1:1">
      <c r="A4488" t="s">
        <v>47435</v>
      </c>
    </row>
    <row r="4489" spans="1:1">
      <c r="A4489" t="s">
        <v>47436</v>
      </c>
    </row>
    <row r="4490" spans="1:1">
      <c r="A4490" t="e" cm="1">
        <f t="array" ref="A4490">------------------EE----VENETDSEDET--KKKFGDN--------------KK</f>
        <v>#NAME?</v>
      </c>
    </row>
    <row r="4491" spans="1:1">
      <c r="A4491" t="s">
        <v>47437</v>
      </c>
    </row>
    <row r="4492" spans="1:1">
      <c r="A4492" t="s">
        <v>47438</v>
      </c>
    </row>
    <row r="4493" spans="1:1">
      <c r="A4493" t="s">
        <v>47439</v>
      </c>
    </row>
    <row r="4494" spans="1:1">
      <c r="A4494" t="s">
        <v>47440</v>
      </c>
    </row>
    <row r="4495" spans="1:1">
      <c r="A4495" t="s">
        <v>47441</v>
      </c>
    </row>
    <row r="4496" spans="1:1">
      <c r="A4496" t="s">
        <v>47442</v>
      </c>
    </row>
    <row r="4497" spans="1:1">
      <c r="A4497" t="s">
        <v>47443</v>
      </c>
    </row>
    <row r="4498" spans="1:1">
      <c r="A4498" t="s">
        <v>47444</v>
      </c>
    </row>
    <row r="4499" spans="1:1">
      <c r="A4499" t="s">
        <v>47445</v>
      </c>
    </row>
    <row r="4500" spans="1:1">
      <c r="A4500" t="e" cm="1">
        <f t="array" ref="A4500">---PLA--IKTYEKLVTNILD--------------YWLN---EEDIEEYT---KEQKENV</f>
        <v>#NAME?</v>
      </c>
    </row>
    <row r="4501" spans="1:1">
      <c r="A4501" t="s">
        <v>47446</v>
      </c>
    </row>
    <row r="4502" spans="1:1">
      <c r="A4502" t="s">
        <v>47447</v>
      </c>
    </row>
    <row r="4503" spans="1:1">
      <c r="A4503" t="s">
        <v>47448</v>
      </c>
    </row>
    <row r="4504" spans="1:1">
      <c r="A4504" t="s">
        <v>47449</v>
      </c>
    </row>
    <row r="4505" spans="1:1">
      <c r="A4505" t="s">
        <v>47450</v>
      </c>
    </row>
    <row r="4506" spans="1:1">
      <c r="A4506" t="s">
        <v>46798</v>
      </c>
    </row>
    <row r="4507" spans="1:1">
      <c r="A4507" t="s">
        <v>47451</v>
      </c>
    </row>
    <row r="4508" spans="1:1">
      <c r="A4508" t="e" cm="1">
        <f t="array" ref="A4508">---DYKFMFQRAQELG-MD-------------------------------------CV-K</f>
        <v>#NAME?</v>
      </c>
    </row>
    <row r="4509" spans="1:1">
      <c r="A4509" t="s">
        <v>47452</v>
      </c>
    </row>
    <row r="4510" spans="1:1">
      <c r="A4510" t="e" cm="1">
        <f t="array" ref="A4510">----------------------------------DKESGKFKIQESSLTIASG-THNLEF</f>
        <v>#NAME?</v>
      </c>
    </row>
    <row r="4511" spans="1:1">
      <c r="A4511" t="s">
        <v>47453</v>
      </c>
    </row>
    <row r="4512" spans="1:1">
      <c r="A4512" t="s">
        <v>47454</v>
      </c>
    </row>
    <row r="4513" spans="1:1">
      <c r="A4513" t="s">
        <v>47455</v>
      </c>
    </row>
    <row r="4514" spans="1:1">
      <c r="A4514" t="s">
        <v>47456</v>
      </c>
    </row>
    <row r="4515" spans="1:1">
      <c r="A4515" t="s">
        <v>47457</v>
      </c>
    </row>
    <row r="4516" spans="1:1">
      <c r="A4516" t="s">
        <v>47458</v>
      </c>
    </row>
    <row r="4517" spans="1:1">
      <c r="A4517" t="s">
        <v>47459</v>
      </c>
    </row>
    <row r="4518" spans="1:1">
      <c r="A4518" t="s">
        <v>41057</v>
      </c>
    </row>
    <row r="4519" spans="1:1">
      <c r="A4519" t="s">
        <v>45447</v>
      </c>
    </row>
    <row r="4520" spans="1:1">
      <c r="A4520" t="e" cm="1">
        <f t="array" ref="A4520">--------------YCIQDCN-----------------LV--------HHLLKKI-DVIT</f>
        <v>#NAME?</v>
      </c>
    </row>
    <row r="4521" spans="1:1">
      <c r="A4521" t="s">
        <v>47460</v>
      </c>
    </row>
    <row r="4522" spans="1:1">
      <c r="A4522" t="s">
        <v>47461</v>
      </c>
    </row>
    <row r="4523" spans="1:1">
      <c r="A4523" t="s">
        <v>41057</v>
      </c>
    </row>
    <row r="4524" spans="1:1">
      <c r="A4524" t="s">
        <v>47462</v>
      </c>
    </row>
    <row r="4525" spans="1:1">
      <c r="A4525" t="e" cm="1">
        <f t="array" ref="A4525">-----------GG-YE--------------------------------GAIV-LDPKCGL</f>
        <v>#NAME?</v>
      </c>
    </row>
    <row r="4526" spans="1:1">
      <c r="A4526" t="s">
        <v>47463</v>
      </c>
    </row>
    <row r="4527" spans="1:1">
      <c r="A4527" t="s">
        <v>41057</v>
      </c>
    </row>
    <row r="4528" spans="1:1">
      <c r="A4528" t="s">
        <v>41057</v>
      </c>
    </row>
    <row r="4529" spans="1:1">
      <c r="A4529" t="s">
        <v>41057</v>
      </c>
    </row>
    <row r="4530" spans="1:1">
      <c r="A4530" t="s">
        <v>41057</v>
      </c>
    </row>
    <row r="4531" spans="1:1">
      <c r="A4531" t="s">
        <v>41057</v>
      </c>
    </row>
    <row r="4532" spans="1:1">
      <c r="A4532" t="s">
        <v>41057</v>
      </c>
    </row>
    <row r="4533" spans="1:1">
      <c r="A4533" t="s">
        <v>41057</v>
      </c>
    </row>
    <row r="4534" spans="1:1">
      <c r="A4534" t="s">
        <v>41057</v>
      </c>
    </row>
    <row r="4535" spans="1:1">
      <c r="A4535" t="e" cm="1">
        <f t="array" ref="A4535">-SSLY-------------------PSSMISENLSHDSKVWTREY----------DLEGNL</f>
        <v>#NAME?</v>
      </c>
    </row>
    <row r="4536" spans="1:1">
      <c r="A4536" t="s">
        <v>47464</v>
      </c>
    </row>
    <row r="4537" spans="1:1">
      <c r="A4537" t="e" cm="1">
        <f t="array" ref="A4537">---------------VNY----------------------------------------DT</f>
        <v>#NAME?</v>
      </c>
    </row>
    <row r="4538" spans="1:1">
      <c r="A4538" t="s">
        <v>47465</v>
      </c>
    </row>
    <row r="4539" spans="1:1">
      <c r="A4539" t="s">
        <v>41057</v>
      </c>
    </row>
    <row r="4540" spans="1:1">
      <c r="A4540" t="s">
        <v>47466</v>
      </c>
    </row>
    <row r="4541" spans="1:1">
      <c r="A4541" t="s">
        <v>41057</v>
      </c>
    </row>
    <row r="4542" spans="1:1">
      <c r="A4542" t="s">
        <v>47467</v>
      </c>
    </row>
    <row r="4543" spans="1:1">
      <c r="A4543" t="s">
        <v>47468</v>
      </c>
    </row>
    <row r="4544" spans="1:1">
      <c r="A4544" t="e" cm="1">
        <f t="array" ref="A4544">-------AIMPR-ILKELLAARKATRTMAVWKTIKTSIG-EFTGLVIEKTDEHVTLKDKD</f>
        <v>#NAME?</v>
      </c>
    </row>
    <row r="4545" spans="1:1">
      <c r="A4545" t="s">
        <v>47469</v>
      </c>
    </row>
    <row r="4546" spans="1:1">
      <c r="A4546" t="s">
        <v>47470</v>
      </c>
    </row>
    <row r="4547" spans="1:1">
      <c r="A4547" t="s">
        <v>47471</v>
      </c>
    </row>
    <row r="4548" spans="1:1">
      <c r="A4548" t="s">
        <v>41057</v>
      </c>
    </row>
    <row r="4549" spans="1:1">
      <c r="A4549" t="s">
        <v>41057</v>
      </c>
    </row>
    <row r="4550" spans="1:1">
      <c r="A4550" t="s">
        <v>41057</v>
      </c>
    </row>
    <row r="4551" spans="1:1">
      <c r="A4551" t="s">
        <v>41057</v>
      </c>
    </row>
    <row r="4552" spans="1:1">
      <c r="A4552" t="s">
        <v>41057</v>
      </c>
    </row>
    <row r="4553" spans="1:1">
      <c r="A4553" t="s">
        <v>41057</v>
      </c>
    </row>
    <row r="4554" spans="1:1">
      <c r="A4554" t="s">
        <v>41057</v>
      </c>
    </row>
    <row r="4555" spans="1:1">
      <c r="A4555" t="s">
        <v>41057</v>
      </c>
    </row>
    <row r="4556" spans="1:1">
      <c r="A4556" t="s">
        <v>41057</v>
      </c>
    </row>
    <row r="4557" spans="1:1">
      <c r="A4557" t="s">
        <v>45463</v>
      </c>
    </row>
    <row r="4558" spans="1:1">
      <c r="A4558" t="s">
        <v>41057</v>
      </c>
    </row>
    <row r="4559" spans="1:1">
      <c r="A4559" t="s">
        <v>41057</v>
      </c>
    </row>
    <row r="4560" spans="1:1">
      <c r="A4560" t="s">
        <v>41057</v>
      </c>
    </row>
    <row r="4561" spans="1:1">
      <c r="A4561" t="s">
        <v>41057</v>
      </c>
    </row>
    <row r="4562" spans="1:1">
      <c r="A4562" t="s">
        <v>41057</v>
      </c>
    </row>
    <row r="4563" spans="1:1">
      <c r="A4563" t="s">
        <v>47472</v>
      </c>
    </row>
    <row r="4564" spans="1:1">
      <c r="A4564" t="s">
        <v>47473</v>
      </c>
    </row>
    <row r="4565" spans="1:1">
      <c r="A4565" t="s">
        <v>41057</v>
      </c>
    </row>
    <row r="4566" spans="1:1">
      <c r="A4566" t="s">
        <v>41057</v>
      </c>
    </row>
    <row r="4567" spans="1:1">
      <c r="A4567" t="s">
        <v>47474</v>
      </c>
    </row>
    <row r="4568" spans="1:1">
      <c r="A4568" t="s">
        <v>47475</v>
      </c>
    </row>
    <row r="4569" spans="1:1">
      <c r="A4569" t="s">
        <v>41057</v>
      </c>
    </row>
    <row r="4570" spans="1:1">
      <c r="A4570" t="s">
        <v>41057</v>
      </c>
    </row>
    <row r="4571" spans="1:1">
      <c r="A4571" t="s">
        <v>41057</v>
      </c>
    </row>
    <row r="4572" spans="1:1">
      <c r="A4572" t="s">
        <v>41057</v>
      </c>
    </row>
    <row r="4573" spans="1:1">
      <c r="A4573" t="s">
        <v>41057</v>
      </c>
    </row>
    <row r="4574" spans="1:1">
      <c r="A4574" t="s">
        <v>41057</v>
      </c>
    </row>
    <row r="4575" spans="1:1">
      <c r="A4575" t="s">
        <v>41057</v>
      </c>
    </row>
    <row r="4576" spans="1:1">
      <c r="A4576" t="s">
        <v>41057</v>
      </c>
    </row>
    <row r="4577" spans="1:1">
      <c r="A4577" t="s">
        <v>41057</v>
      </c>
    </row>
    <row r="4578" spans="1:1">
      <c r="A4578" t="s">
        <v>41057</v>
      </c>
    </row>
    <row r="4579" spans="1:1">
      <c r="A4579" t="s">
        <v>41057</v>
      </c>
    </row>
    <row r="4580" spans="1:1">
      <c r="A4580" t="e" cm="1">
        <f t="array" ref="A4580">-----------------------------------------------TDSV--------F</f>
        <v>#NAME?</v>
      </c>
    </row>
    <row r="4581" spans="1:1">
      <c r="A4581" t="s">
        <v>47476</v>
      </c>
    </row>
    <row r="4582" spans="1:1">
      <c r="A4582" t="s">
        <v>47477</v>
      </c>
    </row>
    <row r="4583" spans="1:1">
      <c r="A4583" t="e" cm="1">
        <f t="array" ref="A4583">--GEKIVGKEA----------------------------LKH----TIE----------L</f>
        <v>#NAME?</v>
      </c>
    </row>
    <row r="4584" spans="1:1">
      <c r="A4584" t="s">
        <v>47478</v>
      </c>
    </row>
    <row r="4585" spans="1:1">
      <c r="A4585" t="e" cm="1">
        <f t="array" ref="A4585">--------PH------DLEYEK-TFMPFCL----------L-SKKRYV-----------G</f>
        <v>#NAME?</v>
      </c>
    </row>
    <row r="4586" spans="1:1">
      <c r="A4586" t="s">
        <v>47479</v>
      </c>
    </row>
    <row r="4587" spans="1:1">
      <c r="A4587" t="s">
        <v>47480</v>
      </c>
    </row>
    <row r="4588" spans="1:1">
      <c r="A4588" t="s">
        <v>47481</v>
      </c>
    </row>
    <row r="4589" spans="1:1">
      <c r="A4589" t="s">
        <v>47482</v>
      </c>
    </row>
    <row r="4590" spans="1:1">
      <c r="A4590" t="s">
        <v>47483</v>
      </c>
    </row>
    <row r="4591" spans="1:1">
      <c r="A4591" t="s">
        <v>47484</v>
      </c>
    </row>
    <row r="4592" spans="1:1">
      <c r="A4592" t="s">
        <v>47485</v>
      </c>
    </row>
    <row r="4593" spans="1:1">
      <c r="A4593" t="s">
        <v>47302</v>
      </c>
    </row>
    <row r="4594" spans="1:1">
      <c r="A4594" t="s">
        <v>47486</v>
      </c>
    </row>
    <row r="4595" spans="1:1">
      <c r="A4595" t="s">
        <v>47487</v>
      </c>
    </row>
    <row r="4596" spans="1:1">
      <c r="A4596" t="s">
        <v>47488</v>
      </c>
    </row>
    <row r="4597" spans="1:1">
      <c r="A4597" t="s">
        <v>41057</v>
      </c>
    </row>
    <row r="4598" spans="1:1">
      <c r="A4598" t="s">
        <v>47489</v>
      </c>
    </row>
    <row r="4599" spans="1:1">
      <c r="A4599" t="s">
        <v>47490</v>
      </c>
    </row>
    <row r="4600" spans="1:1">
      <c r="A4600" t="s">
        <v>47491</v>
      </c>
    </row>
    <row r="4601" spans="1:1">
      <c r="A4601" t="s">
        <v>47492</v>
      </c>
    </row>
    <row r="4602" spans="1:1">
      <c r="A4602" t="s">
        <v>47493</v>
      </c>
    </row>
    <row r="4603" spans="1:1">
      <c r="A4603" t="s">
        <v>47494</v>
      </c>
    </row>
    <row r="4604" spans="1:1">
      <c r="A4604" t="s">
        <v>47495</v>
      </c>
    </row>
    <row r="4605" spans="1:1">
      <c r="A4605" t="s">
        <v>41057</v>
      </c>
    </row>
    <row r="4606" spans="1:1">
      <c r="A4606" t="s">
        <v>41057</v>
      </c>
    </row>
    <row r="4607" spans="1:1">
      <c r="A4607" t="s">
        <v>41057</v>
      </c>
    </row>
    <row r="4608" spans="1:1">
      <c r="A4608" t="s">
        <v>45870</v>
      </c>
    </row>
    <row r="4609" spans="1:1">
      <c r="A4609" t="s">
        <v>43897</v>
      </c>
    </row>
    <row r="4610" spans="1:1">
      <c r="A4610" t="s">
        <v>41057</v>
      </c>
    </row>
    <row r="4611" spans="1:1">
      <c r="A4611" t="s">
        <v>41057</v>
      </c>
    </row>
    <row r="4612" spans="1:1">
      <c r="A4612" t="s">
        <v>47496</v>
      </c>
    </row>
    <row r="4613" spans="1:1">
      <c r="A4613" t="s">
        <v>47497</v>
      </c>
    </row>
    <row r="4614" spans="1:1">
      <c r="A4614" t="s">
        <v>47498</v>
      </c>
    </row>
    <row r="4615" spans="1:1">
      <c r="A4615" t="s">
        <v>47499</v>
      </c>
    </row>
    <row r="4616" spans="1:1">
      <c r="A4616" t="s">
        <v>47500</v>
      </c>
    </row>
    <row r="4617" spans="1:1">
      <c r="A4617" t="s">
        <v>47501</v>
      </c>
    </row>
    <row r="4618" spans="1:1">
      <c r="A4618" t="e" cm="1">
        <f t="array" ref="A4618">------------PKGIYEEI---------D---------KYKDN--------------KR</f>
        <v>#NAME?</v>
      </c>
    </row>
    <row r="4619" spans="1:1">
      <c r="A4619" t="s">
        <v>47502</v>
      </c>
    </row>
    <row r="4620" spans="1:1">
      <c r="A4620" t="s">
        <v>47503</v>
      </c>
    </row>
    <row r="4621" spans="1:1">
      <c r="A4621" t="s">
        <v>47504</v>
      </c>
    </row>
    <row r="4622" spans="1:1">
      <c r="A4622" t="s">
        <v>47505</v>
      </c>
    </row>
    <row r="4623" spans="1:1">
      <c r="A4623" t="s">
        <v>47506</v>
      </c>
    </row>
    <row r="4624" spans="1:1">
      <c r="A4624" t="s">
        <v>47507</v>
      </c>
    </row>
    <row r="4625" spans="1:1">
      <c r="A4625" t="s">
        <v>47508</v>
      </c>
    </row>
    <row r="4626" spans="1:1">
      <c r="A4626" t="s">
        <v>47509</v>
      </c>
    </row>
    <row r="4627" spans="1:1">
      <c r="A4627" t="s">
        <v>47510</v>
      </c>
    </row>
    <row r="4628" spans="1:1">
      <c r="A4628" t="e" cm="1">
        <f t="array" ref="A4628">---PLA--IKDYRKLATNIVD--------------NY---MELDNKENYT-------NID</f>
        <v>#NAME?</v>
      </c>
    </row>
    <row r="4629" spans="1:1">
      <c r="A4629" t="s">
        <v>47511</v>
      </c>
    </row>
    <row r="4630" spans="1:1">
      <c r="A4630" t="s">
        <v>47512</v>
      </c>
    </row>
    <row r="4631" spans="1:1">
      <c r="A4631" t="s">
        <v>47513</v>
      </c>
    </row>
    <row r="4632" spans="1:1">
      <c r="A4632" t="s">
        <v>47514</v>
      </c>
    </row>
    <row r="4633" spans="1:1">
      <c r="A4633" t="s">
        <v>47515</v>
      </c>
    </row>
    <row r="4634" spans="1:1">
      <c r="A4634" t="s">
        <v>47516</v>
      </c>
    </row>
    <row r="4635" spans="1:1">
      <c r="A4635" t="s">
        <v>47517</v>
      </c>
    </row>
    <row r="4636" spans="1:1">
      <c r="A4636" t="e" cm="1">
        <f t="array" ref="A4636">---DFEFMFKRTQET---D-------------------------------------CV-N</f>
        <v>#NAME?</v>
      </c>
    </row>
    <row r="4637" spans="1:1">
      <c r="A4637" t="s">
        <v>47518</v>
      </c>
    </row>
    <row r="4638" spans="1:1">
      <c r="A4638" t="e" cm="1">
        <f t="array" ref="A4638">----------------------------------DWKTNKFNLETTKVVLASG-EYNLKF</f>
        <v>#NAME?</v>
      </c>
    </row>
    <row r="4639" spans="1:1">
      <c r="A4639" t="s">
        <v>47519</v>
      </c>
    </row>
    <row r="4640" spans="1:1">
      <c r="A4640" t="s">
        <v>47520</v>
      </c>
    </row>
    <row r="4641" spans="1:1">
      <c r="A4641" t="s">
        <v>47521</v>
      </c>
    </row>
    <row r="4642" spans="1:1">
      <c r="A4642" t="s">
        <v>47522</v>
      </c>
    </row>
    <row r="4643" spans="1:1">
      <c r="A4643" t="s">
        <v>47523</v>
      </c>
    </row>
    <row r="4644" spans="1:1">
      <c r="A4644" t="s">
        <v>47524</v>
      </c>
    </row>
    <row r="4645" spans="1:1">
      <c r="A4645" t="s">
        <v>47525</v>
      </c>
    </row>
    <row r="4646" spans="1:1">
      <c r="A4646" t="s">
        <v>41057</v>
      </c>
    </row>
    <row r="4647" spans="1:1">
      <c r="A4647" t="s">
        <v>45447</v>
      </c>
    </row>
    <row r="4648" spans="1:1">
      <c r="A4648" t="e" cm="1">
        <f t="array" ref="A4648">--------------YCLGDCD-----------------NV--------LALLLKL-DIIT</f>
        <v>#NAME?</v>
      </c>
    </row>
    <row r="4649" spans="1:1">
      <c r="A4649" t="s">
        <v>47526</v>
      </c>
    </row>
    <row r="4650" spans="1:1">
      <c r="A4650" t="s">
        <v>47527</v>
      </c>
    </row>
    <row r="4651" spans="1:1">
      <c r="A4651" t="s">
        <v>41057</v>
      </c>
    </row>
    <row r="4652" spans="1:1">
      <c r="A4652" t="s">
        <v>47528</v>
      </c>
    </row>
    <row r="4653" spans="1:1">
      <c r="A4653" t="e" cm="1">
        <f t="array" ref="A4653">-----------DG-YE--------------------------------GAHV-FNPKTGI</f>
        <v>#NAME?</v>
      </c>
    </row>
    <row r="4654" spans="1:1">
      <c r="A4654" t="s">
        <v>47529</v>
      </c>
    </row>
    <row r="4655" spans="1:1">
      <c r="A4655" t="s">
        <v>41057</v>
      </c>
    </row>
    <row r="4656" spans="1:1">
      <c r="A4656" t="s">
        <v>41057</v>
      </c>
    </row>
    <row r="4657" spans="1:1">
      <c r="A4657" t="s">
        <v>41057</v>
      </c>
    </row>
    <row r="4658" spans="1:1">
      <c r="A4658" t="s">
        <v>41057</v>
      </c>
    </row>
    <row r="4659" spans="1:1">
      <c r="A4659" t="s">
        <v>41057</v>
      </c>
    </row>
    <row r="4660" spans="1:1">
      <c r="A4660" t="s">
        <v>41057</v>
      </c>
    </row>
    <row r="4661" spans="1:1">
      <c r="A4661" t="s">
        <v>41057</v>
      </c>
    </row>
    <row r="4662" spans="1:1">
      <c r="A4662" t="s">
        <v>41057</v>
      </c>
    </row>
    <row r="4663" spans="1:1">
      <c r="A4663" t="e" cm="1">
        <f t="array" ref="A4663">-SSLY-------------------PSSMISENISHDSKVWTKEY----------DLDNNL</f>
        <v>#NAME?</v>
      </c>
    </row>
    <row r="4664" spans="1:1">
      <c r="A4664" t="s">
        <v>47530</v>
      </c>
    </row>
    <row r="4665" spans="1:1">
      <c r="A4665" t="e" cm="1">
        <f t="array" ref="A4665">---------------IKY----------------------------------------DT</f>
        <v>#NAME?</v>
      </c>
    </row>
    <row r="4666" spans="1:1">
      <c r="A4666" t="s">
        <v>47531</v>
      </c>
    </row>
    <row r="4667" spans="1:1">
      <c r="A4667" t="s">
        <v>41057</v>
      </c>
    </row>
    <row r="4668" spans="1:1">
      <c r="A4668" t="s">
        <v>47532</v>
      </c>
    </row>
    <row r="4669" spans="1:1">
      <c r="A4669" t="s">
        <v>41057</v>
      </c>
    </row>
    <row r="4670" spans="1:1">
      <c r="A4670" t="s">
        <v>47533</v>
      </c>
    </row>
    <row r="4671" spans="1:1">
      <c r="A4671" t="s">
        <v>47534</v>
      </c>
    </row>
    <row r="4672" spans="1:1">
      <c r="A4672" t="s">
        <v>47535</v>
      </c>
    </row>
    <row r="4673" spans="1:1">
      <c r="A4673" t="s">
        <v>47536</v>
      </c>
    </row>
    <row r="4674" spans="1:1">
      <c r="A4674" t="s">
        <v>47537</v>
      </c>
    </row>
    <row r="4675" spans="1:1">
      <c r="A4675" t="s">
        <v>47538</v>
      </c>
    </row>
    <row r="4676" spans="1:1">
      <c r="A4676" t="s">
        <v>41057</v>
      </c>
    </row>
    <row r="4677" spans="1:1">
      <c r="A4677" t="s">
        <v>41057</v>
      </c>
    </row>
    <row r="4678" spans="1:1">
      <c r="A4678" t="s">
        <v>41057</v>
      </c>
    </row>
    <row r="4679" spans="1:1">
      <c r="A4679" t="s">
        <v>41057</v>
      </c>
    </row>
    <row r="4680" spans="1:1">
      <c r="A4680" t="s">
        <v>41057</v>
      </c>
    </row>
    <row r="4681" spans="1:1">
      <c r="A4681" t="s">
        <v>41057</v>
      </c>
    </row>
    <row r="4682" spans="1:1">
      <c r="A4682" t="s">
        <v>41057</v>
      </c>
    </row>
    <row r="4683" spans="1:1">
      <c r="A4683" t="s">
        <v>41057</v>
      </c>
    </row>
    <row r="4684" spans="1:1">
      <c r="A4684" t="s">
        <v>41057</v>
      </c>
    </row>
    <row r="4685" spans="1:1">
      <c r="A4685" t="s">
        <v>45463</v>
      </c>
    </row>
    <row r="4686" spans="1:1">
      <c r="A4686" t="s">
        <v>41057</v>
      </c>
    </row>
    <row r="4687" spans="1:1">
      <c r="A4687" t="s">
        <v>41057</v>
      </c>
    </row>
    <row r="4688" spans="1:1">
      <c r="A4688" t="s">
        <v>41057</v>
      </c>
    </row>
    <row r="4689" spans="1:1">
      <c r="A4689" t="s">
        <v>41057</v>
      </c>
    </row>
    <row r="4690" spans="1:1">
      <c r="A4690" t="s">
        <v>41057</v>
      </c>
    </row>
    <row r="4691" spans="1:1">
      <c r="A4691" t="s">
        <v>47539</v>
      </c>
    </row>
    <row r="4692" spans="1:1">
      <c r="A4692" t="s">
        <v>47540</v>
      </c>
    </row>
    <row r="4693" spans="1:1">
      <c r="A4693" t="s">
        <v>41057</v>
      </c>
    </row>
    <row r="4694" spans="1:1">
      <c r="A4694" t="s">
        <v>41057</v>
      </c>
    </row>
    <row r="4695" spans="1:1">
      <c r="A4695" t="s">
        <v>47541</v>
      </c>
    </row>
    <row r="4696" spans="1:1">
      <c r="A4696" t="s">
        <v>47542</v>
      </c>
    </row>
    <row r="4697" spans="1:1">
      <c r="A4697" t="s">
        <v>41057</v>
      </c>
    </row>
    <row r="4698" spans="1:1">
      <c r="A4698" t="s">
        <v>41057</v>
      </c>
    </row>
    <row r="4699" spans="1:1">
      <c r="A4699" t="s">
        <v>41057</v>
      </c>
    </row>
    <row r="4700" spans="1:1">
      <c r="A4700" t="s">
        <v>41057</v>
      </c>
    </row>
    <row r="4701" spans="1:1">
      <c r="A4701" t="s">
        <v>41057</v>
      </c>
    </row>
    <row r="4702" spans="1:1">
      <c r="A4702" t="s">
        <v>41057</v>
      </c>
    </row>
    <row r="4703" spans="1:1">
      <c r="A4703" t="s">
        <v>41057</v>
      </c>
    </row>
    <row r="4704" spans="1:1">
      <c r="A4704" t="s">
        <v>41057</v>
      </c>
    </row>
    <row r="4705" spans="1:1">
      <c r="A4705" t="s">
        <v>41057</v>
      </c>
    </row>
    <row r="4706" spans="1:1">
      <c r="A4706" t="s">
        <v>41057</v>
      </c>
    </row>
    <row r="4707" spans="1:1">
      <c r="A4707" t="s">
        <v>41057</v>
      </c>
    </row>
    <row r="4708" spans="1:1">
      <c r="A4708" t="e" cm="1">
        <f t="array" ref="A4708">-----------------------------------------------TDSV--------F</f>
        <v>#NAME?</v>
      </c>
    </row>
    <row r="4709" spans="1:1">
      <c r="A4709" t="s">
        <v>46138</v>
      </c>
    </row>
    <row r="4710" spans="1:1">
      <c r="A4710" t="s">
        <v>47543</v>
      </c>
    </row>
    <row r="4711" spans="1:1">
      <c r="A4711" t="e" cm="1">
        <f t="array" ref="A4711">---NKIINNQA----------------------------LIY----TIE----------L</f>
        <v>#NAME?</v>
      </c>
    </row>
    <row r="4712" spans="1:1">
      <c r="A4712" t="s">
        <v>47544</v>
      </c>
    </row>
    <row r="4713" spans="1:1">
      <c r="A4713" t="e" cm="1">
        <f t="array" ref="A4713">--------PH------DLEYEK-TFHPFNL----------Y-AKKRYD-----------G</f>
        <v>#NAME?</v>
      </c>
    </row>
    <row r="4714" spans="1:1">
      <c r="A4714" t="s">
        <v>47545</v>
      </c>
    </row>
    <row r="4715" spans="1:1">
      <c r="A4715" t="s">
        <v>47546</v>
      </c>
    </row>
    <row r="4716" spans="1:1">
      <c r="A4716" t="s">
        <v>47547</v>
      </c>
    </row>
    <row r="4717" spans="1:1">
      <c r="A4717" t="s">
        <v>47548</v>
      </c>
    </row>
    <row r="4718" spans="1:1">
      <c r="A4718" t="s">
        <v>47549</v>
      </c>
    </row>
    <row r="4719" spans="1:1">
      <c r="A4719" t="s">
        <v>47550</v>
      </c>
    </row>
    <row r="4720" spans="1:1">
      <c r="A4720" t="s">
        <v>47551</v>
      </c>
    </row>
    <row r="4721" spans="1:1">
      <c r="A4721" t="s">
        <v>47552</v>
      </c>
    </row>
    <row r="4722" spans="1:1">
      <c r="A4722" t="s">
        <v>47553</v>
      </c>
    </row>
    <row r="4723" spans="1:1">
      <c r="A4723" t="s">
        <v>47554</v>
      </c>
    </row>
    <row r="4724" spans="1:1">
      <c r="A4724" t="s">
        <v>47555</v>
      </c>
    </row>
    <row r="4725" spans="1:1">
      <c r="A4725" t="s">
        <v>41057</v>
      </c>
    </row>
    <row r="4726" spans="1:1">
      <c r="A4726" t="s">
        <v>47556</v>
      </c>
    </row>
    <row r="4727" spans="1:1">
      <c r="A4727" t="s">
        <v>47557</v>
      </c>
    </row>
    <row r="4728" spans="1:1">
      <c r="A4728" t="s">
        <v>47558</v>
      </c>
    </row>
    <row r="4729" spans="1:1">
      <c r="A4729" t="s">
        <v>47559</v>
      </c>
    </row>
    <row r="4730" spans="1:1">
      <c r="A4730" t="s">
        <v>47560</v>
      </c>
    </row>
    <row r="4731" spans="1:1">
      <c r="A4731" t="s">
        <v>41057</v>
      </c>
    </row>
    <row r="4732" spans="1:1">
      <c r="A4732" t="s">
        <v>41057</v>
      </c>
    </row>
    <row r="4733" spans="1:1">
      <c r="A4733" t="s">
        <v>41057</v>
      </c>
    </row>
    <row r="4734" spans="1:1">
      <c r="A4734" t="s">
        <v>41057</v>
      </c>
    </row>
    <row r="4735" spans="1:1">
      <c r="A4735" t="s">
        <v>41057</v>
      </c>
    </row>
    <row r="4736" spans="1:1">
      <c r="A4736" t="s">
        <v>45870</v>
      </c>
    </row>
    <row r="4737" spans="1:1">
      <c r="A4737" t="s">
        <v>43969</v>
      </c>
    </row>
    <row r="4738" spans="1:1">
      <c r="A4738" t="s">
        <v>41057</v>
      </c>
    </row>
    <row r="4739" spans="1:1">
      <c r="A4739" t="s">
        <v>41057</v>
      </c>
    </row>
    <row r="4740" spans="1:1">
      <c r="A4740" t="s">
        <v>41057</v>
      </c>
    </row>
    <row r="4741" spans="1:1">
      <c r="A4741" t="s">
        <v>41057</v>
      </c>
    </row>
    <row r="4742" spans="1:1">
      <c r="A4742" t="s">
        <v>47561</v>
      </c>
    </row>
    <row r="4743" spans="1:1">
      <c r="A4743" t="s">
        <v>47562</v>
      </c>
    </row>
    <row r="4744" spans="1:1">
      <c r="A4744" t="s">
        <v>47563</v>
      </c>
    </row>
    <row r="4745" spans="1:1">
      <c r="A4745" t="s">
        <v>47564</v>
      </c>
    </row>
    <row r="4746" spans="1:1">
      <c r="A4746" t="e" cm="1">
        <f t="array" ref="A4746">------------SKA--ENL----GKNGYD---------KFKDN--------------KK</f>
        <v>#NAME?</v>
      </c>
    </row>
    <row r="4747" spans="1:1">
      <c r="A4747" t="s">
        <v>47565</v>
      </c>
    </row>
    <row r="4748" spans="1:1">
      <c r="A4748" t="s">
        <v>47566</v>
      </c>
    </row>
    <row r="4749" spans="1:1">
      <c r="A4749" t="s">
        <v>47567</v>
      </c>
    </row>
    <row r="4750" spans="1:1">
      <c r="A4750" t="s">
        <v>47568</v>
      </c>
    </row>
    <row r="4751" spans="1:1">
      <c r="A4751" t="s">
        <v>47569</v>
      </c>
    </row>
    <row r="4752" spans="1:1">
      <c r="A4752" t="s">
        <v>47570</v>
      </c>
    </row>
    <row r="4753" spans="1:1">
      <c r="A4753" t="s">
        <v>47571</v>
      </c>
    </row>
    <row r="4754" spans="1:1">
      <c r="A4754" t="s">
        <v>47572</v>
      </c>
    </row>
    <row r="4755" spans="1:1">
      <c r="A4755" t="s">
        <v>47573</v>
      </c>
    </row>
    <row r="4756" spans="1:1">
      <c r="A4756" t="e" cm="1">
        <f t="array" ref="A4756">---PVP--IKDYKKLATNILE--------------YY---NEMEDKTKFD-------VTC</f>
        <v>#NAME?</v>
      </c>
    </row>
    <row r="4757" spans="1:1">
      <c r="A4757" t="s">
        <v>47574</v>
      </c>
    </row>
    <row r="4758" spans="1:1">
      <c r="A4758" t="e" cm="1">
        <f t="array" ref="A4758">-------NFMLYIPAKDQSRKDYIKE---------NEESDTDSDNDDEDDKKENDGADEA</f>
        <v>#NAME?</v>
      </c>
    </row>
    <row r="4759" spans="1:1">
      <c r="A4759" t="s">
        <v>47575</v>
      </c>
    </row>
    <row r="4760" spans="1:1">
      <c r="A4760" t="s">
        <v>47576</v>
      </c>
    </row>
    <row r="4761" spans="1:1">
      <c r="A4761" t="s">
        <v>47577</v>
      </c>
    </row>
    <row r="4762" spans="1:1">
      <c r="A4762" t="s">
        <v>47578</v>
      </c>
    </row>
    <row r="4763" spans="1:1">
      <c r="A4763" t="s">
        <v>47579</v>
      </c>
    </row>
    <row r="4764" spans="1:1">
      <c r="A4764" t="e" cm="1">
        <f t="array" ref="A4764">---DFDFMFKRSKEI---G-------------------------------------CV-E</f>
        <v>#NAME?</v>
      </c>
    </row>
    <row r="4765" spans="1:1">
      <c r="A4765" t="s">
        <v>47580</v>
      </c>
    </row>
    <row r="4766" spans="1:1">
      <c r="A4766" t="e" cm="1">
        <f t="array" ref="A4766">----------------------------------DWKTGEMEIAKNKIVLASG-EYNLSF</f>
        <v>#NAME?</v>
      </c>
    </row>
    <row r="4767" spans="1:1">
      <c r="A4767" t="s">
        <v>47581</v>
      </c>
    </row>
    <row r="4768" spans="1:1">
      <c r="A4768" t="s">
        <v>47582</v>
      </c>
    </row>
    <row r="4769" spans="1:1">
      <c r="A4769" t="s">
        <v>47583</v>
      </c>
    </row>
    <row r="4770" spans="1:1">
      <c r="A4770" t="s">
        <v>47584</v>
      </c>
    </row>
    <row r="4771" spans="1:1">
      <c r="A4771" t="s">
        <v>47585</v>
      </c>
    </row>
    <row r="4772" spans="1:1">
      <c r="A4772" t="s">
        <v>47586</v>
      </c>
    </row>
    <row r="4773" spans="1:1">
      <c r="A4773" t="s">
        <v>47587</v>
      </c>
    </row>
    <row r="4774" spans="1:1">
      <c r="A4774" t="s">
        <v>41057</v>
      </c>
    </row>
    <row r="4775" spans="1:1">
      <c r="A4775" t="s">
        <v>45447</v>
      </c>
    </row>
    <row r="4776" spans="1:1">
      <c r="A4776" t="e" cm="1">
        <f t="array" ref="A4776">--------------YCIGDCD-----------------NV--------IWLLIKV-DIIT</f>
        <v>#NAME?</v>
      </c>
    </row>
    <row r="4777" spans="1:1">
      <c r="A4777" t="s">
        <v>47588</v>
      </c>
    </row>
    <row r="4778" spans="1:1">
      <c r="A4778" t="s">
        <v>47589</v>
      </c>
    </row>
    <row r="4779" spans="1:1">
      <c r="A4779" t="s">
        <v>41057</v>
      </c>
    </row>
    <row r="4780" spans="1:1">
      <c r="A4780" t="s">
        <v>47590</v>
      </c>
    </row>
    <row r="4781" spans="1:1">
      <c r="A4781" t="e" cm="1">
        <f t="array" ref="A4781">-----------GG-YE--------------------------------GAHV-FNPKTGL</f>
        <v>#NAME?</v>
      </c>
    </row>
    <row r="4782" spans="1:1">
      <c r="A4782" t="s">
        <v>47591</v>
      </c>
    </row>
    <row r="4783" spans="1:1">
      <c r="A4783" t="s">
        <v>41057</v>
      </c>
    </row>
    <row r="4784" spans="1:1">
      <c r="A4784" t="s">
        <v>41057</v>
      </c>
    </row>
    <row r="4785" spans="1:1">
      <c r="A4785" t="s">
        <v>41057</v>
      </c>
    </row>
    <row r="4786" spans="1:1">
      <c r="A4786" t="s">
        <v>41057</v>
      </c>
    </row>
    <row r="4787" spans="1:1">
      <c r="A4787" t="s">
        <v>41057</v>
      </c>
    </row>
    <row r="4788" spans="1:1">
      <c r="A4788" t="s">
        <v>41057</v>
      </c>
    </row>
    <row r="4789" spans="1:1">
      <c r="A4789" t="s">
        <v>41057</v>
      </c>
    </row>
    <row r="4790" spans="1:1">
      <c r="A4790" t="s">
        <v>41057</v>
      </c>
    </row>
    <row r="4791" spans="1:1">
      <c r="A4791" t="e" cm="1">
        <f t="array" ref="A4791">-SSLY-------------------PSSMISENLSHDSKVWTKEY----------DLSDNL</f>
        <v>#NAME?</v>
      </c>
    </row>
    <row r="4792" spans="1:1">
      <c r="A4792" t="s">
        <v>47592</v>
      </c>
    </row>
    <row r="4793" spans="1:1">
      <c r="A4793" t="e" cm="1">
        <f t="array" ref="A4793">---------------VKY----------------------------------------DT</f>
        <v>#NAME?</v>
      </c>
    </row>
    <row r="4794" spans="1:1">
      <c r="A4794" t="s">
        <v>47593</v>
      </c>
    </row>
    <row r="4795" spans="1:1">
      <c r="A4795" t="s">
        <v>41057</v>
      </c>
    </row>
    <row r="4796" spans="1:1">
      <c r="A4796" t="s">
        <v>47594</v>
      </c>
    </row>
    <row r="4797" spans="1:1">
      <c r="A4797" t="s">
        <v>41057</v>
      </c>
    </row>
    <row r="4798" spans="1:1">
      <c r="A4798" t="s">
        <v>47533</v>
      </c>
    </row>
    <row r="4799" spans="1:1">
      <c r="A4799" t="s">
        <v>47595</v>
      </c>
    </row>
    <row r="4800" spans="1:1">
      <c r="A4800" t="s">
        <v>47596</v>
      </c>
    </row>
    <row r="4801" spans="1:1">
      <c r="A4801" t="s">
        <v>47597</v>
      </c>
    </row>
    <row r="4802" spans="1:1">
      <c r="A4802" t="s">
        <v>47288</v>
      </c>
    </row>
    <row r="4803" spans="1:1">
      <c r="A4803" t="s">
        <v>47598</v>
      </c>
    </row>
    <row r="4804" spans="1:1">
      <c r="A4804" t="s">
        <v>41057</v>
      </c>
    </row>
    <row r="4805" spans="1:1">
      <c r="A4805" t="s">
        <v>41057</v>
      </c>
    </row>
    <row r="4806" spans="1:1">
      <c r="A4806" t="s">
        <v>41057</v>
      </c>
    </row>
    <row r="4807" spans="1:1">
      <c r="A4807" t="s">
        <v>41057</v>
      </c>
    </row>
    <row r="4808" spans="1:1">
      <c r="A4808" t="s">
        <v>41057</v>
      </c>
    </row>
    <row r="4809" spans="1:1">
      <c r="A4809" t="s">
        <v>41057</v>
      </c>
    </row>
    <row r="4810" spans="1:1">
      <c r="A4810" t="s">
        <v>41057</v>
      </c>
    </row>
    <row r="4811" spans="1:1">
      <c r="A4811" t="s">
        <v>41057</v>
      </c>
    </row>
    <row r="4812" spans="1:1">
      <c r="A4812" t="s">
        <v>41057</v>
      </c>
    </row>
    <row r="4813" spans="1:1">
      <c r="A4813" t="s">
        <v>45463</v>
      </c>
    </row>
    <row r="4814" spans="1:1">
      <c r="A4814" t="s">
        <v>41057</v>
      </c>
    </row>
    <row r="4815" spans="1:1">
      <c r="A4815" t="s">
        <v>41057</v>
      </c>
    </row>
    <row r="4816" spans="1:1">
      <c r="A4816" t="s">
        <v>41057</v>
      </c>
    </row>
    <row r="4817" spans="1:1">
      <c r="A4817" t="s">
        <v>41057</v>
      </c>
    </row>
    <row r="4818" spans="1:1">
      <c r="A4818" t="s">
        <v>41057</v>
      </c>
    </row>
    <row r="4819" spans="1:1">
      <c r="A4819" t="s">
        <v>47599</v>
      </c>
    </row>
    <row r="4820" spans="1:1">
      <c r="A4820" t="s">
        <v>47600</v>
      </c>
    </row>
    <row r="4821" spans="1:1">
      <c r="A4821" t="s">
        <v>41057</v>
      </c>
    </row>
    <row r="4822" spans="1:1">
      <c r="A4822" t="s">
        <v>41057</v>
      </c>
    </row>
    <row r="4823" spans="1:1">
      <c r="A4823" t="s">
        <v>47601</v>
      </c>
    </row>
    <row r="4824" spans="1:1">
      <c r="A4824" t="s">
        <v>47602</v>
      </c>
    </row>
    <row r="4825" spans="1:1">
      <c r="A4825" t="s">
        <v>41057</v>
      </c>
    </row>
    <row r="4826" spans="1:1">
      <c r="A4826" t="s">
        <v>41057</v>
      </c>
    </row>
    <row r="4827" spans="1:1">
      <c r="A4827" t="s">
        <v>41057</v>
      </c>
    </row>
    <row r="4828" spans="1:1">
      <c r="A4828" t="s">
        <v>41057</v>
      </c>
    </row>
    <row r="4829" spans="1:1">
      <c r="A4829" t="s">
        <v>41057</v>
      </c>
    </row>
    <row r="4830" spans="1:1">
      <c r="A4830" t="s">
        <v>41057</v>
      </c>
    </row>
    <row r="4831" spans="1:1">
      <c r="A4831" t="s">
        <v>41057</v>
      </c>
    </row>
    <row r="4832" spans="1:1">
      <c r="A4832" t="s">
        <v>41057</v>
      </c>
    </row>
    <row r="4833" spans="1:1">
      <c r="A4833" t="s">
        <v>41057</v>
      </c>
    </row>
    <row r="4834" spans="1:1">
      <c r="A4834" t="s">
        <v>41057</v>
      </c>
    </row>
    <row r="4835" spans="1:1">
      <c r="A4835" t="s">
        <v>41057</v>
      </c>
    </row>
    <row r="4836" spans="1:1">
      <c r="A4836" t="e" cm="1">
        <f t="array" ref="A4836">-----------------------------------------------TDSV--------F</f>
        <v>#NAME?</v>
      </c>
    </row>
    <row r="4837" spans="1:1">
      <c r="A4837" t="s">
        <v>46138</v>
      </c>
    </row>
    <row r="4838" spans="1:1">
      <c r="A4838" t="s">
        <v>47603</v>
      </c>
    </row>
    <row r="4839" spans="1:1">
      <c r="A4839" t="e" cm="1">
        <f t="array" ref="A4839">---KRIINKQA----------------------------LIY----TIE----------L</f>
        <v>#NAME?</v>
      </c>
    </row>
    <row r="4840" spans="1:1">
      <c r="A4840" t="s">
        <v>47604</v>
      </c>
    </row>
    <row r="4841" spans="1:1">
      <c r="A4841" t="e" cm="1">
        <f t="array" ref="A4841">--------PH------DLEYEK-TFWPFNL----------L-SKKRYD-----------G</f>
        <v>#NAME?</v>
      </c>
    </row>
    <row r="4842" spans="1:1">
      <c r="A4842" t="s">
        <v>47605</v>
      </c>
    </row>
    <row r="4843" spans="1:1">
      <c r="A4843" t="s">
        <v>47606</v>
      </c>
    </row>
    <row r="4844" spans="1:1">
      <c r="A4844" t="s">
        <v>47607</v>
      </c>
    </row>
    <row r="4845" spans="1:1">
      <c r="A4845" t="s">
        <v>47608</v>
      </c>
    </row>
    <row r="4846" spans="1:1">
      <c r="A4846" t="s">
        <v>47609</v>
      </c>
    </row>
    <row r="4847" spans="1:1">
      <c r="A4847" t="s">
        <v>47550</v>
      </c>
    </row>
    <row r="4848" spans="1:1">
      <c r="A4848" t="s">
        <v>47610</v>
      </c>
    </row>
    <row r="4849" spans="1:1">
      <c r="A4849" t="s">
        <v>47611</v>
      </c>
    </row>
    <row r="4850" spans="1:1">
      <c r="A4850" t="s">
        <v>47612</v>
      </c>
    </row>
    <row r="4851" spans="1:1">
      <c r="A4851" t="s">
        <v>47613</v>
      </c>
    </row>
    <row r="4852" spans="1:1">
      <c r="A4852" t="s">
        <v>47614</v>
      </c>
    </row>
    <row r="4853" spans="1:1">
      <c r="A4853" t="s">
        <v>41057</v>
      </c>
    </row>
    <row r="4854" spans="1:1">
      <c r="A4854" t="s">
        <v>47615</v>
      </c>
    </row>
    <row r="4855" spans="1:1">
      <c r="A4855" t="s">
        <v>47616</v>
      </c>
    </row>
    <row r="4856" spans="1:1">
      <c r="A4856" t="s">
        <v>47617</v>
      </c>
    </row>
    <row r="4857" spans="1:1">
      <c r="A4857" t="s">
        <v>47618</v>
      </c>
    </row>
    <row r="4858" spans="1:1">
      <c r="A4858" t="s">
        <v>47619</v>
      </c>
    </row>
    <row r="4859" spans="1:1">
      <c r="A4859" t="s">
        <v>41057</v>
      </c>
    </row>
    <row r="4860" spans="1:1">
      <c r="A4860" t="s">
        <v>41057</v>
      </c>
    </row>
    <row r="4861" spans="1:1">
      <c r="A4861" t="s">
        <v>41057</v>
      </c>
    </row>
    <row r="4862" spans="1:1">
      <c r="A4862" t="s">
        <v>41057</v>
      </c>
    </row>
    <row r="4863" spans="1:1">
      <c r="A4863" t="s">
        <v>41057</v>
      </c>
    </row>
    <row r="4864" spans="1:1">
      <c r="A4864" t="s">
        <v>45870</v>
      </c>
    </row>
    <row r="4865" spans="1:1">
      <c r="A4865" t="s">
        <v>43846</v>
      </c>
    </row>
    <row r="4866" spans="1:1">
      <c r="A4866" t="s">
        <v>41057</v>
      </c>
    </row>
    <row r="4867" spans="1:1">
      <c r="A4867" t="s">
        <v>41057</v>
      </c>
    </row>
    <row r="4868" spans="1:1">
      <c r="A4868" t="s">
        <v>41057</v>
      </c>
    </row>
    <row r="4869" spans="1:1">
      <c r="A4869" t="s">
        <v>41057</v>
      </c>
    </row>
    <row r="4870" spans="1:1">
      <c r="A4870" t="s">
        <v>41057</v>
      </c>
    </row>
    <row r="4871" spans="1:1">
      <c r="A4871" t="s">
        <v>47620</v>
      </c>
    </row>
    <row r="4872" spans="1:1">
      <c r="A4872" t="s">
        <v>47563</v>
      </c>
    </row>
    <row r="4873" spans="1:1">
      <c r="A4873" t="s">
        <v>47621</v>
      </c>
    </row>
    <row r="4874" spans="1:1">
      <c r="A4874" t="e" cm="1">
        <f t="array" ref="A4874">-----------------------------DEGNKI--QGK--DN--------------KK</f>
        <v>#NAME?</v>
      </c>
    </row>
    <row r="4875" spans="1:1">
      <c r="A4875" t="s">
        <v>47622</v>
      </c>
    </row>
    <row r="4876" spans="1:1">
      <c r="A4876" t="s">
        <v>47623</v>
      </c>
    </row>
    <row r="4877" spans="1:1">
      <c r="A4877" t="s">
        <v>47624</v>
      </c>
    </row>
    <row r="4878" spans="1:1">
      <c r="A4878" t="s">
        <v>47625</v>
      </c>
    </row>
    <row r="4879" spans="1:1">
      <c r="A4879" t="s">
        <v>47626</v>
      </c>
    </row>
    <row r="4880" spans="1:1">
      <c r="A4880" t="s">
        <v>47627</v>
      </c>
    </row>
    <row r="4881" spans="1:1">
      <c r="A4881" t="s">
        <v>47628</v>
      </c>
    </row>
    <row r="4882" spans="1:1">
      <c r="A4882" t="s">
        <v>47629</v>
      </c>
    </row>
    <row r="4883" spans="1:1">
      <c r="A4883" t="s">
        <v>47630</v>
      </c>
    </row>
    <row r="4884" spans="1:1">
      <c r="A4884" t="s">
        <v>47631</v>
      </c>
    </row>
    <row r="4885" spans="1:1">
      <c r="A4885" t="s">
        <v>47632</v>
      </c>
    </row>
    <row r="4886" spans="1:1">
      <c r="A4886" t="s">
        <v>47633</v>
      </c>
    </row>
    <row r="4887" spans="1:1">
      <c r="A4887" t="s">
        <v>47634</v>
      </c>
    </row>
    <row r="4888" spans="1:1">
      <c r="A4888" t="s">
        <v>47635</v>
      </c>
    </row>
    <row r="4889" spans="1:1">
      <c r="A4889" t="s">
        <v>47636</v>
      </c>
    </row>
    <row r="4890" spans="1:1">
      <c r="A4890" t="s">
        <v>46798</v>
      </c>
    </row>
    <row r="4891" spans="1:1">
      <c r="A4891" t="s">
        <v>47637</v>
      </c>
    </row>
    <row r="4892" spans="1:1">
      <c r="A4892" t="e" cm="1">
        <f t="array" ref="A4892">---DWKFLFERADEL---G-------------------------------------CK-D</f>
        <v>#NAME?</v>
      </c>
    </row>
    <row r="4893" spans="1:1">
      <c r="A4893" t="s">
        <v>47638</v>
      </c>
    </row>
    <row r="4894" spans="1:1">
      <c r="A4894" t="e" cm="1">
        <f t="array" ref="A4894">-----------------------------------------KPVNKTIKIASG-EHNLQY</f>
        <v>#NAME?</v>
      </c>
    </row>
    <row r="4895" spans="1:1">
      <c r="A4895" t="s">
        <v>47639</v>
      </c>
    </row>
    <row r="4896" spans="1:1">
      <c r="A4896" t="s">
        <v>47640</v>
      </c>
    </row>
    <row r="4897" spans="1:1">
      <c r="A4897" t="s">
        <v>47641</v>
      </c>
    </row>
    <row r="4898" spans="1:1">
      <c r="A4898" t="s">
        <v>47642</v>
      </c>
    </row>
    <row r="4899" spans="1:1">
      <c r="A4899" t="s">
        <v>47643</v>
      </c>
    </row>
    <row r="4900" spans="1:1">
      <c r="A4900" t="s">
        <v>47644</v>
      </c>
    </row>
    <row r="4901" spans="1:1">
      <c r="A4901" t="s">
        <v>47645</v>
      </c>
    </row>
    <row r="4902" spans="1:1">
      <c r="A4902" t="s">
        <v>41057</v>
      </c>
    </row>
    <row r="4903" spans="1:1">
      <c r="A4903" t="s">
        <v>45447</v>
      </c>
    </row>
    <row r="4904" spans="1:1">
      <c r="A4904" t="e" cm="1">
        <f t="array" ref="A4904">--------------YCIMDCV-----------------LV--------HMLAKKV-DVFT</f>
        <v>#NAME?</v>
      </c>
    </row>
    <row r="4905" spans="1:1">
      <c r="A4905" t="s">
        <v>47646</v>
      </c>
    </row>
    <row r="4906" spans="1:1">
      <c r="A4906" t="s">
        <v>47647</v>
      </c>
    </row>
    <row r="4907" spans="1:1">
      <c r="A4907" t="s">
        <v>41057</v>
      </c>
    </row>
    <row r="4908" spans="1:1">
      <c r="A4908" t="s">
        <v>47648</v>
      </c>
    </row>
    <row r="4909" spans="1:1">
      <c r="A4909" t="e" cm="1">
        <f t="array" ref="A4909">-----------SG-YE--------------------------------GAIC-LNPKADL</f>
        <v>#NAME?</v>
      </c>
    </row>
    <row r="4910" spans="1:1">
      <c r="A4910" t="s">
        <v>47649</v>
      </c>
    </row>
    <row r="4911" spans="1:1">
      <c r="A4911" t="s">
        <v>41057</v>
      </c>
    </row>
    <row r="4912" spans="1:1">
      <c r="A4912" t="s">
        <v>41057</v>
      </c>
    </row>
    <row r="4913" spans="1:1">
      <c r="A4913" t="s">
        <v>41057</v>
      </c>
    </row>
    <row r="4914" spans="1:1">
      <c r="A4914" t="s">
        <v>41057</v>
      </c>
    </row>
    <row r="4915" spans="1:1">
      <c r="A4915" t="s">
        <v>41057</v>
      </c>
    </row>
    <row r="4916" spans="1:1">
      <c r="A4916" t="s">
        <v>41057</v>
      </c>
    </row>
    <row r="4917" spans="1:1">
      <c r="A4917" t="s">
        <v>41057</v>
      </c>
    </row>
    <row r="4918" spans="1:1">
      <c r="A4918" t="s">
        <v>41057</v>
      </c>
    </row>
    <row r="4919" spans="1:1">
      <c r="A4919" t="e" cm="1">
        <f t="array" ref="A4919">-AGLY-------------------PSSMISENLSQDSKVWTREY----------NLEGDL</f>
        <v>#NAME?</v>
      </c>
    </row>
    <row r="4920" spans="1:1">
      <c r="A4920" t="s">
        <v>47650</v>
      </c>
    </row>
    <row r="4921" spans="1:1">
      <c r="A4921" t="e" cm="1">
        <f t="array" ref="A4921">---------------VEY----------------------------------------DV</f>
        <v>#NAME?</v>
      </c>
    </row>
    <row r="4922" spans="1:1">
      <c r="A4922" t="s">
        <v>47651</v>
      </c>
    </row>
    <row r="4923" spans="1:1">
      <c r="A4923" t="s">
        <v>41057</v>
      </c>
    </row>
    <row r="4924" spans="1:1">
      <c r="A4924" t="s">
        <v>47466</v>
      </c>
    </row>
    <row r="4925" spans="1:1">
      <c r="A4925" t="s">
        <v>41057</v>
      </c>
    </row>
    <row r="4926" spans="1:1">
      <c r="A4926" t="s">
        <v>47533</v>
      </c>
    </row>
    <row r="4927" spans="1:1">
      <c r="A4927" t="s">
        <v>47652</v>
      </c>
    </row>
    <row r="4928" spans="1:1">
      <c r="A4928" t="e" cm="1">
        <f t="array" ref="A4928">-------AILPA-VLTNLLKARKETRALIKYKTVKTIED-EYSGLISK-SDEKTVIKQKN</f>
        <v>#NAME?</v>
      </c>
    </row>
    <row r="4929" spans="1:1">
      <c r="A4929" t="s">
        <v>47653</v>
      </c>
    </row>
    <row r="4930" spans="1:1">
      <c r="A4930" t="s">
        <v>47654</v>
      </c>
    </row>
    <row r="4931" spans="1:1">
      <c r="A4931" t="s">
        <v>47655</v>
      </c>
    </row>
    <row r="4932" spans="1:1">
      <c r="A4932" t="s">
        <v>41057</v>
      </c>
    </row>
    <row r="4933" spans="1:1">
      <c r="A4933" t="s">
        <v>41057</v>
      </c>
    </row>
    <row r="4934" spans="1:1">
      <c r="A4934" t="s">
        <v>41057</v>
      </c>
    </row>
    <row r="4935" spans="1:1">
      <c r="A4935" t="s">
        <v>41057</v>
      </c>
    </row>
    <row r="4936" spans="1:1">
      <c r="A4936" t="s">
        <v>41057</v>
      </c>
    </row>
    <row r="4937" spans="1:1">
      <c r="A4937" t="s">
        <v>41057</v>
      </c>
    </row>
    <row r="4938" spans="1:1">
      <c r="A4938" t="s">
        <v>41057</v>
      </c>
    </row>
    <row r="4939" spans="1:1">
      <c r="A4939" t="s">
        <v>41057</v>
      </c>
    </row>
    <row r="4940" spans="1:1">
      <c r="A4940" t="s">
        <v>41057</v>
      </c>
    </row>
    <row r="4941" spans="1:1">
      <c r="A4941" t="s">
        <v>45463</v>
      </c>
    </row>
    <row r="4942" spans="1:1">
      <c r="A4942" t="s">
        <v>41057</v>
      </c>
    </row>
    <row r="4943" spans="1:1">
      <c r="A4943" t="s">
        <v>41057</v>
      </c>
    </row>
    <row r="4944" spans="1:1">
      <c r="A4944" t="s">
        <v>41057</v>
      </c>
    </row>
    <row r="4945" spans="1:1">
      <c r="A4945" t="s">
        <v>41057</v>
      </c>
    </row>
    <row r="4946" spans="1:1">
      <c r="A4946" t="s">
        <v>41057</v>
      </c>
    </row>
    <row r="4947" spans="1:1">
      <c r="A4947" t="s">
        <v>47656</v>
      </c>
    </row>
    <row r="4948" spans="1:1">
      <c r="A4948" t="s">
        <v>47657</v>
      </c>
    </row>
    <row r="4949" spans="1:1">
      <c r="A4949" t="s">
        <v>41057</v>
      </c>
    </row>
    <row r="4950" spans="1:1">
      <c r="A4950" t="s">
        <v>41057</v>
      </c>
    </row>
    <row r="4951" spans="1:1">
      <c r="A4951" t="s">
        <v>47230</v>
      </c>
    </row>
    <row r="4952" spans="1:1">
      <c r="A4952" t="s">
        <v>47658</v>
      </c>
    </row>
    <row r="4953" spans="1:1">
      <c r="A4953" t="s">
        <v>41057</v>
      </c>
    </row>
    <row r="4954" spans="1:1">
      <c r="A4954" t="s">
        <v>41057</v>
      </c>
    </row>
    <row r="4955" spans="1:1">
      <c r="A4955" t="s">
        <v>41057</v>
      </c>
    </row>
    <row r="4956" spans="1:1">
      <c r="A4956" t="s">
        <v>41057</v>
      </c>
    </row>
    <row r="4957" spans="1:1">
      <c r="A4957" t="s">
        <v>41057</v>
      </c>
    </row>
    <row r="4958" spans="1:1">
      <c r="A4958" t="s">
        <v>41057</v>
      </c>
    </row>
    <row r="4959" spans="1:1">
      <c r="A4959" t="s">
        <v>41057</v>
      </c>
    </row>
    <row r="4960" spans="1:1">
      <c r="A4960" t="s">
        <v>41057</v>
      </c>
    </row>
    <row r="4961" spans="1:1">
      <c r="A4961" t="s">
        <v>41057</v>
      </c>
    </row>
    <row r="4962" spans="1:1">
      <c r="A4962" t="s">
        <v>41057</v>
      </c>
    </row>
    <row r="4963" spans="1:1">
      <c r="A4963" t="s">
        <v>41057</v>
      </c>
    </row>
    <row r="4964" spans="1:1">
      <c r="A4964" t="e" cm="1">
        <f t="array" ref="A4964">-----------------------------------------------TDSC--------F</f>
        <v>#NAME?</v>
      </c>
    </row>
    <row r="4965" spans="1:1">
      <c r="A4965" t="s">
        <v>46138</v>
      </c>
    </row>
    <row r="4966" spans="1:1">
      <c r="A4966" t="s">
        <v>47659</v>
      </c>
    </row>
    <row r="4967" spans="1:1">
      <c r="A4967" t="e" cm="1">
        <f t="array" ref="A4967">---NKIIGKKA----------------------------LEI----TIE----------I</f>
        <v>#NAME?</v>
      </c>
    </row>
    <row r="4968" spans="1:1">
      <c r="A4968" t="s">
        <v>47660</v>
      </c>
    </row>
    <row r="4969" spans="1:1">
      <c r="A4969" t="e" cm="1">
        <f t="array" ref="A4969">--------PH------DLEYEK-TFLPFIL----------L-SKKRYV-----------G</f>
        <v>#NAME?</v>
      </c>
    </row>
    <row r="4970" spans="1:1">
      <c r="A4970" t="s">
        <v>47661</v>
      </c>
    </row>
    <row r="4971" spans="1:1">
      <c r="A4971" t="s">
        <v>47662</v>
      </c>
    </row>
    <row r="4972" spans="1:1">
      <c r="A4972" t="s">
        <v>47663</v>
      </c>
    </row>
    <row r="4973" spans="1:1">
      <c r="A4973" t="s">
        <v>47664</v>
      </c>
    </row>
    <row r="4974" spans="1:1">
      <c r="A4974" t="s">
        <v>47665</v>
      </c>
    </row>
    <row r="4975" spans="1:1">
      <c r="A4975" t="s">
        <v>47666</v>
      </c>
    </row>
    <row r="4976" spans="1:1">
      <c r="A4976" t="s">
        <v>47667</v>
      </c>
    </row>
    <row r="4977" spans="1:1">
      <c r="A4977" t="s">
        <v>47668</v>
      </c>
    </row>
    <row r="4978" spans="1:1">
      <c r="A4978" t="s">
        <v>47669</v>
      </c>
    </row>
    <row r="4979" spans="1:1">
      <c r="A4979" t="s">
        <v>47670</v>
      </c>
    </row>
    <row r="4980" spans="1:1">
      <c r="A4980" t="s">
        <v>47671</v>
      </c>
    </row>
    <row r="4981" spans="1:1">
      <c r="A4981" t="s">
        <v>41057</v>
      </c>
    </row>
    <row r="4982" spans="1:1">
      <c r="A4982" t="s">
        <v>47672</v>
      </c>
    </row>
    <row r="4983" spans="1:1">
      <c r="A4983" t="s">
        <v>47673</v>
      </c>
    </row>
    <row r="4984" spans="1:1">
      <c r="A4984" t="s">
        <v>47674</v>
      </c>
    </row>
    <row r="4985" spans="1:1">
      <c r="A4985" t="s">
        <v>47675</v>
      </c>
    </row>
    <row r="4986" spans="1:1">
      <c r="A4986" t="s">
        <v>47676</v>
      </c>
    </row>
    <row r="4987" spans="1:1">
      <c r="A4987" t="s">
        <v>47677</v>
      </c>
    </row>
    <row r="4988" spans="1:1">
      <c r="A4988" t="s">
        <v>47678</v>
      </c>
    </row>
    <row r="4989" spans="1:1">
      <c r="A4989" t="s">
        <v>41057</v>
      </c>
    </row>
    <row r="4990" spans="1:1">
      <c r="A4990" t="s">
        <v>41057</v>
      </c>
    </row>
    <row r="4991" spans="1:1">
      <c r="A4991" t="s">
        <v>41057</v>
      </c>
    </row>
    <row r="4992" spans="1:1">
      <c r="A4992" t="s">
        <v>45870</v>
      </c>
    </row>
    <row r="4993" spans="1:1">
      <c r="A4993" t="s">
        <v>43920</v>
      </c>
    </row>
    <row r="4994" spans="1:1">
      <c r="A4994" t="s">
        <v>41057</v>
      </c>
    </row>
    <row r="4995" spans="1:1">
      <c r="A4995" t="s">
        <v>41057</v>
      </c>
    </row>
    <row r="4996" spans="1:1">
      <c r="A4996" t="s">
        <v>41057</v>
      </c>
    </row>
    <row r="4997" spans="1:1">
      <c r="A4997" t="s">
        <v>41057</v>
      </c>
    </row>
    <row r="4998" spans="1:1">
      <c r="A4998" t="s">
        <v>41057</v>
      </c>
    </row>
    <row r="4999" spans="1:1">
      <c r="A4999" t="s">
        <v>47679</v>
      </c>
    </row>
    <row r="5000" spans="1:1">
      <c r="A5000" t="s">
        <v>47680</v>
      </c>
    </row>
    <row r="5001" spans="1:1">
      <c r="A5001" t="s">
        <v>47681</v>
      </c>
    </row>
    <row r="5002" spans="1:1">
      <c r="A5002" t="e" cm="1">
        <f t="array" ref="A5002">----------EIPECFVTD-----THSRFQDDEDDA----------------------PR</f>
        <v>#NAME?</v>
      </c>
    </row>
    <row r="5003" spans="1:1">
      <c r="A5003" t="s">
        <v>47682</v>
      </c>
    </row>
    <row r="5004" spans="1:1">
      <c r="A5004" t="s">
        <v>47683</v>
      </c>
    </row>
    <row r="5005" spans="1:1">
      <c r="A5005" t="s">
        <v>47684</v>
      </c>
    </row>
    <row r="5006" spans="1:1">
      <c r="A5006" t="s">
        <v>47685</v>
      </c>
    </row>
    <row r="5007" spans="1:1">
      <c r="A5007" t="s">
        <v>47686</v>
      </c>
    </row>
    <row r="5008" spans="1:1">
      <c r="A5008" t="s">
        <v>47687</v>
      </c>
    </row>
    <row r="5009" spans="1:1">
      <c r="A5009" t="s">
        <v>47688</v>
      </c>
    </row>
    <row r="5010" spans="1:1">
      <c r="A5010" t="s">
        <v>47689</v>
      </c>
    </row>
    <row r="5011" spans="1:1">
      <c r="A5011" t="s">
        <v>47690</v>
      </c>
    </row>
    <row r="5012" spans="1:1">
      <c r="A5012" t="e" cm="1">
        <f t="array" ref="A5012">---PVA--IKSYRRIANNIKDTLEI---------------AMKYDLDPYKA------KEL</f>
        <v>#NAME?</v>
      </c>
    </row>
    <row r="5013" spans="1:1">
      <c r="A5013" t="s">
        <v>47691</v>
      </c>
    </row>
    <row r="5014" spans="1:1">
      <c r="A5014" t="s">
        <v>47692</v>
      </c>
    </row>
    <row r="5015" spans="1:1">
      <c r="A5015" t="s">
        <v>47693</v>
      </c>
    </row>
    <row r="5016" spans="1:1">
      <c r="A5016" t="s">
        <v>47694</v>
      </c>
    </row>
    <row r="5017" spans="1:1">
      <c r="A5017" t="s">
        <v>47695</v>
      </c>
    </row>
    <row r="5018" spans="1:1">
      <c r="A5018" t="s">
        <v>45438</v>
      </c>
    </row>
    <row r="5019" spans="1:1">
      <c r="A5019" t="s">
        <v>47696</v>
      </c>
    </row>
    <row r="5020" spans="1:1">
      <c r="A5020" t="e" cm="1">
        <f t="array" ref="A5020">---DMKYLHERTLEL---G-------------------------------------IS-D</f>
        <v>#NAME?</v>
      </c>
    </row>
    <row r="5021" spans="1:1">
      <c r="A5021" t="s">
        <v>47697</v>
      </c>
    </row>
    <row r="5022" spans="1:1">
      <c r="A5022" t="e" cm="1">
        <f t="array" ref="A5022">-------------------------------------HPAKFVEKRLSSSALG-DNVFWM</f>
        <v>#NAME?</v>
      </c>
    </row>
    <row r="5023" spans="1:1">
      <c r="A5023" t="s">
        <v>47698</v>
      </c>
    </row>
    <row r="5024" spans="1:1">
      <c r="A5024" t="s">
        <v>47699</v>
      </c>
    </row>
    <row r="5025" spans="1:1">
      <c r="A5025" t="s">
        <v>41057</v>
      </c>
    </row>
    <row r="5026" spans="1:1">
      <c r="A5026" t="s">
        <v>47700</v>
      </c>
    </row>
    <row r="5027" spans="1:1">
      <c r="A5027" t="s">
        <v>47701</v>
      </c>
    </row>
    <row r="5028" spans="1:1">
      <c r="A5028" t="e" cm="1">
        <f t="array" ref="A5028">-------------------------PPKDI-------FR-LQN----------------G</f>
        <v>#NAME?</v>
      </c>
    </row>
    <row r="5029" spans="1:1">
      <c r="A5029" t="s">
        <v>47702</v>
      </c>
    </row>
    <row r="5030" spans="1:1">
      <c r="A5030" t="s">
        <v>41057</v>
      </c>
    </row>
    <row r="5031" spans="1:1">
      <c r="A5031" t="s">
        <v>47703</v>
      </c>
    </row>
    <row r="5032" spans="1:1">
      <c r="A5032" t="e" cm="1">
        <f t="array" ref="A5032">--------------YCVQDCA-----------------LC--------NVLLEKL-KVVV</f>
        <v>#NAME?</v>
      </c>
    </row>
    <row r="5033" spans="1:1">
      <c r="A5033" t="s">
        <v>47704</v>
      </c>
    </row>
    <row r="5034" spans="1:1">
      <c r="A5034" t="s">
        <v>47705</v>
      </c>
    </row>
    <row r="5035" spans="1:1">
      <c r="A5035" t="s">
        <v>47706</v>
      </c>
    </row>
    <row r="5036" spans="1:1">
      <c r="A5036" t="s">
        <v>47707</v>
      </c>
    </row>
    <row r="5037" spans="1:1">
      <c r="A5037" t="e" cm="1">
        <f t="array" ref="A5037">-----------IE-VQ--------------------------------GAIV-LEPDVGF</f>
        <v>#NAME?</v>
      </c>
    </row>
    <row r="5038" spans="1:1">
      <c r="A5038" t="s">
        <v>47708</v>
      </c>
    </row>
    <row r="5039" spans="1:1">
      <c r="A5039" t="s">
        <v>41057</v>
      </c>
    </row>
    <row r="5040" spans="1:1">
      <c r="A5040" t="s">
        <v>41057</v>
      </c>
    </row>
    <row r="5041" spans="1:1">
      <c r="A5041" t="s">
        <v>41057</v>
      </c>
    </row>
    <row r="5042" spans="1:1">
      <c r="A5042" t="s">
        <v>41057</v>
      </c>
    </row>
    <row r="5043" spans="1:1">
      <c r="A5043" t="s">
        <v>41057</v>
      </c>
    </row>
    <row r="5044" spans="1:1">
      <c r="A5044" t="s">
        <v>41057</v>
      </c>
    </row>
    <row r="5045" spans="1:1">
      <c r="A5045" t="s">
        <v>41057</v>
      </c>
    </row>
    <row r="5046" spans="1:1">
      <c r="A5046" t="s">
        <v>41057</v>
      </c>
    </row>
    <row r="5047" spans="1:1">
      <c r="A5047" t="s">
        <v>47709</v>
      </c>
    </row>
    <row r="5048" spans="1:1">
      <c r="A5048" t="s">
        <v>47710</v>
      </c>
    </row>
    <row r="5049" spans="1:1">
      <c r="A5049" t="e" cm="1">
        <f t="array" ref="A5049">---------------VSY----------------------------------------EI</f>
        <v>#NAME?</v>
      </c>
    </row>
    <row r="5050" spans="1:1">
      <c r="A5050" t="s">
        <v>47711</v>
      </c>
    </row>
    <row r="5051" spans="1:1">
      <c r="A5051" t="s">
        <v>41057</v>
      </c>
    </row>
    <row r="5052" spans="1:1">
      <c r="A5052" t="s">
        <v>47712</v>
      </c>
    </row>
    <row r="5053" spans="1:1">
      <c r="A5053" t="s">
        <v>41057</v>
      </c>
    </row>
    <row r="5054" spans="1:1">
      <c r="A5054" t="s">
        <v>47713</v>
      </c>
    </row>
    <row r="5055" spans="1:1">
      <c r="A5055" t="s">
        <v>47714</v>
      </c>
    </row>
    <row r="5056" spans="1:1">
      <c r="A5056" t="s">
        <v>47715</v>
      </c>
    </row>
    <row r="5057" spans="1:1">
      <c r="A5057" t="s">
        <v>47716</v>
      </c>
    </row>
    <row r="5058" spans="1:1">
      <c r="A5058" t="s">
        <v>47717</v>
      </c>
    </row>
    <row r="5059" spans="1:1">
      <c r="A5059" t="s">
        <v>47718</v>
      </c>
    </row>
    <row r="5060" spans="1:1">
      <c r="A5060" t="s">
        <v>41057</v>
      </c>
    </row>
    <row r="5061" spans="1:1">
      <c r="A5061" t="s">
        <v>41057</v>
      </c>
    </row>
    <row r="5062" spans="1:1">
      <c r="A5062" t="s">
        <v>41057</v>
      </c>
    </row>
    <row r="5063" spans="1:1">
      <c r="A5063" t="s">
        <v>41057</v>
      </c>
    </row>
    <row r="5064" spans="1:1">
      <c r="A5064" t="s">
        <v>41057</v>
      </c>
    </row>
    <row r="5065" spans="1:1">
      <c r="A5065" t="s">
        <v>41057</v>
      </c>
    </row>
    <row r="5066" spans="1:1">
      <c r="A5066" t="s">
        <v>41057</v>
      </c>
    </row>
    <row r="5067" spans="1:1">
      <c r="A5067" t="s">
        <v>41057</v>
      </c>
    </row>
    <row r="5068" spans="1:1">
      <c r="A5068" t="s">
        <v>41057</v>
      </c>
    </row>
    <row r="5069" spans="1:1">
      <c r="A5069" t="s">
        <v>47719</v>
      </c>
    </row>
    <row r="5070" spans="1:1">
      <c r="A5070" t="s">
        <v>41057</v>
      </c>
    </row>
    <row r="5071" spans="1:1">
      <c r="A5071" t="s">
        <v>41057</v>
      </c>
    </row>
    <row r="5072" spans="1:1">
      <c r="A5072" t="s">
        <v>41057</v>
      </c>
    </row>
    <row r="5073" spans="1:1">
      <c r="A5073" t="s">
        <v>41057</v>
      </c>
    </row>
    <row r="5074" spans="1:1">
      <c r="A5074" t="s">
        <v>41057</v>
      </c>
    </row>
    <row r="5075" spans="1:1">
      <c r="A5075" t="s">
        <v>47720</v>
      </c>
    </row>
    <row r="5076" spans="1:1">
      <c r="A5076" t="s">
        <v>47721</v>
      </c>
    </row>
    <row r="5077" spans="1:1">
      <c r="A5077" t="s">
        <v>41057</v>
      </c>
    </row>
    <row r="5078" spans="1:1">
      <c r="A5078" t="s">
        <v>47722</v>
      </c>
    </row>
    <row r="5079" spans="1:1">
      <c r="A5079" t="s">
        <v>41057</v>
      </c>
    </row>
    <row r="5080" spans="1:1">
      <c r="A5080" t="s">
        <v>47723</v>
      </c>
    </row>
    <row r="5081" spans="1:1">
      <c r="A5081" t="s">
        <v>41057</v>
      </c>
    </row>
    <row r="5082" spans="1:1">
      <c r="A5082" t="s">
        <v>41057</v>
      </c>
    </row>
    <row r="5083" spans="1:1">
      <c r="A5083" t="s">
        <v>41057</v>
      </c>
    </row>
    <row r="5084" spans="1:1">
      <c r="A5084" t="s">
        <v>41057</v>
      </c>
    </row>
    <row r="5085" spans="1:1">
      <c r="A5085" t="s">
        <v>41057</v>
      </c>
    </row>
    <row r="5086" spans="1:1">
      <c r="A5086" t="s">
        <v>41057</v>
      </c>
    </row>
    <row r="5087" spans="1:1">
      <c r="A5087" t="s">
        <v>41057</v>
      </c>
    </row>
    <row r="5088" spans="1:1">
      <c r="A5088" t="s">
        <v>41057</v>
      </c>
    </row>
    <row r="5089" spans="1:1">
      <c r="A5089" t="s">
        <v>41057</v>
      </c>
    </row>
    <row r="5090" spans="1:1">
      <c r="A5090" t="s">
        <v>41057</v>
      </c>
    </row>
    <row r="5091" spans="1:1">
      <c r="A5091" t="s">
        <v>41057</v>
      </c>
    </row>
    <row r="5092" spans="1:1">
      <c r="A5092" t="e" cm="1">
        <f t="array" ref="A5092">-----------------------------------------------TDSV--------F</f>
        <v>#NAME?</v>
      </c>
    </row>
    <row r="5093" spans="1:1">
      <c r="A5093" t="s">
        <v>42524</v>
      </c>
    </row>
    <row r="5094" spans="1:1">
      <c r="A5094" t="s">
        <v>47724</v>
      </c>
    </row>
    <row r="5095" spans="1:1">
      <c r="A5095" t="e" cm="1">
        <f t="array" ref="A5095">--GERLKGKDA----------------------------LPY----VIE----------K</f>
        <v>#NAME?</v>
      </c>
    </row>
    <row r="5096" spans="1:1">
      <c r="A5096" t="s">
        <v>47725</v>
      </c>
    </row>
    <row r="5097" spans="1:1">
      <c r="A5097" t="e" cm="1">
        <f t="array" ref="A5097">--------PH------DLEYEK-TFWPLLL----------L-AKKKYV-----------G</f>
        <v>#NAME?</v>
      </c>
    </row>
    <row r="5098" spans="1:1">
      <c r="A5098" t="s">
        <v>47726</v>
      </c>
    </row>
    <row r="5099" spans="1:1">
      <c r="A5099" t="s">
        <v>47727</v>
      </c>
    </row>
    <row r="5100" spans="1:1">
      <c r="A5100" t="s">
        <v>47728</v>
      </c>
    </row>
    <row r="5101" spans="1:1">
      <c r="A5101" t="s">
        <v>47729</v>
      </c>
    </row>
    <row r="5102" spans="1:1">
      <c r="A5102" t="s">
        <v>47730</v>
      </c>
    </row>
    <row r="5103" spans="1:1">
      <c r="A5103" t="s">
        <v>47731</v>
      </c>
    </row>
    <row r="5104" spans="1:1">
      <c r="A5104" t="s">
        <v>47732</v>
      </c>
    </row>
    <row r="5105" spans="1:1">
      <c r="A5105" t="s">
        <v>47733</v>
      </c>
    </row>
    <row r="5106" spans="1:1">
      <c r="A5106" t="s">
        <v>47734</v>
      </c>
    </row>
    <row r="5107" spans="1:1">
      <c r="A5107" t="s">
        <v>47735</v>
      </c>
    </row>
    <row r="5108" spans="1:1">
      <c r="A5108" t="s">
        <v>47736</v>
      </c>
    </row>
    <row r="5109" spans="1:1">
      <c r="A5109" t="s">
        <v>41057</v>
      </c>
    </row>
    <row r="5110" spans="1:1">
      <c r="A5110" t="s">
        <v>47737</v>
      </c>
    </row>
    <row r="5111" spans="1:1">
      <c r="A5111" t="s">
        <v>47738</v>
      </c>
    </row>
    <row r="5112" spans="1:1">
      <c r="A5112" t="s">
        <v>47739</v>
      </c>
    </row>
    <row r="5113" spans="1:1">
      <c r="A5113" t="s">
        <v>47740</v>
      </c>
    </row>
    <row r="5114" spans="1:1">
      <c r="A5114" t="s">
        <v>47741</v>
      </c>
    </row>
    <row r="5115" spans="1:1">
      <c r="A5115" t="s">
        <v>47742</v>
      </c>
    </row>
    <row r="5116" spans="1:1">
      <c r="A5116" t="s">
        <v>47743</v>
      </c>
    </row>
    <row r="5117" spans="1:1">
      <c r="A5117" t="s">
        <v>41057</v>
      </c>
    </row>
    <row r="5118" spans="1:1">
      <c r="A5118" t="s">
        <v>41057</v>
      </c>
    </row>
    <row r="5119" spans="1:1">
      <c r="A5119" t="s">
        <v>41057</v>
      </c>
    </row>
    <row r="5120" spans="1:1">
      <c r="A5120" t="s">
        <v>45870</v>
      </c>
    </row>
    <row r="5121" spans="1:1">
      <c r="A5121" t="s">
        <v>43992</v>
      </c>
    </row>
    <row r="5122" spans="1:1">
      <c r="A5122" t="s">
        <v>41057</v>
      </c>
    </row>
    <row r="5123" spans="1:1">
      <c r="A5123" t="s">
        <v>41057</v>
      </c>
    </row>
    <row r="5124" spans="1:1">
      <c r="A5124" t="s">
        <v>45421</v>
      </c>
    </row>
    <row r="5125" spans="1:1">
      <c r="A5125" t="s">
        <v>41057</v>
      </c>
    </row>
    <row r="5126" spans="1:1">
      <c r="A5126" t="s">
        <v>41057</v>
      </c>
    </row>
    <row r="5127" spans="1:1">
      <c r="A5127" t="s">
        <v>47744</v>
      </c>
    </row>
    <row r="5128" spans="1:1">
      <c r="A5128" t="s">
        <v>47745</v>
      </c>
    </row>
    <row r="5129" spans="1:1">
      <c r="A5129" t="s">
        <v>47746</v>
      </c>
    </row>
    <row r="5130" spans="1:1">
      <c r="A5130" t="e" cm="1">
        <f t="array" ref="A5130">----------------------------------------------------------SE</f>
        <v>#NAME?</v>
      </c>
    </row>
    <row r="5131" spans="1:1">
      <c r="A5131" t="s">
        <v>47747</v>
      </c>
    </row>
    <row r="5132" spans="1:1">
      <c r="A5132" t="s">
        <v>47748</v>
      </c>
    </row>
    <row r="5133" spans="1:1">
      <c r="A5133" t="s">
        <v>47749</v>
      </c>
    </row>
    <row r="5134" spans="1:1">
      <c r="A5134" t="s">
        <v>47750</v>
      </c>
    </row>
    <row r="5135" spans="1:1">
      <c r="A5135" t="s">
        <v>47751</v>
      </c>
    </row>
    <row r="5136" spans="1:1">
      <c r="A5136" t="s">
        <v>47752</v>
      </c>
    </row>
    <row r="5137" spans="1:1">
      <c r="A5137" t="s">
        <v>47753</v>
      </c>
    </row>
    <row r="5138" spans="1:1">
      <c r="A5138" t="s">
        <v>47754</v>
      </c>
    </row>
    <row r="5139" spans="1:1">
      <c r="A5139" t="s">
        <v>47755</v>
      </c>
    </row>
    <row r="5140" spans="1:1">
      <c r="A5140" t="s">
        <v>47756</v>
      </c>
    </row>
    <row r="5141" spans="1:1">
      <c r="A5141" t="s">
        <v>41057</v>
      </c>
    </row>
    <row r="5142" spans="1:1">
      <c r="A5142" t="s">
        <v>41057</v>
      </c>
    </row>
    <row r="5143" spans="1:1">
      <c r="A5143" t="s">
        <v>41057</v>
      </c>
    </row>
    <row r="5144" spans="1:1">
      <c r="A5144" t="s">
        <v>47757</v>
      </c>
    </row>
    <row r="5145" spans="1:1">
      <c r="A5145" t="s">
        <v>47758</v>
      </c>
    </row>
    <row r="5146" spans="1:1">
      <c r="A5146" t="s">
        <v>47759</v>
      </c>
    </row>
    <row r="5147" spans="1:1">
      <c r="A5147" t="s">
        <v>47760</v>
      </c>
    </row>
    <row r="5148" spans="1:1">
      <c r="A5148" t="e" cm="1">
        <f t="array" ref="A5148">---DEEYIYERARLY---G-------------------------------------IE-K</f>
        <v>#NAME?</v>
      </c>
    </row>
    <row r="5149" spans="1:1">
      <c r="A5149" t="s">
        <v>47761</v>
      </c>
    </row>
    <row r="5150" spans="1:1">
      <c r="A5150" t="e" cm="1">
        <f t="array" ref="A5150">-------------------------------------MSCNFKIHRLSSSALG-TNILKY</f>
        <v>#NAME?</v>
      </c>
    </row>
    <row r="5151" spans="1:1">
      <c r="A5151" t="s">
        <v>47762</v>
      </c>
    </row>
    <row r="5152" spans="1:1">
      <c r="A5152" t="s">
        <v>47763</v>
      </c>
    </row>
    <row r="5153" spans="1:1">
      <c r="A5153" t="e" cm="1">
        <f t="array" ref="A5153">----------------KMTKIKVDSTSFQGKHVPKTNDFIVLMNDL------------DT</f>
        <v>#NAME?</v>
      </c>
    </row>
    <row r="5154" spans="1:1">
      <c r="A5154" t="s">
        <v>47764</v>
      </c>
    </row>
    <row r="5155" spans="1:1">
      <c r="A5155" t="s">
        <v>47765</v>
      </c>
    </row>
    <row r="5156" spans="1:1">
      <c r="A5156" t="s">
        <v>47766</v>
      </c>
    </row>
    <row r="5157" spans="1:1">
      <c r="A5157" t="s">
        <v>47767</v>
      </c>
    </row>
    <row r="5158" spans="1:1">
      <c r="A5158" t="s">
        <v>41057</v>
      </c>
    </row>
    <row r="5159" spans="1:1">
      <c r="A5159" t="s">
        <v>45447</v>
      </c>
    </row>
    <row r="5160" spans="1:1">
      <c r="A5160" t="e" cm="1">
        <f t="array" ref="A5160">--------------YCIQDTQ-----------------LV--------LDLYSKL-EVHV</f>
        <v>#NAME?</v>
      </c>
    </row>
    <row r="5161" spans="1:1">
      <c r="A5161" t="s">
        <v>47768</v>
      </c>
    </row>
    <row r="5162" spans="1:1">
      <c r="A5162" t="s">
        <v>47769</v>
      </c>
    </row>
    <row r="5163" spans="1:1">
      <c r="A5163" t="s">
        <v>41057</v>
      </c>
    </row>
    <row r="5164" spans="1:1">
      <c r="A5164" t="s">
        <v>41057</v>
      </c>
    </row>
    <row r="5165" spans="1:1">
      <c r="A5165" t="e" cm="1">
        <f t="array" ref="A5165">------------Y-YE--------------------------------GGTV-IDPVIGY</f>
        <v>#NAME?</v>
      </c>
    </row>
    <row r="5166" spans="1:1">
      <c r="A5166" t="s">
        <v>47770</v>
      </c>
    </row>
    <row r="5167" spans="1:1">
      <c r="A5167" t="s">
        <v>41057</v>
      </c>
    </row>
    <row r="5168" spans="1:1">
      <c r="A5168" t="s">
        <v>41057</v>
      </c>
    </row>
    <row r="5169" spans="1:1">
      <c r="A5169" t="s">
        <v>41057</v>
      </c>
    </row>
    <row r="5170" spans="1:1">
      <c r="A5170" t="s">
        <v>41057</v>
      </c>
    </row>
    <row r="5171" spans="1:1">
      <c r="A5171" t="s">
        <v>41057</v>
      </c>
    </row>
    <row r="5172" spans="1:1">
      <c r="A5172" t="s">
        <v>41057</v>
      </c>
    </row>
    <row r="5173" spans="1:1">
      <c r="A5173" t="s">
        <v>41057</v>
      </c>
    </row>
    <row r="5174" spans="1:1">
      <c r="A5174" t="s">
        <v>41057</v>
      </c>
    </row>
    <row r="5175" spans="1:1">
      <c r="A5175" t="s">
        <v>47771</v>
      </c>
    </row>
    <row r="5176" spans="1:1">
      <c r="A5176" t="s">
        <v>47772</v>
      </c>
    </row>
    <row r="5177" spans="1:1">
      <c r="A5177" t="s">
        <v>47773</v>
      </c>
    </row>
    <row r="5178" spans="1:1">
      <c r="A5178" t="s">
        <v>47774</v>
      </c>
    </row>
    <row r="5179" spans="1:1">
      <c r="A5179" t="s">
        <v>41057</v>
      </c>
    </row>
    <row r="5180" spans="1:1">
      <c r="A5180" t="s">
        <v>41057</v>
      </c>
    </row>
    <row r="5181" spans="1:1">
      <c r="A5181" t="s">
        <v>41057</v>
      </c>
    </row>
    <row r="5182" spans="1:1">
      <c r="A5182" t="s">
        <v>47775</v>
      </c>
    </row>
    <row r="5183" spans="1:1">
      <c r="A5183" t="s">
        <v>47776</v>
      </c>
    </row>
    <row r="5184" spans="1:1">
      <c r="A5184" t="s">
        <v>47777</v>
      </c>
    </row>
    <row r="5185" spans="1:1">
      <c r="A5185" t="s">
        <v>47778</v>
      </c>
    </row>
    <row r="5186" spans="1:1">
      <c r="A5186" t="s">
        <v>47779</v>
      </c>
    </row>
    <row r="5187" spans="1:1">
      <c r="A5187" t="s">
        <v>47780</v>
      </c>
    </row>
    <row r="5188" spans="1:1">
      <c r="A5188" t="s">
        <v>41057</v>
      </c>
    </row>
    <row r="5189" spans="1:1">
      <c r="A5189" t="s">
        <v>41057</v>
      </c>
    </row>
    <row r="5190" spans="1:1">
      <c r="A5190" t="s">
        <v>41057</v>
      </c>
    </row>
    <row r="5191" spans="1:1">
      <c r="A5191" t="s">
        <v>41057</v>
      </c>
    </row>
    <row r="5192" spans="1:1">
      <c r="A5192" t="s">
        <v>41057</v>
      </c>
    </row>
    <row r="5193" spans="1:1">
      <c r="A5193" t="s">
        <v>41057</v>
      </c>
    </row>
    <row r="5194" spans="1:1">
      <c r="A5194" t="s">
        <v>41057</v>
      </c>
    </row>
    <row r="5195" spans="1:1">
      <c r="A5195" t="s">
        <v>41057</v>
      </c>
    </row>
    <row r="5196" spans="1:1">
      <c r="A5196" t="s">
        <v>41057</v>
      </c>
    </row>
    <row r="5197" spans="1:1">
      <c r="A5197" t="s">
        <v>45914</v>
      </c>
    </row>
    <row r="5198" spans="1:1">
      <c r="A5198" t="s">
        <v>41057</v>
      </c>
    </row>
    <row r="5199" spans="1:1">
      <c r="A5199" t="s">
        <v>41057</v>
      </c>
    </row>
    <row r="5200" spans="1:1">
      <c r="A5200" t="s">
        <v>41057</v>
      </c>
    </row>
    <row r="5201" spans="1:1">
      <c r="A5201" t="s">
        <v>41057</v>
      </c>
    </row>
    <row r="5202" spans="1:1">
      <c r="A5202" t="s">
        <v>41057</v>
      </c>
    </row>
    <row r="5203" spans="1:1">
      <c r="A5203" t="s">
        <v>47781</v>
      </c>
    </row>
    <row r="5204" spans="1:1">
      <c r="A5204" t="s">
        <v>47782</v>
      </c>
    </row>
    <row r="5205" spans="1:1">
      <c r="A5205" t="s">
        <v>41057</v>
      </c>
    </row>
    <row r="5206" spans="1:1">
      <c r="A5206" t="s">
        <v>47783</v>
      </c>
    </row>
    <row r="5207" spans="1:1">
      <c r="A5207" t="e" cm="1">
        <f t="array" ref="A5207">-------------SEKTIT-------------------------------FLRSCLGKFG</f>
        <v>#NAME?</v>
      </c>
    </row>
    <row r="5208" spans="1:1">
      <c r="A5208" t="s">
        <v>47784</v>
      </c>
    </row>
    <row r="5209" spans="1:1">
      <c r="A5209" t="s">
        <v>47785</v>
      </c>
    </row>
    <row r="5210" spans="1:1">
      <c r="A5210" t="s">
        <v>41057</v>
      </c>
    </row>
    <row r="5211" spans="1:1">
      <c r="A5211" t="e" cm="1">
        <f t="array" ref="A5211">-------------------------------------------------------ENTKE</f>
        <v>#NAME?</v>
      </c>
    </row>
    <row r="5212" spans="1:1">
      <c r="A5212" t="s">
        <v>47786</v>
      </c>
    </row>
    <row r="5213" spans="1:1">
      <c r="A5213" t="s">
        <v>47787</v>
      </c>
    </row>
    <row r="5214" spans="1:1">
      <c r="A5214" t="s">
        <v>41057</v>
      </c>
    </row>
    <row r="5215" spans="1:1">
      <c r="A5215" t="s">
        <v>41057</v>
      </c>
    </row>
    <row r="5216" spans="1:1">
      <c r="A5216" t="s">
        <v>47788</v>
      </c>
    </row>
    <row r="5217" spans="1:1">
      <c r="A5217" t="s">
        <v>47789</v>
      </c>
    </row>
    <row r="5218" spans="1:1">
      <c r="A5218" t="s">
        <v>47790</v>
      </c>
    </row>
    <row r="5219" spans="1:1">
      <c r="A5219" t="s">
        <v>47791</v>
      </c>
    </row>
    <row r="5220" spans="1:1">
      <c r="A5220" t="e" cm="1">
        <f t="array" ref="A5220">-----------------SGYFVAGDG---LG--LVL---------KNTDSV--------F</f>
        <v>#NAME?</v>
      </c>
    </row>
    <row r="5221" spans="1:1">
      <c r="A5221" t="s">
        <v>42524</v>
      </c>
    </row>
    <row r="5222" spans="1:1">
      <c r="A5222" t="s">
        <v>47792</v>
      </c>
    </row>
    <row r="5223" spans="1:1">
      <c r="A5223" t="e" cm="1">
        <f t="array" ref="A5223">--LNPLEKSQL----------------------------LSI----NIK----------L</f>
        <v>#NAME?</v>
      </c>
    </row>
    <row r="5224" spans="1:1">
      <c r="A5224" t="s">
        <v>47793</v>
      </c>
    </row>
    <row r="5225" spans="1:1">
      <c r="A5225" t="e" cm="1">
        <f t="array" ref="A5225">--------PQ------SLEYEK-TFFPFII----------I-NKKMYT-----------G</f>
        <v>#NAME?</v>
      </c>
    </row>
    <row r="5226" spans="1:1">
      <c r="A5226" t="s">
        <v>47794</v>
      </c>
    </row>
    <row r="5227" spans="1:1">
      <c r="A5227" t="s">
        <v>47795</v>
      </c>
    </row>
    <row r="5228" spans="1:1">
      <c r="A5228" t="s">
        <v>47796</v>
      </c>
    </row>
    <row r="5229" spans="1:1">
      <c r="A5229" t="s">
        <v>47797</v>
      </c>
    </row>
    <row r="5230" spans="1:1">
      <c r="A5230" t="s">
        <v>47798</v>
      </c>
    </row>
    <row r="5231" spans="1:1">
      <c r="A5231" t="s">
        <v>47799</v>
      </c>
    </row>
    <row r="5232" spans="1:1">
      <c r="A5232" t="s">
        <v>47800</v>
      </c>
    </row>
    <row r="5233" spans="1:1">
      <c r="A5233" t="s">
        <v>47801</v>
      </c>
    </row>
    <row r="5234" spans="1:1">
      <c r="A5234" t="s">
        <v>47802</v>
      </c>
    </row>
    <row r="5235" spans="1:1">
      <c r="A5235" t="s">
        <v>47803</v>
      </c>
    </row>
    <row r="5236" spans="1:1">
      <c r="A5236" t="s">
        <v>47804</v>
      </c>
    </row>
    <row r="5237" spans="1:1">
      <c r="A5237" t="s">
        <v>41057</v>
      </c>
    </row>
    <row r="5238" spans="1:1">
      <c r="A5238" t="s">
        <v>47805</v>
      </c>
    </row>
    <row r="5239" spans="1:1">
      <c r="A5239" t="s">
        <v>41057</v>
      </c>
    </row>
    <row r="5240" spans="1:1">
      <c r="A5240" t="s">
        <v>41057</v>
      </c>
    </row>
    <row r="5241" spans="1:1">
      <c r="A5241" t="s">
        <v>47806</v>
      </c>
    </row>
    <row r="5242" spans="1:1">
      <c r="A5242" t="s">
        <v>47807</v>
      </c>
    </row>
    <row r="5243" spans="1:1">
      <c r="A5243" t="s">
        <v>47808</v>
      </c>
    </row>
    <row r="5244" spans="1:1">
      <c r="A5244" t="s">
        <v>41057</v>
      </c>
    </row>
    <row r="5245" spans="1:1">
      <c r="A5245" t="s">
        <v>41057</v>
      </c>
    </row>
    <row r="5246" spans="1:1">
      <c r="A5246" t="s">
        <v>47809</v>
      </c>
    </row>
    <row r="5247" spans="1:1">
      <c r="A5247" t="e" cm="1">
        <f t="array" ref="A5247">-------------------------------------------------------LAKKK</f>
        <v>#NAME?</v>
      </c>
    </row>
    <row r="5248" spans="1:1">
      <c r="A5248" t="s">
        <v>47810</v>
      </c>
    </row>
    <row r="5249" spans="1:1">
      <c r="A5249" t="s">
        <v>43217</v>
      </c>
    </row>
    <row r="5250" spans="1:1">
      <c r="A5250" t="s">
        <v>41057</v>
      </c>
    </row>
    <row r="5251" spans="1:1">
      <c r="A5251" t="s">
        <v>41057</v>
      </c>
    </row>
    <row r="5252" spans="1:1">
      <c r="A5252" t="s">
        <v>41057</v>
      </c>
    </row>
    <row r="5253" spans="1:1">
      <c r="A5253" t="s">
        <v>41057</v>
      </c>
    </row>
    <row r="5254" spans="1:1">
      <c r="A5254" t="s">
        <v>41057</v>
      </c>
    </row>
    <row r="5255" spans="1:1">
      <c r="A5255" t="s">
        <v>47811</v>
      </c>
    </row>
    <row r="5256" spans="1:1">
      <c r="A5256" t="s">
        <v>47812</v>
      </c>
    </row>
    <row r="5257" spans="1:1">
      <c r="A5257" t="s">
        <v>47813</v>
      </c>
    </row>
    <row r="5258" spans="1:1">
      <c r="A5258" t="e" cm="1">
        <f t="array" ref="A5258">----------------------------------------------------------DE</f>
        <v>#NAME?</v>
      </c>
    </row>
    <row r="5259" spans="1:1">
      <c r="A5259" t="s">
        <v>47814</v>
      </c>
    </row>
    <row r="5260" spans="1:1">
      <c r="A5260" t="s">
        <v>47815</v>
      </c>
    </row>
    <row r="5261" spans="1:1">
      <c r="A5261" t="s">
        <v>47816</v>
      </c>
    </row>
    <row r="5262" spans="1:1">
      <c r="A5262" t="s">
        <v>47817</v>
      </c>
    </row>
    <row r="5263" spans="1:1">
      <c r="A5263" t="s">
        <v>47818</v>
      </c>
    </row>
    <row r="5264" spans="1:1">
      <c r="A5264" t="s">
        <v>47819</v>
      </c>
    </row>
    <row r="5265" spans="1:1">
      <c r="A5265" t="s">
        <v>47820</v>
      </c>
    </row>
    <row r="5266" spans="1:1">
      <c r="A5266" t="s">
        <v>47821</v>
      </c>
    </row>
    <row r="5267" spans="1:1">
      <c r="A5267" t="s">
        <v>47822</v>
      </c>
    </row>
    <row r="5268" spans="1:1">
      <c r="A5268" t="s">
        <v>47823</v>
      </c>
    </row>
    <row r="5269" spans="1:1">
      <c r="A5269" t="s">
        <v>41057</v>
      </c>
    </row>
    <row r="5270" spans="1:1">
      <c r="A5270" t="s">
        <v>41057</v>
      </c>
    </row>
    <row r="5271" spans="1:1">
      <c r="A5271" t="s">
        <v>41057</v>
      </c>
    </row>
    <row r="5272" spans="1:1">
      <c r="A5272" t="s">
        <v>47824</v>
      </c>
    </row>
    <row r="5273" spans="1:1">
      <c r="A5273" t="s">
        <v>47825</v>
      </c>
    </row>
    <row r="5274" spans="1:1">
      <c r="A5274" t="s">
        <v>47826</v>
      </c>
    </row>
    <row r="5275" spans="1:1">
      <c r="A5275" t="s">
        <v>47827</v>
      </c>
    </row>
    <row r="5276" spans="1:1">
      <c r="A5276" t="e" cm="1">
        <f t="array" ref="A5276">---DMEYIYKRA-QV--NR-------------------------------------CH-Y</f>
        <v>#NAME?</v>
      </c>
    </row>
    <row r="5277" spans="1:1">
      <c r="A5277" t="s">
        <v>47828</v>
      </c>
    </row>
    <row r="5278" spans="1:1">
      <c r="A5278" t="e" cm="1">
        <f t="array" ref="A5278">---------------------------------------SELVIKKLSSSALG-DNLLKL</f>
        <v>#NAME?</v>
      </c>
    </row>
    <row r="5279" spans="1:1">
      <c r="A5279" t="s">
        <v>47829</v>
      </c>
    </row>
    <row r="5280" spans="1:1">
      <c r="A5280" t="s">
        <v>47830</v>
      </c>
    </row>
    <row r="5281" spans="1:1">
      <c r="A5281" t="s">
        <v>41057</v>
      </c>
    </row>
    <row r="5282" spans="1:1">
      <c r="A5282" t="s">
        <v>47831</v>
      </c>
    </row>
    <row r="5283" spans="1:1">
      <c r="A5283" t="s">
        <v>47832</v>
      </c>
    </row>
    <row r="5284" spans="1:1">
      <c r="A5284" t="e" cm="1">
        <f t="array" ref="A5284">-------------------------APKEM-------FARYRE----------------E</f>
        <v>#NAME?</v>
      </c>
    </row>
    <row r="5285" spans="1:1">
      <c r="A5285" t="s">
        <v>47833</v>
      </c>
    </row>
    <row r="5286" spans="1:1">
      <c r="A5286" t="s">
        <v>41057</v>
      </c>
    </row>
    <row r="5287" spans="1:1">
      <c r="A5287" t="s">
        <v>47081</v>
      </c>
    </row>
    <row r="5288" spans="1:1">
      <c r="A5288" t="e" cm="1">
        <f t="array" ref="A5288">--------------YCIKDTL-----------------LP--------HRLMKKL-CTLL</f>
        <v>#NAME?</v>
      </c>
    </row>
    <row r="5289" spans="1:1">
      <c r="A5289" t="s">
        <v>47834</v>
      </c>
    </row>
    <row r="5290" spans="1:1">
      <c r="A5290" t="s">
        <v>47835</v>
      </c>
    </row>
    <row r="5291" spans="1:1">
      <c r="A5291" t="s">
        <v>41057</v>
      </c>
    </row>
    <row r="5292" spans="1:1">
      <c r="A5292" t="s">
        <v>47836</v>
      </c>
    </row>
    <row r="5293" spans="1:1">
      <c r="A5293" t="e" cm="1">
        <f t="array" ref="A5293">-----------EP-YE--------------------------------GATV-LEAQKGA</f>
        <v>#NAME?</v>
      </c>
    </row>
    <row r="5294" spans="1:1">
      <c r="A5294" t="s">
        <v>47837</v>
      </c>
    </row>
    <row r="5295" spans="1:1">
      <c r="A5295" t="s">
        <v>41057</v>
      </c>
    </row>
    <row r="5296" spans="1:1">
      <c r="A5296" t="s">
        <v>41057</v>
      </c>
    </row>
    <row r="5297" spans="1:1">
      <c r="A5297" t="s">
        <v>41057</v>
      </c>
    </row>
    <row r="5298" spans="1:1">
      <c r="A5298" t="s">
        <v>41057</v>
      </c>
    </row>
    <row r="5299" spans="1:1">
      <c r="A5299" t="s">
        <v>41057</v>
      </c>
    </row>
    <row r="5300" spans="1:1">
      <c r="A5300" t="s">
        <v>41057</v>
      </c>
    </row>
    <row r="5301" spans="1:1">
      <c r="A5301" t="s">
        <v>41057</v>
      </c>
    </row>
    <row r="5302" spans="1:1">
      <c r="A5302" t="s">
        <v>41057</v>
      </c>
    </row>
    <row r="5303" spans="1:1">
      <c r="A5303" t="s">
        <v>47838</v>
      </c>
    </row>
    <row r="5304" spans="1:1">
      <c r="A5304" t="s">
        <v>47839</v>
      </c>
    </row>
    <row r="5305" spans="1:1">
      <c r="A5305" t="s">
        <v>46394</v>
      </c>
    </row>
    <row r="5306" spans="1:1">
      <c r="A5306" t="s">
        <v>41057</v>
      </c>
    </row>
    <row r="5307" spans="1:1">
      <c r="A5307" t="s">
        <v>41057</v>
      </c>
    </row>
    <row r="5308" spans="1:1">
      <c r="A5308" t="s">
        <v>47840</v>
      </c>
    </row>
    <row r="5309" spans="1:1">
      <c r="A5309" t="s">
        <v>41057</v>
      </c>
    </row>
    <row r="5310" spans="1:1">
      <c r="A5310" t="s">
        <v>47841</v>
      </c>
    </row>
    <row r="5311" spans="1:1">
      <c r="A5311" t="s">
        <v>47842</v>
      </c>
    </row>
    <row r="5312" spans="1:1">
      <c r="A5312" t="s">
        <v>47843</v>
      </c>
    </row>
    <row r="5313" spans="1:1">
      <c r="A5313" t="s">
        <v>47844</v>
      </c>
    </row>
    <row r="5314" spans="1:1">
      <c r="A5314" t="s">
        <v>47845</v>
      </c>
    </row>
    <row r="5315" spans="1:1">
      <c r="A5315" t="s">
        <v>47846</v>
      </c>
    </row>
    <row r="5316" spans="1:1">
      <c r="A5316" t="s">
        <v>41057</v>
      </c>
    </row>
    <row r="5317" spans="1:1">
      <c r="A5317" t="s">
        <v>41057</v>
      </c>
    </row>
    <row r="5318" spans="1:1">
      <c r="A5318" t="s">
        <v>41057</v>
      </c>
    </row>
    <row r="5319" spans="1:1">
      <c r="A5319" t="s">
        <v>41057</v>
      </c>
    </row>
    <row r="5320" spans="1:1">
      <c r="A5320" t="s">
        <v>41057</v>
      </c>
    </row>
    <row r="5321" spans="1:1">
      <c r="A5321" t="s">
        <v>41057</v>
      </c>
    </row>
    <row r="5322" spans="1:1">
      <c r="A5322" t="s">
        <v>41057</v>
      </c>
    </row>
    <row r="5323" spans="1:1">
      <c r="A5323" t="s">
        <v>41057</v>
      </c>
    </row>
    <row r="5324" spans="1:1">
      <c r="A5324" t="s">
        <v>41057</v>
      </c>
    </row>
    <row r="5325" spans="1:1">
      <c r="A5325" t="s">
        <v>47847</v>
      </c>
    </row>
    <row r="5326" spans="1:1">
      <c r="A5326" t="s">
        <v>41057</v>
      </c>
    </row>
    <row r="5327" spans="1:1">
      <c r="A5327" t="s">
        <v>41057</v>
      </c>
    </row>
    <row r="5328" spans="1:1">
      <c r="A5328" t="s">
        <v>41057</v>
      </c>
    </row>
    <row r="5329" spans="1:1">
      <c r="A5329" t="s">
        <v>41057</v>
      </c>
    </row>
    <row r="5330" spans="1:1">
      <c r="A5330" t="s">
        <v>41057</v>
      </c>
    </row>
    <row r="5331" spans="1:1">
      <c r="A5331" t="s">
        <v>47848</v>
      </c>
    </row>
    <row r="5332" spans="1:1">
      <c r="A5332" t="s">
        <v>47849</v>
      </c>
    </row>
    <row r="5333" spans="1:1">
      <c r="A5333" t="s">
        <v>41057</v>
      </c>
    </row>
    <row r="5334" spans="1:1">
      <c r="A5334" t="s">
        <v>41057</v>
      </c>
    </row>
    <row r="5335" spans="1:1">
      <c r="A5335" t="s">
        <v>41057</v>
      </c>
    </row>
    <row r="5336" spans="1:1">
      <c r="A5336" t="e" cm="1">
        <f t="array" ref="A5336">-------------AKVRYGDSV------------TPDTPLLIR-----ENGEVKTTRIDS</f>
        <v>#NAME?</v>
      </c>
    </row>
    <row r="5337" spans="1:1">
      <c r="A5337" t="s">
        <v>47850</v>
      </c>
    </row>
    <row r="5338" spans="1:1">
      <c r="A5338" t="s">
        <v>41057</v>
      </c>
    </row>
    <row r="5339" spans="1:1">
      <c r="A5339" t="s">
        <v>41057</v>
      </c>
    </row>
    <row r="5340" spans="1:1">
      <c r="A5340" t="s">
        <v>47851</v>
      </c>
    </row>
    <row r="5341" spans="1:1">
      <c r="A5341" t="s">
        <v>47852</v>
      </c>
    </row>
    <row r="5342" spans="1:1">
      <c r="A5342" t="s">
        <v>47853</v>
      </c>
    </row>
    <row r="5343" spans="1:1">
      <c r="A5343" t="e" cm="1">
        <f t="array" ref="A5343">--MTFLEEMSELCP---FETRVYDT-IQSSGVYKLN----------AVGDVKSISVRYRS</f>
        <v>#NAME?</v>
      </c>
    </row>
    <row r="5344" spans="1:1">
      <c r="A5344" t="s">
        <v>47854</v>
      </c>
    </row>
    <row r="5345" spans="1:1">
      <c r="A5345" t="s">
        <v>47855</v>
      </c>
    </row>
    <row r="5346" spans="1:1">
      <c r="A5346" t="s">
        <v>47856</v>
      </c>
    </row>
    <row r="5347" spans="1:1">
      <c r="A5347" t="s">
        <v>47857</v>
      </c>
    </row>
    <row r="5348" spans="1:1">
      <c r="A5348" t="e" cm="1">
        <f t="array" ref="A5348">-----------------SHHFHVGPG----D--LVV---------HNTDSV--------M</f>
        <v>#NAME?</v>
      </c>
    </row>
    <row r="5349" spans="1:1">
      <c r="A5349" t="s">
        <v>41087</v>
      </c>
    </row>
    <row r="5350" spans="1:1">
      <c r="A5350" t="s">
        <v>47858</v>
      </c>
    </row>
    <row r="5351" spans="1:1">
      <c r="A5351" t="e" cm="1">
        <f t="array" ref="A5351">-------GEEA----------------------------IAY----SWE----------V</f>
        <v>#NAME?</v>
      </c>
    </row>
    <row r="5352" spans="1:1">
      <c r="A5352" t="s">
        <v>47859</v>
      </c>
    </row>
    <row r="5353" spans="1:1">
      <c r="A5353" t="e" cm="1">
        <f t="array" ref="A5353">--------PN------NLELEK-VYWPYFL----------Y-SKKRYA-----------A</f>
        <v>#NAME?</v>
      </c>
    </row>
    <row r="5354" spans="1:1">
      <c r="A5354" t="s">
        <v>47860</v>
      </c>
    </row>
    <row r="5355" spans="1:1">
      <c r="A5355" t="s">
        <v>47861</v>
      </c>
    </row>
    <row r="5356" spans="1:1">
      <c r="A5356" t="s">
        <v>47862</v>
      </c>
    </row>
    <row r="5357" spans="1:1">
      <c r="A5357" t="s">
        <v>47863</v>
      </c>
    </row>
    <row r="5358" spans="1:1">
      <c r="A5358" t="s">
        <v>47864</v>
      </c>
    </row>
    <row r="5359" spans="1:1">
      <c r="A5359" t="s">
        <v>47865</v>
      </c>
    </row>
    <row r="5360" spans="1:1">
      <c r="A5360" t="s">
        <v>47866</v>
      </c>
    </row>
    <row r="5361" spans="1:1">
      <c r="A5361" t="s">
        <v>47867</v>
      </c>
    </row>
    <row r="5362" spans="1:1">
      <c r="A5362" t="s">
        <v>47868</v>
      </c>
    </row>
    <row r="5363" spans="1:1">
      <c r="A5363" t="s">
        <v>47869</v>
      </c>
    </row>
    <row r="5364" spans="1:1">
      <c r="A5364" t="s">
        <v>47870</v>
      </c>
    </row>
    <row r="5365" spans="1:1">
      <c r="A5365" t="s">
        <v>41057</v>
      </c>
    </row>
    <row r="5366" spans="1:1">
      <c r="A5366" t="s">
        <v>47871</v>
      </c>
    </row>
    <row r="5367" spans="1:1">
      <c r="A5367" t="s">
        <v>47872</v>
      </c>
    </row>
    <row r="5368" spans="1:1">
      <c r="A5368" t="s">
        <v>47873</v>
      </c>
    </row>
    <row r="5369" spans="1:1">
      <c r="A5369" t="s">
        <v>47874</v>
      </c>
    </row>
    <row r="5370" spans="1:1">
      <c r="A5370" t="s">
        <v>47875</v>
      </c>
    </row>
    <row r="5371" spans="1:1">
      <c r="A5371" t="s">
        <v>47876</v>
      </c>
    </row>
    <row r="5372" spans="1:1">
      <c r="A5372" t="s">
        <v>47877</v>
      </c>
    </row>
    <row r="5373" spans="1:1">
      <c r="A5373" t="s">
        <v>41057</v>
      </c>
    </row>
    <row r="5374" spans="1:1">
      <c r="A5374" t="s">
        <v>47878</v>
      </c>
    </row>
    <row r="5375" spans="1:1">
      <c r="A5375" t="s">
        <v>41057</v>
      </c>
    </row>
    <row r="5376" spans="1:1">
      <c r="A5376" t="s">
        <v>45870</v>
      </c>
    </row>
    <row r="5377" spans="1:1">
      <c r="A5377" t="s">
        <v>44378</v>
      </c>
    </row>
    <row r="5378" spans="1:1">
      <c r="A5378" t="s">
        <v>41057</v>
      </c>
    </row>
    <row r="5379" spans="1:1">
      <c r="A5379" t="s">
        <v>41057</v>
      </c>
    </row>
    <row r="5380" spans="1:1">
      <c r="A5380" t="s">
        <v>41057</v>
      </c>
    </row>
    <row r="5381" spans="1:1">
      <c r="A5381" t="s">
        <v>41057</v>
      </c>
    </row>
    <row r="5382" spans="1:1">
      <c r="A5382" t="s">
        <v>41057</v>
      </c>
    </row>
    <row r="5383" spans="1:1">
      <c r="A5383" t="s">
        <v>47811</v>
      </c>
    </row>
    <row r="5384" spans="1:1">
      <c r="A5384" t="s">
        <v>47812</v>
      </c>
    </row>
    <row r="5385" spans="1:1">
      <c r="A5385" t="s">
        <v>47813</v>
      </c>
    </row>
    <row r="5386" spans="1:1">
      <c r="A5386" t="e" cm="1">
        <f t="array" ref="A5386">----------------------------------------------------------DE</f>
        <v>#NAME?</v>
      </c>
    </row>
    <row r="5387" spans="1:1">
      <c r="A5387" t="s">
        <v>47814</v>
      </c>
    </row>
    <row r="5388" spans="1:1">
      <c r="A5388" t="s">
        <v>47879</v>
      </c>
    </row>
    <row r="5389" spans="1:1">
      <c r="A5389" t="s">
        <v>47880</v>
      </c>
    </row>
    <row r="5390" spans="1:1">
      <c r="A5390" t="s">
        <v>47817</v>
      </c>
    </row>
    <row r="5391" spans="1:1">
      <c r="A5391" t="s">
        <v>47881</v>
      </c>
    </row>
    <row r="5392" spans="1:1">
      <c r="A5392" t="s">
        <v>47882</v>
      </c>
    </row>
    <row r="5393" spans="1:1">
      <c r="A5393" t="s">
        <v>47820</v>
      </c>
    </row>
    <row r="5394" spans="1:1">
      <c r="A5394" t="s">
        <v>47883</v>
      </c>
    </row>
    <row r="5395" spans="1:1">
      <c r="A5395" t="s">
        <v>47822</v>
      </c>
    </row>
    <row r="5396" spans="1:1">
      <c r="A5396" t="s">
        <v>47884</v>
      </c>
    </row>
    <row r="5397" spans="1:1">
      <c r="A5397" t="s">
        <v>41057</v>
      </c>
    </row>
    <row r="5398" spans="1:1">
      <c r="A5398" t="s">
        <v>41057</v>
      </c>
    </row>
    <row r="5399" spans="1:1">
      <c r="A5399" t="s">
        <v>41057</v>
      </c>
    </row>
    <row r="5400" spans="1:1">
      <c r="A5400" t="s">
        <v>47824</v>
      </c>
    </row>
    <row r="5401" spans="1:1">
      <c r="A5401" t="s">
        <v>47825</v>
      </c>
    </row>
    <row r="5402" spans="1:1">
      <c r="A5402" t="s">
        <v>47826</v>
      </c>
    </row>
    <row r="5403" spans="1:1">
      <c r="A5403" t="s">
        <v>47885</v>
      </c>
    </row>
    <row r="5404" spans="1:1">
      <c r="A5404" t="e" cm="1">
        <f t="array" ref="A5404">---DMEYIYKRA-QV--NR-------------------------------------CH-Y</f>
        <v>#NAME?</v>
      </c>
    </row>
    <row r="5405" spans="1:1">
      <c r="A5405" t="s">
        <v>47828</v>
      </c>
    </row>
    <row r="5406" spans="1:1">
      <c r="A5406" t="e" cm="1">
        <f t="array" ref="A5406">---------------------------------------SELVIKKLSSSALG-DNLLKL</f>
        <v>#NAME?</v>
      </c>
    </row>
    <row r="5407" spans="1:1">
      <c r="A5407" t="s">
        <v>47886</v>
      </c>
    </row>
    <row r="5408" spans="1:1">
      <c r="A5408" t="s">
        <v>47830</v>
      </c>
    </row>
    <row r="5409" spans="1:1">
      <c r="A5409" t="s">
        <v>41057</v>
      </c>
    </row>
    <row r="5410" spans="1:1">
      <c r="A5410" t="s">
        <v>47831</v>
      </c>
    </row>
    <row r="5411" spans="1:1">
      <c r="A5411" t="s">
        <v>47832</v>
      </c>
    </row>
    <row r="5412" spans="1:1">
      <c r="A5412" t="e" cm="1">
        <f t="array" ref="A5412">-------------------------APKEM-------FARYNE----------------G</f>
        <v>#NAME?</v>
      </c>
    </row>
    <row r="5413" spans="1:1">
      <c r="A5413" t="s">
        <v>47833</v>
      </c>
    </row>
    <row r="5414" spans="1:1">
      <c r="A5414" t="s">
        <v>41057</v>
      </c>
    </row>
    <row r="5415" spans="1:1">
      <c r="A5415" t="s">
        <v>47081</v>
      </c>
    </row>
    <row r="5416" spans="1:1">
      <c r="A5416" t="e" cm="1">
        <f t="array" ref="A5416">--------------YCIKDTL-----------------LP--------HRLMKKL-CTLL</f>
        <v>#NAME?</v>
      </c>
    </row>
    <row r="5417" spans="1:1">
      <c r="A5417" t="s">
        <v>47834</v>
      </c>
    </row>
    <row r="5418" spans="1:1">
      <c r="A5418" t="s">
        <v>47835</v>
      </c>
    </row>
    <row r="5419" spans="1:1">
      <c r="A5419" t="s">
        <v>41057</v>
      </c>
    </row>
    <row r="5420" spans="1:1">
      <c r="A5420" t="s">
        <v>47836</v>
      </c>
    </row>
    <row r="5421" spans="1:1">
      <c r="A5421" t="e" cm="1">
        <f t="array" ref="A5421">-----------EP-YE--------------------------------GATV-LEAQKGA</f>
        <v>#NAME?</v>
      </c>
    </row>
    <row r="5422" spans="1:1">
      <c r="A5422" t="s">
        <v>47837</v>
      </c>
    </row>
    <row r="5423" spans="1:1">
      <c r="A5423" t="s">
        <v>41057</v>
      </c>
    </row>
    <row r="5424" spans="1:1">
      <c r="A5424" t="s">
        <v>41057</v>
      </c>
    </row>
    <row r="5425" spans="1:1">
      <c r="A5425" t="s">
        <v>41057</v>
      </c>
    </row>
    <row r="5426" spans="1:1">
      <c r="A5426" t="s">
        <v>41057</v>
      </c>
    </row>
    <row r="5427" spans="1:1">
      <c r="A5427" t="s">
        <v>41057</v>
      </c>
    </row>
    <row r="5428" spans="1:1">
      <c r="A5428" t="s">
        <v>41057</v>
      </c>
    </row>
    <row r="5429" spans="1:1">
      <c r="A5429" t="s">
        <v>41057</v>
      </c>
    </row>
    <row r="5430" spans="1:1">
      <c r="A5430" t="s">
        <v>41057</v>
      </c>
    </row>
    <row r="5431" spans="1:1">
      <c r="A5431" t="s">
        <v>47838</v>
      </c>
    </row>
    <row r="5432" spans="1:1">
      <c r="A5432" t="s">
        <v>47887</v>
      </c>
    </row>
    <row r="5433" spans="1:1">
      <c r="A5433" t="s">
        <v>46394</v>
      </c>
    </row>
    <row r="5434" spans="1:1">
      <c r="A5434" t="s">
        <v>41057</v>
      </c>
    </row>
    <row r="5435" spans="1:1">
      <c r="A5435" t="s">
        <v>41057</v>
      </c>
    </row>
    <row r="5436" spans="1:1">
      <c r="A5436" t="s">
        <v>47888</v>
      </c>
    </row>
    <row r="5437" spans="1:1">
      <c r="A5437" t="s">
        <v>41057</v>
      </c>
    </row>
    <row r="5438" spans="1:1">
      <c r="A5438" t="s">
        <v>47841</v>
      </c>
    </row>
    <row r="5439" spans="1:1">
      <c r="A5439" t="s">
        <v>47842</v>
      </c>
    </row>
    <row r="5440" spans="1:1">
      <c r="A5440" t="s">
        <v>47889</v>
      </c>
    </row>
    <row r="5441" spans="1:1">
      <c r="A5441" t="s">
        <v>47844</v>
      </c>
    </row>
    <row r="5442" spans="1:1">
      <c r="A5442" t="s">
        <v>47845</v>
      </c>
    </row>
    <row r="5443" spans="1:1">
      <c r="A5443" t="s">
        <v>47846</v>
      </c>
    </row>
    <row r="5444" spans="1:1">
      <c r="A5444" t="s">
        <v>41057</v>
      </c>
    </row>
    <row r="5445" spans="1:1">
      <c r="A5445" t="s">
        <v>41057</v>
      </c>
    </row>
    <row r="5446" spans="1:1">
      <c r="A5446" t="s">
        <v>41057</v>
      </c>
    </row>
    <row r="5447" spans="1:1">
      <c r="A5447" t="s">
        <v>41057</v>
      </c>
    </row>
    <row r="5448" spans="1:1">
      <c r="A5448" t="s">
        <v>41057</v>
      </c>
    </row>
    <row r="5449" spans="1:1">
      <c r="A5449" t="s">
        <v>41057</v>
      </c>
    </row>
    <row r="5450" spans="1:1">
      <c r="A5450" t="s">
        <v>41057</v>
      </c>
    </row>
    <row r="5451" spans="1:1">
      <c r="A5451" t="s">
        <v>41057</v>
      </c>
    </row>
    <row r="5452" spans="1:1">
      <c r="A5452" t="s">
        <v>41057</v>
      </c>
    </row>
    <row r="5453" spans="1:1">
      <c r="A5453" t="s">
        <v>47890</v>
      </c>
    </row>
    <row r="5454" spans="1:1">
      <c r="A5454" t="s">
        <v>41057</v>
      </c>
    </row>
    <row r="5455" spans="1:1">
      <c r="A5455" t="s">
        <v>41057</v>
      </c>
    </row>
    <row r="5456" spans="1:1">
      <c r="A5456" t="s">
        <v>41057</v>
      </c>
    </row>
    <row r="5457" spans="1:1">
      <c r="A5457" t="s">
        <v>41057</v>
      </c>
    </row>
    <row r="5458" spans="1:1">
      <c r="A5458" t="s">
        <v>41057</v>
      </c>
    </row>
    <row r="5459" spans="1:1">
      <c r="A5459" t="s">
        <v>47891</v>
      </c>
    </row>
    <row r="5460" spans="1:1">
      <c r="A5460" t="s">
        <v>47892</v>
      </c>
    </row>
    <row r="5461" spans="1:1">
      <c r="A5461" t="s">
        <v>41057</v>
      </c>
    </row>
    <row r="5462" spans="1:1">
      <c r="A5462" t="s">
        <v>41057</v>
      </c>
    </row>
    <row r="5463" spans="1:1">
      <c r="A5463" t="s">
        <v>41057</v>
      </c>
    </row>
    <row r="5464" spans="1:1">
      <c r="A5464" t="s">
        <v>47893</v>
      </c>
    </row>
    <row r="5465" spans="1:1">
      <c r="A5465" t="s">
        <v>41057</v>
      </c>
    </row>
    <row r="5466" spans="1:1">
      <c r="A5466" t="s">
        <v>41057</v>
      </c>
    </row>
    <row r="5467" spans="1:1">
      <c r="A5467" t="s">
        <v>41057</v>
      </c>
    </row>
    <row r="5468" spans="1:1">
      <c r="A5468" t="s">
        <v>41057</v>
      </c>
    </row>
    <row r="5469" spans="1:1">
      <c r="A5469" t="s">
        <v>41057</v>
      </c>
    </row>
    <row r="5470" spans="1:1">
      <c r="A5470" t="s">
        <v>41057</v>
      </c>
    </row>
    <row r="5471" spans="1:1">
      <c r="A5471" t="s">
        <v>41057</v>
      </c>
    </row>
    <row r="5472" spans="1:1">
      <c r="A5472" t="s">
        <v>41057</v>
      </c>
    </row>
    <row r="5473" spans="1:1">
      <c r="A5473" t="s">
        <v>41057</v>
      </c>
    </row>
    <row r="5474" spans="1:1">
      <c r="A5474" t="s">
        <v>41057</v>
      </c>
    </row>
    <row r="5475" spans="1:1">
      <c r="A5475" t="s">
        <v>41057</v>
      </c>
    </row>
    <row r="5476" spans="1:1">
      <c r="A5476" t="e" cm="1">
        <f t="array" ref="A5476">-----------------------------------------------TDSV--------M</f>
        <v>#NAME?</v>
      </c>
    </row>
    <row r="5477" spans="1:1">
      <c r="A5477" t="s">
        <v>41087</v>
      </c>
    </row>
    <row r="5478" spans="1:1">
      <c r="A5478" t="s">
        <v>47858</v>
      </c>
    </row>
    <row r="5479" spans="1:1">
      <c r="A5479" t="e" cm="1">
        <f t="array" ref="A5479">-------GEDA----------------------------IAY----SWE----------V</f>
        <v>#NAME?</v>
      </c>
    </row>
    <row r="5480" spans="1:1">
      <c r="A5480" t="s">
        <v>47859</v>
      </c>
    </row>
    <row r="5481" spans="1:1">
      <c r="A5481" t="e" cm="1">
        <f t="array" ref="A5481">--------PN------NLELEK-VYWPYFL----------Y-SKKRYA-----------A</f>
        <v>#NAME?</v>
      </c>
    </row>
    <row r="5482" spans="1:1">
      <c r="A5482" t="s">
        <v>47860</v>
      </c>
    </row>
    <row r="5483" spans="1:1">
      <c r="A5483" t="s">
        <v>47861</v>
      </c>
    </row>
    <row r="5484" spans="1:1">
      <c r="A5484" t="s">
        <v>47862</v>
      </c>
    </row>
    <row r="5485" spans="1:1">
      <c r="A5485" t="s">
        <v>47863</v>
      </c>
    </row>
    <row r="5486" spans="1:1">
      <c r="A5486" t="s">
        <v>47894</v>
      </c>
    </row>
    <row r="5487" spans="1:1">
      <c r="A5487" t="s">
        <v>47865</v>
      </c>
    </row>
    <row r="5488" spans="1:1">
      <c r="A5488" t="s">
        <v>47895</v>
      </c>
    </row>
    <row r="5489" spans="1:1">
      <c r="A5489" t="s">
        <v>47867</v>
      </c>
    </row>
    <row r="5490" spans="1:1">
      <c r="A5490" t="s">
        <v>47896</v>
      </c>
    </row>
    <row r="5491" spans="1:1">
      <c r="A5491" t="s">
        <v>47869</v>
      </c>
    </row>
    <row r="5492" spans="1:1">
      <c r="A5492" t="s">
        <v>47870</v>
      </c>
    </row>
    <row r="5493" spans="1:1">
      <c r="A5493" t="s">
        <v>41057</v>
      </c>
    </row>
    <row r="5494" spans="1:1">
      <c r="A5494" t="s">
        <v>47897</v>
      </c>
    </row>
    <row r="5495" spans="1:1">
      <c r="A5495" t="s">
        <v>47898</v>
      </c>
    </row>
    <row r="5496" spans="1:1">
      <c r="A5496" t="s">
        <v>47899</v>
      </c>
    </row>
    <row r="5497" spans="1:1">
      <c r="A5497" t="s">
        <v>47900</v>
      </c>
    </row>
    <row r="5498" spans="1:1">
      <c r="A5498" t="s">
        <v>47901</v>
      </c>
    </row>
    <row r="5499" spans="1:1">
      <c r="A5499" t="s">
        <v>47902</v>
      </c>
    </row>
    <row r="5500" spans="1:1">
      <c r="A5500" t="s">
        <v>47903</v>
      </c>
    </row>
    <row r="5501" spans="1:1">
      <c r="A5501" t="s">
        <v>41057</v>
      </c>
    </row>
    <row r="5502" spans="1:1">
      <c r="A5502" t="s">
        <v>47904</v>
      </c>
    </row>
    <row r="5503" spans="1:1">
      <c r="A5503" t="s">
        <v>41057</v>
      </c>
    </row>
    <row r="5504" spans="1:1">
      <c r="A5504" t="s">
        <v>45870</v>
      </c>
    </row>
    <row r="5505" spans="1:1">
      <c r="A5505" t="s">
        <v>44303</v>
      </c>
    </row>
    <row r="5506" spans="1:1">
      <c r="A5506" t="s">
        <v>41057</v>
      </c>
    </row>
    <row r="5507" spans="1:1">
      <c r="A5507" t="s">
        <v>41057</v>
      </c>
    </row>
    <row r="5508" spans="1:1">
      <c r="A5508" t="s">
        <v>41057</v>
      </c>
    </row>
    <row r="5509" spans="1:1">
      <c r="A5509" t="s">
        <v>41057</v>
      </c>
    </row>
    <row r="5510" spans="1:1">
      <c r="A5510" t="s">
        <v>41057</v>
      </c>
    </row>
    <row r="5511" spans="1:1">
      <c r="A5511" t="s">
        <v>47811</v>
      </c>
    </row>
    <row r="5512" spans="1:1">
      <c r="A5512" t="s">
        <v>47812</v>
      </c>
    </row>
    <row r="5513" spans="1:1">
      <c r="A5513" t="s">
        <v>47905</v>
      </c>
    </row>
    <row r="5514" spans="1:1">
      <c r="A5514" t="e" cm="1">
        <f t="array" ref="A5514">----------------------------------------------------------KE</f>
        <v>#NAME?</v>
      </c>
    </row>
    <row r="5515" spans="1:1">
      <c r="A5515" t="s">
        <v>47906</v>
      </c>
    </row>
    <row r="5516" spans="1:1">
      <c r="A5516" t="s">
        <v>47907</v>
      </c>
    </row>
    <row r="5517" spans="1:1">
      <c r="A5517" t="s">
        <v>47908</v>
      </c>
    </row>
    <row r="5518" spans="1:1">
      <c r="A5518" t="s">
        <v>47909</v>
      </c>
    </row>
    <row r="5519" spans="1:1">
      <c r="A5519" t="s">
        <v>47910</v>
      </c>
    </row>
    <row r="5520" spans="1:1">
      <c r="A5520" t="s">
        <v>47911</v>
      </c>
    </row>
    <row r="5521" spans="1:1">
      <c r="A5521" t="s">
        <v>47912</v>
      </c>
    </row>
    <row r="5522" spans="1:1">
      <c r="A5522" t="s">
        <v>47913</v>
      </c>
    </row>
    <row r="5523" spans="1:1">
      <c r="A5523" t="s">
        <v>47914</v>
      </c>
    </row>
    <row r="5524" spans="1:1">
      <c r="A5524" t="s">
        <v>47823</v>
      </c>
    </row>
    <row r="5525" spans="1:1">
      <c r="A5525" t="s">
        <v>41057</v>
      </c>
    </row>
    <row r="5526" spans="1:1">
      <c r="A5526" t="s">
        <v>41057</v>
      </c>
    </row>
    <row r="5527" spans="1:1">
      <c r="A5527" t="s">
        <v>41057</v>
      </c>
    </row>
    <row r="5528" spans="1:1">
      <c r="A5528" t="s">
        <v>47915</v>
      </c>
    </row>
    <row r="5529" spans="1:1">
      <c r="A5529" t="s">
        <v>47916</v>
      </c>
    </row>
    <row r="5530" spans="1:1">
      <c r="A5530" t="s">
        <v>41057</v>
      </c>
    </row>
    <row r="5531" spans="1:1">
      <c r="A5531" t="s">
        <v>47917</v>
      </c>
    </row>
    <row r="5532" spans="1:1">
      <c r="A5532" t="e" cm="1">
        <f t="array" ref="A5532">---DLEFIYKRA-FV--VG-------------------------------------CD-P</f>
        <v>#NAME?</v>
      </c>
    </row>
    <row r="5533" spans="1:1">
      <c r="A5533" t="s">
        <v>47918</v>
      </c>
    </row>
    <row r="5534" spans="1:1">
      <c r="A5534" t="e" cm="1">
        <f t="array" ref="A5534">---------------------------------------CELLIKKLSSSALG-DNLLKL</f>
        <v>#NAME?</v>
      </c>
    </row>
    <row r="5535" spans="1:1">
      <c r="A5535" t="s">
        <v>47919</v>
      </c>
    </row>
    <row r="5536" spans="1:1">
      <c r="A5536" t="s">
        <v>47920</v>
      </c>
    </row>
    <row r="5537" spans="1:1">
      <c r="A5537" t="s">
        <v>41057</v>
      </c>
    </row>
    <row r="5538" spans="1:1">
      <c r="A5538" t="s">
        <v>47831</v>
      </c>
    </row>
    <row r="5539" spans="1:1">
      <c r="A5539" t="s">
        <v>47832</v>
      </c>
    </row>
    <row r="5540" spans="1:1">
      <c r="A5540" t="e" cm="1">
        <f t="array" ref="A5540">-------------------------PPREM-------FARYRE----------------G</f>
        <v>#NAME?</v>
      </c>
    </row>
    <row r="5541" spans="1:1">
      <c r="A5541" t="s">
        <v>47921</v>
      </c>
    </row>
    <row r="5542" spans="1:1">
      <c r="A5542" t="s">
        <v>41057</v>
      </c>
    </row>
    <row r="5543" spans="1:1">
      <c r="A5543" t="s">
        <v>47081</v>
      </c>
    </row>
    <row r="5544" spans="1:1">
      <c r="A5544" t="e" cm="1">
        <f t="array" ref="A5544">--------------YCIKDTL-----------------LP--------HKLMKKM-CILL</f>
        <v>#NAME?</v>
      </c>
    </row>
    <row r="5545" spans="1:1">
      <c r="A5545" t="s">
        <v>47922</v>
      </c>
    </row>
    <row r="5546" spans="1:1">
      <c r="A5546" t="s">
        <v>47835</v>
      </c>
    </row>
    <row r="5547" spans="1:1">
      <c r="A5547" t="s">
        <v>41057</v>
      </c>
    </row>
    <row r="5548" spans="1:1">
      <c r="A5548" t="s">
        <v>47923</v>
      </c>
    </row>
    <row r="5549" spans="1:1">
      <c r="A5549" t="e" cm="1">
        <f t="array" ref="A5549">-----------DP-YE--------------------------------GATV-LEAQKGA</f>
        <v>#NAME?</v>
      </c>
    </row>
    <row r="5550" spans="1:1">
      <c r="A5550" t="s">
        <v>47837</v>
      </c>
    </row>
    <row r="5551" spans="1:1">
      <c r="A5551" t="s">
        <v>41057</v>
      </c>
    </row>
    <row r="5552" spans="1:1">
      <c r="A5552" t="s">
        <v>41057</v>
      </c>
    </row>
    <row r="5553" spans="1:1">
      <c r="A5553" t="s">
        <v>41057</v>
      </c>
    </row>
    <row r="5554" spans="1:1">
      <c r="A5554" t="s">
        <v>41057</v>
      </c>
    </row>
    <row r="5555" spans="1:1">
      <c r="A5555" t="s">
        <v>41057</v>
      </c>
    </row>
    <row r="5556" spans="1:1">
      <c r="A5556" t="s">
        <v>41057</v>
      </c>
    </row>
    <row r="5557" spans="1:1">
      <c r="A5557" t="s">
        <v>41057</v>
      </c>
    </row>
    <row r="5558" spans="1:1">
      <c r="A5558" t="s">
        <v>41057</v>
      </c>
    </row>
    <row r="5559" spans="1:1">
      <c r="A5559" t="s">
        <v>47924</v>
      </c>
    </row>
    <row r="5560" spans="1:1">
      <c r="A5560" t="s">
        <v>47925</v>
      </c>
    </row>
    <row r="5561" spans="1:1">
      <c r="A5561" t="s">
        <v>47926</v>
      </c>
    </row>
    <row r="5562" spans="1:1">
      <c r="A5562" t="s">
        <v>41057</v>
      </c>
    </row>
    <row r="5563" spans="1:1">
      <c r="A5563" t="s">
        <v>41057</v>
      </c>
    </row>
    <row r="5564" spans="1:1">
      <c r="A5564" t="s">
        <v>47927</v>
      </c>
    </row>
    <row r="5565" spans="1:1">
      <c r="A5565" t="s">
        <v>41057</v>
      </c>
    </row>
    <row r="5566" spans="1:1">
      <c r="A5566" t="s">
        <v>47841</v>
      </c>
    </row>
    <row r="5567" spans="1:1">
      <c r="A5567" t="s">
        <v>47928</v>
      </c>
    </row>
    <row r="5568" spans="1:1">
      <c r="A5568" t="s">
        <v>47929</v>
      </c>
    </row>
    <row r="5569" spans="1:1">
      <c r="A5569" t="s">
        <v>47930</v>
      </c>
    </row>
    <row r="5570" spans="1:1">
      <c r="A5570" t="s">
        <v>47931</v>
      </c>
    </row>
    <row r="5571" spans="1:1">
      <c r="A5571" t="s">
        <v>47846</v>
      </c>
    </row>
    <row r="5572" spans="1:1">
      <c r="A5572" t="s">
        <v>41057</v>
      </c>
    </row>
    <row r="5573" spans="1:1">
      <c r="A5573" t="s">
        <v>41057</v>
      </c>
    </row>
    <row r="5574" spans="1:1">
      <c r="A5574" t="s">
        <v>41057</v>
      </c>
    </row>
    <row r="5575" spans="1:1">
      <c r="A5575" t="s">
        <v>41057</v>
      </c>
    </row>
    <row r="5576" spans="1:1">
      <c r="A5576" t="s">
        <v>41057</v>
      </c>
    </row>
    <row r="5577" spans="1:1">
      <c r="A5577" t="s">
        <v>41057</v>
      </c>
    </row>
    <row r="5578" spans="1:1">
      <c r="A5578" t="s">
        <v>41057</v>
      </c>
    </row>
    <row r="5579" spans="1:1">
      <c r="A5579" t="s">
        <v>41057</v>
      </c>
    </row>
    <row r="5580" spans="1:1">
      <c r="A5580" t="s">
        <v>41057</v>
      </c>
    </row>
    <row r="5581" spans="1:1">
      <c r="A5581" t="s">
        <v>47847</v>
      </c>
    </row>
    <row r="5582" spans="1:1">
      <c r="A5582" t="s">
        <v>41057</v>
      </c>
    </row>
    <row r="5583" spans="1:1">
      <c r="A5583" t="s">
        <v>41057</v>
      </c>
    </row>
    <row r="5584" spans="1:1">
      <c r="A5584" t="s">
        <v>41057</v>
      </c>
    </row>
    <row r="5585" spans="1:1">
      <c r="A5585" t="s">
        <v>41057</v>
      </c>
    </row>
    <row r="5586" spans="1:1">
      <c r="A5586" t="s">
        <v>41057</v>
      </c>
    </row>
    <row r="5587" spans="1:1">
      <c r="A5587" t="s">
        <v>47932</v>
      </c>
    </row>
    <row r="5588" spans="1:1">
      <c r="A5588" t="s">
        <v>47933</v>
      </c>
    </row>
    <row r="5589" spans="1:1">
      <c r="A5589" t="s">
        <v>41057</v>
      </c>
    </row>
    <row r="5590" spans="1:1">
      <c r="A5590" t="s">
        <v>41057</v>
      </c>
    </row>
    <row r="5591" spans="1:1">
      <c r="A5591" t="s">
        <v>41057</v>
      </c>
    </row>
    <row r="5592" spans="1:1">
      <c r="A5592" t="s">
        <v>47893</v>
      </c>
    </row>
    <row r="5593" spans="1:1">
      <c r="A5593" t="s">
        <v>41057</v>
      </c>
    </row>
    <row r="5594" spans="1:1">
      <c r="A5594" t="s">
        <v>41057</v>
      </c>
    </row>
    <row r="5595" spans="1:1">
      <c r="A5595" t="s">
        <v>41057</v>
      </c>
    </row>
    <row r="5596" spans="1:1">
      <c r="A5596" t="s">
        <v>41057</v>
      </c>
    </row>
    <row r="5597" spans="1:1">
      <c r="A5597" t="s">
        <v>41057</v>
      </c>
    </row>
    <row r="5598" spans="1:1">
      <c r="A5598" t="s">
        <v>41057</v>
      </c>
    </row>
    <row r="5599" spans="1:1">
      <c r="A5599" t="s">
        <v>41057</v>
      </c>
    </row>
    <row r="5600" spans="1:1">
      <c r="A5600" t="s">
        <v>41057</v>
      </c>
    </row>
    <row r="5601" spans="1:1">
      <c r="A5601" t="s">
        <v>41057</v>
      </c>
    </row>
    <row r="5602" spans="1:1">
      <c r="A5602" t="s">
        <v>41057</v>
      </c>
    </row>
    <row r="5603" spans="1:1">
      <c r="A5603" t="s">
        <v>41057</v>
      </c>
    </row>
    <row r="5604" spans="1:1">
      <c r="A5604" t="e" cm="1">
        <f t="array" ref="A5604">-----------------------------------------------TDSV--------M</f>
        <v>#NAME?</v>
      </c>
    </row>
    <row r="5605" spans="1:1">
      <c r="A5605" t="s">
        <v>41087</v>
      </c>
    </row>
    <row r="5606" spans="1:1">
      <c r="A5606" t="s">
        <v>47858</v>
      </c>
    </row>
    <row r="5607" spans="1:1">
      <c r="A5607" t="e" cm="1">
        <f t="array" ref="A5607">-------GVEA----------------------------VEY----SWE----------V</f>
        <v>#NAME?</v>
      </c>
    </row>
    <row r="5608" spans="1:1">
      <c r="A5608" t="s">
        <v>47859</v>
      </c>
    </row>
    <row r="5609" spans="1:1">
      <c r="A5609" t="e" cm="1">
        <f t="array" ref="A5609">--------PN------NLELEK-VYWPYFL----------Y-SKKRYA-----------A</f>
        <v>#NAME?</v>
      </c>
    </row>
    <row r="5610" spans="1:1">
      <c r="A5610" t="s">
        <v>47934</v>
      </c>
    </row>
    <row r="5611" spans="1:1">
      <c r="A5611" t="s">
        <v>47861</v>
      </c>
    </row>
    <row r="5612" spans="1:1">
      <c r="A5612" t="s">
        <v>47935</v>
      </c>
    </row>
    <row r="5613" spans="1:1">
      <c r="A5613" t="s">
        <v>47863</v>
      </c>
    </row>
    <row r="5614" spans="1:1">
      <c r="A5614" t="s">
        <v>47936</v>
      </c>
    </row>
    <row r="5615" spans="1:1">
      <c r="A5615" t="s">
        <v>47937</v>
      </c>
    </row>
    <row r="5616" spans="1:1">
      <c r="A5616" t="s">
        <v>47938</v>
      </c>
    </row>
    <row r="5617" spans="1:1">
      <c r="A5617" t="s">
        <v>47939</v>
      </c>
    </row>
    <row r="5618" spans="1:1">
      <c r="A5618" t="s">
        <v>47940</v>
      </c>
    </row>
    <row r="5619" spans="1:1">
      <c r="A5619" t="s">
        <v>47941</v>
      </c>
    </row>
    <row r="5620" spans="1:1">
      <c r="A5620" t="s">
        <v>47942</v>
      </c>
    </row>
    <row r="5621" spans="1:1">
      <c r="A5621" t="s">
        <v>41057</v>
      </c>
    </row>
    <row r="5622" spans="1:1">
      <c r="A5622" t="s">
        <v>47943</v>
      </c>
    </row>
    <row r="5623" spans="1:1">
      <c r="A5623" t="s">
        <v>47944</v>
      </c>
    </row>
    <row r="5624" spans="1:1">
      <c r="A5624" t="s">
        <v>47945</v>
      </c>
    </row>
    <row r="5625" spans="1:1">
      <c r="A5625" t="s">
        <v>47946</v>
      </c>
    </row>
    <row r="5626" spans="1:1">
      <c r="A5626" t="s">
        <v>47947</v>
      </c>
    </row>
    <row r="5627" spans="1:1">
      <c r="A5627" t="s">
        <v>47948</v>
      </c>
    </row>
    <row r="5628" spans="1:1">
      <c r="A5628" t="s">
        <v>47949</v>
      </c>
    </row>
    <row r="5629" spans="1:1">
      <c r="A5629" t="s">
        <v>41057</v>
      </c>
    </row>
    <row r="5630" spans="1:1">
      <c r="A5630" t="s">
        <v>47950</v>
      </c>
    </row>
    <row r="5631" spans="1:1">
      <c r="A5631" t="s">
        <v>41057</v>
      </c>
    </row>
    <row r="5632" spans="1:1">
      <c r="A5632" t="s">
        <v>45870</v>
      </c>
    </row>
    <row r="5633" spans="1:1">
      <c r="A5633" t="s">
        <v>44343</v>
      </c>
    </row>
    <row r="5634" spans="1:1">
      <c r="A5634" t="s">
        <v>41057</v>
      </c>
    </row>
    <row r="5635" spans="1:1">
      <c r="A5635" t="s">
        <v>41057</v>
      </c>
    </row>
    <row r="5636" spans="1:1">
      <c r="A5636" t="s">
        <v>41057</v>
      </c>
    </row>
    <row r="5637" spans="1:1">
      <c r="A5637" t="s">
        <v>41057</v>
      </c>
    </row>
    <row r="5638" spans="1:1">
      <c r="A5638" t="s">
        <v>41057</v>
      </c>
    </row>
    <row r="5639" spans="1:1">
      <c r="A5639" t="s">
        <v>47951</v>
      </c>
    </row>
    <row r="5640" spans="1:1">
      <c r="A5640" t="s">
        <v>47812</v>
      </c>
    </row>
    <row r="5641" spans="1:1">
      <c r="A5641" t="s">
        <v>47952</v>
      </c>
    </row>
    <row r="5642" spans="1:1">
      <c r="A5642" t="e" cm="1">
        <f t="array" ref="A5642">----------------------------------------------------------DE</f>
        <v>#NAME?</v>
      </c>
    </row>
    <row r="5643" spans="1:1">
      <c r="A5643" t="s">
        <v>47953</v>
      </c>
    </row>
    <row r="5644" spans="1:1">
      <c r="A5644" t="s">
        <v>47954</v>
      </c>
    </row>
    <row r="5645" spans="1:1">
      <c r="A5645" t="s">
        <v>47955</v>
      </c>
    </row>
    <row r="5646" spans="1:1">
      <c r="A5646" t="s">
        <v>47956</v>
      </c>
    </row>
    <row r="5647" spans="1:1">
      <c r="A5647" t="s">
        <v>47957</v>
      </c>
    </row>
    <row r="5648" spans="1:1">
      <c r="A5648" t="s">
        <v>47958</v>
      </c>
    </row>
    <row r="5649" spans="1:1">
      <c r="A5649" t="s">
        <v>47820</v>
      </c>
    </row>
    <row r="5650" spans="1:1">
      <c r="A5650" t="s">
        <v>47959</v>
      </c>
    </row>
    <row r="5651" spans="1:1">
      <c r="A5651" t="s">
        <v>47914</v>
      </c>
    </row>
    <row r="5652" spans="1:1">
      <c r="A5652" t="s">
        <v>47960</v>
      </c>
    </row>
    <row r="5653" spans="1:1">
      <c r="A5653" t="s">
        <v>41057</v>
      </c>
    </row>
    <row r="5654" spans="1:1">
      <c r="A5654" t="s">
        <v>41057</v>
      </c>
    </row>
    <row r="5655" spans="1:1">
      <c r="A5655" t="s">
        <v>41057</v>
      </c>
    </row>
    <row r="5656" spans="1:1">
      <c r="A5656" t="s">
        <v>47824</v>
      </c>
    </row>
    <row r="5657" spans="1:1">
      <c r="A5657" t="s">
        <v>47961</v>
      </c>
    </row>
    <row r="5658" spans="1:1">
      <c r="A5658" t="s">
        <v>41057</v>
      </c>
    </row>
    <row r="5659" spans="1:1">
      <c r="A5659" t="s">
        <v>47962</v>
      </c>
    </row>
    <row r="5660" spans="1:1">
      <c r="A5660" t="e" cm="1">
        <f t="array" ref="A5660">---DLEYIYKRA-FI--CG-------------------------------------CN-S</f>
        <v>#NAME?</v>
      </c>
    </row>
    <row r="5661" spans="1:1">
      <c r="A5661" t="s">
        <v>47963</v>
      </c>
    </row>
    <row r="5662" spans="1:1">
      <c r="A5662" t="e" cm="1">
        <f t="array" ref="A5662">---------------------------------------CEIVVKKLSSSALG-DNLLKL</f>
        <v>#NAME?</v>
      </c>
    </row>
    <row r="5663" spans="1:1">
      <c r="A5663" t="s">
        <v>47964</v>
      </c>
    </row>
    <row r="5664" spans="1:1">
      <c r="A5664" t="s">
        <v>47920</v>
      </c>
    </row>
    <row r="5665" spans="1:1">
      <c r="A5665" t="s">
        <v>41057</v>
      </c>
    </row>
    <row r="5666" spans="1:1">
      <c r="A5666" t="s">
        <v>47831</v>
      </c>
    </row>
    <row r="5667" spans="1:1">
      <c r="A5667" t="s">
        <v>47965</v>
      </c>
    </row>
    <row r="5668" spans="1:1">
      <c r="A5668" t="e" cm="1">
        <f t="array" ref="A5668">-------------------------SPKEM-------FARYLE----------------G</f>
        <v>#NAME?</v>
      </c>
    </row>
    <row r="5669" spans="1:1">
      <c r="A5669" t="s">
        <v>47966</v>
      </c>
    </row>
    <row r="5670" spans="1:1">
      <c r="A5670" t="s">
        <v>41057</v>
      </c>
    </row>
    <row r="5671" spans="1:1">
      <c r="A5671" t="s">
        <v>47703</v>
      </c>
    </row>
    <row r="5672" spans="1:1">
      <c r="A5672" t="e" cm="1">
        <f t="array" ref="A5672">--------------YCIKDTL-----------------LP--------HKLLKKM-CILL</f>
        <v>#NAME?</v>
      </c>
    </row>
    <row r="5673" spans="1:1">
      <c r="A5673" t="s">
        <v>47967</v>
      </c>
    </row>
    <row r="5674" spans="1:1">
      <c r="A5674" t="s">
        <v>47835</v>
      </c>
    </row>
    <row r="5675" spans="1:1">
      <c r="A5675" t="s">
        <v>41057</v>
      </c>
    </row>
    <row r="5676" spans="1:1">
      <c r="A5676" t="s">
        <v>47836</v>
      </c>
    </row>
    <row r="5677" spans="1:1">
      <c r="A5677" t="e" cm="1">
        <f t="array" ref="A5677">-----------EP-YE--------------------------------GATV-LDAQKGA</f>
        <v>#NAME?</v>
      </c>
    </row>
    <row r="5678" spans="1:1">
      <c r="A5678" t="s">
        <v>47837</v>
      </c>
    </row>
    <row r="5679" spans="1:1">
      <c r="A5679" t="s">
        <v>41057</v>
      </c>
    </row>
    <row r="5680" spans="1:1">
      <c r="A5680" t="s">
        <v>41057</v>
      </c>
    </row>
    <row r="5681" spans="1:1">
      <c r="A5681" t="s">
        <v>41057</v>
      </c>
    </row>
    <row r="5682" spans="1:1">
      <c r="A5682" t="s">
        <v>41057</v>
      </c>
    </row>
    <row r="5683" spans="1:1">
      <c r="A5683" t="s">
        <v>41057</v>
      </c>
    </row>
    <row r="5684" spans="1:1">
      <c r="A5684" t="s">
        <v>41057</v>
      </c>
    </row>
    <row r="5685" spans="1:1">
      <c r="A5685" t="s">
        <v>41057</v>
      </c>
    </row>
    <row r="5686" spans="1:1">
      <c r="A5686" t="s">
        <v>41057</v>
      </c>
    </row>
    <row r="5687" spans="1:1">
      <c r="A5687" t="s">
        <v>47968</v>
      </c>
    </row>
    <row r="5688" spans="1:1">
      <c r="A5688" t="s">
        <v>47969</v>
      </c>
    </row>
    <row r="5689" spans="1:1">
      <c r="A5689" t="s">
        <v>47926</v>
      </c>
    </row>
    <row r="5690" spans="1:1">
      <c r="A5690" t="s">
        <v>41057</v>
      </c>
    </row>
    <row r="5691" spans="1:1">
      <c r="A5691" t="s">
        <v>41057</v>
      </c>
    </row>
    <row r="5692" spans="1:1">
      <c r="A5692" t="s">
        <v>47970</v>
      </c>
    </row>
    <row r="5693" spans="1:1">
      <c r="A5693" t="s">
        <v>41057</v>
      </c>
    </row>
    <row r="5694" spans="1:1">
      <c r="A5694" t="s">
        <v>47971</v>
      </c>
    </row>
    <row r="5695" spans="1:1">
      <c r="A5695" t="s">
        <v>47928</v>
      </c>
    </row>
    <row r="5696" spans="1:1">
      <c r="A5696" t="s">
        <v>47972</v>
      </c>
    </row>
    <row r="5697" spans="1:1">
      <c r="A5697" t="s">
        <v>47973</v>
      </c>
    </row>
    <row r="5698" spans="1:1">
      <c r="A5698" t="s">
        <v>47974</v>
      </c>
    </row>
    <row r="5699" spans="1:1">
      <c r="A5699" t="s">
        <v>47846</v>
      </c>
    </row>
    <row r="5700" spans="1:1">
      <c r="A5700" t="s">
        <v>41057</v>
      </c>
    </row>
    <row r="5701" spans="1:1">
      <c r="A5701" t="s">
        <v>41057</v>
      </c>
    </row>
    <row r="5702" spans="1:1">
      <c r="A5702" t="s">
        <v>41057</v>
      </c>
    </row>
    <row r="5703" spans="1:1">
      <c r="A5703" t="s">
        <v>41057</v>
      </c>
    </row>
    <row r="5704" spans="1:1">
      <c r="A5704" t="s">
        <v>41057</v>
      </c>
    </row>
    <row r="5705" spans="1:1">
      <c r="A5705" t="s">
        <v>41057</v>
      </c>
    </row>
    <row r="5706" spans="1:1">
      <c r="A5706" t="s">
        <v>41057</v>
      </c>
    </row>
    <row r="5707" spans="1:1">
      <c r="A5707" t="s">
        <v>41057</v>
      </c>
    </row>
    <row r="5708" spans="1:1">
      <c r="A5708" t="s">
        <v>41057</v>
      </c>
    </row>
    <row r="5709" spans="1:1">
      <c r="A5709" t="s">
        <v>47847</v>
      </c>
    </row>
    <row r="5710" spans="1:1">
      <c r="A5710" t="s">
        <v>41057</v>
      </c>
    </row>
    <row r="5711" spans="1:1">
      <c r="A5711" t="s">
        <v>41057</v>
      </c>
    </row>
    <row r="5712" spans="1:1">
      <c r="A5712" t="s">
        <v>41057</v>
      </c>
    </row>
    <row r="5713" spans="1:1">
      <c r="A5713" t="s">
        <v>41057</v>
      </c>
    </row>
    <row r="5714" spans="1:1">
      <c r="A5714" t="s">
        <v>41057</v>
      </c>
    </row>
    <row r="5715" spans="1:1">
      <c r="A5715" t="s">
        <v>47975</v>
      </c>
    </row>
    <row r="5716" spans="1:1">
      <c r="A5716" t="s">
        <v>47976</v>
      </c>
    </row>
    <row r="5717" spans="1:1">
      <c r="A5717" t="s">
        <v>41057</v>
      </c>
    </row>
    <row r="5718" spans="1:1">
      <c r="A5718" t="s">
        <v>41057</v>
      </c>
    </row>
    <row r="5719" spans="1:1">
      <c r="A5719" t="s">
        <v>41057</v>
      </c>
    </row>
    <row r="5720" spans="1:1">
      <c r="A5720" t="s">
        <v>47893</v>
      </c>
    </row>
    <row r="5721" spans="1:1">
      <c r="A5721" t="s">
        <v>41057</v>
      </c>
    </row>
    <row r="5722" spans="1:1">
      <c r="A5722" t="s">
        <v>41057</v>
      </c>
    </row>
    <row r="5723" spans="1:1">
      <c r="A5723" t="s">
        <v>41057</v>
      </c>
    </row>
    <row r="5724" spans="1:1">
      <c r="A5724" t="s">
        <v>41057</v>
      </c>
    </row>
    <row r="5725" spans="1:1">
      <c r="A5725" t="s">
        <v>41057</v>
      </c>
    </row>
    <row r="5726" spans="1:1">
      <c r="A5726" t="s">
        <v>41057</v>
      </c>
    </row>
    <row r="5727" spans="1:1">
      <c r="A5727" t="s">
        <v>41057</v>
      </c>
    </row>
    <row r="5728" spans="1:1">
      <c r="A5728" t="s">
        <v>41057</v>
      </c>
    </row>
    <row r="5729" spans="1:1">
      <c r="A5729" t="s">
        <v>41057</v>
      </c>
    </row>
    <row r="5730" spans="1:1">
      <c r="A5730" t="s">
        <v>41057</v>
      </c>
    </row>
    <row r="5731" spans="1:1">
      <c r="A5731" t="s">
        <v>41057</v>
      </c>
    </row>
    <row r="5732" spans="1:1">
      <c r="A5732" t="e" cm="1">
        <f t="array" ref="A5732">-----------------------------------------------TDSV--------M</f>
        <v>#NAME?</v>
      </c>
    </row>
    <row r="5733" spans="1:1">
      <c r="A5733" t="s">
        <v>41087</v>
      </c>
    </row>
    <row r="5734" spans="1:1">
      <c r="A5734" t="s">
        <v>47858</v>
      </c>
    </row>
    <row r="5735" spans="1:1">
      <c r="A5735" t="e" cm="1">
        <f t="array" ref="A5735">-------GVDA----------------------------VKY----SWE----------V</f>
        <v>#NAME?</v>
      </c>
    </row>
    <row r="5736" spans="1:1">
      <c r="A5736" t="s">
        <v>47859</v>
      </c>
    </row>
    <row r="5737" spans="1:1">
      <c r="A5737" t="e" cm="1">
        <f t="array" ref="A5737">--------PN------NLELEK-VYWPYFL----------Y-SKKRYA-----------A</f>
        <v>#NAME?</v>
      </c>
    </row>
    <row r="5738" spans="1:1">
      <c r="A5738" t="s">
        <v>47934</v>
      </c>
    </row>
    <row r="5739" spans="1:1">
      <c r="A5739" t="s">
        <v>47861</v>
      </c>
    </row>
    <row r="5740" spans="1:1">
      <c r="A5740" t="s">
        <v>47977</v>
      </c>
    </row>
    <row r="5741" spans="1:1">
      <c r="A5741" t="s">
        <v>47863</v>
      </c>
    </row>
    <row r="5742" spans="1:1">
      <c r="A5742" t="s">
        <v>47978</v>
      </c>
    </row>
    <row r="5743" spans="1:1">
      <c r="A5743" t="s">
        <v>47979</v>
      </c>
    </row>
    <row r="5744" spans="1:1">
      <c r="A5744" t="s">
        <v>47980</v>
      </c>
    </row>
    <row r="5745" spans="1:1">
      <c r="A5745" t="s">
        <v>47981</v>
      </c>
    </row>
    <row r="5746" spans="1:1">
      <c r="A5746" t="s">
        <v>47982</v>
      </c>
    </row>
    <row r="5747" spans="1:1">
      <c r="A5747" t="s">
        <v>47983</v>
      </c>
    </row>
    <row r="5748" spans="1:1">
      <c r="A5748" t="s">
        <v>47984</v>
      </c>
    </row>
    <row r="5749" spans="1:1">
      <c r="A5749" t="s">
        <v>41057</v>
      </c>
    </row>
    <row r="5750" spans="1:1">
      <c r="A5750" t="s">
        <v>47943</v>
      </c>
    </row>
    <row r="5751" spans="1:1">
      <c r="A5751" t="s">
        <v>47985</v>
      </c>
    </row>
    <row r="5752" spans="1:1">
      <c r="A5752" t="s">
        <v>47986</v>
      </c>
    </row>
    <row r="5753" spans="1:1">
      <c r="A5753" t="s">
        <v>47987</v>
      </c>
    </row>
    <row r="5754" spans="1:1">
      <c r="A5754" t="s">
        <v>47988</v>
      </c>
    </row>
    <row r="5755" spans="1:1">
      <c r="A5755" t="s">
        <v>47989</v>
      </c>
    </row>
    <row r="5756" spans="1:1">
      <c r="A5756" t="s">
        <v>47990</v>
      </c>
    </row>
    <row r="5757" spans="1:1">
      <c r="A5757" t="s">
        <v>41057</v>
      </c>
    </row>
    <row r="5758" spans="1:1">
      <c r="A5758" t="s">
        <v>41057</v>
      </c>
    </row>
    <row r="5759" spans="1:1">
      <c r="A5759" t="s">
        <v>41057</v>
      </c>
    </row>
    <row r="5760" spans="1:1">
      <c r="A5760" t="s">
        <v>45870</v>
      </c>
    </row>
    <row r="5761" spans="1:1">
      <c r="A5761" t="s">
        <v>43437</v>
      </c>
    </row>
    <row r="5762" spans="1:1">
      <c r="A5762" t="s">
        <v>41057</v>
      </c>
    </row>
    <row r="5763" spans="1:1">
      <c r="A5763" t="s">
        <v>41057</v>
      </c>
    </row>
    <row r="5764" spans="1:1">
      <c r="A5764" t="s">
        <v>41057</v>
      </c>
    </row>
    <row r="5765" spans="1:1">
      <c r="A5765" t="s">
        <v>41057</v>
      </c>
    </row>
    <row r="5766" spans="1:1">
      <c r="A5766" t="s">
        <v>41057</v>
      </c>
    </row>
    <row r="5767" spans="1:1">
      <c r="A5767" t="s">
        <v>41057</v>
      </c>
    </row>
    <row r="5768" spans="1:1">
      <c r="A5768" t="s">
        <v>41057</v>
      </c>
    </row>
    <row r="5769" spans="1:1">
      <c r="A5769" t="s">
        <v>41057</v>
      </c>
    </row>
    <row r="5770" spans="1:1">
      <c r="A5770" t="s">
        <v>41057</v>
      </c>
    </row>
    <row r="5771" spans="1:1">
      <c r="A5771" t="s">
        <v>41057</v>
      </c>
    </row>
    <row r="5772" spans="1:1">
      <c r="A5772" t="s">
        <v>41057</v>
      </c>
    </row>
    <row r="5773" spans="1:1">
      <c r="A5773" t="s">
        <v>41057</v>
      </c>
    </row>
    <row r="5774" spans="1:1">
      <c r="A5774" t="s">
        <v>41057</v>
      </c>
    </row>
    <row r="5775" spans="1:1">
      <c r="A5775" t="s">
        <v>41057</v>
      </c>
    </row>
    <row r="5776" spans="1:1">
      <c r="A5776" t="s">
        <v>41057</v>
      </c>
    </row>
    <row r="5777" spans="1:1">
      <c r="A5777" t="s">
        <v>41057</v>
      </c>
    </row>
    <row r="5778" spans="1:1">
      <c r="A5778" t="s">
        <v>41057</v>
      </c>
    </row>
    <row r="5779" spans="1:1">
      <c r="A5779" t="s">
        <v>41057</v>
      </c>
    </row>
    <row r="5780" spans="1:1">
      <c r="A5780" t="s">
        <v>41057</v>
      </c>
    </row>
    <row r="5781" spans="1:1">
      <c r="A5781" t="s">
        <v>41057</v>
      </c>
    </row>
    <row r="5782" spans="1:1">
      <c r="A5782" t="s">
        <v>41057</v>
      </c>
    </row>
    <row r="5783" spans="1:1">
      <c r="A5783" t="s">
        <v>41057</v>
      </c>
    </row>
    <row r="5784" spans="1:1">
      <c r="A5784" t="s">
        <v>41057</v>
      </c>
    </row>
    <row r="5785" spans="1:1">
      <c r="A5785" t="s">
        <v>41057</v>
      </c>
    </row>
    <row r="5786" spans="1:1">
      <c r="A5786" t="s">
        <v>41057</v>
      </c>
    </row>
    <row r="5787" spans="1:1">
      <c r="A5787" t="s">
        <v>41057</v>
      </c>
    </row>
    <row r="5788" spans="1:1">
      <c r="A5788" t="s">
        <v>41057</v>
      </c>
    </row>
    <row r="5789" spans="1:1">
      <c r="A5789" t="s">
        <v>41057</v>
      </c>
    </row>
    <row r="5790" spans="1:1">
      <c r="A5790" t="s">
        <v>41057</v>
      </c>
    </row>
    <row r="5791" spans="1:1">
      <c r="A5791" t="s">
        <v>41057</v>
      </c>
    </row>
    <row r="5792" spans="1:1">
      <c r="A5792" t="s">
        <v>41057</v>
      </c>
    </row>
    <row r="5793" spans="1:1">
      <c r="A5793" t="s">
        <v>41057</v>
      </c>
    </row>
    <row r="5794" spans="1:1">
      <c r="A5794" t="s">
        <v>41057</v>
      </c>
    </row>
    <row r="5795" spans="1:1">
      <c r="A5795" t="s">
        <v>41057</v>
      </c>
    </row>
    <row r="5796" spans="1:1">
      <c r="A5796" t="s">
        <v>41057</v>
      </c>
    </row>
    <row r="5797" spans="1:1">
      <c r="A5797" t="s">
        <v>41057</v>
      </c>
    </row>
    <row r="5798" spans="1:1">
      <c r="A5798" t="s">
        <v>41057</v>
      </c>
    </row>
    <row r="5799" spans="1:1">
      <c r="A5799" t="s">
        <v>41057</v>
      </c>
    </row>
    <row r="5800" spans="1:1">
      <c r="A5800" t="s">
        <v>41057</v>
      </c>
    </row>
    <row r="5801" spans="1:1">
      <c r="A5801" t="s">
        <v>41057</v>
      </c>
    </row>
    <row r="5802" spans="1:1">
      <c r="A5802" t="s">
        <v>41057</v>
      </c>
    </row>
    <row r="5803" spans="1:1">
      <c r="A5803" t="s">
        <v>41057</v>
      </c>
    </row>
    <row r="5804" spans="1:1">
      <c r="A5804" t="s">
        <v>41057</v>
      </c>
    </row>
    <row r="5805" spans="1:1">
      <c r="A5805" t="e" cm="1">
        <f t="array" ref="A5805">--------------------------------------------------------QSGA</f>
        <v>#NAME?</v>
      </c>
    </row>
    <row r="5806" spans="1:1">
      <c r="A5806" t="s">
        <v>47991</v>
      </c>
    </row>
    <row r="5807" spans="1:1">
      <c r="A5807" t="s">
        <v>41057</v>
      </c>
    </row>
    <row r="5808" spans="1:1">
      <c r="A5808" t="s">
        <v>41057</v>
      </c>
    </row>
    <row r="5809" spans="1:1">
      <c r="A5809" t="s">
        <v>41057</v>
      </c>
    </row>
    <row r="5810" spans="1:1">
      <c r="A5810" t="s">
        <v>41057</v>
      </c>
    </row>
    <row r="5811" spans="1:1">
      <c r="A5811" t="s">
        <v>41057</v>
      </c>
    </row>
    <row r="5812" spans="1:1">
      <c r="A5812" t="s">
        <v>41057</v>
      </c>
    </row>
    <row r="5813" spans="1:1">
      <c r="A5813" t="s">
        <v>41057</v>
      </c>
    </row>
    <row r="5814" spans="1:1">
      <c r="A5814" t="s">
        <v>41057</v>
      </c>
    </row>
    <row r="5815" spans="1:1">
      <c r="A5815" t="s">
        <v>47992</v>
      </c>
    </row>
    <row r="5816" spans="1:1">
      <c r="A5816" t="s">
        <v>47993</v>
      </c>
    </row>
    <row r="5817" spans="1:1">
      <c r="A5817" t="s">
        <v>46394</v>
      </c>
    </row>
    <row r="5818" spans="1:1">
      <c r="A5818" t="s">
        <v>41057</v>
      </c>
    </row>
    <row r="5819" spans="1:1">
      <c r="A5819" t="s">
        <v>41057</v>
      </c>
    </row>
    <row r="5820" spans="1:1">
      <c r="A5820" t="s">
        <v>47994</v>
      </c>
    </row>
    <row r="5821" spans="1:1">
      <c r="A5821" t="s">
        <v>41057</v>
      </c>
    </row>
    <row r="5822" spans="1:1">
      <c r="A5822" t="s">
        <v>47995</v>
      </c>
    </row>
    <row r="5823" spans="1:1">
      <c r="A5823" t="s">
        <v>47928</v>
      </c>
    </row>
    <row r="5824" spans="1:1">
      <c r="A5824" t="s">
        <v>47996</v>
      </c>
    </row>
    <row r="5825" spans="1:1">
      <c r="A5825" t="s">
        <v>47997</v>
      </c>
    </row>
    <row r="5826" spans="1:1">
      <c r="A5826" t="s">
        <v>47998</v>
      </c>
    </row>
    <row r="5827" spans="1:1">
      <c r="A5827" t="s">
        <v>47999</v>
      </c>
    </row>
    <row r="5828" spans="1:1">
      <c r="A5828" t="s">
        <v>41057</v>
      </c>
    </row>
    <row r="5829" spans="1:1">
      <c r="A5829" t="s">
        <v>41057</v>
      </c>
    </row>
    <row r="5830" spans="1:1">
      <c r="A5830" t="s">
        <v>41057</v>
      </c>
    </row>
    <row r="5831" spans="1:1">
      <c r="A5831" t="s">
        <v>41057</v>
      </c>
    </row>
    <row r="5832" spans="1:1">
      <c r="A5832" t="s">
        <v>41057</v>
      </c>
    </row>
    <row r="5833" spans="1:1">
      <c r="A5833" t="s">
        <v>41057</v>
      </c>
    </row>
    <row r="5834" spans="1:1">
      <c r="A5834" t="s">
        <v>41057</v>
      </c>
    </row>
    <row r="5835" spans="1:1">
      <c r="A5835" t="s">
        <v>41057</v>
      </c>
    </row>
    <row r="5836" spans="1:1">
      <c r="A5836" t="s">
        <v>41057</v>
      </c>
    </row>
    <row r="5837" spans="1:1">
      <c r="A5837" t="s">
        <v>47890</v>
      </c>
    </row>
    <row r="5838" spans="1:1">
      <c r="A5838" t="s">
        <v>41057</v>
      </c>
    </row>
    <row r="5839" spans="1:1">
      <c r="A5839" t="s">
        <v>41057</v>
      </c>
    </row>
    <row r="5840" spans="1:1">
      <c r="A5840" t="s">
        <v>41057</v>
      </c>
    </row>
    <row r="5841" spans="1:1">
      <c r="A5841" t="s">
        <v>41057</v>
      </c>
    </row>
    <row r="5842" spans="1:1">
      <c r="A5842" t="s">
        <v>41057</v>
      </c>
    </row>
    <row r="5843" spans="1:1">
      <c r="A5843" t="s">
        <v>48000</v>
      </c>
    </row>
    <row r="5844" spans="1:1">
      <c r="A5844" t="s">
        <v>48001</v>
      </c>
    </row>
    <row r="5845" spans="1:1">
      <c r="A5845" t="s">
        <v>41057</v>
      </c>
    </row>
    <row r="5846" spans="1:1">
      <c r="A5846" t="s">
        <v>41057</v>
      </c>
    </row>
    <row r="5847" spans="1:1">
      <c r="A5847" t="s">
        <v>41057</v>
      </c>
    </row>
    <row r="5848" spans="1:1">
      <c r="A5848" t="e" cm="1">
        <f t="array" ref="A5848">-------------SKVRYGDSV------------TPDTPLLIR-----QDGIVKTCRIDS</f>
        <v>#NAME?</v>
      </c>
    </row>
    <row r="5849" spans="1:1">
      <c r="A5849" t="s">
        <v>48002</v>
      </c>
    </row>
    <row r="5850" spans="1:1">
      <c r="A5850" t="s">
        <v>41057</v>
      </c>
    </row>
    <row r="5851" spans="1:1">
      <c r="A5851" t="s">
        <v>41057</v>
      </c>
    </row>
    <row r="5852" spans="1:1">
      <c r="A5852" t="s">
        <v>48003</v>
      </c>
    </row>
    <row r="5853" spans="1:1">
      <c r="A5853" t="s">
        <v>48004</v>
      </c>
    </row>
    <row r="5854" spans="1:1">
      <c r="A5854" t="s">
        <v>48005</v>
      </c>
    </row>
    <row r="5855" spans="1:1">
      <c r="A5855" t="e" cm="1">
        <f t="array" ref="A5855">--IQYLDKMASLCP---FETRIYAT-MESSGVYKLN----------AIGDVKTISLRYRS</f>
        <v>#NAME?</v>
      </c>
    </row>
    <row r="5856" spans="1:1">
      <c r="A5856" t="s">
        <v>48006</v>
      </c>
    </row>
    <row r="5857" spans="1:1">
      <c r="A5857" t="s">
        <v>48007</v>
      </c>
    </row>
    <row r="5858" spans="1:1">
      <c r="A5858" t="s">
        <v>48008</v>
      </c>
    </row>
    <row r="5859" spans="1:1">
      <c r="A5859" t="s">
        <v>48009</v>
      </c>
    </row>
    <row r="5860" spans="1:1">
      <c r="A5860" t="e" cm="1">
        <f t="array" ref="A5860">-----------------SHHFHVGPG----E--LVV---------HNTDSV--------M</f>
        <v>#NAME?</v>
      </c>
    </row>
    <row r="5861" spans="1:1">
      <c r="A5861" t="s">
        <v>41087</v>
      </c>
    </row>
    <row r="5862" spans="1:1">
      <c r="A5862" t="s">
        <v>48010</v>
      </c>
    </row>
    <row r="5863" spans="1:1">
      <c r="A5863" t="e" cm="1">
        <f t="array" ref="A5863">-------GMEA----------------------------IQY----SWE----------L</f>
        <v>#NAME?</v>
      </c>
    </row>
    <row r="5864" spans="1:1">
      <c r="A5864" t="s">
        <v>48011</v>
      </c>
    </row>
    <row r="5865" spans="1:1">
      <c r="A5865" t="s">
        <v>48012</v>
      </c>
    </row>
    <row r="5866" spans="1:1">
      <c r="A5866" t="s">
        <v>41057</v>
      </c>
    </row>
    <row r="5867" spans="1:1">
      <c r="A5867" t="s">
        <v>41057</v>
      </c>
    </row>
    <row r="5868" spans="1:1">
      <c r="A5868" t="s">
        <v>41057</v>
      </c>
    </row>
    <row r="5869" spans="1:1">
      <c r="A5869" t="s">
        <v>41057</v>
      </c>
    </row>
    <row r="5870" spans="1:1">
      <c r="A5870" t="s">
        <v>41057</v>
      </c>
    </row>
    <row r="5871" spans="1:1">
      <c r="A5871" t="s">
        <v>41057</v>
      </c>
    </row>
    <row r="5872" spans="1:1">
      <c r="A5872" t="s">
        <v>41057</v>
      </c>
    </row>
    <row r="5873" spans="1:1">
      <c r="A5873" t="s">
        <v>41057</v>
      </c>
    </row>
    <row r="5874" spans="1:1">
      <c r="A5874" t="s">
        <v>41057</v>
      </c>
    </row>
    <row r="5875" spans="1:1">
      <c r="A5875" t="s">
        <v>41057</v>
      </c>
    </row>
    <row r="5876" spans="1:1">
      <c r="A5876" t="s">
        <v>41057</v>
      </c>
    </row>
    <row r="5877" spans="1:1">
      <c r="A5877" t="s">
        <v>41057</v>
      </c>
    </row>
    <row r="5878" spans="1:1">
      <c r="A5878" t="s">
        <v>41057</v>
      </c>
    </row>
    <row r="5879" spans="1:1">
      <c r="A5879" t="s">
        <v>41057</v>
      </c>
    </row>
    <row r="5880" spans="1:1">
      <c r="A5880" t="s">
        <v>41057</v>
      </c>
    </row>
    <row r="5881" spans="1:1">
      <c r="A5881" t="s">
        <v>41057</v>
      </c>
    </row>
    <row r="5882" spans="1:1">
      <c r="A5882" t="s">
        <v>41057</v>
      </c>
    </row>
    <row r="5883" spans="1:1">
      <c r="A5883" t="s">
        <v>41057</v>
      </c>
    </row>
    <row r="5884" spans="1:1">
      <c r="A5884" t="s">
        <v>41057</v>
      </c>
    </row>
    <row r="5885" spans="1:1">
      <c r="A5885" t="s">
        <v>41057</v>
      </c>
    </row>
    <row r="5886" spans="1:1">
      <c r="A5886" t="s">
        <v>41057</v>
      </c>
    </row>
    <row r="5887" spans="1:1">
      <c r="A5887" t="s">
        <v>41057</v>
      </c>
    </row>
    <row r="5888" spans="1:1">
      <c r="A5888" t="s">
        <v>45870</v>
      </c>
    </row>
    <row r="5889" spans="1:1">
      <c r="A5889" t="s">
        <v>43447</v>
      </c>
    </row>
    <row r="5890" spans="1:1">
      <c r="A5890" t="s">
        <v>41057</v>
      </c>
    </row>
    <row r="5891" spans="1:1">
      <c r="A5891" t="s">
        <v>41057</v>
      </c>
    </row>
    <row r="5892" spans="1:1">
      <c r="A5892" t="s">
        <v>41057</v>
      </c>
    </row>
    <row r="5893" spans="1:1">
      <c r="A5893" t="s">
        <v>41057</v>
      </c>
    </row>
    <row r="5894" spans="1:1">
      <c r="A5894" t="s">
        <v>41057</v>
      </c>
    </row>
    <row r="5895" spans="1:1">
      <c r="A5895" t="s">
        <v>41057</v>
      </c>
    </row>
    <row r="5896" spans="1:1">
      <c r="A5896" t="s">
        <v>41057</v>
      </c>
    </row>
    <row r="5897" spans="1:1">
      <c r="A5897" t="s">
        <v>41057</v>
      </c>
    </row>
    <row r="5898" spans="1:1">
      <c r="A5898" t="s">
        <v>41057</v>
      </c>
    </row>
    <row r="5899" spans="1:1">
      <c r="A5899" t="s">
        <v>41057</v>
      </c>
    </row>
    <row r="5900" spans="1:1">
      <c r="A5900" t="s">
        <v>41057</v>
      </c>
    </row>
    <row r="5901" spans="1:1">
      <c r="A5901" t="s">
        <v>41057</v>
      </c>
    </row>
    <row r="5902" spans="1:1">
      <c r="A5902" t="s">
        <v>41057</v>
      </c>
    </row>
    <row r="5903" spans="1:1">
      <c r="A5903" t="s">
        <v>41057</v>
      </c>
    </row>
    <row r="5904" spans="1:1">
      <c r="A5904" t="s">
        <v>41057</v>
      </c>
    </row>
    <row r="5905" spans="1:1">
      <c r="A5905" t="s">
        <v>41057</v>
      </c>
    </row>
    <row r="5906" spans="1:1">
      <c r="A5906" t="s">
        <v>41057</v>
      </c>
    </row>
    <row r="5907" spans="1:1">
      <c r="A5907" t="s">
        <v>41057</v>
      </c>
    </row>
    <row r="5908" spans="1:1">
      <c r="A5908" t="s">
        <v>41057</v>
      </c>
    </row>
    <row r="5909" spans="1:1">
      <c r="A5909" t="s">
        <v>41057</v>
      </c>
    </row>
    <row r="5910" spans="1:1">
      <c r="A5910" t="s">
        <v>41057</v>
      </c>
    </row>
    <row r="5911" spans="1:1">
      <c r="A5911" t="s">
        <v>41057</v>
      </c>
    </row>
    <row r="5912" spans="1:1">
      <c r="A5912" t="s">
        <v>41057</v>
      </c>
    </row>
    <row r="5913" spans="1:1">
      <c r="A5913" t="s">
        <v>41057</v>
      </c>
    </row>
    <row r="5914" spans="1:1">
      <c r="A5914" t="s">
        <v>41057</v>
      </c>
    </row>
    <row r="5915" spans="1:1">
      <c r="A5915" t="s">
        <v>41057</v>
      </c>
    </row>
    <row r="5916" spans="1:1">
      <c r="A5916" t="s">
        <v>41057</v>
      </c>
    </row>
    <row r="5917" spans="1:1">
      <c r="A5917" t="s">
        <v>41057</v>
      </c>
    </row>
    <row r="5918" spans="1:1">
      <c r="A5918" t="s">
        <v>41057</v>
      </c>
    </row>
    <row r="5919" spans="1:1">
      <c r="A5919" t="s">
        <v>41057</v>
      </c>
    </row>
    <row r="5920" spans="1:1">
      <c r="A5920" t="s">
        <v>41057</v>
      </c>
    </row>
    <row r="5921" spans="1:1">
      <c r="A5921" t="s">
        <v>41057</v>
      </c>
    </row>
    <row r="5922" spans="1:1">
      <c r="A5922" t="s">
        <v>41057</v>
      </c>
    </row>
    <row r="5923" spans="1:1">
      <c r="A5923" t="s">
        <v>41057</v>
      </c>
    </row>
    <row r="5924" spans="1:1">
      <c r="A5924" t="s">
        <v>41057</v>
      </c>
    </row>
    <row r="5925" spans="1:1">
      <c r="A5925" t="s">
        <v>41057</v>
      </c>
    </row>
    <row r="5926" spans="1:1">
      <c r="A5926" t="s">
        <v>41057</v>
      </c>
    </row>
    <row r="5927" spans="1:1">
      <c r="A5927" t="s">
        <v>41057</v>
      </c>
    </row>
    <row r="5928" spans="1:1">
      <c r="A5928" t="s">
        <v>41057</v>
      </c>
    </row>
    <row r="5929" spans="1:1">
      <c r="A5929" t="s">
        <v>41057</v>
      </c>
    </row>
    <row r="5930" spans="1:1">
      <c r="A5930" t="s">
        <v>41057</v>
      </c>
    </row>
    <row r="5931" spans="1:1">
      <c r="A5931" t="s">
        <v>41057</v>
      </c>
    </row>
    <row r="5932" spans="1:1">
      <c r="A5932" t="s">
        <v>41057</v>
      </c>
    </row>
    <row r="5933" spans="1:1">
      <c r="A5933" t="e" cm="1">
        <f t="array" ref="A5933">--------------------------------------------------------HKGA</f>
        <v>#NAME?</v>
      </c>
    </row>
    <row r="5934" spans="1:1">
      <c r="A5934" t="s">
        <v>47837</v>
      </c>
    </row>
    <row r="5935" spans="1:1">
      <c r="A5935" t="s">
        <v>41057</v>
      </c>
    </row>
    <row r="5936" spans="1:1">
      <c r="A5936" t="s">
        <v>41057</v>
      </c>
    </row>
    <row r="5937" spans="1:1">
      <c r="A5937" t="s">
        <v>41057</v>
      </c>
    </row>
    <row r="5938" spans="1:1">
      <c r="A5938" t="s">
        <v>41057</v>
      </c>
    </row>
    <row r="5939" spans="1:1">
      <c r="A5939" t="s">
        <v>41057</v>
      </c>
    </row>
    <row r="5940" spans="1:1">
      <c r="A5940" t="s">
        <v>41057</v>
      </c>
    </row>
    <row r="5941" spans="1:1">
      <c r="A5941" t="s">
        <v>41057</v>
      </c>
    </row>
    <row r="5942" spans="1:1">
      <c r="A5942" t="s">
        <v>41057</v>
      </c>
    </row>
    <row r="5943" spans="1:1">
      <c r="A5943" t="s">
        <v>48013</v>
      </c>
    </row>
    <row r="5944" spans="1:1">
      <c r="A5944" t="s">
        <v>48014</v>
      </c>
    </row>
    <row r="5945" spans="1:1">
      <c r="A5945" t="s">
        <v>46394</v>
      </c>
    </row>
    <row r="5946" spans="1:1">
      <c r="A5946" t="s">
        <v>41057</v>
      </c>
    </row>
    <row r="5947" spans="1:1">
      <c r="A5947" t="s">
        <v>41057</v>
      </c>
    </row>
    <row r="5948" spans="1:1">
      <c r="A5948" t="s">
        <v>48015</v>
      </c>
    </row>
    <row r="5949" spans="1:1">
      <c r="A5949" t="s">
        <v>41057</v>
      </c>
    </row>
    <row r="5950" spans="1:1">
      <c r="A5950" t="s">
        <v>48016</v>
      </c>
    </row>
    <row r="5951" spans="1:1">
      <c r="A5951" t="s">
        <v>47928</v>
      </c>
    </row>
    <row r="5952" spans="1:1">
      <c r="A5952" t="s">
        <v>48017</v>
      </c>
    </row>
    <row r="5953" spans="1:1">
      <c r="A5953" t="s">
        <v>47973</v>
      </c>
    </row>
    <row r="5954" spans="1:1">
      <c r="A5954" t="s">
        <v>47974</v>
      </c>
    </row>
    <row r="5955" spans="1:1">
      <c r="A5955" t="s">
        <v>47846</v>
      </c>
    </row>
    <row r="5956" spans="1:1">
      <c r="A5956" t="s">
        <v>41057</v>
      </c>
    </row>
    <row r="5957" spans="1:1">
      <c r="A5957" t="s">
        <v>41057</v>
      </c>
    </row>
    <row r="5958" spans="1:1">
      <c r="A5958" t="s">
        <v>41057</v>
      </c>
    </row>
    <row r="5959" spans="1:1">
      <c r="A5959" t="s">
        <v>41057</v>
      </c>
    </row>
    <row r="5960" spans="1:1">
      <c r="A5960" t="s">
        <v>41057</v>
      </c>
    </row>
    <row r="5961" spans="1:1">
      <c r="A5961" t="s">
        <v>41057</v>
      </c>
    </row>
    <row r="5962" spans="1:1">
      <c r="A5962" t="s">
        <v>41057</v>
      </c>
    </row>
    <row r="5963" spans="1:1">
      <c r="A5963" t="s">
        <v>41057</v>
      </c>
    </row>
    <row r="5964" spans="1:1">
      <c r="A5964" t="s">
        <v>41057</v>
      </c>
    </row>
    <row r="5965" spans="1:1">
      <c r="A5965" t="s">
        <v>47847</v>
      </c>
    </row>
    <row r="5966" spans="1:1">
      <c r="A5966" t="s">
        <v>41057</v>
      </c>
    </row>
    <row r="5967" spans="1:1">
      <c r="A5967" t="s">
        <v>41057</v>
      </c>
    </row>
    <row r="5968" spans="1:1">
      <c r="A5968" t="s">
        <v>41057</v>
      </c>
    </row>
    <row r="5969" spans="1:1">
      <c r="A5969" t="s">
        <v>41057</v>
      </c>
    </row>
    <row r="5970" spans="1:1">
      <c r="A5970" t="s">
        <v>41057</v>
      </c>
    </row>
    <row r="5971" spans="1:1">
      <c r="A5971" t="s">
        <v>47975</v>
      </c>
    </row>
    <row r="5972" spans="1:1">
      <c r="A5972" t="s">
        <v>48018</v>
      </c>
    </row>
    <row r="5973" spans="1:1">
      <c r="A5973" t="s">
        <v>41057</v>
      </c>
    </row>
    <row r="5974" spans="1:1">
      <c r="A5974" t="s">
        <v>41057</v>
      </c>
    </row>
    <row r="5975" spans="1:1">
      <c r="A5975" t="s">
        <v>41057</v>
      </c>
    </row>
    <row r="5976" spans="1:1">
      <c r="A5976" t="e" cm="1">
        <f t="array" ref="A5976">-------------SKVRYGDSV------------TPDTPLLLR-----IKGEVKTCRIDS</f>
        <v>#NAME?</v>
      </c>
    </row>
    <row r="5977" spans="1:1">
      <c r="A5977" t="s">
        <v>48019</v>
      </c>
    </row>
    <row r="5978" spans="1:1">
      <c r="A5978" t="s">
        <v>41057</v>
      </c>
    </row>
    <row r="5979" spans="1:1">
      <c r="A5979" t="s">
        <v>41057</v>
      </c>
    </row>
    <row r="5980" spans="1:1">
      <c r="A5980" t="s">
        <v>48020</v>
      </c>
    </row>
    <row r="5981" spans="1:1">
      <c r="A5981" t="s">
        <v>48021</v>
      </c>
    </row>
    <row r="5982" spans="1:1">
      <c r="A5982" t="s">
        <v>48022</v>
      </c>
    </row>
    <row r="5983" spans="1:1">
      <c r="A5983" t="e" cm="1">
        <f t="array" ref="A5983">--VDYLIEMQNLCP---FETSIYDT-IESSGVYKLN----------AKGDVKNICERYRS</f>
        <v>#NAME?</v>
      </c>
    </row>
    <row r="5984" spans="1:1">
      <c r="A5984" t="s">
        <v>48023</v>
      </c>
    </row>
    <row r="5985" spans="1:1">
      <c r="A5985" t="s">
        <v>48024</v>
      </c>
    </row>
    <row r="5986" spans="1:1">
      <c r="A5986" t="s">
        <v>48025</v>
      </c>
    </row>
    <row r="5987" spans="1:1">
      <c r="A5987" t="s">
        <v>48026</v>
      </c>
    </row>
    <row r="5988" spans="1:1">
      <c r="A5988" t="e" cm="1">
        <f t="array" ref="A5988">-----------------SHHFHIGPG----D--LVV---------HNTDSV--------M</f>
        <v>#NAME?</v>
      </c>
    </row>
    <row r="5989" spans="1:1">
      <c r="A5989" t="s">
        <v>41087</v>
      </c>
    </row>
    <row r="5990" spans="1:1">
      <c r="A5990" t="s">
        <v>48010</v>
      </c>
    </row>
    <row r="5991" spans="1:1">
      <c r="A5991" t="e" cm="1">
        <f t="array" ref="A5991">-------GEEA----------------------------VKY----SWE----------V</f>
        <v>#NAME?</v>
      </c>
    </row>
    <row r="5992" spans="1:1">
      <c r="A5992" t="s">
        <v>47859</v>
      </c>
    </row>
    <row r="5993" spans="1:1">
      <c r="A5993" t="s">
        <v>48027</v>
      </c>
    </row>
    <row r="5994" spans="1:1">
      <c r="A5994" t="s">
        <v>41057</v>
      </c>
    </row>
    <row r="5995" spans="1:1">
      <c r="A5995" t="s">
        <v>41057</v>
      </c>
    </row>
    <row r="5996" spans="1:1">
      <c r="A5996" t="s">
        <v>41057</v>
      </c>
    </row>
    <row r="5997" spans="1:1">
      <c r="A5997" t="s">
        <v>41057</v>
      </c>
    </row>
    <row r="5998" spans="1:1">
      <c r="A5998" t="s">
        <v>41057</v>
      </c>
    </row>
    <row r="5999" spans="1:1">
      <c r="A5999" t="s">
        <v>41057</v>
      </c>
    </row>
    <row r="6000" spans="1:1">
      <c r="A6000" t="s">
        <v>41057</v>
      </c>
    </row>
    <row r="6001" spans="1:1">
      <c r="A6001" t="s">
        <v>41057</v>
      </c>
    </row>
    <row r="6002" spans="1:1">
      <c r="A6002" t="s">
        <v>41057</v>
      </c>
    </row>
    <row r="6003" spans="1:1">
      <c r="A6003" t="s">
        <v>41057</v>
      </c>
    </row>
    <row r="6004" spans="1:1">
      <c r="A6004" t="s">
        <v>41057</v>
      </c>
    </row>
    <row r="6005" spans="1:1">
      <c r="A6005" t="s">
        <v>41057</v>
      </c>
    </row>
    <row r="6006" spans="1:1">
      <c r="A6006" t="s">
        <v>41057</v>
      </c>
    </row>
    <row r="6007" spans="1:1">
      <c r="A6007" t="s">
        <v>41057</v>
      </c>
    </row>
    <row r="6008" spans="1:1">
      <c r="A6008" t="s">
        <v>41057</v>
      </c>
    </row>
    <row r="6009" spans="1:1">
      <c r="A6009" t="s">
        <v>41057</v>
      </c>
    </row>
    <row r="6010" spans="1:1">
      <c r="A6010" t="s">
        <v>41057</v>
      </c>
    </row>
    <row r="6011" spans="1:1">
      <c r="A6011" t="s">
        <v>41057</v>
      </c>
    </row>
    <row r="6012" spans="1:1">
      <c r="A6012" t="s">
        <v>41057</v>
      </c>
    </row>
    <row r="6013" spans="1:1">
      <c r="A6013" t="s">
        <v>41057</v>
      </c>
    </row>
    <row r="6014" spans="1:1">
      <c r="A6014" t="s">
        <v>41057</v>
      </c>
    </row>
    <row r="6015" spans="1:1">
      <c r="A6015" t="s">
        <v>41057</v>
      </c>
    </row>
    <row r="6016" spans="1:1">
      <c r="A6016" t="s">
        <v>45870</v>
      </c>
    </row>
    <row r="6017" spans="1:1">
      <c r="A6017" t="s">
        <v>44286</v>
      </c>
    </row>
    <row r="6018" spans="1:1">
      <c r="A6018" t="s">
        <v>41057</v>
      </c>
    </row>
    <row r="6019" spans="1:1">
      <c r="A6019" t="s">
        <v>41057</v>
      </c>
    </row>
    <row r="6020" spans="1:1">
      <c r="A6020" t="s">
        <v>41057</v>
      </c>
    </row>
    <row r="6021" spans="1:1">
      <c r="A6021" t="s">
        <v>41057</v>
      </c>
    </row>
    <row r="6022" spans="1:1">
      <c r="A6022" t="s">
        <v>41057</v>
      </c>
    </row>
    <row r="6023" spans="1:1">
      <c r="A6023" t="s">
        <v>47811</v>
      </c>
    </row>
    <row r="6024" spans="1:1">
      <c r="A6024" t="s">
        <v>48028</v>
      </c>
    </row>
    <row r="6025" spans="1:1">
      <c r="A6025" t="s">
        <v>48029</v>
      </c>
    </row>
    <row r="6026" spans="1:1">
      <c r="A6026" t="e" cm="1">
        <f t="array" ref="A6026">----------------------------------------------------------EE</f>
        <v>#NAME?</v>
      </c>
    </row>
    <row r="6027" spans="1:1">
      <c r="A6027" t="s">
        <v>48030</v>
      </c>
    </row>
    <row r="6028" spans="1:1">
      <c r="A6028" t="s">
        <v>48031</v>
      </c>
    </row>
    <row r="6029" spans="1:1">
      <c r="A6029" t="s">
        <v>48032</v>
      </c>
    </row>
    <row r="6030" spans="1:1">
      <c r="A6030" t="s">
        <v>48033</v>
      </c>
    </row>
    <row r="6031" spans="1:1">
      <c r="A6031" t="s">
        <v>48034</v>
      </c>
    </row>
    <row r="6032" spans="1:1">
      <c r="A6032" t="s">
        <v>48035</v>
      </c>
    </row>
    <row r="6033" spans="1:1">
      <c r="A6033" t="s">
        <v>48036</v>
      </c>
    </row>
    <row r="6034" spans="1:1">
      <c r="A6034" t="s">
        <v>48037</v>
      </c>
    </row>
    <row r="6035" spans="1:1">
      <c r="A6035" t="s">
        <v>48038</v>
      </c>
    </row>
    <row r="6036" spans="1:1">
      <c r="A6036" t="s">
        <v>48039</v>
      </c>
    </row>
    <row r="6037" spans="1:1">
      <c r="A6037" t="s">
        <v>41057</v>
      </c>
    </row>
    <row r="6038" spans="1:1">
      <c r="A6038" t="s">
        <v>41057</v>
      </c>
    </row>
    <row r="6039" spans="1:1">
      <c r="A6039" t="s">
        <v>41057</v>
      </c>
    </row>
    <row r="6040" spans="1:1">
      <c r="A6040" t="s">
        <v>48040</v>
      </c>
    </row>
    <row r="6041" spans="1:1">
      <c r="A6041" t="s">
        <v>48041</v>
      </c>
    </row>
    <row r="6042" spans="1:1">
      <c r="A6042" t="s">
        <v>47826</v>
      </c>
    </row>
    <row r="6043" spans="1:1">
      <c r="A6043" t="s">
        <v>48042</v>
      </c>
    </row>
    <row r="6044" spans="1:1">
      <c r="A6044" t="e" cm="1">
        <f t="array" ref="A6044">---DLEYIIKRA-VM--TG-------------------------------------CD-Q</f>
        <v>#NAME?</v>
      </c>
    </row>
    <row r="6045" spans="1:1">
      <c r="A6045" t="s">
        <v>48043</v>
      </c>
    </row>
    <row r="6046" spans="1:1">
      <c r="A6046" t="e" cm="1">
        <f t="array" ref="A6046">---------------------------------------CELVYKKLSSSALG-DNDLKI</f>
        <v>#NAME?</v>
      </c>
    </row>
    <row r="6047" spans="1:1">
      <c r="A6047" t="s">
        <v>48044</v>
      </c>
    </row>
    <row r="6048" spans="1:1">
      <c r="A6048" t="s">
        <v>47830</v>
      </c>
    </row>
    <row r="6049" spans="1:1">
      <c r="A6049" t="s">
        <v>41057</v>
      </c>
    </row>
    <row r="6050" spans="1:1">
      <c r="A6050" t="s">
        <v>47831</v>
      </c>
    </row>
    <row r="6051" spans="1:1">
      <c r="A6051" t="s">
        <v>48045</v>
      </c>
    </row>
    <row r="6052" spans="1:1">
      <c r="A6052" t="e" cm="1">
        <f t="array" ref="A6052">-------------------------PPKEM-------FARFVE----------------E</f>
        <v>#NAME?</v>
      </c>
    </row>
    <row r="6053" spans="1:1">
      <c r="A6053" t="s">
        <v>47833</v>
      </c>
    </row>
    <row r="6054" spans="1:1">
      <c r="A6054" t="s">
        <v>41057</v>
      </c>
    </row>
    <row r="6055" spans="1:1">
      <c r="A6055" t="s">
        <v>47081</v>
      </c>
    </row>
    <row r="6056" spans="1:1">
      <c r="A6056" t="e" cm="1">
        <f t="array" ref="A6056">--------------YCIKDTL-----------------LP--------HRLLSKL-SILV</f>
        <v>#NAME?</v>
      </c>
    </row>
    <row r="6057" spans="1:1">
      <c r="A6057" t="s">
        <v>48046</v>
      </c>
    </row>
    <row r="6058" spans="1:1">
      <c r="A6058" t="s">
        <v>48047</v>
      </c>
    </row>
    <row r="6059" spans="1:1">
      <c r="A6059" t="s">
        <v>41057</v>
      </c>
    </row>
    <row r="6060" spans="1:1">
      <c r="A6060" t="s">
        <v>48048</v>
      </c>
    </row>
    <row r="6061" spans="1:1">
      <c r="A6061" t="e" cm="1">
        <f t="array" ref="A6061">-----------EG-YE--------------------------------GATV-LDAQKGA</f>
        <v>#NAME?</v>
      </c>
    </row>
    <row r="6062" spans="1:1">
      <c r="A6062" t="s">
        <v>47837</v>
      </c>
    </row>
    <row r="6063" spans="1:1">
      <c r="A6063" t="s">
        <v>41057</v>
      </c>
    </row>
    <row r="6064" spans="1:1">
      <c r="A6064" t="s">
        <v>41057</v>
      </c>
    </row>
    <row r="6065" spans="1:1">
      <c r="A6065" t="s">
        <v>41057</v>
      </c>
    </row>
    <row r="6066" spans="1:1">
      <c r="A6066" t="s">
        <v>41057</v>
      </c>
    </row>
    <row r="6067" spans="1:1">
      <c r="A6067" t="s">
        <v>41057</v>
      </c>
    </row>
    <row r="6068" spans="1:1">
      <c r="A6068" t="s">
        <v>41057</v>
      </c>
    </row>
    <row r="6069" spans="1:1">
      <c r="A6069" t="s">
        <v>41057</v>
      </c>
    </row>
    <row r="6070" spans="1:1">
      <c r="A6070" t="s">
        <v>41057</v>
      </c>
    </row>
    <row r="6071" spans="1:1">
      <c r="A6071" t="s">
        <v>48049</v>
      </c>
    </row>
    <row r="6072" spans="1:1">
      <c r="A6072" t="s">
        <v>48050</v>
      </c>
    </row>
    <row r="6073" spans="1:1">
      <c r="A6073" t="s">
        <v>46394</v>
      </c>
    </row>
    <row r="6074" spans="1:1">
      <c r="A6074" t="s">
        <v>41057</v>
      </c>
    </row>
    <row r="6075" spans="1:1">
      <c r="A6075" t="s">
        <v>41057</v>
      </c>
    </row>
    <row r="6076" spans="1:1">
      <c r="A6076" t="s">
        <v>48051</v>
      </c>
    </row>
    <row r="6077" spans="1:1">
      <c r="A6077" t="s">
        <v>41057</v>
      </c>
    </row>
    <row r="6078" spans="1:1">
      <c r="A6078" t="s">
        <v>48052</v>
      </c>
    </row>
    <row r="6079" spans="1:1">
      <c r="A6079" t="s">
        <v>47842</v>
      </c>
    </row>
    <row r="6080" spans="1:1">
      <c r="A6080" t="s">
        <v>48053</v>
      </c>
    </row>
    <row r="6081" spans="1:1">
      <c r="A6081" t="s">
        <v>48054</v>
      </c>
    </row>
    <row r="6082" spans="1:1">
      <c r="A6082" t="s">
        <v>48055</v>
      </c>
    </row>
    <row r="6083" spans="1:1">
      <c r="A6083" t="s">
        <v>47846</v>
      </c>
    </row>
    <row r="6084" spans="1:1">
      <c r="A6084" t="s">
        <v>41057</v>
      </c>
    </row>
    <row r="6085" spans="1:1">
      <c r="A6085" t="s">
        <v>41057</v>
      </c>
    </row>
    <row r="6086" spans="1:1">
      <c r="A6086" t="s">
        <v>41057</v>
      </c>
    </row>
    <row r="6087" spans="1:1">
      <c r="A6087" t="s">
        <v>41057</v>
      </c>
    </row>
    <row r="6088" spans="1:1">
      <c r="A6088" t="s">
        <v>41057</v>
      </c>
    </row>
    <row r="6089" spans="1:1">
      <c r="A6089" t="s">
        <v>41057</v>
      </c>
    </row>
    <row r="6090" spans="1:1">
      <c r="A6090" t="s">
        <v>41057</v>
      </c>
    </row>
    <row r="6091" spans="1:1">
      <c r="A6091" t="s">
        <v>41057</v>
      </c>
    </row>
    <row r="6092" spans="1:1">
      <c r="A6092" t="s">
        <v>41057</v>
      </c>
    </row>
    <row r="6093" spans="1:1">
      <c r="A6093" t="s">
        <v>47847</v>
      </c>
    </row>
    <row r="6094" spans="1:1">
      <c r="A6094" t="s">
        <v>41057</v>
      </c>
    </row>
    <row r="6095" spans="1:1">
      <c r="A6095" t="s">
        <v>41057</v>
      </c>
    </row>
    <row r="6096" spans="1:1">
      <c r="A6096" t="s">
        <v>41057</v>
      </c>
    </row>
    <row r="6097" spans="1:1">
      <c r="A6097" t="s">
        <v>41057</v>
      </c>
    </row>
    <row r="6098" spans="1:1">
      <c r="A6098" t="s">
        <v>41057</v>
      </c>
    </row>
    <row r="6099" spans="1:1">
      <c r="A6099" t="s">
        <v>48056</v>
      </c>
    </row>
    <row r="6100" spans="1:1">
      <c r="A6100" t="s">
        <v>48057</v>
      </c>
    </row>
    <row r="6101" spans="1:1">
      <c r="A6101" t="s">
        <v>41057</v>
      </c>
    </row>
    <row r="6102" spans="1:1">
      <c r="A6102" t="s">
        <v>41057</v>
      </c>
    </row>
    <row r="6103" spans="1:1">
      <c r="A6103" t="s">
        <v>41057</v>
      </c>
    </row>
    <row r="6104" spans="1:1">
      <c r="A6104" t="s">
        <v>48058</v>
      </c>
    </row>
    <row r="6105" spans="1:1">
      <c r="A6105" t="s">
        <v>41057</v>
      </c>
    </row>
    <row r="6106" spans="1:1">
      <c r="A6106" t="s">
        <v>41057</v>
      </c>
    </row>
    <row r="6107" spans="1:1">
      <c r="A6107" t="s">
        <v>41057</v>
      </c>
    </row>
    <row r="6108" spans="1:1">
      <c r="A6108" t="s">
        <v>41057</v>
      </c>
    </row>
    <row r="6109" spans="1:1">
      <c r="A6109" t="s">
        <v>41057</v>
      </c>
    </row>
    <row r="6110" spans="1:1">
      <c r="A6110" t="s">
        <v>41057</v>
      </c>
    </row>
    <row r="6111" spans="1:1">
      <c r="A6111" t="s">
        <v>41057</v>
      </c>
    </row>
    <row r="6112" spans="1:1">
      <c r="A6112" t="s">
        <v>41057</v>
      </c>
    </row>
    <row r="6113" spans="1:1">
      <c r="A6113" t="s">
        <v>41057</v>
      </c>
    </row>
    <row r="6114" spans="1:1">
      <c r="A6114" t="s">
        <v>41057</v>
      </c>
    </row>
    <row r="6115" spans="1:1">
      <c r="A6115" t="s">
        <v>41057</v>
      </c>
    </row>
    <row r="6116" spans="1:1">
      <c r="A6116" t="e" cm="1">
        <f t="array" ref="A6116">-----------------------------------------------TDSV--------M</f>
        <v>#NAME?</v>
      </c>
    </row>
    <row r="6117" spans="1:1">
      <c r="A6117" t="s">
        <v>41087</v>
      </c>
    </row>
    <row r="6118" spans="1:1">
      <c r="A6118" t="s">
        <v>48059</v>
      </c>
    </row>
    <row r="6119" spans="1:1">
      <c r="A6119" t="e" cm="1">
        <f t="array" ref="A6119">-------GKEA----------------------------IEY----SWE----------I</f>
        <v>#NAME?</v>
      </c>
    </row>
    <row r="6120" spans="1:1">
      <c r="A6120" t="s">
        <v>48060</v>
      </c>
    </row>
    <row r="6121" spans="1:1">
      <c r="A6121" t="e" cm="1">
        <f t="array" ref="A6121">--------PN------NLELEK-VYCPYFL----------Y-SKKRYA-----------A</f>
        <v>#NAME?</v>
      </c>
    </row>
    <row r="6122" spans="1:1">
      <c r="A6122" t="s">
        <v>48061</v>
      </c>
    </row>
    <row r="6123" spans="1:1">
      <c r="A6123" t="s">
        <v>48062</v>
      </c>
    </row>
    <row r="6124" spans="1:1">
      <c r="A6124" t="s">
        <v>48063</v>
      </c>
    </row>
    <row r="6125" spans="1:1">
      <c r="A6125" t="s">
        <v>48064</v>
      </c>
    </row>
    <row r="6126" spans="1:1">
      <c r="A6126" t="s">
        <v>47936</v>
      </c>
    </row>
    <row r="6127" spans="1:1">
      <c r="A6127" t="s">
        <v>48065</v>
      </c>
    </row>
    <row r="6128" spans="1:1">
      <c r="A6128" t="s">
        <v>48066</v>
      </c>
    </row>
    <row r="6129" spans="1:1">
      <c r="A6129" t="s">
        <v>48067</v>
      </c>
    </row>
    <row r="6130" spans="1:1">
      <c r="A6130" t="s">
        <v>48068</v>
      </c>
    </row>
    <row r="6131" spans="1:1">
      <c r="A6131" t="s">
        <v>48069</v>
      </c>
    </row>
    <row r="6132" spans="1:1">
      <c r="A6132" t="s">
        <v>48070</v>
      </c>
    </row>
    <row r="6133" spans="1:1">
      <c r="A6133" t="s">
        <v>41057</v>
      </c>
    </row>
    <row r="6134" spans="1:1">
      <c r="A6134" t="s">
        <v>48071</v>
      </c>
    </row>
    <row r="6135" spans="1:1">
      <c r="A6135" t="s">
        <v>48072</v>
      </c>
    </row>
    <row r="6136" spans="1:1">
      <c r="A6136" t="s">
        <v>48073</v>
      </c>
    </row>
    <row r="6137" spans="1:1">
      <c r="A6137" t="s">
        <v>48074</v>
      </c>
    </row>
    <row r="6138" spans="1:1">
      <c r="A6138" t="s">
        <v>48075</v>
      </c>
    </row>
    <row r="6139" spans="1:1">
      <c r="A6139" t="s">
        <v>48076</v>
      </c>
    </row>
    <row r="6140" spans="1:1">
      <c r="A6140" t="s">
        <v>48077</v>
      </c>
    </row>
    <row r="6141" spans="1:1">
      <c r="A6141" t="s">
        <v>41057</v>
      </c>
    </row>
    <row r="6142" spans="1:1">
      <c r="A6142" t="s">
        <v>41057</v>
      </c>
    </row>
    <row r="6143" spans="1:1">
      <c r="A6143" t="s">
        <v>41057</v>
      </c>
    </row>
    <row r="6144" spans="1:1">
      <c r="A6144" t="s">
        <v>45870</v>
      </c>
    </row>
    <row r="6145" spans="1:1">
      <c r="A6145" t="s">
        <v>44673</v>
      </c>
    </row>
    <row r="6146" spans="1:1">
      <c r="A6146" t="s">
        <v>41057</v>
      </c>
    </row>
    <row r="6147" spans="1:1">
      <c r="A6147" t="s">
        <v>41057</v>
      </c>
    </row>
    <row r="6148" spans="1:1">
      <c r="A6148" t="s">
        <v>41057</v>
      </c>
    </row>
    <row r="6149" spans="1:1">
      <c r="A6149" t="s">
        <v>41057</v>
      </c>
    </row>
    <row r="6150" spans="1:1">
      <c r="A6150" t="s">
        <v>41057</v>
      </c>
    </row>
    <row r="6151" spans="1:1">
      <c r="A6151" t="s">
        <v>47811</v>
      </c>
    </row>
    <row r="6152" spans="1:1">
      <c r="A6152" t="s">
        <v>47812</v>
      </c>
    </row>
    <row r="6153" spans="1:1">
      <c r="A6153" t="s">
        <v>48078</v>
      </c>
    </row>
    <row r="6154" spans="1:1">
      <c r="A6154" t="e" cm="1">
        <f t="array" ref="A6154">-----------------------------DDDGPV-----------------------GE</f>
        <v>#NAME?</v>
      </c>
    </row>
    <row r="6155" spans="1:1">
      <c r="A6155" t="s">
        <v>48079</v>
      </c>
    </row>
    <row r="6156" spans="1:1">
      <c r="A6156" t="s">
        <v>48080</v>
      </c>
    </row>
    <row r="6157" spans="1:1">
      <c r="A6157" t="s">
        <v>48081</v>
      </c>
    </row>
    <row r="6158" spans="1:1">
      <c r="A6158" t="s">
        <v>48082</v>
      </c>
    </row>
    <row r="6159" spans="1:1">
      <c r="A6159" t="s">
        <v>48083</v>
      </c>
    </row>
    <row r="6160" spans="1:1">
      <c r="A6160" t="s">
        <v>48084</v>
      </c>
    </row>
    <row r="6161" spans="1:1">
      <c r="A6161" t="s">
        <v>48085</v>
      </c>
    </row>
    <row r="6162" spans="1:1">
      <c r="A6162" t="s">
        <v>48086</v>
      </c>
    </row>
    <row r="6163" spans="1:1">
      <c r="A6163" t="s">
        <v>48087</v>
      </c>
    </row>
    <row r="6164" spans="1:1">
      <c r="A6164" t="s">
        <v>48088</v>
      </c>
    </row>
    <row r="6165" spans="1:1">
      <c r="A6165" t="s">
        <v>41057</v>
      </c>
    </row>
    <row r="6166" spans="1:1">
      <c r="A6166" t="s">
        <v>41057</v>
      </c>
    </row>
    <row r="6167" spans="1:1">
      <c r="A6167" t="s">
        <v>41057</v>
      </c>
    </row>
    <row r="6168" spans="1:1">
      <c r="A6168" t="s">
        <v>48089</v>
      </c>
    </row>
    <row r="6169" spans="1:1">
      <c r="A6169" t="s">
        <v>48090</v>
      </c>
    </row>
    <row r="6170" spans="1:1">
      <c r="A6170" t="s">
        <v>48091</v>
      </c>
    </row>
    <row r="6171" spans="1:1">
      <c r="A6171" t="s">
        <v>48092</v>
      </c>
    </row>
    <row r="6172" spans="1:1">
      <c r="A6172" t="e" cm="1">
        <f t="array" ref="A6172">---DLEYIYKRA-IK--NE-------------------------------------CS-D</f>
        <v>#NAME?</v>
      </c>
    </row>
    <row r="6173" spans="1:1">
      <c r="A6173" t="s">
        <v>48093</v>
      </c>
    </row>
    <row r="6174" spans="1:1">
      <c r="A6174" t="e" cm="1">
        <f t="array" ref="A6174">----------------------------------QKTNGSGMVYKRLSSSALG-DNMLKL</f>
        <v>#NAME?</v>
      </c>
    </row>
    <row r="6175" spans="1:1">
      <c r="A6175" t="s">
        <v>48094</v>
      </c>
    </row>
    <row r="6176" spans="1:1">
      <c r="A6176" t="s">
        <v>47830</v>
      </c>
    </row>
    <row r="6177" spans="1:1">
      <c r="A6177" t="s">
        <v>41057</v>
      </c>
    </row>
    <row r="6178" spans="1:1">
      <c r="A6178" t="s">
        <v>47831</v>
      </c>
    </row>
    <row r="6179" spans="1:1">
      <c r="A6179" t="s">
        <v>47832</v>
      </c>
    </row>
    <row r="6180" spans="1:1">
      <c r="A6180" t="e" cm="1">
        <f t="array" ref="A6180">-------------------------PPREM-------FARFAE----------------G</f>
        <v>#NAME?</v>
      </c>
    </row>
    <row r="6181" spans="1:1">
      <c r="A6181" t="s">
        <v>47833</v>
      </c>
    </row>
    <row r="6182" spans="1:1">
      <c r="A6182" t="s">
        <v>41057</v>
      </c>
    </row>
    <row r="6183" spans="1:1">
      <c r="A6183" t="s">
        <v>47081</v>
      </c>
    </row>
    <row r="6184" spans="1:1">
      <c r="A6184" t="e" cm="1">
        <f t="array" ref="A6184">--------------YCIKDTL-----------------LP--------HRLTKKL-CILL</f>
        <v>#NAME?</v>
      </c>
    </row>
    <row r="6185" spans="1:1">
      <c r="A6185" t="s">
        <v>48095</v>
      </c>
    </row>
    <row r="6186" spans="1:1">
      <c r="A6186" t="s">
        <v>47835</v>
      </c>
    </row>
    <row r="6187" spans="1:1">
      <c r="A6187" t="s">
        <v>41057</v>
      </c>
    </row>
    <row r="6188" spans="1:1">
      <c r="A6188" t="s">
        <v>48096</v>
      </c>
    </row>
    <row r="6189" spans="1:1">
      <c r="A6189" t="e" cm="1">
        <f t="array" ref="A6189">-----------EP-YE--------------------------------GATV-LEAQGGA</f>
        <v>#NAME?</v>
      </c>
    </row>
    <row r="6190" spans="1:1">
      <c r="A6190" t="s">
        <v>47837</v>
      </c>
    </row>
    <row r="6191" spans="1:1">
      <c r="A6191" t="s">
        <v>41057</v>
      </c>
    </row>
    <row r="6192" spans="1:1">
      <c r="A6192" t="s">
        <v>41057</v>
      </c>
    </row>
    <row r="6193" spans="1:1">
      <c r="A6193" t="s">
        <v>41057</v>
      </c>
    </row>
    <row r="6194" spans="1:1">
      <c r="A6194" t="s">
        <v>41057</v>
      </c>
    </row>
    <row r="6195" spans="1:1">
      <c r="A6195" t="s">
        <v>41057</v>
      </c>
    </row>
    <row r="6196" spans="1:1">
      <c r="A6196" t="s">
        <v>41057</v>
      </c>
    </row>
    <row r="6197" spans="1:1">
      <c r="A6197" t="s">
        <v>41057</v>
      </c>
    </row>
    <row r="6198" spans="1:1">
      <c r="A6198" t="s">
        <v>41057</v>
      </c>
    </row>
    <row r="6199" spans="1:1">
      <c r="A6199" t="s">
        <v>48097</v>
      </c>
    </row>
    <row r="6200" spans="1:1">
      <c r="A6200" t="s">
        <v>48098</v>
      </c>
    </row>
    <row r="6201" spans="1:1">
      <c r="A6201" t="s">
        <v>46394</v>
      </c>
    </row>
    <row r="6202" spans="1:1">
      <c r="A6202" t="s">
        <v>41057</v>
      </c>
    </row>
    <row r="6203" spans="1:1">
      <c r="A6203" t="s">
        <v>41057</v>
      </c>
    </row>
    <row r="6204" spans="1:1">
      <c r="A6204" t="s">
        <v>48099</v>
      </c>
    </row>
    <row r="6205" spans="1:1">
      <c r="A6205" t="s">
        <v>41057</v>
      </c>
    </row>
    <row r="6206" spans="1:1">
      <c r="A6206" t="s">
        <v>47841</v>
      </c>
    </row>
    <row r="6207" spans="1:1">
      <c r="A6207" t="s">
        <v>47842</v>
      </c>
    </row>
    <row r="6208" spans="1:1">
      <c r="A6208" t="s">
        <v>48100</v>
      </c>
    </row>
    <row r="6209" spans="1:1">
      <c r="A6209" t="s">
        <v>47844</v>
      </c>
    </row>
    <row r="6210" spans="1:1">
      <c r="A6210" t="s">
        <v>48101</v>
      </c>
    </row>
    <row r="6211" spans="1:1">
      <c r="A6211" t="s">
        <v>47846</v>
      </c>
    </row>
    <row r="6212" spans="1:1">
      <c r="A6212" t="s">
        <v>41057</v>
      </c>
    </row>
    <row r="6213" spans="1:1">
      <c r="A6213" t="s">
        <v>41057</v>
      </c>
    </row>
    <row r="6214" spans="1:1">
      <c r="A6214" t="s">
        <v>41057</v>
      </c>
    </row>
    <row r="6215" spans="1:1">
      <c r="A6215" t="s">
        <v>41057</v>
      </c>
    </row>
    <row r="6216" spans="1:1">
      <c r="A6216" t="s">
        <v>41057</v>
      </c>
    </row>
    <row r="6217" spans="1:1">
      <c r="A6217" t="s">
        <v>41057</v>
      </c>
    </row>
    <row r="6218" spans="1:1">
      <c r="A6218" t="s">
        <v>41057</v>
      </c>
    </row>
    <row r="6219" spans="1:1">
      <c r="A6219" t="s">
        <v>41057</v>
      </c>
    </row>
    <row r="6220" spans="1:1">
      <c r="A6220" t="s">
        <v>41057</v>
      </c>
    </row>
    <row r="6221" spans="1:1">
      <c r="A6221" t="s">
        <v>47890</v>
      </c>
    </row>
    <row r="6222" spans="1:1">
      <c r="A6222" t="s">
        <v>41057</v>
      </c>
    </row>
    <row r="6223" spans="1:1">
      <c r="A6223" t="s">
        <v>41057</v>
      </c>
    </row>
    <row r="6224" spans="1:1">
      <c r="A6224" t="s">
        <v>41057</v>
      </c>
    </row>
    <row r="6225" spans="1:1">
      <c r="A6225" t="s">
        <v>41057</v>
      </c>
    </row>
    <row r="6226" spans="1:1">
      <c r="A6226" t="s">
        <v>41057</v>
      </c>
    </row>
    <row r="6227" spans="1:1">
      <c r="A6227" t="s">
        <v>48102</v>
      </c>
    </row>
    <row r="6228" spans="1:1">
      <c r="A6228" t="s">
        <v>47849</v>
      </c>
    </row>
    <row r="6229" spans="1:1">
      <c r="A6229" t="s">
        <v>41057</v>
      </c>
    </row>
    <row r="6230" spans="1:1">
      <c r="A6230" t="s">
        <v>41057</v>
      </c>
    </row>
    <row r="6231" spans="1:1">
      <c r="A6231" t="s">
        <v>41057</v>
      </c>
    </row>
    <row r="6232" spans="1:1">
      <c r="A6232" t="s">
        <v>47893</v>
      </c>
    </row>
    <row r="6233" spans="1:1">
      <c r="A6233" t="s">
        <v>41057</v>
      </c>
    </row>
    <row r="6234" spans="1:1">
      <c r="A6234" t="s">
        <v>41057</v>
      </c>
    </row>
    <row r="6235" spans="1:1">
      <c r="A6235" t="s">
        <v>41057</v>
      </c>
    </row>
    <row r="6236" spans="1:1">
      <c r="A6236" t="s">
        <v>41057</v>
      </c>
    </row>
    <row r="6237" spans="1:1">
      <c r="A6237" t="s">
        <v>41057</v>
      </c>
    </row>
    <row r="6238" spans="1:1">
      <c r="A6238" t="s">
        <v>41057</v>
      </c>
    </row>
    <row r="6239" spans="1:1">
      <c r="A6239" t="s">
        <v>41057</v>
      </c>
    </row>
    <row r="6240" spans="1:1">
      <c r="A6240" t="s">
        <v>41057</v>
      </c>
    </row>
    <row r="6241" spans="1:1">
      <c r="A6241" t="s">
        <v>41057</v>
      </c>
    </row>
    <row r="6242" spans="1:1">
      <c r="A6242" t="s">
        <v>41057</v>
      </c>
    </row>
    <row r="6243" spans="1:1">
      <c r="A6243" t="s">
        <v>41057</v>
      </c>
    </row>
    <row r="6244" spans="1:1">
      <c r="A6244" t="e" cm="1">
        <f t="array" ref="A6244">-----------------------------------------------TDSV--------M</f>
        <v>#NAME?</v>
      </c>
    </row>
    <row r="6245" spans="1:1">
      <c r="A6245" t="s">
        <v>41087</v>
      </c>
    </row>
    <row r="6246" spans="1:1">
      <c r="A6246" t="s">
        <v>48103</v>
      </c>
    </row>
    <row r="6247" spans="1:1">
      <c r="A6247" t="e" cm="1">
        <f t="array" ref="A6247">-------GVEA----------------------------IEY----SWE----------I</f>
        <v>#NAME?</v>
      </c>
    </row>
    <row r="6248" spans="1:1">
      <c r="A6248" t="s">
        <v>48104</v>
      </c>
    </row>
    <row r="6249" spans="1:1">
      <c r="A6249" t="e" cm="1">
        <f t="array" ref="A6249">--------PN------NLELEK-VYHPYFL----------Y-SKKRYA-----------A</f>
        <v>#NAME?</v>
      </c>
    </row>
    <row r="6250" spans="1:1">
      <c r="A6250" t="s">
        <v>48105</v>
      </c>
    </row>
    <row r="6251" spans="1:1">
      <c r="A6251" t="s">
        <v>48106</v>
      </c>
    </row>
    <row r="6252" spans="1:1">
      <c r="A6252" t="s">
        <v>48107</v>
      </c>
    </row>
    <row r="6253" spans="1:1">
      <c r="A6253" t="s">
        <v>48108</v>
      </c>
    </row>
    <row r="6254" spans="1:1">
      <c r="A6254" t="s">
        <v>48109</v>
      </c>
    </row>
    <row r="6255" spans="1:1">
      <c r="A6255" t="s">
        <v>48110</v>
      </c>
    </row>
    <row r="6256" spans="1:1">
      <c r="A6256" t="s">
        <v>48111</v>
      </c>
    </row>
    <row r="6257" spans="1:1">
      <c r="A6257" t="s">
        <v>48112</v>
      </c>
    </row>
    <row r="6258" spans="1:1">
      <c r="A6258" t="s">
        <v>48113</v>
      </c>
    </row>
    <row r="6259" spans="1:1">
      <c r="A6259" t="s">
        <v>48114</v>
      </c>
    </row>
    <row r="6260" spans="1:1">
      <c r="A6260" t="s">
        <v>48115</v>
      </c>
    </row>
    <row r="6261" spans="1:1">
      <c r="A6261" t="s">
        <v>41057</v>
      </c>
    </row>
    <row r="6262" spans="1:1">
      <c r="A6262" t="s">
        <v>48116</v>
      </c>
    </row>
    <row r="6263" spans="1:1">
      <c r="A6263" t="s">
        <v>48117</v>
      </c>
    </row>
    <row r="6264" spans="1:1">
      <c r="A6264" t="s">
        <v>47986</v>
      </c>
    </row>
    <row r="6265" spans="1:1">
      <c r="A6265" t="s">
        <v>48118</v>
      </c>
    </row>
    <row r="6266" spans="1:1">
      <c r="A6266" t="s">
        <v>48119</v>
      </c>
    </row>
    <row r="6267" spans="1:1">
      <c r="A6267" t="s">
        <v>48120</v>
      </c>
    </row>
    <row r="6268" spans="1:1">
      <c r="A6268" t="s">
        <v>48121</v>
      </c>
    </row>
    <row r="6269" spans="1:1">
      <c r="A6269" t="s">
        <v>41057</v>
      </c>
    </row>
    <row r="6270" spans="1:1">
      <c r="A6270" t="s">
        <v>41057</v>
      </c>
    </row>
    <row r="6271" spans="1:1">
      <c r="A6271" t="s">
        <v>41057</v>
      </c>
    </row>
    <row r="6272" spans="1:1">
      <c r="A6272" t="s">
        <v>45870</v>
      </c>
    </row>
    <row r="6273" spans="1:1">
      <c r="A6273" t="s">
        <v>44603</v>
      </c>
    </row>
    <row r="6274" spans="1:1">
      <c r="A6274" t="s">
        <v>41057</v>
      </c>
    </row>
    <row r="6275" spans="1:1">
      <c r="A6275" t="s">
        <v>41057</v>
      </c>
    </row>
    <row r="6276" spans="1:1">
      <c r="A6276" t="s">
        <v>41057</v>
      </c>
    </row>
    <row r="6277" spans="1:1">
      <c r="A6277" t="s">
        <v>41057</v>
      </c>
    </row>
    <row r="6278" spans="1:1">
      <c r="A6278" t="s">
        <v>41057</v>
      </c>
    </row>
    <row r="6279" spans="1:1">
      <c r="A6279" t="s">
        <v>48122</v>
      </c>
    </row>
    <row r="6280" spans="1:1">
      <c r="A6280" t="s">
        <v>48123</v>
      </c>
    </row>
    <row r="6281" spans="1:1">
      <c r="A6281" t="s">
        <v>48124</v>
      </c>
    </row>
    <row r="6282" spans="1:1">
      <c r="A6282" t="e" cm="1">
        <f t="array" ref="A6282">----------------------------------------------------------DK</f>
        <v>#NAME?</v>
      </c>
    </row>
    <row r="6283" spans="1:1">
      <c r="A6283" t="s">
        <v>48125</v>
      </c>
    </row>
    <row r="6284" spans="1:1">
      <c r="A6284" t="s">
        <v>48126</v>
      </c>
    </row>
    <row r="6285" spans="1:1">
      <c r="A6285" t="s">
        <v>48127</v>
      </c>
    </row>
    <row r="6286" spans="1:1">
      <c r="A6286" t="s">
        <v>48128</v>
      </c>
    </row>
    <row r="6287" spans="1:1">
      <c r="A6287" t="s">
        <v>48129</v>
      </c>
    </row>
    <row r="6288" spans="1:1">
      <c r="A6288" t="s">
        <v>48130</v>
      </c>
    </row>
    <row r="6289" spans="1:1">
      <c r="A6289" t="s">
        <v>48131</v>
      </c>
    </row>
    <row r="6290" spans="1:1">
      <c r="A6290" t="s">
        <v>48132</v>
      </c>
    </row>
    <row r="6291" spans="1:1">
      <c r="A6291" t="s">
        <v>48133</v>
      </c>
    </row>
    <row r="6292" spans="1:1">
      <c r="A6292" t="s">
        <v>48134</v>
      </c>
    </row>
    <row r="6293" spans="1:1">
      <c r="A6293" t="s">
        <v>41057</v>
      </c>
    </row>
    <row r="6294" spans="1:1">
      <c r="A6294" t="s">
        <v>41057</v>
      </c>
    </row>
    <row r="6295" spans="1:1">
      <c r="A6295" t="s">
        <v>41057</v>
      </c>
    </row>
    <row r="6296" spans="1:1">
      <c r="A6296" t="s">
        <v>48135</v>
      </c>
    </row>
    <row r="6297" spans="1:1">
      <c r="A6297" t="s">
        <v>48136</v>
      </c>
    </row>
    <row r="6298" spans="1:1">
      <c r="A6298" t="s">
        <v>46798</v>
      </c>
    </row>
    <row r="6299" spans="1:1">
      <c r="A6299" t="s">
        <v>48137</v>
      </c>
    </row>
    <row r="6300" spans="1:1">
      <c r="A6300" t="s">
        <v>48138</v>
      </c>
    </row>
    <row r="6301" spans="1:1">
      <c r="A6301" t="s">
        <v>48139</v>
      </c>
    </row>
    <row r="6302" spans="1:1">
      <c r="A6302" t="e" cm="1">
        <f t="array" ref="A6302">---------------------------------------SKVVEKKLSSSALG-DNVLKL</f>
        <v>#NAME?</v>
      </c>
    </row>
    <row r="6303" spans="1:1">
      <c r="A6303" t="s">
        <v>48140</v>
      </c>
    </row>
    <row r="6304" spans="1:1">
      <c r="A6304" t="s">
        <v>48141</v>
      </c>
    </row>
    <row r="6305" spans="1:1">
      <c r="A6305" t="s">
        <v>41057</v>
      </c>
    </row>
    <row r="6306" spans="1:1">
      <c r="A6306" t="s">
        <v>47831</v>
      </c>
    </row>
    <row r="6307" spans="1:1">
      <c r="A6307" t="s">
        <v>48142</v>
      </c>
    </row>
    <row r="6308" spans="1:1">
      <c r="A6308" t="e" cm="1">
        <f t="array" ref="A6308">-------------------------PAREM-------FARFER----------------Q</f>
        <v>#NAME?</v>
      </c>
    </row>
    <row r="6309" spans="1:1">
      <c r="A6309" t="s">
        <v>48143</v>
      </c>
    </row>
    <row r="6310" spans="1:1">
      <c r="A6310" t="s">
        <v>41057</v>
      </c>
    </row>
    <row r="6311" spans="1:1">
      <c r="A6311" t="s">
        <v>47081</v>
      </c>
    </row>
    <row r="6312" spans="1:1">
      <c r="A6312" t="e" cm="1">
        <f t="array" ref="A6312">--------------YCVKDTV-----------------LP--------HRICKRL-CLDV</f>
        <v>#NAME?</v>
      </c>
    </row>
    <row r="6313" spans="1:1">
      <c r="A6313" t="s">
        <v>48144</v>
      </c>
    </row>
    <row r="6314" spans="1:1">
      <c r="A6314" t="s">
        <v>48145</v>
      </c>
    </row>
    <row r="6315" spans="1:1">
      <c r="A6315" t="s">
        <v>41057</v>
      </c>
    </row>
    <row r="6316" spans="1:1">
      <c r="A6316" t="s">
        <v>48146</v>
      </c>
    </row>
    <row r="6317" spans="1:1">
      <c r="A6317" t="e" cm="1">
        <f t="array" ref="A6317">-----------S--YV--------------------------------GATV-LDAQKGA</f>
        <v>#NAME?</v>
      </c>
    </row>
    <row r="6318" spans="1:1">
      <c r="A6318" t="s">
        <v>48147</v>
      </c>
    </row>
    <row r="6319" spans="1:1">
      <c r="A6319" t="s">
        <v>41057</v>
      </c>
    </row>
    <row r="6320" spans="1:1">
      <c r="A6320" t="s">
        <v>41057</v>
      </c>
    </row>
    <row r="6321" spans="1:1">
      <c r="A6321" t="s">
        <v>41057</v>
      </c>
    </row>
    <row r="6322" spans="1:1">
      <c r="A6322" t="s">
        <v>41057</v>
      </c>
    </row>
    <row r="6323" spans="1:1">
      <c r="A6323" t="s">
        <v>41057</v>
      </c>
    </row>
    <row r="6324" spans="1:1">
      <c r="A6324" t="s">
        <v>41057</v>
      </c>
    </row>
    <row r="6325" spans="1:1">
      <c r="A6325" t="s">
        <v>41057</v>
      </c>
    </row>
    <row r="6326" spans="1:1">
      <c r="A6326" t="s">
        <v>41057</v>
      </c>
    </row>
    <row r="6327" spans="1:1">
      <c r="A6327" t="s">
        <v>48148</v>
      </c>
    </row>
    <row r="6328" spans="1:1">
      <c r="A6328" t="s">
        <v>48149</v>
      </c>
    </row>
    <row r="6329" spans="1:1">
      <c r="A6329" t="s">
        <v>48150</v>
      </c>
    </row>
    <row r="6330" spans="1:1">
      <c r="A6330" t="s">
        <v>41057</v>
      </c>
    </row>
    <row r="6331" spans="1:1">
      <c r="A6331" t="s">
        <v>41057</v>
      </c>
    </row>
    <row r="6332" spans="1:1">
      <c r="A6332" t="s">
        <v>48151</v>
      </c>
    </row>
    <row r="6333" spans="1:1">
      <c r="A6333" t="s">
        <v>41057</v>
      </c>
    </row>
    <row r="6334" spans="1:1">
      <c r="A6334" t="s">
        <v>48152</v>
      </c>
    </row>
    <row r="6335" spans="1:1">
      <c r="A6335" t="s">
        <v>48153</v>
      </c>
    </row>
    <row r="6336" spans="1:1">
      <c r="A6336" t="s">
        <v>48154</v>
      </c>
    </row>
    <row r="6337" spans="1:1">
      <c r="A6337" t="s">
        <v>48155</v>
      </c>
    </row>
    <row r="6338" spans="1:1">
      <c r="A6338" t="s">
        <v>48156</v>
      </c>
    </row>
    <row r="6339" spans="1:1">
      <c r="A6339" t="s">
        <v>48157</v>
      </c>
    </row>
    <row r="6340" spans="1:1">
      <c r="A6340" t="s">
        <v>41057</v>
      </c>
    </row>
    <row r="6341" spans="1:1">
      <c r="A6341" t="s">
        <v>41057</v>
      </c>
    </row>
    <row r="6342" spans="1:1">
      <c r="A6342" t="s">
        <v>41057</v>
      </c>
    </row>
    <row r="6343" spans="1:1">
      <c r="A6343" t="s">
        <v>41057</v>
      </c>
    </row>
    <row r="6344" spans="1:1">
      <c r="A6344" t="s">
        <v>41057</v>
      </c>
    </row>
    <row r="6345" spans="1:1">
      <c r="A6345" t="s">
        <v>41057</v>
      </c>
    </row>
    <row r="6346" spans="1:1">
      <c r="A6346" t="s">
        <v>41057</v>
      </c>
    </row>
    <row r="6347" spans="1:1">
      <c r="A6347" t="s">
        <v>41057</v>
      </c>
    </row>
    <row r="6348" spans="1:1">
      <c r="A6348" t="s">
        <v>41057</v>
      </c>
    </row>
    <row r="6349" spans="1:1">
      <c r="A6349" t="s">
        <v>47890</v>
      </c>
    </row>
    <row r="6350" spans="1:1">
      <c r="A6350" t="s">
        <v>41057</v>
      </c>
    </row>
    <row r="6351" spans="1:1">
      <c r="A6351" t="s">
        <v>41057</v>
      </c>
    </row>
    <row r="6352" spans="1:1">
      <c r="A6352" t="s">
        <v>41057</v>
      </c>
    </row>
    <row r="6353" spans="1:1">
      <c r="A6353" t="s">
        <v>41057</v>
      </c>
    </row>
    <row r="6354" spans="1:1">
      <c r="A6354" t="s">
        <v>41057</v>
      </c>
    </row>
    <row r="6355" spans="1:1">
      <c r="A6355" t="s">
        <v>48158</v>
      </c>
    </row>
    <row r="6356" spans="1:1">
      <c r="A6356" t="s">
        <v>48159</v>
      </c>
    </row>
    <row r="6357" spans="1:1">
      <c r="A6357" t="s">
        <v>41057</v>
      </c>
    </row>
    <row r="6358" spans="1:1">
      <c r="A6358" t="s">
        <v>41057</v>
      </c>
    </row>
    <row r="6359" spans="1:1">
      <c r="A6359" t="s">
        <v>41057</v>
      </c>
    </row>
    <row r="6360" spans="1:1">
      <c r="A6360" t="s">
        <v>48160</v>
      </c>
    </row>
    <row r="6361" spans="1:1">
      <c r="A6361" t="s">
        <v>41057</v>
      </c>
    </row>
    <row r="6362" spans="1:1">
      <c r="A6362" t="s">
        <v>41057</v>
      </c>
    </row>
    <row r="6363" spans="1:1">
      <c r="A6363" t="s">
        <v>41057</v>
      </c>
    </row>
    <row r="6364" spans="1:1">
      <c r="A6364" t="s">
        <v>41057</v>
      </c>
    </row>
    <row r="6365" spans="1:1">
      <c r="A6365" t="s">
        <v>41057</v>
      </c>
    </row>
    <row r="6366" spans="1:1">
      <c r="A6366" t="s">
        <v>41057</v>
      </c>
    </row>
    <row r="6367" spans="1:1">
      <c r="A6367" t="s">
        <v>41057</v>
      </c>
    </row>
    <row r="6368" spans="1:1">
      <c r="A6368" t="s">
        <v>41057</v>
      </c>
    </row>
    <row r="6369" spans="1:1">
      <c r="A6369" t="s">
        <v>41057</v>
      </c>
    </row>
    <row r="6370" spans="1:1">
      <c r="A6370" t="s">
        <v>41057</v>
      </c>
    </row>
    <row r="6371" spans="1:1">
      <c r="A6371" t="s">
        <v>41057</v>
      </c>
    </row>
    <row r="6372" spans="1:1">
      <c r="A6372" t="e" cm="1">
        <f t="array" ref="A6372">-----------------------------------------------TDSV--------M</f>
        <v>#NAME?</v>
      </c>
    </row>
    <row r="6373" spans="1:1">
      <c r="A6373" t="s">
        <v>41087</v>
      </c>
    </row>
    <row r="6374" spans="1:1">
      <c r="A6374" t="s">
        <v>48161</v>
      </c>
    </row>
    <row r="6375" spans="1:1">
      <c r="A6375" t="e" cm="1">
        <f t="array" ref="A6375">-------GMDA----------------------------IEY----SWK----------L</f>
        <v>#NAME?</v>
      </c>
    </row>
    <row r="6376" spans="1:1">
      <c r="A6376" t="s">
        <v>48162</v>
      </c>
    </row>
    <row r="6377" spans="1:1">
      <c r="A6377" t="e" cm="1">
        <f t="array" ref="A6377">--------PN------DLELEK-IYHPFLL----------Y-SKKRYA-----------A</f>
        <v>#NAME?</v>
      </c>
    </row>
    <row r="6378" spans="1:1">
      <c r="A6378" t="s">
        <v>48163</v>
      </c>
    </row>
    <row r="6379" spans="1:1">
      <c r="A6379" t="s">
        <v>48164</v>
      </c>
    </row>
    <row r="6380" spans="1:1">
      <c r="A6380" t="s">
        <v>48165</v>
      </c>
    </row>
    <row r="6381" spans="1:1">
      <c r="A6381" t="s">
        <v>48166</v>
      </c>
    </row>
    <row r="6382" spans="1:1">
      <c r="A6382" t="s">
        <v>48167</v>
      </c>
    </row>
    <row r="6383" spans="1:1">
      <c r="A6383" t="s">
        <v>48168</v>
      </c>
    </row>
    <row r="6384" spans="1:1">
      <c r="A6384" t="s">
        <v>48169</v>
      </c>
    </row>
    <row r="6385" spans="1:1">
      <c r="A6385" t="s">
        <v>48170</v>
      </c>
    </row>
    <row r="6386" spans="1:1">
      <c r="A6386" t="s">
        <v>48171</v>
      </c>
    </row>
    <row r="6387" spans="1:1">
      <c r="A6387" t="s">
        <v>48172</v>
      </c>
    </row>
    <row r="6388" spans="1:1">
      <c r="A6388" t="s">
        <v>48173</v>
      </c>
    </row>
    <row r="6389" spans="1:1">
      <c r="A6389" t="s">
        <v>41057</v>
      </c>
    </row>
    <row r="6390" spans="1:1">
      <c r="A6390" t="s">
        <v>48174</v>
      </c>
    </row>
    <row r="6391" spans="1:1">
      <c r="A6391" t="s">
        <v>48175</v>
      </c>
    </row>
    <row r="6392" spans="1:1">
      <c r="A6392" t="s">
        <v>48176</v>
      </c>
    </row>
    <row r="6393" spans="1:1">
      <c r="A6393" t="s">
        <v>41057</v>
      </c>
    </row>
    <row r="6394" spans="1:1">
      <c r="A6394" t="s">
        <v>48177</v>
      </c>
    </row>
    <row r="6395" spans="1:1">
      <c r="A6395" t="s">
        <v>48178</v>
      </c>
    </row>
    <row r="6396" spans="1:1">
      <c r="A6396" t="s">
        <v>48179</v>
      </c>
    </row>
    <row r="6397" spans="1:1">
      <c r="A6397" t="s">
        <v>41057</v>
      </c>
    </row>
    <row r="6398" spans="1:1">
      <c r="A6398" t="s">
        <v>48180</v>
      </c>
    </row>
    <row r="6399" spans="1:1">
      <c r="A6399" t="s">
        <v>41057</v>
      </c>
    </row>
    <row r="6400" spans="1:1">
      <c r="A6400" t="s">
        <v>45870</v>
      </c>
    </row>
    <row r="6401" spans="1:1">
      <c r="A6401" t="s">
        <v>44480</v>
      </c>
    </row>
    <row r="6402" spans="1:1">
      <c r="A6402" t="s">
        <v>41057</v>
      </c>
    </row>
    <row r="6403" spans="1:1">
      <c r="A6403" t="s">
        <v>41057</v>
      </c>
    </row>
    <row r="6404" spans="1:1">
      <c r="A6404" t="s">
        <v>41057</v>
      </c>
    </row>
    <row r="6405" spans="1:1">
      <c r="A6405" t="s">
        <v>41057</v>
      </c>
    </row>
    <row r="6406" spans="1:1">
      <c r="A6406" t="s">
        <v>41057</v>
      </c>
    </row>
    <row r="6407" spans="1:1">
      <c r="A6407" t="s">
        <v>48181</v>
      </c>
    </row>
    <row r="6408" spans="1:1">
      <c r="A6408" t="s">
        <v>48182</v>
      </c>
    </row>
    <row r="6409" spans="1:1">
      <c r="A6409" t="s">
        <v>48183</v>
      </c>
    </row>
    <row r="6410" spans="1:1">
      <c r="A6410" t="s">
        <v>48184</v>
      </c>
    </row>
    <row r="6411" spans="1:1">
      <c r="A6411" t="s">
        <v>48185</v>
      </c>
    </row>
    <row r="6412" spans="1:1">
      <c r="A6412" t="s">
        <v>48186</v>
      </c>
    </row>
    <row r="6413" spans="1:1">
      <c r="A6413" t="s">
        <v>48187</v>
      </c>
    </row>
    <row r="6414" spans="1:1">
      <c r="A6414" t="s">
        <v>48188</v>
      </c>
    </row>
    <row r="6415" spans="1:1">
      <c r="A6415" t="s">
        <v>48189</v>
      </c>
    </row>
    <row r="6416" spans="1:1">
      <c r="A6416" t="s">
        <v>48190</v>
      </c>
    </row>
    <row r="6417" spans="1:1">
      <c r="A6417" t="s">
        <v>48191</v>
      </c>
    </row>
    <row r="6418" spans="1:1">
      <c r="A6418" t="s">
        <v>48192</v>
      </c>
    </row>
    <row r="6419" spans="1:1">
      <c r="A6419" t="s">
        <v>48193</v>
      </c>
    </row>
    <row r="6420" spans="1:1">
      <c r="A6420" t="s">
        <v>48194</v>
      </c>
    </row>
    <row r="6421" spans="1:1">
      <c r="A6421" t="s">
        <v>41057</v>
      </c>
    </row>
    <row r="6422" spans="1:1">
      <c r="A6422" t="s">
        <v>41057</v>
      </c>
    </row>
    <row r="6423" spans="1:1">
      <c r="A6423" t="s">
        <v>41057</v>
      </c>
    </row>
    <row r="6424" spans="1:1">
      <c r="A6424" t="s">
        <v>48195</v>
      </c>
    </row>
    <row r="6425" spans="1:1">
      <c r="A6425" t="s">
        <v>48196</v>
      </c>
    </row>
    <row r="6426" spans="1:1">
      <c r="A6426" t="s">
        <v>41057</v>
      </c>
    </row>
    <row r="6427" spans="1:1">
      <c r="A6427" t="s">
        <v>48197</v>
      </c>
    </row>
    <row r="6428" spans="1:1">
      <c r="A6428" t="e" cm="1">
        <f t="array" ref="A6428">---DLEYLQVRS-VL--CG-------------------------------------LA-P</f>
        <v>#NAME?</v>
      </c>
    </row>
    <row r="6429" spans="1:1">
      <c r="A6429" t="s">
        <v>48198</v>
      </c>
    </row>
    <row r="6430" spans="1:1">
      <c r="A6430" t="e" cm="1">
        <f t="array" ref="A6430">---------------------------------------IELVTKNLSSSALG-NNLLKL</f>
        <v>#NAME?</v>
      </c>
    </row>
    <row r="6431" spans="1:1">
      <c r="A6431" t="s">
        <v>48199</v>
      </c>
    </row>
    <row r="6432" spans="1:1">
      <c r="A6432" t="s">
        <v>48200</v>
      </c>
    </row>
    <row r="6433" spans="1:1">
      <c r="A6433" t="s">
        <v>41057</v>
      </c>
    </row>
    <row r="6434" spans="1:1">
      <c r="A6434" t="s">
        <v>47831</v>
      </c>
    </row>
    <row r="6435" spans="1:1">
      <c r="A6435" t="s">
        <v>48201</v>
      </c>
    </row>
    <row r="6436" spans="1:1">
      <c r="A6436" t="e" cm="1">
        <f t="array" ref="A6436">-------------------------PVKEI-------FSRFAE----------------G</f>
        <v>#NAME?</v>
      </c>
    </row>
    <row r="6437" spans="1:1">
      <c r="A6437" t="s">
        <v>48202</v>
      </c>
    </row>
    <row r="6438" spans="1:1">
      <c r="A6438" t="s">
        <v>41057</v>
      </c>
    </row>
    <row r="6439" spans="1:1">
      <c r="A6439" t="s">
        <v>47081</v>
      </c>
    </row>
    <row r="6440" spans="1:1">
      <c r="A6440" t="e" cm="1">
        <f t="array" ref="A6440">--------------YCIQDTV-----------------LP--------HKLLDKL-CQLQ</f>
        <v>#NAME?</v>
      </c>
    </row>
    <row r="6441" spans="1:1">
      <c r="A6441" t="s">
        <v>48203</v>
      </c>
    </row>
    <row r="6442" spans="1:1">
      <c r="A6442" t="s">
        <v>48204</v>
      </c>
    </row>
    <row r="6443" spans="1:1">
      <c r="A6443" t="s">
        <v>41057</v>
      </c>
    </row>
    <row r="6444" spans="1:1">
      <c r="A6444" t="s">
        <v>48205</v>
      </c>
    </row>
    <row r="6445" spans="1:1">
      <c r="A6445" t="e" cm="1">
        <f t="array" ref="A6445">-----------DG-YQ--------------------------------GATV-LDAQTGA</f>
        <v>#NAME?</v>
      </c>
    </row>
    <row r="6446" spans="1:1">
      <c r="A6446" t="s">
        <v>48206</v>
      </c>
    </row>
    <row r="6447" spans="1:1">
      <c r="A6447" t="s">
        <v>41057</v>
      </c>
    </row>
    <row r="6448" spans="1:1">
      <c r="A6448" t="s">
        <v>41057</v>
      </c>
    </row>
    <row r="6449" spans="1:1">
      <c r="A6449" t="s">
        <v>41057</v>
      </c>
    </row>
    <row r="6450" spans="1:1">
      <c r="A6450" t="s">
        <v>41057</v>
      </c>
    </row>
    <row r="6451" spans="1:1">
      <c r="A6451" t="s">
        <v>41057</v>
      </c>
    </row>
    <row r="6452" spans="1:1">
      <c r="A6452" t="s">
        <v>41057</v>
      </c>
    </row>
    <row r="6453" spans="1:1">
      <c r="A6453" t="s">
        <v>41057</v>
      </c>
    </row>
    <row r="6454" spans="1:1">
      <c r="A6454" t="s">
        <v>41057</v>
      </c>
    </row>
    <row r="6455" spans="1:1">
      <c r="A6455" t="s">
        <v>48207</v>
      </c>
    </row>
    <row r="6456" spans="1:1">
      <c r="A6456" t="s">
        <v>48208</v>
      </c>
    </row>
    <row r="6457" spans="1:1">
      <c r="A6457" t="s">
        <v>48150</v>
      </c>
    </row>
    <row r="6458" spans="1:1">
      <c r="A6458" t="s">
        <v>41057</v>
      </c>
    </row>
    <row r="6459" spans="1:1">
      <c r="A6459" t="s">
        <v>41057</v>
      </c>
    </row>
    <row r="6460" spans="1:1">
      <c r="A6460" t="s">
        <v>48209</v>
      </c>
    </row>
    <row r="6461" spans="1:1">
      <c r="A6461" t="s">
        <v>41057</v>
      </c>
    </row>
    <row r="6462" spans="1:1">
      <c r="A6462" t="s">
        <v>48210</v>
      </c>
    </row>
    <row r="6463" spans="1:1">
      <c r="A6463" t="s">
        <v>48211</v>
      </c>
    </row>
    <row r="6464" spans="1:1">
      <c r="A6464" t="s">
        <v>48212</v>
      </c>
    </row>
    <row r="6465" spans="1:1">
      <c r="A6465" t="s">
        <v>48213</v>
      </c>
    </row>
    <row r="6466" spans="1:1">
      <c r="A6466" t="s">
        <v>48214</v>
      </c>
    </row>
    <row r="6467" spans="1:1">
      <c r="A6467" t="s">
        <v>48215</v>
      </c>
    </row>
    <row r="6468" spans="1:1">
      <c r="A6468" t="s">
        <v>41057</v>
      </c>
    </row>
    <row r="6469" spans="1:1">
      <c r="A6469" t="s">
        <v>41057</v>
      </c>
    </row>
    <row r="6470" spans="1:1">
      <c r="A6470" t="s">
        <v>41057</v>
      </c>
    </row>
    <row r="6471" spans="1:1">
      <c r="A6471" t="s">
        <v>41057</v>
      </c>
    </row>
    <row r="6472" spans="1:1">
      <c r="A6472" t="s">
        <v>41057</v>
      </c>
    </row>
    <row r="6473" spans="1:1">
      <c r="A6473" t="s">
        <v>41057</v>
      </c>
    </row>
    <row r="6474" spans="1:1">
      <c r="A6474" t="s">
        <v>41057</v>
      </c>
    </row>
    <row r="6475" spans="1:1">
      <c r="A6475" t="s">
        <v>41057</v>
      </c>
    </row>
    <row r="6476" spans="1:1">
      <c r="A6476" t="s">
        <v>41057</v>
      </c>
    </row>
    <row r="6477" spans="1:1">
      <c r="A6477" t="s">
        <v>47890</v>
      </c>
    </row>
    <row r="6478" spans="1:1">
      <c r="A6478" t="s">
        <v>41057</v>
      </c>
    </row>
    <row r="6479" spans="1:1">
      <c r="A6479" t="s">
        <v>41057</v>
      </c>
    </row>
    <row r="6480" spans="1:1">
      <c r="A6480" t="s">
        <v>41057</v>
      </c>
    </row>
    <row r="6481" spans="1:1">
      <c r="A6481" t="s">
        <v>41057</v>
      </c>
    </row>
    <row r="6482" spans="1:1">
      <c r="A6482" t="s">
        <v>41057</v>
      </c>
    </row>
    <row r="6483" spans="1:1">
      <c r="A6483" t="s">
        <v>48216</v>
      </c>
    </row>
    <row r="6484" spans="1:1">
      <c r="A6484" t="s">
        <v>48217</v>
      </c>
    </row>
    <row r="6485" spans="1:1">
      <c r="A6485" t="s">
        <v>41057</v>
      </c>
    </row>
    <row r="6486" spans="1:1">
      <c r="A6486" t="s">
        <v>41057</v>
      </c>
    </row>
    <row r="6487" spans="1:1">
      <c r="A6487" t="s">
        <v>41057</v>
      </c>
    </row>
    <row r="6488" spans="1:1">
      <c r="A6488" t="s">
        <v>48218</v>
      </c>
    </row>
    <row r="6489" spans="1:1">
      <c r="A6489" t="s">
        <v>41057</v>
      </c>
    </row>
    <row r="6490" spans="1:1">
      <c r="A6490" t="s">
        <v>41057</v>
      </c>
    </row>
    <row r="6491" spans="1:1">
      <c r="A6491" t="s">
        <v>41057</v>
      </c>
    </row>
    <row r="6492" spans="1:1">
      <c r="A6492" t="s">
        <v>41057</v>
      </c>
    </row>
    <row r="6493" spans="1:1">
      <c r="A6493" t="s">
        <v>41057</v>
      </c>
    </row>
    <row r="6494" spans="1:1">
      <c r="A6494" t="s">
        <v>41057</v>
      </c>
    </row>
    <row r="6495" spans="1:1">
      <c r="A6495" t="s">
        <v>41057</v>
      </c>
    </row>
    <row r="6496" spans="1:1">
      <c r="A6496" t="s">
        <v>41057</v>
      </c>
    </row>
    <row r="6497" spans="1:1">
      <c r="A6497" t="s">
        <v>41057</v>
      </c>
    </row>
    <row r="6498" spans="1:1">
      <c r="A6498" t="s">
        <v>41057</v>
      </c>
    </row>
    <row r="6499" spans="1:1">
      <c r="A6499" t="s">
        <v>41057</v>
      </c>
    </row>
    <row r="6500" spans="1:1">
      <c r="A6500" t="e" cm="1">
        <f t="array" ref="A6500">-----------------------------------------------TDSV--------M</f>
        <v>#NAME?</v>
      </c>
    </row>
    <row r="6501" spans="1:1">
      <c r="A6501" t="s">
        <v>41087</v>
      </c>
    </row>
    <row r="6502" spans="1:1">
      <c r="A6502" t="s">
        <v>48219</v>
      </c>
    </row>
    <row r="6503" spans="1:1">
      <c r="A6503" t="e" cm="1">
        <f t="array" ref="A6503">-------GQEA----------------------------IDY----SWQ----------Q</f>
        <v>#NAME?</v>
      </c>
    </row>
    <row r="6504" spans="1:1">
      <c r="A6504" t="s">
        <v>48220</v>
      </c>
    </row>
    <row r="6505" spans="1:1">
      <c r="A6505" t="e" cm="1">
        <f t="array" ref="A6505">--------PN------DLELEK-VYCPYFL----------Y-SKKRYA-----------A</f>
        <v>#NAME?</v>
      </c>
    </row>
    <row r="6506" spans="1:1">
      <c r="A6506" t="s">
        <v>48221</v>
      </c>
    </row>
    <row r="6507" spans="1:1">
      <c r="A6507" t="s">
        <v>48222</v>
      </c>
    </row>
    <row r="6508" spans="1:1">
      <c r="A6508" t="s">
        <v>48223</v>
      </c>
    </row>
    <row r="6509" spans="1:1">
      <c r="A6509" t="s">
        <v>48224</v>
      </c>
    </row>
    <row r="6510" spans="1:1">
      <c r="A6510" t="s">
        <v>48225</v>
      </c>
    </row>
    <row r="6511" spans="1:1">
      <c r="A6511" t="s">
        <v>48226</v>
      </c>
    </row>
    <row r="6512" spans="1:1">
      <c r="A6512" t="s">
        <v>48227</v>
      </c>
    </row>
    <row r="6513" spans="1:1">
      <c r="A6513" t="s">
        <v>48228</v>
      </c>
    </row>
    <row r="6514" spans="1:1">
      <c r="A6514" t="s">
        <v>48229</v>
      </c>
    </row>
    <row r="6515" spans="1:1">
      <c r="A6515" t="s">
        <v>48230</v>
      </c>
    </row>
    <row r="6516" spans="1:1">
      <c r="A6516" t="s">
        <v>48231</v>
      </c>
    </row>
    <row r="6517" spans="1:1">
      <c r="A6517" t="s">
        <v>41057</v>
      </c>
    </row>
    <row r="6518" spans="1:1">
      <c r="A6518" t="s">
        <v>48232</v>
      </c>
    </row>
    <row r="6519" spans="1:1">
      <c r="A6519" t="s">
        <v>41057</v>
      </c>
    </row>
    <row r="6520" spans="1:1">
      <c r="A6520" t="s">
        <v>48233</v>
      </c>
    </row>
    <row r="6521" spans="1:1">
      <c r="A6521" t="s">
        <v>41057</v>
      </c>
    </row>
    <row r="6522" spans="1:1">
      <c r="A6522" t="s">
        <v>41057</v>
      </c>
    </row>
    <row r="6523" spans="1:1">
      <c r="A6523" t="s">
        <v>41057</v>
      </c>
    </row>
    <row r="6524" spans="1:1">
      <c r="A6524" t="s">
        <v>48234</v>
      </c>
    </row>
    <row r="6525" spans="1:1">
      <c r="A6525" t="s">
        <v>41057</v>
      </c>
    </row>
    <row r="6526" spans="1:1">
      <c r="A6526" t="s">
        <v>41057</v>
      </c>
    </row>
    <row r="6527" spans="1:1">
      <c r="A6527" t="s">
        <v>41057</v>
      </c>
    </row>
    <row r="6528" spans="1:1">
      <c r="A6528" t="s">
        <v>45870</v>
      </c>
    </row>
    <row r="6529" spans="1:1">
      <c r="A6529" t="s">
        <v>44657</v>
      </c>
    </row>
    <row r="6530" spans="1:1">
      <c r="A6530" t="s">
        <v>41057</v>
      </c>
    </row>
    <row r="6531" spans="1:1">
      <c r="A6531" t="s">
        <v>41057</v>
      </c>
    </row>
    <row r="6532" spans="1:1">
      <c r="A6532" t="s">
        <v>41057</v>
      </c>
    </row>
    <row r="6533" spans="1:1">
      <c r="A6533" t="s">
        <v>41057</v>
      </c>
    </row>
    <row r="6534" spans="1:1">
      <c r="A6534" t="s">
        <v>41057</v>
      </c>
    </row>
    <row r="6535" spans="1:1">
      <c r="A6535" t="s">
        <v>48235</v>
      </c>
    </row>
    <row r="6536" spans="1:1">
      <c r="A6536" t="s">
        <v>48182</v>
      </c>
    </row>
    <row r="6537" spans="1:1">
      <c r="A6537" t="s">
        <v>48236</v>
      </c>
    </row>
    <row r="6538" spans="1:1">
      <c r="A6538" t="e" cm="1">
        <f t="array" ref="A6538">-------------------------------D--------------------------GK</f>
        <v>#NAME?</v>
      </c>
    </row>
    <row r="6539" spans="1:1">
      <c r="A6539" t="s">
        <v>48237</v>
      </c>
    </row>
    <row r="6540" spans="1:1">
      <c r="A6540" t="s">
        <v>48238</v>
      </c>
    </row>
    <row r="6541" spans="1:1">
      <c r="A6541" t="s">
        <v>48239</v>
      </c>
    </row>
    <row r="6542" spans="1:1">
      <c r="A6542" t="s">
        <v>48240</v>
      </c>
    </row>
    <row r="6543" spans="1:1">
      <c r="A6543" t="s">
        <v>48241</v>
      </c>
    </row>
    <row r="6544" spans="1:1">
      <c r="A6544" t="s">
        <v>48242</v>
      </c>
    </row>
    <row r="6545" spans="1:1">
      <c r="A6545" t="s">
        <v>48243</v>
      </c>
    </row>
    <row r="6546" spans="1:1">
      <c r="A6546" t="s">
        <v>48244</v>
      </c>
    </row>
    <row r="6547" spans="1:1">
      <c r="A6547" t="s">
        <v>48245</v>
      </c>
    </row>
    <row r="6548" spans="1:1">
      <c r="A6548" t="s">
        <v>48246</v>
      </c>
    </row>
    <row r="6549" spans="1:1">
      <c r="A6549" t="s">
        <v>41057</v>
      </c>
    </row>
    <row r="6550" spans="1:1">
      <c r="A6550" t="s">
        <v>41057</v>
      </c>
    </row>
    <row r="6551" spans="1:1">
      <c r="A6551" t="s">
        <v>41057</v>
      </c>
    </row>
    <row r="6552" spans="1:1">
      <c r="A6552" t="s">
        <v>48247</v>
      </c>
    </row>
    <row r="6553" spans="1:1">
      <c r="A6553" t="s">
        <v>48248</v>
      </c>
    </row>
    <row r="6554" spans="1:1">
      <c r="A6554" t="s">
        <v>41057</v>
      </c>
    </row>
    <row r="6555" spans="1:1">
      <c r="A6555" t="s">
        <v>48249</v>
      </c>
    </row>
    <row r="6556" spans="1:1">
      <c r="A6556" t="e" cm="1">
        <f t="array" ref="A6556">---DLEFLQVRA-VK--NG-------------------------------------LA-P</f>
        <v>#NAME?</v>
      </c>
    </row>
    <row r="6557" spans="1:1">
      <c r="A6557" t="s">
        <v>48198</v>
      </c>
    </row>
    <row r="6558" spans="1:1">
      <c r="A6558" t="e" cm="1">
        <f t="array" ref="A6558">---------------------------------------IELVTKNLSSSALG-NNMLKM</f>
        <v>#NAME?</v>
      </c>
    </row>
    <row r="6559" spans="1:1">
      <c r="A6559" t="s">
        <v>48250</v>
      </c>
    </row>
    <row r="6560" spans="1:1">
      <c r="A6560" t="s">
        <v>48200</v>
      </c>
    </row>
    <row r="6561" spans="1:1">
      <c r="A6561" t="s">
        <v>41057</v>
      </c>
    </row>
    <row r="6562" spans="1:1">
      <c r="A6562" t="s">
        <v>47831</v>
      </c>
    </row>
    <row r="6563" spans="1:1">
      <c r="A6563" t="s">
        <v>48201</v>
      </c>
    </row>
    <row r="6564" spans="1:1">
      <c r="A6564" t="e" cm="1">
        <f t="array" ref="A6564">-------------------------PVKEI-------FSRFAE----------------G</f>
        <v>#NAME?</v>
      </c>
    </row>
    <row r="6565" spans="1:1">
      <c r="A6565" t="s">
        <v>48251</v>
      </c>
    </row>
    <row r="6566" spans="1:1">
      <c r="A6566" t="s">
        <v>41057</v>
      </c>
    </row>
    <row r="6567" spans="1:1">
      <c r="A6567" t="s">
        <v>47081</v>
      </c>
    </row>
    <row r="6568" spans="1:1">
      <c r="A6568" t="e" cm="1">
        <f t="array" ref="A6568">--------------YCLKDTE-----------------LP--------HKLLDKL-CQIQ</f>
        <v>#NAME?</v>
      </c>
    </row>
    <row r="6569" spans="1:1">
      <c r="A6569" t="s">
        <v>48252</v>
      </c>
    </row>
    <row r="6570" spans="1:1">
      <c r="A6570" t="s">
        <v>48253</v>
      </c>
    </row>
    <row r="6571" spans="1:1">
      <c r="A6571" t="s">
        <v>41057</v>
      </c>
    </row>
    <row r="6572" spans="1:1">
      <c r="A6572" t="s">
        <v>48254</v>
      </c>
    </row>
    <row r="6573" spans="1:1">
      <c r="A6573" t="e" cm="1">
        <f t="array" ref="A6573">-----------DK-YQ--------------------------------GATV-LDAQTGA</f>
        <v>#NAME?</v>
      </c>
    </row>
    <row r="6574" spans="1:1">
      <c r="A6574" t="s">
        <v>48255</v>
      </c>
    </row>
    <row r="6575" spans="1:1">
      <c r="A6575" t="s">
        <v>41057</v>
      </c>
    </row>
    <row r="6576" spans="1:1">
      <c r="A6576" t="s">
        <v>41057</v>
      </c>
    </row>
    <row r="6577" spans="1:1">
      <c r="A6577" t="s">
        <v>41057</v>
      </c>
    </row>
    <row r="6578" spans="1:1">
      <c r="A6578" t="s">
        <v>41057</v>
      </c>
    </row>
    <row r="6579" spans="1:1">
      <c r="A6579" t="s">
        <v>41057</v>
      </c>
    </row>
    <row r="6580" spans="1:1">
      <c r="A6580" t="s">
        <v>41057</v>
      </c>
    </row>
    <row r="6581" spans="1:1">
      <c r="A6581" t="s">
        <v>41057</v>
      </c>
    </row>
    <row r="6582" spans="1:1">
      <c r="A6582" t="s">
        <v>41057</v>
      </c>
    </row>
    <row r="6583" spans="1:1">
      <c r="A6583" t="s">
        <v>48256</v>
      </c>
    </row>
    <row r="6584" spans="1:1">
      <c r="A6584" t="s">
        <v>48257</v>
      </c>
    </row>
    <row r="6585" spans="1:1">
      <c r="A6585" t="s">
        <v>47926</v>
      </c>
    </row>
    <row r="6586" spans="1:1">
      <c r="A6586" t="s">
        <v>41057</v>
      </c>
    </row>
    <row r="6587" spans="1:1">
      <c r="A6587" t="s">
        <v>41057</v>
      </c>
    </row>
    <row r="6588" spans="1:1">
      <c r="A6588" t="s">
        <v>48258</v>
      </c>
    </row>
    <row r="6589" spans="1:1">
      <c r="A6589" t="s">
        <v>41057</v>
      </c>
    </row>
    <row r="6590" spans="1:1">
      <c r="A6590" t="s">
        <v>48259</v>
      </c>
    </row>
    <row r="6591" spans="1:1">
      <c r="A6591" t="s">
        <v>48211</v>
      </c>
    </row>
    <row r="6592" spans="1:1">
      <c r="A6592" t="s">
        <v>48260</v>
      </c>
    </row>
    <row r="6593" spans="1:1">
      <c r="A6593" t="s">
        <v>48261</v>
      </c>
    </row>
    <row r="6594" spans="1:1">
      <c r="A6594" t="s">
        <v>48262</v>
      </c>
    </row>
    <row r="6595" spans="1:1">
      <c r="A6595" t="s">
        <v>48215</v>
      </c>
    </row>
    <row r="6596" spans="1:1">
      <c r="A6596" t="s">
        <v>41057</v>
      </c>
    </row>
    <row r="6597" spans="1:1">
      <c r="A6597" t="s">
        <v>41057</v>
      </c>
    </row>
    <row r="6598" spans="1:1">
      <c r="A6598" t="s">
        <v>41057</v>
      </c>
    </row>
    <row r="6599" spans="1:1">
      <c r="A6599" t="s">
        <v>41057</v>
      </c>
    </row>
    <row r="6600" spans="1:1">
      <c r="A6600" t="s">
        <v>41057</v>
      </c>
    </row>
    <row r="6601" spans="1:1">
      <c r="A6601" t="s">
        <v>41057</v>
      </c>
    </row>
    <row r="6602" spans="1:1">
      <c r="A6602" t="s">
        <v>41057</v>
      </c>
    </row>
    <row r="6603" spans="1:1">
      <c r="A6603" t="s">
        <v>41057</v>
      </c>
    </row>
    <row r="6604" spans="1:1">
      <c r="A6604" t="s">
        <v>41057</v>
      </c>
    </row>
    <row r="6605" spans="1:1">
      <c r="A6605" t="s">
        <v>47890</v>
      </c>
    </row>
    <row r="6606" spans="1:1">
      <c r="A6606" t="s">
        <v>41057</v>
      </c>
    </row>
    <row r="6607" spans="1:1">
      <c r="A6607" t="s">
        <v>41057</v>
      </c>
    </row>
    <row r="6608" spans="1:1">
      <c r="A6608" t="s">
        <v>41057</v>
      </c>
    </row>
    <row r="6609" spans="1:1">
      <c r="A6609" t="s">
        <v>41057</v>
      </c>
    </row>
    <row r="6610" spans="1:1">
      <c r="A6610" t="s">
        <v>41057</v>
      </c>
    </row>
    <row r="6611" spans="1:1">
      <c r="A6611" t="s">
        <v>48216</v>
      </c>
    </row>
    <row r="6612" spans="1:1">
      <c r="A6612" t="s">
        <v>48263</v>
      </c>
    </row>
    <row r="6613" spans="1:1">
      <c r="A6613" t="s">
        <v>41057</v>
      </c>
    </row>
    <row r="6614" spans="1:1">
      <c r="A6614" t="s">
        <v>41057</v>
      </c>
    </row>
    <row r="6615" spans="1:1">
      <c r="A6615" t="s">
        <v>41057</v>
      </c>
    </row>
    <row r="6616" spans="1:1">
      <c r="A6616" t="s">
        <v>47893</v>
      </c>
    </row>
    <row r="6617" spans="1:1">
      <c r="A6617" t="s">
        <v>41057</v>
      </c>
    </row>
    <row r="6618" spans="1:1">
      <c r="A6618" t="s">
        <v>41057</v>
      </c>
    </row>
    <row r="6619" spans="1:1">
      <c r="A6619" t="s">
        <v>41057</v>
      </c>
    </row>
    <row r="6620" spans="1:1">
      <c r="A6620" t="s">
        <v>41057</v>
      </c>
    </row>
    <row r="6621" spans="1:1">
      <c r="A6621" t="s">
        <v>41057</v>
      </c>
    </row>
    <row r="6622" spans="1:1">
      <c r="A6622" t="s">
        <v>41057</v>
      </c>
    </row>
    <row r="6623" spans="1:1">
      <c r="A6623" t="s">
        <v>41057</v>
      </c>
    </row>
    <row r="6624" spans="1:1">
      <c r="A6624" t="s">
        <v>41057</v>
      </c>
    </row>
    <row r="6625" spans="1:1">
      <c r="A6625" t="s">
        <v>41057</v>
      </c>
    </row>
    <row r="6626" spans="1:1">
      <c r="A6626" t="s">
        <v>41057</v>
      </c>
    </row>
    <row r="6627" spans="1:1">
      <c r="A6627" t="s">
        <v>41057</v>
      </c>
    </row>
    <row r="6628" spans="1:1">
      <c r="A6628" t="e" cm="1">
        <f t="array" ref="A6628">-----------------------------------------------TDSV--------M</f>
        <v>#NAME?</v>
      </c>
    </row>
    <row r="6629" spans="1:1">
      <c r="A6629" t="s">
        <v>41087</v>
      </c>
    </row>
    <row r="6630" spans="1:1">
      <c r="A6630" t="s">
        <v>48219</v>
      </c>
    </row>
    <row r="6631" spans="1:1">
      <c r="A6631" t="e" cm="1">
        <f t="array" ref="A6631">-------GQEA----------------------------IDY----SWQ----------L</f>
        <v>#NAME?</v>
      </c>
    </row>
    <row r="6632" spans="1:1">
      <c r="A6632" t="s">
        <v>48220</v>
      </c>
    </row>
    <row r="6633" spans="1:1">
      <c r="A6633" t="e" cm="1">
        <f t="array" ref="A6633">--------PN------DLELEK-VYCPYFL----------Y-SKKRYA-----------A</f>
        <v>#NAME?</v>
      </c>
    </row>
    <row r="6634" spans="1:1">
      <c r="A6634" t="s">
        <v>48264</v>
      </c>
    </row>
    <row r="6635" spans="1:1">
      <c r="A6635" t="s">
        <v>48265</v>
      </c>
    </row>
    <row r="6636" spans="1:1">
      <c r="A6636" t="s">
        <v>48266</v>
      </c>
    </row>
    <row r="6637" spans="1:1">
      <c r="A6637" t="s">
        <v>48267</v>
      </c>
    </row>
    <row r="6638" spans="1:1">
      <c r="A6638" t="s">
        <v>48268</v>
      </c>
    </row>
    <row r="6639" spans="1:1">
      <c r="A6639" t="s">
        <v>48269</v>
      </c>
    </row>
    <row r="6640" spans="1:1">
      <c r="A6640" t="s">
        <v>48270</v>
      </c>
    </row>
    <row r="6641" spans="1:1">
      <c r="A6641" t="s">
        <v>48271</v>
      </c>
    </row>
    <row r="6642" spans="1:1">
      <c r="A6642" t="s">
        <v>48272</v>
      </c>
    </row>
    <row r="6643" spans="1:1">
      <c r="A6643" t="s">
        <v>48273</v>
      </c>
    </row>
    <row r="6644" spans="1:1">
      <c r="A6644" t="s">
        <v>48274</v>
      </c>
    </row>
    <row r="6645" spans="1:1">
      <c r="A6645" t="s">
        <v>41057</v>
      </c>
    </row>
    <row r="6646" spans="1:1">
      <c r="A6646" t="s">
        <v>48275</v>
      </c>
    </row>
    <row r="6647" spans="1:1">
      <c r="A6647" t="s">
        <v>41057</v>
      </c>
    </row>
    <row r="6648" spans="1:1">
      <c r="A6648" t="s">
        <v>48276</v>
      </c>
    </row>
    <row r="6649" spans="1:1">
      <c r="A6649" t="s">
        <v>41057</v>
      </c>
    </row>
    <row r="6650" spans="1:1">
      <c r="A6650" t="s">
        <v>41057</v>
      </c>
    </row>
    <row r="6651" spans="1:1">
      <c r="A6651" t="s">
        <v>41057</v>
      </c>
    </row>
    <row r="6652" spans="1:1">
      <c r="A6652" t="s">
        <v>48277</v>
      </c>
    </row>
    <row r="6653" spans="1:1">
      <c r="A6653" t="s">
        <v>41057</v>
      </c>
    </row>
    <row r="6654" spans="1:1">
      <c r="A6654" t="s">
        <v>48278</v>
      </c>
    </row>
    <row r="6655" spans="1:1">
      <c r="A6655" t="s">
        <v>41057</v>
      </c>
    </row>
    <row r="6656" spans="1:1">
      <c r="A6656" t="s">
        <v>45870</v>
      </c>
    </row>
    <row r="6657" spans="1:1">
      <c r="A6657" t="s">
        <v>44704</v>
      </c>
    </row>
    <row r="6658" spans="1:1">
      <c r="A6658" t="s">
        <v>41057</v>
      </c>
    </row>
    <row r="6659" spans="1:1">
      <c r="A6659" t="s">
        <v>41057</v>
      </c>
    </row>
    <row r="6660" spans="1:1">
      <c r="A6660" t="s">
        <v>41057</v>
      </c>
    </row>
    <row r="6661" spans="1:1">
      <c r="A6661" t="s">
        <v>41057</v>
      </c>
    </row>
    <row r="6662" spans="1:1">
      <c r="A6662" t="s">
        <v>41057</v>
      </c>
    </row>
    <row r="6663" spans="1:1">
      <c r="A6663" t="s">
        <v>48279</v>
      </c>
    </row>
    <row r="6664" spans="1:1">
      <c r="A6664" t="s">
        <v>48182</v>
      </c>
    </row>
    <row r="6665" spans="1:1">
      <c r="A6665" t="s">
        <v>48280</v>
      </c>
    </row>
    <row r="6666" spans="1:1">
      <c r="A6666" t="e" cm="1">
        <f t="array" ref="A6666">-------------------------------N--------------------------DQ</f>
        <v>#NAME?</v>
      </c>
    </row>
    <row r="6667" spans="1:1">
      <c r="A6667" t="s">
        <v>48281</v>
      </c>
    </row>
    <row r="6668" spans="1:1">
      <c r="A6668" t="s">
        <v>48282</v>
      </c>
    </row>
    <row r="6669" spans="1:1">
      <c r="A6669" t="s">
        <v>48283</v>
      </c>
    </row>
    <row r="6670" spans="1:1">
      <c r="A6670" t="s">
        <v>48284</v>
      </c>
    </row>
    <row r="6671" spans="1:1">
      <c r="A6671" t="s">
        <v>48285</v>
      </c>
    </row>
    <row r="6672" spans="1:1">
      <c r="A6672" t="s">
        <v>48286</v>
      </c>
    </row>
    <row r="6673" spans="1:1">
      <c r="A6673" t="s">
        <v>48287</v>
      </c>
    </row>
    <row r="6674" spans="1:1">
      <c r="A6674" t="s">
        <v>48288</v>
      </c>
    </row>
    <row r="6675" spans="1:1">
      <c r="A6675" t="s">
        <v>48289</v>
      </c>
    </row>
    <row r="6676" spans="1:1">
      <c r="A6676" t="s">
        <v>48290</v>
      </c>
    </row>
    <row r="6677" spans="1:1">
      <c r="A6677" t="s">
        <v>41057</v>
      </c>
    </row>
    <row r="6678" spans="1:1">
      <c r="A6678" t="s">
        <v>41057</v>
      </c>
    </row>
    <row r="6679" spans="1:1">
      <c r="A6679" t="s">
        <v>41057</v>
      </c>
    </row>
    <row r="6680" spans="1:1">
      <c r="A6680" t="s">
        <v>48291</v>
      </c>
    </row>
    <row r="6681" spans="1:1">
      <c r="A6681" t="s">
        <v>48292</v>
      </c>
    </row>
    <row r="6682" spans="1:1">
      <c r="A6682" t="s">
        <v>41057</v>
      </c>
    </row>
    <row r="6683" spans="1:1">
      <c r="A6683" t="s">
        <v>48293</v>
      </c>
    </row>
    <row r="6684" spans="1:1">
      <c r="A6684" t="e" cm="1">
        <f t="array" ref="A6684">---DLEFLIVRATIH--CG-------------------------------------LN-P</f>
        <v>#NAME?</v>
      </c>
    </row>
    <row r="6685" spans="1:1">
      <c r="A6685" t="s">
        <v>48294</v>
      </c>
    </row>
    <row r="6686" spans="1:1">
      <c r="A6686" t="e" cm="1">
        <f t="array" ref="A6686">---------------------------------------AALVEKNLSSSALG-NNELKM</f>
        <v>#NAME?</v>
      </c>
    </row>
    <row r="6687" spans="1:1">
      <c r="A6687" t="s">
        <v>48295</v>
      </c>
    </row>
    <row r="6688" spans="1:1">
      <c r="A6688" t="s">
        <v>48200</v>
      </c>
    </row>
    <row r="6689" spans="1:1">
      <c r="A6689" t="s">
        <v>41057</v>
      </c>
    </row>
    <row r="6690" spans="1:1">
      <c r="A6690" t="s">
        <v>47831</v>
      </c>
    </row>
    <row r="6691" spans="1:1">
      <c r="A6691" t="s">
        <v>48201</v>
      </c>
    </row>
    <row r="6692" spans="1:1">
      <c r="A6692" t="e" cm="1">
        <f t="array" ref="A6692">-------------------------PVKEI-------FSRYKE----------------G</f>
        <v>#NAME?</v>
      </c>
    </row>
    <row r="6693" spans="1:1">
      <c r="A6693" t="s">
        <v>48296</v>
      </c>
    </row>
    <row r="6694" spans="1:1">
      <c r="A6694" t="s">
        <v>41057</v>
      </c>
    </row>
    <row r="6695" spans="1:1">
      <c r="A6695" t="s">
        <v>47081</v>
      </c>
    </row>
    <row r="6696" spans="1:1">
      <c r="A6696" t="e" cm="1">
        <f t="array" ref="A6696">--------------YCIQDTV-----------------LP--------HKLMEKL-CQIQ</f>
        <v>#NAME?</v>
      </c>
    </row>
    <row r="6697" spans="1:1">
      <c r="A6697" t="s">
        <v>48297</v>
      </c>
    </row>
    <row r="6698" spans="1:1">
      <c r="A6698" t="s">
        <v>48298</v>
      </c>
    </row>
    <row r="6699" spans="1:1">
      <c r="A6699" t="s">
        <v>41057</v>
      </c>
    </row>
    <row r="6700" spans="1:1">
      <c r="A6700" t="s">
        <v>48299</v>
      </c>
    </row>
    <row r="6701" spans="1:1">
      <c r="A6701" t="e" cm="1">
        <f t="array" ref="A6701">-----------GK-YE--------------------------------GATV-LEAQTGA</f>
        <v>#NAME?</v>
      </c>
    </row>
    <row r="6702" spans="1:1">
      <c r="A6702" t="s">
        <v>48206</v>
      </c>
    </row>
    <row r="6703" spans="1:1">
      <c r="A6703" t="s">
        <v>41057</v>
      </c>
    </row>
    <row r="6704" spans="1:1">
      <c r="A6704" t="s">
        <v>41057</v>
      </c>
    </row>
    <row r="6705" spans="1:1">
      <c r="A6705" t="s">
        <v>41057</v>
      </c>
    </row>
    <row r="6706" spans="1:1">
      <c r="A6706" t="s">
        <v>41057</v>
      </c>
    </row>
    <row r="6707" spans="1:1">
      <c r="A6707" t="s">
        <v>41057</v>
      </c>
    </row>
    <row r="6708" spans="1:1">
      <c r="A6708" t="s">
        <v>41057</v>
      </c>
    </row>
    <row r="6709" spans="1:1">
      <c r="A6709" t="s">
        <v>41057</v>
      </c>
    </row>
    <row r="6710" spans="1:1">
      <c r="A6710" t="s">
        <v>41057</v>
      </c>
    </row>
    <row r="6711" spans="1:1">
      <c r="A6711" t="s">
        <v>48300</v>
      </c>
    </row>
    <row r="6712" spans="1:1">
      <c r="A6712" t="s">
        <v>48301</v>
      </c>
    </row>
    <row r="6713" spans="1:1">
      <c r="A6713" t="s">
        <v>47926</v>
      </c>
    </row>
    <row r="6714" spans="1:1">
      <c r="A6714" t="s">
        <v>41057</v>
      </c>
    </row>
    <row r="6715" spans="1:1">
      <c r="A6715" t="s">
        <v>41057</v>
      </c>
    </row>
    <row r="6716" spans="1:1">
      <c r="A6716" t="s">
        <v>48258</v>
      </c>
    </row>
    <row r="6717" spans="1:1">
      <c r="A6717" t="s">
        <v>41057</v>
      </c>
    </row>
    <row r="6718" spans="1:1">
      <c r="A6718" t="s">
        <v>48259</v>
      </c>
    </row>
    <row r="6719" spans="1:1">
      <c r="A6719" t="s">
        <v>48302</v>
      </c>
    </row>
    <row r="6720" spans="1:1">
      <c r="A6720" t="s">
        <v>48303</v>
      </c>
    </row>
    <row r="6721" spans="1:1">
      <c r="A6721" t="s">
        <v>48304</v>
      </c>
    </row>
    <row r="6722" spans="1:1">
      <c r="A6722" t="s">
        <v>48214</v>
      </c>
    </row>
    <row r="6723" spans="1:1">
      <c r="A6723" t="s">
        <v>48215</v>
      </c>
    </row>
    <row r="6724" spans="1:1">
      <c r="A6724" t="s">
        <v>41057</v>
      </c>
    </row>
    <row r="6725" spans="1:1">
      <c r="A6725" t="s">
        <v>41057</v>
      </c>
    </row>
    <row r="6726" spans="1:1">
      <c r="A6726" t="s">
        <v>41057</v>
      </c>
    </row>
    <row r="6727" spans="1:1">
      <c r="A6727" t="s">
        <v>41057</v>
      </c>
    </row>
    <row r="6728" spans="1:1">
      <c r="A6728" t="s">
        <v>41057</v>
      </c>
    </row>
    <row r="6729" spans="1:1">
      <c r="A6729" t="s">
        <v>41057</v>
      </c>
    </row>
    <row r="6730" spans="1:1">
      <c r="A6730" t="s">
        <v>41057</v>
      </c>
    </row>
    <row r="6731" spans="1:1">
      <c r="A6731" t="s">
        <v>41057</v>
      </c>
    </row>
    <row r="6732" spans="1:1">
      <c r="A6732" t="s">
        <v>41057</v>
      </c>
    </row>
    <row r="6733" spans="1:1">
      <c r="A6733" t="s">
        <v>47890</v>
      </c>
    </row>
    <row r="6734" spans="1:1">
      <c r="A6734" t="s">
        <v>41057</v>
      </c>
    </row>
    <row r="6735" spans="1:1">
      <c r="A6735" t="s">
        <v>41057</v>
      </c>
    </row>
    <row r="6736" spans="1:1">
      <c r="A6736" t="s">
        <v>41057</v>
      </c>
    </row>
    <row r="6737" spans="1:1">
      <c r="A6737" t="s">
        <v>41057</v>
      </c>
    </row>
    <row r="6738" spans="1:1">
      <c r="A6738" t="s">
        <v>41057</v>
      </c>
    </row>
    <row r="6739" spans="1:1">
      <c r="A6739" t="s">
        <v>48305</v>
      </c>
    </row>
    <row r="6740" spans="1:1">
      <c r="A6740" t="s">
        <v>48217</v>
      </c>
    </row>
    <row r="6741" spans="1:1">
      <c r="A6741" t="s">
        <v>41057</v>
      </c>
    </row>
    <row r="6742" spans="1:1">
      <c r="A6742" t="s">
        <v>41057</v>
      </c>
    </row>
    <row r="6743" spans="1:1">
      <c r="A6743" t="s">
        <v>41057</v>
      </c>
    </row>
    <row r="6744" spans="1:1">
      <c r="A6744" t="s">
        <v>47893</v>
      </c>
    </row>
    <row r="6745" spans="1:1">
      <c r="A6745" t="s">
        <v>41057</v>
      </c>
    </row>
    <row r="6746" spans="1:1">
      <c r="A6746" t="s">
        <v>41057</v>
      </c>
    </row>
    <row r="6747" spans="1:1">
      <c r="A6747" t="s">
        <v>41057</v>
      </c>
    </row>
    <row r="6748" spans="1:1">
      <c r="A6748" t="s">
        <v>41057</v>
      </c>
    </row>
    <row r="6749" spans="1:1">
      <c r="A6749" t="s">
        <v>41057</v>
      </c>
    </row>
    <row r="6750" spans="1:1">
      <c r="A6750" t="s">
        <v>41057</v>
      </c>
    </row>
    <row r="6751" spans="1:1">
      <c r="A6751" t="s">
        <v>41057</v>
      </c>
    </row>
    <row r="6752" spans="1:1">
      <c r="A6752" t="s">
        <v>41057</v>
      </c>
    </row>
    <row r="6753" spans="1:1">
      <c r="A6753" t="s">
        <v>41057</v>
      </c>
    </row>
    <row r="6754" spans="1:1">
      <c r="A6754" t="s">
        <v>41057</v>
      </c>
    </row>
    <row r="6755" spans="1:1">
      <c r="A6755" t="s">
        <v>41057</v>
      </c>
    </row>
    <row r="6756" spans="1:1">
      <c r="A6756" t="e" cm="1">
        <f t="array" ref="A6756">-----------------------------------------------TDSV--------M</f>
        <v>#NAME?</v>
      </c>
    </row>
    <row r="6757" spans="1:1">
      <c r="A6757" t="s">
        <v>41087</v>
      </c>
    </row>
    <row r="6758" spans="1:1">
      <c r="A6758" t="s">
        <v>48219</v>
      </c>
    </row>
    <row r="6759" spans="1:1">
      <c r="A6759" t="e" cm="1">
        <f t="array" ref="A6759">-------GQEA----------------------------IDY----SWQ----------Q</f>
        <v>#NAME?</v>
      </c>
    </row>
    <row r="6760" spans="1:1">
      <c r="A6760" t="s">
        <v>48306</v>
      </c>
    </row>
    <row r="6761" spans="1:1">
      <c r="A6761" t="e" cm="1">
        <f t="array" ref="A6761">--------PN------DLELEK-VYAPYVL----------Y-SKKRYA-----------A</f>
        <v>#NAME?</v>
      </c>
    </row>
    <row r="6762" spans="1:1">
      <c r="A6762" t="s">
        <v>48307</v>
      </c>
    </row>
    <row r="6763" spans="1:1">
      <c r="A6763" t="s">
        <v>48308</v>
      </c>
    </row>
    <row r="6764" spans="1:1">
      <c r="A6764" t="s">
        <v>48309</v>
      </c>
    </row>
    <row r="6765" spans="1:1">
      <c r="A6765" t="s">
        <v>48310</v>
      </c>
    </row>
    <row r="6766" spans="1:1">
      <c r="A6766" t="s">
        <v>48311</v>
      </c>
    </row>
    <row r="6767" spans="1:1">
      <c r="A6767" t="s">
        <v>48312</v>
      </c>
    </row>
    <row r="6768" spans="1:1">
      <c r="A6768" t="s">
        <v>48313</v>
      </c>
    </row>
    <row r="6769" spans="1:1">
      <c r="A6769" t="s">
        <v>48314</v>
      </c>
    </row>
    <row r="6770" spans="1:1">
      <c r="A6770" t="s">
        <v>48315</v>
      </c>
    </row>
    <row r="6771" spans="1:1">
      <c r="A6771" t="s">
        <v>48316</v>
      </c>
    </row>
    <row r="6772" spans="1:1">
      <c r="A6772" t="s">
        <v>48317</v>
      </c>
    </row>
    <row r="6773" spans="1:1">
      <c r="A6773" t="s">
        <v>41057</v>
      </c>
    </row>
    <row r="6774" spans="1:1">
      <c r="A6774" t="s">
        <v>48318</v>
      </c>
    </row>
    <row r="6775" spans="1:1">
      <c r="A6775" t="s">
        <v>41057</v>
      </c>
    </row>
    <row r="6776" spans="1:1">
      <c r="A6776" t="s">
        <v>48319</v>
      </c>
    </row>
    <row r="6777" spans="1:1">
      <c r="A6777" t="s">
        <v>41057</v>
      </c>
    </row>
    <row r="6778" spans="1:1">
      <c r="A6778" t="s">
        <v>48320</v>
      </c>
    </row>
    <row r="6779" spans="1:1">
      <c r="A6779" t="s">
        <v>48321</v>
      </c>
    </row>
    <row r="6780" spans="1:1">
      <c r="A6780" t="s">
        <v>48322</v>
      </c>
    </row>
    <row r="6781" spans="1:1">
      <c r="A6781" t="s">
        <v>41057</v>
      </c>
    </row>
    <row r="6782" spans="1:1">
      <c r="A6782" t="s">
        <v>48323</v>
      </c>
    </row>
    <row r="6783" spans="1:1">
      <c r="A6783" t="s">
        <v>41057</v>
      </c>
    </row>
    <row r="6784" spans="1:1">
      <c r="A6784" t="s">
        <v>45870</v>
      </c>
    </row>
    <row r="6785" spans="1:1">
      <c r="A6785" t="s">
        <v>44636</v>
      </c>
    </row>
    <row r="6786" spans="1:1">
      <c r="A6786" t="s">
        <v>41057</v>
      </c>
    </row>
    <row r="6787" spans="1:1">
      <c r="A6787" t="s">
        <v>41057</v>
      </c>
    </row>
    <row r="6788" spans="1:1">
      <c r="A6788" t="s">
        <v>41057</v>
      </c>
    </row>
    <row r="6789" spans="1:1">
      <c r="A6789" t="s">
        <v>41057</v>
      </c>
    </row>
    <row r="6790" spans="1:1">
      <c r="A6790" t="s">
        <v>41057</v>
      </c>
    </row>
    <row r="6791" spans="1:1">
      <c r="A6791" t="s">
        <v>48324</v>
      </c>
    </row>
    <row r="6792" spans="1:1">
      <c r="A6792" t="s">
        <v>48325</v>
      </c>
    </row>
    <row r="6793" spans="1:1">
      <c r="A6793" t="s">
        <v>48326</v>
      </c>
    </row>
    <row r="6794" spans="1:1">
      <c r="A6794" t="e" cm="1">
        <f t="array" ref="A6794">---------------------------------NN-----------------------RN</f>
        <v>#NAME?</v>
      </c>
    </row>
    <row r="6795" spans="1:1">
      <c r="A6795" t="s">
        <v>48327</v>
      </c>
    </row>
    <row r="6796" spans="1:1">
      <c r="A6796" t="s">
        <v>48328</v>
      </c>
    </row>
    <row r="6797" spans="1:1">
      <c r="A6797" t="s">
        <v>48329</v>
      </c>
    </row>
    <row r="6798" spans="1:1">
      <c r="A6798" t="s">
        <v>48330</v>
      </c>
    </row>
    <row r="6799" spans="1:1">
      <c r="A6799" t="s">
        <v>48331</v>
      </c>
    </row>
    <row r="6800" spans="1:1">
      <c r="A6800" t="s">
        <v>48332</v>
      </c>
    </row>
    <row r="6801" spans="1:1">
      <c r="A6801" t="s">
        <v>48333</v>
      </c>
    </row>
    <row r="6802" spans="1:1">
      <c r="A6802" t="s">
        <v>48334</v>
      </c>
    </row>
    <row r="6803" spans="1:1">
      <c r="A6803" t="s">
        <v>48335</v>
      </c>
    </row>
    <row r="6804" spans="1:1">
      <c r="A6804" t="s">
        <v>48336</v>
      </c>
    </row>
    <row r="6805" spans="1:1">
      <c r="A6805" t="s">
        <v>41057</v>
      </c>
    </row>
    <row r="6806" spans="1:1">
      <c r="A6806" t="s">
        <v>41057</v>
      </c>
    </row>
    <row r="6807" spans="1:1">
      <c r="A6807" t="s">
        <v>41057</v>
      </c>
    </row>
    <row r="6808" spans="1:1">
      <c r="A6808" t="s">
        <v>48337</v>
      </c>
    </row>
    <row r="6809" spans="1:1">
      <c r="A6809" t="s">
        <v>48338</v>
      </c>
    </row>
    <row r="6810" spans="1:1">
      <c r="A6810" t="s">
        <v>48339</v>
      </c>
    </row>
    <row r="6811" spans="1:1">
      <c r="A6811" t="s">
        <v>48340</v>
      </c>
    </row>
    <row r="6812" spans="1:1">
      <c r="A6812" t="s">
        <v>48341</v>
      </c>
    </row>
    <row r="6813" spans="1:1">
      <c r="A6813" t="s">
        <v>48342</v>
      </c>
    </row>
    <row r="6814" spans="1:1">
      <c r="A6814" t="e" cm="1">
        <f t="array" ref="A6814">--------------------------------------KSRFMTKELNSSAFG-DNEFKF</f>
        <v>#NAME?</v>
      </c>
    </row>
    <row r="6815" spans="1:1">
      <c r="A6815" t="s">
        <v>48343</v>
      </c>
    </row>
    <row r="6816" spans="1:1">
      <c r="A6816" t="s">
        <v>48344</v>
      </c>
    </row>
    <row r="6817" spans="1:1">
      <c r="A6817" t="s">
        <v>41057</v>
      </c>
    </row>
    <row r="6818" spans="1:1">
      <c r="A6818" t="s">
        <v>48345</v>
      </c>
    </row>
    <row r="6819" spans="1:1">
      <c r="A6819" t="s">
        <v>48346</v>
      </c>
    </row>
    <row r="6820" spans="1:1">
      <c r="A6820" t="e" cm="1">
        <f t="array" ref="A6820">-------------------------KPMDI-------FIK-LM----------------G</f>
        <v>#NAME?</v>
      </c>
    </row>
    <row r="6821" spans="1:1">
      <c r="A6821" t="s">
        <v>48347</v>
      </c>
    </row>
    <row r="6822" spans="1:1">
      <c r="A6822" t="s">
        <v>41057</v>
      </c>
    </row>
    <row r="6823" spans="1:1">
      <c r="A6823" t="s">
        <v>47081</v>
      </c>
    </row>
    <row r="6824" spans="1:1">
      <c r="A6824" t="e" cm="1">
        <f t="array" ref="A6824">--------------YCVQDTF-----------------LI--------IELMKKL-CVIP</f>
        <v>#NAME?</v>
      </c>
    </row>
    <row r="6825" spans="1:1">
      <c r="A6825" t="s">
        <v>48348</v>
      </c>
    </row>
    <row r="6826" spans="1:1">
      <c r="A6826" t="s">
        <v>48349</v>
      </c>
    </row>
    <row r="6827" spans="1:1">
      <c r="A6827" t="s">
        <v>48350</v>
      </c>
    </row>
    <row r="6828" spans="1:1">
      <c r="A6828" t="s">
        <v>48351</v>
      </c>
    </row>
    <row r="6829" spans="1:1">
      <c r="A6829" t="e" cm="1">
        <f t="array" ref="A6829">-----------EK-YT--------------------------------GATV-LTANSGC</f>
        <v>#NAME?</v>
      </c>
    </row>
    <row r="6830" spans="1:1">
      <c r="A6830" t="s">
        <v>48352</v>
      </c>
    </row>
    <row r="6831" spans="1:1">
      <c r="A6831" t="s">
        <v>41057</v>
      </c>
    </row>
    <row r="6832" spans="1:1">
      <c r="A6832" t="s">
        <v>41057</v>
      </c>
    </row>
    <row r="6833" spans="1:1">
      <c r="A6833" t="s">
        <v>41057</v>
      </c>
    </row>
    <row r="6834" spans="1:1">
      <c r="A6834" t="s">
        <v>41057</v>
      </c>
    </row>
    <row r="6835" spans="1:1">
      <c r="A6835" t="s">
        <v>41057</v>
      </c>
    </row>
    <row r="6836" spans="1:1">
      <c r="A6836" t="s">
        <v>41057</v>
      </c>
    </row>
    <row r="6837" spans="1:1">
      <c r="A6837" t="s">
        <v>41057</v>
      </c>
    </row>
    <row r="6838" spans="1:1">
      <c r="A6838" t="s">
        <v>41057</v>
      </c>
    </row>
    <row r="6839" spans="1:1">
      <c r="A6839" t="s">
        <v>48353</v>
      </c>
    </row>
    <row r="6840" spans="1:1">
      <c r="A6840" t="s">
        <v>48354</v>
      </c>
    </row>
    <row r="6841" spans="1:1">
      <c r="A6841" t="s">
        <v>48355</v>
      </c>
    </row>
    <row r="6842" spans="1:1">
      <c r="A6842" t="s">
        <v>41057</v>
      </c>
    </row>
    <row r="6843" spans="1:1">
      <c r="A6843" t="s">
        <v>41057</v>
      </c>
    </row>
    <row r="6844" spans="1:1">
      <c r="A6844" t="s">
        <v>48356</v>
      </c>
    </row>
    <row r="6845" spans="1:1">
      <c r="A6845" t="s">
        <v>41057</v>
      </c>
    </row>
    <row r="6846" spans="1:1">
      <c r="A6846" t="s">
        <v>48357</v>
      </c>
    </row>
    <row r="6847" spans="1:1">
      <c r="A6847" t="s">
        <v>48358</v>
      </c>
    </row>
    <row r="6848" spans="1:1">
      <c r="A6848" t="s">
        <v>48359</v>
      </c>
    </row>
    <row r="6849" spans="1:1">
      <c r="A6849" t="s">
        <v>48360</v>
      </c>
    </row>
    <row r="6850" spans="1:1">
      <c r="A6850" t="s">
        <v>48361</v>
      </c>
    </row>
    <row r="6851" spans="1:1">
      <c r="A6851" t="s">
        <v>48362</v>
      </c>
    </row>
    <row r="6852" spans="1:1">
      <c r="A6852" t="s">
        <v>41057</v>
      </c>
    </row>
    <row r="6853" spans="1:1">
      <c r="A6853" t="s">
        <v>41057</v>
      </c>
    </row>
    <row r="6854" spans="1:1">
      <c r="A6854" t="s">
        <v>41057</v>
      </c>
    </row>
    <row r="6855" spans="1:1">
      <c r="A6855" t="s">
        <v>41057</v>
      </c>
    </row>
    <row r="6856" spans="1:1">
      <c r="A6856" t="s">
        <v>41057</v>
      </c>
    </row>
    <row r="6857" spans="1:1">
      <c r="A6857" t="s">
        <v>41057</v>
      </c>
    </row>
    <row r="6858" spans="1:1">
      <c r="A6858" t="s">
        <v>41057</v>
      </c>
    </row>
    <row r="6859" spans="1:1">
      <c r="A6859" t="s">
        <v>41057</v>
      </c>
    </row>
    <row r="6860" spans="1:1">
      <c r="A6860" t="s">
        <v>41057</v>
      </c>
    </row>
    <row r="6861" spans="1:1">
      <c r="A6861" t="s">
        <v>47847</v>
      </c>
    </row>
    <row r="6862" spans="1:1">
      <c r="A6862" t="s">
        <v>41057</v>
      </c>
    </row>
    <row r="6863" spans="1:1">
      <c r="A6863" t="s">
        <v>41057</v>
      </c>
    </row>
    <row r="6864" spans="1:1">
      <c r="A6864" t="s">
        <v>41057</v>
      </c>
    </row>
    <row r="6865" spans="1:1">
      <c r="A6865" t="s">
        <v>41057</v>
      </c>
    </row>
    <row r="6866" spans="1:1">
      <c r="A6866" t="s">
        <v>41057</v>
      </c>
    </row>
    <row r="6867" spans="1:1">
      <c r="A6867" t="s">
        <v>48363</v>
      </c>
    </row>
    <row r="6868" spans="1:1">
      <c r="A6868" t="s">
        <v>48364</v>
      </c>
    </row>
    <row r="6869" spans="1:1">
      <c r="A6869" t="s">
        <v>41057</v>
      </c>
    </row>
    <row r="6870" spans="1:1">
      <c r="A6870" t="s">
        <v>41057</v>
      </c>
    </row>
    <row r="6871" spans="1:1">
      <c r="A6871" t="s">
        <v>41057</v>
      </c>
    </row>
    <row r="6872" spans="1:1">
      <c r="A6872" t="e" cm="1">
        <f t="array" ref="A6872">-------------AKVIYGDSV------------TKETPLMLRTMETCGNHKHEVISIEN</f>
        <v>#NAME?</v>
      </c>
    </row>
    <row r="6873" spans="1:1">
      <c r="A6873" t="s">
        <v>48365</v>
      </c>
    </row>
    <row r="6874" spans="1:1">
      <c r="A6874" t="s">
        <v>41057</v>
      </c>
    </row>
    <row r="6875" spans="1:1">
      <c r="A6875" t="e" cm="1">
        <f t="array" ref="A6875">-------------------------------------------IDM--------YSIIGE</f>
        <v>#NAME?</v>
      </c>
    </row>
    <row r="6876" spans="1:1">
      <c r="A6876" t="s">
        <v>48366</v>
      </c>
    </row>
    <row r="6877" spans="1:1">
      <c r="A6877" t="s">
        <v>48367</v>
      </c>
    </row>
    <row r="6878" spans="1:1">
      <c r="A6878" t="s">
        <v>41057</v>
      </c>
    </row>
    <row r="6879" spans="1:1">
      <c r="A6879" t="s">
        <v>48368</v>
      </c>
    </row>
    <row r="6880" spans="1:1">
      <c r="A6880" t="e" cm="1">
        <f t="array" ref="A6880">----------DIPK-------------------------------------------GQP</f>
        <v>#NAME?</v>
      </c>
    </row>
    <row r="6881" spans="1:1">
      <c r="A6881" t="s">
        <v>48369</v>
      </c>
    </row>
    <row r="6882" spans="1:1">
      <c r="A6882" t="s">
        <v>48370</v>
      </c>
    </row>
    <row r="6883" spans="1:1">
      <c r="A6883" t="s">
        <v>48371</v>
      </c>
    </row>
    <row r="6884" spans="1:1">
      <c r="A6884" t="e" cm="1">
        <f t="array" ref="A6884">-----------------DGIFHAGIG----E--IIV---------KNTDSV--------Y</f>
        <v>#NAME?</v>
      </c>
    </row>
    <row r="6885" spans="1:1">
      <c r="A6885" t="s">
        <v>41087</v>
      </c>
    </row>
    <row r="6886" spans="1:1">
      <c r="A6886" t="s">
        <v>48372</v>
      </c>
    </row>
    <row r="6887" spans="1:1">
      <c r="A6887" t="e" cm="1">
        <f t="array" ref="A6887">--------NND----------------------------MQK----VFD----------I</f>
        <v>#NAME?</v>
      </c>
    </row>
    <row r="6888" spans="1:1">
      <c r="A6888" t="s">
        <v>48373</v>
      </c>
    </row>
    <row r="6889" spans="1:1">
      <c r="A6889" t="e" cm="1">
        <f t="array" ref="A6889">--------PI------ELEFEK-VMYPFIL----------F-TKKRYA-----------S</f>
        <v>#NAME?</v>
      </c>
    </row>
    <row r="6890" spans="1:1">
      <c r="A6890" t="s">
        <v>48374</v>
      </c>
    </row>
    <row r="6891" spans="1:1">
      <c r="A6891" t="s">
        <v>48375</v>
      </c>
    </row>
    <row r="6892" spans="1:1">
      <c r="A6892" t="s">
        <v>48376</v>
      </c>
    </row>
    <row r="6893" spans="1:1">
      <c r="A6893" t="s">
        <v>48377</v>
      </c>
    </row>
    <row r="6894" spans="1:1">
      <c r="A6894" t="s">
        <v>48378</v>
      </c>
    </row>
    <row r="6895" spans="1:1">
      <c r="A6895" t="s">
        <v>48379</v>
      </c>
    </row>
    <row r="6896" spans="1:1">
      <c r="A6896" t="s">
        <v>48380</v>
      </c>
    </row>
    <row r="6897" spans="1:1">
      <c r="A6897" t="s">
        <v>48381</v>
      </c>
    </row>
    <row r="6898" spans="1:1">
      <c r="A6898" t="s">
        <v>48382</v>
      </c>
    </row>
    <row r="6899" spans="1:1">
      <c r="A6899" t="s">
        <v>48383</v>
      </c>
    </row>
    <row r="6900" spans="1:1">
      <c r="A6900" t="s">
        <v>48384</v>
      </c>
    </row>
    <row r="6901" spans="1:1">
      <c r="A6901" t="s">
        <v>41057</v>
      </c>
    </row>
    <row r="6902" spans="1:1">
      <c r="A6902" t="s">
        <v>48385</v>
      </c>
    </row>
    <row r="6903" spans="1:1">
      <c r="A6903" t="s">
        <v>41057</v>
      </c>
    </row>
    <row r="6904" spans="1:1">
      <c r="A6904" t="s">
        <v>48386</v>
      </c>
    </row>
    <row r="6905" spans="1:1">
      <c r="A6905" t="s">
        <v>48387</v>
      </c>
    </row>
    <row r="6906" spans="1:1">
      <c r="A6906" t="s">
        <v>48388</v>
      </c>
    </row>
    <row r="6907" spans="1:1">
      <c r="A6907" t="s">
        <v>48389</v>
      </c>
    </row>
    <row r="6908" spans="1:1">
      <c r="A6908" t="s">
        <v>48390</v>
      </c>
    </row>
    <row r="6909" spans="1:1">
      <c r="A6909" t="s">
        <v>41057</v>
      </c>
    </row>
    <row r="6910" spans="1:1">
      <c r="A6910" t="s">
        <v>41057</v>
      </c>
    </row>
    <row r="6911" spans="1:1">
      <c r="A6911" t="s">
        <v>41057</v>
      </c>
    </row>
    <row r="6912" spans="1:1">
      <c r="A6912" t="s">
        <v>45870</v>
      </c>
    </row>
    <row r="6913" spans="1:1">
      <c r="A6913" t="s">
        <v>44036</v>
      </c>
    </row>
    <row r="6914" spans="1:1">
      <c r="A6914" t="s">
        <v>41057</v>
      </c>
    </row>
    <row r="6915" spans="1:1">
      <c r="A6915" t="s">
        <v>41057</v>
      </c>
    </row>
    <row r="6916" spans="1:1">
      <c r="A6916" t="s">
        <v>41057</v>
      </c>
    </row>
    <row r="6917" spans="1:1">
      <c r="A6917" t="s">
        <v>41057</v>
      </c>
    </row>
    <row r="6918" spans="1:1">
      <c r="A6918" t="s">
        <v>41057</v>
      </c>
    </row>
    <row r="6919" spans="1:1">
      <c r="A6919" t="s">
        <v>48391</v>
      </c>
    </row>
    <row r="6920" spans="1:1">
      <c r="A6920" t="s">
        <v>48392</v>
      </c>
    </row>
    <row r="6921" spans="1:1">
      <c r="A6921" t="s">
        <v>48393</v>
      </c>
    </row>
    <row r="6922" spans="1:1">
      <c r="A6922" t="e" cm="1">
        <f t="array" ref="A6922">-----------------------------EPDKGE-----------------------PY</f>
        <v>#NAME?</v>
      </c>
    </row>
    <row r="6923" spans="1:1">
      <c r="A6923" t="s">
        <v>48394</v>
      </c>
    </row>
    <row r="6924" spans="1:1">
      <c r="A6924" t="s">
        <v>48395</v>
      </c>
    </row>
    <row r="6925" spans="1:1">
      <c r="A6925" t="s">
        <v>48396</v>
      </c>
    </row>
    <row r="6926" spans="1:1">
      <c r="A6926" t="s">
        <v>48397</v>
      </c>
    </row>
    <row r="6927" spans="1:1">
      <c r="A6927" t="s">
        <v>48398</v>
      </c>
    </row>
    <row r="6928" spans="1:1">
      <c r="A6928" t="s">
        <v>48399</v>
      </c>
    </row>
    <row r="6929" spans="1:1">
      <c r="A6929" t="s">
        <v>48400</v>
      </c>
    </row>
    <row r="6930" spans="1:1">
      <c r="A6930" t="s">
        <v>48401</v>
      </c>
    </row>
    <row r="6931" spans="1:1">
      <c r="A6931" t="s">
        <v>48402</v>
      </c>
    </row>
    <row r="6932" spans="1:1">
      <c r="A6932" t="s">
        <v>48403</v>
      </c>
    </row>
    <row r="6933" spans="1:1">
      <c r="A6933" t="s">
        <v>41057</v>
      </c>
    </row>
    <row r="6934" spans="1:1">
      <c r="A6934" t="s">
        <v>41057</v>
      </c>
    </row>
    <row r="6935" spans="1:1">
      <c r="A6935" t="s">
        <v>41057</v>
      </c>
    </row>
    <row r="6936" spans="1:1">
      <c r="A6936" t="s">
        <v>48404</v>
      </c>
    </row>
    <row r="6937" spans="1:1">
      <c r="A6937" t="s">
        <v>48405</v>
      </c>
    </row>
    <row r="6938" spans="1:1">
      <c r="A6938" t="s">
        <v>46798</v>
      </c>
    </row>
    <row r="6939" spans="1:1">
      <c r="A6939" t="s">
        <v>48406</v>
      </c>
    </row>
    <row r="6940" spans="1:1">
      <c r="A6940" t="e" cm="1">
        <f t="array" ref="A6940">---DLRYIHGRS-----------------------------------------------M</f>
        <v>#NAME?</v>
      </c>
    </row>
    <row r="6941" spans="1:1">
      <c r="A6941" t="s">
        <v>48407</v>
      </c>
    </row>
    <row r="6942" spans="1:1">
      <c r="A6942" t="e" cm="1">
        <f t="array" ref="A6942">--------------------------------------GGEVIERDLSSNAFG-QNKFFL</f>
        <v>#NAME?</v>
      </c>
    </row>
    <row r="6943" spans="1:1">
      <c r="A6943" t="s">
        <v>48408</v>
      </c>
    </row>
    <row r="6944" spans="1:1">
      <c r="A6944" t="s">
        <v>47830</v>
      </c>
    </row>
    <row r="6945" spans="1:1">
      <c r="A6945" t="s">
        <v>41057</v>
      </c>
    </row>
    <row r="6946" spans="1:1">
      <c r="A6946" t="s">
        <v>47831</v>
      </c>
    </row>
    <row r="6947" spans="1:1">
      <c r="A6947" t="s">
        <v>48409</v>
      </c>
    </row>
    <row r="6948" spans="1:1">
      <c r="A6948" t="e" cm="1">
        <f t="array" ref="A6948">-------------------------PAMQI-------FEK-FE----------------G</f>
        <v>#NAME?</v>
      </c>
    </row>
    <row r="6949" spans="1:1">
      <c r="A6949" t="s">
        <v>48410</v>
      </c>
    </row>
    <row r="6950" spans="1:1">
      <c r="A6950" t="s">
        <v>41057</v>
      </c>
    </row>
    <row r="6951" spans="1:1">
      <c r="A6951" t="s">
        <v>46644</v>
      </c>
    </row>
    <row r="6952" spans="1:1">
      <c r="A6952" t="e" cm="1">
        <f t="array" ref="A6952">--------------YAAKDTD-----------------LP--------LKLLKKM-AILE</f>
        <v>#NAME?</v>
      </c>
    </row>
    <row r="6953" spans="1:1">
      <c r="A6953" t="s">
        <v>48411</v>
      </c>
    </row>
    <row r="6954" spans="1:1">
      <c r="A6954" t="s">
        <v>48412</v>
      </c>
    </row>
    <row r="6955" spans="1:1">
      <c r="A6955" t="s">
        <v>41057</v>
      </c>
    </row>
    <row r="6956" spans="1:1">
      <c r="A6956" t="s">
        <v>48413</v>
      </c>
    </row>
    <row r="6957" spans="1:1">
      <c r="A6957" t="e" cm="1">
        <f t="array" ref="A6957">------------K-YE--------------------------------GATV-LDAKKGA</f>
        <v>#NAME?</v>
      </c>
    </row>
    <row r="6958" spans="1:1">
      <c r="A6958" t="s">
        <v>48414</v>
      </c>
    </row>
    <row r="6959" spans="1:1">
      <c r="A6959" t="s">
        <v>41057</v>
      </c>
    </row>
    <row r="6960" spans="1:1">
      <c r="A6960" t="s">
        <v>41057</v>
      </c>
    </row>
    <row r="6961" spans="1:1">
      <c r="A6961" t="s">
        <v>41057</v>
      </c>
    </row>
    <row r="6962" spans="1:1">
      <c r="A6962" t="s">
        <v>41057</v>
      </c>
    </row>
    <row r="6963" spans="1:1">
      <c r="A6963" t="s">
        <v>41057</v>
      </c>
    </row>
    <row r="6964" spans="1:1">
      <c r="A6964" t="s">
        <v>41057</v>
      </c>
    </row>
    <row r="6965" spans="1:1">
      <c r="A6965" t="s">
        <v>41057</v>
      </c>
    </row>
    <row r="6966" spans="1:1">
      <c r="A6966" t="s">
        <v>41057</v>
      </c>
    </row>
    <row r="6967" spans="1:1">
      <c r="A6967" t="s">
        <v>48415</v>
      </c>
    </row>
    <row r="6968" spans="1:1">
      <c r="A6968" t="s">
        <v>48416</v>
      </c>
    </row>
    <row r="6969" spans="1:1">
      <c r="A6969" t="s">
        <v>48417</v>
      </c>
    </row>
    <row r="6970" spans="1:1">
      <c r="A6970" t="s">
        <v>41057</v>
      </c>
    </row>
    <row r="6971" spans="1:1">
      <c r="A6971" t="s">
        <v>41057</v>
      </c>
    </row>
    <row r="6972" spans="1:1">
      <c r="A6972" t="s">
        <v>48418</v>
      </c>
    </row>
    <row r="6973" spans="1:1">
      <c r="A6973" t="s">
        <v>41057</v>
      </c>
    </row>
    <row r="6974" spans="1:1">
      <c r="A6974" t="s">
        <v>48419</v>
      </c>
    </row>
    <row r="6975" spans="1:1">
      <c r="A6975" t="s">
        <v>48420</v>
      </c>
    </row>
    <row r="6976" spans="1:1">
      <c r="A6976" t="s">
        <v>48421</v>
      </c>
    </row>
    <row r="6977" spans="1:1">
      <c r="A6977" t="s">
        <v>48422</v>
      </c>
    </row>
    <row r="6978" spans="1:1">
      <c r="A6978" t="s">
        <v>48423</v>
      </c>
    </row>
    <row r="6979" spans="1:1">
      <c r="A6979" t="s">
        <v>48424</v>
      </c>
    </row>
    <row r="6980" spans="1:1">
      <c r="A6980" t="s">
        <v>41057</v>
      </c>
    </row>
    <row r="6981" spans="1:1">
      <c r="A6981" t="s">
        <v>41057</v>
      </c>
    </row>
    <row r="6982" spans="1:1">
      <c r="A6982" t="s">
        <v>41057</v>
      </c>
    </row>
    <row r="6983" spans="1:1">
      <c r="A6983" t="s">
        <v>41057</v>
      </c>
    </row>
    <row r="6984" spans="1:1">
      <c r="A6984" t="s">
        <v>41057</v>
      </c>
    </row>
    <row r="6985" spans="1:1">
      <c r="A6985" t="s">
        <v>41057</v>
      </c>
    </row>
    <row r="6986" spans="1:1">
      <c r="A6986" t="s">
        <v>41057</v>
      </c>
    </row>
    <row r="6987" spans="1:1">
      <c r="A6987" t="s">
        <v>41057</v>
      </c>
    </row>
    <row r="6988" spans="1:1">
      <c r="A6988" t="s">
        <v>41057</v>
      </c>
    </row>
    <row r="6989" spans="1:1">
      <c r="A6989" t="s">
        <v>48425</v>
      </c>
    </row>
    <row r="6990" spans="1:1">
      <c r="A6990" t="s">
        <v>41057</v>
      </c>
    </row>
    <row r="6991" spans="1:1">
      <c r="A6991" t="s">
        <v>41057</v>
      </c>
    </row>
    <row r="6992" spans="1:1">
      <c r="A6992" t="s">
        <v>41057</v>
      </c>
    </row>
    <row r="6993" spans="1:1">
      <c r="A6993" t="s">
        <v>41057</v>
      </c>
    </row>
    <row r="6994" spans="1:1">
      <c r="A6994" t="s">
        <v>41057</v>
      </c>
    </row>
    <row r="6995" spans="1:1">
      <c r="A6995" t="s">
        <v>48426</v>
      </c>
    </row>
    <row r="6996" spans="1:1">
      <c r="A6996" t="s">
        <v>48427</v>
      </c>
    </row>
    <row r="6997" spans="1:1">
      <c r="A6997" t="s">
        <v>41057</v>
      </c>
    </row>
    <row r="6998" spans="1:1">
      <c r="A6998" t="s">
        <v>41057</v>
      </c>
    </row>
    <row r="6999" spans="1:1">
      <c r="A6999" t="s">
        <v>41057</v>
      </c>
    </row>
    <row r="7000" spans="1:1">
      <c r="A7000" t="s">
        <v>45574</v>
      </c>
    </row>
    <row r="7001" spans="1:1">
      <c r="A7001" t="s">
        <v>41057</v>
      </c>
    </row>
    <row r="7002" spans="1:1">
      <c r="A7002" t="s">
        <v>41057</v>
      </c>
    </row>
    <row r="7003" spans="1:1">
      <c r="A7003" t="s">
        <v>41057</v>
      </c>
    </row>
    <row r="7004" spans="1:1">
      <c r="A7004" t="s">
        <v>41057</v>
      </c>
    </row>
    <row r="7005" spans="1:1">
      <c r="A7005" t="s">
        <v>41057</v>
      </c>
    </row>
    <row r="7006" spans="1:1">
      <c r="A7006" t="s">
        <v>41057</v>
      </c>
    </row>
    <row r="7007" spans="1:1">
      <c r="A7007" t="s">
        <v>41057</v>
      </c>
    </row>
    <row r="7008" spans="1:1">
      <c r="A7008" t="s">
        <v>41057</v>
      </c>
    </row>
    <row r="7009" spans="1:1">
      <c r="A7009" t="s">
        <v>41057</v>
      </c>
    </row>
    <row r="7010" spans="1:1">
      <c r="A7010" t="s">
        <v>41057</v>
      </c>
    </row>
    <row r="7011" spans="1:1">
      <c r="A7011" t="s">
        <v>41057</v>
      </c>
    </row>
    <row r="7012" spans="1:1">
      <c r="A7012" t="e" cm="1">
        <f t="array" ref="A7012">-----------------------------------------------TDSV--------M</f>
        <v>#NAME?</v>
      </c>
    </row>
    <row r="7013" spans="1:1">
      <c r="A7013" t="s">
        <v>45475</v>
      </c>
    </row>
    <row r="7014" spans="1:1">
      <c r="A7014" t="s">
        <v>48428</v>
      </c>
    </row>
    <row r="7015" spans="1:1">
      <c r="A7015" t="e" cm="1">
        <f t="array" ref="A7015">--------IHD----------------------------MDE----QFK----------M</f>
        <v>#NAME?</v>
      </c>
    </row>
    <row r="7016" spans="1:1">
      <c r="A7016" t="s">
        <v>48429</v>
      </c>
    </row>
    <row r="7017" spans="1:1">
      <c r="A7017" t="e" cm="1">
        <f t="array" ref="A7017">--------PN------DLEFEK-IYYPYIL----------Y-SKKRYA-----------A</f>
        <v>#NAME?</v>
      </c>
    </row>
    <row r="7018" spans="1:1">
      <c r="A7018" t="s">
        <v>48430</v>
      </c>
    </row>
    <row r="7019" spans="1:1">
      <c r="A7019" t="s">
        <v>48431</v>
      </c>
    </row>
    <row r="7020" spans="1:1">
      <c r="A7020" t="s">
        <v>48432</v>
      </c>
    </row>
    <row r="7021" spans="1:1">
      <c r="A7021" t="s">
        <v>48433</v>
      </c>
    </row>
    <row r="7022" spans="1:1">
      <c r="A7022" t="s">
        <v>48434</v>
      </c>
    </row>
    <row r="7023" spans="1:1">
      <c r="A7023" t="s">
        <v>48435</v>
      </c>
    </row>
    <row r="7024" spans="1:1">
      <c r="A7024" t="s">
        <v>48436</v>
      </c>
    </row>
    <row r="7025" spans="1:1">
      <c r="A7025" t="s">
        <v>48437</v>
      </c>
    </row>
    <row r="7026" spans="1:1">
      <c r="A7026" t="s">
        <v>48438</v>
      </c>
    </row>
    <row r="7027" spans="1:1">
      <c r="A7027" t="s">
        <v>48439</v>
      </c>
    </row>
    <row r="7028" spans="1:1">
      <c r="A7028" t="s">
        <v>48440</v>
      </c>
    </row>
    <row r="7029" spans="1:1">
      <c r="A7029" t="s">
        <v>41057</v>
      </c>
    </row>
    <row r="7030" spans="1:1">
      <c r="A7030" t="s">
        <v>48441</v>
      </c>
    </row>
    <row r="7031" spans="1:1">
      <c r="A7031" t="s">
        <v>48442</v>
      </c>
    </row>
    <row r="7032" spans="1:1">
      <c r="A7032" t="s">
        <v>48443</v>
      </c>
    </row>
    <row r="7033" spans="1:1">
      <c r="A7033" t="s">
        <v>48444</v>
      </c>
    </row>
    <row r="7034" spans="1:1">
      <c r="A7034" t="s">
        <v>48445</v>
      </c>
    </row>
    <row r="7035" spans="1:1">
      <c r="A7035" t="s">
        <v>48446</v>
      </c>
    </row>
    <row r="7036" spans="1:1">
      <c r="A7036" t="s">
        <v>48447</v>
      </c>
    </row>
    <row r="7037" spans="1:1">
      <c r="A7037" t="s">
        <v>41057</v>
      </c>
    </row>
    <row r="7038" spans="1:1">
      <c r="A7038" t="s">
        <v>41057</v>
      </c>
    </row>
    <row r="7039" spans="1:1">
      <c r="A7039" t="s">
        <v>41057</v>
      </c>
    </row>
    <row r="7040" spans="1:1">
      <c r="A7040" t="s">
        <v>45870</v>
      </c>
    </row>
    <row r="7041" spans="1:1">
      <c r="A7041" t="s">
        <v>44553</v>
      </c>
    </row>
    <row r="7042" spans="1:1">
      <c r="A7042" t="s">
        <v>41057</v>
      </c>
    </row>
    <row r="7043" spans="1:1">
      <c r="A7043" t="s">
        <v>41057</v>
      </c>
    </row>
    <row r="7044" spans="1:1">
      <c r="A7044" t="s">
        <v>41057</v>
      </c>
    </row>
    <row r="7045" spans="1:1">
      <c r="A7045" t="s">
        <v>41057</v>
      </c>
    </row>
    <row r="7046" spans="1:1">
      <c r="A7046" t="s">
        <v>41057</v>
      </c>
    </row>
    <row r="7047" spans="1:1">
      <c r="A7047" t="s">
        <v>48448</v>
      </c>
    </row>
    <row r="7048" spans="1:1">
      <c r="A7048" t="s">
        <v>48392</v>
      </c>
    </row>
    <row r="7049" spans="1:1">
      <c r="A7049" t="s">
        <v>48449</v>
      </c>
    </row>
    <row r="7050" spans="1:1">
      <c r="A7050" t="e" cm="1">
        <f t="array" ref="A7050">-----------------------------VPDKGE-----------------------SF</f>
        <v>#NAME?</v>
      </c>
    </row>
    <row r="7051" spans="1:1">
      <c r="A7051" t="s">
        <v>48450</v>
      </c>
    </row>
    <row r="7052" spans="1:1">
      <c r="A7052" t="s">
        <v>48451</v>
      </c>
    </row>
    <row r="7053" spans="1:1">
      <c r="A7053" t="s">
        <v>48452</v>
      </c>
    </row>
    <row r="7054" spans="1:1">
      <c r="A7054" t="s">
        <v>48453</v>
      </c>
    </row>
    <row r="7055" spans="1:1">
      <c r="A7055" t="s">
        <v>48454</v>
      </c>
    </row>
    <row r="7056" spans="1:1">
      <c r="A7056" t="s">
        <v>48455</v>
      </c>
    </row>
    <row r="7057" spans="1:1">
      <c r="A7057" t="s">
        <v>48456</v>
      </c>
    </row>
    <row r="7058" spans="1:1">
      <c r="A7058" t="s">
        <v>48457</v>
      </c>
    </row>
    <row r="7059" spans="1:1">
      <c r="A7059" t="s">
        <v>48458</v>
      </c>
    </row>
    <row r="7060" spans="1:1">
      <c r="A7060" t="s">
        <v>48403</v>
      </c>
    </row>
    <row r="7061" spans="1:1">
      <c r="A7061" t="s">
        <v>41057</v>
      </c>
    </row>
    <row r="7062" spans="1:1">
      <c r="A7062" t="s">
        <v>41057</v>
      </c>
    </row>
    <row r="7063" spans="1:1">
      <c r="A7063" t="s">
        <v>41057</v>
      </c>
    </row>
    <row r="7064" spans="1:1">
      <c r="A7064" t="s">
        <v>48459</v>
      </c>
    </row>
    <row r="7065" spans="1:1">
      <c r="A7065" t="s">
        <v>48460</v>
      </c>
    </row>
    <row r="7066" spans="1:1">
      <c r="A7066" t="s">
        <v>46798</v>
      </c>
    </row>
    <row r="7067" spans="1:1">
      <c r="A7067" t="s">
        <v>48461</v>
      </c>
    </row>
    <row r="7068" spans="1:1">
      <c r="A7068" t="e" cm="1">
        <f t="array" ref="A7068">---DLRYVHGRT-----------------------------------------------Q</f>
        <v>#NAME?</v>
      </c>
    </row>
    <row r="7069" spans="1:1">
      <c r="A7069" t="s">
        <v>48462</v>
      </c>
    </row>
    <row r="7070" spans="1:1">
      <c r="A7070" t="e" cm="1">
        <f t="array" ref="A7070">--------------------------------------GGEVVERDLSSNAFG-QNKFFL</f>
        <v>#NAME?</v>
      </c>
    </row>
    <row r="7071" spans="1:1">
      <c r="A7071" t="s">
        <v>48408</v>
      </c>
    </row>
    <row r="7072" spans="1:1">
      <c r="A7072" t="s">
        <v>47830</v>
      </c>
    </row>
    <row r="7073" spans="1:1">
      <c r="A7073" t="s">
        <v>41057</v>
      </c>
    </row>
    <row r="7074" spans="1:1">
      <c r="A7074" t="s">
        <v>47831</v>
      </c>
    </row>
    <row r="7075" spans="1:1">
      <c r="A7075" t="s">
        <v>48409</v>
      </c>
    </row>
    <row r="7076" spans="1:1">
      <c r="A7076" t="e" cm="1">
        <f t="array" ref="A7076">-------------------------PAMQI-------FEK-FE----------------G</f>
        <v>#NAME?</v>
      </c>
    </row>
    <row r="7077" spans="1:1">
      <c r="A7077" t="s">
        <v>48463</v>
      </c>
    </row>
    <row r="7078" spans="1:1">
      <c r="A7078" t="s">
        <v>41057</v>
      </c>
    </row>
    <row r="7079" spans="1:1">
      <c r="A7079" t="s">
        <v>46644</v>
      </c>
    </row>
    <row r="7080" spans="1:1">
      <c r="A7080" t="e" cm="1">
        <f t="array" ref="A7080">--------------YAAKDTD-----------------LP--------LKLLKKM-AILE</f>
        <v>#NAME?</v>
      </c>
    </row>
    <row r="7081" spans="1:1">
      <c r="A7081" t="s">
        <v>48464</v>
      </c>
    </row>
    <row r="7082" spans="1:1">
      <c r="A7082" t="s">
        <v>48465</v>
      </c>
    </row>
    <row r="7083" spans="1:1">
      <c r="A7083" t="s">
        <v>41057</v>
      </c>
    </row>
    <row r="7084" spans="1:1">
      <c r="A7084" t="s">
        <v>48466</v>
      </c>
    </row>
    <row r="7085" spans="1:1">
      <c r="A7085" t="e" cm="1">
        <f t="array" ref="A7085">------------K-YE--------------------------------GATV-LDAKKGA</f>
        <v>#NAME?</v>
      </c>
    </row>
    <row r="7086" spans="1:1">
      <c r="A7086" t="s">
        <v>48414</v>
      </c>
    </row>
    <row r="7087" spans="1:1">
      <c r="A7087" t="s">
        <v>41057</v>
      </c>
    </row>
    <row r="7088" spans="1:1">
      <c r="A7088" t="s">
        <v>41057</v>
      </c>
    </row>
    <row r="7089" spans="1:1">
      <c r="A7089" t="s">
        <v>41057</v>
      </c>
    </row>
    <row r="7090" spans="1:1">
      <c r="A7090" t="s">
        <v>41057</v>
      </c>
    </row>
    <row r="7091" spans="1:1">
      <c r="A7091" t="s">
        <v>41057</v>
      </c>
    </row>
    <row r="7092" spans="1:1">
      <c r="A7092" t="s">
        <v>41057</v>
      </c>
    </row>
    <row r="7093" spans="1:1">
      <c r="A7093" t="s">
        <v>41057</v>
      </c>
    </row>
    <row r="7094" spans="1:1">
      <c r="A7094" t="s">
        <v>41057</v>
      </c>
    </row>
    <row r="7095" spans="1:1">
      <c r="A7095" t="s">
        <v>48415</v>
      </c>
    </row>
    <row r="7096" spans="1:1">
      <c r="A7096" t="s">
        <v>48467</v>
      </c>
    </row>
    <row r="7097" spans="1:1">
      <c r="A7097" t="s">
        <v>48150</v>
      </c>
    </row>
    <row r="7098" spans="1:1">
      <c r="A7098" t="s">
        <v>41057</v>
      </c>
    </row>
    <row r="7099" spans="1:1">
      <c r="A7099" t="s">
        <v>41057</v>
      </c>
    </row>
    <row r="7100" spans="1:1">
      <c r="A7100" t="s">
        <v>48418</v>
      </c>
    </row>
    <row r="7101" spans="1:1">
      <c r="A7101" t="s">
        <v>41057</v>
      </c>
    </row>
    <row r="7102" spans="1:1">
      <c r="A7102" t="s">
        <v>48468</v>
      </c>
    </row>
    <row r="7103" spans="1:1">
      <c r="A7103" t="s">
        <v>48420</v>
      </c>
    </row>
    <row r="7104" spans="1:1">
      <c r="A7104" t="s">
        <v>48469</v>
      </c>
    </row>
    <row r="7105" spans="1:1">
      <c r="A7105" t="s">
        <v>48470</v>
      </c>
    </row>
    <row r="7106" spans="1:1">
      <c r="A7106" t="s">
        <v>48471</v>
      </c>
    </row>
    <row r="7107" spans="1:1">
      <c r="A7107" t="s">
        <v>48424</v>
      </c>
    </row>
    <row r="7108" spans="1:1">
      <c r="A7108" t="s">
        <v>41057</v>
      </c>
    </row>
    <row r="7109" spans="1:1">
      <c r="A7109" t="s">
        <v>41057</v>
      </c>
    </row>
    <row r="7110" spans="1:1">
      <c r="A7110" t="s">
        <v>41057</v>
      </c>
    </row>
    <row r="7111" spans="1:1">
      <c r="A7111" t="s">
        <v>41057</v>
      </c>
    </row>
    <row r="7112" spans="1:1">
      <c r="A7112" t="s">
        <v>41057</v>
      </c>
    </row>
    <row r="7113" spans="1:1">
      <c r="A7113" t="s">
        <v>41057</v>
      </c>
    </row>
    <row r="7114" spans="1:1">
      <c r="A7114" t="s">
        <v>41057</v>
      </c>
    </row>
    <row r="7115" spans="1:1">
      <c r="A7115" t="s">
        <v>41057</v>
      </c>
    </row>
    <row r="7116" spans="1:1">
      <c r="A7116" t="s">
        <v>41057</v>
      </c>
    </row>
    <row r="7117" spans="1:1">
      <c r="A7117" t="s">
        <v>48425</v>
      </c>
    </row>
    <row r="7118" spans="1:1">
      <c r="A7118" t="s">
        <v>41057</v>
      </c>
    </row>
    <row r="7119" spans="1:1">
      <c r="A7119" t="s">
        <v>41057</v>
      </c>
    </row>
    <row r="7120" spans="1:1">
      <c r="A7120" t="s">
        <v>41057</v>
      </c>
    </row>
    <row r="7121" spans="1:1">
      <c r="A7121" t="s">
        <v>41057</v>
      </c>
    </row>
    <row r="7122" spans="1:1">
      <c r="A7122" t="s">
        <v>41057</v>
      </c>
    </row>
    <row r="7123" spans="1:1">
      <c r="A7123" t="s">
        <v>48472</v>
      </c>
    </row>
    <row r="7124" spans="1:1">
      <c r="A7124" t="s">
        <v>48473</v>
      </c>
    </row>
    <row r="7125" spans="1:1">
      <c r="A7125" t="s">
        <v>41057</v>
      </c>
    </row>
    <row r="7126" spans="1:1">
      <c r="A7126" t="s">
        <v>41057</v>
      </c>
    </row>
    <row r="7127" spans="1:1">
      <c r="A7127" t="s">
        <v>41057</v>
      </c>
    </row>
    <row r="7128" spans="1:1">
      <c r="A7128" t="s">
        <v>45574</v>
      </c>
    </row>
    <row r="7129" spans="1:1">
      <c r="A7129" t="s">
        <v>41057</v>
      </c>
    </row>
    <row r="7130" spans="1:1">
      <c r="A7130" t="s">
        <v>41057</v>
      </c>
    </row>
    <row r="7131" spans="1:1">
      <c r="A7131" t="s">
        <v>41057</v>
      </c>
    </row>
    <row r="7132" spans="1:1">
      <c r="A7132" t="s">
        <v>41057</v>
      </c>
    </row>
    <row r="7133" spans="1:1">
      <c r="A7133" t="s">
        <v>41057</v>
      </c>
    </row>
    <row r="7134" spans="1:1">
      <c r="A7134" t="s">
        <v>41057</v>
      </c>
    </row>
    <row r="7135" spans="1:1">
      <c r="A7135" t="s">
        <v>41057</v>
      </c>
    </row>
    <row r="7136" spans="1:1">
      <c r="A7136" t="s">
        <v>41057</v>
      </c>
    </row>
    <row r="7137" spans="1:1">
      <c r="A7137" t="s">
        <v>41057</v>
      </c>
    </row>
    <row r="7138" spans="1:1">
      <c r="A7138" t="s">
        <v>41057</v>
      </c>
    </row>
    <row r="7139" spans="1:1">
      <c r="A7139" t="s">
        <v>41057</v>
      </c>
    </row>
    <row r="7140" spans="1:1">
      <c r="A7140" t="e" cm="1">
        <f t="array" ref="A7140">-----------------------------------------------TDSV--------M</f>
        <v>#NAME?</v>
      </c>
    </row>
    <row r="7141" spans="1:1">
      <c r="A7141" t="s">
        <v>41087</v>
      </c>
    </row>
    <row r="7142" spans="1:1">
      <c r="A7142" t="s">
        <v>48474</v>
      </c>
    </row>
    <row r="7143" spans="1:1">
      <c r="A7143" t="e" cm="1">
        <f t="array" ref="A7143">--------VHD----------------------------MDE----QFK----------M</f>
        <v>#NAME?</v>
      </c>
    </row>
    <row r="7144" spans="1:1">
      <c r="A7144" t="s">
        <v>48429</v>
      </c>
    </row>
    <row r="7145" spans="1:1">
      <c r="A7145" t="e" cm="1">
        <f t="array" ref="A7145">--------PN------DLEFEK-IYYPYIL----------Y-SKKRYA-----------A</f>
        <v>#NAME?</v>
      </c>
    </row>
    <row r="7146" spans="1:1">
      <c r="A7146" t="s">
        <v>48475</v>
      </c>
    </row>
    <row r="7147" spans="1:1">
      <c r="A7147" t="s">
        <v>48431</v>
      </c>
    </row>
    <row r="7148" spans="1:1">
      <c r="A7148" t="s">
        <v>48476</v>
      </c>
    </row>
    <row r="7149" spans="1:1">
      <c r="A7149" t="s">
        <v>48477</v>
      </c>
    </row>
    <row r="7150" spans="1:1">
      <c r="A7150" t="s">
        <v>48434</v>
      </c>
    </row>
    <row r="7151" spans="1:1">
      <c r="A7151" t="s">
        <v>48435</v>
      </c>
    </row>
    <row r="7152" spans="1:1">
      <c r="A7152" t="s">
        <v>48478</v>
      </c>
    </row>
    <row r="7153" spans="1:1">
      <c r="A7153" t="s">
        <v>48479</v>
      </c>
    </row>
    <row r="7154" spans="1:1">
      <c r="A7154" t="s">
        <v>48480</v>
      </c>
    </row>
    <row r="7155" spans="1:1">
      <c r="A7155" t="s">
        <v>48481</v>
      </c>
    </row>
    <row r="7156" spans="1:1">
      <c r="A7156" t="s">
        <v>48440</v>
      </c>
    </row>
    <row r="7157" spans="1:1">
      <c r="A7157" t="s">
        <v>41057</v>
      </c>
    </row>
    <row r="7158" spans="1:1">
      <c r="A7158" t="s">
        <v>48482</v>
      </c>
    </row>
    <row r="7159" spans="1:1">
      <c r="A7159" t="s">
        <v>48483</v>
      </c>
    </row>
    <row r="7160" spans="1:1">
      <c r="A7160" t="s">
        <v>48484</v>
      </c>
    </row>
    <row r="7161" spans="1:1">
      <c r="A7161" t="s">
        <v>48485</v>
      </c>
    </row>
    <row r="7162" spans="1:1">
      <c r="A7162" t="s">
        <v>48445</v>
      </c>
    </row>
    <row r="7163" spans="1:1">
      <c r="A7163" t="s">
        <v>48446</v>
      </c>
    </row>
    <row r="7164" spans="1:1">
      <c r="A7164" t="s">
        <v>48447</v>
      </c>
    </row>
    <row r="7165" spans="1:1">
      <c r="A7165" t="s">
        <v>41057</v>
      </c>
    </row>
    <row r="7166" spans="1:1">
      <c r="A7166" t="s">
        <v>41057</v>
      </c>
    </row>
    <row r="7167" spans="1:1">
      <c r="A7167" t="s">
        <v>41057</v>
      </c>
    </row>
    <row r="7168" spans="1:1">
      <c r="A7168" t="s">
        <v>45870</v>
      </c>
    </row>
    <row r="7169" spans="1:1">
      <c r="A7169" t="s">
        <v>44569</v>
      </c>
    </row>
    <row r="7170" spans="1:1">
      <c r="A7170" t="s">
        <v>48486</v>
      </c>
    </row>
    <row r="7171" spans="1:1">
      <c r="A7171" t="s">
        <v>48487</v>
      </c>
    </row>
    <row r="7172" spans="1:1">
      <c r="A7172" t="s">
        <v>41057</v>
      </c>
    </row>
    <row r="7173" spans="1:1">
      <c r="A7173" t="s">
        <v>41057</v>
      </c>
    </row>
    <row r="7174" spans="1:1">
      <c r="A7174" t="s">
        <v>48488</v>
      </c>
    </row>
    <row r="7175" spans="1:1">
      <c r="A7175" t="s">
        <v>48489</v>
      </c>
    </row>
    <row r="7176" spans="1:1">
      <c r="A7176" t="s">
        <v>48392</v>
      </c>
    </row>
    <row r="7177" spans="1:1">
      <c r="A7177" t="s">
        <v>48490</v>
      </c>
    </row>
    <row r="7178" spans="1:1">
      <c r="A7178" t="s">
        <v>48491</v>
      </c>
    </row>
    <row r="7179" spans="1:1">
      <c r="A7179" t="s">
        <v>48492</v>
      </c>
    </row>
    <row r="7180" spans="1:1">
      <c r="A7180" t="s">
        <v>48493</v>
      </c>
    </row>
    <row r="7181" spans="1:1">
      <c r="A7181" t="s">
        <v>48494</v>
      </c>
    </row>
    <row r="7182" spans="1:1">
      <c r="A7182" t="s">
        <v>48495</v>
      </c>
    </row>
    <row r="7183" spans="1:1">
      <c r="A7183" t="s">
        <v>48496</v>
      </c>
    </row>
    <row r="7184" spans="1:1">
      <c r="A7184" t="s">
        <v>48497</v>
      </c>
    </row>
    <row r="7185" spans="1:1">
      <c r="A7185" t="s">
        <v>48498</v>
      </c>
    </row>
    <row r="7186" spans="1:1">
      <c r="A7186" t="s">
        <v>48499</v>
      </c>
    </row>
    <row r="7187" spans="1:1">
      <c r="A7187" t="s">
        <v>48500</v>
      </c>
    </row>
    <row r="7188" spans="1:1">
      <c r="A7188" t="s">
        <v>48501</v>
      </c>
    </row>
    <row r="7189" spans="1:1">
      <c r="A7189" t="s">
        <v>41057</v>
      </c>
    </row>
    <row r="7190" spans="1:1">
      <c r="A7190" t="s">
        <v>41057</v>
      </c>
    </row>
    <row r="7191" spans="1:1">
      <c r="A7191" t="s">
        <v>41057</v>
      </c>
    </row>
    <row r="7192" spans="1:1">
      <c r="A7192" t="s">
        <v>48502</v>
      </c>
    </row>
    <row r="7193" spans="1:1">
      <c r="A7193" t="s">
        <v>48503</v>
      </c>
    </row>
    <row r="7194" spans="1:1">
      <c r="A7194" t="s">
        <v>46798</v>
      </c>
    </row>
    <row r="7195" spans="1:1">
      <c r="A7195" t="s">
        <v>48504</v>
      </c>
    </row>
    <row r="7196" spans="1:1">
      <c r="A7196" t="e" cm="1">
        <f t="array" ref="A7196">---DWKYVSGRA-----------------------------------------------Q</f>
        <v>#NAME?</v>
      </c>
    </row>
    <row r="7197" spans="1:1">
      <c r="A7197" t="s">
        <v>48505</v>
      </c>
    </row>
    <row r="7198" spans="1:1">
      <c r="A7198" t="e" cm="1">
        <f t="array" ref="A7198">--------------------------------------GGAVVERELASNAFG-QNFFYY</f>
        <v>#NAME?</v>
      </c>
    </row>
    <row r="7199" spans="1:1">
      <c r="A7199" t="s">
        <v>48506</v>
      </c>
    </row>
    <row r="7200" spans="1:1">
      <c r="A7200" t="s">
        <v>47830</v>
      </c>
    </row>
    <row r="7201" spans="1:1">
      <c r="A7201" t="s">
        <v>41057</v>
      </c>
    </row>
    <row r="7202" spans="1:1">
      <c r="A7202" t="s">
        <v>47831</v>
      </c>
    </row>
    <row r="7203" spans="1:1">
      <c r="A7203" t="s">
        <v>48507</v>
      </c>
    </row>
    <row r="7204" spans="1:1">
      <c r="A7204" t="e" cm="1">
        <f t="array" ref="A7204">-------------------------PAMKI-------FEK-FE----------------G</f>
        <v>#NAME?</v>
      </c>
    </row>
    <row r="7205" spans="1:1">
      <c r="A7205" t="s">
        <v>48508</v>
      </c>
    </row>
    <row r="7206" spans="1:1">
      <c r="A7206" t="s">
        <v>41057</v>
      </c>
    </row>
    <row r="7207" spans="1:1">
      <c r="A7207" t="s">
        <v>45447</v>
      </c>
    </row>
    <row r="7208" spans="1:1">
      <c r="A7208" t="e" cm="1">
        <f t="array" ref="A7208">--------------YAAQDTL-----------------LP--------LKLLSKL-AIFE</f>
        <v>#NAME?</v>
      </c>
    </row>
    <row r="7209" spans="1:1">
      <c r="A7209" t="s">
        <v>48509</v>
      </c>
    </row>
    <row r="7210" spans="1:1">
      <c r="A7210" t="s">
        <v>48465</v>
      </c>
    </row>
    <row r="7211" spans="1:1">
      <c r="A7211" t="s">
        <v>41057</v>
      </c>
    </row>
    <row r="7212" spans="1:1">
      <c r="A7212" t="s">
        <v>48510</v>
      </c>
    </row>
    <row r="7213" spans="1:1">
      <c r="A7213" t="e" cm="1">
        <f t="array" ref="A7213">------------K-FE--------------------------------GATV-LEPKKGA</f>
        <v>#NAME?</v>
      </c>
    </row>
    <row r="7214" spans="1:1">
      <c r="A7214" t="s">
        <v>48414</v>
      </c>
    </row>
    <row r="7215" spans="1:1">
      <c r="A7215" t="s">
        <v>41057</v>
      </c>
    </row>
    <row r="7216" spans="1:1">
      <c r="A7216" t="s">
        <v>41057</v>
      </c>
    </row>
    <row r="7217" spans="1:1">
      <c r="A7217" t="s">
        <v>41057</v>
      </c>
    </row>
    <row r="7218" spans="1:1">
      <c r="A7218" t="s">
        <v>41057</v>
      </c>
    </row>
    <row r="7219" spans="1:1">
      <c r="A7219" t="s">
        <v>41057</v>
      </c>
    </row>
    <row r="7220" spans="1:1">
      <c r="A7220" t="s">
        <v>41057</v>
      </c>
    </row>
    <row r="7221" spans="1:1">
      <c r="A7221" t="s">
        <v>41057</v>
      </c>
    </row>
    <row r="7222" spans="1:1">
      <c r="A7222" t="s">
        <v>41057</v>
      </c>
    </row>
    <row r="7223" spans="1:1">
      <c r="A7223" t="s">
        <v>48415</v>
      </c>
    </row>
    <row r="7224" spans="1:1">
      <c r="A7224" t="s">
        <v>48511</v>
      </c>
    </row>
    <row r="7225" spans="1:1">
      <c r="A7225" t="s">
        <v>48150</v>
      </c>
    </row>
    <row r="7226" spans="1:1">
      <c r="A7226" t="s">
        <v>41057</v>
      </c>
    </row>
    <row r="7227" spans="1:1">
      <c r="A7227" t="s">
        <v>41057</v>
      </c>
    </row>
    <row r="7228" spans="1:1">
      <c r="A7228" t="s">
        <v>48512</v>
      </c>
    </row>
    <row r="7229" spans="1:1">
      <c r="A7229" t="s">
        <v>41057</v>
      </c>
    </row>
    <row r="7230" spans="1:1">
      <c r="A7230" t="s">
        <v>48513</v>
      </c>
    </row>
    <row r="7231" spans="1:1">
      <c r="A7231" t="s">
        <v>48514</v>
      </c>
    </row>
    <row r="7232" spans="1:1">
      <c r="A7232" t="s">
        <v>48515</v>
      </c>
    </row>
    <row r="7233" spans="1:1">
      <c r="A7233" t="s">
        <v>48516</v>
      </c>
    </row>
    <row r="7234" spans="1:1">
      <c r="A7234" t="s">
        <v>48471</v>
      </c>
    </row>
    <row r="7235" spans="1:1">
      <c r="A7235" t="s">
        <v>48517</v>
      </c>
    </row>
    <row r="7236" spans="1:1">
      <c r="A7236" t="s">
        <v>41057</v>
      </c>
    </row>
    <row r="7237" spans="1:1">
      <c r="A7237" t="s">
        <v>41057</v>
      </c>
    </row>
    <row r="7238" spans="1:1">
      <c r="A7238" t="s">
        <v>41057</v>
      </c>
    </row>
    <row r="7239" spans="1:1">
      <c r="A7239" t="s">
        <v>41057</v>
      </c>
    </row>
    <row r="7240" spans="1:1">
      <c r="A7240" t="s">
        <v>41057</v>
      </c>
    </row>
    <row r="7241" spans="1:1">
      <c r="A7241" t="s">
        <v>41057</v>
      </c>
    </row>
    <row r="7242" spans="1:1">
      <c r="A7242" t="s">
        <v>41057</v>
      </c>
    </row>
    <row r="7243" spans="1:1">
      <c r="A7243" t="s">
        <v>41057</v>
      </c>
    </row>
    <row r="7244" spans="1:1">
      <c r="A7244" t="s">
        <v>41057</v>
      </c>
    </row>
    <row r="7245" spans="1:1">
      <c r="A7245" t="s">
        <v>48425</v>
      </c>
    </row>
    <row r="7246" spans="1:1">
      <c r="A7246" t="s">
        <v>41057</v>
      </c>
    </row>
    <row r="7247" spans="1:1">
      <c r="A7247" t="s">
        <v>41057</v>
      </c>
    </row>
    <row r="7248" spans="1:1">
      <c r="A7248" t="s">
        <v>41057</v>
      </c>
    </row>
    <row r="7249" spans="1:1">
      <c r="A7249" t="s">
        <v>41057</v>
      </c>
    </row>
    <row r="7250" spans="1:1">
      <c r="A7250" t="s">
        <v>41057</v>
      </c>
    </row>
    <row r="7251" spans="1:1">
      <c r="A7251" t="s">
        <v>48518</v>
      </c>
    </row>
    <row r="7252" spans="1:1">
      <c r="A7252" t="s">
        <v>48519</v>
      </c>
    </row>
    <row r="7253" spans="1:1">
      <c r="A7253" t="s">
        <v>41057</v>
      </c>
    </row>
    <row r="7254" spans="1:1">
      <c r="A7254" t="s">
        <v>41057</v>
      </c>
    </row>
    <row r="7255" spans="1:1">
      <c r="A7255" t="s">
        <v>41057</v>
      </c>
    </row>
    <row r="7256" spans="1:1">
      <c r="A7256" t="s">
        <v>45574</v>
      </c>
    </row>
    <row r="7257" spans="1:1">
      <c r="A7257" t="s">
        <v>41057</v>
      </c>
    </row>
    <row r="7258" spans="1:1">
      <c r="A7258" t="s">
        <v>41057</v>
      </c>
    </row>
    <row r="7259" spans="1:1">
      <c r="A7259" t="s">
        <v>41057</v>
      </c>
    </row>
    <row r="7260" spans="1:1">
      <c r="A7260" t="s">
        <v>41057</v>
      </c>
    </row>
    <row r="7261" spans="1:1">
      <c r="A7261" t="s">
        <v>41057</v>
      </c>
    </row>
    <row r="7262" spans="1:1">
      <c r="A7262" t="s">
        <v>41057</v>
      </c>
    </row>
    <row r="7263" spans="1:1">
      <c r="A7263" t="s">
        <v>41057</v>
      </c>
    </row>
    <row r="7264" spans="1:1">
      <c r="A7264" t="s">
        <v>41057</v>
      </c>
    </row>
    <row r="7265" spans="1:1">
      <c r="A7265" t="s">
        <v>41057</v>
      </c>
    </row>
    <row r="7266" spans="1:1">
      <c r="A7266" t="s">
        <v>41057</v>
      </c>
    </row>
    <row r="7267" spans="1:1">
      <c r="A7267" t="s">
        <v>41057</v>
      </c>
    </row>
    <row r="7268" spans="1:1">
      <c r="A7268" t="e" cm="1">
        <f t="array" ref="A7268">-----------------------------------------------TDSI--------M</f>
        <v>#NAME?</v>
      </c>
    </row>
    <row r="7269" spans="1:1">
      <c r="A7269" t="s">
        <v>41087</v>
      </c>
    </row>
    <row r="7270" spans="1:1">
      <c r="A7270" t="s">
        <v>48520</v>
      </c>
    </row>
    <row r="7271" spans="1:1">
      <c r="A7271" t="e" cm="1">
        <f t="array" ref="A7271">-------NQED----------------------------IND----HFE----------V</f>
        <v>#NAME?</v>
      </c>
    </row>
    <row r="7272" spans="1:1">
      <c r="A7272" t="s">
        <v>48521</v>
      </c>
    </row>
    <row r="7273" spans="1:1">
      <c r="A7273" t="e" cm="1">
        <f t="array" ref="A7273">--------PN------DLEFEK-IYYPYIL----------Y-SKKRYA-----------A</f>
        <v>#NAME?</v>
      </c>
    </row>
    <row r="7274" spans="1:1">
      <c r="A7274" t="s">
        <v>48522</v>
      </c>
    </row>
    <row r="7275" spans="1:1">
      <c r="A7275" t="s">
        <v>48523</v>
      </c>
    </row>
    <row r="7276" spans="1:1">
      <c r="A7276" t="s">
        <v>48524</v>
      </c>
    </row>
    <row r="7277" spans="1:1">
      <c r="A7277" t="s">
        <v>48477</v>
      </c>
    </row>
    <row r="7278" spans="1:1">
      <c r="A7278" t="s">
        <v>48525</v>
      </c>
    </row>
    <row r="7279" spans="1:1">
      <c r="A7279" t="s">
        <v>48526</v>
      </c>
    </row>
    <row r="7280" spans="1:1">
      <c r="A7280" t="s">
        <v>48527</v>
      </c>
    </row>
    <row r="7281" spans="1:1">
      <c r="A7281" t="s">
        <v>48528</v>
      </c>
    </row>
    <row r="7282" spans="1:1">
      <c r="A7282" t="s">
        <v>48529</v>
      </c>
    </row>
    <row r="7283" spans="1:1">
      <c r="A7283" t="s">
        <v>48530</v>
      </c>
    </row>
    <row r="7284" spans="1:1">
      <c r="A7284" t="s">
        <v>48531</v>
      </c>
    </row>
    <row r="7285" spans="1:1">
      <c r="A7285" t="s">
        <v>41057</v>
      </c>
    </row>
    <row r="7286" spans="1:1">
      <c r="A7286" t="s">
        <v>48532</v>
      </c>
    </row>
    <row r="7287" spans="1:1">
      <c r="A7287" t="s">
        <v>48533</v>
      </c>
    </row>
    <row r="7288" spans="1:1">
      <c r="A7288" t="s">
        <v>48534</v>
      </c>
    </row>
    <row r="7289" spans="1:1">
      <c r="A7289" t="s">
        <v>48485</v>
      </c>
    </row>
    <row r="7290" spans="1:1">
      <c r="A7290" t="s">
        <v>48535</v>
      </c>
    </row>
    <row r="7291" spans="1:1">
      <c r="A7291" t="s">
        <v>48446</v>
      </c>
    </row>
    <row r="7292" spans="1:1">
      <c r="A7292" t="s">
        <v>48536</v>
      </c>
    </row>
    <row r="7293" spans="1:1">
      <c r="A7293" t="s">
        <v>41057</v>
      </c>
    </row>
    <row r="7294" spans="1:1">
      <c r="A7294" t="s">
        <v>41057</v>
      </c>
    </row>
    <row r="7295" spans="1:1">
      <c r="A7295" t="s">
        <v>41057</v>
      </c>
    </row>
    <row r="7296" spans="1:1">
      <c r="A7296" t="s">
        <v>45870</v>
      </c>
    </row>
    <row r="7297" spans="1:1">
      <c r="A7297" t="s">
        <v>44620</v>
      </c>
    </row>
    <row r="7298" spans="1:1">
      <c r="A7298" t="s">
        <v>41057</v>
      </c>
    </row>
    <row r="7299" spans="1:1">
      <c r="A7299" t="s">
        <v>41057</v>
      </c>
    </row>
    <row r="7300" spans="1:1">
      <c r="A7300" t="s">
        <v>41057</v>
      </c>
    </row>
    <row r="7301" spans="1:1">
      <c r="A7301" t="s">
        <v>41057</v>
      </c>
    </row>
    <row r="7302" spans="1:1">
      <c r="A7302" t="s">
        <v>41057</v>
      </c>
    </row>
    <row r="7303" spans="1:1">
      <c r="A7303" t="s">
        <v>48537</v>
      </c>
    </row>
    <row r="7304" spans="1:1">
      <c r="A7304" t="s">
        <v>48538</v>
      </c>
    </row>
    <row r="7305" spans="1:1">
      <c r="A7305" t="s">
        <v>48490</v>
      </c>
    </row>
    <row r="7306" spans="1:1">
      <c r="A7306" t="s">
        <v>48539</v>
      </c>
    </row>
    <row r="7307" spans="1:1">
      <c r="A7307" t="s">
        <v>48540</v>
      </c>
    </row>
    <row r="7308" spans="1:1">
      <c r="A7308" t="s">
        <v>48541</v>
      </c>
    </row>
    <row r="7309" spans="1:1">
      <c r="A7309" t="s">
        <v>48542</v>
      </c>
    </row>
    <row r="7310" spans="1:1">
      <c r="A7310" t="s">
        <v>48543</v>
      </c>
    </row>
    <row r="7311" spans="1:1">
      <c r="A7311" t="s">
        <v>48544</v>
      </c>
    </row>
    <row r="7312" spans="1:1">
      <c r="A7312" t="s">
        <v>48545</v>
      </c>
    </row>
    <row r="7313" spans="1:1">
      <c r="A7313" t="s">
        <v>48546</v>
      </c>
    </row>
    <row r="7314" spans="1:1">
      <c r="A7314" t="s">
        <v>48547</v>
      </c>
    </row>
    <row r="7315" spans="1:1">
      <c r="A7315" t="s">
        <v>48548</v>
      </c>
    </row>
    <row r="7316" spans="1:1">
      <c r="A7316" t="s">
        <v>48549</v>
      </c>
    </row>
    <row r="7317" spans="1:1">
      <c r="A7317" t="s">
        <v>41057</v>
      </c>
    </row>
    <row r="7318" spans="1:1">
      <c r="A7318" t="s">
        <v>41057</v>
      </c>
    </row>
    <row r="7319" spans="1:1">
      <c r="A7319" t="s">
        <v>41057</v>
      </c>
    </row>
    <row r="7320" spans="1:1">
      <c r="A7320" t="s">
        <v>48502</v>
      </c>
    </row>
    <row r="7321" spans="1:1">
      <c r="A7321" t="s">
        <v>48550</v>
      </c>
    </row>
    <row r="7322" spans="1:1">
      <c r="A7322" t="s">
        <v>46798</v>
      </c>
    </row>
    <row r="7323" spans="1:1">
      <c r="A7323" t="s">
        <v>48551</v>
      </c>
    </row>
    <row r="7324" spans="1:1">
      <c r="A7324" t="e" cm="1">
        <f t="array" ref="A7324">---DWKYVYGRS-----------------------------------------------Q</f>
        <v>#NAME?</v>
      </c>
    </row>
    <row r="7325" spans="1:1">
      <c r="A7325" t="s">
        <v>48552</v>
      </c>
    </row>
    <row r="7326" spans="1:1">
      <c r="A7326" t="e" cm="1">
        <f t="array" ref="A7326">--------------------------------------GGSVVQRELTSNAFG-QNFFYY</f>
        <v>#NAME?</v>
      </c>
    </row>
    <row r="7327" spans="1:1">
      <c r="A7327" t="s">
        <v>48553</v>
      </c>
    </row>
    <row r="7328" spans="1:1">
      <c r="A7328" t="s">
        <v>48554</v>
      </c>
    </row>
    <row r="7329" spans="1:1">
      <c r="A7329" t="s">
        <v>41057</v>
      </c>
    </row>
    <row r="7330" spans="1:1">
      <c r="A7330" t="s">
        <v>47831</v>
      </c>
    </row>
    <row r="7331" spans="1:1">
      <c r="A7331" t="s">
        <v>48507</v>
      </c>
    </row>
    <row r="7332" spans="1:1">
      <c r="A7332" t="e" cm="1">
        <f t="array" ref="A7332">-------------------------PAMQI-------FEK-FE----------------G</f>
        <v>#NAME?</v>
      </c>
    </row>
    <row r="7333" spans="1:1">
      <c r="A7333" t="s">
        <v>48555</v>
      </c>
    </row>
    <row r="7334" spans="1:1">
      <c r="A7334" t="s">
        <v>41057</v>
      </c>
    </row>
    <row r="7335" spans="1:1">
      <c r="A7335" t="s">
        <v>45447</v>
      </c>
    </row>
    <row r="7336" spans="1:1">
      <c r="A7336" t="e" cm="1">
        <f t="array" ref="A7336">--------------YAAQDTL-----------------LP--------LKLMTKL-AIFE</f>
        <v>#NAME?</v>
      </c>
    </row>
    <row r="7337" spans="1:1">
      <c r="A7337" t="s">
        <v>48556</v>
      </c>
    </row>
    <row r="7338" spans="1:1">
      <c r="A7338" t="s">
        <v>48465</v>
      </c>
    </row>
    <row r="7339" spans="1:1">
      <c r="A7339" t="s">
        <v>41057</v>
      </c>
    </row>
    <row r="7340" spans="1:1">
      <c r="A7340" t="s">
        <v>48557</v>
      </c>
    </row>
    <row r="7341" spans="1:1">
      <c r="A7341" t="e" cm="1">
        <f t="array" ref="A7341">------------K-FE--------------------------------GATV-LEPKKGA</f>
        <v>#NAME?</v>
      </c>
    </row>
    <row r="7342" spans="1:1">
      <c r="A7342" t="s">
        <v>48558</v>
      </c>
    </row>
    <row r="7343" spans="1:1">
      <c r="A7343" t="s">
        <v>41057</v>
      </c>
    </row>
    <row r="7344" spans="1:1">
      <c r="A7344" t="s">
        <v>41057</v>
      </c>
    </row>
    <row r="7345" spans="1:1">
      <c r="A7345" t="s">
        <v>41057</v>
      </c>
    </row>
    <row r="7346" spans="1:1">
      <c r="A7346" t="s">
        <v>41057</v>
      </c>
    </row>
    <row r="7347" spans="1:1">
      <c r="A7347" t="s">
        <v>41057</v>
      </c>
    </row>
    <row r="7348" spans="1:1">
      <c r="A7348" t="s">
        <v>41057</v>
      </c>
    </row>
    <row r="7349" spans="1:1">
      <c r="A7349" t="s">
        <v>41057</v>
      </c>
    </row>
    <row r="7350" spans="1:1">
      <c r="A7350" t="s">
        <v>41057</v>
      </c>
    </row>
    <row r="7351" spans="1:1">
      <c r="A7351" t="s">
        <v>48559</v>
      </c>
    </row>
    <row r="7352" spans="1:1">
      <c r="A7352" t="s">
        <v>48560</v>
      </c>
    </row>
    <row r="7353" spans="1:1">
      <c r="A7353" t="s">
        <v>48150</v>
      </c>
    </row>
    <row r="7354" spans="1:1">
      <c r="A7354" t="s">
        <v>41057</v>
      </c>
    </row>
    <row r="7355" spans="1:1">
      <c r="A7355" t="s">
        <v>41057</v>
      </c>
    </row>
    <row r="7356" spans="1:1">
      <c r="A7356" t="s">
        <v>48561</v>
      </c>
    </row>
    <row r="7357" spans="1:1">
      <c r="A7357" t="s">
        <v>41057</v>
      </c>
    </row>
    <row r="7358" spans="1:1">
      <c r="A7358" t="s">
        <v>48513</v>
      </c>
    </row>
    <row r="7359" spans="1:1">
      <c r="A7359" t="s">
        <v>48562</v>
      </c>
    </row>
    <row r="7360" spans="1:1">
      <c r="A7360" t="s">
        <v>48515</v>
      </c>
    </row>
    <row r="7361" spans="1:1">
      <c r="A7361" t="s">
        <v>48563</v>
      </c>
    </row>
    <row r="7362" spans="1:1">
      <c r="A7362" t="s">
        <v>48564</v>
      </c>
    </row>
    <row r="7363" spans="1:1">
      <c r="A7363" t="s">
        <v>48517</v>
      </c>
    </row>
    <row r="7364" spans="1:1">
      <c r="A7364" t="s">
        <v>41057</v>
      </c>
    </row>
    <row r="7365" spans="1:1">
      <c r="A7365" t="s">
        <v>41057</v>
      </c>
    </row>
    <row r="7366" spans="1:1">
      <c r="A7366" t="s">
        <v>41057</v>
      </c>
    </row>
    <row r="7367" spans="1:1">
      <c r="A7367" t="s">
        <v>41057</v>
      </c>
    </row>
    <row r="7368" spans="1:1">
      <c r="A7368" t="s">
        <v>41057</v>
      </c>
    </row>
    <row r="7369" spans="1:1">
      <c r="A7369" t="s">
        <v>41057</v>
      </c>
    </row>
    <row r="7370" spans="1:1">
      <c r="A7370" t="s">
        <v>41057</v>
      </c>
    </row>
    <row r="7371" spans="1:1">
      <c r="A7371" t="s">
        <v>41057</v>
      </c>
    </row>
    <row r="7372" spans="1:1">
      <c r="A7372" t="s">
        <v>41057</v>
      </c>
    </row>
    <row r="7373" spans="1:1">
      <c r="A7373" t="s">
        <v>48425</v>
      </c>
    </row>
    <row r="7374" spans="1:1">
      <c r="A7374" t="s">
        <v>41057</v>
      </c>
    </row>
    <row r="7375" spans="1:1">
      <c r="A7375" t="s">
        <v>41057</v>
      </c>
    </row>
    <row r="7376" spans="1:1">
      <c r="A7376" t="s">
        <v>41057</v>
      </c>
    </row>
    <row r="7377" spans="1:1">
      <c r="A7377" t="s">
        <v>41057</v>
      </c>
    </row>
    <row r="7378" spans="1:1">
      <c r="A7378" t="s">
        <v>41057</v>
      </c>
    </row>
    <row r="7379" spans="1:1">
      <c r="A7379" t="s">
        <v>48565</v>
      </c>
    </row>
    <row r="7380" spans="1:1">
      <c r="A7380" t="s">
        <v>48566</v>
      </c>
    </row>
    <row r="7381" spans="1:1">
      <c r="A7381" t="s">
        <v>41057</v>
      </c>
    </row>
    <row r="7382" spans="1:1">
      <c r="A7382" t="s">
        <v>41057</v>
      </c>
    </row>
    <row r="7383" spans="1:1">
      <c r="A7383" t="s">
        <v>41057</v>
      </c>
    </row>
    <row r="7384" spans="1:1">
      <c r="A7384" t="s">
        <v>48567</v>
      </c>
    </row>
    <row r="7385" spans="1:1">
      <c r="A7385" t="s">
        <v>41057</v>
      </c>
    </row>
    <row r="7386" spans="1:1">
      <c r="A7386" t="s">
        <v>41057</v>
      </c>
    </row>
    <row r="7387" spans="1:1">
      <c r="A7387" t="s">
        <v>41057</v>
      </c>
    </row>
    <row r="7388" spans="1:1">
      <c r="A7388" t="s">
        <v>41057</v>
      </c>
    </row>
    <row r="7389" spans="1:1">
      <c r="A7389" t="s">
        <v>41057</v>
      </c>
    </row>
    <row r="7390" spans="1:1">
      <c r="A7390" t="s">
        <v>41057</v>
      </c>
    </row>
    <row r="7391" spans="1:1">
      <c r="A7391" t="s">
        <v>41057</v>
      </c>
    </row>
    <row r="7392" spans="1:1">
      <c r="A7392" t="s">
        <v>41057</v>
      </c>
    </row>
    <row r="7393" spans="1:1">
      <c r="A7393" t="s">
        <v>41057</v>
      </c>
    </row>
    <row r="7394" spans="1:1">
      <c r="A7394" t="s">
        <v>41057</v>
      </c>
    </row>
    <row r="7395" spans="1:1">
      <c r="A7395" t="s">
        <v>41057</v>
      </c>
    </row>
    <row r="7396" spans="1:1">
      <c r="A7396" t="e" cm="1">
        <f t="array" ref="A7396">-----------------------------------------------TDSI--------M</f>
        <v>#NAME?</v>
      </c>
    </row>
    <row r="7397" spans="1:1">
      <c r="A7397" t="s">
        <v>41087</v>
      </c>
    </row>
    <row r="7398" spans="1:1">
      <c r="A7398" t="s">
        <v>48568</v>
      </c>
    </row>
    <row r="7399" spans="1:1">
      <c r="A7399" t="e" cm="1">
        <f t="array" ref="A7399">-------NQND----------------------------IND----HFE----------V</f>
        <v>#NAME?</v>
      </c>
    </row>
    <row r="7400" spans="1:1">
      <c r="A7400" t="s">
        <v>48569</v>
      </c>
    </row>
    <row r="7401" spans="1:1">
      <c r="A7401" t="e" cm="1">
        <f t="array" ref="A7401">--------PN------DLEFEK-IYYPYIL----------F-SKKRYA-----------A</f>
        <v>#NAME?</v>
      </c>
    </row>
    <row r="7402" spans="1:1">
      <c r="A7402" t="s">
        <v>48570</v>
      </c>
    </row>
    <row r="7403" spans="1:1">
      <c r="A7403" t="s">
        <v>48571</v>
      </c>
    </row>
    <row r="7404" spans="1:1">
      <c r="A7404" t="s">
        <v>48572</v>
      </c>
    </row>
    <row r="7405" spans="1:1">
      <c r="A7405" t="s">
        <v>48477</v>
      </c>
    </row>
    <row r="7406" spans="1:1">
      <c r="A7406" t="s">
        <v>48573</v>
      </c>
    </row>
    <row r="7407" spans="1:1">
      <c r="A7407" t="s">
        <v>48526</v>
      </c>
    </row>
    <row r="7408" spans="1:1">
      <c r="A7408" t="s">
        <v>48574</v>
      </c>
    </row>
    <row r="7409" spans="1:1">
      <c r="A7409" t="s">
        <v>48528</v>
      </c>
    </row>
    <row r="7410" spans="1:1">
      <c r="A7410" t="s">
        <v>48575</v>
      </c>
    </row>
    <row r="7411" spans="1:1">
      <c r="A7411" t="s">
        <v>48576</v>
      </c>
    </row>
    <row r="7412" spans="1:1">
      <c r="A7412" t="s">
        <v>48577</v>
      </c>
    </row>
    <row r="7413" spans="1:1">
      <c r="A7413" t="s">
        <v>41057</v>
      </c>
    </row>
    <row r="7414" spans="1:1">
      <c r="A7414" t="s">
        <v>48578</v>
      </c>
    </row>
    <row r="7415" spans="1:1">
      <c r="A7415" t="s">
        <v>48579</v>
      </c>
    </row>
    <row r="7416" spans="1:1">
      <c r="A7416" t="s">
        <v>48580</v>
      </c>
    </row>
    <row r="7417" spans="1:1">
      <c r="A7417" t="s">
        <v>48485</v>
      </c>
    </row>
    <row r="7418" spans="1:1">
      <c r="A7418" t="s">
        <v>48581</v>
      </c>
    </row>
    <row r="7419" spans="1:1">
      <c r="A7419" t="s">
        <v>48446</v>
      </c>
    </row>
    <row r="7420" spans="1:1">
      <c r="A7420" t="s">
        <v>48582</v>
      </c>
    </row>
    <row r="7421" spans="1:1">
      <c r="A7421" t="s">
        <v>41057</v>
      </c>
    </row>
    <row r="7422" spans="1:1">
      <c r="A7422" t="s">
        <v>41057</v>
      </c>
    </row>
    <row r="7423" spans="1:1">
      <c r="A7423" t="s">
        <v>41057</v>
      </c>
    </row>
    <row r="7424" spans="1:1">
      <c r="A7424" t="s">
        <v>45870</v>
      </c>
    </row>
    <row r="7425" spans="1:1">
      <c r="A7425" t="s">
        <v>44586</v>
      </c>
    </row>
    <row r="7426" spans="1:1">
      <c r="A7426" t="s">
        <v>48583</v>
      </c>
    </row>
    <row r="7427" spans="1:1">
      <c r="A7427" t="s">
        <v>48584</v>
      </c>
    </row>
    <row r="7428" spans="1:1">
      <c r="A7428" t="s">
        <v>41057</v>
      </c>
    </row>
    <row r="7429" spans="1:1">
      <c r="A7429" t="s">
        <v>41057</v>
      </c>
    </row>
    <row r="7430" spans="1:1">
      <c r="A7430" t="s">
        <v>41057</v>
      </c>
    </row>
    <row r="7431" spans="1:1">
      <c r="A7431" t="s">
        <v>48585</v>
      </c>
    </row>
    <row r="7432" spans="1:1">
      <c r="A7432" t="s">
        <v>48586</v>
      </c>
    </row>
    <row r="7433" spans="1:1">
      <c r="A7433" t="s">
        <v>48490</v>
      </c>
    </row>
    <row r="7434" spans="1:1">
      <c r="A7434" t="s">
        <v>48587</v>
      </c>
    </row>
    <row r="7435" spans="1:1">
      <c r="A7435" t="s">
        <v>48588</v>
      </c>
    </row>
    <row r="7436" spans="1:1">
      <c r="A7436" t="s">
        <v>48589</v>
      </c>
    </row>
    <row r="7437" spans="1:1">
      <c r="A7437" t="s">
        <v>48590</v>
      </c>
    </row>
    <row r="7438" spans="1:1">
      <c r="A7438" t="s">
        <v>48591</v>
      </c>
    </row>
    <row r="7439" spans="1:1">
      <c r="A7439" t="s">
        <v>48592</v>
      </c>
    </row>
    <row r="7440" spans="1:1">
      <c r="A7440" t="s">
        <v>48593</v>
      </c>
    </row>
    <row r="7441" spans="1:1">
      <c r="A7441" t="s">
        <v>48594</v>
      </c>
    </row>
    <row r="7442" spans="1:1">
      <c r="A7442" t="s">
        <v>48595</v>
      </c>
    </row>
    <row r="7443" spans="1:1">
      <c r="A7443" t="s">
        <v>48596</v>
      </c>
    </row>
    <row r="7444" spans="1:1">
      <c r="A7444" t="s">
        <v>48549</v>
      </c>
    </row>
    <row r="7445" spans="1:1">
      <c r="A7445" t="s">
        <v>41057</v>
      </c>
    </row>
    <row r="7446" spans="1:1">
      <c r="A7446" t="s">
        <v>41057</v>
      </c>
    </row>
    <row r="7447" spans="1:1">
      <c r="A7447" t="s">
        <v>41057</v>
      </c>
    </row>
    <row r="7448" spans="1:1">
      <c r="A7448" t="s">
        <v>48597</v>
      </c>
    </row>
    <row r="7449" spans="1:1">
      <c r="A7449" t="s">
        <v>48598</v>
      </c>
    </row>
    <row r="7450" spans="1:1">
      <c r="A7450" t="s">
        <v>46798</v>
      </c>
    </row>
    <row r="7451" spans="1:1">
      <c r="A7451" t="s">
        <v>48599</v>
      </c>
    </row>
    <row r="7452" spans="1:1">
      <c r="A7452" t="e" cm="1">
        <f t="array" ref="A7452">---DWKYIYGRA-----------------------------------------------Q</f>
        <v>#NAME?</v>
      </c>
    </row>
    <row r="7453" spans="1:1">
      <c r="A7453" t="s">
        <v>48600</v>
      </c>
    </row>
    <row r="7454" spans="1:1">
      <c r="A7454" t="e" cm="1">
        <f t="array" ref="A7454">--------------------------------------GGKVVERELASNAFG-QNFFYY</f>
        <v>#NAME?</v>
      </c>
    </row>
    <row r="7455" spans="1:1">
      <c r="A7455" t="s">
        <v>48601</v>
      </c>
    </row>
    <row r="7456" spans="1:1">
      <c r="A7456" t="s">
        <v>47830</v>
      </c>
    </row>
    <row r="7457" spans="1:1">
      <c r="A7457" t="s">
        <v>41057</v>
      </c>
    </row>
    <row r="7458" spans="1:1">
      <c r="A7458" t="s">
        <v>47831</v>
      </c>
    </row>
    <row r="7459" spans="1:1">
      <c r="A7459" t="s">
        <v>48507</v>
      </c>
    </row>
    <row r="7460" spans="1:1">
      <c r="A7460" t="e" cm="1">
        <f t="array" ref="A7460">-------------------------PAMKI-------FEK-FE----------------G</f>
        <v>#NAME?</v>
      </c>
    </row>
    <row r="7461" spans="1:1">
      <c r="A7461" t="s">
        <v>48602</v>
      </c>
    </row>
    <row r="7462" spans="1:1">
      <c r="A7462" t="s">
        <v>41057</v>
      </c>
    </row>
    <row r="7463" spans="1:1">
      <c r="A7463" t="s">
        <v>45447</v>
      </c>
    </row>
    <row r="7464" spans="1:1">
      <c r="A7464" t="e" cm="1">
        <f t="array" ref="A7464">--------------YAAQDTL-----------------LP--------LKLLSKL-AIFE</f>
        <v>#NAME?</v>
      </c>
    </row>
    <row r="7465" spans="1:1">
      <c r="A7465" t="s">
        <v>48603</v>
      </c>
    </row>
    <row r="7466" spans="1:1">
      <c r="A7466" t="s">
        <v>48604</v>
      </c>
    </row>
    <row r="7467" spans="1:1">
      <c r="A7467" t="s">
        <v>41057</v>
      </c>
    </row>
    <row r="7468" spans="1:1">
      <c r="A7468" t="s">
        <v>48605</v>
      </c>
    </row>
    <row r="7469" spans="1:1">
      <c r="A7469" t="e" cm="1">
        <f t="array" ref="A7469">------------K-FE--------------------------------GATV-LEPKKGA</f>
        <v>#NAME?</v>
      </c>
    </row>
    <row r="7470" spans="1:1">
      <c r="A7470" t="s">
        <v>48558</v>
      </c>
    </row>
    <row r="7471" spans="1:1">
      <c r="A7471" t="s">
        <v>41057</v>
      </c>
    </row>
    <row r="7472" spans="1:1">
      <c r="A7472" t="s">
        <v>41057</v>
      </c>
    </row>
    <row r="7473" spans="1:1">
      <c r="A7473" t="s">
        <v>41057</v>
      </c>
    </row>
    <row r="7474" spans="1:1">
      <c r="A7474" t="s">
        <v>41057</v>
      </c>
    </row>
    <row r="7475" spans="1:1">
      <c r="A7475" t="s">
        <v>41057</v>
      </c>
    </row>
    <row r="7476" spans="1:1">
      <c r="A7476" t="s">
        <v>41057</v>
      </c>
    </row>
    <row r="7477" spans="1:1">
      <c r="A7477" t="s">
        <v>41057</v>
      </c>
    </row>
    <row r="7478" spans="1:1">
      <c r="A7478" t="s">
        <v>41057</v>
      </c>
    </row>
    <row r="7479" spans="1:1">
      <c r="A7479" t="s">
        <v>48606</v>
      </c>
    </row>
    <row r="7480" spans="1:1">
      <c r="A7480" t="s">
        <v>48607</v>
      </c>
    </row>
    <row r="7481" spans="1:1">
      <c r="A7481" t="s">
        <v>48150</v>
      </c>
    </row>
    <row r="7482" spans="1:1">
      <c r="A7482" t="s">
        <v>41057</v>
      </c>
    </row>
    <row r="7483" spans="1:1">
      <c r="A7483" t="s">
        <v>41057</v>
      </c>
    </row>
    <row r="7484" spans="1:1">
      <c r="A7484" t="s">
        <v>48608</v>
      </c>
    </row>
    <row r="7485" spans="1:1">
      <c r="A7485" t="s">
        <v>41057</v>
      </c>
    </row>
    <row r="7486" spans="1:1">
      <c r="A7486" t="s">
        <v>48609</v>
      </c>
    </row>
    <row r="7487" spans="1:1">
      <c r="A7487" t="s">
        <v>48562</v>
      </c>
    </row>
    <row r="7488" spans="1:1">
      <c r="A7488" t="s">
        <v>48515</v>
      </c>
    </row>
    <row r="7489" spans="1:1">
      <c r="A7489" t="s">
        <v>48610</v>
      </c>
    </row>
    <row r="7490" spans="1:1">
      <c r="A7490" t="s">
        <v>48471</v>
      </c>
    </row>
    <row r="7491" spans="1:1">
      <c r="A7491" t="s">
        <v>48517</v>
      </c>
    </row>
    <row r="7492" spans="1:1">
      <c r="A7492" t="s">
        <v>41057</v>
      </c>
    </row>
    <row r="7493" spans="1:1">
      <c r="A7493" t="s">
        <v>41057</v>
      </c>
    </row>
    <row r="7494" spans="1:1">
      <c r="A7494" t="s">
        <v>41057</v>
      </c>
    </row>
    <row r="7495" spans="1:1">
      <c r="A7495" t="s">
        <v>41057</v>
      </c>
    </row>
    <row r="7496" spans="1:1">
      <c r="A7496" t="s">
        <v>41057</v>
      </c>
    </row>
    <row r="7497" spans="1:1">
      <c r="A7497" t="s">
        <v>41057</v>
      </c>
    </row>
    <row r="7498" spans="1:1">
      <c r="A7498" t="s">
        <v>41057</v>
      </c>
    </row>
    <row r="7499" spans="1:1">
      <c r="A7499" t="s">
        <v>41057</v>
      </c>
    </row>
    <row r="7500" spans="1:1">
      <c r="A7500" t="s">
        <v>41057</v>
      </c>
    </row>
    <row r="7501" spans="1:1">
      <c r="A7501" t="s">
        <v>48425</v>
      </c>
    </row>
    <row r="7502" spans="1:1">
      <c r="A7502" t="s">
        <v>41057</v>
      </c>
    </row>
    <row r="7503" spans="1:1">
      <c r="A7503" t="s">
        <v>41057</v>
      </c>
    </row>
    <row r="7504" spans="1:1">
      <c r="A7504" t="s">
        <v>41057</v>
      </c>
    </row>
    <row r="7505" spans="1:1">
      <c r="A7505" t="s">
        <v>41057</v>
      </c>
    </row>
    <row r="7506" spans="1:1">
      <c r="A7506" t="s">
        <v>41057</v>
      </c>
    </row>
    <row r="7507" spans="1:1">
      <c r="A7507" t="s">
        <v>48472</v>
      </c>
    </row>
    <row r="7508" spans="1:1">
      <c r="A7508" t="s">
        <v>48611</v>
      </c>
    </row>
    <row r="7509" spans="1:1">
      <c r="A7509" t="s">
        <v>41057</v>
      </c>
    </row>
    <row r="7510" spans="1:1">
      <c r="A7510" t="s">
        <v>41057</v>
      </c>
    </row>
    <row r="7511" spans="1:1">
      <c r="A7511" t="s">
        <v>41057</v>
      </c>
    </row>
    <row r="7512" spans="1:1">
      <c r="A7512" t="s">
        <v>48612</v>
      </c>
    </row>
    <row r="7513" spans="1:1">
      <c r="A7513" t="s">
        <v>41057</v>
      </c>
    </row>
    <row r="7514" spans="1:1">
      <c r="A7514" t="s">
        <v>41057</v>
      </c>
    </row>
    <row r="7515" spans="1:1">
      <c r="A7515" t="s">
        <v>41057</v>
      </c>
    </row>
    <row r="7516" spans="1:1">
      <c r="A7516" t="s">
        <v>41057</v>
      </c>
    </row>
    <row r="7517" spans="1:1">
      <c r="A7517" t="s">
        <v>41057</v>
      </c>
    </row>
    <row r="7518" spans="1:1">
      <c r="A7518" t="s">
        <v>41057</v>
      </c>
    </row>
    <row r="7519" spans="1:1">
      <c r="A7519" t="s">
        <v>41057</v>
      </c>
    </row>
    <row r="7520" spans="1:1">
      <c r="A7520" t="s">
        <v>41057</v>
      </c>
    </row>
    <row r="7521" spans="1:1">
      <c r="A7521" t="s">
        <v>41057</v>
      </c>
    </row>
    <row r="7522" spans="1:1">
      <c r="A7522" t="s">
        <v>41057</v>
      </c>
    </row>
    <row r="7523" spans="1:1">
      <c r="A7523" t="s">
        <v>41057</v>
      </c>
    </row>
    <row r="7524" spans="1:1">
      <c r="A7524" t="e" cm="1">
        <f t="array" ref="A7524">-----------------------------------------------TDSI--------M</f>
        <v>#NAME?</v>
      </c>
    </row>
    <row r="7525" spans="1:1">
      <c r="A7525" t="s">
        <v>41087</v>
      </c>
    </row>
    <row r="7526" spans="1:1">
      <c r="A7526" t="s">
        <v>48520</v>
      </c>
    </row>
    <row r="7527" spans="1:1">
      <c r="A7527" t="e" cm="1">
        <f t="array" ref="A7527">-------DQNN----------------------------IND----HFE----------V</f>
        <v>#NAME?</v>
      </c>
    </row>
    <row r="7528" spans="1:1">
      <c r="A7528" t="s">
        <v>48569</v>
      </c>
    </row>
    <row r="7529" spans="1:1">
      <c r="A7529" t="e" cm="1">
        <f t="array" ref="A7529">--------PN------DLEFEK-IYYPYIL----------Y-SKKRYA-----------A</f>
        <v>#NAME?</v>
      </c>
    </row>
    <row r="7530" spans="1:1">
      <c r="A7530" t="s">
        <v>48613</v>
      </c>
    </row>
    <row r="7531" spans="1:1">
      <c r="A7531" t="s">
        <v>48523</v>
      </c>
    </row>
    <row r="7532" spans="1:1">
      <c r="A7532" t="s">
        <v>48524</v>
      </c>
    </row>
    <row r="7533" spans="1:1">
      <c r="A7533" t="s">
        <v>48477</v>
      </c>
    </row>
    <row r="7534" spans="1:1">
      <c r="A7534" t="s">
        <v>48525</v>
      </c>
    </row>
    <row r="7535" spans="1:1">
      <c r="A7535" t="s">
        <v>48526</v>
      </c>
    </row>
    <row r="7536" spans="1:1">
      <c r="A7536" t="s">
        <v>48614</v>
      </c>
    </row>
    <row r="7537" spans="1:1">
      <c r="A7537" t="s">
        <v>48615</v>
      </c>
    </row>
    <row r="7538" spans="1:1">
      <c r="A7538" t="s">
        <v>48616</v>
      </c>
    </row>
    <row r="7539" spans="1:1">
      <c r="A7539" t="s">
        <v>48617</v>
      </c>
    </row>
    <row r="7540" spans="1:1">
      <c r="A7540" t="s">
        <v>48618</v>
      </c>
    </row>
    <row r="7541" spans="1:1">
      <c r="A7541" t="s">
        <v>41057</v>
      </c>
    </row>
    <row r="7542" spans="1:1">
      <c r="A7542" t="s">
        <v>48619</v>
      </c>
    </row>
    <row r="7543" spans="1:1">
      <c r="A7543" t="s">
        <v>48620</v>
      </c>
    </row>
    <row r="7544" spans="1:1">
      <c r="A7544" t="s">
        <v>48621</v>
      </c>
    </row>
    <row r="7545" spans="1:1">
      <c r="A7545" t="s">
        <v>48485</v>
      </c>
    </row>
    <row r="7546" spans="1:1">
      <c r="A7546" t="s">
        <v>48622</v>
      </c>
    </row>
    <row r="7547" spans="1:1">
      <c r="A7547" t="s">
        <v>48623</v>
      </c>
    </row>
    <row r="7548" spans="1:1">
      <c r="A7548" t="s">
        <v>48624</v>
      </c>
    </row>
    <row r="7549" spans="1:1">
      <c r="A7549" t="s">
        <v>41057</v>
      </c>
    </row>
    <row r="7550" spans="1:1">
      <c r="A7550" t="s">
        <v>41057</v>
      </c>
    </row>
    <row r="7551" spans="1:1">
      <c r="A7551" t="s">
        <v>41057</v>
      </c>
    </row>
    <row r="7552" spans="1:1">
      <c r="A7552" t="s">
        <v>45870</v>
      </c>
    </row>
    <row r="7553" spans="1:1">
      <c r="A7553" t="s">
        <v>45194</v>
      </c>
    </row>
    <row r="7554" spans="1:1">
      <c r="A7554" t="s">
        <v>41057</v>
      </c>
    </row>
    <row r="7555" spans="1:1">
      <c r="A7555" t="s">
        <v>41057</v>
      </c>
    </row>
    <row r="7556" spans="1:1">
      <c r="A7556" t="s">
        <v>41057</v>
      </c>
    </row>
    <row r="7557" spans="1:1">
      <c r="A7557" t="s">
        <v>41057</v>
      </c>
    </row>
    <row r="7558" spans="1:1">
      <c r="A7558" t="s">
        <v>48625</v>
      </c>
    </row>
    <row r="7559" spans="1:1">
      <c r="A7559" t="s">
        <v>48626</v>
      </c>
    </row>
    <row r="7560" spans="1:1">
      <c r="A7560" t="s">
        <v>48627</v>
      </c>
    </row>
    <row r="7561" spans="1:1">
      <c r="A7561" t="s">
        <v>48628</v>
      </c>
    </row>
    <row r="7562" spans="1:1">
      <c r="A7562" t="e" cm="1">
        <f t="array" ref="A7562">----------------------------KDSEEEE-----------------------DR</f>
        <v>#NAME?</v>
      </c>
    </row>
    <row r="7563" spans="1:1">
      <c r="A7563" t="s">
        <v>48629</v>
      </c>
    </row>
    <row r="7564" spans="1:1">
      <c r="A7564" t="s">
        <v>48630</v>
      </c>
    </row>
    <row r="7565" spans="1:1">
      <c r="A7565" t="s">
        <v>48631</v>
      </c>
    </row>
    <row r="7566" spans="1:1">
      <c r="A7566" t="s">
        <v>48632</v>
      </c>
    </row>
    <row r="7567" spans="1:1">
      <c r="A7567" t="s">
        <v>48633</v>
      </c>
    </row>
    <row r="7568" spans="1:1">
      <c r="A7568" t="s">
        <v>48634</v>
      </c>
    </row>
    <row r="7569" spans="1:1">
      <c r="A7569" t="s">
        <v>48635</v>
      </c>
    </row>
    <row r="7570" spans="1:1">
      <c r="A7570" t="s">
        <v>48636</v>
      </c>
    </row>
    <row r="7571" spans="1:1">
      <c r="A7571" t="s">
        <v>48637</v>
      </c>
    </row>
    <row r="7572" spans="1:1">
      <c r="A7572" t="s">
        <v>48638</v>
      </c>
    </row>
    <row r="7573" spans="1:1">
      <c r="A7573" t="s">
        <v>41057</v>
      </c>
    </row>
    <row r="7574" spans="1:1">
      <c r="A7574" t="s">
        <v>41057</v>
      </c>
    </row>
    <row r="7575" spans="1:1">
      <c r="A7575" t="s">
        <v>41057</v>
      </c>
    </row>
    <row r="7576" spans="1:1">
      <c r="A7576" t="s">
        <v>48639</v>
      </c>
    </row>
    <row r="7577" spans="1:1">
      <c r="A7577" t="s">
        <v>48640</v>
      </c>
    </row>
    <row r="7578" spans="1:1">
      <c r="A7578" t="s">
        <v>46798</v>
      </c>
    </row>
    <row r="7579" spans="1:1">
      <c r="A7579" t="s">
        <v>48641</v>
      </c>
    </row>
    <row r="7580" spans="1:1">
      <c r="A7580" t="e" cm="1">
        <f t="array" ref="A7580">---DWRYLVGRE-----------------------------------------------N</f>
        <v>#NAME?</v>
      </c>
    </row>
    <row r="7581" spans="1:1">
      <c r="A7581" t="s">
        <v>48642</v>
      </c>
    </row>
    <row r="7582" spans="1:1">
      <c r="A7582" t="e" cm="1">
        <f t="array" ref="A7582">--------------------------------------AGQVRTWELNSGAYG-QNVYML</f>
        <v>#NAME?</v>
      </c>
    </row>
    <row r="7583" spans="1:1">
      <c r="A7583" t="s">
        <v>48643</v>
      </c>
    </row>
    <row r="7584" spans="1:1">
      <c r="A7584" t="s">
        <v>48644</v>
      </c>
    </row>
    <row r="7585" spans="1:1">
      <c r="A7585" t="s">
        <v>41057</v>
      </c>
    </row>
    <row r="7586" spans="1:1">
      <c r="A7586" t="s">
        <v>47831</v>
      </c>
    </row>
    <row r="7587" spans="1:1">
      <c r="A7587" t="s">
        <v>48645</v>
      </c>
    </row>
    <row r="7588" spans="1:1">
      <c r="A7588" t="e" cm="1">
        <f t="array" ref="A7588">-------------------------PAHEI-------FKK-FR----------------G</f>
        <v>#NAME?</v>
      </c>
    </row>
    <row r="7589" spans="1:1">
      <c r="A7589" t="s">
        <v>48646</v>
      </c>
    </row>
    <row r="7590" spans="1:1">
      <c r="A7590" t="s">
        <v>41057</v>
      </c>
    </row>
    <row r="7591" spans="1:1">
      <c r="A7591" t="s">
        <v>46322</v>
      </c>
    </row>
    <row r="7592" spans="1:1">
      <c r="A7592" t="e" cm="1">
        <f t="array" ref="A7592">--------------YAVQDVC-----------------LP--------LRLFDKL-CMYD</f>
        <v>#NAME?</v>
      </c>
    </row>
    <row r="7593" spans="1:1">
      <c r="A7593" t="s">
        <v>48647</v>
      </c>
    </row>
    <row r="7594" spans="1:1">
      <c r="A7594" t="s">
        <v>48648</v>
      </c>
    </row>
    <row r="7595" spans="1:1">
      <c r="A7595" t="s">
        <v>41057</v>
      </c>
    </row>
    <row r="7596" spans="1:1">
      <c r="A7596" t="s">
        <v>48649</v>
      </c>
    </row>
    <row r="7597" spans="1:1">
      <c r="A7597" t="e" cm="1">
        <f t="array" ref="A7597">------------K-FE--------------------------------GATV-LDAKKGA</f>
        <v>#NAME?</v>
      </c>
    </row>
    <row r="7598" spans="1:1">
      <c r="A7598" t="s">
        <v>48650</v>
      </c>
    </row>
    <row r="7599" spans="1:1">
      <c r="A7599" t="s">
        <v>41057</v>
      </c>
    </row>
    <row r="7600" spans="1:1">
      <c r="A7600" t="s">
        <v>41057</v>
      </c>
    </row>
    <row r="7601" spans="1:1">
      <c r="A7601" t="s">
        <v>41057</v>
      </c>
    </row>
    <row r="7602" spans="1:1">
      <c r="A7602" t="s">
        <v>41057</v>
      </c>
    </row>
    <row r="7603" spans="1:1">
      <c r="A7603" t="s">
        <v>41057</v>
      </c>
    </row>
    <row r="7604" spans="1:1">
      <c r="A7604" t="s">
        <v>41057</v>
      </c>
    </row>
    <row r="7605" spans="1:1">
      <c r="A7605" t="s">
        <v>41057</v>
      </c>
    </row>
    <row r="7606" spans="1:1">
      <c r="A7606" t="s">
        <v>41057</v>
      </c>
    </row>
    <row r="7607" spans="1:1">
      <c r="A7607" t="s">
        <v>48651</v>
      </c>
    </row>
    <row r="7608" spans="1:1">
      <c r="A7608" t="s">
        <v>48652</v>
      </c>
    </row>
    <row r="7609" spans="1:1">
      <c r="A7609" t="s">
        <v>48653</v>
      </c>
    </row>
    <row r="7610" spans="1:1">
      <c r="A7610" t="s">
        <v>41057</v>
      </c>
    </row>
    <row r="7611" spans="1:1">
      <c r="A7611" t="s">
        <v>41057</v>
      </c>
    </row>
    <row r="7612" spans="1:1">
      <c r="A7612" t="s">
        <v>48654</v>
      </c>
    </row>
    <row r="7613" spans="1:1">
      <c r="A7613" t="s">
        <v>41057</v>
      </c>
    </row>
    <row r="7614" spans="1:1">
      <c r="A7614" t="s">
        <v>48655</v>
      </c>
    </row>
    <row r="7615" spans="1:1">
      <c r="A7615" t="s">
        <v>48656</v>
      </c>
    </row>
    <row r="7616" spans="1:1">
      <c r="A7616" t="s">
        <v>48657</v>
      </c>
    </row>
    <row r="7617" spans="1:1">
      <c r="A7617" t="s">
        <v>48658</v>
      </c>
    </row>
    <row r="7618" spans="1:1">
      <c r="A7618" t="s">
        <v>48659</v>
      </c>
    </row>
    <row r="7619" spans="1:1">
      <c r="A7619" t="s">
        <v>48660</v>
      </c>
    </row>
    <row r="7620" spans="1:1">
      <c r="A7620" t="s">
        <v>41057</v>
      </c>
    </row>
    <row r="7621" spans="1:1">
      <c r="A7621" t="s">
        <v>41057</v>
      </c>
    </row>
    <row r="7622" spans="1:1">
      <c r="A7622" t="s">
        <v>41057</v>
      </c>
    </row>
    <row r="7623" spans="1:1">
      <c r="A7623" t="s">
        <v>41057</v>
      </c>
    </row>
    <row r="7624" spans="1:1">
      <c r="A7624" t="s">
        <v>41057</v>
      </c>
    </row>
    <row r="7625" spans="1:1">
      <c r="A7625" t="s">
        <v>41057</v>
      </c>
    </row>
    <row r="7626" spans="1:1">
      <c r="A7626" t="s">
        <v>41057</v>
      </c>
    </row>
    <row r="7627" spans="1:1">
      <c r="A7627" t="s">
        <v>41057</v>
      </c>
    </row>
    <row r="7628" spans="1:1">
      <c r="A7628" t="s">
        <v>41057</v>
      </c>
    </row>
    <row r="7629" spans="1:1">
      <c r="A7629" t="s">
        <v>48661</v>
      </c>
    </row>
    <row r="7630" spans="1:1">
      <c r="A7630" t="s">
        <v>41057</v>
      </c>
    </row>
    <row r="7631" spans="1:1">
      <c r="A7631" t="s">
        <v>41057</v>
      </c>
    </row>
    <row r="7632" spans="1:1">
      <c r="A7632" t="s">
        <v>41057</v>
      </c>
    </row>
    <row r="7633" spans="1:1">
      <c r="A7633" t="s">
        <v>41057</v>
      </c>
    </row>
    <row r="7634" spans="1:1">
      <c r="A7634" t="s">
        <v>41057</v>
      </c>
    </row>
    <row r="7635" spans="1:1">
      <c r="A7635" t="s">
        <v>48518</v>
      </c>
    </row>
    <row r="7636" spans="1:1">
      <c r="A7636" t="s">
        <v>48662</v>
      </c>
    </row>
    <row r="7637" spans="1:1">
      <c r="A7637" t="s">
        <v>41057</v>
      </c>
    </row>
    <row r="7638" spans="1:1">
      <c r="A7638" t="s">
        <v>41057</v>
      </c>
    </row>
    <row r="7639" spans="1:1">
      <c r="A7639" t="s">
        <v>41057</v>
      </c>
    </row>
    <row r="7640" spans="1:1">
      <c r="A7640" t="s">
        <v>48663</v>
      </c>
    </row>
    <row r="7641" spans="1:1">
      <c r="A7641" t="s">
        <v>41057</v>
      </c>
    </row>
    <row r="7642" spans="1:1">
      <c r="A7642" t="s">
        <v>41057</v>
      </c>
    </row>
    <row r="7643" spans="1:1">
      <c r="A7643" t="s">
        <v>41057</v>
      </c>
    </row>
    <row r="7644" spans="1:1">
      <c r="A7644" t="s">
        <v>41057</v>
      </c>
    </row>
    <row r="7645" spans="1:1">
      <c r="A7645" t="s">
        <v>41057</v>
      </c>
    </row>
    <row r="7646" spans="1:1">
      <c r="A7646" t="s">
        <v>41057</v>
      </c>
    </row>
    <row r="7647" spans="1:1">
      <c r="A7647" t="s">
        <v>41057</v>
      </c>
    </row>
    <row r="7648" spans="1:1">
      <c r="A7648" t="s">
        <v>41057</v>
      </c>
    </row>
    <row r="7649" spans="1:1">
      <c r="A7649" t="s">
        <v>41057</v>
      </c>
    </row>
    <row r="7650" spans="1:1">
      <c r="A7650" t="s">
        <v>41057</v>
      </c>
    </row>
    <row r="7651" spans="1:1">
      <c r="A7651" t="s">
        <v>41057</v>
      </c>
    </row>
    <row r="7652" spans="1:1">
      <c r="A7652" t="e" cm="1">
        <f t="array" ref="A7652">-----------------------------------------------TDSV--------M</f>
        <v>#NAME?</v>
      </c>
    </row>
    <row r="7653" spans="1:1">
      <c r="A7653" t="s">
        <v>41087</v>
      </c>
    </row>
    <row r="7654" spans="1:1">
      <c r="A7654" t="s">
        <v>48664</v>
      </c>
    </row>
    <row r="7655" spans="1:1">
      <c r="A7655" t="e" cm="1">
        <f t="array" ref="A7655">--------RHD----------------------------MGY----HFK----------I</f>
        <v>#NAME?</v>
      </c>
    </row>
    <row r="7656" spans="1:1">
      <c r="A7656" t="s">
        <v>48665</v>
      </c>
    </row>
    <row r="7657" spans="1:1">
      <c r="A7657" t="e" cm="1">
        <f t="array" ref="A7657">--------CI------ELEFEK-CYYPYLL----------Y-SKKRYA-----------G</f>
        <v>#NAME?</v>
      </c>
    </row>
    <row r="7658" spans="1:1">
      <c r="A7658" t="s">
        <v>48666</v>
      </c>
    </row>
    <row r="7659" spans="1:1">
      <c r="A7659" t="s">
        <v>48667</v>
      </c>
    </row>
    <row r="7660" spans="1:1">
      <c r="A7660" t="s">
        <v>48668</v>
      </c>
    </row>
    <row r="7661" spans="1:1">
      <c r="A7661" t="s">
        <v>48669</v>
      </c>
    </row>
    <row r="7662" spans="1:1">
      <c r="A7662" t="s">
        <v>48670</v>
      </c>
    </row>
    <row r="7663" spans="1:1">
      <c r="A7663" t="s">
        <v>48671</v>
      </c>
    </row>
    <row r="7664" spans="1:1">
      <c r="A7664" t="s">
        <v>48672</v>
      </c>
    </row>
    <row r="7665" spans="1:1">
      <c r="A7665" t="s">
        <v>48673</v>
      </c>
    </row>
    <row r="7666" spans="1:1">
      <c r="A7666" t="s">
        <v>48674</v>
      </c>
    </row>
    <row r="7667" spans="1:1">
      <c r="A7667" t="s">
        <v>48675</v>
      </c>
    </row>
    <row r="7668" spans="1:1">
      <c r="A7668" t="s">
        <v>48676</v>
      </c>
    </row>
    <row r="7669" spans="1:1">
      <c r="A7669" t="s">
        <v>41057</v>
      </c>
    </row>
    <row r="7670" spans="1:1">
      <c r="A7670" t="s">
        <v>48677</v>
      </c>
    </row>
    <row r="7671" spans="1:1">
      <c r="A7671" t="s">
        <v>48678</v>
      </c>
    </row>
    <row r="7672" spans="1:1">
      <c r="A7672" t="s">
        <v>48679</v>
      </c>
    </row>
    <row r="7673" spans="1:1">
      <c r="A7673" t="s">
        <v>48485</v>
      </c>
    </row>
    <row r="7674" spans="1:1">
      <c r="A7674" t="s">
        <v>48680</v>
      </c>
    </row>
    <row r="7675" spans="1:1">
      <c r="A7675" t="s">
        <v>48681</v>
      </c>
    </row>
    <row r="7676" spans="1:1">
      <c r="A7676" t="s">
        <v>48682</v>
      </c>
    </row>
    <row r="7677" spans="1:1">
      <c r="A7677" t="s">
        <v>41057</v>
      </c>
    </row>
    <row r="7678" spans="1:1">
      <c r="A7678" t="s">
        <v>41057</v>
      </c>
    </row>
    <row r="7679" spans="1:1">
      <c r="A7679" t="s">
        <v>41057</v>
      </c>
    </row>
    <row r="7680" spans="1:1">
      <c r="A7680" t="s">
        <v>45870</v>
      </c>
    </row>
    <row r="7681" spans="1:1">
      <c r="A7681" t="s">
        <v>45040</v>
      </c>
    </row>
    <row r="7682" spans="1:1">
      <c r="A7682" t="s">
        <v>41057</v>
      </c>
    </row>
    <row r="7683" spans="1:1">
      <c r="A7683" t="s">
        <v>41057</v>
      </c>
    </row>
    <row r="7684" spans="1:1">
      <c r="A7684" t="s">
        <v>41057</v>
      </c>
    </row>
    <row r="7685" spans="1:1">
      <c r="A7685" t="s">
        <v>41057</v>
      </c>
    </row>
    <row r="7686" spans="1:1">
      <c r="A7686" t="s">
        <v>48683</v>
      </c>
    </row>
    <row r="7687" spans="1:1">
      <c r="A7687" t="s">
        <v>48684</v>
      </c>
    </row>
    <row r="7688" spans="1:1">
      <c r="A7688" t="s">
        <v>48586</v>
      </c>
    </row>
    <row r="7689" spans="1:1">
      <c r="A7689" t="s">
        <v>48685</v>
      </c>
    </row>
    <row r="7690" spans="1:1">
      <c r="A7690" t="e" cm="1">
        <f t="array" ref="A7690">---------------------------------DE-----------------------TI</f>
        <v>#NAME?</v>
      </c>
    </row>
    <row r="7691" spans="1:1">
      <c r="A7691" t="s">
        <v>48686</v>
      </c>
    </row>
    <row r="7692" spans="1:1">
      <c r="A7692" t="s">
        <v>48687</v>
      </c>
    </row>
    <row r="7693" spans="1:1">
      <c r="A7693" t="s">
        <v>48688</v>
      </c>
    </row>
    <row r="7694" spans="1:1">
      <c r="A7694" t="s">
        <v>48689</v>
      </c>
    </row>
    <row r="7695" spans="1:1">
      <c r="A7695" t="s">
        <v>48690</v>
      </c>
    </row>
    <row r="7696" spans="1:1">
      <c r="A7696" t="s">
        <v>48691</v>
      </c>
    </row>
    <row r="7697" spans="1:1">
      <c r="A7697" t="s">
        <v>48692</v>
      </c>
    </row>
    <row r="7698" spans="1:1">
      <c r="A7698" t="s">
        <v>48693</v>
      </c>
    </row>
    <row r="7699" spans="1:1">
      <c r="A7699" t="s">
        <v>48694</v>
      </c>
    </row>
    <row r="7700" spans="1:1">
      <c r="A7700" t="s">
        <v>48695</v>
      </c>
    </row>
    <row r="7701" spans="1:1">
      <c r="A7701" t="s">
        <v>41057</v>
      </c>
    </row>
    <row r="7702" spans="1:1">
      <c r="A7702" t="s">
        <v>41057</v>
      </c>
    </row>
    <row r="7703" spans="1:1">
      <c r="A7703" t="s">
        <v>41057</v>
      </c>
    </row>
    <row r="7704" spans="1:1">
      <c r="A7704" t="s">
        <v>48696</v>
      </c>
    </row>
    <row r="7705" spans="1:1">
      <c r="A7705" t="s">
        <v>48697</v>
      </c>
    </row>
    <row r="7706" spans="1:1">
      <c r="A7706" t="s">
        <v>45438</v>
      </c>
    </row>
    <row r="7707" spans="1:1">
      <c r="A7707" t="s">
        <v>48698</v>
      </c>
    </row>
    <row r="7708" spans="1:1">
      <c r="A7708" t="e" cm="1">
        <f t="array" ref="A7708">---DYKYIYNRC-----------------------------------------------Q</f>
        <v>#NAME?</v>
      </c>
    </row>
    <row r="7709" spans="1:1">
      <c r="A7709" t="s">
        <v>48699</v>
      </c>
    </row>
    <row r="7710" spans="1:1">
      <c r="A7710" t="e" cm="1">
        <f t="array" ref="A7710">--------------------------------------GGLPISKQLNTNAYG-ENNYFF</f>
        <v>#NAME?</v>
      </c>
    </row>
    <row r="7711" spans="1:1">
      <c r="A7711" t="s">
        <v>48700</v>
      </c>
    </row>
    <row r="7712" spans="1:1">
      <c r="A7712" t="s">
        <v>48701</v>
      </c>
    </row>
    <row r="7713" spans="1:1">
      <c r="A7713" t="s">
        <v>41057</v>
      </c>
    </row>
    <row r="7714" spans="1:1">
      <c r="A7714" t="s">
        <v>47831</v>
      </c>
    </row>
    <row r="7715" spans="1:1">
      <c r="A7715" t="s">
        <v>48702</v>
      </c>
    </row>
    <row r="7716" spans="1:1">
      <c r="A7716" t="e" cm="1">
        <f t="array" ref="A7716">-------------------------PPQQI-------FAKCVS----------------G</f>
        <v>#NAME?</v>
      </c>
    </row>
    <row r="7717" spans="1:1">
      <c r="A7717" t="s">
        <v>48703</v>
      </c>
    </row>
    <row r="7718" spans="1:1">
      <c r="A7718" t="s">
        <v>41057</v>
      </c>
    </row>
    <row r="7719" spans="1:1">
      <c r="A7719" t="s">
        <v>46644</v>
      </c>
    </row>
    <row r="7720" spans="1:1">
      <c r="A7720" t="e" cm="1">
        <f t="array" ref="A7720">--------------YCIKDTE-----------------LP--------LRLMHRL-CTLH</f>
        <v>#NAME?</v>
      </c>
    </row>
    <row r="7721" spans="1:1">
      <c r="A7721" t="s">
        <v>48704</v>
      </c>
    </row>
    <row r="7722" spans="1:1">
      <c r="A7722" t="s">
        <v>48705</v>
      </c>
    </row>
    <row r="7723" spans="1:1">
      <c r="A7723" t="s">
        <v>41057</v>
      </c>
    </row>
    <row r="7724" spans="1:1">
      <c r="A7724" t="s">
        <v>48706</v>
      </c>
    </row>
    <row r="7725" spans="1:1">
      <c r="A7725" t="e" cm="1">
        <f t="array" ref="A7725">--------------YK--------------------------------GATV-LEPERGS</f>
        <v>#NAME?</v>
      </c>
    </row>
    <row r="7726" spans="1:1">
      <c r="A7726" t="s">
        <v>48707</v>
      </c>
    </row>
    <row r="7727" spans="1:1">
      <c r="A7727" t="s">
        <v>41057</v>
      </c>
    </row>
    <row r="7728" spans="1:1">
      <c r="A7728" t="s">
        <v>41057</v>
      </c>
    </row>
    <row r="7729" spans="1:1">
      <c r="A7729" t="s">
        <v>41057</v>
      </c>
    </row>
    <row r="7730" spans="1:1">
      <c r="A7730" t="s">
        <v>41057</v>
      </c>
    </row>
    <row r="7731" spans="1:1">
      <c r="A7731" t="s">
        <v>41057</v>
      </c>
    </row>
    <row r="7732" spans="1:1">
      <c r="A7732" t="s">
        <v>41057</v>
      </c>
    </row>
    <row r="7733" spans="1:1">
      <c r="A7733" t="s">
        <v>41057</v>
      </c>
    </row>
    <row r="7734" spans="1:1">
      <c r="A7734" t="s">
        <v>41057</v>
      </c>
    </row>
    <row r="7735" spans="1:1">
      <c r="A7735" t="s">
        <v>48708</v>
      </c>
    </row>
    <row r="7736" spans="1:1">
      <c r="A7736" t="s">
        <v>48709</v>
      </c>
    </row>
    <row r="7737" spans="1:1">
      <c r="A7737" t="s">
        <v>48417</v>
      </c>
    </row>
    <row r="7738" spans="1:1">
      <c r="A7738" t="s">
        <v>41057</v>
      </c>
    </row>
    <row r="7739" spans="1:1">
      <c r="A7739" t="s">
        <v>41057</v>
      </c>
    </row>
    <row r="7740" spans="1:1">
      <c r="A7740" t="s">
        <v>48710</v>
      </c>
    </row>
    <row r="7741" spans="1:1">
      <c r="A7741" t="s">
        <v>41057</v>
      </c>
    </row>
    <row r="7742" spans="1:1">
      <c r="A7742" t="s">
        <v>48711</v>
      </c>
    </row>
    <row r="7743" spans="1:1">
      <c r="A7743" t="s">
        <v>48712</v>
      </c>
    </row>
    <row r="7744" spans="1:1">
      <c r="A7744" t="s">
        <v>48713</v>
      </c>
    </row>
    <row r="7745" spans="1:1">
      <c r="A7745" t="s">
        <v>48714</v>
      </c>
    </row>
    <row r="7746" spans="1:1">
      <c r="A7746" t="s">
        <v>48715</v>
      </c>
    </row>
    <row r="7747" spans="1:1">
      <c r="A7747" t="s">
        <v>48716</v>
      </c>
    </row>
    <row r="7748" spans="1:1">
      <c r="A7748" t="s">
        <v>41057</v>
      </c>
    </row>
    <row r="7749" spans="1:1">
      <c r="A7749" t="s">
        <v>41057</v>
      </c>
    </row>
    <row r="7750" spans="1:1">
      <c r="A7750" t="s">
        <v>41057</v>
      </c>
    </row>
    <row r="7751" spans="1:1">
      <c r="A7751" t="s">
        <v>41057</v>
      </c>
    </row>
    <row r="7752" spans="1:1">
      <c r="A7752" t="s">
        <v>41057</v>
      </c>
    </row>
    <row r="7753" spans="1:1">
      <c r="A7753" t="s">
        <v>41057</v>
      </c>
    </row>
    <row r="7754" spans="1:1">
      <c r="A7754" t="s">
        <v>41057</v>
      </c>
    </row>
    <row r="7755" spans="1:1">
      <c r="A7755" t="s">
        <v>41057</v>
      </c>
    </row>
    <row r="7756" spans="1:1">
      <c r="A7756" t="s">
        <v>41057</v>
      </c>
    </row>
    <row r="7757" spans="1:1">
      <c r="A7757" t="s">
        <v>48717</v>
      </c>
    </row>
    <row r="7758" spans="1:1">
      <c r="A7758" t="s">
        <v>41057</v>
      </c>
    </row>
    <row r="7759" spans="1:1">
      <c r="A7759" t="s">
        <v>41057</v>
      </c>
    </row>
    <row r="7760" spans="1:1">
      <c r="A7760" t="s">
        <v>41057</v>
      </c>
    </row>
    <row r="7761" spans="1:1">
      <c r="A7761" t="s">
        <v>41057</v>
      </c>
    </row>
    <row r="7762" spans="1:1">
      <c r="A7762" t="s">
        <v>41057</v>
      </c>
    </row>
    <row r="7763" spans="1:1">
      <c r="A7763" t="s">
        <v>48718</v>
      </c>
    </row>
    <row r="7764" spans="1:1">
      <c r="A7764" t="s">
        <v>48719</v>
      </c>
    </row>
    <row r="7765" spans="1:1">
      <c r="A7765" t="s">
        <v>41057</v>
      </c>
    </row>
    <row r="7766" spans="1:1">
      <c r="A7766" t="s">
        <v>41057</v>
      </c>
    </row>
    <row r="7767" spans="1:1">
      <c r="A7767" t="s">
        <v>41057</v>
      </c>
    </row>
    <row r="7768" spans="1:1">
      <c r="A7768" t="s">
        <v>48720</v>
      </c>
    </row>
    <row r="7769" spans="1:1">
      <c r="A7769" t="s">
        <v>41057</v>
      </c>
    </row>
    <row r="7770" spans="1:1">
      <c r="A7770" t="s">
        <v>41057</v>
      </c>
    </row>
    <row r="7771" spans="1:1">
      <c r="A7771" t="s">
        <v>41057</v>
      </c>
    </row>
    <row r="7772" spans="1:1">
      <c r="A7772" t="s">
        <v>41057</v>
      </c>
    </row>
    <row r="7773" spans="1:1">
      <c r="A7773" t="s">
        <v>41057</v>
      </c>
    </row>
    <row r="7774" spans="1:1">
      <c r="A7774" t="s">
        <v>41057</v>
      </c>
    </row>
    <row r="7775" spans="1:1">
      <c r="A7775" t="s">
        <v>41057</v>
      </c>
    </row>
    <row r="7776" spans="1:1">
      <c r="A7776" t="s">
        <v>41057</v>
      </c>
    </row>
    <row r="7777" spans="1:1">
      <c r="A7777" t="s">
        <v>41057</v>
      </c>
    </row>
    <row r="7778" spans="1:1">
      <c r="A7778" t="s">
        <v>41057</v>
      </c>
    </row>
    <row r="7779" spans="1:1">
      <c r="A7779" t="s">
        <v>41057</v>
      </c>
    </row>
    <row r="7780" spans="1:1">
      <c r="A7780" t="e" cm="1">
        <f t="array" ref="A7780">-----------------------------------------------TDSV--------L</f>
        <v>#NAME?</v>
      </c>
    </row>
    <row r="7781" spans="1:1">
      <c r="A7781" t="s">
        <v>48721</v>
      </c>
    </row>
    <row r="7782" spans="1:1">
      <c r="A7782" t="s">
        <v>48722</v>
      </c>
    </row>
    <row r="7783" spans="1:1">
      <c r="A7783" t="e" cm="1">
        <f t="array" ref="A7783">--------IES----------------------------MES----HFE----------V</f>
        <v>#NAME?</v>
      </c>
    </row>
    <row r="7784" spans="1:1">
      <c r="A7784" t="s">
        <v>48723</v>
      </c>
    </row>
    <row r="7785" spans="1:1">
      <c r="A7785" t="e" cm="1">
        <f t="array" ref="A7785">--------PH------CLEFEK-AYHPYLL----------F-SKKRYA-----------G</f>
        <v>#NAME?</v>
      </c>
    </row>
    <row r="7786" spans="1:1">
      <c r="A7786" t="s">
        <v>48724</v>
      </c>
    </row>
    <row r="7787" spans="1:1">
      <c r="A7787" t="s">
        <v>48725</v>
      </c>
    </row>
    <row r="7788" spans="1:1">
      <c r="A7788" t="s">
        <v>48726</v>
      </c>
    </row>
    <row r="7789" spans="1:1">
      <c r="A7789" t="s">
        <v>48727</v>
      </c>
    </row>
    <row r="7790" spans="1:1">
      <c r="A7790" t="s">
        <v>48728</v>
      </c>
    </row>
    <row r="7791" spans="1:1">
      <c r="A7791" t="s">
        <v>48729</v>
      </c>
    </row>
    <row r="7792" spans="1:1">
      <c r="A7792" t="s">
        <v>48730</v>
      </c>
    </row>
    <row r="7793" spans="1:1">
      <c r="A7793" t="s">
        <v>48731</v>
      </c>
    </row>
    <row r="7794" spans="1:1">
      <c r="A7794" t="s">
        <v>48732</v>
      </c>
    </row>
    <row r="7795" spans="1:1">
      <c r="A7795" t="s">
        <v>48733</v>
      </c>
    </row>
    <row r="7796" spans="1:1">
      <c r="A7796" t="s">
        <v>48734</v>
      </c>
    </row>
    <row r="7797" spans="1:1">
      <c r="A7797" t="s">
        <v>41057</v>
      </c>
    </row>
    <row r="7798" spans="1:1">
      <c r="A7798" t="s">
        <v>48735</v>
      </c>
    </row>
    <row r="7799" spans="1:1">
      <c r="A7799" t="s">
        <v>48736</v>
      </c>
    </row>
    <row r="7800" spans="1:1">
      <c r="A7800" t="s">
        <v>48737</v>
      </c>
    </row>
    <row r="7801" spans="1:1">
      <c r="A7801" t="s">
        <v>48485</v>
      </c>
    </row>
    <row r="7802" spans="1:1">
      <c r="A7802" t="s">
        <v>48738</v>
      </c>
    </row>
    <row r="7803" spans="1:1">
      <c r="A7803" t="s">
        <v>48446</v>
      </c>
    </row>
    <row r="7804" spans="1:1">
      <c r="A7804" t="s">
        <v>48739</v>
      </c>
    </row>
    <row r="7805" spans="1:1">
      <c r="A7805" t="s">
        <v>41057</v>
      </c>
    </row>
    <row r="7806" spans="1:1">
      <c r="A7806" t="s">
        <v>41057</v>
      </c>
    </row>
    <row r="7807" spans="1:1">
      <c r="A7807" t="s">
        <v>41057</v>
      </c>
    </row>
    <row r="7808" spans="1:1">
      <c r="A7808" t="s">
        <v>45870</v>
      </c>
    </row>
    <row r="7809" spans="1:1">
      <c r="A7809" t="s">
        <v>45153</v>
      </c>
    </row>
    <row r="7810" spans="1:1">
      <c r="A7810" t="s">
        <v>41057</v>
      </c>
    </row>
    <row r="7811" spans="1:1">
      <c r="A7811" t="s">
        <v>48740</v>
      </c>
    </row>
    <row r="7812" spans="1:1">
      <c r="A7812" t="s">
        <v>41057</v>
      </c>
    </row>
    <row r="7813" spans="1:1">
      <c r="A7813" t="s">
        <v>41057</v>
      </c>
    </row>
    <row r="7814" spans="1:1">
      <c r="A7814" t="s">
        <v>48741</v>
      </c>
    </row>
    <row r="7815" spans="1:1">
      <c r="A7815" t="s">
        <v>48742</v>
      </c>
    </row>
    <row r="7816" spans="1:1">
      <c r="A7816" t="s">
        <v>48743</v>
      </c>
    </row>
    <row r="7817" spans="1:1">
      <c r="A7817" t="s">
        <v>48744</v>
      </c>
    </row>
    <row r="7818" spans="1:1">
      <c r="A7818" t="e" cm="1">
        <f t="array" ref="A7818">---------------------------------SA-----------------------GI</f>
        <v>#NAME?</v>
      </c>
    </row>
    <row r="7819" spans="1:1">
      <c r="A7819" t="s">
        <v>48745</v>
      </c>
    </row>
    <row r="7820" spans="1:1">
      <c r="A7820" t="s">
        <v>48746</v>
      </c>
    </row>
    <row r="7821" spans="1:1">
      <c r="A7821" t="s">
        <v>48747</v>
      </c>
    </row>
    <row r="7822" spans="1:1">
      <c r="A7822" t="s">
        <v>48748</v>
      </c>
    </row>
    <row r="7823" spans="1:1">
      <c r="A7823" t="s">
        <v>48749</v>
      </c>
    </row>
    <row r="7824" spans="1:1">
      <c r="A7824" t="s">
        <v>48750</v>
      </c>
    </row>
    <row r="7825" spans="1:1">
      <c r="A7825" t="s">
        <v>48751</v>
      </c>
    </row>
    <row r="7826" spans="1:1">
      <c r="A7826" t="s">
        <v>48752</v>
      </c>
    </row>
    <row r="7827" spans="1:1">
      <c r="A7827" t="s">
        <v>48753</v>
      </c>
    </row>
    <row r="7828" spans="1:1">
      <c r="A7828" t="s">
        <v>48754</v>
      </c>
    </row>
    <row r="7829" spans="1:1">
      <c r="A7829" t="s">
        <v>41057</v>
      </c>
    </row>
    <row r="7830" spans="1:1">
      <c r="A7830" t="s">
        <v>41057</v>
      </c>
    </row>
    <row r="7831" spans="1:1">
      <c r="A7831" t="s">
        <v>41057</v>
      </c>
    </row>
    <row r="7832" spans="1:1">
      <c r="A7832" t="s">
        <v>48755</v>
      </c>
    </row>
    <row r="7833" spans="1:1">
      <c r="A7833" t="s">
        <v>48756</v>
      </c>
    </row>
    <row r="7834" spans="1:1">
      <c r="A7834" t="s">
        <v>46798</v>
      </c>
    </row>
    <row r="7835" spans="1:1">
      <c r="A7835" t="s">
        <v>48757</v>
      </c>
    </row>
    <row r="7836" spans="1:1">
      <c r="A7836" t="e" cm="1">
        <f t="array" ref="A7836">---DYKYMYNRA-----------------------------------------------M</f>
        <v>#NAME?</v>
      </c>
    </row>
    <row r="7837" spans="1:1">
      <c r="A7837" t="s">
        <v>48758</v>
      </c>
    </row>
    <row r="7838" spans="1:1">
      <c r="A7838" t="e" cm="1">
        <f t="array" ref="A7838">--------------------------------------GGKSVIKKLASNAFG-DNTYFW</f>
        <v>#NAME?</v>
      </c>
    </row>
    <row r="7839" spans="1:1">
      <c r="A7839" t="s">
        <v>48759</v>
      </c>
    </row>
    <row r="7840" spans="1:1">
      <c r="A7840" t="s">
        <v>48760</v>
      </c>
    </row>
    <row r="7841" spans="1:1">
      <c r="A7841" t="s">
        <v>41057</v>
      </c>
    </row>
    <row r="7842" spans="1:1">
      <c r="A7842" t="s">
        <v>47831</v>
      </c>
    </row>
    <row r="7843" spans="1:1">
      <c r="A7843" t="s">
        <v>48761</v>
      </c>
    </row>
    <row r="7844" spans="1:1">
      <c r="A7844" t="e" cm="1">
        <f t="array" ref="A7844">-------------------------PPAQI-------FKKCAS----------------G</f>
        <v>#NAME?</v>
      </c>
    </row>
    <row r="7845" spans="1:1">
      <c r="A7845" t="s">
        <v>48762</v>
      </c>
    </row>
    <row r="7846" spans="1:1">
      <c r="A7846" t="s">
        <v>41057</v>
      </c>
    </row>
    <row r="7847" spans="1:1">
      <c r="A7847" t="s">
        <v>48763</v>
      </c>
    </row>
    <row r="7848" spans="1:1">
      <c r="A7848" t="e" cm="1">
        <f t="array" ref="A7848">--------------YCVQDTL-----------------LP--------LKLSNRL-TILH</f>
        <v>#NAME?</v>
      </c>
    </row>
    <row r="7849" spans="1:1">
      <c r="A7849" t="s">
        <v>48764</v>
      </c>
    </row>
    <row r="7850" spans="1:1">
      <c r="A7850" t="s">
        <v>48765</v>
      </c>
    </row>
    <row r="7851" spans="1:1">
      <c r="A7851" t="s">
        <v>41057</v>
      </c>
    </row>
    <row r="7852" spans="1:1">
      <c r="A7852" t="s">
        <v>48766</v>
      </c>
    </row>
    <row r="7853" spans="1:1">
      <c r="A7853" t="e" cm="1">
        <f t="array" ref="A7853">-----------EK-FQ--------------------------------GATV-LEPDCGS</f>
        <v>#NAME?</v>
      </c>
    </row>
    <row r="7854" spans="1:1">
      <c r="A7854" t="s">
        <v>48767</v>
      </c>
    </row>
    <row r="7855" spans="1:1">
      <c r="A7855" t="s">
        <v>41057</v>
      </c>
    </row>
    <row r="7856" spans="1:1">
      <c r="A7856" t="s">
        <v>41057</v>
      </c>
    </row>
    <row r="7857" spans="1:1">
      <c r="A7857" t="s">
        <v>41057</v>
      </c>
    </row>
    <row r="7858" spans="1:1">
      <c r="A7858" t="s">
        <v>41057</v>
      </c>
    </row>
    <row r="7859" spans="1:1">
      <c r="A7859" t="s">
        <v>41057</v>
      </c>
    </row>
    <row r="7860" spans="1:1">
      <c r="A7860" t="s">
        <v>41057</v>
      </c>
    </row>
    <row r="7861" spans="1:1">
      <c r="A7861" t="s">
        <v>41057</v>
      </c>
    </row>
    <row r="7862" spans="1:1">
      <c r="A7862" t="s">
        <v>41057</v>
      </c>
    </row>
    <row r="7863" spans="1:1">
      <c r="A7863" t="s">
        <v>48768</v>
      </c>
    </row>
    <row r="7864" spans="1:1">
      <c r="A7864" t="s">
        <v>48769</v>
      </c>
    </row>
    <row r="7865" spans="1:1">
      <c r="A7865" t="s">
        <v>48150</v>
      </c>
    </row>
    <row r="7866" spans="1:1">
      <c r="A7866" t="s">
        <v>41057</v>
      </c>
    </row>
    <row r="7867" spans="1:1">
      <c r="A7867" t="s">
        <v>41057</v>
      </c>
    </row>
    <row r="7868" spans="1:1">
      <c r="A7868" t="s">
        <v>48770</v>
      </c>
    </row>
    <row r="7869" spans="1:1">
      <c r="A7869" t="s">
        <v>41057</v>
      </c>
    </row>
    <row r="7870" spans="1:1">
      <c r="A7870" t="s">
        <v>47841</v>
      </c>
    </row>
    <row r="7871" spans="1:1">
      <c r="A7871" t="s">
        <v>48771</v>
      </c>
    </row>
    <row r="7872" spans="1:1">
      <c r="A7872" t="s">
        <v>48772</v>
      </c>
    </row>
    <row r="7873" spans="1:1">
      <c r="A7873" t="s">
        <v>48773</v>
      </c>
    </row>
    <row r="7874" spans="1:1">
      <c r="A7874" t="s">
        <v>48774</v>
      </c>
    </row>
    <row r="7875" spans="1:1">
      <c r="A7875" t="s">
        <v>48775</v>
      </c>
    </row>
    <row r="7876" spans="1:1">
      <c r="A7876" t="s">
        <v>41057</v>
      </c>
    </row>
    <row r="7877" spans="1:1">
      <c r="A7877" t="s">
        <v>41057</v>
      </c>
    </row>
    <row r="7878" spans="1:1">
      <c r="A7878" t="s">
        <v>41057</v>
      </c>
    </row>
    <row r="7879" spans="1:1">
      <c r="A7879" t="s">
        <v>41057</v>
      </c>
    </row>
    <row r="7880" spans="1:1">
      <c r="A7880" t="s">
        <v>41057</v>
      </c>
    </row>
    <row r="7881" spans="1:1">
      <c r="A7881" t="s">
        <v>41057</v>
      </c>
    </row>
    <row r="7882" spans="1:1">
      <c r="A7882" t="s">
        <v>41057</v>
      </c>
    </row>
    <row r="7883" spans="1:1">
      <c r="A7883" t="s">
        <v>41057</v>
      </c>
    </row>
    <row r="7884" spans="1:1">
      <c r="A7884" t="s">
        <v>41057</v>
      </c>
    </row>
    <row r="7885" spans="1:1">
      <c r="A7885" t="s">
        <v>48776</v>
      </c>
    </row>
    <row r="7886" spans="1:1">
      <c r="A7886" t="s">
        <v>41057</v>
      </c>
    </row>
    <row r="7887" spans="1:1">
      <c r="A7887" t="s">
        <v>41057</v>
      </c>
    </row>
    <row r="7888" spans="1:1">
      <c r="A7888" t="s">
        <v>41057</v>
      </c>
    </row>
    <row r="7889" spans="1:1">
      <c r="A7889" t="s">
        <v>41057</v>
      </c>
    </row>
    <row r="7890" spans="1:1">
      <c r="A7890" t="s">
        <v>41057</v>
      </c>
    </row>
    <row r="7891" spans="1:1">
      <c r="A7891" t="s">
        <v>48777</v>
      </c>
    </row>
    <row r="7892" spans="1:1">
      <c r="A7892" t="s">
        <v>48778</v>
      </c>
    </row>
    <row r="7893" spans="1:1">
      <c r="A7893" t="s">
        <v>41057</v>
      </c>
    </row>
    <row r="7894" spans="1:1">
      <c r="A7894" t="s">
        <v>41057</v>
      </c>
    </row>
    <row r="7895" spans="1:1">
      <c r="A7895" t="s">
        <v>41057</v>
      </c>
    </row>
    <row r="7896" spans="1:1">
      <c r="A7896" t="s">
        <v>48779</v>
      </c>
    </row>
    <row r="7897" spans="1:1">
      <c r="A7897" t="s">
        <v>41057</v>
      </c>
    </row>
    <row r="7898" spans="1:1">
      <c r="A7898" t="s">
        <v>41057</v>
      </c>
    </row>
    <row r="7899" spans="1:1">
      <c r="A7899" t="s">
        <v>41057</v>
      </c>
    </row>
    <row r="7900" spans="1:1">
      <c r="A7900" t="s">
        <v>41057</v>
      </c>
    </row>
    <row r="7901" spans="1:1">
      <c r="A7901" t="s">
        <v>41057</v>
      </c>
    </row>
    <row r="7902" spans="1:1">
      <c r="A7902" t="s">
        <v>41057</v>
      </c>
    </row>
    <row r="7903" spans="1:1">
      <c r="A7903" t="s">
        <v>41057</v>
      </c>
    </row>
    <row r="7904" spans="1:1">
      <c r="A7904" t="s">
        <v>41057</v>
      </c>
    </row>
    <row r="7905" spans="1:1">
      <c r="A7905" t="s">
        <v>41057</v>
      </c>
    </row>
    <row r="7906" spans="1:1">
      <c r="A7906" t="s">
        <v>41057</v>
      </c>
    </row>
    <row r="7907" spans="1:1">
      <c r="A7907" t="s">
        <v>41057</v>
      </c>
    </row>
    <row r="7908" spans="1:1">
      <c r="A7908" t="s">
        <v>48780</v>
      </c>
    </row>
    <row r="7909" spans="1:1">
      <c r="A7909" t="s">
        <v>41057</v>
      </c>
    </row>
    <row r="7910" spans="1:1">
      <c r="A7910" t="s">
        <v>41057</v>
      </c>
    </row>
    <row r="7911" spans="1:1">
      <c r="A7911" t="s">
        <v>41057</v>
      </c>
    </row>
    <row r="7912" spans="1:1">
      <c r="A7912" t="s">
        <v>41057</v>
      </c>
    </row>
    <row r="7913" spans="1:1">
      <c r="A7913" t="s">
        <v>41057</v>
      </c>
    </row>
    <row r="7914" spans="1:1">
      <c r="A7914" t="s">
        <v>41057</v>
      </c>
    </row>
    <row r="7915" spans="1:1">
      <c r="A7915" t="s">
        <v>41057</v>
      </c>
    </row>
    <row r="7916" spans="1:1">
      <c r="A7916" t="s">
        <v>41057</v>
      </c>
    </row>
    <row r="7917" spans="1:1">
      <c r="A7917" t="s">
        <v>41057</v>
      </c>
    </row>
    <row r="7918" spans="1:1">
      <c r="A7918" t="s">
        <v>41057</v>
      </c>
    </row>
    <row r="7919" spans="1:1">
      <c r="A7919" t="s">
        <v>41057</v>
      </c>
    </row>
    <row r="7920" spans="1:1">
      <c r="A7920" t="s">
        <v>41057</v>
      </c>
    </row>
    <row r="7921" spans="1:1">
      <c r="A7921" t="s">
        <v>48781</v>
      </c>
    </row>
    <row r="7922" spans="1:1">
      <c r="A7922" t="s">
        <v>41057</v>
      </c>
    </row>
    <row r="7923" spans="1:1">
      <c r="A7923" t="s">
        <v>41057</v>
      </c>
    </row>
    <row r="7924" spans="1:1">
      <c r="A7924" t="s">
        <v>41057</v>
      </c>
    </row>
    <row r="7925" spans="1:1">
      <c r="A7925" t="s">
        <v>41057</v>
      </c>
    </row>
    <row r="7926" spans="1:1">
      <c r="A7926" t="s">
        <v>41057</v>
      </c>
    </row>
    <row r="7927" spans="1:1">
      <c r="A7927" t="s">
        <v>41057</v>
      </c>
    </row>
    <row r="7928" spans="1:1">
      <c r="A7928" t="s">
        <v>41057</v>
      </c>
    </row>
    <row r="7929" spans="1:1">
      <c r="A7929" t="s">
        <v>41057</v>
      </c>
    </row>
    <row r="7930" spans="1:1">
      <c r="A7930" t="s">
        <v>41057</v>
      </c>
    </row>
    <row r="7931" spans="1:1">
      <c r="A7931" t="s">
        <v>41057</v>
      </c>
    </row>
    <row r="7932" spans="1:1">
      <c r="A7932" t="s">
        <v>41057</v>
      </c>
    </row>
    <row r="7933" spans="1:1">
      <c r="A7933" t="s">
        <v>41057</v>
      </c>
    </row>
    <row r="7934" spans="1:1">
      <c r="A7934" t="s">
        <v>41057</v>
      </c>
    </row>
    <row r="7935" spans="1:1">
      <c r="A7935" t="s">
        <v>41057</v>
      </c>
    </row>
    <row r="7936" spans="1:1">
      <c r="A7936" t="s">
        <v>45870</v>
      </c>
    </row>
    <row r="7937" spans="1:1">
      <c r="A7937" t="s">
        <v>44789</v>
      </c>
    </row>
    <row r="7938" spans="1:1">
      <c r="A7938" t="s">
        <v>41057</v>
      </c>
    </row>
    <row r="7939" spans="1:1">
      <c r="A7939" t="s">
        <v>48782</v>
      </c>
    </row>
    <row r="7940" spans="1:1">
      <c r="A7940" t="s">
        <v>48783</v>
      </c>
    </row>
    <row r="7941" spans="1:1">
      <c r="A7941" t="s">
        <v>48784</v>
      </c>
    </row>
    <row r="7942" spans="1:1">
      <c r="A7942" t="s">
        <v>48785</v>
      </c>
    </row>
    <row r="7943" spans="1:1">
      <c r="A7943" t="s">
        <v>48786</v>
      </c>
    </row>
    <row r="7944" spans="1:1">
      <c r="A7944" t="s">
        <v>48787</v>
      </c>
    </row>
    <row r="7945" spans="1:1">
      <c r="A7945" t="s">
        <v>48788</v>
      </c>
    </row>
    <row r="7946" spans="1:1">
      <c r="A7946" t="e" cm="1">
        <f t="array" ref="A7946">-----------------------------------------------------------T</f>
        <v>#NAME?</v>
      </c>
    </row>
    <row r="7947" spans="1:1">
      <c r="A7947" t="s">
        <v>48789</v>
      </c>
    </row>
    <row r="7948" spans="1:1">
      <c r="A7948" t="s">
        <v>48790</v>
      </c>
    </row>
    <row r="7949" spans="1:1">
      <c r="A7949" t="s">
        <v>48791</v>
      </c>
    </row>
    <row r="7950" spans="1:1">
      <c r="A7950" t="s">
        <v>48792</v>
      </c>
    </row>
    <row r="7951" spans="1:1">
      <c r="A7951" t="s">
        <v>48793</v>
      </c>
    </row>
    <row r="7952" spans="1:1">
      <c r="A7952" t="s">
        <v>48794</v>
      </c>
    </row>
    <row r="7953" spans="1:1">
      <c r="A7953" t="s">
        <v>48795</v>
      </c>
    </row>
    <row r="7954" spans="1:1">
      <c r="A7954" t="s">
        <v>48796</v>
      </c>
    </row>
    <row r="7955" spans="1:1">
      <c r="A7955" t="s">
        <v>48797</v>
      </c>
    </row>
    <row r="7956" spans="1:1">
      <c r="A7956" t="s">
        <v>48798</v>
      </c>
    </row>
    <row r="7957" spans="1:1">
      <c r="A7957" t="s">
        <v>41057</v>
      </c>
    </row>
    <row r="7958" spans="1:1">
      <c r="A7958" t="s">
        <v>41057</v>
      </c>
    </row>
    <row r="7959" spans="1:1">
      <c r="A7959" t="s">
        <v>41057</v>
      </c>
    </row>
    <row r="7960" spans="1:1">
      <c r="A7960" t="s">
        <v>48799</v>
      </c>
    </row>
    <row r="7961" spans="1:1">
      <c r="A7961" t="s">
        <v>48800</v>
      </c>
    </row>
    <row r="7962" spans="1:1">
      <c r="A7962" t="s">
        <v>45438</v>
      </c>
    </row>
    <row r="7963" spans="1:1">
      <c r="A7963" t="s">
        <v>48801</v>
      </c>
    </row>
    <row r="7964" spans="1:1">
      <c r="A7964" t="e" cm="1">
        <f t="array" ref="A7964">---DHRYLDGRA-----------------------------------------------A</f>
        <v>#NAME?</v>
      </c>
    </row>
    <row r="7965" spans="1:1">
      <c r="A7965" t="s">
        <v>48802</v>
      </c>
    </row>
    <row r="7966" spans="1:1">
      <c r="A7966" t="e" cm="1">
        <f t="array" ref="A7966">-------------------------------------YNGRPVEKNLTSSAYG-DNSYFY</f>
        <v>#NAME?</v>
      </c>
    </row>
    <row r="7967" spans="1:1">
      <c r="A7967" t="s">
        <v>48803</v>
      </c>
    </row>
    <row r="7968" spans="1:1">
      <c r="A7968" t="s">
        <v>48804</v>
      </c>
    </row>
    <row r="7969" spans="1:1">
      <c r="A7969" t="s">
        <v>41057</v>
      </c>
    </row>
    <row r="7970" spans="1:1">
      <c r="A7970" t="s">
        <v>42441</v>
      </c>
    </row>
    <row r="7971" spans="1:1">
      <c r="A7971" t="s">
        <v>48702</v>
      </c>
    </row>
    <row r="7972" spans="1:1">
      <c r="A7972" t="e" cm="1">
        <f t="array" ref="A7972">-------------------------KPHEI-------FRKQRE----------------E</f>
        <v>#NAME?</v>
      </c>
    </row>
    <row r="7973" spans="1:1">
      <c r="A7973" t="s">
        <v>48805</v>
      </c>
    </row>
    <row r="7974" spans="1:1">
      <c r="A7974" t="s">
        <v>41057</v>
      </c>
    </row>
    <row r="7975" spans="1:1">
      <c r="A7975" t="s">
        <v>46644</v>
      </c>
    </row>
    <row r="7976" spans="1:1">
      <c r="A7976" t="e" cm="1">
        <f t="array" ref="A7976">--------------YCIRDVE-----------------LP--------LRLAKKL-NNLN</f>
        <v>#NAME?</v>
      </c>
    </row>
    <row r="7977" spans="1:1">
      <c r="A7977" t="s">
        <v>48806</v>
      </c>
    </row>
    <row r="7978" spans="1:1">
      <c r="A7978" t="s">
        <v>48807</v>
      </c>
    </row>
    <row r="7979" spans="1:1">
      <c r="A7979" t="s">
        <v>41057</v>
      </c>
    </row>
    <row r="7980" spans="1:1">
      <c r="A7980" t="s">
        <v>48808</v>
      </c>
    </row>
    <row r="7981" spans="1:1">
      <c r="A7981" t="e" cm="1">
        <f t="array" ref="A7981">-----------IP-FV--------------------------------GATV-LEPSVGA</f>
        <v>#NAME?</v>
      </c>
    </row>
    <row r="7982" spans="1:1">
      <c r="A7982" t="s">
        <v>48809</v>
      </c>
    </row>
    <row r="7983" spans="1:1">
      <c r="A7983" t="s">
        <v>41057</v>
      </c>
    </row>
    <row r="7984" spans="1:1">
      <c r="A7984" t="s">
        <v>41057</v>
      </c>
    </row>
    <row r="7985" spans="1:1">
      <c r="A7985" t="s">
        <v>41057</v>
      </c>
    </row>
    <row r="7986" spans="1:1">
      <c r="A7986" t="s">
        <v>41057</v>
      </c>
    </row>
    <row r="7987" spans="1:1">
      <c r="A7987" t="s">
        <v>41057</v>
      </c>
    </row>
    <row r="7988" spans="1:1">
      <c r="A7988" t="s">
        <v>41057</v>
      </c>
    </row>
    <row r="7989" spans="1:1">
      <c r="A7989" t="s">
        <v>41057</v>
      </c>
    </row>
    <row r="7990" spans="1:1">
      <c r="A7990" t="s">
        <v>41057</v>
      </c>
    </row>
    <row r="7991" spans="1:1">
      <c r="A7991" t="s">
        <v>48810</v>
      </c>
    </row>
    <row r="7992" spans="1:1">
      <c r="A7992" t="s">
        <v>48811</v>
      </c>
    </row>
    <row r="7993" spans="1:1">
      <c r="A7993" t="s">
        <v>48150</v>
      </c>
    </row>
    <row r="7994" spans="1:1">
      <c r="A7994" t="s">
        <v>41057</v>
      </c>
    </row>
    <row r="7995" spans="1:1">
      <c r="A7995" t="s">
        <v>41057</v>
      </c>
    </row>
    <row r="7996" spans="1:1">
      <c r="A7996" t="s">
        <v>48812</v>
      </c>
    </row>
    <row r="7997" spans="1:1">
      <c r="A7997" t="s">
        <v>41057</v>
      </c>
    </row>
    <row r="7998" spans="1:1">
      <c r="A7998" t="s">
        <v>48813</v>
      </c>
    </row>
    <row r="7999" spans="1:1">
      <c r="A7999" t="s">
        <v>48814</v>
      </c>
    </row>
    <row r="8000" spans="1:1">
      <c r="A8000" t="s">
        <v>48815</v>
      </c>
    </row>
    <row r="8001" spans="1:1">
      <c r="A8001" t="s">
        <v>48816</v>
      </c>
    </row>
    <row r="8002" spans="1:1">
      <c r="A8002" t="s">
        <v>48817</v>
      </c>
    </row>
    <row r="8003" spans="1:1">
      <c r="A8003" t="s">
        <v>48818</v>
      </c>
    </row>
    <row r="8004" spans="1:1">
      <c r="A8004" t="s">
        <v>41057</v>
      </c>
    </row>
    <row r="8005" spans="1:1">
      <c r="A8005" t="s">
        <v>41057</v>
      </c>
    </row>
    <row r="8006" spans="1:1">
      <c r="A8006" t="s">
        <v>41057</v>
      </c>
    </row>
    <row r="8007" spans="1:1">
      <c r="A8007" t="s">
        <v>41057</v>
      </c>
    </row>
    <row r="8008" spans="1:1">
      <c r="A8008" t="s">
        <v>41057</v>
      </c>
    </row>
    <row r="8009" spans="1:1">
      <c r="A8009" t="s">
        <v>41057</v>
      </c>
    </row>
    <row r="8010" spans="1:1">
      <c r="A8010" t="s">
        <v>41057</v>
      </c>
    </row>
    <row r="8011" spans="1:1">
      <c r="A8011" t="s">
        <v>41057</v>
      </c>
    </row>
    <row r="8012" spans="1:1">
      <c r="A8012" t="s">
        <v>41057</v>
      </c>
    </row>
    <row r="8013" spans="1:1">
      <c r="A8013" t="s">
        <v>47847</v>
      </c>
    </row>
    <row r="8014" spans="1:1">
      <c r="A8014" t="s">
        <v>41057</v>
      </c>
    </row>
    <row r="8015" spans="1:1">
      <c r="A8015" t="s">
        <v>41057</v>
      </c>
    </row>
    <row r="8016" spans="1:1">
      <c r="A8016" t="s">
        <v>41057</v>
      </c>
    </row>
    <row r="8017" spans="1:1">
      <c r="A8017" t="s">
        <v>41057</v>
      </c>
    </row>
    <row r="8018" spans="1:1">
      <c r="A8018" t="s">
        <v>41057</v>
      </c>
    </row>
    <row r="8019" spans="1:1">
      <c r="A8019" t="s">
        <v>48819</v>
      </c>
    </row>
    <row r="8020" spans="1:1">
      <c r="A8020" t="s">
        <v>48820</v>
      </c>
    </row>
    <row r="8021" spans="1:1">
      <c r="A8021" t="s">
        <v>41057</v>
      </c>
    </row>
    <row r="8022" spans="1:1">
      <c r="A8022" t="s">
        <v>41057</v>
      </c>
    </row>
    <row r="8023" spans="1:1">
      <c r="A8023" t="s">
        <v>41057</v>
      </c>
    </row>
    <row r="8024" spans="1:1">
      <c r="A8024" t="s">
        <v>48821</v>
      </c>
    </row>
    <row r="8025" spans="1:1">
      <c r="A8025" t="s">
        <v>41057</v>
      </c>
    </row>
    <row r="8026" spans="1:1">
      <c r="A8026" t="s">
        <v>41057</v>
      </c>
    </row>
    <row r="8027" spans="1:1">
      <c r="A8027" t="s">
        <v>41057</v>
      </c>
    </row>
    <row r="8028" spans="1:1">
      <c r="A8028" t="s">
        <v>41057</v>
      </c>
    </row>
    <row r="8029" spans="1:1">
      <c r="A8029" t="s">
        <v>41057</v>
      </c>
    </row>
    <row r="8030" spans="1:1">
      <c r="A8030" t="s">
        <v>41057</v>
      </c>
    </row>
    <row r="8031" spans="1:1">
      <c r="A8031" t="s">
        <v>41057</v>
      </c>
    </row>
    <row r="8032" spans="1:1">
      <c r="A8032" t="s">
        <v>41057</v>
      </c>
    </row>
    <row r="8033" spans="1:1">
      <c r="A8033" t="s">
        <v>41057</v>
      </c>
    </row>
    <row r="8034" spans="1:1">
      <c r="A8034" t="s">
        <v>41057</v>
      </c>
    </row>
    <row r="8035" spans="1:1">
      <c r="A8035" t="s">
        <v>41057</v>
      </c>
    </row>
    <row r="8036" spans="1:1">
      <c r="A8036" t="e" cm="1">
        <f t="array" ref="A8036">-----------------------------------------------TDSV--------L</f>
        <v>#NAME?</v>
      </c>
    </row>
    <row r="8037" spans="1:1">
      <c r="A8037" t="s">
        <v>42524</v>
      </c>
    </row>
    <row r="8038" spans="1:1">
      <c r="A8038" t="s">
        <v>48822</v>
      </c>
    </row>
    <row r="8039" spans="1:1">
      <c r="A8039" t="e" cm="1">
        <f t="array" ref="A8039">--------ARD----------------------------LKA----HFQ----------A</f>
        <v>#NAME?</v>
      </c>
    </row>
    <row r="8040" spans="1:1">
      <c r="A8040" t="s">
        <v>48823</v>
      </c>
    </row>
    <row r="8041" spans="1:1">
      <c r="A8041" t="e" cm="1">
        <f t="array" ref="A8041">--------PN------ELEFEK-CYSPYLI----------Y-SKKRYT-----------G</f>
        <v>#NAME?</v>
      </c>
    </row>
    <row r="8042" spans="1:1">
      <c r="A8042" t="s">
        <v>48824</v>
      </c>
    </row>
    <row r="8043" spans="1:1">
      <c r="A8043" t="s">
        <v>48825</v>
      </c>
    </row>
    <row r="8044" spans="1:1">
      <c r="A8044" t="s">
        <v>48826</v>
      </c>
    </row>
    <row r="8045" spans="1:1">
      <c r="A8045" t="s">
        <v>48827</v>
      </c>
    </row>
    <row r="8046" spans="1:1">
      <c r="A8046" t="s">
        <v>48828</v>
      </c>
    </row>
    <row r="8047" spans="1:1">
      <c r="A8047" t="s">
        <v>48829</v>
      </c>
    </row>
    <row r="8048" spans="1:1">
      <c r="A8048" t="s">
        <v>48830</v>
      </c>
    </row>
    <row r="8049" spans="1:1">
      <c r="A8049" t="s">
        <v>48831</v>
      </c>
    </row>
    <row r="8050" spans="1:1">
      <c r="A8050" t="s">
        <v>48832</v>
      </c>
    </row>
    <row r="8051" spans="1:1">
      <c r="A8051" t="s">
        <v>48833</v>
      </c>
    </row>
    <row r="8052" spans="1:1">
      <c r="A8052" t="s">
        <v>48834</v>
      </c>
    </row>
    <row r="8053" spans="1:1">
      <c r="A8053" t="s">
        <v>41057</v>
      </c>
    </row>
    <row r="8054" spans="1:1">
      <c r="A8054" t="s">
        <v>48835</v>
      </c>
    </row>
    <row r="8055" spans="1:1">
      <c r="A8055" t="s">
        <v>48836</v>
      </c>
    </row>
    <row r="8056" spans="1:1">
      <c r="A8056" t="s">
        <v>48837</v>
      </c>
    </row>
    <row r="8057" spans="1:1">
      <c r="A8057" t="s">
        <v>48485</v>
      </c>
    </row>
    <row r="8058" spans="1:1">
      <c r="A8058" t="s">
        <v>48838</v>
      </c>
    </row>
    <row r="8059" spans="1:1">
      <c r="A8059" t="s">
        <v>48446</v>
      </c>
    </row>
    <row r="8060" spans="1:1">
      <c r="A8060" t="s">
        <v>48839</v>
      </c>
    </row>
    <row r="8061" spans="1:1">
      <c r="A8061" t="s">
        <v>41057</v>
      </c>
    </row>
    <row r="8062" spans="1:1">
      <c r="A8062" t="s">
        <v>41057</v>
      </c>
    </row>
    <row r="8063" spans="1:1">
      <c r="A8063" t="s">
        <v>41057</v>
      </c>
    </row>
    <row r="8064" spans="1:1">
      <c r="A8064" t="s">
        <v>45870</v>
      </c>
    </row>
    <row r="8065" spans="1:1">
      <c r="A8065" t="s">
        <v>45028</v>
      </c>
    </row>
    <row r="8066" spans="1:1">
      <c r="A8066" t="s">
        <v>41057</v>
      </c>
    </row>
    <row r="8067" spans="1:1">
      <c r="A8067" t="s">
        <v>48840</v>
      </c>
    </row>
    <row r="8068" spans="1:1">
      <c r="A8068" t="s">
        <v>48841</v>
      </c>
    </row>
    <row r="8069" spans="1:1">
      <c r="A8069" t="s">
        <v>48842</v>
      </c>
    </row>
    <row r="8070" spans="1:1">
      <c r="A8070" t="s">
        <v>41057</v>
      </c>
    </row>
    <row r="8071" spans="1:1">
      <c r="A8071" t="s">
        <v>41057</v>
      </c>
    </row>
    <row r="8072" spans="1:1">
      <c r="A8072" t="s">
        <v>41057</v>
      </c>
    </row>
    <row r="8073" spans="1:1">
      <c r="A8073" t="s">
        <v>41057</v>
      </c>
    </row>
    <row r="8074" spans="1:1">
      <c r="A8074" t="s">
        <v>41057</v>
      </c>
    </row>
    <row r="8075" spans="1:1">
      <c r="A8075" t="s">
        <v>41057</v>
      </c>
    </row>
    <row r="8076" spans="1:1">
      <c r="A8076" t="s">
        <v>48843</v>
      </c>
    </row>
    <row r="8077" spans="1:1">
      <c r="A8077" t="s">
        <v>41057</v>
      </c>
    </row>
    <row r="8078" spans="1:1">
      <c r="A8078" t="s">
        <v>41057</v>
      </c>
    </row>
    <row r="8079" spans="1:1">
      <c r="A8079" t="s">
        <v>41057</v>
      </c>
    </row>
    <row r="8080" spans="1:1">
      <c r="A8080" t="s">
        <v>41057</v>
      </c>
    </row>
    <row r="8081" spans="1:1">
      <c r="A8081" t="s">
        <v>41057</v>
      </c>
    </row>
    <row r="8082" spans="1:1">
      <c r="A8082" t="s">
        <v>41057</v>
      </c>
    </row>
    <row r="8083" spans="1:1">
      <c r="A8083" t="s">
        <v>48844</v>
      </c>
    </row>
    <row r="8084" spans="1:1">
      <c r="A8084" t="s">
        <v>48845</v>
      </c>
    </row>
    <row r="8085" spans="1:1">
      <c r="A8085" t="s">
        <v>41057</v>
      </c>
    </row>
    <row r="8086" spans="1:1">
      <c r="A8086" t="s">
        <v>41057</v>
      </c>
    </row>
    <row r="8087" spans="1:1">
      <c r="A8087" t="s">
        <v>41057</v>
      </c>
    </row>
    <row r="8088" spans="1:1">
      <c r="A8088" t="s">
        <v>41057</v>
      </c>
    </row>
    <row r="8089" spans="1:1">
      <c r="A8089" t="s">
        <v>48846</v>
      </c>
    </row>
    <row r="8090" spans="1:1">
      <c r="A8090" t="s">
        <v>48847</v>
      </c>
    </row>
    <row r="8091" spans="1:1">
      <c r="A8091" t="s">
        <v>48848</v>
      </c>
    </row>
    <row r="8092" spans="1:1">
      <c r="A8092" t="s">
        <v>41057</v>
      </c>
    </row>
    <row r="8093" spans="1:1">
      <c r="A8093" t="s">
        <v>41057</v>
      </c>
    </row>
    <row r="8094" spans="1:1">
      <c r="A8094" t="s">
        <v>41057</v>
      </c>
    </row>
    <row r="8095" spans="1:1">
      <c r="A8095" t="e" cm="1">
        <f t="array" ref="A8095">---------------------------------------E-L-KMES--------YTLDN</f>
        <v>#NAME?</v>
      </c>
    </row>
    <row r="8096" spans="1:1">
      <c r="A8096" t="s">
        <v>48849</v>
      </c>
    </row>
    <row r="8097" spans="1:1">
      <c r="A8097" t="s">
        <v>41057</v>
      </c>
    </row>
    <row r="8098" spans="1:1">
      <c r="A8098" t="s">
        <v>42441</v>
      </c>
    </row>
    <row r="8099" spans="1:1">
      <c r="A8099" t="s">
        <v>48702</v>
      </c>
    </row>
    <row r="8100" spans="1:1">
      <c r="A8100" t="e" cm="1">
        <f t="array" ref="A8100">-------------------------KPHDI-------FRKQRE----------------E</f>
        <v>#NAME?</v>
      </c>
    </row>
    <row r="8101" spans="1:1">
      <c r="A8101" t="s">
        <v>48805</v>
      </c>
    </row>
    <row r="8102" spans="1:1">
      <c r="A8102" t="s">
        <v>41057</v>
      </c>
    </row>
    <row r="8103" spans="1:1">
      <c r="A8103" t="s">
        <v>48850</v>
      </c>
    </row>
    <row r="8104" spans="1:1">
      <c r="A8104" t="e" cm="1">
        <f t="array" ref="A8104">--------------YCIRDVE-----------------LP--------LRLAAKL-NNLN</f>
        <v>#NAME?</v>
      </c>
    </row>
    <row r="8105" spans="1:1">
      <c r="A8105" t="s">
        <v>48851</v>
      </c>
    </row>
    <row r="8106" spans="1:1">
      <c r="A8106" t="s">
        <v>48852</v>
      </c>
    </row>
    <row r="8107" spans="1:1">
      <c r="A8107" t="s">
        <v>48853</v>
      </c>
    </row>
    <row r="8108" spans="1:1">
      <c r="A8108" t="s">
        <v>48854</v>
      </c>
    </row>
    <row r="8109" spans="1:1">
      <c r="A8109" t="e" cm="1">
        <f t="array" ref="A8109">-----------VP-FV--------------------------------GATV-LEPAVGA</f>
        <v>#NAME?</v>
      </c>
    </row>
    <row r="8110" spans="1:1">
      <c r="A8110" t="s">
        <v>48855</v>
      </c>
    </row>
    <row r="8111" spans="1:1">
      <c r="A8111" t="s">
        <v>41057</v>
      </c>
    </row>
    <row r="8112" spans="1:1">
      <c r="A8112" t="s">
        <v>41057</v>
      </c>
    </row>
    <row r="8113" spans="1:1">
      <c r="A8113" t="s">
        <v>41057</v>
      </c>
    </row>
    <row r="8114" spans="1:1">
      <c r="A8114" t="s">
        <v>41057</v>
      </c>
    </row>
    <row r="8115" spans="1:1">
      <c r="A8115" t="s">
        <v>41057</v>
      </c>
    </row>
    <row r="8116" spans="1:1">
      <c r="A8116" t="s">
        <v>41057</v>
      </c>
    </row>
    <row r="8117" spans="1:1">
      <c r="A8117" t="s">
        <v>41057</v>
      </c>
    </row>
    <row r="8118" spans="1:1">
      <c r="A8118" t="s">
        <v>41057</v>
      </c>
    </row>
    <row r="8119" spans="1:1">
      <c r="A8119" t="s">
        <v>48856</v>
      </c>
    </row>
    <row r="8120" spans="1:1">
      <c r="A8120" t="s">
        <v>48857</v>
      </c>
    </row>
    <row r="8121" spans="1:1">
      <c r="A8121" t="s">
        <v>48150</v>
      </c>
    </row>
    <row r="8122" spans="1:1">
      <c r="A8122" t="s">
        <v>41057</v>
      </c>
    </row>
    <row r="8123" spans="1:1">
      <c r="A8123" t="s">
        <v>41057</v>
      </c>
    </row>
    <row r="8124" spans="1:1">
      <c r="A8124" t="s">
        <v>48858</v>
      </c>
    </row>
    <row r="8125" spans="1:1">
      <c r="A8125" t="s">
        <v>41057</v>
      </c>
    </row>
    <row r="8126" spans="1:1">
      <c r="A8126" t="s">
        <v>48813</v>
      </c>
    </row>
    <row r="8127" spans="1:1">
      <c r="A8127" t="s">
        <v>48859</v>
      </c>
    </row>
    <row r="8128" spans="1:1">
      <c r="A8128" t="s">
        <v>48860</v>
      </c>
    </row>
    <row r="8129" spans="1:1">
      <c r="A8129" t="s">
        <v>48861</v>
      </c>
    </row>
    <row r="8130" spans="1:1">
      <c r="A8130" t="s">
        <v>48862</v>
      </c>
    </row>
    <row r="8131" spans="1:1">
      <c r="A8131" t="s">
        <v>48818</v>
      </c>
    </row>
    <row r="8132" spans="1:1">
      <c r="A8132" t="s">
        <v>41057</v>
      </c>
    </row>
    <row r="8133" spans="1:1">
      <c r="A8133" t="s">
        <v>41057</v>
      </c>
    </row>
    <row r="8134" spans="1:1">
      <c r="A8134" t="s">
        <v>41057</v>
      </c>
    </row>
    <row r="8135" spans="1:1">
      <c r="A8135" t="s">
        <v>41057</v>
      </c>
    </row>
    <row r="8136" spans="1:1">
      <c r="A8136" t="s">
        <v>41057</v>
      </c>
    </row>
    <row r="8137" spans="1:1">
      <c r="A8137" t="s">
        <v>41057</v>
      </c>
    </row>
    <row r="8138" spans="1:1">
      <c r="A8138" t="s">
        <v>41057</v>
      </c>
    </row>
    <row r="8139" spans="1:1">
      <c r="A8139" t="s">
        <v>41057</v>
      </c>
    </row>
    <row r="8140" spans="1:1">
      <c r="A8140" t="s">
        <v>41057</v>
      </c>
    </row>
    <row r="8141" spans="1:1">
      <c r="A8141" t="s">
        <v>47847</v>
      </c>
    </row>
    <row r="8142" spans="1:1">
      <c r="A8142" t="s">
        <v>41057</v>
      </c>
    </row>
    <row r="8143" spans="1:1">
      <c r="A8143" t="s">
        <v>41057</v>
      </c>
    </row>
    <row r="8144" spans="1:1">
      <c r="A8144" t="s">
        <v>41057</v>
      </c>
    </row>
    <row r="8145" spans="1:1">
      <c r="A8145" t="s">
        <v>41057</v>
      </c>
    </row>
    <row r="8146" spans="1:1">
      <c r="A8146" t="s">
        <v>41057</v>
      </c>
    </row>
    <row r="8147" spans="1:1">
      <c r="A8147" t="s">
        <v>48819</v>
      </c>
    </row>
    <row r="8148" spans="1:1">
      <c r="A8148" t="s">
        <v>48863</v>
      </c>
    </row>
    <row r="8149" spans="1:1">
      <c r="A8149" t="s">
        <v>41057</v>
      </c>
    </row>
    <row r="8150" spans="1:1">
      <c r="A8150" t="s">
        <v>41057</v>
      </c>
    </row>
    <row r="8151" spans="1:1">
      <c r="A8151" t="s">
        <v>41057</v>
      </c>
    </row>
    <row r="8152" spans="1:1">
      <c r="A8152" t="s">
        <v>48821</v>
      </c>
    </row>
    <row r="8153" spans="1:1">
      <c r="A8153" t="s">
        <v>41057</v>
      </c>
    </row>
    <row r="8154" spans="1:1">
      <c r="A8154" t="s">
        <v>41057</v>
      </c>
    </row>
    <row r="8155" spans="1:1">
      <c r="A8155" t="s">
        <v>41057</v>
      </c>
    </row>
    <row r="8156" spans="1:1">
      <c r="A8156" t="s">
        <v>41057</v>
      </c>
    </row>
    <row r="8157" spans="1:1">
      <c r="A8157" t="s">
        <v>41057</v>
      </c>
    </row>
    <row r="8158" spans="1:1">
      <c r="A8158" t="s">
        <v>41057</v>
      </c>
    </row>
    <row r="8159" spans="1:1">
      <c r="A8159" t="s">
        <v>41057</v>
      </c>
    </row>
    <row r="8160" spans="1:1">
      <c r="A8160" t="s">
        <v>41057</v>
      </c>
    </row>
    <row r="8161" spans="1:1">
      <c r="A8161" t="s">
        <v>41057</v>
      </c>
    </row>
    <row r="8162" spans="1:1">
      <c r="A8162" t="s">
        <v>41057</v>
      </c>
    </row>
    <row r="8163" spans="1:1">
      <c r="A8163" t="s">
        <v>41057</v>
      </c>
    </row>
    <row r="8164" spans="1:1">
      <c r="A8164" t="e" cm="1">
        <f t="array" ref="A8164">-----------------------------------------------TDSV--------L</f>
        <v>#NAME?</v>
      </c>
    </row>
    <row r="8165" spans="1:1">
      <c r="A8165" t="s">
        <v>42524</v>
      </c>
    </row>
    <row r="8166" spans="1:1">
      <c r="A8166" t="s">
        <v>48864</v>
      </c>
    </row>
    <row r="8167" spans="1:1">
      <c r="A8167" t="e" cm="1">
        <f t="array" ref="A8167">--------RRD----------------------------LDA----HFR----------A</f>
        <v>#NAME?</v>
      </c>
    </row>
    <row r="8168" spans="1:1">
      <c r="A8168" t="s">
        <v>48865</v>
      </c>
    </row>
    <row r="8169" spans="1:1">
      <c r="A8169" t="e" cm="1">
        <f t="array" ref="A8169">--------PN------ELEFEK-CYSPYII----------Y-SKKRYT-----------G</f>
        <v>#NAME?</v>
      </c>
    </row>
    <row r="8170" spans="1:1">
      <c r="A8170" t="s">
        <v>48866</v>
      </c>
    </row>
    <row r="8171" spans="1:1">
      <c r="A8171" t="s">
        <v>48867</v>
      </c>
    </row>
    <row r="8172" spans="1:1">
      <c r="A8172" t="s">
        <v>48868</v>
      </c>
    </row>
    <row r="8173" spans="1:1">
      <c r="A8173" t="s">
        <v>48869</v>
      </c>
    </row>
    <row r="8174" spans="1:1">
      <c r="A8174" t="s">
        <v>48870</v>
      </c>
    </row>
    <row r="8175" spans="1:1">
      <c r="A8175" t="s">
        <v>48871</v>
      </c>
    </row>
    <row r="8176" spans="1:1">
      <c r="A8176" t="s">
        <v>48830</v>
      </c>
    </row>
    <row r="8177" spans="1:1">
      <c r="A8177" t="s">
        <v>48872</v>
      </c>
    </row>
    <row r="8178" spans="1:1">
      <c r="A8178" t="s">
        <v>48873</v>
      </c>
    </row>
    <row r="8179" spans="1:1">
      <c r="A8179" t="s">
        <v>48874</v>
      </c>
    </row>
    <row r="8180" spans="1:1">
      <c r="A8180" t="s">
        <v>48875</v>
      </c>
    </row>
    <row r="8181" spans="1:1">
      <c r="A8181" t="s">
        <v>41057</v>
      </c>
    </row>
    <row r="8182" spans="1:1">
      <c r="A8182" t="s">
        <v>48876</v>
      </c>
    </row>
    <row r="8183" spans="1:1">
      <c r="A8183" t="s">
        <v>48877</v>
      </c>
    </row>
    <row r="8184" spans="1:1">
      <c r="A8184" t="s">
        <v>48878</v>
      </c>
    </row>
    <row r="8185" spans="1:1">
      <c r="A8185" t="s">
        <v>48485</v>
      </c>
    </row>
    <row r="8186" spans="1:1">
      <c r="A8186" t="s">
        <v>48879</v>
      </c>
    </row>
    <row r="8187" spans="1:1">
      <c r="A8187" t="s">
        <v>48446</v>
      </c>
    </row>
    <row r="8188" spans="1:1">
      <c r="A8188" t="s">
        <v>48880</v>
      </c>
    </row>
    <row r="8189" spans="1:1">
      <c r="A8189" t="s">
        <v>41057</v>
      </c>
    </row>
    <row r="8190" spans="1:1">
      <c r="A8190" t="s">
        <v>41057</v>
      </c>
    </row>
    <row r="8191" spans="1:1">
      <c r="A8191" t="s">
        <v>41057</v>
      </c>
    </row>
    <row r="8192" spans="1:1">
      <c r="A8192" t="s">
        <v>45870</v>
      </c>
    </row>
    <row r="8193" spans="1:1">
      <c r="A8193" t="s">
        <v>45401</v>
      </c>
    </row>
    <row r="8194" spans="1:1">
      <c r="A8194" t="s">
        <v>41057</v>
      </c>
    </row>
    <row r="8195" spans="1:1">
      <c r="A8195" t="s">
        <v>48881</v>
      </c>
    </row>
    <row r="8196" spans="1:1">
      <c r="A8196" t="s">
        <v>48882</v>
      </c>
    </row>
    <row r="8197" spans="1:1">
      <c r="A8197" t="s">
        <v>48883</v>
      </c>
    </row>
    <row r="8198" spans="1:1">
      <c r="A8198" t="s">
        <v>41057</v>
      </c>
    </row>
    <row r="8199" spans="1:1">
      <c r="A8199" t="s">
        <v>48884</v>
      </c>
    </row>
    <row r="8200" spans="1:1">
      <c r="A8200" t="s">
        <v>48885</v>
      </c>
    </row>
    <row r="8201" spans="1:1">
      <c r="A8201" t="s">
        <v>48886</v>
      </c>
    </row>
    <row r="8202" spans="1:1">
      <c r="A8202" t="e" cm="1">
        <f t="array" ref="A8202">-----------------------------------------------------------T</f>
        <v>#NAME?</v>
      </c>
    </row>
    <row r="8203" spans="1:1">
      <c r="A8203" t="s">
        <v>48887</v>
      </c>
    </row>
    <row r="8204" spans="1:1">
      <c r="A8204" t="s">
        <v>48888</v>
      </c>
    </row>
    <row r="8205" spans="1:1">
      <c r="A8205" t="s">
        <v>48889</v>
      </c>
    </row>
    <row r="8206" spans="1:1">
      <c r="A8206" t="s">
        <v>48890</v>
      </c>
    </row>
    <row r="8207" spans="1:1">
      <c r="A8207" t="s">
        <v>48891</v>
      </c>
    </row>
    <row r="8208" spans="1:1">
      <c r="A8208" t="s">
        <v>48892</v>
      </c>
    </row>
    <row r="8209" spans="1:1">
      <c r="A8209" t="s">
        <v>48893</v>
      </c>
    </row>
    <row r="8210" spans="1:1">
      <c r="A8210" t="s">
        <v>48894</v>
      </c>
    </row>
    <row r="8211" spans="1:1">
      <c r="A8211" t="s">
        <v>48895</v>
      </c>
    </row>
    <row r="8212" spans="1:1">
      <c r="A8212" t="s">
        <v>48896</v>
      </c>
    </row>
    <row r="8213" spans="1:1">
      <c r="A8213" t="s">
        <v>41057</v>
      </c>
    </row>
    <row r="8214" spans="1:1">
      <c r="A8214" t="s">
        <v>41057</v>
      </c>
    </row>
    <row r="8215" spans="1:1">
      <c r="A8215" t="s">
        <v>41057</v>
      </c>
    </row>
    <row r="8216" spans="1:1">
      <c r="A8216" t="s">
        <v>48897</v>
      </c>
    </row>
    <row r="8217" spans="1:1">
      <c r="A8217" t="s">
        <v>48898</v>
      </c>
    </row>
    <row r="8218" spans="1:1">
      <c r="A8218" t="s">
        <v>45438</v>
      </c>
    </row>
    <row r="8219" spans="1:1">
      <c r="A8219" t="s">
        <v>48899</v>
      </c>
    </row>
    <row r="8220" spans="1:1">
      <c r="A8220" t="e" cm="1">
        <f t="array" ref="A8220">---DHRYLDGRG-----------------------------------------------A</f>
        <v>#NAME?</v>
      </c>
    </row>
    <row r="8221" spans="1:1">
      <c r="A8221" t="s">
        <v>48900</v>
      </c>
    </row>
    <row r="8222" spans="1:1">
      <c r="A8222" t="e" cm="1">
        <f t="array" ref="A8222">--------------------------------------CGRPVEKNLTSSAYG-DNAYFY</f>
        <v>#NAME?</v>
      </c>
    </row>
    <row r="8223" spans="1:1">
      <c r="A8223" t="s">
        <v>48901</v>
      </c>
    </row>
    <row r="8224" spans="1:1">
      <c r="A8224" t="s">
        <v>48902</v>
      </c>
    </row>
    <row r="8225" spans="1:1">
      <c r="A8225" t="s">
        <v>41057</v>
      </c>
    </row>
    <row r="8226" spans="1:1">
      <c r="A8226" t="s">
        <v>42441</v>
      </c>
    </row>
    <row r="8227" spans="1:1">
      <c r="A8227" t="s">
        <v>48702</v>
      </c>
    </row>
    <row r="8228" spans="1:1">
      <c r="A8228" t="e" cm="1">
        <f t="array" ref="A8228">-------------------------KPHEI-------FRKQRE----------------E</f>
        <v>#NAME?</v>
      </c>
    </row>
    <row r="8229" spans="1:1">
      <c r="A8229" t="s">
        <v>48903</v>
      </c>
    </row>
    <row r="8230" spans="1:1">
      <c r="A8230" t="s">
        <v>41057</v>
      </c>
    </row>
    <row r="8231" spans="1:1">
      <c r="A8231" t="s">
        <v>48850</v>
      </c>
    </row>
    <row r="8232" spans="1:1">
      <c r="A8232" t="e" cm="1">
        <f t="array" ref="A8232">--------------YCIRDVE-----------------LP--------LRLAKKL-NNLN</f>
        <v>#NAME?</v>
      </c>
    </row>
    <row r="8233" spans="1:1">
      <c r="A8233" t="s">
        <v>48904</v>
      </c>
    </row>
    <row r="8234" spans="1:1">
      <c r="A8234" t="s">
        <v>48905</v>
      </c>
    </row>
    <row r="8235" spans="1:1">
      <c r="A8235" t="s">
        <v>41057</v>
      </c>
    </row>
    <row r="8236" spans="1:1">
      <c r="A8236" t="s">
        <v>48906</v>
      </c>
    </row>
    <row r="8237" spans="1:1">
      <c r="A8237" t="e" cm="1">
        <f t="array" ref="A8237">-----------TP-FV--------------------------------GATV-LEPVVGA</f>
        <v>#NAME?</v>
      </c>
    </row>
    <row r="8238" spans="1:1">
      <c r="A8238" t="s">
        <v>48907</v>
      </c>
    </row>
    <row r="8239" spans="1:1">
      <c r="A8239" t="s">
        <v>41057</v>
      </c>
    </row>
    <row r="8240" spans="1:1">
      <c r="A8240" t="s">
        <v>41057</v>
      </c>
    </row>
    <row r="8241" spans="1:1">
      <c r="A8241" t="s">
        <v>41057</v>
      </c>
    </row>
    <row r="8242" spans="1:1">
      <c r="A8242" t="s">
        <v>41057</v>
      </c>
    </row>
    <row r="8243" spans="1:1">
      <c r="A8243" t="s">
        <v>41057</v>
      </c>
    </row>
    <row r="8244" spans="1:1">
      <c r="A8244" t="s">
        <v>41057</v>
      </c>
    </row>
    <row r="8245" spans="1:1">
      <c r="A8245" t="s">
        <v>41057</v>
      </c>
    </row>
    <row r="8246" spans="1:1">
      <c r="A8246" t="s">
        <v>41057</v>
      </c>
    </row>
    <row r="8247" spans="1:1">
      <c r="A8247" t="s">
        <v>48908</v>
      </c>
    </row>
    <row r="8248" spans="1:1">
      <c r="A8248" t="s">
        <v>48909</v>
      </c>
    </row>
    <row r="8249" spans="1:1">
      <c r="A8249" t="s">
        <v>48150</v>
      </c>
    </row>
    <row r="8250" spans="1:1">
      <c r="A8250" t="s">
        <v>41057</v>
      </c>
    </row>
    <row r="8251" spans="1:1">
      <c r="A8251" t="s">
        <v>41057</v>
      </c>
    </row>
    <row r="8252" spans="1:1">
      <c r="A8252" t="s">
        <v>48910</v>
      </c>
    </row>
    <row r="8253" spans="1:1">
      <c r="A8253" t="s">
        <v>41057</v>
      </c>
    </row>
    <row r="8254" spans="1:1">
      <c r="A8254" t="s">
        <v>48911</v>
      </c>
    </row>
    <row r="8255" spans="1:1">
      <c r="A8255" t="s">
        <v>48814</v>
      </c>
    </row>
    <row r="8256" spans="1:1">
      <c r="A8256" t="s">
        <v>48912</v>
      </c>
    </row>
    <row r="8257" spans="1:1">
      <c r="A8257" t="s">
        <v>48913</v>
      </c>
    </row>
    <row r="8258" spans="1:1">
      <c r="A8258" t="s">
        <v>48862</v>
      </c>
    </row>
    <row r="8259" spans="1:1">
      <c r="A8259" t="s">
        <v>48818</v>
      </c>
    </row>
    <row r="8260" spans="1:1">
      <c r="A8260" t="s">
        <v>41057</v>
      </c>
    </row>
    <row r="8261" spans="1:1">
      <c r="A8261" t="s">
        <v>41057</v>
      </c>
    </row>
    <row r="8262" spans="1:1">
      <c r="A8262" t="s">
        <v>41057</v>
      </c>
    </row>
    <row r="8263" spans="1:1">
      <c r="A8263" t="s">
        <v>41057</v>
      </c>
    </row>
    <row r="8264" spans="1:1">
      <c r="A8264" t="s">
        <v>41057</v>
      </c>
    </row>
    <row r="8265" spans="1:1">
      <c r="A8265" t="s">
        <v>41057</v>
      </c>
    </row>
    <row r="8266" spans="1:1">
      <c r="A8266" t="s">
        <v>41057</v>
      </c>
    </row>
    <row r="8267" spans="1:1">
      <c r="A8267" t="s">
        <v>41057</v>
      </c>
    </row>
    <row r="8268" spans="1:1">
      <c r="A8268" t="s">
        <v>41057</v>
      </c>
    </row>
    <row r="8269" spans="1:1">
      <c r="A8269" t="s">
        <v>47847</v>
      </c>
    </row>
    <row r="8270" spans="1:1">
      <c r="A8270" t="s">
        <v>41057</v>
      </c>
    </row>
    <row r="8271" spans="1:1">
      <c r="A8271" t="s">
        <v>41057</v>
      </c>
    </row>
    <row r="8272" spans="1:1">
      <c r="A8272" t="s">
        <v>41057</v>
      </c>
    </row>
    <row r="8273" spans="1:1">
      <c r="A8273" t="s">
        <v>41057</v>
      </c>
    </row>
    <row r="8274" spans="1:1">
      <c r="A8274" t="s">
        <v>41057</v>
      </c>
    </row>
    <row r="8275" spans="1:1">
      <c r="A8275" t="s">
        <v>48819</v>
      </c>
    </row>
    <row r="8276" spans="1:1">
      <c r="A8276" t="s">
        <v>48914</v>
      </c>
    </row>
    <row r="8277" spans="1:1">
      <c r="A8277" t="s">
        <v>41057</v>
      </c>
    </row>
    <row r="8278" spans="1:1">
      <c r="A8278" t="s">
        <v>41057</v>
      </c>
    </row>
    <row r="8279" spans="1:1">
      <c r="A8279" t="s">
        <v>41057</v>
      </c>
    </row>
    <row r="8280" spans="1:1">
      <c r="A8280" t="e" cm="1">
        <f t="array" ref="A8280">-------------HRVVYGDSV------------AEYTPITVK-----YQNQVQIMTFGD</f>
        <v>#NAME?</v>
      </c>
    </row>
    <row r="8281" spans="1:1">
      <c r="A8281" t="s">
        <v>48915</v>
      </c>
    </row>
    <row r="8282" spans="1:1">
      <c r="A8282" t="s">
        <v>41057</v>
      </c>
    </row>
    <row r="8283" spans="1:1">
      <c r="A8283" t="s">
        <v>41057</v>
      </c>
    </row>
    <row r="8284" spans="1:1">
      <c r="A8284" t="s">
        <v>48916</v>
      </c>
    </row>
    <row r="8285" spans="1:1">
      <c r="A8285" t="s">
        <v>48917</v>
      </c>
    </row>
    <row r="8286" spans="1:1">
      <c r="A8286" t="s">
        <v>41057</v>
      </c>
    </row>
    <row r="8287" spans="1:1">
      <c r="A8287" t="s">
        <v>48918</v>
      </c>
    </row>
    <row r="8288" spans="1:1">
      <c r="A8288" t="s">
        <v>41057</v>
      </c>
    </row>
    <row r="8289" spans="1:1">
      <c r="A8289" t="s">
        <v>48919</v>
      </c>
    </row>
    <row r="8290" spans="1:1">
      <c r="A8290" t="s">
        <v>48920</v>
      </c>
    </row>
    <row r="8291" spans="1:1">
      <c r="A8291" t="s">
        <v>48921</v>
      </c>
    </row>
    <row r="8292" spans="1:1">
      <c r="A8292" t="e" cm="1">
        <f t="array" ref="A8292">-----------------NHHFAAGVG----DPMIVV---------HNTDSV--------L</f>
        <v>#NAME?</v>
      </c>
    </row>
    <row r="8293" spans="1:1">
      <c r="A8293" t="s">
        <v>42524</v>
      </c>
    </row>
    <row r="8294" spans="1:1">
      <c r="A8294" t="s">
        <v>48922</v>
      </c>
    </row>
    <row r="8295" spans="1:1">
      <c r="A8295" t="e" cm="1">
        <f t="array" ref="A8295">--------RRE----------------------------LAA----HFA----------A</f>
        <v>#NAME?</v>
      </c>
    </row>
    <row r="8296" spans="1:1">
      <c r="A8296" t="s">
        <v>48923</v>
      </c>
    </row>
    <row r="8297" spans="1:1">
      <c r="A8297" t="e" cm="1">
        <f t="array" ref="A8297">--------PN------ELEFEK-CYSPYLI----------Y-SKKRYT-----------G</f>
        <v>#NAME?</v>
      </c>
    </row>
    <row r="8298" spans="1:1">
      <c r="A8298" t="s">
        <v>48924</v>
      </c>
    </row>
    <row r="8299" spans="1:1">
      <c r="A8299" t="s">
        <v>48925</v>
      </c>
    </row>
    <row r="8300" spans="1:1">
      <c r="A8300" t="s">
        <v>48926</v>
      </c>
    </row>
    <row r="8301" spans="1:1">
      <c r="A8301" t="s">
        <v>48869</v>
      </c>
    </row>
    <row r="8302" spans="1:1">
      <c r="A8302" t="s">
        <v>48927</v>
      </c>
    </row>
    <row r="8303" spans="1:1">
      <c r="A8303" t="s">
        <v>48829</v>
      </c>
    </row>
    <row r="8304" spans="1:1">
      <c r="A8304" t="s">
        <v>48830</v>
      </c>
    </row>
    <row r="8305" spans="1:1">
      <c r="A8305" t="s">
        <v>48872</v>
      </c>
    </row>
    <row r="8306" spans="1:1">
      <c r="A8306" t="s">
        <v>48832</v>
      </c>
    </row>
    <row r="8307" spans="1:1">
      <c r="A8307" t="s">
        <v>48928</v>
      </c>
    </row>
    <row r="8308" spans="1:1">
      <c r="A8308" t="s">
        <v>48834</v>
      </c>
    </row>
    <row r="8309" spans="1:1">
      <c r="A8309" t="s">
        <v>41057</v>
      </c>
    </row>
    <row r="8310" spans="1:1">
      <c r="A8310" t="s">
        <v>48929</v>
      </c>
    </row>
    <row r="8311" spans="1:1">
      <c r="A8311" t="s">
        <v>48930</v>
      </c>
    </row>
    <row r="8312" spans="1:1">
      <c r="A8312" t="s">
        <v>48931</v>
      </c>
    </row>
    <row r="8313" spans="1:1">
      <c r="A8313" t="s">
        <v>48485</v>
      </c>
    </row>
    <row r="8314" spans="1:1">
      <c r="A8314" t="s">
        <v>48879</v>
      </c>
    </row>
    <row r="8315" spans="1:1">
      <c r="A8315" t="s">
        <v>48446</v>
      </c>
    </row>
    <row r="8316" spans="1:1">
      <c r="A8316" t="s">
        <v>48932</v>
      </c>
    </row>
    <row r="8317" spans="1:1">
      <c r="A8317" t="s">
        <v>41057</v>
      </c>
    </row>
    <row r="8318" spans="1:1">
      <c r="A8318" t="s">
        <v>41057</v>
      </c>
    </row>
    <row r="8319" spans="1:1">
      <c r="A8319" t="s">
        <v>41057</v>
      </c>
    </row>
    <row r="8320" spans="1:1">
      <c r="A8320" t="s">
        <v>45870</v>
      </c>
    </row>
    <row r="8321" spans="1:1">
      <c r="A8321" t="s">
        <v>44806</v>
      </c>
    </row>
    <row r="8322" spans="1:1">
      <c r="A8322" t="s">
        <v>41057</v>
      </c>
    </row>
    <row r="8323" spans="1:1">
      <c r="A8323" t="s">
        <v>41057</v>
      </c>
    </row>
    <row r="8324" spans="1:1">
      <c r="A8324" t="s">
        <v>41057</v>
      </c>
    </row>
    <row r="8325" spans="1:1">
      <c r="A8325" t="s">
        <v>41057</v>
      </c>
    </row>
    <row r="8326" spans="1:1">
      <c r="A8326" t="s">
        <v>41057</v>
      </c>
    </row>
    <row r="8327" spans="1:1">
      <c r="A8327" t="s">
        <v>48933</v>
      </c>
    </row>
    <row r="8328" spans="1:1">
      <c r="A8328" t="s">
        <v>48934</v>
      </c>
    </row>
    <row r="8329" spans="1:1">
      <c r="A8329" t="s">
        <v>48935</v>
      </c>
    </row>
    <row r="8330" spans="1:1">
      <c r="A8330" t="s">
        <v>42133</v>
      </c>
    </row>
    <row r="8331" spans="1:1">
      <c r="A8331" t="s">
        <v>48936</v>
      </c>
    </row>
    <row r="8332" spans="1:1">
      <c r="A8332" t="s">
        <v>48937</v>
      </c>
    </row>
    <row r="8333" spans="1:1">
      <c r="A8333" t="s">
        <v>48938</v>
      </c>
    </row>
    <row r="8334" spans="1:1">
      <c r="A8334" t="s">
        <v>48939</v>
      </c>
    </row>
    <row r="8335" spans="1:1">
      <c r="A8335" t="s">
        <v>48940</v>
      </c>
    </row>
    <row r="8336" spans="1:1">
      <c r="A8336" t="s">
        <v>48941</v>
      </c>
    </row>
    <row r="8337" spans="1:1">
      <c r="A8337" t="s">
        <v>48942</v>
      </c>
    </row>
    <row r="8338" spans="1:1">
      <c r="A8338" t="s">
        <v>48943</v>
      </c>
    </row>
    <row r="8339" spans="1:1">
      <c r="A8339" t="s">
        <v>48944</v>
      </c>
    </row>
    <row r="8340" spans="1:1">
      <c r="A8340" t="s">
        <v>48945</v>
      </c>
    </row>
    <row r="8341" spans="1:1">
      <c r="A8341" t="s">
        <v>41057</v>
      </c>
    </row>
    <row r="8342" spans="1:1">
      <c r="A8342" t="s">
        <v>41057</v>
      </c>
    </row>
    <row r="8343" spans="1:1">
      <c r="A8343" t="s">
        <v>41057</v>
      </c>
    </row>
    <row r="8344" spans="1:1">
      <c r="A8344" t="s">
        <v>48946</v>
      </c>
    </row>
    <row r="8345" spans="1:1">
      <c r="A8345" t="s">
        <v>48947</v>
      </c>
    </row>
    <row r="8346" spans="1:1">
      <c r="A8346" t="s">
        <v>45438</v>
      </c>
    </row>
    <row r="8347" spans="1:1">
      <c r="A8347" t="s">
        <v>48948</v>
      </c>
    </row>
    <row r="8348" spans="1:1">
      <c r="A8348" t="e" cm="1">
        <f t="array" ref="A8348">---DHTYIDGRA-----------------------------------------------V</f>
        <v>#NAME?</v>
      </c>
    </row>
    <row r="8349" spans="1:1">
      <c r="A8349" t="s">
        <v>48949</v>
      </c>
    </row>
    <row r="8350" spans="1:1">
      <c r="A8350" t="e" cm="1">
        <f t="array" ref="A8350">--------------------------------------SGKLIEKKLASSAYG-DNTYRY</f>
        <v>#NAME?</v>
      </c>
    </row>
    <row r="8351" spans="1:1">
      <c r="A8351" t="s">
        <v>48950</v>
      </c>
    </row>
    <row r="8352" spans="1:1">
      <c r="A8352" t="s">
        <v>48951</v>
      </c>
    </row>
    <row r="8353" spans="1:1">
      <c r="A8353" t="s">
        <v>41057</v>
      </c>
    </row>
    <row r="8354" spans="1:1">
      <c r="A8354" t="s">
        <v>48952</v>
      </c>
    </row>
    <row r="8355" spans="1:1">
      <c r="A8355" t="s">
        <v>48953</v>
      </c>
    </row>
    <row r="8356" spans="1:1">
      <c r="A8356" t="e" cm="1">
        <f t="array" ref="A8356">-------------------------KPWEM-------FAKFQE----------------I</f>
        <v>#NAME?</v>
      </c>
    </row>
    <row r="8357" spans="1:1">
      <c r="A8357" t="s">
        <v>48954</v>
      </c>
    </row>
    <row r="8358" spans="1:1">
      <c r="A8358" t="s">
        <v>41057</v>
      </c>
    </row>
    <row r="8359" spans="1:1">
      <c r="A8359" t="s">
        <v>47081</v>
      </c>
    </row>
    <row r="8360" spans="1:1">
      <c r="A8360" t="e" cm="1">
        <f t="array" ref="A8360">--------------YCVRDCE-----------------LP--------IKLVHKM-NQLN</f>
        <v>#NAME?</v>
      </c>
    </row>
    <row r="8361" spans="1:1">
      <c r="A8361" t="s">
        <v>48955</v>
      </c>
    </row>
    <row r="8362" spans="1:1">
      <c r="A8362" t="s">
        <v>48956</v>
      </c>
    </row>
    <row r="8363" spans="1:1">
      <c r="A8363" t="s">
        <v>41057</v>
      </c>
    </row>
    <row r="8364" spans="1:1">
      <c r="A8364" t="s">
        <v>48957</v>
      </c>
    </row>
    <row r="8365" spans="1:1">
      <c r="A8365" t="e" cm="1">
        <f t="array" ref="A8365">-----------LG-FT--------------------------------GAVV-LDPKSGG</f>
        <v>#NAME?</v>
      </c>
    </row>
    <row r="8366" spans="1:1">
      <c r="A8366" t="s">
        <v>48958</v>
      </c>
    </row>
    <row r="8367" spans="1:1">
      <c r="A8367" t="s">
        <v>41057</v>
      </c>
    </row>
    <row r="8368" spans="1:1">
      <c r="A8368" t="s">
        <v>41057</v>
      </c>
    </row>
    <row r="8369" spans="1:1">
      <c r="A8369" t="s">
        <v>41057</v>
      </c>
    </row>
    <row r="8370" spans="1:1">
      <c r="A8370" t="s">
        <v>41057</v>
      </c>
    </row>
    <row r="8371" spans="1:1">
      <c r="A8371" t="s">
        <v>41057</v>
      </c>
    </row>
    <row r="8372" spans="1:1">
      <c r="A8372" t="s">
        <v>41057</v>
      </c>
    </row>
    <row r="8373" spans="1:1">
      <c r="A8373" t="s">
        <v>41057</v>
      </c>
    </row>
    <row r="8374" spans="1:1">
      <c r="A8374" t="s">
        <v>41057</v>
      </c>
    </row>
    <row r="8375" spans="1:1">
      <c r="A8375" t="s">
        <v>48959</v>
      </c>
    </row>
    <row r="8376" spans="1:1">
      <c r="A8376" t="s">
        <v>48960</v>
      </c>
    </row>
    <row r="8377" spans="1:1">
      <c r="A8377" t="s">
        <v>48417</v>
      </c>
    </row>
    <row r="8378" spans="1:1">
      <c r="A8378" t="s">
        <v>41057</v>
      </c>
    </row>
    <row r="8379" spans="1:1">
      <c r="A8379" t="s">
        <v>41057</v>
      </c>
    </row>
    <row r="8380" spans="1:1">
      <c r="A8380" t="s">
        <v>48961</v>
      </c>
    </row>
    <row r="8381" spans="1:1">
      <c r="A8381" t="s">
        <v>41057</v>
      </c>
    </row>
    <row r="8382" spans="1:1">
      <c r="A8382" t="s">
        <v>48962</v>
      </c>
    </row>
    <row r="8383" spans="1:1">
      <c r="A8383" t="s">
        <v>48963</v>
      </c>
    </row>
    <row r="8384" spans="1:1">
      <c r="A8384" t="s">
        <v>48964</v>
      </c>
    </row>
    <row r="8385" spans="1:1">
      <c r="A8385" t="s">
        <v>48965</v>
      </c>
    </row>
    <row r="8386" spans="1:1">
      <c r="A8386" t="s">
        <v>48966</v>
      </c>
    </row>
    <row r="8387" spans="1:1">
      <c r="A8387" t="s">
        <v>48967</v>
      </c>
    </row>
    <row r="8388" spans="1:1">
      <c r="A8388" t="s">
        <v>41057</v>
      </c>
    </row>
    <row r="8389" spans="1:1">
      <c r="A8389" t="s">
        <v>41057</v>
      </c>
    </row>
    <row r="8390" spans="1:1">
      <c r="A8390" t="s">
        <v>41057</v>
      </c>
    </row>
    <row r="8391" spans="1:1">
      <c r="A8391" t="s">
        <v>41057</v>
      </c>
    </row>
    <row r="8392" spans="1:1">
      <c r="A8392" t="s">
        <v>41057</v>
      </c>
    </row>
    <row r="8393" spans="1:1">
      <c r="A8393" t="s">
        <v>41057</v>
      </c>
    </row>
    <row r="8394" spans="1:1">
      <c r="A8394" t="s">
        <v>41057</v>
      </c>
    </row>
    <row r="8395" spans="1:1">
      <c r="A8395" t="s">
        <v>41057</v>
      </c>
    </row>
    <row r="8396" spans="1:1">
      <c r="A8396" t="s">
        <v>41057</v>
      </c>
    </row>
    <row r="8397" spans="1:1">
      <c r="A8397" t="s">
        <v>48968</v>
      </c>
    </row>
    <row r="8398" spans="1:1">
      <c r="A8398" t="s">
        <v>41057</v>
      </c>
    </row>
    <row r="8399" spans="1:1">
      <c r="A8399" t="s">
        <v>41057</v>
      </c>
    </row>
    <row r="8400" spans="1:1">
      <c r="A8400" t="s">
        <v>41057</v>
      </c>
    </row>
    <row r="8401" spans="1:1">
      <c r="A8401" t="s">
        <v>41057</v>
      </c>
    </row>
    <row r="8402" spans="1:1">
      <c r="A8402" t="s">
        <v>41057</v>
      </c>
    </row>
    <row r="8403" spans="1:1">
      <c r="A8403" t="s">
        <v>48969</v>
      </c>
    </row>
    <row r="8404" spans="1:1">
      <c r="A8404" t="s">
        <v>48970</v>
      </c>
    </row>
    <row r="8405" spans="1:1">
      <c r="A8405" t="s">
        <v>41057</v>
      </c>
    </row>
    <row r="8406" spans="1:1">
      <c r="A8406" t="s">
        <v>41057</v>
      </c>
    </row>
    <row r="8407" spans="1:1">
      <c r="A8407" t="s">
        <v>41057</v>
      </c>
    </row>
    <row r="8408" spans="1:1">
      <c r="A8408" t="s">
        <v>48971</v>
      </c>
    </row>
    <row r="8409" spans="1:1">
      <c r="A8409" t="s">
        <v>41057</v>
      </c>
    </row>
    <row r="8410" spans="1:1">
      <c r="A8410" t="s">
        <v>41057</v>
      </c>
    </row>
    <row r="8411" spans="1:1">
      <c r="A8411" t="s">
        <v>41057</v>
      </c>
    </row>
    <row r="8412" spans="1:1">
      <c r="A8412" t="s">
        <v>41057</v>
      </c>
    </row>
    <row r="8413" spans="1:1">
      <c r="A8413" t="s">
        <v>41057</v>
      </c>
    </row>
    <row r="8414" spans="1:1">
      <c r="A8414" t="s">
        <v>41057</v>
      </c>
    </row>
    <row r="8415" spans="1:1">
      <c r="A8415" t="s">
        <v>41057</v>
      </c>
    </row>
    <row r="8416" spans="1:1">
      <c r="A8416" t="s">
        <v>41057</v>
      </c>
    </row>
    <row r="8417" spans="1:1">
      <c r="A8417" t="s">
        <v>41057</v>
      </c>
    </row>
    <row r="8418" spans="1:1">
      <c r="A8418" t="s">
        <v>41057</v>
      </c>
    </row>
    <row r="8419" spans="1:1">
      <c r="A8419" t="s">
        <v>41057</v>
      </c>
    </row>
    <row r="8420" spans="1:1">
      <c r="A8420" t="e" cm="1">
        <f t="array" ref="A8420">-----------------------------------------------TDSI--------L</f>
        <v>#NAME?</v>
      </c>
    </row>
    <row r="8421" spans="1:1">
      <c r="A8421" t="s">
        <v>42524</v>
      </c>
    </row>
    <row r="8422" spans="1:1">
      <c r="A8422" t="s">
        <v>48972</v>
      </c>
    </row>
    <row r="8423" spans="1:1">
      <c r="A8423" t="e" cm="1">
        <f t="array" ref="A8423">--------RQN----------------------------LKE----HFR----------V</f>
        <v>#NAME?</v>
      </c>
    </row>
    <row r="8424" spans="1:1">
      <c r="A8424" t="s">
        <v>48973</v>
      </c>
    </row>
    <row r="8425" spans="1:1">
      <c r="A8425" t="e" cm="1">
        <f t="array" ref="A8425">--------PH------ELEMEK-AYFPYLL----------V-TKKRYA-----------G</f>
        <v>#NAME?</v>
      </c>
    </row>
    <row r="8426" spans="1:1">
      <c r="A8426" t="s">
        <v>48974</v>
      </c>
    </row>
    <row r="8427" spans="1:1">
      <c r="A8427" t="s">
        <v>48975</v>
      </c>
    </row>
    <row r="8428" spans="1:1">
      <c r="A8428" t="s">
        <v>48976</v>
      </c>
    </row>
    <row r="8429" spans="1:1">
      <c r="A8429" t="s">
        <v>48977</v>
      </c>
    </row>
    <row r="8430" spans="1:1">
      <c r="A8430" t="s">
        <v>48978</v>
      </c>
    </row>
    <row r="8431" spans="1:1">
      <c r="A8431" t="s">
        <v>48979</v>
      </c>
    </row>
    <row r="8432" spans="1:1">
      <c r="A8432" t="s">
        <v>48980</v>
      </c>
    </row>
    <row r="8433" spans="1:1">
      <c r="A8433" t="s">
        <v>48981</v>
      </c>
    </row>
    <row r="8434" spans="1:1">
      <c r="A8434" t="s">
        <v>48982</v>
      </c>
    </row>
    <row r="8435" spans="1:1">
      <c r="A8435" t="s">
        <v>48983</v>
      </c>
    </row>
    <row r="8436" spans="1:1">
      <c r="A8436" t="s">
        <v>48984</v>
      </c>
    </row>
    <row r="8437" spans="1:1">
      <c r="A8437" t="s">
        <v>41057</v>
      </c>
    </row>
    <row r="8438" spans="1:1">
      <c r="A8438" t="s">
        <v>48985</v>
      </c>
    </row>
    <row r="8439" spans="1:1">
      <c r="A8439" t="s">
        <v>48986</v>
      </c>
    </row>
    <row r="8440" spans="1:1">
      <c r="A8440" t="s">
        <v>48987</v>
      </c>
    </row>
    <row r="8441" spans="1:1">
      <c r="A8441" t="s">
        <v>48485</v>
      </c>
    </row>
    <row r="8442" spans="1:1">
      <c r="A8442" t="s">
        <v>48988</v>
      </c>
    </row>
    <row r="8443" spans="1:1">
      <c r="A8443" t="s">
        <v>48446</v>
      </c>
    </row>
    <row r="8444" spans="1:1">
      <c r="A8444" t="s">
        <v>48989</v>
      </c>
    </row>
    <row r="8445" spans="1:1">
      <c r="A8445" t="s">
        <v>41057</v>
      </c>
    </row>
    <row r="8446" spans="1:1">
      <c r="A8446" t="s">
        <v>41057</v>
      </c>
    </row>
    <row r="8447" spans="1:1">
      <c r="A8447" t="s">
        <v>41057</v>
      </c>
    </row>
    <row r="8448" spans="1:1">
      <c r="A8448" t="s">
        <v>45870</v>
      </c>
    </row>
    <row r="8449" spans="1:1">
      <c r="A8449" t="s">
        <v>44840</v>
      </c>
    </row>
    <row r="8450" spans="1:1">
      <c r="A8450" t="s">
        <v>41057</v>
      </c>
    </row>
    <row r="8451" spans="1:1">
      <c r="A8451" t="s">
        <v>41057</v>
      </c>
    </row>
    <row r="8452" spans="1:1">
      <c r="A8452" t="s">
        <v>41057</v>
      </c>
    </row>
    <row r="8453" spans="1:1">
      <c r="A8453" t="s">
        <v>41057</v>
      </c>
    </row>
    <row r="8454" spans="1:1">
      <c r="A8454" t="s">
        <v>41057</v>
      </c>
    </row>
    <row r="8455" spans="1:1">
      <c r="A8455" t="s">
        <v>41057</v>
      </c>
    </row>
    <row r="8456" spans="1:1">
      <c r="A8456" t="s">
        <v>41057</v>
      </c>
    </row>
    <row r="8457" spans="1:1">
      <c r="A8457" t="s">
        <v>41057</v>
      </c>
    </row>
    <row r="8458" spans="1:1">
      <c r="A8458" t="s">
        <v>41057</v>
      </c>
    </row>
    <row r="8459" spans="1:1">
      <c r="A8459" t="s">
        <v>41057</v>
      </c>
    </row>
    <row r="8460" spans="1:1">
      <c r="A8460" t="s">
        <v>41057</v>
      </c>
    </row>
    <row r="8461" spans="1:1">
      <c r="A8461" t="s">
        <v>41057</v>
      </c>
    </row>
    <row r="8462" spans="1:1">
      <c r="A8462" t="s">
        <v>48990</v>
      </c>
    </row>
    <row r="8463" spans="1:1">
      <c r="A8463" t="s">
        <v>48991</v>
      </c>
    </row>
    <row r="8464" spans="1:1">
      <c r="A8464" t="s">
        <v>48992</v>
      </c>
    </row>
    <row r="8465" spans="1:1">
      <c r="A8465" t="s">
        <v>48993</v>
      </c>
    </row>
    <row r="8466" spans="1:1">
      <c r="A8466" t="s">
        <v>48994</v>
      </c>
    </row>
    <row r="8467" spans="1:1">
      <c r="A8467" t="s">
        <v>48995</v>
      </c>
    </row>
    <row r="8468" spans="1:1">
      <c r="A8468" t="s">
        <v>48996</v>
      </c>
    </row>
    <row r="8469" spans="1:1">
      <c r="A8469" t="s">
        <v>41057</v>
      </c>
    </row>
    <row r="8470" spans="1:1">
      <c r="A8470" t="s">
        <v>41057</v>
      </c>
    </row>
    <row r="8471" spans="1:1">
      <c r="A8471" t="s">
        <v>41057</v>
      </c>
    </row>
    <row r="8472" spans="1:1">
      <c r="A8472" t="s">
        <v>48946</v>
      </c>
    </row>
    <row r="8473" spans="1:1">
      <c r="A8473" t="s">
        <v>48997</v>
      </c>
    </row>
    <row r="8474" spans="1:1">
      <c r="A8474" t="s">
        <v>45438</v>
      </c>
    </row>
    <row r="8475" spans="1:1">
      <c r="A8475" t="s">
        <v>48998</v>
      </c>
    </row>
    <row r="8476" spans="1:1">
      <c r="A8476" t="e" cm="1">
        <f t="array" ref="A8476">---DHSYLDGRA-----------------------------------------------V</f>
        <v>#NAME?</v>
      </c>
    </row>
    <row r="8477" spans="1:1">
      <c r="A8477" t="s">
        <v>48999</v>
      </c>
    </row>
    <row r="8478" spans="1:1">
      <c r="A8478" t="e" cm="1">
        <f t="array" ref="A8478">--------------------------------------AGKLLEKQLASSAYG-DNTYRY</f>
        <v>#NAME?</v>
      </c>
    </row>
    <row r="8479" spans="1:1">
      <c r="A8479" t="s">
        <v>49000</v>
      </c>
    </row>
    <row r="8480" spans="1:1">
      <c r="A8480" t="s">
        <v>48951</v>
      </c>
    </row>
    <row r="8481" spans="1:1">
      <c r="A8481" t="s">
        <v>41057</v>
      </c>
    </row>
    <row r="8482" spans="1:1">
      <c r="A8482" t="s">
        <v>48952</v>
      </c>
    </row>
    <row r="8483" spans="1:1">
      <c r="A8483" t="s">
        <v>49001</v>
      </c>
    </row>
    <row r="8484" spans="1:1">
      <c r="A8484" t="e" cm="1">
        <f t="array" ref="A8484">-------------------------KPWEM-------FAKFRE----------------A</f>
        <v>#NAME?</v>
      </c>
    </row>
    <row r="8485" spans="1:1">
      <c r="A8485" t="s">
        <v>49002</v>
      </c>
    </row>
    <row r="8486" spans="1:1">
      <c r="A8486" t="s">
        <v>41057</v>
      </c>
    </row>
    <row r="8487" spans="1:1">
      <c r="A8487" t="s">
        <v>47081</v>
      </c>
    </row>
    <row r="8488" spans="1:1">
      <c r="A8488" t="e" cm="1">
        <f t="array" ref="A8488">--------------YCVRDCL-----------------LP--------IQLVHKM-NMLN</f>
        <v>#NAME?</v>
      </c>
    </row>
    <row r="8489" spans="1:1">
      <c r="A8489" t="s">
        <v>49003</v>
      </c>
    </row>
    <row r="8490" spans="1:1">
      <c r="A8490" t="s">
        <v>49004</v>
      </c>
    </row>
    <row r="8491" spans="1:1">
      <c r="A8491" t="s">
        <v>41057</v>
      </c>
    </row>
    <row r="8492" spans="1:1">
      <c r="A8492" t="s">
        <v>49005</v>
      </c>
    </row>
    <row r="8493" spans="1:1">
      <c r="A8493" t="e" cm="1">
        <f t="array" ref="A8493">-----------LG-FT--------------------------------GAVV-LDPKSGG</f>
        <v>#NAME?</v>
      </c>
    </row>
    <row r="8494" spans="1:1">
      <c r="A8494" t="s">
        <v>49006</v>
      </c>
    </row>
    <row r="8495" spans="1:1">
      <c r="A8495" t="s">
        <v>41057</v>
      </c>
    </row>
    <row r="8496" spans="1:1">
      <c r="A8496" t="s">
        <v>41057</v>
      </c>
    </row>
    <row r="8497" spans="1:1">
      <c r="A8497" t="s">
        <v>41057</v>
      </c>
    </row>
    <row r="8498" spans="1:1">
      <c r="A8498" t="s">
        <v>41057</v>
      </c>
    </row>
    <row r="8499" spans="1:1">
      <c r="A8499" t="s">
        <v>41057</v>
      </c>
    </row>
    <row r="8500" spans="1:1">
      <c r="A8500" t="s">
        <v>41057</v>
      </c>
    </row>
    <row r="8501" spans="1:1">
      <c r="A8501" t="s">
        <v>41057</v>
      </c>
    </row>
    <row r="8502" spans="1:1">
      <c r="A8502" t="s">
        <v>41057</v>
      </c>
    </row>
    <row r="8503" spans="1:1">
      <c r="A8503" t="s">
        <v>49007</v>
      </c>
    </row>
    <row r="8504" spans="1:1">
      <c r="A8504" t="s">
        <v>49008</v>
      </c>
    </row>
    <row r="8505" spans="1:1">
      <c r="A8505" t="s">
        <v>49009</v>
      </c>
    </row>
    <row r="8506" spans="1:1">
      <c r="A8506" t="s">
        <v>41057</v>
      </c>
    </row>
    <row r="8507" spans="1:1">
      <c r="A8507" t="s">
        <v>41057</v>
      </c>
    </row>
    <row r="8508" spans="1:1">
      <c r="A8508" t="s">
        <v>49010</v>
      </c>
    </row>
    <row r="8509" spans="1:1">
      <c r="A8509" t="s">
        <v>41057</v>
      </c>
    </row>
    <row r="8510" spans="1:1">
      <c r="A8510" t="s">
        <v>48962</v>
      </c>
    </row>
    <row r="8511" spans="1:1">
      <c r="A8511" t="s">
        <v>49011</v>
      </c>
    </row>
    <row r="8512" spans="1:1">
      <c r="A8512" t="s">
        <v>48964</v>
      </c>
    </row>
    <row r="8513" spans="1:1">
      <c r="A8513" t="s">
        <v>49012</v>
      </c>
    </row>
    <row r="8514" spans="1:1">
      <c r="A8514" t="s">
        <v>49013</v>
      </c>
    </row>
    <row r="8515" spans="1:1">
      <c r="A8515" t="s">
        <v>48967</v>
      </c>
    </row>
    <row r="8516" spans="1:1">
      <c r="A8516" t="s">
        <v>41057</v>
      </c>
    </row>
    <row r="8517" spans="1:1">
      <c r="A8517" t="s">
        <v>41057</v>
      </c>
    </row>
    <row r="8518" spans="1:1">
      <c r="A8518" t="s">
        <v>41057</v>
      </c>
    </row>
    <row r="8519" spans="1:1">
      <c r="A8519" t="s">
        <v>41057</v>
      </c>
    </row>
    <row r="8520" spans="1:1">
      <c r="A8520" t="s">
        <v>41057</v>
      </c>
    </row>
    <row r="8521" spans="1:1">
      <c r="A8521" t="s">
        <v>41057</v>
      </c>
    </row>
    <row r="8522" spans="1:1">
      <c r="A8522" t="s">
        <v>41057</v>
      </c>
    </row>
    <row r="8523" spans="1:1">
      <c r="A8523" t="s">
        <v>41057</v>
      </c>
    </row>
    <row r="8524" spans="1:1">
      <c r="A8524" t="s">
        <v>41057</v>
      </c>
    </row>
    <row r="8525" spans="1:1">
      <c r="A8525" t="s">
        <v>48968</v>
      </c>
    </row>
    <row r="8526" spans="1:1">
      <c r="A8526" t="s">
        <v>41057</v>
      </c>
    </row>
    <row r="8527" spans="1:1">
      <c r="A8527" t="s">
        <v>41057</v>
      </c>
    </row>
    <row r="8528" spans="1:1">
      <c r="A8528" t="s">
        <v>41057</v>
      </c>
    </row>
    <row r="8529" spans="1:1">
      <c r="A8529" t="s">
        <v>41057</v>
      </c>
    </row>
    <row r="8530" spans="1:1">
      <c r="A8530" t="s">
        <v>41057</v>
      </c>
    </row>
    <row r="8531" spans="1:1">
      <c r="A8531" t="s">
        <v>48969</v>
      </c>
    </row>
    <row r="8532" spans="1:1">
      <c r="A8532" t="s">
        <v>49014</v>
      </c>
    </row>
    <row r="8533" spans="1:1">
      <c r="A8533" t="s">
        <v>41057</v>
      </c>
    </row>
    <row r="8534" spans="1:1">
      <c r="A8534" t="s">
        <v>41057</v>
      </c>
    </row>
    <row r="8535" spans="1:1">
      <c r="A8535" t="s">
        <v>41057</v>
      </c>
    </row>
    <row r="8536" spans="1:1">
      <c r="A8536" t="e" cm="1">
        <f t="array" ref="A8536">-------------SKVVYGDSV------------AAWTPITIR-----TSTGIDIVTFED</f>
        <v>#NAME?</v>
      </c>
    </row>
    <row r="8537" spans="1:1">
      <c r="A8537" t="s">
        <v>49015</v>
      </c>
    </row>
    <row r="8538" spans="1:1">
      <c r="A8538" t="s">
        <v>41057</v>
      </c>
    </row>
    <row r="8539" spans="1:1">
      <c r="A8539" t="s">
        <v>41057</v>
      </c>
    </row>
    <row r="8540" spans="1:1">
      <c r="A8540" t="s">
        <v>49016</v>
      </c>
    </row>
    <row r="8541" spans="1:1">
      <c r="A8541" t="s">
        <v>49017</v>
      </c>
    </row>
    <row r="8542" spans="1:1">
      <c r="A8542" t="s">
        <v>41057</v>
      </c>
    </row>
    <row r="8543" spans="1:1">
      <c r="A8543" t="s">
        <v>49018</v>
      </c>
    </row>
    <row r="8544" spans="1:1">
      <c r="A8544" t="s">
        <v>41057</v>
      </c>
    </row>
    <row r="8545" spans="1:1">
      <c r="A8545" t="s">
        <v>49019</v>
      </c>
    </row>
    <row r="8546" spans="1:1">
      <c r="A8546" t="s">
        <v>49020</v>
      </c>
    </row>
    <row r="8547" spans="1:1">
      <c r="A8547" t="s">
        <v>49021</v>
      </c>
    </row>
    <row r="8548" spans="1:1">
      <c r="A8548" t="e" cm="1">
        <f t="array" ref="A8548">-----------------NHHFAAGVG----D--LVV---------HNTDSV--------L</f>
        <v>#NAME?</v>
      </c>
    </row>
    <row r="8549" spans="1:1">
      <c r="A8549" t="s">
        <v>42524</v>
      </c>
    </row>
    <row r="8550" spans="1:1">
      <c r="A8550" t="s">
        <v>49022</v>
      </c>
    </row>
    <row r="8551" spans="1:1">
      <c r="A8551" t="e" cm="1">
        <f t="array" ref="A8551">--------RQD----------------------------LNE----HFR----------V</f>
        <v>#NAME?</v>
      </c>
    </row>
    <row r="8552" spans="1:1">
      <c r="A8552" t="s">
        <v>49023</v>
      </c>
    </row>
    <row r="8553" spans="1:1">
      <c r="A8553" t="e" cm="1">
        <f t="array" ref="A8553">--------PH------ELEMEK-AYFPYLL----------V-TKKRYA-----------G</f>
        <v>#NAME?</v>
      </c>
    </row>
    <row r="8554" spans="1:1">
      <c r="A8554" t="s">
        <v>49024</v>
      </c>
    </row>
    <row r="8555" spans="1:1">
      <c r="A8555" t="s">
        <v>49025</v>
      </c>
    </row>
    <row r="8556" spans="1:1">
      <c r="A8556" t="s">
        <v>49026</v>
      </c>
    </row>
    <row r="8557" spans="1:1">
      <c r="A8557" t="s">
        <v>49027</v>
      </c>
    </row>
    <row r="8558" spans="1:1">
      <c r="A8558" t="s">
        <v>49028</v>
      </c>
    </row>
    <row r="8559" spans="1:1">
      <c r="A8559" t="s">
        <v>48979</v>
      </c>
    </row>
    <row r="8560" spans="1:1">
      <c r="A8560" t="s">
        <v>49029</v>
      </c>
    </row>
    <row r="8561" spans="1:1">
      <c r="A8561" t="s">
        <v>49030</v>
      </c>
    </row>
    <row r="8562" spans="1:1">
      <c r="A8562" t="s">
        <v>49031</v>
      </c>
    </row>
    <row r="8563" spans="1:1">
      <c r="A8563" t="s">
        <v>49032</v>
      </c>
    </row>
    <row r="8564" spans="1:1">
      <c r="A8564" t="s">
        <v>48984</v>
      </c>
    </row>
    <row r="8565" spans="1:1">
      <c r="A8565" t="s">
        <v>41057</v>
      </c>
    </row>
    <row r="8566" spans="1:1">
      <c r="A8566" t="s">
        <v>49033</v>
      </c>
    </row>
    <row r="8567" spans="1:1">
      <c r="A8567" t="s">
        <v>49034</v>
      </c>
    </row>
    <row r="8568" spans="1:1">
      <c r="A8568" t="s">
        <v>48987</v>
      </c>
    </row>
    <row r="8569" spans="1:1">
      <c r="A8569" t="s">
        <v>48485</v>
      </c>
    </row>
    <row r="8570" spans="1:1">
      <c r="A8570" t="s">
        <v>49035</v>
      </c>
    </row>
    <row r="8571" spans="1:1">
      <c r="A8571" t="s">
        <v>48446</v>
      </c>
    </row>
    <row r="8572" spans="1:1">
      <c r="A8572" t="s">
        <v>48989</v>
      </c>
    </row>
    <row r="8573" spans="1:1">
      <c r="A8573" t="s">
        <v>41057</v>
      </c>
    </row>
    <row r="8574" spans="1:1">
      <c r="A8574" t="s">
        <v>41057</v>
      </c>
    </row>
    <row r="8575" spans="1:1">
      <c r="A8575" t="s">
        <v>41057</v>
      </c>
    </row>
    <row r="8576" spans="1:1">
      <c r="A8576" t="s">
        <v>45870</v>
      </c>
    </row>
    <row r="8577" spans="1:1">
      <c r="A8577" t="s">
        <v>45083</v>
      </c>
    </row>
    <row r="8578" spans="1:1">
      <c r="A8578" t="s">
        <v>45084</v>
      </c>
    </row>
    <row r="8579" spans="1:1">
      <c r="A8579" t="s">
        <v>49036</v>
      </c>
    </row>
    <row r="8580" spans="1:1">
      <c r="A8580" t="s">
        <v>49037</v>
      </c>
    </row>
    <row r="8581" spans="1:1">
      <c r="A8581" t="s">
        <v>49038</v>
      </c>
    </row>
    <row r="8582" spans="1:1">
      <c r="A8582" t="s">
        <v>49039</v>
      </c>
    </row>
    <row r="8583" spans="1:1">
      <c r="A8583" t="s">
        <v>49040</v>
      </c>
    </row>
    <row r="8584" spans="1:1">
      <c r="A8584" t="s">
        <v>48934</v>
      </c>
    </row>
    <row r="8585" spans="1:1">
      <c r="A8585" t="s">
        <v>49041</v>
      </c>
    </row>
    <row r="8586" spans="1:1">
      <c r="A8586" t="s">
        <v>42133</v>
      </c>
    </row>
    <row r="8587" spans="1:1">
      <c r="A8587" t="s">
        <v>49042</v>
      </c>
    </row>
    <row r="8588" spans="1:1">
      <c r="A8588" t="s">
        <v>49043</v>
      </c>
    </row>
    <row r="8589" spans="1:1">
      <c r="A8589" t="s">
        <v>49044</v>
      </c>
    </row>
    <row r="8590" spans="1:1">
      <c r="A8590" t="s">
        <v>49045</v>
      </c>
    </row>
    <row r="8591" spans="1:1">
      <c r="A8591" t="s">
        <v>49046</v>
      </c>
    </row>
    <row r="8592" spans="1:1">
      <c r="A8592" t="s">
        <v>48992</v>
      </c>
    </row>
    <row r="8593" spans="1:1">
      <c r="A8593" t="s">
        <v>48993</v>
      </c>
    </row>
    <row r="8594" spans="1:1">
      <c r="A8594" t="s">
        <v>49047</v>
      </c>
    </row>
    <row r="8595" spans="1:1">
      <c r="A8595" t="s">
        <v>49048</v>
      </c>
    </row>
    <row r="8596" spans="1:1">
      <c r="A8596" t="s">
        <v>48996</v>
      </c>
    </row>
    <row r="8597" spans="1:1">
      <c r="A8597" t="s">
        <v>41057</v>
      </c>
    </row>
    <row r="8598" spans="1:1">
      <c r="A8598" t="s">
        <v>41057</v>
      </c>
    </row>
    <row r="8599" spans="1:1">
      <c r="A8599" t="s">
        <v>41057</v>
      </c>
    </row>
    <row r="8600" spans="1:1">
      <c r="A8600" t="s">
        <v>48946</v>
      </c>
    </row>
    <row r="8601" spans="1:1">
      <c r="A8601" t="s">
        <v>49049</v>
      </c>
    </row>
    <row r="8602" spans="1:1">
      <c r="A8602" t="s">
        <v>45438</v>
      </c>
    </row>
    <row r="8603" spans="1:1">
      <c r="A8603" t="s">
        <v>49050</v>
      </c>
    </row>
    <row r="8604" spans="1:1">
      <c r="A8604" t="e" cm="1">
        <f t="array" ref="A8604">---DHSYLDGRA-----------------------------------------------V</f>
        <v>#NAME?</v>
      </c>
    </row>
    <row r="8605" spans="1:1">
      <c r="A8605" t="s">
        <v>48999</v>
      </c>
    </row>
    <row r="8606" spans="1:1">
      <c r="A8606" t="e" cm="1">
        <f t="array" ref="A8606">--------------------------------------AGKLVEKQLASSAYG-DNTYRY</f>
        <v>#NAME?</v>
      </c>
    </row>
    <row r="8607" spans="1:1">
      <c r="A8607" t="s">
        <v>49000</v>
      </c>
    </row>
    <row r="8608" spans="1:1">
      <c r="A8608" t="s">
        <v>48951</v>
      </c>
    </row>
    <row r="8609" spans="1:1">
      <c r="A8609" t="s">
        <v>41057</v>
      </c>
    </row>
    <row r="8610" spans="1:1">
      <c r="A8610" t="s">
        <v>48952</v>
      </c>
    </row>
    <row r="8611" spans="1:1">
      <c r="A8611" t="s">
        <v>49001</v>
      </c>
    </row>
    <row r="8612" spans="1:1">
      <c r="A8612" t="e" cm="1">
        <f t="array" ref="A8612">-------------------------KPWEM-------FAKFRE----------------S</f>
        <v>#NAME?</v>
      </c>
    </row>
    <row r="8613" spans="1:1">
      <c r="A8613" t="s">
        <v>49002</v>
      </c>
    </row>
    <row r="8614" spans="1:1">
      <c r="A8614" t="s">
        <v>41057</v>
      </c>
    </row>
    <row r="8615" spans="1:1">
      <c r="A8615" t="s">
        <v>47081</v>
      </c>
    </row>
    <row r="8616" spans="1:1">
      <c r="A8616" t="e" cm="1">
        <f t="array" ref="A8616">--------------YCVRDCL-----------------LP--------IQLVHKM-NMLN</f>
        <v>#NAME?</v>
      </c>
    </row>
    <row r="8617" spans="1:1">
      <c r="A8617" t="s">
        <v>49051</v>
      </c>
    </row>
    <row r="8618" spans="1:1">
      <c r="A8618" t="s">
        <v>49052</v>
      </c>
    </row>
    <row r="8619" spans="1:1">
      <c r="A8619" t="s">
        <v>41057</v>
      </c>
    </row>
    <row r="8620" spans="1:1">
      <c r="A8620" t="s">
        <v>49053</v>
      </c>
    </row>
    <row r="8621" spans="1:1">
      <c r="A8621" t="e" cm="1">
        <f t="array" ref="A8621">-----------LG-FT--------------------------------GAVV-LDPKSGG</f>
        <v>#NAME?</v>
      </c>
    </row>
    <row r="8622" spans="1:1">
      <c r="A8622" t="s">
        <v>49006</v>
      </c>
    </row>
    <row r="8623" spans="1:1">
      <c r="A8623" t="s">
        <v>41057</v>
      </c>
    </row>
    <row r="8624" spans="1:1">
      <c r="A8624" t="s">
        <v>41057</v>
      </c>
    </row>
    <row r="8625" spans="1:1">
      <c r="A8625" t="s">
        <v>41057</v>
      </c>
    </row>
    <row r="8626" spans="1:1">
      <c r="A8626" t="s">
        <v>41057</v>
      </c>
    </row>
    <row r="8627" spans="1:1">
      <c r="A8627" t="s">
        <v>41057</v>
      </c>
    </row>
    <row r="8628" spans="1:1">
      <c r="A8628" t="s">
        <v>41057</v>
      </c>
    </row>
    <row r="8629" spans="1:1">
      <c r="A8629" t="s">
        <v>41057</v>
      </c>
    </row>
    <row r="8630" spans="1:1">
      <c r="A8630" t="s">
        <v>41057</v>
      </c>
    </row>
    <row r="8631" spans="1:1">
      <c r="A8631" t="s">
        <v>48959</v>
      </c>
    </row>
    <row r="8632" spans="1:1">
      <c r="A8632" t="s">
        <v>49054</v>
      </c>
    </row>
    <row r="8633" spans="1:1">
      <c r="A8633" t="s">
        <v>49055</v>
      </c>
    </row>
    <row r="8634" spans="1:1">
      <c r="A8634" t="s">
        <v>41057</v>
      </c>
    </row>
    <row r="8635" spans="1:1">
      <c r="A8635" t="s">
        <v>41057</v>
      </c>
    </row>
    <row r="8636" spans="1:1">
      <c r="A8636" t="s">
        <v>49010</v>
      </c>
    </row>
    <row r="8637" spans="1:1">
      <c r="A8637" t="s">
        <v>41057</v>
      </c>
    </row>
    <row r="8638" spans="1:1">
      <c r="A8638" t="s">
        <v>48962</v>
      </c>
    </row>
    <row r="8639" spans="1:1">
      <c r="A8639" t="s">
        <v>48963</v>
      </c>
    </row>
    <row r="8640" spans="1:1">
      <c r="A8640" t="s">
        <v>48964</v>
      </c>
    </row>
    <row r="8641" spans="1:1">
      <c r="A8641" t="s">
        <v>49056</v>
      </c>
    </row>
    <row r="8642" spans="1:1">
      <c r="A8642" t="s">
        <v>49057</v>
      </c>
    </row>
    <row r="8643" spans="1:1">
      <c r="A8643" t="s">
        <v>48967</v>
      </c>
    </row>
    <row r="8644" spans="1:1">
      <c r="A8644" t="s">
        <v>41057</v>
      </c>
    </row>
    <row r="8645" spans="1:1">
      <c r="A8645" t="s">
        <v>41057</v>
      </c>
    </row>
    <row r="8646" spans="1:1">
      <c r="A8646" t="s">
        <v>41057</v>
      </c>
    </row>
    <row r="8647" spans="1:1">
      <c r="A8647" t="s">
        <v>41057</v>
      </c>
    </row>
    <row r="8648" spans="1:1">
      <c r="A8648" t="s">
        <v>41057</v>
      </c>
    </row>
    <row r="8649" spans="1:1">
      <c r="A8649" t="s">
        <v>41057</v>
      </c>
    </row>
    <row r="8650" spans="1:1">
      <c r="A8650" t="s">
        <v>41057</v>
      </c>
    </row>
    <row r="8651" spans="1:1">
      <c r="A8651" t="s">
        <v>41057</v>
      </c>
    </row>
    <row r="8652" spans="1:1">
      <c r="A8652" t="s">
        <v>41057</v>
      </c>
    </row>
    <row r="8653" spans="1:1">
      <c r="A8653" t="s">
        <v>48968</v>
      </c>
    </row>
    <row r="8654" spans="1:1">
      <c r="A8654" t="s">
        <v>41057</v>
      </c>
    </row>
    <row r="8655" spans="1:1">
      <c r="A8655" t="s">
        <v>41057</v>
      </c>
    </row>
    <row r="8656" spans="1:1">
      <c r="A8656" t="s">
        <v>41057</v>
      </c>
    </row>
    <row r="8657" spans="1:1">
      <c r="A8657" t="s">
        <v>41057</v>
      </c>
    </row>
    <row r="8658" spans="1:1">
      <c r="A8658" t="s">
        <v>41057</v>
      </c>
    </row>
    <row r="8659" spans="1:1">
      <c r="A8659" t="s">
        <v>48969</v>
      </c>
    </row>
    <row r="8660" spans="1:1">
      <c r="A8660" t="s">
        <v>49014</v>
      </c>
    </row>
    <row r="8661" spans="1:1">
      <c r="A8661" t="s">
        <v>41057</v>
      </c>
    </row>
    <row r="8662" spans="1:1">
      <c r="A8662" t="s">
        <v>41057</v>
      </c>
    </row>
    <row r="8663" spans="1:1">
      <c r="A8663" t="s">
        <v>41057</v>
      </c>
    </row>
    <row r="8664" spans="1:1">
      <c r="A8664" t="e" cm="1">
        <f t="array" ref="A8664">-------------STVVYGDSV------------AAWTPITIR-----YHGQMDIVTFDD</f>
        <v>#NAME?</v>
      </c>
    </row>
    <row r="8665" spans="1:1">
      <c r="A8665" t="s">
        <v>49058</v>
      </c>
    </row>
    <row r="8666" spans="1:1">
      <c r="A8666" t="s">
        <v>41057</v>
      </c>
    </row>
    <row r="8667" spans="1:1">
      <c r="A8667" t="s">
        <v>41057</v>
      </c>
    </row>
    <row r="8668" spans="1:1">
      <c r="A8668" t="s">
        <v>49059</v>
      </c>
    </row>
    <row r="8669" spans="1:1">
      <c r="A8669" t="s">
        <v>49060</v>
      </c>
    </row>
    <row r="8670" spans="1:1">
      <c r="A8670" t="s">
        <v>49061</v>
      </c>
    </row>
    <row r="8671" spans="1:1">
      <c r="A8671" t="s">
        <v>49062</v>
      </c>
    </row>
    <row r="8672" spans="1:1">
      <c r="A8672" t="s">
        <v>49063</v>
      </c>
    </row>
    <row r="8673" spans="1:1">
      <c r="A8673" t="s">
        <v>49064</v>
      </c>
    </row>
    <row r="8674" spans="1:1">
      <c r="A8674" t="s">
        <v>49065</v>
      </c>
    </row>
    <row r="8675" spans="1:1">
      <c r="A8675" t="s">
        <v>49066</v>
      </c>
    </row>
    <row r="8676" spans="1:1">
      <c r="A8676" t="e" cm="1">
        <f t="array" ref="A8676">-----------------NHHFAAGVG----D--LVV---------HNTDSV--------L</f>
        <v>#NAME?</v>
      </c>
    </row>
    <row r="8677" spans="1:1">
      <c r="A8677" t="s">
        <v>42524</v>
      </c>
    </row>
    <row r="8678" spans="1:1">
      <c r="A8678" t="s">
        <v>49067</v>
      </c>
    </row>
    <row r="8679" spans="1:1">
      <c r="A8679" t="e" cm="1">
        <f t="array" ref="A8679">--------RQN----------------------------LNE----HFR----------V</f>
        <v>#NAME?</v>
      </c>
    </row>
    <row r="8680" spans="1:1">
      <c r="A8680" t="s">
        <v>49068</v>
      </c>
    </row>
    <row r="8681" spans="1:1">
      <c r="A8681" t="e" cm="1">
        <f t="array" ref="A8681">--------PH------ELEMEK-AYFPYLL----------V-TKKRYA-----------G</f>
        <v>#NAME?</v>
      </c>
    </row>
    <row r="8682" spans="1:1">
      <c r="A8682" t="s">
        <v>49024</v>
      </c>
    </row>
    <row r="8683" spans="1:1">
      <c r="A8683" t="s">
        <v>49025</v>
      </c>
    </row>
    <row r="8684" spans="1:1">
      <c r="A8684" t="s">
        <v>49069</v>
      </c>
    </row>
    <row r="8685" spans="1:1">
      <c r="A8685" t="s">
        <v>49027</v>
      </c>
    </row>
    <row r="8686" spans="1:1">
      <c r="A8686" t="s">
        <v>49028</v>
      </c>
    </row>
    <row r="8687" spans="1:1">
      <c r="A8687" t="s">
        <v>48979</v>
      </c>
    </row>
    <row r="8688" spans="1:1">
      <c r="A8688" t="s">
        <v>49029</v>
      </c>
    </row>
    <row r="8689" spans="1:1">
      <c r="A8689" t="s">
        <v>49030</v>
      </c>
    </row>
    <row r="8690" spans="1:1">
      <c r="A8690" t="s">
        <v>48982</v>
      </c>
    </row>
    <row r="8691" spans="1:1">
      <c r="A8691" t="s">
        <v>49070</v>
      </c>
    </row>
    <row r="8692" spans="1:1">
      <c r="A8692" t="s">
        <v>48984</v>
      </c>
    </row>
    <row r="8693" spans="1:1">
      <c r="A8693" t="s">
        <v>41057</v>
      </c>
    </row>
    <row r="8694" spans="1:1">
      <c r="A8694" t="s">
        <v>49033</v>
      </c>
    </row>
    <row r="8695" spans="1:1">
      <c r="A8695" t="s">
        <v>49071</v>
      </c>
    </row>
    <row r="8696" spans="1:1">
      <c r="A8696" t="s">
        <v>48987</v>
      </c>
    </row>
    <row r="8697" spans="1:1">
      <c r="A8697" t="s">
        <v>48485</v>
      </c>
    </row>
    <row r="8698" spans="1:1">
      <c r="A8698" t="s">
        <v>49072</v>
      </c>
    </row>
    <row r="8699" spans="1:1">
      <c r="A8699" t="s">
        <v>48446</v>
      </c>
    </row>
    <row r="8700" spans="1:1">
      <c r="A8700" t="s">
        <v>48989</v>
      </c>
    </row>
    <row r="8701" spans="1:1">
      <c r="A8701" t="s">
        <v>41057</v>
      </c>
    </row>
    <row r="8702" spans="1:1">
      <c r="A8702" t="s">
        <v>41057</v>
      </c>
    </row>
    <row r="8703" spans="1:1">
      <c r="A8703" t="s">
        <v>41057</v>
      </c>
    </row>
    <row r="8704" spans="1:1">
      <c r="A8704" t="s">
        <v>45870</v>
      </c>
    </row>
    <row r="8705" spans="1:1">
      <c r="A8705" t="s">
        <v>44997</v>
      </c>
    </row>
    <row r="8706" spans="1:1">
      <c r="A8706" t="s">
        <v>41057</v>
      </c>
    </row>
    <row r="8707" spans="1:1">
      <c r="A8707" t="s">
        <v>41057</v>
      </c>
    </row>
    <row r="8708" spans="1:1">
      <c r="A8708" t="s">
        <v>41057</v>
      </c>
    </row>
    <row r="8709" spans="1:1">
      <c r="A8709" t="s">
        <v>41057</v>
      </c>
    </row>
    <row r="8710" spans="1:1">
      <c r="A8710" t="s">
        <v>41057</v>
      </c>
    </row>
    <row r="8711" spans="1:1">
      <c r="A8711" t="s">
        <v>41057</v>
      </c>
    </row>
    <row r="8712" spans="1:1">
      <c r="A8712" t="s">
        <v>41057</v>
      </c>
    </row>
    <row r="8713" spans="1:1">
      <c r="A8713" t="s">
        <v>41057</v>
      </c>
    </row>
    <row r="8714" spans="1:1">
      <c r="A8714" t="s">
        <v>41057</v>
      </c>
    </row>
    <row r="8715" spans="1:1">
      <c r="A8715" t="s">
        <v>41057</v>
      </c>
    </row>
    <row r="8716" spans="1:1">
      <c r="A8716" t="s">
        <v>41057</v>
      </c>
    </row>
    <row r="8717" spans="1:1">
      <c r="A8717" t="s">
        <v>41057</v>
      </c>
    </row>
    <row r="8718" spans="1:1">
      <c r="A8718" t="s">
        <v>41057</v>
      </c>
    </row>
    <row r="8719" spans="1:1">
      <c r="A8719" t="s">
        <v>41057</v>
      </c>
    </row>
    <row r="8720" spans="1:1">
      <c r="A8720" t="s">
        <v>41057</v>
      </c>
    </row>
    <row r="8721" spans="1:1">
      <c r="A8721" t="s">
        <v>41057</v>
      </c>
    </row>
    <row r="8722" spans="1:1">
      <c r="A8722" t="s">
        <v>41057</v>
      </c>
    </row>
    <row r="8723" spans="1:1">
      <c r="A8723" t="s">
        <v>41057</v>
      </c>
    </row>
    <row r="8724" spans="1:1">
      <c r="A8724" t="s">
        <v>41057</v>
      </c>
    </row>
    <row r="8725" spans="1:1">
      <c r="A8725" t="s">
        <v>41057</v>
      </c>
    </row>
    <row r="8726" spans="1:1">
      <c r="A8726" t="s">
        <v>41057</v>
      </c>
    </row>
    <row r="8727" spans="1:1">
      <c r="A8727" t="s">
        <v>41057</v>
      </c>
    </row>
    <row r="8728" spans="1:1">
      <c r="A8728" t="s">
        <v>41057</v>
      </c>
    </row>
    <row r="8729" spans="1:1">
      <c r="A8729" t="s">
        <v>41057</v>
      </c>
    </row>
    <row r="8730" spans="1:1">
      <c r="A8730" t="s">
        <v>41057</v>
      </c>
    </row>
    <row r="8731" spans="1:1">
      <c r="A8731" t="s">
        <v>41057</v>
      </c>
    </row>
    <row r="8732" spans="1:1">
      <c r="A8732" t="s">
        <v>41057</v>
      </c>
    </row>
    <row r="8733" spans="1:1">
      <c r="A8733" t="s">
        <v>48949</v>
      </c>
    </row>
    <row r="8734" spans="1:1">
      <c r="A8734" t="e" cm="1">
        <f t="array" ref="A8734">--------------------------------------SGKLIEKKLASSAYG-DNTYRY</f>
        <v>#NAME?</v>
      </c>
    </row>
    <row r="8735" spans="1:1">
      <c r="A8735" t="s">
        <v>48950</v>
      </c>
    </row>
    <row r="8736" spans="1:1">
      <c r="A8736" t="s">
        <v>48951</v>
      </c>
    </row>
    <row r="8737" spans="1:1">
      <c r="A8737" t="s">
        <v>41057</v>
      </c>
    </row>
    <row r="8738" spans="1:1">
      <c r="A8738" t="s">
        <v>48952</v>
      </c>
    </row>
    <row r="8739" spans="1:1">
      <c r="A8739" t="s">
        <v>48953</v>
      </c>
    </row>
    <row r="8740" spans="1:1">
      <c r="A8740" t="e" cm="1">
        <f t="array" ref="A8740">-------------------------KPWEM-------FAKFQE----------------I</f>
        <v>#NAME?</v>
      </c>
    </row>
    <row r="8741" spans="1:1">
      <c r="A8741" t="s">
        <v>48954</v>
      </c>
    </row>
    <row r="8742" spans="1:1">
      <c r="A8742" t="s">
        <v>41057</v>
      </c>
    </row>
    <row r="8743" spans="1:1">
      <c r="A8743" t="s">
        <v>47081</v>
      </c>
    </row>
    <row r="8744" spans="1:1">
      <c r="A8744" t="e" cm="1">
        <f t="array" ref="A8744">--------------YCVRDCE-----------------LP--------IKLVHKM-NQLN</f>
        <v>#NAME?</v>
      </c>
    </row>
    <row r="8745" spans="1:1">
      <c r="A8745" t="s">
        <v>48955</v>
      </c>
    </row>
    <row r="8746" spans="1:1">
      <c r="A8746" t="s">
        <v>48956</v>
      </c>
    </row>
    <row r="8747" spans="1:1">
      <c r="A8747" t="s">
        <v>41057</v>
      </c>
    </row>
    <row r="8748" spans="1:1">
      <c r="A8748" t="s">
        <v>48957</v>
      </c>
    </row>
    <row r="8749" spans="1:1">
      <c r="A8749" t="e" cm="1">
        <f t="array" ref="A8749">-----------LG-FT--------------------------------GAVV-LDPKSGG</f>
        <v>#NAME?</v>
      </c>
    </row>
    <row r="8750" spans="1:1">
      <c r="A8750" t="s">
        <v>48958</v>
      </c>
    </row>
    <row r="8751" spans="1:1">
      <c r="A8751" t="s">
        <v>41057</v>
      </c>
    </row>
    <row r="8752" spans="1:1">
      <c r="A8752" t="s">
        <v>41057</v>
      </c>
    </row>
    <row r="8753" spans="1:1">
      <c r="A8753" t="s">
        <v>41057</v>
      </c>
    </row>
    <row r="8754" spans="1:1">
      <c r="A8754" t="s">
        <v>41057</v>
      </c>
    </row>
    <row r="8755" spans="1:1">
      <c r="A8755" t="s">
        <v>41057</v>
      </c>
    </row>
    <row r="8756" spans="1:1">
      <c r="A8756" t="s">
        <v>41057</v>
      </c>
    </row>
    <row r="8757" spans="1:1">
      <c r="A8757" t="s">
        <v>41057</v>
      </c>
    </row>
    <row r="8758" spans="1:1">
      <c r="A8758" t="s">
        <v>41057</v>
      </c>
    </row>
    <row r="8759" spans="1:1">
      <c r="A8759" t="s">
        <v>49073</v>
      </c>
    </row>
    <row r="8760" spans="1:1">
      <c r="A8760" t="s">
        <v>48960</v>
      </c>
    </row>
    <row r="8761" spans="1:1">
      <c r="A8761" t="s">
        <v>48417</v>
      </c>
    </row>
    <row r="8762" spans="1:1">
      <c r="A8762" t="s">
        <v>41057</v>
      </c>
    </row>
    <row r="8763" spans="1:1">
      <c r="A8763" t="s">
        <v>41057</v>
      </c>
    </row>
    <row r="8764" spans="1:1">
      <c r="A8764" t="s">
        <v>48961</v>
      </c>
    </row>
    <row r="8765" spans="1:1">
      <c r="A8765" t="s">
        <v>41057</v>
      </c>
    </row>
    <row r="8766" spans="1:1">
      <c r="A8766" t="s">
        <v>48962</v>
      </c>
    </row>
    <row r="8767" spans="1:1">
      <c r="A8767" t="s">
        <v>48963</v>
      </c>
    </row>
    <row r="8768" spans="1:1">
      <c r="A8768" t="s">
        <v>48964</v>
      </c>
    </row>
    <row r="8769" spans="1:1">
      <c r="A8769" t="s">
        <v>48965</v>
      </c>
    </row>
    <row r="8770" spans="1:1">
      <c r="A8770" t="s">
        <v>48966</v>
      </c>
    </row>
    <row r="8771" spans="1:1">
      <c r="A8771" t="s">
        <v>48967</v>
      </c>
    </row>
    <row r="8772" spans="1:1">
      <c r="A8772" t="s">
        <v>41057</v>
      </c>
    </row>
    <row r="8773" spans="1:1">
      <c r="A8773" t="s">
        <v>41057</v>
      </c>
    </row>
    <row r="8774" spans="1:1">
      <c r="A8774" t="s">
        <v>41057</v>
      </c>
    </row>
    <row r="8775" spans="1:1">
      <c r="A8775" t="s">
        <v>41057</v>
      </c>
    </row>
    <row r="8776" spans="1:1">
      <c r="A8776" t="s">
        <v>41057</v>
      </c>
    </row>
    <row r="8777" spans="1:1">
      <c r="A8777" t="s">
        <v>41057</v>
      </c>
    </row>
    <row r="8778" spans="1:1">
      <c r="A8778" t="s">
        <v>41057</v>
      </c>
    </row>
    <row r="8779" spans="1:1">
      <c r="A8779" t="s">
        <v>41057</v>
      </c>
    </row>
    <row r="8780" spans="1:1">
      <c r="A8780" t="s">
        <v>41057</v>
      </c>
    </row>
    <row r="8781" spans="1:1">
      <c r="A8781" t="s">
        <v>48968</v>
      </c>
    </row>
    <row r="8782" spans="1:1">
      <c r="A8782" t="s">
        <v>41057</v>
      </c>
    </row>
    <row r="8783" spans="1:1">
      <c r="A8783" t="s">
        <v>41057</v>
      </c>
    </row>
    <row r="8784" spans="1:1">
      <c r="A8784" t="s">
        <v>41057</v>
      </c>
    </row>
    <row r="8785" spans="1:1">
      <c r="A8785" t="s">
        <v>41057</v>
      </c>
    </row>
    <row r="8786" spans="1:1">
      <c r="A8786" t="s">
        <v>41057</v>
      </c>
    </row>
    <row r="8787" spans="1:1">
      <c r="A8787" t="s">
        <v>48969</v>
      </c>
    </row>
    <row r="8788" spans="1:1">
      <c r="A8788" t="s">
        <v>49074</v>
      </c>
    </row>
    <row r="8789" spans="1:1">
      <c r="A8789" t="s">
        <v>41057</v>
      </c>
    </row>
    <row r="8790" spans="1:1">
      <c r="A8790" t="s">
        <v>41057</v>
      </c>
    </row>
    <row r="8791" spans="1:1">
      <c r="A8791" t="s">
        <v>41057</v>
      </c>
    </row>
    <row r="8792" spans="1:1">
      <c r="A8792" t="e" cm="1">
        <f t="array" ref="A8792">-------------SKVVYGDSV------------AEWTPITIR-----YNGQMEIMTFED</f>
        <v>#NAME?</v>
      </c>
    </row>
    <row r="8793" spans="1:1">
      <c r="A8793" t="s">
        <v>49075</v>
      </c>
    </row>
    <row r="8794" spans="1:1">
      <c r="A8794" t="s">
        <v>41057</v>
      </c>
    </row>
    <row r="8795" spans="1:1">
      <c r="A8795" t="s">
        <v>41057</v>
      </c>
    </row>
    <row r="8796" spans="1:1">
      <c r="A8796" t="s">
        <v>49076</v>
      </c>
    </row>
    <row r="8797" spans="1:1">
      <c r="A8797" t="s">
        <v>49077</v>
      </c>
    </row>
    <row r="8798" spans="1:1">
      <c r="A8798" t="s">
        <v>41057</v>
      </c>
    </row>
    <row r="8799" spans="1:1">
      <c r="A8799" t="s">
        <v>49078</v>
      </c>
    </row>
    <row r="8800" spans="1:1">
      <c r="A8800" t="s">
        <v>41057</v>
      </c>
    </row>
    <row r="8801" spans="1:1">
      <c r="A8801" t="s">
        <v>49079</v>
      </c>
    </row>
    <row r="8802" spans="1:1">
      <c r="A8802" t="s">
        <v>49080</v>
      </c>
    </row>
    <row r="8803" spans="1:1">
      <c r="A8803" t="s">
        <v>49081</v>
      </c>
    </row>
    <row r="8804" spans="1:1">
      <c r="A8804" t="e" cm="1">
        <f t="array" ref="A8804">-----------------NHHFAAGIG----N--LIV---------HNTDSV--------L</f>
        <v>#NAME?</v>
      </c>
    </row>
    <row r="8805" spans="1:1">
      <c r="A8805" t="s">
        <v>42524</v>
      </c>
    </row>
    <row r="8806" spans="1:1">
      <c r="A8806" t="s">
        <v>48972</v>
      </c>
    </row>
    <row r="8807" spans="1:1">
      <c r="A8807" t="e" cm="1">
        <f t="array" ref="A8807">--------RQN----------------------------LKE----HFR----------V</f>
        <v>#NAME?</v>
      </c>
    </row>
    <row r="8808" spans="1:1">
      <c r="A8808" t="s">
        <v>48973</v>
      </c>
    </row>
    <row r="8809" spans="1:1">
      <c r="A8809" t="e" cm="1">
        <f t="array" ref="A8809">--------PH------ELEMEK-AYFPYLL----------V-TKKRYA-----------G</f>
        <v>#NAME?</v>
      </c>
    </row>
    <row r="8810" spans="1:1">
      <c r="A8810" t="s">
        <v>48974</v>
      </c>
    </row>
    <row r="8811" spans="1:1">
      <c r="A8811" t="s">
        <v>48975</v>
      </c>
    </row>
    <row r="8812" spans="1:1">
      <c r="A8812" t="s">
        <v>49082</v>
      </c>
    </row>
    <row r="8813" spans="1:1">
      <c r="A8813" t="s">
        <v>49083</v>
      </c>
    </row>
    <row r="8814" spans="1:1">
      <c r="A8814" t="s">
        <v>49084</v>
      </c>
    </row>
    <row r="8815" spans="1:1">
      <c r="A8815" t="s">
        <v>48979</v>
      </c>
    </row>
    <row r="8816" spans="1:1">
      <c r="A8816" t="s">
        <v>48980</v>
      </c>
    </row>
    <row r="8817" spans="1:1">
      <c r="A8817" t="s">
        <v>49085</v>
      </c>
    </row>
    <row r="8818" spans="1:1">
      <c r="A8818" t="s">
        <v>48982</v>
      </c>
    </row>
    <row r="8819" spans="1:1">
      <c r="A8819" t="s">
        <v>48983</v>
      </c>
    </row>
    <row r="8820" spans="1:1">
      <c r="A8820" t="s">
        <v>48984</v>
      </c>
    </row>
    <row r="8821" spans="1:1">
      <c r="A8821" t="s">
        <v>41057</v>
      </c>
    </row>
    <row r="8822" spans="1:1">
      <c r="A8822" t="s">
        <v>49086</v>
      </c>
    </row>
    <row r="8823" spans="1:1">
      <c r="A8823" t="s">
        <v>49087</v>
      </c>
    </row>
    <row r="8824" spans="1:1">
      <c r="A8824" t="s">
        <v>49088</v>
      </c>
    </row>
    <row r="8825" spans="1:1">
      <c r="A8825" t="s">
        <v>48485</v>
      </c>
    </row>
    <row r="8826" spans="1:1">
      <c r="A8826" t="s">
        <v>49089</v>
      </c>
    </row>
    <row r="8827" spans="1:1">
      <c r="A8827" t="s">
        <v>48446</v>
      </c>
    </row>
    <row r="8828" spans="1:1">
      <c r="A8828" t="s">
        <v>48989</v>
      </c>
    </row>
    <row r="8829" spans="1:1">
      <c r="A8829" t="s">
        <v>41057</v>
      </c>
    </row>
    <row r="8830" spans="1:1">
      <c r="A8830" t="s">
        <v>41057</v>
      </c>
    </row>
    <row r="8831" spans="1:1">
      <c r="A8831" t="s">
        <v>41057</v>
      </c>
    </row>
    <row r="8832" spans="1:1">
      <c r="A8832" t="s">
        <v>45870</v>
      </c>
    </row>
    <row r="8833" spans="1:1">
      <c r="A8833" t="s">
        <v>45071</v>
      </c>
    </row>
    <row r="8834" spans="1:1">
      <c r="A8834" t="s">
        <v>41057</v>
      </c>
    </row>
    <row r="8835" spans="1:1">
      <c r="A8835" t="s">
        <v>41057</v>
      </c>
    </row>
    <row r="8836" spans="1:1">
      <c r="A8836" t="s">
        <v>41057</v>
      </c>
    </row>
    <row r="8837" spans="1:1">
      <c r="A8837" t="s">
        <v>41057</v>
      </c>
    </row>
    <row r="8838" spans="1:1">
      <c r="A8838" t="s">
        <v>41057</v>
      </c>
    </row>
    <row r="8839" spans="1:1">
      <c r="A8839" t="s">
        <v>41057</v>
      </c>
    </row>
    <row r="8840" spans="1:1">
      <c r="A8840" t="s">
        <v>41057</v>
      </c>
    </row>
    <row r="8841" spans="1:1">
      <c r="A8841" t="s">
        <v>41057</v>
      </c>
    </row>
    <row r="8842" spans="1:1">
      <c r="A8842" t="s">
        <v>41057</v>
      </c>
    </row>
    <row r="8843" spans="1:1">
      <c r="A8843" t="s">
        <v>41057</v>
      </c>
    </row>
    <row r="8844" spans="1:1">
      <c r="A8844" t="s">
        <v>41057</v>
      </c>
    </row>
    <row r="8845" spans="1:1">
      <c r="A8845" t="s">
        <v>41057</v>
      </c>
    </row>
    <row r="8846" spans="1:1">
      <c r="A8846" t="s">
        <v>41057</v>
      </c>
    </row>
    <row r="8847" spans="1:1">
      <c r="A8847" t="s">
        <v>41057</v>
      </c>
    </row>
    <row r="8848" spans="1:1">
      <c r="A8848" t="s">
        <v>41057</v>
      </c>
    </row>
    <row r="8849" spans="1:1">
      <c r="A8849" t="s">
        <v>41057</v>
      </c>
    </row>
    <row r="8850" spans="1:1">
      <c r="A8850" t="s">
        <v>41057</v>
      </c>
    </row>
    <row r="8851" spans="1:1">
      <c r="A8851" t="s">
        <v>41057</v>
      </c>
    </row>
    <row r="8852" spans="1:1">
      <c r="A8852" t="s">
        <v>41057</v>
      </c>
    </row>
    <row r="8853" spans="1:1">
      <c r="A8853" t="s">
        <v>41057</v>
      </c>
    </row>
    <row r="8854" spans="1:1">
      <c r="A8854" t="s">
        <v>41057</v>
      </c>
    </row>
    <row r="8855" spans="1:1">
      <c r="A8855" t="s">
        <v>41057</v>
      </c>
    </row>
    <row r="8856" spans="1:1">
      <c r="A8856" t="s">
        <v>41057</v>
      </c>
    </row>
    <row r="8857" spans="1:1">
      <c r="A8857" t="s">
        <v>41057</v>
      </c>
    </row>
    <row r="8858" spans="1:1">
      <c r="A8858" t="s">
        <v>41057</v>
      </c>
    </row>
    <row r="8859" spans="1:1">
      <c r="A8859" t="s">
        <v>41057</v>
      </c>
    </row>
    <row r="8860" spans="1:1">
      <c r="A8860" t="s">
        <v>41057</v>
      </c>
    </row>
    <row r="8861" spans="1:1">
      <c r="A8861" t="s">
        <v>41057</v>
      </c>
    </row>
    <row r="8862" spans="1:1">
      <c r="A8862" t="s">
        <v>41057</v>
      </c>
    </row>
    <row r="8863" spans="1:1">
      <c r="A8863" t="s">
        <v>41057</v>
      </c>
    </row>
    <row r="8864" spans="1:1">
      <c r="A8864" t="s">
        <v>41057</v>
      </c>
    </row>
    <row r="8865" spans="1:1">
      <c r="A8865" t="s">
        <v>41057</v>
      </c>
    </row>
    <row r="8866" spans="1:1">
      <c r="A8866" t="s">
        <v>41057</v>
      </c>
    </row>
    <row r="8867" spans="1:1">
      <c r="A8867" t="s">
        <v>41057</v>
      </c>
    </row>
    <row r="8868" spans="1:1">
      <c r="A8868" t="s">
        <v>41057</v>
      </c>
    </row>
    <row r="8869" spans="1:1">
      <c r="A8869" t="s">
        <v>41057</v>
      </c>
    </row>
    <row r="8870" spans="1:1">
      <c r="A8870" t="s">
        <v>41057</v>
      </c>
    </row>
    <row r="8871" spans="1:1">
      <c r="A8871" t="s">
        <v>41057</v>
      </c>
    </row>
    <row r="8872" spans="1:1">
      <c r="A8872" t="s">
        <v>41057</v>
      </c>
    </row>
    <row r="8873" spans="1:1">
      <c r="A8873" t="s">
        <v>41057</v>
      </c>
    </row>
    <row r="8874" spans="1:1">
      <c r="A8874" t="s">
        <v>41057</v>
      </c>
    </row>
    <row r="8875" spans="1:1">
      <c r="A8875" t="s">
        <v>41057</v>
      </c>
    </row>
    <row r="8876" spans="1:1">
      <c r="A8876" t="s">
        <v>41057</v>
      </c>
    </row>
    <row r="8877" spans="1:1">
      <c r="A8877" t="s">
        <v>41057</v>
      </c>
    </row>
    <row r="8878" spans="1:1">
      <c r="A8878" t="s">
        <v>49090</v>
      </c>
    </row>
    <row r="8879" spans="1:1">
      <c r="A8879" t="s">
        <v>41057</v>
      </c>
    </row>
    <row r="8880" spans="1:1">
      <c r="A8880" t="s">
        <v>41057</v>
      </c>
    </row>
    <row r="8881" spans="1:1">
      <c r="A8881" t="s">
        <v>41057</v>
      </c>
    </row>
    <row r="8882" spans="1:1">
      <c r="A8882" t="s">
        <v>41057</v>
      </c>
    </row>
    <row r="8883" spans="1:1">
      <c r="A8883" t="s">
        <v>41057</v>
      </c>
    </row>
    <row r="8884" spans="1:1">
      <c r="A8884" t="s">
        <v>41057</v>
      </c>
    </row>
    <row r="8885" spans="1:1">
      <c r="A8885" t="s">
        <v>41057</v>
      </c>
    </row>
    <row r="8886" spans="1:1">
      <c r="A8886" t="s">
        <v>41057</v>
      </c>
    </row>
    <row r="8887" spans="1:1">
      <c r="A8887" t="s">
        <v>49091</v>
      </c>
    </row>
    <row r="8888" spans="1:1">
      <c r="A8888" t="s">
        <v>49092</v>
      </c>
    </row>
    <row r="8889" spans="1:1">
      <c r="A8889" t="s">
        <v>48417</v>
      </c>
    </row>
    <row r="8890" spans="1:1">
      <c r="A8890" t="s">
        <v>41057</v>
      </c>
    </row>
    <row r="8891" spans="1:1">
      <c r="A8891" t="s">
        <v>41057</v>
      </c>
    </row>
    <row r="8892" spans="1:1">
      <c r="A8892" t="s">
        <v>49093</v>
      </c>
    </row>
    <row r="8893" spans="1:1">
      <c r="A8893" t="s">
        <v>41057</v>
      </c>
    </row>
    <row r="8894" spans="1:1">
      <c r="A8894" t="s">
        <v>49094</v>
      </c>
    </row>
    <row r="8895" spans="1:1">
      <c r="A8895" t="s">
        <v>48963</v>
      </c>
    </row>
    <row r="8896" spans="1:1">
      <c r="A8896" t="s">
        <v>49095</v>
      </c>
    </row>
    <row r="8897" spans="1:1">
      <c r="A8897" t="s">
        <v>48965</v>
      </c>
    </row>
    <row r="8898" spans="1:1">
      <c r="A8898" t="s">
        <v>49096</v>
      </c>
    </row>
    <row r="8899" spans="1:1">
      <c r="A8899" t="s">
        <v>48967</v>
      </c>
    </row>
    <row r="8900" spans="1:1">
      <c r="A8900" t="s">
        <v>41057</v>
      </c>
    </row>
    <row r="8901" spans="1:1">
      <c r="A8901" t="s">
        <v>41057</v>
      </c>
    </row>
    <row r="8902" spans="1:1">
      <c r="A8902" t="s">
        <v>41057</v>
      </c>
    </row>
    <row r="8903" spans="1:1">
      <c r="A8903" t="s">
        <v>41057</v>
      </c>
    </row>
    <row r="8904" spans="1:1">
      <c r="A8904" t="s">
        <v>41057</v>
      </c>
    </row>
    <row r="8905" spans="1:1">
      <c r="A8905" t="s">
        <v>41057</v>
      </c>
    </row>
    <row r="8906" spans="1:1">
      <c r="A8906" t="s">
        <v>41057</v>
      </c>
    </row>
    <row r="8907" spans="1:1">
      <c r="A8907" t="s">
        <v>41057</v>
      </c>
    </row>
    <row r="8908" spans="1:1">
      <c r="A8908" t="s">
        <v>41057</v>
      </c>
    </row>
    <row r="8909" spans="1:1">
      <c r="A8909" t="s">
        <v>48968</v>
      </c>
    </row>
    <row r="8910" spans="1:1">
      <c r="A8910" t="s">
        <v>41057</v>
      </c>
    </row>
    <row r="8911" spans="1:1">
      <c r="A8911" t="s">
        <v>41057</v>
      </c>
    </row>
    <row r="8912" spans="1:1">
      <c r="A8912" t="s">
        <v>41057</v>
      </c>
    </row>
    <row r="8913" spans="1:1">
      <c r="A8913" t="s">
        <v>41057</v>
      </c>
    </row>
    <row r="8914" spans="1:1">
      <c r="A8914" t="s">
        <v>41057</v>
      </c>
    </row>
    <row r="8915" spans="1:1">
      <c r="A8915" t="s">
        <v>48969</v>
      </c>
    </row>
    <row r="8916" spans="1:1">
      <c r="A8916" t="s">
        <v>48970</v>
      </c>
    </row>
    <row r="8917" spans="1:1">
      <c r="A8917" t="s">
        <v>41057</v>
      </c>
    </row>
    <row r="8918" spans="1:1">
      <c r="A8918" t="s">
        <v>41057</v>
      </c>
    </row>
    <row r="8919" spans="1:1">
      <c r="A8919" t="s">
        <v>41057</v>
      </c>
    </row>
    <row r="8920" spans="1:1">
      <c r="A8920" t="e" cm="1">
        <f t="array" ref="A8920">-------------SKVVYGDSV------------AAWTPITIR-----YNGQMEMVTFED</f>
        <v>#NAME?</v>
      </c>
    </row>
    <row r="8921" spans="1:1">
      <c r="A8921" t="s">
        <v>49097</v>
      </c>
    </row>
    <row r="8922" spans="1:1">
      <c r="A8922" t="s">
        <v>41057</v>
      </c>
    </row>
    <row r="8923" spans="1:1">
      <c r="A8923" t="s">
        <v>41057</v>
      </c>
    </row>
    <row r="8924" spans="1:1">
      <c r="A8924" t="s">
        <v>49098</v>
      </c>
    </row>
    <row r="8925" spans="1:1">
      <c r="A8925" t="s">
        <v>49099</v>
      </c>
    </row>
    <row r="8926" spans="1:1">
      <c r="A8926" t="s">
        <v>41057</v>
      </c>
    </row>
    <row r="8927" spans="1:1">
      <c r="A8927" t="s">
        <v>49100</v>
      </c>
    </row>
    <row r="8928" spans="1:1">
      <c r="A8928" t="s">
        <v>41057</v>
      </c>
    </row>
    <row r="8929" spans="1:1">
      <c r="A8929" t="s">
        <v>49101</v>
      </c>
    </row>
    <row r="8930" spans="1:1">
      <c r="A8930" t="s">
        <v>49102</v>
      </c>
    </row>
    <row r="8931" spans="1:1">
      <c r="A8931" t="s">
        <v>49103</v>
      </c>
    </row>
    <row r="8932" spans="1:1">
      <c r="A8932" t="e" cm="1">
        <f t="array" ref="A8932">-----------------NHHFAAGVG----D--LIV---------HNTDSV--------L</f>
        <v>#NAME?</v>
      </c>
    </row>
    <row r="8933" spans="1:1">
      <c r="A8933" t="s">
        <v>42524</v>
      </c>
    </row>
    <row r="8934" spans="1:1">
      <c r="A8934" t="s">
        <v>49104</v>
      </c>
    </row>
    <row r="8935" spans="1:1">
      <c r="A8935" t="e" cm="1">
        <f t="array" ref="A8935">--------RQN----------------------------LKE----HFR----------V</f>
        <v>#NAME?</v>
      </c>
    </row>
    <row r="8936" spans="1:1">
      <c r="A8936" t="s">
        <v>48973</v>
      </c>
    </row>
    <row r="8937" spans="1:1">
      <c r="A8937" t="e" cm="1">
        <f t="array" ref="A8937">--------PH------ELEMEK-AYFPYLL----------I-TKKRYA-----------G</f>
        <v>#NAME?</v>
      </c>
    </row>
    <row r="8938" spans="1:1">
      <c r="A8938" t="s">
        <v>49105</v>
      </c>
    </row>
    <row r="8939" spans="1:1">
      <c r="A8939" t="s">
        <v>48975</v>
      </c>
    </row>
    <row r="8940" spans="1:1">
      <c r="A8940" t="s">
        <v>49082</v>
      </c>
    </row>
    <row r="8941" spans="1:1">
      <c r="A8941" t="s">
        <v>49083</v>
      </c>
    </row>
    <row r="8942" spans="1:1">
      <c r="A8942" t="s">
        <v>49084</v>
      </c>
    </row>
    <row r="8943" spans="1:1">
      <c r="A8943" t="s">
        <v>48979</v>
      </c>
    </row>
    <row r="8944" spans="1:1">
      <c r="A8944" t="s">
        <v>49106</v>
      </c>
    </row>
    <row r="8945" spans="1:1">
      <c r="A8945" t="s">
        <v>49107</v>
      </c>
    </row>
    <row r="8946" spans="1:1">
      <c r="A8946" t="s">
        <v>48982</v>
      </c>
    </row>
    <row r="8947" spans="1:1">
      <c r="A8947" t="s">
        <v>49108</v>
      </c>
    </row>
    <row r="8948" spans="1:1">
      <c r="A8948" t="s">
        <v>48984</v>
      </c>
    </row>
    <row r="8949" spans="1:1">
      <c r="A8949" t="s">
        <v>41057</v>
      </c>
    </row>
    <row r="8950" spans="1:1">
      <c r="A8950" t="s">
        <v>49109</v>
      </c>
    </row>
    <row r="8951" spans="1:1">
      <c r="A8951" t="s">
        <v>49110</v>
      </c>
    </row>
    <row r="8952" spans="1:1">
      <c r="A8952" t="s">
        <v>49111</v>
      </c>
    </row>
    <row r="8953" spans="1:1">
      <c r="A8953" t="s">
        <v>48485</v>
      </c>
    </row>
    <row r="8954" spans="1:1">
      <c r="A8954" t="s">
        <v>49112</v>
      </c>
    </row>
    <row r="8955" spans="1:1">
      <c r="A8955" t="s">
        <v>48446</v>
      </c>
    </row>
    <row r="8956" spans="1:1">
      <c r="A8956" t="s">
        <v>48989</v>
      </c>
    </row>
    <row r="8957" spans="1:1">
      <c r="A8957" t="s">
        <v>41057</v>
      </c>
    </row>
    <row r="8958" spans="1:1">
      <c r="A8958" t="s">
        <v>41057</v>
      </c>
    </row>
    <row r="8959" spans="1:1">
      <c r="A8959" t="s">
        <v>41057</v>
      </c>
    </row>
    <row r="8960" spans="1:1">
      <c r="A8960" t="s">
        <v>45870</v>
      </c>
    </row>
    <row r="8961" spans="1:1">
      <c r="A8961" t="s">
        <v>45350</v>
      </c>
    </row>
    <row r="8962" spans="1:1">
      <c r="A8962" t="s">
        <v>41057</v>
      </c>
    </row>
    <row r="8963" spans="1:1">
      <c r="A8963" t="s">
        <v>41057</v>
      </c>
    </row>
    <row r="8964" spans="1:1">
      <c r="A8964" t="s">
        <v>41057</v>
      </c>
    </row>
    <row r="8965" spans="1:1">
      <c r="A8965" t="s">
        <v>41057</v>
      </c>
    </row>
    <row r="8966" spans="1:1">
      <c r="A8966" t="s">
        <v>41057</v>
      </c>
    </row>
    <row r="8967" spans="1:1">
      <c r="A8967" t="s">
        <v>41057</v>
      </c>
    </row>
    <row r="8968" spans="1:1">
      <c r="A8968" t="s">
        <v>41057</v>
      </c>
    </row>
    <row r="8969" spans="1:1">
      <c r="A8969" t="s">
        <v>41057</v>
      </c>
    </row>
    <row r="8970" spans="1:1">
      <c r="A8970" t="s">
        <v>41057</v>
      </c>
    </row>
    <row r="8971" spans="1:1">
      <c r="A8971" t="s">
        <v>41057</v>
      </c>
    </row>
    <row r="8972" spans="1:1">
      <c r="A8972" t="s">
        <v>41057</v>
      </c>
    </row>
    <row r="8973" spans="1:1">
      <c r="A8973" t="s">
        <v>41057</v>
      </c>
    </row>
    <row r="8974" spans="1:1">
      <c r="A8974" t="s">
        <v>41057</v>
      </c>
    </row>
    <row r="8975" spans="1:1">
      <c r="A8975" t="s">
        <v>41057</v>
      </c>
    </row>
    <row r="8976" spans="1:1">
      <c r="A8976" t="s">
        <v>41057</v>
      </c>
    </row>
    <row r="8977" spans="1:1">
      <c r="A8977" t="s">
        <v>41057</v>
      </c>
    </row>
    <row r="8978" spans="1:1">
      <c r="A8978" t="s">
        <v>41057</v>
      </c>
    </row>
    <row r="8979" spans="1:1">
      <c r="A8979" t="s">
        <v>41057</v>
      </c>
    </row>
    <row r="8980" spans="1:1">
      <c r="A8980" t="s">
        <v>41057</v>
      </c>
    </row>
    <row r="8981" spans="1:1">
      <c r="A8981" t="s">
        <v>41057</v>
      </c>
    </row>
    <row r="8982" spans="1:1">
      <c r="A8982" t="s">
        <v>41057</v>
      </c>
    </row>
    <row r="8983" spans="1:1">
      <c r="A8983" t="s">
        <v>41057</v>
      </c>
    </row>
    <row r="8984" spans="1:1">
      <c r="A8984" t="s">
        <v>41057</v>
      </c>
    </row>
    <row r="8985" spans="1:1">
      <c r="A8985" t="s">
        <v>41057</v>
      </c>
    </row>
    <row r="8986" spans="1:1">
      <c r="A8986" t="s">
        <v>41057</v>
      </c>
    </row>
    <row r="8987" spans="1:1">
      <c r="A8987" t="s">
        <v>41057</v>
      </c>
    </row>
    <row r="8988" spans="1:1">
      <c r="A8988" t="s">
        <v>49113</v>
      </c>
    </row>
    <row r="8989" spans="1:1">
      <c r="A8989" t="s">
        <v>41057</v>
      </c>
    </row>
    <row r="8990" spans="1:1">
      <c r="A8990" t="s">
        <v>41057</v>
      </c>
    </row>
    <row r="8991" spans="1:1">
      <c r="A8991" t="s">
        <v>41057</v>
      </c>
    </row>
    <row r="8992" spans="1:1">
      <c r="A8992" t="s">
        <v>41057</v>
      </c>
    </row>
    <row r="8993" spans="1:1">
      <c r="A8993" t="s">
        <v>41057</v>
      </c>
    </row>
    <row r="8994" spans="1:1">
      <c r="A8994" t="s">
        <v>41057</v>
      </c>
    </row>
    <row r="8995" spans="1:1">
      <c r="A8995" t="s">
        <v>41057</v>
      </c>
    </row>
    <row r="8996" spans="1:1">
      <c r="A8996" t="s">
        <v>41057</v>
      </c>
    </row>
    <row r="8997" spans="1:1">
      <c r="A8997" t="s">
        <v>41057</v>
      </c>
    </row>
    <row r="8998" spans="1:1">
      <c r="A8998" t="s">
        <v>41057</v>
      </c>
    </row>
    <row r="8999" spans="1:1">
      <c r="A8999" t="s">
        <v>41057</v>
      </c>
    </row>
    <row r="9000" spans="1:1">
      <c r="A9000" t="s">
        <v>49114</v>
      </c>
    </row>
    <row r="9001" spans="1:1">
      <c r="A9001" t="s">
        <v>41057</v>
      </c>
    </row>
    <row r="9002" spans="1:1">
      <c r="A9002" t="s">
        <v>41057</v>
      </c>
    </row>
    <row r="9003" spans="1:1">
      <c r="A9003" t="s">
        <v>41057</v>
      </c>
    </row>
    <row r="9004" spans="1:1">
      <c r="A9004" t="s">
        <v>41057</v>
      </c>
    </row>
    <row r="9005" spans="1:1">
      <c r="A9005" t="s">
        <v>41057</v>
      </c>
    </row>
    <row r="9006" spans="1:1">
      <c r="A9006" t="s">
        <v>41057</v>
      </c>
    </row>
    <row r="9007" spans="1:1">
      <c r="A9007" t="s">
        <v>41057</v>
      </c>
    </row>
    <row r="9008" spans="1:1">
      <c r="A9008" t="s">
        <v>41057</v>
      </c>
    </row>
    <row r="9009" spans="1:1">
      <c r="A9009" t="s">
        <v>41057</v>
      </c>
    </row>
    <row r="9010" spans="1:1">
      <c r="A9010" t="s">
        <v>41057</v>
      </c>
    </row>
    <row r="9011" spans="1:1">
      <c r="A9011" t="s">
        <v>41057</v>
      </c>
    </row>
    <row r="9012" spans="1:1">
      <c r="A9012" t="s">
        <v>41057</v>
      </c>
    </row>
    <row r="9013" spans="1:1">
      <c r="A9013" t="s">
        <v>41057</v>
      </c>
    </row>
    <row r="9014" spans="1:1">
      <c r="A9014" t="s">
        <v>41057</v>
      </c>
    </row>
    <row r="9015" spans="1:1">
      <c r="A9015" t="s">
        <v>49115</v>
      </c>
    </row>
    <row r="9016" spans="1:1">
      <c r="A9016" t="s">
        <v>49092</v>
      </c>
    </row>
    <row r="9017" spans="1:1">
      <c r="A9017" t="s">
        <v>48417</v>
      </c>
    </row>
    <row r="9018" spans="1:1">
      <c r="A9018" t="s">
        <v>41057</v>
      </c>
    </row>
    <row r="9019" spans="1:1">
      <c r="A9019" t="s">
        <v>41057</v>
      </c>
    </row>
    <row r="9020" spans="1:1">
      <c r="A9020" t="s">
        <v>49010</v>
      </c>
    </row>
    <row r="9021" spans="1:1">
      <c r="A9021" t="s">
        <v>41057</v>
      </c>
    </row>
    <row r="9022" spans="1:1">
      <c r="A9022" t="s">
        <v>49094</v>
      </c>
    </row>
    <row r="9023" spans="1:1">
      <c r="A9023" t="s">
        <v>48963</v>
      </c>
    </row>
    <row r="9024" spans="1:1">
      <c r="A9024" t="s">
        <v>49095</v>
      </c>
    </row>
    <row r="9025" spans="1:1">
      <c r="A9025" t="s">
        <v>48965</v>
      </c>
    </row>
    <row r="9026" spans="1:1">
      <c r="A9026" t="s">
        <v>49057</v>
      </c>
    </row>
    <row r="9027" spans="1:1">
      <c r="A9027" t="s">
        <v>48967</v>
      </c>
    </row>
    <row r="9028" spans="1:1">
      <c r="A9028" t="s">
        <v>41057</v>
      </c>
    </row>
    <row r="9029" spans="1:1">
      <c r="A9029" t="s">
        <v>41057</v>
      </c>
    </row>
    <row r="9030" spans="1:1">
      <c r="A9030" t="s">
        <v>41057</v>
      </c>
    </row>
    <row r="9031" spans="1:1">
      <c r="A9031" t="s">
        <v>41057</v>
      </c>
    </row>
    <row r="9032" spans="1:1">
      <c r="A9032" t="s">
        <v>41057</v>
      </c>
    </row>
    <row r="9033" spans="1:1">
      <c r="A9033" t="s">
        <v>41057</v>
      </c>
    </row>
    <row r="9034" spans="1:1">
      <c r="A9034" t="s">
        <v>41057</v>
      </c>
    </row>
    <row r="9035" spans="1:1">
      <c r="A9035" t="s">
        <v>41057</v>
      </c>
    </row>
    <row r="9036" spans="1:1">
      <c r="A9036" t="s">
        <v>41057</v>
      </c>
    </row>
    <row r="9037" spans="1:1">
      <c r="A9037" t="s">
        <v>48968</v>
      </c>
    </row>
    <row r="9038" spans="1:1">
      <c r="A9038" t="s">
        <v>41057</v>
      </c>
    </row>
    <row r="9039" spans="1:1">
      <c r="A9039" t="s">
        <v>41057</v>
      </c>
    </row>
    <row r="9040" spans="1:1">
      <c r="A9040" t="s">
        <v>41057</v>
      </c>
    </row>
    <row r="9041" spans="1:1">
      <c r="A9041" t="s">
        <v>41057</v>
      </c>
    </row>
    <row r="9042" spans="1:1">
      <c r="A9042" t="s">
        <v>41057</v>
      </c>
    </row>
    <row r="9043" spans="1:1">
      <c r="A9043" t="s">
        <v>48969</v>
      </c>
    </row>
    <row r="9044" spans="1:1">
      <c r="A9044" t="s">
        <v>48970</v>
      </c>
    </row>
    <row r="9045" spans="1:1">
      <c r="A9045" t="s">
        <v>41057</v>
      </c>
    </row>
    <row r="9046" spans="1:1">
      <c r="A9046" t="s">
        <v>41057</v>
      </c>
    </row>
    <row r="9047" spans="1:1">
      <c r="A9047" t="s">
        <v>41057</v>
      </c>
    </row>
    <row r="9048" spans="1:1">
      <c r="A9048" t="e" cm="1">
        <f t="array" ref="A9048">-------------SKVVYGDSV------------AAWTPITIR-----YNGQMEMVTFEE</f>
        <v>#NAME?</v>
      </c>
    </row>
    <row r="9049" spans="1:1">
      <c r="A9049" t="s">
        <v>49097</v>
      </c>
    </row>
    <row r="9050" spans="1:1">
      <c r="A9050" t="s">
        <v>41057</v>
      </c>
    </row>
    <row r="9051" spans="1:1">
      <c r="A9051" t="s">
        <v>41057</v>
      </c>
    </row>
    <row r="9052" spans="1:1">
      <c r="A9052" t="s">
        <v>49116</v>
      </c>
    </row>
    <row r="9053" spans="1:1">
      <c r="A9053" t="s">
        <v>49117</v>
      </c>
    </row>
    <row r="9054" spans="1:1">
      <c r="A9054" t="s">
        <v>49118</v>
      </c>
    </row>
    <row r="9055" spans="1:1">
      <c r="A9055" t="s">
        <v>49119</v>
      </c>
    </row>
    <row r="9056" spans="1:1">
      <c r="A9056" t="s">
        <v>49120</v>
      </c>
    </row>
    <row r="9057" spans="1:1">
      <c r="A9057" t="s">
        <v>49121</v>
      </c>
    </row>
    <row r="9058" spans="1:1">
      <c r="A9058" t="s">
        <v>49122</v>
      </c>
    </row>
    <row r="9059" spans="1:1">
      <c r="A9059" t="s">
        <v>49103</v>
      </c>
    </row>
    <row r="9060" spans="1:1">
      <c r="A9060" t="e" cm="1">
        <f t="array" ref="A9060">-----------------NHHFAAGVG----D--LIV---------HNTDSV--------L</f>
        <v>#NAME?</v>
      </c>
    </row>
    <row r="9061" spans="1:1">
      <c r="A9061" t="s">
        <v>42524</v>
      </c>
    </row>
    <row r="9062" spans="1:1">
      <c r="A9062" t="s">
        <v>49123</v>
      </c>
    </row>
    <row r="9063" spans="1:1">
      <c r="A9063" t="e" cm="1">
        <f t="array" ref="A9063">--------RQN----------------------------LKE----HFR----------V</f>
        <v>#NAME?</v>
      </c>
    </row>
    <row r="9064" spans="1:1">
      <c r="A9064" t="s">
        <v>49124</v>
      </c>
    </row>
    <row r="9065" spans="1:1">
      <c r="A9065" t="s">
        <v>49125</v>
      </c>
    </row>
    <row r="9066" spans="1:1">
      <c r="A9066" t="s">
        <v>41057</v>
      </c>
    </row>
    <row r="9067" spans="1:1">
      <c r="A9067" t="s">
        <v>49126</v>
      </c>
    </row>
    <row r="9068" spans="1:1">
      <c r="A9068" t="s">
        <v>41057</v>
      </c>
    </row>
    <row r="9069" spans="1:1">
      <c r="A9069" t="s">
        <v>41057</v>
      </c>
    </row>
    <row r="9070" spans="1:1">
      <c r="A9070" t="s">
        <v>41057</v>
      </c>
    </row>
    <row r="9071" spans="1:1">
      <c r="A9071" t="s">
        <v>41057</v>
      </c>
    </row>
    <row r="9072" spans="1:1">
      <c r="A9072" t="s">
        <v>41057</v>
      </c>
    </row>
    <row r="9073" spans="1:1">
      <c r="A9073" t="s">
        <v>41057</v>
      </c>
    </row>
    <row r="9074" spans="1:1">
      <c r="A9074" t="s">
        <v>41057</v>
      </c>
    </row>
    <row r="9075" spans="1:1">
      <c r="A9075" t="s">
        <v>41057</v>
      </c>
    </row>
    <row r="9076" spans="1:1">
      <c r="A9076" t="s">
        <v>49127</v>
      </c>
    </row>
    <row r="9077" spans="1:1">
      <c r="A9077" t="s">
        <v>41057</v>
      </c>
    </row>
    <row r="9078" spans="1:1">
      <c r="A9078" t="s">
        <v>41057</v>
      </c>
    </row>
    <row r="9079" spans="1:1">
      <c r="A9079" t="s">
        <v>41057</v>
      </c>
    </row>
    <row r="9080" spans="1:1">
      <c r="A9080" t="s">
        <v>41057</v>
      </c>
    </row>
    <row r="9081" spans="1:1">
      <c r="A9081" t="s">
        <v>41057</v>
      </c>
    </row>
    <row r="9082" spans="1:1">
      <c r="A9082" t="s">
        <v>41057</v>
      </c>
    </row>
    <row r="9083" spans="1:1">
      <c r="A9083" t="s">
        <v>41057</v>
      </c>
    </row>
    <row r="9084" spans="1:1">
      <c r="A9084" t="s">
        <v>49128</v>
      </c>
    </row>
    <row r="9085" spans="1:1">
      <c r="A9085" t="s">
        <v>41057</v>
      </c>
    </row>
    <row r="9086" spans="1:1">
      <c r="A9086" t="s">
        <v>41057</v>
      </c>
    </row>
    <row r="9087" spans="1:1">
      <c r="A9087" t="s">
        <v>41057</v>
      </c>
    </row>
    <row r="9088" spans="1:1">
      <c r="A9088" t="s">
        <v>45870</v>
      </c>
    </row>
    <row r="9089" spans="1:1">
      <c r="A9089" t="s">
        <v>44823</v>
      </c>
    </row>
    <row r="9090" spans="1:1">
      <c r="A9090" t="s">
        <v>49129</v>
      </c>
    </row>
    <row r="9091" spans="1:1">
      <c r="A9091" t="s">
        <v>49130</v>
      </c>
    </row>
    <row r="9092" spans="1:1">
      <c r="A9092" t="s">
        <v>49131</v>
      </c>
    </row>
    <row r="9093" spans="1:1">
      <c r="A9093" t="s">
        <v>49132</v>
      </c>
    </row>
    <row r="9094" spans="1:1">
      <c r="A9094" t="s">
        <v>41057</v>
      </c>
    </row>
    <row r="9095" spans="1:1">
      <c r="A9095" t="s">
        <v>49133</v>
      </c>
    </row>
    <row r="9096" spans="1:1">
      <c r="A9096" t="s">
        <v>49134</v>
      </c>
    </row>
    <row r="9097" spans="1:1">
      <c r="A9097" t="s">
        <v>49135</v>
      </c>
    </row>
    <row r="9098" spans="1:1">
      <c r="A9098" t="s">
        <v>42133</v>
      </c>
    </row>
    <row r="9099" spans="1:1">
      <c r="A9099" t="s">
        <v>49136</v>
      </c>
    </row>
    <row r="9100" spans="1:1">
      <c r="A9100" t="s">
        <v>49137</v>
      </c>
    </row>
    <row r="9101" spans="1:1">
      <c r="A9101" t="s">
        <v>49138</v>
      </c>
    </row>
    <row r="9102" spans="1:1">
      <c r="A9102" t="s">
        <v>48939</v>
      </c>
    </row>
    <row r="9103" spans="1:1">
      <c r="A9103" t="s">
        <v>49139</v>
      </c>
    </row>
    <row r="9104" spans="1:1">
      <c r="A9104" t="s">
        <v>48992</v>
      </c>
    </row>
    <row r="9105" spans="1:1">
      <c r="A9105" t="s">
        <v>49140</v>
      </c>
    </row>
    <row r="9106" spans="1:1">
      <c r="A9106" t="s">
        <v>49141</v>
      </c>
    </row>
    <row r="9107" spans="1:1">
      <c r="A9107" t="s">
        <v>49142</v>
      </c>
    </row>
    <row r="9108" spans="1:1">
      <c r="A9108" t="s">
        <v>49143</v>
      </c>
    </row>
    <row r="9109" spans="1:1">
      <c r="A9109" t="s">
        <v>41057</v>
      </c>
    </row>
    <row r="9110" spans="1:1">
      <c r="A9110" t="s">
        <v>41057</v>
      </c>
    </row>
    <row r="9111" spans="1:1">
      <c r="A9111" t="s">
        <v>41057</v>
      </c>
    </row>
    <row r="9112" spans="1:1">
      <c r="A9112" t="s">
        <v>49144</v>
      </c>
    </row>
    <row r="9113" spans="1:1">
      <c r="A9113" t="s">
        <v>49145</v>
      </c>
    </row>
    <row r="9114" spans="1:1">
      <c r="A9114" t="s">
        <v>45438</v>
      </c>
    </row>
    <row r="9115" spans="1:1">
      <c r="A9115" t="s">
        <v>49146</v>
      </c>
    </row>
    <row r="9116" spans="1:1">
      <c r="A9116" t="e" cm="1">
        <f t="array" ref="A9116">---DHSYLDGRA-----------------------------------------------V</f>
        <v>#NAME?</v>
      </c>
    </row>
    <row r="9117" spans="1:1">
      <c r="A9117" t="s">
        <v>49147</v>
      </c>
    </row>
    <row r="9118" spans="1:1">
      <c r="A9118" t="e" cm="1">
        <f t="array" ref="A9118">--------------------------------------SGKLIEKKLASSAYG-DNTYRY</f>
        <v>#NAME?</v>
      </c>
    </row>
    <row r="9119" spans="1:1">
      <c r="A9119" t="s">
        <v>48950</v>
      </c>
    </row>
    <row r="9120" spans="1:1">
      <c r="A9120" t="s">
        <v>48951</v>
      </c>
    </row>
    <row r="9121" spans="1:1">
      <c r="A9121" t="s">
        <v>41057</v>
      </c>
    </row>
    <row r="9122" spans="1:1">
      <c r="A9122" t="s">
        <v>48952</v>
      </c>
    </row>
    <row r="9123" spans="1:1">
      <c r="A9123" t="s">
        <v>48953</v>
      </c>
    </row>
    <row r="9124" spans="1:1">
      <c r="A9124" t="e" cm="1">
        <f t="array" ref="A9124">-------------------------KPWEM-------FRKFKE----------------I</f>
        <v>#NAME?</v>
      </c>
    </row>
    <row r="9125" spans="1:1">
      <c r="A9125" t="s">
        <v>48954</v>
      </c>
    </row>
    <row r="9126" spans="1:1">
      <c r="A9126" t="s">
        <v>41057</v>
      </c>
    </row>
    <row r="9127" spans="1:1">
      <c r="A9127" t="s">
        <v>47081</v>
      </c>
    </row>
    <row r="9128" spans="1:1">
      <c r="A9128" t="e" cm="1">
        <f t="array" ref="A9128">--------------YCVRDCE-----------------LP--------IKLVHKM-NQLN</f>
        <v>#NAME?</v>
      </c>
    </row>
    <row r="9129" spans="1:1">
      <c r="A9129" t="s">
        <v>49148</v>
      </c>
    </row>
    <row r="9130" spans="1:1">
      <c r="A9130" t="s">
        <v>49149</v>
      </c>
    </row>
    <row r="9131" spans="1:1">
      <c r="A9131" t="s">
        <v>41057</v>
      </c>
    </row>
    <row r="9132" spans="1:1">
      <c r="A9132" t="s">
        <v>49053</v>
      </c>
    </row>
    <row r="9133" spans="1:1">
      <c r="A9133" t="e" cm="1">
        <f t="array" ref="A9133">-----------LG-FT--------------------------------GAVV-LDPKSGG</f>
        <v>#NAME?</v>
      </c>
    </row>
    <row r="9134" spans="1:1">
      <c r="A9134" t="s">
        <v>48958</v>
      </c>
    </row>
    <row r="9135" spans="1:1">
      <c r="A9135" t="s">
        <v>41057</v>
      </c>
    </row>
    <row r="9136" spans="1:1">
      <c r="A9136" t="s">
        <v>41057</v>
      </c>
    </row>
    <row r="9137" spans="1:1">
      <c r="A9137" t="s">
        <v>41057</v>
      </c>
    </row>
    <row r="9138" spans="1:1">
      <c r="A9138" t="s">
        <v>41057</v>
      </c>
    </row>
    <row r="9139" spans="1:1">
      <c r="A9139" t="s">
        <v>41057</v>
      </c>
    </row>
    <row r="9140" spans="1:1">
      <c r="A9140" t="s">
        <v>41057</v>
      </c>
    </row>
    <row r="9141" spans="1:1">
      <c r="A9141" t="s">
        <v>41057</v>
      </c>
    </row>
    <row r="9142" spans="1:1">
      <c r="A9142" t="s">
        <v>41057</v>
      </c>
    </row>
    <row r="9143" spans="1:1">
      <c r="A9143" t="s">
        <v>49091</v>
      </c>
    </row>
    <row r="9144" spans="1:1">
      <c r="A9144" t="s">
        <v>49092</v>
      </c>
    </row>
    <row r="9145" spans="1:1">
      <c r="A9145" t="s">
        <v>48417</v>
      </c>
    </row>
    <row r="9146" spans="1:1">
      <c r="A9146" t="s">
        <v>41057</v>
      </c>
    </row>
    <row r="9147" spans="1:1">
      <c r="A9147" t="s">
        <v>41057</v>
      </c>
    </row>
    <row r="9148" spans="1:1">
      <c r="A9148" t="s">
        <v>49010</v>
      </c>
    </row>
    <row r="9149" spans="1:1">
      <c r="A9149" t="s">
        <v>41057</v>
      </c>
    </row>
    <row r="9150" spans="1:1">
      <c r="A9150" t="s">
        <v>49094</v>
      </c>
    </row>
    <row r="9151" spans="1:1">
      <c r="A9151" t="s">
        <v>48963</v>
      </c>
    </row>
    <row r="9152" spans="1:1">
      <c r="A9152" t="s">
        <v>49095</v>
      </c>
    </row>
    <row r="9153" spans="1:1">
      <c r="A9153" t="s">
        <v>48965</v>
      </c>
    </row>
    <row r="9154" spans="1:1">
      <c r="A9154" t="s">
        <v>49057</v>
      </c>
    </row>
    <row r="9155" spans="1:1">
      <c r="A9155" t="s">
        <v>48967</v>
      </c>
    </row>
    <row r="9156" spans="1:1">
      <c r="A9156" t="s">
        <v>41057</v>
      </c>
    </row>
    <row r="9157" spans="1:1">
      <c r="A9157" t="s">
        <v>41057</v>
      </c>
    </row>
    <row r="9158" spans="1:1">
      <c r="A9158" t="s">
        <v>41057</v>
      </c>
    </row>
    <row r="9159" spans="1:1">
      <c r="A9159" t="s">
        <v>41057</v>
      </c>
    </row>
    <row r="9160" spans="1:1">
      <c r="A9160" t="s">
        <v>41057</v>
      </c>
    </row>
    <row r="9161" spans="1:1">
      <c r="A9161" t="s">
        <v>41057</v>
      </c>
    </row>
    <row r="9162" spans="1:1">
      <c r="A9162" t="s">
        <v>41057</v>
      </c>
    </row>
    <row r="9163" spans="1:1">
      <c r="A9163" t="s">
        <v>41057</v>
      </c>
    </row>
    <row r="9164" spans="1:1">
      <c r="A9164" t="s">
        <v>41057</v>
      </c>
    </row>
    <row r="9165" spans="1:1">
      <c r="A9165" t="s">
        <v>48968</v>
      </c>
    </row>
    <row r="9166" spans="1:1">
      <c r="A9166" t="s">
        <v>41057</v>
      </c>
    </row>
    <row r="9167" spans="1:1">
      <c r="A9167" t="s">
        <v>41057</v>
      </c>
    </row>
    <row r="9168" spans="1:1">
      <c r="A9168" t="s">
        <v>41057</v>
      </c>
    </row>
    <row r="9169" spans="1:1">
      <c r="A9169" t="s">
        <v>41057</v>
      </c>
    </row>
    <row r="9170" spans="1:1">
      <c r="A9170" t="s">
        <v>41057</v>
      </c>
    </row>
    <row r="9171" spans="1:1">
      <c r="A9171" t="s">
        <v>48969</v>
      </c>
    </row>
    <row r="9172" spans="1:1">
      <c r="A9172" t="s">
        <v>48970</v>
      </c>
    </row>
    <row r="9173" spans="1:1">
      <c r="A9173" t="s">
        <v>41057</v>
      </c>
    </row>
    <row r="9174" spans="1:1">
      <c r="A9174" t="s">
        <v>41057</v>
      </c>
    </row>
    <row r="9175" spans="1:1">
      <c r="A9175" t="s">
        <v>41057</v>
      </c>
    </row>
    <row r="9176" spans="1:1">
      <c r="A9176" t="e" cm="1">
        <f t="array" ref="A9176">-------------SKVVYGDSV------------AAWTPITIRN----TTGQVEIVTFED</f>
        <v>#NAME?</v>
      </c>
    </row>
    <row r="9177" spans="1:1">
      <c r="A9177" t="s">
        <v>49097</v>
      </c>
    </row>
    <row r="9178" spans="1:1">
      <c r="A9178" t="s">
        <v>41057</v>
      </c>
    </row>
    <row r="9179" spans="1:1">
      <c r="A9179" t="s">
        <v>41057</v>
      </c>
    </row>
    <row r="9180" spans="1:1">
      <c r="A9180" t="s">
        <v>49116</v>
      </c>
    </row>
    <row r="9181" spans="1:1">
      <c r="A9181" t="s">
        <v>49150</v>
      </c>
    </row>
    <row r="9182" spans="1:1">
      <c r="A9182" t="s">
        <v>49151</v>
      </c>
    </row>
    <row r="9183" spans="1:1">
      <c r="A9183" t="s">
        <v>49152</v>
      </c>
    </row>
    <row r="9184" spans="1:1">
      <c r="A9184" t="s">
        <v>41057</v>
      </c>
    </row>
    <row r="9185" spans="1:1">
      <c r="A9185" t="s">
        <v>49101</v>
      </c>
    </row>
    <row r="9186" spans="1:1">
      <c r="A9186" t="s">
        <v>49153</v>
      </c>
    </row>
    <row r="9187" spans="1:1">
      <c r="A9187" t="s">
        <v>49103</v>
      </c>
    </row>
    <row r="9188" spans="1:1">
      <c r="A9188" t="e" cm="1">
        <f t="array" ref="A9188">-----------------NHHFAAGVG----D--LIV---------HNTDSV--------L</f>
        <v>#NAME?</v>
      </c>
    </row>
    <row r="9189" spans="1:1">
      <c r="A9189" t="s">
        <v>42524</v>
      </c>
    </row>
    <row r="9190" spans="1:1">
      <c r="A9190" t="s">
        <v>49104</v>
      </c>
    </row>
    <row r="9191" spans="1:1">
      <c r="A9191" t="e" cm="1">
        <f t="array" ref="A9191">--------RQN----------------------------LKE----HFR----------V</f>
        <v>#NAME?</v>
      </c>
    </row>
    <row r="9192" spans="1:1">
      <c r="A9192" t="s">
        <v>49124</v>
      </c>
    </row>
    <row r="9193" spans="1:1">
      <c r="A9193" t="s">
        <v>49125</v>
      </c>
    </row>
    <row r="9194" spans="1:1">
      <c r="A9194" t="s">
        <v>41057</v>
      </c>
    </row>
    <row r="9195" spans="1:1">
      <c r="A9195" t="s">
        <v>49126</v>
      </c>
    </row>
    <row r="9196" spans="1:1">
      <c r="A9196" t="s">
        <v>41057</v>
      </c>
    </row>
    <row r="9197" spans="1:1">
      <c r="A9197" t="s">
        <v>41057</v>
      </c>
    </row>
    <row r="9198" spans="1:1">
      <c r="A9198" t="s">
        <v>41057</v>
      </c>
    </row>
    <row r="9199" spans="1:1">
      <c r="A9199" t="s">
        <v>41057</v>
      </c>
    </row>
    <row r="9200" spans="1:1">
      <c r="A9200" t="s">
        <v>41057</v>
      </c>
    </row>
    <row r="9201" spans="1:1">
      <c r="A9201" t="s">
        <v>41057</v>
      </c>
    </row>
    <row r="9202" spans="1:1">
      <c r="A9202" t="s">
        <v>41057</v>
      </c>
    </row>
    <row r="9203" spans="1:1">
      <c r="A9203" t="s">
        <v>41057</v>
      </c>
    </row>
    <row r="9204" spans="1:1">
      <c r="A9204" t="s">
        <v>49127</v>
      </c>
    </row>
    <row r="9205" spans="1:1">
      <c r="A9205" t="s">
        <v>41057</v>
      </c>
    </row>
    <row r="9206" spans="1:1">
      <c r="A9206" t="s">
        <v>41057</v>
      </c>
    </row>
    <row r="9207" spans="1:1">
      <c r="A9207" t="s">
        <v>41057</v>
      </c>
    </row>
    <row r="9208" spans="1:1">
      <c r="A9208" t="s">
        <v>41057</v>
      </c>
    </row>
    <row r="9209" spans="1:1">
      <c r="A9209" t="s">
        <v>41057</v>
      </c>
    </row>
    <row r="9210" spans="1:1">
      <c r="A9210" t="s">
        <v>41057</v>
      </c>
    </row>
    <row r="9211" spans="1:1">
      <c r="A9211" t="s">
        <v>41057</v>
      </c>
    </row>
    <row r="9212" spans="1:1">
      <c r="A9212" t="s">
        <v>49128</v>
      </c>
    </row>
    <row r="9213" spans="1:1">
      <c r="A9213" t="s">
        <v>41057</v>
      </c>
    </row>
    <row r="9214" spans="1:1">
      <c r="A9214" t="s">
        <v>41057</v>
      </c>
    </row>
    <row r="9215" spans="1:1">
      <c r="A9215" t="s">
        <v>41057</v>
      </c>
    </row>
    <row r="9216" spans="1:1">
      <c r="A9216" t="s">
        <v>45870</v>
      </c>
    </row>
    <row r="9217" spans="1:1">
      <c r="A9217" t="s">
        <v>45012</v>
      </c>
    </row>
    <row r="9218" spans="1:1">
      <c r="A9218" t="s">
        <v>41057</v>
      </c>
    </row>
    <row r="9219" spans="1:1">
      <c r="A9219" t="s">
        <v>49154</v>
      </c>
    </row>
    <row r="9220" spans="1:1">
      <c r="A9220" t="s">
        <v>49155</v>
      </c>
    </row>
    <row r="9221" spans="1:1">
      <c r="A9221" t="s">
        <v>49156</v>
      </c>
    </row>
    <row r="9222" spans="1:1">
      <c r="A9222" t="s">
        <v>49157</v>
      </c>
    </row>
    <row r="9223" spans="1:1">
      <c r="A9223" t="s">
        <v>49158</v>
      </c>
    </row>
    <row r="9224" spans="1:1">
      <c r="A9224" t="s">
        <v>48934</v>
      </c>
    </row>
    <row r="9225" spans="1:1">
      <c r="A9225" t="s">
        <v>49159</v>
      </c>
    </row>
    <row r="9226" spans="1:1">
      <c r="A9226" t="e" cm="1">
        <f t="array" ref="A9226">----------------------------------------------------------TR</f>
        <v>#NAME?</v>
      </c>
    </row>
    <row r="9227" spans="1:1">
      <c r="A9227" t="s">
        <v>49160</v>
      </c>
    </row>
    <row r="9228" spans="1:1">
      <c r="A9228" t="s">
        <v>48937</v>
      </c>
    </row>
    <row r="9229" spans="1:1">
      <c r="A9229" t="s">
        <v>49161</v>
      </c>
    </row>
    <row r="9230" spans="1:1">
      <c r="A9230" t="s">
        <v>49162</v>
      </c>
    </row>
    <row r="9231" spans="1:1">
      <c r="A9231" t="s">
        <v>49163</v>
      </c>
    </row>
    <row r="9232" spans="1:1">
      <c r="A9232" t="s">
        <v>49164</v>
      </c>
    </row>
    <row r="9233" spans="1:1">
      <c r="A9233" t="s">
        <v>49165</v>
      </c>
    </row>
    <row r="9234" spans="1:1">
      <c r="A9234" t="s">
        <v>49166</v>
      </c>
    </row>
    <row r="9235" spans="1:1">
      <c r="A9235" t="s">
        <v>49167</v>
      </c>
    </row>
    <row r="9236" spans="1:1">
      <c r="A9236" t="s">
        <v>48996</v>
      </c>
    </row>
    <row r="9237" spans="1:1">
      <c r="A9237" t="s">
        <v>41057</v>
      </c>
    </row>
    <row r="9238" spans="1:1">
      <c r="A9238" t="s">
        <v>41057</v>
      </c>
    </row>
    <row r="9239" spans="1:1">
      <c r="A9239" t="s">
        <v>41057</v>
      </c>
    </row>
    <row r="9240" spans="1:1">
      <c r="A9240" t="s">
        <v>49168</v>
      </c>
    </row>
    <row r="9241" spans="1:1">
      <c r="A9241" t="s">
        <v>49169</v>
      </c>
    </row>
    <row r="9242" spans="1:1">
      <c r="A9242" t="s">
        <v>45438</v>
      </c>
    </row>
    <row r="9243" spans="1:1">
      <c r="A9243" t="s">
        <v>49170</v>
      </c>
    </row>
    <row r="9244" spans="1:1">
      <c r="A9244" t="e" cm="1">
        <f t="array" ref="A9244">---DHSYIDGRA-----------------------------------------------V</f>
        <v>#NAME?</v>
      </c>
    </row>
    <row r="9245" spans="1:1">
      <c r="A9245" t="s">
        <v>49171</v>
      </c>
    </row>
    <row r="9246" spans="1:1">
      <c r="A9246" t="e" cm="1">
        <f t="array" ref="A9246">--------------------------------------SGKLLEKKLASSAYG-DNTYRY</f>
        <v>#NAME?</v>
      </c>
    </row>
    <row r="9247" spans="1:1">
      <c r="A9247" t="s">
        <v>49172</v>
      </c>
    </row>
    <row r="9248" spans="1:1">
      <c r="A9248" t="s">
        <v>48951</v>
      </c>
    </row>
    <row r="9249" spans="1:1">
      <c r="A9249" t="s">
        <v>41057</v>
      </c>
    </row>
    <row r="9250" spans="1:1">
      <c r="A9250" t="s">
        <v>49173</v>
      </c>
    </row>
    <row r="9251" spans="1:1">
      <c r="A9251" t="s">
        <v>49001</v>
      </c>
    </row>
    <row r="9252" spans="1:1">
      <c r="A9252" t="e" cm="1">
        <f t="array" ref="A9252">-------------------------KPWEM-------FDKFKE----------------S</f>
        <v>#NAME?</v>
      </c>
    </row>
    <row r="9253" spans="1:1">
      <c r="A9253" t="s">
        <v>49174</v>
      </c>
    </row>
    <row r="9254" spans="1:1">
      <c r="A9254" t="s">
        <v>41057</v>
      </c>
    </row>
    <row r="9255" spans="1:1">
      <c r="A9255" t="s">
        <v>47081</v>
      </c>
    </row>
    <row r="9256" spans="1:1">
      <c r="A9256" t="e" cm="1">
        <f t="array" ref="A9256">--------------YCVRDCE-----------------LP--------ISLVHKM-NMLN</f>
        <v>#NAME?</v>
      </c>
    </row>
    <row r="9257" spans="1:1">
      <c r="A9257" t="s">
        <v>49175</v>
      </c>
    </row>
    <row r="9258" spans="1:1">
      <c r="A9258" t="s">
        <v>49176</v>
      </c>
    </row>
    <row r="9259" spans="1:1">
      <c r="A9259" t="s">
        <v>41057</v>
      </c>
    </row>
    <row r="9260" spans="1:1">
      <c r="A9260" t="s">
        <v>49177</v>
      </c>
    </row>
    <row r="9261" spans="1:1">
      <c r="A9261" t="e" cm="1">
        <f t="array" ref="A9261">-----------LG-FT--------------------------------GAVV-LEPKSGG</f>
        <v>#NAME?</v>
      </c>
    </row>
    <row r="9262" spans="1:1">
      <c r="A9262" t="s">
        <v>49178</v>
      </c>
    </row>
    <row r="9263" spans="1:1">
      <c r="A9263" t="s">
        <v>41057</v>
      </c>
    </row>
    <row r="9264" spans="1:1">
      <c r="A9264" t="s">
        <v>41057</v>
      </c>
    </row>
    <row r="9265" spans="1:1">
      <c r="A9265" t="s">
        <v>41057</v>
      </c>
    </row>
    <row r="9266" spans="1:1">
      <c r="A9266" t="s">
        <v>41057</v>
      </c>
    </row>
    <row r="9267" spans="1:1">
      <c r="A9267" t="s">
        <v>41057</v>
      </c>
    </row>
    <row r="9268" spans="1:1">
      <c r="A9268" t="s">
        <v>41057</v>
      </c>
    </row>
    <row r="9269" spans="1:1">
      <c r="A9269" t="s">
        <v>41057</v>
      </c>
    </row>
    <row r="9270" spans="1:1">
      <c r="A9270" t="s">
        <v>41057</v>
      </c>
    </row>
    <row r="9271" spans="1:1">
      <c r="A9271" t="s">
        <v>48959</v>
      </c>
    </row>
    <row r="9272" spans="1:1">
      <c r="A9272" t="s">
        <v>49179</v>
      </c>
    </row>
    <row r="9273" spans="1:1">
      <c r="A9273" t="s">
        <v>48150</v>
      </c>
    </row>
    <row r="9274" spans="1:1">
      <c r="A9274" t="s">
        <v>41057</v>
      </c>
    </row>
    <row r="9275" spans="1:1">
      <c r="A9275" t="s">
        <v>41057</v>
      </c>
    </row>
    <row r="9276" spans="1:1">
      <c r="A9276" t="s">
        <v>48961</v>
      </c>
    </row>
    <row r="9277" spans="1:1">
      <c r="A9277" t="s">
        <v>41057</v>
      </c>
    </row>
    <row r="9278" spans="1:1">
      <c r="A9278" t="s">
        <v>48962</v>
      </c>
    </row>
    <row r="9279" spans="1:1">
      <c r="A9279" t="s">
        <v>48963</v>
      </c>
    </row>
    <row r="9280" spans="1:1">
      <c r="A9280" t="s">
        <v>49095</v>
      </c>
    </row>
    <row r="9281" spans="1:1">
      <c r="A9281" t="s">
        <v>49180</v>
      </c>
    </row>
    <row r="9282" spans="1:1">
      <c r="A9282" t="s">
        <v>49181</v>
      </c>
    </row>
    <row r="9283" spans="1:1">
      <c r="A9283" t="s">
        <v>48967</v>
      </c>
    </row>
    <row r="9284" spans="1:1">
      <c r="A9284" t="s">
        <v>41057</v>
      </c>
    </row>
    <row r="9285" spans="1:1">
      <c r="A9285" t="s">
        <v>41057</v>
      </c>
    </row>
    <row r="9286" spans="1:1">
      <c r="A9286" t="s">
        <v>41057</v>
      </c>
    </row>
    <row r="9287" spans="1:1">
      <c r="A9287" t="s">
        <v>41057</v>
      </c>
    </row>
    <row r="9288" spans="1:1">
      <c r="A9288" t="s">
        <v>41057</v>
      </c>
    </row>
    <row r="9289" spans="1:1">
      <c r="A9289" t="s">
        <v>41057</v>
      </c>
    </row>
    <row r="9290" spans="1:1">
      <c r="A9290" t="s">
        <v>41057</v>
      </c>
    </row>
    <row r="9291" spans="1:1">
      <c r="A9291" t="s">
        <v>41057</v>
      </c>
    </row>
    <row r="9292" spans="1:1">
      <c r="A9292" t="s">
        <v>41057</v>
      </c>
    </row>
    <row r="9293" spans="1:1">
      <c r="A9293" t="s">
        <v>48968</v>
      </c>
    </row>
    <row r="9294" spans="1:1">
      <c r="A9294" t="s">
        <v>41057</v>
      </c>
    </row>
    <row r="9295" spans="1:1">
      <c r="A9295" t="s">
        <v>41057</v>
      </c>
    </row>
    <row r="9296" spans="1:1">
      <c r="A9296" t="s">
        <v>41057</v>
      </c>
    </row>
    <row r="9297" spans="1:1">
      <c r="A9297" t="s">
        <v>41057</v>
      </c>
    </row>
    <row r="9298" spans="1:1">
      <c r="A9298" t="s">
        <v>41057</v>
      </c>
    </row>
    <row r="9299" spans="1:1">
      <c r="A9299" t="s">
        <v>48969</v>
      </c>
    </row>
    <row r="9300" spans="1:1">
      <c r="A9300" t="s">
        <v>49014</v>
      </c>
    </row>
    <row r="9301" spans="1:1">
      <c r="A9301" t="s">
        <v>41057</v>
      </c>
    </row>
    <row r="9302" spans="1:1">
      <c r="A9302" t="s">
        <v>41057</v>
      </c>
    </row>
    <row r="9303" spans="1:1">
      <c r="A9303" t="s">
        <v>41057</v>
      </c>
    </row>
    <row r="9304" spans="1:1">
      <c r="A9304" t="e" cm="1">
        <f t="array" ref="A9304">-------------SQVVYGDSV------------AAYTPIYVK-----REGESTLTTCEA</f>
        <v>#NAME?</v>
      </c>
    </row>
    <row r="9305" spans="1:1">
      <c r="A9305" t="s">
        <v>49182</v>
      </c>
    </row>
    <row r="9306" spans="1:1">
      <c r="A9306" t="s">
        <v>41057</v>
      </c>
    </row>
    <row r="9307" spans="1:1">
      <c r="A9307" t="s">
        <v>41057</v>
      </c>
    </row>
    <row r="9308" spans="1:1">
      <c r="A9308" t="s">
        <v>49183</v>
      </c>
    </row>
    <row r="9309" spans="1:1">
      <c r="A9309" t="s">
        <v>49184</v>
      </c>
    </row>
    <row r="9310" spans="1:1">
      <c r="A9310" t="s">
        <v>41057</v>
      </c>
    </row>
    <row r="9311" spans="1:1">
      <c r="A9311" t="s">
        <v>49185</v>
      </c>
    </row>
    <row r="9312" spans="1:1">
      <c r="A9312" t="s">
        <v>41057</v>
      </c>
    </row>
    <row r="9313" spans="1:1">
      <c r="A9313" t="s">
        <v>49186</v>
      </c>
    </row>
    <row r="9314" spans="1:1">
      <c r="A9314" t="s">
        <v>49187</v>
      </c>
    </row>
    <row r="9315" spans="1:1">
      <c r="A9315" t="s">
        <v>49188</v>
      </c>
    </row>
    <row r="9316" spans="1:1">
      <c r="A9316" t="e" cm="1">
        <f t="array" ref="A9316">-----------------NGHFSAGVG----D--IVV---------HNTDSV--------L</f>
        <v>#NAME?</v>
      </c>
    </row>
    <row r="9317" spans="1:1">
      <c r="A9317" t="s">
        <v>42524</v>
      </c>
    </row>
    <row r="9318" spans="1:1">
      <c r="A9318" t="s">
        <v>49189</v>
      </c>
    </row>
    <row r="9319" spans="1:1">
      <c r="A9319" t="e" cm="1">
        <f t="array" ref="A9319">--------RQN----------------------------LPR----HFE----------V</f>
        <v>#NAME?</v>
      </c>
    </row>
    <row r="9320" spans="1:1">
      <c r="A9320" t="s">
        <v>49190</v>
      </c>
    </row>
    <row r="9321" spans="1:1">
      <c r="A9321" t="s">
        <v>41057</v>
      </c>
    </row>
    <row r="9322" spans="1:1">
      <c r="A9322" t="s">
        <v>41057</v>
      </c>
    </row>
    <row r="9323" spans="1:1">
      <c r="A9323" t="s">
        <v>41057</v>
      </c>
    </row>
    <row r="9324" spans="1:1">
      <c r="A9324" t="s">
        <v>41057</v>
      </c>
    </row>
    <row r="9325" spans="1:1">
      <c r="A9325" t="s">
        <v>41057</v>
      </c>
    </row>
    <row r="9326" spans="1:1">
      <c r="A9326" t="s">
        <v>41057</v>
      </c>
    </row>
    <row r="9327" spans="1:1">
      <c r="A9327" t="s">
        <v>41057</v>
      </c>
    </row>
    <row r="9328" spans="1:1">
      <c r="A9328" t="s">
        <v>41057</v>
      </c>
    </row>
    <row r="9329" spans="1:1">
      <c r="A9329" t="s">
        <v>41057</v>
      </c>
    </row>
    <row r="9330" spans="1:1">
      <c r="A9330" t="s">
        <v>41057</v>
      </c>
    </row>
    <row r="9331" spans="1:1">
      <c r="A9331" t="s">
        <v>41057</v>
      </c>
    </row>
    <row r="9332" spans="1:1">
      <c r="A9332" t="s">
        <v>41057</v>
      </c>
    </row>
    <row r="9333" spans="1:1">
      <c r="A9333" t="s">
        <v>41057</v>
      </c>
    </row>
    <row r="9334" spans="1:1">
      <c r="A9334" t="s">
        <v>41057</v>
      </c>
    </row>
    <row r="9335" spans="1:1">
      <c r="A9335" t="s">
        <v>41057</v>
      </c>
    </row>
    <row r="9336" spans="1:1">
      <c r="A9336" t="s">
        <v>41057</v>
      </c>
    </row>
    <row r="9337" spans="1:1">
      <c r="A9337" t="s">
        <v>41057</v>
      </c>
    </row>
    <row r="9338" spans="1:1">
      <c r="A9338" t="s">
        <v>41057</v>
      </c>
    </row>
    <row r="9339" spans="1:1">
      <c r="A9339" t="s">
        <v>41057</v>
      </c>
    </row>
    <row r="9340" spans="1:1">
      <c r="A9340" t="s">
        <v>41057</v>
      </c>
    </row>
    <row r="9341" spans="1:1">
      <c r="A9341" t="s">
        <v>41057</v>
      </c>
    </row>
    <row r="9342" spans="1:1">
      <c r="A9342" t="s">
        <v>41057</v>
      </c>
    </row>
    <row r="9343" spans="1:1">
      <c r="A9343" t="s">
        <v>41057</v>
      </c>
    </row>
    <row r="9344" spans="1:1">
      <c r="A9344" t="s">
        <v>45870</v>
      </c>
    </row>
    <row r="9345" spans="1:1">
      <c r="A9345" t="s">
        <v>45211</v>
      </c>
    </row>
    <row r="9346" spans="1:1">
      <c r="A9346" t="s">
        <v>49191</v>
      </c>
    </row>
    <row r="9347" spans="1:1">
      <c r="A9347" t="s">
        <v>49192</v>
      </c>
    </row>
    <row r="9348" spans="1:1">
      <c r="A9348" t="e" cm="1">
        <f t="array" ref="A9348">--KCPCVPLA--------------QQVLRHLRKILVRTNEKTNECTRGRDFLSCSITDVA</f>
        <v>#NAME?</v>
      </c>
    </row>
    <row r="9349" spans="1:1">
      <c r="A9349" t="s">
        <v>49193</v>
      </c>
    </row>
    <row r="9350" spans="1:1">
      <c r="A9350" t="s">
        <v>49194</v>
      </c>
    </row>
    <row r="9351" spans="1:1">
      <c r="A9351" t="s">
        <v>49195</v>
      </c>
    </row>
    <row r="9352" spans="1:1">
      <c r="A9352" t="s">
        <v>49196</v>
      </c>
    </row>
    <row r="9353" spans="1:1">
      <c r="A9353" t="s">
        <v>49197</v>
      </c>
    </row>
    <row r="9354" spans="1:1">
      <c r="A9354" t="e" cm="1">
        <f t="array" ref="A9354">-------------------------------TTEH-----------------------LQ</f>
        <v>#NAME?</v>
      </c>
    </row>
    <row r="9355" spans="1:1">
      <c r="A9355" t="s">
        <v>49198</v>
      </c>
    </row>
    <row r="9356" spans="1:1">
      <c r="A9356" t="s">
        <v>49199</v>
      </c>
    </row>
    <row r="9357" spans="1:1">
      <c r="A9357" t="s">
        <v>49200</v>
      </c>
    </row>
    <row r="9358" spans="1:1">
      <c r="A9358" t="s">
        <v>49201</v>
      </c>
    </row>
    <row r="9359" spans="1:1">
      <c r="A9359" t="s">
        <v>49202</v>
      </c>
    </row>
    <row r="9360" spans="1:1">
      <c r="A9360" t="s">
        <v>49203</v>
      </c>
    </row>
    <row r="9361" spans="1:1">
      <c r="A9361" t="s">
        <v>49204</v>
      </c>
    </row>
    <row r="9362" spans="1:1">
      <c r="A9362" t="s">
        <v>49205</v>
      </c>
    </row>
    <row r="9363" spans="1:1">
      <c r="A9363" t="s">
        <v>49206</v>
      </c>
    </row>
    <row r="9364" spans="1:1">
      <c r="A9364" t="s">
        <v>49207</v>
      </c>
    </row>
    <row r="9365" spans="1:1">
      <c r="A9365" t="s">
        <v>41057</v>
      </c>
    </row>
    <row r="9366" spans="1:1">
      <c r="A9366" t="s">
        <v>41057</v>
      </c>
    </row>
    <row r="9367" spans="1:1">
      <c r="A9367" t="s">
        <v>41057</v>
      </c>
    </row>
    <row r="9368" spans="1:1">
      <c r="A9368" t="s">
        <v>49208</v>
      </c>
    </row>
    <row r="9369" spans="1:1">
      <c r="A9369" t="s">
        <v>49209</v>
      </c>
    </row>
    <row r="9370" spans="1:1">
      <c r="A9370" t="s">
        <v>45438</v>
      </c>
    </row>
    <row r="9371" spans="1:1">
      <c r="A9371" t="s">
        <v>49210</v>
      </c>
    </row>
    <row r="9372" spans="1:1">
      <c r="A9372" t="e" cm="1">
        <f t="array" ref="A9372">---DFKYIDDRS-----------------------------------------------T</f>
        <v>#NAME?</v>
      </c>
    </row>
    <row r="9373" spans="1:1">
      <c r="A9373" t="s">
        <v>49211</v>
      </c>
    </row>
    <row r="9374" spans="1:1">
      <c r="A9374" t="e" cm="1">
        <f t="array" ref="A9374">--------------------------------------GGDRVEKNLQSSAYG-NNKYIY</f>
        <v>#NAME?</v>
      </c>
    </row>
    <row r="9375" spans="1:1">
      <c r="A9375" t="s">
        <v>49212</v>
      </c>
    </row>
    <row r="9376" spans="1:1">
      <c r="A9376" t="s">
        <v>49213</v>
      </c>
    </row>
    <row r="9377" spans="1:1">
      <c r="A9377" t="s">
        <v>41057</v>
      </c>
    </row>
    <row r="9378" spans="1:1">
      <c r="A9378" t="s">
        <v>49214</v>
      </c>
    </row>
    <row r="9379" spans="1:1">
      <c r="A9379" t="s">
        <v>49215</v>
      </c>
    </row>
    <row r="9380" spans="1:1">
      <c r="A9380" t="e" cm="1">
        <f t="array" ref="A9380">-------------------------KPKEI-------FSCFKE----------------D</f>
        <v>#NAME?</v>
      </c>
    </row>
    <row r="9381" spans="1:1">
      <c r="A9381" t="s">
        <v>49216</v>
      </c>
    </row>
    <row r="9382" spans="1:1">
      <c r="A9382" t="s">
        <v>41057</v>
      </c>
    </row>
    <row r="9383" spans="1:1">
      <c r="A9383" t="s">
        <v>47081</v>
      </c>
    </row>
    <row r="9384" spans="1:1">
      <c r="A9384" t="e" cm="1">
        <f t="array" ref="A9384">--------------YCIRDCA-----------------IP--------LYLLNKL-NVLT</f>
        <v>#NAME?</v>
      </c>
    </row>
    <row r="9385" spans="1:1">
      <c r="A9385" t="s">
        <v>49217</v>
      </c>
    </row>
    <row r="9386" spans="1:1">
      <c r="A9386" t="s">
        <v>49218</v>
      </c>
    </row>
    <row r="9387" spans="1:1">
      <c r="A9387" t="s">
        <v>41057</v>
      </c>
    </row>
    <row r="9388" spans="1:1">
      <c r="A9388" t="s">
        <v>49219</v>
      </c>
    </row>
    <row r="9389" spans="1:1">
      <c r="A9389" t="e" cm="1">
        <f t="array" ref="A9389">-----------SS-YV--------------------------------GATV-LEPKVGA</f>
        <v>#NAME?</v>
      </c>
    </row>
    <row r="9390" spans="1:1">
      <c r="A9390" t="s">
        <v>49220</v>
      </c>
    </row>
    <row r="9391" spans="1:1">
      <c r="A9391" t="s">
        <v>41057</v>
      </c>
    </row>
    <row r="9392" spans="1:1">
      <c r="A9392" t="s">
        <v>41057</v>
      </c>
    </row>
    <row r="9393" spans="1:1">
      <c r="A9393" t="s">
        <v>41057</v>
      </c>
    </row>
    <row r="9394" spans="1:1">
      <c r="A9394" t="s">
        <v>41057</v>
      </c>
    </row>
    <row r="9395" spans="1:1">
      <c r="A9395" t="s">
        <v>41057</v>
      </c>
    </row>
    <row r="9396" spans="1:1">
      <c r="A9396" t="s">
        <v>41057</v>
      </c>
    </row>
    <row r="9397" spans="1:1">
      <c r="A9397" t="s">
        <v>41057</v>
      </c>
    </row>
    <row r="9398" spans="1:1">
      <c r="A9398" t="s">
        <v>41057</v>
      </c>
    </row>
    <row r="9399" spans="1:1">
      <c r="A9399" t="s">
        <v>49221</v>
      </c>
    </row>
    <row r="9400" spans="1:1">
      <c r="A9400" t="s">
        <v>49222</v>
      </c>
    </row>
    <row r="9401" spans="1:1">
      <c r="A9401" t="s">
        <v>48150</v>
      </c>
    </row>
    <row r="9402" spans="1:1">
      <c r="A9402" t="s">
        <v>41057</v>
      </c>
    </row>
    <row r="9403" spans="1:1">
      <c r="A9403" t="s">
        <v>41057</v>
      </c>
    </row>
    <row r="9404" spans="1:1">
      <c r="A9404" t="s">
        <v>49223</v>
      </c>
    </row>
    <row r="9405" spans="1:1">
      <c r="A9405" t="s">
        <v>41057</v>
      </c>
    </row>
    <row r="9406" spans="1:1">
      <c r="A9406" t="s">
        <v>49224</v>
      </c>
    </row>
    <row r="9407" spans="1:1">
      <c r="A9407" t="s">
        <v>48963</v>
      </c>
    </row>
    <row r="9408" spans="1:1">
      <c r="A9408" t="s">
        <v>49225</v>
      </c>
    </row>
    <row r="9409" spans="1:1">
      <c r="A9409" t="s">
        <v>49226</v>
      </c>
    </row>
    <row r="9410" spans="1:1">
      <c r="A9410" t="s">
        <v>49227</v>
      </c>
    </row>
    <row r="9411" spans="1:1">
      <c r="A9411" t="s">
        <v>49228</v>
      </c>
    </row>
    <row r="9412" spans="1:1">
      <c r="A9412" t="s">
        <v>41057</v>
      </c>
    </row>
    <row r="9413" spans="1:1">
      <c r="A9413" t="s">
        <v>41057</v>
      </c>
    </row>
    <row r="9414" spans="1:1">
      <c r="A9414" t="s">
        <v>41057</v>
      </c>
    </row>
    <row r="9415" spans="1:1">
      <c r="A9415" t="s">
        <v>41057</v>
      </c>
    </row>
    <row r="9416" spans="1:1">
      <c r="A9416" t="s">
        <v>41057</v>
      </c>
    </row>
    <row r="9417" spans="1:1">
      <c r="A9417" t="s">
        <v>41057</v>
      </c>
    </row>
    <row r="9418" spans="1:1">
      <c r="A9418" t="s">
        <v>41057</v>
      </c>
    </row>
    <row r="9419" spans="1:1">
      <c r="A9419" t="s">
        <v>41057</v>
      </c>
    </row>
    <row r="9420" spans="1:1">
      <c r="A9420" t="s">
        <v>41057</v>
      </c>
    </row>
    <row r="9421" spans="1:1">
      <c r="A9421" t="s">
        <v>48661</v>
      </c>
    </row>
    <row r="9422" spans="1:1">
      <c r="A9422" t="s">
        <v>41057</v>
      </c>
    </row>
    <row r="9423" spans="1:1">
      <c r="A9423" t="s">
        <v>41057</v>
      </c>
    </row>
    <row r="9424" spans="1:1">
      <c r="A9424" t="s">
        <v>41057</v>
      </c>
    </row>
    <row r="9425" spans="1:1">
      <c r="A9425" t="s">
        <v>41057</v>
      </c>
    </row>
    <row r="9426" spans="1:1">
      <c r="A9426" t="s">
        <v>41057</v>
      </c>
    </row>
    <row r="9427" spans="1:1">
      <c r="A9427" t="s">
        <v>49229</v>
      </c>
    </row>
    <row r="9428" spans="1:1">
      <c r="A9428" t="s">
        <v>49230</v>
      </c>
    </row>
    <row r="9429" spans="1:1">
      <c r="A9429" t="s">
        <v>41057</v>
      </c>
    </row>
    <row r="9430" spans="1:1">
      <c r="A9430" t="s">
        <v>41057</v>
      </c>
    </row>
    <row r="9431" spans="1:1">
      <c r="A9431" t="s">
        <v>41057</v>
      </c>
    </row>
    <row r="9432" spans="1:1">
      <c r="A9432" t="s">
        <v>48971</v>
      </c>
    </row>
    <row r="9433" spans="1:1">
      <c r="A9433" t="s">
        <v>41057</v>
      </c>
    </row>
    <row r="9434" spans="1:1">
      <c r="A9434" t="s">
        <v>41057</v>
      </c>
    </row>
    <row r="9435" spans="1:1">
      <c r="A9435" t="s">
        <v>41057</v>
      </c>
    </row>
    <row r="9436" spans="1:1">
      <c r="A9436" t="s">
        <v>41057</v>
      </c>
    </row>
    <row r="9437" spans="1:1">
      <c r="A9437" t="s">
        <v>41057</v>
      </c>
    </row>
    <row r="9438" spans="1:1">
      <c r="A9438" t="s">
        <v>41057</v>
      </c>
    </row>
    <row r="9439" spans="1:1">
      <c r="A9439" t="s">
        <v>41057</v>
      </c>
    </row>
    <row r="9440" spans="1:1">
      <c r="A9440" t="s">
        <v>41057</v>
      </c>
    </row>
    <row r="9441" spans="1:1">
      <c r="A9441" t="s">
        <v>41057</v>
      </c>
    </row>
    <row r="9442" spans="1:1">
      <c r="A9442" t="s">
        <v>41057</v>
      </c>
    </row>
    <row r="9443" spans="1:1">
      <c r="A9443" t="s">
        <v>41057</v>
      </c>
    </row>
    <row r="9444" spans="1:1">
      <c r="A9444" t="e" cm="1">
        <f t="array" ref="A9444">-----------------------------------------------TDSV--------F</f>
        <v>#NAME?</v>
      </c>
    </row>
    <row r="9445" spans="1:1">
      <c r="A9445" t="s">
        <v>42524</v>
      </c>
    </row>
    <row r="9446" spans="1:1">
      <c r="A9446" t="s">
        <v>49231</v>
      </c>
    </row>
    <row r="9447" spans="1:1">
      <c r="A9447" t="e" cm="1">
        <f t="array" ref="A9447">--------RTN----------------------------LAA----HMK----------K</f>
        <v>#NAME?</v>
      </c>
    </row>
    <row r="9448" spans="1:1">
      <c r="A9448" t="s">
        <v>49232</v>
      </c>
    </row>
    <row r="9449" spans="1:1">
      <c r="A9449" t="e" cm="1">
        <f t="array" ref="A9449">--------PN------ILEYEK-VYYPFLL----------F-SKKRYC-----------G</f>
        <v>#NAME?</v>
      </c>
    </row>
    <row r="9450" spans="1:1">
      <c r="A9450" t="s">
        <v>49233</v>
      </c>
    </row>
    <row r="9451" spans="1:1">
      <c r="A9451" t="s">
        <v>49234</v>
      </c>
    </row>
    <row r="9452" spans="1:1">
      <c r="A9452" t="s">
        <v>49235</v>
      </c>
    </row>
    <row r="9453" spans="1:1">
      <c r="A9453" t="s">
        <v>49236</v>
      </c>
    </row>
    <row r="9454" spans="1:1">
      <c r="A9454" t="s">
        <v>49237</v>
      </c>
    </row>
    <row r="9455" spans="1:1">
      <c r="A9455" t="s">
        <v>49238</v>
      </c>
    </row>
    <row r="9456" spans="1:1">
      <c r="A9456" t="s">
        <v>49239</v>
      </c>
    </row>
    <row r="9457" spans="1:1">
      <c r="A9457" t="s">
        <v>49240</v>
      </c>
    </row>
    <row r="9458" spans="1:1">
      <c r="A9458" t="s">
        <v>49241</v>
      </c>
    </row>
    <row r="9459" spans="1:1">
      <c r="A9459" t="s">
        <v>49242</v>
      </c>
    </row>
    <row r="9460" spans="1:1">
      <c r="A9460" t="s">
        <v>49243</v>
      </c>
    </row>
    <row r="9461" spans="1:1">
      <c r="A9461" t="s">
        <v>41057</v>
      </c>
    </row>
    <row r="9462" spans="1:1">
      <c r="A9462" t="s">
        <v>49244</v>
      </c>
    </row>
    <row r="9463" spans="1:1">
      <c r="A9463" t="s">
        <v>49245</v>
      </c>
    </row>
    <row r="9464" spans="1:1">
      <c r="A9464" t="s">
        <v>49246</v>
      </c>
    </row>
    <row r="9465" spans="1:1">
      <c r="A9465" t="s">
        <v>48485</v>
      </c>
    </row>
    <row r="9466" spans="1:1">
      <c r="A9466" t="s">
        <v>49247</v>
      </c>
    </row>
    <row r="9467" spans="1:1">
      <c r="A9467" t="s">
        <v>49248</v>
      </c>
    </row>
    <row r="9468" spans="1:1">
      <c r="A9468" t="s">
        <v>49249</v>
      </c>
    </row>
    <row r="9469" spans="1:1">
      <c r="A9469" t="s">
        <v>41057</v>
      </c>
    </row>
    <row r="9470" spans="1:1">
      <c r="A9470" t="s">
        <v>41057</v>
      </c>
    </row>
    <row r="9471" spans="1:1">
      <c r="A9471" t="s">
        <v>41057</v>
      </c>
    </row>
    <row r="9472" spans="1:1">
      <c r="A9472" t="s">
        <v>45870</v>
      </c>
    </row>
    <row r="9473" spans="1:1">
      <c r="A9473" t="s">
        <v>44360</v>
      </c>
    </row>
    <row r="9474" spans="1:1">
      <c r="A9474" t="s">
        <v>41057</v>
      </c>
    </row>
    <row r="9475" spans="1:1">
      <c r="A9475" t="s">
        <v>41057</v>
      </c>
    </row>
    <row r="9476" spans="1:1">
      <c r="A9476" t="s">
        <v>41057</v>
      </c>
    </row>
    <row r="9477" spans="1:1">
      <c r="A9477" t="s">
        <v>41057</v>
      </c>
    </row>
    <row r="9478" spans="1:1">
      <c r="A9478" t="s">
        <v>41057</v>
      </c>
    </row>
    <row r="9479" spans="1:1">
      <c r="A9479" t="e" cm="1">
        <f t="array" ref="A9479">---------------------------------------------MTIHGRYGLRAQPPN</f>
        <v>#NAME?</v>
      </c>
    </row>
    <row r="9480" spans="1:1">
      <c r="A9480" t="s">
        <v>49250</v>
      </c>
    </row>
    <row r="9481" spans="1:1">
      <c r="A9481" t="s">
        <v>49251</v>
      </c>
    </row>
    <row r="9482" spans="1:1">
      <c r="A9482" t="e" cm="1">
        <f t="array" ref="A9482">---------DYDETVIASDKFISTLPAENAHEYVK-----------------------RK</f>
        <v>#NAME?</v>
      </c>
    </row>
    <row r="9483" spans="1:1">
      <c r="A9483" t="s">
        <v>49252</v>
      </c>
    </row>
    <row r="9484" spans="1:1">
      <c r="A9484" t="s">
        <v>49253</v>
      </c>
    </row>
    <row r="9485" spans="1:1">
      <c r="A9485" t="s">
        <v>49254</v>
      </c>
    </row>
    <row r="9486" spans="1:1">
      <c r="A9486" t="s">
        <v>49255</v>
      </c>
    </row>
    <row r="9487" spans="1:1">
      <c r="A9487" t="s">
        <v>49256</v>
      </c>
    </row>
    <row r="9488" spans="1:1">
      <c r="A9488" t="s">
        <v>49257</v>
      </c>
    </row>
    <row r="9489" spans="1:1">
      <c r="A9489" t="s">
        <v>49258</v>
      </c>
    </row>
    <row r="9490" spans="1:1">
      <c r="A9490" t="s">
        <v>49259</v>
      </c>
    </row>
    <row r="9491" spans="1:1">
      <c r="A9491" t="s">
        <v>49260</v>
      </c>
    </row>
    <row r="9492" spans="1:1">
      <c r="A9492" t="s">
        <v>49261</v>
      </c>
    </row>
    <row r="9493" spans="1:1">
      <c r="A9493" t="s">
        <v>41057</v>
      </c>
    </row>
    <row r="9494" spans="1:1">
      <c r="A9494" t="s">
        <v>41057</v>
      </c>
    </row>
    <row r="9495" spans="1:1">
      <c r="A9495" t="s">
        <v>41057</v>
      </c>
    </row>
    <row r="9496" spans="1:1">
      <c r="A9496" t="s">
        <v>49262</v>
      </c>
    </row>
    <row r="9497" spans="1:1">
      <c r="A9497" t="s">
        <v>49263</v>
      </c>
    </row>
    <row r="9498" spans="1:1">
      <c r="A9498" t="s">
        <v>46798</v>
      </c>
    </row>
    <row r="9499" spans="1:1">
      <c r="A9499" t="s">
        <v>49264</v>
      </c>
    </row>
    <row r="9500" spans="1:1">
      <c r="A9500" t="s">
        <v>49265</v>
      </c>
    </row>
    <row r="9501" spans="1:1">
      <c r="A9501" t="s">
        <v>49266</v>
      </c>
    </row>
    <row r="9502" spans="1:1">
      <c r="A9502" t="e" cm="1">
        <f t="array" ref="A9502">--------------------------------------KTESQAKELESSALG-QNRMFP</f>
        <v>#NAME?</v>
      </c>
    </row>
    <row r="9503" spans="1:1">
      <c r="A9503" t="s">
        <v>49267</v>
      </c>
    </row>
    <row r="9504" spans="1:1">
      <c r="A9504" t="s">
        <v>49268</v>
      </c>
    </row>
    <row r="9505" spans="1:1">
      <c r="A9505" t="s">
        <v>41057</v>
      </c>
    </row>
    <row r="9506" spans="1:1">
      <c r="A9506" t="s">
        <v>49269</v>
      </c>
    </row>
    <row r="9507" spans="1:1">
      <c r="A9507" t="s">
        <v>49270</v>
      </c>
    </row>
    <row r="9508" spans="1:1">
      <c r="A9508" t="e" cm="1">
        <f t="array" ref="A9508">-------------------------PYQEM-------FDCVRP----------------G</f>
        <v>#NAME?</v>
      </c>
    </row>
    <row r="9509" spans="1:1">
      <c r="A9509" t="s">
        <v>49271</v>
      </c>
    </row>
    <row r="9510" spans="1:1">
      <c r="A9510" t="s">
        <v>41057</v>
      </c>
    </row>
    <row r="9511" spans="1:1">
      <c r="A9511" t="s">
        <v>46644</v>
      </c>
    </row>
    <row r="9512" spans="1:1">
      <c r="A9512" t="e" cm="1">
        <f t="array" ref="A9512">--------------YCMGDVL-----------------LP--------IRLMRAL-QVMP</f>
        <v>#NAME?</v>
      </c>
    </row>
    <row r="9513" spans="1:1">
      <c r="A9513" t="s">
        <v>49272</v>
      </c>
    </row>
    <row r="9514" spans="1:1">
      <c r="A9514" t="s">
        <v>49273</v>
      </c>
    </row>
    <row r="9515" spans="1:1">
      <c r="A9515" t="s">
        <v>41057</v>
      </c>
    </row>
    <row r="9516" spans="1:1">
      <c r="A9516" t="s">
        <v>48712</v>
      </c>
    </row>
    <row r="9517" spans="1:1">
      <c r="A9517" t="e" cm="1">
        <f t="array" ref="A9517">-----------SG-YE--------------------------------GAIV-IDAKSGF</f>
        <v>#NAME?</v>
      </c>
    </row>
    <row r="9518" spans="1:1">
      <c r="A9518" t="s">
        <v>49274</v>
      </c>
    </row>
    <row r="9519" spans="1:1">
      <c r="A9519" t="s">
        <v>41057</v>
      </c>
    </row>
    <row r="9520" spans="1:1">
      <c r="A9520" t="s">
        <v>41057</v>
      </c>
    </row>
    <row r="9521" spans="1:1">
      <c r="A9521" t="s">
        <v>41057</v>
      </c>
    </row>
    <row r="9522" spans="1:1">
      <c r="A9522" t="s">
        <v>41057</v>
      </c>
    </row>
    <row r="9523" spans="1:1">
      <c r="A9523" t="s">
        <v>41057</v>
      </c>
    </row>
    <row r="9524" spans="1:1">
      <c r="A9524" t="s">
        <v>41057</v>
      </c>
    </row>
    <row r="9525" spans="1:1">
      <c r="A9525" t="s">
        <v>41057</v>
      </c>
    </row>
    <row r="9526" spans="1:1">
      <c r="A9526" t="s">
        <v>41057</v>
      </c>
    </row>
    <row r="9527" spans="1:1">
      <c r="A9527" t="s">
        <v>49275</v>
      </c>
    </row>
    <row r="9528" spans="1:1">
      <c r="A9528" t="s">
        <v>49276</v>
      </c>
    </row>
    <row r="9529" spans="1:1">
      <c r="A9529" t="s">
        <v>48150</v>
      </c>
    </row>
    <row r="9530" spans="1:1">
      <c r="A9530" t="s">
        <v>41057</v>
      </c>
    </row>
    <row r="9531" spans="1:1">
      <c r="A9531" t="s">
        <v>41057</v>
      </c>
    </row>
    <row r="9532" spans="1:1">
      <c r="A9532" t="s">
        <v>49277</v>
      </c>
    </row>
    <row r="9533" spans="1:1">
      <c r="A9533" t="s">
        <v>41057</v>
      </c>
    </row>
    <row r="9534" spans="1:1">
      <c r="A9534" t="s">
        <v>49278</v>
      </c>
    </row>
    <row r="9535" spans="1:1">
      <c r="A9535" t="s">
        <v>48211</v>
      </c>
    </row>
    <row r="9536" spans="1:1">
      <c r="A9536" t="s">
        <v>49279</v>
      </c>
    </row>
    <row r="9537" spans="1:1">
      <c r="A9537" t="s">
        <v>49280</v>
      </c>
    </row>
    <row r="9538" spans="1:1">
      <c r="A9538" t="s">
        <v>49281</v>
      </c>
    </row>
    <row r="9539" spans="1:1">
      <c r="A9539" t="s">
        <v>49282</v>
      </c>
    </row>
    <row r="9540" spans="1:1">
      <c r="A9540" t="s">
        <v>41057</v>
      </c>
    </row>
    <row r="9541" spans="1:1">
      <c r="A9541" t="s">
        <v>41057</v>
      </c>
    </row>
    <row r="9542" spans="1:1">
      <c r="A9542" t="s">
        <v>41057</v>
      </c>
    </row>
    <row r="9543" spans="1:1">
      <c r="A9543" t="s">
        <v>41057</v>
      </c>
    </row>
    <row r="9544" spans="1:1">
      <c r="A9544" t="s">
        <v>41057</v>
      </c>
    </row>
    <row r="9545" spans="1:1">
      <c r="A9545" t="s">
        <v>41057</v>
      </c>
    </row>
    <row r="9546" spans="1:1">
      <c r="A9546" t="s">
        <v>41057</v>
      </c>
    </row>
    <row r="9547" spans="1:1">
      <c r="A9547" t="s">
        <v>41057</v>
      </c>
    </row>
    <row r="9548" spans="1:1">
      <c r="A9548" t="s">
        <v>41057</v>
      </c>
    </row>
    <row r="9549" spans="1:1">
      <c r="A9549" t="s">
        <v>49283</v>
      </c>
    </row>
    <row r="9550" spans="1:1">
      <c r="A9550" t="s">
        <v>41057</v>
      </c>
    </row>
    <row r="9551" spans="1:1">
      <c r="A9551" t="s">
        <v>41057</v>
      </c>
    </row>
    <row r="9552" spans="1:1">
      <c r="A9552" t="s">
        <v>41057</v>
      </c>
    </row>
    <row r="9553" spans="1:1">
      <c r="A9553" t="s">
        <v>41057</v>
      </c>
    </row>
    <row r="9554" spans="1:1">
      <c r="A9554" t="s">
        <v>41057</v>
      </c>
    </row>
    <row r="9555" spans="1:1">
      <c r="A9555" t="s">
        <v>49284</v>
      </c>
    </row>
    <row r="9556" spans="1:1">
      <c r="A9556" t="s">
        <v>49285</v>
      </c>
    </row>
    <row r="9557" spans="1:1">
      <c r="A9557" t="s">
        <v>41057</v>
      </c>
    </row>
    <row r="9558" spans="1:1">
      <c r="A9558" t="s">
        <v>41057</v>
      </c>
    </row>
    <row r="9559" spans="1:1">
      <c r="A9559" t="s">
        <v>41057</v>
      </c>
    </row>
    <row r="9560" spans="1:1">
      <c r="A9560" t="s">
        <v>49286</v>
      </c>
    </row>
    <row r="9561" spans="1:1">
      <c r="A9561" t="s">
        <v>41057</v>
      </c>
    </row>
    <row r="9562" spans="1:1">
      <c r="A9562" t="s">
        <v>41057</v>
      </c>
    </row>
    <row r="9563" spans="1:1">
      <c r="A9563" t="s">
        <v>41057</v>
      </c>
    </row>
    <row r="9564" spans="1:1">
      <c r="A9564" t="s">
        <v>41057</v>
      </c>
    </row>
    <row r="9565" spans="1:1">
      <c r="A9565" t="s">
        <v>41057</v>
      </c>
    </row>
    <row r="9566" spans="1:1">
      <c r="A9566" t="s">
        <v>41057</v>
      </c>
    </row>
    <row r="9567" spans="1:1">
      <c r="A9567" t="s">
        <v>41057</v>
      </c>
    </row>
    <row r="9568" spans="1:1">
      <c r="A9568" t="s">
        <v>41057</v>
      </c>
    </row>
    <row r="9569" spans="1:1">
      <c r="A9569" t="s">
        <v>41057</v>
      </c>
    </row>
    <row r="9570" spans="1:1">
      <c r="A9570" t="s">
        <v>41057</v>
      </c>
    </row>
    <row r="9571" spans="1:1">
      <c r="A9571" t="s">
        <v>41057</v>
      </c>
    </row>
    <row r="9572" spans="1:1">
      <c r="A9572" t="e" cm="1">
        <f t="array" ref="A9572">-----------------------------------------------TDSV--------F</f>
        <v>#NAME?</v>
      </c>
    </row>
    <row r="9573" spans="1:1">
      <c r="A9573" t="s">
        <v>41087</v>
      </c>
    </row>
    <row r="9574" spans="1:1">
      <c r="A9574" t="s">
        <v>49287</v>
      </c>
    </row>
    <row r="9575" spans="1:1">
      <c r="A9575" t="e" cm="1">
        <f t="array" ref="A9575">--------ELT----------------------------PAE----VFK----------V</f>
        <v>#NAME?</v>
      </c>
    </row>
    <row r="9576" spans="1:1">
      <c r="A9576" t="s">
        <v>49288</v>
      </c>
    </row>
    <row r="9577" spans="1:1">
      <c r="A9577" t="e" cm="1">
        <f t="array" ref="A9577">--------DI------ELEMEK-VYSGFLL----------I-TKKRYF-----------G</f>
        <v>#NAME?</v>
      </c>
    </row>
    <row r="9578" spans="1:1">
      <c r="A9578" t="s">
        <v>49289</v>
      </c>
    </row>
    <row r="9579" spans="1:1">
      <c r="A9579" t="s">
        <v>49290</v>
      </c>
    </row>
    <row r="9580" spans="1:1">
      <c r="A9580" t="s">
        <v>49291</v>
      </c>
    </row>
    <row r="9581" spans="1:1">
      <c r="A9581" t="s">
        <v>49292</v>
      </c>
    </row>
    <row r="9582" spans="1:1">
      <c r="A9582" t="s">
        <v>49293</v>
      </c>
    </row>
    <row r="9583" spans="1:1">
      <c r="A9583" t="s">
        <v>49294</v>
      </c>
    </row>
    <row r="9584" spans="1:1">
      <c r="A9584" t="s">
        <v>49295</v>
      </c>
    </row>
    <row r="9585" spans="1:1">
      <c r="A9585" t="s">
        <v>49296</v>
      </c>
    </row>
    <row r="9586" spans="1:1">
      <c r="A9586" t="s">
        <v>49297</v>
      </c>
    </row>
    <row r="9587" spans="1:1">
      <c r="A9587" t="s">
        <v>49298</v>
      </c>
    </row>
    <row r="9588" spans="1:1">
      <c r="A9588" t="s">
        <v>49299</v>
      </c>
    </row>
    <row r="9589" spans="1:1">
      <c r="A9589" t="s">
        <v>41057</v>
      </c>
    </row>
    <row r="9590" spans="1:1">
      <c r="A9590" t="s">
        <v>49300</v>
      </c>
    </row>
    <row r="9591" spans="1:1">
      <c r="A9591" t="s">
        <v>49301</v>
      </c>
    </row>
    <row r="9592" spans="1:1">
      <c r="A9592" t="s">
        <v>41057</v>
      </c>
    </row>
    <row r="9593" spans="1:1">
      <c r="A9593" t="s">
        <v>41057</v>
      </c>
    </row>
    <row r="9594" spans="1:1">
      <c r="A9594" t="s">
        <v>49302</v>
      </c>
    </row>
    <row r="9595" spans="1:1">
      <c r="A9595" t="s">
        <v>49303</v>
      </c>
    </row>
    <row r="9596" spans="1:1">
      <c r="A9596" t="s">
        <v>49304</v>
      </c>
    </row>
    <row r="9597" spans="1:1">
      <c r="A9597" t="s">
        <v>41057</v>
      </c>
    </row>
    <row r="9598" spans="1:1">
      <c r="A9598" t="e" cm="1">
        <f t="array" ref="A9598">-----------------TINIDEEDEHDHGLTWDDDGTHVT---------DMD---IEPS</f>
        <v>#NAME?</v>
      </c>
    </row>
    <row r="9599" spans="1:1">
      <c r="A9599" t="s">
        <v>49305</v>
      </c>
    </row>
    <row r="9600" spans="1:1">
      <c r="A9600" t="s">
        <v>49306</v>
      </c>
    </row>
    <row r="9601" spans="1:1">
      <c r="A9601" t="s">
        <v>43869</v>
      </c>
    </row>
    <row r="9602" spans="1:1">
      <c r="A9602" t="s">
        <v>41057</v>
      </c>
    </row>
    <row r="9603" spans="1:1">
      <c r="A9603" t="s">
        <v>41057</v>
      </c>
    </row>
    <row r="9604" spans="1:1">
      <c r="A9604" t="s">
        <v>41057</v>
      </c>
    </row>
    <row r="9605" spans="1:1">
      <c r="A9605" t="s">
        <v>41057</v>
      </c>
    </row>
    <row r="9606" spans="1:1">
      <c r="A9606" t="s">
        <v>41057</v>
      </c>
    </row>
    <row r="9607" spans="1:1">
      <c r="A9607" t="s">
        <v>49307</v>
      </c>
    </row>
    <row r="9608" spans="1:1">
      <c r="A9608" t="s">
        <v>49308</v>
      </c>
    </row>
    <row r="9609" spans="1:1">
      <c r="A9609" t="s">
        <v>49309</v>
      </c>
    </row>
    <row r="9610" spans="1:1">
      <c r="A9610" t="e" cm="1">
        <f t="array" ref="A9610">-------------------------------DAGE-----------------------NT</f>
        <v>#NAME?</v>
      </c>
    </row>
    <row r="9611" spans="1:1">
      <c r="A9611" t="s">
        <v>49310</v>
      </c>
    </row>
    <row r="9612" spans="1:1">
      <c r="A9612" t="s">
        <v>49311</v>
      </c>
    </row>
    <row r="9613" spans="1:1">
      <c r="A9613" t="s">
        <v>49312</v>
      </c>
    </row>
    <row r="9614" spans="1:1">
      <c r="A9614" t="s">
        <v>49313</v>
      </c>
    </row>
    <row r="9615" spans="1:1">
      <c r="A9615" t="s">
        <v>49314</v>
      </c>
    </row>
    <row r="9616" spans="1:1">
      <c r="A9616" t="s">
        <v>49315</v>
      </c>
    </row>
    <row r="9617" spans="1:1">
      <c r="A9617" t="s">
        <v>49316</v>
      </c>
    </row>
    <row r="9618" spans="1:1">
      <c r="A9618" t="s">
        <v>49317</v>
      </c>
    </row>
    <row r="9619" spans="1:1">
      <c r="A9619" t="s">
        <v>49318</v>
      </c>
    </row>
    <row r="9620" spans="1:1">
      <c r="A9620" t="s">
        <v>49319</v>
      </c>
    </row>
    <row r="9621" spans="1:1">
      <c r="A9621" t="s">
        <v>41057</v>
      </c>
    </row>
    <row r="9622" spans="1:1">
      <c r="A9622" t="s">
        <v>41057</v>
      </c>
    </row>
    <row r="9623" spans="1:1">
      <c r="A9623" t="s">
        <v>41057</v>
      </c>
    </row>
    <row r="9624" spans="1:1">
      <c r="A9624" t="s">
        <v>49320</v>
      </c>
    </row>
    <row r="9625" spans="1:1">
      <c r="A9625" t="s">
        <v>49321</v>
      </c>
    </row>
    <row r="9626" spans="1:1">
      <c r="A9626" t="s">
        <v>45438</v>
      </c>
    </row>
    <row r="9627" spans="1:1">
      <c r="A9627" t="s">
        <v>49322</v>
      </c>
    </row>
    <row r="9628" spans="1:1">
      <c r="A9628" t="s">
        <v>49323</v>
      </c>
    </row>
    <row r="9629" spans="1:1">
      <c r="A9629" t="s">
        <v>49324</v>
      </c>
    </row>
    <row r="9630" spans="1:1">
      <c r="A9630" t="e" cm="1">
        <f t="array" ref="A9630">--------------------------------------PAAVEEMKWESGAYG-EQVGNY</f>
        <v>#NAME?</v>
      </c>
    </row>
    <row r="9631" spans="1:1">
      <c r="A9631" t="s">
        <v>49325</v>
      </c>
    </row>
    <row r="9632" spans="1:1">
      <c r="A9632" t="s">
        <v>49326</v>
      </c>
    </row>
    <row r="9633" spans="1:1">
      <c r="A9633" t="s">
        <v>41057</v>
      </c>
    </row>
    <row r="9634" spans="1:1">
      <c r="A9634" t="s">
        <v>49327</v>
      </c>
    </row>
    <row r="9635" spans="1:1">
      <c r="A9635" t="e" cm="1">
        <f t="array" ref="A9635">-------------------------QKHD---------VAGYRGLFILYAVANEIGPLAA</f>
        <v>#NAME?</v>
      </c>
    </row>
    <row r="9636" spans="1:1">
      <c r="A9636" t="s">
        <v>49328</v>
      </c>
    </row>
    <row r="9637" spans="1:1">
      <c r="A9637" t="s">
        <v>49329</v>
      </c>
    </row>
    <row r="9638" spans="1:1">
      <c r="A9638" t="s">
        <v>41057</v>
      </c>
    </row>
    <row r="9639" spans="1:1">
      <c r="A9639" t="e" cm="1">
        <f t="array" ref="A9639">----------------------------RE-----------------------------A</f>
        <v>#NAME?</v>
      </c>
    </row>
    <row r="9640" spans="1:1">
      <c r="A9640" t="s">
        <v>49330</v>
      </c>
    </row>
    <row r="9641" spans="1:1">
      <c r="A9641" t="s">
        <v>49331</v>
      </c>
    </row>
    <row r="9642" spans="1:1">
      <c r="A9642" t="s">
        <v>49332</v>
      </c>
    </row>
    <row r="9643" spans="1:1">
      <c r="A9643" t="s">
        <v>41057</v>
      </c>
    </row>
    <row r="9644" spans="1:1">
      <c r="A9644" t="s">
        <v>49333</v>
      </c>
    </row>
    <row r="9645" spans="1:1">
      <c r="A9645" t="e" cm="1">
        <f t="array" ref="A9645">-----------KA-YH--------------------------------GGEV-LEARAGN</f>
        <v>#NAME?</v>
      </c>
    </row>
    <row r="9646" spans="1:1">
      <c r="A9646" t="s">
        <v>49334</v>
      </c>
    </row>
    <row r="9647" spans="1:1">
      <c r="A9647" t="s">
        <v>41057</v>
      </c>
    </row>
    <row r="9648" spans="1:1">
      <c r="A9648" t="s">
        <v>41057</v>
      </c>
    </row>
    <row r="9649" spans="1:1">
      <c r="A9649" t="s">
        <v>41057</v>
      </c>
    </row>
    <row r="9650" spans="1:1">
      <c r="A9650" t="s">
        <v>41057</v>
      </c>
    </row>
    <row r="9651" spans="1:1">
      <c r="A9651" t="s">
        <v>41057</v>
      </c>
    </row>
    <row r="9652" spans="1:1">
      <c r="A9652" t="s">
        <v>41057</v>
      </c>
    </row>
    <row r="9653" spans="1:1">
      <c r="A9653" t="s">
        <v>41057</v>
      </c>
    </row>
    <row r="9654" spans="1:1">
      <c r="A9654" t="s">
        <v>41057</v>
      </c>
    </row>
    <row r="9655" spans="1:1">
      <c r="A9655" t="s">
        <v>49335</v>
      </c>
    </row>
    <row r="9656" spans="1:1">
      <c r="A9656" t="s">
        <v>49336</v>
      </c>
    </row>
    <row r="9657" spans="1:1">
      <c r="A9657" t="s">
        <v>49337</v>
      </c>
    </row>
    <row r="9658" spans="1:1">
      <c r="A9658" t="s">
        <v>41057</v>
      </c>
    </row>
    <row r="9659" spans="1:1">
      <c r="A9659" t="s">
        <v>41057</v>
      </c>
    </row>
    <row r="9660" spans="1:1">
      <c r="A9660" t="s">
        <v>49338</v>
      </c>
    </row>
    <row r="9661" spans="1:1">
      <c r="A9661" t="s">
        <v>49339</v>
      </c>
    </row>
    <row r="9662" spans="1:1">
      <c r="A9662" t="s">
        <v>49340</v>
      </c>
    </row>
    <row r="9663" spans="1:1">
      <c r="A9663" t="s">
        <v>49341</v>
      </c>
    </row>
    <row r="9664" spans="1:1">
      <c r="A9664" t="s">
        <v>49342</v>
      </c>
    </row>
    <row r="9665" spans="1:1">
      <c r="A9665" t="s">
        <v>49343</v>
      </c>
    </row>
    <row r="9666" spans="1:1">
      <c r="A9666" t="s">
        <v>49344</v>
      </c>
    </row>
    <row r="9667" spans="1:1">
      <c r="A9667" t="s">
        <v>49345</v>
      </c>
    </row>
    <row r="9668" spans="1:1">
      <c r="A9668" t="s">
        <v>41057</v>
      </c>
    </row>
    <row r="9669" spans="1:1">
      <c r="A9669" t="s">
        <v>41057</v>
      </c>
    </row>
    <row r="9670" spans="1:1">
      <c r="A9670" t="s">
        <v>41057</v>
      </c>
    </row>
    <row r="9671" spans="1:1">
      <c r="A9671" t="s">
        <v>41057</v>
      </c>
    </row>
    <row r="9672" spans="1:1">
      <c r="A9672" t="s">
        <v>41057</v>
      </c>
    </row>
    <row r="9673" spans="1:1">
      <c r="A9673" t="s">
        <v>41057</v>
      </c>
    </row>
    <row r="9674" spans="1:1">
      <c r="A9674" t="s">
        <v>41057</v>
      </c>
    </row>
    <row r="9675" spans="1:1">
      <c r="A9675" t="s">
        <v>41057</v>
      </c>
    </row>
    <row r="9676" spans="1:1">
      <c r="A9676" t="s">
        <v>41057</v>
      </c>
    </row>
    <row r="9677" spans="1:1">
      <c r="A9677" t="s">
        <v>49346</v>
      </c>
    </row>
    <row r="9678" spans="1:1">
      <c r="A9678" t="s">
        <v>41057</v>
      </c>
    </row>
    <row r="9679" spans="1:1">
      <c r="A9679" t="s">
        <v>41057</v>
      </c>
    </row>
    <row r="9680" spans="1:1">
      <c r="A9680" t="s">
        <v>41057</v>
      </c>
    </row>
    <row r="9681" spans="1:1">
      <c r="A9681" t="s">
        <v>41057</v>
      </c>
    </row>
    <row r="9682" spans="1:1">
      <c r="A9682" t="s">
        <v>41057</v>
      </c>
    </row>
    <row r="9683" spans="1:1">
      <c r="A9683" t="s">
        <v>49347</v>
      </c>
    </row>
    <row r="9684" spans="1:1">
      <c r="A9684" t="s">
        <v>49348</v>
      </c>
    </row>
    <row r="9685" spans="1:1">
      <c r="A9685" t="s">
        <v>41057</v>
      </c>
    </row>
    <row r="9686" spans="1:1">
      <c r="A9686" t="s">
        <v>41057</v>
      </c>
    </row>
    <row r="9687" spans="1:1">
      <c r="A9687" t="s">
        <v>41057</v>
      </c>
    </row>
    <row r="9688" spans="1:1">
      <c r="A9688" t="e" cm="1">
        <f t="array" ref="A9688">-------------ARLVYGDSV------------TADTPLLVKT----PDGEIRTVRIDA</f>
        <v>#NAME?</v>
      </c>
    </row>
    <row r="9689" spans="1:1">
      <c r="A9689" t="s">
        <v>49349</v>
      </c>
    </row>
    <row r="9690" spans="1:1">
      <c r="A9690" t="s">
        <v>41057</v>
      </c>
    </row>
    <row r="9691" spans="1:1">
      <c r="A9691" t="e" cm="1">
        <f t="array" ref="A9691">--------------------------------------------EW--------AGWHAD</f>
        <v>#NAME?</v>
      </c>
    </row>
    <row r="9692" spans="1:1">
      <c r="A9692" t="s">
        <v>49350</v>
      </c>
    </row>
    <row r="9693" spans="1:1">
      <c r="A9693" t="s">
        <v>49351</v>
      </c>
    </row>
    <row r="9694" spans="1:1">
      <c r="A9694" t="s">
        <v>49352</v>
      </c>
    </row>
    <row r="9695" spans="1:1">
      <c r="A9695" t="s">
        <v>49353</v>
      </c>
    </row>
    <row r="9696" spans="1:1">
      <c r="A9696" t="s">
        <v>49354</v>
      </c>
    </row>
    <row r="9697" spans="1:1">
      <c r="A9697" t="s">
        <v>49355</v>
      </c>
    </row>
    <row r="9698" spans="1:1">
      <c r="A9698" t="s">
        <v>49356</v>
      </c>
    </row>
    <row r="9699" spans="1:1">
      <c r="A9699" t="s">
        <v>49357</v>
      </c>
    </row>
    <row r="9700" spans="1:1">
      <c r="A9700" t="s">
        <v>49358</v>
      </c>
    </row>
    <row r="9701" spans="1:1">
      <c r="A9701" t="s">
        <v>45475</v>
      </c>
    </row>
    <row r="9702" spans="1:1">
      <c r="A9702" t="s">
        <v>49359</v>
      </c>
    </row>
    <row r="9703" spans="1:1">
      <c r="A9703" t="e" cm="1">
        <f t="array" ref="A9703">--------GAD----------------------------TAA----AFD----------L</f>
        <v>#NAME?</v>
      </c>
    </row>
    <row r="9704" spans="1:1">
      <c r="A9704" t="s">
        <v>49360</v>
      </c>
    </row>
    <row r="9705" spans="1:1">
      <c r="A9705" t="s">
        <v>49361</v>
      </c>
    </row>
    <row r="9706" spans="1:1">
      <c r="A9706" t="s">
        <v>49362</v>
      </c>
    </row>
    <row r="9707" spans="1:1">
      <c r="A9707" t="s">
        <v>49363</v>
      </c>
    </row>
    <row r="9708" spans="1:1">
      <c r="A9708" t="s">
        <v>49364</v>
      </c>
    </row>
    <row r="9709" spans="1:1">
      <c r="A9709" t="s">
        <v>49365</v>
      </c>
    </row>
    <row r="9710" spans="1:1">
      <c r="A9710" t="s">
        <v>49366</v>
      </c>
    </row>
    <row r="9711" spans="1:1">
      <c r="A9711" t="e" cm="1">
        <f t="array" ref="A9711">------------------------------------------SLLSYAAKCK----VDPS</f>
        <v>#NAME?</v>
      </c>
    </row>
    <row r="9712" spans="1:1">
      <c r="A9712" t="s">
        <v>49367</v>
      </c>
    </row>
    <row r="9713" spans="1:1">
      <c r="A9713" t="s">
        <v>49368</v>
      </c>
    </row>
    <row r="9714" spans="1:1">
      <c r="A9714" t="s">
        <v>49369</v>
      </c>
    </row>
    <row r="9715" spans="1:1">
      <c r="A9715" t="s">
        <v>49370</v>
      </c>
    </row>
    <row r="9716" spans="1:1">
      <c r="A9716" t="s">
        <v>49371</v>
      </c>
    </row>
    <row r="9717" spans="1:1">
      <c r="A9717" t="s">
        <v>41057</v>
      </c>
    </row>
    <row r="9718" spans="1:1">
      <c r="A9718" t="s">
        <v>49372</v>
      </c>
    </row>
    <row r="9719" spans="1:1">
      <c r="A9719" t="s">
        <v>49373</v>
      </c>
    </row>
    <row r="9720" spans="1:1">
      <c r="A9720" t="s">
        <v>49374</v>
      </c>
    </row>
    <row r="9721" spans="1:1">
      <c r="A9721" t="e" cm="1">
        <f t="array" ref="A9721">-RFAFW------------RRGKTCAA-GVVRAGDAAVPCRCRERFAGASS---VDIDEKL</f>
        <v>#NAME?</v>
      </c>
    </row>
    <row r="9722" spans="1:1">
      <c r="A9722" t="s">
        <v>49375</v>
      </c>
    </row>
    <row r="9723" spans="1:1">
      <c r="A9723" t="s">
        <v>49376</v>
      </c>
    </row>
    <row r="9724" spans="1:1">
      <c r="A9724" t="s">
        <v>49377</v>
      </c>
    </row>
    <row r="9725" spans="1:1">
      <c r="A9725" t="s">
        <v>41057</v>
      </c>
    </row>
    <row r="9726" spans="1:1">
      <c r="A9726" t="s">
        <v>41057</v>
      </c>
    </row>
    <row r="9727" spans="1:1">
      <c r="A9727" t="s">
        <v>41057</v>
      </c>
    </row>
    <row r="9728" spans="1:1">
      <c r="A9728" t="s">
        <v>45870</v>
      </c>
    </row>
    <row r="9729" spans="1:1">
      <c r="A9729" t="s">
        <v>43601</v>
      </c>
    </row>
    <row r="9730" spans="1:1">
      <c r="A9730" t="s">
        <v>41057</v>
      </c>
    </row>
    <row r="9731" spans="1:1">
      <c r="A9731" t="s">
        <v>41057</v>
      </c>
    </row>
    <row r="9732" spans="1:1">
      <c r="A9732" t="s">
        <v>49378</v>
      </c>
    </row>
    <row r="9733" spans="1:1">
      <c r="A9733" t="s">
        <v>49379</v>
      </c>
    </row>
    <row r="9734" spans="1:1">
      <c r="A9734" t="s">
        <v>49380</v>
      </c>
    </row>
    <row r="9735" spans="1:1">
      <c r="A9735" t="s">
        <v>49381</v>
      </c>
    </row>
    <row r="9736" spans="1:1">
      <c r="A9736" t="s">
        <v>49382</v>
      </c>
    </row>
    <row r="9737" spans="1:1">
      <c r="A9737" t="e" cm="1">
        <f t="array" ref="A9737">-AAQPVIHYHHGDH-RES----------------------------RRFD-----GILPD</f>
        <v>#NAME?</v>
      </c>
    </row>
    <row r="9738" spans="1:1">
      <c r="A9738" t="s">
        <v>49383</v>
      </c>
    </row>
    <row r="9739" spans="1:1">
      <c r="A9739" t="s">
        <v>49384</v>
      </c>
    </row>
    <row r="9740" spans="1:1">
      <c r="A9740" t="s">
        <v>49385</v>
      </c>
    </row>
    <row r="9741" spans="1:1">
      <c r="A9741" t="s">
        <v>49386</v>
      </c>
    </row>
    <row r="9742" spans="1:1">
      <c r="A9742" t="s">
        <v>49387</v>
      </c>
    </row>
    <row r="9743" spans="1:1">
      <c r="A9743" t="s">
        <v>49388</v>
      </c>
    </row>
    <row r="9744" spans="1:1">
      <c r="A9744" t="s">
        <v>49389</v>
      </c>
    </row>
    <row r="9745" spans="1:1">
      <c r="A9745" t="s">
        <v>49390</v>
      </c>
    </row>
    <row r="9746" spans="1:1">
      <c r="A9746" t="s">
        <v>49391</v>
      </c>
    </row>
    <row r="9747" spans="1:1">
      <c r="A9747" t="s">
        <v>49392</v>
      </c>
    </row>
    <row r="9748" spans="1:1">
      <c r="A9748" t="s">
        <v>49393</v>
      </c>
    </row>
    <row r="9749" spans="1:1">
      <c r="A9749" t="s">
        <v>41057</v>
      </c>
    </row>
    <row r="9750" spans="1:1">
      <c r="A9750" t="s">
        <v>41057</v>
      </c>
    </row>
    <row r="9751" spans="1:1">
      <c r="A9751" t="s">
        <v>41057</v>
      </c>
    </row>
    <row r="9752" spans="1:1">
      <c r="A9752" t="e" cm="1">
        <f t="array" ref="A9752">------------------------------RECDH-T-ICINTY----------FSQHRT</f>
        <v>#NAME?</v>
      </c>
    </row>
    <row r="9753" spans="1:1">
      <c r="A9753" t="s">
        <v>49394</v>
      </c>
    </row>
    <row r="9754" spans="1:1">
      <c r="A9754" t="s">
        <v>49395</v>
      </c>
    </row>
    <row r="9755" spans="1:1">
      <c r="A9755" t="s">
        <v>49396</v>
      </c>
    </row>
    <row r="9756" spans="1:1">
      <c r="A9756" t="s">
        <v>49397</v>
      </c>
    </row>
    <row r="9757" spans="1:1">
      <c r="A9757" t="s">
        <v>49398</v>
      </c>
    </row>
    <row r="9758" spans="1:1">
      <c r="A9758" t="e" cm="1">
        <f t="array" ref="A9758">-------------------------------------EHTPMRRKDLDSAAKG-SNTLNF</f>
        <v>#NAME?</v>
      </c>
    </row>
    <row r="9759" spans="1:1">
      <c r="A9759" t="s">
        <v>49399</v>
      </c>
    </row>
    <row r="9760" spans="1:1">
      <c r="A9760" t="s">
        <v>49400</v>
      </c>
    </row>
    <row r="9761" spans="1:1">
      <c r="A9761" t="s">
        <v>41057</v>
      </c>
    </row>
    <row r="9762" spans="1:1">
      <c r="A9762" t="s">
        <v>49401</v>
      </c>
    </row>
    <row r="9763" spans="1:1">
      <c r="A9763" t="s">
        <v>49402</v>
      </c>
    </row>
    <row r="9764" spans="1:1">
      <c r="A9764" t="e" cm="1">
        <f t="array" ref="A9764">-------------------------PPEEI-------FRRYAS----------------G</f>
        <v>#NAME?</v>
      </c>
    </row>
    <row r="9765" spans="1:1">
      <c r="A9765" t="s">
        <v>49403</v>
      </c>
    </row>
    <row r="9766" spans="1:1">
      <c r="A9766" t="s">
        <v>41057</v>
      </c>
    </row>
    <row r="9767" spans="1:1">
      <c r="A9767" t="s">
        <v>47081</v>
      </c>
    </row>
    <row r="9768" spans="1:1">
      <c r="A9768" t="e" cm="1">
        <f t="array" ref="A9768">--------------YCARDCR-----------------LP--------LALEEHL-MTLT</f>
        <v>#NAME?</v>
      </c>
    </row>
    <row r="9769" spans="1:1">
      <c r="A9769" t="s">
        <v>49404</v>
      </c>
    </row>
    <row r="9770" spans="1:1">
      <c r="A9770" t="s">
        <v>49405</v>
      </c>
    </row>
    <row r="9771" spans="1:1">
      <c r="A9771" t="s">
        <v>49406</v>
      </c>
    </row>
    <row r="9772" spans="1:1">
      <c r="A9772" t="e" cm="1">
        <f t="array" ref="A9772">----------AMASMRAGGGNADGHV------------VPDTAG---------KVTADKN</f>
        <v>#NAME?</v>
      </c>
    </row>
    <row r="9773" spans="1:1">
      <c r="A9773" t="s">
        <v>49407</v>
      </c>
    </row>
    <row r="9774" spans="1:1">
      <c r="A9774" t="s">
        <v>49408</v>
      </c>
    </row>
    <row r="9775" spans="1:1">
      <c r="A9775" t="s">
        <v>41057</v>
      </c>
    </row>
    <row r="9776" spans="1:1">
      <c r="A9776" t="s">
        <v>41057</v>
      </c>
    </row>
    <row r="9777" spans="1:1">
      <c r="A9777" t="s">
        <v>41057</v>
      </c>
    </row>
    <row r="9778" spans="1:1">
      <c r="A9778" t="s">
        <v>41057</v>
      </c>
    </row>
    <row r="9779" spans="1:1">
      <c r="A9779" t="s">
        <v>41057</v>
      </c>
    </row>
    <row r="9780" spans="1:1">
      <c r="A9780" t="s">
        <v>41057</v>
      </c>
    </row>
    <row r="9781" spans="1:1">
      <c r="A9781" t="s">
        <v>41057</v>
      </c>
    </row>
    <row r="9782" spans="1:1">
      <c r="A9782" t="s">
        <v>41057</v>
      </c>
    </row>
    <row r="9783" spans="1:1">
      <c r="A9783" t="e" cm="1">
        <f t="array" ref="A9783">-QSLY-------------------PSIMEANNLCPSTRVVSAEVRATLARYC-REVQEPI</f>
        <v>#NAME?</v>
      </c>
    </row>
    <row r="9784" spans="1:1">
      <c r="A9784" t="s">
        <v>49409</v>
      </c>
    </row>
    <row r="9785" spans="1:1">
      <c r="A9785" t="s">
        <v>49410</v>
      </c>
    </row>
    <row r="9786" spans="1:1">
      <c r="A9786" t="s">
        <v>41057</v>
      </c>
    </row>
    <row r="9787" spans="1:1">
      <c r="A9787" t="s">
        <v>49411</v>
      </c>
    </row>
    <row r="9788" spans="1:1">
      <c r="A9788" t="s">
        <v>49412</v>
      </c>
    </row>
    <row r="9789" spans="1:1">
      <c r="A9789" t="s">
        <v>41057</v>
      </c>
    </row>
    <row r="9790" spans="1:1">
      <c r="A9790" t="s">
        <v>49413</v>
      </c>
    </row>
    <row r="9791" spans="1:1">
      <c r="A9791" t="s">
        <v>41057</v>
      </c>
    </row>
    <row r="9792" spans="1:1">
      <c r="A9792" t="s">
        <v>49414</v>
      </c>
    </row>
    <row r="9793" spans="1:1">
      <c r="A9793" t="s">
        <v>49415</v>
      </c>
    </row>
    <row r="9794" spans="1:1">
      <c r="A9794" t="s">
        <v>49416</v>
      </c>
    </row>
    <row r="9795" spans="1:1">
      <c r="A9795" t="e" cm="1">
        <f t="array" ref="A9795">-----------------YEN-------RQL--------GIKITANCFPADDHEILTESGF</f>
        <v>#NAME?</v>
      </c>
    </row>
    <row r="9796" spans="1:1">
      <c r="A9796" t="s">
        <v>49417</v>
      </c>
    </row>
    <row r="9797" spans="1:1">
      <c r="A9797" t="s">
        <v>49418</v>
      </c>
    </row>
    <row r="9798" spans="1:1">
      <c r="A9798" t="s">
        <v>49419</v>
      </c>
    </row>
    <row r="9799" spans="1:1">
      <c r="A9799" t="s">
        <v>49420</v>
      </c>
    </row>
    <row r="9800" spans="1:1">
      <c r="A9800" t="s">
        <v>49421</v>
      </c>
    </row>
    <row r="9801" spans="1:1">
      <c r="A9801" t="s">
        <v>49422</v>
      </c>
    </row>
    <row r="9802" spans="1:1">
      <c r="A9802" t="s">
        <v>49423</v>
      </c>
    </row>
    <row r="9803" spans="1:1">
      <c r="A9803" t="s">
        <v>49424</v>
      </c>
    </row>
    <row r="9804" spans="1:1">
      <c r="A9804" t="s">
        <v>49425</v>
      </c>
    </row>
    <row r="9805" spans="1:1">
      <c r="A9805" t="s">
        <v>49426</v>
      </c>
    </row>
    <row r="9806" spans="1:1">
      <c r="A9806" t="s">
        <v>41057</v>
      </c>
    </row>
    <row r="9807" spans="1:1">
      <c r="A9807" t="s">
        <v>41057</v>
      </c>
    </row>
    <row r="9808" spans="1:1">
      <c r="A9808" t="s">
        <v>41057</v>
      </c>
    </row>
    <row r="9809" spans="1:1">
      <c r="A9809" t="s">
        <v>41057</v>
      </c>
    </row>
    <row r="9810" spans="1:1">
      <c r="A9810" t="s">
        <v>41057</v>
      </c>
    </row>
    <row r="9811" spans="1:1">
      <c r="A9811" t="s">
        <v>49427</v>
      </c>
    </row>
    <row r="9812" spans="1:1">
      <c r="A9812" t="s">
        <v>49428</v>
      </c>
    </row>
    <row r="9813" spans="1:1">
      <c r="A9813" t="e" cm="1">
        <f t="array" ref="A9813">---------AAERRRA-------KERLDAAFASAGLGAVAVTDI-----TLSES--TGPT</f>
        <v>#NAME?</v>
      </c>
    </row>
    <row r="9814" spans="1:1">
      <c r="A9814" t="s">
        <v>49429</v>
      </c>
    </row>
    <row r="9815" spans="1:1">
      <c r="A9815" t="s">
        <v>49430</v>
      </c>
    </row>
    <row r="9816" spans="1:1">
      <c r="A9816" t="e" cm="1">
        <f t="array" ref="A9816">--------DAITGATVVYGDSV------------GADTPLLLRF----DNKYIDYVRADQ</f>
        <v>#NAME?</v>
      </c>
    </row>
    <row r="9817" spans="1:1">
      <c r="A9817" t="s">
        <v>49431</v>
      </c>
    </row>
    <row r="9818" spans="1:1">
      <c r="A9818" t="s">
        <v>41057</v>
      </c>
    </row>
    <row r="9819" spans="1:1">
      <c r="A9819" t="e" cm="1">
        <f t="array" ref="A9819">----------------------------------------------------------GD</f>
        <v>#NAME?</v>
      </c>
    </row>
    <row r="9820" spans="1:1">
      <c r="A9820" t="s">
        <v>49432</v>
      </c>
    </row>
    <row r="9821" spans="1:1">
      <c r="A9821" t="s">
        <v>49433</v>
      </c>
    </row>
    <row r="9822" spans="1:1">
      <c r="A9822" t="s">
        <v>49434</v>
      </c>
    </row>
    <row r="9823" spans="1:1">
      <c r="A9823" t="s">
        <v>49435</v>
      </c>
    </row>
    <row r="9824" spans="1:1">
      <c r="A9824" t="s">
        <v>49436</v>
      </c>
    </row>
    <row r="9825" spans="1:1">
      <c r="A9825" t="s">
        <v>49437</v>
      </c>
    </row>
    <row r="9826" spans="1:1">
      <c r="A9826" t="s">
        <v>49438</v>
      </c>
    </row>
    <row r="9827" spans="1:1">
      <c r="A9827" t="s">
        <v>49439</v>
      </c>
    </row>
    <row r="9828" spans="1:1">
      <c r="A9828" t="s">
        <v>49440</v>
      </c>
    </row>
    <row r="9829" spans="1:1">
      <c r="A9829" t="s">
        <v>45475</v>
      </c>
    </row>
    <row r="9830" spans="1:1">
      <c r="A9830" t="s">
        <v>49441</v>
      </c>
    </row>
    <row r="9831" spans="1:1">
      <c r="A9831" t="e" cm="1">
        <f t="array" ref="A9831">--------REG----------------------------VEV----ALQ----------L</f>
        <v>#NAME?</v>
      </c>
    </row>
    <row r="9832" spans="1:1">
      <c r="A9832" t="s">
        <v>49442</v>
      </c>
    </row>
    <row r="9833" spans="1:1">
      <c r="A9833" t="e" cm="1">
        <f t="array" ref="A9833">--------PDQ----IVLDTEK-AYWPYVL----------F-RKKRYV-----------G</f>
        <v>#NAME?</v>
      </c>
    </row>
    <row r="9834" spans="1:1">
      <c r="A9834" t="s">
        <v>49443</v>
      </c>
    </row>
    <row r="9835" spans="1:1">
      <c r="A9835" t="s">
        <v>49444</v>
      </c>
    </row>
    <row r="9836" spans="1:1">
      <c r="A9836" t="s">
        <v>49445</v>
      </c>
    </row>
    <row r="9837" spans="1:1">
      <c r="A9837" t="s">
        <v>49446</v>
      </c>
    </row>
    <row r="9838" spans="1:1">
      <c r="A9838" t="s">
        <v>49447</v>
      </c>
    </row>
    <row r="9839" spans="1:1">
      <c r="A9839" t="s">
        <v>49448</v>
      </c>
    </row>
    <row r="9840" spans="1:1">
      <c r="A9840" t="s">
        <v>49449</v>
      </c>
    </row>
    <row r="9841" spans="1:1">
      <c r="A9841" t="s">
        <v>49450</v>
      </c>
    </row>
    <row r="9842" spans="1:1">
      <c r="A9842" t="s">
        <v>49451</v>
      </c>
    </row>
    <row r="9843" spans="1:1">
      <c r="A9843" t="s">
        <v>49452</v>
      </c>
    </row>
    <row r="9844" spans="1:1">
      <c r="A9844" t="s">
        <v>49453</v>
      </c>
    </row>
    <row r="9845" spans="1:1">
      <c r="A9845" t="e" cm="1">
        <f t="array" ref="A9845">--------------------------------------------FTNPEQLF-----VDA</f>
        <v>#NAME?</v>
      </c>
    </row>
    <row r="9846" spans="1:1">
      <c r="A9846" t="s">
        <v>49454</v>
      </c>
    </row>
    <row r="9847" spans="1:1">
      <c r="A9847" t="s">
        <v>49455</v>
      </c>
    </row>
    <row r="9848" spans="1:1">
      <c r="A9848" t="s">
        <v>49456</v>
      </c>
    </row>
    <row r="9849" spans="1:1">
      <c r="A9849" t="s">
        <v>41057</v>
      </c>
    </row>
    <row r="9850" spans="1:1">
      <c r="A9850" t="s">
        <v>49457</v>
      </c>
    </row>
    <row r="9851" spans="1:1">
      <c r="A9851" t="s">
        <v>49458</v>
      </c>
    </row>
    <row r="9852" spans="1:1">
      <c r="A9852" t="s">
        <v>49459</v>
      </c>
    </row>
    <row r="9853" spans="1:1">
      <c r="A9853" t="s">
        <v>41057</v>
      </c>
    </row>
    <row r="9854" spans="1:1">
      <c r="A9854" t="s">
        <v>41057</v>
      </c>
    </row>
    <row r="9855" spans="1:1">
      <c r="A9855" t="e" cm="1">
        <f t="array" ref="A9855">----------------------------------------------------------RR</f>
        <v>#NAME?</v>
      </c>
    </row>
    <row r="9856" spans="1:1">
      <c r="A9856" t="s">
        <v>49460</v>
      </c>
    </row>
    <row r="9857" spans="1:1">
      <c r="A9857" t="s">
        <v>43660</v>
      </c>
    </row>
    <row r="9858" spans="1:1">
      <c r="A9858" t="s">
        <v>41057</v>
      </c>
    </row>
    <row r="9859" spans="1:1">
      <c r="A9859" t="s">
        <v>41057</v>
      </c>
    </row>
    <row r="9860" spans="1:1">
      <c r="A9860" t="s">
        <v>49461</v>
      </c>
    </row>
    <row r="9861" spans="1:1">
      <c r="A9861" t="s">
        <v>49462</v>
      </c>
    </row>
    <row r="9862" spans="1:1">
      <c r="A9862" t="s">
        <v>49463</v>
      </c>
    </row>
    <row r="9863" spans="1:1">
      <c r="A9863" t="s">
        <v>49464</v>
      </c>
    </row>
    <row r="9864" spans="1:1">
      <c r="A9864" t="s">
        <v>49465</v>
      </c>
    </row>
    <row r="9865" spans="1:1">
      <c r="A9865" t="e" cm="1">
        <f t="array" ref="A9865">-AGRPVARYHHADH-RES----------------------------RQFD-----GILDD</f>
        <v>#NAME?</v>
      </c>
    </row>
    <row r="9866" spans="1:1">
      <c r="A9866" t="s">
        <v>49466</v>
      </c>
    </row>
    <row r="9867" spans="1:1">
      <c r="A9867" t="s">
        <v>49467</v>
      </c>
    </row>
    <row r="9868" spans="1:1">
      <c r="A9868" t="s">
        <v>49468</v>
      </c>
    </row>
    <row r="9869" spans="1:1">
      <c r="A9869" t="s">
        <v>49469</v>
      </c>
    </row>
    <row r="9870" spans="1:1">
      <c r="A9870" t="s">
        <v>49470</v>
      </c>
    </row>
    <row r="9871" spans="1:1">
      <c r="A9871" t="s">
        <v>49471</v>
      </c>
    </row>
    <row r="9872" spans="1:1">
      <c r="A9872" t="s">
        <v>49472</v>
      </c>
    </row>
    <row r="9873" spans="1:1">
      <c r="A9873" t="s">
        <v>49473</v>
      </c>
    </row>
    <row r="9874" spans="1:1">
      <c r="A9874" t="s">
        <v>49474</v>
      </c>
    </row>
    <row r="9875" spans="1:1">
      <c r="A9875" t="s">
        <v>49475</v>
      </c>
    </row>
    <row r="9876" spans="1:1">
      <c r="A9876" t="s">
        <v>49393</v>
      </c>
    </row>
    <row r="9877" spans="1:1">
      <c r="A9877" t="s">
        <v>41057</v>
      </c>
    </row>
    <row r="9878" spans="1:1">
      <c r="A9878" t="s">
        <v>41057</v>
      </c>
    </row>
    <row r="9879" spans="1:1">
      <c r="A9879" t="s">
        <v>41057</v>
      </c>
    </row>
    <row r="9880" spans="1:1">
      <c r="A9880" t="e" cm="1">
        <f t="array" ref="A9880">------------------------------RGCDH-T-ICINTY----------FSQHRT</f>
        <v>#NAME?</v>
      </c>
    </row>
    <row r="9881" spans="1:1">
      <c r="A9881" t="s">
        <v>49476</v>
      </c>
    </row>
    <row r="9882" spans="1:1">
      <c r="A9882" t="s">
        <v>49477</v>
      </c>
    </row>
    <row r="9883" spans="1:1">
      <c r="A9883" t="s">
        <v>49478</v>
      </c>
    </row>
    <row r="9884" spans="1:1">
      <c r="A9884" t="s">
        <v>49479</v>
      </c>
    </row>
    <row r="9885" spans="1:1">
      <c r="A9885" t="s">
        <v>49398</v>
      </c>
    </row>
    <row r="9886" spans="1:1">
      <c r="A9886" t="e" cm="1">
        <f t="array" ref="A9886">-------------------------------------EHTPMRRKDLDSAAKG-SNTLNF</f>
        <v>#NAME?</v>
      </c>
    </row>
    <row r="9887" spans="1:1">
      <c r="A9887" t="s">
        <v>49399</v>
      </c>
    </row>
    <row r="9888" spans="1:1">
      <c r="A9888" t="s">
        <v>49480</v>
      </c>
    </row>
    <row r="9889" spans="1:1">
      <c r="A9889" t="s">
        <v>41057</v>
      </c>
    </row>
    <row r="9890" spans="1:1">
      <c r="A9890" t="s">
        <v>49481</v>
      </c>
    </row>
    <row r="9891" spans="1:1">
      <c r="A9891" t="s">
        <v>49402</v>
      </c>
    </row>
    <row r="9892" spans="1:1">
      <c r="A9892" t="e" cm="1">
        <f t="array" ref="A9892">-------------------------PPEEI-------FDHYAS----------------G</f>
        <v>#NAME?</v>
      </c>
    </row>
    <row r="9893" spans="1:1">
      <c r="A9893" t="s">
        <v>49482</v>
      </c>
    </row>
    <row r="9894" spans="1:1">
      <c r="A9894" t="s">
        <v>41057</v>
      </c>
    </row>
    <row r="9895" spans="1:1">
      <c r="A9895" t="s">
        <v>47081</v>
      </c>
    </row>
    <row r="9896" spans="1:1">
      <c r="A9896" t="e" cm="1">
        <f t="array" ref="A9896">--------------YCARDCR-----------------LP--------LALEEHL-MTLT</f>
        <v>#NAME?</v>
      </c>
    </row>
    <row r="9897" spans="1:1">
      <c r="A9897" t="s">
        <v>49404</v>
      </c>
    </row>
    <row r="9898" spans="1:1">
      <c r="A9898" t="s">
        <v>49483</v>
      </c>
    </row>
    <row r="9899" spans="1:1">
      <c r="A9899" t="s">
        <v>49484</v>
      </c>
    </row>
    <row r="9900" spans="1:1">
      <c r="A9900" t="s">
        <v>49485</v>
      </c>
    </row>
    <row r="9901" spans="1:1">
      <c r="A9901" t="e" cm="1">
        <f t="array" ref="A9901">------AADAEEG-YA--------------------------------GATV-LQPRAGY</f>
        <v>#NAME?</v>
      </c>
    </row>
    <row r="9902" spans="1:1">
      <c r="A9902" t="s">
        <v>49486</v>
      </c>
    </row>
    <row r="9903" spans="1:1">
      <c r="A9903" t="s">
        <v>41057</v>
      </c>
    </row>
    <row r="9904" spans="1:1">
      <c r="A9904" t="s">
        <v>41057</v>
      </c>
    </row>
    <row r="9905" spans="1:1">
      <c r="A9905" t="s">
        <v>41057</v>
      </c>
    </row>
    <row r="9906" spans="1:1">
      <c r="A9906" t="s">
        <v>41057</v>
      </c>
    </row>
    <row r="9907" spans="1:1">
      <c r="A9907" t="s">
        <v>41057</v>
      </c>
    </row>
    <row r="9908" spans="1:1">
      <c r="A9908" t="s">
        <v>41057</v>
      </c>
    </row>
    <row r="9909" spans="1:1">
      <c r="A9909" t="s">
        <v>41057</v>
      </c>
    </row>
    <row r="9910" spans="1:1">
      <c r="A9910" t="s">
        <v>41057</v>
      </c>
    </row>
    <row r="9911" spans="1:1">
      <c r="A9911" t="e" cm="1">
        <f t="array" ref="A9911">-QSLY-------------------PSIMEANNLCPSTRVTAEPIHRELARHC-REVREAT</f>
        <v>#NAME?</v>
      </c>
    </row>
    <row r="9912" spans="1:1">
      <c r="A9912" t="s">
        <v>49487</v>
      </c>
    </row>
    <row r="9913" spans="1:1">
      <c r="A9913" t="s">
        <v>49488</v>
      </c>
    </row>
    <row r="9914" spans="1:1">
      <c r="A9914" t="s">
        <v>41057</v>
      </c>
    </row>
    <row r="9915" spans="1:1">
      <c r="A9915" t="s">
        <v>49411</v>
      </c>
    </row>
    <row r="9916" spans="1:1">
      <c r="A9916" t="s">
        <v>49489</v>
      </c>
    </row>
    <row r="9917" spans="1:1">
      <c r="A9917" t="s">
        <v>41057</v>
      </c>
    </row>
    <row r="9918" spans="1:1">
      <c r="A9918" t="s">
        <v>49490</v>
      </c>
    </row>
    <row r="9919" spans="1:1">
      <c r="A9919" t="s">
        <v>41057</v>
      </c>
    </row>
    <row r="9920" spans="1:1">
      <c r="A9920" t="s">
        <v>49491</v>
      </c>
    </row>
    <row r="9921" spans="1:1">
      <c r="A9921" t="s">
        <v>49415</v>
      </c>
    </row>
    <row r="9922" spans="1:1">
      <c r="A9922" t="s">
        <v>49492</v>
      </c>
    </row>
    <row r="9923" spans="1:1">
      <c r="A9923" t="e" cm="1">
        <f t="array" ref="A9923">-----------------YEN-------RQL--------GIKITANCFPADDHEILTETGF</f>
        <v>#NAME?</v>
      </c>
    </row>
    <row r="9924" spans="1:1">
      <c r="A9924" t="s">
        <v>49493</v>
      </c>
    </row>
    <row r="9925" spans="1:1">
      <c r="A9925" t="s">
        <v>49494</v>
      </c>
    </row>
    <row r="9926" spans="1:1">
      <c r="A9926" t="s">
        <v>49495</v>
      </c>
    </row>
    <row r="9927" spans="1:1">
      <c r="A9927" t="s">
        <v>49496</v>
      </c>
    </row>
    <row r="9928" spans="1:1">
      <c r="A9928" t="s">
        <v>49497</v>
      </c>
    </row>
    <row r="9929" spans="1:1">
      <c r="A9929" t="s">
        <v>49498</v>
      </c>
    </row>
    <row r="9930" spans="1:1">
      <c r="A9930" t="s">
        <v>49499</v>
      </c>
    </row>
    <row r="9931" spans="1:1">
      <c r="A9931" t="s">
        <v>49500</v>
      </c>
    </row>
    <row r="9932" spans="1:1">
      <c r="A9932" t="s">
        <v>49501</v>
      </c>
    </row>
    <row r="9933" spans="1:1">
      <c r="A9933" t="s">
        <v>49502</v>
      </c>
    </row>
    <row r="9934" spans="1:1">
      <c r="A9934" t="s">
        <v>41057</v>
      </c>
    </row>
    <row r="9935" spans="1:1">
      <c r="A9935" t="s">
        <v>41057</v>
      </c>
    </row>
    <row r="9936" spans="1:1">
      <c r="A9936" t="s">
        <v>41057</v>
      </c>
    </row>
    <row r="9937" spans="1:1">
      <c r="A9937" t="s">
        <v>41057</v>
      </c>
    </row>
    <row r="9938" spans="1:1">
      <c r="A9938" t="s">
        <v>41057</v>
      </c>
    </row>
    <row r="9939" spans="1:1">
      <c r="A9939" t="s">
        <v>49427</v>
      </c>
    </row>
    <row r="9940" spans="1:1">
      <c r="A9940" t="s">
        <v>49503</v>
      </c>
    </row>
    <row r="9941" spans="1:1">
      <c r="A9941" t="e" cm="1">
        <f t="array" ref="A9941">--------AAAERQRA-------KERLDASFASAGLGAVAVTDV-----ALAQPALEPAA</f>
        <v>#NAME?</v>
      </c>
    </row>
    <row r="9942" spans="1:1">
      <c r="A9942" t="s">
        <v>49429</v>
      </c>
    </row>
    <row r="9943" spans="1:1">
      <c r="A9943" t="s">
        <v>49504</v>
      </c>
    </row>
    <row r="9944" spans="1:1">
      <c r="A9944" t="e" cm="1">
        <f t="array" ref="A9944">--------GDITGATVVYGDSV------------GADTPLLLRF----DGKHVDYVRADQ</f>
        <v>#NAME?</v>
      </c>
    </row>
    <row r="9945" spans="1:1">
      <c r="A9945" t="s">
        <v>49505</v>
      </c>
    </row>
    <row r="9946" spans="1:1">
      <c r="A9946" t="s">
        <v>41057</v>
      </c>
    </row>
    <row r="9947" spans="1:1">
      <c r="A9947" t="e" cm="1">
        <f t="array" ref="A9947">----------------------------------------------------------GD</f>
        <v>#NAME?</v>
      </c>
    </row>
    <row r="9948" spans="1:1">
      <c r="A9948" t="s">
        <v>49506</v>
      </c>
    </row>
    <row r="9949" spans="1:1">
      <c r="A9949" t="s">
        <v>49507</v>
      </c>
    </row>
    <row r="9950" spans="1:1">
      <c r="A9950" t="s">
        <v>49508</v>
      </c>
    </row>
    <row r="9951" spans="1:1">
      <c r="A9951" t="s">
        <v>49509</v>
      </c>
    </row>
    <row r="9952" spans="1:1">
      <c r="A9952" t="s">
        <v>49510</v>
      </c>
    </row>
    <row r="9953" spans="1:1">
      <c r="A9953" t="s">
        <v>49511</v>
      </c>
    </row>
    <row r="9954" spans="1:1">
      <c r="A9954" t="s">
        <v>49512</v>
      </c>
    </row>
    <row r="9955" spans="1:1">
      <c r="A9955" t="s">
        <v>49513</v>
      </c>
    </row>
    <row r="9956" spans="1:1">
      <c r="A9956" t="s">
        <v>49440</v>
      </c>
    </row>
    <row r="9957" spans="1:1">
      <c r="A9957" t="s">
        <v>45475</v>
      </c>
    </row>
    <row r="9958" spans="1:1">
      <c r="A9958" t="s">
        <v>49514</v>
      </c>
    </row>
    <row r="9959" spans="1:1">
      <c r="A9959" t="e" cm="1">
        <f t="array" ref="A9959">--------REG----------------------------VEV----ALQ----------L</f>
        <v>#NAME?</v>
      </c>
    </row>
    <row r="9960" spans="1:1">
      <c r="A9960" t="s">
        <v>49515</v>
      </c>
    </row>
    <row r="9961" spans="1:1">
      <c r="A9961" t="e" cm="1">
        <f t="array" ref="A9961">--------PDQ----IILDTEK-AYWPYVL----------F-RKKRYV-----------G</f>
        <v>#NAME?</v>
      </c>
    </row>
    <row r="9962" spans="1:1">
      <c r="A9962" t="s">
        <v>49516</v>
      </c>
    </row>
    <row r="9963" spans="1:1">
      <c r="A9963" t="s">
        <v>49517</v>
      </c>
    </row>
    <row r="9964" spans="1:1">
      <c r="A9964" t="s">
        <v>49445</v>
      </c>
    </row>
    <row r="9965" spans="1:1">
      <c r="A9965" t="s">
        <v>49518</v>
      </c>
    </row>
    <row r="9966" spans="1:1">
      <c r="A9966" t="s">
        <v>49447</v>
      </c>
    </row>
    <row r="9967" spans="1:1">
      <c r="A9967" t="s">
        <v>49448</v>
      </c>
    </row>
    <row r="9968" spans="1:1">
      <c r="A9968" t="s">
        <v>49519</v>
      </c>
    </row>
    <row r="9969" spans="1:1">
      <c r="A9969" t="s">
        <v>49450</v>
      </c>
    </row>
    <row r="9970" spans="1:1">
      <c r="A9970" t="s">
        <v>49520</v>
      </c>
    </row>
    <row r="9971" spans="1:1">
      <c r="A9971" t="s">
        <v>49521</v>
      </c>
    </row>
    <row r="9972" spans="1:1">
      <c r="A9972" t="s">
        <v>49522</v>
      </c>
    </row>
    <row r="9973" spans="1:1">
      <c r="A9973" t="e" cm="1">
        <f t="array" ref="A9973">--------------------------------------------FDNPEQLF-----ADA</f>
        <v>#NAME?</v>
      </c>
    </row>
    <row r="9974" spans="1:1">
      <c r="A9974" t="s">
        <v>49523</v>
      </c>
    </row>
    <row r="9975" spans="1:1">
      <c r="A9975" t="s">
        <v>49524</v>
      </c>
    </row>
    <row r="9976" spans="1:1">
      <c r="A9976" t="s">
        <v>49525</v>
      </c>
    </row>
    <row r="9977" spans="1:1">
      <c r="A9977" t="s">
        <v>41057</v>
      </c>
    </row>
    <row r="9978" spans="1:1">
      <c r="A9978" t="s">
        <v>49526</v>
      </c>
    </row>
    <row r="9979" spans="1:1">
      <c r="A9979" t="s">
        <v>49527</v>
      </c>
    </row>
    <row r="9980" spans="1:1">
      <c r="A9980" t="s">
        <v>49528</v>
      </c>
    </row>
    <row r="9981" spans="1:1">
      <c r="A9981" t="s">
        <v>41057</v>
      </c>
    </row>
    <row r="9982" spans="1:1">
      <c r="A9982" t="s">
        <v>41057</v>
      </c>
    </row>
    <row r="9983" spans="1:1">
      <c r="A9983" t="e" cm="1">
        <f t="array" ref="A9983">----------------------------------------------------------KK</f>
        <v>#NAME?</v>
      </c>
    </row>
    <row r="9984" spans="1:1">
      <c r="A9984" t="s">
        <v>49529</v>
      </c>
    </row>
    <row r="9985" spans="1:1">
      <c r="A9985" t="s">
        <v>44423</v>
      </c>
    </row>
    <row r="9986" spans="1:1">
      <c r="A9986" t="s">
        <v>41057</v>
      </c>
    </row>
    <row r="9987" spans="1:1">
      <c r="A9987" t="s">
        <v>41057</v>
      </c>
    </row>
    <row r="9988" spans="1:1">
      <c r="A9988" t="s">
        <v>49530</v>
      </c>
    </row>
    <row r="9989" spans="1:1">
      <c r="A9989" t="s">
        <v>49531</v>
      </c>
    </row>
    <row r="9990" spans="1:1">
      <c r="A9990" t="s">
        <v>49532</v>
      </c>
    </row>
    <row r="9991" spans="1:1">
      <c r="A9991" t="s">
        <v>49533</v>
      </c>
    </row>
    <row r="9992" spans="1:1">
      <c r="A9992" t="s">
        <v>49534</v>
      </c>
    </row>
    <row r="9993" spans="1:1">
      <c r="A9993" t="e" cm="1">
        <f t="array" ref="A9993">-AGQPVHKYHHAQH-RES----------------------------RQFD-----GILAD</f>
        <v>#NAME?</v>
      </c>
    </row>
    <row r="9994" spans="1:1">
      <c r="A9994" t="s">
        <v>49535</v>
      </c>
    </row>
    <row r="9995" spans="1:1">
      <c r="A9995" t="s">
        <v>49536</v>
      </c>
    </row>
    <row r="9996" spans="1:1">
      <c r="A9996" t="s">
        <v>49537</v>
      </c>
    </row>
    <row r="9997" spans="1:1">
      <c r="A9997" t="s">
        <v>49538</v>
      </c>
    </row>
    <row r="9998" spans="1:1">
      <c r="A9998" t="s">
        <v>49539</v>
      </c>
    </row>
    <row r="9999" spans="1:1">
      <c r="A9999" t="s">
        <v>49540</v>
      </c>
    </row>
    <row r="10000" spans="1:1">
      <c r="A10000" t="s">
        <v>49541</v>
      </c>
    </row>
    <row r="10001" spans="1:1">
      <c r="A10001" t="s">
        <v>49542</v>
      </c>
    </row>
    <row r="10002" spans="1:1">
      <c r="A10002" t="s">
        <v>49543</v>
      </c>
    </row>
    <row r="10003" spans="1:1">
      <c r="A10003" t="s">
        <v>49544</v>
      </c>
    </row>
    <row r="10004" spans="1:1">
      <c r="A10004" t="s">
        <v>49393</v>
      </c>
    </row>
    <row r="10005" spans="1:1">
      <c r="A10005" t="s">
        <v>41057</v>
      </c>
    </row>
    <row r="10006" spans="1:1">
      <c r="A10006" t="s">
        <v>41057</v>
      </c>
    </row>
    <row r="10007" spans="1:1">
      <c r="A10007" t="s">
        <v>41057</v>
      </c>
    </row>
    <row r="10008" spans="1:1">
      <c r="A10008" t="e" cm="1">
        <f t="array" ref="A10008">------------------------------RGCDH-T-ICINTY----------FSQHRS</f>
        <v>#NAME?</v>
      </c>
    </row>
    <row r="10009" spans="1:1">
      <c r="A10009" t="s">
        <v>49545</v>
      </c>
    </row>
    <row r="10010" spans="1:1">
      <c r="A10010" t="s">
        <v>49546</v>
      </c>
    </row>
    <row r="10011" spans="1:1">
      <c r="A10011" t="s">
        <v>49547</v>
      </c>
    </row>
    <row r="10012" spans="1:1">
      <c r="A10012" t="s">
        <v>49548</v>
      </c>
    </row>
    <row r="10013" spans="1:1">
      <c r="A10013" t="s">
        <v>49398</v>
      </c>
    </row>
    <row r="10014" spans="1:1">
      <c r="A10014" t="e" cm="1">
        <f t="array" ref="A10014">-------------------------------------EHTPMRRKDLDSAAKG-SNTLNF</f>
        <v>#NAME?</v>
      </c>
    </row>
    <row r="10015" spans="1:1">
      <c r="A10015" t="s">
        <v>49549</v>
      </c>
    </row>
    <row r="10016" spans="1:1">
      <c r="A10016" t="s">
        <v>49550</v>
      </c>
    </row>
    <row r="10017" spans="1:1">
      <c r="A10017" t="s">
        <v>41057</v>
      </c>
    </row>
    <row r="10018" spans="1:1">
      <c r="A10018" t="s">
        <v>49481</v>
      </c>
    </row>
    <row r="10019" spans="1:1">
      <c r="A10019" t="s">
        <v>49402</v>
      </c>
    </row>
    <row r="10020" spans="1:1">
      <c r="A10020" t="e" cm="1">
        <f t="array" ref="A10020">-------------------------PPEEI-------FDHYAS----------------G</f>
        <v>#NAME?</v>
      </c>
    </row>
    <row r="10021" spans="1:1">
      <c r="A10021" t="s">
        <v>49482</v>
      </c>
    </row>
    <row r="10022" spans="1:1">
      <c r="A10022" t="s">
        <v>41057</v>
      </c>
    </row>
    <row r="10023" spans="1:1">
      <c r="A10023" t="s">
        <v>47081</v>
      </c>
    </row>
    <row r="10024" spans="1:1">
      <c r="A10024" t="e" cm="1">
        <f t="array" ref="A10024">--------------YCARDCR-----------------LP--------LALEEHL-MTLT</f>
        <v>#NAME?</v>
      </c>
    </row>
    <row r="10025" spans="1:1">
      <c r="A10025" t="s">
        <v>49404</v>
      </c>
    </row>
    <row r="10026" spans="1:1">
      <c r="A10026" t="s">
        <v>49483</v>
      </c>
    </row>
    <row r="10027" spans="1:1">
      <c r="A10027" t="s">
        <v>49551</v>
      </c>
    </row>
    <row r="10028" spans="1:1">
      <c r="A10028" t="s">
        <v>49552</v>
      </c>
    </row>
    <row r="10029" spans="1:1">
      <c r="A10029" t="e" cm="1">
        <f t="array" ref="A10029">----PEAADA-EG-YT--------------------------------GATV-LQPRAGY</f>
        <v>#NAME?</v>
      </c>
    </row>
    <row r="10030" spans="1:1">
      <c r="A10030" t="s">
        <v>49486</v>
      </c>
    </row>
    <row r="10031" spans="1:1">
      <c r="A10031" t="s">
        <v>41057</v>
      </c>
    </row>
    <row r="10032" spans="1:1">
      <c r="A10032" t="s">
        <v>41057</v>
      </c>
    </row>
    <row r="10033" spans="1:1">
      <c r="A10033" t="s">
        <v>41057</v>
      </c>
    </row>
    <row r="10034" spans="1:1">
      <c r="A10034" t="s">
        <v>41057</v>
      </c>
    </row>
    <row r="10035" spans="1:1">
      <c r="A10035" t="s">
        <v>41057</v>
      </c>
    </row>
    <row r="10036" spans="1:1">
      <c r="A10036" t="s">
        <v>41057</v>
      </c>
    </row>
    <row r="10037" spans="1:1">
      <c r="A10037" t="s">
        <v>41057</v>
      </c>
    </row>
    <row r="10038" spans="1:1">
      <c r="A10038" t="s">
        <v>41057</v>
      </c>
    </row>
    <row r="10039" spans="1:1">
      <c r="A10039" t="e" cm="1">
        <f t="array" ref="A10039">-QSLY-------------------PSIMEANNLCPSTRVTSPPIHKELVRHC-REVREPA</f>
        <v>#NAME?</v>
      </c>
    </row>
    <row r="10040" spans="1:1">
      <c r="A10040" t="s">
        <v>49553</v>
      </c>
    </row>
    <row r="10041" spans="1:1">
      <c r="A10041" t="s">
        <v>49554</v>
      </c>
    </row>
    <row r="10042" spans="1:1">
      <c r="A10042" t="s">
        <v>41057</v>
      </c>
    </row>
    <row r="10043" spans="1:1">
      <c r="A10043" t="s">
        <v>49411</v>
      </c>
    </row>
    <row r="10044" spans="1:1">
      <c r="A10044" t="s">
        <v>49555</v>
      </c>
    </row>
    <row r="10045" spans="1:1">
      <c r="A10045" t="s">
        <v>41057</v>
      </c>
    </row>
    <row r="10046" spans="1:1">
      <c r="A10046" t="s">
        <v>49490</v>
      </c>
    </row>
    <row r="10047" spans="1:1">
      <c r="A10047" t="s">
        <v>41057</v>
      </c>
    </row>
    <row r="10048" spans="1:1">
      <c r="A10048" t="s">
        <v>49491</v>
      </c>
    </row>
    <row r="10049" spans="1:1">
      <c r="A10049" t="s">
        <v>49415</v>
      </c>
    </row>
    <row r="10050" spans="1:1">
      <c r="A10050" t="s">
        <v>49492</v>
      </c>
    </row>
    <row r="10051" spans="1:1">
      <c r="A10051" t="s">
        <v>49556</v>
      </c>
    </row>
    <row r="10052" spans="1:1">
      <c r="A10052" t="s">
        <v>41057</v>
      </c>
    </row>
    <row r="10053" spans="1:1">
      <c r="A10053" t="s">
        <v>41057</v>
      </c>
    </row>
    <row r="10054" spans="1:1">
      <c r="A10054" t="s">
        <v>41057</v>
      </c>
    </row>
    <row r="10055" spans="1:1">
      <c r="A10055" t="s">
        <v>41057</v>
      </c>
    </row>
    <row r="10056" spans="1:1">
      <c r="A10056" t="s">
        <v>41057</v>
      </c>
    </row>
    <row r="10057" spans="1:1">
      <c r="A10057" t="s">
        <v>41057</v>
      </c>
    </row>
    <row r="10058" spans="1:1">
      <c r="A10058" t="s">
        <v>41057</v>
      </c>
    </row>
    <row r="10059" spans="1:1">
      <c r="A10059" t="s">
        <v>41057</v>
      </c>
    </row>
    <row r="10060" spans="1:1">
      <c r="A10060" t="s">
        <v>41057</v>
      </c>
    </row>
    <row r="10061" spans="1:1">
      <c r="A10061" t="s">
        <v>41057</v>
      </c>
    </row>
    <row r="10062" spans="1:1">
      <c r="A10062" t="s">
        <v>41057</v>
      </c>
    </row>
    <row r="10063" spans="1:1">
      <c r="A10063" t="s">
        <v>41057</v>
      </c>
    </row>
    <row r="10064" spans="1:1">
      <c r="A10064" t="s">
        <v>41057</v>
      </c>
    </row>
    <row r="10065" spans="1:1">
      <c r="A10065" t="s">
        <v>41057</v>
      </c>
    </row>
    <row r="10066" spans="1:1">
      <c r="A10066" t="s">
        <v>41057</v>
      </c>
    </row>
    <row r="10067" spans="1:1">
      <c r="A10067" t="s">
        <v>49427</v>
      </c>
    </row>
    <row r="10068" spans="1:1">
      <c r="A10068" t="s">
        <v>49557</v>
      </c>
    </row>
    <row r="10069" spans="1:1">
      <c r="A10069" t="e" cm="1">
        <f t="array" ref="A10069">--------AAAERKRA-------KERLDADHANDDHSAVT----------------PPPP</f>
        <v>#NAME?</v>
      </c>
    </row>
    <row r="10070" spans="1:1">
      <c r="A10070" t="s">
        <v>49558</v>
      </c>
    </row>
    <row r="10071" spans="1:1">
      <c r="A10071" t="s">
        <v>49559</v>
      </c>
    </row>
    <row r="10072" spans="1:1">
      <c r="A10072" t="s">
        <v>49560</v>
      </c>
    </row>
    <row r="10073" spans="1:1">
      <c r="A10073" t="s">
        <v>41057</v>
      </c>
    </row>
    <row r="10074" spans="1:1">
      <c r="A10074" t="s">
        <v>41057</v>
      </c>
    </row>
    <row r="10075" spans="1:1">
      <c r="A10075" t="s">
        <v>41057</v>
      </c>
    </row>
    <row r="10076" spans="1:1">
      <c r="A10076" t="s">
        <v>41057</v>
      </c>
    </row>
    <row r="10077" spans="1:1">
      <c r="A10077" t="s">
        <v>41057</v>
      </c>
    </row>
    <row r="10078" spans="1:1">
      <c r="A10078" t="s">
        <v>41057</v>
      </c>
    </row>
    <row r="10079" spans="1:1">
      <c r="A10079" t="s">
        <v>41057</v>
      </c>
    </row>
    <row r="10080" spans="1:1">
      <c r="A10080" t="s">
        <v>41057</v>
      </c>
    </row>
    <row r="10081" spans="1:1">
      <c r="A10081" t="s">
        <v>41057</v>
      </c>
    </row>
    <row r="10082" spans="1:1">
      <c r="A10082" t="s">
        <v>41057</v>
      </c>
    </row>
    <row r="10083" spans="1:1">
      <c r="A10083" t="s">
        <v>41057</v>
      </c>
    </row>
    <row r="10084" spans="1:1">
      <c r="A10084" t="e" cm="1">
        <f t="array" ref="A10084">-----------------------------------------------TDSV--------M</f>
        <v>#NAME?</v>
      </c>
    </row>
    <row r="10085" spans="1:1">
      <c r="A10085" t="s">
        <v>45475</v>
      </c>
    </row>
    <row r="10086" spans="1:1">
      <c r="A10086" t="s">
        <v>49561</v>
      </c>
    </row>
    <row r="10087" spans="1:1">
      <c r="A10087" t="e" cm="1">
        <f t="array" ref="A10087">--------REG----------------------------VEV----ALQ----------L</f>
        <v>#NAME?</v>
      </c>
    </row>
    <row r="10088" spans="1:1">
      <c r="A10088" t="s">
        <v>49515</v>
      </c>
    </row>
    <row r="10089" spans="1:1">
      <c r="A10089" t="e" cm="1">
        <f t="array" ref="A10089">--------PDQ----IILDTEK-AYWPYVL----------F-RKKRYA-----------G</f>
        <v>#NAME?</v>
      </c>
    </row>
    <row r="10090" spans="1:1">
      <c r="A10090" t="s">
        <v>49562</v>
      </c>
    </row>
    <row r="10091" spans="1:1">
      <c r="A10091" t="s">
        <v>49563</v>
      </c>
    </row>
    <row r="10092" spans="1:1">
      <c r="A10092" t="s">
        <v>49445</v>
      </c>
    </row>
    <row r="10093" spans="1:1">
      <c r="A10093" t="s">
        <v>49518</v>
      </c>
    </row>
    <row r="10094" spans="1:1">
      <c r="A10094" t="s">
        <v>49447</v>
      </c>
    </row>
    <row r="10095" spans="1:1">
      <c r="A10095" t="s">
        <v>49448</v>
      </c>
    </row>
    <row r="10096" spans="1:1">
      <c r="A10096" t="s">
        <v>49564</v>
      </c>
    </row>
    <row r="10097" spans="1:1">
      <c r="A10097" t="s">
        <v>49450</v>
      </c>
    </row>
    <row r="10098" spans="1:1">
      <c r="A10098" t="s">
        <v>49565</v>
      </c>
    </row>
    <row r="10099" spans="1:1">
      <c r="A10099" t="s">
        <v>49521</v>
      </c>
    </row>
    <row r="10100" spans="1:1">
      <c r="A10100" t="s">
        <v>49522</v>
      </c>
    </row>
    <row r="10101" spans="1:1">
      <c r="A10101" t="e" cm="1">
        <f t="array" ref="A10101">--------------------------------------------FDNPEQLF-----ADA</f>
        <v>#NAME?</v>
      </c>
    </row>
    <row r="10102" spans="1:1">
      <c r="A10102" t="s">
        <v>49523</v>
      </c>
    </row>
    <row r="10103" spans="1:1">
      <c r="A10103" t="s">
        <v>49566</v>
      </c>
    </row>
    <row r="10104" spans="1:1">
      <c r="A10104" t="s">
        <v>49525</v>
      </c>
    </row>
    <row r="10105" spans="1:1">
      <c r="A10105" t="s">
        <v>41057</v>
      </c>
    </row>
    <row r="10106" spans="1:1">
      <c r="A10106" t="s">
        <v>49567</v>
      </c>
    </row>
    <row r="10107" spans="1:1">
      <c r="A10107" t="s">
        <v>49568</v>
      </c>
    </row>
    <row r="10108" spans="1:1">
      <c r="A10108" t="s">
        <v>49528</v>
      </c>
    </row>
    <row r="10109" spans="1:1">
      <c r="A10109" t="s">
        <v>41057</v>
      </c>
    </row>
    <row r="10110" spans="1:1">
      <c r="A10110" t="s">
        <v>41057</v>
      </c>
    </row>
    <row r="10111" spans="1:1">
      <c r="A10111" t="e" cm="1">
        <f t="array" ref="A10111">----------------------------------------------------------KK</f>
        <v>#NAME?</v>
      </c>
    </row>
    <row r="10112" spans="1:1">
      <c r="A10112" t="s">
        <v>49569</v>
      </c>
    </row>
    <row r="10113" spans="1:1">
      <c r="A10113" t="s">
        <v>44447</v>
      </c>
    </row>
    <row r="10114" spans="1:1">
      <c r="A10114" t="s">
        <v>41057</v>
      </c>
    </row>
    <row r="10115" spans="1:1">
      <c r="A10115" t="s">
        <v>41057</v>
      </c>
    </row>
    <row r="10116" spans="1:1">
      <c r="A10116" t="s">
        <v>49570</v>
      </c>
    </row>
    <row r="10117" spans="1:1">
      <c r="A10117" t="s">
        <v>49571</v>
      </c>
    </row>
    <row r="10118" spans="1:1">
      <c r="A10118" t="s">
        <v>49572</v>
      </c>
    </row>
    <row r="10119" spans="1:1">
      <c r="A10119" t="s">
        <v>49533</v>
      </c>
    </row>
    <row r="10120" spans="1:1">
      <c r="A10120" t="s">
        <v>49573</v>
      </c>
    </row>
    <row r="10121" spans="1:1">
      <c r="A10121" t="e" cm="1">
        <f t="array" ref="A10121">-AAQPVAYYHHGEH-RES----------------------------RQFD-----GFLDD</f>
        <v>#NAME?</v>
      </c>
    </row>
    <row r="10122" spans="1:1">
      <c r="A10122" t="s">
        <v>49574</v>
      </c>
    </row>
    <row r="10123" spans="1:1">
      <c r="A10123" t="s">
        <v>49536</v>
      </c>
    </row>
    <row r="10124" spans="1:1">
      <c r="A10124" t="s">
        <v>49575</v>
      </c>
    </row>
    <row r="10125" spans="1:1">
      <c r="A10125" t="s">
        <v>49576</v>
      </c>
    </row>
    <row r="10126" spans="1:1">
      <c r="A10126" t="s">
        <v>49577</v>
      </c>
    </row>
    <row r="10127" spans="1:1">
      <c r="A10127" t="s">
        <v>49578</v>
      </c>
    </row>
    <row r="10128" spans="1:1">
      <c r="A10128" t="s">
        <v>49579</v>
      </c>
    </row>
    <row r="10129" spans="1:1">
      <c r="A10129" t="s">
        <v>49580</v>
      </c>
    </row>
    <row r="10130" spans="1:1">
      <c r="A10130" t="s">
        <v>49391</v>
      </c>
    </row>
    <row r="10131" spans="1:1">
      <c r="A10131" t="s">
        <v>49544</v>
      </c>
    </row>
    <row r="10132" spans="1:1">
      <c r="A10132" t="s">
        <v>49393</v>
      </c>
    </row>
    <row r="10133" spans="1:1">
      <c r="A10133" t="s">
        <v>41057</v>
      </c>
    </row>
    <row r="10134" spans="1:1">
      <c r="A10134" t="s">
        <v>41057</v>
      </c>
    </row>
    <row r="10135" spans="1:1">
      <c r="A10135" t="s">
        <v>41057</v>
      </c>
    </row>
    <row r="10136" spans="1:1">
      <c r="A10136" t="e" cm="1">
        <f t="array" ref="A10136">------------------------------RGCDH-T-ICINTY----------FSQHRS</f>
        <v>#NAME?</v>
      </c>
    </row>
    <row r="10137" spans="1:1">
      <c r="A10137" t="s">
        <v>49581</v>
      </c>
    </row>
    <row r="10138" spans="1:1">
      <c r="A10138" t="s">
        <v>49582</v>
      </c>
    </row>
    <row r="10139" spans="1:1">
      <c r="A10139" t="s">
        <v>49583</v>
      </c>
    </row>
    <row r="10140" spans="1:1">
      <c r="A10140" t="s">
        <v>49548</v>
      </c>
    </row>
    <row r="10141" spans="1:1">
      <c r="A10141" t="s">
        <v>49398</v>
      </c>
    </row>
    <row r="10142" spans="1:1">
      <c r="A10142" t="e" cm="1">
        <f t="array" ref="A10142">-------------------------------------EHTPMRRKDLDSAAKG-SNTLNF</f>
        <v>#NAME?</v>
      </c>
    </row>
    <row r="10143" spans="1:1">
      <c r="A10143" t="s">
        <v>49549</v>
      </c>
    </row>
    <row r="10144" spans="1:1">
      <c r="A10144" t="s">
        <v>49584</v>
      </c>
    </row>
    <row r="10145" spans="1:1">
      <c r="A10145" t="s">
        <v>41057</v>
      </c>
    </row>
    <row r="10146" spans="1:1">
      <c r="A10146" t="s">
        <v>49481</v>
      </c>
    </row>
    <row r="10147" spans="1:1">
      <c r="A10147" t="s">
        <v>49402</v>
      </c>
    </row>
    <row r="10148" spans="1:1">
      <c r="A10148" t="e" cm="1">
        <f t="array" ref="A10148">-------------------------PPEEI-------FEHYAS----------------G</f>
        <v>#NAME?</v>
      </c>
    </row>
    <row r="10149" spans="1:1">
      <c r="A10149" t="s">
        <v>49585</v>
      </c>
    </row>
    <row r="10150" spans="1:1">
      <c r="A10150" t="s">
        <v>41057</v>
      </c>
    </row>
    <row r="10151" spans="1:1">
      <c r="A10151" t="s">
        <v>47081</v>
      </c>
    </row>
    <row r="10152" spans="1:1">
      <c r="A10152" t="e" cm="1">
        <f t="array" ref="A10152">--------------YCARDCR-----------------LP--------LALEEHL-MTLT</f>
        <v>#NAME?</v>
      </c>
    </row>
    <row r="10153" spans="1:1">
      <c r="A10153" t="s">
        <v>49404</v>
      </c>
    </row>
    <row r="10154" spans="1:1">
      <c r="A10154" t="s">
        <v>49586</v>
      </c>
    </row>
    <row r="10155" spans="1:1">
      <c r="A10155" t="s">
        <v>49587</v>
      </c>
    </row>
    <row r="10156" spans="1:1">
      <c r="A10156" t="s">
        <v>49588</v>
      </c>
    </row>
    <row r="10157" spans="1:1">
      <c r="A10157" t="e" cm="1">
        <f t="array" ref="A10157">-----VAADA-EG-YV--------------------------------GATV-LQPRAGY</f>
        <v>#NAME?</v>
      </c>
    </row>
    <row r="10158" spans="1:1">
      <c r="A10158" t="s">
        <v>49486</v>
      </c>
    </row>
    <row r="10159" spans="1:1">
      <c r="A10159" t="s">
        <v>41057</v>
      </c>
    </row>
    <row r="10160" spans="1:1">
      <c r="A10160" t="s">
        <v>41057</v>
      </c>
    </row>
    <row r="10161" spans="1:1">
      <c r="A10161" t="s">
        <v>41057</v>
      </c>
    </row>
    <row r="10162" spans="1:1">
      <c r="A10162" t="s">
        <v>41057</v>
      </c>
    </row>
    <row r="10163" spans="1:1">
      <c r="A10163" t="s">
        <v>41057</v>
      </c>
    </row>
    <row r="10164" spans="1:1">
      <c r="A10164" t="s">
        <v>41057</v>
      </c>
    </row>
    <row r="10165" spans="1:1">
      <c r="A10165" t="s">
        <v>41057</v>
      </c>
    </row>
    <row r="10166" spans="1:1">
      <c r="A10166" t="s">
        <v>41057</v>
      </c>
    </row>
    <row r="10167" spans="1:1">
      <c r="A10167" t="e" cm="1">
        <f t="array" ref="A10167">-QSLY-------------------PSIMEANNLCPSTRVTSRTVHAQLARHC-REVREPV</f>
        <v>#NAME?</v>
      </c>
    </row>
    <row r="10168" spans="1:1">
      <c r="A10168" t="s">
        <v>49589</v>
      </c>
    </row>
    <row r="10169" spans="1:1">
      <c r="A10169" t="s">
        <v>49590</v>
      </c>
    </row>
    <row r="10170" spans="1:1">
      <c r="A10170" t="s">
        <v>41057</v>
      </c>
    </row>
    <row r="10171" spans="1:1">
      <c r="A10171" t="s">
        <v>49411</v>
      </c>
    </row>
    <row r="10172" spans="1:1">
      <c r="A10172" t="s">
        <v>49591</v>
      </c>
    </row>
    <row r="10173" spans="1:1">
      <c r="A10173" t="s">
        <v>41057</v>
      </c>
    </row>
    <row r="10174" spans="1:1">
      <c r="A10174" t="s">
        <v>49490</v>
      </c>
    </row>
    <row r="10175" spans="1:1">
      <c r="A10175" t="s">
        <v>41057</v>
      </c>
    </row>
    <row r="10176" spans="1:1">
      <c r="A10176" t="s">
        <v>49414</v>
      </c>
    </row>
    <row r="10177" spans="1:1">
      <c r="A10177" t="s">
        <v>49415</v>
      </c>
    </row>
    <row r="10178" spans="1:1">
      <c r="A10178" t="s">
        <v>49492</v>
      </c>
    </row>
    <row r="10179" spans="1:1">
      <c r="A10179" t="e" cm="1">
        <f t="array" ref="A10179">-----------------YEN-------RQL--------GIKITANCFPADDHEILTETGF</f>
        <v>#NAME?</v>
      </c>
    </row>
    <row r="10180" spans="1:1">
      <c r="A10180" t="s">
        <v>49592</v>
      </c>
    </row>
    <row r="10181" spans="1:1">
      <c r="A10181" t="s">
        <v>49593</v>
      </c>
    </row>
    <row r="10182" spans="1:1">
      <c r="A10182" t="s">
        <v>49594</v>
      </c>
    </row>
    <row r="10183" spans="1:1">
      <c r="A10183" t="s">
        <v>49595</v>
      </c>
    </row>
    <row r="10184" spans="1:1">
      <c r="A10184" t="s">
        <v>49596</v>
      </c>
    </row>
    <row r="10185" spans="1:1">
      <c r="A10185" t="s">
        <v>49597</v>
      </c>
    </row>
    <row r="10186" spans="1:1">
      <c r="A10186" t="e" cm="1">
        <f t="array" ref="A10186">--------NYIARRNKLTARYDAMFAANTGKRRTTPDAEEVRSAKWMWSWVWRRLHPGRL</f>
        <v>#NAME?</v>
      </c>
    </row>
    <row r="10187" spans="1:1">
      <c r="A10187" t="s">
        <v>49598</v>
      </c>
    </row>
    <row r="10188" spans="1:1">
      <c r="A10188" t="s">
        <v>49599</v>
      </c>
    </row>
    <row r="10189" spans="1:1">
      <c r="A10189" t="s">
        <v>49600</v>
      </c>
    </row>
    <row r="10190" spans="1:1">
      <c r="A10190" t="s">
        <v>41057</v>
      </c>
    </row>
    <row r="10191" spans="1:1">
      <c r="A10191" t="s">
        <v>41057</v>
      </c>
    </row>
    <row r="10192" spans="1:1">
      <c r="A10192" t="s">
        <v>41057</v>
      </c>
    </row>
    <row r="10193" spans="1:1">
      <c r="A10193" t="s">
        <v>41057</v>
      </c>
    </row>
    <row r="10194" spans="1:1">
      <c r="A10194" t="s">
        <v>41057</v>
      </c>
    </row>
    <row r="10195" spans="1:1">
      <c r="A10195" t="s">
        <v>49427</v>
      </c>
    </row>
    <row r="10196" spans="1:1">
      <c r="A10196" t="s">
        <v>49601</v>
      </c>
    </row>
    <row r="10197" spans="1:1">
      <c r="A10197" t="e" cm="1">
        <f t="array" ref="A10197">--------AAAERQRA-------KERLDAGHATADLSAVT----------------LSPP</f>
        <v>#NAME?</v>
      </c>
    </row>
    <row r="10198" spans="1:1">
      <c r="A10198" t="s">
        <v>49558</v>
      </c>
    </row>
    <row r="10199" spans="1:1">
      <c r="A10199" t="s">
        <v>49602</v>
      </c>
    </row>
    <row r="10200" spans="1:1">
      <c r="A10200" t="s">
        <v>49560</v>
      </c>
    </row>
    <row r="10201" spans="1:1">
      <c r="A10201" t="s">
        <v>41057</v>
      </c>
    </row>
    <row r="10202" spans="1:1">
      <c r="A10202" t="s">
        <v>41057</v>
      </c>
    </row>
    <row r="10203" spans="1:1">
      <c r="A10203" t="s">
        <v>41057</v>
      </c>
    </row>
    <row r="10204" spans="1:1">
      <c r="A10204" t="s">
        <v>41057</v>
      </c>
    </row>
    <row r="10205" spans="1:1">
      <c r="A10205" t="s">
        <v>41057</v>
      </c>
    </row>
    <row r="10206" spans="1:1">
      <c r="A10206" t="s">
        <v>41057</v>
      </c>
    </row>
    <row r="10207" spans="1:1">
      <c r="A10207" t="s">
        <v>41057</v>
      </c>
    </row>
    <row r="10208" spans="1:1">
      <c r="A10208" t="s">
        <v>41057</v>
      </c>
    </row>
    <row r="10209" spans="1:1">
      <c r="A10209" t="s">
        <v>41057</v>
      </c>
    </row>
    <row r="10210" spans="1:1">
      <c r="A10210" t="s">
        <v>41057</v>
      </c>
    </row>
    <row r="10211" spans="1:1">
      <c r="A10211" t="s">
        <v>41057</v>
      </c>
    </row>
    <row r="10212" spans="1:1">
      <c r="A10212" t="e" cm="1">
        <f t="array" ref="A10212">-----------------------------------------------TDSV--------M</f>
        <v>#NAME?</v>
      </c>
    </row>
    <row r="10213" spans="1:1">
      <c r="A10213" t="s">
        <v>45475</v>
      </c>
    </row>
    <row r="10214" spans="1:1">
      <c r="A10214" t="s">
        <v>49603</v>
      </c>
    </row>
    <row r="10215" spans="1:1">
      <c r="A10215" t="e" cm="1">
        <f t="array" ref="A10215">--------REG----------------------------VEV----ALQ----------L</f>
        <v>#NAME?</v>
      </c>
    </row>
    <row r="10216" spans="1:1">
      <c r="A10216" t="s">
        <v>49515</v>
      </c>
    </row>
    <row r="10217" spans="1:1">
      <c r="A10217" t="e" cm="1">
        <f t="array" ref="A10217">--------PDQ----IILDTEK-AYWPYVL----------F-RKKRYV-----------G</f>
        <v>#NAME?</v>
      </c>
    </row>
    <row r="10218" spans="1:1">
      <c r="A10218" t="s">
        <v>49443</v>
      </c>
    </row>
    <row r="10219" spans="1:1">
      <c r="A10219" t="s">
        <v>49517</v>
      </c>
    </row>
    <row r="10220" spans="1:1">
      <c r="A10220" t="s">
        <v>49445</v>
      </c>
    </row>
    <row r="10221" spans="1:1">
      <c r="A10221" t="s">
        <v>49518</v>
      </c>
    </row>
    <row r="10222" spans="1:1">
      <c r="A10222" t="s">
        <v>49447</v>
      </c>
    </row>
    <row r="10223" spans="1:1">
      <c r="A10223" t="s">
        <v>49448</v>
      </c>
    </row>
    <row r="10224" spans="1:1">
      <c r="A10224" t="s">
        <v>49564</v>
      </c>
    </row>
    <row r="10225" spans="1:1">
      <c r="A10225" t="s">
        <v>49450</v>
      </c>
    </row>
    <row r="10226" spans="1:1">
      <c r="A10226" t="s">
        <v>49604</v>
      </c>
    </row>
    <row r="10227" spans="1:1">
      <c r="A10227" t="s">
        <v>49521</v>
      </c>
    </row>
    <row r="10228" spans="1:1">
      <c r="A10228" t="s">
        <v>49605</v>
      </c>
    </row>
    <row r="10229" spans="1:1">
      <c r="A10229" t="e" cm="1">
        <f t="array" ref="A10229">--------------------------------------------FENPQQLF-----ADA</f>
        <v>#NAME?</v>
      </c>
    </row>
    <row r="10230" spans="1:1">
      <c r="A10230" t="s">
        <v>49606</v>
      </c>
    </row>
    <row r="10231" spans="1:1">
      <c r="A10231" t="s">
        <v>49607</v>
      </c>
    </row>
    <row r="10232" spans="1:1">
      <c r="A10232" t="s">
        <v>49525</v>
      </c>
    </row>
    <row r="10233" spans="1:1">
      <c r="A10233" t="s">
        <v>41057</v>
      </c>
    </row>
    <row r="10234" spans="1:1">
      <c r="A10234" t="s">
        <v>49608</v>
      </c>
    </row>
    <row r="10235" spans="1:1">
      <c r="A10235" t="s">
        <v>49458</v>
      </c>
    </row>
    <row r="10236" spans="1:1">
      <c r="A10236" t="s">
        <v>49528</v>
      </c>
    </row>
    <row r="10237" spans="1:1">
      <c r="A10237" t="s">
        <v>41057</v>
      </c>
    </row>
    <row r="10238" spans="1:1">
      <c r="A10238" t="s">
        <v>41057</v>
      </c>
    </row>
    <row r="10239" spans="1:1">
      <c r="A10239" t="e" cm="1">
        <f t="array" ref="A10239">----------------------------------------------------------KK</f>
        <v>#NAME?</v>
      </c>
    </row>
    <row r="10240" spans="1:1">
      <c r="A10240" t="s">
        <v>49569</v>
      </c>
    </row>
    <row r="10241" spans="1:1">
      <c r="A10241" t="s">
        <v>44395</v>
      </c>
    </row>
    <row r="10242" spans="1:1">
      <c r="A10242" t="s">
        <v>41057</v>
      </c>
    </row>
    <row r="10243" spans="1:1">
      <c r="A10243" t="s">
        <v>41057</v>
      </c>
    </row>
    <row r="10244" spans="1:1">
      <c r="A10244" t="s">
        <v>49609</v>
      </c>
    </row>
    <row r="10245" spans="1:1">
      <c r="A10245" t="s">
        <v>49610</v>
      </c>
    </row>
    <row r="10246" spans="1:1">
      <c r="A10246" t="s">
        <v>49611</v>
      </c>
    </row>
    <row r="10247" spans="1:1">
      <c r="A10247" t="s">
        <v>49612</v>
      </c>
    </row>
    <row r="10248" spans="1:1">
      <c r="A10248" t="s">
        <v>49613</v>
      </c>
    </row>
    <row r="10249" spans="1:1">
      <c r="A10249" t="s">
        <v>49614</v>
      </c>
    </row>
    <row r="10250" spans="1:1">
      <c r="A10250" t="e" cm="1">
        <f t="array" ref="A10250">----------------------------------------------------------NR</f>
        <v>#NAME?</v>
      </c>
    </row>
    <row r="10251" spans="1:1">
      <c r="A10251" t="s">
        <v>49615</v>
      </c>
    </row>
    <row r="10252" spans="1:1">
      <c r="A10252" t="s">
        <v>49616</v>
      </c>
    </row>
    <row r="10253" spans="1:1">
      <c r="A10253" t="s">
        <v>49617</v>
      </c>
    </row>
    <row r="10254" spans="1:1">
      <c r="A10254" t="s">
        <v>49618</v>
      </c>
    </row>
    <row r="10255" spans="1:1">
      <c r="A10255" t="s">
        <v>49619</v>
      </c>
    </row>
    <row r="10256" spans="1:1">
      <c r="A10256" t="s">
        <v>49620</v>
      </c>
    </row>
    <row r="10257" spans="1:1">
      <c r="A10257" t="s">
        <v>49621</v>
      </c>
    </row>
    <row r="10258" spans="1:1">
      <c r="A10258" t="s">
        <v>49622</v>
      </c>
    </row>
    <row r="10259" spans="1:1">
      <c r="A10259" t="s">
        <v>49623</v>
      </c>
    </row>
    <row r="10260" spans="1:1">
      <c r="A10260" t="s">
        <v>49624</v>
      </c>
    </row>
    <row r="10261" spans="1:1">
      <c r="A10261" t="s">
        <v>41057</v>
      </c>
    </row>
    <row r="10262" spans="1:1">
      <c r="A10262" t="s">
        <v>41057</v>
      </c>
    </row>
    <row r="10263" spans="1:1">
      <c r="A10263" t="s">
        <v>49625</v>
      </c>
    </row>
    <row r="10264" spans="1:1">
      <c r="A10264" t="e" cm="1">
        <f t="array" ref="A10264">--------------------------------VDN-VTICINTC----------VSQHDR</f>
        <v>#NAME?</v>
      </c>
    </row>
    <row r="10265" spans="1:1">
      <c r="A10265" t="s">
        <v>49626</v>
      </c>
    </row>
    <row r="10266" spans="1:1">
      <c r="A10266" t="s">
        <v>49627</v>
      </c>
    </row>
    <row r="10267" spans="1:1">
      <c r="A10267" t="s">
        <v>49628</v>
      </c>
    </row>
    <row r="10268" spans="1:1">
      <c r="A10268" t="s">
        <v>49629</v>
      </c>
    </row>
    <row r="10269" spans="1:1">
      <c r="A10269" t="s">
        <v>49630</v>
      </c>
    </row>
    <row r="10270" spans="1:1">
      <c r="A10270" t="e" cm="1">
        <f t="array" ref="A10270">--------------------------------------------SSLSSSARG-DNELFT</f>
        <v>#NAME?</v>
      </c>
    </row>
    <row r="10271" spans="1:1">
      <c r="A10271" t="s">
        <v>49631</v>
      </c>
    </row>
    <row r="10272" spans="1:1">
      <c r="A10272" t="s">
        <v>49632</v>
      </c>
    </row>
    <row r="10273" spans="1:1">
      <c r="A10273" t="s">
        <v>41057</v>
      </c>
    </row>
    <row r="10274" spans="1:1">
      <c r="A10274" t="s">
        <v>49633</v>
      </c>
    </row>
    <row r="10275" spans="1:1">
      <c r="A10275" t="s">
        <v>48702</v>
      </c>
    </row>
    <row r="10276" spans="1:1">
      <c r="A10276" t="e" cm="1">
        <f t="array" ref="A10276">-------------------------KAARM-------FELYKQ----------------G</f>
        <v>#NAME?</v>
      </c>
    </row>
    <row r="10277" spans="1:1">
      <c r="A10277" t="s">
        <v>49634</v>
      </c>
    </row>
    <row r="10278" spans="1:1">
      <c r="A10278" t="s">
        <v>41057</v>
      </c>
    </row>
    <row r="10279" spans="1:1">
      <c r="A10279" t="s">
        <v>47703</v>
      </c>
    </row>
    <row r="10280" spans="1:1">
      <c r="A10280" t="e" cm="1">
        <f t="array" ref="A10280">--------------YCARDAV-----------------LV--------IMLEEKL-MMMV</f>
        <v>#NAME?</v>
      </c>
    </row>
    <row r="10281" spans="1:1">
      <c r="A10281" t="s">
        <v>49635</v>
      </c>
    </row>
    <row r="10282" spans="1:1">
      <c r="A10282" t="e" cm="1">
        <f t="array" ref="A10282">-IVVNVEDATARRKEDKQRQEAEER--------------------------------ARA</f>
        <v>#NAME?</v>
      </c>
    </row>
    <row r="10283" spans="1:1">
      <c r="A10283" t="s">
        <v>49636</v>
      </c>
    </row>
    <row r="10284" spans="1:1">
      <c r="A10284" t="e" cm="1">
        <f t="array" ref="A10284">----------NQGIKDRGGGGGEKEE----------KEEEEEE-----------PTKSKK</f>
        <v>#NAME?</v>
      </c>
    </row>
    <row r="10285" spans="1:1">
      <c r="A10285" t="s">
        <v>49637</v>
      </c>
    </row>
    <row r="10286" spans="1:1">
      <c r="A10286" t="s">
        <v>49638</v>
      </c>
    </row>
    <row r="10287" spans="1:1">
      <c r="A10287" t="s">
        <v>41057</v>
      </c>
    </row>
    <row r="10288" spans="1:1">
      <c r="A10288" t="s">
        <v>41057</v>
      </c>
    </row>
    <row r="10289" spans="1:1">
      <c r="A10289" t="s">
        <v>41057</v>
      </c>
    </row>
    <row r="10290" spans="1:1">
      <c r="A10290" t="s">
        <v>41057</v>
      </c>
    </row>
    <row r="10291" spans="1:1">
      <c r="A10291" t="s">
        <v>41057</v>
      </c>
    </row>
    <row r="10292" spans="1:1">
      <c r="A10292" t="s">
        <v>41057</v>
      </c>
    </row>
    <row r="10293" spans="1:1">
      <c r="A10293" t="s">
        <v>41057</v>
      </c>
    </row>
    <row r="10294" spans="1:1">
      <c r="A10294" t="s">
        <v>41057</v>
      </c>
    </row>
    <row r="10295" spans="1:1">
      <c r="A10295" t="e" cm="1">
        <f t="array" ref="A10295">-NSLY-------------------PSIIQRSNYCYSTYVVQERYRRLLRAACTYDITPPM</f>
        <v>#NAME?</v>
      </c>
    </row>
    <row r="10296" spans="1:1">
      <c r="A10296" t="s">
        <v>49639</v>
      </c>
    </row>
    <row r="10297" spans="1:1">
      <c r="A10297" t="s">
        <v>49640</v>
      </c>
    </row>
    <row r="10298" spans="1:1">
      <c r="A10298" t="s">
        <v>41057</v>
      </c>
    </row>
    <row r="10299" spans="1:1">
      <c r="A10299" t="s">
        <v>41057</v>
      </c>
    </row>
    <row r="10300" spans="1:1">
      <c r="A10300" t="s">
        <v>49641</v>
      </c>
    </row>
    <row r="10301" spans="1:1">
      <c r="A10301" t="s">
        <v>41057</v>
      </c>
    </row>
    <row r="10302" spans="1:1">
      <c r="A10302" t="s">
        <v>49642</v>
      </c>
    </row>
    <row r="10303" spans="1:1">
      <c r="A10303" t="s">
        <v>41057</v>
      </c>
    </row>
    <row r="10304" spans="1:1">
      <c r="A10304" t="s">
        <v>49643</v>
      </c>
    </row>
    <row r="10305" spans="1:1">
      <c r="A10305" t="s">
        <v>49644</v>
      </c>
    </row>
    <row r="10306" spans="1:1">
      <c r="A10306" t="s">
        <v>49645</v>
      </c>
    </row>
    <row r="10307" spans="1:1">
      <c r="A10307" t="s">
        <v>49646</v>
      </c>
    </row>
    <row r="10308" spans="1:1">
      <c r="A10308" t="s">
        <v>41057</v>
      </c>
    </row>
    <row r="10309" spans="1:1">
      <c r="A10309" t="s">
        <v>41057</v>
      </c>
    </row>
    <row r="10310" spans="1:1">
      <c r="A10310" t="s">
        <v>41057</v>
      </c>
    </row>
    <row r="10311" spans="1:1">
      <c r="A10311" t="s">
        <v>41057</v>
      </c>
    </row>
    <row r="10312" spans="1:1">
      <c r="A10312" t="s">
        <v>41057</v>
      </c>
    </row>
    <row r="10313" spans="1:1">
      <c r="A10313" t="s">
        <v>41057</v>
      </c>
    </row>
    <row r="10314" spans="1:1">
      <c r="A10314" t="s">
        <v>41057</v>
      </c>
    </row>
    <row r="10315" spans="1:1">
      <c r="A10315" t="s">
        <v>41057</v>
      </c>
    </row>
    <row r="10316" spans="1:1">
      <c r="A10316" t="s">
        <v>41057</v>
      </c>
    </row>
    <row r="10317" spans="1:1">
      <c r="A10317" t="s">
        <v>49647</v>
      </c>
    </row>
    <row r="10318" spans="1:1">
      <c r="A10318" t="s">
        <v>41057</v>
      </c>
    </row>
    <row r="10319" spans="1:1">
      <c r="A10319" t="s">
        <v>41057</v>
      </c>
    </row>
    <row r="10320" spans="1:1">
      <c r="A10320" t="s">
        <v>41057</v>
      </c>
    </row>
    <row r="10321" spans="1:1">
      <c r="A10321" t="s">
        <v>41057</v>
      </c>
    </row>
    <row r="10322" spans="1:1">
      <c r="A10322" t="s">
        <v>41057</v>
      </c>
    </row>
    <row r="10323" spans="1:1">
      <c r="A10323" t="s">
        <v>49648</v>
      </c>
    </row>
    <row r="10324" spans="1:1">
      <c r="A10324" t="s">
        <v>49649</v>
      </c>
    </row>
    <row r="10325" spans="1:1">
      <c r="A10325" t="s">
        <v>41057</v>
      </c>
    </row>
    <row r="10326" spans="1:1">
      <c r="A10326" t="s">
        <v>49650</v>
      </c>
    </row>
    <row r="10327" spans="1:1">
      <c r="A10327" t="s">
        <v>41057</v>
      </c>
    </row>
    <row r="10328" spans="1:1">
      <c r="A10328" t="s">
        <v>49651</v>
      </c>
    </row>
    <row r="10329" spans="1:1">
      <c r="A10329" t="s">
        <v>41057</v>
      </c>
    </row>
    <row r="10330" spans="1:1">
      <c r="A10330" t="s">
        <v>41057</v>
      </c>
    </row>
    <row r="10331" spans="1:1">
      <c r="A10331" t="s">
        <v>41057</v>
      </c>
    </row>
    <row r="10332" spans="1:1">
      <c r="A10332" t="e" cm="1">
        <f t="array" ref="A10332">----------AAADVWNCE----------------PLAAYR----------TPDDGLEGC</f>
        <v>#NAME?</v>
      </c>
    </row>
    <row r="10333" spans="1:1">
      <c r="A10333" t="s">
        <v>49652</v>
      </c>
    </row>
    <row r="10334" spans="1:1">
      <c r="A10334" t="s">
        <v>41057</v>
      </c>
    </row>
    <row r="10335" spans="1:1">
      <c r="A10335" t="s">
        <v>41057</v>
      </c>
    </row>
    <row r="10336" spans="1:1">
      <c r="A10336" t="s">
        <v>49653</v>
      </c>
    </row>
    <row r="10337" spans="1:1">
      <c r="A10337" t="s">
        <v>49654</v>
      </c>
    </row>
    <row r="10338" spans="1:1">
      <c r="A10338" t="s">
        <v>41057</v>
      </c>
    </row>
    <row r="10339" spans="1:1">
      <c r="A10339" t="s">
        <v>49655</v>
      </c>
    </row>
    <row r="10340" spans="1:1">
      <c r="A10340" t="e" cm="1">
        <f t="array" ref="A10340">-----------------RARLHPGLVAL-LER-LVAVVASARVIYGDTDSV--------M</f>
        <v>#NAME?</v>
      </c>
    </row>
    <row r="10341" spans="1:1">
      <c r="A10341" t="s">
        <v>45475</v>
      </c>
    </row>
    <row r="10342" spans="1:1">
      <c r="A10342" t="s">
        <v>49656</v>
      </c>
    </row>
    <row r="10343" spans="1:1">
      <c r="A10343" t="e" cm="1">
        <f t="array" ref="A10343">---------------------------------------LSR----CFQF--------AI</f>
        <v>#NAME?</v>
      </c>
    </row>
    <row r="10344" spans="1:1">
      <c r="A10344" t="s">
        <v>49657</v>
      </c>
    </row>
    <row r="10345" spans="1:1">
      <c r="A10345" t="e" cm="1">
        <f t="array" ref="A10345">--------PD-----LTLGWEK-VYYPYNL----------L-GKKKYV-----------G</f>
        <v>#NAME?</v>
      </c>
    </row>
    <row r="10346" spans="1:1">
      <c r="A10346" t="s">
        <v>49658</v>
      </c>
    </row>
    <row r="10347" spans="1:1">
      <c r="A10347" t="s">
        <v>49659</v>
      </c>
    </row>
    <row r="10348" spans="1:1">
      <c r="A10348" t="s">
        <v>49660</v>
      </c>
    </row>
    <row r="10349" spans="1:1">
      <c r="A10349" t="s">
        <v>49661</v>
      </c>
    </row>
    <row r="10350" spans="1:1">
      <c r="A10350" t="s">
        <v>49662</v>
      </c>
    </row>
    <row r="10351" spans="1:1">
      <c r="A10351" t="s">
        <v>49663</v>
      </c>
    </row>
    <row r="10352" spans="1:1">
      <c r="A10352" t="s">
        <v>49664</v>
      </c>
    </row>
    <row r="10353" spans="1:1">
      <c r="A10353" t="s">
        <v>49665</v>
      </c>
    </row>
    <row r="10354" spans="1:1">
      <c r="A10354" t="s">
        <v>49666</v>
      </c>
    </row>
    <row r="10355" spans="1:1">
      <c r="A10355" t="s">
        <v>49667</v>
      </c>
    </row>
    <row r="10356" spans="1:1">
      <c r="A10356" t="s">
        <v>49668</v>
      </c>
    </row>
    <row r="10357" spans="1:1">
      <c r="A10357" t="s">
        <v>49669</v>
      </c>
    </row>
    <row r="10358" spans="1:1">
      <c r="A10358" t="s">
        <v>49670</v>
      </c>
    </row>
    <row r="10359" spans="1:1">
      <c r="A10359" t="s">
        <v>49671</v>
      </c>
    </row>
    <row r="10360" spans="1:1">
      <c r="A10360" t="e" cm="1">
        <f t="array" ref="A10360">---PF---------------------------------EERAKTLKKAKAEEIKSK-MVS</f>
        <v>#NAME?</v>
      </c>
    </row>
    <row r="10361" spans="1:1">
      <c r="A10361" t="s">
        <v>49672</v>
      </c>
    </row>
    <row r="10362" spans="1:1">
      <c r="A10362" t="s">
        <v>49673</v>
      </c>
    </row>
    <row r="10363" spans="1:1">
      <c r="A10363" t="s">
        <v>49674</v>
      </c>
    </row>
    <row r="10364" spans="1:1">
      <c r="A10364" t="s">
        <v>49675</v>
      </c>
    </row>
    <row r="10365" spans="1:1">
      <c r="A10365" t="s">
        <v>41057</v>
      </c>
    </row>
    <row r="10366" spans="1:1">
      <c r="A10366" t="e" cm="1">
        <f t="array" ref="A10366">-------------------------------------------------------TEEPA</f>
        <v>#NAME?</v>
      </c>
    </row>
    <row r="10367" spans="1:1">
      <c r="A10367" t="s">
        <v>49676</v>
      </c>
    </row>
    <row r="10368" spans="1:1">
      <c r="A10368" t="s">
        <v>49677</v>
      </c>
    </row>
    <row r="10369" spans="1:1">
      <c r="A10369" t="s">
        <v>44755</v>
      </c>
    </row>
    <row r="10370" spans="1:1">
      <c r="A10370" t="s">
        <v>41057</v>
      </c>
    </row>
    <row r="10371" spans="1:1">
      <c r="A10371" t="s">
        <v>49678</v>
      </c>
    </row>
    <row r="10372" spans="1:1">
      <c r="A10372" t="s">
        <v>49679</v>
      </c>
    </row>
    <row r="10373" spans="1:1">
      <c r="A10373" t="s">
        <v>41057</v>
      </c>
    </row>
    <row r="10374" spans="1:1">
      <c r="A10374" t="s">
        <v>41057</v>
      </c>
    </row>
    <row r="10375" spans="1:1">
      <c r="A10375" t="s">
        <v>49680</v>
      </c>
    </row>
    <row r="10376" spans="1:1">
      <c r="A10376" t="s">
        <v>49681</v>
      </c>
    </row>
    <row r="10377" spans="1:1">
      <c r="A10377" t="s">
        <v>49682</v>
      </c>
    </row>
    <row r="10378" spans="1:1">
      <c r="A10378" t="e" cm="1">
        <f t="array" ref="A10378">----------------------GSNDDSDSNSEDEP----------------------KT</f>
        <v>#NAME?</v>
      </c>
    </row>
    <row r="10379" spans="1:1">
      <c r="A10379" t="s">
        <v>49683</v>
      </c>
    </row>
    <row r="10380" spans="1:1">
      <c r="A10380" t="s">
        <v>49684</v>
      </c>
    </row>
    <row r="10381" spans="1:1">
      <c r="A10381" t="s">
        <v>49685</v>
      </c>
    </row>
    <row r="10382" spans="1:1">
      <c r="A10382" t="s">
        <v>49686</v>
      </c>
    </row>
    <row r="10383" spans="1:1">
      <c r="A10383" t="s">
        <v>49687</v>
      </c>
    </row>
    <row r="10384" spans="1:1">
      <c r="A10384" t="s">
        <v>49688</v>
      </c>
    </row>
    <row r="10385" spans="1:1">
      <c r="A10385" t="s">
        <v>49689</v>
      </c>
    </row>
    <row r="10386" spans="1:1">
      <c r="A10386" t="s">
        <v>49690</v>
      </c>
    </row>
    <row r="10387" spans="1:1">
      <c r="A10387" t="s">
        <v>49691</v>
      </c>
    </row>
    <row r="10388" spans="1:1">
      <c r="A10388" t="s">
        <v>49692</v>
      </c>
    </row>
    <row r="10389" spans="1:1">
      <c r="A10389" t="s">
        <v>41057</v>
      </c>
    </row>
    <row r="10390" spans="1:1">
      <c r="A10390" t="s">
        <v>41057</v>
      </c>
    </row>
    <row r="10391" spans="1:1">
      <c r="A10391" t="s">
        <v>41057</v>
      </c>
    </row>
    <row r="10392" spans="1:1">
      <c r="A10392" t="s">
        <v>49693</v>
      </c>
    </row>
    <row r="10393" spans="1:1">
      <c r="A10393" t="s">
        <v>49694</v>
      </c>
    </row>
    <row r="10394" spans="1:1">
      <c r="A10394" t="s">
        <v>49695</v>
      </c>
    </row>
    <row r="10395" spans="1:1">
      <c r="A10395" t="s">
        <v>49696</v>
      </c>
    </row>
    <row r="10396" spans="1:1">
      <c r="A10396" t="e" cm="1">
        <f t="array" ref="A10396">---DCNYIIERAIIC---GLARDERSQRGGK---------------------TTGKVT-G</f>
        <v>#NAME?</v>
      </c>
    </row>
    <row r="10397" spans="1:1">
      <c r="A10397" t="s">
        <v>49697</v>
      </c>
    </row>
    <row r="10398" spans="1:1">
      <c r="A10398" t="e" cm="1">
        <f t="array" ref="A10398">-------------------------------------TPCQLKAEYFSSSAYG-DNEYNR</f>
        <v>#NAME?</v>
      </c>
    </row>
    <row r="10399" spans="1:1">
      <c r="A10399" t="s">
        <v>49698</v>
      </c>
    </row>
    <row r="10400" spans="1:1">
      <c r="A10400" t="s">
        <v>49699</v>
      </c>
    </row>
    <row r="10401" spans="1:1">
      <c r="A10401" t="s">
        <v>41057</v>
      </c>
    </row>
    <row r="10402" spans="1:1">
      <c r="A10402" t="s">
        <v>41057</v>
      </c>
    </row>
    <row r="10403" spans="1:1">
      <c r="A10403" t="s">
        <v>49700</v>
      </c>
    </row>
    <row r="10404" spans="1:1">
      <c r="A10404" t="e" cm="1">
        <f t="array" ref="A10404">-------------------------PAKKM-------FEYYDI----------------G</f>
        <v>#NAME?</v>
      </c>
    </row>
    <row r="10405" spans="1:1">
      <c r="A10405" t="s">
        <v>49701</v>
      </c>
    </row>
    <row r="10406" spans="1:1">
      <c r="A10406" t="s">
        <v>41057</v>
      </c>
    </row>
    <row r="10407" spans="1:1">
      <c r="A10407" t="s">
        <v>47081</v>
      </c>
    </row>
    <row r="10408" spans="1:1">
      <c r="A10408" t="e" cm="1">
        <f t="array" ref="A10408">--------------YCIQDTV-----------------LL--------QKIVDKQ-LILM</f>
        <v>#NAME?</v>
      </c>
    </row>
    <row r="10409" spans="1:1">
      <c r="A10409" t="s">
        <v>49702</v>
      </c>
    </row>
    <row r="10410" spans="1:1">
      <c r="A10410" t="e" cm="1">
        <f t="array" ref="A10410">-LVPHTNFNSDT-----------------------FYIKVIYKTPHGFQDSDKGRY-LKL</f>
        <v>#NAME?</v>
      </c>
    </row>
    <row r="10411" spans="1:1">
      <c r="A10411" t="s">
        <v>49703</v>
      </c>
    </row>
    <row r="10412" spans="1:1">
      <c r="A10412" t="s">
        <v>49704</v>
      </c>
    </row>
    <row r="10413" spans="1:1">
      <c r="A10413" t="e" cm="1">
        <f t="array" ref="A10413">-----------DS-FT--------------------------------GATV-LEPIPGT</f>
        <v>#NAME?</v>
      </c>
    </row>
    <row r="10414" spans="1:1">
      <c r="A10414" t="s">
        <v>49705</v>
      </c>
    </row>
    <row r="10415" spans="1:1">
      <c r="A10415" t="s">
        <v>41057</v>
      </c>
    </row>
    <row r="10416" spans="1:1">
      <c r="A10416" t="s">
        <v>41057</v>
      </c>
    </row>
    <row r="10417" spans="1:1">
      <c r="A10417" t="s">
        <v>41057</v>
      </c>
    </row>
    <row r="10418" spans="1:1">
      <c r="A10418" t="s">
        <v>41057</v>
      </c>
    </row>
    <row r="10419" spans="1:1">
      <c r="A10419" t="s">
        <v>41057</v>
      </c>
    </row>
    <row r="10420" spans="1:1">
      <c r="A10420" t="s">
        <v>41057</v>
      </c>
    </row>
    <row r="10421" spans="1:1">
      <c r="A10421" t="s">
        <v>41057</v>
      </c>
    </row>
    <row r="10422" spans="1:1">
      <c r="A10422" t="s">
        <v>41057</v>
      </c>
    </row>
    <row r="10423" spans="1:1">
      <c r="A10423" t="s">
        <v>49706</v>
      </c>
    </row>
    <row r="10424" spans="1:1">
      <c r="A10424" t="s">
        <v>49707</v>
      </c>
    </row>
    <row r="10425" spans="1:1">
      <c r="A10425" t="e" cm="1">
        <f t="array" ref="A10425">---------------IKW----------------------------------------ND</f>
        <v>#NAME?</v>
      </c>
    </row>
    <row r="10426" spans="1:1">
      <c r="A10426" t="s">
        <v>49708</v>
      </c>
    </row>
    <row r="10427" spans="1:1">
      <c r="A10427" t="s">
        <v>49709</v>
      </c>
    </row>
    <row r="10428" spans="1:1">
      <c r="A10428" t="s">
        <v>49710</v>
      </c>
    </row>
    <row r="10429" spans="1:1">
      <c r="A10429" t="s">
        <v>49711</v>
      </c>
    </row>
    <row r="10430" spans="1:1">
      <c r="A10430" t="s">
        <v>49712</v>
      </c>
    </row>
    <row r="10431" spans="1:1">
      <c r="A10431" t="s">
        <v>49713</v>
      </c>
    </row>
    <row r="10432" spans="1:1">
      <c r="A10432" t="s">
        <v>49714</v>
      </c>
    </row>
    <row r="10433" spans="1:1">
      <c r="A10433" t="s">
        <v>49715</v>
      </c>
    </row>
    <row r="10434" spans="1:1">
      <c r="A10434" t="s">
        <v>49716</v>
      </c>
    </row>
    <row r="10435" spans="1:1">
      <c r="A10435" t="s">
        <v>49717</v>
      </c>
    </row>
    <row r="10436" spans="1:1">
      <c r="A10436" t="s">
        <v>41057</v>
      </c>
    </row>
    <row r="10437" spans="1:1">
      <c r="A10437" t="s">
        <v>41057</v>
      </c>
    </row>
    <row r="10438" spans="1:1">
      <c r="A10438" t="s">
        <v>41057</v>
      </c>
    </row>
    <row r="10439" spans="1:1">
      <c r="A10439" t="s">
        <v>41057</v>
      </c>
    </row>
    <row r="10440" spans="1:1">
      <c r="A10440" t="s">
        <v>41057</v>
      </c>
    </row>
    <row r="10441" spans="1:1">
      <c r="A10441" t="s">
        <v>41057</v>
      </c>
    </row>
    <row r="10442" spans="1:1">
      <c r="A10442" t="s">
        <v>41057</v>
      </c>
    </row>
    <row r="10443" spans="1:1">
      <c r="A10443" t="s">
        <v>41057</v>
      </c>
    </row>
    <row r="10444" spans="1:1">
      <c r="A10444" t="s">
        <v>41057</v>
      </c>
    </row>
    <row r="10445" spans="1:1">
      <c r="A10445" t="s">
        <v>49718</v>
      </c>
    </row>
    <row r="10446" spans="1:1">
      <c r="A10446" t="s">
        <v>41057</v>
      </c>
    </row>
    <row r="10447" spans="1:1">
      <c r="A10447" t="s">
        <v>41057</v>
      </c>
    </row>
    <row r="10448" spans="1:1">
      <c r="A10448" t="s">
        <v>41057</v>
      </c>
    </row>
    <row r="10449" spans="1:1">
      <c r="A10449" t="s">
        <v>41057</v>
      </c>
    </row>
    <row r="10450" spans="1:1">
      <c r="A10450" t="s">
        <v>41057</v>
      </c>
    </row>
    <row r="10451" spans="1:1">
      <c r="A10451" t="s">
        <v>49719</v>
      </c>
    </row>
    <row r="10452" spans="1:1">
      <c r="A10452" t="s">
        <v>49720</v>
      </c>
    </row>
    <row r="10453" spans="1:1">
      <c r="A10453" t="s">
        <v>41057</v>
      </c>
    </row>
    <row r="10454" spans="1:1">
      <c r="A10454" t="s">
        <v>41057</v>
      </c>
    </row>
    <row r="10455" spans="1:1">
      <c r="A10455" t="s">
        <v>41057</v>
      </c>
    </row>
    <row r="10456" spans="1:1">
      <c r="A10456" t="s">
        <v>49721</v>
      </c>
    </row>
    <row r="10457" spans="1:1">
      <c r="A10457" t="s">
        <v>41057</v>
      </c>
    </row>
    <row r="10458" spans="1:1">
      <c r="A10458" t="s">
        <v>41057</v>
      </c>
    </row>
    <row r="10459" spans="1:1">
      <c r="A10459" t="s">
        <v>41057</v>
      </c>
    </row>
    <row r="10460" spans="1:1">
      <c r="A10460" t="s">
        <v>41057</v>
      </c>
    </row>
    <row r="10461" spans="1:1">
      <c r="A10461" t="s">
        <v>41057</v>
      </c>
    </row>
    <row r="10462" spans="1:1">
      <c r="A10462" t="s">
        <v>41057</v>
      </c>
    </row>
    <row r="10463" spans="1:1">
      <c r="A10463" t="s">
        <v>41057</v>
      </c>
    </row>
    <row r="10464" spans="1:1">
      <c r="A10464" t="s">
        <v>41057</v>
      </c>
    </row>
    <row r="10465" spans="1:1">
      <c r="A10465" t="s">
        <v>41057</v>
      </c>
    </row>
    <row r="10466" spans="1:1">
      <c r="A10466" t="s">
        <v>41057</v>
      </c>
    </row>
    <row r="10467" spans="1:1">
      <c r="A10467" t="s">
        <v>41057</v>
      </c>
    </row>
    <row r="10468" spans="1:1">
      <c r="A10468" t="e" cm="1">
        <f t="array" ref="A10468">-----------------------------------------------------------F</f>
        <v>#NAME?</v>
      </c>
    </row>
    <row r="10469" spans="1:1">
      <c r="A10469" t="s">
        <v>45475</v>
      </c>
    </row>
    <row r="10470" spans="1:1">
      <c r="A10470" t="s">
        <v>49722</v>
      </c>
    </row>
    <row r="10471" spans="1:1">
      <c r="A10471" t="s">
        <v>41057</v>
      </c>
    </row>
    <row r="10472" spans="1:1">
      <c r="A10472" t="s">
        <v>41057</v>
      </c>
    </row>
    <row r="10473" spans="1:1">
      <c r="A10473" t="s">
        <v>41057</v>
      </c>
    </row>
    <row r="10474" spans="1:1">
      <c r="A10474" t="s">
        <v>49723</v>
      </c>
    </row>
    <row r="10475" spans="1:1">
      <c r="A10475" t="s">
        <v>41057</v>
      </c>
    </row>
    <row r="10476" spans="1:1">
      <c r="A10476" t="s">
        <v>41057</v>
      </c>
    </row>
    <row r="10477" spans="1:1">
      <c r="A10477" t="s">
        <v>41057</v>
      </c>
    </row>
    <row r="10478" spans="1:1">
      <c r="A10478" t="s">
        <v>41057</v>
      </c>
    </row>
    <row r="10479" spans="1:1">
      <c r="A10479" t="s">
        <v>41057</v>
      </c>
    </row>
    <row r="10480" spans="1:1">
      <c r="A10480" t="s">
        <v>49724</v>
      </c>
    </row>
    <row r="10481" spans="1:1">
      <c r="A10481" t="s">
        <v>49725</v>
      </c>
    </row>
    <row r="10482" spans="1:1">
      <c r="A10482" t="s">
        <v>49726</v>
      </c>
    </row>
    <row r="10483" spans="1:1">
      <c r="A10483" t="s">
        <v>41057</v>
      </c>
    </row>
    <row r="10484" spans="1:1">
      <c r="A10484" t="s">
        <v>41057</v>
      </c>
    </row>
    <row r="10485" spans="1:1">
      <c r="A10485" t="s">
        <v>41057</v>
      </c>
    </row>
    <row r="10486" spans="1:1">
      <c r="A10486" t="s">
        <v>41057</v>
      </c>
    </row>
    <row r="10487" spans="1:1">
      <c r="A10487" t="s">
        <v>41057</v>
      </c>
    </row>
    <row r="10488" spans="1:1">
      <c r="A10488" t="s">
        <v>41057</v>
      </c>
    </row>
    <row r="10489" spans="1:1">
      <c r="A10489" t="s">
        <v>41057</v>
      </c>
    </row>
    <row r="10490" spans="1:1">
      <c r="A10490" t="s">
        <v>49727</v>
      </c>
    </row>
    <row r="10491" spans="1:1">
      <c r="A10491" t="s">
        <v>41057</v>
      </c>
    </row>
    <row r="10492" spans="1:1">
      <c r="A10492" t="s">
        <v>41057</v>
      </c>
    </row>
    <row r="10493" spans="1:1">
      <c r="A10493" t="s">
        <v>41057</v>
      </c>
    </row>
    <row r="10494" spans="1:1">
      <c r="A10494" t="s">
        <v>41057</v>
      </c>
    </row>
    <row r="10495" spans="1:1">
      <c r="A10495" t="s">
        <v>41057</v>
      </c>
    </row>
    <row r="10496" spans="1:1">
      <c r="A10496" t="s">
        <v>45870</v>
      </c>
    </row>
    <row r="10497" spans="1:1">
      <c r="A10497" t="s">
        <v>43457</v>
      </c>
    </row>
    <row r="10498" spans="1:1">
      <c r="A10498" t="s">
        <v>41057</v>
      </c>
    </row>
    <row r="10499" spans="1:1">
      <c r="A10499" t="s">
        <v>41057</v>
      </c>
    </row>
    <row r="10500" spans="1:1">
      <c r="A10500" t="s">
        <v>49728</v>
      </c>
    </row>
    <row r="10501" spans="1:1">
      <c r="A10501" t="s">
        <v>41057</v>
      </c>
    </row>
    <row r="10502" spans="1:1">
      <c r="A10502" t="s">
        <v>41057</v>
      </c>
    </row>
    <row r="10503" spans="1:1">
      <c r="A10503" t="s">
        <v>49729</v>
      </c>
    </row>
    <row r="10504" spans="1:1">
      <c r="A10504" t="s">
        <v>49730</v>
      </c>
    </row>
    <row r="10505" spans="1:1">
      <c r="A10505" t="s">
        <v>49731</v>
      </c>
    </row>
    <row r="10506" spans="1:1">
      <c r="A10506" t="e" cm="1">
        <f t="array" ref="A10506">-----------------------------DE---------------------------GH</f>
        <v>#NAME?</v>
      </c>
    </row>
    <row r="10507" spans="1:1">
      <c r="A10507" t="s">
        <v>49732</v>
      </c>
    </row>
    <row r="10508" spans="1:1">
      <c r="A10508" t="s">
        <v>49733</v>
      </c>
    </row>
    <row r="10509" spans="1:1">
      <c r="A10509" t="s">
        <v>49734</v>
      </c>
    </row>
    <row r="10510" spans="1:1">
      <c r="A10510" t="s">
        <v>49735</v>
      </c>
    </row>
    <row r="10511" spans="1:1">
      <c r="A10511" t="s">
        <v>49736</v>
      </c>
    </row>
    <row r="10512" spans="1:1">
      <c r="A10512" t="s">
        <v>49737</v>
      </c>
    </row>
    <row r="10513" spans="1:1">
      <c r="A10513" t="s">
        <v>49738</v>
      </c>
    </row>
    <row r="10514" spans="1:1">
      <c r="A10514" t="s">
        <v>49739</v>
      </c>
    </row>
    <row r="10515" spans="1:1">
      <c r="A10515" t="s">
        <v>49740</v>
      </c>
    </row>
    <row r="10516" spans="1:1">
      <c r="A10516" t="s">
        <v>49741</v>
      </c>
    </row>
    <row r="10517" spans="1:1">
      <c r="A10517" t="s">
        <v>41057</v>
      </c>
    </row>
    <row r="10518" spans="1:1">
      <c r="A10518" t="s">
        <v>41057</v>
      </c>
    </row>
    <row r="10519" spans="1:1">
      <c r="A10519" t="s">
        <v>41057</v>
      </c>
    </row>
    <row r="10520" spans="1:1">
      <c r="A10520" t="s">
        <v>49742</v>
      </c>
    </row>
    <row r="10521" spans="1:1">
      <c r="A10521" t="s">
        <v>49743</v>
      </c>
    </row>
    <row r="10522" spans="1:1">
      <c r="A10522" t="s">
        <v>49744</v>
      </c>
    </row>
    <row r="10523" spans="1:1">
      <c r="A10523" t="s">
        <v>49745</v>
      </c>
    </row>
    <row r="10524" spans="1:1">
      <c r="A10524" t="s">
        <v>49746</v>
      </c>
    </row>
    <row r="10525" spans="1:1">
      <c r="A10525" t="s">
        <v>49747</v>
      </c>
    </row>
    <row r="10526" spans="1:1">
      <c r="A10526" t="e" cm="1">
        <f t="array" ref="A10526">-------------------------------------GKTVMDNNEWSSGAYG-LNVIYD</f>
        <v>#NAME?</v>
      </c>
    </row>
    <row r="10527" spans="1:1">
      <c r="A10527" t="s">
        <v>49748</v>
      </c>
    </row>
    <row r="10528" spans="1:1">
      <c r="A10528" t="s">
        <v>49749</v>
      </c>
    </row>
    <row r="10529" spans="1:1">
      <c r="A10529" t="s">
        <v>41057</v>
      </c>
    </row>
    <row r="10530" spans="1:1">
      <c r="A10530" t="s">
        <v>41057</v>
      </c>
    </row>
    <row r="10531" spans="1:1">
      <c r="A10531" t="s">
        <v>49750</v>
      </c>
    </row>
    <row r="10532" spans="1:1">
      <c r="A10532" t="e" cm="1">
        <f t="array" ref="A10532">-------------------------TAPDM-------FWIYEQ----------------L</f>
        <v>#NAME?</v>
      </c>
    </row>
    <row r="10533" spans="1:1">
      <c r="A10533" t="s">
        <v>49751</v>
      </c>
    </row>
    <row r="10534" spans="1:1">
      <c r="A10534" t="e" cm="1">
        <f t="array" ref="A10534">-----QTLEK---LFEGCLDQTKTDVFDLYNKRHLLLA-------------HYQTFLRGE</f>
        <v>#NAME?</v>
      </c>
    </row>
    <row r="10535" spans="1:1">
      <c r="A10535" t="s">
        <v>49752</v>
      </c>
    </row>
    <row r="10536" spans="1:1">
      <c r="A10536" t="s">
        <v>49753</v>
      </c>
    </row>
    <row r="10537" spans="1:1">
      <c r="A10537" t="s">
        <v>49754</v>
      </c>
    </row>
    <row r="10538" spans="1:1">
      <c r="A10538" t="s">
        <v>49755</v>
      </c>
    </row>
    <row r="10539" spans="1:1">
      <c r="A10539" t="s">
        <v>41057</v>
      </c>
    </row>
    <row r="10540" spans="1:1">
      <c r="A10540" t="s">
        <v>49756</v>
      </c>
    </row>
    <row r="10541" spans="1:1">
      <c r="A10541" t="e" cm="1">
        <f t="array" ref="A10541">------------Q-YT--------------------------------GGFV-YPPVPGL</f>
        <v>#NAME?</v>
      </c>
    </row>
    <row r="10542" spans="1:1">
      <c r="A10542" t="s">
        <v>49757</v>
      </c>
    </row>
    <row r="10543" spans="1:1">
      <c r="A10543" t="s">
        <v>41057</v>
      </c>
    </row>
    <row r="10544" spans="1:1">
      <c r="A10544" t="s">
        <v>41057</v>
      </c>
    </row>
    <row r="10545" spans="1:1">
      <c r="A10545" t="s">
        <v>41057</v>
      </c>
    </row>
    <row r="10546" spans="1:1">
      <c r="A10546" t="s">
        <v>41057</v>
      </c>
    </row>
    <row r="10547" spans="1:1">
      <c r="A10547" t="s">
        <v>41057</v>
      </c>
    </row>
    <row r="10548" spans="1:1">
      <c r="A10548" t="s">
        <v>41057</v>
      </c>
    </row>
    <row r="10549" spans="1:1">
      <c r="A10549" t="s">
        <v>41057</v>
      </c>
    </row>
    <row r="10550" spans="1:1">
      <c r="A10550" t="s">
        <v>41057</v>
      </c>
    </row>
    <row r="10551" spans="1:1">
      <c r="A10551" t="s">
        <v>49758</v>
      </c>
    </row>
    <row r="10552" spans="1:1">
      <c r="A10552" t="s">
        <v>49759</v>
      </c>
    </row>
    <row r="10553" spans="1:1">
      <c r="A10553" t="e" cm="1">
        <f t="array" ref="A10553">---------------IIF-----E------QEEA-------------V--------LLEP</f>
        <v>#NAME?</v>
      </c>
    </row>
    <row r="10554" spans="1:1">
      <c r="A10554" t="s">
        <v>49760</v>
      </c>
    </row>
    <row r="10555" spans="1:1">
      <c r="A10555" t="s">
        <v>49761</v>
      </c>
    </row>
    <row r="10556" spans="1:1">
      <c r="A10556" t="s">
        <v>49762</v>
      </c>
    </row>
    <row r="10557" spans="1:1">
      <c r="A10557" t="s">
        <v>41057</v>
      </c>
    </row>
    <row r="10558" spans="1:1">
      <c r="A10558" t="s">
        <v>49763</v>
      </c>
    </row>
    <row r="10559" spans="1:1">
      <c r="A10559" t="s">
        <v>49764</v>
      </c>
    </row>
    <row r="10560" spans="1:1">
      <c r="A10560" t="s">
        <v>49765</v>
      </c>
    </row>
    <row r="10561" spans="1:1">
      <c r="A10561" t="s">
        <v>49766</v>
      </c>
    </row>
    <row r="10562" spans="1:1">
      <c r="A10562" t="s">
        <v>49767</v>
      </c>
    </row>
    <row r="10563" spans="1:1">
      <c r="A10563" t="s">
        <v>49768</v>
      </c>
    </row>
    <row r="10564" spans="1:1">
      <c r="A10564" t="s">
        <v>41057</v>
      </c>
    </row>
    <row r="10565" spans="1:1">
      <c r="A10565" t="s">
        <v>41057</v>
      </c>
    </row>
    <row r="10566" spans="1:1">
      <c r="A10566" t="s">
        <v>41057</v>
      </c>
    </row>
    <row r="10567" spans="1:1">
      <c r="A10567" t="s">
        <v>41057</v>
      </c>
    </row>
    <row r="10568" spans="1:1">
      <c r="A10568" t="s">
        <v>41057</v>
      </c>
    </row>
    <row r="10569" spans="1:1">
      <c r="A10569" t="s">
        <v>41057</v>
      </c>
    </row>
    <row r="10570" spans="1:1">
      <c r="A10570" t="s">
        <v>41057</v>
      </c>
    </row>
    <row r="10571" spans="1:1">
      <c r="A10571" t="s">
        <v>41057</v>
      </c>
    </row>
    <row r="10572" spans="1:1">
      <c r="A10572" t="s">
        <v>41057</v>
      </c>
    </row>
    <row r="10573" spans="1:1">
      <c r="A10573" t="s">
        <v>49769</v>
      </c>
    </row>
    <row r="10574" spans="1:1">
      <c r="A10574" t="s">
        <v>41057</v>
      </c>
    </row>
    <row r="10575" spans="1:1">
      <c r="A10575" t="s">
        <v>41057</v>
      </c>
    </row>
    <row r="10576" spans="1:1">
      <c r="A10576" t="s">
        <v>41057</v>
      </c>
    </row>
    <row r="10577" spans="1:1">
      <c r="A10577" t="s">
        <v>41057</v>
      </c>
    </row>
    <row r="10578" spans="1:1">
      <c r="A10578" t="s">
        <v>41057</v>
      </c>
    </row>
    <row r="10579" spans="1:1">
      <c r="A10579" t="s">
        <v>49770</v>
      </c>
    </row>
    <row r="10580" spans="1:1">
      <c r="A10580" t="s">
        <v>49771</v>
      </c>
    </row>
    <row r="10581" spans="1:1">
      <c r="A10581" t="s">
        <v>41057</v>
      </c>
    </row>
    <row r="10582" spans="1:1">
      <c r="A10582" t="s">
        <v>41057</v>
      </c>
    </row>
    <row r="10583" spans="1:1">
      <c r="A10583" t="s">
        <v>41057</v>
      </c>
    </row>
    <row r="10584" spans="1:1">
      <c r="A10584" t="e" cm="1">
        <f t="array" ref="A10584">------------GGTVVYGDSV------------TGDTPLLCREILSDGSTNIQIIVISQ</f>
        <v>#NAME?</v>
      </c>
    </row>
    <row r="10585" spans="1:1">
      <c r="A10585" t="s">
        <v>49772</v>
      </c>
    </row>
    <row r="10586" spans="1:1">
      <c r="A10586" t="s">
        <v>41057</v>
      </c>
    </row>
    <row r="10587" spans="1:1">
      <c r="A10587" t="e" cm="1">
        <f t="array" ref="A10587">-------------------------------------------------------LHKGE</f>
        <v>#NAME?</v>
      </c>
    </row>
    <row r="10588" spans="1:1">
      <c r="A10588" t="s">
        <v>49773</v>
      </c>
    </row>
    <row r="10589" spans="1:1">
      <c r="A10589" t="s">
        <v>49774</v>
      </c>
    </row>
    <row r="10590" spans="1:1">
      <c r="A10590" t="s">
        <v>49775</v>
      </c>
    </row>
    <row r="10591" spans="1:1">
      <c r="A10591" t="s">
        <v>49776</v>
      </c>
    </row>
    <row r="10592" spans="1:1">
      <c r="A10592" t="s">
        <v>49777</v>
      </c>
    </row>
    <row r="10593" spans="1:1">
      <c r="A10593" t="s">
        <v>49778</v>
      </c>
    </row>
    <row r="10594" spans="1:1">
      <c r="A10594" t="s">
        <v>49779</v>
      </c>
    </row>
    <row r="10595" spans="1:1">
      <c r="A10595" t="s">
        <v>49780</v>
      </c>
    </row>
    <row r="10596" spans="1:1">
      <c r="A10596" t="e" cm="1">
        <f t="array" ref="A10596">-----------------NHHFSAGVG----E--LVV---------HNTDSV--------M</f>
        <v>#NAME?</v>
      </c>
    </row>
    <row r="10597" spans="1:1">
      <c r="A10597" t="s">
        <v>48721</v>
      </c>
    </row>
    <row r="10598" spans="1:1">
      <c r="A10598" t="s">
        <v>49781</v>
      </c>
    </row>
    <row r="10599" spans="1:1">
      <c r="A10599" t="e" cm="1">
        <f t="array" ref="A10599">---------------------------------------PLE----AIR----------M</f>
        <v>#NAME?</v>
      </c>
    </row>
    <row r="10600" spans="1:1">
      <c r="A10600" t="s">
        <v>49782</v>
      </c>
    </row>
    <row r="10601" spans="1:1">
      <c r="A10601" t="e" cm="1">
        <f t="array" ref="A10601">--------PM------EMELEK--VMRMLS----------L-KKKRYVYATLDWD---TG</f>
        <v>#NAME?</v>
      </c>
    </row>
    <row r="10602" spans="1:1">
      <c r="A10602" t="s">
        <v>49783</v>
      </c>
    </row>
    <row r="10603" spans="1:1">
      <c r="A10603" t="s">
        <v>49784</v>
      </c>
    </row>
    <row r="10604" spans="1:1">
      <c r="A10604" t="s">
        <v>49785</v>
      </c>
    </row>
    <row r="10605" spans="1:1">
      <c r="A10605" t="s">
        <v>49786</v>
      </c>
    </row>
    <row r="10606" spans="1:1">
      <c r="A10606" t="s">
        <v>49787</v>
      </c>
    </row>
    <row r="10607" spans="1:1">
      <c r="A10607" t="s">
        <v>49788</v>
      </c>
    </row>
    <row r="10608" spans="1:1">
      <c r="A10608" t="s">
        <v>49789</v>
      </c>
    </row>
    <row r="10609" spans="1:1">
      <c r="A10609" t="s">
        <v>49790</v>
      </c>
    </row>
    <row r="10610" spans="1:1">
      <c r="A10610" t="s">
        <v>49791</v>
      </c>
    </row>
    <row r="10611" spans="1:1">
      <c r="A10611" t="s">
        <v>49792</v>
      </c>
    </row>
    <row r="10612" spans="1:1">
      <c r="A10612" t="s">
        <v>49793</v>
      </c>
    </row>
    <row r="10613" spans="1:1">
      <c r="A10613" t="s">
        <v>49794</v>
      </c>
    </row>
    <row r="10614" spans="1:1">
      <c r="A10614" t="s">
        <v>49795</v>
      </c>
    </row>
    <row r="10615" spans="1:1">
      <c r="A10615" t="s">
        <v>41057</v>
      </c>
    </row>
    <row r="10616" spans="1:1">
      <c r="A10616" t="s">
        <v>41057</v>
      </c>
    </row>
    <row r="10617" spans="1:1">
      <c r="A10617" t="s">
        <v>49796</v>
      </c>
    </row>
    <row r="10618" spans="1:1">
      <c r="A10618" t="e" cm="1">
        <f t="array" ref="A10618">------------------------------ARATTRHKYV-------------GFNDPIL</f>
        <v>#NAME?</v>
      </c>
    </row>
    <row r="10619" spans="1:1">
      <c r="A10619" t="s">
        <v>49797</v>
      </c>
    </row>
    <row r="10620" spans="1:1">
      <c r="A10620" t="s">
        <v>41057</v>
      </c>
    </row>
    <row r="10621" spans="1:1">
      <c r="A10621" t="s">
        <v>41057</v>
      </c>
    </row>
    <row r="10622" spans="1:1">
      <c r="A10622" t="s">
        <v>49798</v>
      </c>
    </row>
    <row r="10623" spans="1:1">
      <c r="A10623" t="e" cm="1">
        <f t="array" ref="A10623">---------------------------------------------------FIQGAVKYK</f>
        <v>#NAME?</v>
      </c>
    </row>
    <row r="10624" spans="1:1">
      <c r="A10624" t="s">
        <v>49799</v>
      </c>
    </row>
    <row r="10625" spans="1:1">
      <c r="A10625" t="s">
        <v>43701</v>
      </c>
    </row>
    <row r="10626" spans="1:1">
      <c r="A10626" t="s">
        <v>41057</v>
      </c>
    </row>
    <row r="10627" spans="1:1">
      <c r="A10627" t="s">
        <v>41057</v>
      </c>
    </row>
    <row r="10628" spans="1:1">
      <c r="A10628" t="s">
        <v>49800</v>
      </c>
    </row>
    <row r="10629" spans="1:1">
      <c r="A10629" t="s">
        <v>41057</v>
      </c>
    </row>
    <row r="10630" spans="1:1">
      <c r="A10630" t="s">
        <v>41057</v>
      </c>
    </row>
    <row r="10631" spans="1:1">
      <c r="A10631" t="s">
        <v>49801</v>
      </c>
    </row>
    <row r="10632" spans="1:1">
      <c r="A10632" t="s">
        <v>49802</v>
      </c>
    </row>
    <row r="10633" spans="1:1">
      <c r="A10633" t="s">
        <v>49803</v>
      </c>
    </row>
    <row r="10634" spans="1:1">
      <c r="A10634" t="e" cm="1">
        <f t="array" ref="A10634">-----------------------------TSGEFK-------------------KWT-DP</f>
        <v>#NAME?</v>
      </c>
    </row>
    <row r="10635" spans="1:1">
      <c r="A10635" t="s">
        <v>49804</v>
      </c>
    </row>
    <row r="10636" spans="1:1">
      <c r="A10636" t="s">
        <v>49805</v>
      </c>
    </row>
    <row r="10637" spans="1:1">
      <c r="A10637" t="s">
        <v>49806</v>
      </c>
    </row>
    <row r="10638" spans="1:1">
      <c r="A10638" t="s">
        <v>49807</v>
      </c>
    </row>
    <row r="10639" spans="1:1">
      <c r="A10639" t="s">
        <v>49808</v>
      </c>
    </row>
    <row r="10640" spans="1:1">
      <c r="A10640" t="s">
        <v>49809</v>
      </c>
    </row>
    <row r="10641" spans="1:1">
      <c r="A10641" t="s">
        <v>49810</v>
      </c>
    </row>
    <row r="10642" spans="1:1">
      <c r="A10642" t="s">
        <v>49811</v>
      </c>
    </row>
    <row r="10643" spans="1:1">
      <c r="A10643" t="s">
        <v>49812</v>
      </c>
    </row>
    <row r="10644" spans="1:1">
      <c r="A10644" t="s">
        <v>49813</v>
      </c>
    </row>
    <row r="10645" spans="1:1">
      <c r="A10645" t="s">
        <v>41057</v>
      </c>
    </row>
    <row r="10646" spans="1:1">
      <c r="A10646" t="s">
        <v>41057</v>
      </c>
    </row>
    <row r="10647" spans="1:1">
      <c r="A10647" t="s">
        <v>41057</v>
      </c>
    </row>
    <row r="10648" spans="1:1">
      <c r="A10648" t="s">
        <v>49814</v>
      </c>
    </row>
    <row r="10649" spans="1:1">
      <c r="A10649" t="s">
        <v>49815</v>
      </c>
    </row>
    <row r="10650" spans="1:1">
      <c r="A10650" t="s">
        <v>49816</v>
      </c>
    </row>
    <row r="10651" spans="1:1">
      <c r="A10651" t="s">
        <v>49817</v>
      </c>
    </row>
    <row r="10652" spans="1:1">
      <c r="A10652" t="e" cm="1">
        <f t="array" ref="A10652">---DIGYLLQRAKLNR----------------------------------------CL-P</f>
        <v>#NAME?</v>
      </c>
    </row>
    <row r="10653" spans="1:1">
      <c r="A10653" t="s">
        <v>49818</v>
      </c>
    </row>
    <row r="10654" spans="1:1">
      <c r="A10654" t="e" cm="1">
        <f t="array" ref="A10654">-------------------------------------ILGKEKTVNWTSKAYG-TTDLKF</f>
        <v>#NAME?</v>
      </c>
    </row>
    <row r="10655" spans="1:1">
      <c r="A10655" t="s">
        <v>49819</v>
      </c>
    </row>
    <row r="10656" spans="1:1">
      <c r="A10656" t="s">
        <v>49820</v>
      </c>
    </row>
    <row r="10657" spans="1:1">
      <c r="A10657" t="s">
        <v>41057</v>
      </c>
    </row>
    <row r="10658" spans="1:1">
      <c r="A10658" t="s">
        <v>41057</v>
      </c>
    </row>
    <row r="10659" spans="1:1">
      <c r="A10659" t="s">
        <v>49821</v>
      </c>
    </row>
    <row r="10660" spans="1:1">
      <c r="A10660" t="e" cm="1">
        <f t="array" ref="A10660">-------------------------DHIEI-------FASYKI----------------G</f>
        <v>#NAME?</v>
      </c>
    </row>
    <row r="10661" spans="1:1">
      <c r="A10661" t="s">
        <v>49822</v>
      </c>
    </row>
    <row r="10662" spans="1:1">
      <c r="A10662" t="s">
        <v>41057</v>
      </c>
    </row>
    <row r="10663" spans="1:1">
      <c r="A10663" t="e" cm="1">
        <f t="array" ref="A10663">----------------------------------------------RNGCG-FTKNAKLA</f>
        <v>#NAME?</v>
      </c>
    </row>
    <row r="10664" spans="1:1">
      <c r="A10664" t="s">
        <v>49823</v>
      </c>
    </row>
    <row r="10665" spans="1:1">
      <c r="A10665" t="s">
        <v>49824</v>
      </c>
    </row>
    <row r="10666" spans="1:1">
      <c r="A10666" t="s">
        <v>49825</v>
      </c>
    </row>
    <row r="10667" spans="1:1">
      <c r="A10667" t="s">
        <v>41057</v>
      </c>
    </row>
    <row r="10668" spans="1:1">
      <c r="A10668" t="s">
        <v>49826</v>
      </c>
    </row>
    <row r="10669" spans="1:1">
      <c r="A10669" t="e" cm="1">
        <f t="array" ref="A10669">-----------ER-YR--------------------------------GAEV-LDPEPGL</f>
        <v>#NAME?</v>
      </c>
    </row>
    <row r="10670" spans="1:1">
      <c r="A10670" t="s">
        <v>49827</v>
      </c>
    </row>
    <row r="10671" spans="1:1">
      <c r="A10671" t="s">
        <v>41057</v>
      </c>
    </row>
    <row r="10672" spans="1:1">
      <c r="A10672" t="s">
        <v>41057</v>
      </c>
    </row>
    <row r="10673" spans="1:1">
      <c r="A10673" t="s">
        <v>41057</v>
      </c>
    </row>
    <row r="10674" spans="1:1">
      <c r="A10674" t="s">
        <v>41057</v>
      </c>
    </row>
    <row r="10675" spans="1:1">
      <c r="A10675" t="s">
        <v>41057</v>
      </c>
    </row>
    <row r="10676" spans="1:1">
      <c r="A10676" t="s">
        <v>41057</v>
      </c>
    </row>
    <row r="10677" spans="1:1">
      <c r="A10677" t="s">
        <v>41057</v>
      </c>
    </row>
    <row r="10678" spans="1:1">
      <c r="A10678" t="s">
        <v>41057</v>
      </c>
    </row>
    <row r="10679" spans="1:1">
      <c r="A10679" t="s">
        <v>49828</v>
      </c>
    </row>
    <row r="10680" spans="1:1">
      <c r="A10680" t="s">
        <v>49829</v>
      </c>
    </row>
    <row r="10681" spans="1:1">
      <c r="A10681" t="e" cm="1">
        <f t="array" ref="A10681">---------------MKW-----EDHVSCEHDPK-------------IIRKKELTVKIDE</f>
        <v>#NAME?</v>
      </c>
    </row>
    <row r="10682" spans="1:1">
      <c r="A10682" t="s">
        <v>49830</v>
      </c>
    </row>
    <row r="10683" spans="1:1">
      <c r="A10683" t="s">
        <v>49831</v>
      </c>
    </row>
    <row r="10684" spans="1:1">
      <c r="A10684" t="s">
        <v>49832</v>
      </c>
    </row>
    <row r="10685" spans="1:1">
      <c r="A10685" t="s">
        <v>49833</v>
      </c>
    </row>
    <row r="10686" spans="1:1">
      <c r="A10686" t="s">
        <v>49834</v>
      </c>
    </row>
    <row r="10687" spans="1:1">
      <c r="A10687" t="s">
        <v>49835</v>
      </c>
    </row>
    <row r="10688" spans="1:1">
      <c r="A10688" t="s">
        <v>49836</v>
      </c>
    </row>
    <row r="10689" spans="1:1">
      <c r="A10689" t="s">
        <v>49837</v>
      </c>
    </row>
    <row r="10690" spans="1:1">
      <c r="A10690" t="s">
        <v>49838</v>
      </c>
    </row>
    <row r="10691" spans="1:1">
      <c r="A10691" t="s">
        <v>49839</v>
      </c>
    </row>
    <row r="10692" spans="1:1">
      <c r="A10692" t="s">
        <v>41057</v>
      </c>
    </row>
    <row r="10693" spans="1:1">
      <c r="A10693" t="s">
        <v>41057</v>
      </c>
    </row>
    <row r="10694" spans="1:1">
      <c r="A10694" t="s">
        <v>41057</v>
      </c>
    </row>
    <row r="10695" spans="1:1">
      <c r="A10695" t="s">
        <v>41057</v>
      </c>
    </row>
    <row r="10696" spans="1:1">
      <c r="A10696" t="s">
        <v>41057</v>
      </c>
    </row>
    <row r="10697" spans="1:1">
      <c r="A10697" t="s">
        <v>41057</v>
      </c>
    </row>
    <row r="10698" spans="1:1">
      <c r="A10698" t="s">
        <v>41057</v>
      </c>
    </row>
    <row r="10699" spans="1:1">
      <c r="A10699" t="s">
        <v>41057</v>
      </c>
    </row>
    <row r="10700" spans="1:1">
      <c r="A10700" t="s">
        <v>41057</v>
      </c>
    </row>
    <row r="10701" spans="1:1">
      <c r="A10701" t="s">
        <v>48661</v>
      </c>
    </row>
    <row r="10702" spans="1:1">
      <c r="A10702" t="s">
        <v>41057</v>
      </c>
    </row>
    <row r="10703" spans="1:1">
      <c r="A10703" t="s">
        <v>41057</v>
      </c>
    </row>
    <row r="10704" spans="1:1">
      <c r="A10704" t="s">
        <v>41057</v>
      </c>
    </row>
    <row r="10705" spans="1:1">
      <c r="A10705" t="s">
        <v>41057</v>
      </c>
    </row>
    <row r="10706" spans="1:1">
      <c r="A10706" t="s">
        <v>41057</v>
      </c>
    </row>
    <row r="10707" spans="1:1">
      <c r="A10707" t="s">
        <v>49840</v>
      </c>
    </row>
    <row r="10708" spans="1:1">
      <c r="A10708" t="s">
        <v>49841</v>
      </c>
    </row>
    <row r="10709" spans="1:1">
      <c r="A10709" t="s">
        <v>41057</v>
      </c>
    </row>
    <row r="10710" spans="1:1">
      <c r="A10710" t="s">
        <v>41057</v>
      </c>
    </row>
    <row r="10711" spans="1:1">
      <c r="A10711" t="s">
        <v>41057</v>
      </c>
    </row>
    <row r="10712" spans="1:1">
      <c r="A10712" t="e" cm="1">
        <f t="array" ref="A10712">------------GGTVVYGDTDC----------LCRTTPVLIR----KDDSDVFFTTVDE</f>
        <v>#NAME?</v>
      </c>
    </row>
    <row r="10713" spans="1:1">
      <c r="A10713" t="s">
        <v>49842</v>
      </c>
    </row>
    <row r="10714" spans="1:1">
      <c r="A10714" t="e" cm="1">
        <f t="array" ref="A10714">-----------------------------------------------------------E</f>
        <v>#NAME?</v>
      </c>
    </row>
    <row r="10715" spans="1:1">
      <c r="A10715" t="s">
        <v>49843</v>
      </c>
    </row>
    <row r="10716" spans="1:1">
      <c r="A10716" t="s">
        <v>49844</v>
      </c>
    </row>
    <row r="10717" spans="1:1">
      <c r="A10717" t="s">
        <v>49845</v>
      </c>
    </row>
    <row r="10718" spans="1:1">
      <c r="A10718" t="s">
        <v>49846</v>
      </c>
    </row>
    <row r="10719" spans="1:1">
      <c r="A10719" t="s">
        <v>49847</v>
      </c>
    </row>
    <row r="10720" spans="1:1">
      <c r="A10720" t="s">
        <v>49848</v>
      </c>
    </row>
    <row r="10721" spans="1:1">
      <c r="A10721" t="s">
        <v>49849</v>
      </c>
    </row>
    <row r="10722" spans="1:1">
      <c r="A10722" t="s">
        <v>49850</v>
      </c>
    </row>
    <row r="10723" spans="1:1">
      <c r="A10723" t="s">
        <v>49851</v>
      </c>
    </row>
    <row r="10724" spans="1:1">
      <c r="A10724" t="e" cm="1">
        <f t="array" ref="A10724">-----------------NHHFAAGVG----Q--LVV---------H--NSN--------Y</f>
        <v>#NAME?</v>
      </c>
    </row>
    <row r="10725" spans="1:1">
      <c r="A10725" t="s">
        <v>41087</v>
      </c>
    </row>
    <row r="10726" spans="1:1">
      <c r="A10726" t="s">
        <v>49852</v>
      </c>
    </row>
    <row r="10727" spans="1:1">
      <c r="A10727" t="e" cm="1">
        <f t="array" ref="A10727">--VKVGTPEFTI--------------------------EMKK----LWA----------H</f>
        <v>#NAME?</v>
      </c>
    </row>
    <row r="10728" spans="1:1">
      <c r="A10728" t="s">
        <v>49853</v>
      </c>
    </row>
    <row r="10729" spans="1:1">
      <c r="A10729" t="e" cm="1">
        <f t="array" ref="A10729">--------PI------TLEFENAIYFKFLI----------L-TKKRYMYYSCGEE----G</f>
        <v>#NAME?</v>
      </c>
    </row>
    <row r="10730" spans="1:1">
      <c r="A10730" t="s">
        <v>49854</v>
      </c>
    </row>
    <row r="10731" spans="1:1">
      <c r="A10731" t="s">
        <v>49855</v>
      </c>
    </row>
    <row r="10732" spans="1:1">
      <c r="A10732" t="e" cm="1">
        <f t="array" ref="A10732">---------------------------EIN-SDDI-------------LNSVIDHSLSLY</f>
        <v>#NAME?</v>
      </c>
    </row>
    <row r="10733" spans="1:1">
      <c r="A10733" t="s">
        <v>49856</v>
      </c>
    </row>
    <row r="10734" spans="1:1">
      <c r="A10734" t="s">
        <v>49857</v>
      </c>
    </row>
    <row r="10735" spans="1:1">
      <c r="A10735" t="s">
        <v>49858</v>
      </c>
    </row>
    <row r="10736" spans="1:1">
      <c r="A10736" t="s">
        <v>49859</v>
      </c>
    </row>
    <row r="10737" spans="1:1">
      <c r="A10737" t="s">
        <v>49860</v>
      </c>
    </row>
    <row r="10738" spans="1:1">
      <c r="A10738" t="s">
        <v>49861</v>
      </c>
    </row>
    <row r="10739" spans="1:1">
      <c r="A10739" t="s">
        <v>49862</v>
      </c>
    </row>
    <row r="10740" spans="1:1">
      <c r="A10740" t="s">
        <v>49863</v>
      </c>
    </row>
    <row r="10741" spans="1:1">
      <c r="A10741" t="s">
        <v>49864</v>
      </c>
    </row>
    <row r="10742" spans="1:1">
      <c r="A10742" t="s">
        <v>49865</v>
      </c>
    </row>
    <row r="10743" spans="1:1">
      <c r="A10743" t="s">
        <v>41057</v>
      </c>
    </row>
    <row r="10744" spans="1:1">
      <c r="A10744" t="s">
        <v>41057</v>
      </c>
    </row>
    <row r="10745" spans="1:1">
      <c r="A10745" t="s">
        <v>49866</v>
      </c>
    </row>
    <row r="10746" spans="1:1">
      <c r="A10746" t="s">
        <v>41057</v>
      </c>
    </row>
    <row r="10747" spans="1:1">
      <c r="A10747" t="s">
        <v>49867</v>
      </c>
    </row>
    <row r="10748" spans="1:1">
      <c r="A10748" t="s">
        <v>49868</v>
      </c>
    </row>
    <row r="10749" spans="1:1">
      <c r="A10749" t="s">
        <v>41057</v>
      </c>
    </row>
    <row r="10750" spans="1:1">
      <c r="A10750" t="s">
        <v>49869</v>
      </c>
    </row>
    <row r="10751" spans="1:1">
      <c r="A10751" t="e" cm="1">
        <f t="array" ref="A10751">---------------------------------------------------KVSAVLKPK</f>
        <v>#NAME?</v>
      </c>
    </row>
    <row r="10752" spans="1:1">
      <c r="A10752" t="s">
        <v>49870</v>
      </c>
    </row>
    <row r="10753" spans="1:1">
      <c r="A10753" t="s">
        <v>44320</v>
      </c>
    </row>
    <row r="10754" spans="1:1">
      <c r="A10754" t="s">
        <v>41057</v>
      </c>
    </row>
    <row r="10755" spans="1:1">
      <c r="A10755" t="s">
        <v>41057</v>
      </c>
    </row>
    <row r="10756" spans="1:1">
      <c r="A10756" t="s">
        <v>49871</v>
      </c>
    </row>
    <row r="10757" spans="1:1">
      <c r="A10757" t="s">
        <v>41057</v>
      </c>
    </row>
    <row r="10758" spans="1:1">
      <c r="A10758" t="s">
        <v>41057</v>
      </c>
    </row>
    <row r="10759" spans="1:1">
      <c r="A10759" t="s">
        <v>49872</v>
      </c>
    </row>
    <row r="10760" spans="1:1">
      <c r="A10760" t="s">
        <v>49873</v>
      </c>
    </row>
    <row r="10761" spans="1:1">
      <c r="A10761" t="s">
        <v>49874</v>
      </c>
    </row>
    <row r="10762" spans="1:1">
      <c r="A10762" t="e" cm="1">
        <f t="array" ref="A10762">--------------------------------ETK-------------------NWSKSK</f>
        <v>#NAME?</v>
      </c>
    </row>
    <row r="10763" spans="1:1">
      <c r="A10763" t="s">
        <v>49875</v>
      </c>
    </row>
    <row r="10764" spans="1:1">
      <c r="A10764" t="s">
        <v>49876</v>
      </c>
    </row>
    <row r="10765" spans="1:1">
      <c r="A10765" t="s">
        <v>49877</v>
      </c>
    </row>
    <row r="10766" spans="1:1">
      <c r="A10766" t="s">
        <v>49878</v>
      </c>
    </row>
    <row r="10767" spans="1:1">
      <c r="A10767" t="s">
        <v>49879</v>
      </c>
    </row>
    <row r="10768" spans="1:1">
      <c r="A10768" t="s">
        <v>49880</v>
      </c>
    </row>
    <row r="10769" spans="1:1">
      <c r="A10769" t="s">
        <v>49881</v>
      </c>
    </row>
    <row r="10770" spans="1:1">
      <c r="A10770" t="s">
        <v>49882</v>
      </c>
    </row>
    <row r="10771" spans="1:1">
      <c r="A10771" t="s">
        <v>49883</v>
      </c>
    </row>
    <row r="10772" spans="1:1">
      <c r="A10772" t="s">
        <v>49884</v>
      </c>
    </row>
    <row r="10773" spans="1:1">
      <c r="A10773" t="s">
        <v>41057</v>
      </c>
    </row>
    <row r="10774" spans="1:1">
      <c r="A10774" t="s">
        <v>41057</v>
      </c>
    </row>
    <row r="10775" spans="1:1">
      <c r="A10775" t="s">
        <v>41057</v>
      </c>
    </row>
    <row r="10776" spans="1:1">
      <c r="A10776" t="s">
        <v>49885</v>
      </c>
    </row>
    <row r="10777" spans="1:1">
      <c r="A10777" t="s">
        <v>49886</v>
      </c>
    </row>
    <row r="10778" spans="1:1">
      <c r="A10778" t="s">
        <v>49887</v>
      </c>
    </row>
    <row r="10779" spans="1:1">
      <c r="A10779" t="s">
        <v>49888</v>
      </c>
    </row>
    <row r="10780" spans="1:1">
      <c r="A10780" t="e" cm="1">
        <f t="array" ref="A10780">---DTTFLLKRAKLHR----------------------------------------CL-P</f>
        <v>#NAME?</v>
      </c>
    </row>
    <row r="10781" spans="1:1">
      <c r="A10781" t="s">
        <v>49818</v>
      </c>
    </row>
    <row r="10782" spans="1:1">
      <c r="A10782" t="e" cm="1">
        <f t="array" ref="A10782">-------------------------------------QLGKEKEIKWQSKAYG-TTDLKF</f>
        <v>#NAME?</v>
      </c>
    </row>
    <row r="10783" spans="1:1">
      <c r="A10783" t="s">
        <v>49889</v>
      </c>
    </row>
    <row r="10784" spans="1:1">
      <c r="A10784" t="s">
        <v>49890</v>
      </c>
    </row>
    <row r="10785" spans="1:1">
      <c r="A10785" t="s">
        <v>41057</v>
      </c>
    </row>
    <row r="10786" spans="1:1">
      <c r="A10786" t="s">
        <v>41057</v>
      </c>
    </row>
    <row r="10787" spans="1:1">
      <c r="A10787" t="s">
        <v>49821</v>
      </c>
    </row>
    <row r="10788" spans="1:1">
      <c r="A10788" t="e" cm="1">
        <f t="array" ref="A10788">-------------------------KPKEI-------FICYRE----------------G</f>
        <v>#NAME?</v>
      </c>
    </row>
    <row r="10789" spans="1:1">
      <c r="A10789" t="e" cm="1">
        <f t="array" ref="A10789">-IKKE------------------------------------VKNIVIHPLSNNLNIYLGK</f>
        <v>#NAME?</v>
      </c>
    </row>
    <row r="10790" spans="1:1">
      <c r="A10790" t="s">
        <v>49891</v>
      </c>
    </row>
    <row r="10791" spans="1:1">
      <c r="A10791" t="e" cm="1">
        <f t="array" ref="A10791">---------------VFSFLIAVHNE--EKYEIKTVSEFNN----YKNAYGTYTLSAQKA</f>
        <v>#NAME?</v>
      </c>
    </row>
    <row r="10792" spans="1:1">
      <c r="A10792" t="s">
        <v>49892</v>
      </c>
    </row>
    <row r="10793" spans="1:1">
      <c r="A10793" t="s">
        <v>49893</v>
      </c>
    </row>
    <row r="10794" spans="1:1">
      <c r="A10794" t="s">
        <v>49894</v>
      </c>
    </row>
    <row r="10795" spans="1:1">
      <c r="A10795" t="s">
        <v>41057</v>
      </c>
    </row>
    <row r="10796" spans="1:1">
      <c r="A10796" t="s">
        <v>49895</v>
      </c>
    </row>
    <row r="10797" spans="1:1">
      <c r="A10797" t="e" cm="1">
        <f t="array" ref="A10797">-----------ER-YR--------------------------------GAEV-FDPVPGL</f>
        <v>#NAME?</v>
      </c>
    </row>
    <row r="10798" spans="1:1">
      <c r="A10798" t="s">
        <v>49896</v>
      </c>
    </row>
    <row r="10799" spans="1:1">
      <c r="A10799" t="s">
        <v>41057</v>
      </c>
    </row>
    <row r="10800" spans="1:1">
      <c r="A10800" t="s">
        <v>41057</v>
      </c>
    </row>
    <row r="10801" spans="1:1">
      <c r="A10801" t="s">
        <v>41057</v>
      </c>
    </row>
    <row r="10802" spans="1:1">
      <c r="A10802" t="s">
        <v>41057</v>
      </c>
    </row>
    <row r="10803" spans="1:1">
      <c r="A10803" t="s">
        <v>41057</v>
      </c>
    </row>
    <row r="10804" spans="1:1">
      <c r="A10804" t="s">
        <v>41057</v>
      </c>
    </row>
    <row r="10805" spans="1:1">
      <c r="A10805" t="s">
        <v>41057</v>
      </c>
    </row>
    <row r="10806" spans="1:1">
      <c r="A10806" t="s">
        <v>41057</v>
      </c>
    </row>
    <row r="10807" spans="1:1">
      <c r="A10807" t="s">
        <v>49897</v>
      </c>
    </row>
    <row r="10808" spans="1:1">
      <c r="A10808" t="s">
        <v>49898</v>
      </c>
    </row>
    <row r="10809" spans="1:1">
      <c r="A10809" t="e" cm="1">
        <f t="array" ref="A10809">---------------MEW-----DDHVACSHDPK-------------VIRKNAITEELEK</f>
        <v>#NAME?</v>
      </c>
    </row>
    <row r="10810" spans="1:1">
      <c r="A10810" t="s">
        <v>49899</v>
      </c>
    </row>
    <row r="10811" spans="1:1">
      <c r="A10811" t="s">
        <v>49900</v>
      </c>
    </row>
    <row r="10812" spans="1:1">
      <c r="A10812" t="s">
        <v>49901</v>
      </c>
    </row>
    <row r="10813" spans="1:1">
      <c r="A10813" t="s">
        <v>49833</v>
      </c>
    </row>
    <row r="10814" spans="1:1">
      <c r="A10814" t="s">
        <v>49902</v>
      </c>
    </row>
    <row r="10815" spans="1:1">
      <c r="A10815" t="s">
        <v>49835</v>
      </c>
    </row>
    <row r="10816" spans="1:1">
      <c r="A10816" t="s">
        <v>49903</v>
      </c>
    </row>
    <row r="10817" spans="1:1">
      <c r="A10817" t="s">
        <v>49904</v>
      </c>
    </row>
    <row r="10818" spans="1:1">
      <c r="A10818" t="s">
        <v>49905</v>
      </c>
    </row>
    <row r="10819" spans="1:1">
      <c r="A10819" t="s">
        <v>49906</v>
      </c>
    </row>
    <row r="10820" spans="1:1">
      <c r="A10820" t="s">
        <v>41057</v>
      </c>
    </row>
    <row r="10821" spans="1:1">
      <c r="A10821" t="s">
        <v>41057</v>
      </c>
    </row>
    <row r="10822" spans="1:1">
      <c r="A10822" t="s">
        <v>41057</v>
      </c>
    </row>
    <row r="10823" spans="1:1">
      <c r="A10823" t="s">
        <v>41057</v>
      </c>
    </row>
    <row r="10824" spans="1:1">
      <c r="A10824" t="s">
        <v>41057</v>
      </c>
    </row>
    <row r="10825" spans="1:1">
      <c r="A10825" t="s">
        <v>41057</v>
      </c>
    </row>
    <row r="10826" spans="1:1">
      <c r="A10826" t="s">
        <v>41057</v>
      </c>
    </row>
    <row r="10827" spans="1:1">
      <c r="A10827" t="s">
        <v>41057</v>
      </c>
    </row>
    <row r="10828" spans="1:1">
      <c r="A10828" t="s">
        <v>41057</v>
      </c>
    </row>
    <row r="10829" spans="1:1">
      <c r="A10829" t="s">
        <v>49907</v>
      </c>
    </row>
    <row r="10830" spans="1:1">
      <c r="A10830" t="s">
        <v>41057</v>
      </c>
    </row>
    <row r="10831" spans="1:1">
      <c r="A10831" t="s">
        <v>41057</v>
      </c>
    </row>
    <row r="10832" spans="1:1">
      <c r="A10832" t="s">
        <v>41057</v>
      </c>
    </row>
    <row r="10833" spans="1:1">
      <c r="A10833" t="s">
        <v>41057</v>
      </c>
    </row>
    <row r="10834" spans="1:1">
      <c r="A10834" t="s">
        <v>41057</v>
      </c>
    </row>
    <row r="10835" spans="1:1">
      <c r="A10835" t="s">
        <v>49840</v>
      </c>
    </row>
    <row r="10836" spans="1:1">
      <c r="A10836" t="s">
        <v>49908</v>
      </c>
    </row>
    <row r="10837" spans="1:1">
      <c r="A10837" t="s">
        <v>41057</v>
      </c>
    </row>
    <row r="10838" spans="1:1">
      <c r="A10838" t="s">
        <v>41057</v>
      </c>
    </row>
    <row r="10839" spans="1:1">
      <c r="A10839" t="s">
        <v>41057</v>
      </c>
    </row>
    <row r="10840" spans="1:1">
      <c r="A10840" t="s">
        <v>49909</v>
      </c>
    </row>
    <row r="10841" spans="1:1">
      <c r="A10841" t="s">
        <v>41057</v>
      </c>
    </row>
    <row r="10842" spans="1:1">
      <c r="A10842" t="s">
        <v>41057</v>
      </c>
    </row>
    <row r="10843" spans="1:1">
      <c r="A10843" t="s">
        <v>41057</v>
      </c>
    </row>
    <row r="10844" spans="1:1">
      <c r="A10844" t="s">
        <v>41057</v>
      </c>
    </row>
    <row r="10845" spans="1:1">
      <c r="A10845" t="s">
        <v>41057</v>
      </c>
    </row>
    <row r="10846" spans="1:1">
      <c r="A10846" t="s">
        <v>41057</v>
      </c>
    </row>
    <row r="10847" spans="1:1">
      <c r="A10847" t="s">
        <v>41057</v>
      </c>
    </row>
    <row r="10848" spans="1:1">
      <c r="A10848" t="s">
        <v>41057</v>
      </c>
    </row>
    <row r="10849" spans="1:1">
      <c r="A10849" t="s">
        <v>41057</v>
      </c>
    </row>
    <row r="10850" spans="1:1">
      <c r="A10850" t="s">
        <v>41057</v>
      </c>
    </row>
    <row r="10851" spans="1:1">
      <c r="A10851" t="s">
        <v>41057</v>
      </c>
    </row>
    <row r="10852" spans="1:1">
      <c r="A10852" t="e" cm="1">
        <f t="array" ref="A10852">-------------------------------------------------SN--------Y</f>
        <v>#NAME?</v>
      </c>
    </row>
    <row r="10853" spans="1:1">
      <c r="A10853" t="s">
        <v>41087</v>
      </c>
    </row>
    <row r="10854" spans="1:1">
      <c r="A10854" t="s">
        <v>49910</v>
      </c>
    </row>
    <row r="10855" spans="1:1">
      <c r="A10855" t="e" cm="1">
        <f t="array" ref="A10855">--VKVGTEEFSR--------------------------EMKK----LWN----------H</f>
        <v>#NAME?</v>
      </c>
    </row>
    <row r="10856" spans="1:1">
      <c r="A10856" t="s">
        <v>49911</v>
      </c>
    </row>
    <row r="10857" spans="1:1">
      <c r="A10857" t="e" cm="1">
        <f t="array" ref="A10857">--------PI------TLEFENAIYFKFLI----------L-TKKRYMYYTCGKD----G</f>
        <v>#NAME?</v>
      </c>
    </row>
    <row r="10858" spans="1:1">
      <c r="A10858" t="s">
        <v>49912</v>
      </c>
    </row>
    <row r="10859" spans="1:1">
      <c r="A10859" t="s">
        <v>49913</v>
      </c>
    </row>
    <row r="10860" spans="1:1">
      <c r="A10860" t="e" cm="1">
        <f t="array" ref="A10860">---------------------------EQS-ENEI-------------LNGVVEKMLNLY</f>
        <v>#NAME?</v>
      </c>
    </row>
    <row r="10861" spans="1:1">
      <c r="A10861" t="s">
        <v>49914</v>
      </c>
    </row>
    <row r="10862" spans="1:1">
      <c r="A10862" t="e" cm="1">
        <f t="array" ref="A10862">--LKNLIVTK-SVG-------DY-GGDKATFEPILGKNEKGEDKWKIGNYVVPLITDEII</f>
        <v>#NAME?</v>
      </c>
    </row>
    <row r="10863" spans="1:1">
      <c r="A10863" t="s">
        <v>49915</v>
      </c>
    </row>
    <row r="10864" spans="1:1">
      <c r="A10864" t="s">
        <v>49916</v>
      </c>
    </row>
    <row r="10865" spans="1:1">
      <c r="A10865" t="s">
        <v>49917</v>
      </c>
    </row>
    <row r="10866" spans="1:1">
      <c r="A10866" t="s">
        <v>49918</v>
      </c>
    </row>
    <row r="10867" spans="1:1">
      <c r="A10867" t="s">
        <v>49919</v>
      </c>
    </row>
    <row r="10868" spans="1:1">
      <c r="A10868" t="s">
        <v>49920</v>
      </c>
    </row>
    <row r="10869" spans="1:1">
      <c r="A10869" t="s">
        <v>49921</v>
      </c>
    </row>
    <row r="10870" spans="1:1">
      <c r="A10870" t="s">
        <v>49922</v>
      </c>
    </row>
    <row r="10871" spans="1:1">
      <c r="A10871" t="s">
        <v>41057</v>
      </c>
    </row>
    <row r="10872" spans="1:1">
      <c r="A10872" t="s">
        <v>41057</v>
      </c>
    </row>
    <row r="10873" spans="1:1">
      <c r="A10873" t="s">
        <v>49923</v>
      </c>
    </row>
    <row r="10874" spans="1:1">
      <c r="A10874" t="s">
        <v>41057</v>
      </c>
    </row>
    <row r="10875" spans="1:1">
      <c r="A10875" t="s">
        <v>49924</v>
      </c>
    </row>
    <row r="10876" spans="1:1">
      <c r="A10876" t="s">
        <v>49925</v>
      </c>
    </row>
    <row r="10877" spans="1:1">
      <c r="A10877" t="s">
        <v>41057</v>
      </c>
    </row>
    <row r="10878" spans="1:1">
      <c r="A10878" t="s">
        <v>49926</v>
      </c>
    </row>
    <row r="10879" spans="1:1">
      <c r="A10879" t="e" cm="1">
        <f t="array" ref="A10879">---------------------------------------------------KLCSVTKPK</f>
        <v>#NAME?</v>
      </c>
    </row>
    <row r="10880" spans="1:1">
      <c r="A10880" t="s">
        <v>49927</v>
      </c>
    </row>
    <row r="10881" spans="1:1">
      <c r="A10881" t="s">
        <v>43727</v>
      </c>
    </row>
    <row r="10882" spans="1:1">
      <c r="A10882" t="s">
        <v>41057</v>
      </c>
    </row>
    <row r="10883" spans="1:1">
      <c r="A10883" t="s">
        <v>41057</v>
      </c>
    </row>
    <row r="10884" spans="1:1">
      <c r="A10884" t="s">
        <v>49928</v>
      </c>
    </row>
    <row r="10885" spans="1:1">
      <c r="A10885" t="s">
        <v>41057</v>
      </c>
    </row>
    <row r="10886" spans="1:1">
      <c r="A10886" t="s">
        <v>41057</v>
      </c>
    </row>
    <row r="10887" spans="1:1">
      <c r="A10887" t="s">
        <v>49929</v>
      </c>
    </row>
    <row r="10888" spans="1:1">
      <c r="A10888" t="s">
        <v>49930</v>
      </c>
    </row>
    <row r="10889" spans="1:1">
      <c r="A10889" t="s">
        <v>49931</v>
      </c>
    </row>
    <row r="10890" spans="1:1">
      <c r="A10890" t="e" cm="1">
        <f t="array" ref="A10890">----------------------------------------------------------DE</f>
        <v>#NAME?</v>
      </c>
    </row>
    <row r="10891" spans="1:1">
      <c r="A10891" t="s">
        <v>49932</v>
      </c>
    </row>
    <row r="10892" spans="1:1">
      <c r="A10892" t="e" cm="1">
        <f t="array" ref="A10892">--------QPFV---WVEL--PTHI------------------NW-----KL-------G</f>
        <v>#NAME?</v>
      </c>
    </row>
    <row r="10893" spans="1:1">
      <c r="A10893" t="s">
        <v>49933</v>
      </c>
    </row>
    <row r="10894" spans="1:1">
      <c r="A10894" t="s">
        <v>49934</v>
      </c>
    </row>
    <row r="10895" spans="1:1">
      <c r="A10895" t="s">
        <v>49935</v>
      </c>
    </row>
    <row r="10896" spans="1:1">
      <c r="A10896" t="s">
        <v>49936</v>
      </c>
    </row>
    <row r="10897" spans="1:1">
      <c r="A10897" t="s">
        <v>49937</v>
      </c>
    </row>
    <row r="10898" spans="1:1">
      <c r="A10898" t="s">
        <v>49938</v>
      </c>
    </row>
    <row r="10899" spans="1:1">
      <c r="A10899" t="s">
        <v>49939</v>
      </c>
    </row>
    <row r="10900" spans="1:1">
      <c r="A10900" t="s">
        <v>49940</v>
      </c>
    </row>
    <row r="10901" spans="1:1">
      <c r="A10901" t="s">
        <v>41057</v>
      </c>
    </row>
    <row r="10902" spans="1:1">
      <c r="A10902" t="s">
        <v>41057</v>
      </c>
    </row>
    <row r="10903" spans="1:1">
      <c r="A10903" t="s">
        <v>41057</v>
      </c>
    </row>
    <row r="10904" spans="1:1">
      <c r="A10904" t="s">
        <v>49941</v>
      </c>
    </row>
    <row r="10905" spans="1:1">
      <c r="A10905" t="s">
        <v>49942</v>
      </c>
    </row>
    <row r="10906" spans="1:1">
      <c r="A10906" t="s">
        <v>49943</v>
      </c>
    </row>
    <row r="10907" spans="1:1">
      <c r="A10907" t="s">
        <v>49944</v>
      </c>
    </row>
    <row r="10908" spans="1:1">
      <c r="A10908" t="e" cm="1">
        <f t="array" ref="A10908">---DIPYLMDRANHKS----------------------------------------IY-P</f>
        <v>#NAME?</v>
      </c>
    </row>
    <row r="10909" spans="1:1">
      <c r="A10909" t="s">
        <v>49945</v>
      </c>
    </row>
    <row r="10910" spans="1:1">
      <c r="A10910" t="e" cm="1">
        <f t="array" ref="A10910">-------------------------------------KSGIQREIKWSSSAYK-NQEFKF</f>
        <v>#NAME?</v>
      </c>
    </row>
    <row r="10911" spans="1:1">
      <c r="A10911" t="s">
        <v>49946</v>
      </c>
    </row>
    <row r="10912" spans="1:1">
      <c r="A10912" t="s">
        <v>49947</v>
      </c>
    </row>
    <row r="10913" spans="1:1">
      <c r="A10913" t="s">
        <v>41057</v>
      </c>
    </row>
    <row r="10914" spans="1:1">
      <c r="A10914" t="s">
        <v>41057</v>
      </c>
    </row>
    <row r="10915" spans="1:1">
      <c r="A10915" t="s">
        <v>49948</v>
      </c>
    </row>
    <row r="10916" spans="1:1">
      <c r="A10916" t="e" cm="1">
        <f t="array" ref="A10916">-------------------------DPKSI-------FRCYRE----------------G</f>
        <v>#NAME?</v>
      </c>
    </row>
    <row r="10917" spans="1:1">
      <c r="A10917" t="e" cm="1">
        <f t="array" ref="A10917">-IKTQ------------------------------------MLIIV----------KVGK</f>
        <v>#NAME?</v>
      </c>
    </row>
    <row r="10918" spans="1:1">
      <c r="A10918" t="s">
        <v>49949</v>
      </c>
    </row>
    <row r="10919" spans="1:1">
      <c r="A10919" t="e" cm="1">
        <f t="array" ref="A10919">----------------CDLKYMVVNE--AKLNLLQTKHRN------SNNYLKIDNLSQKY</f>
        <v>#NAME?</v>
      </c>
    </row>
    <row r="10920" spans="1:1">
      <c r="A10920" t="s">
        <v>49950</v>
      </c>
    </row>
    <row r="10921" spans="1:1">
      <c r="A10921" t="s">
        <v>49951</v>
      </c>
    </row>
    <row r="10922" spans="1:1">
      <c r="A10922" t="s">
        <v>49952</v>
      </c>
    </row>
    <row r="10923" spans="1:1">
      <c r="A10923" t="s">
        <v>41057</v>
      </c>
    </row>
    <row r="10924" spans="1:1">
      <c r="A10924" t="s">
        <v>49953</v>
      </c>
    </row>
    <row r="10925" spans="1:1">
      <c r="A10925" t="e" cm="1">
        <f t="array" ref="A10925">-----------ER-YV--------------------------------GAYV-FVPKPGL</f>
        <v>#NAME?</v>
      </c>
    </row>
    <row r="10926" spans="1:1">
      <c r="A10926" t="s">
        <v>49954</v>
      </c>
    </row>
    <row r="10927" spans="1:1">
      <c r="A10927" t="s">
        <v>41057</v>
      </c>
    </row>
    <row r="10928" spans="1:1">
      <c r="A10928" t="s">
        <v>41057</v>
      </c>
    </row>
    <row r="10929" spans="1:1">
      <c r="A10929" t="s">
        <v>41057</v>
      </c>
    </row>
    <row r="10930" spans="1:1">
      <c r="A10930" t="s">
        <v>41057</v>
      </c>
    </row>
    <row r="10931" spans="1:1">
      <c r="A10931" t="s">
        <v>41057</v>
      </c>
    </row>
    <row r="10932" spans="1:1">
      <c r="A10932" t="s">
        <v>41057</v>
      </c>
    </row>
    <row r="10933" spans="1:1">
      <c r="A10933" t="s">
        <v>41057</v>
      </c>
    </row>
    <row r="10934" spans="1:1">
      <c r="A10934" t="s">
        <v>41057</v>
      </c>
    </row>
    <row r="10935" spans="1:1">
      <c r="A10935" t="s">
        <v>49955</v>
      </c>
    </row>
    <row r="10936" spans="1:1">
      <c r="A10936" t="s">
        <v>49956</v>
      </c>
    </row>
    <row r="10937" spans="1:1">
      <c r="A10937" t="e" cm="1">
        <f t="array" ref="A10937">---------------MEW-----EDHISCKHDPK-------------VIEKNRLTKLIDE</f>
        <v>#NAME?</v>
      </c>
    </row>
    <row r="10938" spans="1:1">
      <c r="A10938" t="s">
        <v>49957</v>
      </c>
    </row>
    <row r="10939" spans="1:1">
      <c r="A10939" t="s">
        <v>49958</v>
      </c>
    </row>
    <row r="10940" spans="1:1">
      <c r="A10940" t="s">
        <v>49959</v>
      </c>
    </row>
    <row r="10941" spans="1:1">
      <c r="A10941" t="s">
        <v>49960</v>
      </c>
    </row>
    <row r="10942" spans="1:1">
      <c r="A10942" t="s">
        <v>49961</v>
      </c>
    </row>
    <row r="10943" spans="1:1">
      <c r="A10943" t="s">
        <v>49962</v>
      </c>
    </row>
    <row r="10944" spans="1:1">
      <c r="A10944" t="s">
        <v>49963</v>
      </c>
    </row>
    <row r="10945" spans="1:1">
      <c r="A10945" t="s">
        <v>49964</v>
      </c>
    </row>
    <row r="10946" spans="1:1">
      <c r="A10946" t="s">
        <v>49965</v>
      </c>
    </row>
    <row r="10947" spans="1:1">
      <c r="A10947" t="s">
        <v>49966</v>
      </c>
    </row>
    <row r="10948" spans="1:1">
      <c r="A10948" t="s">
        <v>41057</v>
      </c>
    </row>
    <row r="10949" spans="1:1">
      <c r="A10949" t="s">
        <v>41057</v>
      </c>
    </row>
    <row r="10950" spans="1:1">
      <c r="A10950" t="s">
        <v>41057</v>
      </c>
    </row>
    <row r="10951" spans="1:1">
      <c r="A10951" t="s">
        <v>41057</v>
      </c>
    </row>
    <row r="10952" spans="1:1">
      <c r="A10952" t="s">
        <v>41057</v>
      </c>
    </row>
    <row r="10953" spans="1:1">
      <c r="A10953" t="s">
        <v>41057</v>
      </c>
    </row>
    <row r="10954" spans="1:1">
      <c r="A10954" t="s">
        <v>41057</v>
      </c>
    </row>
    <row r="10955" spans="1:1">
      <c r="A10955" t="s">
        <v>41057</v>
      </c>
    </row>
    <row r="10956" spans="1:1">
      <c r="A10956" t="s">
        <v>41057</v>
      </c>
    </row>
    <row r="10957" spans="1:1">
      <c r="A10957" t="s">
        <v>49907</v>
      </c>
    </row>
    <row r="10958" spans="1:1">
      <c r="A10958" t="s">
        <v>41057</v>
      </c>
    </row>
    <row r="10959" spans="1:1">
      <c r="A10959" t="s">
        <v>41057</v>
      </c>
    </row>
    <row r="10960" spans="1:1">
      <c r="A10960" t="s">
        <v>41057</v>
      </c>
    </row>
    <row r="10961" spans="1:1">
      <c r="A10961" t="s">
        <v>41057</v>
      </c>
    </row>
    <row r="10962" spans="1:1">
      <c r="A10962" t="s">
        <v>41057</v>
      </c>
    </row>
    <row r="10963" spans="1:1">
      <c r="A10963" t="s">
        <v>49967</v>
      </c>
    </row>
    <row r="10964" spans="1:1">
      <c r="A10964" t="s">
        <v>49968</v>
      </c>
    </row>
    <row r="10965" spans="1:1">
      <c r="A10965" t="s">
        <v>41057</v>
      </c>
    </row>
    <row r="10966" spans="1:1">
      <c r="A10966" t="s">
        <v>41057</v>
      </c>
    </row>
    <row r="10967" spans="1:1">
      <c r="A10967" t="s">
        <v>41057</v>
      </c>
    </row>
    <row r="10968" spans="1:1">
      <c r="A10968" t="e" cm="1">
        <f t="array" ref="A10968">------------GGELVYGDTDC----------VASNTPLLIY----YKNK-IFYKTVDE</f>
        <v>#NAME?</v>
      </c>
    </row>
    <row r="10969" spans="1:1">
      <c r="A10969" t="s">
        <v>49969</v>
      </c>
    </row>
    <row r="10970" spans="1:1">
      <c r="A10970" t="e" cm="1">
        <f t="array" ref="A10970">-----------------------------------------------------------K</f>
        <v>#NAME?</v>
      </c>
    </row>
    <row r="10971" spans="1:1">
      <c r="A10971" t="s">
        <v>49970</v>
      </c>
    </row>
    <row r="10972" spans="1:1">
      <c r="A10972" t="s">
        <v>49971</v>
      </c>
    </row>
    <row r="10973" spans="1:1">
      <c r="A10973" t="s">
        <v>49972</v>
      </c>
    </row>
    <row r="10974" spans="1:1">
      <c r="A10974" t="s">
        <v>49973</v>
      </c>
    </row>
    <row r="10975" spans="1:1">
      <c r="A10975" t="s">
        <v>49974</v>
      </c>
    </row>
    <row r="10976" spans="1:1">
      <c r="A10976" t="s">
        <v>49975</v>
      </c>
    </row>
    <row r="10977" spans="1:1">
      <c r="A10977" t="s">
        <v>49976</v>
      </c>
    </row>
    <row r="10978" spans="1:1">
      <c r="A10978" t="s">
        <v>49977</v>
      </c>
    </row>
    <row r="10979" spans="1:1">
      <c r="A10979" t="s">
        <v>49978</v>
      </c>
    </row>
    <row r="10980" spans="1:1">
      <c r="A10980" t="e" cm="1">
        <f t="array" ref="A10980">-----------------NHHFAAGIG----Q--IIV---------H--NSN--------Y</f>
        <v>#NAME?</v>
      </c>
    </row>
    <row r="10981" spans="1:1">
      <c r="A10981" t="s">
        <v>41087</v>
      </c>
    </row>
    <row r="10982" spans="1:1">
      <c r="A10982" t="s">
        <v>49979</v>
      </c>
    </row>
    <row r="10983" spans="1:1">
      <c r="A10983" t="e" cm="1">
        <f t="array" ref="A10983">-------KKFS----------------------------ITE----LWD----------Y</f>
        <v>#NAME?</v>
      </c>
    </row>
    <row r="10984" spans="1:1">
      <c r="A10984" t="s">
        <v>49980</v>
      </c>
    </row>
    <row r="10985" spans="1:1">
      <c r="A10985" t="e" cm="1">
        <f t="array" ref="A10985">--------PM------KLEFEEAVYTKFLI----------L-TKKRYMYQTALRD----G</f>
        <v>#NAME?</v>
      </c>
    </row>
    <row r="10986" spans="1:1">
      <c r="A10986" t="s">
        <v>49981</v>
      </c>
    </row>
    <row r="10987" spans="1:1">
      <c r="A10987" t="s">
        <v>49982</v>
      </c>
    </row>
    <row r="10988" spans="1:1">
      <c r="A10988" t="e" cm="1">
        <f t="array" ref="A10988">---------------------------NTE-DKDK-------------LQSKVITSLLTD</f>
        <v>#NAME?</v>
      </c>
    </row>
    <row r="10989" spans="1:1">
      <c r="A10989" t="s">
        <v>49983</v>
      </c>
    </row>
    <row r="10990" spans="1:1">
      <c r="A10990" t="e" cm="1">
        <f t="array" ref="A10990">--VEDFIITK-STG-------DY-G----NIQPQYFLNEKGLHRATLGQYNVPFLTEEIK</f>
        <v>#NAME?</v>
      </c>
    </row>
    <row r="10991" spans="1:1">
      <c r="A10991" t="s">
        <v>49984</v>
      </c>
    </row>
    <row r="10992" spans="1:1">
      <c r="A10992" t="s">
        <v>49985</v>
      </c>
    </row>
    <row r="10993" spans="1:1">
      <c r="A10993" t="s">
        <v>49986</v>
      </c>
    </row>
    <row r="10994" spans="1:1">
      <c r="A10994" t="s">
        <v>49987</v>
      </c>
    </row>
    <row r="10995" spans="1:1">
      <c r="A10995" t="s">
        <v>49988</v>
      </c>
    </row>
    <row r="10996" spans="1:1">
      <c r="A10996" t="s">
        <v>49989</v>
      </c>
    </row>
    <row r="10997" spans="1:1">
      <c r="A10997" t="s">
        <v>49990</v>
      </c>
    </row>
    <row r="10998" spans="1:1">
      <c r="A10998" t="s">
        <v>49991</v>
      </c>
    </row>
    <row r="10999" spans="1:1">
      <c r="A10999" t="s">
        <v>41057</v>
      </c>
    </row>
    <row r="11000" spans="1:1">
      <c r="A11000" t="s">
        <v>41057</v>
      </c>
    </row>
    <row r="11001" spans="1:1">
      <c r="A11001" t="s">
        <v>49992</v>
      </c>
    </row>
    <row r="11002" spans="1:1">
      <c r="A11002" t="e" cm="1">
        <f t="array" ref="A11002">------------------------------IEINE-------------------LFSPVY</f>
        <v>#NAME?</v>
      </c>
    </row>
    <row r="11003" spans="1:1">
      <c r="A11003" t="s">
        <v>49993</v>
      </c>
    </row>
    <row r="11004" spans="1:1">
      <c r="A11004" t="s">
        <v>49994</v>
      </c>
    </row>
    <row r="11005" spans="1:1">
      <c r="A11005" t="s">
        <v>41057</v>
      </c>
    </row>
    <row r="11006" spans="1:1">
      <c r="A11006" t="s">
        <v>49995</v>
      </c>
    </row>
    <row r="11007" spans="1:1">
      <c r="A11007" t="e" cm="1">
        <f t="array" ref="A11007">---------------------------------------------------FLGNMTESK</f>
        <v>#NAME?</v>
      </c>
    </row>
    <row r="11008" spans="1:1">
      <c r="A11008" t="s">
        <v>49996</v>
      </c>
    </row>
    <row r="11009" spans="1:1">
      <c r="A11009" t="s">
        <v>44270</v>
      </c>
    </row>
    <row r="11010" spans="1:1">
      <c r="A11010" t="s">
        <v>41057</v>
      </c>
    </row>
    <row r="11011" spans="1:1">
      <c r="A11011" t="s">
        <v>41057</v>
      </c>
    </row>
    <row r="11012" spans="1:1">
      <c r="A11012" t="s">
        <v>49997</v>
      </c>
    </row>
    <row r="11013" spans="1:1">
      <c r="A11013" t="s">
        <v>41057</v>
      </c>
    </row>
    <row r="11014" spans="1:1">
      <c r="A11014" t="s">
        <v>41057</v>
      </c>
    </row>
    <row r="11015" spans="1:1">
      <c r="A11015" t="s">
        <v>49998</v>
      </c>
    </row>
    <row r="11016" spans="1:1">
      <c r="A11016" t="s">
        <v>49930</v>
      </c>
    </row>
    <row r="11017" spans="1:1">
      <c r="A11017" t="s">
        <v>49931</v>
      </c>
    </row>
    <row r="11018" spans="1:1">
      <c r="A11018" t="e" cm="1">
        <f t="array" ref="A11018">----------------------------------------------------------DE</f>
        <v>#NAME?</v>
      </c>
    </row>
    <row r="11019" spans="1:1">
      <c r="A11019" t="s">
        <v>49932</v>
      </c>
    </row>
    <row r="11020" spans="1:1">
      <c r="A11020" t="e" cm="1">
        <f t="array" ref="A11020">--------QPFV---WVEL--PTHI------------------NW-----KL-------G</f>
        <v>#NAME?</v>
      </c>
    </row>
    <row r="11021" spans="1:1">
      <c r="A11021" t="s">
        <v>49933</v>
      </c>
    </row>
    <row r="11022" spans="1:1">
      <c r="A11022" t="s">
        <v>49934</v>
      </c>
    </row>
    <row r="11023" spans="1:1">
      <c r="A11023" t="s">
        <v>49935</v>
      </c>
    </row>
    <row r="11024" spans="1:1">
      <c r="A11024" t="s">
        <v>49999</v>
      </c>
    </row>
    <row r="11025" spans="1:1">
      <c r="A11025" t="s">
        <v>49937</v>
      </c>
    </row>
    <row r="11026" spans="1:1">
      <c r="A11026" t="s">
        <v>49938</v>
      </c>
    </row>
    <row r="11027" spans="1:1">
      <c r="A11027" t="s">
        <v>49939</v>
      </c>
    </row>
    <row r="11028" spans="1:1">
      <c r="A11028" t="s">
        <v>49940</v>
      </c>
    </row>
    <row r="11029" spans="1:1">
      <c r="A11029" t="s">
        <v>41057</v>
      </c>
    </row>
    <row r="11030" spans="1:1">
      <c r="A11030" t="s">
        <v>41057</v>
      </c>
    </row>
    <row r="11031" spans="1:1">
      <c r="A11031" t="s">
        <v>41057</v>
      </c>
    </row>
    <row r="11032" spans="1:1">
      <c r="A11032" t="s">
        <v>50000</v>
      </c>
    </row>
    <row r="11033" spans="1:1">
      <c r="A11033" t="s">
        <v>49942</v>
      </c>
    </row>
    <row r="11034" spans="1:1">
      <c r="A11034" t="s">
        <v>49943</v>
      </c>
    </row>
    <row r="11035" spans="1:1">
      <c r="A11035" t="s">
        <v>50001</v>
      </c>
    </row>
    <row r="11036" spans="1:1">
      <c r="A11036" t="e" cm="1">
        <f t="array" ref="A11036">---DIPYLMDRANHKS----------------------------------------IY-P</f>
        <v>#NAME?</v>
      </c>
    </row>
    <row r="11037" spans="1:1">
      <c r="A11037" t="s">
        <v>50002</v>
      </c>
    </row>
    <row r="11038" spans="1:1">
      <c r="A11038" t="e" cm="1">
        <f t="array" ref="A11038">-------------------------------------KSGIQREIKWSSSAYK-NQEFKF</f>
        <v>#NAME?</v>
      </c>
    </row>
    <row r="11039" spans="1:1">
      <c r="A11039" t="s">
        <v>49946</v>
      </c>
    </row>
    <row r="11040" spans="1:1">
      <c r="A11040" t="s">
        <v>49947</v>
      </c>
    </row>
    <row r="11041" spans="1:1">
      <c r="A11041" t="s">
        <v>41057</v>
      </c>
    </row>
    <row r="11042" spans="1:1">
      <c r="A11042" t="s">
        <v>41057</v>
      </c>
    </row>
    <row r="11043" spans="1:1">
      <c r="A11043" t="s">
        <v>49948</v>
      </c>
    </row>
    <row r="11044" spans="1:1">
      <c r="A11044" t="e" cm="1">
        <f t="array" ref="A11044">-------------------------DPKSI-------FRCYRE----------------G</f>
        <v>#NAME?</v>
      </c>
    </row>
    <row r="11045" spans="1:1">
      <c r="A11045" t="e" cm="1">
        <f t="array" ref="A11045">-IKTQ------------------------------------MLIIV----------KVGK</f>
        <v>#NAME?</v>
      </c>
    </row>
    <row r="11046" spans="1:1">
      <c r="A11046" t="s">
        <v>50003</v>
      </c>
    </row>
    <row r="11047" spans="1:1">
      <c r="A11047" t="e" cm="1">
        <f t="array" ref="A11047">----------------CDLKYMVVNE--AKLNLLQTKHRN------SNNYLKIDNLSQKY</f>
        <v>#NAME?</v>
      </c>
    </row>
    <row r="11048" spans="1:1">
      <c r="A11048" t="s">
        <v>49950</v>
      </c>
    </row>
    <row r="11049" spans="1:1">
      <c r="A11049" t="s">
        <v>49951</v>
      </c>
    </row>
    <row r="11050" spans="1:1">
      <c r="A11050" t="s">
        <v>49952</v>
      </c>
    </row>
    <row r="11051" spans="1:1">
      <c r="A11051" t="s">
        <v>41057</v>
      </c>
    </row>
    <row r="11052" spans="1:1">
      <c r="A11052" t="s">
        <v>49953</v>
      </c>
    </row>
    <row r="11053" spans="1:1">
      <c r="A11053" t="e" cm="1">
        <f t="array" ref="A11053">-----------ER-YV--------------------------------GAYV-FVPKPGL</f>
        <v>#NAME?</v>
      </c>
    </row>
    <row r="11054" spans="1:1">
      <c r="A11054" t="s">
        <v>49954</v>
      </c>
    </row>
    <row r="11055" spans="1:1">
      <c r="A11055" t="s">
        <v>41057</v>
      </c>
    </row>
    <row r="11056" spans="1:1">
      <c r="A11056" t="s">
        <v>41057</v>
      </c>
    </row>
    <row r="11057" spans="1:1">
      <c r="A11057" t="s">
        <v>41057</v>
      </c>
    </row>
    <row r="11058" spans="1:1">
      <c r="A11058" t="s">
        <v>41057</v>
      </c>
    </row>
    <row r="11059" spans="1:1">
      <c r="A11059" t="s">
        <v>41057</v>
      </c>
    </row>
    <row r="11060" spans="1:1">
      <c r="A11060" t="s">
        <v>41057</v>
      </c>
    </row>
    <row r="11061" spans="1:1">
      <c r="A11061" t="s">
        <v>41057</v>
      </c>
    </row>
    <row r="11062" spans="1:1">
      <c r="A11062" t="s">
        <v>41057</v>
      </c>
    </row>
    <row r="11063" spans="1:1">
      <c r="A11063" t="s">
        <v>49955</v>
      </c>
    </row>
    <row r="11064" spans="1:1">
      <c r="A11064" t="s">
        <v>49956</v>
      </c>
    </row>
    <row r="11065" spans="1:1">
      <c r="A11065" t="e" cm="1">
        <f t="array" ref="A11065">---------------MEW-----EDHISCKHDPK-------------VIEKNRLTKLIDE</f>
        <v>#NAME?</v>
      </c>
    </row>
    <row r="11066" spans="1:1">
      <c r="A11066" t="s">
        <v>49957</v>
      </c>
    </row>
    <row r="11067" spans="1:1">
      <c r="A11067" t="s">
        <v>49958</v>
      </c>
    </row>
    <row r="11068" spans="1:1">
      <c r="A11068" t="s">
        <v>49959</v>
      </c>
    </row>
    <row r="11069" spans="1:1">
      <c r="A11069" t="s">
        <v>50004</v>
      </c>
    </row>
    <row r="11070" spans="1:1">
      <c r="A11070" t="s">
        <v>49961</v>
      </c>
    </row>
    <row r="11071" spans="1:1">
      <c r="A11071" t="s">
        <v>49962</v>
      </c>
    </row>
    <row r="11072" spans="1:1">
      <c r="A11072" t="s">
        <v>49963</v>
      </c>
    </row>
    <row r="11073" spans="1:1">
      <c r="A11073" t="s">
        <v>49964</v>
      </c>
    </row>
    <row r="11074" spans="1:1">
      <c r="A11074" t="s">
        <v>50005</v>
      </c>
    </row>
    <row r="11075" spans="1:1">
      <c r="A11075" t="s">
        <v>49966</v>
      </c>
    </row>
    <row r="11076" spans="1:1">
      <c r="A11076" t="s">
        <v>41057</v>
      </c>
    </row>
    <row r="11077" spans="1:1">
      <c r="A11077" t="s">
        <v>41057</v>
      </c>
    </row>
    <row r="11078" spans="1:1">
      <c r="A11078" t="s">
        <v>41057</v>
      </c>
    </row>
    <row r="11079" spans="1:1">
      <c r="A11079" t="s">
        <v>41057</v>
      </c>
    </row>
    <row r="11080" spans="1:1">
      <c r="A11080" t="s">
        <v>41057</v>
      </c>
    </row>
    <row r="11081" spans="1:1">
      <c r="A11081" t="s">
        <v>41057</v>
      </c>
    </row>
    <row r="11082" spans="1:1">
      <c r="A11082" t="s">
        <v>41057</v>
      </c>
    </row>
    <row r="11083" spans="1:1">
      <c r="A11083" t="s">
        <v>41057</v>
      </c>
    </row>
    <row r="11084" spans="1:1">
      <c r="A11084" t="s">
        <v>41057</v>
      </c>
    </row>
    <row r="11085" spans="1:1">
      <c r="A11085" t="s">
        <v>49907</v>
      </c>
    </row>
    <row r="11086" spans="1:1">
      <c r="A11086" t="s">
        <v>41057</v>
      </c>
    </row>
    <row r="11087" spans="1:1">
      <c r="A11087" t="s">
        <v>41057</v>
      </c>
    </row>
    <row r="11088" spans="1:1">
      <c r="A11088" t="s">
        <v>41057</v>
      </c>
    </row>
    <row r="11089" spans="1:1">
      <c r="A11089" t="s">
        <v>41057</v>
      </c>
    </row>
    <row r="11090" spans="1:1">
      <c r="A11090" t="s">
        <v>41057</v>
      </c>
    </row>
    <row r="11091" spans="1:1">
      <c r="A11091" t="s">
        <v>49967</v>
      </c>
    </row>
    <row r="11092" spans="1:1">
      <c r="A11092" t="s">
        <v>49968</v>
      </c>
    </row>
    <row r="11093" spans="1:1">
      <c r="A11093" t="s">
        <v>41057</v>
      </c>
    </row>
    <row r="11094" spans="1:1">
      <c r="A11094" t="s">
        <v>41057</v>
      </c>
    </row>
    <row r="11095" spans="1:1">
      <c r="A11095" t="s">
        <v>41057</v>
      </c>
    </row>
    <row r="11096" spans="1:1">
      <c r="A11096" t="s">
        <v>50006</v>
      </c>
    </row>
    <row r="11097" spans="1:1">
      <c r="A11097" t="s">
        <v>41057</v>
      </c>
    </row>
    <row r="11098" spans="1:1">
      <c r="A11098" t="s">
        <v>41057</v>
      </c>
    </row>
    <row r="11099" spans="1:1">
      <c r="A11099" t="s">
        <v>41057</v>
      </c>
    </row>
    <row r="11100" spans="1:1">
      <c r="A11100" t="s">
        <v>41057</v>
      </c>
    </row>
    <row r="11101" spans="1:1">
      <c r="A11101" t="s">
        <v>41057</v>
      </c>
    </row>
    <row r="11102" spans="1:1">
      <c r="A11102" t="s">
        <v>41057</v>
      </c>
    </row>
    <row r="11103" spans="1:1">
      <c r="A11103" t="s">
        <v>41057</v>
      </c>
    </row>
    <row r="11104" spans="1:1">
      <c r="A11104" t="s">
        <v>41057</v>
      </c>
    </row>
    <row r="11105" spans="1:1">
      <c r="A11105" t="s">
        <v>41057</v>
      </c>
    </row>
    <row r="11106" spans="1:1">
      <c r="A11106" t="s">
        <v>41057</v>
      </c>
    </row>
    <row r="11107" spans="1:1">
      <c r="A11107" t="s">
        <v>41057</v>
      </c>
    </row>
    <row r="11108" spans="1:1">
      <c r="A11108" t="e" cm="1">
        <f t="array" ref="A11108">-------------------------------------------------SN--------Y</f>
        <v>#NAME?</v>
      </c>
    </row>
    <row r="11109" spans="1:1">
      <c r="A11109" t="s">
        <v>41087</v>
      </c>
    </row>
    <row r="11110" spans="1:1">
      <c r="A11110" t="s">
        <v>49979</v>
      </c>
    </row>
    <row r="11111" spans="1:1">
      <c r="A11111" t="e" cm="1">
        <f t="array" ref="A11111">-------KKFS----------------------------ITE----LWD----------Y</f>
        <v>#NAME?</v>
      </c>
    </row>
    <row r="11112" spans="1:1">
      <c r="A11112" t="s">
        <v>49980</v>
      </c>
    </row>
    <row r="11113" spans="1:1">
      <c r="A11113" t="e" cm="1">
        <f t="array" ref="A11113">--------PM------KLEFEEAVYTKFLI----------L-TKKRYMYQTALRD----G</f>
        <v>#NAME?</v>
      </c>
    </row>
    <row r="11114" spans="1:1">
      <c r="A11114" t="s">
        <v>49981</v>
      </c>
    </row>
    <row r="11115" spans="1:1">
      <c r="A11115" t="s">
        <v>49982</v>
      </c>
    </row>
    <row r="11116" spans="1:1">
      <c r="A11116" t="e" cm="1">
        <f t="array" ref="A11116">---------------------------NTE-DKDK-------------LQSKVIKSLLTD</f>
        <v>#NAME?</v>
      </c>
    </row>
    <row r="11117" spans="1:1">
      <c r="A11117" t="s">
        <v>50007</v>
      </c>
    </row>
    <row r="11118" spans="1:1">
      <c r="A11118" t="e" cm="1">
        <f t="array" ref="A11118">--VEDFIITK-STG-------DY-G----NLQPQYFLNEKGLHRATLGQYNVPFLTEEIK</f>
        <v>#NAME?</v>
      </c>
    </row>
    <row r="11119" spans="1:1">
      <c r="A11119" t="s">
        <v>49984</v>
      </c>
    </row>
    <row r="11120" spans="1:1">
      <c r="A11120" t="s">
        <v>49985</v>
      </c>
    </row>
    <row r="11121" spans="1:1">
      <c r="A11121" t="s">
        <v>49986</v>
      </c>
    </row>
    <row r="11122" spans="1:1">
      <c r="A11122" t="s">
        <v>49987</v>
      </c>
    </row>
    <row r="11123" spans="1:1">
      <c r="A11123" t="s">
        <v>49988</v>
      </c>
    </row>
    <row r="11124" spans="1:1">
      <c r="A11124" t="s">
        <v>49989</v>
      </c>
    </row>
    <row r="11125" spans="1:1">
      <c r="A11125" t="s">
        <v>49990</v>
      </c>
    </row>
    <row r="11126" spans="1:1">
      <c r="A11126" t="s">
        <v>49991</v>
      </c>
    </row>
    <row r="11127" spans="1:1">
      <c r="A11127" t="s">
        <v>41057</v>
      </c>
    </row>
    <row r="11128" spans="1:1">
      <c r="A11128" t="s">
        <v>41057</v>
      </c>
    </row>
    <row r="11129" spans="1:1">
      <c r="A11129" t="s">
        <v>49992</v>
      </c>
    </row>
    <row r="11130" spans="1:1">
      <c r="A11130" t="e" cm="1">
        <f t="array" ref="A11130">------------------------------IEMNE-------------------LFSPIY</f>
        <v>#NAME?</v>
      </c>
    </row>
    <row r="11131" spans="1:1">
      <c r="A11131" t="s">
        <v>50008</v>
      </c>
    </row>
    <row r="11132" spans="1:1">
      <c r="A11132" t="s">
        <v>50009</v>
      </c>
    </row>
    <row r="11133" spans="1:1">
      <c r="A11133" t="s">
        <v>41057</v>
      </c>
    </row>
    <row r="11134" spans="1:1">
      <c r="A11134" t="s">
        <v>50010</v>
      </c>
    </row>
    <row r="11135" spans="1:1">
      <c r="A11135" t="e" cm="1">
        <f t="array" ref="A11135">---------------------------------------------------LLGNMTESK</f>
        <v>#NAME?</v>
      </c>
    </row>
    <row r="11136" spans="1:1">
      <c r="A11136" t="s">
        <v>49996</v>
      </c>
    </row>
    <row r="11137" spans="1:1">
      <c r="A11137" t="s">
        <v>44250</v>
      </c>
    </row>
    <row r="11138" spans="1:1">
      <c r="A11138" t="s">
        <v>41057</v>
      </c>
    </row>
    <row r="11139" spans="1:1">
      <c r="A11139" t="s">
        <v>41057</v>
      </c>
    </row>
    <row r="11140" spans="1:1">
      <c r="A11140" t="s">
        <v>50011</v>
      </c>
    </row>
    <row r="11141" spans="1:1">
      <c r="A11141" t="s">
        <v>41057</v>
      </c>
    </row>
    <row r="11142" spans="1:1">
      <c r="A11142" t="s">
        <v>41057</v>
      </c>
    </row>
    <row r="11143" spans="1:1">
      <c r="A11143" t="s">
        <v>50012</v>
      </c>
    </row>
    <row r="11144" spans="1:1">
      <c r="A11144" t="s">
        <v>49930</v>
      </c>
    </row>
    <row r="11145" spans="1:1">
      <c r="A11145" t="s">
        <v>50013</v>
      </c>
    </row>
    <row r="11146" spans="1:1">
      <c r="A11146" t="e" cm="1">
        <f t="array" ref="A11146">----------------------------------------------------------DS</f>
        <v>#NAME?</v>
      </c>
    </row>
    <row r="11147" spans="1:1">
      <c r="A11147" t="s">
        <v>50014</v>
      </c>
    </row>
    <row r="11148" spans="1:1">
      <c r="A11148" t="s">
        <v>50015</v>
      </c>
    </row>
    <row r="11149" spans="1:1">
      <c r="A11149" t="s">
        <v>50016</v>
      </c>
    </row>
    <row r="11150" spans="1:1">
      <c r="A11150" t="s">
        <v>50017</v>
      </c>
    </row>
    <row r="11151" spans="1:1">
      <c r="A11151" t="s">
        <v>50018</v>
      </c>
    </row>
    <row r="11152" spans="1:1">
      <c r="A11152" t="s">
        <v>50019</v>
      </c>
    </row>
    <row r="11153" spans="1:1">
      <c r="A11153" t="s">
        <v>50020</v>
      </c>
    </row>
    <row r="11154" spans="1:1">
      <c r="A11154" t="s">
        <v>50021</v>
      </c>
    </row>
    <row r="11155" spans="1:1">
      <c r="A11155" t="s">
        <v>50022</v>
      </c>
    </row>
    <row r="11156" spans="1:1">
      <c r="A11156" t="s">
        <v>50023</v>
      </c>
    </row>
    <row r="11157" spans="1:1">
      <c r="A11157" t="s">
        <v>41057</v>
      </c>
    </row>
    <row r="11158" spans="1:1">
      <c r="A11158" t="s">
        <v>41057</v>
      </c>
    </row>
    <row r="11159" spans="1:1">
      <c r="A11159" t="s">
        <v>41057</v>
      </c>
    </row>
    <row r="11160" spans="1:1">
      <c r="A11160" t="s">
        <v>50000</v>
      </c>
    </row>
    <row r="11161" spans="1:1">
      <c r="A11161" t="s">
        <v>50024</v>
      </c>
    </row>
    <row r="11162" spans="1:1">
      <c r="A11162" t="s">
        <v>50025</v>
      </c>
    </row>
    <row r="11163" spans="1:1">
      <c r="A11163" t="s">
        <v>50026</v>
      </c>
    </row>
    <row r="11164" spans="1:1">
      <c r="A11164" t="e" cm="1">
        <f t="array" ref="A11164">---DIPYLMDRANYKH----------------------------------------IY-P</f>
        <v>#NAME?</v>
      </c>
    </row>
    <row r="11165" spans="1:1">
      <c r="A11165" t="s">
        <v>50027</v>
      </c>
    </row>
    <row r="11166" spans="1:1">
      <c r="A11166" t="e" cm="1">
        <f t="array" ref="A11166">-------------------------------------RCGISREIKWSSSAYK-NQEFKY</f>
        <v>#NAME?</v>
      </c>
    </row>
    <row r="11167" spans="1:1">
      <c r="A11167" t="s">
        <v>50028</v>
      </c>
    </row>
    <row r="11168" spans="1:1">
      <c r="A11168" t="s">
        <v>50029</v>
      </c>
    </row>
    <row r="11169" spans="1:1">
      <c r="A11169" t="s">
        <v>41057</v>
      </c>
    </row>
    <row r="11170" spans="1:1">
      <c r="A11170" t="s">
        <v>41057</v>
      </c>
    </row>
    <row r="11171" spans="1:1">
      <c r="A11171" t="s">
        <v>49948</v>
      </c>
    </row>
    <row r="11172" spans="1:1">
      <c r="A11172" t="e" cm="1">
        <f t="array" ref="A11172">-------------------------DAKGI-------FKCYRE----------------G</f>
        <v>#NAME?</v>
      </c>
    </row>
    <row r="11173" spans="1:1">
      <c r="A11173" t="s">
        <v>50030</v>
      </c>
    </row>
    <row r="11174" spans="1:1">
      <c r="A11174" t="s">
        <v>50031</v>
      </c>
    </row>
    <row r="11175" spans="1:1">
      <c r="A11175" t="e" cm="1">
        <f t="array" ref="A11175">----------------------------------------------------------KY</f>
        <v>#NAME?</v>
      </c>
    </row>
    <row r="11176" spans="1:1">
      <c r="A11176" t="s">
        <v>50032</v>
      </c>
    </row>
    <row r="11177" spans="1:1">
      <c r="A11177" t="s">
        <v>50033</v>
      </c>
    </row>
    <row r="11178" spans="1:1">
      <c r="A11178" t="s">
        <v>50034</v>
      </c>
    </row>
    <row r="11179" spans="1:1">
      <c r="A11179" t="s">
        <v>41057</v>
      </c>
    </row>
    <row r="11180" spans="1:1">
      <c r="A11180" t="s">
        <v>50035</v>
      </c>
    </row>
    <row r="11181" spans="1:1">
      <c r="A11181" t="e" cm="1">
        <f t="array" ref="A11181">-----------ER-YV--------------------------------GAFV-FPPKPGL</f>
        <v>#NAME?</v>
      </c>
    </row>
    <row r="11182" spans="1:1">
      <c r="A11182" t="s">
        <v>50036</v>
      </c>
    </row>
    <row r="11183" spans="1:1">
      <c r="A11183" t="s">
        <v>41057</v>
      </c>
    </row>
    <row r="11184" spans="1:1">
      <c r="A11184" t="s">
        <v>41057</v>
      </c>
    </row>
    <row r="11185" spans="1:1">
      <c r="A11185" t="s">
        <v>41057</v>
      </c>
    </row>
    <row r="11186" spans="1:1">
      <c r="A11186" t="s">
        <v>41057</v>
      </c>
    </row>
    <row r="11187" spans="1:1">
      <c r="A11187" t="s">
        <v>41057</v>
      </c>
    </row>
    <row r="11188" spans="1:1">
      <c r="A11188" t="s">
        <v>41057</v>
      </c>
    </row>
    <row r="11189" spans="1:1">
      <c r="A11189" t="s">
        <v>41057</v>
      </c>
    </row>
    <row r="11190" spans="1:1">
      <c r="A11190" t="s">
        <v>41057</v>
      </c>
    </row>
    <row r="11191" spans="1:1">
      <c r="A11191" t="s">
        <v>50037</v>
      </c>
    </row>
    <row r="11192" spans="1:1">
      <c r="A11192" t="s">
        <v>50038</v>
      </c>
    </row>
    <row r="11193" spans="1:1">
      <c r="A11193" t="e" cm="1">
        <f t="array" ref="A11193">---------------MEW-----EDHISCKHDPK-------------VIEKARLTKLIDE</f>
        <v>#NAME?</v>
      </c>
    </row>
    <row r="11194" spans="1:1">
      <c r="A11194" t="s">
        <v>50039</v>
      </c>
    </row>
    <row r="11195" spans="1:1">
      <c r="A11195" t="s">
        <v>50040</v>
      </c>
    </row>
    <row r="11196" spans="1:1">
      <c r="A11196" t="s">
        <v>50041</v>
      </c>
    </row>
    <row r="11197" spans="1:1">
      <c r="A11197" t="s">
        <v>50004</v>
      </c>
    </row>
    <row r="11198" spans="1:1">
      <c r="A11198" t="s">
        <v>50042</v>
      </c>
    </row>
    <row r="11199" spans="1:1">
      <c r="A11199" t="s">
        <v>50043</v>
      </c>
    </row>
    <row r="11200" spans="1:1">
      <c r="A11200" t="s">
        <v>50044</v>
      </c>
    </row>
    <row r="11201" spans="1:1">
      <c r="A11201" t="s">
        <v>50045</v>
      </c>
    </row>
    <row r="11202" spans="1:1">
      <c r="A11202" t="s">
        <v>50046</v>
      </c>
    </row>
    <row r="11203" spans="1:1">
      <c r="A11203" t="s">
        <v>49966</v>
      </c>
    </row>
    <row r="11204" spans="1:1">
      <c r="A11204" t="s">
        <v>41057</v>
      </c>
    </row>
    <row r="11205" spans="1:1">
      <c r="A11205" t="s">
        <v>41057</v>
      </c>
    </row>
    <row r="11206" spans="1:1">
      <c r="A11206" t="s">
        <v>41057</v>
      </c>
    </row>
    <row r="11207" spans="1:1">
      <c r="A11207" t="s">
        <v>41057</v>
      </c>
    </row>
    <row r="11208" spans="1:1">
      <c r="A11208" t="s">
        <v>41057</v>
      </c>
    </row>
    <row r="11209" spans="1:1">
      <c r="A11209" t="s">
        <v>41057</v>
      </c>
    </row>
    <row r="11210" spans="1:1">
      <c r="A11210" t="s">
        <v>41057</v>
      </c>
    </row>
    <row r="11211" spans="1:1">
      <c r="A11211" t="s">
        <v>41057</v>
      </c>
    </row>
    <row r="11212" spans="1:1">
      <c r="A11212" t="s">
        <v>41057</v>
      </c>
    </row>
    <row r="11213" spans="1:1">
      <c r="A11213" t="s">
        <v>48661</v>
      </c>
    </row>
    <row r="11214" spans="1:1">
      <c r="A11214" t="s">
        <v>41057</v>
      </c>
    </row>
    <row r="11215" spans="1:1">
      <c r="A11215" t="s">
        <v>41057</v>
      </c>
    </row>
    <row r="11216" spans="1:1">
      <c r="A11216" t="s">
        <v>41057</v>
      </c>
    </row>
    <row r="11217" spans="1:1">
      <c r="A11217" t="s">
        <v>41057</v>
      </c>
    </row>
    <row r="11218" spans="1:1">
      <c r="A11218" t="s">
        <v>41057</v>
      </c>
    </row>
    <row r="11219" spans="1:1">
      <c r="A11219" t="s">
        <v>50047</v>
      </c>
    </row>
    <row r="11220" spans="1:1">
      <c r="A11220" t="s">
        <v>50048</v>
      </c>
    </row>
    <row r="11221" spans="1:1">
      <c r="A11221" t="s">
        <v>41057</v>
      </c>
    </row>
    <row r="11222" spans="1:1">
      <c r="A11222" t="s">
        <v>41057</v>
      </c>
    </row>
    <row r="11223" spans="1:1">
      <c r="A11223" t="s">
        <v>41057</v>
      </c>
    </row>
    <row r="11224" spans="1:1">
      <c r="A11224" t="s">
        <v>50049</v>
      </c>
    </row>
    <row r="11225" spans="1:1">
      <c r="A11225" t="s">
        <v>41057</v>
      </c>
    </row>
    <row r="11226" spans="1:1">
      <c r="A11226" t="s">
        <v>41057</v>
      </c>
    </row>
    <row r="11227" spans="1:1">
      <c r="A11227" t="s">
        <v>41057</v>
      </c>
    </row>
    <row r="11228" spans="1:1">
      <c r="A11228" t="s">
        <v>41057</v>
      </c>
    </row>
    <row r="11229" spans="1:1">
      <c r="A11229" t="s">
        <v>41057</v>
      </c>
    </row>
    <row r="11230" spans="1:1">
      <c r="A11230" t="s">
        <v>41057</v>
      </c>
    </row>
    <row r="11231" spans="1:1">
      <c r="A11231" t="s">
        <v>41057</v>
      </c>
    </row>
    <row r="11232" spans="1:1">
      <c r="A11232" t="s">
        <v>41057</v>
      </c>
    </row>
    <row r="11233" spans="1:1">
      <c r="A11233" t="s">
        <v>41057</v>
      </c>
    </row>
    <row r="11234" spans="1:1">
      <c r="A11234" t="s">
        <v>41057</v>
      </c>
    </row>
    <row r="11235" spans="1:1">
      <c r="A11235" t="s">
        <v>41057</v>
      </c>
    </row>
    <row r="11236" spans="1:1">
      <c r="A11236" t="e" cm="1">
        <f t="array" ref="A11236">-------------------------------------------------SN--------Y</f>
        <v>#NAME?</v>
      </c>
    </row>
    <row r="11237" spans="1:1">
      <c r="A11237" t="s">
        <v>41087</v>
      </c>
    </row>
    <row r="11238" spans="1:1">
      <c r="A11238" t="s">
        <v>50050</v>
      </c>
    </row>
    <row r="11239" spans="1:1">
      <c r="A11239" t="e" cm="1">
        <f t="array" ref="A11239">-------KNFS----------------------------YAE----LWD----------Y</f>
        <v>#NAME?</v>
      </c>
    </row>
    <row r="11240" spans="1:1">
      <c r="A11240" t="s">
        <v>50051</v>
      </c>
    </row>
    <row r="11241" spans="1:1">
      <c r="A11241" t="e" cm="1">
        <f t="array" ref="A11241">--------PM------RLEFEEAIYKKFLI----------L-TKKRYMYQTCLRN----G</f>
        <v>#NAME?</v>
      </c>
    </row>
    <row r="11242" spans="1:1">
      <c r="A11242" t="s">
        <v>50052</v>
      </c>
    </row>
    <row r="11243" spans="1:1">
      <c r="A11243" t="s">
        <v>49982</v>
      </c>
    </row>
    <row r="11244" spans="1:1">
      <c r="A11244" t="e" cm="1">
        <f t="array" ref="A11244">---------------------------E-D-DPTR-------------LQTRVLHALTND</f>
        <v>#NAME?</v>
      </c>
    </row>
    <row r="11245" spans="1:1">
      <c r="A11245" t="s">
        <v>50053</v>
      </c>
    </row>
    <row r="11246" spans="1:1">
      <c r="A11246" t="e" cm="1">
        <f t="array" ref="A11246">--VQDFVITK-STG-------DY-G----NLEPQFFLNEKGLKRAMLGQYNVPFLTDEAK</f>
        <v>#NAME?</v>
      </c>
    </row>
    <row r="11247" spans="1:1">
      <c r="A11247" t="s">
        <v>50054</v>
      </c>
    </row>
    <row r="11248" spans="1:1">
      <c r="A11248" t="s">
        <v>50055</v>
      </c>
    </row>
    <row r="11249" spans="1:1">
      <c r="A11249" t="s">
        <v>50056</v>
      </c>
    </row>
    <row r="11250" spans="1:1">
      <c r="A11250" t="s">
        <v>50057</v>
      </c>
    </row>
    <row r="11251" spans="1:1">
      <c r="A11251" t="s">
        <v>50058</v>
      </c>
    </row>
    <row r="11252" spans="1:1">
      <c r="A11252" t="s">
        <v>50059</v>
      </c>
    </row>
    <row r="11253" spans="1:1">
      <c r="A11253" t="s">
        <v>49921</v>
      </c>
    </row>
    <row r="11254" spans="1:1">
      <c r="A11254" t="s">
        <v>50060</v>
      </c>
    </row>
    <row r="11255" spans="1:1">
      <c r="A11255" t="s">
        <v>41057</v>
      </c>
    </row>
    <row r="11256" spans="1:1">
      <c r="A11256" t="s">
        <v>41057</v>
      </c>
    </row>
    <row r="11257" spans="1:1">
      <c r="A11257" t="s">
        <v>50061</v>
      </c>
    </row>
    <row r="11258" spans="1:1">
      <c r="A11258" t="e" cm="1">
        <f t="array" ref="A11258">------------------------------GQMNL-------------------LFAPTL</f>
        <v>#NAME?</v>
      </c>
    </row>
    <row r="11259" spans="1:1">
      <c r="A11259" t="s">
        <v>50062</v>
      </c>
    </row>
    <row r="11260" spans="1:1">
      <c r="A11260" t="s">
        <v>50063</v>
      </c>
    </row>
    <row r="11261" spans="1:1">
      <c r="A11261" t="s">
        <v>41057</v>
      </c>
    </row>
    <row r="11262" spans="1:1">
      <c r="A11262" t="s">
        <v>50064</v>
      </c>
    </row>
    <row r="11263" spans="1:1">
      <c r="A11263" t="e" cm="1">
        <f t="array" ref="A11263">---------------------------------------------------KLNGFAEQK</f>
        <v>#NAME?</v>
      </c>
    </row>
    <row r="11264" spans="1:1">
      <c r="A11264" t="s">
        <v>50065</v>
      </c>
    </row>
    <row r="11265" spans="1:1">
      <c r="A11265" t="s">
        <v>44496</v>
      </c>
    </row>
    <row r="11266" spans="1:1">
      <c r="A11266" t="s">
        <v>41057</v>
      </c>
    </row>
    <row r="11267" spans="1:1">
      <c r="A11267" t="s">
        <v>41057</v>
      </c>
    </row>
    <row r="11268" spans="1:1">
      <c r="A11268" t="s">
        <v>49871</v>
      </c>
    </row>
    <row r="11269" spans="1:1">
      <c r="A11269" t="s">
        <v>41057</v>
      </c>
    </row>
    <row r="11270" spans="1:1">
      <c r="A11270" t="s">
        <v>41057</v>
      </c>
    </row>
    <row r="11271" spans="1:1">
      <c r="A11271" t="s">
        <v>50066</v>
      </c>
    </row>
    <row r="11272" spans="1:1">
      <c r="A11272" t="s">
        <v>50067</v>
      </c>
    </row>
    <row r="11273" spans="1:1">
      <c r="A11273" t="s">
        <v>50068</v>
      </c>
    </row>
    <row r="11274" spans="1:1">
      <c r="A11274" t="e" cm="1">
        <f t="array" ref="A11274">----------------------------------------------------------EN</f>
        <v>#NAME?</v>
      </c>
    </row>
    <row r="11275" spans="1:1">
      <c r="A11275" t="s">
        <v>50069</v>
      </c>
    </row>
    <row r="11276" spans="1:1">
      <c r="A11276" t="s">
        <v>50070</v>
      </c>
    </row>
    <row r="11277" spans="1:1">
      <c r="A11277" t="s">
        <v>50071</v>
      </c>
    </row>
    <row r="11278" spans="1:1">
      <c r="A11278" t="s">
        <v>50072</v>
      </c>
    </row>
    <row r="11279" spans="1:1">
      <c r="A11279" t="s">
        <v>50073</v>
      </c>
    </row>
    <row r="11280" spans="1:1">
      <c r="A11280" t="s">
        <v>50074</v>
      </c>
    </row>
    <row r="11281" spans="1:1">
      <c r="A11281" t="s">
        <v>50075</v>
      </c>
    </row>
    <row r="11282" spans="1:1">
      <c r="A11282" t="s">
        <v>50076</v>
      </c>
    </row>
    <row r="11283" spans="1:1">
      <c r="A11283" t="s">
        <v>50077</v>
      </c>
    </row>
    <row r="11284" spans="1:1">
      <c r="A11284" t="s">
        <v>50078</v>
      </c>
    </row>
    <row r="11285" spans="1:1">
      <c r="A11285" t="s">
        <v>41057</v>
      </c>
    </row>
    <row r="11286" spans="1:1">
      <c r="A11286" t="s">
        <v>41057</v>
      </c>
    </row>
    <row r="11287" spans="1:1">
      <c r="A11287" t="s">
        <v>41057</v>
      </c>
    </row>
    <row r="11288" spans="1:1">
      <c r="A11288" t="s">
        <v>50079</v>
      </c>
    </row>
    <row r="11289" spans="1:1">
      <c r="A11289" t="s">
        <v>50080</v>
      </c>
    </row>
    <row r="11290" spans="1:1">
      <c r="A11290" t="s">
        <v>50081</v>
      </c>
    </row>
    <row r="11291" spans="1:1">
      <c r="A11291" t="s">
        <v>50082</v>
      </c>
    </row>
    <row r="11292" spans="1:1">
      <c r="A11292" t="e" cm="1">
        <f t="array" ref="A11292">---DDNYMSERANAKL----------------------------------------CW-P</f>
        <v>#NAME?</v>
      </c>
    </row>
    <row r="11293" spans="1:1">
      <c r="A11293" t="s">
        <v>50083</v>
      </c>
    </row>
    <row r="11294" spans="1:1">
      <c r="A11294" t="e" cm="1">
        <f t="array" ref="A11294">-------------------------------------QRSKTEERNWSSSAYG-AQKFNF</f>
        <v>#NAME?</v>
      </c>
    </row>
    <row r="11295" spans="1:1">
      <c r="A11295" t="s">
        <v>50084</v>
      </c>
    </row>
    <row r="11296" spans="1:1">
      <c r="A11296" t="s">
        <v>50085</v>
      </c>
    </row>
    <row r="11297" spans="1:1">
      <c r="A11297" t="s">
        <v>41057</v>
      </c>
    </row>
    <row r="11298" spans="1:1">
      <c r="A11298" t="s">
        <v>41057</v>
      </c>
    </row>
    <row r="11299" spans="1:1">
      <c r="A11299" t="s">
        <v>50086</v>
      </c>
    </row>
    <row r="11300" spans="1:1">
      <c r="A11300" t="e" cm="1">
        <f t="array" ref="A11300">-------------------------LADEM-------IRMWHR----------------G</f>
        <v>#NAME?</v>
      </c>
    </row>
    <row r="11301" spans="1:1">
      <c r="A11301" t="s">
        <v>50087</v>
      </c>
    </row>
    <row r="11302" spans="1:1">
      <c r="A11302" t="s">
        <v>41057</v>
      </c>
    </row>
    <row r="11303" spans="1:1">
      <c r="A11303" t="s">
        <v>41057</v>
      </c>
    </row>
    <row r="11304" spans="1:1">
      <c r="A11304" t="e" cm="1">
        <f t="array" ref="A11304">-------------TYCNKDSY-----------------LP--------LKLMKKL-NTWL</f>
        <v>#NAME?</v>
      </c>
    </row>
    <row r="11305" spans="1:1">
      <c r="A11305" t="s">
        <v>50088</v>
      </c>
    </row>
    <row r="11306" spans="1:1">
      <c r="A11306" t="s">
        <v>50089</v>
      </c>
    </row>
    <row r="11307" spans="1:1">
      <c r="A11307" t="s">
        <v>41057</v>
      </c>
    </row>
    <row r="11308" spans="1:1">
      <c r="A11308" t="s">
        <v>50090</v>
      </c>
    </row>
    <row r="11309" spans="1:1">
      <c r="A11309" t="e" cm="1">
        <f t="array" ref="A11309">-----------KK-VA--------------------------------GATV-QNPMAGY</f>
        <v>#NAME?</v>
      </c>
    </row>
    <row r="11310" spans="1:1">
      <c r="A11310" t="s">
        <v>50091</v>
      </c>
    </row>
    <row r="11311" spans="1:1">
      <c r="A11311" t="s">
        <v>41057</v>
      </c>
    </row>
    <row r="11312" spans="1:1">
      <c r="A11312" t="s">
        <v>41057</v>
      </c>
    </row>
    <row r="11313" spans="1:1">
      <c r="A11313" t="s">
        <v>41057</v>
      </c>
    </row>
    <row r="11314" spans="1:1">
      <c r="A11314" t="s">
        <v>41057</v>
      </c>
    </row>
    <row r="11315" spans="1:1">
      <c r="A11315" t="s">
        <v>41057</v>
      </c>
    </row>
    <row r="11316" spans="1:1">
      <c r="A11316" t="s">
        <v>41057</v>
      </c>
    </row>
    <row r="11317" spans="1:1">
      <c r="A11317" t="s">
        <v>41057</v>
      </c>
    </row>
    <row r="11318" spans="1:1">
      <c r="A11318" t="s">
        <v>41057</v>
      </c>
    </row>
    <row r="11319" spans="1:1">
      <c r="A11319" t="s">
        <v>50092</v>
      </c>
    </row>
    <row r="11320" spans="1:1">
      <c r="A11320" t="s">
        <v>50093</v>
      </c>
    </row>
    <row r="11321" spans="1:1">
      <c r="A11321" t="s">
        <v>50094</v>
      </c>
    </row>
    <row r="11322" spans="1:1">
      <c r="A11322" t="s">
        <v>41057</v>
      </c>
    </row>
    <row r="11323" spans="1:1">
      <c r="A11323" t="s">
        <v>41057</v>
      </c>
    </row>
    <row r="11324" spans="1:1">
      <c r="A11324" t="s">
        <v>50095</v>
      </c>
    </row>
    <row r="11325" spans="1:1">
      <c r="A11325" t="s">
        <v>50096</v>
      </c>
    </row>
    <row r="11326" spans="1:1">
      <c r="A11326" t="s">
        <v>50097</v>
      </c>
    </row>
    <row r="11327" spans="1:1">
      <c r="A11327" t="s">
        <v>50098</v>
      </c>
    </row>
    <row r="11328" spans="1:1">
      <c r="A11328" t="s">
        <v>50099</v>
      </c>
    </row>
    <row r="11329" spans="1:1">
      <c r="A11329" t="s">
        <v>50100</v>
      </c>
    </row>
    <row r="11330" spans="1:1">
      <c r="A11330" t="s">
        <v>50101</v>
      </c>
    </row>
    <row r="11331" spans="1:1">
      <c r="A11331" t="s">
        <v>50102</v>
      </c>
    </row>
    <row r="11332" spans="1:1">
      <c r="A11332" t="s">
        <v>41057</v>
      </c>
    </row>
    <row r="11333" spans="1:1">
      <c r="A11333" t="s">
        <v>41057</v>
      </c>
    </row>
    <row r="11334" spans="1:1">
      <c r="A11334" t="s">
        <v>41057</v>
      </c>
    </row>
    <row r="11335" spans="1:1">
      <c r="A11335" t="s">
        <v>41057</v>
      </c>
    </row>
    <row r="11336" spans="1:1">
      <c r="A11336" t="s">
        <v>41057</v>
      </c>
    </row>
    <row r="11337" spans="1:1">
      <c r="A11337" t="s">
        <v>41057</v>
      </c>
    </row>
    <row r="11338" spans="1:1">
      <c r="A11338" t="s">
        <v>41057</v>
      </c>
    </row>
    <row r="11339" spans="1:1">
      <c r="A11339" t="s">
        <v>41057</v>
      </c>
    </row>
    <row r="11340" spans="1:1">
      <c r="A11340" t="s">
        <v>41057</v>
      </c>
    </row>
    <row r="11341" spans="1:1">
      <c r="A11341" t="e" cm="1">
        <f t="array" ref="A11341">--------------TSANSVSGNTPVPCMISGSFEYRTMEELACKWINDDNGNQVSRSEA</f>
        <v>#NAME?</v>
      </c>
    </row>
    <row r="11342" spans="1:1">
      <c r="A11342" t="s">
        <v>50103</v>
      </c>
    </row>
    <row r="11343" spans="1:1">
      <c r="A11343" t="s">
        <v>50104</v>
      </c>
    </row>
    <row r="11344" spans="1:1">
      <c r="A11344" t="s">
        <v>50105</v>
      </c>
    </row>
    <row r="11345" spans="1:1">
      <c r="A11345" t="s">
        <v>50106</v>
      </c>
    </row>
    <row r="11346" spans="1:1">
      <c r="A11346" t="s">
        <v>50107</v>
      </c>
    </row>
    <row r="11347" spans="1:1">
      <c r="A11347" t="s">
        <v>50108</v>
      </c>
    </row>
    <row r="11348" spans="1:1">
      <c r="A11348" t="s">
        <v>50109</v>
      </c>
    </row>
    <row r="11349" spans="1:1">
      <c r="A11349" t="s">
        <v>41057</v>
      </c>
    </row>
    <row r="11350" spans="1:1">
      <c r="A11350" t="s">
        <v>41057</v>
      </c>
    </row>
    <row r="11351" spans="1:1">
      <c r="A11351" t="s">
        <v>41057</v>
      </c>
    </row>
    <row r="11352" spans="1:1">
      <c r="A11352" t="e" cm="1">
        <f t="array" ref="A11352">-----------PDTVLVYGDSV------------TQDTPILLR----DPNGQVVIKQISL</f>
        <v>#NAME?</v>
      </c>
    </row>
    <row r="11353" spans="1:1">
      <c r="A11353" t="s">
        <v>50110</v>
      </c>
    </row>
    <row r="11354" spans="1:1">
      <c r="A11354" t="e" cm="1">
        <f t="array" ref="A11354">---------------------------------------------------------FIE</f>
        <v>#NAME?</v>
      </c>
    </row>
    <row r="11355" spans="1:1">
      <c r="A11355" t="s">
        <v>50111</v>
      </c>
    </row>
    <row r="11356" spans="1:1">
      <c r="A11356" t="s">
        <v>50112</v>
      </c>
    </row>
    <row r="11357" spans="1:1">
      <c r="A11357" t="s">
        <v>50113</v>
      </c>
    </row>
    <row r="11358" spans="1:1">
      <c r="A11358" t="e" cm="1">
        <f t="array" ref="A11358">------------------------------------------------------NKLEAA</f>
        <v>#NAME?</v>
      </c>
    </row>
    <row r="11359" spans="1:1">
      <c r="A11359" t="e" cm="1">
        <f t="array" ref="A11359">-------------------------------------------------------EEWLR</f>
        <v>#NAME?</v>
      </c>
    </row>
    <row r="11360" spans="1:1">
      <c r="A11360" t="s">
        <v>50114</v>
      </c>
    </row>
    <row r="11361" spans="1:1">
      <c r="A11361" t="s">
        <v>50115</v>
      </c>
    </row>
    <row r="11362" spans="1:1">
      <c r="A11362" t="s">
        <v>50116</v>
      </c>
    </row>
    <row r="11363" spans="1:1">
      <c r="A11363" t="s">
        <v>50117</v>
      </c>
    </row>
    <row r="11364" spans="1:1">
      <c r="A11364" t="e" cm="1">
        <f t="array" ref="A11364">-----------------SGRYQAGVG----D--IIV---------KNTDSC--------M</f>
        <v>#NAME?</v>
      </c>
    </row>
    <row r="11365" spans="1:1">
      <c r="A11365" t="s">
        <v>50118</v>
      </c>
    </row>
    <row r="11366" spans="1:1">
      <c r="A11366" t="s">
        <v>50119</v>
      </c>
    </row>
    <row r="11367" spans="1:1">
      <c r="A11367" t="e" cm="1">
        <f t="array" ref="A11367">---------------------------------------LEE----CFE----------I</f>
        <v>#NAME?</v>
      </c>
    </row>
    <row r="11368" spans="1:1">
      <c r="A11368" t="s">
        <v>50120</v>
      </c>
    </row>
    <row r="11369" spans="1:1">
      <c r="A11369" t="e" cm="1">
        <f t="array" ref="A11369">--------PM------YLELEK-IYSKYFL----------L-SKKRYVGYIVDRE----G</f>
        <v>#NAME?</v>
      </c>
    </row>
    <row r="11370" spans="1:1">
      <c r="A11370" t="s">
        <v>50121</v>
      </c>
    </row>
    <row r="11371" spans="1:1">
      <c r="A11371" t="s">
        <v>50122</v>
      </c>
    </row>
    <row r="11372" spans="1:1">
      <c r="A11372" t="s">
        <v>50123</v>
      </c>
    </row>
    <row r="11373" spans="1:1">
      <c r="A11373" t="s">
        <v>50124</v>
      </c>
    </row>
    <row r="11374" spans="1:1">
      <c r="A11374" t="s">
        <v>50125</v>
      </c>
    </row>
    <row r="11375" spans="1:1">
      <c r="A11375" t="s">
        <v>50126</v>
      </c>
    </row>
    <row r="11376" spans="1:1">
      <c r="A11376" t="s">
        <v>50127</v>
      </c>
    </row>
    <row r="11377" spans="1:1">
      <c r="A11377" t="s">
        <v>50128</v>
      </c>
    </row>
    <row r="11378" spans="1:1">
      <c r="A11378" t="s">
        <v>50129</v>
      </c>
    </row>
    <row r="11379" spans="1:1">
      <c r="A11379" t="s">
        <v>50130</v>
      </c>
    </row>
    <row r="11380" spans="1:1">
      <c r="A11380" t="s">
        <v>50131</v>
      </c>
    </row>
    <row r="11381" spans="1:1">
      <c r="A11381" t="s">
        <v>50132</v>
      </c>
    </row>
    <row r="11382" spans="1:1">
      <c r="A11382" t="s">
        <v>50133</v>
      </c>
    </row>
    <row r="11383" spans="1:1">
      <c r="A11383" t="s">
        <v>41057</v>
      </c>
    </row>
    <row r="11384" spans="1:1">
      <c r="A11384" t="s">
        <v>41057</v>
      </c>
    </row>
    <row r="11385" spans="1:1">
      <c r="A11385" t="s">
        <v>50134</v>
      </c>
    </row>
    <row r="11386" spans="1:1">
      <c r="A11386" t="s">
        <v>50135</v>
      </c>
    </row>
    <row r="11387" spans="1:1">
      <c r="A11387" t="s">
        <v>50136</v>
      </c>
    </row>
    <row r="11388" spans="1:1">
      <c r="A11388" t="s">
        <v>41057</v>
      </c>
    </row>
    <row r="11389" spans="1:1">
      <c r="A11389" t="s">
        <v>41057</v>
      </c>
    </row>
    <row r="11390" spans="1:1">
      <c r="A11390" t="s">
        <v>41057</v>
      </c>
    </row>
    <row r="11391" spans="1:1">
      <c r="A11391" t="s">
        <v>41057</v>
      </c>
    </row>
    <row r="11392" spans="1:1">
      <c r="A11392" t="s">
        <v>45870</v>
      </c>
    </row>
    <row r="11393" spans="1:1">
      <c r="A11393" t="s">
        <v>44523</v>
      </c>
    </row>
    <row r="11394" spans="1:1">
      <c r="A11394" t="s">
        <v>41057</v>
      </c>
    </row>
    <row r="11395" spans="1:1">
      <c r="A11395" t="s">
        <v>50137</v>
      </c>
    </row>
    <row r="11396" spans="1:1">
      <c r="A11396" t="s">
        <v>50138</v>
      </c>
    </row>
    <row r="11397" spans="1:1">
      <c r="A11397" t="s">
        <v>41057</v>
      </c>
    </row>
    <row r="11398" spans="1:1">
      <c r="A11398" t="s">
        <v>41057</v>
      </c>
    </row>
    <row r="11399" spans="1:1">
      <c r="A11399" t="s">
        <v>50139</v>
      </c>
    </row>
    <row r="11400" spans="1:1">
      <c r="A11400" t="s">
        <v>50067</v>
      </c>
    </row>
    <row r="11401" spans="1:1">
      <c r="A11401" t="s">
        <v>50140</v>
      </c>
    </row>
    <row r="11402" spans="1:1">
      <c r="A11402" t="e" cm="1">
        <f t="array" ref="A11402">----------------------------------------------------------EG</f>
        <v>#NAME?</v>
      </c>
    </row>
    <row r="11403" spans="1:1">
      <c r="A11403" t="s">
        <v>50141</v>
      </c>
    </row>
    <row r="11404" spans="1:1">
      <c r="A11404" t="s">
        <v>50070</v>
      </c>
    </row>
    <row r="11405" spans="1:1">
      <c r="A11405" t="s">
        <v>50142</v>
      </c>
    </row>
    <row r="11406" spans="1:1">
      <c r="A11406" t="s">
        <v>50072</v>
      </c>
    </row>
    <row r="11407" spans="1:1">
      <c r="A11407" t="s">
        <v>50143</v>
      </c>
    </row>
    <row r="11408" spans="1:1">
      <c r="A11408" t="s">
        <v>50144</v>
      </c>
    </row>
    <row r="11409" spans="1:1">
      <c r="A11409" t="s">
        <v>50145</v>
      </c>
    </row>
    <row r="11410" spans="1:1">
      <c r="A11410" t="s">
        <v>50146</v>
      </c>
    </row>
    <row r="11411" spans="1:1">
      <c r="A11411" t="s">
        <v>50077</v>
      </c>
    </row>
    <row r="11412" spans="1:1">
      <c r="A11412" t="s">
        <v>50147</v>
      </c>
    </row>
    <row r="11413" spans="1:1">
      <c r="A11413" t="s">
        <v>41057</v>
      </c>
    </row>
    <row r="11414" spans="1:1">
      <c r="A11414" t="s">
        <v>41057</v>
      </c>
    </row>
    <row r="11415" spans="1:1">
      <c r="A11415" t="s">
        <v>41057</v>
      </c>
    </row>
    <row r="11416" spans="1:1">
      <c r="A11416" t="s">
        <v>50148</v>
      </c>
    </row>
    <row r="11417" spans="1:1">
      <c r="A11417" t="s">
        <v>50149</v>
      </c>
    </row>
    <row r="11418" spans="1:1">
      <c r="A11418" t="s">
        <v>50150</v>
      </c>
    </row>
    <row r="11419" spans="1:1">
      <c r="A11419" t="s">
        <v>50151</v>
      </c>
    </row>
    <row r="11420" spans="1:1">
      <c r="A11420" t="e" cm="1">
        <f t="array" ref="A11420">---DDNYMSERANARL----------------------------------------CW-P</f>
        <v>#NAME?</v>
      </c>
    </row>
    <row r="11421" spans="1:1">
      <c r="A11421" t="s">
        <v>50083</v>
      </c>
    </row>
    <row r="11422" spans="1:1">
      <c r="A11422" t="e" cm="1">
        <f t="array" ref="A11422">-------------------------------------QRSKTEERRWSSSAYG-DQRFNF</f>
        <v>#NAME?</v>
      </c>
    </row>
    <row r="11423" spans="1:1">
      <c r="A11423" t="s">
        <v>50152</v>
      </c>
    </row>
    <row r="11424" spans="1:1">
      <c r="A11424" t="s">
        <v>50153</v>
      </c>
    </row>
    <row r="11425" spans="1:1">
      <c r="A11425" t="s">
        <v>41057</v>
      </c>
    </row>
    <row r="11426" spans="1:1">
      <c r="A11426" t="s">
        <v>41057</v>
      </c>
    </row>
    <row r="11427" spans="1:1">
      <c r="A11427" t="s">
        <v>48953</v>
      </c>
    </row>
    <row r="11428" spans="1:1">
      <c r="A11428" t="e" cm="1">
        <f t="array" ref="A11428">-------------------------PAKEM-------IQKWHR----------------G</f>
        <v>#NAME?</v>
      </c>
    </row>
    <row r="11429" spans="1:1">
      <c r="A11429" t="s">
        <v>50154</v>
      </c>
    </row>
    <row r="11430" spans="1:1">
      <c r="A11430" t="s">
        <v>41057</v>
      </c>
    </row>
    <row r="11431" spans="1:1">
      <c r="A11431" t="s">
        <v>41057</v>
      </c>
    </row>
    <row r="11432" spans="1:1">
      <c r="A11432" t="e" cm="1">
        <f t="array" ref="A11432">-------------TYCNKDTW-----------------LP--------LKLMKKL-NTWL</f>
        <v>#NAME?</v>
      </c>
    </row>
    <row r="11433" spans="1:1">
      <c r="A11433" t="s">
        <v>50155</v>
      </c>
    </row>
    <row r="11434" spans="1:1">
      <c r="A11434" t="s">
        <v>50156</v>
      </c>
    </row>
    <row r="11435" spans="1:1">
      <c r="A11435" t="s">
        <v>41057</v>
      </c>
    </row>
    <row r="11436" spans="1:1">
      <c r="A11436" t="s">
        <v>50157</v>
      </c>
    </row>
    <row r="11437" spans="1:1">
      <c r="A11437" t="e" cm="1">
        <f t="array" ref="A11437">-----------KK-LA--------------------------------GATV-QDPMTGY</f>
        <v>#NAME?</v>
      </c>
    </row>
    <row r="11438" spans="1:1">
      <c r="A11438" t="s">
        <v>50158</v>
      </c>
    </row>
    <row r="11439" spans="1:1">
      <c r="A11439" t="s">
        <v>50159</v>
      </c>
    </row>
    <row r="11440" spans="1:1">
      <c r="A11440" t="s">
        <v>50160</v>
      </c>
    </row>
    <row r="11441" spans="1:1">
      <c r="A11441" t="s">
        <v>50161</v>
      </c>
    </row>
    <row r="11442" spans="1:1">
      <c r="A11442" t="s">
        <v>50162</v>
      </c>
    </row>
    <row r="11443" spans="1:1">
      <c r="A11443" t="s">
        <v>50163</v>
      </c>
    </row>
    <row r="11444" spans="1:1">
      <c r="A11444" t="s">
        <v>50164</v>
      </c>
    </row>
    <row r="11445" spans="1:1">
      <c r="A11445" t="s">
        <v>50165</v>
      </c>
    </row>
    <row r="11446" spans="1:1">
      <c r="A11446" t="s">
        <v>50166</v>
      </c>
    </row>
    <row r="11447" spans="1:1">
      <c r="A11447" t="s">
        <v>50167</v>
      </c>
    </row>
    <row r="11448" spans="1:1">
      <c r="A11448" t="s">
        <v>50168</v>
      </c>
    </row>
    <row r="11449" spans="1:1">
      <c r="A11449" t="s">
        <v>50169</v>
      </c>
    </row>
    <row r="11450" spans="1:1">
      <c r="A11450" t="s">
        <v>41057</v>
      </c>
    </row>
    <row r="11451" spans="1:1">
      <c r="A11451" t="s">
        <v>41057</v>
      </c>
    </row>
    <row r="11452" spans="1:1">
      <c r="A11452" t="s">
        <v>50170</v>
      </c>
    </row>
    <row r="11453" spans="1:1">
      <c r="A11453" t="s">
        <v>50096</v>
      </c>
    </row>
    <row r="11454" spans="1:1">
      <c r="A11454" t="s">
        <v>50097</v>
      </c>
    </row>
    <row r="11455" spans="1:1">
      <c r="A11455" t="s">
        <v>50171</v>
      </c>
    </row>
    <row r="11456" spans="1:1">
      <c r="A11456" t="s">
        <v>50172</v>
      </c>
    </row>
    <row r="11457" spans="1:1">
      <c r="A11457" t="s">
        <v>50173</v>
      </c>
    </row>
    <row r="11458" spans="1:1">
      <c r="A11458" t="s">
        <v>50174</v>
      </c>
    </row>
    <row r="11459" spans="1:1">
      <c r="A11459" t="s">
        <v>50102</v>
      </c>
    </row>
    <row r="11460" spans="1:1">
      <c r="A11460" t="s">
        <v>41057</v>
      </c>
    </row>
    <row r="11461" spans="1:1">
      <c r="A11461" t="s">
        <v>41057</v>
      </c>
    </row>
    <row r="11462" spans="1:1">
      <c r="A11462" t="s">
        <v>41057</v>
      </c>
    </row>
    <row r="11463" spans="1:1">
      <c r="A11463" t="s">
        <v>41057</v>
      </c>
    </row>
    <row r="11464" spans="1:1">
      <c r="A11464" t="s">
        <v>41057</v>
      </c>
    </row>
    <row r="11465" spans="1:1">
      <c r="A11465" t="s">
        <v>41057</v>
      </c>
    </row>
    <row r="11466" spans="1:1">
      <c r="A11466" t="s">
        <v>41057</v>
      </c>
    </row>
    <row r="11467" spans="1:1">
      <c r="A11467" t="s">
        <v>41057</v>
      </c>
    </row>
    <row r="11468" spans="1:1">
      <c r="A11468" t="s">
        <v>41057</v>
      </c>
    </row>
    <row r="11469" spans="1:1">
      <c r="A11469" t="s">
        <v>50175</v>
      </c>
    </row>
    <row r="11470" spans="1:1">
      <c r="A11470" t="s">
        <v>41057</v>
      </c>
    </row>
    <row r="11471" spans="1:1">
      <c r="A11471" t="s">
        <v>41057</v>
      </c>
    </row>
    <row r="11472" spans="1:1">
      <c r="A11472" t="s">
        <v>41057</v>
      </c>
    </row>
    <row r="11473" spans="1:1">
      <c r="A11473" t="s">
        <v>41057</v>
      </c>
    </row>
    <row r="11474" spans="1:1">
      <c r="A11474" t="s">
        <v>41057</v>
      </c>
    </row>
    <row r="11475" spans="1:1">
      <c r="A11475" t="s">
        <v>50176</v>
      </c>
    </row>
    <row r="11476" spans="1:1">
      <c r="A11476" t="s">
        <v>50177</v>
      </c>
    </row>
    <row r="11477" spans="1:1">
      <c r="A11477" t="s">
        <v>41057</v>
      </c>
    </row>
    <row r="11478" spans="1:1">
      <c r="A11478" t="s">
        <v>41057</v>
      </c>
    </row>
    <row r="11479" spans="1:1">
      <c r="A11479" t="s">
        <v>41057</v>
      </c>
    </row>
    <row r="11480" spans="1:1">
      <c r="A11480" t="e" cm="1">
        <f t="array" ref="A11480">-----------PDTILVYGDSV------------TQDTPVLLR----NPAGQVTIQQISL</f>
        <v>#NAME?</v>
      </c>
    </row>
    <row r="11481" spans="1:1">
      <c r="A11481" t="s">
        <v>50178</v>
      </c>
    </row>
    <row r="11482" spans="1:1">
      <c r="A11482" t="e" cm="1">
        <f t="array" ref="A11482">---------------------------------------------------------FTE</f>
        <v>#NAME?</v>
      </c>
    </row>
    <row r="11483" spans="1:1">
      <c r="A11483" t="s">
        <v>50179</v>
      </c>
    </row>
    <row r="11484" spans="1:1">
      <c r="A11484" t="s">
        <v>50180</v>
      </c>
    </row>
    <row r="11485" spans="1:1">
      <c r="A11485" t="s">
        <v>50181</v>
      </c>
    </row>
    <row r="11486" spans="1:1">
      <c r="A11486" t="e" cm="1">
        <f t="array" ref="A11486">------------------------------------------------------NKLDAA</f>
        <v>#NAME?</v>
      </c>
    </row>
    <row r="11487" spans="1:1">
      <c r="A11487" t="e" cm="1">
        <f t="array" ref="A11487">-------------------------------------------------------EEWLR</f>
        <v>#NAME?</v>
      </c>
    </row>
    <row r="11488" spans="1:1">
      <c r="A11488" t="s">
        <v>50182</v>
      </c>
    </row>
    <row r="11489" spans="1:1">
      <c r="A11489" t="s">
        <v>50183</v>
      </c>
    </row>
    <row r="11490" spans="1:1">
      <c r="A11490" t="s">
        <v>50184</v>
      </c>
    </row>
    <row r="11491" spans="1:1">
      <c r="A11491" t="s">
        <v>50117</v>
      </c>
    </row>
    <row r="11492" spans="1:1">
      <c r="A11492" t="e" cm="1">
        <f t="array" ref="A11492">-----------------SGRFQAGIG----E--MIV---------KNTDSC--------M</f>
        <v>#NAME?</v>
      </c>
    </row>
    <row r="11493" spans="1:1">
      <c r="A11493" t="s">
        <v>50118</v>
      </c>
    </row>
    <row r="11494" spans="1:1">
      <c r="A11494" t="s">
        <v>50185</v>
      </c>
    </row>
    <row r="11495" spans="1:1">
      <c r="A11495" t="e" cm="1">
        <f t="array" ref="A11495">---------------------------------------LKE----CFE----------L</f>
        <v>#NAME?</v>
      </c>
    </row>
    <row r="11496" spans="1:1">
      <c r="A11496" t="s">
        <v>50186</v>
      </c>
    </row>
    <row r="11497" spans="1:1">
      <c r="A11497" t="e" cm="1">
        <f t="array" ref="A11497">--------PM------YLELEK-IYSKYFL----------L-SKKRYVGYIVDLE----G</f>
        <v>#NAME?</v>
      </c>
    </row>
    <row r="11498" spans="1:1">
      <c r="A11498" t="s">
        <v>50187</v>
      </c>
    </row>
    <row r="11499" spans="1:1">
      <c r="A11499" t="s">
        <v>50188</v>
      </c>
    </row>
    <row r="11500" spans="1:1">
      <c r="A11500" t="s">
        <v>50189</v>
      </c>
    </row>
    <row r="11501" spans="1:1">
      <c r="A11501" t="s">
        <v>50190</v>
      </c>
    </row>
    <row r="11502" spans="1:1">
      <c r="A11502" t="s">
        <v>50191</v>
      </c>
    </row>
    <row r="11503" spans="1:1">
      <c r="A11503" t="s">
        <v>50192</v>
      </c>
    </row>
    <row r="11504" spans="1:1">
      <c r="A11504" t="s">
        <v>50193</v>
      </c>
    </row>
    <row r="11505" spans="1:1">
      <c r="A11505" t="s">
        <v>50194</v>
      </c>
    </row>
    <row r="11506" spans="1:1">
      <c r="A11506" t="s">
        <v>50195</v>
      </c>
    </row>
    <row r="11507" spans="1:1">
      <c r="A11507" t="s">
        <v>50196</v>
      </c>
    </row>
    <row r="11508" spans="1:1">
      <c r="A11508" t="s">
        <v>50197</v>
      </c>
    </row>
    <row r="11509" spans="1:1">
      <c r="A11509" t="s">
        <v>49990</v>
      </c>
    </row>
    <row r="11510" spans="1:1">
      <c r="A11510" t="s">
        <v>50198</v>
      </c>
    </row>
    <row r="11511" spans="1:1">
      <c r="A11511" t="s">
        <v>41057</v>
      </c>
    </row>
    <row r="11512" spans="1:1">
      <c r="A11512" t="s">
        <v>41057</v>
      </c>
    </row>
    <row r="11513" spans="1:1">
      <c r="A11513" t="s">
        <v>50199</v>
      </c>
    </row>
    <row r="11514" spans="1:1">
      <c r="A11514" t="s">
        <v>50200</v>
      </c>
    </row>
    <row r="11515" spans="1:1">
      <c r="A11515" t="s">
        <v>50201</v>
      </c>
    </row>
    <row r="11516" spans="1:1">
      <c r="A11516" t="s">
        <v>41057</v>
      </c>
    </row>
    <row r="11517" spans="1:1">
      <c r="A11517" t="s">
        <v>41057</v>
      </c>
    </row>
    <row r="11518" spans="1:1">
      <c r="A11518" t="s">
        <v>41057</v>
      </c>
    </row>
    <row r="11519" spans="1:1">
      <c r="A11519" t="s">
        <v>41057</v>
      </c>
    </row>
    <row r="11520" spans="1:1">
      <c r="A11520" t="s">
        <v>45870</v>
      </c>
    </row>
    <row r="11521" spans="1:1">
      <c r="A11521" t="s">
        <v>44859</v>
      </c>
    </row>
    <row r="11522" spans="1:1">
      <c r="A11522" t="s">
        <v>41057</v>
      </c>
    </row>
    <row r="11523" spans="1:1">
      <c r="A11523" t="s">
        <v>41057</v>
      </c>
    </row>
    <row r="11524" spans="1:1">
      <c r="A11524" t="s">
        <v>41057</v>
      </c>
    </row>
    <row r="11525" spans="1:1">
      <c r="A11525" t="s">
        <v>41057</v>
      </c>
    </row>
    <row r="11526" spans="1:1">
      <c r="A11526" t="s">
        <v>50202</v>
      </c>
    </row>
    <row r="11527" spans="1:1">
      <c r="A11527" t="s">
        <v>50203</v>
      </c>
    </row>
    <row r="11528" spans="1:1">
      <c r="A11528" t="s">
        <v>50204</v>
      </c>
    </row>
    <row r="11529" spans="1:1">
      <c r="A11529" t="s">
        <v>41057</v>
      </c>
    </row>
    <row r="11530" spans="1:1">
      <c r="A11530" t="e" cm="1">
        <f t="array" ref="A11530">----------------------------------------------------------EK</f>
        <v>#NAME?</v>
      </c>
    </row>
    <row r="11531" spans="1:1">
      <c r="A11531" t="s">
        <v>50205</v>
      </c>
    </row>
    <row r="11532" spans="1:1">
      <c r="A11532" t="e" cm="1">
        <f t="array" ref="A11532">--------TPYG---YLQV--P----------------------------NRR-----DV</f>
        <v>#NAME?</v>
      </c>
    </row>
    <row r="11533" spans="1:1">
      <c r="A11533" t="s">
        <v>50206</v>
      </c>
    </row>
    <row r="11534" spans="1:1">
      <c r="A11534" t="s">
        <v>50207</v>
      </c>
    </row>
    <row r="11535" spans="1:1">
      <c r="A11535" t="s">
        <v>50208</v>
      </c>
    </row>
    <row r="11536" spans="1:1">
      <c r="A11536" t="s">
        <v>50209</v>
      </c>
    </row>
    <row r="11537" spans="1:1">
      <c r="A11537" t="s">
        <v>50210</v>
      </c>
    </row>
    <row r="11538" spans="1:1">
      <c r="A11538" t="s">
        <v>50211</v>
      </c>
    </row>
    <row r="11539" spans="1:1">
      <c r="A11539" t="s">
        <v>50212</v>
      </c>
    </row>
    <row r="11540" spans="1:1">
      <c r="A11540" t="s">
        <v>50213</v>
      </c>
    </row>
    <row r="11541" spans="1:1">
      <c r="A11541" t="s">
        <v>41057</v>
      </c>
    </row>
    <row r="11542" spans="1:1">
      <c r="A11542" t="s">
        <v>41057</v>
      </c>
    </row>
    <row r="11543" spans="1:1">
      <c r="A11543" t="s">
        <v>41057</v>
      </c>
    </row>
    <row r="11544" spans="1:1">
      <c r="A11544" t="s">
        <v>50214</v>
      </c>
    </row>
    <row r="11545" spans="1:1">
      <c r="A11545" t="s">
        <v>50215</v>
      </c>
    </row>
    <row r="11546" spans="1:1">
      <c r="A11546" t="s">
        <v>45438</v>
      </c>
    </row>
    <row r="11547" spans="1:1">
      <c r="A11547" t="s">
        <v>50216</v>
      </c>
    </row>
    <row r="11548" spans="1:1">
      <c r="A11548" t="e" cm="1">
        <f t="array" ref="A11548">---DWDYMTARAE----AGKYL-------------------------------------T</f>
        <v>#NAME?</v>
      </c>
    </row>
    <row r="11549" spans="1:1">
      <c r="A11549" t="s">
        <v>50217</v>
      </c>
    </row>
    <row r="11550" spans="1:1">
      <c r="A11550" t="e" cm="1">
        <f t="array" ref="A11550">-------------------------------------RKARVVSKTWKSSAYG-EQVYNY</f>
        <v>#NAME?</v>
      </c>
    </row>
    <row r="11551" spans="1:1">
      <c r="A11551" t="s">
        <v>50218</v>
      </c>
    </row>
    <row r="11552" spans="1:1">
      <c r="A11552" t="s">
        <v>50219</v>
      </c>
    </row>
    <row r="11553" spans="1:1">
      <c r="A11553" t="s">
        <v>41057</v>
      </c>
    </row>
    <row r="11554" spans="1:1">
      <c r="A11554" t="s">
        <v>41057</v>
      </c>
    </row>
    <row r="11555" spans="1:1">
      <c r="A11555" t="s">
        <v>50220</v>
      </c>
    </row>
    <row r="11556" spans="1:1">
      <c r="A11556" t="e" cm="1">
        <f t="array" ref="A11556">-------------------------SPKQL-------FMFFQL----------------S</f>
        <v>#NAME?</v>
      </c>
    </row>
    <row r="11557" spans="1:1">
      <c r="A11557" t="s">
        <v>50221</v>
      </c>
    </row>
    <row r="11558" spans="1:1">
      <c r="A11558" t="s">
        <v>50222</v>
      </c>
    </row>
    <row r="11559" spans="1:1">
      <c r="A11559" t="e" cm="1">
        <f t="array" ref="A11559">-----------------KMLIECSDE--K-----------------------WFQNVRKL</f>
        <v>#NAME?</v>
      </c>
    </row>
    <row r="11560" spans="1:1">
      <c r="A11560" t="s">
        <v>50223</v>
      </c>
    </row>
    <row r="11561" spans="1:1">
      <c r="A11561" t="s">
        <v>50224</v>
      </c>
    </row>
    <row r="11562" spans="1:1">
      <c r="A11562" t="s">
        <v>50225</v>
      </c>
    </row>
    <row r="11563" spans="1:1">
      <c r="A11563" t="s">
        <v>41057</v>
      </c>
    </row>
    <row r="11564" spans="1:1">
      <c r="A11564" t="s">
        <v>41057</v>
      </c>
    </row>
    <row r="11565" spans="1:1">
      <c r="A11565" t="e" cm="1">
        <f t="array" ref="A11565">-----------TE-YQ--------------------------------GAVV-FEVNPGY</f>
        <v>#NAME?</v>
      </c>
    </row>
    <row r="11566" spans="1:1">
      <c r="A11566" t="s">
        <v>50226</v>
      </c>
    </row>
    <row r="11567" spans="1:1">
      <c r="A11567" t="s">
        <v>41057</v>
      </c>
    </row>
    <row r="11568" spans="1:1">
      <c r="A11568" t="s">
        <v>41057</v>
      </c>
    </row>
    <row r="11569" spans="1:1">
      <c r="A11569" t="s">
        <v>41057</v>
      </c>
    </row>
    <row r="11570" spans="1:1">
      <c r="A11570" t="s">
        <v>41057</v>
      </c>
    </row>
    <row r="11571" spans="1:1">
      <c r="A11571" t="s">
        <v>41057</v>
      </c>
    </row>
    <row r="11572" spans="1:1">
      <c r="A11572" t="s">
        <v>41057</v>
      </c>
    </row>
    <row r="11573" spans="1:1">
      <c r="A11573" t="s">
        <v>41057</v>
      </c>
    </row>
    <row r="11574" spans="1:1">
      <c r="A11574" t="s">
        <v>41057</v>
      </c>
    </row>
    <row r="11575" spans="1:1">
      <c r="A11575" t="s">
        <v>50227</v>
      </c>
    </row>
    <row r="11576" spans="1:1">
      <c r="A11576" t="s">
        <v>50228</v>
      </c>
    </row>
    <row r="11577" spans="1:1">
      <c r="A11577" t="s">
        <v>50229</v>
      </c>
    </row>
    <row r="11578" spans="1:1">
      <c r="A11578" t="s">
        <v>41057</v>
      </c>
    </row>
    <row r="11579" spans="1:1">
      <c r="A11579" t="s">
        <v>41057</v>
      </c>
    </row>
    <row r="11580" spans="1:1">
      <c r="A11580" t="s">
        <v>50230</v>
      </c>
    </row>
    <row r="11581" spans="1:1">
      <c r="A11581" t="s">
        <v>41057</v>
      </c>
    </row>
    <row r="11582" spans="1:1">
      <c r="A11582" t="s">
        <v>50231</v>
      </c>
    </row>
    <row r="11583" spans="1:1">
      <c r="A11583" t="s">
        <v>50232</v>
      </c>
    </row>
    <row r="11584" spans="1:1">
      <c r="A11584" t="s">
        <v>50233</v>
      </c>
    </row>
    <row r="11585" spans="1:1">
      <c r="A11585" t="s">
        <v>50234</v>
      </c>
    </row>
    <row r="11586" spans="1:1">
      <c r="A11586" t="s">
        <v>50235</v>
      </c>
    </row>
    <row r="11587" spans="1:1">
      <c r="A11587" t="s">
        <v>50236</v>
      </c>
    </row>
    <row r="11588" spans="1:1">
      <c r="A11588" t="s">
        <v>41057</v>
      </c>
    </row>
    <row r="11589" spans="1:1">
      <c r="A11589" t="s">
        <v>41057</v>
      </c>
    </row>
    <row r="11590" spans="1:1">
      <c r="A11590" t="s">
        <v>41057</v>
      </c>
    </row>
    <row r="11591" spans="1:1">
      <c r="A11591" t="s">
        <v>41057</v>
      </c>
    </row>
    <row r="11592" spans="1:1">
      <c r="A11592" t="s">
        <v>41057</v>
      </c>
    </row>
    <row r="11593" spans="1:1">
      <c r="A11593" t="s">
        <v>41057</v>
      </c>
    </row>
    <row r="11594" spans="1:1">
      <c r="A11594" t="s">
        <v>41057</v>
      </c>
    </row>
    <row r="11595" spans="1:1">
      <c r="A11595" t="s">
        <v>41057</v>
      </c>
    </row>
    <row r="11596" spans="1:1">
      <c r="A11596" t="s">
        <v>41057</v>
      </c>
    </row>
    <row r="11597" spans="1:1">
      <c r="A11597" t="s">
        <v>50237</v>
      </c>
    </row>
    <row r="11598" spans="1:1">
      <c r="A11598" t="s">
        <v>41057</v>
      </c>
    </row>
    <row r="11599" spans="1:1">
      <c r="A11599" t="s">
        <v>41057</v>
      </c>
    </row>
    <row r="11600" spans="1:1">
      <c r="A11600" t="s">
        <v>41057</v>
      </c>
    </row>
    <row r="11601" spans="1:1">
      <c r="A11601" t="s">
        <v>41057</v>
      </c>
    </row>
    <row r="11602" spans="1:1">
      <c r="A11602" t="s">
        <v>41057</v>
      </c>
    </row>
    <row r="11603" spans="1:1">
      <c r="A11603" t="s">
        <v>50238</v>
      </c>
    </row>
    <row r="11604" spans="1:1">
      <c r="A11604" t="s">
        <v>50239</v>
      </c>
    </row>
    <row r="11605" spans="1:1">
      <c r="A11605" t="s">
        <v>41057</v>
      </c>
    </row>
    <row r="11606" spans="1:1">
      <c r="A11606" t="s">
        <v>41057</v>
      </c>
    </row>
    <row r="11607" spans="1:1">
      <c r="A11607" t="s">
        <v>41057</v>
      </c>
    </row>
    <row r="11608" spans="1:1">
      <c r="A11608" t="e" cm="1">
        <f t="array" ref="A11608">-------------SKLVYGDSV------------PGYTPVVIQ----DHDGSARIMRISD</f>
        <v>#NAME?</v>
      </c>
    </row>
    <row r="11609" spans="1:1">
      <c r="A11609" t="s">
        <v>50240</v>
      </c>
    </row>
    <row r="11610" spans="1:1">
      <c r="A11610" t="s">
        <v>41057</v>
      </c>
    </row>
    <row r="11611" spans="1:1">
      <c r="A11611" t="s">
        <v>41057</v>
      </c>
    </row>
    <row r="11612" spans="1:1">
      <c r="A11612" t="s">
        <v>50241</v>
      </c>
    </row>
    <row r="11613" spans="1:1">
      <c r="A11613" t="s">
        <v>41057</v>
      </c>
    </row>
    <row r="11614" spans="1:1">
      <c r="A11614" t="s">
        <v>41057</v>
      </c>
    </row>
    <row r="11615" spans="1:1">
      <c r="A11615" t="s">
        <v>41057</v>
      </c>
    </row>
    <row r="11616" spans="1:1">
      <c r="A11616" t="s">
        <v>41057</v>
      </c>
    </row>
    <row r="11617" spans="1:1">
      <c r="A11617" t="s">
        <v>41057</v>
      </c>
    </row>
    <row r="11618" spans="1:1">
      <c r="A11618" t="s">
        <v>41057</v>
      </c>
    </row>
    <row r="11619" spans="1:1">
      <c r="A11619" t="s">
        <v>45855</v>
      </c>
    </row>
    <row r="11620" spans="1:1">
      <c r="A11620" t="s">
        <v>50242</v>
      </c>
    </row>
    <row r="11621" spans="1:1">
      <c r="A11621" t="s">
        <v>41057</v>
      </c>
    </row>
    <row r="11622" spans="1:1">
      <c r="A11622" t="s">
        <v>41057</v>
      </c>
    </row>
    <row r="11623" spans="1:1">
      <c r="A11623" t="s">
        <v>41057</v>
      </c>
    </row>
    <row r="11624" spans="1:1">
      <c r="A11624" t="s">
        <v>41057</v>
      </c>
    </row>
    <row r="11625" spans="1:1">
      <c r="A11625" t="e" cm="1">
        <f t="array" ref="A11625">--------PD-------------------------------------------------G</f>
        <v>#NAME?</v>
      </c>
    </row>
    <row r="11626" spans="1:1">
      <c r="A11626" t="s">
        <v>41057</v>
      </c>
    </row>
    <row r="11627" spans="1:1">
      <c r="A11627" t="s">
        <v>50243</v>
      </c>
    </row>
    <row r="11628" spans="1:1">
      <c r="A11628" t="s">
        <v>41057</v>
      </c>
    </row>
    <row r="11629" spans="1:1">
      <c r="A11629" t="s">
        <v>41057</v>
      </c>
    </row>
    <row r="11630" spans="1:1">
      <c r="A11630" t="s">
        <v>50244</v>
      </c>
    </row>
    <row r="11631" spans="1:1">
      <c r="A11631" t="s">
        <v>50245</v>
      </c>
    </row>
    <row r="11632" spans="1:1">
      <c r="A11632" t="s">
        <v>50246</v>
      </c>
    </row>
    <row r="11633" spans="1:1">
      <c r="A11633" t="s">
        <v>41057</v>
      </c>
    </row>
    <row r="11634" spans="1:1">
      <c r="A11634" t="s">
        <v>41057</v>
      </c>
    </row>
    <row r="11635" spans="1:1">
      <c r="A11635" t="s">
        <v>41057</v>
      </c>
    </row>
    <row r="11636" spans="1:1">
      <c r="A11636" t="s">
        <v>41057</v>
      </c>
    </row>
    <row r="11637" spans="1:1">
      <c r="A11637" t="s">
        <v>41057</v>
      </c>
    </row>
    <row r="11638" spans="1:1">
      <c r="A11638" t="s">
        <v>41057</v>
      </c>
    </row>
    <row r="11639" spans="1:1">
      <c r="A11639" t="s">
        <v>41057</v>
      </c>
    </row>
    <row r="11640" spans="1:1">
      <c r="A11640" t="s">
        <v>41057</v>
      </c>
    </row>
    <row r="11641" spans="1:1">
      <c r="A11641" t="s">
        <v>41057</v>
      </c>
    </row>
    <row r="11642" spans="1:1">
      <c r="A11642" t="s">
        <v>41057</v>
      </c>
    </row>
    <row r="11643" spans="1:1">
      <c r="A11643" t="s">
        <v>41057</v>
      </c>
    </row>
    <row r="11644" spans="1:1">
      <c r="A11644" t="s">
        <v>41057</v>
      </c>
    </row>
    <row r="11645" spans="1:1">
      <c r="A11645" t="s">
        <v>41057</v>
      </c>
    </row>
    <row r="11646" spans="1:1">
      <c r="A11646" t="s">
        <v>41057</v>
      </c>
    </row>
    <row r="11647" spans="1:1">
      <c r="A11647" t="s">
        <v>41057</v>
      </c>
    </row>
    <row r="11648" spans="1:1">
      <c r="A11648" t="s">
        <v>45870</v>
      </c>
    </row>
    <row r="11649" spans="1:1">
      <c r="A11649" t="s">
        <v>43642</v>
      </c>
    </row>
    <row r="11650" spans="1:1">
      <c r="A11650" t="s">
        <v>41057</v>
      </c>
    </row>
    <row r="11651" spans="1:1">
      <c r="A11651" t="s">
        <v>41057</v>
      </c>
    </row>
    <row r="11652" spans="1:1">
      <c r="A11652" t="s">
        <v>50247</v>
      </c>
    </row>
    <row r="11653" spans="1:1">
      <c r="A11653" t="s">
        <v>41057</v>
      </c>
    </row>
    <row r="11654" spans="1:1">
      <c r="A11654" t="s">
        <v>41057</v>
      </c>
    </row>
    <row r="11655" spans="1:1">
      <c r="A11655" t="s">
        <v>50248</v>
      </c>
    </row>
    <row r="11656" spans="1:1">
      <c r="A11656" t="s">
        <v>41057</v>
      </c>
    </row>
    <row r="11657" spans="1:1">
      <c r="A11657" t="s">
        <v>41057</v>
      </c>
    </row>
    <row r="11658" spans="1:1">
      <c r="A11658" t="e" cm="1">
        <f t="array" ref="A11658">----------------------------------------------------------NK</f>
        <v>#NAME?</v>
      </c>
    </row>
    <row r="11659" spans="1:1">
      <c r="A11659" t="s">
        <v>50249</v>
      </c>
    </row>
    <row r="11660" spans="1:1">
      <c r="A11660" t="s">
        <v>50250</v>
      </c>
    </row>
    <row r="11661" spans="1:1">
      <c r="A11661" t="s">
        <v>41057</v>
      </c>
    </row>
    <row r="11662" spans="1:1">
      <c r="A11662" t="s">
        <v>50251</v>
      </c>
    </row>
    <row r="11663" spans="1:1">
      <c r="A11663" t="s">
        <v>50252</v>
      </c>
    </row>
    <row r="11664" spans="1:1">
      <c r="A11664" t="s">
        <v>50253</v>
      </c>
    </row>
    <row r="11665" spans="1:1">
      <c r="A11665" t="s">
        <v>50254</v>
      </c>
    </row>
    <row r="11666" spans="1:1">
      <c r="A11666" t="e" cm="1">
        <f t="array" ref="A11666">-------DIRKVME-G----------K------------------NIT-PSII---YGDS</f>
        <v>#NAME?</v>
      </c>
    </row>
    <row r="11667" spans="1:1">
      <c r="A11667" t="s">
        <v>50255</v>
      </c>
    </row>
    <row r="11668" spans="1:1">
      <c r="A11668" t="s">
        <v>50256</v>
      </c>
    </row>
    <row r="11669" spans="1:1">
      <c r="A11669" t="s">
        <v>41057</v>
      </c>
    </row>
    <row r="11670" spans="1:1">
      <c r="A11670" t="s">
        <v>41057</v>
      </c>
    </row>
    <row r="11671" spans="1:1">
      <c r="A11671" t="s">
        <v>50257</v>
      </c>
    </row>
    <row r="11672" spans="1:1">
      <c r="A11672" t="s">
        <v>50258</v>
      </c>
    </row>
    <row r="11673" spans="1:1">
      <c r="A11673" t="s">
        <v>50259</v>
      </c>
    </row>
    <row r="11674" spans="1:1">
      <c r="A11674" t="s">
        <v>45438</v>
      </c>
    </row>
    <row r="11675" spans="1:1">
      <c r="A11675" t="s">
        <v>50260</v>
      </c>
    </row>
    <row r="11676" spans="1:1">
      <c r="A11676" t="s">
        <v>50261</v>
      </c>
    </row>
    <row r="11677" spans="1:1">
      <c r="A11677" t="s">
        <v>50262</v>
      </c>
    </row>
    <row r="11678" spans="1:1">
      <c r="A11678" t="e" cm="1">
        <f t="array" ref="A11678">-----------------------------------------------------------Y</f>
        <v>#NAME?</v>
      </c>
    </row>
    <row r="11679" spans="1:1">
      <c r="A11679" t="s">
        <v>50263</v>
      </c>
    </row>
    <row r="11680" spans="1:1">
      <c r="A11680" t="s">
        <v>50264</v>
      </c>
    </row>
    <row r="11681" spans="1:1">
      <c r="A11681" t="s">
        <v>50265</v>
      </c>
    </row>
    <row r="11682" spans="1:1">
      <c r="A11682" t="s">
        <v>50266</v>
      </c>
    </row>
    <row r="11683" spans="1:1">
      <c r="A11683" t="s">
        <v>50267</v>
      </c>
    </row>
    <row r="11684" spans="1:1">
      <c r="A11684" t="e" cm="1">
        <f t="array" ref="A11684">-----------------------------------------------------------D</f>
        <v>#NAME?</v>
      </c>
    </row>
    <row r="11685" spans="1:1">
      <c r="A11685" t="s">
        <v>50268</v>
      </c>
    </row>
    <row r="11686" spans="1:1">
      <c r="A11686" t="s">
        <v>41057</v>
      </c>
    </row>
    <row r="11687" spans="1:1">
      <c r="A11687" t="s">
        <v>45447</v>
      </c>
    </row>
    <row r="11688" spans="1:1">
      <c r="A11688" t="e" cm="1">
        <f t="array" ref="A11688">--YT----------WCINEKNYVVSNNVNSESWQYHKLVL--------NKILNKLPNNIR</f>
        <v>#NAME?</v>
      </c>
    </row>
    <row r="11689" spans="1:1">
      <c r="A11689" t="s">
        <v>50269</v>
      </c>
    </row>
    <row r="11690" spans="1:1">
      <c r="A11690" t="s">
        <v>41057</v>
      </c>
    </row>
    <row r="11691" spans="1:1">
      <c r="A11691" t="s">
        <v>50270</v>
      </c>
    </row>
    <row r="11692" spans="1:1">
      <c r="A11692" t="s">
        <v>41057</v>
      </c>
    </row>
    <row r="11693" spans="1:1">
      <c r="A11693" t="e" cm="1">
        <f t="array" ref="A11693">-----------TN-TS--------------------------------GT-------RGV</f>
        <v>#NAME?</v>
      </c>
    </row>
    <row r="11694" spans="1:1">
      <c r="A11694" t="s">
        <v>50271</v>
      </c>
    </row>
    <row r="11695" spans="1:1">
      <c r="A11695" t="s">
        <v>41057</v>
      </c>
    </row>
    <row r="11696" spans="1:1">
      <c r="A11696" t="s">
        <v>41057</v>
      </c>
    </row>
    <row r="11697" spans="1:1">
      <c r="A11697" t="s">
        <v>41057</v>
      </c>
    </row>
    <row r="11698" spans="1:1">
      <c r="A11698" t="s">
        <v>41057</v>
      </c>
    </row>
    <row r="11699" spans="1:1">
      <c r="A11699" t="s">
        <v>41057</v>
      </c>
    </row>
    <row r="11700" spans="1:1">
      <c r="A11700" t="s">
        <v>41057</v>
      </c>
    </row>
    <row r="11701" spans="1:1">
      <c r="A11701" t="s">
        <v>41057</v>
      </c>
    </row>
    <row r="11702" spans="1:1">
      <c r="A11702" t="s">
        <v>41057</v>
      </c>
    </row>
    <row r="11703" spans="1:1">
      <c r="A11703" t="s">
        <v>41057</v>
      </c>
    </row>
    <row r="11704" spans="1:1">
      <c r="A11704" t="s">
        <v>50272</v>
      </c>
    </row>
    <row r="11705" spans="1:1">
      <c r="A11705" t="s">
        <v>41057</v>
      </c>
    </row>
    <row r="11706" spans="1:1">
      <c r="A11706" t="s">
        <v>41057</v>
      </c>
    </row>
    <row r="11707" spans="1:1">
      <c r="A11707" t="s">
        <v>41057</v>
      </c>
    </row>
    <row r="11708" spans="1:1">
      <c r="A11708" t="s">
        <v>50273</v>
      </c>
    </row>
    <row r="11709" spans="1:1">
      <c r="A11709" t="s">
        <v>41057</v>
      </c>
    </row>
    <row r="11710" spans="1:1">
      <c r="A11710" t="s">
        <v>50274</v>
      </c>
    </row>
    <row r="11711" spans="1:1">
      <c r="A11711" t="s">
        <v>41057</v>
      </c>
    </row>
    <row r="11712" spans="1:1">
      <c r="A11712" t="s">
        <v>50275</v>
      </c>
    </row>
    <row r="11713" spans="1:1">
      <c r="A11713" t="e" cm="1">
        <f t="array" ref="A11713">---QIMETYFN-------------------------------------------DERKKL</f>
        <v>#NAME?</v>
      </c>
    </row>
    <row r="11714" spans="1:1">
      <c r="A11714" t="s">
        <v>50276</v>
      </c>
    </row>
    <row r="11715" spans="1:1">
      <c r="A11715" t="s">
        <v>50277</v>
      </c>
    </row>
    <row r="11716" spans="1:1">
      <c r="A11716" t="s">
        <v>41057</v>
      </c>
    </row>
    <row r="11717" spans="1:1">
      <c r="A11717" t="s">
        <v>41057</v>
      </c>
    </row>
    <row r="11718" spans="1:1">
      <c r="A11718" t="s">
        <v>41057</v>
      </c>
    </row>
    <row r="11719" spans="1:1">
      <c r="A11719" t="s">
        <v>41057</v>
      </c>
    </row>
    <row r="11720" spans="1:1">
      <c r="A11720" t="s">
        <v>41057</v>
      </c>
    </row>
    <row r="11721" spans="1:1">
      <c r="A11721" t="s">
        <v>41057</v>
      </c>
    </row>
    <row r="11722" spans="1:1">
      <c r="A11722" t="s">
        <v>41057</v>
      </c>
    </row>
    <row r="11723" spans="1:1">
      <c r="A11723" t="s">
        <v>41057</v>
      </c>
    </row>
    <row r="11724" spans="1:1">
      <c r="A11724" t="s">
        <v>41057</v>
      </c>
    </row>
    <row r="11725" spans="1:1">
      <c r="A11725" t="s">
        <v>50278</v>
      </c>
    </row>
    <row r="11726" spans="1:1">
      <c r="A11726" t="s">
        <v>41057</v>
      </c>
    </row>
    <row r="11727" spans="1:1">
      <c r="A11727" t="s">
        <v>41057</v>
      </c>
    </row>
    <row r="11728" spans="1:1">
      <c r="A11728" t="s">
        <v>41057</v>
      </c>
    </row>
    <row r="11729" spans="1:1">
      <c r="A11729" t="s">
        <v>41057</v>
      </c>
    </row>
    <row r="11730" spans="1:1">
      <c r="A11730" t="s">
        <v>41057</v>
      </c>
    </row>
    <row r="11731" spans="1:1">
      <c r="A11731" t="s">
        <v>50279</v>
      </c>
    </row>
    <row r="11732" spans="1:1">
      <c r="A11732" t="s">
        <v>41057</v>
      </c>
    </row>
    <row r="11733" spans="1:1">
      <c r="A11733" t="s">
        <v>41057</v>
      </c>
    </row>
    <row r="11734" spans="1:1">
      <c r="A11734" t="s">
        <v>41057</v>
      </c>
    </row>
    <row r="11735" spans="1:1">
      <c r="A11735" t="s">
        <v>41057</v>
      </c>
    </row>
    <row r="11736" spans="1:1">
      <c r="A11736" t="s">
        <v>41057</v>
      </c>
    </row>
    <row r="11737" spans="1:1">
      <c r="A11737" t="s">
        <v>41057</v>
      </c>
    </row>
    <row r="11738" spans="1:1">
      <c r="A11738" t="s">
        <v>41057</v>
      </c>
    </row>
    <row r="11739" spans="1:1">
      <c r="A11739" t="s">
        <v>41057</v>
      </c>
    </row>
    <row r="11740" spans="1:1">
      <c r="A11740" t="e" cm="1">
        <f t="array" ref="A11740">----------ANYKVWTDKGWSNINRVIRHKT---YKRIFRIVTKTSIIDVTED----HS</f>
        <v>#NAME?</v>
      </c>
    </row>
    <row r="11741" spans="1:1">
      <c r="A11741" t="s">
        <v>50280</v>
      </c>
    </row>
    <row r="11742" spans="1:1">
      <c r="A11742" t="s">
        <v>50281</v>
      </c>
    </row>
    <row r="11743" spans="1:1">
      <c r="A11743" t="e" cm="1">
        <f t="array" ref="A11743">-----------------IEFVDIKS------------------------------NKYDI</f>
        <v>#NAME?</v>
      </c>
    </row>
    <row r="11744" spans="1:1">
      <c r="A11744" t="s">
        <v>50282</v>
      </c>
    </row>
    <row r="11745" spans="1:1">
      <c r="A11745" t="s">
        <v>50283</v>
      </c>
    </row>
    <row r="11746" spans="1:1">
      <c r="A11746" t="s">
        <v>50284</v>
      </c>
    </row>
    <row r="11747" spans="1:1">
      <c r="A11747" t="s">
        <v>50285</v>
      </c>
    </row>
    <row r="11748" spans="1:1">
      <c r="A11748" t="e" cm="1">
        <f t="array" ref="A11748">-----------------VGHFHAGIG----E--IIV---------KNTDSV--------F</f>
        <v>#NAME?</v>
      </c>
    </row>
    <row r="11749" spans="1:1">
      <c r="A11749" t="s">
        <v>45475</v>
      </c>
    </row>
    <row r="11750" spans="1:1">
      <c r="A11750" t="s">
        <v>50286</v>
      </c>
    </row>
    <row r="11751" spans="1:1">
      <c r="A11751" t="e" cm="1">
        <f t="array" ref="A11751">--EETLKDKVA----------------------------LET----SIK----------L</f>
        <v>#NAME?</v>
      </c>
    </row>
    <row r="11752" spans="1:1">
      <c r="A11752" t="s">
        <v>50287</v>
      </c>
    </row>
    <row r="11753" spans="1:1">
      <c r="A11753" t="e" cm="1">
        <f t="array" ref="A11753">--------PQ------NMLYEK-TFHPYVI----------L-SKKRYV-----------G</f>
        <v>#NAME?</v>
      </c>
    </row>
    <row r="11754" spans="1:1">
      <c r="A11754" t="s">
        <v>50288</v>
      </c>
    </row>
    <row r="11755" spans="1:1">
      <c r="A11755" t="s">
        <v>50289</v>
      </c>
    </row>
    <row r="11756" spans="1:1">
      <c r="A11756" t="s">
        <v>50290</v>
      </c>
    </row>
    <row r="11757" spans="1:1">
      <c r="A11757" t="s">
        <v>50291</v>
      </c>
    </row>
    <row r="11758" spans="1:1">
      <c r="A11758" t="e" cm="1">
        <f t="array" ref="A11758">--MDKFIITK-TLK----------G---------------------------NALIESER</f>
        <v>#NAME?</v>
      </c>
    </row>
    <row r="11759" spans="1:1">
      <c r="A11759" t="s">
        <v>50292</v>
      </c>
    </row>
    <row r="11760" spans="1:1">
      <c r="A11760" t="s">
        <v>50293</v>
      </c>
    </row>
    <row r="11761" spans="1:1">
      <c r="A11761" t="s">
        <v>46668</v>
      </c>
    </row>
    <row r="11762" spans="1:1">
      <c r="A11762" t="s">
        <v>50294</v>
      </c>
    </row>
    <row r="11763" spans="1:1">
      <c r="A11763" t="s">
        <v>50295</v>
      </c>
    </row>
    <row r="11764" spans="1:1">
      <c r="A11764" t="s">
        <v>50296</v>
      </c>
    </row>
    <row r="11765" spans="1:1">
      <c r="A11765" t="s">
        <v>41057</v>
      </c>
    </row>
    <row r="11766" spans="1:1">
      <c r="A11766" t="s">
        <v>50297</v>
      </c>
    </row>
    <row r="11767" spans="1:1">
      <c r="A11767" t="s">
        <v>41057</v>
      </c>
    </row>
    <row r="11768" spans="1:1">
      <c r="A11768" t="s">
        <v>41057</v>
      </c>
    </row>
    <row r="11769" spans="1:1">
      <c r="A11769" t="s">
        <v>50298</v>
      </c>
    </row>
    <row r="11770" spans="1:1">
      <c r="A11770" t="s">
        <v>50299</v>
      </c>
    </row>
    <row r="11771" spans="1:1">
      <c r="A11771" t="s">
        <v>50300</v>
      </c>
    </row>
    <row r="11772" spans="1:1">
      <c r="A11772" t="e" cm="1">
        <f t="array" ref="A11772">-------------------T-Y------------------------YFNLLQEMKQNKDD</f>
        <v>#NAME?</v>
      </c>
    </row>
    <row r="11773" spans="1:1">
      <c r="A11773" t="e" cm="1">
        <f t="array" ref="A11773">------VFGEDN---------------------------------------------EDD</f>
        <v>#NAME?</v>
      </c>
    </row>
    <row r="11774" spans="1:1">
      <c r="A11774" t="s">
        <v>50301</v>
      </c>
    </row>
    <row r="11775" spans="1:1">
      <c r="A11775" t="s">
        <v>50302</v>
      </c>
    </row>
    <row r="11776" spans="1:1">
      <c r="A11776" t="s">
        <v>50303</v>
      </c>
    </row>
    <row r="11777" spans="1:1">
      <c r="A11777" t="s">
        <v>44690</v>
      </c>
    </row>
    <row r="11778" spans="1:1">
      <c r="A11778" t="s">
        <v>41057</v>
      </c>
    </row>
    <row r="11779" spans="1:1">
      <c r="A11779" t="s">
        <v>41057</v>
      </c>
    </row>
    <row r="11780" spans="1:1">
      <c r="A11780" t="s">
        <v>49871</v>
      </c>
    </row>
    <row r="11781" spans="1:1">
      <c r="A11781" t="s">
        <v>41057</v>
      </c>
    </row>
    <row r="11782" spans="1:1">
      <c r="A11782" t="e" cm="1">
        <f t="array" ref="A11782">----------FFNPYIVKKTSKGLDPTPKETFKPTTEFCRLI-PCCLKTPHAKGVFSVTS</f>
        <v>#NAME?</v>
      </c>
    </row>
    <row r="11783" spans="1:1">
      <c r="A11783" t="s">
        <v>50304</v>
      </c>
    </row>
    <row r="11784" spans="1:1">
      <c r="A11784" t="s">
        <v>50305</v>
      </c>
    </row>
    <row r="11785" spans="1:1">
      <c r="A11785" t="s">
        <v>50306</v>
      </c>
    </row>
    <row r="11786" spans="1:1">
      <c r="A11786" t="e" cm="1">
        <f t="array" ref="A11786">-------------------------ETVYTSDQCSHVPFQF-----------------QT</f>
        <v>#NAME?</v>
      </c>
    </row>
    <row r="11787" spans="1:1">
      <c r="A11787" t="s">
        <v>50307</v>
      </c>
    </row>
    <row r="11788" spans="1:1">
      <c r="A11788" t="s">
        <v>50308</v>
      </c>
    </row>
    <row r="11789" spans="1:1">
      <c r="A11789" t="s">
        <v>50309</v>
      </c>
    </row>
    <row r="11790" spans="1:1">
      <c r="A11790" t="s">
        <v>50310</v>
      </c>
    </row>
    <row r="11791" spans="1:1">
      <c r="A11791" t="s">
        <v>50311</v>
      </c>
    </row>
    <row r="11792" spans="1:1">
      <c r="A11792" t="s">
        <v>50312</v>
      </c>
    </row>
    <row r="11793" spans="1:1">
      <c r="A11793" t="s">
        <v>50313</v>
      </c>
    </row>
    <row r="11794" spans="1:1">
      <c r="A11794" t="s">
        <v>50314</v>
      </c>
    </row>
    <row r="11795" spans="1:1">
      <c r="A11795" t="s">
        <v>50315</v>
      </c>
    </row>
    <row r="11796" spans="1:1">
      <c r="A11796" t="s">
        <v>50316</v>
      </c>
    </row>
    <row r="11797" spans="1:1">
      <c r="A11797" t="s">
        <v>41057</v>
      </c>
    </row>
    <row r="11798" spans="1:1">
      <c r="A11798" t="s">
        <v>41057</v>
      </c>
    </row>
    <row r="11799" spans="1:1">
      <c r="A11799" t="s">
        <v>41057</v>
      </c>
    </row>
    <row r="11800" spans="1:1">
      <c r="A11800" t="s">
        <v>50317</v>
      </c>
    </row>
    <row r="11801" spans="1:1">
      <c r="A11801" t="s">
        <v>50318</v>
      </c>
    </row>
    <row r="11802" spans="1:1">
      <c r="A11802" t="s">
        <v>45438</v>
      </c>
    </row>
    <row r="11803" spans="1:1">
      <c r="A11803" t="s">
        <v>50319</v>
      </c>
    </row>
    <row r="11804" spans="1:1">
      <c r="A11804" t="e" cm="1">
        <f t="array" ref="A11804">---DFPYIIDRATQV--YN-------------------------------------FQPT</f>
        <v>#NAME?</v>
      </c>
    </row>
    <row r="11805" spans="1:1">
      <c r="A11805" t="s">
        <v>50320</v>
      </c>
    </row>
    <row r="11806" spans="1:1">
      <c r="A11806" t="e" cm="1">
        <f t="array" ref="A11806">-------------------------------------SGSIFEVHKPKNTGTGFMRAFPK</f>
        <v>#NAME?</v>
      </c>
    </row>
    <row r="11807" spans="1:1">
      <c r="A11807" t="s">
        <v>50321</v>
      </c>
    </row>
    <row r="11808" spans="1:1">
      <c r="A11808" t="s">
        <v>50322</v>
      </c>
    </row>
    <row r="11809" spans="1:1">
      <c r="A11809" t="s">
        <v>41057</v>
      </c>
    </row>
    <row r="11810" spans="1:1">
      <c r="A11810" t="s">
        <v>41057</v>
      </c>
    </row>
    <row r="11811" spans="1:1">
      <c r="A11811" t="s">
        <v>50323</v>
      </c>
    </row>
    <row r="11812" spans="1:1">
      <c r="A11812" t="e" cm="1">
        <f t="array" ref="A11812">-------------------------TYKEI-------PPLFRS----------------G</f>
        <v>#NAME?</v>
      </c>
    </row>
    <row r="11813" spans="1:1">
      <c r="A11813" t="s">
        <v>50324</v>
      </c>
    </row>
    <row r="11814" spans="1:1">
      <c r="A11814" t="s">
        <v>41057</v>
      </c>
    </row>
    <row r="11815" spans="1:1">
      <c r="A11815" t="s">
        <v>46322</v>
      </c>
    </row>
    <row r="11816" spans="1:1">
      <c r="A11816" t="e" cm="1">
        <f t="array" ref="A11816">--------------YCVLDSI-----------------LV--------MDLLRYF-MTHV</f>
        <v>#NAME?</v>
      </c>
    </row>
    <row r="11817" spans="1:1">
      <c r="A11817" t="s">
        <v>50325</v>
      </c>
    </row>
    <row r="11818" spans="1:1">
      <c r="A11818" t="s">
        <v>50326</v>
      </c>
    </row>
    <row r="11819" spans="1:1">
      <c r="A11819" t="s">
        <v>50327</v>
      </c>
    </row>
    <row r="11820" spans="1:1">
      <c r="A11820" t="s">
        <v>50328</v>
      </c>
    </row>
    <row r="11821" spans="1:1">
      <c r="A11821" t="e" cm="1">
        <f t="array" ref="A11821">----------IGG-YK--------------------------------GATV-IDPIPGF</f>
        <v>#NAME?</v>
      </c>
    </row>
    <row r="11822" spans="1:1">
      <c r="A11822" t="s">
        <v>50329</v>
      </c>
    </row>
    <row r="11823" spans="1:1">
      <c r="A11823" t="s">
        <v>41057</v>
      </c>
    </row>
    <row r="11824" spans="1:1">
      <c r="A11824" t="s">
        <v>41057</v>
      </c>
    </row>
    <row r="11825" spans="1:1">
      <c r="A11825" t="s">
        <v>41057</v>
      </c>
    </row>
    <row r="11826" spans="1:1">
      <c r="A11826" t="s">
        <v>41057</v>
      </c>
    </row>
    <row r="11827" spans="1:1">
      <c r="A11827" t="s">
        <v>41057</v>
      </c>
    </row>
    <row r="11828" spans="1:1">
      <c r="A11828" t="s">
        <v>41057</v>
      </c>
    </row>
    <row r="11829" spans="1:1">
      <c r="A11829" t="s">
        <v>41057</v>
      </c>
    </row>
    <row r="11830" spans="1:1">
      <c r="A11830" t="s">
        <v>41057</v>
      </c>
    </row>
    <row r="11831" spans="1:1">
      <c r="A11831" t="s">
        <v>50330</v>
      </c>
    </row>
    <row r="11832" spans="1:1">
      <c r="A11832" t="s">
        <v>50331</v>
      </c>
    </row>
    <row r="11833" spans="1:1">
      <c r="A11833" t="s">
        <v>50332</v>
      </c>
    </row>
    <row r="11834" spans="1:1">
      <c r="A11834" t="s">
        <v>41057</v>
      </c>
    </row>
    <row r="11835" spans="1:1">
      <c r="A11835" t="s">
        <v>41057</v>
      </c>
    </row>
    <row r="11836" spans="1:1">
      <c r="A11836" t="s">
        <v>50333</v>
      </c>
    </row>
    <row r="11837" spans="1:1">
      <c r="A11837" t="s">
        <v>49711</v>
      </c>
    </row>
    <row r="11838" spans="1:1">
      <c r="A11838" t="s">
        <v>50334</v>
      </c>
    </row>
    <row r="11839" spans="1:1">
      <c r="A11839" t="s">
        <v>50335</v>
      </c>
    </row>
    <row r="11840" spans="1:1">
      <c r="A11840" t="s">
        <v>50336</v>
      </c>
    </row>
    <row r="11841" spans="1:1">
      <c r="A11841" t="s">
        <v>50337</v>
      </c>
    </row>
    <row r="11842" spans="1:1">
      <c r="A11842" t="s">
        <v>50338</v>
      </c>
    </row>
    <row r="11843" spans="1:1">
      <c r="A11843" t="s">
        <v>50339</v>
      </c>
    </row>
    <row r="11844" spans="1:1">
      <c r="A11844" t="s">
        <v>41057</v>
      </c>
    </row>
    <row r="11845" spans="1:1">
      <c r="A11845" t="s">
        <v>41057</v>
      </c>
    </row>
    <row r="11846" spans="1:1">
      <c r="A11846" t="s">
        <v>41057</v>
      </c>
    </row>
    <row r="11847" spans="1:1">
      <c r="A11847" t="s">
        <v>41057</v>
      </c>
    </row>
    <row r="11848" spans="1:1">
      <c r="A11848" t="s">
        <v>41057</v>
      </c>
    </row>
    <row r="11849" spans="1:1">
      <c r="A11849" t="s">
        <v>41057</v>
      </c>
    </row>
    <row r="11850" spans="1:1">
      <c r="A11850" t="s">
        <v>41057</v>
      </c>
    </row>
    <row r="11851" spans="1:1">
      <c r="A11851" t="s">
        <v>41057</v>
      </c>
    </row>
    <row r="11852" spans="1:1">
      <c r="A11852" t="s">
        <v>41057</v>
      </c>
    </row>
    <row r="11853" spans="1:1">
      <c r="A11853" t="s">
        <v>50340</v>
      </c>
    </row>
    <row r="11854" spans="1:1">
      <c r="A11854" t="s">
        <v>41057</v>
      </c>
    </row>
    <row r="11855" spans="1:1">
      <c r="A11855" t="s">
        <v>41057</v>
      </c>
    </row>
    <row r="11856" spans="1:1">
      <c r="A11856" t="s">
        <v>41057</v>
      </c>
    </row>
    <row r="11857" spans="1:1">
      <c r="A11857" t="s">
        <v>41057</v>
      </c>
    </row>
    <row r="11858" spans="1:1">
      <c r="A11858" t="s">
        <v>41057</v>
      </c>
    </row>
    <row r="11859" spans="1:1">
      <c r="A11859" t="s">
        <v>50341</v>
      </c>
    </row>
    <row r="11860" spans="1:1">
      <c r="A11860" t="s">
        <v>50342</v>
      </c>
    </row>
    <row r="11861" spans="1:1">
      <c r="A11861" t="s">
        <v>41057</v>
      </c>
    </row>
    <row r="11862" spans="1:1">
      <c r="A11862" t="s">
        <v>41057</v>
      </c>
    </row>
    <row r="11863" spans="1:1">
      <c r="A11863" t="s">
        <v>41057</v>
      </c>
    </row>
    <row r="11864" spans="1:1">
      <c r="A11864" t="s">
        <v>41057</v>
      </c>
    </row>
    <row r="11865" spans="1:1">
      <c r="A11865" t="s">
        <v>41057</v>
      </c>
    </row>
    <row r="11866" spans="1:1">
      <c r="A11866" t="s">
        <v>41057</v>
      </c>
    </row>
    <row r="11867" spans="1:1">
      <c r="A11867" t="s">
        <v>41057</v>
      </c>
    </row>
    <row r="11868" spans="1:1">
      <c r="A11868" t="s">
        <v>41057</v>
      </c>
    </row>
    <row r="11869" spans="1:1">
      <c r="A11869" t="s">
        <v>50343</v>
      </c>
    </row>
    <row r="11870" spans="1:1">
      <c r="A11870" t="s">
        <v>41057</v>
      </c>
    </row>
    <row r="11871" spans="1:1">
      <c r="A11871" t="s">
        <v>41057</v>
      </c>
    </row>
    <row r="11872" spans="1:1">
      <c r="A11872" t="s">
        <v>41057</v>
      </c>
    </row>
    <row r="11873" spans="1:1">
      <c r="A11873" t="s">
        <v>41057</v>
      </c>
    </row>
    <row r="11874" spans="1:1">
      <c r="A11874" t="s">
        <v>41057</v>
      </c>
    </row>
    <row r="11875" spans="1:1">
      <c r="A11875" t="s">
        <v>41057</v>
      </c>
    </row>
    <row r="11876" spans="1:1">
      <c r="A11876" t="e" cm="1">
        <f t="array" ref="A11876">------------------------------EL---------------TGHS--------F</f>
        <v>#NAME?</v>
      </c>
    </row>
    <row r="11877" spans="1:1">
      <c r="A11877" t="s">
        <v>50118</v>
      </c>
    </row>
    <row r="11878" spans="1:1">
      <c r="A11878" t="s">
        <v>50344</v>
      </c>
    </row>
    <row r="11879" spans="1:1">
      <c r="A11879" t="s">
        <v>41057</v>
      </c>
    </row>
    <row r="11880" spans="1:1">
      <c r="A11880" t="s">
        <v>50345</v>
      </c>
    </row>
    <row r="11881" spans="1:1">
      <c r="A11881" t="s">
        <v>50346</v>
      </c>
    </row>
    <row r="11882" spans="1:1">
      <c r="A11882" t="s">
        <v>41057</v>
      </c>
    </row>
    <row r="11883" spans="1:1">
      <c r="A11883" t="s">
        <v>41057</v>
      </c>
    </row>
    <row r="11884" spans="1:1">
      <c r="A11884" t="s">
        <v>41057</v>
      </c>
    </row>
    <row r="11885" spans="1:1">
      <c r="A11885" t="s">
        <v>41057</v>
      </c>
    </row>
    <row r="11886" spans="1:1">
      <c r="A11886" t="s">
        <v>41057</v>
      </c>
    </row>
    <row r="11887" spans="1:1">
      <c r="A11887" t="s">
        <v>41057</v>
      </c>
    </row>
    <row r="11888" spans="1:1">
      <c r="A11888" t="s">
        <v>41057</v>
      </c>
    </row>
    <row r="11889" spans="1:1">
      <c r="A11889" t="s">
        <v>50347</v>
      </c>
    </row>
    <row r="11890" spans="1:1">
      <c r="A11890" t="s">
        <v>41057</v>
      </c>
    </row>
    <row r="11891" spans="1:1">
      <c r="A11891" t="s">
        <v>41057</v>
      </c>
    </row>
    <row r="11892" spans="1:1">
      <c r="A11892" t="s">
        <v>41057</v>
      </c>
    </row>
    <row r="11893" spans="1:1">
      <c r="A11893" t="s">
        <v>41057</v>
      </c>
    </row>
    <row r="11894" spans="1:1">
      <c r="A11894" t="s">
        <v>41057</v>
      </c>
    </row>
    <row r="11895" spans="1:1">
      <c r="A11895" t="s">
        <v>41057</v>
      </c>
    </row>
    <row r="11896" spans="1:1">
      <c r="A11896" t="s">
        <v>41057</v>
      </c>
    </row>
    <row r="11897" spans="1:1">
      <c r="A11897" t="s">
        <v>41057</v>
      </c>
    </row>
    <row r="11898" spans="1:1">
      <c r="A11898" t="s">
        <v>41057</v>
      </c>
    </row>
    <row r="11899" spans="1:1">
      <c r="A11899" t="s">
        <v>41057</v>
      </c>
    </row>
    <row r="11900" spans="1:1">
      <c r="A11900" t="s">
        <v>41057</v>
      </c>
    </row>
    <row r="11901" spans="1:1">
      <c r="A11901" t="s">
        <v>41057</v>
      </c>
    </row>
    <row r="11902" spans="1:1">
      <c r="A11902" t="s">
        <v>41057</v>
      </c>
    </row>
    <row r="11903" spans="1:1">
      <c r="A11903" t="s">
        <v>41057</v>
      </c>
    </row>
    <row r="11904" spans="1:1">
      <c r="A11904" t="s">
        <v>45870</v>
      </c>
    </row>
    <row r="11905" spans="1:1">
      <c r="A11905" t="s">
        <v>44888</v>
      </c>
    </row>
    <row r="11906" spans="1:1">
      <c r="A11906" t="s">
        <v>41057</v>
      </c>
    </row>
    <row r="11907" spans="1:1">
      <c r="A11907" t="s">
        <v>41057</v>
      </c>
    </row>
    <row r="11908" spans="1:1">
      <c r="A11908" t="s">
        <v>41057</v>
      </c>
    </row>
    <row r="11909" spans="1:1">
      <c r="A11909" t="s">
        <v>41057</v>
      </c>
    </row>
    <row r="11910" spans="1:1">
      <c r="A11910" t="s">
        <v>50348</v>
      </c>
    </row>
    <row r="11911" spans="1:1">
      <c r="A11911" t="s">
        <v>50349</v>
      </c>
    </row>
    <row r="11912" spans="1:1">
      <c r="A11912" t="s">
        <v>50350</v>
      </c>
    </row>
    <row r="11913" spans="1:1">
      <c r="A11913" t="s">
        <v>41057</v>
      </c>
    </row>
    <row r="11914" spans="1:1">
      <c r="A11914" t="e" cm="1">
        <f t="array" ref="A11914">------------------------------------------------------NDTSSG</f>
        <v>#NAME?</v>
      </c>
    </row>
    <row r="11915" spans="1:1">
      <c r="A11915" t="s">
        <v>50351</v>
      </c>
    </row>
    <row r="11916" spans="1:1">
      <c r="A11916" t="s">
        <v>50352</v>
      </c>
    </row>
    <row r="11917" spans="1:1">
      <c r="A11917" t="s">
        <v>50353</v>
      </c>
    </row>
    <row r="11918" spans="1:1">
      <c r="A11918" t="s">
        <v>50354</v>
      </c>
    </row>
    <row r="11919" spans="1:1">
      <c r="A11919" t="s">
        <v>50355</v>
      </c>
    </row>
    <row r="11920" spans="1:1">
      <c r="A11920" t="s">
        <v>50356</v>
      </c>
    </row>
    <row r="11921" spans="1:1">
      <c r="A11921" t="s">
        <v>50357</v>
      </c>
    </row>
    <row r="11922" spans="1:1">
      <c r="A11922" t="s">
        <v>50358</v>
      </c>
    </row>
    <row r="11923" spans="1:1">
      <c r="A11923" t="s">
        <v>50359</v>
      </c>
    </row>
    <row r="11924" spans="1:1">
      <c r="A11924" t="s">
        <v>41057</v>
      </c>
    </row>
    <row r="11925" spans="1:1">
      <c r="A11925" t="s">
        <v>41057</v>
      </c>
    </row>
    <row r="11926" spans="1:1">
      <c r="A11926" t="s">
        <v>41057</v>
      </c>
    </row>
    <row r="11927" spans="1:1">
      <c r="A11927" t="s">
        <v>41057</v>
      </c>
    </row>
    <row r="11928" spans="1:1">
      <c r="A11928" t="s">
        <v>50360</v>
      </c>
    </row>
    <row r="11929" spans="1:1">
      <c r="A11929" t="s">
        <v>50361</v>
      </c>
    </row>
    <row r="11930" spans="1:1">
      <c r="A11930" t="s">
        <v>50362</v>
      </c>
    </row>
    <row r="11931" spans="1:1">
      <c r="A11931" t="s">
        <v>50363</v>
      </c>
    </row>
    <row r="11932" spans="1:1">
      <c r="A11932" t="s">
        <v>50364</v>
      </c>
    </row>
    <row r="11933" spans="1:1">
      <c r="A11933" t="s">
        <v>50365</v>
      </c>
    </row>
    <row r="11934" spans="1:1">
      <c r="A11934" t="s">
        <v>50366</v>
      </c>
    </row>
    <row r="11935" spans="1:1">
      <c r="A11935" t="e" cm="1">
        <f t="array" ref="A11935">--HVPGR-----VVLD----------------GPQILRSSFI-SFDS--------YSLEN</f>
        <v>#NAME?</v>
      </c>
    </row>
    <row r="11936" spans="1:1">
      <c r="A11936" t="s">
        <v>50367</v>
      </c>
    </row>
    <row r="11937" spans="1:1">
      <c r="A11937" t="s">
        <v>50368</v>
      </c>
    </row>
    <row r="11938" spans="1:1">
      <c r="A11938" t="s">
        <v>41057</v>
      </c>
    </row>
    <row r="11939" spans="1:1">
      <c r="A11939" t="s">
        <v>50369</v>
      </c>
    </row>
    <row r="11940" spans="1:1">
      <c r="A11940" t="e" cm="1">
        <f t="array" ref="A11940">-------------------------TIEEV-------IRLFAD----------------D</f>
        <v>#NAME?</v>
      </c>
    </row>
    <row r="11941" spans="1:1">
      <c r="A11941" t="s">
        <v>50370</v>
      </c>
    </row>
    <row r="11942" spans="1:1">
      <c r="A11942" t="s">
        <v>41057</v>
      </c>
    </row>
    <row r="11943" spans="1:1">
      <c r="A11943" t="s">
        <v>46322</v>
      </c>
    </row>
    <row r="11944" spans="1:1">
      <c r="A11944" t="e" cm="1">
        <f t="array" ref="A11944">--------------YNFQDCV-----------------LV--------AEIFQSL-GLYS</f>
        <v>#NAME?</v>
      </c>
    </row>
    <row r="11945" spans="1:1">
      <c r="A11945" t="s">
        <v>50371</v>
      </c>
    </row>
    <row r="11946" spans="1:1">
      <c r="A11946" t="s">
        <v>50372</v>
      </c>
    </row>
    <row r="11947" spans="1:1">
      <c r="A11947" t="s">
        <v>41057</v>
      </c>
    </row>
    <row r="11948" spans="1:1">
      <c r="A11948" t="s">
        <v>41057</v>
      </c>
    </row>
    <row r="11949" spans="1:1">
      <c r="A11949" t="e" cm="1">
        <f t="array" ref="A11949">-----------EH-AA--------------------------------GGHV-FEPEAGI</f>
        <v>#NAME?</v>
      </c>
    </row>
    <row r="11950" spans="1:1">
      <c r="A11950" t="s">
        <v>50373</v>
      </c>
    </row>
    <row r="11951" spans="1:1">
      <c r="A11951" t="s">
        <v>41057</v>
      </c>
    </row>
    <row r="11952" spans="1:1">
      <c r="A11952" t="s">
        <v>41057</v>
      </c>
    </row>
    <row r="11953" spans="1:1">
      <c r="A11953" t="s">
        <v>41057</v>
      </c>
    </row>
    <row r="11954" spans="1:1">
      <c r="A11954" t="s">
        <v>41057</v>
      </c>
    </row>
    <row r="11955" spans="1:1">
      <c r="A11955" t="s">
        <v>41057</v>
      </c>
    </row>
    <row r="11956" spans="1:1">
      <c r="A11956" t="s">
        <v>41057</v>
      </c>
    </row>
    <row r="11957" spans="1:1">
      <c r="A11957" t="s">
        <v>41057</v>
      </c>
    </row>
    <row r="11958" spans="1:1">
      <c r="A11958" t="s">
        <v>41057</v>
      </c>
    </row>
    <row r="11959" spans="1:1">
      <c r="A11959" t="s">
        <v>50374</v>
      </c>
    </row>
    <row r="11960" spans="1:1">
      <c r="A11960" t="s">
        <v>50375</v>
      </c>
    </row>
    <row r="11961" spans="1:1">
      <c r="A11961" t="s">
        <v>41057</v>
      </c>
    </row>
    <row r="11962" spans="1:1">
      <c r="A11962" t="s">
        <v>41057</v>
      </c>
    </row>
    <row r="11963" spans="1:1">
      <c r="A11963" t="s">
        <v>41057</v>
      </c>
    </row>
    <row r="11964" spans="1:1">
      <c r="A11964" t="s">
        <v>50376</v>
      </c>
    </row>
    <row r="11965" spans="1:1">
      <c r="A11965" t="s">
        <v>41057</v>
      </c>
    </row>
    <row r="11966" spans="1:1">
      <c r="A11966" t="s">
        <v>50377</v>
      </c>
    </row>
    <row r="11967" spans="1:1">
      <c r="A11967" t="s">
        <v>41057</v>
      </c>
    </row>
    <row r="11968" spans="1:1">
      <c r="A11968" t="s">
        <v>50378</v>
      </c>
    </row>
    <row r="11969" spans="1:1">
      <c r="A11969" t="s">
        <v>50379</v>
      </c>
    </row>
    <row r="11970" spans="1:1">
      <c r="A11970" t="s">
        <v>50380</v>
      </c>
    </row>
    <row r="11971" spans="1:1">
      <c r="A11971" t="s">
        <v>50381</v>
      </c>
    </row>
    <row r="11972" spans="1:1">
      <c r="A11972" t="s">
        <v>41057</v>
      </c>
    </row>
    <row r="11973" spans="1:1">
      <c r="A11973" t="s">
        <v>41057</v>
      </c>
    </row>
    <row r="11974" spans="1:1">
      <c r="A11974" t="s">
        <v>41057</v>
      </c>
    </row>
    <row r="11975" spans="1:1">
      <c r="A11975" t="s">
        <v>41057</v>
      </c>
    </row>
    <row r="11976" spans="1:1">
      <c r="A11976" t="s">
        <v>41057</v>
      </c>
    </row>
    <row r="11977" spans="1:1">
      <c r="A11977" t="s">
        <v>41057</v>
      </c>
    </row>
    <row r="11978" spans="1:1">
      <c r="A11978" t="s">
        <v>41057</v>
      </c>
    </row>
    <row r="11979" spans="1:1">
      <c r="A11979" t="s">
        <v>41057</v>
      </c>
    </row>
    <row r="11980" spans="1:1">
      <c r="A11980" t="s">
        <v>41057</v>
      </c>
    </row>
    <row r="11981" spans="1:1">
      <c r="A11981" t="s">
        <v>50382</v>
      </c>
    </row>
    <row r="11982" spans="1:1">
      <c r="A11982" t="s">
        <v>41057</v>
      </c>
    </row>
    <row r="11983" spans="1:1">
      <c r="A11983" t="s">
        <v>41057</v>
      </c>
    </row>
    <row r="11984" spans="1:1">
      <c r="A11984" t="s">
        <v>41057</v>
      </c>
    </row>
    <row r="11985" spans="1:1">
      <c r="A11985" t="s">
        <v>41057</v>
      </c>
    </row>
    <row r="11986" spans="1:1">
      <c r="A11986" t="s">
        <v>41057</v>
      </c>
    </row>
    <row r="11987" spans="1:1">
      <c r="A11987" t="s">
        <v>50383</v>
      </c>
    </row>
    <row r="11988" spans="1:1">
      <c r="A11988" t="s">
        <v>50384</v>
      </c>
    </row>
    <row r="11989" spans="1:1">
      <c r="A11989" t="s">
        <v>41057</v>
      </c>
    </row>
    <row r="11990" spans="1:1">
      <c r="A11990" t="s">
        <v>41057</v>
      </c>
    </row>
    <row r="11991" spans="1:1">
      <c r="A11991" t="s">
        <v>50385</v>
      </c>
    </row>
    <row r="11992" spans="1:1">
      <c r="A11992" t="s">
        <v>50386</v>
      </c>
    </row>
    <row r="11993" spans="1:1">
      <c r="A11993" t="s">
        <v>41057</v>
      </c>
    </row>
    <row r="11994" spans="1:1">
      <c r="A11994" t="s">
        <v>41057</v>
      </c>
    </row>
    <row r="11995" spans="1:1">
      <c r="A11995" t="s">
        <v>41057</v>
      </c>
    </row>
    <row r="11996" spans="1:1">
      <c r="A11996" t="s">
        <v>41057</v>
      </c>
    </row>
    <row r="11997" spans="1:1">
      <c r="A11997" t="s">
        <v>41057</v>
      </c>
    </row>
    <row r="11998" spans="1:1">
      <c r="A11998" t="s">
        <v>41057</v>
      </c>
    </row>
    <row r="11999" spans="1:1">
      <c r="A11999" t="s">
        <v>41057</v>
      </c>
    </row>
    <row r="12000" spans="1:1">
      <c r="A12000" t="s">
        <v>41057</v>
      </c>
    </row>
    <row r="12001" spans="1:1">
      <c r="A12001" t="s">
        <v>41057</v>
      </c>
    </row>
    <row r="12002" spans="1:1">
      <c r="A12002" t="s">
        <v>41057</v>
      </c>
    </row>
    <row r="12003" spans="1:1">
      <c r="A12003" t="s">
        <v>41057</v>
      </c>
    </row>
    <row r="12004" spans="1:1">
      <c r="A12004" t="e" cm="1">
        <f t="array" ref="A12004">-----------------------------------------------TDSV--------F</f>
        <v>#NAME?</v>
      </c>
    </row>
    <row r="12005" spans="1:1">
      <c r="A12005" t="s">
        <v>41087</v>
      </c>
    </row>
    <row r="12006" spans="1:1">
      <c r="A12006" t="s">
        <v>41057</v>
      </c>
    </row>
    <row r="12007" spans="1:1">
      <c r="A12007" t="e" cm="1">
        <f t="array" ref="A12007">--AGADDNSRS-----------------------------------LAE----------V</f>
        <v>#NAME?</v>
      </c>
    </row>
    <row r="12008" spans="1:1">
      <c r="A12008" t="s">
        <v>50387</v>
      </c>
    </row>
    <row r="12009" spans="1:1">
      <c r="A12009" t="s">
        <v>50388</v>
      </c>
    </row>
    <row r="12010" spans="1:1">
      <c r="A12010" t="s">
        <v>50389</v>
      </c>
    </row>
    <row r="12011" spans="1:1">
      <c r="A12011" t="s">
        <v>50390</v>
      </c>
    </row>
    <row r="12012" spans="1:1">
      <c r="A12012" t="s">
        <v>50391</v>
      </c>
    </row>
    <row r="12013" spans="1:1">
      <c r="A12013" t="s">
        <v>50392</v>
      </c>
    </row>
    <row r="12014" spans="1:1">
      <c r="A12014" t="s">
        <v>50393</v>
      </c>
    </row>
    <row r="12015" spans="1:1">
      <c r="A12015" t="s">
        <v>50394</v>
      </c>
    </row>
    <row r="12016" spans="1:1">
      <c r="A12016" t="s">
        <v>50395</v>
      </c>
    </row>
    <row r="12017" spans="1:1">
      <c r="A12017" t="s">
        <v>50396</v>
      </c>
    </row>
    <row r="12018" spans="1:1">
      <c r="A12018" t="s">
        <v>50397</v>
      </c>
    </row>
    <row r="12019" spans="1:1">
      <c r="A12019" t="s">
        <v>50398</v>
      </c>
    </row>
    <row r="12020" spans="1:1">
      <c r="A12020" t="s">
        <v>50399</v>
      </c>
    </row>
    <row r="12021" spans="1:1">
      <c r="A12021" t="s">
        <v>41057</v>
      </c>
    </row>
    <row r="12022" spans="1:1">
      <c r="A12022" t="s">
        <v>41057</v>
      </c>
    </row>
    <row r="12023" spans="1:1">
      <c r="A12023" t="s">
        <v>41057</v>
      </c>
    </row>
    <row r="12024" spans="1:1">
      <c r="A12024" t="s">
        <v>41057</v>
      </c>
    </row>
    <row r="12025" spans="1:1">
      <c r="A12025" t="s">
        <v>50400</v>
      </c>
    </row>
    <row r="12026" spans="1:1">
      <c r="A12026" t="s">
        <v>41057</v>
      </c>
    </row>
    <row r="12027" spans="1:1">
      <c r="A12027" t="s">
        <v>50401</v>
      </c>
    </row>
    <row r="12028" spans="1:1">
      <c r="A12028" t="s">
        <v>50402</v>
      </c>
    </row>
    <row r="12029" spans="1:1">
      <c r="A12029" t="s">
        <v>41057</v>
      </c>
    </row>
    <row r="12030" spans="1:1">
      <c r="A12030" t="s">
        <v>41057</v>
      </c>
    </row>
    <row r="12031" spans="1:1">
      <c r="A12031" t="s">
        <v>41057</v>
      </c>
    </row>
    <row r="12032" spans="1:1">
      <c r="A12032" t="s">
        <v>45870</v>
      </c>
    </row>
    <row r="12033" spans="1:1">
      <c r="A12033" t="s">
        <v>44903</v>
      </c>
    </row>
    <row r="12034" spans="1:1">
      <c r="A12034" t="s">
        <v>41057</v>
      </c>
    </row>
    <row r="12035" spans="1:1">
      <c r="A12035" t="s">
        <v>41057</v>
      </c>
    </row>
    <row r="12036" spans="1:1">
      <c r="A12036" t="s">
        <v>41057</v>
      </c>
    </row>
    <row r="12037" spans="1:1">
      <c r="A12037" t="s">
        <v>41057</v>
      </c>
    </row>
    <row r="12038" spans="1:1">
      <c r="A12038" t="s">
        <v>50403</v>
      </c>
    </row>
    <row r="12039" spans="1:1">
      <c r="A12039" t="s">
        <v>41057</v>
      </c>
    </row>
    <row r="12040" spans="1:1">
      <c r="A12040" t="s">
        <v>41057</v>
      </c>
    </row>
    <row r="12041" spans="1:1">
      <c r="A12041" t="s">
        <v>41057</v>
      </c>
    </row>
    <row r="12042" spans="1:1">
      <c r="A12042" t="s">
        <v>41057</v>
      </c>
    </row>
    <row r="12043" spans="1:1">
      <c r="A12043" t="s">
        <v>41057</v>
      </c>
    </row>
    <row r="12044" spans="1:1">
      <c r="A12044" t="s">
        <v>41057</v>
      </c>
    </row>
    <row r="12045" spans="1:1">
      <c r="A12045" t="s">
        <v>41057</v>
      </c>
    </row>
    <row r="12046" spans="1:1">
      <c r="A12046" t="s">
        <v>41057</v>
      </c>
    </row>
    <row r="12047" spans="1:1">
      <c r="A12047" t="s">
        <v>41057</v>
      </c>
    </row>
    <row r="12048" spans="1:1">
      <c r="A12048" t="s">
        <v>41057</v>
      </c>
    </row>
    <row r="12049" spans="1:1">
      <c r="A12049" t="s">
        <v>41057</v>
      </c>
    </row>
    <row r="12050" spans="1:1">
      <c r="A12050" t="s">
        <v>41057</v>
      </c>
    </row>
    <row r="12051" spans="1:1">
      <c r="A12051" t="s">
        <v>41057</v>
      </c>
    </row>
    <row r="12052" spans="1:1">
      <c r="A12052" t="s">
        <v>41057</v>
      </c>
    </row>
    <row r="12053" spans="1:1">
      <c r="A12053" t="s">
        <v>41057</v>
      </c>
    </row>
    <row r="12054" spans="1:1">
      <c r="A12054" t="s">
        <v>41057</v>
      </c>
    </row>
    <row r="12055" spans="1:1">
      <c r="A12055" t="s">
        <v>41057</v>
      </c>
    </row>
    <row r="12056" spans="1:1">
      <c r="A12056" t="s">
        <v>41057</v>
      </c>
    </row>
    <row r="12057" spans="1:1">
      <c r="A12057" t="s">
        <v>41057</v>
      </c>
    </row>
    <row r="12058" spans="1:1">
      <c r="A12058" t="s">
        <v>41057</v>
      </c>
    </row>
    <row r="12059" spans="1:1">
      <c r="A12059" t="s">
        <v>41057</v>
      </c>
    </row>
    <row r="12060" spans="1:1">
      <c r="A12060" t="s">
        <v>41057</v>
      </c>
    </row>
    <row r="12061" spans="1:1">
      <c r="A12061" t="s">
        <v>41057</v>
      </c>
    </row>
    <row r="12062" spans="1:1">
      <c r="A12062" t="s">
        <v>41057</v>
      </c>
    </row>
    <row r="12063" spans="1:1">
      <c r="A12063" t="e" cm="1">
        <f t="array" ref="A12063">-----GR-----VVID----------------GPISMKAAFF-QFES--------WKLDS</f>
        <v>#NAME?</v>
      </c>
    </row>
    <row r="12064" spans="1:1">
      <c r="A12064" t="s">
        <v>50404</v>
      </c>
    </row>
    <row r="12065" spans="1:1">
      <c r="A12065" t="s">
        <v>50405</v>
      </c>
    </row>
    <row r="12066" spans="1:1">
      <c r="A12066" t="s">
        <v>41057</v>
      </c>
    </row>
    <row r="12067" spans="1:1">
      <c r="A12067" t="s">
        <v>50406</v>
      </c>
    </row>
    <row r="12068" spans="1:1">
      <c r="A12068" t="e" cm="1">
        <f t="array" ref="A12068">-------------------------KVAEI-------ERRFRE----------------D</f>
        <v>#NAME?</v>
      </c>
    </row>
    <row r="12069" spans="1:1">
      <c r="A12069" t="s">
        <v>50407</v>
      </c>
    </row>
    <row r="12070" spans="1:1">
      <c r="A12070" t="s">
        <v>41057</v>
      </c>
    </row>
    <row r="12071" spans="1:1">
      <c r="A12071" t="s">
        <v>45447</v>
      </c>
    </row>
    <row r="12072" spans="1:1">
      <c r="A12072" t="e" cm="1">
        <f t="array" ref="A12072">--------------YNLMDCV-----------------LV--------TDVMEKA-GLIG</f>
        <v>#NAME?</v>
      </c>
    </row>
    <row r="12073" spans="1:1">
      <c r="A12073" t="s">
        <v>50408</v>
      </c>
    </row>
    <row r="12074" spans="1:1">
      <c r="A12074" t="s">
        <v>50409</v>
      </c>
    </row>
    <row r="12075" spans="1:1">
      <c r="A12075" t="s">
        <v>41057</v>
      </c>
    </row>
    <row r="12076" spans="1:1">
      <c r="A12076" t="s">
        <v>41057</v>
      </c>
    </row>
    <row r="12077" spans="1:1">
      <c r="A12077" t="e" cm="1">
        <f t="array" ref="A12077">-----------LH-SA--------------------------------GGHV-LTPKAGL</f>
        <v>#NAME?</v>
      </c>
    </row>
    <row r="12078" spans="1:1">
      <c r="A12078" t="s">
        <v>50410</v>
      </c>
    </row>
    <row r="12079" spans="1:1">
      <c r="A12079" t="s">
        <v>41057</v>
      </c>
    </row>
    <row r="12080" spans="1:1">
      <c r="A12080" t="s">
        <v>41057</v>
      </c>
    </row>
    <row r="12081" spans="1:1">
      <c r="A12081" t="s">
        <v>41057</v>
      </c>
    </row>
    <row r="12082" spans="1:1">
      <c r="A12082" t="s">
        <v>41057</v>
      </c>
    </row>
    <row r="12083" spans="1:1">
      <c r="A12083" t="s">
        <v>41057</v>
      </c>
    </row>
    <row r="12084" spans="1:1">
      <c r="A12084" t="s">
        <v>41057</v>
      </c>
    </row>
    <row r="12085" spans="1:1">
      <c r="A12085" t="s">
        <v>41057</v>
      </c>
    </row>
    <row r="12086" spans="1:1">
      <c r="A12086" t="s">
        <v>41057</v>
      </c>
    </row>
    <row r="12087" spans="1:1">
      <c r="A12087" t="s">
        <v>50411</v>
      </c>
    </row>
    <row r="12088" spans="1:1">
      <c r="A12088" t="s">
        <v>50412</v>
      </c>
    </row>
    <row r="12089" spans="1:1">
      <c r="A12089" t="s">
        <v>41057</v>
      </c>
    </row>
    <row r="12090" spans="1:1">
      <c r="A12090" t="s">
        <v>41057</v>
      </c>
    </row>
    <row r="12091" spans="1:1">
      <c r="A12091" t="s">
        <v>41057</v>
      </c>
    </row>
    <row r="12092" spans="1:1">
      <c r="A12092" t="s">
        <v>50376</v>
      </c>
    </row>
    <row r="12093" spans="1:1">
      <c r="A12093" t="s">
        <v>41057</v>
      </c>
    </row>
    <row r="12094" spans="1:1">
      <c r="A12094" t="s">
        <v>50413</v>
      </c>
    </row>
    <row r="12095" spans="1:1">
      <c r="A12095" t="s">
        <v>41057</v>
      </c>
    </row>
    <row r="12096" spans="1:1">
      <c r="A12096" t="s">
        <v>50414</v>
      </c>
    </row>
    <row r="12097" spans="1:1">
      <c r="A12097" t="s">
        <v>50415</v>
      </c>
    </row>
    <row r="12098" spans="1:1">
      <c r="A12098" t="s">
        <v>50380</v>
      </c>
    </row>
    <row r="12099" spans="1:1">
      <c r="A12099" t="s">
        <v>50416</v>
      </c>
    </row>
    <row r="12100" spans="1:1">
      <c r="A12100" t="s">
        <v>41057</v>
      </c>
    </row>
    <row r="12101" spans="1:1">
      <c r="A12101" t="s">
        <v>41057</v>
      </c>
    </row>
    <row r="12102" spans="1:1">
      <c r="A12102" t="s">
        <v>41057</v>
      </c>
    </row>
    <row r="12103" spans="1:1">
      <c r="A12103" t="s">
        <v>41057</v>
      </c>
    </row>
    <row r="12104" spans="1:1">
      <c r="A12104" t="s">
        <v>41057</v>
      </c>
    </row>
    <row r="12105" spans="1:1">
      <c r="A12105" t="s">
        <v>41057</v>
      </c>
    </row>
    <row r="12106" spans="1:1">
      <c r="A12106" t="s">
        <v>41057</v>
      </c>
    </row>
    <row r="12107" spans="1:1">
      <c r="A12107" t="s">
        <v>41057</v>
      </c>
    </row>
    <row r="12108" spans="1:1">
      <c r="A12108" t="s">
        <v>41057</v>
      </c>
    </row>
    <row r="12109" spans="1:1">
      <c r="A12109" t="s">
        <v>50382</v>
      </c>
    </row>
    <row r="12110" spans="1:1">
      <c r="A12110" t="s">
        <v>41057</v>
      </c>
    </row>
    <row r="12111" spans="1:1">
      <c r="A12111" t="s">
        <v>41057</v>
      </c>
    </row>
    <row r="12112" spans="1:1">
      <c r="A12112" t="s">
        <v>41057</v>
      </c>
    </row>
    <row r="12113" spans="1:1">
      <c r="A12113" t="s">
        <v>41057</v>
      </c>
    </row>
    <row r="12114" spans="1:1">
      <c r="A12114" t="s">
        <v>41057</v>
      </c>
    </row>
    <row r="12115" spans="1:1">
      <c r="A12115" t="s">
        <v>50417</v>
      </c>
    </row>
    <row r="12116" spans="1:1">
      <c r="A12116" t="s">
        <v>50418</v>
      </c>
    </row>
    <row r="12117" spans="1:1">
      <c r="A12117" t="s">
        <v>41057</v>
      </c>
    </row>
    <row r="12118" spans="1:1">
      <c r="A12118" t="s">
        <v>41057</v>
      </c>
    </row>
    <row r="12119" spans="1:1">
      <c r="A12119" t="s">
        <v>50419</v>
      </c>
    </row>
    <row r="12120" spans="1:1">
      <c r="A12120" t="s">
        <v>50420</v>
      </c>
    </row>
    <row r="12121" spans="1:1">
      <c r="A12121" t="s">
        <v>41057</v>
      </c>
    </row>
    <row r="12122" spans="1:1">
      <c r="A12122" t="s">
        <v>41057</v>
      </c>
    </row>
    <row r="12123" spans="1:1">
      <c r="A12123" t="s">
        <v>41057</v>
      </c>
    </row>
    <row r="12124" spans="1:1">
      <c r="A12124" t="s">
        <v>41057</v>
      </c>
    </row>
    <row r="12125" spans="1:1">
      <c r="A12125" t="s">
        <v>41057</v>
      </c>
    </row>
    <row r="12126" spans="1:1">
      <c r="A12126" t="s">
        <v>41057</v>
      </c>
    </row>
    <row r="12127" spans="1:1">
      <c r="A12127" t="s">
        <v>41057</v>
      </c>
    </row>
    <row r="12128" spans="1:1">
      <c r="A12128" t="s">
        <v>41057</v>
      </c>
    </row>
    <row r="12129" spans="1:1">
      <c r="A12129" t="s">
        <v>41057</v>
      </c>
    </row>
    <row r="12130" spans="1:1">
      <c r="A12130" t="s">
        <v>41057</v>
      </c>
    </row>
    <row r="12131" spans="1:1">
      <c r="A12131" t="s">
        <v>41057</v>
      </c>
    </row>
    <row r="12132" spans="1:1">
      <c r="A12132" t="e" cm="1">
        <f t="array" ref="A12132">-----------------------------------------------TDSV--------F</f>
        <v>#NAME?</v>
      </c>
    </row>
    <row r="12133" spans="1:1">
      <c r="A12133" t="s">
        <v>41087</v>
      </c>
    </row>
    <row r="12134" spans="1:1">
      <c r="A12134" t="s">
        <v>41057</v>
      </c>
    </row>
    <row r="12135" spans="1:1">
      <c r="A12135" t="s">
        <v>50421</v>
      </c>
    </row>
    <row r="12136" spans="1:1">
      <c r="A12136" t="s">
        <v>50422</v>
      </c>
    </row>
    <row r="12137" spans="1:1">
      <c r="A12137" t="s">
        <v>50423</v>
      </c>
    </row>
    <row r="12138" spans="1:1">
      <c r="A12138" t="s">
        <v>50424</v>
      </c>
    </row>
    <row r="12139" spans="1:1">
      <c r="A12139" t="s">
        <v>50425</v>
      </c>
    </row>
    <row r="12140" spans="1:1">
      <c r="A12140" t="s">
        <v>50426</v>
      </c>
    </row>
    <row r="12141" spans="1:1">
      <c r="A12141" t="s">
        <v>50427</v>
      </c>
    </row>
    <row r="12142" spans="1:1">
      <c r="A12142" t="s">
        <v>50428</v>
      </c>
    </row>
    <row r="12143" spans="1:1">
      <c r="A12143" t="s">
        <v>50429</v>
      </c>
    </row>
    <row r="12144" spans="1:1">
      <c r="A12144" t="s">
        <v>50430</v>
      </c>
    </row>
    <row r="12145" spans="1:1">
      <c r="A12145" t="s">
        <v>50431</v>
      </c>
    </row>
    <row r="12146" spans="1:1">
      <c r="A12146" t="s">
        <v>50432</v>
      </c>
    </row>
    <row r="12147" spans="1:1">
      <c r="A12147" t="s">
        <v>50433</v>
      </c>
    </row>
    <row r="12148" spans="1:1">
      <c r="A12148" t="s">
        <v>50434</v>
      </c>
    </row>
    <row r="12149" spans="1:1">
      <c r="A12149" t="s">
        <v>41057</v>
      </c>
    </row>
    <row r="12150" spans="1:1">
      <c r="A12150" t="s">
        <v>41057</v>
      </c>
    </row>
    <row r="12151" spans="1:1">
      <c r="A12151" t="s">
        <v>41057</v>
      </c>
    </row>
    <row r="12152" spans="1:1">
      <c r="A12152" t="s">
        <v>41057</v>
      </c>
    </row>
    <row r="12153" spans="1:1">
      <c r="A12153" t="s">
        <v>50435</v>
      </c>
    </row>
    <row r="12154" spans="1:1">
      <c r="A12154" t="s">
        <v>41057</v>
      </c>
    </row>
    <row r="12155" spans="1:1">
      <c r="A12155" t="s">
        <v>50436</v>
      </c>
    </row>
    <row r="12156" spans="1:1">
      <c r="A12156" t="s">
        <v>50437</v>
      </c>
    </row>
    <row r="12157" spans="1:1">
      <c r="A12157" t="s">
        <v>41057</v>
      </c>
    </row>
    <row r="12158" spans="1:1">
      <c r="A12158" t="s">
        <v>41057</v>
      </c>
    </row>
    <row r="12159" spans="1:1">
      <c r="A12159" t="s">
        <v>41057</v>
      </c>
    </row>
    <row r="12160" spans="1:1">
      <c r="A12160" t="s">
        <v>45870</v>
      </c>
    </row>
    <row r="12161" spans="1:1">
      <c r="A12161" t="s">
        <v>45180</v>
      </c>
    </row>
    <row r="12162" spans="1:1">
      <c r="A12162" t="s">
        <v>41057</v>
      </c>
    </row>
    <row r="12163" spans="1:1">
      <c r="A12163" t="s">
        <v>41057</v>
      </c>
    </row>
    <row r="12164" spans="1:1">
      <c r="A12164" t="s">
        <v>41057</v>
      </c>
    </row>
    <row r="12165" spans="1:1">
      <c r="A12165" t="s">
        <v>41057</v>
      </c>
    </row>
    <row r="12166" spans="1:1">
      <c r="A12166" t="s">
        <v>50438</v>
      </c>
    </row>
    <row r="12167" spans="1:1">
      <c r="A12167" t="s">
        <v>50439</v>
      </c>
    </row>
    <row r="12168" spans="1:1">
      <c r="A12168" t="s">
        <v>50440</v>
      </c>
    </row>
    <row r="12169" spans="1:1">
      <c r="A12169" t="s">
        <v>41057</v>
      </c>
    </row>
    <row r="12170" spans="1:1">
      <c r="A12170" t="e" cm="1">
        <f t="array" ref="A12170">------------------------------------------------------FDTAQG</f>
        <v>#NAME?</v>
      </c>
    </row>
    <row r="12171" spans="1:1">
      <c r="A12171" t="s">
        <v>50441</v>
      </c>
    </row>
    <row r="12172" spans="1:1">
      <c r="A12172" t="s">
        <v>50442</v>
      </c>
    </row>
    <row r="12173" spans="1:1">
      <c r="A12173" t="s">
        <v>50443</v>
      </c>
    </row>
    <row r="12174" spans="1:1">
      <c r="A12174" t="s">
        <v>50444</v>
      </c>
    </row>
    <row r="12175" spans="1:1">
      <c r="A12175" t="s">
        <v>50445</v>
      </c>
    </row>
    <row r="12176" spans="1:1">
      <c r="A12176" t="s">
        <v>50446</v>
      </c>
    </row>
    <row r="12177" spans="1:1">
      <c r="A12177" t="s">
        <v>50447</v>
      </c>
    </row>
    <row r="12178" spans="1:1">
      <c r="A12178" t="s">
        <v>50448</v>
      </c>
    </row>
    <row r="12179" spans="1:1">
      <c r="A12179" t="s">
        <v>50449</v>
      </c>
    </row>
    <row r="12180" spans="1:1">
      <c r="A12180" t="s">
        <v>41057</v>
      </c>
    </row>
    <row r="12181" spans="1:1">
      <c r="A12181" t="s">
        <v>41057</v>
      </c>
    </row>
    <row r="12182" spans="1:1">
      <c r="A12182" t="s">
        <v>41057</v>
      </c>
    </row>
    <row r="12183" spans="1:1">
      <c r="A12183" t="s">
        <v>41057</v>
      </c>
    </row>
    <row r="12184" spans="1:1">
      <c r="A12184" t="s">
        <v>50450</v>
      </c>
    </row>
    <row r="12185" spans="1:1">
      <c r="A12185" t="s">
        <v>50451</v>
      </c>
    </row>
    <row r="12186" spans="1:1">
      <c r="A12186" t="s">
        <v>50452</v>
      </c>
    </row>
    <row r="12187" spans="1:1">
      <c r="A12187" t="s">
        <v>50453</v>
      </c>
    </row>
    <row r="12188" spans="1:1">
      <c r="A12188" t="s">
        <v>50454</v>
      </c>
    </row>
    <row r="12189" spans="1:1">
      <c r="A12189" t="s">
        <v>50455</v>
      </c>
    </row>
    <row r="12190" spans="1:1">
      <c r="A12190" t="s">
        <v>50456</v>
      </c>
    </row>
    <row r="12191" spans="1:1">
      <c r="A12191" t="e" cm="1">
        <f t="array" ref="A12191">--DVFGR-----CVLD----------------GPPTLRGAFY-SFEN--------FKLDT</f>
        <v>#NAME?</v>
      </c>
    </row>
    <row r="12192" spans="1:1">
      <c r="A12192" t="s">
        <v>50457</v>
      </c>
    </row>
    <row r="12193" spans="1:1">
      <c r="A12193" t="s">
        <v>50458</v>
      </c>
    </row>
    <row r="12194" spans="1:1">
      <c r="A12194" t="s">
        <v>41057</v>
      </c>
    </row>
    <row r="12195" spans="1:1">
      <c r="A12195" t="s">
        <v>50459</v>
      </c>
    </row>
    <row r="12196" spans="1:1">
      <c r="A12196" t="e" cm="1">
        <f t="array" ref="A12196">-------------------------KVAEI-------ERQFRE----------------D</f>
        <v>#NAME?</v>
      </c>
    </row>
    <row r="12197" spans="1:1">
      <c r="A12197" t="s">
        <v>50460</v>
      </c>
    </row>
    <row r="12198" spans="1:1">
      <c r="A12198" t="s">
        <v>41057</v>
      </c>
    </row>
    <row r="12199" spans="1:1">
      <c r="A12199" t="s">
        <v>46322</v>
      </c>
    </row>
    <row r="12200" spans="1:1">
      <c r="A12200" t="e" cm="1">
        <f t="array" ref="A12200">--------------YNLEDCV-----------------LV--------TEIYQKT-NLIE</f>
        <v>#NAME?</v>
      </c>
    </row>
    <row r="12201" spans="1:1">
      <c r="A12201" t="s">
        <v>50461</v>
      </c>
    </row>
    <row r="12202" spans="1:1">
      <c r="A12202" t="s">
        <v>50462</v>
      </c>
    </row>
    <row r="12203" spans="1:1">
      <c r="A12203" t="s">
        <v>41057</v>
      </c>
    </row>
    <row r="12204" spans="1:1">
      <c r="A12204" t="s">
        <v>41057</v>
      </c>
    </row>
    <row r="12205" spans="1:1">
      <c r="A12205" t="e" cm="1">
        <f t="array" ref="A12205">-----------EQ-TA--------------------------------GGLV-LDPVAGM</f>
        <v>#NAME?</v>
      </c>
    </row>
    <row r="12206" spans="1:1">
      <c r="A12206" t="s">
        <v>50463</v>
      </c>
    </row>
    <row r="12207" spans="1:1">
      <c r="A12207" t="s">
        <v>41057</v>
      </c>
    </row>
    <row r="12208" spans="1:1">
      <c r="A12208" t="s">
        <v>41057</v>
      </c>
    </row>
    <row r="12209" spans="1:1">
      <c r="A12209" t="s">
        <v>41057</v>
      </c>
    </row>
    <row r="12210" spans="1:1">
      <c r="A12210" t="s">
        <v>41057</v>
      </c>
    </row>
    <row r="12211" spans="1:1">
      <c r="A12211" t="s">
        <v>41057</v>
      </c>
    </row>
    <row r="12212" spans="1:1">
      <c r="A12212" t="s">
        <v>41057</v>
      </c>
    </row>
    <row r="12213" spans="1:1">
      <c r="A12213" t="s">
        <v>41057</v>
      </c>
    </row>
    <row r="12214" spans="1:1">
      <c r="A12214" t="s">
        <v>41057</v>
      </c>
    </row>
    <row r="12215" spans="1:1">
      <c r="A12215" t="s">
        <v>50464</v>
      </c>
    </row>
    <row r="12216" spans="1:1">
      <c r="A12216" t="s">
        <v>50465</v>
      </c>
    </row>
    <row r="12217" spans="1:1">
      <c r="A12217" t="s">
        <v>41057</v>
      </c>
    </row>
    <row r="12218" spans="1:1">
      <c r="A12218" t="s">
        <v>41057</v>
      </c>
    </row>
    <row r="12219" spans="1:1">
      <c r="A12219" t="s">
        <v>41057</v>
      </c>
    </row>
    <row r="12220" spans="1:1">
      <c r="A12220" t="s">
        <v>50466</v>
      </c>
    </row>
    <row r="12221" spans="1:1">
      <c r="A12221" t="s">
        <v>41057</v>
      </c>
    </row>
    <row r="12222" spans="1:1">
      <c r="A12222" t="s">
        <v>50467</v>
      </c>
    </row>
    <row r="12223" spans="1:1">
      <c r="A12223" t="s">
        <v>41057</v>
      </c>
    </row>
    <row r="12224" spans="1:1">
      <c r="A12224" t="s">
        <v>50468</v>
      </c>
    </row>
    <row r="12225" spans="1:1">
      <c r="A12225" t="s">
        <v>50469</v>
      </c>
    </row>
    <row r="12226" spans="1:1">
      <c r="A12226" t="s">
        <v>50380</v>
      </c>
    </row>
    <row r="12227" spans="1:1">
      <c r="A12227" t="s">
        <v>50470</v>
      </c>
    </row>
    <row r="12228" spans="1:1">
      <c r="A12228" t="s">
        <v>41057</v>
      </c>
    </row>
    <row r="12229" spans="1:1">
      <c r="A12229" t="s">
        <v>41057</v>
      </c>
    </row>
    <row r="12230" spans="1:1">
      <c r="A12230" t="s">
        <v>41057</v>
      </c>
    </row>
    <row r="12231" spans="1:1">
      <c r="A12231" t="s">
        <v>41057</v>
      </c>
    </row>
    <row r="12232" spans="1:1">
      <c r="A12232" t="s">
        <v>41057</v>
      </c>
    </row>
    <row r="12233" spans="1:1">
      <c r="A12233" t="s">
        <v>41057</v>
      </c>
    </row>
    <row r="12234" spans="1:1">
      <c r="A12234" t="s">
        <v>41057</v>
      </c>
    </row>
    <row r="12235" spans="1:1">
      <c r="A12235" t="s">
        <v>41057</v>
      </c>
    </row>
    <row r="12236" spans="1:1">
      <c r="A12236" t="s">
        <v>41057</v>
      </c>
    </row>
    <row r="12237" spans="1:1">
      <c r="A12237" t="s">
        <v>50382</v>
      </c>
    </row>
    <row r="12238" spans="1:1">
      <c r="A12238" t="s">
        <v>41057</v>
      </c>
    </row>
    <row r="12239" spans="1:1">
      <c r="A12239" t="s">
        <v>41057</v>
      </c>
    </row>
    <row r="12240" spans="1:1">
      <c r="A12240" t="s">
        <v>41057</v>
      </c>
    </row>
    <row r="12241" spans="1:1">
      <c r="A12241" t="s">
        <v>41057</v>
      </c>
    </row>
    <row r="12242" spans="1:1">
      <c r="A12242" t="s">
        <v>41057</v>
      </c>
    </row>
    <row r="12243" spans="1:1">
      <c r="A12243" t="s">
        <v>50471</v>
      </c>
    </row>
    <row r="12244" spans="1:1">
      <c r="A12244" t="s">
        <v>50472</v>
      </c>
    </row>
    <row r="12245" spans="1:1">
      <c r="A12245" t="s">
        <v>41057</v>
      </c>
    </row>
    <row r="12246" spans="1:1">
      <c r="A12246" t="s">
        <v>41057</v>
      </c>
    </row>
    <row r="12247" spans="1:1">
      <c r="A12247" t="s">
        <v>50473</v>
      </c>
    </row>
    <row r="12248" spans="1:1">
      <c r="A12248" t="s">
        <v>50474</v>
      </c>
    </row>
    <row r="12249" spans="1:1">
      <c r="A12249" t="s">
        <v>41057</v>
      </c>
    </row>
    <row r="12250" spans="1:1">
      <c r="A12250" t="s">
        <v>41057</v>
      </c>
    </row>
    <row r="12251" spans="1:1">
      <c r="A12251" t="s">
        <v>41057</v>
      </c>
    </row>
    <row r="12252" spans="1:1">
      <c r="A12252" t="s">
        <v>41057</v>
      </c>
    </row>
    <row r="12253" spans="1:1">
      <c r="A12253" t="s">
        <v>41057</v>
      </c>
    </row>
    <row r="12254" spans="1:1">
      <c r="A12254" t="s">
        <v>41057</v>
      </c>
    </row>
    <row r="12255" spans="1:1">
      <c r="A12255" t="s">
        <v>41057</v>
      </c>
    </row>
    <row r="12256" spans="1:1">
      <c r="A12256" t="s">
        <v>41057</v>
      </c>
    </row>
    <row r="12257" spans="1:1">
      <c r="A12257" t="s">
        <v>41057</v>
      </c>
    </row>
    <row r="12258" spans="1:1">
      <c r="A12258" t="s">
        <v>41057</v>
      </c>
    </row>
    <row r="12259" spans="1:1">
      <c r="A12259" t="s">
        <v>41057</v>
      </c>
    </row>
    <row r="12260" spans="1:1">
      <c r="A12260" t="e" cm="1">
        <f t="array" ref="A12260">-----------------------------------------------TDSV--------F</f>
        <v>#NAME?</v>
      </c>
    </row>
    <row r="12261" spans="1:1">
      <c r="A12261" t="s">
        <v>41087</v>
      </c>
    </row>
    <row r="12262" spans="1:1">
      <c r="A12262" t="s">
        <v>41057</v>
      </c>
    </row>
    <row r="12263" spans="1:1">
      <c r="A12263" t="e" cm="1">
        <f t="array" ref="A12263">--KTILPP----------------------------------------E----------K</f>
        <v>#NAME?</v>
      </c>
    </row>
    <row r="12264" spans="1:1">
      <c r="A12264" t="s">
        <v>50475</v>
      </c>
    </row>
    <row r="12265" spans="1:1">
      <c r="A12265" t="s">
        <v>50476</v>
      </c>
    </row>
    <row r="12266" spans="1:1">
      <c r="A12266" t="s">
        <v>50477</v>
      </c>
    </row>
    <row r="12267" spans="1:1">
      <c r="A12267" t="s">
        <v>50478</v>
      </c>
    </row>
    <row r="12268" spans="1:1">
      <c r="A12268" t="s">
        <v>50479</v>
      </c>
    </row>
    <row r="12269" spans="1:1">
      <c r="A12269" t="s">
        <v>50480</v>
      </c>
    </row>
    <row r="12270" spans="1:1">
      <c r="A12270" t="s">
        <v>50481</v>
      </c>
    </row>
    <row r="12271" spans="1:1">
      <c r="A12271" t="s">
        <v>50482</v>
      </c>
    </row>
    <row r="12272" spans="1:1">
      <c r="A12272" t="s">
        <v>50483</v>
      </c>
    </row>
    <row r="12273" spans="1:1">
      <c r="A12273" t="s">
        <v>50484</v>
      </c>
    </row>
    <row r="12274" spans="1:1">
      <c r="A12274" t="s">
        <v>50485</v>
      </c>
    </row>
    <row r="12275" spans="1:1">
      <c r="A12275" t="s">
        <v>50486</v>
      </c>
    </row>
    <row r="12276" spans="1:1">
      <c r="A12276" t="s">
        <v>50487</v>
      </c>
    </row>
    <row r="12277" spans="1:1">
      <c r="A12277" t="s">
        <v>41057</v>
      </c>
    </row>
    <row r="12278" spans="1:1">
      <c r="A12278" t="s">
        <v>41057</v>
      </c>
    </row>
    <row r="12279" spans="1:1">
      <c r="A12279" t="s">
        <v>41057</v>
      </c>
    </row>
    <row r="12280" spans="1:1">
      <c r="A12280" t="s">
        <v>41057</v>
      </c>
    </row>
    <row r="12281" spans="1:1">
      <c r="A12281" t="s">
        <v>50488</v>
      </c>
    </row>
    <row r="12282" spans="1:1">
      <c r="A12282" t="s">
        <v>41057</v>
      </c>
    </row>
    <row r="12283" spans="1:1">
      <c r="A12283" t="s">
        <v>50489</v>
      </c>
    </row>
    <row r="12284" spans="1:1">
      <c r="A12284" t="s">
        <v>50490</v>
      </c>
    </row>
    <row r="12285" spans="1:1">
      <c r="A12285" t="s">
        <v>41057</v>
      </c>
    </row>
    <row r="12286" spans="1:1">
      <c r="A12286" t="s">
        <v>41057</v>
      </c>
    </row>
    <row r="12287" spans="1:1">
      <c r="A12287" t="s">
        <v>41057</v>
      </c>
    </row>
    <row r="12288" spans="1:1">
      <c r="A12288" t="s">
        <v>45870</v>
      </c>
    </row>
    <row r="12289" spans="1:1">
      <c r="A12289" t="s">
        <v>44970</v>
      </c>
    </row>
    <row r="12290" spans="1:1">
      <c r="A12290" t="s">
        <v>41057</v>
      </c>
    </row>
    <row r="12291" spans="1:1">
      <c r="A12291" t="s">
        <v>41057</v>
      </c>
    </row>
    <row r="12292" spans="1:1">
      <c r="A12292" t="s">
        <v>41057</v>
      </c>
    </row>
    <row r="12293" spans="1:1">
      <c r="A12293" t="s">
        <v>41057</v>
      </c>
    </row>
    <row r="12294" spans="1:1">
      <c r="A12294" t="s">
        <v>50491</v>
      </c>
    </row>
    <row r="12295" spans="1:1">
      <c r="A12295" t="s">
        <v>50492</v>
      </c>
    </row>
    <row r="12296" spans="1:1">
      <c r="A12296" t="s">
        <v>50493</v>
      </c>
    </row>
    <row r="12297" spans="1:1">
      <c r="A12297" t="s">
        <v>41057</v>
      </c>
    </row>
    <row r="12298" spans="1:1">
      <c r="A12298" t="e" cm="1">
        <f t="array" ref="A12298">------------------------------------------------------SDNNGQ</f>
        <v>#NAME?</v>
      </c>
    </row>
    <row r="12299" spans="1:1">
      <c r="A12299" t="s">
        <v>50494</v>
      </c>
    </row>
    <row r="12300" spans="1:1">
      <c r="A12300" t="s">
        <v>50495</v>
      </c>
    </row>
    <row r="12301" spans="1:1">
      <c r="A12301" t="s">
        <v>50496</v>
      </c>
    </row>
    <row r="12302" spans="1:1">
      <c r="A12302" t="s">
        <v>50497</v>
      </c>
    </row>
    <row r="12303" spans="1:1">
      <c r="A12303" t="s">
        <v>50498</v>
      </c>
    </row>
    <row r="12304" spans="1:1">
      <c r="A12304" t="s">
        <v>50499</v>
      </c>
    </row>
    <row r="12305" spans="1:1">
      <c r="A12305" t="e" cm="1">
        <f t="array" ref="A12305">-----DVDPTERYLA-ERMINAQ--------CAVQG---T-------------AE-KGQA</f>
        <v>#NAME?</v>
      </c>
    </row>
    <row r="12306" spans="1:1">
      <c r="A12306" t="s">
        <v>50500</v>
      </c>
    </row>
    <row r="12307" spans="1:1">
      <c r="A12307" t="s">
        <v>50501</v>
      </c>
    </row>
    <row r="12308" spans="1:1">
      <c r="A12308" t="s">
        <v>41057</v>
      </c>
    </row>
    <row r="12309" spans="1:1">
      <c r="A12309" t="s">
        <v>41057</v>
      </c>
    </row>
    <row r="12310" spans="1:1">
      <c r="A12310" t="s">
        <v>41057</v>
      </c>
    </row>
    <row r="12311" spans="1:1">
      <c r="A12311" t="s">
        <v>41057</v>
      </c>
    </row>
    <row r="12312" spans="1:1">
      <c r="A12312" t="s">
        <v>50502</v>
      </c>
    </row>
    <row r="12313" spans="1:1">
      <c r="A12313" t="s">
        <v>50503</v>
      </c>
    </row>
    <row r="12314" spans="1:1">
      <c r="A12314" t="s">
        <v>50504</v>
      </c>
    </row>
    <row r="12315" spans="1:1">
      <c r="A12315" t="s">
        <v>50505</v>
      </c>
    </row>
    <row r="12316" spans="1:1">
      <c r="A12316" t="s">
        <v>50506</v>
      </c>
    </row>
    <row r="12317" spans="1:1">
      <c r="A12317" t="s">
        <v>50507</v>
      </c>
    </row>
    <row r="12318" spans="1:1">
      <c r="A12318" t="s">
        <v>50508</v>
      </c>
    </row>
    <row r="12319" spans="1:1">
      <c r="A12319" t="e" cm="1">
        <f t="array" ref="A12319">--DISGR-----IIFD----------------GPLTLKVAFY-NFDD--------FRLDT</f>
        <v>#NAME?</v>
      </c>
    </row>
    <row r="12320" spans="1:1">
      <c r="A12320" t="s">
        <v>50509</v>
      </c>
    </row>
    <row r="12321" spans="1:1">
      <c r="A12321" t="s">
        <v>50510</v>
      </c>
    </row>
    <row r="12322" spans="1:1">
      <c r="A12322" t="s">
        <v>41057</v>
      </c>
    </row>
    <row r="12323" spans="1:1">
      <c r="A12323" t="s">
        <v>50511</v>
      </c>
    </row>
    <row r="12324" spans="1:1">
      <c r="A12324" t="e" cm="1">
        <f t="array" ref="A12324">-------------------------KIAEI-------ERQFEH----------------D</f>
        <v>#NAME?</v>
      </c>
    </row>
    <row r="12325" spans="1:1">
      <c r="A12325" t="s">
        <v>50512</v>
      </c>
    </row>
    <row r="12326" spans="1:1">
      <c r="A12326" t="s">
        <v>41057</v>
      </c>
    </row>
    <row r="12327" spans="1:1">
      <c r="A12327" t="s">
        <v>45447</v>
      </c>
    </row>
    <row r="12328" spans="1:1">
      <c r="A12328" t="e" cm="1">
        <f t="array" ref="A12328">--------------YNLMDCV-----------------LV--------TEIFQKT-GLIE</f>
        <v>#NAME?</v>
      </c>
    </row>
    <row r="12329" spans="1:1">
      <c r="A12329" t="s">
        <v>50513</v>
      </c>
    </row>
    <row r="12330" spans="1:1">
      <c r="A12330" t="s">
        <v>50514</v>
      </c>
    </row>
    <row r="12331" spans="1:1">
      <c r="A12331" t="s">
        <v>41057</v>
      </c>
    </row>
    <row r="12332" spans="1:1">
      <c r="A12332" t="s">
        <v>41057</v>
      </c>
    </row>
    <row r="12333" spans="1:1">
      <c r="A12333" t="e" cm="1">
        <f t="array" ref="A12333">-----------GH-AA--------------------------------GGYV-LDPQAGI</f>
        <v>#NAME?</v>
      </c>
    </row>
    <row r="12334" spans="1:1">
      <c r="A12334" t="s">
        <v>50515</v>
      </c>
    </row>
    <row r="12335" spans="1:1">
      <c r="A12335" t="s">
        <v>41057</v>
      </c>
    </row>
    <row r="12336" spans="1:1">
      <c r="A12336" t="s">
        <v>41057</v>
      </c>
    </row>
    <row r="12337" spans="1:1">
      <c r="A12337" t="s">
        <v>41057</v>
      </c>
    </row>
    <row r="12338" spans="1:1">
      <c r="A12338" t="s">
        <v>41057</v>
      </c>
    </row>
    <row r="12339" spans="1:1">
      <c r="A12339" t="s">
        <v>41057</v>
      </c>
    </row>
    <row r="12340" spans="1:1">
      <c r="A12340" t="s">
        <v>41057</v>
      </c>
    </row>
    <row r="12341" spans="1:1">
      <c r="A12341" t="s">
        <v>41057</v>
      </c>
    </row>
    <row r="12342" spans="1:1">
      <c r="A12342" t="s">
        <v>41057</v>
      </c>
    </row>
    <row r="12343" spans="1:1">
      <c r="A12343" t="s">
        <v>50516</v>
      </c>
    </row>
    <row r="12344" spans="1:1">
      <c r="A12344" t="s">
        <v>50517</v>
      </c>
    </row>
    <row r="12345" spans="1:1">
      <c r="A12345" t="s">
        <v>41057</v>
      </c>
    </row>
    <row r="12346" spans="1:1">
      <c r="A12346" t="s">
        <v>41057</v>
      </c>
    </row>
    <row r="12347" spans="1:1">
      <c r="A12347" t="s">
        <v>41057</v>
      </c>
    </row>
    <row r="12348" spans="1:1">
      <c r="A12348" t="s">
        <v>50518</v>
      </c>
    </row>
    <row r="12349" spans="1:1">
      <c r="A12349" t="s">
        <v>41057</v>
      </c>
    </row>
    <row r="12350" spans="1:1">
      <c r="A12350" t="s">
        <v>50519</v>
      </c>
    </row>
    <row r="12351" spans="1:1">
      <c r="A12351" t="s">
        <v>41057</v>
      </c>
    </row>
    <row r="12352" spans="1:1">
      <c r="A12352" t="s">
        <v>50520</v>
      </c>
    </row>
    <row r="12353" spans="1:1">
      <c r="A12353" t="s">
        <v>50521</v>
      </c>
    </row>
    <row r="12354" spans="1:1">
      <c r="A12354" t="s">
        <v>50522</v>
      </c>
    </row>
    <row r="12355" spans="1:1">
      <c r="A12355" t="s">
        <v>50523</v>
      </c>
    </row>
    <row r="12356" spans="1:1">
      <c r="A12356" t="s">
        <v>41057</v>
      </c>
    </row>
    <row r="12357" spans="1:1">
      <c r="A12357" t="s">
        <v>41057</v>
      </c>
    </row>
    <row r="12358" spans="1:1">
      <c r="A12358" t="s">
        <v>41057</v>
      </c>
    </row>
    <row r="12359" spans="1:1">
      <c r="A12359" t="s">
        <v>41057</v>
      </c>
    </row>
    <row r="12360" spans="1:1">
      <c r="A12360" t="s">
        <v>41057</v>
      </c>
    </row>
    <row r="12361" spans="1:1">
      <c r="A12361" t="s">
        <v>41057</v>
      </c>
    </row>
    <row r="12362" spans="1:1">
      <c r="A12362" t="s">
        <v>41057</v>
      </c>
    </row>
    <row r="12363" spans="1:1">
      <c r="A12363" t="s">
        <v>41057</v>
      </c>
    </row>
    <row r="12364" spans="1:1">
      <c r="A12364" t="s">
        <v>41057</v>
      </c>
    </row>
    <row r="12365" spans="1:1">
      <c r="A12365" t="s">
        <v>50382</v>
      </c>
    </row>
    <row r="12366" spans="1:1">
      <c r="A12366" t="s">
        <v>41057</v>
      </c>
    </row>
    <row r="12367" spans="1:1">
      <c r="A12367" t="s">
        <v>41057</v>
      </c>
    </row>
    <row r="12368" spans="1:1">
      <c r="A12368" t="s">
        <v>41057</v>
      </c>
    </row>
    <row r="12369" spans="1:1">
      <c r="A12369" t="s">
        <v>41057</v>
      </c>
    </row>
    <row r="12370" spans="1:1">
      <c r="A12370" t="s">
        <v>41057</v>
      </c>
    </row>
    <row r="12371" spans="1:1">
      <c r="A12371" t="s">
        <v>50524</v>
      </c>
    </row>
    <row r="12372" spans="1:1">
      <c r="A12372" t="s">
        <v>50525</v>
      </c>
    </row>
    <row r="12373" spans="1:1">
      <c r="A12373" t="s">
        <v>41057</v>
      </c>
    </row>
    <row r="12374" spans="1:1">
      <c r="A12374" t="s">
        <v>41057</v>
      </c>
    </row>
    <row r="12375" spans="1:1">
      <c r="A12375" t="s">
        <v>50526</v>
      </c>
    </row>
    <row r="12376" spans="1:1">
      <c r="A12376" t="s">
        <v>50386</v>
      </c>
    </row>
    <row r="12377" spans="1:1">
      <c r="A12377" t="s">
        <v>41057</v>
      </c>
    </row>
    <row r="12378" spans="1:1">
      <c r="A12378" t="s">
        <v>41057</v>
      </c>
    </row>
    <row r="12379" spans="1:1">
      <c r="A12379" t="s">
        <v>41057</v>
      </c>
    </row>
    <row r="12380" spans="1:1">
      <c r="A12380" t="s">
        <v>41057</v>
      </c>
    </row>
    <row r="12381" spans="1:1">
      <c r="A12381" t="s">
        <v>41057</v>
      </c>
    </row>
    <row r="12382" spans="1:1">
      <c r="A12382" t="s">
        <v>41057</v>
      </c>
    </row>
    <row r="12383" spans="1:1">
      <c r="A12383" t="s">
        <v>41057</v>
      </c>
    </row>
    <row r="12384" spans="1:1">
      <c r="A12384" t="s">
        <v>41057</v>
      </c>
    </row>
    <row r="12385" spans="1:1">
      <c r="A12385" t="s">
        <v>41057</v>
      </c>
    </row>
    <row r="12386" spans="1:1">
      <c r="A12386" t="s">
        <v>41057</v>
      </c>
    </row>
    <row r="12387" spans="1:1">
      <c r="A12387" t="s">
        <v>41057</v>
      </c>
    </row>
    <row r="12388" spans="1:1">
      <c r="A12388" t="e" cm="1">
        <f t="array" ref="A12388">-----------------------------------------------TDSL--------F</f>
        <v>#NAME?</v>
      </c>
    </row>
    <row r="12389" spans="1:1">
      <c r="A12389" t="s">
        <v>41087</v>
      </c>
    </row>
    <row r="12390" spans="1:1">
      <c r="A12390" t="s">
        <v>41057</v>
      </c>
    </row>
    <row r="12391" spans="1:1">
      <c r="A12391" t="s">
        <v>50527</v>
      </c>
    </row>
    <row r="12392" spans="1:1">
      <c r="A12392" t="s">
        <v>50528</v>
      </c>
    </row>
    <row r="12393" spans="1:1">
      <c r="A12393" t="s">
        <v>50529</v>
      </c>
    </row>
    <row r="12394" spans="1:1">
      <c r="A12394" t="s">
        <v>50530</v>
      </c>
    </row>
    <row r="12395" spans="1:1">
      <c r="A12395" t="s">
        <v>50531</v>
      </c>
    </row>
    <row r="12396" spans="1:1">
      <c r="A12396" t="s">
        <v>50532</v>
      </c>
    </row>
    <row r="12397" spans="1:1">
      <c r="A12397" t="s">
        <v>50533</v>
      </c>
    </row>
    <row r="12398" spans="1:1">
      <c r="A12398" t="s">
        <v>50534</v>
      </c>
    </row>
    <row r="12399" spans="1:1">
      <c r="A12399" t="s">
        <v>50535</v>
      </c>
    </row>
    <row r="12400" spans="1:1">
      <c r="A12400" t="s">
        <v>50536</v>
      </c>
    </row>
    <row r="12401" spans="1:1">
      <c r="A12401" t="s">
        <v>50537</v>
      </c>
    </row>
    <row r="12402" spans="1:1">
      <c r="A12402" t="s">
        <v>50538</v>
      </c>
    </row>
    <row r="12403" spans="1:1">
      <c r="A12403" t="s">
        <v>50539</v>
      </c>
    </row>
    <row r="12404" spans="1:1">
      <c r="A12404" t="s">
        <v>50540</v>
      </c>
    </row>
    <row r="12405" spans="1:1">
      <c r="A12405" t="s">
        <v>41057</v>
      </c>
    </row>
    <row r="12406" spans="1:1">
      <c r="A12406" t="s">
        <v>41057</v>
      </c>
    </row>
    <row r="12407" spans="1:1">
      <c r="A12407" t="s">
        <v>41057</v>
      </c>
    </row>
    <row r="12408" spans="1:1">
      <c r="A12408" t="s">
        <v>41057</v>
      </c>
    </row>
    <row r="12409" spans="1:1">
      <c r="A12409" t="s">
        <v>50541</v>
      </c>
    </row>
    <row r="12410" spans="1:1">
      <c r="A12410" t="s">
        <v>41057</v>
      </c>
    </row>
    <row r="12411" spans="1:1">
      <c r="A12411" t="s">
        <v>50542</v>
      </c>
    </row>
    <row r="12412" spans="1:1">
      <c r="A12412" t="s">
        <v>50437</v>
      </c>
    </row>
    <row r="12413" spans="1:1">
      <c r="A12413" t="s">
        <v>41057</v>
      </c>
    </row>
    <row r="12414" spans="1:1">
      <c r="A12414" t="s">
        <v>41057</v>
      </c>
    </row>
    <row r="12415" spans="1:1">
      <c r="A12415" t="s">
        <v>41057</v>
      </c>
    </row>
    <row r="12416" spans="1:1">
      <c r="A12416" t="s">
        <v>45870</v>
      </c>
    </row>
    <row r="12417" spans="1:1">
      <c r="A12417" t="s">
        <v>45165</v>
      </c>
    </row>
    <row r="12418" spans="1:1">
      <c r="A12418" t="s">
        <v>41057</v>
      </c>
    </row>
    <row r="12419" spans="1:1">
      <c r="A12419" t="s">
        <v>41057</v>
      </c>
    </row>
    <row r="12420" spans="1:1">
      <c r="A12420" t="s">
        <v>41057</v>
      </c>
    </row>
    <row r="12421" spans="1:1">
      <c r="A12421" t="s">
        <v>41057</v>
      </c>
    </row>
    <row r="12422" spans="1:1">
      <c r="A12422" t="s">
        <v>50543</v>
      </c>
    </row>
    <row r="12423" spans="1:1">
      <c r="A12423" t="s">
        <v>50544</v>
      </c>
    </row>
    <row r="12424" spans="1:1">
      <c r="A12424" t="s">
        <v>50545</v>
      </c>
    </row>
    <row r="12425" spans="1:1">
      <c r="A12425" t="s">
        <v>41057</v>
      </c>
    </row>
    <row r="12426" spans="1:1">
      <c r="A12426" t="e" cm="1">
        <f t="array" ref="A12426">------------------------------------------------------QDTDSG</f>
        <v>#NAME?</v>
      </c>
    </row>
    <row r="12427" spans="1:1">
      <c r="A12427" t="s">
        <v>50546</v>
      </c>
    </row>
    <row r="12428" spans="1:1">
      <c r="A12428" t="s">
        <v>50547</v>
      </c>
    </row>
    <row r="12429" spans="1:1">
      <c r="A12429" t="s">
        <v>50548</v>
      </c>
    </row>
    <row r="12430" spans="1:1">
      <c r="A12430" t="s">
        <v>50549</v>
      </c>
    </row>
    <row r="12431" spans="1:1">
      <c r="A12431" t="s">
        <v>50550</v>
      </c>
    </row>
    <row r="12432" spans="1:1">
      <c r="A12432" t="s">
        <v>50551</v>
      </c>
    </row>
    <row r="12433" spans="1:1">
      <c r="A12433" t="s">
        <v>50552</v>
      </c>
    </row>
    <row r="12434" spans="1:1">
      <c r="A12434" t="s">
        <v>50553</v>
      </c>
    </row>
    <row r="12435" spans="1:1">
      <c r="A12435" t="s">
        <v>50554</v>
      </c>
    </row>
    <row r="12436" spans="1:1">
      <c r="A12436" t="s">
        <v>41057</v>
      </c>
    </row>
    <row r="12437" spans="1:1">
      <c r="A12437" t="s">
        <v>41057</v>
      </c>
    </row>
    <row r="12438" spans="1:1">
      <c r="A12438" t="s">
        <v>41057</v>
      </c>
    </row>
    <row r="12439" spans="1:1">
      <c r="A12439" t="s">
        <v>41057</v>
      </c>
    </row>
    <row r="12440" spans="1:1">
      <c r="A12440" t="e" cm="1">
        <f t="array" ref="A12440">--------------------------------EHI-L-YSIAVS----------IRADSG</f>
        <v>#NAME?</v>
      </c>
    </row>
    <row r="12441" spans="1:1">
      <c r="A12441" t="s">
        <v>50555</v>
      </c>
    </row>
    <row r="12442" spans="1:1">
      <c r="A12442" t="s">
        <v>50556</v>
      </c>
    </row>
    <row r="12443" spans="1:1">
      <c r="A12443" t="s">
        <v>50557</v>
      </c>
    </row>
    <row r="12444" spans="1:1">
      <c r="A12444" t="s">
        <v>50558</v>
      </c>
    </row>
    <row r="12445" spans="1:1">
      <c r="A12445" t="s">
        <v>50559</v>
      </c>
    </row>
    <row r="12446" spans="1:1">
      <c r="A12446" t="s">
        <v>50560</v>
      </c>
    </row>
    <row r="12447" spans="1:1">
      <c r="A12447" t="e" cm="1">
        <f t="array" ref="A12447">--LVPGR-----VVLD----------------GIELLRTATY-QFES--------FSLEN</f>
        <v>#NAME?</v>
      </c>
    </row>
    <row r="12448" spans="1:1">
      <c r="A12448" t="s">
        <v>50561</v>
      </c>
    </row>
    <row r="12449" spans="1:1">
      <c r="A12449" t="s">
        <v>50562</v>
      </c>
    </row>
    <row r="12450" spans="1:1">
      <c r="A12450" t="s">
        <v>41057</v>
      </c>
    </row>
    <row r="12451" spans="1:1">
      <c r="A12451" t="s">
        <v>50563</v>
      </c>
    </row>
    <row r="12452" spans="1:1">
      <c r="A12452" t="e" cm="1">
        <f t="array" ref="A12452">-------------------------RAAEI-------QTMFRD----------------D</f>
        <v>#NAME?</v>
      </c>
    </row>
    <row r="12453" spans="1:1">
      <c r="A12453" t="s">
        <v>50564</v>
      </c>
    </row>
    <row r="12454" spans="1:1">
      <c r="A12454" t="s">
        <v>41057</v>
      </c>
    </row>
    <row r="12455" spans="1:1">
      <c r="A12455" t="s">
        <v>46322</v>
      </c>
    </row>
    <row r="12456" spans="1:1">
      <c r="A12456" t="e" cm="1">
        <f t="array" ref="A12456">--------------YNLEDCN-----------------LV--------HDVFAHT-NLLE</f>
        <v>#NAME?</v>
      </c>
    </row>
    <row r="12457" spans="1:1">
      <c r="A12457" t="s">
        <v>50565</v>
      </c>
    </row>
    <row r="12458" spans="1:1">
      <c r="A12458" t="s">
        <v>50566</v>
      </c>
    </row>
    <row r="12459" spans="1:1">
      <c r="A12459" t="s">
        <v>41057</v>
      </c>
    </row>
    <row r="12460" spans="1:1">
      <c r="A12460" t="s">
        <v>41057</v>
      </c>
    </row>
    <row r="12461" spans="1:1">
      <c r="A12461" t="e" cm="1">
        <f t="array" ref="A12461">-----------G--AP--------------------------------GGFV-LNSLPGI</f>
        <v>#NAME?</v>
      </c>
    </row>
    <row r="12462" spans="1:1">
      <c r="A12462" t="s">
        <v>50567</v>
      </c>
    </row>
    <row r="12463" spans="1:1">
      <c r="A12463" t="s">
        <v>41057</v>
      </c>
    </row>
    <row r="12464" spans="1:1">
      <c r="A12464" t="s">
        <v>41057</v>
      </c>
    </row>
    <row r="12465" spans="1:1">
      <c r="A12465" t="s">
        <v>41057</v>
      </c>
    </row>
    <row r="12466" spans="1:1">
      <c r="A12466" t="s">
        <v>41057</v>
      </c>
    </row>
    <row r="12467" spans="1:1">
      <c r="A12467" t="s">
        <v>41057</v>
      </c>
    </row>
    <row r="12468" spans="1:1">
      <c r="A12468" t="s">
        <v>41057</v>
      </c>
    </row>
    <row r="12469" spans="1:1">
      <c r="A12469" t="s">
        <v>41057</v>
      </c>
    </row>
    <row r="12470" spans="1:1">
      <c r="A12470" t="s">
        <v>41057</v>
      </c>
    </row>
    <row r="12471" spans="1:1">
      <c r="A12471" t="s">
        <v>50568</v>
      </c>
    </row>
    <row r="12472" spans="1:1">
      <c r="A12472" t="s">
        <v>50569</v>
      </c>
    </row>
    <row r="12473" spans="1:1">
      <c r="A12473" t="s">
        <v>41057</v>
      </c>
    </row>
    <row r="12474" spans="1:1">
      <c r="A12474" t="s">
        <v>41057</v>
      </c>
    </row>
    <row r="12475" spans="1:1">
      <c r="A12475" t="s">
        <v>41057</v>
      </c>
    </row>
    <row r="12476" spans="1:1">
      <c r="A12476" t="s">
        <v>50570</v>
      </c>
    </row>
    <row r="12477" spans="1:1">
      <c r="A12477" t="s">
        <v>41057</v>
      </c>
    </row>
    <row r="12478" spans="1:1">
      <c r="A12478" t="s">
        <v>50571</v>
      </c>
    </row>
    <row r="12479" spans="1:1">
      <c r="A12479" t="s">
        <v>41057</v>
      </c>
    </row>
    <row r="12480" spans="1:1">
      <c r="A12480" t="s">
        <v>50572</v>
      </c>
    </row>
    <row r="12481" spans="1:1">
      <c r="A12481" t="s">
        <v>50573</v>
      </c>
    </row>
    <row r="12482" spans="1:1">
      <c r="A12482" t="s">
        <v>50574</v>
      </c>
    </row>
    <row r="12483" spans="1:1">
      <c r="A12483" t="s">
        <v>50575</v>
      </c>
    </row>
    <row r="12484" spans="1:1">
      <c r="A12484" t="s">
        <v>41057</v>
      </c>
    </row>
    <row r="12485" spans="1:1">
      <c r="A12485" t="s">
        <v>41057</v>
      </c>
    </row>
    <row r="12486" spans="1:1">
      <c r="A12486" t="s">
        <v>41057</v>
      </c>
    </row>
    <row r="12487" spans="1:1">
      <c r="A12487" t="s">
        <v>41057</v>
      </c>
    </row>
    <row r="12488" spans="1:1">
      <c r="A12488" t="s">
        <v>41057</v>
      </c>
    </row>
    <row r="12489" spans="1:1">
      <c r="A12489" t="s">
        <v>41057</v>
      </c>
    </row>
    <row r="12490" spans="1:1">
      <c r="A12490" t="s">
        <v>41057</v>
      </c>
    </row>
    <row r="12491" spans="1:1">
      <c r="A12491" t="s">
        <v>41057</v>
      </c>
    </row>
    <row r="12492" spans="1:1">
      <c r="A12492" t="s">
        <v>41057</v>
      </c>
    </row>
    <row r="12493" spans="1:1">
      <c r="A12493" t="s">
        <v>50576</v>
      </c>
    </row>
    <row r="12494" spans="1:1">
      <c r="A12494" t="s">
        <v>41057</v>
      </c>
    </row>
    <row r="12495" spans="1:1">
      <c r="A12495" t="s">
        <v>41057</v>
      </c>
    </row>
    <row r="12496" spans="1:1">
      <c r="A12496" t="s">
        <v>41057</v>
      </c>
    </row>
    <row r="12497" spans="1:1">
      <c r="A12497" t="s">
        <v>41057</v>
      </c>
    </row>
    <row r="12498" spans="1:1">
      <c r="A12498" t="s">
        <v>41057</v>
      </c>
    </row>
    <row r="12499" spans="1:1">
      <c r="A12499" t="s">
        <v>50577</v>
      </c>
    </row>
    <row r="12500" spans="1:1">
      <c r="A12500" t="s">
        <v>50578</v>
      </c>
    </row>
    <row r="12501" spans="1:1">
      <c r="A12501" t="s">
        <v>41057</v>
      </c>
    </row>
    <row r="12502" spans="1:1">
      <c r="A12502" t="s">
        <v>41057</v>
      </c>
    </row>
    <row r="12503" spans="1:1">
      <c r="A12503" t="s">
        <v>50473</v>
      </c>
    </row>
    <row r="12504" spans="1:1">
      <c r="A12504" t="s">
        <v>50579</v>
      </c>
    </row>
    <row r="12505" spans="1:1">
      <c r="A12505" t="s">
        <v>41057</v>
      </c>
    </row>
    <row r="12506" spans="1:1">
      <c r="A12506" t="s">
        <v>41057</v>
      </c>
    </row>
    <row r="12507" spans="1:1">
      <c r="A12507" t="s">
        <v>41057</v>
      </c>
    </row>
    <row r="12508" spans="1:1">
      <c r="A12508" t="s">
        <v>41057</v>
      </c>
    </row>
    <row r="12509" spans="1:1">
      <c r="A12509" t="s">
        <v>41057</v>
      </c>
    </row>
    <row r="12510" spans="1:1">
      <c r="A12510" t="s">
        <v>41057</v>
      </c>
    </row>
    <row r="12511" spans="1:1">
      <c r="A12511" t="s">
        <v>41057</v>
      </c>
    </row>
    <row r="12512" spans="1:1">
      <c r="A12512" t="s">
        <v>41057</v>
      </c>
    </row>
    <row r="12513" spans="1:1">
      <c r="A12513" t="s">
        <v>41057</v>
      </c>
    </row>
    <row r="12514" spans="1:1">
      <c r="A12514" t="s">
        <v>41057</v>
      </c>
    </row>
    <row r="12515" spans="1:1">
      <c r="A12515" t="s">
        <v>41057</v>
      </c>
    </row>
    <row r="12516" spans="1:1">
      <c r="A12516" t="e" cm="1">
        <f t="array" ref="A12516">-----------------------------------------------TDSV--------F</f>
        <v>#NAME?</v>
      </c>
    </row>
    <row r="12517" spans="1:1">
      <c r="A12517" t="s">
        <v>41087</v>
      </c>
    </row>
    <row r="12518" spans="1:1">
      <c r="A12518" t="s">
        <v>41057</v>
      </c>
    </row>
    <row r="12519" spans="1:1">
      <c r="A12519" t="e" cm="1">
        <f t="array" ref="A12519">--L-IDSPEGQ-----------------------------------VNN----------I</f>
        <v>#NAME?</v>
      </c>
    </row>
    <row r="12520" spans="1:1">
      <c r="A12520" t="s">
        <v>50580</v>
      </c>
    </row>
    <row r="12521" spans="1:1">
      <c r="A12521" t="s">
        <v>50581</v>
      </c>
    </row>
    <row r="12522" spans="1:1">
      <c r="A12522" t="s">
        <v>50582</v>
      </c>
    </row>
    <row r="12523" spans="1:1">
      <c r="A12523" t="s">
        <v>50583</v>
      </c>
    </row>
    <row r="12524" spans="1:1">
      <c r="A12524" t="s">
        <v>50584</v>
      </c>
    </row>
    <row r="12525" spans="1:1">
      <c r="A12525" t="s">
        <v>50585</v>
      </c>
    </row>
    <row r="12526" spans="1:1">
      <c r="A12526" t="s">
        <v>50586</v>
      </c>
    </row>
    <row r="12527" spans="1:1">
      <c r="A12527" t="s">
        <v>50587</v>
      </c>
    </row>
    <row r="12528" spans="1:1">
      <c r="A12528" t="s">
        <v>50588</v>
      </c>
    </row>
    <row r="12529" spans="1:1">
      <c r="A12529" t="s">
        <v>50589</v>
      </c>
    </row>
    <row r="12530" spans="1:1">
      <c r="A12530" t="s">
        <v>50590</v>
      </c>
    </row>
    <row r="12531" spans="1:1">
      <c r="A12531" t="s">
        <v>50591</v>
      </c>
    </row>
    <row r="12532" spans="1:1">
      <c r="A12532" t="s">
        <v>50592</v>
      </c>
    </row>
    <row r="12533" spans="1:1">
      <c r="A12533" t="s">
        <v>41057</v>
      </c>
    </row>
    <row r="12534" spans="1:1">
      <c r="A12534" t="s">
        <v>41057</v>
      </c>
    </row>
    <row r="12535" spans="1:1">
      <c r="A12535" t="s">
        <v>41057</v>
      </c>
    </row>
    <row r="12536" spans="1:1">
      <c r="A12536" t="s">
        <v>41057</v>
      </c>
    </row>
    <row r="12537" spans="1:1">
      <c r="A12537" t="s">
        <v>50593</v>
      </c>
    </row>
    <row r="12538" spans="1:1">
      <c r="A12538" t="s">
        <v>41057</v>
      </c>
    </row>
    <row r="12539" spans="1:1">
      <c r="A12539" t="s">
        <v>50594</v>
      </c>
    </row>
    <row r="12540" spans="1:1">
      <c r="A12540" t="s">
        <v>50595</v>
      </c>
    </row>
    <row r="12541" spans="1:1">
      <c r="A12541" t="s">
        <v>41057</v>
      </c>
    </row>
    <row r="12542" spans="1:1">
      <c r="A12542" t="s">
        <v>41057</v>
      </c>
    </row>
    <row r="12543" spans="1:1">
      <c r="A12543" t="s">
        <v>41057</v>
      </c>
    </row>
    <row r="12544" spans="1:1">
      <c r="A12544" t="s">
        <v>45870</v>
      </c>
    </row>
    <row r="12545" spans="1:1">
      <c r="A12545" t="s">
        <v>44913</v>
      </c>
    </row>
    <row r="12546" spans="1:1">
      <c r="A12546" t="s">
        <v>41057</v>
      </c>
    </row>
    <row r="12547" spans="1:1">
      <c r="A12547" t="s">
        <v>41057</v>
      </c>
    </row>
    <row r="12548" spans="1:1">
      <c r="A12548" t="s">
        <v>41057</v>
      </c>
    </row>
    <row r="12549" spans="1:1">
      <c r="A12549" t="s">
        <v>41057</v>
      </c>
    </row>
    <row r="12550" spans="1:1">
      <c r="A12550" t="s">
        <v>50596</v>
      </c>
    </row>
    <row r="12551" spans="1:1">
      <c r="A12551" t="s">
        <v>50544</v>
      </c>
    </row>
    <row r="12552" spans="1:1">
      <c r="A12552" t="s">
        <v>50597</v>
      </c>
    </row>
    <row r="12553" spans="1:1">
      <c r="A12553" t="s">
        <v>41057</v>
      </c>
    </row>
    <row r="12554" spans="1:1">
      <c r="A12554" t="e" cm="1">
        <f t="array" ref="A12554">------------------------------------------------------RVQQGK</f>
        <v>#NAME?</v>
      </c>
    </row>
    <row r="12555" spans="1:1">
      <c r="A12555" t="s">
        <v>50598</v>
      </c>
    </row>
    <row r="12556" spans="1:1">
      <c r="A12556" t="s">
        <v>50599</v>
      </c>
    </row>
    <row r="12557" spans="1:1">
      <c r="A12557" t="s">
        <v>50600</v>
      </c>
    </row>
    <row r="12558" spans="1:1">
      <c r="A12558" t="s">
        <v>50549</v>
      </c>
    </row>
    <row r="12559" spans="1:1">
      <c r="A12559" t="s">
        <v>50601</v>
      </c>
    </row>
    <row r="12560" spans="1:1">
      <c r="A12560" t="s">
        <v>50602</v>
      </c>
    </row>
    <row r="12561" spans="1:1">
      <c r="A12561" t="s">
        <v>50603</v>
      </c>
    </row>
    <row r="12562" spans="1:1">
      <c r="A12562" t="s">
        <v>50604</v>
      </c>
    </row>
    <row r="12563" spans="1:1">
      <c r="A12563" t="s">
        <v>50605</v>
      </c>
    </row>
    <row r="12564" spans="1:1">
      <c r="A12564" t="s">
        <v>41057</v>
      </c>
    </row>
    <row r="12565" spans="1:1">
      <c r="A12565" t="s">
        <v>41057</v>
      </c>
    </row>
    <row r="12566" spans="1:1">
      <c r="A12566" t="s">
        <v>41057</v>
      </c>
    </row>
    <row r="12567" spans="1:1">
      <c r="A12567" t="s">
        <v>41057</v>
      </c>
    </row>
    <row r="12568" spans="1:1">
      <c r="A12568" t="s">
        <v>50606</v>
      </c>
    </row>
    <row r="12569" spans="1:1">
      <c r="A12569" t="s">
        <v>50607</v>
      </c>
    </row>
    <row r="12570" spans="1:1">
      <c r="A12570" t="s">
        <v>50608</v>
      </c>
    </row>
    <row r="12571" spans="1:1">
      <c r="A12571" t="s">
        <v>50609</v>
      </c>
    </row>
    <row r="12572" spans="1:1">
      <c r="A12572" t="s">
        <v>50610</v>
      </c>
    </row>
    <row r="12573" spans="1:1">
      <c r="A12573" t="s">
        <v>50611</v>
      </c>
    </row>
    <row r="12574" spans="1:1">
      <c r="A12574" t="s">
        <v>50612</v>
      </c>
    </row>
    <row r="12575" spans="1:1">
      <c r="A12575" t="e" cm="1">
        <f t="array" ref="A12575">--VVPGR-----IVLD----------------GIDLLRSSFV-KMDD--------YSLDA</f>
        <v>#NAME?</v>
      </c>
    </row>
    <row r="12576" spans="1:1">
      <c r="A12576" t="s">
        <v>50613</v>
      </c>
    </row>
    <row r="12577" spans="1:1">
      <c r="A12577" t="s">
        <v>50614</v>
      </c>
    </row>
    <row r="12578" spans="1:1">
      <c r="A12578" t="s">
        <v>41057</v>
      </c>
    </row>
    <row r="12579" spans="1:1">
      <c r="A12579" t="s">
        <v>50615</v>
      </c>
    </row>
    <row r="12580" spans="1:1">
      <c r="A12580" t="e" cm="1">
        <f t="array" ref="A12580">-------------------------KVAQI-------LSSYET----------------D</f>
        <v>#NAME?</v>
      </c>
    </row>
    <row r="12581" spans="1:1">
      <c r="A12581" t="s">
        <v>50616</v>
      </c>
    </row>
    <row r="12582" spans="1:1">
      <c r="A12582" t="s">
        <v>41057</v>
      </c>
    </row>
    <row r="12583" spans="1:1">
      <c r="A12583" t="s">
        <v>50617</v>
      </c>
    </row>
    <row r="12584" spans="1:1">
      <c r="A12584" t="e" cm="1">
        <f t="array" ref="A12584">--------------YARTDAR-----------------LA--------LQILEKL-KLVD</f>
        <v>#NAME?</v>
      </c>
    </row>
    <row r="12585" spans="1:1">
      <c r="A12585" t="s">
        <v>50618</v>
      </c>
    </row>
    <row r="12586" spans="1:1">
      <c r="A12586" t="s">
        <v>50619</v>
      </c>
    </row>
    <row r="12587" spans="1:1">
      <c r="A12587" t="s">
        <v>41057</v>
      </c>
    </row>
    <row r="12588" spans="1:1">
      <c r="A12588" t="s">
        <v>41057</v>
      </c>
    </row>
    <row r="12589" spans="1:1">
      <c r="A12589" t="e" cm="1">
        <f t="array" ref="A12589">-----------AGPQS--------------------------------GGAV-FEPRVGI</f>
        <v>#NAME?</v>
      </c>
    </row>
    <row r="12590" spans="1:1">
      <c r="A12590" t="s">
        <v>50620</v>
      </c>
    </row>
    <row r="12591" spans="1:1">
      <c r="A12591" t="s">
        <v>41057</v>
      </c>
    </row>
    <row r="12592" spans="1:1">
      <c r="A12592" t="s">
        <v>41057</v>
      </c>
    </row>
    <row r="12593" spans="1:1">
      <c r="A12593" t="s">
        <v>41057</v>
      </c>
    </row>
    <row r="12594" spans="1:1">
      <c r="A12594" t="s">
        <v>41057</v>
      </c>
    </row>
    <row r="12595" spans="1:1">
      <c r="A12595" t="s">
        <v>41057</v>
      </c>
    </row>
    <row r="12596" spans="1:1">
      <c r="A12596" t="s">
        <v>41057</v>
      </c>
    </row>
    <row r="12597" spans="1:1">
      <c r="A12597" t="s">
        <v>41057</v>
      </c>
    </row>
    <row r="12598" spans="1:1">
      <c r="A12598" t="s">
        <v>41057</v>
      </c>
    </row>
    <row r="12599" spans="1:1">
      <c r="A12599" t="s">
        <v>50621</v>
      </c>
    </row>
    <row r="12600" spans="1:1">
      <c r="A12600" t="s">
        <v>50622</v>
      </c>
    </row>
    <row r="12601" spans="1:1">
      <c r="A12601" t="s">
        <v>41057</v>
      </c>
    </row>
    <row r="12602" spans="1:1">
      <c r="A12602" t="s">
        <v>41057</v>
      </c>
    </row>
    <row r="12603" spans="1:1">
      <c r="A12603" t="s">
        <v>41057</v>
      </c>
    </row>
    <row r="12604" spans="1:1">
      <c r="A12604" t="s">
        <v>50623</v>
      </c>
    </row>
    <row r="12605" spans="1:1">
      <c r="A12605" t="s">
        <v>41057</v>
      </c>
    </row>
    <row r="12606" spans="1:1">
      <c r="A12606" t="s">
        <v>50624</v>
      </c>
    </row>
    <row r="12607" spans="1:1">
      <c r="A12607" t="s">
        <v>41057</v>
      </c>
    </row>
    <row r="12608" spans="1:1">
      <c r="A12608" t="s">
        <v>50625</v>
      </c>
    </row>
    <row r="12609" spans="1:1">
      <c r="A12609" t="s">
        <v>50626</v>
      </c>
    </row>
    <row r="12610" spans="1:1">
      <c r="A12610" t="s">
        <v>50522</v>
      </c>
    </row>
    <row r="12611" spans="1:1">
      <c r="A12611" t="s">
        <v>50627</v>
      </c>
    </row>
    <row r="12612" spans="1:1">
      <c r="A12612" t="s">
        <v>41057</v>
      </c>
    </row>
    <row r="12613" spans="1:1">
      <c r="A12613" t="s">
        <v>41057</v>
      </c>
    </row>
    <row r="12614" spans="1:1">
      <c r="A12614" t="s">
        <v>41057</v>
      </c>
    </row>
    <row r="12615" spans="1:1">
      <c r="A12615" t="s">
        <v>41057</v>
      </c>
    </row>
    <row r="12616" spans="1:1">
      <c r="A12616" t="s">
        <v>41057</v>
      </c>
    </row>
    <row r="12617" spans="1:1">
      <c r="A12617" t="s">
        <v>41057</v>
      </c>
    </row>
    <row r="12618" spans="1:1">
      <c r="A12618" t="s">
        <v>41057</v>
      </c>
    </row>
    <row r="12619" spans="1:1">
      <c r="A12619" t="s">
        <v>41057</v>
      </c>
    </row>
    <row r="12620" spans="1:1">
      <c r="A12620" t="s">
        <v>41057</v>
      </c>
    </row>
    <row r="12621" spans="1:1">
      <c r="A12621" t="s">
        <v>50382</v>
      </c>
    </row>
    <row r="12622" spans="1:1">
      <c r="A12622" t="s">
        <v>41057</v>
      </c>
    </row>
    <row r="12623" spans="1:1">
      <c r="A12623" t="s">
        <v>41057</v>
      </c>
    </row>
    <row r="12624" spans="1:1">
      <c r="A12624" t="s">
        <v>41057</v>
      </c>
    </row>
    <row r="12625" spans="1:1">
      <c r="A12625" t="s">
        <v>41057</v>
      </c>
    </row>
    <row r="12626" spans="1:1">
      <c r="A12626" t="s">
        <v>41057</v>
      </c>
    </row>
    <row r="12627" spans="1:1">
      <c r="A12627" t="s">
        <v>50628</v>
      </c>
    </row>
    <row r="12628" spans="1:1">
      <c r="A12628" t="s">
        <v>50629</v>
      </c>
    </row>
    <row r="12629" spans="1:1">
      <c r="A12629" t="s">
        <v>41057</v>
      </c>
    </row>
    <row r="12630" spans="1:1">
      <c r="A12630" t="s">
        <v>41057</v>
      </c>
    </row>
    <row r="12631" spans="1:1">
      <c r="A12631" t="s">
        <v>50473</v>
      </c>
    </row>
    <row r="12632" spans="1:1">
      <c r="A12632" t="s">
        <v>50630</v>
      </c>
    </row>
    <row r="12633" spans="1:1">
      <c r="A12633" t="s">
        <v>41057</v>
      </c>
    </row>
    <row r="12634" spans="1:1">
      <c r="A12634" t="s">
        <v>41057</v>
      </c>
    </row>
    <row r="12635" spans="1:1">
      <c r="A12635" t="s">
        <v>41057</v>
      </c>
    </row>
    <row r="12636" spans="1:1">
      <c r="A12636" t="s">
        <v>41057</v>
      </c>
    </row>
    <row r="12637" spans="1:1">
      <c r="A12637" t="s">
        <v>41057</v>
      </c>
    </row>
    <row r="12638" spans="1:1">
      <c r="A12638" t="s">
        <v>41057</v>
      </c>
    </row>
    <row r="12639" spans="1:1">
      <c r="A12639" t="s">
        <v>41057</v>
      </c>
    </row>
    <row r="12640" spans="1:1">
      <c r="A12640" t="s">
        <v>41057</v>
      </c>
    </row>
    <row r="12641" spans="1:1">
      <c r="A12641" t="s">
        <v>41057</v>
      </c>
    </row>
    <row r="12642" spans="1:1">
      <c r="A12642" t="s">
        <v>41057</v>
      </c>
    </row>
    <row r="12643" spans="1:1">
      <c r="A12643" t="s">
        <v>41057</v>
      </c>
    </row>
    <row r="12644" spans="1:1">
      <c r="A12644" t="e" cm="1">
        <f t="array" ref="A12644">-----------------------------------------------TDSV--------F</f>
        <v>#NAME?</v>
      </c>
    </row>
    <row r="12645" spans="1:1">
      <c r="A12645" t="s">
        <v>41087</v>
      </c>
    </row>
    <row r="12646" spans="1:1">
      <c r="A12646" t="s">
        <v>41057</v>
      </c>
    </row>
    <row r="12647" spans="1:1">
      <c r="A12647" t="e" cm="1">
        <f t="array" ref="A12647">--ASGRADAQA-----------------------------------AFD----------L</f>
        <v>#NAME?</v>
      </c>
    </row>
    <row r="12648" spans="1:1">
      <c r="A12648" t="s">
        <v>50631</v>
      </c>
    </row>
    <row r="12649" spans="1:1">
      <c r="A12649" t="s">
        <v>50632</v>
      </c>
    </row>
    <row r="12650" spans="1:1">
      <c r="A12650" t="s">
        <v>50633</v>
      </c>
    </row>
    <row r="12651" spans="1:1">
      <c r="A12651" t="s">
        <v>50634</v>
      </c>
    </row>
    <row r="12652" spans="1:1">
      <c r="A12652" t="s">
        <v>50635</v>
      </c>
    </row>
    <row r="12653" spans="1:1">
      <c r="A12653" t="s">
        <v>50636</v>
      </c>
    </row>
    <row r="12654" spans="1:1">
      <c r="A12654" t="s">
        <v>50637</v>
      </c>
    </row>
    <row r="12655" spans="1:1">
      <c r="A12655" t="s">
        <v>50638</v>
      </c>
    </row>
    <row r="12656" spans="1:1">
      <c r="A12656" t="s">
        <v>50639</v>
      </c>
    </row>
    <row r="12657" spans="1:1">
      <c r="A12657" t="s">
        <v>50640</v>
      </c>
    </row>
    <row r="12658" spans="1:1">
      <c r="A12658" t="s">
        <v>50641</v>
      </c>
    </row>
    <row r="12659" spans="1:1">
      <c r="A12659" t="s">
        <v>50642</v>
      </c>
    </row>
    <row r="12660" spans="1:1">
      <c r="A12660" t="s">
        <v>50643</v>
      </c>
    </row>
    <row r="12661" spans="1:1">
      <c r="A12661" t="s">
        <v>41057</v>
      </c>
    </row>
    <row r="12662" spans="1:1">
      <c r="A12662" t="s">
        <v>41057</v>
      </c>
    </row>
    <row r="12663" spans="1:1">
      <c r="A12663" t="s">
        <v>41057</v>
      </c>
    </row>
    <row r="12664" spans="1:1">
      <c r="A12664" t="s">
        <v>41057</v>
      </c>
    </row>
    <row r="12665" spans="1:1">
      <c r="A12665" t="s">
        <v>50644</v>
      </c>
    </row>
    <row r="12666" spans="1:1">
      <c r="A12666" t="s">
        <v>41057</v>
      </c>
    </row>
    <row r="12667" spans="1:1">
      <c r="A12667" t="s">
        <v>50645</v>
      </c>
    </row>
    <row r="12668" spans="1:1">
      <c r="A12668" t="s">
        <v>50595</v>
      </c>
    </row>
    <row r="12669" spans="1:1">
      <c r="A12669" t="s">
        <v>41057</v>
      </c>
    </row>
    <row r="12670" spans="1:1">
      <c r="A12670" t="s">
        <v>41057</v>
      </c>
    </row>
    <row r="12671" spans="1:1">
      <c r="A12671" t="s">
        <v>41057</v>
      </c>
    </row>
    <row r="12672" spans="1:1">
      <c r="A12672" t="s">
        <v>45870</v>
      </c>
    </row>
    <row r="12673" spans="1:1">
      <c r="A12673" t="s">
        <v>45279</v>
      </c>
    </row>
    <row r="12674" spans="1:1">
      <c r="A12674" t="s">
        <v>41057</v>
      </c>
    </row>
    <row r="12675" spans="1:1">
      <c r="A12675" t="s">
        <v>41057</v>
      </c>
    </row>
    <row r="12676" spans="1:1">
      <c r="A12676" t="s">
        <v>41057</v>
      </c>
    </row>
    <row r="12677" spans="1:1">
      <c r="A12677" t="s">
        <v>41057</v>
      </c>
    </row>
    <row r="12678" spans="1:1">
      <c r="A12678" t="s">
        <v>50646</v>
      </c>
    </row>
    <row r="12679" spans="1:1">
      <c r="A12679" t="s">
        <v>50647</v>
      </c>
    </row>
    <row r="12680" spans="1:1">
      <c r="A12680" t="s">
        <v>50648</v>
      </c>
    </row>
    <row r="12681" spans="1:1">
      <c r="A12681" t="s">
        <v>41057</v>
      </c>
    </row>
    <row r="12682" spans="1:1">
      <c r="A12682" t="e" cm="1">
        <f t="array" ref="A12682">------------------------------------------------------TFENDK</f>
        <v>#NAME?</v>
      </c>
    </row>
    <row r="12683" spans="1:1">
      <c r="A12683" t="s">
        <v>50649</v>
      </c>
    </row>
    <row r="12684" spans="1:1">
      <c r="A12684" t="s">
        <v>50650</v>
      </c>
    </row>
    <row r="12685" spans="1:1">
      <c r="A12685" t="s">
        <v>50651</v>
      </c>
    </row>
    <row r="12686" spans="1:1">
      <c r="A12686" t="s">
        <v>50652</v>
      </c>
    </row>
    <row r="12687" spans="1:1">
      <c r="A12687" t="s">
        <v>50653</v>
      </c>
    </row>
    <row r="12688" spans="1:1">
      <c r="A12688" t="s">
        <v>50654</v>
      </c>
    </row>
    <row r="12689" spans="1:1">
      <c r="A12689" t="s">
        <v>50655</v>
      </c>
    </row>
    <row r="12690" spans="1:1">
      <c r="A12690" t="s">
        <v>50656</v>
      </c>
    </row>
    <row r="12691" spans="1:1">
      <c r="A12691" t="s">
        <v>50657</v>
      </c>
    </row>
    <row r="12692" spans="1:1">
      <c r="A12692" t="s">
        <v>41057</v>
      </c>
    </row>
    <row r="12693" spans="1:1">
      <c r="A12693" t="s">
        <v>41057</v>
      </c>
    </row>
    <row r="12694" spans="1:1">
      <c r="A12694" t="s">
        <v>41057</v>
      </c>
    </row>
    <row r="12695" spans="1:1">
      <c r="A12695" t="s">
        <v>41057</v>
      </c>
    </row>
    <row r="12696" spans="1:1">
      <c r="A12696" t="s">
        <v>50658</v>
      </c>
    </row>
    <row r="12697" spans="1:1">
      <c r="A12697" t="s">
        <v>50659</v>
      </c>
    </row>
    <row r="12698" spans="1:1">
      <c r="A12698" t="s">
        <v>50660</v>
      </c>
    </row>
    <row r="12699" spans="1:1">
      <c r="A12699" t="s">
        <v>50661</v>
      </c>
    </row>
    <row r="12700" spans="1:1">
      <c r="A12700" t="s">
        <v>50662</v>
      </c>
    </row>
    <row r="12701" spans="1:1">
      <c r="A12701" t="s">
        <v>50663</v>
      </c>
    </row>
    <row r="12702" spans="1:1">
      <c r="A12702" t="s">
        <v>50664</v>
      </c>
    </row>
    <row r="12703" spans="1:1">
      <c r="A12703" t="e" cm="1">
        <f t="array" ref="A12703">--YVNGR-----VVLD----------------GIALLKSSFI-KLED--------YKLNT</f>
        <v>#NAME?</v>
      </c>
    </row>
    <row r="12704" spans="1:1">
      <c r="A12704" t="s">
        <v>50665</v>
      </c>
    </row>
    <row r="12705" spans="1:1">
      <c r="A12705" t="s">
        <v>50666</v>
      </c>
    </row>
    <row r="12706" spans="1:1">
      <c r="A12706" t="s">
        <v>41057</v>
      </c>
    </row>
    <row r="12707" spans="1:1">
      <c r="A12707" t="s">
        <v>50667</v>
      </c>
    </row>
    <row r="12708" spans="1:1">
      <c r="A12708" t="e" cm="1">
        <f t="array" ref="A12708">-------------------------RFEII-------DELYTR----------------D</f>
        <v>#NAME?</v>
      </c>
    </row>
    <row r="12709" spans="1:1">
      <c r="A12709" t="s">
        <v>50668</v>
      </c>
    </row>
    <row r="12710" spans="1:1">
      <c r="A12710" t="s">
        <v>41057</v>
      </c>
    </row>
    <row r="12711" spans="1:1">
      <c r="A12711" t="s">
        <v>47081</v>
      </c>
    </row>
    <row r="12712" spans="1:1">
      <c r="A12712" t="e" cm="1">
        <f t="array" ref="A12712">--------------YNRKDSQ-----------------LV--------YDILFES-EVYE</f>
        <v>#NAME?</v>
      </c>
    </row>
    <row r="12713" spans="1:1">
      <c r="A12713" t="s">
        <v>50669</v>
      </c>
    </row>
    <row r="12714" spans="1:1">
      <c r="A12714" t="s">
        <v>50670</v>
      </c>
    </row>
    <row r="12715" spans="1:1">
      <c r="A12715" t="s">
        <v>41057</v>
      </c>
    </row>
    <row r="12716" spans="1:1">
      <c r="A12716" t="s">
        <v>41057</v>
      </c>
    </row>
    <row r="12717" spans="1:1">
      <c r="A12717" t="e" cm="1">
        <f t="array" ref="A12717">-----------AG--L--------------------------------GGFV-LKSTPGI</f>
        <v>#NAME?</v>
      </c>
    </row>
    <row r="12718" spans="1:1">
      <c r="A12718" t="s">
        <v>50671</v>
      </c>
    </row>
    <row r="12719" spans="1:1">
      <c r="A12719" t="s">
        <v>41057</v>
      </c>
    </row>
    <row r="12720" spans="1:1">
      <c r="A12720" t="s">
        <v>41057</v>
      </c>
    </row>
    <row r="12721" spans="1:1">
      <c r="A12721" t="s">
        <v>41057</v>
      </c>
    </row>
    <row r="12722" spans="1:1">
      <c r="A12722" t="s">
        <v>41057</v>
      </c>
    </row>
    <row r="12723" spans="1:1">
      <c r="A12723" t="s">
        <v>41057</v>
      </c>
    </row>
    <row r="12724" spans="1:1">
      <c r="A12724" t="s">
        <v>41057</v>
      </c>
    </row>
    <row r="12725" spans="1:1">
      <c r="A12725" t="s">
        <v>41057</v>
      </c>
    </row>
    <row r="12726" spans="1:1">
      <c r="A12726" t="s">
        <v>41057</v>
      </c>
    </row>
    <row r="12727" spans="1:1">
      <c r="A12727" t="s">
        <v>50672</v>
      </c>
    </row>
    <row r="12728" spans="1:1">
      <c r="A12728" t="s">
        <v>50673</v>
      </c>
    </row>
    <row r="12729" spans="1:1">
      <c r="A12729" t="s">
        <v>41057</v>
      </c>
    </row>
    <row r="12730" spans="1:1">
      <c r="A12730" t="s">
        <v>41057</v>
      </c>
    </row>
    <row r="12731" spans="1:1">
      <c r="A12731" t="s">
        <v>41057</v>
      </c>
    </row>
    <row r="12732" spans="1:1">
      <c r="A12732" t="s">
        <v>50623</v>
      </c>
    </row>
    <row r="12733" spans="1:1">
      <c r="A12733" t="s">
        <v>41057</v>
      </c>
    </row>
    <row r="12734" spans="1:1">
      <c r="A12734" t="s">
        <v>50674</v>
      </c>
    </row>
    <row r="12735" spans="1:1">
      <c r="A12735" t="s">
        <v>41057</v>
      </c>
    </row>
    <row r="12736" spans="1:1">
      <c r="A12736" t="s">
        <v>50675</v>
      </c>
    </row>
    <row r="12737" spans="1:1">
      <c r="A12737" t="s">
        <v>50676</v>
      </c>
    </row>
    <row r="12738" spans="1:1">
      <c r="A12738" t="s">
        <v>50380</v>
      </c>
    </row>
    <row r="12739" spans="1:1">
      <c r="A12739" t="s">
        <v>50677</v>
      </c>
    </row>
    <row r="12740" spans="1:1">
      <c r="A12740" t="s">
        <v>41057</v>
      </c>
    </row>
    <row r="12741" spans="1:1">
      <c r="A12741" t="s">
        <v>41057</v>
      </c>
    </row>
    <row r="12742" spans="1:1">
      <c r="A12742" t="s">
        <v>41057</v>
      </c>
    </row>
    <row r="12743" spans="1:1">
      <c r="A12743" t="s">
        <v>41057</v>
      </c>
    </row>
    <row r="12744" spans="1:1">
      <c r="A12744" t="s">
        <v>41057</v>
      </c>
    </row>
    <row r="12745" spans="1:1">
      <c r="A12745" t="s">
        <v>41057</v>
      </c>
    </row>
    <row r="12746" spans="1:1">
      <c r="A12746" t="s">
        <v>41057</v>
      </c>
    </row>
    <row r="12747" spans="1:1">
      <c r="A12747" t="s">
        <v>41057</v>
      </c>
    </row>
    <row r="12748" spans="1:1">
      <c r="A12748" t="s">
        <v>41057</v>
      </c>
    </row>
    <row r="12749" spans="1:1">
      <c r="A12749" t="s">
        <v>50382</v>
      </c>
    </row>
    <row r="12750" spans="1:1">
      <c r="A12750" t="s">
        <v>41057</v>
      </c>
    </row>
    <row r="12751" spans="1:1">
      <c r="A12751" t="s">
        <v>41057</v>
      </c>
    </row>
    <row r="12752" spans="1:1">
      <c r="A12752" t="s">
        <v>41057</v>
      </c>
    </row>
    <row r="12753" spans="1:1">
      <c r="A12753" t="s">
        <v>41057</v>
      </c>
    </row>
    <row r="12754" spans="1:1">
      <c r="A12754" t="s">
        <v>41057</v>
      </c>
    </row>
    <row r="12755" spans="1:1">
      <c r="A12755" t="s">
        <v>50678</v>
      </c>
    </row>
    <row r="12756" spans="1:1">
      <c r="A12756" t="s">
        <v>50679</v>
      </c>
    </row>
    <row r="12757" spans="1:1">
      <c r="A12757" t="s">
        <v>41057</v>
      </c>
    </row>
    <row r="12758" spans="1:1">
      <c r="A12758" t="s">
        <v>41057</v>
      </c>
    </row>
    <row r="12759" spans="1:1">
      <c r="A12759" t="s">
        <v>50270</v>
      </c>
    </row>
    <row r="12760" spans="1:1">
      <c r="A12760" t="s">
        <v>50680</v>
      </c>
    </row>
    <row r="12761" spans="1:1">
      <c r="A12761" t="s">
        <v>41057</v>
      </c>
    </row>
    <row r="12762" spans="1:1">
      <c r="A12762" t="s">
        <v>41057</v>
      </c>
    </row>
    <row r="12763" spans="1:1">
      <c r="A12763" t="s">
        <v>41057</v>
      </c>
    </row>
    <row r="12764" spans="1:1">
      <c r="A12764" t="s">
        <v>41057</v>
      </c>
    </row>
    <row r="12765" spans="1:1">
      <c r="A12765" t="s">
        <v>41057</v>
      </c>
    </row>
    <row r="12766" spans="1:1">
      <c r="A12766" t="s">
        <v>41057</v>
      </c>
    </row>
    <row r="12767" spans="1:1">
      <c r="A12767" t="s">
        <v>41057</v>
      </c>
    </row>
    <row r="12768" spans="1:1">
      <c r="A12768" t="s">
        <v>41057</v>
      </c>
    </row>
    <row r="12769" spans="1:1">
      <c r="A12769" t="s">
        <v>41057</v>
      </c>
    </row>
    <row r="12770" spans="1:1">
      <c r="A12770" t="s">
        <v>41057</v>
      </c>
    </row>
    <row r="12771" spans="1:1">
      <c r="A12771" t="s">
        <v>41057</v>
      </c>
    </row>
    <row r="12772" spans="1:1">
      <c r="A12772" t="e" cm="1">
        <f t="array" ref="A12772">-----------------------------------------------TDSV--------F</f>
        <v>#NAME?</v>
      </c>
    </row>
    <row r="12773" spans="1:1">
      <c r="A12773" t="s">
        <v>41087</v>
      </c>
    </row>
    <row r="12774" spans="1:1">
      <c r="A12774" t="s">
        <v>41057</v>
      </c>
    </row>
    <row r="12775" spans="1:1">
      <c r="A12775" t="e" cm="1">
        <f t="array" ref="A12775">--DIATDDIKQ-----------------------------------AMK----------L</f>
        <v>#NAME?</v>
      </c>
    </row>
    <row r="12776" spans="1:1">
      <c r="A12776" t="s">
        <v>50681</v>
      </c>
    </row>
    <row r="12777" spans="1:1">
      <c r="A12777" t="s">
        <v>50682</v>
      </c>
    </row>
    <row r="12778" spans="1:1">
      <c r="A12778" t="s">
        <v>50683</v>
      </c>
    </row>
    <row r="12779" spans="1:1">
      <c r="A12779" t="s">
        <v>50684</v>
      </c>
    </row>
    <row r="12780" spans="1:1">
      <c r="A12780" t="s">
        <v>50685</v>
      </c>
    </row>
    <row r="12781" spans="1:1">
      <c r="A12781" t="s">
        <v>50686</v>
      </c>
    </row>
    <row r="12782" spans="1:1">
      <c r="A12782" t="s">
        <v>50687</v>
      </c>
    </row>
    <row r="12783" spans="1:1">
      <c r="A12783" t="s">
        <v>50688</v>
      </c>
    </row>
    <row r="12784" spans="1:1">
      <c r="A12784" t="s">
        <v>50689</v>
      </c>
    </row>
    <row r="12785" spans="1:1">
      <c r="A12785" t="s">
        <v>50690</v>
      </c>
    </row>
    <row r="12786" spans="1:1">
      <c r="A12786" t="s">
        <v>50538</v>
      </c>
    </row>
    <row r="12787" spans="1:1">
      <c r="A12787" t="s">
        <v>50691</v>
      </c>
    </row>
    <row r="12788" spans="1:1">
      <c r="A12788" t="s">
        <v>50692</v>
      </c>
    </row>
    <row r="12789" spans="1:1">
      <c r="A12789" t="s">
        <v>41057</v>
      </c>
    </row>
    <row r="12790" spans="1:1">
      <c r="A12790" t="s">
        <v>41057</v>
      </c>
    </row>
    <row r="12791" spans="1:1">
      <c r="A12791" t="s">
        <v>41057</v>
      </c>
    </row>
    <row r="12792" spans="1:1">
      <c r="A12792" t="s">
        <v>41057</v>
      </c>
    </row>
    <row r="12793" spans="1:1">
      <c r="A12793" t="s">
        <v>50693</v>
      </c>
    </row>
    <row r="12794" spans="1:1">
      <c r="A12794" t="s">
        <v>41057</v>
      </c>
    </row>
    <row r="12795" spans="1:1">
      <c r="A12795" t="s">
        <v>50694</v>
      </c>
    </row>
    <row r="12796" spans="1:1">
      <c r="A12796" t="s">
        <v>50695</v>
      </c>
    </row>
    <row r="12797" spans="1:1">
      <c r="A12797" t="s">
        <v>41057</v>
      </c>
    </row>
    <row r="12798" spans="1:1">
      <c r="A12798" t="s">
        <v>41057</v>
      </c>
    </row>
    <row r="12799" spans="1:1">
      <c r="A12799" t="s">
        <v>41057</v>
      </c>
    </row>
    <row r="12800" spans="1:1">
      <c r="A12800" t="s">
        <v>45870</v>
      </c>
    </row>
    <row r="12801" spans="1:1">
      <c r="A12801" t="s">
        <v>45267</v>
      </c>
    </row>
    <row r="12802" spans="1:1">
      <c r="A12802" t="s">
        <v>41057</v>
      </c>
    </row>
    <row r="12803" spans="1:1">
      <c r="A12803" t="s">
        <v>41057</v>
      </c>
    </row>
    <row r="12804" spans="1:1">
      <c r="A12804" t="s">
        <v>41057</v>
      </c>
    </row>
    <row r="12805" spans="1:1">
      <c r="A12805" t="s">
        <v>41057</v>
      </c>
    </row>
    <row r="12806" spans="1:1">
      <c r="A12806" t="s">
        <v>50696</v>
      </c>
    </row>
    <row r="12807" spans="1:1">
      <c r="A12807" t="s">
        <v>41057</v>
      </c>
    </row>
    <row r="12808" spans="1:1">
      <c r="A12808" t="s">
        <v>41057</v>
      </c>
    </row>
    <row r="12809" spans="1:1">
      <c r="A12809" t="s">
        <v>41057</v>
      </c>
    </row>
    <row r="12810" spans="1:1">
      <c r="A12810" t="s">
        <v>41057</v>
      </c>
    </row>
    <row r="12811" spans="1:1">
      <c r="A12811" t="s">
        <v>41057</v>
      </c>
    </row>
    <row r="12812" spans="1:1">
      <c r="A12812" t="s">
        <v>50697</v>
      </c>
    </row>
    <row r="12813" spans="1:1">
      <c r="A12813" t="s">
        <v>50698</v>
      </c>
    </row>
    <row r="12814" spans="1:1">
      <c r="A12814" t="s">
        <v>50699</v>
      </c>
    </row>
    <row r="12815" spans="1:1">
      <c r="A12815" t="s">
        <v>50700</v>
      </c>
    </row>
    <row r="12816" spans="1:1">
      <c r="A12816" t="s">
        <v>50701</v>
      </c>
    </row>
    <row r="12817" spans="1:1">
      <c r="A12817" t="s">
        <v>50702</v>
      </c>
    </row>
    <row r="12818" spans="1:1">
      <c r="A12818" t="s">
        <v>50703</v>
      </c>
    </row>
    <row r="12819" spans="1:1">
      <c r="A12819" t="s">
        <v>50704</v>
      </c>
    </row>
    <row r="12820" spans="1:1">
      <c r="A12820" t="s">
        <v>41057</v>
      </c>
    </row>
    <row r="12821" spans="1:1">
      <c r="A12821" t="s">
        <v>41057</v>
      </c>
    </row>
    <row r="12822" spans="1:1">
      <c r="A12822" t="s">
        <v>41057</v>
      </c>
    </row>
    <row r="12823" spans="1:1">
      <c r="A12823" t="s">
        <v>41057</v>
      </c>
    </row>
    <row r="12824" spans="1:1">
      <c r="A12824" t="s">
        <v>50705</v>
      </c>
    </row>
    <row r="12825" spans="1:1">
      <c r="A12825" t="s">
        <v>50706</v>
      </c>
    </row>
    <row r="12826" spans="1:1">
      <c r="A12826" t="s">
        <v>50707</v>
      </c>
    </row>
    <row r="12827" spans="1:1">
      <c r="A12827" t="s">
        <v>50708</v>
      </c>
    </row>
    <row r="12828" spans="1:1">
      <c r="A12828" t="s">
        <v>50709</v>
      </c>
    </row>
    <row r="12829" spans="1:1">
      <c r="A12829" t="s">
        <v>50710</v>
      </c>
    </row>
    <row r="12830" spans="1:1">
      <c r="A12830" t="s">
        <v>50711</v>
      </c>
    </row>
    <row r="12831" spans="1:1">
      <c r="A12831" t="e" cm="1">
        <f t="array" ref="A12831">--TSPGV-----LVWD----------------LIAIMRMNFF-QFED--------FKLNT</f>
        <v>#NAME?</v>
      </c>
    </row>
    <row r="12832" spans="1:1">
      <c r="A12832" t="s">
        <v>50712</v>
      </c>
    </row>
    <row r="12833" spans="1:1">
      <c r="A12833" t="s">
        <v>50713</v>
      </c>
    </row>
    <row r="12834" spans="1:1">
      <c r="A12834" t="s">
        <v>41057</v>
      </c>
    </row>
    <row r="12835" spans="1:1">
      <c r="A12835" t="s">
        <v>50714</v>
      </c>
    </row>
    <row r="12836" spans="1:1">
      <c r="A12836" t="e" cm="1">
        <f t="array" ref="A12836">-------------------------KIKVI-------EHMFKN----------------N</f>
        <v>#NAME?</v>
      </c>
    </row>
    <row r="12837" spans="1:1">
      <c r="A12837" t="s">
        <v>50715</v>
      </c>
    </row>
    <row r="12838" spans="1:1">
      <c r="A12838" t="s">
        <v>41057</v>
      </c>
    </row>
    <row r="12839" spans="1:1">
      <c r="A12839" t="s">
        <v>47703</v>
      </c>
    </row>
    <row r="12840" spans="1:1">
      <c r="A12840" t="e" cm="1">
        <f t="array" ref="A12840">--------------YNFKDSK-----------------LT--------AEIFEKA-QLGE</f>
        <v>#NAME?</v>
      </c>
    </row>
    <row r="12841" spans="1:1">
      <c r="A12841" t="s">
        <v>50716</v>
      </c>
    </row>
    <row r="12842" spans="1:1">
      <c r="A12842" t="s">
        <v>50717</v>
      </c>
    </row>
    <row r="12843" spans="1:1">
      <c r="A12843" t="s">
        <v>41057</v>
      </c>
    </row>
    <row r="12844" spans="1:1">
      <c r="A12844" t="s">
        <v>41057</v>
      </c>
    </row>
    <row r="12845" spans="1:1">
      <c r="A12845" t="e" cm="1">
        <f t="array" ref="A12845">-----------SP-IE--------------------------------GAYV-LSPKQGF</f>
        <v>#NAME?</v>
      </c>
    </row>
    <row r="12846" spans="1:1">
      <c r="A12846" t="s">
        <v>50718</v>
      </c>
    </row>
    <row r="12847" spans="1:1">
      <c r="A12847" t="s">
        <v>41057</v>
      </c>
    </row>
    <row r="12848" spans="1:1">
      <c r="A12848" t="s">
        <v>41057</v>
      </c>
    </row>
    <row r="12849" spans="1:1">
      <c r="A12849" t="s">
        <v>41057</v>
      </c>
    </row>
    <row r="12850" spans="1:1">
      <c r="A12850" t="s">
        <v>41057</v>
      </c>
    </row>
    <row r="12851" spans="1:1">
      <c r="A12851" t="s">
        <v>41057</v>
      </c>
    </row>
    <row r="12852" spans="1:1">
      <c r="A12852" t="s">
        <v>41057</v>
      </c>
    </row>
    <row r="12853" spans="1:1">
      <c r="A12853" t="s">
        <v>41057</v>
      </c>
    </row>
    <row r="12854" spans="1:1">
      <c r="A12854" t="s">
        <v>41057</v>
      </c>
    </row>
    <row r="12855" spans="1:1">
      <c r="A12855" t="s">
        <v>50719</v>
      </c>
    </row>
    <row r="12856" spans="1:1">
      <c r="A12856" t="s">
        <v>50720</v>
      </c>
    </row>
    <row r="12857" spans="1:1">
      <c r="A12857" t="s">
        <v>41057</v>
      </c>
    </row>
    <row r="12858" spans="1:1">
      <c r="A12858" t="s">
        <v>41057</v>
      </c>
    </row>
    <row r="12859" spans="1:1">
      <c r="A12859" t="s">
        <v>41057</v>
      </c>
    </row>
    <row r="12860" spans="1:1">
      <c r="A12860" t="s">
        <v>50623</v>
      </c>
    </row>
    <row r="12861" spans="1:1">
      <c r="A12861" t="s">
        <v>41057</v>
      </c>
    </row>
    <row r="12862" spans="1:1">
      <c r="A12862" t="s">
        <v>50721</v>
      </c>
    </row>
    <row r="12863" spans="1:1">
      <c r="A12863" t="s">
        <v>41057</v>
      </c>
    </row>
    <row r="12864" spans="1:1">
      <c r="A12864" t="s">
        <v>50722</v>
      </c>
    </row>
    <row r="12865" spans="1:1">
      <c r="A12865" t="s">
        <v>50723</v>
      </c>
    </row>
    <row r="12866" spans="1:1">
      <c r="A12866" t="s">
        <v>50522</v>
      </c>
    </row>
    <row r="12867" spans="1:1">
      <c r="A12867" t="s">
        <v>50724</v>
      </c>
    </row>
    <row r="12868" spans="1:1">
      <c r="A12868" t="s">
        <v>41057</v>
      </c>
    </row>
    <row r="12869" spans="1:1">
      <c r="A12869" t="s">
        <v>41057</v>
      </c>
    </row>
    <row r="12870" spans="1:1">
      <c r="A12870" t="s">
        <v>41057</v>
      </c>
    </row>
    <row r="12871" spans="1:1">
      <c r="A12871" t="s">
        <v>41057</v>
      </c>
    </row>
    <row r="12872" spans="1:1">
      <c r="A12872" t="s">
        <v>41057</v>
      </c>
    </row>
    <row r="12873" spans="1:1">
      <c r="A12873" t="s">
        <v>41057</v>
      </c>
    </row>
    <row r="12874" spans="1:1">
      <c r="A12874" t="s">
        <v>41057</v>
      </c>
    </row>
    <row r="12875" spans="1:1">
      <c r="A12875" t="s">
        <v>41057</v>
      </c>
    </row>
    <row r="12876" spans="1:1">
      <c r="A12876" t="s">
        <v>41057</v>
      </c>
    </row>
    <row r="12877" spans="1:1">
      <c r="A12877" t="s">
        <v>50725</v>
      </c>
    </row>
    <row r="12878" spans="1:1">
      <c r="A12878" t="s">
        <v>41057</v>
      </c>
    </row>
    <row r="12879" spans="1:1">
      <c r="A12879" t="s">
        <v>41057</v>
      </c>
    </row>
    <row r="12880" spans="1:1">
      <c r="A12880" t="s">
        <v>41057</v>
      </c>
    </row>
    <row r="12881" spans="1:1">
      <c r="A12881" t="s">
        <v>41057</v>
      </c>
    </row>
    <row r="12882" spans="1:1">
      <c r="A12882" t="s">
        <v>41057</v>
      </c>
    </row>
    <row r="12883" spans="1:1">
      <c r="A12883" t="s">
        <v>50726</v>
      </c>
    </row>
    <row r="12884" spans="1:1">
      <c r="A12884" t="s">
        <v>50727</v>
      </c>
    </row>
    <row r="12885" spans="1:1">
      <c r="A12885" t="s">
        <v>41057</v>
      </c>
    </row>
    <row r="12886" spans="1:1">
      <c r="A12886" t="s">
        <v>41057</v>
      </c>
    </row>
    <row r="12887" spans="1:1">
      <c r="A12887" t="s">
        <v>50270</v>
      </c>
    </row>
    <row r="12888" spans="1:1">
      <c r="A12888" t="s">
        <v>50728</v>
      </c>
    </row>
    <row r="12889" spans="1:1">
      <c r="A12889" t="s">
        <v>41057</v>
      </c>
    </row>
    <row r="12890" spans="1:1">
      <c r="A12890" t="s">
        <v>41057</v>
      </c>
    </row>
    <row r="12891" spans="1:1">
      <c r="A12891" t="s">
        <v>41057</v>
      </c>
    </row>
    <row r="12892" spans="1:1">
      <c r="A12892" t="s">
        <v>41057</v>
      </c>
    </row>
    <row r="12893" spans="1:1">
      <c r="A12893" t="s">
        <v>41057</v>
      </c>
    </row>
    <row r="12894" spans="1:1">
      <c r="A12894" t="s">
        <v>41057</v>
      </c>
    </row>
    <row r="12895" spans="1:1">
      <c r="A12895" t="s">
        <v>41057</v>
      </c>
    </row>
    <row r="12896" spans="1:1">
      <c r="A12896" t="s">
        <v>41057</v>
      </c>
    </row>
    <row r="12897" spans="1:1">
      <c r="A12897" t="s">
        <v>41057</v>
      </c>
    </row>
    <row r="12898" spans="1:1">
      <c r="A12898" t="s">
        <v>41057</v>
      </c>
    </row>
    <row r="12899" spans="1:1">
      <c r="A12899" t="s">
        <v>41057</v>
      </c>
    </row>
    <row r="12900" spans="1:1">
      <c r="A12900" t="e" cm="1">
        <f t="array" ref="A12900">-----------------------------------------------TDSL--------F</f>
        <v>#NAME?</v>
      </c>
    </row>
    <row r="12901" spans="1:1">
      <c r="A12901" t="s">
        <v>41087</v>
      </c>
    </row>
    <row r="12902" spans="1:1">
      <c r="A12902" t="s">
        <v>41057</v>
      </c>
    </row>
    <row r="12903" spans="1:1">
      <c r="A12903" t="e" cm="1">
        <f t="array" ref="A12903">--H-VKKDFKS-----------------------------------LEEKK-------EE</f>
        <v>#NAME?</v>
      </c>
    </row>
    <row r="12904" spans="1:1">
      <c r="A12904" t="s">
        <v>50729</v>
      </c>
    </row>
    <row r="12905" spans="1:1">
      <c r="A12905" t="s">
        <v>50730</v>
      </c>
    </row>
    <row r="12906" spans="1:1">
      <c r="A12906" t="s">
        <v>50731</v>
      </c>
    </row>
    <row r="12907" spans="1:1">
      <c r="A12907" t="s">
        <v>50732</v>
      </c>
    </row>
    <row r="12908" spans="1:1">
      <c r="A12908" t="s">
        <v>50733</v>
      </c>
    </row>
    <row r="12909" spans="1:1">
      <c r="A12909" t="s">
        <v>50734</v>
      </c>
    </row>
    <row r="12910" spans="1:1">
      <c r="A12910" t="s">
        <v>50735</v>
      </c>
    </row>
    <row r="12911" spans="1:1">
      <c r="A12911" t="s">
        <v>41057</v>
      </c>
    </row>
    <row r="12912" spans="1:1">
      <c r="A12912" t="s">
        <v>41057</v>
      </c>
    </row>
    <row r="12913" spans="1:1">
      <c r="A12913" t="s">
        <v>41057</v>
      </c>
    </row>
    <row r="12914" spans="1:1">
      <c r="A12914" t="s">
        <v>41057</v>
      </c>
    </row>
    <row r="12915" spans="1:1">
      <c r="A12915" t="s">
        <v>41057</v>
      </c>
    </row>
    <row r="12916" spans="1:1">
      <c r="A12916" t="s">
        <v>41057</v>
      </c>
    </row>
    <row r="12917" spans="1:1">
      <c r="A12917" t="s">
        <v>41057</v>
      </c>
    </row>
    <row r="12918" spans="1:1">
      <c r="A12918" t="s">
        <v>41057</v>
      </c>
    </row>
    <row r="12919" spans="1:1">
      <c r="A12919" t="s">
        <v>41057</v>
      </c>
    </row>
    <row r="12920" spans="1:1">
      <c r="A12920" t="s">
        <v>41057</v>
      </c>
    </row>
    <row r="12921" spans="1:1">
      <c r="A12921" t="s">
        <v>41057</v>
      </c>
    </row>
    <row r="12922" spans="1:1">
      <c r="A12922" t="s">
        <v>41057</v>
      </c>
    </row>
    <row r="12923" spans="1:1">
      <c r="A12923" t="s">
        <v>41057</v>
      </c>
    </row>
    <row r="12924" spans="1:1">
      <c r="A12924" t="s">
        <v>41057</v>
      </c>
    </row>
    <row r="12925" spans="1:1">
      <c r="A12925" t="s">
        <v>41057</v>
      </c>
    </row>
    <row r="12926" spans="1:1">
      <c r="A12926" t="s">
        <v>41057</v>
      </c>
    </row>
    <row r="12927" spans="1:1">
      <c r="A12927" t="s">
        <v>41057</v>
      </c>
    </row>
    <row r="12928" spans="1:1">
      <c r="A12928" t="s">
        <v>45870</v>
      </c>
    </row>
    <row r="12929" spans="1:1">
      <c r="A12929" t="s">
        <v>45294</v>
      </c>
    </row>
    <row r="12930" spans="1:1">
      <c r="A12930" t="s">
        <v>41057</v>
      </c>
    </row>
    <row r="12931" spans="1:1">
      <c r="A12931" t="s">
        <v>41057</v>
      </c>
    </row>
    <row r="12932" spans="1:1">
      <c r="A12932" t="s">
        <v>41057</v>
      </c>
    </row>
    <row r="12933" spans="1:1">
      <c r="A12933" t="s">
        <v>41057</v>
      </c>
    </row>
    <row r="12934" spans="1:1">
      <c r="A12934" t="s">
        <v>50736</v>
      </c>
    </row>
    <row r="12935" spans="1:1">
      <c r="A12935" t="e" cm="1">
        <f t="array" ref="A12935">-----------------------------------------NMSDTISA-SGD--AGGGD</f>
        <v>#NAME?</v>
      </c>
    </row>
    <row r="12936" spans="1:1">
      <c r="A12936" t="s">
        <v>50737</v>
      </c>
    </row>
    <row r="12937" spans="1:1">
      <c r="A12937" t="s">
        <v>50738</v>
      </c>
    </row>
    <row r="12938" spans="1:1">
      <c r="A12938" t="e" cm="1">
        <f t="array" ref="A12938">--------KTSTYEQIKEQR---EKQIKELKDEEEARKLRGGADSRRPIKQWPYRINEER</f>
        <v>#NAME?</v>
      </c>
    </row>
    <row r="12939" spans="1:1">
      <c r="A12939" t="s">
        <v>50739</v>
      </c>
    </row>
    <row r="12940" spans="1:1">
      <c r="A12940" t="e" cm="1">
        <f t="array" ref="A12940">--------RPGM---YVQV--RQGNDAESAIPSSYEFAHPVFKAW-L-ENTLAFYACVPA</f>
        <v>#NAME?</v>
      </c>
    </row>
    <row r="12941" spans="1:1">
      <c r="A12941" t="s">
        <v>50740</v>
      </c>
    </row>
    <row r="12942" spans="1:1">
      <c r="A12942" t="e" cm="1">
        <f t="array" ref="A12942">------------VSVHRTIGVFK----PKRLWWYAT-------FPSEAARQTAARGLTPY</f>
        <v>#NAME?</v>
      </c>
    </row>
    <row r="12943" spans="1:1">
      <c r="A12943" t="s">
        <v>50741</v>
      </c>
    </row>
    <row r="12944" spans="1:1">
      <c r="A12944" t="s">
        <v>50742</v>
      </c>
    </row>
    <row r="12945" spans="1:1">
      <c r="A12945" t="e" cm="1">
        <f t="array" ref="A12945">-----RISPDLQARIPIKS---------A--VALDRELLAAL--SG-TVR------RPHF</f>
        <v>#NAME?</v>
      </c>
    </row>
    <row r="12946" spans="1:1">
      <c r="A12946" t="s">
        <v>50743</v>
      </c>
    </row>
    <row r="12947" spans="1:1">
      <c r="A12947" t="s">
        <v>50744</v>
      </c>
    </row>
    <row r="12948" spans="1:1">
      <c r="A12948" t="s">
        <v>50745</v>
      </c>
    </row>
    <row r="12949" spans="1:1">
      <c r="A12949" t="s">
        <v>41057</v>
      </c>
    </row>
    <row r="12950" spans="1:1">
      <c r="A12950" t="s">
        <v>41057</v>
      </c>
    </row>
    <row r="12951" spans="1:1">
      <c r="A12951" t="s">
        <v>41057</v>
      </c>
    </row>
    <row r="12952" spans="1:1">
      <c r="A12952" t="e" cm="1">
        <f t="array" ref="A12952">------------------------------VENDLGL-FSSSST--------------DD</f>
        <v>#NAME?</v>
      </c>
    </row>
    <row r="12953" spans="1:1">
      <c r="A12953" t="s">
        <v>50746</v>
      </c>
    </row>
    <row r="12954" spans="1:1">
      <c r="A12954" t="s">
        <v>46798</v>
      </c>
    </row>
    <row r="12955" spans="1:1">
      <c r="A12955" t="s">
        <v>50747</v>
      </c>
    </row>
    <row r="12956" spans="1:1">
      <c r="A12956" t="e" cm="1">
        <f t="array" ref="A12956">---DDKVMFWRGYMN-------------------------------------PATRTQ-V</f>
        <v>#NAME?</v>
      </c>
    </row>
    <row r="12957" spans="1:1">
      <c r="A12957" t="s">
        <v>50748</v>
      </c>
    </row>
    <row r="12958" spans="1:1">
      <c r="A12958" t="e" cm="1">
        <f t="array" ref="A12958">--------------------------------------RSTLLYKALKTGSRGDNILLRY</f>
        <v>#NAME?</v>
      </c>
    </row>
    <row r="12959" spans="1:1">
      <c r="A12959" t="s">
        <v>50749</v>
      </c>
    </row>
    <row r="12960" spans="1:1">
      <c r="A12960" t="s">
        <v>50750</v>
      </c>
    </row>
    <row r="12961" spans="1:1">
      <c r="A12961" t="e" cm="1">
        <f t="array" ref="A12961">----------------------------------EKGSGLDVVAAA-------------M</f>
        <v>#NAME?</v>
      </c>
    </row>
    <row r="12962" spans="1:1">
      <c r="A12962" t="s">
        <v>50751</v>
      </c>
    </row>
    <row r="12963" spans="1:1">
      <c r="A12963" t="s">
        <v>50752</v>
      </c>
    </row>
    <row r="12964" spans="1:1">
      <c r="A12964" t="e" cm="1">
        <f t="array" ref="A12964">-------------------------RPE-------------------------------G</f>
        <v>#NAME?</v>
      </c>
    </row>
    <row r="12965" spans="1:1">
      <c r="A12965" t="s">
        <v>50753</v>
      </c>
    </row>
    <row r="12966" spans="1:1">
      <c r="A12966" t="s">
        <v>41057</v>
      </c>
    </row>
    <row r="12967" spans="1:1">
      <c r="A12967" t="s">
        <v>47081</v>
      </c>
    </row>
    <row r="12968" spans="1:1">
      <c r="A12968" t="e" cm="1">
        <f t="array" ref="A12968">--------------YSLQDSR-----------------VT--------AAVIREQ-GLLP</f>
        <v>#NAME?</v>
      </c>
    </row>
    <row r="12969" spans="1:1">
      <c r="A12969" t="s">
        <v>50754</v>
      </c>
    </row>
    <row r="12970" spans="1:1">
      <c r="A12970" t="s">
        <v>50755</v>
      </c>
    </row>
    <row r="12971" spans="1:1">
      <c r="A12971" t="s">
        <v>41057</v>
      </c>
    </row>
    <row r="12972" spans="1:1">
      <c r="A12972" t="s">
        <v>41057</v>
      </c>
    </row>
    <row r="12973" spans="1:1">
      <c r="A12973" t="e" cm="1">
        <f t="array" ref="A12973">-----------KGKYE--------------------------------GGYV-FNPSGRV</f>
        <v>#NAME?</v>
      </c>
    </row>
    <row r="12974" spans="1:1">
      <c r="A12974" t="s">
        <v>50756</v>
      </c>
    </row>
    <row r="12975" spans="1:1">
      <c r="A12975" t="s">
        <v>41057</v>
      </c>
    </row>
    <row r="12976" spans="1:1">
      <c r="A12976" t="s">
        <v>41057</v>
      </c>
    </row>
    <row r="12977" spans="1:1">
      <c r="A12977" t="s">
        <v>41057</v>
      </c>
    </row>
    <row r="12978" spans="1:1">
      <c r="A12978" t="s">
        <v>41057</v>
      </c>
    </row>
    <row r="12979" spans="1:1">
      <c r="A12979" t="s">
        <v>41057</v>
      </c>
    </row>
    <row r="12980" spans="1:1">
      <c r="A12980" t="s">
        <v>41057</v>
      </c>
    </row>
    <row r="12981" spans="1:1">
      <c r="A12981" t="s">
        <v>41057</v>
      </c>
    </row>
    <row r="12982" spans="1:1">
      <c r="A12982" t="s">
        <v>41057</v>
      </c>
    </row>
    <row r="12983" spans="1:1">
      <c r="A12983" t="s">
        <v>50757</v>
      </c>
    </row>
    <row r="12984" spans="1:1">
      <c r="A12984" t="s">
        <v>50758</v>
      </c>
    </row>
    <row r="12985" spans="1:1">
      <c r="A12985" t="s">
        <v>50759</v>
      </c>
    </row>
    <row r="12986" spans="1:1">
      <c r="A12986" t="s">
        <v>41057</v>
      </c>
    </row>
    <row r="12987" spans="1:1">
      <c r="A12987" t="s">
        <v>41057</v>
      </c>
    </row>
    <row r="12988" spans="1:1">
      <c r="A12988" t="s">
        <v>50760</v>
      </c>
    </row>
    <row r="12989" spans="1:1">
      <c r="A12989" t="s">
        <v>41057</v>
      </c>
    </row>
    <row r="12990" spans="1:1">
      <c r="A12990" t="s">
        <v>50761</v>
      </c>
    </row>
    <row r="12991" spans="1:1">
      <c r="A12991" t="s">
        <v>41057</v>
      </c>
    </row>
    <row r="12992" spans="1:1">
      <c r="A12992" t="s">
        <v>50762</v>
      </c>
    </row>
    <row r="12993" spans="1:1">
      <c r="A12993" t="s">
        <v>50763</v>
      </c>
    </row>
    <row r="12994" spans="1:1">
      <c r="A12994" t="s">
        <v>50764</v>
      </c>
    </row>
    <row r="12995" spans="1:1">
      <c r="A12995" t="s">
        <v>50765</v>
      </c>
    </row>
    <row r="12996" spans="1:1">
      <c r="A12996" t="s">
        <v>41057</v>
      </c>
    </row>
    <row r="12997" spans="1:1">
      <c r="A12997" t="s">
        <v>41057</v>
      </c>
    </row>
    <row r="12998" spans="1:1">
      <c r="A12998" t="s">
        <v>41057</v>
      </c>
    </row>
    <row r="12999" spans="1:1">
      <c r="A12999" t="s">
        <v>41057</v>
      </c>
    </row>
    <row r="13000" spans="1:1">
      <c r="A13000" t="s">
        <v>41057</v>
      </c>
    </row>
    <row r="13001" spans="1:1">
      <c r="A13001" t="s">
        <v>41057</v>
      </c>
    </row>
    <row r="13002" spans="1:1">
      <c r="A13002" t="s">
        <v>41057</v>
      </c>
    </row>
    <row r="13003" spans="1:1">
      <c r="A13003" t="s">
        <v>41057</v>
      </c>
    </row>
    <row r="13004" spans="1:1">
      <c r="A13004" t="s">
        <v>41057</v>
      </c>
    </row>
    <row r="13005" spans="1:1">
      <c r="A13005" t="s">
        <v>50766</v>
      </c>
    </row>
    <row r="13006" spans="1:1">
      <c r="A13006" t="s">
        <v>41057</v>
      </c>
    </row>
    <row r="13007" spans="1:1">
      <c r="A13007" t="s">
        <v>41057</v>
      </c>
    </row>
    <row r="13008" spans="1:1">
      <c r="A13008" t="s">
        <v>41057</v>
      </c>
    </row>
    <row r="13009" spans="1:1">
      <c r="A13009" t="s">
        <v>41057</v>
      </c>
    </row>
    <row r="13010" spans="1:1">
      <c r="A13010" t="s">
        <v>41057</v>
      </c>
    </row>
    <row r="13011" spans="1:1">
      <c r="A13011" t="s">
        <v>50767</v>
      </c>
    </row>
    <row r="13012" spans="1:1">
      <c r="A13012" t="s">
        <v>50768</v>
      </c>
    </row>
    <row r="13013" spans="1:1">
      <c r="A13013" t="s">
        <v>41057</v>
      </c>
    </row>
    <row r="13014" spans="1:1">
      <c r="A13014" t="s">
        <v>41057</v>
      </c>
    </row>
    <row r="13015" spans="1:1">
      <c r="A13015" t="s">
        <v>41057</v>
      </c>
    </row>
    <row r="13016" spans="1:1">
      <c r="A13016" t="s">
        <v>50769</v>
      </c>
    </row>
    <row r="13017" spans="1:1">
      <c r="A13017" t="s">
        <v>41057</v>
      </c>
    </row>
    <row r="13018" spans="1:1">
      <c r="A13018" t="s">
        <v>41057</v>
      </c>
    </row>
    <row r="13019" spans="1:1">
      <c r="A13019" t="s">
        <v>41057</v>
      </c>
    </row>
    <row r="13020" spans="1:1">
      <c r="A13020" t="s">
        <v>41057</v>
      </c>
    </row>
    <row r="13021" spans="1:1">
      <c r="A13021" t="s">
        <v>41057</v>
      </c>
    </row>
    <row r="13022" spans="1:1">
      <c r="A13022" t="s">
        <v>41057</v>
      </c>
    </row>
    <row r="13023" spans="1:1">
      <c r="A13023" t="s">
        <v>41057</v>
      </c>
    </row>
    <row r="13024" spans="1:1">
      <c r="A13024" t="s">
        <v>41057</v>
      </c>
    </row>
    <row r="13025" spans="1:1">
      <c r="A13025" t="s">
        <v>41057</v>
      </c>
    </row>
    <row r="13026" spans="1:1">
      <c r="A13026" t="s">
        <v>41057</v>
      </c>
    </row>
    <row r="13027" spans="1:1">
      <c r="A13027" t="s">
        <v>41057</v>
      </c>
    </row>
    <row r="13028" spans="1:1">
      <c r="A13028" t="e" cm="1">
        <f t="array" ref="A13028">-----------------------------------------------TDSI--------Y</f>
        <v>#NAME?</v>
      </c>
    </row>
    <row r="13029" spans="1:1">
      <c r="A13029" t="s">
        <v>41087</v>
      </c>
    </row>
    <row r="13030" spans="1:1">
      <c r="A13030" t="s">
        <v>50770</v>
      </c>
    </row>
    <row r="13031" spans="1:1">
      <c r="A13031" t="e" cm="1">
        <f t="array" ref="A13031">--------REAL---------------------------LTA--MC-------------F</f>
        <v>#NAME?</v>
      </c>
    </row>
    <row r="13032" spans="1:1">
      <c r="A13032" t="s">
        <v>50771</v>
      </c>
    </row>
    <row r="13033" spans="1:1">
      <c r="A13033" t="e" cm="1">
        <f t="array" ref="A13033">--------KM------RQETEG-IFGVGYF----------I-KPKTYV--CIGFDAAGDG</f>
        <v>#NAME?</v>
      </c>
    </row>
    <row r="13034" spans="1:1">
      <c r="A13034" t="s">
        <v>50772</v>
      </c>
    </row>
    <row r="13035" spans="1:1">
      <c r="A13035" t="s">
        <v>50773</v>
      </c>
    </row>
    <row r="13036" spans="1:1">
      <c r="A13036" t="e" cm="1">
        <f t="array" ref="A13036">---------EIRSMV----PPPDDPKMARA-AWAWTLPEE--------ARTGLGEAIALL</f>
        <v>#NAME?</v>
      </c>
    </row>
    <row r="13037" spans="1:1">
      <c r="A13037" t="s">
        <v>50774</v>
      </c>
    </row>
    <row r="13038" spans="1:1">
      <c r="A13038" t="s">
        <v>50775</v>
      </c>
    </row>
    <row r="13039" spans="1:1">
      <c r="A13039" t="e" cm="1">
        <f t="array" ref="A13039">-------------EI------------------------KAPA--SYSEKTA-------E</f>
        <v>#NAME?</v>
      </c>
    </row>
    <row r="13040" spans="1:1">
      <c r="A13040" t="s">
        <v>50776</v>
      </c>
    </row>
    <row r="13041" spans="1:1">
      <c r="A13041" t="s">
        <v>50777</v>
      </c>
    </row>
    <row r="13042" spans="1:1">
      <c r="A13042" t="s">
        <v>50778</v>
      </c>
    </row>
    <row r="13043" spans="1:1">
      <c r="A13043" t="s">
        <v>50779</v>
      </c>
    </row>
    <row r="13044" spans="1:1">
      <c r="A13044" t="s">
        <v>50780</v>
      </c>
    </row>
    <row r="13045" spans="1:1">
      <c r="A13045" t="s">
        <v>50781</v>
      </c>
    </row>
    <row r="13046" spans="1:1">
      <c r="A13046" t="s">
        <v>50782</v>
      </c>
    </row>
    <row r="13047" spans="1:1">
      <c r="A13047" t="s">
        <v>50783</v>
      </c>
    </row>
    <row r="13048" spans="1:1">
      <c r="A13048" t="e" cm="1">
        <f t="array" ref="A13048">----------------------------------------------DVLVREASL--TYE</f>
        <v>#NAME?</v>
      </c>
    </row>
    <row r="13049" spans="1:1">
      <c r="A13049" t="s">
        <v>50784</v>
      </c>
    </row>
    <row r="13050" spans="1:1">
      <c r="A13050" t="s">
        <v>50785</v>
      </c>
    </row>
    <row r="13051" spans="1:1">
      <c r="A13051" t="s">
        <v>50786</v>
      </c>
    </row>
    <row r="13052" spans="1:1">
      <c r="A13052" t="s">
        <v>50787</v>
      </c>
    </row>
    <row r="13053" spans="1:1">
      <c r="A13053" t="s">
        <v>41057</v>
      </c>
    </row>
    <row r="13054" spans="1:1">
      <c r="A13054" t="e" cm="1">
        <f t="array" ref="A13054">----------------DHDDIDEAIKRDAAA----------------------------A</f>
        <v>#NAME?</v>
      </c>
    </row>
    <row r="13055" spans="1:1">
      <c r="A13055" t="s">
        <v>50788</v>
      </c>
    </row>
    <row r="13056" spans="1:1">
      <c r="A13056" t="s">
        <v>50789</v>
      </c>
    </row>
    <row r="13057" spans="1:1">
      <c r="A13057" t="s">
        <v>44053</v>
      </c>
    </row>
    <row r="13058" spans="1:1">
      <c r="A13058" t="s">
        <v>41057</v>
      </c>
    </row>
    <row r="13059" spans="1:1">
      <c r="A13059" t="s">
        <v>41057</v>
      </c>
    </row>
    <row r="13060" spans="1:1">
      <c r="A13060" t="s">
        <v>50790</v>
      </c>
    </row>
    <row r="13061" spans="1:1">
      <c r="A13061" t="s">
        <v>41057</v>
      </c>
    </row>
    <row r="13062" spans="1:1">
      <c r="A13062" t="s">
        <v>50791</v>
      </c>
    </row>
    <row r="13063" spans="1:1">
      <c r="A13063" t="s">
        <v>50792</v>
      </c>
    </row>
    <row r="13064" spans="1:1">
      <c r="A13064" t="s">
        <v>50793</v>
      </c>
    </row>
    <row r="13065" spans="1:1">
      <c r="A13065" t="s">
        <v>41057</v>
      </c>
    </row>
    <row r="13066" spans="1:1">
      <c r="A13066" t="e" cm="1">
        <f t="array" ref="A13066">---YG-----------------------------------------------------GK</f>
        <v>#NAME?</v>
      </c>
    </row>
    <row r="13067" spans="1:1">
      <c r="A13067" t="s">
        <v>50794</v>
      </c>
    </row>
    <row r="13068" spans="1:1">
      <c r="A13068" t="s">
        <v>50795</v>
      </c>
    </row>
    <row r="13069" spans="1:1">
      <c r="A13069" t="s">
        <v>50796</v>
      </c>
    </row>
    <row r="13070" spans="1:1">
      <c r="A13070" t="s">
        <v>50797</v>
      </c>
    </row>
    <row r="13071" spans="1:1">
      <c r="A13071" t="s">
        <v>50798</v>
      </c>
    </row>
    <row r="13072" spans="1:1">
      <c r="A13072" t="e" cm="1">
        <f t="array" ref="A13072">--------------------------------------NVKYKANKKQQYQTANDDSGRP</f>
        <v>#NAME?</v>
      </c>
    </row>
    <row r="13073" spans="1:1">
      <c r="A13073" t="s">
        <v>50799</v>
      </c>
    </row>
    <row r="13074" spans="1:1">
      <c r="A13074" t="s">
        <v>50800</v>
      </c>
    </row>
    <row r="13075" spans="1:1">
      <c r="A13075" t="s">
        <v>50801</v>
      </c>
    </row>
    <row r="13076" spans="1:1">
      <c r="A13076" t="s">
        <v>41057</v>
      </c>
    </row>
    <row r="13077" spans="1:1">
      <c r="A13077" t="s">
        <v>41057</v>
      </c>
    </row>
    <row r="13078" spans="1:1">
      <c r="A13078" t="s">
        <v>41057</v>
      </c>
    </row>
    <row r="13079" spans="1:1">
      <c r="A13079" t="s">
        <v>41057</v>
      </c>
    </row>
    <row r="13080" spans="1:1">
      <c r="A13080" t="s">
        <v>50802</v>
      </c>
    </row>
    <row r="13081" spans="1:1">
      <c r="A13081" t="s">
        <v>50803</v>
      </c>
    </row>
    <row r="13082" spans="1:1">
      <c r="A13082" t="s">
        <v>41057</v>
      </c>
    </row>
    <row r="13083" spans="1:1">
      <c r="A13083" t="s">
        <v>50804</v>
      </c>
    </row>
    <row r="13084" spans="1:1">
      <c r="A13084" t="e" cm="1">
        <f t="array" ref="A13084">---DWRVMFHKFKRY--------------------------------------------N</f>
        <v>#NAME?</v>
      </c>
    </row>
    <row r="13085" spans="1:1">
      <c r="A13085" t="s">
        <v>50805</v>
      </c>
    </row>
    <row r="13086" spans="1:1">
      <c r="A13086" t="e" cm="1">
        <f t="array" ref="A13086">-------------------------------------ERKFFTREQIKINAEK-THISDY</f>
        <v>#NAME?</v>
      </c>
    </row>
    <row r="13087" spans="1:1">
      <c r="A13087" t="s">
        <v>50806</v>
      </c>
    </row>
    <row r="13088" spans="1:1">
      <c r="A13088" t="s">
        <v>50807</v>
      </c>
    </row>
    <row r="13089" spans="1:1">
      <c r="A13089" t="s">
        <v>41057</v>
      </c>
    </row>
    <row r="13090" spans="1:1">
      <c r="A13090" t="s">
        <v>50808</v>
      </c>
    </row>
    <row r="13091" spans="1:1">
      <c r="A13091" t="s">
        <v>50809</v>
      </c>
    </row>
    <row r="13092" spans="1:1">
      <c r="A13092" t="s">
        <v>50810</v>
      </c>
    </row>
    <row r="13093" spans="1:1">
      <c r="A13093" t="s">
        <v>50811</v>
      </c>
    </row>
    <row r="13094" spans="1:1">
      <c r="A13094" t="e" cm="1">
        <f t="array" ref="A13094">---------------------------------------------------------RCD</f>
        <v>#NAME?</v>
      </c>
    </row>
    <row r="13095" spans="1:1">
      <c r="A13095" t="s">
        <v>50812</v>
      </c>
    </row>
    <row r="13096" spans="1:1">
      <c r="A13096" t="s">
        <v>50813</v>
      </c>
    </row>
    <row r="13097" spans="1:1">
      <c r="A13097" t="s">
        <v>50814</v>
      </c>
    </row>
    <row r="13098" spans="1:1">
      <c r="A13098" t="s">
        <v>50815</v>
      </c>
    </row>
    <row r="13099" spans="1:1">
      <c r="A13099" t="s">
        <v>41057</v>
      </c>
    </row>
    <row r="13100" spans="1:1">
      <c r="A13100" t="s">
        <v>41057</v>
      </c>
    </row>
    <row r="13101" spans="1:1">
      <c r="A13101" t="e" cm="1">
        <f t="array" ref="A13101">--------------YP--------------------------------GAWV-FPPKYGY</f>
        <v>#NAME?</v>
      </c>
    </row>
    <row r="13102" spans="1:1">
      <c r="A13102" t="s">
        <v>50816</v>
      </c>
    </row>
    <row r="13103" spans="1:1">
      <c r="A13103" t="s">
        <v>41057</v>
      </c>
    </row>
    <row r="13104" spans="1:1">
      <c r="A13104" t="s">
        <v>41057</v>
      </c>
    </row>
    <row r="13105" spans="1:1">
      <c r="A13105" t="s">
        <v>41057</v>
      </c>
    </row>
    <row r="13106" spans="1:1">
      <c r="A13106" t="s">
        <v>41057</v>
      </c>
    </row>
    <row r="13107" spans="1:1">
      <c r="A13107" t="s">
        <v>41057</v>
      </c>
    </row>
    <row r="13108" spans="1:1">
      <c r="A13108" t="s">
        <v>41057</v>
      </c>
    </row>
    <row r="13109" spans="1:1">
      <c r="A13109" t="s">
        <v>41057</v>
      </c>
    </row>
    <row r="13110" spans="1:1">
      <c r="A13110" t="s">
        <v>41057</v>
      </c>
    </row>
    <row r="13111" spans="1:1">
      <c r="A13111" t="s">
        <v>50817</v>
      </c>
    </row>
    <row r="13112" spans="1:1">
      <c r="A13112" t="s">
        <v>50818</v>
      </c>
    </row>
    <row r="13113" spans="1:1">
      <c r="A13113" t="s">
        <v>50819</v>
      </c>
    </row>
    <row r="13114" spans="1:1">
      <c r="A13114" t="s">
        <v>50820</v>
      </c>
    </row>
    <row r="13115" spans="1:1">
      <c r="A13115" t="s">
        <v>50821</v>
      </c>
    </row>
    <row r="13116" spans="1:1">
      <c r="A13116" t="s">
        <v>50822</v>
      </c>
    </row>
    <row r="13117" spans="1:1">
      <c r="A13117" t="s">
        <v>50823</v>
      </c>
    </row>
    <row r="13118" spans="1:1">
      <c r="A13118" t="s">
        <v>50824</v>
      </c>
    </row>
    <row r="13119" spans="1:1">
      <c r="A13119" t="e" cm="1">
        <f t="array" ref="A13119">--PIRAE---WTAPVEETPADIRAT-----------IDEAKAAGAKVLREVKYLPKPSRE</f>
        <v>#NAME?</v>
      </c>
    </row>
    <row r="13120" spans="1:1">
      <c r="A13120" t="s">
        <v>50825</v>
      </c>
    </row>
    <row r="13121" spans="1:1">
      <c r="A13121" t="s">
        <v>50826</v>
      </c>
    </row>
    <row r="13122" spans="1:1">
      <c r="A13122" t="s">
        <v>50827</v>
      </c>
    </row>
    <row r="13123" spans="1:1">
      <c r="A13123" t="s">
        <v>50828</v>
      </c>
    </row>
    <row r="13124" spans="1:1">
      <c r="A13124" t="s">
        <v>41057</v>
      </c>
    </row>
    <row r="13125" spans="1:1">
      <c r="A13125" t="s">
        <v>41057</v>
      </c>
    </row>
    <row r="13126" spans="1:1">
      <c r="A13126" t="s">
        <v>41057</v>
      </c>
    </row>
    <row r="13127" spans="1:1">
      <c r="A13127" t="s">
        <v>41057</v>
      </c>
    </row>
    <row r="13128" spans="1:1">
      <c r="A13128" t="s">
        <v>41057</v>
      </c>
    </row>
    <row r="13129" spans="1:1">
      <c r="A13129" t="s">
        <v>41057</v>
      </c>
    </row>
    <row r="13130" spans="1:1">
      <c r="A13130" t="s">
        <v>41057</v>
      </c>
    </row>
    <row r="13131" spans="1:1">
      <c r="A13131" t="s">
        <v>41057</v>
      </c>
    </row>
    <row r="13132" spans="1:1">
      <c r="A13132" t="s">
        <v>41057</v>
      </c>
    </row>
    <row r="13133" spans="1:1">
      <c r="A13133" t="s">
        <v>50829</v>
      </c>
    </row>
    <row r="13134" spans="1:1">
      <c r="A13134" t="s">
        <v>41057</v>
      </c>
    </row>
    <row r="13135" spans="1:1">
      <c r="A13135" t="s">
        <v>41057</v>
      </c>
    </row>
    <row r="13136" spans="1:1">
      <c r="A13136" t="s">
        <v>41057</v>
      </c>
    </row>
    <row r="13137" spans="1:1">
      <c r="A13137" t="s">
        <v>41057</v>
      </c>
    </row>
    <row r="13138" spans="1:1">
      <c r="A13138" t="s">
        <v>41057</v>
      </c>
    </row>
    <row r="13139" spans="1:1">
      <c r="A13139" t="s">
        <v>50830</v>
      </c>
    </row>
    <row r="13140" spans="1:1">
      <c r="A13140" t="s">
        <v>50831</v>
      </c>
    </row>
    <row r="13141" spans="1:1">
      <c r="A13141" t="s">
        <v>41057</v>
      </c>
    </row>
    <row r="13142" spans="1:1">
      <c r="A13142" t="s">
        <v>41057</v>
      </c>
    </row>
    <row r="13143" spans="1:1">
      <c r="A13143" t="s">
        <v>41057</v>
      </c>
    </row>
    <row r="13144" spans="1:1">
      <c r="A13144" t="s">
        <v>50832</v>
      </c>
    </row>
    <row r="13145" spans="1:1">
      <c r="A13145" t="s">
        <v>41057</v>
      </c>
    </row>
    <row r="13146" spans="1:1">
      <c r="A13146" t="s">
        <v>41057</v>
      </c>
    </row>
    <row r="13147" spans="1:1">
      <c r="A13147" t="s">
        <v>41057</v>
      </c>
    </row>
    <row r="13148" spans="1:1">
      <c r="A13148" t="s">
        <v>41057</v>
      </c>
    </row>
    <row r="13149" spans="1:1">
      <c r="A13149" t="s">
        <v>41057</v>
      </c>
    </row>
    <row r="13150" spans="1:1">
      <c r="A13150" t="s">
        <v>41057</v>
      </c>
    </row>
    <row r="13151" spans="1:1">
      <c r="A13151" t="s">
        <v>41057</v>
      </c>
    </row>
    <row r="13152" spans="1:1">
      <c r="A13152" t="s">
        <v>41057</v>
      </c>
    </row>
    <row r="13153" spans="1:1">
      <c r="A13153" t="s">
        <v>41057</v>
      </c>
    </row>
    <row r="13154" spans="1:1">
      <c r="A13154" t="s">
        <v>41057</v>
      </c>
    </row>
    <row r="13155" spans="1:1">
      <c r="A13155" t="s">
        <v>41057</v>
      </c>
    </row>
    <row r="13156" spans="1:1">
      <c r="A13156" t="e" cm="1">
        <f t="array" ref="A13156">-----------------------------------------------TDSM--------Y</f>
        <v>#NAME?</v>
      </c>
    </row>
    <row r="13157" spans="1:1">
      <c r="A13157" t="s">
        <v>45475</v>
      </c>
    </row>
    <row r="13158" spans="1:1">
      <c r="A13158" t="s">
        <v>50833</v>
      </c>
    </row>
    <row r="13159" spans="1:1">
      <c r="A13159" t="e" cm="1">
        <f t="array" ref="A13159">--AERSAEAKAANDD------ALLRRYREEYYATM----VQL----TMD---------RM</f>
        <v>#NAME?</v>
      </c>
    </row>
    <row r="13160" spans="1:1">
      <c r="A13160" t="s">
        <v>50834</v>
      </c>
    </row>
    <row r="13161" spans="1:1">
      <c r="A13161" t="s">
        <v>50835</v>
      </c>
    </row>
    <row r="13162" spans="1:1">
      <c r="A13162" t="s">
        <v>50836</v>
      </c>
    </row>
    <row r="13163" spans="1:1">
      <c r="A13163" t="s">
        <v>50837</v>
      </c>
    </row>
    <row r="13164" spans="1:1">
      <c r="A13164" t="s">
        <v>50838</v>
      </c>
    </row>
    <row r="13165" spans="1:1">
      <c r="A13165" t="s">
        <v>50839</v>
      </c>
    </row>
    <row r="13166" spans="1:1">
      <c r="A13166" t="s">
        <v>50840</v>
      </c>
    </row>
    <row r="13167" spans="1:1">
      <c r="A13167" t="s">
        <v>50841</v>
      </c>
    </row>
    <row r="13168" spans="1:1">
      <c r="A13168" t="s">
        <v>50842</v>
      </c>
    </row>
    <row r="13169" spans="1:1">
      <c r="A13169" t="s">
        <v>50843</v>
      </c>
    </row>
    <row r="13170" spans="1:1">
      <c r="A13170" t="e" cm="1">
        <f t="array" ref="A13170">-----------INQRGNKEKTT----------------KGDFMEY--------LDVYIAS</f>
        <v>#NAME?</v>
      </c>
    </row>
    <row r="13171" spans="1:1">
      <c r="A13171" t="s">
        <v>50844</v>
      </c>
    </row>
    <row r="13172" spans="1:1">
      <c r="A13172" t="e" cm="1">
        <f t="array" ref="A13172">------YF-----ER------------------SFITSFSRFICYHNSFAHP----NPID</f>
        <v>#NAME?</v>
      </c>
    </row>
    <row r="13173" spans="1:1">
      <c r="A13173" t="s">
        <v>50845</v>
      </c>
    </row>
    <row r="13174" spans="1:1">
      <c r="A13174" t="s">
        <v>50846</v>
      </c>
    </row>
    <row r="13175" spans="1:1">
      <c r="A13175" t="e" cm="1">
        <f t="array" ref="A13175">----CIAAGESMER--------SKPIIEPIYGKCGELPAMRLFELRKECLS-------NI</f>
        <v>#NAME?</v>
      </c>
    </row>
    <row r="13176" spans="1:1">
      <c r="A13176" t="s">
        <v>50847</v>
      </c>
    </row>
    <row r="13177" spans="1:1">
      <c r="A13177" t="s">
        <v>50848</v>
      </c>
    </row>
    <row r="13178" spans="1:1">
      <c r="A13178" t="s">
        <v>50849</v>
      </c>
    </row>
    <row r="13179" spans="1:1">
      <c r="A13179" t="s">
        <v>50850</v>
      </c>
    </row>
    <row r="13180" spans="1:1">
      <c r="A13180" t="e" cm="1">
        <f t="array" ref="A13180">------------EHVKAVTNYQPHEQD-LVIKFHNNVSK-------LITCYRLKTRNKIK</f>
        <v>#NAME?</v>
      </c>
    </row>
    <row r="13181" spans="1:1">
      <c r="A13181" t="s">
        <v>41057</v>
      </c>
    </row>
    <row r="13182" spans="1:1">
      <c r="A13182" t="s">
        <v>41057</v>
      </c>
    </row>
    <row r="13183" spans="1:1">
      <c r="A13183" t="e" cm="1">
        <f t="array" ref="A13183">---------------------------------------------------LSLVANAIK</f>
        <v>#NAME?</v>
      </c>
    </row>
    <row r="13184" spans="1:1">
      <c r="A13184" t="s">
        <v>50851</v>
      </c>
    </row>
    <row r="13185" spans="1:1">
      <c r="A13185" t="s">
        <v>44079</v>
      </c>
    </row>
    <row r="13186" spans="1:1">
      <c r="A13186" t="s">
        <v>41057</v>
      </c>
    </row>
    <row r="13187" spans="1:1">
      <c r="A13187" t="s">
        <v>41057</v>
      </c>
    </row>
    <row r="13188" spans="1:1">
      <c r="A13188" t="s">
        <v>50852</v>
      </c>
    </row>
    <row r="13189" spans="1:1">
      <c r="A13189" t="s">
        <v>41057</v>
      </c>
    </row>
    <row r="13190" spans="1:1">
      <c r="A13190" t="s">
        <v>50853</v>
      </c>
    </row>
    <row r="13191" spans="1:1">
      <c r="A13191" t="s">
        <v>50854</v>
      </c>
    </row>
    <row r="13192" spans="1:1">
      <c r="A13192" t="s">
        <v>50855</v>
      </c>
    </row>
    <row r="13193" spans="1:1">
      <c r="A13193" t="s">
        <v>41057</v>
      </c>
    </row>
    <row r="13194" spans="1:1">
      <c r="A13194" t="e" cm="1">
        <f t="array" ref="A13194">---YG-----------------------------------------------------GK</f>
        <v>#NAME?</v>
      </c>
    </row>
    <row r="13195" spans="1:1">
      <c r="A13195" t="s">
        <v>50856</v>
      </c>
    </row>
    <row r="13196" spans="1:1">
      <c r="A13196" t="s">
        <v>50857</v>
      </c>
    </row>
    <row r="13197" spans="1:1">
      <c r="A13197" t="s">
        <v>50858</v>
      </c>
    </row>
    <row r="13198" spans="1:1">
      <c r="A13198" t="s">
        <v>50859</v>
      </c>
    </row>
    <row r="13199" spans="1:1">
      <c r="A13199" t="s">
        <v>50860</v>
      </c>
    </row>
    <row r="13200" spans="1:1">
      <c r="A13200" t="e" cm="1">
        <f t="array" ref="A13200">--------------------------------------NEKYKANKKAQYCTANDDSGRP</f>
        <v>#NAME?</v>
      </c>
    </row>
    <row r="13201" spans="1:1">
      <c r="A13201" t="s">
        <v>50861</v>
      </c>
    </row>
    <row r="13202" spans="1:1">
      <c r="A13202" t="s">
        <v>50862</v>
      </c>
    </row>
    <row r="13203" spans="1:1">
      <c r="A13203" t="s">
        <v>50863</v>
      </c>
    </row>
    <row r="13204" spans="1:1">
      <c r="A13204" t="s">
        <v>41057</v>
      </c>
    </row>
    <row r="13205" spans="1:1">
      <c r="A13205" t="s">
        <v>41057</v>
      </c>
    </row>
    <row r="13206" spans="1:1">
      <c r="A13206" t="s">
        <v>41057</v>
      </c>
    </row>
    <row r="13207" spans="1:1">
      <c r="A13207" t="s">
        <v>41057</v>
      </c>
    </row>
    <row r="13208" spans="1:1">
      <c r="A13208" t="s">
        <v>50864</v>
      </c>
    </row>
    <row r="13209" spans="1:1">
      <c r="A13209" t="s">
        <v>50865</v>
      </c>
    </row>
    <row r="13210" spans="1:1">
      <c r="A13210" t="s">
        <v>41057</v>
      </c>
    </row>
    <row r="13211" spans="1:1">
      <c r="A13211" t="s">
        <v>50866</v>
      </c>
    </row>
    <row r="13212" spans="1:1">
      <c r="A13212" t="e" cm="1">
        <f t="array" ref="A13212">---DWRVMFHKFRRY--------------------------------------------A</f>
        <v>#NAME?</v>
      </c>
    </row>
    <row r="13213" spans="1:1">
      <c r="A13213" t="s">
        <v>50867</v>
      </c>
    </row>
    <row r="13214" spans="1:1">
      <c r="A13214" t="e" cm="1">
        <f t="array" ref="A13214">-------------------------------------EKKFFTREQIKINAEK-THISDY</f>
        <v>#NAME?</v>
      </c>
    </row>
    <row r="13215" spans="1:1">
      <c r="A13215" t="s">
        <v>50868</v>
      </c>
    </row>
    <row r="13216" spans="1:1">
      <c r="A13216" t="s">
        <v>50869</v>
      </c>
    </row>
    <row r="13217" spans="1:1">
      <c r="A13217" t="s">
        <v>41057</v>
      </c>
    </row>
    <row r="13218" spans="1:1">
      <c r="A13218" t="s">
        <v>50808</v>
      </c>
    </row>
    <row r="13219" spans="1:1">
      <c r="A13219" t="s">
        <v>50870</v>
      </c>
    </row>
    <row r="13220" spans="1:1">
      <c r="A13220" t="e" cm="1">
        <f t="array" ref="A13220">-------------------------PISRL-------WRIKRYCDALDSVKSCHC----G</f>
        <v>#NAME?</v>
      </c>
    </row>
    <row r="13221" spans="1:1">
      <c r="A13221" t="s">
        <v>50871</v>
      </c>
    </row>
    <row r="13222" spans="1:1">
      <c r="A13222" t="e" cm="1">
        <f t="array" ref="A13222">---------------------------------------------------------RRD</f>
        <v>#NAME?</v>
      </c>
    </row>
    <row r="13223" spans="1:1">
      <c r="A13223" t="s">
        <v>50812</v>
      </c>
    </row>
    <row r="13224" spans="1:1">
      <c r="A13224" t="s">
        <v>50872</v>
      </c>
    </row>
    <row r="13225" spans="1:1">
      <c r="A13225" t="s">
        <v>50873</v>
      </c>
    </row>
    <row r="13226" spans="1:1">
      <c r="A13226" t="s">
        <v>50815</v>
      </c>
    </row>
    <row r="13227" spans="1:1">
      <c r="A13227" t="s">
        <v>41057</v>
      </c>
    </row>
    <row r="13228" spans="1:1">
      <c r="A13228" t="s">
        <v>41057</v>
      </c>
    </row>
    <row r="13229" spans="1:1">
      <c r="A13229" t="e" cm="1">
        <f t="array" ref="A13229">--------------YP--------------------------------GAWV-FPPKYGY</f>
        <v>#NAME?</v>
      </c>
    </row>
    <row r="13230" spans="1:1">
      <c r="A13230" t="s">
        <v>50874</v>
      </c>
    </row>
    <row r="13231" spans="1:1">
      <c r="A13231" t="s">
        <v>41057</v>
      </c>
    </row>
    <row r="13232" spans="1:1">
      <c r="A13232" t="s">
        <v>41057</v>
      </c>
    </row>
    <row r="13233" spans="1:1">
      <c r="A13233" t="s">
        <v>41057</v>
      </c>
    </row>
    <row r="13234" spans="1:1">
      <c r="A13234" t="s">
        <v>41057</v>
      </c>
    </row>
    <row r="13235" spans="1:1">
      <c r="A13235" t="s">
        <v>41057</v>
      </c>
    </row>
    <row r="13236" spans="1:1">
      <c r="A13236" t="s">
        <v>41057</v>
      </c>
    </row>
    <row r="13237" spans="1:1">
      <c r="A13237" t="s">
        <v>41057</v>
      </c>
    </row>
    <row r="13238" spans="1:1">
      <c r="A13238" t="s">
        <v>41057</v>
      </c>
    </row>
    <row r="13239" spans="1:1">
      <c r="A13239" t="s">
        <v>50875</v>
      </c>
    </row>
    <row r="13240" spans="1:1">
      <c r="A13240" t="s">
        <v>50876</v>
      </c>
    </row>
    <row r="13241" spans="1:1">
      <c r="A13241" t="s">
        <v>50877</v>
      </c>
    </row>
    <row r="13242" spans="1:1">
      <c r="A13242" t="s">
        <v>50820</v>
      </c>
    </row>
    <row r="13243" spans="1:1">
      <c r="A13243" t="s">
        <v>50821</v>
      </c>
    </row>
    <row r="13244" spans="1:1">
      <c r="A13244" t="s">
        <v>50878</v>
      </c>
    </row>
    <row r="13245" spans="1:1">
      <c r="A13245" t="s">
        <v>50879</v>
      </c>
    </row>
    <row r="13246" spans="1:1">
      <c r="A13246" t="s">
        <v>50880</v>
      </c>
    </row>
    <row r="13247" spans="1:1">
      <c r="A13247" t="e" cm="1">
        <f t="array" ref="A13247">--PIRAE---WTAPVEETPADIHAE-----------VEAARVAGMEVLREVKYLPKPARS</f>
        <v>#NAME?</v>
      </c>
    </row>
    <row r="13248" spans="1:1">
      <c r="A13248" t="s">
        <v>50881</v>
      </c>
    </row>
    <row r="13249" spans="1:1">
      <c r="A13249" t="s">
        <v>50882</v>
      </c>
    </row>
    <row r="13250" spans="1:1">
      <c r="A13250" t="s">
        <v>50883</v>
      </c>
    </row>
    <row r="13251" spans="1:1">
      <c r="A13251" t="s">
        <v>50884</v>
      </c>
    </row>
    <row r="13252" spans="1:1">
      <c r="A13252" t="s">
        <v>41057</v>
      </c>
    </row>
    <row r="13253" spans="1:1">
      <c r="A13253" t="s">
        <v>41057</v>
      </c>
    </row>
    <row r="13254" spans="1:1">
      <c r="A13254" t="s">
        <v>41057</v>
      </c>
    </row>
    <row r="13255" spans="1:1">
      <c r="A13255" t="s">
        <v>41057</v>
      </c>
    </row>
    <row r="13256" spans="1:1">
      <c r="A13256" t="s">
        <v>41057</v>
      </c>
    </row>
    <row r="13257" spans="1:1">
      <c r="A13257" t="s">
        <v>41057</v>
      </c>
    </row>
    <row r="13258" spans="1:1">
      <c r="A13258" t="s">
        <v>41057</v>
      </c>
    </row>
    <row r="13259" spans="1:1">
      <c r="A13259" t="s">
        <v>41057</v>
      </c>
    </row>
    <row r="13260" spans="1:1">
      <c r="A13260" t="s">
        <v>41057</v>
      </c>
    </row>
    <row r="13261" spans="1:1">
      <c r="A13261" t="s">
        <v>50885</v>
      </c>
    </row>
    <row r="13262" spans="1:1">
      <c r="A13262" t="s">
        <v>41057</v>
      </c>
    </row>
    <row r="13263" spans="1:1">
      <c r="A13263" t="s">
        <v>41057</v>
      </c>
    </row>
    <row r="13264" spans="1:1">
      <c r="A13264" t="s">
        <v>41057</v>
      </c>
    </row>
    <row r="13265" spans="1:1">
      <c r="A13265" t="s">
        <v>41057</v>
      </c>
    </row>
    <row r="13266" spans="1:1">
      <c r="A13266" t="s">
        <v>41057</v>
      </c>
    </row>
    <row r="13267" spans="1:1">
      <c r="A13267" t="s">
        <v>50886</v>
      </c>
    </row>
    <row r="13268" spans="1:1">
      <c r="A13268" t="s">
        <v>50887</v>
      </c>
    </row>
    <row r="13269" spans="1:1">
      <c r="A13269" t="s">
        <v>41057</v>
      </c>
    </row>
    <row r="13270" spans="1:1">
      <c r="A13270" t="s">
        <v>41057</v>
      </c>
    </row>
    <row r="13271" spans="1:1">
      <c r="A13271" t="s">
        <v>41057</v>
      </c>
    </row>
    <row r="13272" spans="1:1">
      <c r="A13272" t="s">
        <v>50832</v>
      </c>
    </row>
    <row r="13273" spans="1:1">
      <c r="A13273" t="s">
        <v>41057</v>
      </c>
    </row>
    <row r="13274" spans="1:1">
      <c r="A13274" t="s">
        <v>41057</v>
      </c>
    </row>
    <row r="13275" spans="1:1">
      <c r="A13275" t="s">
        <v>41057</v>
      </c>
    </row>
    <row r="13276" spans="1:1">
      <c r="A13276" t="s">
        <v>41057</v>
      </c>
    </row>
    <row r="13277" spans="1:1">
      <c r="A13277" t="s">
        <v>41057</v>
      </c>
    </row>
    <row r="13278" spans="1:1">
      <c r="A13278" t="s">
        <v>41057</v>
      </c>
    </row>
    <row r="13279" spans="1:1">
      <c r="A13279" t="s">
        <v>41057</v>
      </c>
    </row>
    <row r="13280" spans="1:1">
      <c r="A13280" t="s">
        <v>41057</v>
      </c>
    </row>
    <row r="13281" spans="1:1">
      <c r="A13281" t="s">
        <v>41057</v>
      </c>
    </row>
    <row r="13282" spans="1:1">
      <c r="A13282" t="s">
        <v>41057</v>
      </c>
    </row>
    <row r="13283" spans="1:1">
      <c r="A13283" t="s">
        <v>41057</v>
      </c>
    </row>
    <row r="13284" spans="1:1">
      <c r="A13284" t="e" cm="1">
        <f t="array" ref="A13284">-----------------------------------------------TDSM--------Y</f>
        <v>#NAME?</v>
      </c>
    </row>
    <row r="13285" spans="1:1">
      <c r="A13285" t="s">
        <v>45475</v>
      </c>
    </row>
    <row r="13286" spans="1:1">
      <c r="A13286" t="s">
        <v>50888</v>
      </c>
    </row>
    <row r="13287" spans="1:1">
      <c r="A13287" t="e" cm="1">
        <f t="array" ref="A13287">--KAKTEEARVVAETDPVAGEALLRKYREEYYTQM----VQL----TMT---------RM</f>
        <v>#NAME?</v>
      </c>
    </row>
    <row r="13288" spans="1:1">
      <c r="A13288" t="s">
        <v>50889</v>
      </c>
    </row>
    <row r="13289" spans="1:1">
      <c r="A13289" t="s">
        <v>50835</v>
      </c>
    </row>
    <row r="13290" spans="1:1">
      <c r="A13290" t="s">
        <v>50890</v>
      </c>
    </row>
    <row r="13291" spans="1:1">
      <c r="A13291" t="s">
        <v>50891</v>
      </c>
    </row>
    <row r="13292" spans="1:1">
      <c r="A13292" t="s">
        <v>50892</v>
      </c>
    </row>
    <row r="13293" spans="1:1">
      <c r="A13293" t="s">
        <v>50893</v>
      </c>
    </row>
    <row r="13294" spans="1:1">
      <c r="A13294" t="s">
        <v>50894</v>
      </c>
    </row>
    <row r="13295" spans="1:1">
      <c r="A13295" t="s">
        <v>50841</v>
      </c>
    </row>
    <row r="13296" spans="1:1">
      <c r="A13296" t="s">
        <v>50895</v>
      </c>
    </row>
    <row r="13297" spans="1:1">
      <c r="A13297" t="s">
        <v>50843</v>
      </c>
    </row>
    <row r="13298" spans="1:1">
      <c r="A13298" t="e" cm="1">
        <f t="array" ref="A13298">-----------INQKGNKEKMT----------------KGDFMEY--------LDVYMAS</f>
        <v>#NAME?</v>
      </c>
    </row>
    <row r="13299" spans="1:1">
      <c r="A13299" t="s">
        <v>50896</v>
      </c>
    </row>
    <row r="13300" spans="1:1">
      <c r="A13300" t="e" cm="1">
        <f t="array" ref="A13300">------YF-----ER------------------SFTTSFARFICYHKDFAHPDLATGEID</f>
        <v>#NAME?</v>
      </c>
    </row>
    <row r="13301" spans="1:1">
      <c r="A13301" t="s">
        <v>50897</v>
      </c>
    </row>
    <row r="13302" spans="1:1">
      <c r="A13302" t="s">
        <v>50898</v>
      </c>
    </row>
    <row r="13303" spans="1:1">
      <c r="A13303" t="e" cm="1">
        <f t="array" ref="A13303">----CNEAGSAMER--------KDPVLEPIYKKCGELPVIRLMELRKECML-------SI</f>
        <v>#NAME?</v>
      </c>
    </row>
    <row r="13304" spans="1:1">
      <c r="A13304" t="s">
        <v>50899</v>
      </c>
    </row>
    <row r="13305" spans="1:1">
      <c r="A13305" t="s">
        <v>50900</v>
      </c>
    </row>
    <row r="13306" spans="1:1">
      <c r="A13306" t="s">
        <v>50901</v>
      </c>
    </row>
    <row r="13307" spans="1:1">
      <c r="A13307" t="s">
        <v>50902</v>
      </c>
    </row>
    <row r="13308" spans="1:1">
      <c r="A13308" t="e" cm="1">
        <f t="array" ref="A13308">------------EHIRAAATYQPHEIE-LVEKFHDNVRK-------LITCYRLKTRNRIK</f>
        <v>#NAME?</v>
      </c>
    </row>
    <row r="13309" spans="1:1">
      <c r="A13309" t="s">
        <v>41057</v>
      </c>
    </row>
    <row r="13310" spans="1:1">
      <c r="A13310" t="s">
        <v>41057</v>
      </c>
    </row>
    <row r="13311" spans="1:1">
      <c r="A13311" t="e" cm="1">
        <f t="array" ref="A13311">---------------------------------------------------LTLVVNAIN</f>
        <v>#NAME?</v>
      </c>
    </row>
    <row r="13312" spans="1:1">
      <c r="A13312" t="s">
        <v>50903</v>
      </c>
    </row>
    <row r="13313" spans="1:1">
      <c r="A13313" t="s">
        <v>44105</v>
      </c>
    </row>
    <row r="13314" spans="1:1">
      <c r="A13314" t="s">
        <v>41057</v>
      </c>
    </row>
    <row r="13315" spans="1:1">
      <c r="A13315" t="s">
        <v>41057</v>
      </c>
    </row>
    <row r="13316" spans="1:1">
      <c r="A13316" t="s">
        <v>50904</v>
      </c>
    </row>
    <row r="13317" spans="1:1">
      <c r="A13317" t="s">
        <v>41057</v>
      </c>
    </row>
    <row r="13318" spans="1:1">
      <c r="A13318" t="s">
        <v>50905</v>
      </c>
    </row>
    <row r="13319" spans="1:1">
      <c r="A13319" t="s">
        <v>50906</v>
      </c>
    </row>
    <row r="13320" spans="1:1">
      <c r="A13320" t="s">
        <v>50907</v>
      </c>
    </row>
    <row r="13321" spans="1:1">
      <c r="A13321" t="s">
        <v>41057</v>
      </c>
    </row>
    <row r="13322" spans="1:1">
      <c r="A13322" t="e" cm="1">
        <f t="array" ref="A13322">---YS-----------------------------------------------------GK</f>
        <v>#NAME?</v>
      </c>
    </row>
    <row r="13323" spans="1:1">
      <c r="A13323" t="s">
        <v>50908</v>
      </c>
    </row>
    <row r="13324" spans="1:1">
      <c r="A13324" t="s">
        <v>50909</v>
      </c>
    </row>
    <row r="13325" spans="1:1">
      <c r="A13325" t="s">
        <v>50910</v>
      </c>
    </row>
    <row r="13326" spans="1:1">
      <c r="A13326" t="s">
        <v>50911</v>
      </c>
    </row>
    <row r="13327" spans="1:1">
      <c r="A13327" t="s">
        <v>50912</v>
      </c>
    </row>
    <row r="13328" spans="1:1">
      <c r="A13328" t="e" cm="1">
        <f t="array" ref="A13328">--------------------------------------NEKYKTNKKQQYCTANDDSGRP</f>
        <v>#NAME?</v>
      </c>
    </row>
    <row r="13329" spans="1:1">
      <c r="A13329" t="s">
        <v>50913</v>
      </c>
    </row>
    <row r="13330" spans="1:1">
      <c r="A13330" t="s">
        <v>50914</v>
      </c>
    </row>
    <row r="13331" spans="1:1">
      <c r="A13331" t="s">
        <v>50863</v>
      </c>
    </row>
    <row r="13332" spans="1:1">
      <c r="A13332" t="s">
        <v>41057</v>
      </c>
    </row>
    <row r="13333" spans="1:1">
      <c r="A13333" t="s">
        <v>41057</v>
      </c>
    </row>
    <row r="13334" spans="1:1">
      <c r="A13334" t="s">
        <v>41057</v>
      </c>
    </row>
    <row r="13335" spans="1:1">
      <c r="A13335" t="s">
        <v>41057</v>
      </c>
    </row>
    <row r="13336" spans="1:1">
      <c r="A13336" t="s">
        <v>50802</v>
      </c>
    </row>
    <row r="13337" spans="1:1">
      <c r="A13337" t="s">
        <v>50915</v>
      </c>
    </row>
    <row r="13338" spans="1:1">
      <c r="A13338" t="s">
        <v>41057</v>
      </c>
    </row>
    <row r="13339" spans="1:1">
      <c r="A13339" t="s">
        <v>50916</v>
      </c>
    </row>
    <row r="13340" spans="1:1">
      <c r="A13340" t="e" cm="1">
        <f t="array" ref="A13340">---DWRVMFHKFRRY--------------------------------------------G</f>
        <v>#NAME?</v>
      </c>
    </row>
    <row r="13341" spans="1:1">
      <c r="A13341" t="s">
        <v>50917</v>
      </c>
    </row>
    <row r="13342" spans="1:1">
      <c r="A13342" t="e" cm="1">
        <f t="array" ref="A13342">-------------------------------------EKKFFTREQIKINAEK-THISDY</f>
        <v>#NAME?</v>
      </c>
    </row>
    <row r="13343" spans="1:1">
      <c r="A13343" t="s">
        <v>50868</v>
      </c>
    </row>
    <row r="13344" spans="1:1">
      <c r="A13344" t="s">
        <v>50807</v>
      </c>
    </row>
    <row r="13345" spans="1:1">
      <c r="A13345" t="s">
        <v>41057</v>
      </c>
    </row>
    <row r="13346" spans="1:1">
      <c r="A13346" t="s">
        <v>50808</v>
      </c>
    </row>
    <row r="13347" spans="1:1">
      <c r="A13347" t="s">
        <v>50870</v>
      </c>
    </row>
    <row r="13348" spans="1:1">
      <c r="A13348" t="e" cm="1">
        <f t="array" ref="A13348">-------------------------PISRL-------WRIKRYCDALDGNPTCHCKITAA</f>
        <v>#NAME?</v>
      </c>
    </row>
    <row r="13349" spans="1:1">
      <c r="A13349" t="s">
        <v>50918</v>
      </c>
    </row>
    <row r="13350" spans="1:1">
      <c r="A13350" t="e" cm="1">
        <f t="array" ref="A13350">---------------------------------------------------------RRD</f>
        <v>#NAME?</v>
      </c>
    </row>
    <row r="13351" spans="1:1">
      <c r="A13351" t="s">
        <v>50919</v>
      </c>
    </row>
    <row r="13352" spans="1:1">
      <c r="A13352" t="s">
        <v>50920</v>
      </c>
    </row>
    <row r="13353" spans="1:1">
      <c r="A13353" t="s">
        <v>50873</v>
      </c>
    </row>
    <row r="13354" spans="1:1">
      <c r="A13354" t="s">
        <v>50815</v>
      </c>
    </row>
    <row r="13355" spans="1:1">
      <c r="A13355" t="s">
        <v>41057</v>
      </c>
    </row>
    <row r="13356" spans="1:1">
      <c r="A13356" t="s">
        <v>41057</v>
      </c>
    </row>
    <row r="13357" spans="1:1">
      <c r="A13357" t="e" cm="1">
        <f t="array" ref="A13357">--------------YP--------------------------------GAWV-FPPKYGY</f>
        <v>#NAME?</v>
      </c>
    </row>
    <row r="13358" spans="1:1">
      <c r="A13358" t="s">
        <v>50874</v>
      </c>
    </row>
    <row r="13359" spans="1:1">
      <c r="A13359" t="s">
        <v>41057</v>
      </c>
    </row>
    <row r="13360" spans="1:1">
      <c r="A13360" t="s">
        <v>41057</v>
      </c>
    </row>
    <row r="13361" spans="1:1">
      <c r="A13361" t="s">
        <v>41057</v>
      </c>
    </row>
    <row r="13362" spans="1:1">
      <c r="A13362" t="s">
        <v>41057</v>
      </c>
    </row>
    <row r="13363" spans="1:1">
      <c r="A13363" t="s">
        <v>41057</v>
      </c>
    </row>
    <row r="13364" spans="1:1">
      <c r="A13364" t="s">
        <v>41057</v>
      </c>
    </row>
    <row r="13365" spans="1:1">
      <c r="A13365" t="s">
        <v>41057</v>
      </c>
    </row>
    <row r="13366" spans="1:1">
      <c r="A13366" t="s">
        <v>41057</v>
      </c>
    </row>
    <row r="13367" spans="1:1">
      <c r="A13367" t="s">
        <v>50875</v>
      </c>
    </row>
    <row r="13368" spans="1:1">
      <c r="A13368" t="s">
        <v>50876</v>
      </c>
    </row>
    <row r="13369" spans="1:1">
      <c r="A13369" t="s">
        <v>50921</v>
      </c>
    </row>
    <row r="13370" spans="1:1">
      <c r="A13370" t="s">
        <v>50922</v>
      </c>
    </row>
    <row r="13371" spans="1:1">
      <c r="A13371" t="s">
        <v>50821</v>
      </c>
    </row>
    <row r="13372" spans="1:1">
      <c r="A13372" t="s">
        <v>50923</v>
      </c>
    </row>
    <row r="13373" spans="1:1">
      <c r="A13373" t="s">
        <v>50879</v>
      </c>
    </row>
    <row r="13374" spans="1:1">
      <c r="A13374" t="s">
        <v>50924</v>
      </c>
    </row>
    <row r="13375" spans="1:1">
      <c r="A13375" t="e" cm="1">
        <f t="array" ref="A13375">--PIRAE---WTAPLEDTPDAIKTE-----------VEAARAAGAKVVREVKYLPKPSRA</f>
        <v>#NAME?</v>
      </c>
    </row>
    <row r="13376" spans="1:1">
      <c r="A13376" t="s">
        <v>50925</v>
      </c>
    </row>
    <row r="13377" spans="1:1">
      <c r="A13377" t="s">
        <v>50882</v>
      </c>
    </row>
    <row r="13378" spans="1:1">
      <c r="A13378" t="s">
        <v>50926</v>
      </c>
    </row>
    <row r="13379" spans="1:1">
      <c r="A13379" t="s">
        <v>50884</v>
      </c>
    </row>
    <row r="13380" spans="1:1">
      <c r="A13380" t="s">
        <v>41057</v>
      </c>
    </row>
    <row r="13381" spans="1:1">
      <c r="A13381" t="s">
        <v>41057</v>
      </c>
    </row>
    <row r="13382" spans="1:1">
      <c r="A13382" t="s">
        <v>41057</v>
      </c>
    </row>
    <row r="13383" spans="1:1">
      <c r="A13383" t="s">
        <v>41057</v>
      </c>
    </row>
    <row r="13384" spans="1:1">
      <c r="A13384" t="s">
        <v>41057</v>
      </c>
    </row>
    <row r="13385" spans="1:1">
      <c r="A13385" t="s">
        <v>41057</v>
      </c>
    </row>
    <row r="13386" spans="1:1">
      <c r="A13386" t="s">
        <v>41057</v>
      </c>
    </row>
    <row r="13387" spans="1:1">
      <c r="A13387" t="s">
        <v>41057</v>
      </c>
    </row>
    <row r="13388" spans="1:1">
      <c r="A13388" t="s">
        <v>41057</v>
      </c>
    </row>
    <row r="13389" spans="1:1">
      <c r="A13389" t="s">
        <v>50885</v>
      </c>
    </row>
    <row r="13390" spans="1:1">
      <c r="A13390" t="s">
        <v>41057</v>
      </c>
    </row>
    <row r="13391" spans="1:1">
      <c r="A13391" t="s">
        <v>41057</v>
      </c>
    </row>
    <row r="13392" spans="1:1">
      <c r="A13392" t="s">
        <v>41057</v>
      </c>
    </row>
    <row r="13393" spans="1:1">
      <c r="A13393" t="s">
        <v>41057</v>
      </c>
    </row>
    <row r="13394" spans="1:1">
      <c r="A13394" t="s">
        <v>41057</v>
      </c>
    </row>
    <row r="13395" spans="1:1">
      <c r="A13395" t="s">
        <v>50886</v>
      </c>
    </row>
    <row r="13396" spans="1:1">
      <c r="A13396" t="s">
        <v>50887</v>
      </c>
    </row>
    <row r="13397" spans="1:1">
      <c r="A13397" t="s">
        <v>41057</v>
      </c>
    </row>
    <row r="13398" spans="1:1">
      <c r="A13398" t="s">
        <v>41057</v>
      </c>
    </row>
    <row r="13399" spans="1:1">
      <c r="A13399" t="s">
        <v>41057</v>
      </c>
    </row>
    <row r="13400" spans="1:1">
      <c r="A13400" t="s">
        <v>50832</v>
      </c>
    </row>
    <row r="13401" spans="1:1">
      <c r="A13401" t="s">
        <v>41057</v>
      </c>
    </row>
    <row r="13402" spans="1:1">
      <c r="A13402" t="s">
        <v>41057</v>
      </c>
    </row>
    <row r="13403" spans="1:1">
      <c r="A13403" t="s">
        <v>41057</v>
      </c>
    </row>
    <row r="13404" spans="1:1">
      <c r="A13404" t="s">
        <v>41057</v>
      </c>
    </row>
    <row r="13405" spans="1:1">
      <c r="A13405" t="s">
        <v>41057</v>
      </c>
    </row>
    <row r="13406" spans="1:1">
      <c r="A13406" t="s">
        <v>41057</v>
      </c>
    </row>
    <row r="13407" spans="1:1">
      <c r="A13407" t="s">
        <v>41057</v>
      </c>
    </row>
    <row r="13408" spans="1:1">
      <c r="A13408" t="s">
        <v>41057</v>
      </c>
    </row>
    <row r="13409" spans="1:1">
      <c r="A13409" t="s">
        <v>41057</v>
      </c>
    </row>
    <row r="13410" spans="1:1">
      <c r="A13410" t="s">
        <v>41057</v>
      </c>
    </row>
    <row r="13411" spans="1:1">
      <c r="A13411" t="s">
        <v>41057</v>
      </c>
    </row>
    <row r="13412" spans="1:1">
      <c r="A13412" t="e" cm="1">
        <f t="array" ref="A13412">-----------------------------------------------TDSM--------Y</f>
        <v>#NAME?</v>
      </c>
    </row>
    <row r="13413" spans="1:1">
      <c r="A13413" t="s">
        <v>45475</v>
      </c>
    </row>
    <row r="13414" spans="1:1">
      <c r="A13414" t="s">
        <v>50927</v>
      </c>
    </row>
    <row r="13415" spans="1:1">
      <c r="A13415" t="e" cm="1">
        <f t="array" ref="A13415">--KMKTEEARLVSVDDPVAGEALLRKYREEYYTQM----VQL----TMT---------RM</f>
        <v>#NAME?</v>
      </c>
    </row>
    <row r="13416" spans="1:1">
      <c r="A13416" t="s">
        <v>50889</v>
      </c>
    </row>
    <row r="13417" spans="1:1">
      <c r="A13417" t="s">
        <v>50928</v>
      </c>
    </row>
    <row r="13418" spans="1:1">
      <c r="A13418" t="s">
        <v>50929</v>
      </c>
    </row>
    <row r="13419" spans="1:1">
      <c r="A13419" t="s">
        <v>50930</v>
      </c>
    </row>
    <row r="13420" spans="1:1">
      <c r="A13420" t="s">
        <v>50931</v>
      </c>
    </row>
    <row r="13421" spans="1:1">
      <c r="A13421" t="s">
        <v>50893</v>
      </c>
    </row>
    <row r="13422" spans="1:1">
      <c r="A13422" t="s">
        <v>50932</v>
      </c>
    </row>
    <row r="13423" spans="1:1">
      <c r="A13423" t="s">
        <v>50841</v>
      </c>
    </row>
    <row r="13424" spans="1:1">
      <c r="A13424" t="s">
        <v>50933</v>
      </c>
    </row>
    <row r="13425" spans="1:1">
      <c r="A13425" t="s">
        <v>50843</v>
      </c>
    </row>
    <row r="13426" spans="1:1">
      <c r="A13426" t="e" cm="1">
        <f t="array" ref="A13426">-----------INQKGNKEKMT----------------KGDFMEY--------LDVYMAS</f>
        <v>#NAME?</v>
      </c>
    </row>
    <row r="13427" spans="1:1">
      <c r="A13427" t="s">
        <v>50896</v>
      </c>
    </row>
    <row r="13428" spans="1:1">
      <c r="A13428" t="e" cm="1">
        <f t="array" ref="A13428">------YF-----ER------------------SFITSFARFICYYKDFAHPDIATGEVD</f>
        <v>#NAME?</v>
      </c>
    </row>
    <row r="13429" spans="1:1">
      <c r="A13429" t="s">
        <v>50934</v>
      </c>
    </row>
    <row r="13430" spans="1:1">
      <c r="A13430" t="s">
        <v>50935</v>
      </c>
    </row>
    <row r="13431" spans="1:1">
      <c r="A13431" t="e" cm="1">
        <f t="array" ref="A13431">----CSQVGDKLER--------DEPVIEPIYKKCSELPIMRLTELRRDCMT-------SI</f>
        <v>#NAME?</v>
      </c>
    </row>
    <row r="13432" spans="1:1">
      <c r="A13432" t="s">
        <v>50936</v>
      </c>
    </row>
    <row r="13433" spans="1:1">
      <c r="A13433" t="s">
        <v>50937</v>
      </c>
    </row>
    <row r="13434" spans="1:1">
      <c r="A13434" t="s">
        <v>50938</v>
      </c>
    </row>
    <row r="13435" spans="1:1">
      <c r="A13435" t="s">
        <v>50939</v>
      </c>
    </row>
    <row r="13436" spans="1:1">
      <c r="A13436" t="e" cm="1">
        <f t="array" ref="A13436">------------NHINAVVSYQPHEAE-LVAKFHDTVSK-------LITCYRLKTRNRIK</f>
        <v>#NAME?</v>
      </c>
    </row>
    <row r="13437" spans="1:1">
      <c r="A13437" t="s">
        <v>41057</v>
      </c>
    </row>
    <row r="13438" spans="1:1">
      <c r="A13438" t="s">
        <v>41057</v>
      </c>
    </row>
    <row r="13439" spans="1:1">
      <c r="A13439" t="e" cm="1">
        <f t="array" ref="A13439">---------------------------------------------------LTLVVNAIN</f>
        <v>#NAME?</v>
      </c>
    </row>
    <row r="13440" spans="1:1">
      <c r="A13440" t="s">
        <v>50940</v>
      </c>
    </row>
    <row r="13441" spans="1:1">
      <c r="A13441" t="s">
        <v>44131</v>
      </c>
    </row>
    <row r="13442" spans="1:1">
      <c r="A13442" t="s">
        <v>41057</v>
      </c>
    </row>
    <row r="13443" spans="1:1">
      <c r="A13443" t="s">
        <v>41057</v>
      </c>
    </row>
    <row r="13444" spans="1:1">
      <c r="A13444" t="s">
        <v>50941</v>
      </c>
    </row>
    <row r="13445" spans="1:1">
      <c r="A13445" t="s">
        <v>50942</v>
      </c>
    </row>
    <row r="13446" spans="1:1">
      <c r="A13446" t="s">
        <v>50943</v>
      </c>
    </row>
    <row r="13447" spans="1:1">
      <c r="A13447" t="s">
        <v>50944</v>
      </c>
    </row>
    <row r="13448" spans="1:1">
      <c r="A13448" t="s">
        <v>50945</v>
      </c>
    </row>
    <row r="13449" spans="1:1">
      <c r="A13449" t="s">
        <v>41057</v>
      </c>
    </row>
    <row r="13450" spans="1:1">
      <c r="A13450" t="e" cm="1">
        <f t="array" ref="A13450">----------------------------------------------------------SK</f>
        <v>#NAME?</v>
      </c>
    </row>
    <row r="13451" spans="1:1">
      <c r="A13451" t="s">
        <v>50946</v>
      </c>
    </row>
    <row r="13452" spans="1:1">
      <c r="A13452" t="s">
        <v>50947</v>
      </c>
    </row>
    <row r="13453" spans="1:1">
      <c r="A13453" t="s">
        <v>50948</v>
      </c>
    </row>
    <row r="13454" spans="1:1">
      <c r="A13454" t="s">
        <v>50949</v>
      </c>
    </row>
    <row r="13455" spans="1:1">
      <c r="A13455" t="s">
        <v>50950</v>
      </c>
    </row>
    <row r="13456" spans="1:1">
      <c r="A13456" t="s">
        <v>50951</v>
      </c>
    </row>
    <row r="13457" spans="1:1">
      <c r="A13457" t="s">
        <v>50952</v>
      </c>
    </row>
    <row r="13458" spans="1:1">
      <c r="A13458" t="s">
        <v>50953</v>
      </c>
    </row>
    <row r="13459" spans="1:1">
      <c r="A13459" t="s">
        <v>50954</v>
      </c>
    </row>
    <row r="13460" spans="1:1">
      <c r="A13460" t="s">
        <v>50955</v>
      </c>
    </row>
    <row r="13461" spans="1:1">
      <c r="A13461" t="s">
        <v>41057</v>
      </c>
    </row>
    <row r="13462" spans="1:1">
      <c r="A13462" t="s">
        <v>41057</v>
      </c>
    </row>
    <row r="13463" spans="1:1">
      <c r="A13463" t="s">
        <v>41057</v>
      </c>
    </row>
    <row r="13464" spans="1:1">
      <c r="A13464" t="s">
        <v>50956</v>
      </c>
    </row>
    <row r="13465" spans="1:1">
      <c r="A13465" t="s">
        <v>50957</v>
      </c>
    </row>
    <row r="13466" spans="1:1">
      <c r="A13466" t="s">
        <v>41057</v>
      </c>
    </row>
    <row r="13467" spans="1:1">
      <c r="A13467" t="s">
        <v>50958</v>
      </c>
    </row>
    <row r="13468" spans="1:1">
      <c r="A13468" t="e" cm="1">
        <f t="array" ref="A13468">---DWPLYKEKLRRA---GLL---------------------------------TTLK-K</f>
        <v>#NAME?</v>
      </c>
    </row>
    <row r="13469" spans="1:1">
      <c r="A13469" t="s">
        <v>50959</v>
      </c>
    </row>
    <row r="13470" spans="1:1">
      <c r="A13470" t="e" cm="1">
        <f t="array" ref="A13470">-------------------------------------AKWCFRSEEIKIDAET-RHHLDC</f>
        <v>#NAME?</v>
      </c>
    </row>
    <row r="13471" spans="1:1">
      <c r="A13471" t="s">
        <v>50960</v>
      </c>
    </row>
    <row r="13472" spans="1:1">
      <c r="A13472" t="s">
        <v>50961</v>
      </c>
    </row>
    <row r="13473" spans="1:1">
      <c r="A13473" t="s">
        <v>41057</v>
      </c>
    </row>
    <row r="13474" spans="1:1">
      <c r="A13474" t="s">
        <v>50962</v>
      </c>
    </row>
    <row r="13475" spans="1:1">
      <c r="A13475" t="s">
        <v>50963</v>
      </c>
    </row>
    <row r="13476" spans="1:1">
      <c r="A13476" t="e" cm="1">
        <f t="array" ref="A13476">-------------------------PYKRM-------FKIYERACKLMNIKSCHC----G</f>
        <v>#NAME?</v>
      </c>
    </row>
    <row r="13477" spans="1:1">
      <c r="A13477" t="s">
        <v>50964</v>
      </c>
    </row>
    <row r="13478" spans="1:1">
      <c r="A13478" t="s">
        <v>50965</v>
      </c>
    </row>
    <row r="13479" spans="1:1">
      <c r="A13479" t="e" cm="1">
        <f t="array" ref="A13479">----------------------------K---------CCHCGKLERN---------KRD</f>
        <v>#NAME?</v>
      </c>
    </row>
    <row r="13480" spans="1:1">
      <c r="A13480" t="s">
        <v>50966</v>
      </c>
    </row>
    <row r="13481" spans="1:1">
      <c r="A13481" t="s">
        <v>50967</v>
      </c>
    </row>
    <row r="13482" spans="1:1">
      <c r="A13482" t="s">
        <v>50968</v>
      </c>
    </row>
    <row r="13483" spans="1:1">
      <c r="A13483" t="s">
        <v>41057</v>
      </c>
    </row>
    <row r="13484" spans="1:1">
      <c r="A13484" t="s">
        <v>41057</v>
      </c>
    </row>
    <row r="13485" spans="1:1">
      <c r="A13485" t="e" cm="1">
        <f t="array" ref="A13485">--------------YP--------------------------------GAWV-FPPNRGL</f>
        <v>#NAME?</v>
      </c>
    </row>
    <row r="13486" spans="1:1">
      <c r="A13486" t="s">
        <v>50969</v>
      </c>
    </row>
    <row r="13487" spans="1:1">
      <c r="A13487" t="s">
        <v>41057</v>
      </c>
    </row>
    <row r="13488" spans="1:1">
      <c r="A13488" t="s">
        <v>41057</v>
      </c>
    </row>
    <row r="13489" spans="1:1">
      <c r="A13489" t="s">
        <v>41057</v>
      </c>
    </row>
    <row r="13490" spans="1:1">
      <c r="A13490" t="s">
        <v>41057</v>
      </c>
    </row>
    <row r="13491" spans="1:1">
      <c r="A13491" t="s">
        <v>41057</v>
      </c>
    </row>
    <row r="13492" spans="1:1">
      <c r="A13492" t="s">
        <v>41057</v>
      </c>
    </row>
    <row r="13493" spans="1:1">
      <c r="A13493" t="s">
        <v>41057</v>
      </c>
    </row>
    <row r="13494" spans="1:1">
      <c r="A13494" t="s">
        <v>41057</v>
      </c>
    </row>
    <row r="13495" spans="1:1">
      <c r="A13495" t="s">
        <v>50970</v>
      </c>
    </row>
    <row r="13496" spans="1:1">
      <c r="A13496" t="s">
        <v>50971</v>
      </c>
    </row>
    <row r="13497" spans="1:1">
      <c r="A13497" t="s">
        <v>50972</v>
      </c>
    </row>
    <row r="13498" spans="1:1">
      <c r="A13498" t="s">
        <v>50922</v>
      </c>
    </row>
    <row r="13499" spans="1:1">
      <c r="A13499" t="s">
        <v>50973</v>
      </c>
    </row>
    <row r="13500" spans="1:1">
      <c r="A13500" t="s">
        <v>50974</v>
      </c>
    </row>
    <row r="13501" spans="1:1">
      <c r="A13501" t="s">
        <v>50975</v>
      </c>
    </row>
    <row r="13502" spans="1:1">
      <c r="A13502" t="e" cm="1">
        <f t="array" ref="A13502">-------------SFTCS----DPEL---GPLQFKFKAEDGPTVEQKKQLEIYKSRKQIA</f>
        <v>#NAME?</v>
      </c>
    </row>
    <row r="13503" spans="1:1">
      <c r="A13503" t="s">
        <v>50976</v>
      </c>
    </row>
    <row r="13504" spans="1:1">
      <c r="A13504" t="s">
        <v>50977</v>
      </c>
    </row>
    <row r="13505" spans="1:1">
      <c r="A13505" t="s">
        <v>50978</v>
      </c>
    </row>
    <row r="13506" spans="1:1">
      <c r="A13506" t="s">
        <v>50979</v>
      </c>
    </row>
    <row r="13507" spans="1:1">
      <c r="A13507" t="s">
        <v>50980</v>
      </c>
    </row>
    <row r="13508" spans="1:1">
      <c r="A13508" t="s">
        <v>41057</v>
      </c>
    </row>
    <row r="13509" spans="1:1">
      <c r="A13509" t="s">
        <v>41057</v>
      </c>
    </row>
    <row r="13510" spans="1:1">
      <c r="A13510" t="s">
        <v>41057</v>
      </c>
    </row>
    <row r="13511" spans="1:1">
      <c r="A13511" t="s">
        <v>41057</v>
      </c>
    </row>
    <row r="13512" spans="1:1">
      <c r="A13512" t="s">
        <v>41057</v>
      </c>
    </row>
    <row r="13513" spans="1:1">
      <c r="A13513" t="s">
        <v>41057</v>
      </c>
    </row>
    <row r="13514" spans="1:1">
      <c r="A13514" t="s">
        <v>41057</v>
      </c>
    </row>
    <row r="13515" spans="1:1">
      <c r="A13515" t="s">
        <v>41057</v>
      </c>
    </row>
    <row r="13516" spans="1:1">
      <c r="A13516" t="s">
        <v>41057</v>
      </c>
    </row>
    <row r="13517" spans="1:1">
      <c r="A13517" t="s">
        <v>50981</v>
      </c>
    </row>
    <row r="13518" spans="1:1">
      <c r="A13518" t="s">
        <v>41057</v>
      </c>
    </row>
    <row r="13519" spans="1:1">
      <c r="A13519" t="s">
        <v>41057</v>
      </c>
    </row>
    <row r="13520" spans="1:1">
      <c r="A13520" t="s">
        <v>41057</v>
      </c>
    </row>
    <row r="13521" spans="1:1">
      <c r="A13521" t="s">
        <v>41057</v>
      </c>
    </row>
    <row r="13522" spans="1:1">
      <c r="A13522" t="s">
        <v>41057</v>
      </c>
    </row>
    <row r="13523" spans="1:1">
      <c r="A13523" t="s">
        <v>50982</v>
      </c>
    </row>
    <row r="13524" spans="1:1">
      <c r="A13524" t="s">
        <v>50983</v>
      </c>
    </row>
    <row r="13525" spans="1:1">
      <c r="A13525" t="s">
        <v>41057</v>
      </c>
    </row>
    <row r="13526" spans="1:1">
      <c r="A13526" t="s">
        <v>41057</v>
      </c>
    </row>
    <row r="13527" spans="1:1">
      <c r="A13527" t="s">
        <v>50270</v>
      </c>
    </row>
    <row r="13528" spans="1:1">
      <c r="A13528" t="s">
        <v>50984</v>
      </c>
    </row>
    <row r="13529" spans="1:1">
      <c r="A13529" t="s">
        <v>41057</v>
      </c>
    </row>
    <row r="13530" spans="1:1">
      <c r="A13530" t="s">
        <v>41057</v>
      </c>
    </row>
    <row r="13531" spans="1:1">
      <c r="A13531" t="s">
        <v>41057</v>
      </c>
    </row>
    <row r="13532" spans="1:1">
      <c r="A13532" t="s">
        <v>41057</v>
      </c>
    </row>
    <row r="13533" spans="1:1">
      <c r="A13533" t="s">
        <v>41057</v>
      </c>
    </row>
    <row r="13534" spans="1:1">
      <c r="A13534" t="s">
        <v>41057</v>
      </c>
    </row>
    <row r="13535" spans="1:1">
      <c r="A13535" t="s">
        <v>41057</v>
      </c>
    </row>
    <row r="13536" spans="1:1">
      <c r="A13536" t="s">
        <v>41057</v>
      </c>
    </row>
    <row r="13537" spans="1:1">
      <c r="A13537" t="s">
        <v>41057</v>
      </c>
    </row>
    <row r="13538" spans="1:1">
      <c r="A13538" t="s">
        <v>41057</v>
      </c>
    </row>
    <row r="13539" spans="1:1">
      <c r="A13539" t="s">
        <v>41057</v>
      </c>
    </row>
    <row r="13540" spans="1:1">
      <c r="A13540" t="e" cm="1">
        <f t="array" ref="A13540">-----------------------------------------------TDSL--------Y</f>
        <v>#NAME?</v>
      </c>
    </row>
    <row r="13541" spans="1:1">
      <c r="A13541" t="s">
        <v>50118</v>
      </c>
    </row>
    <row r="13542" spans="1:1">
      <c r="A13542" t="e" cm="1">
        <f t="array" ref="A13542">------------SCPDS----------VYTKCDEEYERNLVLLNEEFEGVPCEAEPSESN</f>
        <v>#NAME?</v>
      </c>
    </row>
    <row r="13543" spans="1:1">
      <c r="A13543" t="s">
        <v>50985</v>
      </c>
    </row>
    <row r="13544" spans="1:1">
      <c r="A13544" t="s">
        <v>50986</v>
      </c>
    </row>
    <row r="13545" spans="1:1">
      <c r="A13545" t="s">
        <v>50987</v>
      </c>
    </row>
    <row r="13546" spans="1:1">
      <c r="A13546" t="s">
        <v>50988</v>
      </c>
    </row>
    <row r="13547" spans="1:1">
      <c r="A13547" t="s">
        <v>50989</v>
      </c>
    </row>
    <row r="13548" spans="1:1">
      <c r="A13548" t="s">
        <v>50990</v>
      </c>
    </row>
    <row r="13549" spans="1:1">
      <c r="A13549" t="s">
        <v>50991</v>
      </c>
    </row>
    <row r="13550" spans="1:1">
      <c r="A13550" t="s">
        <v>50992</v>
      </c>
    </row>
    <row r="13551" spans="1:1">
      <c r="A13551" t="s">
        <v>50993</v>
      </c>
    </row>
    <row r="13552" spans="1:1">
      <c r="A13552" t="s">
        <v>50994</v>
      </c>
    </row>
    <row r="13553" spans="1:1">
      <c r="A13553" t="s">
        <v>50995</v>
      </c>
    </row>
    <row r="13554" spans="1:1">
      <c r="A13554" t="e" cm="1">
        <f t="array" ref="A13554">-----------FTLQGNKIELK----------------KGDQMEY--------LRVYKAS</f>
        <v>#NAME?</v>
      </c>
    </row>
    <row r="13555" spans="1:1">
      <c r="A13555" t="s">
        <v>50996</v>
      </c>
    </row>
    <row r="13556" spans="1:1">
      <c r="A13556" t="e" cm="1">
        <f t="array" ref="A13556">------YM-----KN------------------SIVGLFARFIAYHPRFQPPEGTYNCED</f>
        <v>#NAME?</v>
      </c>
    </row>
    <row r="13557" spans="1:1">
      <c r="A13557" t="s">
        <v>50997</v>
      </c>
    </row>
    <row r="13558" spans="1:1">
      <c r="A13558" t="s">
        <v>50998</v>
      </c>
    </row>
    <row r="13559" spans="1:1">
      <c r="A13559" t="s">
        <v>50999</v>
      </c>
    </row>
    <row r="13560" spans="1:1">
      <c r="A13560" t="s">
        <v>51000</v>
      </c>
    </row>
    <row r="13561" spans="1:1">
      <c r="A13561" t="s">
        <v>51001</v>
      </c>
    </row>
    <row r="13562" spans="1:1">
      <c r="A13562" t="s">
        <v>41057</v>
      </c>
    </row>
    <row r="13563" spans="1:1">
      <c r="A13563" t="s">
        <v>51002</v>
      </c>
    </row>
    <row r="13564" spans="1:1">
      <c r="A13564" t="e" cm="1">
        <f t="array" ref="A13564">------------EDLDQINTLSEVDRD-VIQTAHRLLLE-------LVAVYKTRNNTLDM</f>
        <v>#NAME?</v>
      </c>
    </row>
    <row r="13565" spans="1:1">
      <c r="A13565" t="s">
        <v>51003</v>
      </c>
    </row>
    <row r="13566" spans="1:1">
      <c r="A13566" t="s">
        <v>51004</v>
      </c>
    </row>
    <row r="13567" spans="1:1">
      <c r="A13567" t="s">
        <v>51005</v>
      </c>
    </row>
    <row r="13568" spans="1:1">
      <c r="A13568" t="s">
        <v>45870</v>
      </c>
    </row>
    <row r="13569" spans="1:1">
      <c r="A13569" t="s">
        <v>44159</v>
      </c>
    </row>
    <row r="13570" spans="1:1">
      <c r="A13570" t="s">
        <v>41057</v>
      </c>
    </row>
    <row r="13571" spans="1:1">
      <c r="A13571" t="s">
        <v>51006</v>
      </c>
    </row>
    <row r="13572" spans="1:1">
      <c r="A13572" t="s">
        <v>51007</v>
      </c>
    </row>
    <row r="13573" spans="1:1">
      <c r="A13573" t="s">
        <v>41057</v>
      </c>
    </row>
    <row r="13574" spans="1:1">
      <c r="A13574" t="s">
        <v>51008</v>
      </c>
    </row>
    <row r="13575" spans="1:1">
      <c r="A13575" t="s">
        <v>51009</v>
      </c>
    </row>
    <row r="13576" spans="1:1">
      <c r="A13576" t="s">
        <v>51010</v>
      </c>
    </row>
    <row r="13577" spans="1:1">
      <c r="A13577" t="s">
        <v>41057</v>
      </c>
    </row>
    <row r="13578" spans="1:1">
      <c r="A13578" t="s">
        <v>41057</v>
      </c>
    </row>
    <row r="13579" spans="1:1">
      <c r="A13579" t="s">
        <v>51011</v>
      </c>
    </row>
    <row r="13580" spans="1:1">
      <c r="A13580" t="s">
        <v>51012</v>
      </c>
    </row>
    <row r="13581" spans="1:1">
      <c r="A13581" t="s">
        <v>51013</v>
      </c>
    </row>
    <row r="13582" spans="1:1">
      <c r="A13582" t="s">
        <v>51014</v>
      </c>
    </row>
    <row r="13583" spans="1:1">
      <c r="A13583" t="s">
        <v>51015</v>
      </c>
    </row>
    <row r="13584" spans="1:1">
      <c r="A13584" t="s">
        <v>51016</v>
      </c>
    </row>
    <row r="13585" spans="1:1">
      <c r="A13585" t="s">
        <v>51017</v>
      </c>
    </row>
    <row r="13586" spans="1:1">
      <c r="A13586" t="e" cm="1">
        <f t="array" ref="A13586">-----SYEPRGLVHRF-----------------------------SVT-PEDLV-SYQDD</f>
        <v>#NAME?</v>
      </c>
    </row>
    <row r="13587" spans="1:1">
      <c r="A13587" t="s">
        <v>51018</v>
      </c>
    </row>
    <row r="13588" spans="1:1">
      <c r="A13588" t="s">
        <v>51019</v>
      </c>
    </row>
    <row r="13589" spans="1:1">
      <c r="A13589" t="s">
        <v>41057</v>
      </c>
    </row>
    <row r="13590" spans="1:1">
      <c r="A13590" t="s">
        <v>41057</v>
      </c>
    </row>
    <row r="13591" spans="1:1">
      <c r="A13591" t="s">
        <v>41057</v>
      </c>
    </row>
    <row r="13592" spans="1:1">
      <c r="A13592" t="s">
        <v>51020</v>
      </c>
    </row>
    <row r="13593" spans="1:1">
      <c r="A13593" t="s">
        <v>51021</v>
      </c>
    </row>
    <row r="13594" spans="1:1">
      <c r="A13594" t="s">
        <v>41057</v>
      </c>
    </row>
    <row r="13595" spans="1:1">
      <c r="A13595" t="s">
        <v>51022</v>
      </c>
    </row>
    <row r="13596" spans="1:1">
      <c r="A13596" t="e" cm="1">
        <f t="array" ref="A13596">---DWPFIVEKSMQH---GI------------------------------------LE-E</f>
        <v>#NAME?</v>
      </c>
    </row>
    <row r="13597" spans="1:1">
      <c r="A13597" t="s">
        <v>51023</v>
      </c>
    </row>
    <row r="13598" spans="1:1">
      <c r="A13598" t="e" cm="1">
        <f t="array" ref="A13598">-------------------------------------KCYYVKEKRVKISAEK-SIISSF</f>
        <v>#NAME?</v>
      </c>
    </row>
    <row r="13599" spans="1:1">
      <c r="A13599" t="s">
        <v>51024</v>
      </c>
    </row>
    <row r="13600" spans="1:1">
      <c r="A13600" t="s">
        <v>51025</v>
      </c>
    </row>
    <row r="13601" spans="1:1">
      <c r="A13601" t="s">
        <v>51026</v>
      </c>
    </row>
    <row r="13602" spans="1:1">
      <c r="A13602" t="s">
        <v>47831</v>
      </c>
    </row>
    <row r="13603" spans="1:1">
      <c r="A13603" t="s">
        <v>51027</v>
      </c>
    </row>
    <row r="13604" spans="1:1">
      <c r="A13604" t="s">
        <v>51028</v>
      </c>
    </row>
    <row r="13605" spans="1:1">
      <c r="A13605" t="s">
        <v>41057</v>
      </c>
    </row>
    <row r="13606" spans="1:1">
      <c r="A13606" t="s">
        <v>51029</v>
      </c>
    </row>
    <row r="13607" spans="1:1">
      <c r="A13607" t="s">
        <v>45447</v>
      </c>
    </row>
    <row r="13608" spans="1:1">
      <c r="A13608" t="s">
        <v>51030</v>
      </c>
    </row>
    <row r="13609" spans="1:1">
      <c r="A13609" t="s">
        <v>51031</v>
      </c>
    </row>
    <row r="13610" spans="1:1">
      <c r="A13610" t="s">
        <v>51032</v>
      </c>
    </row>
    <row r="13611" spans="1:1">
      <c r="A13611" t="s">
        <v>41057</v>
      </c>
    </row>
    <row r="13612" spans="1:1">
      <c r="A13612" t="s">
        <v>41057</v>
      </c>
    </row>
    <row r="13613" spans="1:1">
      <c r="A13613" t="e" cm="1">
        <f t="array" ref="A13613">--------------YP--------------------------------GAFV-IDPVKGL</f>
        <v>#NAME?</v>
      </c>
    </row>
    <row r="13614" spans="1:1">
      <c r="A13614" t="s">
        <v>51033</v>
      </c>
    </row>
    <row r="13615" spans="1:1">
      <c r="A13615" t="s">
        <v>41057</v>
      </c>
    </row>
    <row r="13616" spans="1:1">
      <c r="A13616" t="s">
        <v>41057</v>
      </c>
    </row>
    <row r="13617" spans="1:1">
      <c r="A13617" t="s">
        <v>41057</v>
      </c>
    </row>
    <row r="13618" spans="1:1">
      <c r="A13618" t="s">
        <v>41057</v>
      </c>
    </row>
    <row r="13619" spans="1:1">
      <c r="A13619" t="s">
        <v>41057</v>
      </c>
    </row>
    <row r="13620" spans="1:1">
      <c r="A13620" t="s">
        <v>41057</v>
      </c>
    </row>
    <row r="13621" spans="1:1">
      <c r="A13621" t="s">
        <v>41057</v>
      </c>
    </row>
    <row r="13622" spans="1:1">
      <c r="A13622" t="s">
        <v>41057</v>
      </c>
    </row>
    <row r="13623" spans="1:1">
      <c r="A13623" t="s">
        <v>51034</v>
      </c>
    </row>
    <row r="13624" spans="1:1">
      <c r="A13624" t="s">
        <v>51035</v>
      </c>
    </row>
    <row r="13625" spans="1:1">
      <c r="A13625" t="s">
        <v>51036</v>
      </c>
    </row>
    <row r="13626" spans="1:1">
      <c r="A13626" t="s">
        <v>41057</v>
      </c>
    </row>
    <row r="13627" spans="1:1">
      <c r="A13627" t="s">
        <v>51037</v>
      </c>
    </row>
    <row r="13628" spans="1:1">
      <c r="A13628" t="s">
        <v>51038</v>
      </c>
    </row>
    <row r="13629" spans="1:1">
      <c r="A13629" t="s">
        <v>41057</v>
      </c>
    </row>
    <row r="13630" spans="1:1">
      <c r="A13630" t="s">
        <v>41057</v>
      </c>
    </row>
    <row r="13631" spans="1:1">
      <c r="A13631" t="s">
        <v>41057</v>
      </c>
    </row>
    <row r="13632" spans="1:1">
      <c r="A13632" t="s">
        <v>51039</v>
      </c>
    </row>
    <row r="13633" spans="1:1">
      <c r="A13633" t="s">
        <v>51040</v>
      </c>
    </row>
    <row r="13634" spans="1:1">
      <c r="A13634" t="s">
        <v>51041</v>
      </c>
    </row>
    <row r="13635" spans="1:1">
      <c r="A13635" t="s">
        <v>51042</v>
      </c>
    </row>
    <row r="13636" spans="1:1">
      <c r="A13636" t="s">
        <v>41057</v>
      </c>
    </row>
    <row r="13637" spans="1:1">
      <c r="A13637" t="s">
        <v>41057</v>
      </c>
    </row>
    <row r="13638" spans="1:1">
      <c r="A13638" t="s">
        <v>41057</v>
      </c>
    </row>
    <row r="13639" spans="1:1">
      <c r="A13639" t="s">
        <v>41057</v>
      </c>
    </row>
    <row r="13640" spans="1:1">
      <c r="A13640" t="s">
        <v>41057</v>
      </c>
    </row>
    <row r="13641" spans="1:1">
      <c r="A13641" t="s">
        <v>41057</v>
      </c>
    </row>
    <row r="13642" spans="1:1">
      <c r="A13642" t="s">
        <v>41057</v>
      </c>
    </row>
    <row r="13643" spans="1:1">
      <c r="A13643" t="s">
        <v>41057</v>
      </c>
    </row>
    <row r="13644" spans="1:1">
      <c r="A13644" t="s">
        <v>41057</v>
      </c>
    </row>
    <row r="13645" spans="1:1">
      <c r="A13645" t="s">
        <v>51043</v>
      </c>
    </row>
    <row r="13646" spans="1:1">
      <c r="A13646" t="s">
        <v>41057</v>
      </c>
    </row>
    <row r="13647" spans="1:1">
      <c r="A13647" t="s">
        <v>41057</v>
      </c>
    </row>
    <row r="13648" spans="1:1">
      <c r="A13648" t="s">
        <v>41057</v>
      </c>
    </row>
    <row r="13649" spans="1:1">
      <c r="A13649" t="s">
        <v>41057</v>
      </c>
    </row>
    <row r="13650" spans="1:1">
      <c r="A13650" t="s">
        <v>41057</v>
      </c>
    </row>
    <row r="13651" spans="1:1">
      <c r="A13651" t="s">
        <v>51044</v>
      </c>
    </row>
    <row r="13652" spans="1:1">
      <c r="A13652" t="s">
        <v>51045</v>
      </c>
    </row>
    <row r="13653" spans="1:1">
      <c r="A13653" t="s">
        <v>41057</v>
      </c>
    </row>
    <row r="13654" spans="1:1">
      <c r="A13654" t="s">
        <v>41057</v>
      </c>
    </row>
    <row r="13655" spans="1:1">
      <c r="A13655" t="s">
        <v>50270</v>
      </c>
    </row>
    <row r="13656" spans="1:1">
      <c r="A13656" t="s">
        <v>51046</v>
      </c>
    </row>
    <row r="13657" spans="1:1">
      <c r="A13657" t="s">
        <v>41057</v>
      </c>
    </row>
    <row r="13658" spans="1:1">
      <c r="A13658" t="s">
        <v>41057</v>
      </c>
    </row>
    <row r="13659" spans="1:1">
      <c r="A13659" t="s">
        <v>41057</v>
      </c>
    </row>
    <row r="13660" spans="1:1">
      <c r="A13660" t="s">
        <v>41057</v>
      </c>
    </row>
    <row r="13661" spans="1:1">
      <c r="A13661" t="s">
        <v>41057</v>
      </c>
    </row>
    <row r="13662" spans="1:1">
      <c r="A13662" t="s">
        <v>41057</v>
      </c>
    </row>
    <row r="13663" spans="1:1">
      <c r="A13663" t="s">
        <v>41057</v>
      </c>
    </row>
    <row r="13664" spans="1:1">
      <c r="A13664" t="s">
        <v>41057</v>
      </c>
    </row>
    <row r="13665" spans="1:1">
      <c r="A13665" t="s">
        <v>41057</v>
      </c>
    </row>
    <row r="13666" spans="1:1">
      <c r="A13666" t="s">
        <v>41057</v>
      </c>
    </row>
    <row r="13667" spans="1:1">
      <c r="A13667" t="s">
        <v>41057</v>
      </c>
    </row>
    <row r="13668" spans="1:1">
      <c r="A13668" t="e" cm="1">
        <f t="array" ref="A13668">-----------------------------------------------TDSL--------Y</f>
        <v>#NAME?</v>
      </c>
    </row>
    <row r="13669" spans="1:1">
      <c r="A13669" t="s">
        <v>45475</v>
      </c>
    </row>
    <row r="13670" spans="1:1">
      <c r="A13670" t="s">
        <v>51047</v>
      </c>
    </row>
    <row r="13671" spans="1:1">
      <c r="A13671" t="e" cm="1">
        <f t="array" ref="A13671">-----LNSQKTI-----------------KHYEQLCHEKVLL----SMK---------AM</f>
        <v>#NAME?</v>
      </c>
    </row>
    <row r="13672" spans="1:1">
      <c r="A13672" t="s">
        <v>51048</v>
      </c>
    </row>
    <row r="13673" spans="1:1">
      <c r="A13673" t="e" cm="1">
        <f t="array" ref="A13673">--------DNGT-SYLRMAYEE-VLFPVCF----------T-GKKKYY---------GIA</f>
        <v>#NAME?</v>
      </c>
    </row>
    <row r="13674" spans="1:1">
      <c r="A13674" t="s">
        <v>51049</v>
      </c>
    </row>
    <row r="13675" spans="1:1">
      <c r="A13675" t="s">
        <v>51050</v>
      </c>
    </row>
    <row r="13676" spans="1:1">
      <c r="A13676" t="s">
        <v>51051</v>
      </c>
    </row>
    <row r="13677" spans="1:1">
      <c r="A13677" t="s">
        <v>51052</v>
      </c>
    </row>
    <row r="13678" spans="1:1">
      <c r="A13678" t="s">
        <v>51053</v>
      </c>
    </row>
    <row r="13679" spans="1:1">
      <c r="A13679" t="e" cm="1">
        <f t="array" ref="A13679">------------------P------------DK------DNKAVQIFMSRMH-------A</f>
        <v>#NAME?</v>
      </c>
    </row>
    <row r="13680" spans="1:1">
      <c r="A13680" t="s">
        <v>51054</v>
      </c>
    </row>
    <row r="13681" spans="1:1">
      <c r="A13681" t="s">
        <v>51055</v>
      </c>
    </row>
    <row r="13682" spans="1:1">
      <c r="A13682" t="s">
        <v>51056</v>
      </c>
    </row>
    <row r="13683" spans="1:1">
      <c r="A13683" t="s">
        <v>51057</v>
      </c>
    </row>
    <row r="13684" spans="1:1">
      <c r="A13684" t="s">
        <v>51058</v>
      </c>
    </row>
    <row r="13685" spans="1:1">
      <c r="A13685" t="e" cm="1">
        <f t="array" ref="A13685">------KDEYAQRRAKSYL----QKFVQSIHPKDKSVIKQGI-VHRQCYK-------YVH</f>
        <v>#NAME?</v>
      </c>
    </row>
    <row r="13686" spans="1:1">
      <c r="A13686" t="s">
        <v>51059</v>
      </c>
    </row>
    <row r="13687" spans="1:1">
      <c r="A13687" t="s">
        <v>51060</v>
      </c>
    </row>
    <row r="13688" spans="1:1">
      <c r="A13688" t="s">
        <v>51061</v>
      </c>
    </row>
    <row r="13689" spans="1:1">
      <c r="A13689" t="s">
        <v>51062</v>
      </c>
    </row>
    <row r="13690" spans="1:1">
      <c r="A13690" t="s">
        <v>51063</v>
      </c>
    </row>
    <row r="13691" spans="1:1">
      <c r="A13691" t="s">
        <v>51064</v>
      </c>
    </row>
    <row r="13692" spans="1:1">
      <c r="A13692" t="e" cm="1">
        <f t="array" ref="A13692">-------------------EFSSTHVE-LLLKLNKTWLI-------LAGIHVAKKHLQAL</f>
        <v>#NAME?</v>
      </c>
    </row>
    <row r="13693" spans="1:1">
      <c r="A13693" t="s">
        <v>51065</v>
      </c>
    </row>
    <row r="13694" spans="1:1">
      <c r="A13694" t="e" cm="1">
        <f t="array" ref="A13694">--------------------------------------------------------SRTF</f>
        <v>#NAME?</v>
      </c>
    </row>
    <row r="13695" spans="1:1">
      <c r="A13695" t="s">
        <v>51066</v>
      </c>
    </row>
    <row r="13696" spans="1:1">
      <c r="A13696" t="s">
        <v>51067</v>
      </c>
    </row>
    <row r="13697" spans="1:1">
      <c r="A13697" t="s">
        <v>44181</v>
      </c>
    </row>
    <row r="13698" spans="1:1">
      <c r="A13698" t="s">
        <v>41057</v>
      </c>
    </row>
    <row r="13699" spans="1:1">
      <c r="A13699" t="s">
        <v>41057</v>
      </c>
    </row>
    <row r="13700" spans="1:1">
      <c r="A13700" t="s">
        <v>51007</v>
      </c>
    </row>
    <row r="13701" spans="1:1">
      <c r="A13701" t="s">
        <v>41057</v>
      </c>
    </row>
    <row r="13702" spans="1:1">
      <c r="A13702" t="s">
        <v>51008</v>
      </c>
    </row>
    <row r="13703" spans="1:1">
      <c r="A13703" t="s">
        <v>51068</v>
      </c>
    </row>
    <row r="13704" spans="1:1">
      <c r="A13704" t="s">
        <v>51010</v>
      </c>
    </row>
    <row r="13705" spans="1:1">
      <c r="A13705" t="s">
        <v>41057</v>
      </c>
    </row>
    <row r="13706" spans="1:1">
      <c r="A13706" t="s">
        <v>41057</v>
      </c>
    </row>
    <row r="13707" spans="1:1">
      <c r="A13707" t="s">
        <v>51069</v>
      </c>
    </row>
    <row r="13708" spans="1:1">
      <c r="A13708" t="s">
        <v>51070</v>
      </c>
    </row>
    <row r="13709" spans="1:1">
      <c r="A13709" t="s">
        <v>51071</v>
      </c>
    </row>
    <row r="13710" spans="1:1">
      <c r="A13710" t="s">
        <v>51072</v>
      </c>
    </row>
    <row r="13711" spans="1:1">
      <c r="A13711" t="s">
        <v>51015</v>
      </c>
    </row>
    <row r="13712" spans="1:1">
      <c r="A13712" t="s">
        <v>51016</v>
      </c>
    </row>
    <row r="13713" spans="1:1">
      <c r="A13713" t="s">
        <v>51073</v>
      </c>
    </row>
    <row r="13714" spans="1:1">
      <c r="A13714" t="e" cm="1">
        <f t="array" ref="A13714">-----SYEPRGLVHRF-----------------------------SVT-PEDLV-SYQDD</f>
        <v>#NAME?</v>
      </c>
    </row>
    <row r="13715" spans="1:1">
      <c r="A13715" t="s">
        <v>51018</v>
      </c>
    </row>
    <row r="13716" spans="1:1">
      <c r="A13716" t="s">
        <v>51019</v>
      </c>
    </row>
    <row r="13717" spans="1:1">
      <c r="A13717" t="s">
        <v>41057</v>
      </c>
    </row>
    <row r="13718" spans="1:1">
      <c r="A13718" t="s">
        <v>41057</v>
      </c>
    </row>
    <row r="13719" spans="1:1">
      <c r="A13719" t="s">
        <v>41057</v>
      </c>
    </row>
    <row r="13720" spans="1:1">
      <c r="A13720" t="s">
        <v>51020</v>
      </c>
    </row>
    <row r="13721" spans="1:1">
      <c r="A13721" t="s">
        <v>51021</v>
      </c>
    </row>
    <row r="13722" spans="1:1">
      <c r="A13722" t="s">
        <v>41057</v>
      </c>
    </row>
    <row r="13723" spans="1:1">
      <c r="A13723" t="s">
        <v>51074</v>
      </c>
    </row>
    <row r="13724" spans="1:1">
      <c r="A13724" t="e" cm="1">
        <f t="array" ref="A13724">---DWPFIVEKSMQH---GI------------------------------------LE-E</f>
        <v>#NAME?</v>
      </c>
    </row>
    <row r="13725" spans="1:1">
      <c r="A13725" t="s">
        <v>51075</v>
      </c>
    </row>
    <row r="13726" spans="1:1">
      <c r="A13726" t="e" cm="1">
        <f t="array" ref="A13726">-------------------------------------KCYYVKEKRVKISAEK-SIISSF</f>
        <v>#NAME?</v>
      </c>
    </row>
    <row r="13727" spans="1:1">
      <c r="A13727" t="s">
        <v>51024</v>
      </c>
    </row>
    <row r="13728" spans="1:1">
      <c r="A13728" t="s">
        <v>51025</v>
      </c>
    </row>
    <row r="13729" spans="1:1">
      <c r="A13729" t="s">
        <v>51026</v>
      </c>
    </row>
    <row r="13730" spans="1:1">
      <c r="A13730" t="s">
        <v>47831</v>
      </c>
    </row>
    <row r="13731" spans="1:1">
      <c r="A13731" t="s">
        <v>51027</v>
      </c>
    </row>
    <row r="13732" spans="1:1">
      <c r="A13732" t="s">
        <v>51028</v>
      </c>
    </row>
    <row r="13733" spans="1:1">
      <c r="A13733" t="s">
        <v>41057</v>
      </c>
    </row>
    <row r="13734" spans="1:1">
      <c r="A13734" t="s">
        <v>51029</v>
      </c>
    </row>
    <row r="13735" spans="1:1">
      <c r="A13735" t="s">
        <v>45447</v>
      </c>
    </row>
    <row r="13736" spans="1:1">
      <c r="A13736" t="s">
        <v>51030</v>
      </c>
    </row>
    <row r="13737" spans="1:1">
      <c r="A13737" t="s">
        <v>51031</v>
      </c>
    </row>
    <row r="13738" spans="1:1">
      <c r="A13738" t="s">
        <v>51032</v>
      </c>
    </row>
    <row r="13739" spans="1:1">
      <c r="A13739" t="s">
        <v>41057</v>
      </c>
    </row>
    <row r="13740" spans="1:1">
      <c r="A13740" t="s">
        <v>41057</v>
      </c>
    </row>
    <row r="13741" spans="1:1">
      <c r="A13741" t="e" cm="1">
        <f t="array" ref="A13741">--------------YP--------------------------------GAFV-IDPVKGL</f>
        <v>#NAME?</v>
      </c>
    </row>
    <row r="13742" spans="1:1">
      <c r="A13742" t="s">
        <v>51033</v>
      </c>
    </row>
    <row r="13743" spans="1:1">
      <c r="A13743" t="s">
        <v>41057</v>
      </c>
    </row>
    <row r="13744" spans="1:1">
      <c r="A13744" t="s">
        <v>41057</v>
      </c>
    </row>
    <row r="13745" spans="1:1">
      <c r="A13745" t="s">
        <v>41057</v>
      </c>
    </row>
    <row r="13746" spans="1:1">
      <c r="A13746" t="s">
        <v>41057</v>
      </c>
    </row>
    <row r="13747" spans="1:1">
      <c r="A13747" t="s">
        <v>41057</v>
      </c>
    </row>
    <row r="13748" spans="1:1">
      <c r="A13748" t="s">
        <v>41057</v>
      </c>
    </row>
    <row r="13749" spans="1:1">
      <c r="A13749" t="s">
        <v>41057</v>
      </c>
    </row>
    <row r="13750" spans="1:1">
      <c r="A13750" t="s">
        <v>41057</v>
      </c>
    </row>
    <row r="13751" spans="1:1">
      <c r="A13751" t="s">
        <v>51034</v>
      </c>
    </row>
    <row r="13752" spans="1:1">
      <c r="A13752" t="s">
        <v>51076</v>
      </c>
    </row>
    <row r="13753" spans="1:1">
      <c r="A13753" t="s">
        <v>51036</v>
      </c>
    </row>
    <row r="13754" spans="1:1">
      <c r="A13754" t="s">
        <v>41057</v>
      </c>
    </row>
    <row r="13755" spans="1:1">
      <c r="A13755" t="s">
        <v>51037</v>
      </c>
    </row>
    <row r="13756" spans="1:1">
      <c r="A13756" t="s">
        <v>51038</v>
      </c>
    </row>
    <row r="13757" spans="1:1">
      <c r="A13757" t="s">
        <v>41057</v>
      </c>
    </row>
    <row r="13758" spans="1:1">
      <c r="A13758" t="s">
        <v>41057</v>
      </c>
    </row>
    <row r="13759" spans="1:1">
      <c r="A13759" t="s">
        <v>41057</v>
      </c>
    </row>
    <row r="13760" spans="1:1">
      <c r="A13760" t="s">
        <v>51039</v>
      </c>
    </row>
    <row r="13761" spans="1:1">
      <c r="A13761" t="s">
        <v>51040</v>
      </c>
    </row>
    <row r="13762" spans="1:1">
      <c r="A13762" t="s">
        <v>51041</v>
      </c>
    </row>
    <row r="13763" spans="1:1">
      <c r="A13763" t="s">
        <v>51042</v>
      </c>
    </row>
    <row r="13764" spans="1:1">
      <c r="A13764" t="s">
        <v>41057</v>
      </c>
    </row>
    <row r="13765" spans="1:1">
      <c r="A13765" t="s">
        <v>41057</v>
      </c>
    </row>
    <row r="13766" spans="1:1">
      <c r="A13766" t="s">
        <v>41057</v>
      </c>
    </row>
    <row r="13767" spans="1:1">
      <c r="A13767" t="s">
        <v>41057</v>
      </c>
    </row>
    <row r="13768" spans="1:1">
      <c r="A13768" t="s">
        <v>41057</v>
      </c>
    </row>
    <row r="13769" spans="1:1">
      <c r="A13769" t="s">
        <v>41057</v>
      </c>
    </row>
    <row r="13770" spans="1:1">
      <c r="A13770" t="s">
        <v>41057</v>
      </c>
    </row>
    <row r="13771" spans="1:1">
      <c r="A13771" t="s">
        <v>41057</v>
      </c>
    </row>
    <row r="13772" spans="1:1">
      <c r="A13772" t="s">
        <v>41057</v>
      </c>
    </row>
    <row r="13773" spans="1:1">
      <c r="A13773" t="s">
        <v>51043</v>
      </c>
    </row>
    <row r="13774" spans="1:1">
      <c r="A13774" t="s">
        <v>41057</v>
      </c>
    </row>
    <row r="13775" spans="1:1">
      <c r="A13775" t="s">
        <v>41057</v>
      </c>
    </row>
    <row r="13776" spans="1:1">
      <c r="A13776" t="s">
        <v>41057</v>
      </c>
    </row>
    <row r="13777" spans="1:1">
      <c r="A13777" t="s">
        <v>41057</v>
      </c>
    </row>
    <row r="13778" spans="1:1">
      <c r="A13778" t="s">
        <v>41057</v>
      </c>
    </row>
    <row r="13779" spans="1:1">
      <c r="A13779" t="s">
        <v>51044</v>
      </c>
    </row>
    <row r="13780" spans="1:1">
      <c r="A13780" t="s">
        <v>51045</v>
      </c>
    </row>
    <row r="13781" spans="1:1">
      <c r="A13781" t="s">
        <v>41057</v>
      </c>
    </row>
    <row r="13782" spans="1:1">
      <c r="A13782" t="s">
        <v>41057</v>
      </c>
    </row>
    <row r="13783" spans="1:1">
      <c r="A13783" t="s">
        <v>50270</v>
      </c>
    </row>
    <row r="13784" spans="1:1">
      <c r="A13784" t="s">
        <v>51046</v>
      </c>
    </row>
    <row r="13785" spans="1:1">
      <c r="A13785" t="s">
        <v>41057</v>
      </c>
    </row>
    <row r="13786" spans="1:1">
      <c r="A13786" t="s">
        <v>41057</v>
      </c>
    </row>
    <row r="13787" spans="1:1">
      <c r="A13787" t="s">
        <v>41057</v>
      </c>
    </row>
    <row r="13788" spans="1:1">
      <c r="A13788" t="s">
        <v>41057</v>
      </c>
    </row>
    <row r="13789" spans="1:1">
      <c r="A13789" t="s">
        <v>41057</v>
      </c>
    </row>
    <row r="13790" spans="1:1">
      <c r="A13790" t="s">
        <v>41057</v>
      </c>
    </row>
    <row r="13791" spans="1:1">
      <c r="A13791" t="s">
        <v>41057</v>
      </c>
    </row>
    <row r="13792" spans="1:1">
      <c r="A13792" t="s">
        <v>41057</v>
      </c>
    </row>
    <row r="13793" spans="1:1">
      <c r="A13793" t="s">
        <v>41057</v>
      </c>
    </row>
    <row r="13794" spans="1:1">
      <c r="A13794" t="s">
        <v>41057</v>
      </c>
    </row>
    <row r="13795" spans="1:1">
      <c r="A13795" t="s">
        <v>41057</v>
      </c>
    </row>
    <row r="13796" spans="1:1">
      <c r="A13796" t="e" cm="1">
        <f t="array" ref="A13796">-----------------------------------------------TDSL--------Y</f>
        <v>#NAME?</v>
      </c>
    </row>
    <row r="13797" spans="1:1">
      <c r="A13797" t="s">
        <v>45475</v>
      </c>
    </row>
    <row r="13798" spans="1:1">
      <c r="A13798" t="s">
        <v>51047</v>
      </c>
    </row>
    <row r="13799" spans="1:1">
      <c r="A13799" t="e" cm="1">
        <f t="array" ref="A13799">-----LNSQKTT-----------------KHYEQLCHEKVLL----SMK---------AM</f>
        <v>#NAME?</v>
      </c>
    </row>
    <row r="13800" spans="1:1">
      <c r="A13800" t="s">
        <v>51048</v>
      </c>
    </row>
    <row r="13801" spans="1:1">
      <c r="A13801" t="e" cm="1">
        <f t="array" ref="A13801">--------DNGT-SYLRMAYEE-VLFPVCF----------T-GKKKYY---------GIA</f>
        <v>#NAME?</v>
      </c>
    </row>
    <row r="13802" spans="1:1">
      <c r="A13802" t="s">
        <v>51049</v>
      </c>
    </row>
    <row r="13803" spans="1:1">
      <c r="A13803" t="s">
        <v>51050</v>
      </c>
    </row>
    <row r="13804" spans="1:1">
      <c r="A13804" t="s">
        <v>51051</v>
      </c>
    </row>
    <row r="13805" spans="1:1">
      <c r="A13805" t="s">
        <v>51052</v>
      </c>
    </row>
    <row r="13806" spans="1:1">
      <c r="A13806" t="s">
        <v>51053</v>
      </c>
    </row>
    <row r="13807" spans="1:1">
      <c r="A13807" t="e" cm="1">
        <f t="array" ref="A13807">------------------P------------DK------DNKAVQIFMSRMH-------A</f>
        <v>#NAME?</v>
      </c>
    </row>
    <row r="13808" spans="1:1">
      <c r="A13808" t="s">
        <v>51077</v>
      </c>
    </row>
    <row r="13809" spans="1:1">
      <c r="A13809" t="s">
        <v>51055</v>
      </c>
    </row>
    <row r="13810" spans="1:1">
      <c r="A13810" t="s">
        <v>51078</v>
      </c>
    </row>
    <row r="13811" spans="1:1">
      <c r="A13811" t="s">
        <v>51057</v>
      </c>
    </row>
    <row r="13812" spans="1:1">
      <c r="A13812" t="s">
        <v>51079</v>
      </c>
    </row>
    <row r="13813" spans="1:1">
      <c r="A13813" t="e" cm="1">
        <f t="array" ref="A13813">------KDEYAQRRAKSYL----QKFVQSIHPKDKSVIKQGI-VHRQCYK-------YVH</f>
        <v>#NAME?</v>
      </c>
    </row>
    <row r="13814" spans="1:1">
      <c r="A13814" t="s">
        <v>51080</v>
      </c>
    </row>
    <row r="13815" spans="1:1">
      <c r="A13815" t="s">
        <v>51081</v>
      </c>
    </row>
    <row r="13816" spans="1:1">
      <c r="A13816" t="s">
        <v>51082</v>
      </c>
    </row>
    <row r="13817" spans="1:1">
      <c r="A13817" t="s">
        <v>51083</v>
      </c>
    </row>
    <row r="13818" spans="1:1">
      <c r="A13818" t="s">
        <v>51063</v>
      </c>
    </row>
    <row r="13819" spans="1:1">
      <c r="A13819" t="s">
        <v>51064</v>
      </c>
    </row>
    <row r="13820" spans="1:1">
      <c r="A13820" t="e" cm="1">
        <f t="array" ref="A13820">-------------------ELSSTHVE-LLLKLNKTWLI-------LVGIRVAKKHLHAL</f>
        <v>#NAME?</v>
      </c>
    </row>
    <row r="13821" spans="1:1">
      <c r="A13821" t="s">
        <v>51084</v>
      </c>
    </row>
    <row r="13822" spans="1:1">
      <c r="A13822" t="e" cm="1">
        <f t="array" ref="A13822">--------------------------------------------------------SKTF</f>
        <v>#NAME?</v>
      </c>
    </row>
    <row r="13823" spans="1:1">
      <c r="A13823" t="s">
        <v>51066</v>
      </c>
    </row>
    <row r="13824" spans="1:1">
      <c r="A13824" t="s">
        <v>51067</v>
      </c>
    </row>
    <row r="13825" spans="1:1">
      <c r="A13825" t="s">
        <v>44228</v>
      </c>
    </row>
    <row r="13826" spans="1:1">
      <c r="A13826" t="s">
        <v>41057</v>
      </c>
    </row>
    <row r="13827" spans="1:1">
      <c r="A13827" t="s">
        <v>41057</v>
      </c>
    </row>
    <row r="13828" spans="1:1">
      <c r="A13828" t="s">
        <v>51085</v>
      </c>
    </row>
    <row r="13829" spans="1:1">
      <c r="A13829" t="s">
        <v>41057</v>
      </c>
    </row>
    <row r="13830" spans="1:1">
      <c r="A13830" t="s">
        <v>51086</v>
      </c>
    </row>
    <row r="13831" spans="1:1">
      <c r="A13831" t="s">
        <v>51087</v>
      </c>
    </row>
    <row r="13832" spans="1:1">
      <c r="A13832" t="s">
        <v>51088</v>
      </c>
    </row>
    <row r="13833" spans="1:1">
      <c r="A13833" t="s">
        <v>41057</v>
      </c>
    </row>
    <row r="13834" spans="1:1">
      <c r="A13834" t="e" cm="1">
        <f t="array" ref="A13834">----------------------------------------------------------EE</f>
        <v>#NAME?</v>
      </c>
    </row>
    <row r="13835" spans="1:1">
      <c r="A13835" t="s">
        <v>51089</v>
      </c>
    </row>
    <row r="13836" spans="1:1">
      <c r="A13836" t="s">
        <v>51090</v>
      </c>
    </row>
    <row r="13837" spans="1:1">
      <c r="A13837" t="s">
        <v>51091</v>
      </c>
    </row>
    <row r="13838" spans="1:1">
      <c r="A13838" t="s">
        <v>51092</v>
      </c>
    </row>
    <row r="13839" spans="1:1">
      <c r="A13839" t="s">
        <v>51093</v>
      </c>
    </row>
    <row r="13840" spans="1:1">
      <c r="A13840" t="s">
        <v>51094</v>
      </c>
    </row>
    <row r="13841" spans="1:1">
      <c r="A13841" t="s">
        <v>51095</v>
      </c>
    </row>
    <row r="13842" spans="1:1">
      <c r="A13842" t="s">
        <v>51096</v>
      </c>
    </row>
    <row r="13843" spans="1:1">
      <c r="A13843" t="s">
        <v>51097</v>
      </c>
    </row>
    <row r="13844" spans="1:1">
      <c r="A13844" t="s">
        <v>51098</v>
      </c>
    </row>
    <row r="13845" spans="1:1">
      <c r="A13845" t="s">
        <v>41057</v>
      </c>
    </row>
    <row r="13846" spans="1:1">
      <c r="A13846" t="s">
        <v>41057</v>
      </c>
    </row>
    <row r="13847" spans="1:1">
      <c r="A13847" t="s">
        <v>41057</v>
      </c>
    </row>
    <row r="13848" spans="1:1">
      <c r="A13848" t="s">
        <v>51099</v>
      </c>
    </row>
    <row r="13849" spans="1:1">
      <c r="A13849" t="s">
        <v>51100</v>
      </c>
    </row>
    <row r="13850" spans="1:1">
      <c r="A13850" t="e" cm="1">
        <f t="array" ref="A13850">-------------N-V--------IGNRSIYTHTIHKL-IFNNINNNDINNKIYNNITQF</f>
        <v>#NAME?</v>
      </c>
    </row>
    <row r="13851" spans="1:1">
      <c r="A13851" t="s">
        <v>51101</v>
      </c>
    </row>
    <row r="13852" spans="1:1">
      <c r="A13852" t="s">
        <v>51102</v>
      </c>
    </row>
    <row r="13853" spans="1:1">
      <c r="A13853" t="s">
        <v>51103</v>
      </c>
    </row>
    <row r="13854" spans="1:1">
      <c r="A13854" t="e" cm="1">
        <f t="array" ref="A13854">-------------------------------------DIKPFISSSVKISA---DIGLMD</f>
        <v>#NAME?</v>
      </c>
    </row>
    <row r="13855" spans="1:1">
      <c r="A13855" t="s">
        <v>51104</v>
      </c>
    </row>
    <row r="13856" spans="1:1">
      <c r="A13856" t="s">
        <v>51105</v>
      </c>
    </row>
    <row r="13857" spans="1:1">
      <c r="A13857" t="s">
        <v>51106</v>
      </c>
    </row>
    <row r="13858" spans="1:1">
      <c r="A13858" t="s">
        <v>51107</v>
      </c>
    </row>
    <row r="13859" spans="1:1">
      <c r="A13859" t="s">
        <v>51108</v>
      </c>
    </row>
    <row r="13860" spans="1:1">
      <c r="A13860" t="e" cm="1">
        <f t="array" ref="A13860">-------------------------PYKKL-------FQIYENKDE------------DG</f>
        <v>#NAME?</v>
      </c>
    </row>
    <row r="13861" spans="1:1">
      <c r="A13861" t="s">
        <v>41057</v>
      </c>
    </row>
    <row r="13862" spans="1:1">
      <c r="A13862" t="s">
        <v>41057</v>
      </c>
    </row>
    <row r="13863" spans="1:1">
      <c r="A13863" t="e" cm="1">
        <f t="array" ref="A13863">----------------------------------------------------------ML</f>
        <v>#NAME?</v>
      </c>
    </row>
    <row r="13864" spans="1:1">
      <c r="A13864" t="s">
        <v>51109</v>
      </c>
    </row>
    <row r="13865" spans="1:1">
      <c r="A13865" t="s">
        <v>51110</v>
      </c>
    </row>
    <row r="13866" spans="1:1">
      <c r="A13866" t="s">
        <v>51111</v>
      </c>
    </row>
    <row r="13867" spans="1:1">
      <c r="A13867" t="s">
        <v>41057</v>
      </c>
    </row>
    <row r="13868" spans="1:1">
      <c r="A13868" t="s">
        <v>41057</v>
      </c>
    </row>
    <row r="13869" spans="1:1">
      <c r="A13869" t="e" cm="1">
        <f t="array" ref="A13869">--------------YT--------------------------------GGYV-ADPTYGL</f>
        <v>#NAME?</v>
      </c>
    </row>
    <row r="13870" spans="1:1">
      <c r="A13870" t="s">
        <v>51112</v>
      </c>
    </row>
    <row r="13871" spans="1:1">
      <c r="A13871" t="s">
        <v>41057</v>
      </c>
    </row>
    <row r="13872" spans="1:1">
      <c r="A13872" t="s">
        <v>41057</v>
      </c>
    </row>
    <row r="13873" spans="1:1">
      <c r="A13873" t="s">
        <v>41057</v>
      </c>
    </row>
    <row r="13874" spans="1:1">
      <c r="A13874" t="s">
        <v>41057</v>
      </c>
    </row>
    <row r="13875" spans="1:1">
      <c r="A13875" t="s">
        <v>41057</v>
      </c>
    </row>
    <row r="13876" spans="1:1">
      <c r="A13876" t="s">
        <v>41057</v>
      </c>
    </row>
    <row r="13877" spans="1:1">
      <c r="A13877" t="s">
        <v>41057</v>
      </c>
    </row>
    <row r="13878" spans="1:1">
      <c r="A13878" t="s">
        <v>41057</v>
      </c>
    </row>
    <row r="13879" spans="1:1">
      <c r="A13879" t="s">
        <v>51113</v>
      </c>
    </row>
    <row r="13880" spans="1:1">
      <c r="A13880" t="s">
        <v>51114</v>
      </c>
    </row>
    <row r="13881" spans="1:1">
      <c r="A13881" t="s">
        <v>51115</v>
      </c>
    </row>
    <row r="13882" spans="1:1">
      <c r="A13882" t="s">
        <v>41057</v>
      </c>
    </row>
    <row r="13883" spans="1:1">
      <c r="A13883" t="s">
        <v>41057</v>
      </c>
    </row>
    <row r="13884" spans="1:1">
      <c r="A13884" t="s">
        <v>41057</v>
      </c>
    </row>
    <row r="13885" spans="1:1">
      <c r="A13885" t="s">
        <v>41057</v>
      </c>
    </row>
    <row r="13886" spans="1:1">
      <c r="A13886" t="s">
        <v>51116</v>
      </c>
    </row>
    <row r="13887" spans="1:1">
      <c r="A13887" t="s">
        <v>41057</v>
      </c>
    </row>
    <row r="13888" spans="1:1">
      <c r="A13888" t="s">
        <v>51117</v>
      </c>
    </row>
    <row r="13889" spans="1:1">
      <c r="A13889" t="e" cm="1">
        <f t="array" ref="A13889">---KKMLMYKFD------------------------------------------KEKYSN</f>
        <v>#NAME?</v>
      </c>
    </row>
    <row r="13890" spans="1:1">
      <c r="A13890" t="s">
        <v>51118</v>
      </c>
    </row>
    <row r="13891" spans="1:1">
      <c r="A13891" t="s">
        <v>51119</v>
      </c>
    </row>
    <row r="13892" spans="1:1">
      <c r="A13892" t="s">
        <v>41057</v>
      </c>
    </row>
    <row r="13893" spans="1:1">
      <c r="A13893" t="s">
        <v>41057</v>
      </c>
    </row>
    <row r="13894" spans="1:1">
      <c r="A13894" t="s">
        <v>41057</v>
      </c>
    </row>
    <row r="13895" spans="1:1">
      <c r="A13895" t="s">
        <v>41057</v>
      </c>
    </row>
    <row r="13896" spans="1:1">
      <c r="A13896" t="s">
        <v>41057</v>
      </c>
    </row>
    <row r="13897" spans="1:1">
      <c r="A13897" t="s">
        <v>41057</v>
      </c>
    </row>
    <row r="13898" spans="1:1">
      <c r="A13898" t="s">
        <v>41057</v>
      </c>
    </row>
    <row r="13899" spans="1:1">
      <c r="A13899" t="s">
        <v>41057</v>
      </c>
    </row>
    <row r="13900" spans="1:1">
      <c r="A13900" t="s">
        <v>41057</v>
      </c>
    </row>
    <row r="13901" spans="1:1">
      <c r="A13901" t="s">
        <v>51120</v>
      </c>
    </row>
    <row r="13902" spans="1:1">
      <c r="A13902" t="s">
        <v>41057</v>
      </c>
    </row>
    <row r="13903" spans="1:1">
      <c r="A13903" t="s">
        <v>41057</v>
      </c>
    </row>
    <row r="13904" spans="1:1">
      <c r="A13904" t="s">
        <v>41057</v>
      </c>
    </row>
    <row r="13905" spans="1:1">
      <c r="A13905" t="s">
        <v>41057</v>
      </c>
    </row>
    <row r="13906" spans="1:1">
      <c r="A13906" t="s">
        <v>41057</v>
      </c>
    </row>
    <row r="13907" spans="1:1">
      <c r="A13907" t="s">
        <v>51121</v>
      </c>
    </row>
    <row r="13908" spans="1:1">
      <c r="A13908" t="s">
        <v>51122</v>
      </c>
    </row>
    <row r="13909" spans="1:1">
      <c r="A13909" t="s">
        <v>41057</v>
      </c>
    </row>
    <row r="13910" spans="1:1">
      <c r="A13910" t="s">
        <v>41057</v>
      </c>
    </row>
    <row r="13911" spans="1:1">
      <c r="A13911" t="s">
        <v>50270</v>
      </c>
    </row>
    <row r="13912" spans="1:1">
      <c r="A13912" t="s">
        <v>51123</v>
      </c>
    </row>
    <row r="13913" spans="1:1">
      <c r="A13913" t="s">
        <v>41057</v>
      </c>
    </row>
    <row r="13914" spans="1:1">
      <c r="A13914" t="s">
        <v>41057</v>
      </c>
    </row>
    <row r="13915" spans="1:1">
      <c r="A13915" t="s">
        <v>41057</v>
      </c>
    </row>
    <row r="13916" spans="1:1">
      <c r="A13916" t="s">
        <v>41057</v>
      </c>
    </row>
    <row r="13917" spans="1:1">
      <c r="A13917" t="s">
        <v>41057</v>
      </c>
    </row>
    <row r="13918" spans="1:1">
      <c r="A13918" t="s">
        <v>41057</v>
      </c>
    </row>
    <row r="13919" spans="1:1">
      <c r="A13919" t="s">
        <v>41057</v>
      </c>
    </row>
    <row r="13920" spans="1:1">
      <c r="A13920" t="s">
        <v>41057</v>
      </c>
    </row>
    <row r="13921" spans="1:1">
      <c r="A13921" t="s">
        <v>41057</v>
      </c>
    </row>
    <row r="13922" spans="1:1">
      <c r="A13922" t="s">
        <v>41057</v>
      </c>
    </row>
    <row r="13923" spans="1:1">
      <c r="A13923" t="s">
        <v>41057</v>
      </c>
    </row>
    <row r="13924" spans="1:1">
      <c r="A13924" t="e" cm="1">
        <f t="array" ref="A13924">-----------------------------------------------TDSV--------Y</f>
        <v>#NAME?</v>
      </c>
    </row>
    <row r="13925" spans="1:1">
      <c r="A13925" t="s">
        <v>41087</v>
      </c>
    </row>
    <row r="13926" spans="1:1">
      <c r="A13926" t="s">
        <v>51124</v>
      </c>
    </row>
    <row r="13927" spans="1:1">
      <c r="A13927" t="e" cm="1">
        <f t="array" ref="A13927">-INNEITEKEL-------------------FY-----KKIQI----TKD---------EI</f>
        <v>#NAME?</v>
      </c>
    </row>
    <row r="13928" spans="1:1">
      <c r="A13928" t="s">
        <v>51125</v>
      </c>
    </row>
    <row r="13929" spans="1:1">
      <c r="A13929" t="e" cm="1">
        <f t="array" ref="A13929">-------------SYIKMAYEE-VLYPVFF----------I-SKKMYF---------GVE</f>
        <v>#NAME?</v>
      </c>
    </row>
    <row r="13930" spans="1:1">
      <c r="A13930" t="s">
        <v>51126</v>
      </c>
    </row>
    <row r="13931" spans="1:1">
      <c r="A13931" t="s">
        <v>51127</v>
      </c>
    </row>
    <row r="13932" spans="1:1">
      <c r="A13932" t="e" cm="1">
        <f t="array" ref="A13932">-------------------------------IFEI-------------IKNIVFQIVNNF</f>
        <v>#NAME?</v>
      </c>
    </row>
    <row r="13933" spans="1:1">
      <c r="A13933" t="s">
        <v>51128</v>
      </c>
    </row>
    <row r="13934" spans="1:1">
      <c r="A13934" t="s">
        <v>51129</v>
      </c>
    </row>
    <row r="13935" spans="1:1">
      <c r="A13935" t="s">
        <v>51130</v>
      </c>
    </row>
    <row r="13936" spans="1:1">
      <c r="A13936" t="s">
        <v>51131</v>
      </c>
    </row>
    <row r="13937" spans="1:1">
      <c r="A13937" t="s">
        <v>51132</v>
      </c>
    </row>
    <row r="13938" spans="1:1">
      <c r="A13938" t="e" cm="1">
        <f t="array" ref="A13938">-----------ILYNGSIEKID------G---------LGNVMEY---------PCYLDD</f>
        <v>#NAME?</v>
      </c>
    </row>
    <row r="13939" spans="1:1">
      <c r="A13939" t="s">
        <v>51133</v>
      </c>
    </row>
    <row r="13940" spans="1:1">
      <c r="A13940" t="s">
        <v>51134</v>
      </c>
    </row>
    <row r="13941" spans="1:1">
      <c r="A13941" t="e" cm="1">
        <f t="array" ref="A13941">------DNKYELNNIKN------IDYDTLIHKKNDIRTIKLKQ-FRSDAKIKSIEFINIK</f>
        <v>#NAME?</v>
      </c>
    </row>
    <row r="13942" spans="1:1">
      <c r="A13942" t="s">
        <v>51135</v>
      </c>
    </row>
    <row r="13943" spans="1:1">
      <c r="A13943" t="e" cm="1">
        <f t="array" ref="A13943">---RKSDLYKKC--------------------------------YKNEYY----KP--NL</f>
        <v>#NAME?</v>
      </c>
    </row>
    <row r="13944" spans="1:1">
      <c r="A13944" t="s">
        <v>51136</v>
      </c>
    </row>
    <row r="13945" spans="1:1">
      <c r="A13945" t="s">
        <v>51137</v>
      </c>
    </row>
    <row r="13946" spans="1:1">
      <c r="A13946" t="s">
        <v>51138</v>
      </c>
    </row>
    <row r="13947" spans="1:1">
      <c r="A13947" t="s">
        <v>51139</v>
      </c>
    </row>
    <row r="13948" spans="1:1">
      <c r="A13948" t="s">
        <v>51140</v>
      </c>
    </row>
    <row r="13949" spans="1:1">
      <c r="A13949" t="s">
        <v>41057</v>
      </c>
    </row>
    <row r="13950" spans="1:1">
      <c r="A13950" t="e" cm="1">
        <f t="array" ref="A13950">--------------------------------------------------------YSEF</f>
        <v>#NAME?</v>
      </c>
    </row>
    <row r="13951" spans="1:1">
      <c r="A13951" t="s">
        <v>51141</v>
      </c>
    </row>
    <row r="13952" spans="1:1">
      <c r="A13952" t="s">
        <v>45870</v>
      </c>
    </row>
    <row r="13953" spans="1:1">
      <c r="A13953" t="s">
        <v>44203</v>
      </c>
    </row>
    <row r="13954" spans="1:1">
      <c r="A13954" t="s">
        <v>41057</v>
      </c>
    </row>
    <row r="13955" spans="1:1">
      <c r="A13955" t="s">
        <v>41057</v>
      </c>
    </row>
    <row r="13956" spans="1:1">
      <c r="A13956" t="s">
        <v>41057</v>
      </c>
    </row>
    <row r="13957" spans="1:1">
      <c r="A13957" t="s">
        <v>41057</v>
      </c>
    </row>
    <row r="13958" spans="1:1">
      <c r="A13958" t="s">
        <v>41057</v>
      </c>
    </row>
    <row r="13959" spans="1:1">
      <c r="A13959" t="s">
        <v>41057</v>
      </c>
    </row>
    <row r="13960" spans="1:1">
      <c r="A13960" t="s">
        <v>51142</v>
      </c>
    </row>
    <row r="13961" spans="1:1">
      <c r="A13961" t="s">
        <v>51143</v>
      </c>
    </row>
    <row r="13962" spans="1:1">
      <c r="A13962" t="e" cm="1">
        <f t="array" ref="A13962">----------------------------------------------------------KK</f>
        <v>#NAME?</v>
      </c>
    </row>
    <row r="13963" spans="1:1">
      <c r="A13963" t="s">
        <v>51144</v>
      </c>
    </row>
    <row r="13964" spans="1:1">
      <c r="A13964" t="s">
        <v>51145</v>
      </c>
    </row>
    <row r="13965" spans="1:1">
      <c r="A13965" t="s">
        <v>51146</v>
      </c>
    </row>
    <row r="13966" spans="1:1">
      <c r="A13966" t="s">
        <v>51147</v>
      </c>
    </row>
    <row r="13967" spans="1:1">
      <c r="A13967" t="s">
        <v>51148</v>
      </c>
    </row>
    <row r="13968" spans="1:1">
      <c r="A13968" t="s">
        <v>51149</v>
      </c>
    </row>
    <row r="13969" spans="1:1">
      <c r="A13969" t="s">
        <v>51150</v>
      </c>
    </row>
    <row r="13970" spans="1:1">
      <c r="A13970" t="e" cm="1">
        <f t="array" ref="A13970">-------DASEDIKTFR------VDIR------------------NIR-EVPQE----DK</f>
        <v>#NAME?</v>
      </c>
    </row>
    <row r="13971" spans="1:1">
      <c r="A13971" t="e" cm="1">
        <f t="array" ref="A13971">------------TPMD--PSLELCWDIETMGN---------EQK------NF------GV</f>
        <v>#NAME?</v>
      </c>
    </row>
    <row r="13972" spans="1:1">
      <c r="A13972" t="s">
        <v>51151</v>
      </c>
    </row>
    <row r="13973" spans="1:1">
      <c r="A13973" t="s">
        <v>41057</v>
      </c>
    </row>
    <row r="13974" spans="1:1">
      <c r="A13974" t="s">
        <v>41057</v>
      </c>
    </row>
    <row r="13975" spans="1:1">
      <c r="A13975" t="s">
        <v>41057</v>
      </c>
    </row>
    <row r="13976" spans="1:1">
      <c r="A13976" t="s">
        <v>51152</v>
      </c>
    </row>
    <row r="13977" spans="1:1">
      <c r="A13977" t="s">
        <v>51153</v>
      </c>
    </row>
    <row r="13978" spans="1:1">
      <c r="A13978" t="s">
        <v>51154</v>
      </c>
    </row>
    <row r="13979" spans="1:1">
      <c r="A13979" t="s">
        <v>51155</v>
      </c>
    </row>
    <row r="13980" spans="1:1">
      <c r="A13980" t="e" cm="1">
        <f t="array" ref="A13980">---DWPFIIWRVINRY---------------------------------------RIE-E</f>
        <v>#NAME?</v>
      </c>
    </row>
    <row r="13981" spans="1:1">
      <c r="A13981" t="s">
        <v>51156</v>
      </c>
    </row>
    <row r="13982" spans="1:1">
      <c r="A13982" t="e" cm="1">
        <f t="array" ref="A13982">------------------------------QRKWTWSGMDLEKTEEIKLEAGR-NTNAVF</f>
        <v>#NAME?</v>
      </c>
    </row>
    <row r="13983" spans="1:1">
      <c r="A13983" t="s">
        <v>51157</v>
      </c>
    </row>
    <row r="13984" spans="1:1">
      <c r="A13984" t="s">
        <v>51158</v>
      </c>
    </row>
    <row r="13985" spans="1:1">
      <c r="A13985" t="s">
        <v>51026</v>
      </c>
    </row>
    <row r="13986" spans="1:1">
      <c r="A13986" t="s">
        <v>47831</v>
      </c>
    </row>
    <row r="13987" spans="1:1">
      <c r="A13987" t="e" cm="1">
        <f t="array" ref="A13987">-------------------------SKDHM-------PI-----PWMW---------TIC</f>
        <v>#NAME?</v>
      </c>
    </row>
    <row r="13988" spans="1:1">
      <c r="A13988" t="s">
        <v>51159</v>
      </c>
    </row>
    <row r="13989" spans="1:1">
      <c r="A13989" t="s">
        <v>51160</v>
      </c>
    </row>
    <row r="13990" spans="1:1">
      <c r="A13990" t="s">
        <v>51161</v>
      </c>
    </row>
    <row r="13991" spans="1:1">
      <c r="A13991" t="s">
        <v>51162</v>
      </c>
    </row>
    <row r="13992" spans="1:1">
      <c r="A13992" t="s">
        <v>51163</v>
      </c>
    </row>
    <row r="13993" spans="1:1">
      <c r="A13993" t="s">
        <v>51164</v>
      </c>
    </row>
    <row r="13994" spans="1:1">
      <c r="A13994" t="s">
        <v>51165</v>
      </c>
    </row>
    <row r="13995" spans="1:1">
      <c r="A13995" t="s">
        <v>41057</v>
      </c>
    </row>
    <row r="13996" spans="1:1">
      <c r="A13996" t="s">
        <v>41057</v>
      </c>
    </row>
    <row r="13997" spans="1:1">
      <c r="A13997" t="e" cm="1">
        <f t="array" ref="A13997">--------------FQ--------------------------------GAFV-LQPKKGI</f>
        <v>#NAME?</v>
      </c>
    </row>
    <row r="13998" spans="1:1">
      <c r="A13998" t="s">
        <v>51166</v>
      </c>
    </row>
    <row r="13999" spans="1:1">
      <c r="A13999" t="s">
        <v>41057</v>
      </c>
    </row>
    <row r="14000" spans="1:1">
      <c r="A14000" t="s">
        <v>41057</v>
      </c>
    </row>
    <row r="14001" spans="1:1">
      <c r="A14001" t="s">
        <v>41057</v>
      </c>
    </row>
    <row r="14002" spans="1:1">
      <c r="A14002" t="s">
        <v>41057</v>
      </c>
    </row>
    <row r="14003" spans="1:1">
      <c r="A14003" t="s">
        <v>41057</v>
      </c>
    </row>
    <row r="14004" spans="1:1">
      <c r="A14004" t="s">
        <v>41057</v>
      </c>
    </row>
    <row r="14005" spans="1:1">
      <c r="A14005" t="s">
        <v>41057</v>
      </c>
    </row>
    <row r="14006" spans="1:1">
      <c r="A14006" t="s">
        <v>41057</v>
      </c>
    </row>
    <row r="14007" spans="1:1">
      <c r="A14007" t="e" cm="1">
        <f t="array" ref="A14007">-GSLY-------------------PNIIRSSALSPENIITDLEVAR---EIC-GALNDNL</f>
        <v>#NAME?</v>
      </c>
    </row>
    <row r="14008" spans="1:1">
      <c r="A14008" t="s">
        <v>51167</v>
      </c>
    </row>
    <row r="14009" spans="1:1">
      <c r="A14009" t="s">
        <v>51168</v>
      </c>
    </row>
    <row r="14010" spans="1:1">
      <c r="A14010" t="s">
        <v>41057</v>
      </c>
    </row>
    <row r="14011" spans="1:1">
      <c r="A14011" t="s">
        <v>51169</v>
      </c>
    </row>
    <row r="14012" spans="1:1">
      <c r="A14012" t="s">
        <v>51170</v>
      </c>
    </row>
    <row r="14013" spans="1:1">
      <c r="A14013" t="s">
        <v>51171</v>
      </c>
    </row>
    <row r="14014" spans="1:1">
      <c r="A14014" t="s">
        <v>51172</v>
      </c>
    </row>
    <row r="14015" spans="1:1">
      <c r="A14015" t="s">
        <v>41057</v>
      </c>
    </row>
    <row r="14016" spans="1:1">
      <c r="A14016" t="s">
        <v>51173</v>
      </c>
    </row>
    <row r="14017" spans="1:1">
      <c r="A14017" t="s">
        <v>51174</v>
      </c>
    </row>
    <row r="14018" spans="1:1">
      <c r="A14018" t="s">
        <v>51175</v>
      </c>
    </row>
    <row r="14019" spans="1:1">
      <c r="A14019" t="s">
        <v>51176</v>
      </c>
    </row>
    <row r="14020" spans="1:1">
      <c r="A14020" t="s">
        <v>41057</v>
      </c>
    </row>
    <row r="14021" spans="1:1">
      <c r="A14021" t="s">
        <v>41057</v>
      </c>
    </row>
    <row r="14022" spans="1:1">
      <c r="A14022" t="s">
        <v>41057</v>
      </c>
    </row>
    <row r="14023" spans="1:1">
      <c r="A14023" t="s">
        <v>41057</v>
      </c>
    </row>
    <row r="14024" spans="1:1">
      <c r="A14024" t="s">
        <v>41057</v>
      </c>
    </row>
    <row r="14025" spans="1:1">
      <c r="A14025" t="s">
        <v>41057</v>
      </c>
    </row>
    <row r="14026" spans="1:1">
      <c r="A14026" t="s">
        <v>41057</v>
      </c>
    </row>
    <row r="14027" spans="1:1">
      <c r="A14027" t="s">
        <v>41057</v>
      </c>
    </row>
    <row r="14028" spans="1:1">
      <c r="A14028" t="s">
        <v>41057</v>
      </c>
    </row>
    <row r="14029" spans="1:1">
      <c r="A14029" t="s">
        <v>51120</v>
      </c>
    </row>
    <row r="14030" spans="1:1">
      <c r="A14030" t="s">
        <v>41057</v>
      </c>
    </row>
    <row r="14031" spans="1:1">
      <c r="A14031" t="s">
        <v>41057</v>
      </c>
    </row>
    <row r="14032" spans="1:1">
      <c r="A14032" t="s">
        <v>41057</v>
      </c>
    </row>
    <row r="14033" spans="1:1">
      <c r="A14033" t="s">
        <v>41057</v>
      </c>
    </row>
    <row r="14034" spans="1:1">
      <c r="A14034" t="s">
        <v>41057</v>
      </c>
    </row>
    <row r="14035" spans="1:1">
      <c r="A14035" t="s">
        <v>51177</v>
      </c>
    </row>
    <row r="14036" spans="1:1">
      <c r="A14036" t="s">
        <v>51178</v>
      </c>
    </row>
    <row r="14037" spans="1:1">
      <c r="A14037" t="s">
        <v>41057</v>
      </c>
    </row>
    <row r="14038" spans="1:1">
      <c r="A14038" t="s">
        <v>41057</v>
      </c>
    </row>
    <row r="14039" spans="1:1">
      <c r="A14039" t="s">
        <v>51179</v>
      </c>
    </row>
    <row r="14040" spans="1:1">
      <c r="A14040" t="s">
        <v>51180</v>
      </c>
    </row>
    <row r="14041" spans="1:1">
      <c r="A14041" t="s">
        <v>41057</v>
      </c>
    </row>
    <row r="14042" spans="1:1">
      <c r="A14042" t="s">
        <v>41057</v>
      </c>
    </row>
    <row r="14043" spans="1:1">
      <c r="A14043" t="s">
        <v>41057</v>
      </c>
    </row>
    <row r="14044" spans="1:1">
      <c r="A14044" t="s">
        <v>41057</v>
      </c>
    </row>
    <row r="14045" spans="1:1">
      <c r="A14045" t="s">
        <v>41057</v>
      </c>
    </row>
    <row r="14046" spans="1:1">
      <c r="A14046" t="s">
        <v>41057</v>
      </c>
    </row>
    <row r="14047" spans="1:1">
      <c r="A14047" t="s">
        <v>41057</v>
      </c>
    </row>
    <row r="14048" spans="1:1">
      <c r="A14048" t="s">
        <v>41057</v>
      </c>
    </row>
    <row r="14049" spans="1:1">
      <c r="A14049" t="s">
        <v>41057</v>
      </c>
    </row>
    <row r="14050" spans="1:1">
      <c r="A14050" t="s">
        <v>41057</v>
      </c>
    </row>
    <row r="14051" spans="1:1">
      <c r="A14051" t="s">
        <v>41057</v>
      </c>
    </row>
    <row r="14052" spans="1:1">
      <c r="A14052" t="e" cm="1">
        <f t="array" ref="A14052">-----------------------------------------------TDSL--------Y</f>
        <v>#NAME?</v>
      </c>
    </row>
    <row r="14053" spans="1:1">
      <c r="A14053" t="s">
        <v>41087</v>
      </c>
    </row>
    <row r="14054" spans="1:1">
      <c r="A14054" t="s">
        <v>51181</v>
      </c>
    </row>
    <row r="14055" spans="1:1">
      <c r="A14055" t="s">
        <v>51182</v>
      </c>
    </row>
    <row r="14056" spans="1:1">
      <c r="A14056" t="s">
        <v>51183</v>
      </c>
    </row>
    <row r="14057" spans="1:1">
      <c r="A14057" t="e" cm="1">
        <f t="array" ref="A14057">-------------GFLEMAYEE-ILFPYCL----------I-ARKKYF-----------G</f>
        <v>#NAME?</v>
      </c>
    </row>
    <row r="14058" spans="1:1">
      <c r="A14058" t="s">
        <v>51184</v>
      </c>
    </row>
    <row r="14059" spans="1:1">
      <c r="A14059" t="s">
        <v>51185</v>
      </c>
    </row>
    <row r="14060" spans="1:1">
      <c r="A14060" t="s">
        <v>51186</v>
      </c>
    </row>
    <row r="14061" spans="1:1">
      <c r="A14061" t="s">
        <v>51187</v>
      </c>
    </row>
    <row r="14062" spans="1:1">
      <c r="A14062" t="s">
        <v>51188</v>
      </c>
    </row>
    <row r="14063" spans="1:1">
      <c r="A14063" t="s">
        <v>51189</v>
      </c>
    </row>
    <row r="14064" spans="1:1">
      <c r="A14064" t="s">
        <v>51190</v>
      </c>
    </row>
    <row r="14065" spans="1:1">
      <c r="A14065" t="s">
        <v>51191</v>
      </c>
    </row>
    <row r="14066" spans="1:1">
      <c r="A14066" t="s">
        <v>51192</v>
      </c>
    </row>
    <row r="14067" spans="1:1">
      <c r="A14067" t="s">
        <v>51193</v>
      </c>
    </row>
    <row r="14068" spans="1:1">
      <c r="A14068" t="e" cm="1">
        <f t="array" ref="A14068">------YI-----ER------------------EIIGKLSGFIAYDDEF-----TKGLEQ</f>
        <v>#NAME?</v>
      </c>
    </row>
    <row r="14069" spans="1:1">
      <c r="A14069" t="s">
        <v>51194</v>
      </c>
    </row>
    <row r="14070" spans="1:1">
      <c r="A14070" t="s">
        <v>51195</v>
      </c>
    </row>
    <row r="14071" spans="1:1">
      <c r="A14071" t="s">
        <v>51196</v>
      </c>
    </row>
    <row r="14072" spans="1:1">
      <c r="A14072" t="s">
        <v>51197</v>
      </c>
    </row>
    <row r="14073" spans="1:1">
      <c r="A14073" t="s">
        <v>51198</v>
      </c>
    </row>
    <row r="14074" spans="1:1">
      <c r="A14074" t="e" cm="1">
        <f t="array" ref="A14074">------------------------------KNNNSKGA----RKGNGSGSRTIGHF-PRY</f>
        <v>#NAME?</v>
      </c>
    </row>
    <row r="14075" spans="1:1">
      <c r="A14075" t="s">
        <v>51199</v>
      </c>
    </row>
    <row r="14076" spans="1:1">
      <c r="A14076" t="s">
        <v>51200</v>
      </c>
    </row>
    <row r="14077" spans="1:1">
      <c r="A14077" t="s">
        <v>51201</v>
      </c>
    </row>
    <row r="14078" spans="1:1">
      <c r="A14078" t="e" cm="1">
        <f t="array" ref="A14078">---------------VISQKKEKKKREDFFEN------------------NLKGKSYYSA</f>
        <v>#NAME?</v>
      </c>
    </row>
    <row r="14079" spans="1:1">
      <c r="A14079" t="s">
        <v>51202</v>
      </c>
    </row>
    <row r="14080" spans="1:1">
      <c r="A14080" t="s">
        <v>51203</v>
      </c>
    </row>
    <row r="14081" spans="1:1">
      <c r="A14081" t="s">
        <v>44928</v>
      </c>
    </row>
    <row r="14082" spans="1:1">
      <c r="A14082" t="s">
        <v>51204</v>
      </c>
    </row>
    <row r="14083" spans="1:1">
      <c r="A14083" t="s">
        <v>51205</v>
      </c>
    </row>
    <row r="14084" spans="1:1">
      <c r="A14084" t="s">
        <v>51206</v>
      </c>
    </row>
    <row r="14085" spans="1:1">
      <c r="A14085" t="s">
        <v>41057</v>
      </c>
    </row>
    <row r="14086" spans="1:1">
      <c r="A14086" t="s">
        <v>51207</v>
      </c>
    </row>
    <row r="14087" spans="1:1">
      <c r="A14087" t="s">
        <v>51208</v>
      </c>
    </row>
    <row r="14088" spans="1:1">
      <c r="A14088" t="s">
        <v>51209</v>
      </c>
    </row>
    <row r="14089" spans="1:1">
      <c r="A14089" t="s">
        <v>51210</v>
      </c>
    </row>
    <row r="14090" spans="1:1">
      <c r="A14090" t="e" cm="1">
        <f t="array" ref="A14090">------------------------------------------------------NKKPQK</f>
        <v>#NAME?</v>
      </c>
    </row>
    <row r="14091" spans="1:1">
      <c r="A14091" t="s">
        <v>51211</v>
      </c>
    </row>
    <row r="14092" spans="1:1">
      <c r="A14092" t="s">
        <v>51212</v>
      </c>
    </row>
    <row r="14093" spans="1:1">
      <c r="A14093" t="s">
        <v>51213</v>
      </c>
    </row>
    <row r="14094" spans="1:1">
      <c r="A14094" t="s">
        <v>51214</v>
      </c>
    </row>
    <row r="14095" spans="1:1">
      <c r="A14095" t="s">
        <v>51215</v>
      </c>
    </row>
    <row r="14096" spans="1:1">
      <c r="A14096" t="e" cm="1">
        <f t="array" ref="A14096">---PSNA-------------------------------RQSSLTYSVTLYADVTQYLEKQ</f>
        <v>#NAME?</v>
      </c>
    </row>
    <row r="14097" spans="1:1">
      <c r="A14097" t="s">
        <v>51216</v>
      </c>
    </row>
    <row r="14098" spans="1:1">
      <c r="A14098" t="e" cm="1">
        <f t="array" ref="A14098">----NANECEYDPGGYF---IVGGSEK-----------------VVIT---------QDR</f>
        <v>#NAME?</v>
      </c>
    </row>
    <row r="14099" spans="1:1">
      <c r="A14099" t="e" cm="1">
        <f t="array" ref="A14099">-MVENK------------PLVFLKKDSSSQ-S----YVVQVNSK------SY------DP</f>
        <v>#NAME?</v>
      </c>
    </row>
    <row r="14100" spans="1:1">
      <c r="A14100" t="s">
        <v>51217</v>
      </c>
    </row>
    <row r="14101" spans="1:1">
      <c r="A14101" t="s">
        <v>41057</v>
      </c>
    </row>
    <row r="14102" spans="1:1">
      <c r="A14102" t="s">
        <v>41057</v>
      </c>
    </row>
    <row r="14103" spans="1:1">
      <c r="A14103" t="s">
        <v>51218</v>
      </c>
    </row>
    <row r="14104" spans="1:1">
      <c r="A14104" t="s">
        <v>51219</v>
      </c>
    </row>
    <row r="14105" spans="1:1">
      <c r="A14105" t="s">
        <v>51220</v>
      </c>
    </row>
    <row r="14106" spans="1:1">
      <c r="A14106" t="s">
        <v>51221</v>
      </c>
    </row>
    <row r="14107" spans="1:1">
      <c r="A14107" t="s">
        <v>51222</v>
      </c>
    </row>
    <row r="14108" spans="1:1">
      <c r="A14108" t="s">
        <v>51223</v>
      </c>
    </row>
    <row r="14109" spans="1:1">
      <c r="A14109" t="s">
        <v>51224</v>
      </c>
    </row>
    <row r="14110" spans="1:1">
      <c r="A14110" t="s">
        <v>51225</v>
      </c>
    </row>
    <row r="14111" spans="1:1">
      <c r="A14111" t="e" cm="1">
        <f t="array" ref="A14111">--VALGR-----LPLDDRDSYINKRVDPPGDLMFELFKQQ-F-------------RKMMN</f>
        <v>#NAME?</v>
      </c>
    </row>
    <row r="14112" spans="1:1">
      <c r="A14112" t="s">
        <v>51226</v>
      </c>
    </row>
    <row r="14113" spans="1:1">
      <c r="A14113" t="s">
        <v>41057</v>
      </c>
    </row>
    <row r="14114" spans="1:1">
      <c r="A14114" t="s">
        <v>41057</v>
      </c>
    </row>
    <row r="14115" spans="1:1">
      <c r="A14115" t="s">
        <v>51227</v>
      </c>
    </row>
    <row r="14116" spans="1:1">
      <c r="A14116" t="e" cm="1">
        <f t="array" ref="A14116">-------------------------KPNLIE---------------------------QG</f>
        <v>#NAME?</v>
      </c>
    </row>
    <row r="14117" spans="1:1">
      <c r="A14117" t="s">
        <v>51228</v>
      </c>
    </row>
    <row r="14118" spans="1:1">
      <c r="A14118" t="s">
        <v>41057</v>
      </c>
    </row>
    <row r="14119" spans="1:1">
      <c r="A14119" t="s">
        <v>41057</v>
      </c>
    </row>
    <row r="14120" spans="1:1">
      <c r="A14120" t="s">
        <v>51229</v>
      </c>
    </row>
    <row r="14121" spans="1:1">
      <c r="A14121" t="s">
        <v>51230</v>
      </c>
    </row>
    <row r="14122" spans="1:1">
      <c r="A14122" t="s">
        <v>51231</v>
      </c>
    </row>
    <row r="14123" spans="1:1">
      <c r="A14123" t="s">
        <v>41057</v>
      </c>
    </row>
    <row r="14124" spans="1:1">
      <c r="A14124" t="s">
        <v>41057</v>
      </c>
    </row>
    <row r="14125" spans="1:1">
      <c r="A14125" t="e" cm="1">
        <f t="array" ref="A14125">----------SVG-FL----------------------CLT-------GDTA-VQMGNGQ</f>
        <v>#NAME?</v>
      </c>
    </row>
    <row r="14126" spans="1:1">
      <c r="A14126" t="s">
        <v>51232</v>
      </c>
    </row>
    <row r="14127" spans="1:1">
      <c r="A14127" t="s">
        <v>41057</v>
      </c>
    </row>
    <row r="14128" spans="1:1">
      <c r="A14128" t="s">
        <v>41057</v>
      </c>
    </row>
    <row r="14129" spans="1:1">
      <c r="A14129" t="s">
        <v>41057</v>
      </c>
    </row>
    <row r="14130" spans="1:1">
      <c r="A14130" t="s">
        <v>41057</v>
      </c>
    </row>
    <row r="14131" spans="1:1">
      <c r="A14131" t="s">
        <v>41057</v>
      </c>
    </row>
    <row r="14132" spans="1:1">
      <c r="A14132" t="s">
        <v>41057</v>
      </c>
    </row>
    <row r="14133" spans="1:1">
      <c r="A14133" t="s">
        <v>41057</v>
      </c>
    </row>
    <row r="14134" spans="1:1">
      <c r="A14134" t="s">
        <v>41057</v>
      </c>
    </row>
    <row r="14135" spans="1:1">
      <c r="A14135" t="s">
        <v>51233</v>
      </c>
    </row>
    <row r="14136" spans="1:1">
      <c r="A14136" t="s">
        <v>51234</v>
      </c>
    </row>
    <row r="14137" spans="1:1">
      <c r="A14137" t="s">
        <v>51235</v>
      </c>
    </row>
    <row r="14138" spans="1:1">
      <c r="A14138" t="s">
        <v>41057</v>
      </c>
    </row>
    <row r="14139" spans="1:1">
      <c r="A14139" t="s">
        <v>41057</v>
      </c>
    </row>
    <row r="14140" spans="1:1">
      <c r="A14140" t="s">
        <v>51236</v>
      </c>
    </row>
    <row r="14141" spans="1:1">
      <c r="A14141" t="s">
        <v>51237</v>
      </c>
    </row>
    <row r="14142" spans="1:1">
      <c r="A14142" t="s">
        <v>51238</v>
      </c>
    </row>
    <row r="14143" spans="1:1">
      <c r="A14143" t="s">
        <v>51239</v>
      </c>
    </row>
    <row r="14144" spans="1:1">
      <c r="A14144" t="s">
        <v>51240</v>
      </c>
    </row>
    <row r="14145" spans="1:1">
      <c r="A14145" t="s">
        <v>51241</v>
      </c>
    </row>
    <row r="14146" spans="1:1">
      <c r="A14146" t="s">
        <v>51242</v>
      </c>
    </row>
    <row r="14147" spans="1:1">
      <c r="A14147" t="s">
        <v>51243</v>
      </c>
    </row>
    <row r="14148" spans="1:1">
      <c r="A14148" t="s">
        <v>41057</v>
      </c>
    </row>
    <row r="14149" spans="1:1">
      <c r="A14149" t="s">
        <v>41057</v>
      </c>
    </row>
    <row r="14150" spans="1:1">
      <c r="A14150" t="s">
        <v>41057</v>
      </c>
    </row>
    <row r="14151" spans="1:1">
      <c r="A14151" t="s">
        <v>41057</v>
      </c>
    </row>
    <row r="14152" spans="1:1">
      <c r="A14152" t="s">
        <v>41057</v>
      </c>
    </row>
    <row r="14153" spans="1:1">
      <c r="A14153" t="s">
        <v>41057</v>
      </c>
    </row>
    <row r="14154" spans="1:1">
      <c r="A14154" t="s">
        <v>41057</v>
      </c>
    </row>
    <row r="14155" spans="1:1">
      <c r="A14155" t="s">
        <v>41057</v>
      </c>
    </row>
    <row r="14156" spans="1:1">
      <c r="A14156" t="s">
        <v>41057</v>
      </c>
    </row>
    <row r="14157" spans="1:1">
      <c r="A14157" t="s">
        <v>51244</v>
      </c>
    </row>
    <row r="14158" spans="1:1">
      <c r="A14158" t="s">
        <v>41057</v>
      </c>
    </row>
    <row r="14159" spans="1:1">
      <c r="A14159" t="s">
        <v>51245</v>
      </c>
    </row>
    <row r="14160" spans="1:1">
      <c r="A14160" t="s">
        <v>41057</v>
      </c>
    </row>
    <row r="14161" spans="1:1">
      <c r="A14161" t="s">
        <v>41057</v>
      </c>
    </row>
    <row r="14162" spans="1:1">
      <c r="A14162" t="s">
        <v>41057</v>
      </c>
    </row>
    <row r="14163" spans="1:1">
      <c r="A14163" t="e" cm="1">
        <f t="array" ref="A14163">-----------NKMGAFVGNKT--------SQARFVPDWIKSGNKLIKREYLSGFQGGDG</f>
        <v>#NAME?</v>
      </c>
    </row>
    <row r="14164" spans="1:1">
      <c r="A14164" t="s">
        <v>51246</v>
      </c>
    </row>
    <row r="14165" spans="1:1">
      <c r="A14165" t="s">
        <v>41057</v>
      </c>
    </row>
    <row r="14166" spans="1:1">
      <c r="A14166" t="s">
        <v>41057</v>
      </c>
    </row>
    <row r="14167" spans="1:1">
      <c r="A14167" t="s">
        <v>41057</v>
      </c>
    </row>
    <row r="14168" spans="1:1">
      <c r="A14168" t="s">
        <v>51247</v>
      </c>
    </row>
    <row r="14169" spans="1:1">
      <c r="A14169" t="s">
        <v>41057</v>
      </c>
    </row>
    <row r="14170" spans="1:1">
      <c r="A14170" t="s">
        <v>41057</v>
      </c>
    </row>
    <row r="14171" spans="1:1">
      <c r="A14171" t="s">
        <v>41057</v>
      </c>
    </row>
    <row r="14172" spans="1:1">
      <c r="A14172" t="s">
        <v>41057</v>
      </c>
    </row>
    <row r="14173" spans="1:1">
      <c r="A14173" t="s">
        <v>41057</v>
      </c>
    </row>
    <row r="14174" spans="1:1">
      <c r="A14174" t="s">
        <v>41057</v>
      </c>
    </row>
    <row r="14175" spans="1:1">
      <c r="A14175" t="s">
        <v>41057</v>
      </c>
    </row>
    <row r="14176" spans="1:1">
      <c r="A14176" t="s">
        <v>41057</v>
      </c>
    </row>
    <row r="14177" spans="1:1">
      <c r="A14177" t="s">
        <v>41057</v>
      </c>
    </row>
    <row r="14178" spans="1:1">
      <c r="A14178" t="s">
        <v>41057</v>
      </c>
    </row>
    <row r="14179" spans="1:1">
      <c r="A14179" t="s">
        <v>51248</v>
      </c>
    </row>
    <row r="14180" spans="1:1">
      <c r="A14180" t="e" cm="1">
        <f t="array" ref="A14180">------------DVKDVTGTNNKTVG-------IVFS--------QSYDNMHK------Y</f>
        <v>#NAME?</v>
      </c>
    </row>
    <row r="14181" spans="1:1">
      <c r="A14181" t="s">
        <v>41087</v>
      </c>
    </row>
    <row r="14182" spans="1:1">
      <c r="A14182" t="s">
        <v>51249</v>
      </c>
    </row>
    <row r="14183" spans="1:1">
      <c r="A14183" t="e" cm="1">
        <f t="array" ref="A14183">--------------------------------------RVSAS---IVE---------YI</f>
        <v>#NAME?</v>
      </c>
    </row>
    <row r="14184" spans="1:1">
      <c r="A14184" t="s">
        <v>51250</v>
      </c>
    </row>
    <row r="14185" spans="1:1">
      <c r="A14185" t="e" cm="1">
        <f t="array" ref="A14185">--------DSKD----KLTYTE-FCNKYHI------------KDDRFKMPITSIDKMPIE</f>
        <v>#NAME?</v>
      </c>
    </row>
    <row r="14186" spans="1:1">
      <c r="A14186" t="s">
        <v>51251</v>
      </c>
    </row>
    <row r="14187" spans="1:1">
      <c r="A14187" t="s">
        <v>51252</v>
      </c>
    </row>
    <row r="14188" spans="1:1">
      <c r="A14188" t="s">
        <v>51253</v>
      </c>
    </row>
    <row r="14189" spans="1:1">
      <c r="A14189" t="s">
        <v>51254</v>
      </c>
    </row>
    <row r="14190" spans="1:1">
      <c r="A14190" t="s">
        <v>51255</v>
      </c>
    </row>
    <row r="14191" spans="1:1">
      <c r="A14191" t="s">
        <v>51256</v>
      </c>
    </row>
    <row r="14192" spans="1:1">
      <c r="A14192" t="s">
        <v>51257</v>
      </c>
    </row>
    <row r="14193" spans="1:1">
      <c r="A14193" t="s">
        <v>51258</v>
      </c>
    </row>
    <row r="14194" spans="1:1">
      <c r="A14194" t="s">
        <v>51259</v>
      </c>
    </row>
    <row r="14195" spans="1:1">
      <c r="A14195" t="e" cm="1">
        <f t="array" ref="A14195">---------QQYTHCELHPSILVGE------------ISINIPFMGSNQGPRNIIQYSQG</f>
        <v>#NAME?</v>
      </c>
    </row>
    <row r="14196" spans="1:1">
      <c r="A14196" t="s">
        <v>51260</v>
      </c>
    </row>
    <row r="14197" spans="1:1">
      <c r="A14197" t="s">
        <v>51261</v>
      </c>
    </row>
    <row r="14198" spans="1:1">
      <c r="A14198" t="s">
        <v>51262</v>
      </c>
    </row>
    <row r="14199" spans="1:1">
      <c r="A14199" t="s">
        <v>41057</v>
      </c>
    </row>
    <row r="14200" spans="1:1">
      <c r="A14200" t="s">
        <v>41057</v>
      </c>
    </row>
    <row r="14201" spans="1:1">
      <c r="A14201" t="s">
        <v>51263</v>
      </c>
    </row>
    <row r="14202" spans="1:1">
      <c r="A14202" t="s">
        <v>51264</v>
      </c>
    </row>
    <row r="14203" spans="1:1">
      <c r="A14203" t="e" cm="1">
        <f t="array" ref="A14203">---------------------------DI------FTK-----------PDPEKVVGIRH</f>
        <v>#NAME?</v>
      </c>
    </row>
    <row r="14204" spans="1:1">
      <c r="A14204" t="s">
        <v>51265</v>
      </c>
    </row>
    <row r="14205" spans="1:1">
      <c r="A14205" t="s">
        <v>41057</v>
      </c>
    </row>
    <row r="14206" spans="1:1">
      <c r="A14206" t="s">
        <v>41057</v>
      </c>
    </row>
    <row r="14207" spans="1:1">
      <c r="A14207" t="s">
        <v>41057</v>
      </c>
    </row>
    <row r="14208" spans="1:1">
      <c r="A14208" t="s">
        <v>45870</v>
      </c>
    </row>
    <row r="14209" spans="1:1">
      <c r="A14209" t="s">
        <v>44771</v>
      </c>
    </row>
    <row r="14210" spans="1:1">
      <c r="A14210" t="s">
        <v>41057</v>
      </c>
    </row>
    <row r="14211" spans="1:1">
      <c r="A14211" t="s">
        <v>41057</v>
      </c>
    </row>
    <row r="14212" spans="1:1">
      <c r="A14212" t="s">
        <v>41057</v>
      </c>
    </row>
    <row r="14213" spans="1:1">
      <c r="A14213" t="s">
        <v>41057</v>
      </c>
    </row>
    <row r="14214" spans="1:1">
      <c r="A14214" t="s">
        <v>41057</v>
      </c>
    </row>
    <row r="14215" spans="1:1">
      <c r="A14215" t="s">
        <v>51266</v>
      </c>
    </row>
    <row r="14216" spans="1:1">
      <c r="A14216" t="s">
        <v>41057</v>
      </c>
    </row>
    <row r="14217" spans="1:1">
      <c r="A14217" t="s">
        <v>51267</v>
      </c>
    </row>
    <row r="14218" spans="1:1">
      <c r="A14218" t="e" cm="1">
        <f t="array" ref="A14218">----------------------------------------------------------GR</f>
        <v>#NAME?</v>
      </c>
    </row>
    <row r="14219" spans="1:1">
      <c r="A14219" t="s">
        <v>51268</v>
      </c>
    </row>
    <row r="14220" spans="1:1">
      <c r="A14220" t="s">
        <v>51269</v>
      </c>
    </row>
    <row r="14221" spans="1:1">
      <c r="A14221" t="s">
        <v>51270</v>
      </c>
    </row>
    <row r="14222" spans="1:1">
      <c r="A14222" t="s">
        <v>51271</v>
      </c>
    </row>
    <row r="14223" spans="1:1">
      <c r="A14223" t="s">
        <v>51272</v>
      </c>
    </row>
    <row r="14224" spans="1:1">
      <c r="A14224" t="s">
        <v>51273</v>
      </c>
    </row>
    <row r="14225" spans="1:1">
      <c r="A14225" t="s">
        <v>51274</v>
      </c>
    </row>
    <row r="14226" spans="1:1">
      <c r="A14226" t="s">
        <v>51275</v>
      </c>
    </row>
    <row r="14227" spans="1:1">
      <c r="A14227" t="s">
        <v>51276</v>
      </c>
    </row>
    <row r="14228" spans="1:1">
      <c r="A14228" t="s">
        <v>51277</v>
      </c>
    </row>
    <row r="14229" spans="1:1">
      <c r="A14229" t="s">
        <v>41057</v>
      </c>
    </row>
    <row r="14230" spans="1:1">
      <c r="A14230" t="s">
        <v>41057</v>
      </c>
    </row>
    <row r="14231" spans="1:1">
      <c r="A14231" t="s">
        <v>51278</v>
      </c>
    </row>
    <row r="14232" spans="1:1">
      <c r="A14232" t="s">
        <v>51279</v>
      </c>
    </row>
    <row r="14233" spans="1:1">
      <c r="A14233" t="s">
        <v>51280</v>
      </c>
    </row>
    <row r="14234" spans="1:1">
      <c r="A14234" t="e" cm="1">
        <f t="array" ref="A14234">-------------N---------------LTMTETQDL-LLGKIYQDD-----NGNIVSD</f>
        <v>#NAME?</v>
      </c>
    </row>
    <row r="14235" spans="1:1">
      <c r="A14235" t="s">
        <v>51281</v>
      </c>
    </row>
    <row r="14236" spans="1:1">
      <c r="A14236" t="e" cm="1">
        <f t="array" ref="A14236">---DIPYIIQRIRHT--MG---G------------------------------------E</f>
        <v>#NAME?</v>
      </c>
    </row>
    <row r="14237" spans="1:1">
      <c r="A14237" t="s">
        <v>51282</v>
      </c>
    </row>
    <row r="14238" spans="1:1">
      <c r="A14238" t="e" cm="1">
        <f t="array" ref="A14238">-------------------------------------TLFPRLPEMRLLERYG--NSEKT</f>
        <v>#NAME?</v>
      </c>
    </row>
    <row r="14239" spans="1:1">
      <c r="A14239" t="s">
        <v>51283</v>
      </c>
    </row>
    <row r="14240" spans="1:1">
      <c r="A14240" t="s">
        <v>51284</v>
      </c>
    </row>
    <row r="14241" spans="1:1">
      <c r="A14241" t="s">
        <v>51285</v>
      </c>
    </row>
    <row r="14242" spans="1:1">
      <c r="A14242" t="s">
        <v>41057</v>
      </c>
    </row>
    <row r="14243" spans="1:1">
      <c r="A14243" t="s">
        <v>51286</v>
      </c>
    </row>
    <row r="14244" spans="1:1">
      <c r="A14244" t="s">
        <v>41057</v>
      </c>
    </row>
    <row r="14245" spans="1:1">
      <c r="A14245" t="s">
        <v>51287</v>
      </c>
    </row>
    <row r="14246" spans="1:1">
      <c r="A14246" t="s">
        <v>41057</v>
      </c>
    </row>
    <row r="14247" spans="1:1">
      <c r="A14247" t="s">
        <v>41057</v>
      </c>
    </row>
    <row r="14248" spans="1:1">
      <c r="A14248" t="e" cm="1">
        <f t="array" ref="A14248">--------------YSKQDVA-----------------GL--------KALNDKM-RLIQ</f>
        <v>#NAME?</v>
      </c>
    </row>
    <row r="14249" spans="1:1">
      <c r="A14249" t="s">
        <v>51288</v>
      </c>
    </row>
    <row r="14250" spans="1:1">
      <c r="A14250" t="s">
        <v>51289</v>
      </c>
    </row>
    <row r="14251" spans="1:1">
      <c r="A14251" t="s">
        <v>41057</v>
      </c>
    </row>
    <row r="14252" spans="1:1">
      <c r="A14252" t="s">
        <v>41057</v>
      </c>
    </row>
    <row r="14253" spans="1:1">
      <c r="A14253" t="e" cm="1">
        <f t="array" ref="A14253">--------------IP--------------------------------GAFV-VNPDKGE</f>
        <v>#NAME?</v>
      </c>
    </row>
    <row r="14254" spans="1:1">
      <c r="A14254" t="s">
        <v>51290</v>
      </c>
    </row>
    <row r="14255" spans="1:1">
      <c r="A14255" t="s">
        <v>41057</v>
      </c>
    </row>
    <row r="14256" spans="1:1">
      <c r="A14256" t="s">
        <v>41057</v>
      </c>
    </row>
    <row r="14257" spans="1:1">
      <c r="A14257" t="s">
        <v>41057</v>
      </c>
    </row>
    <row r="14258" spans="1:1">
      <c r="A14258" t="s">
        <v>41057</v>
      </c>
    </row>
    <row r="14259" spans="1:1">
      <c r="A14259" t="s">
        <v>41057</v>
      </c>
    </row>
    <row r="14260" spans="1:1">
      <c r="A14260" t="s">
        <v>41057</v>
      </c>
    </row>
    <row r="14261" spans="1:1">
      <c r="A14261" t="s">
        <v>41057</v>
      </c>
    </row>
    <row r="14262" spans="1:1">
      <c r="A14262" t="s">
        <v>41057</v>
      </c>
    </row>
    <row r="14263" spans="1:1">
      <c r="A14263" t="s">
        <v>51291</v>
      </c>
    </row>
    <row r="14264" spans="1:1">
      <c r="A14264" t="e" cm="1">
        <f t="array" ref="A14264">-------------VRE-KTKRRWLAEF-YDDETWYSR----PSSE-VN--GYIIQKDELK</f>
        <v>#NAME?</v>
      </c>
    </row>
    <row r="14265" spans="1:1">
      <c r="A14265" t="s">
        <v>51292</v>
      </c>
    </row>
    <row r="14266" spans="1:1">
      <c r="A14266" t="s">
        <v>51293</v>
      </c>
    </row>
    <row r="14267" spans="1:1">
      <c r="A14267" t="s">
        <v>41057</v>
      </c>
    </row>
    <row r="14268" spans="1:1">
      <c r="A14268" t="s">
        <v>51294</v>
      </c>
    </row>
    <row r="14269" spans="1:1">
      <c r="A14269" t="s">
        <v>51295</v>
      </c>
    </row>
    <row r="14270" spans="1:1">
      <c r="A14270" t="s">
        <v>51296</v>
      </c>
    </row>
    <row r="14271" spans="1:1">
      <c r="A14271" t="s">
        <v>51297</v>
      </c>
    </row>
    <row r="14272" spans="1:1">
      <c r="A14272" t="s">
        <v>51298</v>
      </c>
    </row>
    <row r="14273" spans="1:1">
      <c r="A14273" t="s">
        <v>51299</v>
      </c>
    </row>
    <row r="14274" spans="1:1">
      <c r="A14274" t="s">
        <v>51300</v>
      </c>
    </row>
    <row r="14275" spans="1:1">
      <c r="A14275" t="s">
        <v>51301</v>
      </c>
    </row>
    <row r="14276" spans="1:1">
      <c r="A14276" t="s">
        <v>41057</v>
      </c>
    </row>
    <row r="14277" spans="1:1">
      <c r="A14277" t="s">
        <v>41057</v>
      </c>
    </row>
    <row r="14278" spans="1:1">
      <c r="A14278" t="s">
        <v>41057</v>
      </c>
    </row>
    <row r="14279" spans="1:1">
      <c r="A14279" t="s">
        <v>41057</v>
      </c>
    </row>
    <row r="14280" spans="1:1">
      <c r="A14280" t="s">
        <v>41057</v>
      </c>
    </row>
    <row r="14281" spans="1:1">
      <c r="A14281" t="s">
        <v>41057</v>
      </c>
    </row>
    <row r="14282" spans="1:1">
      <c r="A14282" t="s">
        <v>41057</v>
      </c>
    </row>
    <row r="14283" spans="1:1">
      <c r="A14283" t="s">
        <v>41057</v>
      </c>
    </row>
    <row r="14284" spans="1:1">
      <c r="A14284" t="s">
        <v>41057</v>
      </c>
    </row>
    <row r="14285" spans="1:1">
      <c r="A14285" t="s">
        <v>51302</v>
      </c>
    </row>
    <row r="14286" spans="1:1">
      <c r="A14286" t="s">
        <v>41057</v>
      </c>
    </row>
    <row r="14287" spans="1:1">
      <c r="A14287" t="s">
        <v>41057</v>
      </c>
    </row>
    <row r="14288" spans="1:1">
      <c r="A14288" t="s">
        <v>41057</v>
      </c>
    </row>
    <row r="14289" spans="1:1">
      <c r="A14289" t="s">
        <v>41057</v>
      </c>
    </row>
    <row r="14290" spans="1:1">
      <c r="A14290" t="s">
        <v>41057</v>
      </c>
    </row>
    <row r="14291" spans="1:1">
      <c r="A14291" t="s">
        <v>51303</v>
      </c>
    </row>
    <row r="14292" spans="1:1">
      <c r="A14292" t="s">
        <v>51304</v>
      </c>
    </row>
    <row r="14293" spans="1:1">
      <c r="A14293" t="s">
        <v>41057</v>
      </c>
    </row>
    <row r="14294" spans="1:1">
      <c r="A14294" t="s">
        <v>41057</v>
      </c>
    </row>
    <row r="14295" spans="1:1">
      <c r="A14295" t="s">
        <v>51305</v>
      </c>
    </row>
    <row r="14296" spans="1:1">
      <c r="A14296" t="s">
        <v>51306</v>
      </c>
    </row>
    <row r="14297" spans="1:1">
      <c r="A14297" t="s">
        <v>41057</v>
      </c>
    </row>
    <row r="14298" spans="1:1">
      <c r="A14298" t="s">
        <v>41057</v>
      </c>
    </row>
    <row r="14299" spans="1:1">
      <c r="A14299" t="s">
        <v>41057</v>
      </c>
    </row>
    <row r="14300" spans="1:1">
      <c r="A14300" t="s">
        <v>41057</v>
      </c>
    </row>
    <row r="14301" spans="1:1">
      <c r="A14301" t="s">
        <v>41057</v>
      </c>
    </row>
    <row r="14302" spans="1:1">
      <c r="A14302" t="s">
        <v>41057</v>
      </c>
    </row>
    <row r="14303" spans="1:1">
      <c r="A14303" t="s">
        <v>41057</v>
      </c>
    </row>
    <row r="14304" spans="1:1">
      <c r="A14304" t="s">
        <v>41057</v>
      </c>
    </row>
    <row r="14305" spans="1:1">
      <c r="A14305" t="s">
        <v>41057</v>
      </c>
    </row>
    <row r="14306" spans="1:1">
      <c r="A14306" t="s">
        <v>41057</v>
      </c>
    </row>
    <row r="14307" spans="1:1">
      <c r="A14307" t="s">
        <v>41057</v>
      </c>
    </row>
    <row r="14308" spans="1:1">
      <c r="A14308" t="e" cm="1">
        <f t="array" ref="A14308">-----------------------------------------------TDSV--------Y</f>
        <v>#NAME?</v>
      </c>
    </row>
    <row r="14309" spans="1:1">
      <c r="A14309" t="s">
        <v>48721</v>
      </c>
    </row>
    <row r="14310" spans="1:1">
      <c r="A14310" t="s">
        <v>51307</v>
      </c>
    </row>
    <row r="14311" spans="1:1">
      <c r="A14311" t="e" cm="1">
        <f t="array" ref="A14311">---------------------------------------MSEN---NIQKTKE--NAIIT</f>
        <v>#NAME?</v>
      </c>
    </row>
    <row r="14312" spans="1:1">
      <c r="A14312" t="s">
        <v>51308</v>
      </c>
    </row>
    <row r="14313" spans="1:1">
      <c r="A14313" t="s">
        <v>51309</v>
      </c>
    </row>
    <row r="14314" spans="1:1">
      <c r="A14314" t="e" cm="1">
        <f t="array" ref="A14314">---------------------K-DVDKLKIMG-------METRRSDTPKYIQKF-LENVL</f>
        <v>#NAME?</v>
      </c>
    </row>
    <row r="14315" spans="1:1">
      <c r="A14315" t="s">
        <v>51310</v>
      </c>
    </row>
    <row r="14316" spans="1:1">
      <c r="A14316" t="s">
        <v>51311</v>
      </c>
    </row>
    <row r="14317" spans="1:1">
      <c r="A14317" t="s">
        <v>51312</v>
      </c>
    </row>
    <row r="14318" spans="1:1">
      <c r="A14318" t="s">
        <v>51313</v>
      </c>
    </row>
    <row r="14319" spans="1:1">
      <c r="A14319" t="s">
        <v>51314</v>
      </c>
    </row>
    <row r="14320" spans="1:1">
      <c r="A14320" t="s">
        <v>51315</v>
      </c>
    </row>
    <row r="14321" spans="1:1">
      <c r="A14321" t="s">
        <v>51316</v>
      </c>
    </row>
    <row r="14322" spans="1:1">
      <c r="A14322" t="s">
        <v>51317</v>
      </c>
    </row>
    <row r="14323" spans="1:1">
      <c r="A14323" t="s">
        <v>51318</v>
      </c>
    </row>
    <row r="14324" spans="1:1">
      <c r="A14324" t="s">
        <v>51319</v>
      </c>
    </row>
    <row r="14325" spans="1:1">
      <c r="A14325" t="s">
        <v>51320</v>
      </c>
    </row>
    <row r="14326" spans="1:1">
      <c r="A14326" t="s">
        <v>41057</v>
      </c>
    </row>
    <row r="14327" spans="1:1">
      <c r="A14327" t="s">
        <v>41057</v>
      </c>
    </row>
    <row r="14328" spans="1:1">
      <c r="A14328" t="s">
        <v>41057</v>
      </c>
    </row>
    <row r="14329" spans="1:1">
      <c r="A14329" t="s">
        <v>41057</v>
      </c>
    </row>
    <row r="14330" spans="1:1">
      <c r="A14330" t="s">
        <v>51321</v>
      </c>
    </row>
    <row r="14331" spans="1:1">
      <c r="A14331" t="s">
        <v>51322</v>
      </c>
    </row>
    <row r="14332" spans="1:1">
      <c r="A14332" t="s">
        <v>51323</v>
      </c>
    </row>
    <row r="14333" spans="1:1">
      <c r="A14333" t="s">
        <v>41057</v>
      </c>
    </row>
    <row r="14334" spans="1:1">
      <c r="A14334" t="s">
        <v>41057</v>
      </c>
    </row>
    <row r="14335" spans="1:1">
      <c r="A14335" t="s">
        <v>41057</v>
      </c>
    </row>
    <row r="14336" spans="1:1">
      <c r="A14336" t="s">
        <v>45870</v>
      </c>
    </row>
    <row r="14337" spans="1:1">
      <c r="A14337" t="s">
        <v>44953</v>
      </c>
    </row>
    <row r="14338" spans="1:1">
      <c r="A14338" t="s">
        <v>41057</v>
      </c>
    </row>
    <row r="14339" spans="1:1">
      <c r="A14339" t="s">
        <v>41057</v>
      </c>
    </row>
    <row r="14340" spans="1:1">
      <c r="A14340" t="s">
        <v>41057</v>
      </c>
    </row>
    <row r="14341" spans="1:1">
      <c r="A14341" t="s">
        <v>41057</v>
      </c>
    </row>
    <row r="14342" spans="1:1">
      <c r="A14342" t="s">
        <v>41057</v>
      </c>
    </row>
    <row r="14343" spans="1:1">
      <c r="A14343" t="s">
        <v>51324</v>
      </c>
    </row>
    <row r="14344" spans="1:1">
      <c r="A14344" t="s">
        <v>41057</v>
      </c>
    </row>
    <row r="14345" spans="1:1">
      <c r="A14345" t="s">
        <v>51325</v>
      </c>
    </row>
    <row r="14346" spans="1:1">
      <c r="A14346" t="e" cm="1">
        <f t="array" ref="A14346">----------------------------------------------------------QR</f>
        <v>#NAME?</v>
      </c>
    </row>
    <row r="14347" spans="1:1">
      <c r="A14347" t="s">
        <v>51326</v>
      </c>
    </row>
    <row r="14348" spans="1:1">
      <c r="A14348" t="s">
        <v>51327</v>
      </c>
    </row>
    <row r="14349" spans="1:1">
      <c r="A14349" t="s">
        <v>51328</v>
      </c>
    </row>
    <row r="14350" spans="1:1">
      <c r="A14350" t="s">
        <v>51329</v>
      </c>
    </row>
    <row r="14351" spans="1:1">
      <c r="A14351" t="s">
        <v>51330</v>
      </c>
    </row>
    <row r="14352" spans="1:1">
      <c r="A14352" t="s">
        <v>51331</v>
      </c>
    </row>
    <row r="14353" spans="1:1">
      <c r="A14353" t="s">
        <v>51332</v>
      </c>
    </row>
    <row r="14354" spans="1:1">
      <c r="A14354" t="s">
        <v>51333</v>
      </c>
    </row>
    <row r="14355" spans="1:1">
      <c r="A14355" t="s">
        <v>51334</v>
      </c>
    </row>
    <row r="14356" spans="1:1">
      <c r="A14356" t="s">
        <v>51335</v>
      </c>
    </row>
    <row r="14357" spans="1:1">
      <c r="A14357" t="s">
        <v>41057</v>
      </c>
    </row>
    <row r="14358" spans="1:1">
      <c r="A14358" t="s">
        <v>41057</v>
      </c>
    </row>
    <row r="14359" spans="1:1">
      <c r="A14359" t="s">
        <v>51336</v>
      </c>
    </row>
    <row r="14360" spans="1:1">
      <c r="A14360" t="s">
        <v>51337</v>
      </c>
    </row>
    <row r="14361" spans="1:1">
      <c r="A14361" t="s">
        <v>51338</v>
      </c>
    </row>
    <row r="14362" spans="1:1">
      <c r="A14362" t="s">
        <v>51339</v>
      </c>
    </row>
    <row r="14363" spans="1:1">
      <c r="A14363" t="s">
        <v>51340</v>
      </c>
    </row>
    <row r="14364" spans="1:1">
      <c r="A14364" t="e" cm="1">
        <f t="array" ref="A14364">---DIPYTVNRIAKV--LG---K------------------------------------S</f>
        <v>#NAME?</v>
      </c>
    </row>
    <row r="14365" spans="1:1">
      <c r="A14365" t="s">
        <v>51341</v>
      </c>
    </row>
    <row r="14366" spans="1:1">
      <c r="A14366" t="e" cm="1">
        <f t="array" ref="A14366">-------------------------------------CLWDQMPKERTYTAFG--NDRQT</f>
        <v>#NAME?</v>
      </c>
    </row>
    <row r="14367" spans="1:1">
      <c r="A14367" t="s">
        <v>51342</v>
      </c>
    </row>
    <row r="14368" spans="1:1">
      <c r="A14368" t="s">
        <v>51343</v>
      </c>
    </row>
    <row r="14369" spans="1:1">
      <c r="A14369" t="s">
        <v>51344</v>
      </c>
    </row>
    <row r="14370" spans="1:1">
      <c r="A14370" t="s">
        <v>41057</v>
      </c>
    </row>
    <row r="14371" spans="1:1">
      <c r="A14371" t="s">
        <v>51345</v>
      </c>
    </row>
    <row r="14372" spans="1:1">
      <c r="A14372" t="s">
        <v>41057</v>
      </c>
    </row>
    <row r="14373" spans="1:1">
      <c r="A14373" t="s">
        <v>51346</v>
      </c>
    </row>
    <row r="14374" spans="1:1">
      <c r="A14374" t="s">
        <v>41057</v>
      </c>
    </row>
    <row r="14375" spans="1:1">
      <c r="A14375" t="s">
        <v>41057</v>
      </c>
    </row>
    <row r="14376" spans="1:1">
      <c r="A14376" t="e" cm="1">
        <f t="array" ref="A14376">--------------YNIQDVM-----------------LL--------DKLDRKL-QFID</f>
        <v>#NAME?</v>
      </c>
    </row>
    <row r="14377" spans="1:1">
      <c r="A14377" t="s">
        <v>51347</v>
      </c>
    </row>
    <row r="14378" spans="1:1">
      <c r="A14378" t="s">
        <v>51348</v>
      </c>
    </row>
    <row r="14379" spans="1:1">
      <c r="A14379" t="s">
        <v>41057</v>
      </c>
    </row>
    <row r="14380" spans="1:1">
      <c r="A14380" t="s">
        <v>41057</v>
      </c>
    </row>
    <row r="14381" spans="1:1">
      <c r="A14381" t="e" cm="1">
        <f t="array" ref="A14381">--------------AA--------------------------------GAYV-AFPKRGF</f>
        <v>#NAME?</v>
      </c>
    </row>
    <row r="14382" spans="1:1">
      <c r="A14382" t="s">
        <v>51349</v>
      </c>
    </row>
    <row r="14383" spans="1:1">
      <c r="A14383" t="s">
        <v>41057</v>
      </c>
    </row>
    <row r="14384" spans="1:1">
      <c r="A14384" t="s">
        <v>41057</v>
      </c>
    </row>
    <row r="14385" spans="1:1">
      <c r="A14385" t="s">
        <v>41057</v>
      </c>
    </row>
    <row r="14386" spans="1:1">
      <c r="A14386" t="s">
        <v>41057</v>
      </c>
    </row>
    <row r="14387" spans="1:1">
      <c r="A14387" t="s">
        <v>41057</v>
      </c>
    </row>
    <row r="14388" spans="1:1">
      <c r="A14388" t="s">
        <v>41057</v>
      </c>
    </row>
    <row r="14389" spans="1:1">
      <c r="A14389" t="s">
        <v>41057</v>
      </c>
    </row>
    <row r="14390" spans="1:1">
      <c r="A14390" t="s">
        <v>41057</v>
      </c>
    </row>
    <row r="14391" spans="1:1">
      <c r="A14391" t="s">
        <v>51350</v>
      </c>
    </row>
    <row r="14392" spans="1:1">
      <c r="A14392" t="e" cm="1">
        <f t="array" ref="A14392">----------QAEIDA-KIEGKWI-----------------PPGE----------KKPHK</f>
        <v>#NAME?</v>
      </c>
    </row>
    <row r="14393" spans="1:1">
      <c r="A14393" t="s">
        <v>51351</v>
      </c>
    </row>
    <row r="14394" spans="1:1">
      <c r="A14394" t="s">
        <v>51352</v>
      </c>
    </row>
    <row r="14395" spans="1:1">
      <c r="A14395" t="s">
        <v>41057</v>
      </c>
    </row>
    <row r="14396" spans="1:1">
      <c r="A14396" t="s">
        <v>51353</v>
      </c>
    </row>
    <row r="14397" spans="1:1">
      <c r="A14397" t="s">
        <v>51354</v>
      </c>
    </row>
    <row r="14398" spans="1:1">
      <c r="A14398" t="s">
        <v>51355</v>
      </c>
    </row>
    <row r="14399" spans="1:1">
      <c r="A14399" t="s">
        <v>51356</v>
      </c>
    </row>
    <row r="14400" spans="1:1">
      <c r="A14400" t="s">
        <v>51357</v>
      </c>
    </row>
    <row r="14401" spans="1:1">
      <c r="A14401" t="s">
        <v>51358</v>
      </c>
    </row>
    <row r="14402" spans="1:1">
      <c r="A14402" t="s">
        <v>51359</v>
      </c>
    </row>
    <row r="14403" spans="1:1">
      <c r="A14403" t="s">
        <v>51360</v>
      </c>
    </row>
    <row r="14404" spans="1:1">
      <c r="A14404" t="s">
        <v>41057</v>
      </c>
    </row>
    <row r="14405" spans="1:1">
      <c r="A14405" t="s">
        <v>41057</v>
      </c>
    </row>
    <row r="14406" spans="1:1">
      <c r="A14406" t="s">
        <v>41057</v>
      </c>
    </row>
    <row r="14407" spans="1:1">
      <c r="A14407" t="s">
        <v>41057</v>
      </c>
    </row>
    <row r="14408" spans="1:1">
      <c r="A14408" t="s">
        <v>41057</v>
      </c>
    </row>
    <row r="14409" spans="1:1">
      <c r="A14409" t="s">
        <v>41057</v>
      </c>
    </row>
    <row r="14410" spans="1:1">
      <c r="A14410" t="s">
        <v>41057</v>
      </c>
    </row>
    <row r="14411" spans="1:1">
      <c r="A14411" t="s">
        <v>41057</v>
      </c>
    </row>
    <row r="14412" spans="1:1">
      <c r="A14412" t="s">
        <v>41057</v>
      </c>
    </row>
    <row r="14413" spans="1:1">
      <c r="A14413" t="s">
        <v>51361</v>
      </c>
    </row>
    <row r="14414" spans="1:1">
      <c r="A14414" t="s">
        <v>41057</v>
      </c>
    </row>
    <row r="14415" spans="1:1">
      <c r="A14415" t="s">
        <v>41057</v>
      </c>
    </row>
    <row r="14416" spans="1:1">
      <c r="A14416" t="s">
        <v>41057</v>
      </c>
    </row>
    <row r="14417" spans="1:1">
      <c r="A14417" t="s">
        <v>41057</v>
      </c>
    </row>
    <row r="14418" spans="1:1">
      <c r="A14418" t="s">
        <v>41057</v>
      </c>
    </row>
    <row r="14419" spans="1:1">
      <c r="A14419" t="s">
        <v>51362</v>
      </c>
    </row>
    <row r="14420" spans="1:1">
      <c r="A14420" t="s">
        <v>51363</v>
      </c>
    </row>
    <row r="14421" spans="1:1">
      <c r="A14421" t="s">
        <v>41057</v>
      </c>
    </row>
    <row r="14422" spans="1:1">
      <c r="A14422" t="s">
        <v>41057</v>
      </c>
    </row>
    <row r="14423" spans="1:1">
      <c r="A14423" t="s">
        <v>51364</v>
      </c>
    </row>
    <row r="14424" spans="1:1">
      <c r="A14424" t="s">
        <v>51365</v>
      </c>
    </row>
    <row r="14425" spans="1:1">
      <c r="A14425" t="s">
        <v>41057</v>
      </c>
    </row>
    <row r="14426" spans="1:1">
      <c r="A14426" t="s">
        <v>41057</v>
      </c>
    </row>
    <row r="14427" spans="1:1">
      <c r="A14427" t="s">
        <v>41057</v>
      </c>
    </row>
    <row r="14428" spans="1:1">
      <c r="A14428" t="s">
        <v>41057</v>
      </c>
    </row>
    <row r="14429" spans="1:1">
      <c r="A14429" t="s">
        <v>41057</v>
      </c>
    </row>
    <row r="14430" spans="1:1">
      <c r="A14430" t="s">
        <v>41057</v>
      </c>
    </row>
    <row r="14431" spans="1:1">
      <c r="A14431" t="s">
        <v>41057</v>
      </c>
    </row>
    <row r="14432" spans="1:1">
      <c r="A14432" t="s">
        <v>41057</v>
      </c>
    </row>
    <row r="14433" spans="1:1">
      <c r="A14433" t="s">
        <v>41057</v>
      </c>
    </row>
    <row r="14434" spans="1:1">
      <c r="A14434" t="s">
        <v>41057</v>
      </c>
    </row>
    <row r="14435" spans="1:1">
      <c r="A14435" t="s">
        <v>41057</v>
      </c>
    </row>
    <row r="14436" spans="1:1">
      <c r="A14436" t="e" cm="1">
        <f t="array" ref="A14436">-----------------------------------------------TDST--------Y</f>
        <v>#NAME?</v>
      </c>
    </row>
    <row r="14437" spans="1:1">
      <c r="A14437" t="s">
        <v>46138</v>
      </c>
    </row>
    <row r="14438" spans="1:1">
      <c r="A14438" t="s">
        <v>51366</v>
      </c>
    </row>
    <row r="14439" spans="1:1">
      <c r="A14439" t="e" cm="1">
        <f t="array" ref="A14439">---------------------------------------LPEG---S-EFDLD--KAVDL</f>
        <v>#NAME?</v>
      </c>
    </row>
    <row r="14440" spans="1:1">
      <c r="A14440" t="s">
        <v>51367</v>
      </c>
    </row>
    <row r="14441" spans="1:1">
      <c r="A14441" t="s">
        <v>51368</v>
      </c>
    </row>
    <row r="14442" spans="1:1">
      <c r="A14442" t="s">
        <v>51369</v>
      </c>
    </row>
    <row r="14443" spans="1:1">
      <c r="A14443" t="s">
        <v>51370</v>
      </c>
    </row>
    <row r="14444" spans="1:1">
      <c r="A14444" t="s">
        <v>51371</v>
      </c>
    </row>
    <row r="14445" spans="1:1">
      <c r="A14445" t="s">
        <v>51372</v>
      </c>
    </row>
    <row r="14446" spans="1:1">
      <c r="A14446" t="s">
        <v>51373</v>
      </c>
    </row>
    <row r="14447" spans="1:1">
      <c r="A14447" t="s">
        <v>51374</v>
      </c>
    </row>
    <row r="14448" spans="1:1">
      <c r="A14448" t="s">
        <v>51375</v>
      </c>
    </row>
    <row r="14449" spans="1:1">
      <c r="A14449" t="s">
        <v>51376</v>
      </c>
    </row>
    <row r="14450" spans="1:1">
      <c r="A14450" t="s">
        <v>51377</v>
      </c>
    </row>
    <row r="14451" spans="1:1">
      <c r="A14451" t="s">
        <v>51378</v>
      </c>
    </row>
    <row r="14452" spans="1:1">
      <c r="A14452" t="s">
        <v>51379</v>
      </c>
    </row>
    <row r="14453" spans="1:1">
      <c r="A14453" t="s">
        <v>51380</v>
      </c>
    </row>
    <row r="14454" spans="1:1">
      <c r="A14454" t="s">
        <v>41057</v>
      </c>
    </row>
    <row r="14455" spans="1:1">
      <c r="A14455" t="s">
        <v>41057</v>
      </c>
    </row>
    <row r="14456" spans="1:1">
      <c r="A14456" t="s">
        <v>41057</v>
      </c>
    </row>
    <row r="14457" spans="1:1">
      <c r="A14457" t="s">
        <v>41057</v>
      </c>
    </row>
    <row r="14458" spans="1:1">
      <c r="A14458" t="s">
        <v>51381</v>
      </c>
    </row>
    <row r="14459" spans="1:1">
      <c r="A14459" t="s">
        <v>41057</v>
      </c>
    </row>
    <row r="14460" spans="1:1">
      <c r="A14460" t="s">
        <v>51382</v>
      </c>
    </row>
    <row r="14461" spans="1:1">
      <c r="A14461" t="s">
        <v>41057</v>
      </c>
    </row>
    <row r="14462" spans="1:1">
      <c r="A14462" t="s">
        <v>41057</v>
      </c>
    </row>
    <row r="14463" spans="1:1">
      <c r="A14463" t="s">
        <v>41057</v>
      </c>
    </row>
    <row r="14464" spans="1:1">
      <c r="A14464" t="s">
        <v>45870</v>
      </c>
    </row>
    <row r="14465" spans="1:1">
      <c r="A14465" t="s">
        <v>44720</v>
      </c>
    </row>
    <row r="14466" spans="1:1">
      <c r="A14466" t="s">
        <v>41057</v>
      </c>
    </row>
    <row r="14467" spans="1:1">
      <c r="A14467" t="s">
        <v>41057</v>
      </c>
    </row>
    <row r="14468" spans="1:1">
      <c r="A14468" t="s">
        <v>41057</v>
      </c>
    </row>
    <row r="14469" spans="1:1">
      <c r="A14469" t="s">
        <v>41057</v>
      </c>
    </row>
    <row r="14470" spans="1:1">
      <c r="A14470" t="s">
        <v>41057</v>
      </c>
    </row>
    <row r="14471" spans="1:1">
      <c r="A14471" t="s">
        <v>41057</v>
      </c>
    </row>
    <row r="14472" spans="1:1">
      <c r="A14472" t="s">
        <v>41057</v>
      </c>
    </row>
    <row r="14473" spans="1:1">
      <c r="A14473" t="s">
        <v>41057</v>
      </c>
    </row>
    <row r="14474" spans="1:1">
      <c r="A14474" t="s">
        <v>41057</v>
      </c>
    </row>
    <row r="14475" spans="1:1">
      <c r="A14475" t="s">
        <v>51383</v>
      </c>
    </row>
    <row r="14476" spans="1:1">
      <c r="A14476" t="s">
        <v>51384</v>
      </c>
    </row>
    <row r="14477" spans="1:1">
      <c r="A14477" t="s">
        <v>41057</v>
      </c>
    </row>
    <row r="14478" spans="1:1">
      <c r="A14478" t="s">
        <v>51385</v>
      </c>
    </row>
    <row r="14479" spans="1:1">
      <c r="A14479" t="s">
        <v>51386</v>
      </c>
    </row>
    <row r="14480" spans="1:1">
      <c r="A14480" t="s">
        <v>41057</v>
      </c>
    </row>
    <row r="14481" spans="1:1">
      <c r="A14481" t="s">
        <v>51387</v>
      </c>
    </row>
    <row r="14482" spans="1:1">
      <c r="A14482" t="s">
        <v>51388</v>
      </c>
    </row>
    <row r="14483" spans="1:1">
      <c r="A14483" t="s">
        <v>51389</v>
      </c>
    </row>
    <row r="14484" spans="1:1">
      <c r="A14484" t="s">
        <v>41057</v>
      </c>
    </row>
    <row r="14485" spans="1:1">
      <c r="A14485" t="s">
        <v>41057</v>
      </c>
    </row>
    <row r="14486" spans="1:1">
      <c r="A14486" t="s">
        <v>41057</v>
      </c>
    </row>
    <row r="14487" spans="1:1">
      <c r="A14487" t="s">
        <v>41057</v>
      </c>
    </row>
    <row r="14488" spans="1:1">
      <c r="A14488" t="s">
        <v>51390</v>
      </c>
    </row>
    <row r="14489" spans="1:1">
      <c r="A14489" t="s">
        <v>51391</v>
      </c>
    </row>
    <row r="14490" spans="1:1">
      <c r="A14490" t="s">
        <v>41057</v>
      </c>
    </row>
    <row r="14491" spans="1:1">
      <c r="A14491" t="s">
        <v>51392</v>
      </c>
    </row>
    <row r="14492" spans="1:1">
      <c r="A14492" t="s">
        <v>41057</v>
      </c>
    </row>
    <row r="14493" spans="1:1">
      <c r="A14493" t="s">
        <v>51393</v>
      </c>
    </row>
    <row r="14494" spans="1:1">
      <c r="A14494" t="e" cm="1">
        <f t="array" ref="A14494">------------------------------------------------------GKSC-W</f>
        <v>#NAME?</v>
      </c>
    </row>
    <row r="14495" spans="1:1">
      <c r="A14495" t="s">
        <v>51394</v>
      </c>
    </row>
    <row r="14496" spans="1:1">
      <c r="A14496" t="s">
        <v>51395</v>
      </c>
    </row>
    <row r="14497" spans="1:1">
      <c r="A14497" t="s">
        <v>41057</v>
      </c>
    </row>
    <row r="14498" spans="1:1">
      <c r="A14498" t="s">
        <v>51396</v>
      </c>
    </row>
    <row r="14499" spans="1:1">
      <c r="A14499" t="e" cm="1">
        <f t="array" ref="A14499">------------------TQNKWAIIKKV---------I-------------------RH</f>
        <v>#NAME?</v>
      </c>
    </row>
    <row r="14500" spans="1:1">
      <c r="A14500" t="s">
        <v>51397</v>
      </c>
    </row>
    <row r="14501" spans="1:1">
      <c r="A14501" t="s">
        <v>51398</v>
      </c>
    </row>
    <row r="14502" spans="1:1">
      <c r="A14502" t="s">
        <v>41057</v>
      </c>
    </row>
    <row r="14503" spans="1:1">
      <c r="A14503" t="s">
        <v>41057</v>
      </c>
    </row>
    <row r="14504" spans="1:1">
      <c r="A14504" t="s">
        <v>51399</v>
      </c>
    </row>
    <row r="14505" spans="1:1">
      <c r="A14505" t="s">
        <v>51400</v>
      </c>
    </row>
    <row r="14506" spans="1:1">
      <c r="A14506" t="s">
        <v>51401</v>
      </c>
    </row>
    <row r="14507" spans="1:1">
      <c r="A14507" t="s">
        <v>51402</v>
      </c>
    </row>
    <row r="14508" spans="1:1">
      <c r="A14508" t="s">
        <v>41057</v>
      </c>
    </row>
    <row r="14509" spans="1:1">
      <c r="A14509" t="s">
        <v>51403</v>
      </c>
    </row>
    <row r="14510" spans="1:1">
      <c r="A14510" t="s">
        <v>41057</v>
      </c>
    </row>
    <row r="14511" spans="1:1">
      <c r="A14511" t="s">
        <v>41057</v>
      </c>
    </row>
    <row r="14512" spans="1:1">
      <c r="A14512" t="s">
        <v>41057</v>
      </c>
    </row>
    <row r="14513" spans="1:1">
      <c r="A14513" t="s">
        <v>41057</v>
      </c>
    </row>
    <row r="14514" spans="1:1">
      <c r="A14514" t="s">
        <v>41057</v>
      </c>
    </row>
    <row r="14515" spans="1:1">
      <c r="A14515" t="s">
        <v>41057</v>
      </c>
    </row>
    <row r="14516" spans="1:1">
      <c r="A14516" t="s">
        <v>41057</v>
      </c>
    </row>
    <row r="14517" spans="1:1">
      <c r="A14517" t="s">
        <v>41057</v>
      </c>
    </row>
    <row r="14518" spans="1:1">
      <c r="A14518" t="s">
        <v>41057</v>
      </c>
    </row>
    <row r="14519" spans="1:1">
      <c r="A14519" t="s">
        <v>51404</v>
      </c>
    </row>
    <row r="14520" spans="1:1">
      <c r="A14520" t="s">
        <v>51405</v>
      </c>
    </row>
    <row r="14521" spans="1:1">
      <c r="A14521" t="s">
        <v>41057</v>
      </c>
    </row>
    <row r="14522" spans="1:1">
      <c r="A14522" t="s">
        <v>41057</v>
      </c>
    </row>
    <row r="14523" spans="1:1">
      <c r="A14523" t="s">
        <v>41057</v>
      </c>
    </row>
    <row r="14524" spans="1:1">
      <c r="A14524" t="s">
        <v>51406</v>
      </c>
    </row>
    <row r="14525" spans="1:1">
      <c r="A14525" t="s">
        <v>41057</v>
      </c>
    </row>
    <row r="14526" spans="1:1">
      <c r="A14526" t="s">
        <v>51407</v>
      </c>
    </row>
    <row r="14527" spans="1:1">
      <c r="A14527" t="s">
        <v>41057</v>
      </c>
    </row>
    <row r="14528" spans="1:1">
      <c r="A14528" t="s">
        <v>51408</v>
      </c>
    </row>
    <row r="14529" spans="1:1">
      <c r="A14529" t="s">
        <v>51409</v>
      </c>
    </row>
    <row r="14530" spans="1:1">
      <c r="A14530" t="s">
        <v>51410</v>
      </c>
    </row>
    <row r="14531" spans="1:1">
      <c r="A14531" t="s">
        <v>51411</v>
      </c>
    </row>
    <row r="14532" spans="1:1">
      <c r="A14532" t="s">
        <v>41057</v>
      </c>
    </row>
    <row r="14533" spans="1:1">
      <c r="A14533" t="s">
        <v>41057</v>
      </c>
    </row>
    <row r="14534" spans="1:1">
      <c r="A14534" t="s">
        <v>41057</v>
      </c>
    </row>
    <row r="14535" spans="1:1">
      <c r="A14535" t="s">
        <v>41057</v>
      </c>
    </row>
    <row r="14536" spans="1:1">
      <c r="A14536" t="s">
        <v>41057</v>
      </c>
    </row>
    <row r="14537" spans="1:1">
      <c r="A14537" t="s">
        <v>41057</v>
      </c>
    </row>
    <row r="14538" spans="1:1">
      <c r="A14538" t="s">
        <v>41057</v>
      </c>
    </row>
    <row r="14539" spans="1:1">
      <c r="A14539" t="s">
        <v>41057</v>
      </c>
    </row>
    <row r="14540" spans="1:1">
      <c r="A14540" t="s">
        <v>41057</v>
      </c>
    </row>
    <row r="14541" spans="1:1">
      <c r="A14541" t="s">
        <v>51412</v>
      </c>
    </row>
    <row r="14542" spans="1:1">
      <c r="A14542" t="s">
        <v>41057</v>
      </c>
    </row>
    <row r="14543" spans="1:1">
      <c r="A14543" t="s">
        <v>41057</v>
      </c>
    </row>
    <row r="14544" spans="1:1">
      <c r="A14544" t="s">
        <v>41057</v>
      </c>
    </row>
    <row r="14545" spans="1:1">
      <c r="A14545" t="s">
        <v>41057</v>
      </c>
    </row>
    <row r="14546" spans="1:1">
      <c r="A14546" t="s">
        <v>41057</v>
      </c>
    </row>
    <row r="14547" spans="1:1">
      <c r="A14547" t="s">
        <v>51413</v>
      </c>
    </row>
    <row r="14548" spans="1:1">
      <c r="A14548" t="s">
        <v>51414</v>
      </c>
    </row>
    <row r="14549" spans="1:1">
      <c r="A14549" t="s">
        <v>41057</v>
      </c>
    </row>
    <row r="14550" spans="1:1">
      <c r="A14550" t="s">
        <v>41057</v>
      </c>
    </row>
    <row r="14551" spans="1:1">
      <c r="A14551" t="s">
        <v>41057</v>
      </c>
    </row>
    <row r="14552" spans="1:1">
      <c r="A14552" t="s">
        <v>51415</v>
      </c>
    </row>
    <row r="14553" spans="1:1">
      <c r="A14553" t="s">
        <v>41057</v>
      </c>
    </row>
    <row r="14554" spans="1:1">
      <c r="A14554" t="s">
        <v>41057</v>
      </c>
    </row>
    <row r="14555" spans="1:1">
      <c r="A14555" t="s">
        <v>41057</v>
      </c>
    </row>
    <row r="14556" spans="1:1">
      <c r="A14556" t="s">
        <v>41057</v>
      </c>
    </row>
    <row r="14557" spans="1:1">
      <c r="A14557" t="s">
        <v>41057</v>
      </c>
    </row>
    <row r="14558" spans="1:1">
      <c r="A14558" t="s">
        <v>41057</v>
      </c>
    </row>
    <row r="14559" spans="1:1">
      <c r="A14559" t="s">
        <v>41057</v>
      </c>
    </row>
    <row r="14560" spans="1:1">
      <c r="A14560" t="s">
        <v>41057</v>
      </c>
    </row>
    <row r="14561" spans="1:1">
      <c r="A14561" t="s">
        <v>41057</v>
      </c>
    </row>
    <row r="14562" spans="1:1">
      <c r="A14562" t="s">
        <v>41057</v>
      </c>
    </row>
    <row r="14563" spans="1:1">
      <c r="A14563" t="s">
        <v>51416</v>
      </c>
    </row>
    <row r="14564" spans="1:1">
      <c r="A14564" t="e" cm="1">
        <f t="array" ref="A14564">-----------------SSQFHAGIG----E--LIV---------HNTDSI--------M</f>
        <v>#NAME?</v>
      </c>
    </row>
    <row r="14565" spans="1:1">
      <c r="A14565" t="s">
        <v>42524</v>
      </c>
    </row>
    <row r="14566" spans="1:1">
      <c r="A14566" t="s">
        <v>51417</v>
      </c>
    </row>
    <row r="14567" spans="1:1">
      <c r="A14567" t="e" cm="1">
        <f t="array" ref="A14567">----KSANRHD-----------------------------------TFR----------L</f>
        <v>#NAME?</v>
      </c>
    </row>
    <row r="14568" spans="1:1">
      <c r="A14568" t="s">
        <v>51418</v>
      </c>
    </row>
    <row r="14569" spans="1:1">
      <c r="A14569" t="e" cm="1">
        <f t="array" ref="A14569">-----------------MEFEN-VKNPFIL----------I-AKKHYI-----------G</f>
        <v>#NAME?</v>
      </c>
    </row>
    <row r="14570" spans="1:1">
      <c r="A14570" t="s">
        <v>51419</v>
      </c>
    </row>
    <row r="14571" spans="1:1">
      <c r="A14571" t="s">
        <v>51420</v>
      </c>
    </row>
    <row r="14572" spans="1:1">
      <c r="A14572" t="s">
        <v>51421</v>
      </c>
    </row>
    <row r="14573" spans="1:1">
      <c r="A14573" t="s">
        <v>51422</v>
      </c>
    </row>
    <row r="14574" spans="1:1">
      <c r="A14574" t="s">
        <v>51423</v>
      </c>
    </row>
    <row r="14575" spans="1:1">
      <c r="A14575" t="s">
        <v>51424</v>
      </c>
    </row>
    <row r="14576" spans="1:1">
      <c r="A14576" t="s">
        <v>51425</v>
      </c>
    </row>
    <row r="14577" spans="1:1">
      <c r="A14577" t="s">
        <v>51426</v>
      </c>
    </row>
    <row r="14578" spans="1:1">
      <c r="A14578" t="s">
        <v>51427</v>
      </c>
    </row>
    <row r="14579" spans="1:1">
      <c r="A14579" t="s">
        <v>51428</v>
      </c>
    </row>
    <row r="14580" spans="1:1">
      <c r="A14580" t="s">
        <v>51429</v>
      </c>
    </row>
    <row r="14581" spans="1:1">
      <c r="A14581" t="s">
        <v>41057</v>
      </c>
    </row>
    <row r="14582" spans="1:1">
      <c r="A14582" t="s">
        <v>51430</v>
      </c>
    </row>
    <row r="14583" spans="1:1">
      <c r="A14583" t="s">
        <v>41057</v>
      </c>
    </row>
    <row r="14584" spans="1:1">
      <c r="A14584" t="s">
        <v>51431</v>
      </c>
    </row>
    <row r="14585" spans="1:1">
      <c r="A14585" t="s">
        <v>51432</v>
      </c>
    </row>
    <row r="14586" spans="1:1">
      <c r="A14586" t="s">
        <v>51433</v>
      </c>
    </row>
    <row r="14587" spans="1:1">
      <c r="A14587" t="s">
        <v>41057</v>
      </c>
    </row>
    <row r="14588" spans="1:1">
      <c r="A14588" t="s">
        <v>51434</v>
      </c>
    </row>
    <row r="14589" spans="1:1">
      <c r="A14589" t="s">
        <v>41057</v>
      </c>
    </row>
    <row r="14590" spans="1:1">
      <c r="A14590" t="s">
        <v>41057</v>
      </c>
    </row>
    <row r="14591" spans="1:1">
      <c r="A14591" t="s">
        <v>51435</v>
      </c>
    </row>
    <row r="14592" spans="1:1">
      <c r="A14592" t="s">
        <v>51436</v>
      </c>
    </row>
    <row r="14593" spans="1:1">
      <c r="A14593" t="s">
        <v>45140</v>
      </c>
    </row>
    <row r="14594" spans="1:1">
      <c r="A14594" t="s">
        <v>41057</v>
      </c>
    </row>
    <row r="14595" spans="1:1">
      <c r="A14595" t="s">
        <v>41057</v>
      </c>
    </row>
    <row r="14596" spans="1:1">
      <c r="A14596" t="s">
        <v>41057</v>
      </c>
    </row>
    <row r="14597" spans="1:1">
      <c r="A14597" t="s">
        <v>41057</v>
      </c>
    </row>
    <row r="14598" spans="1:1">
      <c r="A14598" t="s">
        <v>41057</v>
      </c>
    </row>
    <row r="14599" spans="1:1">
      <c r="A14599" t="s">
        <v>41057</v>
      </c>
    </row>
    <row r="14600" spans="1:1">
      <c r="A14600" t="s">
        <v>41057</v>
      </c>
    </row>
    <row r="14601" spans="1:1">
      <c r="A14601" t="s">
        <v>41057</v>
      </c>
    </row>
    <row r="14602" spans="1:1">
      <c r="A14602" t="s">
        <v>41057</v>
      </c>
    </row>
    <row r="14603" spans="1:1">
      <c r="A14603" t="s">
        <v>41057</v>
      </c>
    </row>
    <row r="14604" spans="1:1">
      <c r="A14604" t="s">
        <v>51437</v>
      </c>
    </row>
    <row r="14605" spans="1:1">
      <c r="A14605" t="s">
        <v>41057</v>
      </c>
    </row>
    <row r="14606" spans="1:1">
      <c r="A14606" t="s">
        <v>51438</v>
      </c>
    </row>
    <row r="14607" spans="1:1">
      <c r="A14607" t="s">
        <v>51439</v>
      </c>
    </row>
    <row r="14608" spans="1:1">
      <c r="A14608" t="s">
        <v>41057</v>
      </c>
    </row>
    <row r="14609" spans="1:1">
      <c r="A14609" t="s">
        <v>51440</v>
      </c>
    </row>
    <row r="14610" spans="1:1">
      <c r="A14610" t="s">
        <v>51441</v>
      </c>
    </row>
    <row r="14611" spans="1:1">
      <c r="A14611" t="s">
        <v>51442</v>
      </c>
    </row>
    <row r="14612" spans="1:1">
      <c r="A14612" t="s">
        <v>41057</v>
      </c>
    </row>
    <row r="14613" spans="1:1">
      <c r="A14613" t="s">
        <v>41057</v>
      </c>
    </row>
    <row r="14614" spans="1:1">
      <c r="A14614" t="s">
        <v>41057</v>
      </c>
    </row>
    <row r="14615" spans="1:1">
      <c r="A14615" t="s">
        <v>41057</v>
      </c>
    </row>
    <row r="14616" spans="1:1">
      <c r="A14616" t="s">
        <v>51443</v>
      </c>
    </row>
    <row r="14617" spans="1:1">
      <c r="A14617" t="s">
        <v>51444</v>
      </c>
    </row>
    <row r="14618" spans="1:1">
      <c r="A14618" t="s">
        <v>41057</v>
      </c>
    </row>
    <row r="14619" spans="1:1">
      <c r="A14619" t="s">
        <v>51445</v>
      </c>
    </row>
    <row r="14620" spans="1:1">
      <c r="A14620" t="s">
        <v>41057</v>
      </c>
    </row>
    <row r="14621" spans="1:1">
      <c r="A14621" t="s">
        <v>51446</v>
      </c>
    </row>
    <row r="14622" spans="1:1">
      <c r="A14622" t="e" cm="1">
        <f t="array" ref="A14622">--------------------------------------------------------DCDW</f>
        <v>#NAME?</v>
      </c>
    </row>
    <row r="14623" spans="1:1">
      <c r="A14623" t="s">
        <v>51447</v>
      </c>
    </row>
    <row r="14624" spans="1:1">
      <c r="A14624" t="s">
        <v>51448</v>
      </c>
    </row>
    <row r="14625" spans="1:1">
      <c r="A14625" t="s">
        <v>41057</v>
      </c>
    </row>
    <row r="14626" spans="1:1">
      <c r="A14626" t="s">
        <v>51449</v>
      </c>
    </row>
    <row r="14627" spans="1:1">
      <c r="A14627" t="e" cm="1">
        <f t="array" ref="A14627">------------------SHLGWNPIKKI---------I-------------------RH</f>
        <v>#NAME?</v>
      </c>
    </row>
    <row r="14628" spans="1:1">
      <c r="A14628" t="s">
        <v>51450</v>
      </c>
    </row>
    <row r="14629" spans="1:1">
      <c r="A14629" t="s">
        <v>51451</v>
      </c>
    </row>
    <row r="14630" spans="1:1">
      <c r="A14630" t="s">
        <v>41057</v>
      </c>
    </row>
    <row r="14631" spans="1:1">
      <c r="A14631" t="s">
        <v>41057</v>
      </c>
    </row>
    <row r="14632" spans="1:1">
      <c r="A14632" t="s">
        <v>51452</v>
      </c>
    </row>
    <row r="14633" spans="1:1">
      <c r="A14633" t="s">
        <v>51453</v>
      </c>
    </row>
    <row r="14634" spans="1:1">
      <c r="A14634" t="s">
        <v>51454</v>
      </c>
    </row>
    <row r="14635" spans="1:1">
      <c r="A14635" t="s">
        <v>51455</v>
      </c>
    </row>
    <row r="14636" spans="1:1">
      <c r="A14636" t="s">
        <v>41057</v>
      </c>
    </row>
    <row r="14637" spans="1:1">
      <c r="A14637" t="e" cm="1">
        <f t="array" ref="A14637">----------LHS-FPDDIWDFQFQYSKLCKYSYKISSCVNKLYGIFFSLGY-VNKSSGV</f>
        <v>#NAME?</v>
      </c>
    </row>
    <row r="14638" spans="1:1">
      <c r="A14638" t="s">
        <v>51456</v>
      </c>
    </row>
    <row r="14639" spans="1:1">
      <c r="A14639" t="s">
        <v>41057</v>
      </c>
    </row>
    <row r="14640" spans="1:1">
      <c r="A14640" t="s">
        <v>51457</v>
      </c>
    </row>
    <row r="14641" spans="1:1">
      <c r="A14641" t="s">
        <v>41057</v>
      </c>
    </row>
    <row r="14642" spans="1:1">
      <c r="A14642" t="s">
        <v>41057</v>
      </c>
    </row>
    <row r="14643" spans="1:1">
      <c r="A14643" t="s">
        <v>41057</v>
      </c>
    </row>
    <row r="14644" spans="1:1">
      <c r="A14644" t="s">
        <v>41057</v>
      </c>
    </row>
    <row r="14645" spans="1:1">
      <c r="A14645" t="s">
        <v>41057</v>
      </c>
    </row>
    <row r="14646" spans="1:1">
      <c r="A14646" t="s">
        <v>41057</v>
      </c>
    </row>
    <row r="14647" spans="1:1">
      <c r="A14647" t="s">
        <v>51458</v>
      </c>
    </row>
    <row r="14648" spans="1:1">
      <c r="A14648" t="s">
        <v>51459</v>
      </c>
    </row>
    <row r="14649" spans="1:1">
      <c r="A14649" t="s">
        <v>51460</v>
      </c>
    </row>
    <row r="14650" spans="1:1">
      <c r="A14650" t="s">
        <v>41057</v>
      </c>
    </row>
    <row r="14651" spans="1:1">
      <c r="A14651" t="s">
        <v>41057</v>
      </c>
    </row>
    <row r="14652" spans="1:1">
      <c r="A14652" t="s">
        <v>51461</v>
      </c>
    </row>
    <row r="14653" spans="1:1">
      <c r="A14653" t="s">
        <v>41057</v>
      </c>
    </row>
    <row r="14654" spans="1:1">
      <c r="A14654" t="s">
        <v>51462</v>
      </c>
    </row>
    <row r="14655" spans="1:1">
      <c r="A14655" t="s">
        <v>41057</v>
      </c>
    </row>
    <row r="14656" spans="1:1">
      <c r="A14656" t="s">
        <v>51463</v>
      </c>
    </row>
    <row r="14657" spans="1:1">
      <c r="A14657" t="s">
        <v>51464</v>
      </c>
    </row>
    <row r="14658" spans="1:1">
      <c r="A14658" t="s">
        <v>51465</v>
      </c>
    </row>
    <row r="14659" spans="1:1">
      <c r="A14659" t="s">
        <v>51466</v>
      </c>
    </row>
    <row r="14660" spans="1:1">
      <c r="A14660" t="s">
        <v>41057</v>
      </c>
    </row>
    <row r="14661" spans="1:1">
      <c r="A14661" t="s">
        <v>41057</v>
      </c>
    </row>
    <row r="14662" spans="1:1">
      <c r="A14662" t="s">
        <v>41057</v>
      </c>
    </row>
    <row r="14663" spans="1:1">
      <c r="A14663" t="s">
        <v>41057</v>
      </c>
    </row>
    <row r="14664" spans="1:1">
      <c r="A14664" t="s">
        <v>41057</v>
      </c>
    </row>
    <row r="14665" spans="1:1">
      <c r="A14665" t="s">
        <v>41057</v>
      </c>
    </row>
    <row r="14666" spans="1:1">
      <c r="A14666" t="s">
        <v>41057</v>
      </c>
    </row>
    <row r="14667" spans="1:1">
      <c r="A14667" t="s">
        <v>41057</v>
      </c>
    </row>
    <row r="14668" spans="1:1">
      <c r="A14668" t="s">
        <v>41057</v>
      </c>
    </row>
    <row r="14669" spans="1:1">
      <c r="A14669" t="s">
        <v>51467</v>
      </c>
    </row>
    <row r="14670" spans="1:1">
      <c r="A14670" t="s">
        <v>41057</v>
      </c>
    </row>
    <row r="14671" spans="1:1">
      <c r="A14671" t="s">
        <v>41057</v>
      </c>
    </row>
    <row r="14672" spans="1:1">
      <c r="A14672" t="s">
        <v>41057</v>
      </c>
    </row>
    <row r="14673" spans="1:1">
      <c r="A14673" t="s">
        <v>41057</v>
      </c>
    </row>
    <row r="14674" spans="1:1">
      <c r="A14674" t="s">
        <v>41057</v>
      </c>
    </row>
    <row r="14675" spans="1:1">
      <c r="A14675" t="s">
        <v>51468</v>
      </c>
    </row>
    <row r="14676" spans="1:1">
      <c r="A14676" t="s">
        <v>51469</v>
      </c>
    </row>
    <row r="14677" spans="1:1">
      <c r="A14677" t="s">
        <v>41057</v>
      </c>
    </row>
    <row r="14678" spans="1:1">
      <c r="A14678" t="s">
        <v>41057</v>
      </c>
    </row>
    <row r="14679" spans="1:1">
      <c r="A14679" t="s">
        <v>41057</v>
      </c>
    </row>
    <row r="14680" spans="1:1">
      <c r="A14680" t="s">
        <v>51470</v>
      </c>
    </row>
    <row r="14681" spans="1:1">
      <c r="A14681" t="s">
        <v>41057</v>
      </c>
    </row>
    <row r="14682" spans="1:1">
      <c r="A14682" t="s">
        <v>41057</v>
      </c>
    </row>
    <row r="14683" spans="1:1">
      <c r="A14683" t="s">
        <v>41057</v>
      </c>
    </row>
    <row r="14684" spans="1:1">
      <c r="A14684" t="s">
        <v>41057</v>
      </c>
    </row>
    <row r="14685" spans="1:1">
      <c r="A14685" t="s">
        <v>41057</v>
      </c>
    </row>
    <row r="14686" spans="1:1">
      <c r="A14686" t="s">
        <v>41057</v>
      </c>
    </row>
    <row r="14687" spans="1:1">
      <c r="A14687" t="s">
        <v>41057</v>
      </c>
    </row>
    <row r="14688" spans="1:1">
      <c r="A14688" t="s">
        <v>41057</v>
      </c>
    </row>
    <row r="14689" spans="1:1">
      <c r="A14689" t="s">
        <v>41057</v>
      </c>
    </row>
    <row r="14690" spans="1:1">
      <c r="A14690" t="s">
        <v>41057</v>
      </c>
    </row>
    <row r="14691" spans="1:1">
      <c r="A14691" t="s">
        <v>51471</v>
      </c>
    </row>
    <row r="14692" spans="1:1">
      <c r="A14692" t="e" cm="1">
        <f t="array" ref="A14692">-----------------QGTFLAGIG----E--IVV---------SNTDSI--------M</f>
        <v>#NAME?</v>
      </c>
    </row>
    <row r="14693" spans="1:1">
      <c r="A14693" t="s">
        <v>48721</v>
      </c>
    </row>
    <row r="14694" spans="1:1">
      <c r="A14694" t="s">
        <v>51472</v>
      </c>
    </row>
    <row r="14695" spans="1:1">
      <c r="A14695" t="e" cm="1">
        <f t="array" ref="A14695">----FEKNRKD-----------------------------------TFY----------I</f>
        <v>#NAME?</v>
      </c>
    </row>
    <row r="14696" spans="1:1">
      <c r="A14696" t="s">
        <v>51473</v>
      </c>
    </row>
    <row r="14697" spans="1:1">
      <c r="A14697" t="e" cm="1">
        <f t="array" ref="A14697">-----------------MEFEK-VFQPFIL----------L-TKKRYI-----------A</f>
        <v>#NAME?</v>
      </c>
    </row>
    <row r="14698" spans="1:1">
      <c r="A14698" t="s">
        <v>51474</v>
      </c>
    </row>
    <row r="14699" spans="1:1">
      <c r="A14699" t="s">
        <v>51475</v>
      </c>
    </row>
    <row r="14700" spans="1:1">
      <c r="A14700" t="s">
        <v>51476</v>
      </c>
    </row>
    <row r="14701" spans="1:1">
      <c r="A14701" t="s">
        <v>51477</v>
      </c>
    </row>
    <row r="14702" spans="1:1">
      <c r="A14702" t="s">
        <v>51478</v>
      </c>
    </row>
    <row r="14703" spans="1:1">
      <c r="A14703" t="s">
        <v>51479</v>
      </c>
    </row>
    <row r="14704" spans="1:1">
      <c r="A14704" t="s">
        <v>51480</v>
      </c>
    </row>
    <row r="14705" spans="1:1">
      <c r="A14705" t="s">
        <v>51481</v>
      </c>
    </row>
    <row r="14706" spans="1:1">
      <c r="A14706" t="s">
        <v>51482</v>
      </c>
    </row>
    <row r="14707" spans="1:1">
      <c r="A14707" t="s">
        <v>51483</v>
      </c>
    </row>
    <row r="14708" spans="1:1">
      <c r="A14708" t="s">
        <v>51484</v>
      </c>
    </row>
    <row r="14709" spans="1:1">
      <c r="A14709" t="s">
        <v>41057</v>
      </c>
    </row>
    <row r="14710" spans="1:1">
      <c r="A14710" t="s">
        <v>51485</v>
      </c>
    </row>
    <row r="14711" spans="1:1">
      <c r="A14711" t="s">
        <v>41057</v>
      </c>
    </row>
    <row r="14712" spans="1:1">
      <c r="A14712" t="s">
        <v>51486</v>
      </c>
    </row>
    <row r="14713" spans="1:1">
      <c r="A14713" t="s">
        <v>51487</v>
      </c>
    </row>
    <row r="14714" spans="1:1">
      <c r="A14714" t="s">
        <v>51488</v>
      </c>
    </row>
    <row r="14715" spans="1:1">
      <c r="A14715" t="s">
        <v>41057</v>
      </c>
    </row>
    <row r="14716" spans="1:1">
      <c r="A14716" t="s">
        <v>51489</v>
      </c>
    </row>
    <row r="14717" spans="1:1">
      <c r="A14717" t="s">
        <v>41057</v>
      </c>
    </row>
    <row r="14718" spans="1:1">
      <c r="A14718" t="s">
        <v>41057</v>
      </c>
    </row>
    <row r="14719" spans="1:1">
      <c r="A14719" t="s">
        <v>51490</v>
      </c>
    </row>
    <row r="14720" spans="1:1">
      <c r="A14720" t="s">
        <v>51491</v>
      </c>
    </row>
    <row r="14721" spans="1:1">
      <c r="A14721" t="s">
        <v>45108</v>
      </c>
    </row>
    <row r="14722" spans="1:1">
      <c r="A14722" t="s">
        <v>41057</v>
      </c>
    </row>
    <row r="14723" spans="1:1">
      <c r="A14723" t="s">
        <v>41057</v>
      </c>
    </row>
    <row r="14724" spans="1:1">
      <c r="A14724" t="s">
        <v>41057</v>
      </c>
    </row>
    <row r="14725" spans="1:1">
      <c r="A14725" t="s">
        <v>41057</v>
      </c>
    </row>
    <row r="14726" spans="1:1">
      <c r="A14726" t="s">
        <v>41057</v>
      </c>
    </row>
    <row r="14727" spans="1:1">
      <c r="A14727" t="s">
        <v>41057</v>
      </c>
    </row>
    <row r="14728" spans="1:1">
      <c r="A14728" t="s">
        <v>41057</v>
      </c>
    </row>
    <row r="14729" spans="1:1">
      <c r="A14729" t="s">
        <v>41057</v>
      </c>
    </row>
    <row r="14730" spans="1:1">
      <c r="A14730" t="s">
        <v>41057</v>
      </c>
    </row>
    <row r="14731" spans="1:1">
      <c r="A14731" t="s">
        <v>41057</v>
      </c>
    </row>
    <row r="14732" spans="1:1">
      <c r="A14732" t="s">
        <v>41057</v>
      </c>
    </row>
    <row r="14733" spans="1:1">
      <c r="A14733" t="s">
        <v>41057</v>
      </c>
    </row>
    <row r="14734" spans="1:1">
      <c r="A14734" t="s">
        <v>41057</v>
      </c>
    </row>
    <row r="14735" spans="1:1">
      <c r="A14735" t="s">
        <v>41057</v>
      </c>
    </row>
    <row r="14736" spans="1:1">
      <c r="A14736" t="s">
        <v>41057</v>
      </c>
    </row>
    <row r="14737" spans="1:1">
      <c r="A14737" t="s">
        <v>41057</v>
      </c>
    </row>
    <row r="14738" spans="1:1">
      <c r="A14738" t="s">
        <v>41057</v>
      </c>
    </row>
    <row r="14739" spans="1:1">
      <c r="A14739" t="s">
        <v>41057</v>
      </c>
    </row>
    <row r="14740" spans="1:1">
      <c r="A14740" t="s">
        <v>41057</v>
      </c>
    </row>
    <row r="14741" spans="1:1">
      <c r="A14741" t="s">
        <v>41057</v>
      </c>
    </row>
    <row r="14742" spans="1:1">
      <c r="A14742" t="s">
        <v>41057</v>
      </c>
    </row>
    <row r="14743" spans="1:1">
      <c r="A14743" t="s">
        <v>41057</v>
      </c>
    </row>
    <row r="14744" spans="1:1">
      <c r="A14744" t="s">
        <v>41057</v>
      </c>
    </row>
    <row r="14745" spans="1:1">
      <c r="A14745" t="s">
        <v>41057</v>
      </c>
    </row>
    <row r="14746" spans="1:1">
      <c r="A14746" t="s">
        <v>41057</v>
      </c>
    </row>
    <row r="14747" spans="1:1">
      <c r="A14747" t="s">
        <v>51492</v>
      </c>
    </row>
    <row r="14748" spans="1:1">
      <c r="A14748" t="s">
        <v>41057</v>
      </c>
    </row>
    <row r="14749" spans="1:1">
      <c r="A14749" t="s">
        <v>51493</v>
      </c>
    </row>
    <row r="14750" spans="1:1">
      <c r="A14750" t="e" cm="1">
        <f t="array" ref="A14750">------------------------------------------------------AGVNKW</f>
        <v>#NAME?</v>
      </c>
    </row>
    <row r="14751" spans="1:1">
      <c r="A14751" t="s">
        <v>51494</v>
      </c>
    </row>
    <row r="14752" spans="1:1">
      <c r="A14752" t="s">
        <v>51495</v>
      </c>
    </row>
    <row r="14753" spans="1:1">
      <c r="A14753" t="s">
        <v>41057</v>
      </c>
    </row>
    <row r="14754" spans="1:1">
      <c r="A14754" t="s">
        <v>51496</v>
      </c>
    </row>
    <row r="14755" spans="1:1">
      <c r="A14755" t="e" cm="1">
        <f t="array" ref="A14755">------------------SKGVWTKIKRV---------I-------------------RH</f>
        <v>#NAME?</v>
      </c>
    </row>
    <row r="14756" spans="1:1">
      <c r="A14756" t="s">
        <v>51497</v>
      </c>
    </row>
    <row r="14757" spans="1:1">
      <c r="A14757" t="s">
        <v>51498</v>
      </c>
    </row>
    <row r="14758" spans="1:1">
      <c r="A14758" t="s">
        <v>41057</v>
      </c>
    </row>
    <row r="14759" spans="1:1">
      <c r="A14759" t="s">
        <v>41057</v>
      </c>
    </row>
    <row r="14760" spans="1:1">
      <c r="A14760" t="s">
        <v>51499</v>
      </c>
    </row>
    <row r="14761" spans="1:1">
      <c r="A14761" t="s">
        <v>51500</v>
      </c>
    </row>
    <row r="14762" spans="1:1">
      <c r="A14762" t="s">
        <v>51501</v>
      </c>
    </row>
    <row r="14763" spans="1:1">
      <c r="A14763" t="s">
        <v>50327</v>
      </c>
    </row>
    <row r="14764" spans="1:1">
      <c r="A14764" t="s">
        <v>41057</v>
      </c>
    </row>
    <row r="14765" spans="1:1">
      <c r="A14765" t="s">
        <v>51502</v>
      </c>
    </row>
    <row r="14766" spans="1:1">
      <c r="A14766" t="s">
        <v>41057</v>
      </c>
    </row>
    <row r="14767" spans="1:1">
      <c r="A14767" t="s">
        <v>41057</v>
      </c>
    </row>
    <row r="14768" spans="1:1">
      <c r="A14768" t="s">
        <v>41057</v>
      </c>
    </row>
    <row r="14769" spans="1:1">
      <c r="A14769" t="s">
        <v>41057</v>
      </c>
    </row>
    <row r="14770" spans="1:1">
      <c r="A14770" t="s">
        <v>41057</v>
      </c>
    </row>
    <row r="14771" spans="1:1">
      <c r="A14771" t="s">
        <v>41057</v>
      </c>
    </row>
    <row r="14772" spans="1:1">
      <c r="A14772" t="s">
        <v>41057</v>
      </c>
    </row>
    <row r="14773" spans="1:1">
      <c r="A14773" t="s">
        <v>41057</v>
      </c>
    </row>
    <row r="14774" spans="1:1">
      <c r="A14774" t="s">
        <v>41057</v>
      </c>
    </row>
    <row r="14775" spans="1:1">
      <c r="A14775" t="s">
        <v>51503</v>
      </c>
    </row>
    <row r="14776" spans="1:1">
      <c r="A14776" t="s">
        <v>51504</v>
      </c>
    </row>
    <row r="14777" spans="1:1">
      <c r="A14777" t="s">
        <v>41057</v>
      </c>
    </row>
    <row r="14778" spans="1:1">
      <c r="A14778" t="s">
        <v>41057</v>
      </c>
    </row>
    <row r="14779" spans="1:1">
      <c r="A14779" t="s">
        <v>41057</v>
      </c>
    </row>
    <row r="14780" spans="1:1">
      <c r="A14780" t="s">
        <v>51505</v>
      </c>
    </row>
    <row r="14781" spans="1:1">
      <c r="A14781" t="s">
        <v>41057</v>
      </c>
    </row>
    <row r="14782" spans="1:1">
      <c r="A14782" t="s">
        <v>51506</v>
      </c>
    </row>
    <row r="14783" spans="1:1">
      <c r="A14783" t="s">
        <v>41057</v>
      </c>
    </row>
    <row r="14784" spans="1:1">
      <c r="A14784" t="s">
        <v>51507</v>
      </c>
    </row>
    <row r="14785" spans="1:1">
      <c r="A14785" t="s">
        <v>51508</v>
      </c>
    </row>
    <row r="14786" spans="1:1">
      <c r="A14786" t="s">
        <v>51509</v>
      </c>
    </row>
    <row r="14787" spans="1:1">
      <c r="A14787" t="s">
        <v>51510</v>
      </c>
    </row>
    <row r="14788" spans="1:1">
      <c r="A14788" t="s">
        <v>41057</v>
      </c>
    </row>
    <row r="14789" spans="1:1">
      <c r="A14789" t="s">
        <v>41057</v>
      </c>
    </row>
    <row r="14790" spans="1:1">
      <c r="A14790" t="s">
        <v>41057</v>
      </c>
    </row>
    <row r="14791" spans="1:1">
      <c r="A14791" t="s">
        <v>41057</v>
      </c>
    </row>
    <row r="14792" spans="1:1">
      <c r="A14792" t="s">
        <v>41057</v>
      </c>
    </row>
    <row r="14793" spans="1:1">
      <c r="A14793" t="s">
        <v>41057</v>
      </c>
    </row>
    <row r="14794" spans="1:1">
      <c r="A14794" t="s">
        <v>41057</v>
      </c>
    </row>
    <row r="14795" spans="1:1">
      <c r="A14795" t="s">
        <v>41057</v>
      </c>
    </row>
    <row r="14796" spans="1:1">
      <c r="A14796" t="s">
        <v>41057</v>
      </c>
    </row>
    <row r="14797" spans="1:1">
      <c r="A14797" t="s">
        <v>51511</v>
      </c>
    </row>
    <row r="14798" spans="1:1">
      <c r="A14798" t="s">
        <v>41057</v>
      </c>
    </row>
    <row r="14799" spans="1:1">
      <c r="A14799" t="s">
        <v>41057</v>
      </c>
    </row>
    <row r="14800" spans="1:1">
      <c r="A14800" t="s">
        <v>41057</v>
      </c>
    </row>
    <row r="14801" spans="1:1">
      <c r="A14801" t="s">
        <v>41057</v>
      </c>
    </row>
    <row r="14802" spans="1:1">
      <c r="A14802" t="s">
        <v>41057</v>
      </c>
    </row>
    <row r="14803" spans="1:1">
      <c r="A14803" t="s">
        <v>51512</v>
      </c>
    </row>
    <row r="14804" spans="1:1">
      <c r="A14804" t="s">
        <v>51513</v>
      </c>
    </row>
    <row r="14805" spans="1:1">
      <c r="A14805" t="s">
        <v>41057</v>
      </c>
    </row>
    <row r="14806" spans="1:1">
      <c r="A14806" t="s">
        <v>41057</v>
      </c>
    </row>
    <row r="14807" spans="1:1">
      <c r="A14807" t="s">
        <v>41057</v>
      </c>
    </row>
    <row r="14808" spans="1:1">
      <c r="A14808" t="s">
        <v>51514</v>
      </c>
    </row>
    <row r="14809" spans="1:1">
      <c r="A14809" t="s">
        <v>41057</v>
      </c>
    </row>
    <row r="14810" spans="1:1">
      <c r="A14810" t="s">
        <v>41057</v>
      </c>
    </row>
    <row r="14811" spans="1:1">
      <c r="A14811" t="s">
        <v>41057</v>
      </c>
    </row>
    <row r="14812" spans="1:1">
      <c r="A14812" t="s">
        <v>41057</v>
      </c>
    </row>
    <row r="14813" spans="1:1">
      <c r="A14813" t="s">
        <v>41057</v>
      </c>
    </row>
    <row r="14814" spans="1:1">
      <c r="A14814" t="s">
        <v>41057</v>
      </c>
    </row>
    <row r="14815" spans="1:1">
      <c r="A14815" t="s">
        <v>41057</v>
      </c>
    </row>
    <row r="14816" spans="1:1">
      <c r="A14816" t="s">
        <v>41057</v>
      </c>
    </row>
    <row r="14817" spans="1:1">
      <c r="A14817" t="s">
        <v>41057</v>
      </c>
    </row>
    <row r="14818" spans="1:1">
      <c r="A14818" t="s">
        <v>41057</v>
      </c>
    </row>
    <row r="14819" spans="1:1">
      <c r="A14819" t="s">
        <v>51416</v>
      </c>
    </row>
    <row r="14820" spans="1:1">
      <c r="A14820" t="s">
        <v>51515</v>
      </c>
    </row>
    <row r="14821" spans="1:1">
      <c r="A14821" t="s">
        <v>45475</v>
      </c>
    </row>
    <row r="14822" spans="1:1">
      <c r="A14822" t="s">
        <v>51516</v>
      </c>
    </row>
    <row r="14823" spans="1:1">
      <c r="A14823" t="e" cm="1">
        <f t="array" ref="A14823">-----TKTKKDP----------------------------------TVK----------L</f>
        <v>#NAME?</v>
      </c>
    </row>
    <row r="14824" spans="1:1">
      <c r="A14824" t="s">
        <v>51517</v>
      </c>
    </row>
    <row r="14825" spans="1:1">
      <c r="A14825" t="s">
        <v>51518</v>
      </c>
    </row>
    <row r="14826" spans="1:1">
      <c r="A14826" t="s">
        <v>51519</v>
      </c>
    </row>
    <row r="14827" spans="1:1">
      <c r="A14827" t="s">
        <v>51520</v>
      </c>
    </row>
    <row r="14828" spans="1:1">
      <c r="A14828" t="s">
        <v>51521</v>
      </c>
    </row>
    <row r="14829" spans="1:1">
      <c r="A14829" t="s">
        <v>51522</v>
      </c>
    </row>
    <row r="14830" spans="1:1">
      <c r="A14830" t="s">
        <v>51523</v>
      </c>
    </row>
    <row r="14831" spans="1:1">
      <c r="A14831" t="s">
        <v>51524</v>
      </c>
    </row>
    <row r="14832" spans="1:1">
      <c r="A14832" t="s">
        <v>51525</v>
      </c>
    </row>
    <row r="14833" spans="1:1">
      <c r="A14833" t="s">
        <v>51526</v>
      </c>
    </row>
    <row r="14834" spans="1:1">
      <c r="A14834" t="s">
        <v>51527</v>
      </c>
    </row>
    <row r="14835" spans="1:1">
      <c r="A14835" t="s">
        <v>51528</v>
      </c>
    </row>
    <row r="14836" spans="1:1">
      <c r="A14836" t="s">
        <v>51529</v>
      </c>
    </row>
    <row r="14837" spans="1:1">
      <c r="A14837" t="s">
        <v>41057</v>
      </c>
    </row>
    <row r="14838" spans="1:1">
      <c r="A14838" t="s">
        <v>51530</v>
      </c>
    </row>
    <row r="14839" spans="1:1">
      <c r="A14839" t="s">
        <v>51531</v>
      </c>
    </row>
    <row r="14840" spans="1:1">
      <c r="A14840" t="s">
        <v>51532</v>
      </c>
    </row>
    <row r="14841" spans="1:1">
      <c r="A14841" t="s">
        <v>51533</v>
      </c>
    </row>
    <row r="14842" spans="1:1">
      <c r="A14842" t="s">
        <v>51534</v>
      </c>
    </row>
    <row r="14843" spans="1:1">
      <c r="A14843" t="s">
        <v>51535</v>
      </c>
    </row>
    <row r="14844" spans="1:1">
      <c r="A14844" t="e" cm="1">
        <f t="array" ref="A14844">-------------------HPQQPF---------------------IVGIHNSEKEAPSD</f>
        <v>#NAME?</v>
      </c>
    </row>
    <row r="14845" spans="1:1">
      <c r="A14845" t="s">
        <v>51536</v>
      </c>
    </row>
    <row r="14846" spans="1:1">
      <c r="A14846" t="s">
        <v>41057</v>
      </c>
    </row>
    <row r="14847" spans="1:1">
      <c r="A14847" t="s">
        <v>51537</v>
      </c>
    </row>
    <row r="14848" spans="1:1">
      <c r="A14848" t="s">
        <v>51538</v>
      </c>
    </row>
    <row r="14849" spans="1:1">
      <c r="A14849" t="s">
        <v>44984</v>
      </c>
    </row>
    <row r="14850" spans="1:1">
      <c r="A14850" t="s">
        <v>41057</v>
      </c>
    </row>
    <row r="14851" spans="1:1">
      <c r="A14851" t="s">
        <v>41057</v>
      </c>
    </row>
    <row r="14852" spans="1:1">
      <c r="A14852" t="s">
        <v>41057</v>
      </c>
    </row>
    <row r="14853" spans="1:1">
      <c r="A14853" t="s">
        <v>41057</v>
      </c>
    </row>
    <row r="14854" spans="1:1">
      <c r="A14854" t="s">
        <v>41057</v>
      </c>
    </row>
    <row r="14855" spans="1:1">
      <c r="A14855" t="s">
        <v>41057</v>
      </c>
    </row>
    <row r="14856" spans="1:1">
      <c r="A14856" t="s">
        <v>41057</v>
      </c>
    </row>
    <row r="14857" spans="1:1">
      <c r="A14857" t="s">
        <v>41057</v>
      </c>
    </row>
    <row r="14858" spans="1:1">
      <c r="A14858" t="s">
        <v>42133</v>
      </c>
    </row>
    <row r="14859" spans="1:1">
      <c r="A14859" t="s">
        <v>51539</v>
      </c>
    </row>
    <row r="14860" spans="1:1">
      <c r="A14860" t="s">
        <v>51540</v>
      </c>
    </row>
    <row r="14861" spans="1:1">
      <c r="A14861" t="s">
        <v>41057</v>
      </c>
    </row>
    <row r="14862" spans="1:1">
      <c r="A14862" t="s">
        <v>51541</v>
      </c>
    </row>
    <row r="14863" spans="1:1">
      <c r="A14863" t="s">
        <v>51542</v>
      </c>
    </row>
    <row r="14864" spans="1:1">
      <c r="A14864" t="s">
        <v>41057</v>
      </c>
    </row>
    <row r="14865" spans="1:1">
      <c r="A14865" t="s">
        <v>51543</v>
      </c>
    </row>
    <row r="14866" spans="1:1">
      <c r="A14866" t="s">
        <v>51544</v>
      </c>
    </row>
    <row r="14867" spans="1:1">
      <c r="A14867" t="s">
        <v>51545</v>
      </c>
    </row>
    <row r="14868" spans="1:1">
      <c r="A14868" t="s">
        <v>41057</v>
      </c>
    </row>
    <row r="14869" spans="1:1">
      <c r="A14869" t="s">
        <v>41057</v>
      </c>
    </row>
    <row r="14870" spans="1:1">
      <c r="A14870" t="s">
        <v>41057</v>
      </c>
    </row>
    <row r="14871" spans="1:1">
      <c r="A14871" t="s">
        <v>41057</v>
      </c>
    </row>
    <row r="14872" spans="1:1">
      <c r="A14872" t="s">
        <v>51546</v>
      </c>
    </row>
    <row r="14873" spans="1:1">
      <c r="A14873" t="s">
        <v>51547</v>
      </c>
    </row>
    <row r="14874" spans="1:1">
      <c r="A14874" t="e" cm="1">
        <f t="array" ref="A14874">---------------------------STV----------------------------SY</f>
        <v>#NAME?</v>
      </c>
    </row>
    <row r="14875" spans="1:1">
      <c r="A14875" t="s">
        <v>51548</v>
      </c>
    </row>
    <row r="14876" spans="1:1">
      <c r="A14876" t="s">
        <v>41057</v>
      </c>
    </row>
    <row r="14877" spans="1:1">
      <c r="A14877" t="s">
        <v>51549</v>
      </c>
    </row>
    <row r="14878" spans="1:1">
      <c r="A14878" t="e" cm="1">
        <f t="array" ref="A14878">---------------------------------------------------------CKY</f>
        <v>#NAME?</v>
      </c>
    </row>
    <row r="14879" spans="1:1">
      <c r="A14879" t="s">
        <v>51550</v>
      </c>
    </row>
    <row r="14880" spans="1:1">
      <c r="A14880" t="s">
        <v>51551</v>
      </c>
    </row>
    <row r="14881" spans="1:1">
      <c r="A14881" t="s">
        <v>41057</v>
      </c>
    </row>
    <row r="14882" spans="1:1">
      <c r="A14882" t="s">
        <v>51552</v>
      </c>
    </row>
    <row r="14883" spans="1:1">
      <c r="A14883" t="e" cm="1">
        <f t="array" ref="A14883">------------------FRYEGEKPIGE---------L-------------------AA</f>
        <v>#NAME?</v>
      </c>
    </row>
    <row r="14884" spans="1:1">
      <c r="A14884" t="s">
        <v>51553</v>
      </c>
    </row>
    <row r="14885" spans="1:1">
      <c r="A14885" t="s">
        <v>51554</v>
      </c>
    </row>
    <row r="14886" spans="1:1">
      <c r="A14886" t="s">
        <v>51555</v>
      </c>
    </row>
    <row r="14887" spans="1:1">
      <c r="A14887" t="s">
        <v>51556</v>
      </c>
    </row>
    <row r="14888" spans="1:1">
      <c r="A14888" t="s">
        <v>51557</v>
      </c>
    </row>
    <row r="14889" spans="1:1">
      <c r="A14889" t="s">
        <v>51558</v>
      </c>
    </row>
    <row r="14890" spans="1:1">
      <c r="A14890" t="s">
        <v>51559</v>
      </c>
    </row>
    <row r="14891" spans="1:1">
      <c r="A14891" t="s">
        <v>51402</v>
      </c>
    </row>
    <row r="14892" spans="1:1">
      <c r="A14892" t="s">
        <v>41057</v>
      </c>
    </row>
    <row r="14893" spans="1:1">
      <c r="A14893" t="e" cm="1">
        <f t="array" ref="A14893">----------IDS-FQ--------------------------------KVPY-VNQNTGD</f>
        <v>#NAME?</v>
      </c>
    </row>
    <row r="14894" spans="1:1">
      <c r="A14894" t="s">
        <v>51560</v>
      </c>
    </row>
    <row r="14895" spans="1:1">
      <c r="A14895" t="s">
        <v>41057</v>
      </c>
    </row>
    <row r="14896" spans="1:1">
      <c r="A14896" t="s">
        <v>51561</v>
      </c>
    </row>
    <row r="14897" spans="1:1">
      <c r="A14897" t="s">
        <v>41057</v>
      </c>
    </row>
    <row r="14898" spans="1:1">
      <c r="A14898" t="s">
        <v>41057</v>
      </c>
    </row>
    <row r="14899" spans="1:1">
      <c r="A14899" t="s">
        <v>41057</v>
      </c>
    </row>
    <row r="14900" spans="1:1">
      <c r="A14900" t="s">
        <v>41057</v>
      </c>
    </row>
    <row r="14901" spans="1:1">
      <c r="A14901" t="s">
        <v>41057</v>
      </c>
    </row>
    <row r="14902" spans="1:1">
      <c r="A14902" t="s">
        <v>41057</v>
      </c>
    </row>
    <row r="14903" spans="1:1">
      <c r="A14903" t="s">
        <v>51562</v>
      </c>
    </row>
    <row r="14904" spans="1:1">
      <c r="A14904" t="s">
        <v>51563</v>
      </c>
    </row>
    <row r="14905" spans="1:1">
      <c r="A14905" t="s">
        <v>51564</v>
      </c>
    </row>
    <row r="14906" spans="1:1">
      <c r="A14906" t="s">
        <v>41057</v>
      </c>
    </row>
    <row r="14907" spans="1:1">
      <c r="A14907" t="s">
        <v>41057</v>
      </c>
    </row>
    <row r="14908" spans="1:1">
      <c r="A14908" t="s">
        <v>51565</v>
      </c>
    </row>
    <row r="14909" spans="1:1">
      <c r="A14909" t="s">
        <v>41057</v>
      </c>
    </row>
    <row r="14910" spans="1:1">
      <c r="A14910" t="s">
        <v>51566</v>
      </c>
    </row>
    <row r="14911" spans="1:1">
      <c r="A14911" t="s">
        <v>41057</v>
      </c>
    </row>
    <row r="14912" spans="1:1">
      <c r="A14912" t="s">
        <v>51567</v>
      </c>
    </row>
    <row r="14913" spans="1:1">
      <c r="A14913" t="s">
        <v>51568</v>
      </c>
    </row>
    <row r="14914" spans="1:1">
      <c r="A14914" t="s">
        <v>51569</v>
      </c>
    </row>
    <row r="14915" spans="1:1">
      <c r="A14915" t="s">
        <v>51570</v>
      </c>
    </row>
    <row r="14916" spans="1:1">
      <c r="A14916" t="s">
        <v>41057</v>
      </c>
    </row>
    <row r="14917" spans="1:1">
      <c r="A14917" t="s">
        <v>41057</v>
      </c>
    </row>
    <row r="14918" spans="1:1">
      <c r="A14918" t="s">
        <v>41057</v>
      </c>
    </row>
    <row r="14919" spans="1:1">
      <c r="A14919" t="s">
        <v>41057</v>
      </c>
    </row>
    <row r="14920" spans="1:1">
      <c r="A14920" t="s">
        <v>41057</v>
      </c>
    </row>
    <row r="14921" spans="1:1">
      <c r="A14921" t="s">
        <v>41057</v>
      </c>
    </row>
    <row r="14922" spans="1:1">
      <c r="A14922" t="s">
        <v>41057</v>
      </c>
    </row>
    <row r="14923" spans="1:1">
      <c r="A14923" t="s">
        <v>41057</v>
      </c>
    </row>
    <row r="14924" spans="1:1">
      <c r="A14924" t="s">
        <v>41057</v>
      </c>
    </row>
    <row r="14925" spans="1:1">
      <c r="A14925" t="s">
        <v>51571</v>
      </c>
    </row>
    <row r="14926" spans="1:1">
      <c r="A14926" t="s">
        <v>41057</v>
      </c>
    </row>
    <row r="14927" spans="1:1">
      <c r="A14927" t="s">
        <v>41057</v>
      </c>
    </row>
    <row r="14928" spans="1:1">
      <c r="A14928" t="s">
        <v>41057</v>
      </c>
    </row>
    <row r="14929" spans="1:1">
      <c r="A14929" t="s">
        <v>41057</v>
      </c>
    </row>
    <row r="14930" spans="1:1">
      <c r="A14930" t="s">
        <v>41057</v>
      </c>
    </row>
    <row r="14931" spans="1:1">
      <c r="A14931" t="s">
        <v>51572</v>
      </c>
    </row>
    <row r="14932" spans="1:1">
      <c r="A14932" t="s">
        <v>51573</v>
      </c>
    </row>
    <row r="14933" spans="1:1">
      <c r="A14933" t="s">
        <v>41057</v>
      </c>
    </row>
    <row r="14934" spans="1:1">
      <c r="A14934" t="s">
        <v>41057</v>
      </c>
    </row>
    <row r="14935" spans="1:1">
      <c r="A14935" t="s">
        <v>41057</v>
      </c>
    </row>
    <row r="14936" spans="1:1">
      <c r="A14936" t="s">
        <v>51574</v>
      </c>
    </row>
    <row r="14937" spans="1:1">
      <c r="A14937" t="s">
        <v>41057</v>
      </c>
    </row>
    <row r="14938" spans="1:1">
      <c r="A14938" t="s">
        <v>41057</v>
      </c>
    </row>
    <row r="14939" spans="1:1">
      <c r="A14939" t="s">
        <v>41057</v>
      </c>
    </row>
    <row r="14940" spans="1:1">
      <c r="A14940" t="s">
        <v>41057</v>
      </c>
    </row>
    <row r="14941" spans="1:1">
      <c r="A14941" t="s">
        <v>41057</v>
      </c>
    </row>
    <row r="14942" spans="1:1">
      <c r="A14942" t="s">
        <v>41057</v>
      </c>
    </row>
    <row r="14943" spans="1:1">
      <c r="A14943" t="s">
        <v>41057</v>
      </c>
    </row>
    <row r="14944" spans="1:1">
      <c r="A14944" t="s">
        <v>41057</v>
      </c>
    </row>
    <row r="14945" spans="1:1">
      <c r="A14945" t="s">
        <v>41057</v>
      </c>
    </row>
    <row r="14946" spans="1:1">
      <c r="A14946" t="s">
        <v>41057</v>
      </c>
    </row>
    <row r="14947" spans="1:1">
      <c r="A14947" t="s">
        <v>51575</v>
      </c>
    </row>
    <row r="14948" spans="1:1">
      <c r="A14948" t="e" cm="1">
        <f t="array" ref="A14948">-----------------TGKIVPG-----------------------------------E</f>
        <v>#NAME?</v>
      </c>
    </row>
    <row r="14949" spans="1:1">
      <c r="A14949" t="s">
        <v>41087</v>
      </c>
    </row>
    <row r="14950" spans="1:1">
      <c r="A14950" t="s">
        <v>51576</v>
      </c>
    </row>
    <row r="14951" spans="1:1">
      <c r="A14951" t="s">
        <v>51577</v>
      </c>
    </row>
    <row r="14952" spans="1:1">
      <c r="A14952" t="s">
        <v>51578</v>
      </c>
    </row>
    <row r="14953" spans="1:1">
      <c r="A14953" t="s">
        <v>51579</v>
      </c>
    </row>
    <row r="14954" spans="1:1">
      <c r="A14954" t="s">
        <v>51580</v>
      </c>
    </row>
    <row r="14955" spans="1:1">
      <c r="A14955" t="s">
        <v>51581</v>
      </c>
    </row>
    <row r="14956" spans="1:1">
      <c r="A14956" t="s">
        <v>51582</v>
      </c>
    </row>
    <row r="14957" spans="1:1">
      <c r="A14957" t="s">
        <v>51583</v>
      </c>
    </row>
    <row r="14958" spans="1:1">
      <c r="A14958" t="s">
        <v>51584</v>
      </c>
    </row>
    <row r="14959" spans="1:1">
      <c r="A14959" t="s">
        <v>51585</v>
      </c>
    </row>
    <row r="14960" spans="1:1">
      <c r="A14960" t="s">
        <v>51586</v>
      </c>
    </row>
    <row r="14961" spans="1:1">
      <c r="A14961" t="s">
        <v>51587</v>
      </c>
    </row>
    <row r="14962" spans="1:1">
      <c r="A14962" t="s">
        <v>51588</v>
      </c>
    </row>
    <row r="14963" spans="1:1">
      <c r="A14963" t="s">
        <v>51589</v>
      </c>
    </row>
    <row r="14964" spans="1:1">
      <c r="A14964" t="s">
        <v>51590</v>
      </c>
    </row>
    <row r="14965" spans="1:1">
      <c r="A14965" t="s">
        <v>41057</v>
      </c>
    </row>
    <row r="14966" spans="1:1">
      <c r="A14966" t="s">
        <v>51591</v>
      </c>
    </row>
    <row r="14967" spans="1:1">
      <c r="A14967" t="s">
        <v>51592</v>
      </c>
    </row>
    <row r="14968" spans="1:1">
      <c r="A14968" t="s">
        <v>51593</v>
      </c>
    </row>
    <row r="14969" spans="1:1">
      <c r="A14969" t="s">
        <v>51594</v>
      </c>
    </row>
    <row r="14970" spans="1:1">
      <c r="A14970" t="s">
        <v>51595</v>
      </c>
    </row>
    <row r="14971" spans="1:1">
      <c r="A14971" t="s">
        <v>51596</v>
      </c>
    </row>
    <row r="14972" spans="1:1">
      <c r="A14972" t="s">
        <v>51597</v>
      </c>
    </row>
    <row r="14973" spans="1:1">
      <c r="A14973" t="s">
        <v>51598</v>
      </c>
    </row>
    <row r="14974" spans="1:1">
      <c r="A14974" t="e" cm="1">
        <f t="array" ref="A14974">--------------------------------------------------------FDPF</f>
        <v>#NAME?</v>
      </c>
    </row>
    <row r="14975" spans="1:1">
      <c r="A14975" t="s">
        <v>51599</v>
      </c>
    </row>
    <row r="14976" spans="1:1">
      <c r="A14976" t="s">
        <v>51600</v>
      </c>
    </row>
    <row r="14977" spans="1:1">
      <c r="A14977" t="s">
        <v>45057</v>
      </c>
    </row>
    <row r="14978" spans="1:1">
      <c r="A14978" t="s">
        <v>41057</v>
      </c>
    </row>
    <row r="14979" spans="1:1">
      <c r="A14979" t="s">
        <v>41057</v>
      </c>
    </row>
    <row r="14980" spans="1:1">
      <c r="A14980" t="s">
        <v>41057</v>
      </c>
    </row>
    <row r="14981" spans="1:1">
      <c r="A14981" t="s">
        <v>41057</v>
      </c>
    </row>
    <row r="14982" spans="1:1">
      <c r="A14982" t="s">
        <v>41057</v>
      </c>
    </row>
    <row r="14983" spans="1:1">
      <c r="A14983" t="s">
        <v>41057</v>
      </c>
    </row>
    <row r="14984" spans="1:1">
      <c r="A14984" t="s">
        <v>41057</v>
      </c>
    </row>
    <row r="14985" spans="1:1">
      <c r="A14985" t="s">
        <v>41057</v>
      </c>
    </row>
    <row r="14986" spans="1:1">
      <c r="A14986" t="s">
        <v>41057</v>
      </c>
    </row>
    <row r="14987" spans="1:1">
      <c r="A14987" t="s">
        <v>51601</v>
      </c>
    </row>
    <row r="14988" spans="1:1">
      <c r="A14988" t="s">
        <v>41057</v>
      </c>
    </row>
    <row r="14989" spans="1:1">
      <c r="A14989" t="s">
        <v>41057</v>
      </c>
    </row>
    <row r="14990" spans="1:1">
      <c r="A14990" t="s">
        <v>41057</v>
      </c>
    </row>
    <row r="14991" spans="1:1">
      <c r="A14991" t="s">
        <v>41057</v>
      </c>
    </row>
    <row r="14992" spans="1:1">
      <c r="A14992" t="s">
        <v>41057</v>
      </c>
    </row>
    <row r="14993" spans="1:1">
      <c r="A14993" t="s">
        <v>41057</v>
      </c>
    </row>
    <row r="14994" spans="1:1">
      <c r="A14994" t="s">
        <v>51602</v>
      </c>
    </row>
    <row r="14995" spans="1:1">
      <c r="A14995" t="s">
        <v>51603</v>
      </c>
    </row>
    <row r="14996" spans="1:1">
      <c r="A14996" t="s">
        <v>51604</v>
      </c>
    </row>
    <row r="14997" spans="1:1">
      <c r="A14997" t="s">
        <v>41057</v>
      </c>
    </row>
    <row r="14998" spans="1:1">
      <c r="A14998" t="s">
        <v>41057</v>
      </c>
    </row>
    <row r="14999" spans="1:1">
      <c r="A14999" t="s">
        <v>41057</v>
      </c>
    </row>
    <row r="15000" spans="1:1">
      <c r="A15000" t="s">
        <v>51605</v>
      </c>
    </row>
    <row r="15001" spans="1:1">
      <c r="A15001" t="s">
        <v>41057</v>
      </c>
    </row>
    <row r="15002" spans="1:1">
      <c r="A15002" t="s">
        <v>51606</v>
      </c>
    </row>
    <row r="15003" spans="1:1">
      <c r="A15003" t="s">
        <v>51607</v>
      </c>
    </row>
    <row r="15004" spans="1:1">
      <c r="A15004" t="s">
        <v>41057</v>
      </c>
    </row>
    <row r="15005" spans="1:1">
      <c r="A15005" t="s">
        <v>41057</v>
      </c>
    </row>
    <row r="15006" spans="1:1">
      <c r="A15006" t="s">
        <v>41057</v>
      </c>
    </row>
    <row r="15007" spans="1:1">
      <c r="A15007" t="s">
        <v>51608</v>
      </c>
    </row>
    <row r="15008" spans="1:1">
      <c r="A15008" t="s">
        <v>41057</v>
      </c>
    </row>
    <row r="15009" spans="1:1">
      <c r="A15009" t="s">
        <v>51609</v>
      </c>
    </row>
    <row r="15010" spans="1:1">
      <c r="A15010" t="s">
        <v>41057</v>
      </c>
    </row>
    <row r="15011" spans="1:1">
      <c r="A15011" t="s">
        <v>51610</v>
      </c>
    </row>
    <row r="15012" spans="1:1">
      <c r="A15012" t="e" cm="1">
        <f t="array" ref="A15012">-----------------------------------------TKVK--------------G</f>
        <v>#NAME?</v>
      </c>
    </row>
    <row r="15013" spans="1:1">
      <c r="A15013" t="s">
        <v>51611</v>
      </c>
    </row>
    <row r="15014" spans="1:1">
      <c r="A15014" t="s">
        <v>41057</v>
      </c>
    </row>
    <row r="15015" spans="1:1">
      <c r="A15015" t="s">
        <v>46322</v>
      </c>
    </row>
    <row r="15016" spans="1:1">
      <c r="A15016" t="s">
        <v>51612</v>
      </c>
    </row>
    <row r="15017" spans="1:1">
      <c r="A15017" t="s">
        <v>51613</v>
      </c>
    </row>
    <row r="15018" spans="1:1">
      <c r="A15018" t="s">
        <v>51614</v>
      </c>
    </row>
    <row r="15019" spans="1:1">
      <c r="A15019" t="s">
        <v>41057</v>
      </c>
    </row>
    <row r="15020" spans="1:1">
      <c r="A15020" t="s">
        <v>41057</v>
      </c>
    </row>
    <row r="15021" spans="1:1">
      <c r="A15021" t="e" cm="1">
        <f t="array" ref="A15021">--------------FV--------------------------------GGLS-RLIEVGY</f>
        <v>#NAME?</v>
      </c>
    </row>
    <row r="15022" spans="1:1">
      <c r="A15022" t="s">
        <v>51615</v>
      </c>
    </row>
    <row r="15023" spans="1:1">
      <c r="A15023" t="s">
        <v>41057</v>
      </c>
    </row>
    <row r="15024" spans="1:1">
      <c r="A15024" t="s">
        <v>41057</v>
      </c>
    </row>
    <row r="15025" spans="1:1">
      <c r="A15025" t="s">
        <v>41057</v>
      </c>
    </row>
    <row r="15026" spans="1:1">
      <c r="A15026" t="s">
        <v>41057</v>
      </c>
    </row>
    <row r="15027" spans="1:1">
      <c r="A15027" t="s">
        <v>41057</v>
      </c>
    </row>
    <row r="15028" spans="1:1">
      <c r="A15028" t="s">
        <v>41057</v>
      </c>
    </row>
    <row r="15029" spans="1:1">
      <c r="A15029" t="s">
        <v>41057</v>
      </c>
    </row>
    <row r="15030" spans="1:1">
      <c r="A15030" t="s">
        <v>41057</v>
      </c>
    </row>
    <row r="15031" spans="1:1">
      <c r="A15031" t="s">
        <v>51616</v>
      </c>
    </row>
    <row r="15032" spans="1:1">
      <c r="A15032" t="s">
        <v>51617</v>
      </c>
    </row>
    <row r="15033" spans="1:1">
      <c r="A15033" t="s">
        <v>41057</v>
      </c>
    </row>
    <row r="15034" spans="1:1">
      <c r="A15034" t="s">
        <v>41057</v>
      </c>
    </row>
    <row r="15035" spans="1:1">
      <c r="A15035" t="s">
        <v>41057</v>
      </c>
    </row>
    <row r="15036" spans="1:1">
      <c r="A15036" t="s">
        <v>51618</v>
      </c>
    </row>
    <row r="15037" spans="1:1">
      <c r="A15037" t="s">
        <v>41057</v>
      </c>
    </row>
    <row r="15038" spans="1:1">
      <c r="A15038" t="s">
        <v>41057</v>
      </c>
    </row>
    <row r="15039" spans="1:1">
      <c r="A15039" t="s">
        <v>41057</v>
      </c>
    </row>
    <row r="15040" spans="1:1">
      <c r="A15040" t="s">
        <v>51619</v>
      </c>
    </row>
    <row r="15041" spans="1:1">
      <c r="A15041" t="s">
        <v>51620</v>
      </c>
    </row>
    <row r="15042" spans="1:1">
      <c r="A15042" t="s">
        <v>51621</v>
      </c>
    </row>
    <row r="15043" spans="1:1">
      <c r="A15043" t="s">
        <v>51622</v>
      </c>
    </row>
    <row r="15044" spans="1:1">
      <c r="A15044" t="s">
        <v>41057</v>
      </c>
    </row>
    <row r="15045" spans="1:1">
      <c r="A15045" t="s">
        <v>41057</v>
      </c>
    </row>
    <row r="15046" spans="1:1">
      <c r="A15046" t="s">
        <v>41057</v>
      </c>
    </row>
    <row r="15047" spans="1:1">
      <c r="A15047" t="s">
        <v>41057</v>
      </c>
    </row>
    <row r="15048" spans="1:1">
      <c r="A15048" t="s">
        <v>41057</v>
      </c>
    </row>
    <row r="15049" spans="1:1">
      <c r="A15049" t="s">
        <v>41057</v>
      </c>
    </row>
    <row r="15050" spans="1:1">
      <c r="A15050" t="s">
        <v>41057</v>
      </c>
    </row>
    <row r="15051" spans="1:1">
      <c r="A15051" t="s">
        <v>41057</v>
      </c>
    </row>
    <row r="15052" spans="1:1">
      <c r="A15052" t="s">
        <v>41057</v>
      </c>
    </row>
    <row r="15053" spans="1:1">
      <c r="A15053" t="s">
        <v>51623</v>
      </c>
    </row>
    <row r="15054" spans="1:1">
      <c r="A15054" t="s">
        <v>41057</v>
      </c>
    </row>
    <row r="15055" spans="1:1">
      <c r="A15055" t="s">
        <v>41057</v>
      </c>
    </row>
    <row r="15056" spans="1:1">
      <c r="A15056" t="s">
        <v>41057</v>
      </c>
    </row>
    <row r="15057" spans="1:1">
      <c r="A15057" t="s">
        <v>41057</v>
      </c>
    </row>
    <row r="15058" spans="1:1">
      <c r="A15058" t="s">
        <v>41057</v>
      </c>
    </row>
    <row r="15059" spans="1:1">
      <c r="A15059" t="s">
        <v>51624</v>
      </c>
    </row>
    <row r="15060" spans="1:1">
      <c r="A15060" t="s">
        <v>51625</v>
      </c>
    </row>
    <row r="15061" spans="1:1">
      <c r="A15061" t="s">
        <v>41057</v>
      </c>
    </row>
    <row r="15062" spans="1:1">
      <c r="A15062" t="s">
        <v>41057</v>
      </c>
    </row>
    <row r="15063" spans="1:1">
      <c r="A15063" t="s">
        <v>51626</v>
      </c>
    </row>
    <row r="15064" spans="1:1">
      <c r="A15064" t="s">
        <v>51627</v>
      </c>
    </row>
    <row r="15065" spans="1:1">
      <c r="A15065" t="s">
        <v>41057</v>
      </c>
    </row>
    <row r="15066" spans="1:1">
      <c r="A15066" t="s">
        <v>41057</v>
      </c>
    </row>
    <row r="15067" spans="1:1">
      <c r="A15067" t="s">
        <v>41057</v>
      </c>
    </row>
    <row r="15068" spans="1:1">
      <c r="A15068" t="s">
        <v>41057</v>
      </c>
    </row>
    <row r="15069" spans="1:1">
      <c r="A15069" t="s">
        <v>41057</v>
      </c>
    </row>
    <row r="15070" spans="1:1">
      <c r="A15070" t="s">
        <v>41057</v>
      </c>
    </row>
    <row r="15071" spans="1:1">
      <c r="A15071" t="s">
        <v>41057</v>
      </c>
    </row>
    <row r="15072" spans="1:1">
      <c r="A15072" t="s">
        <v>41057</v>
      </c>
    </row>
    <row r="15073" spans="1:1">
      <c r="A15073" t="s">
        <v>41057</v>
      </c>
    </row>
    <row r="15074" spans="1:1">
      <c r="A15074" t="s">
        <v>41057</v>
      </c>
    </row>
    <row r="15075" spans="1:1">
      <c r="A15075" t="s">
        <v>41057</v>
      </c>
    </row>
    <row r="15076" spans="1:1">
      <c r="A15076" t="e" cm="1">
        <f t="array" ref="A15076">-----------------------------------------------TDGFN-------F</f>
        <v>#NAME?</v>
      </c>
    </row>
    <row r="15077" spans="1:1">
      <c r="A15077" t="s">
        <v>51628</v>
      </c>
    </row>
    <row r="15078" spans="1:1">
      <c r="A15078" t="s">
        <v>51629</v>
      </c>
    </row>
    <row r="15079" spans="1:1">
      <c r="A15079" t="e" cm="1">
        <f t="array" ref="A15079">--HWKTEGKGGQ----------------------------------ELK---------GV</f>
        <v>#NAME?</v>
      </c>
    </row>
    <row r="15080" spans="1:1">
      <c r="A15080" t="s">
        <v>51630</v>
      </c>
    </row>
    <row r="15081" spans="1:1">
      <c r="A15081" t="s">
        <v>51631</v>
      </c>
    </row>
    <row r="15082" spans="1:1">
      <c r="A15082" t="e" cm="1">
        <f t="array" ref="A15082">---------------------------VKLVG-------NSIKSKSLPAYIEDF-INDGV</f>
        <v>#NAME?</v>
      </c>
    </row>
    <row r="15083" spans="1:1">
      <c r="A15083" t="s">
        <v>51632</v>
      </c>
    </row>
    <row r="15084" spans="1:1">
      <c r="A15084" t="s">
        <v>51633</v>
      </c>
    </row>
    <row r="15085" spans="1:1">
      <c r="A15085" t="s">
        <v>51634</v>
      </c>
    </row>
    <row r="15086" spans="1:1">
      <c r="A15086" t="s">
        <v>51635</v>
      </c>
    </row>
    <row r="15087" spans="1:1">
      <c r="A15087" t="e" cm="1">
        <f t="array" ref="A15087">---------------------------------------------NYRDVYC--KQKNKA</f>
        <v>#NAME?</v>
      </c>
    </row>
    <row r="15088" spans="1:1">
      <c r="A15088" t="s">
        <v>51636</v>
      </c>
    </row>
    <row r="15089" spans="1:1">
      <c r="A15089" t="s">
        <v>41057</v>
      </c>
    </row>
    <row r="15090" spans="1:1">
      <c r="A15090" t="s">
        <v>51637</v>
      </c>
    </row>
    <row r="15091" spans="1:1">
      <c r="A15091" t="s">
        <v>51638</v>
      </c>
    </row>
    <row r="15092" spans="1:1">
      <c r="A15092" t="s">
        <v>51639</v>
      </c>
    </row>
    <row r="15093" spans="1:1">
      <c r="A15093" t="e" cm="1">
        <f t="array" ref="A15093">--------------------------------------------IRGGI----------I</f>
        <v>#NAME?</v>
      </c>
    </row>
    <row r="15094" spans="1:1">
      <c r="A15094" t="s">
        <v>51640</v>
      </c>
    </row>
    <row r="15095" spans="1:1">
      <c r="A15095" t="s">
        <v>51641</v>
      </c>
    </row>
    <row r="15096" spans="1:1">
      <c r="A15096" t="s">
        <v>41057</v>
      </c>
    </row>
    <row r="15097" spans="1:1">
      <c r="A15097" t="s">
        <v>51642</v>
      </c>
    </row>
    <row r="15098" spans="1:1">
      <c r="A15098" t="s">
        <v>51643</v>
      </c>
    </row>
    <row r="15099" spans="1:1">
      <c r="A15099" t="s">
        <v>51644</v>
      </c>
    </row>
    <row r="15100" spans="1:1">
      <c r="A15100" t="e" cm="1">
        <f t="array" ref="A15100">-------------------SVDKLPNF-MEQEEWDRIRAD------YKERKRIEA-LEGI</f>
        <v>#NAME?</v>
      </c>
    </row>
    <row r="15101" spans="1:1">
      <c r="A15101" t="s">
        <v>51645</v>
      </c>
    </row>
    <row r="15102" spans="1:1">
      <c r="A15102" t="s">
        <v>51646</v>
      </c>
    </row>
    <row r="15103" spans="1:1">
      <c r="A15103" t="e" cm="1">
        <f t="array" ref="A15103">----------------------------------------------------IADYDKIK</f>
        <v>#NAME?</v>
      </c>
    </row>
    <row r="15104" spans="1:1">
      <c r="A15104" t="s">
        <v>51647</v>
      </c>
    </row>
    <row r="15105" spans="1:1">
      <c r="A15105" t="s">
        <v>45121</v>
      </c>
    </row>
    <row r="15106" spans="1:1">
      <c r="A15106" t="s">
        <v>41057</v>
      </c>
    </row>
    <row r="15107" spans="1:1">
      <c r="A15107" t="s">
        <v>41057</v>
      </c>
    </row>
    <row r="15108" spans="1:1">
      <c r="A15108" t="s">
        <v>41057</v>
      </c>
    </row>
    <row r="15109" spans="1:1">
      <c r="A15109" t="s">
        <v>41057</v>
      </c>
    </row>
    <row r="15110" spans="1:1">
      <c r="A15110" t="s">
        <v>41057</v>
      </c>
    </row>
    <row r="15111" spans="1:1">
      <c r="A15111" t="s">
        <v>41057</v>
      </c>
    </row>
    <row r="15112" spans="1:1">
      <c r="A15112" t="s">
        <v>41057</v>
      </c>
    </row>
    <row r="15113" spans="1:1">
      <c r="A15113" t="s">
        <v>41057</v>
      </c>
    </row>
    <row r="15114" spans="1:1">
      <c r="A15114" t="e" cm="1">
        <f t="array" ref="A15114">----------------------------------------------------------KH</f>
        <v>#NAME?</v>
      </c>
    </row>
    <row r="15115" spans="1:1">
      <c r="A15115" t="e" cm="1">
        <f t="array" ref="A15115">--------------------------------PVPLQIGISTTKGFSKVLHADNYEEELE</f>
        <v>#NAME?</v>
      </c>
    </row>
    <row r="15116" spans="1:1">
      <c r="A15116" t="s">
        <v>51648</v>
      </c>
    </row>
    <row r="15117" spans="1:1">
      <c r="A15117" t="s">
        <v>51649</v>
      </c>
    </row>
    <row r="15118" spans="1:1">
      <c r="A15118" t="s">
        <v>51650</v>
      </c>
    </row>
    <row r="15119" spans="1:1">
      <c r="A15119" t="s">
        <v>51651</v>
      </c>
    </row>
    <row r="15120" spans="1:1">
      <c r="A15120" t="s">
        <v>51652</v>
      </c>
    </row>
    <row r="15121" spans="1:1">
      <c r="A15121" t="s">
        <v>51653</v>
      </c>
    </row>
    <row r="15122" spans="1:1">
      <c r="A15122" t="e" cm="1">
        <f t="array" ref="A15122">-----TLKVGGAVEKYNQTNMYG---KTILDG-----------WHNIK-KLQA----IDK</f>
        <v>#NAME?</v>
      </c>
    </row>
    <row r="15123" spans="1:1">
      <c r="A15123" t="s">
        <v>51654</v>
      </c>
    </row>
    <row r="15124" spans="1:1">
      <c r="A15124" t="s">
        <v>41057</v>
      </c>
    </row>
    <row r="15125" spans="1:1">
      <c r="A15125" t="s">
        <v>41057</v>
      </c>
    </row>
    <row r="15126" spans="1:1">
      <c r="A15126" t="s">
        <v>41057</v>
      </c>
    </row>
    <row r="15127" spans="1:1">
      <c r="A15127" t="s">
        <v>41057</v>
      </c>
    </row>
    <row r="15128" spans="1:1">
      <c r="A15128" t="s">
        <v>51655</v>
      </c>
    </row>
    <row r="15129" spans="1:1">
      <c r="A15129" t="s">
        <v>41057</v>
      </c>
    </row>
    <row r="15130" spans="1:1">
      <c r="A15130" t="s">
        <v>51606</v>
      </c>
    </row>
    <row r="15131" spans="1:1">
      <c r="A15131" t="e" cm="1">
        <f t="array" ref="A15131">------------PGDSIGAIGKDER-EYFFC----------------DENGDWFVNEIPI</f>
        <v>#NAME?</v>
      </c>
    </row>
    <row r="15132" spans="1:1">
      <c r="A15132" t="s">
        <v>51656</v>
      </c>
    </row>
    <row r="15133" spans="1:1">
      <c r="A15133" t="s">
        <v>51657</v>
      </c>
    </row>
    <row r="15134" spans="1:1">
      <c r="A15134" t="s">
        <v>51658</v>
      </c>
    </row>
    <row r="15135" spans="1:1">
      <c r="A15135" t="e" cm="1">
        <f t="array" ref="A15135">--EVRGCSNVVTLNED-----------------VTLFENSLYNAMKG--------YNSLV</f>
        <v>#NAME?</v>
      </c>
    </row>
    <row r="15136" spans="1:1">
      <c r="A15136" t="s">
        <v>51659</v>
      </c>
    </row>
    <row r="15137" spans="1:1">
      <c r="A15137" t="e" cm="1">
        <f t="array" ref="A15137">----------------------------------KYGEIVSLLKR--------------I</f>
        <v>#NAME?</v>
      </c>
    </row>
    <row r="15138" spans="1:1">
      <c r="A15138" t="s">
        <v>51660</v>
      </c>
    </row>
    <row r="15139" spans="1:1">
      <c r="A15139" t="s">
        <v>51661</v>
      </c>
    </row>
    <row r="15140" spans="1:1">
      <c r="A15140" t="e" cm="1">
        <f t="array" ref="A15140">-------------------------------------FSKYEKVS--------------G</f>
        <v>#NAME?</v>
      </c>
    </row>
    <row r="15141" spans="1:1">
      <c r="A15141" t="s">
        <v>51662</v>
      </c>
    </row>
    <row r="15142" spans="1:1">
      <c r="A15142" t="s">
        <v>41057</v>
      </c>
    </row>
    <row r="15143" spans="1:1">
      <c r="A15143" t="s">
        <v>46322</v>
      </c>
    </row>
    <row r="15144" spans="1:1">
      <c r="A15144" t="s">
        <v>51663</v>
      </c>
    </row>
    <row r="15145" spans="1:1">
      <c r="A15145" t="s">
        <v>51664</v>
      </c>
    </row>
    <row r="15146" spans="1:1">
      <c r="A15146" t="s">
        <v>51665</v>
      </c>
    </row>
    <row r="15147" spans="1:1">
      <c r="A15147" t="s">
        <v>41057</v>
      </c>
    </row>
    <row r="15148" spans="1:1">
      <c r="A15148" t="s">
        <v>41057</v>
      </c>
    </row>
    <row r="15149" spans="1:1">
      <c r="A15149" t="e" cm="1">
        <f t="array" ref="A15149">----------FEG-YR----------------------KIN-------GGLI-GMFKAGY</f>
        <v>#NAME?</v>
      </c>
    </row>
    <row r="15150" spans="1:1">
      <c r="A15150" t="s">
        <v>51666</v>
      </c>
    </row>
    <row r="15151" spans="1:1">
      <c r="A15151" t="s">
        <v>41057</v>
      </c>
    </row>
    <row r="15152" spans="1:1">
      <c r="A15152" t="s">
        <v>41057</v>
      </c>
    </row>
    <row r="15153" spans="1:1">
      <c r="A15153" t="s">
        <v>41057</v>
      </c>
    </row>
    <row r="15154" spans="1:1">
      <c r="A15154" t="s">
        <v>41057</v>
      </c>
    </row>
    <row r="15155" spans="1:1">
      <c r="A15155" t="s">
        <v>41057</v>
      </c>
    </row>
    <row r="15156" spans="1:1">
      <c r="A15156" t="s">
        <v>41057</v>
      </c>
    </row>
    <row r="15157" spans="1:1">
      <c r="A15157" t="s">
        <v>41057</v>
      </c>
    </row>
    <row r="15158" spans="1:1">
      <c r="A15158" t="s">
        <v>41057</v>
      </c>
    </row>
    <row r="15159" spans="1:1">
      <c r="A15159" t="s">
        <v>51667</v>
      </c>
    </row>
    <row r="15160" spans="1:1">
      <c r="A15160" t="s">
        <v>51668</v>
      </c>
    </row>
    <row r="15161" spans="1:1">
      <c r="A15161" t="s">
        <v>51669</v>
      </c>
    </row>
    <row r="15162" spans="1:1">
      <c r="A15162" t="s">
        <v>41057</v>
      </c>
    </row>
    <row r="15163" spans="1:1">
      <c r="A15163" t="s">
        <v>41057</v>
      </c>
    </row>
    <row r="15164" spans="1:1">
      <c r="A15164" t="s">
        <v>51670</v>
      </c>
    </row>
    <row r="15165" spans="1:1">
      <c r="A15165" t="s">
        <v>41057</v>
      </c>
    </row>
    <row r="15166" spans="1:1">
      <c r="A15166" t="s">
        <v>41057</v>
      </c>
    </row>
    <row r="15167" spans="1:1">
      <c r="A15167" t="s">
        <v>41057</v>
      </c>
    </row>
    <row r="15168" spans="1:1">
      <c r="A15168" t="s">
        <v>51671</v>
      </c>
    </row>
    <row r="15169" spans="1:1">
      <c r="A15169" t="s">
        <v>50676</v>
      </c>
    </row>
    <row r="15170" spans="1:1">
      <c r="A15170" t="s">
        <v>50522</v>
      </c>
    </row>
    <row r="15171" spans="1:1">
      <c r="A15171" t="s">
        <v>51672</v>
      </c>
    </row>
    <row r="15172" spans="1:1">
      <c r="A15172" t="s">
        <v>41057</v>
      </c>
    </row>
    <row r="15173" spans="1:1">
      <c r="A15173" t="s">
        <v>41057</v>
      </c>
    </row>
    <row r="15174" spans="1:1">
      <c r="A15174" t="s">
        <v>41057</v>
      </c>
    </row>
    <row r="15175" spans="1:1">
      <c r="A15175" t="s">
        <v>41057</v>
      </c>
    </row>
    <row r="15176" spans="1:1">
      <c r="A15176" t="s">
        <v>41057</v>
      </c>
    </row>
    <row r="15177" spans="1:1">
      <c r="A15177" t="s">
        <v>41057</v>
      </c>
    </row>
    <row r="15178" spans="1:1">
      <c r="A15178" t="s">
        <v>41057</v>
      </c>
    </row>
    <row r="15179" spans="1:1">
      <c r="A15179" t="s">
        <v>41057</v>
      </c>
    </row>
    <row r="15180" spans="1:1">
      <c r="A15180" t="s">
        <v>41057</v>
      </c>
    </row>
    <row r="15181" spans="1:1">
      <c r="A15181" t="s">
        <v>51673</v>
      </c>
    </row>
    <row r="15182" spans="1:1">
      <c r="A15182" t="s">
        <v>41057</v>
      </c>
    </row>
    <row r="15183" spans="1:1">
      <c r="A15183" t="s">
        <v>41057</v>
      </c>
    </row>
    <row r="15184" spans="1:1">
      <c r="A15184" t="s">
        <v>41057</v>
      </c>
    </row>
    <row r="15185" spans="1:1">
      <c r="A15185" t="s">
        <v>41057</v>
      </c>
    </row>
    <row r="15186" spans="1:1">
      <c r="A15186" t="s">
        <v>41057</v>
      </c>
    </row>
    <row r="15187" spans="1:1">
      <c r="A15187" t="s">
        <v>51674</v>
      </c>
    </row>
    <row r="15188" spans="1:1">
      <c r="A15188" t="s">
        <v>51675</v>
      </c>
    </row>
    <row r="15189" spans="1:1">
      <c r="A15189" t="s">
        <v>41057</v>
      </c>
    </row>
    <row r="15190" spans="1:1">
      <c r="A15190" t="s">
        <v>41057</v>
      </c>
    </row>
    <row r="15191" spans="1:1">
      <c r="A15191" t="s">
        <v>51676</v>
      </c>
    </row>
    <row r="15192" spans="1:1">
      <c r="A15192" t="s">
        <v>51677</v>
      </c>
    </row>
    <row r="15193" spans="1:1">
      <c r="A15193" t="s">
        <v>41057</v>
      </c>
    </row>
    <row r="15194" spans="1:1">
      <c r="A15194" t="s">
        <v>41057</v>
      </c>
    </row>
    <row r="15195" spans="1:1">
      <c r="A15195" t="s">
        <v>41057</v>
      </c>
    </row>
    <row r="15196" spans="1:1">
      <c r="A15196" t="s">
        <v>41057</v>
      </c>
    </row>
    <row r="15197" spans="1:1">
      <c r="A15197" t="s">
        <v>41057</v>
      </c>
    </row>
    <row r="15198" spans="1:1">
      <c r="A15198" t="s">
        <v>41057</v>
      </c>
    </row>
    <row r="15199" spans="1:1">
      <c r="A15199" t="s">
        <v>41057</v>
      </c>
    </row>
    <row r="15200" spans="1:1">
      <c r="A15200" t="s">
        <v>41057</v>
      </c>
    </row>
    <row r="15201" spans="1:1">
      <c r="A15201" t="s">
        <v>41057</v>
      </c>
    </row>
    <row r="15202" spans="1:1">
      <c r="A15202" t="s">
        <v>41057</v>
      </c>
    </row>
    <row r="15203" spans="1:1">
      <c r="A15203" t="s">
        <v>41057</v>
      </c>
    </row>
    <row r="15204" spans="1:1">
      <c r="A15204" t="e" cm="1">
        <f t="array" ref="A15204">-----------------------------------------------TDGIN-------F</f>
        <v>#NAME?</v>
      </c>
    </row>
    <row r="15205" spans="1:1">
      <c r="A15205" t="s">
        <v>51678</v>
      </c>
    </row>
    <row r="15206" spans="1:1">
      <c r="A15206" t="s">
        <v>51679</v>
      </c>
    </row>
    <row r="15207" spans="1:1">
      <c r="A15207" t="e" cm="1">
        <f t="array" ref="A15207">--------------------------------------LVKKDK--VYK---------GL</f>
        <v>#NAME?</v>
      </c>
    </row>
    <row r="15208" spans="1:1">
      <c r="A15208" t="s">
        <v>51680</v>
      </c>
    </row>
    <row r="15209" spans="1:1">
      <c r="A15209" t="s">
        <v>51681</v>
      </c>
    </row>
    <row r="15210" spans="1:1">
      <c r="A15210" t="e" cm="1">
        <f t="array" ref="A15210">-----------------------SGHEIDIVG---G-----LIKKDTKKYIRKF-LDHRL</f>
        <v>#NAME?</v>
      </c>
    </row>
    <row r="15211" spans="1:1">
      <c r="A15211" t="s">
        <v>51682</v>
      </c>
    </row>
    <row r="15212" spans="1:1">
      <c r="A15212" t="s">
        <v>51683</v>
      </c>
    </row>
    <row r="15213" spans="1:1">
      <c r="A15213" t="s">
        <v>51684</v>
      </c>
    </row>
    <row r="15214" spans="1:1">
      <c r="A15214" t="s">
        <v>51685</v>
      </c>
    </row>
    <row r="15215" spans="1:1">
      <c r="A15215" t="s">
        <v>51686</v>
      </c>
    </row>
    <row r="15216" spans="1:1">
      <c r="A15216" t="e" cm="1">
        <f t="array" ref="A15216">--------------------------SRMAVYELVKKKKIPYEPGSLFY-Y--YNNGKQS</f>
        <v>#NAME?</v>
      </c>
    </row>
    <row r="15217" spans="1:1">
      <c r="A15217" t="s">
        <v>51687</v>
      </c>
    </row>
    <row r="15218" spans="1:1">
      <c r="A15218" t="s">
        <v>51688</v>
      </c>
    </row>
    <row r="15219" spans="1:1">
      <c r="A15219" t="s">
        <v>51689</v>
      </c>
    </row>
    <row r="15220" spans="1:1">
      <c r="A15220" t="s">
        <v>51690</v>
      </c>
    </row>
    <row r="15221" spans="1:1">
      <c r="A15221" t="e" cm="1">
        <f t="array" ref="A15221">--------------------------------------------TRKML--------INI</f>
        <v>#NAME?</v>
      </c>
    </row>
    <row r="15222" spans="1:1">
      <c r="A15222" t="s">
        <v>51691</v>
      </c>
    </row>
    <row r="15223" spans="1:1">
      <c r="A15223" t="e" cm="1">
        <f t="array" ref="A15223">----WMDYVNKL-------------------------------------Y--GT----NY</f>
        <v>#NAME?</v>
      </c>
    </row>
    <row r="15224" spans="1:1">
      <c r="A15224" t="s">
        <v>51692</v>
      </c>
    </row>
    <row r="15225" spans="1:1">
      <c r="A15225" t="s">
        <v>51693</v>
      </c>
    </row>
    <row r="15226" spans="1:1">
      <c r="A15226" t="s">
        <v>51694</v>
      </c>
    </row>
    <row r="15227" spans="1:1">
      <c r="A15227" t="s">
        <v>51695</v>
      </c>
    </row>
    <row r="15228" spans="1:1">
      <c r="A15228" t="e" cm="1">
        <f t="array" ref="A15228">-------------------NDSEMHPY-------------W-----FLNKKKIEGDIFYI</f>
        <v>#NAME?</v>
      </c>
    </row>
    <row r="15229" spans="1:1">
      <c r="A15229" t="s">
        <v>51696</v>
      </c>
    </row>
    <row r="15230" spans="1:1">
      <c r="A15230" t="s">
        <v>51697</v>
      </c>
    </row>
    <row r="15231" spans="1:1">
      <c r="A15231" t="e" cm="1">
        <f t="array" ref="A15231">---------------------------------------------------LIQHYAKNN</f>
        <v>#NAME?</v>
      </c>
    </row>
    <row r="15232" spans="1:1">
      <c r="A15232" t="s">
        <v>51698</v>
      </c>
    </row>
    <row r="15233" spans="1:1">
      <c r="A15233" t="s">
        <v>44732</v>
      </c>
    </row>
    <row r="15234" spans="1:1">
      <c r="A15234" t="s">
        <v>51699</v>
      </c>
    </row>
    <row r="15235" spans="1:1">
      <c r="A15235" t="s">
        <v>51700</v>
      </c>
    </row>
    <row r="15236" spans="1:1">
      <c r="A15236" t="s">
        <v>51701</v>
      </c>
    </row>
    <row r="15237" spans="1:1">
      <c r="A15237" t="s">
        <v>41057</v>
      </c>
    </row>
    <row r="15238" spans="1:1">
      <c r="A15238" t="s">
        <v>41057</v>
      </c>
    </row>
    <row r="15239" spans="1:1">
      <c r="A15239" t="s">
        <v>51702</v>
      </c>
    </row>
    <row r="15240" spans="1:1">
      <c r="A15240" t="s">
        <v>51703</v>
      </c>
    </row>
    <row r="15241" spans="1:1">
      <c r="A15241" t="s">
        <v>51704</v>
      </c>
    </row>
    <row r="15242" spans="1:1">
      <c r="A15242" t="e" cm="1">
        <f t="array" ref="A15242">------------------------------------------------------GLNPRK</f>
        <v>#NAME?</v>
      </c>
    </row>
    <row r="15243" spans="1:1">
      <c r="A15243" t="s">
        <v>51705</v>
      </c>
    </row>
    <row r="15244" spans="1:1">
      <c r="A15244" t="s">
        <v>51706</v>
      </c>
    </row>
    <row r="15245" spans="1:1">
      <c r="A15245" t="s">
        <v>51707</v>
      </c>
    </row>
    <row r="15246" spans="1:1">
      <c r="A15246" t="s">
        <v>51708</v>
      </c>
    </row>
    <row r="15247" spans="1:1">
      <c r="A15247" t="s">
        <v>51709</v>
      </c>
    </row>
    <row r="15248" spans="1:1">
      <c r="A15248" t="e" cm="1">
        <f t="array" ref="A15248">---------TDANEEQLALKESIKKN------------RGTATKGNMEIYKADLDILCEY</f>
        <v>#NAME?</v>
      </c>
    </row>
    <row r="15249" spans="1:1">
      <c r="A15249" t="s">
        <v>51710</v>
      </c>
    </row>
    <row r="15250" spans="1:1">
      <c r="A15250" t="s">
        <v>51711</v>
      </c>
    </row>
    <row r="15251" spans="1:1">
      <c r="A15251" t="e" cm="1">
        <f t="array" ref="A15251">-SLLES------------NREEISKDLDKY-S-----HIVLESLMSTKYAKFWVVDK-AV</f>
        <v>#NAME?</v>
      </c>
    </row>
    <row r="15252" spans="1:1">
      <c r="A15252" t="s">
        <v>51712</v>
      </c>
    </row>
    <row r="15253" spans="1:1">
      <c r="A15253" t="s">
        <v>41057</v>
      </c>
    </row>
    <row r="15254" spans="1:1">
      <c r="A15254" t="s">
        <v>41057</v>
      </c>
    </row>
    <row r="15255" spans="1:1">
      <c r="A15255" t="s">
        <v>41057</v>
      </c>
    </row>
    <row r="15256" spans="1:1">
      <c r="A15256" t="s">
        <v>51713</v>
      </c>
    </row>
    <row r="15257" spans="1:1">
      <c r="A15257" t="s">
        <v>51714</v>
      </c>
    </row>
    <row r="15258" spans="1:1">
      <c r="A15258" t="s">
        <v>51715</v>
      </c>
    </row>
    <row r="15259" spans="1:1">
      <c r="A15259" t="e" cm="1">
        <f t="array" ref="A15259">--------------------KKEGQWHSIKS--NVKKYL-KDDHPEL--------YAF-L</f>
        <v>#NAME?</v>
      </c>
    </row>
    <row r="15260" spans="1:1">
      <c r="A15260" t="s">
        <v>51716</v>
      </c>
    </row>
    <row r="15261" spans="1:1">
      <c r="A15261" t="s">
        <v>51717</v>
      </c>
    </row>
    <row r="15262" spans="1:1">
      <c r="A15262" t="e" cm="1">
        <f t="array" ref="A15262">-------------------------------------ISSKKQLAEIVFDHMG-EEPLSF</f>
        <v>#NAME?</v>
      </c>
    </row>
    <row r="15263" spans="1:1">
      <c r="A15263" t="e" cm="1">
        <f t="array" ref="A15263">--TDKGS---PQFNDD----------------FVQHIKEK-Y-KWAKDLYIF---NRLSK</f>
        <v>#NAME?</v>
      </c>
    </row>
    <row r="15264" spans="1:1">
      <c r="A15264" t="s">
        <v>51718</v>
      </c>
    </row>
    <row r="15265" spans="1:1">
      <c r="A15265" t="e" cm="1">
        <f t="array" ref="A15265">-----------------------------------------------------------E</f>
        <v>#NAME?</v>
      </c>
    </row>
    <row r="15266" spans="1:1">
      <c r="A15266" t="s">
        <v>51719</v>
      </c>
    </row>
    <row r="15267" spans="1:1">
      <c r="A15267" t="e" cm="1">
        <f t="array" ref="A15267">-------------------------YKQHGT-------I-------------------SG</f>
        <v>#NAME?</v>
      </c>
    </row>
    <row r="15268" spans="1:1">
      <c r="A15268" t="s">
        <v>51720</v>
      </c>
    </row>
    <row r="15269" spans="1:1">
      <c r="A15269" t="s">
        <v>51721</v>
      </c>
    </row>
    <row r="15270" spans="1:1">
      <c r="A15270" t="s">
        <v>41057</v>
      </c>
    </row>
    <row r="15271" spans="1:1">
      <c r="A15271" t="s">
        <v>47081</v>
      </c>
    </row>
    <row r="15272" spans="1:1">
      <c r="A15272" t="e" cm="1">
        <f t="array" ref="A15272">----G---------HIFIDCDY--------ES------LE--------PHCVHED-SLVI</f>
        <v>#NAME?</v>
      </c>
    </row>
    <row r="15273" spans="1:1">
      <c r="A15273" t="s">
        <v>51722</v>
      </c>
    </row>
    <row r="15274" spans="1:1">
      <c r="A15274" t="s">
        <v>51723</v>
      </c>
    </row>
    <row r="15275" spans="1:1">
      <c r="A15275" t="s">
        <v>41057</v>
      </c>
    </row>
    <row r="15276" spans="1:1">
      <c r="A15276" t="s">
        <v>41057</v>
      </c>
    </row>
    <row r="15277" spans="1:1">
      <c r="A15277" t="e" cm="1">
        <f t="array" ref="A15277">----------CSG-----------------------------------DHKV-YTLNKGW</f>
        <v>#NAME?</v>
      </c>
    </row>
    <row r="15278" spans="1:1">
      <c r="A15278" t="s">
        <v>51724</v>
      </c>
    </row>
    <row r="15279" spans="1:1">
      <c r="A15279" t="s">
        <v>41057</v>
      </c>
    </row>
    <row r="15280" spans="1:1">
      <c r="A15280" t="s">
        <v>51725</v>
      </c>
    </row>
    <row r="15281" spans="1:1">
      <c r="A15281" t="s">
        <v>41057</v>
      </c>
    </row>
    <row r="15282" spans="1:1">
      <c r="A15282" t="s">
        <v>41057</v>
      </c>
    </row>
    <row r="15283" spans="1:1">
      <c r="A15283" t="s">
        <v>41057</v>
      </c>
    </row>
    <row r="15284" spans="1:1">
      <c r="A15284" t="s">
        <v>51726</v>
      </c>
    </row>
    <row r="15285" spans="1:1">
      <c r="A15285" t="s">
        <v>41057</v>
      </c>
    </row>
    <row r="15286" spans="1:1">
      <c r="A15286" t="s">
        <v>41057</v>
      </c>
    </row>
    <row r="15287" spans="1:1">
      <c r="A15287" t="s">
        <v>51727</v>
      </c>
    </row>
    <row r="15288" spans="1:1">
      <c r="A15288" t="e" cm="1">
        <f t="array" ref="A15288">-----------------------------------------PNWCWII--GALLGDGSFG</f>
        <v>#NAME?</v>
      </c>
    </row>
    <row r="15289" spans="1:1">
      <c r="A15289" t="s">
        <v>51728</v>
      </c>
    </row>
    <row r="15290" spans="1:1">
      <c r="A15290" t="s">
        <v>41057</v>
      </c>
    </row>
    <row r="15291" spans="1:1">
      <c r="A15291" t="s">
        <v>41057</v>
      </c>
    </row>
    <row r="15292" spans="1:1">
      <c r="A15292" t="s">
        <v>51729</v>
      </c>
    </row>
    <row r="15293" spans="1:1">
      <c r="A15293" t="s">
        <v>51171</v>
      </c>
    </row>
    <row r="15294" spans="1:1">
      <c r="A15294" t="s">
        <v>51730</v>
      </c>
    </row>
    <row r="15295" spans="1:1">
      <c r="A15295" t="s">
        <v>51731</v>
      </c>
    </row>
    <row r="15296" spans="1:1">
      <c r="A15296" t="s">
        <v>51732</v>
      </c>
    </row>
    <row r="15297" spans="1:1">
      <c r="A15297" t="s">
        <v>51733</v>
      </c>
    </row>
    <row r="15298" spans="1:1">
      <c r="A15298" t="s">
        <v>51734</v>
      </c>
    </row>
    <row r="15299" spans="1:1">
      <c r="A15299" t="s">
        <v>51735</v>
      </c>
    </row>
    <row r="15300" spans="1:1">
      <c r="A15300" t="s">
        <v>51736</v>
      </c>
    </row>
    <row r="15301" spans="1:1">
      <c r="A15301" t="s">
        <v>51737</v>
      </c>
    </row>
    <row r="15302" spans="1:1">
      <c r="A15302" t="s">
        <v>41057</v>
      </c>
    </row>
    <row r="15303" spans="1:1">
      <c r="A15303" t="s">
        <v>41057</v>
      </c>
    </row>
    <row r="15304" spans="1:1">
      <c r="A15304" t="s">
        <v>41057</v>
      </c>
    </row>
    <row r="15305" spans="1:1">
      <c r="A15305" t="s">
        <v>41057</v>
      </c>
    </row>
    <row r="15306" spans="1:1">
      <c r="A15306" t="s">
        <v>41057</v>
      </c>
    </row>
    <row r="15307" spans="1:1">
      <c r="A15307" t="s">
        <v>41057</v>
      </c>
    </row>
    <row r="15308" spans="1:1">
      <c r="A15308" t="s">
        <v>41057</v>
      </c>
    </row>
    <row r="15309" spans="1:1">
      <c r="A15309" t="s">
        <v>51738</v>
      </c>
    </row>
    <row r="15310" spans="1:1">
      <c r="A15310" t="s">
        <v>41057</v>
      </c>
    </row>
    <row r="15311" spans="1:1">
      <c r="A15311" t="s">
        <v>41057</v>
      </c>
    </row>
    <row r="15312" spans="1:1">
      <c r="A15312" t="s">
        <v>41057</v>
      </c>
    </row>
    <row r="15313" spans="1:1">
      <c r="A15313" t="s">
        <v>41057</v>
      </c>
    </row>
    <row r="15314" spans="1:1">
      <c r="A15314" t="s">
        <v>41057</v>
      </c>
    </row>
    <row r="15315" spans="1:1">
      <c r="A15315" t="s">
        <v>51739</v>
      </c>
    </row>
    <row r="15316" spans="1:1">
      <c r="A15316" t="s">
        <v>51740</v>
      </c>
    </row>
    <row r="15317" spans="1:1">
      <c r="A15317" t="s">
        <v>41057</v>
      </c>
    </row>
    <row r="15318" spans="1:1">
      <c r="A15318" t="s">
        <v>41057</v>
      </c>
    </row>
    <row r="15319" spans="1:1">
      <c r="A15319" t="s">
        <v>51741</v>
      </c>
    </row>
    <row r="15320" spans="1:1">
      <c r="A15320" t="s">
        <v>51742</v>
      </c>
    </row>
    <row r="15321" spans="1:1">
      <c r="A15321" t="s">
        <v>41057</v>
      </c>
    </row>
    <row r="15322" spans="1:1">
      <c r="A15322" t="s">
        <v>41057</v>
      </c>
    </row>
    <row r="15323" spans="1:1">
      <c r="A15323" t="s">
        <v>41057</v>
      </c>
    </row>
    <row r="15324" spans="1:1">
      <c r="A15324" t="e" cm="1">
        <f t="array" ref="A15324">--------------------------IGKFKSP-------------------------QA</f>
        <v>#NAME?</v>
      </c>
    </row>
    <row r="15325" spans="1:1">
      <c r="A15325" t="s">
        <v>51743</v>
      </c>
    </row>
    <row r="15326" spans="1:1">
      <c r="A15326" t="s">
        <v>41057</v>
      </c>
    </row>
    <row r="15327" spans="1:1">
      <c r="A15327" t="s">
        <v>41057</v>
      </c>
    </row>
    <row r="15328" spans="1:1">
      <c r="A15328" t="s">
        <v>41057</v>
      </c>
    </row>
    <row r="15329" spans="1:1">
      <c r="A15329" t="s">
        <v>51744</v>
      </c>
    </row>
    <row r="15330" spans="1:1">
      <c r="A15330" t="s">
        <v>41057</v>
      </c>
    </row>
    <row r="15331" spans="1:1">
      <c r="A15331" t="s">
        <v>51745</v>
      </c>
    </row>
    <row r="15332" spans="1:1">
      <c r="A15332" t="e" cm="1">
        <f t="array" ref="A15332">-----------------------------------------------VDSVEHD-----F</f>
        <v>#NAME?</v>
      </c>
    </row>
    <row r="15333" spans="1:1">
      <c r="A15333" t="s">
        <v>45475</v>
      </c>
    </row>
    <row r="15334" spans="1:1">
      <c r="A15334" t="s">
        <v>51746</v>
      </c>
    </row>
    <row r="15335" spans="1:1">
      <c r="A15335" t="e" cm="1">
        <f t="array" ref="A15335">--------------------------------------DLMA----IFKNGYDFYSTIAI</f>
        <v>#NAME?</v>
      </c>
    </row>
    <row r="15336" spans="1:1">
      <c r="A15336" t="s">
        <v>51747</v>
      </c>
    </row>
    <row r="15337" spans="1:1">
      <c r="A15337" t="s">
        <v>51748</v>
      </c>
    </row>
    <row r="15338" spans="1:1">
      <c r="A15338" t="e" cm="1">
        <f t="array" ref="A15338">-----------------------------LDG------NTKVKTRDGTAKLKRI---EVG</f>
        <v>#NAME?</v>
      </c>
    </row>
    <row r="15339" spans="1:1">
      <c r="A15339" t="s">
        <v>51749</v>
      </c>
    </row>
    <row r="15340" spans="1:1">
      <c r="A15340" t="s">
        <v>51750</v>
      </c>
    </row>
    <row r="15341" spans="1:1">
      <c r="A15341" t="s">
        <v>51751</v>
      </c>
    </row>
    <row r="15342" spans="1:1">
      <c r="A15342" t="s">
        <v>51752</v>
      </c>
    </row>
    <row r="15343" spans="1:1">
      <c r="A15343" t="s">
        <v>51753</v>
      </c>
    </row>
    <row r="15344" spans="1:1">
      <c r="A15344" t="e" cm="1">
        <f t="array" ref="A15344">----------------------------ILNEIILDELEVDV--------YDITVENEHN</f>
        <v>#NAME?</v>
      </c>
    </row>
    <row r="15345" spans="1:1">
      <c r="A15345" t="s">
        <v>51754</v>
      </c>
    </row>
    <row r="15346" spans="1:1">
      <c r="A15346" t="s">
        <v>51755</v>
      </c>
    </row>
    <row r="15347" spans="1:1">
      <c r="A15347" t="e" cm="1">
        <f t="array" ref="A15347">---------DAYPELKKW-------------------MKWS-------------NEFAIK</f>
        <v>#NAME?</v>
      </c>
    </row>
    <row r="15348" spans="1:1">
      <c r="A15348" t="s">
        <v>51756</v>
      </c>
    </row>
    <row r="15349" spans="1:1">
      <c r="A15349" t="s">
        <v>51320</v>
      </c>
    </row>
    <row r="15350" spans="1:1">
      <c r="A15350" t="s">
        <v>51757</v>
      </c>
    </row>
    <row r="15351" spans="1:1">
      <c r="A15351" t="s">
        <v>51758</v>
      </c>
    </row>
    <row r="15352" spans="1:1">
      <c r="A15352" t="s">
        <v>41057</v>
      </c>
    </row>
    <row r="15353" spans="1:1">
      <c r="A15353" t="s">
        <v>51759</v>
      </c>
    </row>
    <row r="15354" spans="1:1">
      <c r="A15354" t="s">
        <v>51760</v>
      </c>
    </row>
    <row r="15355" spans="1:1">
      <c r="A15355" t="s">
        <v>51761</v>
      </c>
    </row>
    <row r="15356" spans="1:1">
      <c r="A15356" t="s">
        <v>51762</v>
      </c>
    </row>
    <row r="15357" spans="1:1">
      <c r="A15357" t="s">
        <v>51763</v>
      </c>
    </row>
    <row r="15358" spans="1:1">
      <c r="A15358" t="s">
        <v>51764</v>
      </c>
    </row>
    <row r="15359" spans="1:1">
      <c r="A15359" t="s">
        <v>51765</v>
      </c>
    </row>
    <row r="15360" spans="1:1">
      <c r="A15360" t="s">
        <v>45870</v>
      </c>
    </row>
    <row r="15361" spans="1:1">
      <c r="A15361" t="s">
        <v>45361</v>
      </c>
    </row>
    <row r="15362" spans="1:1">
      <c r="A15362" t="s">
        <v>41057</v>
      </c>
    </row>
    <row r="15363" spans="1:1">
      <c r="A15363" t="s">
        <v>41057</v>
      </c>
    </row>
    <row r="15364" spans="1:1">
      <c r="A15364" t="s">
        <v>41057</v>
      </c>
    </row>
    <row r="15365" spans="1:1">
      <c r="A15365" t="s">
        <v>41057</v>
      </c>
    </row>
    <row r="15366" spans="1:1">
      <c r="A15366" t="s">
        <v>41057</v>
      </c>
    </row>
    <row r="15367" spans="1:1">
      <c r="A15367" t="s">
        <v>41057</v>
      </c>
    </row>
    <row r="15368" spans="1:1">
      <c r="A15368" t="s">
        <v>41057</v>
      </c>
    </row>
    <row r="15369" spans="1:1">
      <c r="A15369" t="s">
        <v>41057</v>
      </c>
    </row>
    <row r="15370" spans="1:1">
      <c r="A15370" t="e" cm="1">
        <f t="array" ref="A15370">----------------------------------------------------------HK</f>
        <v>#NAME?</v>
      </c>
    </row>
    <row r="15371" spans="1:1">
      <c r="A15371" t="e" cm="1">
        <f t="array" ref="A15371">--------------------------------ELISNFIMSD-QKQHVSVVISGH---VD</f>
        <v>#NAME?</v>
      </c>
    </row>
    <row r="15372" spans="1:1">
      <c r="A15372" t="s">
        <v>51766</v>
      </c>
    </row>
    <row r="15373" spans="1:1">
      <c r="A15373" t="s">
        <v>41057</v>
      </c>
    </row>
    <row r="15374" spans="1:1">
      <c r="A15374" t="s">
        <v>51767</v>
      </c>
    </row>
    <row r="15375" spans="1:1">
      <c r="A15375" t="s">
        <v>51768</v>
      </c>
    </row>
    <row r="15376" spans="1:1">
      <c r="A15376" t="s">
        <v>51769</v>
      </c>
    </row>
    <row r="15377" spans="1:1">
      <c r="A15377" t="s">
        <v>51770</v>
      </c>
    </row>
    <row r="15378" spans="1:1">
      <c r="A15378" t="s">
        <v>51771</v>
      </c>
    </row>
    <row r="15379" spans="1:1">
      <c r="A15379" t="s">
        <v>51772</v>
      </c>
    </row>
    <row r="15380" spans="1:1">
      <c r="A15380" t="s">
        <v>51773</v>
      </c>
    </row>
    <row r="15381" spans="1:1">
      <c r="A15381" t="s">
        <v>41057</v>
      </c>
    </row>
    <row r="15382" spans="1:1">
      <c r="A15382" t="s">
        <v>41057</v>
      </c>
    </row>
    <row r="15383" spans="1:1">
      <c r="A15383" t="s">
        <v>41057</v>
      </c>
    </row>
    <row r="15384" spans="1:1">
      <c r="A15384" t="s">
        <v>51774</v>
      </c>
    </row>
    <row r="15385" spans="1:1">
      <c r="A15385" t="s">
        <v>51775</v>
      </c>
    </row>
    <row r="15386" spans="1:1">
      <c r="A15386" t="s">
        <v>51776</v>
      </c>
    </row>
    <row r="15387" spans="1:1">
      <c r="A15387" t="s">
        <v>51777</v>
      </c>
    </row>
    <row r="15388" spans="1:1">
      <c r="A15388" t="s">
        <v>51778</v>
      </c>
    </row>
    <row r="15389" spans="1:1">
      <c r="A15389" t="s">
        <v>41057</v>
      </c>
    </row>
    <row r="15390" spans="1:1">
      <c r="A15390" t="s">
        <v>51779</v>
      </c>
    </row>
    <row r="15391" spans="1:1">
      <c r="A15391" t="s">
        <v>51780</v>
      </c>
    </row>
    <row r="15392" spans="1:1">
      <c r="A15392" t="s">
        <v>41057</v>
      </c>
    </row>
    <row r="15393" spans="1:1">
      <c r="A15393" t="s">
        <v>41057</v>
      </c>
    </row>
    <row r="15394" spans="1:1">
      <c r="A15394" t="s">
        <v>41057</v>
      </c>
    </row>
    <row r="15395" spans="1:1">
      <c r="A15395" t="s">
        <v>51781</v>
      </c>
    </row>
    <row r="15396" spans="1:1">
      <c r="A15396" t="s">
        <v>51782</v>
      </c>
    </row>
    <row r="15397" spans="1:1">
      <c r="A15397" t="s">
        <v>51783</v>
      </c>
    </row>
    <row r="15398" spans="1:1">
      <c r="A15398" t="s">
        <v>41057</v>
      </c>
    </row>
    <row r="15399" spans="1:1">
      <c r="A15399" t="s">
        <v>41057</v>
      </c>
    </row>
    <row r="15400" spans="1:1">
      <c r="A15400" t="e" cm="1">
        <f t="array" ref="A15400">--------------AGLIDSD-------GSYSDGGY------------YEILTKLETLAQ</f>
        <v>#NAME?</v>
      </c>
    </row>
    <row r="15401" spans="1:1">
      <c r="A15401" t="s">
        <v>51784</v>
      </c>
    </row>
    <row r="15402" spans="1:1">
      <c r="A15402" t="s">
        <v>41057</v>
      </c>
    </row>
    <row r="15403" spans="1:1">
      <c r="A15403" t="s">
        <v>41057</v>
      </c>
    </row>
    <row r="15404" spans="1:1">
      <c r="A15404" t="s">
        <v>41057</v>
      </c>
    </row>
    <row r="15405" spans="1:1">
      <c r="A15405" t="e" cm="1">
        <f t="array" ref="A15405">-----------GS---------------------------N-------GSV------TGT</f>
        <v>#NAME?</v>
      </c>
    </row>
    <row r="15406" spans="1:1">
      <c r="A15406" t="s">
        <v>51785</v>
      </c>
    </row>
    <row r="15407" spans="1:1">
      <c r="A15407" t="s">
        <v>41057</v>
      </c>
    </row>
    <row r="15408" spans="1:1">
      <c r="A15408" t="s">
        <v>51786</v>
      </c>
    </row>
    <row r="15409" spans="1:1">
      <c r="A15409" t="s">
        <v>41057</v>
      </c>
    </row>
    <row r="15410" spans="1:1">
      <c r="A15410" t="s">
        <v>41057</v>
      </c>
    </row>
    <row r="15411" spans="1:1">
      <c r="A15411" t="s">
        <v>41057</v>
      </c>
    </row>
    <row r="15412" spans="1:1">
      <c r="A15412" t="s">
        <v>41057</v>
      </c>
    </row>
    <row r="15413" spans="1:1">
      <c r="A15413" t="s">
        <v>41057</v>
      </c>
    </row>
    <row r="15414" spans="1:1">
      <c r="A15414" t="s">
        <v>41057</v>
      </c>
    </row>
    <row r="15415" spans="1:1">
      <c r="A15415" t="s">
        <v>51787</v>
      </c>
    </row>
    <row r="15416" spans="1:1">
      <c r="A15416" t="s">
        <v>51788</v>
      </c>
    </row>
    <row r="15417" spans="1:1">
      <c r="A15417" t="s">
        <v>51789</v>
      </c>
    </row>
    <row r="15418" spans="1:1">
      <c r="A15418" t="s">
        <v>51790</v>
      </c>
    </row>
    <row r="15419" spans="1:1">
      <c r="A15419" t="s">
        <v>41057</v>
      </c>
    </row>
    <row r="15420" spans="1:1">
      <c r="A15420" t="s">
        <v>51791</v>
      </c>
    </row>
    <row r="15421" spans="1:1">
      <c r="A15421" t="s">
        <v>41057</v>
      </c>
    </row>
    <row r="15422" spans="1:1">
      <c r="A15422" t="s">
        <v>51792</v>
      </c>
    </row>
    <row r="15423" spans="1:1">
      <c r="A15423" t="s">
        <v>51793</v>
      </c>
    </row>
    <row r="15424" spans="1:1">
      <c r="A15424" t="s">
        <v>51794</v>
      </c>
    </row>
    <row r="15425" spans="1:1">
      <c r="A15425" t="s">
        <v>51795</v>
      </c>
    </row>
    <row r="15426" spans="1:1">
      <c r="A15426" t="s">
        <v>51796</v>
      </c>
    </row>
    <row r="15427" spans="1:1">
      <c r="A15427" t="s">
        <v>51797</v>
      </c>
    </row>
    <row r="15428" spans="1:1">
      <c r="A15428" t="s">
        <v>51798</v>
      </c>
    </row>
    <row r="15429" spans="1:1">
      <c r="A15429" t="s">
        <v>51799</v>
      </c>
    </row>
    <row r="15430" spans="1:1">
      <c r="A15430" t="s">
        <v>41057</v>
      </c>
    </row>
    <row r="15431" spans="1:1">
      <c r="A15431" t="s">
        <v>51800</v>
      </c>
    </row>
    <row r="15432" spans="1:1">
      <c r="A15432" t="s">
        <v>41057</v>
      </c>
    </row>
    <row r="15433" spans="1:1">
      <c r="A15433" t="s">
        <v>41057</v>
      </c>
    </row>
    <row r="15434" spans="1:1">
      <c r="A15434" t="s">
        <v>41057</v>
      </c>
    </row>
    <row r="15435" spans="1:1">
      <c r="A15435" t="s">
        <v>41057</v>
      </c>
    </row>
    <row r="15436" spans="1:1">
      <c r="A15436" t="s">
        <v>41057</v>
      </c>
    </row>
    <row r="15437" spans="1:1">
      <c r="A15437" t="s">
        <v>51801</v>
      </c>
    </row>
    <row r="15438" spans="1:1">
      <c r="A15438" t="s">
        <v>41057</v>
      </c>
    </row>
    <row r="15439" spans="1:1">
      <c r="A15439" t="s">
        <v>41057</v>
      </c>
    </row>
    <row r="15440" spans="1:1">
      <c r="A15440" t="s">
        <v>41057</v>
      </c>
    </row>
    <row r="15441" spans="1:1">
      <c r="A15441" t="s">
        <v>41057</v>
      </c>
    </row>
    <row r="15442" spans="1:1">
      <c r="A15442" t="s">
        <v>41057</v>
      </c>
    </row>
    <row r="15443" spans="1:1">
      <c r="A15443" t="s">
        <v>51802</v>
      </c>
    </row>
    <row r="15444" spans="1:1">
      <c r="A15444" t="s">
        <v>41057</v>
      </c>
    </row>
    <row r="15445" spans="1:1">
      <c r="A15445" t="s">
        <v>41057</v>
      </c>
    </row>
    <row r="15446" spans="1:1">
      <c r="A15446" t="s">
        <v>41057</v>
      </c>
    </row>
    <row r="15447" spans="1:1">
      <c r="A15447" t="s">
        <v>51803</v>
      </c>
    </row>
    <row r="15448" spans="1:1">
      <c r="A15448" t="s">
        <v>51804</v>
      </c>
    </row>
    <row r="15449" spans="1:1">
      <c r="A15449" t="s">
        <v>41057</v>
      </c>
    </row>
    <row r="15450" spans="1:1">
      <c r="A15450" t="s">
        <v>41057</v>
      </c>
    </row>
    <row r="15451" spans="1:1">
      <c r="A15451" t="s">
        <v>41057</v>
      </c>
    </row>
    <row r="15452" spans="1:1">
      <c r="A15452" t="e" cm="1">
        <f t="array" ref="A15452">---------------------------------------------------------QHA</f>
        <v>#NAME?</v>
      </c>
    </row>
    <row r="15453" spans="1:1">
      <c r="A15453" t="s">
        <v>51805</v>
      </c>
    </row>
    <row r="15454" spans="1:1">
      <c r="A15454" t="s">
        <v>41057</v>
      </c>
    </row>
    <row r="15455" spans="1:1">
      <c r="A15455" t="s">
        <v>41057</v>
      </c>
    </row>
    <row r="15456" spans="1:1">
      <c r="A15456" t="s">
        <v>41057</v>
      </c>
    </row>
    <row r="15457" spans="1:1">
      <c r="A15457" t="s">
        <v>41057</v>
      </c>
    </row>
    <row r="15458" spans="1:1">
      <c r="A15458" t="s">
        <v>41057</v>
      </c>
    </row>
    <row r="15459" spans="1:1">
      <c r="A15459" t="s">
        <v>41057</v>
      </c>
    </row>
    <row r="15460" spans="1:1">
      <c r="A15460" t="e" cm="1">
        <f t="array" ref="A15460">-----------------------GVK----Q--LIVGIN-----KMDCDMAK-------Y</f>
        <v>#NAME?</v>
      </c>
    </row>
    <row r="15461" spans="1:1">
      <c r="A15461" t="s">
        <v>51806</v>
      </c>
    </row>
    <row r="15462" spans="1:1">
      <c r="A15462" t="s">
        <v>51807</v>
      </c>
    </row>
    <row r="15463" spans="1:1">
      <c r="A15463" t="e" cm="1">
        <f t="array" ref="A15463">---------------------------------------VRV----LTQ----------V</f>
        <v>#NAME?</v>
      </c>
    </row>
    <row r="15464" spans="1:1">
      <c r="A15464" t="s">
        <v>51808</v>
      </c>
    </row>
    <row r="15465" spans="1:1">
      <c r="A15465" t="e" cm="1">
        <f t="array" ref="A15465">-------IPYSGFLGENLTKES-DKMPWWK----GVDLTNMGGEKVHV--------HTFV</f>
        <v>#NAME?</v>
      </c>
    </row>
    <row r="15466" spans="1:1">
      <c r="A15466" t="s">
        <v>51809</v>
      </c>
    </row>
    <row r="15467" spans="1:1">
      <c r="A15467" t="s">
        <v>51810</v>
      </c>
    </row>
    <row r="15468" spans="1:1">
      <c r="A15468" t="e" cm="1">
        <f t="array" ref="A15468">-------------------------------TVEM-------------HHKQVEEALSGD</f>
        <v>#NAME?</v>
      </c>
    </row>
    <row r="15469" spans="1:1">
      <c r="A15469" t="s">
        <v>51811</v>
      </c>
    </row>
    <row r="15470" spans="1:1">
      <c r="A15470" t="s">
        <v>51812</v>
      </c>
    </row>
    <row r="15471" spans="1:1">
      <c r="A15471" t="s">
        <v>51813</v>
      </c>
    </row>
    <row r="15472" spans="1:1">
      <c r="A15472" t="s">
        <v>51814</v>
      </c>
    </row>
    <row r="15473" spans="1:1">
      <c r="A15473" t="s">
        <v>51815</v>
      </c>
    </row>
    <row r="15474" spans="1:1">
      <c r="A15474" t="s">
        <v>51816</v>
      </c>
    </row>
    <row r="15475" spans="1:1">
      <c r="A15475" t="s">
        <v>51817</v>
      </c>
    </row>
    <row r="15476" spans="1:1">
      <c r="A15476" t="s">
        <v>51818</v>
      </c>
    </row>
    <row r="15477" spans="1:1">
      <c r="A15477" t="s">
        <v>41057</v>
      </c>
    </row>
    <row r="15478" spans="1:1">
      <c r="A15478" t="s">
        <v>51819</v>
      </c>
    </row>
    <row r="15479" spans="1:1">
      <c r="A15479" t="s">
        <v>51820</v>
      </c>
    </row>
    <row r="15480" spans="1:1">
      <c r="A15480" t="e" cm="1">
        <f t="array" ref="A15480">----------------------------------------------------------LG</f>
        <v>#NAME?</v>
      </c>
    </row>
    <row r="15481" spans="1:1">
      <c r="A15481" t="s">
        <v>51821</v>
      </c>
    </row>
    <row r="15482" spans="1:1">
      <c r="A15482" t="s">
        <v>51822</v>
      </c>
    </row>
    <row r="15483" spans="1:1">
      <c r="A15483" t="s">
        <v>51823</v>
      </c>
    </row>
    <row r="15484" spans="1:1">
      <c r="A15484" t="s">
        <v>51824</v>
      </c>
    </row>
    <row r="15485" spans="1:1">
      <c r="A15485" t="s">
        <v>41057</v>
      </c>
    </row>
    <row r="15486" spans="1:1">
      <c r="A15486" t="s">
        <v>41057</v>
      </c>
    </row>
    <row r="15487" spans="1:1">
      <c r="A15487" t="s">
        <v>41057</v>
      </c>
    </row>
    <row r="15488" spans="1:1">
      <c r="A15488" t="s">
        <v>45870</v>
      </c>
    </row>
    <row r="15489" spans="1:1">
      <c r="A15489" t="s">
        <v>44874</v>
      </c>
    </row>
    <row r="15490" spans="1:1">
      <c r="A15490" t="s">
        <v>41057</v>
      </c>
    </row>
    <row r="15491" spans="1:1">
      <c r="A15491" t="s">
        <v>51825</v>
      </c>
    </row>
    <row r="15492" spans="1:1">
      <c r="A15492" t="s">
        <v>51826</v>
      </c>
    </row>
    <row r="15493" spans="1:1">
      <c r="A15493" t="s">
        <v>41057</v>
      </c>
    </row>
    <row r="15494" spans="1:1">
      <c r="A15494" t="s">
        <v>41057</v>
      </c>
    </row>
    <row r="15495" spans="1:1">
      <c r="A15495" t="s">
        <v>41057</v>
      </c>
    </row>
    <row r="15496" spans="1:1">
      <c r="A15496" t="s">
        <v>41057</v>
      </c>
    </row>
    <row r="15497" spans="1:1">
      <c r="A15497" t="s">
        <v>41057</v>
      </c>
    </row>
    <row r="15498" spans="1:1">
      <c r="A15498" t="s">
        <v>41057</v>
      </c>
    </row>
    <row r="15499" spans="1:1">
      <c r="A15499" t="s">
        <v>51827</v>
      </c>
    </row>
    <row r="15500" spans="1:1">
      <c r="A15500" t="s">
        <v>51828</v>
      </c>
    </row>
    <row r="15501" spans="1:1">
      <c r="A15501" t="s">
        <v>41057</v>
      </c>
    </row>
    <row r="15502" spans="1:1">
      <c r="A15502" t="s">
        <v>41057</v>
      </c>
    </row>
    <row r="15503" spans="1:1">
      <c r="A15503" t="s">
        <v>51829</v>
      </c>
    </row>
    <row r="15504" spans="1:1">
      <c r="A15504" t="s">
        <v>41057</v>
      </c>
    </row>
    <row r="15505" spans="1:1">
      <c r="A15505" t="s">
        <v>51830</v>
      </c>
    </row>
    <row r="15506" spans="1:1">
      <c r="A15506" t="s">
        <v>51831</v>
      </c>
    </row>
    <row r="15507" spans="1:1">
      <c r="A15507" t="s">
        <v>51832</v>
      </c>
    </row>
    <row r="15508" spans="1:1">
      <c r="A15508" t="s">
        <v>51833</v>
      </c>
    </row>
    <row r="15509" spans="1:1">
      <c r="A15509" t="s">
        <v>41057</v>
      </c>
    </row>
    <row r="15510" spans="1:1">
      <c r="A15510" t="s">
        <v>41057</v>
      </c>
    </row>
    <row r="15511" spans="1:1">
      <c r="A15511" t="s">
        <v>51834</v>
      </c>
    </row>
    <row r="15512" spans="1:1">
      <c r="A15512" t="s">
        <v>51835</v>
      </c>
    </row>
    <row r="15513" spans="1:1">
      <c r="A15513" t="s">
        <v>51836</v>
      </c>
    </row>
    <row r="15514" spans="1:1">
      <c r="A15514" t="s">
        <v>51837</v>
      </c>
    </row>
    <row r="15515" spans="1:1">
      <c r="A15515" t="s">
        <v>51838</v>
      </c>
    </row>
    <row r="15516" spans="1:1">
      <c r="A15516" t="e" cm="1">
        <f t="array" ref="A15516">-----------------TNTYHD-----------N------------------------A</f>
        <v>#NAME?</v>
      </c>
    </row>
    <row r="15517" spans="1:1">
      <c r="A15517" t="s">
        <v>51839</v>
      </c>
    </row>
    <row r="15518" spans="1:1">
      <c r="A15518" t="s">
        <v>41057</v>
      </c>
    </row>
    <row r="15519" spans="1:1">
      <c r="A15519" t="s">
        <v>51840</v>
      </c>
    </row>
    <row r="15520" spans="1:1">
      <c r="A15520" t="s">
        <v>51841</v>
      </c>
    </row>
    <row r="15521" spans="1:1">
      <c r="A15521" t="s">
        <v>41057</v>
      </c>
    </row>
    <row r="15522" spans="1:1">
      <c r="A15522" t="s">
        <v>41057</v>
      </c>
    </row>
    <row r="15523" spans="1:1">
      <c r="A15523" t="s">
        <v>51842</v>
      </c>
    </row>
    <row r="15524" spans="1:1">
      <c r="A15524" t="e" cm="1">
        <f t="array" ref="A15524">-------------------------------------FAGDYSLAV-------------G</f>
        <v>#NAME?</v>
      </c>
    </row>
    <row r="15525" spans="1:1">
      <c r="A15525" t="s">
        <v>51843</v>
      </c>
    </row>
    <row r="15526" spans="1:1">
      <c r="A15526" t="s">
        <v>41057</v>
      </c>
    </row>
    <row r="15527" spans="1:1">
      <c r="A15527" t="s">
        <v>51844</v>
      </c>
    </row>
    <row r="15528" spans="1:1">
      <c r="A15528" t="s">
        <v>51845</v>
      </c>
    </row>
    <row r="15529" spans="1:1">
      <c r="A15529" t="s">
        <v>51846</v>
      </c>
    </row>
    <row r="15530" spans="1:1">
      <c r="A15530" t="s">
        <v>51847</v>
      </c>
    </row>
    <row r="15531" spans="1:1">
      <c r="A15531" t="s">
        <v>41057</v>
      </c>
    </row>
    <row r="15532" spans="1:1">
      <c r="A15532" t="s">
        <v>41057</v>
      </c>
    </row>
    <row r="15533" spans="1:1">
      <c r="A15533" t="e" cm="1">
        <f t="array" ref="A15533">----------LAGTWNQQ------------------------------GTIITLNSSTGH</f>
        <v>#NAME?</v>
      </c>
    </row>
    <row r="15534" spans="1:1">
      <c r="A15534" t="s">
        <v>51848</v>
      </c>
    </row>
    <row r="15535" spans="1:1">
      <c r="A15535" t="s">
        <v>41057</v>
      </c>
    </row>
    <row r="15536" spans="1:1">
      <c r="A15536" t="s">
        <v>51849</v>
      </c>
    </row>
    <row r="15537" spans="1:1">
      <c r="A15537" t="s">
        <v>41057</v>
      </c>
    </row>
    <row r="15538" spans="1:1">
      <c r="A15538" t="s">
        <v>41057</v>
      </c>
    </row>
    <row r="15539" spans="1:1">
      <c r="A15539" t="s">
        <v>41057</v>
      </c>
    </row>
    <row r="15540" spans="1:1">
      <c r="A15540" t="s">
        <v>51850</v>
      </c>
    </row>
    <row r="15541" spans="1:1">
      <c r="A15541" t="s">
        <v>41057</v>
      </c>
    </row>
    <row r="15542" spans="1:1">
      <c r="A15542" t="s">
        <v>41057</v>
      </c>
    </row>
    <row r="15543" spans="1:1">
      <c r="A15543" t="e" cm="1">
        <f t="array" ref="A15543">-NKLY--KLAGIK-----------SDIFFAVSLDNDGNIVATGLTA--------SYEGNL</f>
        <v>#NAME?</v>
      </c>
    </row>
    <row r="15544" spans="1:1">
      <c r="A15544" t="s">
        <v>51851</v>
      </c>
    </row>
    <row r="15545" spans="1:1">
      <c r="A15545" t="s">
        <v>51852</v>
      </c>
    </row>
    <row r="15546" spans="1:1">
      <c r="A15546" t="s">
        <v>41057</v>
      </c>
    </row>
    <row r="15547" spans="1:1">
      <c r="A15547" t="s">
        <v>41057</v>
      </c>
    </row>
    <row r="15548" spans="1:1">
      <c r="A15548" t="s">
        <v>51853</v>
      </c>
    </row>
    <row r="15549" spans="1:1">
      <c r="A15549" t="s">
        <v>51854</v>
      </c>
    </row>
    <row r="15550" spans="1:1">
      <c r="A15550" t="s">
        <v>51855</v>
      </c>
    </row>
    <row r="15551" spans="1:1">
      <c r="A15551" t="s">
        <v>51856</v>
      </c>
    </row>
    <row r="15552" spans="1:1">
      <c r="A15552" t="e" cm="1">
        <f t="array" ref="A15552">-NTDNTANITPI-----------------------------------D-----------L</f>
        <v>#NAME?</v>
      </c>
    </row>
    <row r="15553" spans="1:1">
      <c r="A15553" t="e" cm="1">
        <f t="array" ref="A15553">------------------------------------------------------KPTTSL</f>
        <v>#NAME?</v>
      </c>
    </row>
    <row r="15554" spans="1:1">
      <c r="A15554" t="s">
        <v>51857</v>
      </c>
    </row>
    <row r="15555" spans="1:1">
      <c r="A15555" t="s">
        <v>51858</v>
      </c>
    </row>
    <row r="15556" spans="1:1">
      <c r="A15556" t="s">
        <v>51859</v>
      </c>
    </row>
    <row r="15557" spans="1:1">
      <c r="A15557" t="s">
        <v>51860</v>
      </c>
    </row>
    <row r="15558" spans="1:1">
      <c r="A15558" t="s">
        <v>41057</v>
      </c>
    </row>
    <row r="15559" spans="1:1">
      <c r="A15559" t="s">
        <v>51861</v>
      </c>
    </row>
    <row r="15560" spans="1:1">
      <c r="A15560" t="s">
        <v>41057</v>
      </c>
    </row>
    <row r="15561" spans="1:1">
      <c r="A15561" t="s">
        <v>41057</v>
      </c>
    </row>
    <row r="15562" spans="1:1">
      <c r="A15562" t="s">
        <v>41057</v>
      </c>
    </row>
    <row r="15563" spans="1:1">
      <c r="A15563" t="s">
        <v>41057</v>
      </c>
    </row>
    <row r="15564" spans="1:1">
      <c r="A15564" t="s">
        <v>41057</v>
      </c>
    </row>
    <row r="15565" spans="1:1">
      <c r="A15565" t="s">
        <v>51862</v>
      </c>
    </row>
    <row r="15566" spans="1:1">
      <c r="A15566" t="s">
        <v>41057</v>
      </c>
    </row>
    <row r="15567" spans="1:1">
      <c r="A15567" t="s">
        <v>41057</v>
      </c>
    </row>
    <row r="15568" spans="1:1">
      <c r="A15568" t="s">
        <v>41057</v>
      </c>
    </row>
    <row r="15569" spans="1:1">
      <c r="A15569" t="s">
        <v>41057</v>
      </c>
    </row>
    <row r="15570" spans="1:1">
      <c r="A15570" t="s">
        <v>41057</v>
      </c>
    </row>
    <row r="15571" spans="1:1">
      <c r="A15571" t="s">
        <v>51863</v>
      </c>
    </row>
    <row r="15572" spans="1:1">
      <c r="A15572" t="s">
        <v>41057</v>
      </c>
    </row>
    <row r="15573" spans="1:1">
      <c r="A15573" t="s">
        <v>41057</v>
      </c>
    </row>
    <row r="15574" spans="1:1">
      <c r="A15574" t="s">
        <v>41057</v>
      </c>
    </row>
    <row r="15575" spans="1:1">
      <c r="A15575" t="s">
        <v>41057</v>
      </c>
    </row>
    <row r="15576" spans="1:1">
      <c r="A15576" t="s">
        <v>51864</v>
      </c>
    </row>
    <row r="15577" spans="1:1">
      <c r="A15577" t="s">
        <v>51865</v>
      </c>
    </row>
    <row r="15578" spans="1:1">
      <c r="A15578" t="s">
        <v>41057</v>
      </c>
    </row>
    <row r="15579" spans="1:1">
      <c r="A15579" t="s">
        <v>41057</v>
      </c>
    </row>
    <row r="15580" spans="1:1">
      <c r="A15580" t="s">
        <v>51866</v>
      </c>
    </row>
    <row r="15581" spans="1:1">
      <c r="A15581" t="s">
        <v>51867</v>
      </c>
    </row>
    <row r="15582" spans="1:1">
      <c r="A15582" t="s">
        <v>41057</v>
      </c>
    </row>
    <row r="15583" spans="1:1">
      <c r="A15583" t="s">
        <v>41057</v>
      </c>
    </row>
    <row r="15584" spans="1:1">
      <c r="A15584" t="s">
        <v>41057</v>
      </c>
    </row>
    <row r="15585" spans="1:1">
      <c r="A15585" t="s">
        <v>51868</v>
      </c>
    </row>
    <row r="15586" spans="1:1">
      <c r="A15586" t="s">
        <v>51869</v>
      </c>
    </row>
    <row r="15587" spans="1:1">
      <c r="A15587" t="s">
        <v>41057</v>
      </c>
    </row>
    <row r="15588" spans="1:1">
      <c r="A15588" t="e" cm="1">
        <f t="array" ref="A15588">----------------VPSSSPTGLPTNNPTG-MPTS--------GPTSGPT--GEPT-W</f>
        <v>#NAME?</v>
      </c>
    </row>
    <row r="15589" spans="1:1">
      <c r="A15589" t="s">
        <v>51870</v>
      </c>
    </row>
    <row r="15590" spans="1:1">
      <c r="A15590" t="s">
        <v>51871</v>
      </c>
    </row>
    <row r="15591" spans="1:1">
      <c r="A15591" t="s">
        <v>41057</v>
      </c>
    </row>
    <row r="15592" spans="1:1">
      <c r="A15592" t="s">
        <v>51872</v>
      </c>
    </row>
    <row r="15593" spans="1:1">
      <c r="A15593" t="e" cm="1">
        <f t="array" ref="A15593">--------PSS--DHEDASYWS-HWNPFYI--------AAI---------LTGSA----G</f>
        <v>#NAME?</v>
      </c>
    </row>
    <row r="15594" spans="1:1">
      <c r="A15594" t="s">
        <v>51873</v>
      </c>
    </row>
    <row r="15595" spans="1:1">
      <c r="A15595" t="s">
        <v>51874</v>
      </c>
    </row>
    <row r="15596" spans="1:1">
      <c r="A15596" t="s">
        <v>51875</v>
      </c>
    </row>
    <row r="15597" spans="1:1">
      <c r="A15597" t="s">
        <v>41057</v>
      </c>
    </row>
    <row r="15598" spans="1:1">
      <c r="A15598" t="s">
        <v>51876</v>
      </c>
    </row>
    <row r="15599" spans="1:1">
      <c r="A15599" t="e" cm="1">
        <f t="array" ref="A15599">---------QTSEE----P-------------------EENHH--NYSDNPD-------S</f>
        <v>#NAME?</v>
      </c>
    </row>
    <row r="15600" spans="1:1">
      <c r="A15600" t="s">
        <v>51877</v>
      </c>
    </row>
    <row r="15601" spans="1:1">
      <c r="A15601" t="s">
        <v>41057</v>
      </c>
    </row>
    <row r="15602" spans="1:1">
      <c r="A15602" t="s">
        <v>51878</v>
      </c>
    </row>
    <row r="15603" spans="1:1">
      <c r="A15603" t="s">
        <v>51879</v>
      </c>
    </row>
    <row r="15604" spans="1:1">
      <c r="A15604" t="s">
        <v>51880</v>
      </c>
    </row>
    <row r="15605" spans="1:1">
      <c r="A15605" t="s">
        <v>51881</v>
      </c>
    </row>
    <row r="15606" spans="1:1">
      <c r="A15606" t="s">
        <v>51819</v>
      </c>
    </row>
    <row r="15607" spans="1:1">
      <c r="A15607" t="s">
        <v>41057</v>
      </c>
    </row>
    <row r="15608" spans="1:1">
      <c r="A15608" t="s">
        <v>41057</v>
      </c>
    </row>
    <row r="15609" spans="1:1">
      <c r="A15609" t="s">
        <v>41057</v>
      </c>
    </row>
    <row r="15610" spans="1:1">
      <c r="A15610" t="s">
        <v>51882</v>
      </c>
    </row>
    <row r="15611" spans="1:1">
      <c r="A15611" t="s">
        <v>51883</v>
      </c>
    </row>
    <row r="15612" spans="1:1">
      <c r="A15612" t="s">
        <v>41057</v>
      </c>
    </row>
    <row r="15613" spans="1:1">
      <c r="A15613" t="s">
        <v>51884</v>
      </c>
    </row>
    <row r="15614" spans="1:1">
      <c r="A15614" t="s">
        <v>41057</v>
      </c>
    </row>
    <row r="15615" spans="1:1">
      <c r="A15615" t="s">
        <v>41057</v>
      </c>
    </row>
    <row r="15616" spans="1:1">
      <c r="A15616" t="s">
        <v>45870</v>
      </c>
    </row>
    <row r="15617" spans="1:1">
      <c r="A15617" t="s">
        <v>45230</v>
      </c>
    </row>
    <row r="15618" spans="1:1">
      <c r="A15618" t="s">
        <v>41057</v>
      </c>
    </row>
    <row r="15619" spans="1:1">
      <c r="A15619" t="s">
        <v>41057</v>
      </c>
    </row>
    <row r="15620" spans="1:1">
      <c r="A15620" t="s">
        <v>51885</v>
      </c>
    </row>
    <row r="15621" spans="1:1">
      <c r="A15621" t="s">
        <v>41057</v>
      </c>
    </row>
    <row r="15622" spans="1:1">
      <c r="A15622" t="s">
        <v>41057</v>
      </c>
    </row>
    <row r="15623" spans="1:1">
      <c r="A15623" t="s">
        <v>41057</v>
      </c>
    </row>
    <row r="15624" spans="1:1">
      <c r="A15624" t="s">
        <v>41057</v>
      </c>
    </row>
    <row r="15625" spans="1:1">
      <c r="A15625" t="s">
        <v>41057</v>
      </c>
    </row>
    <row r="15626" spans="1:1">
      <c r="A15626" t="s">
        <v>41057</v>
      </c>
    </row>
    <row r="15627" spans="1:1">
      <c r="A15627" t="s">
        <v>51886</v>
      </c>
    </row>
    <row r="15628" spans="1:1">
      <c r="A15628" t="s">
        <v>51887</v>
      </c>
    </row>
    <row r="15629" spans="1:1">
      <c r="A15629" t="s">
        <v>51888</v>
      </c>
    </row>
    <row r="15630" spans="1:1">
      <c r="A15630" t="e" cm="1">
        <f t="array" ref="A15630">-------------------------------------------FAFDSAG-------TTG</f>
        <v>#NAME?</v>
      </c>
    </row>
    <row r="15631" spans="1:1">
      <c r="A15631" t="s">
        <v>51889</v>
      </c>
    </row>
    <row r="15632" spans="1:1">
      <c r="A15632" t="s">
        <v>41057</v>
      </c>
    </row>
    <row r="15633" spans="1:1">
      <c r="A15633" t="s">
        <v>51890</v>
      </c>
    </row>
    <row r="15634" spans="1:1">
      <c r="A15634" t="e" cm="1">
        <f t="array" ref="A15634">---------------F----------QDG----------------AIL-PVT------DD</f>
        <v>#NAME?</v>
      </c>
    </row>
    <row r="15635" spans="1:1">
      <c r="A15635" t="s">
        <v>51891</v>
      </c>
    </row>
    <row r="15636" spans="1:1">
      <c r="A15636" t="s">
        <v>51892</v>
      </c>
    </row>
    <row r="15637" spans="1:1">
      <c r="A15637" t="s">
        <v>41057</v>
      </c>
    </row>
    <row r="15638" spans="1:1">
      <c r="A15638" t="s">
        <v>41057</v>
      </c>
    </row>
    <row r="15639" spans="1:1">
      <c r="A15639" t="s">
        <v>41057</v>
      </c>
    </row>
    <row r="15640" spans="1:1">
      <c r="A15640" t="s">
        <v>51893</v>
      </c>
    </row>
    <row r="15641" spans="1:1">
      <c r="A15641" t="s">
        <v>51894</v>
      </c>
    </row>
    <row r="15642" spans="1:1">
      <c r="A15642" t="s">
        <v>51895</v>
      </c>
    </row>
    <row r="15643" spans="1:1">
      <c r="A15643" t="s">
        <v>51896</v>
      </c>
    </row>
    <row r="15644" spans="1:1">
      <c r="A15644" t="s">
        <v>51897</v>
      </c>
    </row>
    <row r="15645" spans="1:1">
      <c r="A15645" t="s">
        <v>51898</v>
      </c>
    </row>
    <row r="15646" spans="1:1">
      <c r="A15646" t="s">
        <v>51899</v>
      </c>
    </row>
    <row r="15647" spans="1:1">
      <c r="A15647" t="e" cm="1">
        <f t="array" ref="A15647">--NLTGNVTG-NLTGN----------------VTGNITSSGSSTFSGTITVPTPTSSTDA</f>
        <v>#NAME?</v>
      </c>
    </row>
    <row r="15648" spans="1:1">
      <c r="A15648" t="s">
        <v>51900</v>
      </c>
    </row>
    <row r="15649" spans="1:1">
      <c r="A15649" t="s">
        <v>41057</v>
      </c>
    </row>
    <row r="15650" spans="1:1">
      <c r="A15650" t="s">
        <v>41057</v>
      </c>
    </row>
    <row r="15651" spans="1:1">
      <c r="A15651" t="s">
        <v>51901</v>
      </c>
    </row>
    <row r="15652" spans="1:1">
      <c r="A15652" t="e" cm="1">
        <f t="array" ref="A15652">---------------------------------VVSDFAITES----------------G</f>
        <v>#NAME?</v>
      </c>
    </row>
    <row r="15653" spans="1:1">
      <c r="A15653" t="s">
        <v>51902</v>
      </c>
    </row>
    <row r="15654" spans="1:1">
      <c r="A15654" t="s">
        <v>41057</v>
      </c>
    </row>
    <row r="15655" spans="1:1">
      <c r="A15655" t="s">
        <v>46456</v>
      </c>
    </row>
    <row r="15656" spans="1:1">
      <c r="A15656" t="e" cm="1">
        <f t="array" ref="A15656">-----------AGDFSVASIT-----------------LD----GTDVQTLIDNA-SPSF</f>
        <v>#NAME?</v>
      </c>
    </row>
    <row r="15657" spans="1:1">
      <c r="A15657" t="s">
        <v>51903</v>
      </c>
    </row>
    <row r="15658" spans="1:1">
      <c r="A15658" t="s">
        <v>51904</v>
      </c>
    </row>
    <row r="15659" spans="1:1">
      <c r="A15659" t="s">
        <v>41057</v>
      </c>
    </row>
    <row r="15660" spans="1:1">
      <c r="A15660" t="s">
        <v>41057</v>
      </c>
    </row>
    <row r="15661" spans="1:1">
      <c r="A15661" t="e" cm="1">
        <f t="array" ref="A15661">--------------YRD---------------------TGNSNY----GTAV-VGTVTGT</f>
        <v>#NAME?</v>
      </c>
    </row>
    <row r="15662" spans="1:1">
      <c r="A15662" t="s">
        <v>51905</v>
      </c>
    </row>
    <row r="15663" spans="1:1">
      <c r="A15663" t="s">
        <v>41057</v>
      </c>
    </row>
    <row r="15664" spans="1:1">
      <c r="A15664" t="s">
        <v>41057</v>
      </c>
    </row>
    <row r="15665" spans="1:1">
      <c r="A15665" t="s">
        <v>41057</v>
      </c>
    </row>
    <row r="15666" spans="1:1">
      <c r="A15666" t="s">
        <v>41057</v>
      </c>
    </row>
    <row r="15667" spans="1:1">
      <c r="A15667" t="s">
        <v>41057</v>
      </c>
    </row>
    <row r="15668" spans="1:1">
      <c r="A15668" t="s">
        <v>41057</v>
      </c>
    </row>
    <row r="15669" spans="1:1">
      <c r="A15669" t="s">
        <v>41057</v>
      </c>
    </row>
    <row r="15670" spans="1:1">
      <c r="A15670" t="s">
        <v>41057</v>
      </c>
    </row>
    <row r="15671" spans="1:1">
      <c r="A15671" t="s">
        <v>51906</v>
      </c>
    </row>
    <row r="15672" spans="1:1">
      <c r="A15672" t="s">
        <v>51907</v>
      </c>
    </row>
    <row r="15673" spans="1:1">
      <c r="A15673" t="s">
        <v>41057</v>
      </c>
    </row>
    <row r="15674" spans="1:1">
      <c r="A15674" t="s">
        <v>41057</v>
      </c>
    </row>
    <row r="15675" spans="1:1">
      <c r="A15675" t="s">
        <v>41057</v>
      </c>
    </row>
    <row r="15676" spans="1:1">
      <c r="A15676" t="s">
        <v>51908</v>
      </c>
    </row>
    <row r="15677" spans="1:1">
      <c r="A15677" t="s">
        <v>41057</v>
      </c>
    </row>
    <row r="15678" spans="1:1">
      <c r="A15678" t="s">
        <v>51909</v>
      </c>
    </row>
    <row r="15679" spans="1:1">
      <c r="A15679" t="s">
        <v>41057</v>
      </c>
    </row>
    <row r="15680" spans="1:1">
      <c r="A15680" t="s">
        <v>51910</v>
      </c>
    </row>
    <row r="15681" spans="1:1">
      <c r="A15681" t="s">
        <v>41057</v>
      </c>
    </row>
    <row r="15682" spans="1:1">
      <c r="A15682" t="s">
        <v>51911</v>
      </c>
    </row>
    <row r="15683" spans="1:1">
      <c r="A15683" t="s">
        <v>51912</v>
      </c>
    </row>
    <row r="15684" spans="1:1">
      <c r="A15684" t="s">
        <v>41057</v>
      </c>
    </row>
    <row r="15685" spans="1:1">
      <c r="A15685" t="s">
        <v>41057</v>
      </c>
    </row>
    <row r="15686" spans="1:1">
      <c r="A15686" t="s">
        <v>41057</v>
      </c>
    </row>
    <row r="15687" spans="1:1">
      <c r="A15687" t="s">
        <v>41057</v>
      </c>
    </row>
    <row r="15688" spans="1:1">
      <c r="A15688" t="s">
        <v>41057</v>
      </c>
    </row>
    <row r="15689" spans="1:1">
      <c r="A15689" t="s">
        <v>41057</v>
      </c>
    </row>
    <row r="15690" spans="1:1">
      <c r="A15690" t="s">
        <v>41057</v>
      </c>
    </row>
    <row r="15691" spans="1:1">
      <c r="A15691" t="s">
        <v>41057</v>
      </c>
    </row>
    <row r="15692" spans="1:1">
      <c r="A15692" t="s">
        <v>41057</v>
      </c>
    </row>
    <row r="15693" spans="1:1">
      <c r="A15693" t="s">
        <v>51913</v>
      </c>
    </row>
    <row r="15694" spans="1:1">
      <c r="A15694" t="s">
        <v>41057</v>
      </c>
    </row>
    <row r="15695" spans="1:1">
      <c r="A15695" t="s">
        <v>51914</v>
      </c>
    </row>
    <row r="15696" spans="1:1">
      <c r="A15696" t="s">
        <v>41057</v>
      </c>
    </row>
    <row r="15697" spans="1:1">
      <c r="A15697" t="s">
        <v>41057</v>
      </c>
    </row>
    <row r="15698" spans="1:1">
      <c r="A15698" t="s">
        <v>41057</v>
      </c>
    </row>
    <row r="15699" spans="1:1">
      <c r="A15699" t="s">
        <v>51915</v>
      </c>
    </row>
    <row r="15700" spans="1:1">
      <c r="A15700" t="s">
        <v>51916</v>
      </c>
    </row>
    <row r="15701" spans="1:1">
      <c r="A15701" t="s">
        <v>41057</v>
      </c>
    </row>
    <row r="15702" spans="1:1">
      <c r="A15702" t="s">
        <v>41057</v>
      </c>
    </row>
    <row r="15703" spans="1:1">
      <c r="A15703" t="s">
        <v>51917</v>
      </c>
    </row>
    <row r="15704" spans="1:1">
      <c r="A15704" t="s">
        <v>51918</v>
      </c>
    </row>
    <row r="15705" spans="1:1">
      <c r="A15705" t="s">
        <v>41057</v>
      </c>
    </row>
    <row r="15706" spans="1:1">
      <c r="A15706" t="s">
        <v>41057</v>
      </c>
    </row>
    <row r="15707" spans="1:1">
      <c r="A15707" t="s">
        <v>41057</v>
      </c>
    </row>
    <row r="15708" spans="1:1">
      <c r="A15708" t="s">
        <v>41057</v>
      </c>
    </row>
    <row r="15709" spans="1:1">
      <c r="A15709" t="s">
        <v>41057</v>
      </c>
    </row>
    <row r="15710" spans="1:1">
      <c r="A15710" t="s">
        <v>41057</v>
      </c>
    </row>
    <row r="15711" spans="1:1">
      <c r="A15711" t="s">
        <v>41057</v>
      </c>
    </row>
    <row r="15712" spans="1:1">
      <c r="A15712" t="s">
        <v>41057</v>
      </c>
    </row>
    <row r="15713" spans="1:1">
      <c r="A15713" t="s">
        <v>41057</v>
      </c>
    </row>
    <row r="15714" spans="1:1">
      <c r="A15714" t="s">
        <v>41057</v>
      </c>
    </row>
    <row r="15715" spans="1:1">
      <c r="A15715" t="s">
        <v>41057</v>
      </c>
    </row>
    <row r="15716" spans="1:1">
      <c r="A15716" t="e" cm="1">
        <f t="array" ref="A15716">-------------------KFQTGTLTG-AEA-LSIA----------YDSAN--SKPVIF</f>
        <v>#NAME?</v>
      </c>
    </row>
    <row r="15717" spans="1:1">
      <c r="A15717" t="s">
        <v>42470</v>
      </c>
    </row>
    <row r="15718" spans="1:1">
      <c r="A15718" t="s">
        <v>51919</v>
      </c>
    </row>
    <row r="15719" spans="1:1">
      <c r="A15719" t="e" cm="1">
        <f t="array" ref="A15719">----------------------------------------------SIS----------F</f>
        <v>#NAME?</v>
      </c>
    </row>
    <row r="15720" spans="1:1">
      <c r="A15720" t="s">
        <v>51920</v>
      </c>
    </row>
    <row r="15721" spans="1:1">
      <c r="A15721" t="e" cm="1">
        <f t="array" ref="A15721">--------PQS--GKIIITYGKGVFTSANL----------I-------------E----G</f>
        <v>#NAME?</v>
      </c>
    </row>
    <row r="15722" spans="1:1">
      <c r="A15722" t="s">
        <v>51921</v>
      </c>
    </row>
    <row r="15723" spans="1:1">
      <c r="A15723" t="s">
        <v>51922</v>
      </c>
    </row>
    <row r="15724" spans="1:1">
      <c r="A15724" t="s">
        <v>51923</v>
      </c>
    </row>
    <row r="15725" spans="1:1">
      <c r="A15725" t="s">
        <v>41057</v>
      </c>
    </row>
    <row r="15726" spans="1:1">
      <c r="A15726" t="s">
        <v>51924</v>
      </c>
    </row>
    <row r="15727" spans="1:1">
      <c r="A15727" t="e" cm="1">
        <f t="array" ref="A15727">---------------------------------------------AYTDGQT-------A</f>
        <v>#NAME?</v>
      </c>
    </row>
    <row r="15728" spans="1:1">
      <c r="A15728" t="s">
        <v>41057</v>
      </c>
    </row>
    <row r="15729" spans="1:1">
      <c r="A15729" t="s">
        <v>51925</v>
      </c>
    </row>
    <row r="15730" spans="1:1">
      <c r="A15730" t="s">
        <v>51926</v>
      </c>
    </row>
    <row r="15731" spans="1:1">
      <c r="A15731" t="s">
        <v>51927</v>
      </c>
    </row>
    <row r="15732" spans="1:1">
      <c r="A15732" t="s">
        <v>51928</v>
      </c>
    </row>
    <row r="15733" spans="1:1">
      <c r="A15733" t="s">
        <v>41057</v>
      </c>
    </row>
    <row r="15734" spans="1:1">
      <c r="A15734" t="s">
        <v>51929</v>
      </c>
    </row>
    <row r="15735" spans="1:1">
      <c r="A15735" t="s">
        <v>51930</v>
      </c>
    </row>
    <row r="15736" spans="1:1">
      <c r="A15736" t="s">
        <v>41057</v>
      </c>
    </row>
    <row r="15737" spans="1:1">
      <c r="A15737" t="s">
        <v>51931</v>
      </c>
    </row>
    <row r="15738" spans="1:1">
      <c r="A15738" t="s">
        <v>41057</v>
      </c>
    </row>
    <row r="15739" spans="1:1">
      <c r="A15739" t="s">
        <v>41057</v>
      </c>
    </row>
    <row r="15740" spans="1:1">
      <c r="A15740" t="s">
        <v>41057</v>
      </c>
    </row>
    <row r="15741" spans="1:1">
      <c r="A15741" t="s">
        <v>41057</v>
      </c>
    </row>
    <row r="15742" spans="1:1">
      <c r="A15742" t="s">
        <v>41057</v>
      </c>
    </row>
    <row r="15743" spans="1:1">
      <c r="A15743" t="s">
        <v>51932</v>
      </c>
    </row>
    <row r="15744" spans="1:1">
      <c r="A15744" t="s">
        <v>45870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C711F-CED6-3643-B3B1-6AE959F1C4B9}">
  <dimension ref="A1:A1558"/>
  <sheetViews>
    <sheetView workbookViewId="0">
      <selection sqref="A1:XFD1048576"/>
    </sheetView>
  </sheetViews>
  <sheetFormatPr baseColWidth="10" defaultRowHeight="16"/>
  <sheetData>
    <row r="1" spans="1:1">
      <c r="A1" t="s">
        <v>51933</v>
      </c>
    </row>
    <row r="2" spans="1:1">
      <c r="A2" t="s">
        <v>51934</v>
      </c>
    </row>
    <row r="3" spans="1:1">
      <c r="A3" t="s">
        <v>51935</v>
      </c>
    </row>
    <row r="4" spans="1:1">
      <c r="A4" t="s">
        <v>51936</v>
      </c>
    </row>
    <row r="5" spans="1:1">
      <c r="A5" t="s">
        <v>51937</v>
      </c>
    </row>
    <row r="6" spans="1:1">
      <c r="A6" t="s">
        <v>51938</v>
      </c>
    </row>
    <row r="7" spans="1:1">
      <c r="A7" t="s">
        <v>51939</v>
      </c>
    </row>
    <row r="8" spans="1:1">
      <c r="A8" t="s">
        <v>51940</v>
      </c>
    </row>
    <row r="9" spans="1:1">
      <c r="A9" t="s">
        <v>51941</v>
      </c>
    </row>
    <row r="10" spans="1:1">
      <c r="A10" t="s">
        <v>51942</v>
      </c>
    </row>
    <row r="11" spans="1:1">
      <c r="A11" t="s">
        <v>51943</v>
      </c>
    </row>
    <row r="12" spans="1:1">
      <c r="A12" t="s">
        <v>51944</v>
      </c>
    </row>
    <row r="13" spans="1:1">
      <c r="A13" t="s">
        <v>51945</v>
      </c>
    </row>
    <row r="14" spans="1:1">
      <c r="A14" t="s">
        <v>51946</v>
      </c>
    </row>
    <row r="15" spans="1:1">
      <c r="A15" t="s">
        <v>51947</v>
      </c>
    </row>
    <row r="16" spans="1:1">
      <c r="A16" t="s">
        <v>51948</v>
      </c>
    </row>
    <row r="17" spans="1:1">
      <c r="A17" t="s">
        <v>51949</v>
      </c>
    </row>
    <row r="18" spans="1:1">
      <c r="A18" t="s">
        <v>51950</v>
      </c>
    </row>
    <row r="19" spans="1:1">
      <c r="A19" t="s">
        <v>51951</v>
      </c>
    </row>
    <row r="20" spans="1:1">
      <c r="A20" t="s">
        <v>51952</v>
      </c>
    </row>
    <row r="21" spans="1:1">
      <c r="A21" t="s">
        <v>51953</v>
      </c>
    </row>
    <row r="22" spans="1:1">
      <c r="A22" t="s">
        <v>51954</v>
      </c>
    </row>
    <row r="23" spans="1:1">
      <c r="A23" t="s">
        <v>51955</v>
      </c>
    </row>
    <row r="24" spans="1:1">
      <c r="A24" t="s">
        <v>51956</v>
      </c>
    </row>
    <row r="25" spans="1:1">
      <c r="A25" t="s">
        <v>51957</v>
      </c>
    </row>
    <row r="26" spans="1:1">
      <c r="A26" t="s">
        <v>51958</v>
      </c>
    </row>
    <row r="27" spans="1:1">
      <c r="A27" t="s">
        <v>51959</v>
      </c>
    </row>
    <row r="28" spans="1:1">
      <c r="A28" t="s">
        <v>51960</v>
      </c>
    </row>
    <row r="30" spans="1:1">
      <c r="A30" t="s">
        <v>51961</v>
      </c>
    </row>
    <row r="31" spans="1:1">
      <c r="A31" t="s">
        <v>51962</v>
      </c>
    </row>
    <row r="32" spans="1:1">
      <c r="A32" t="s">
        <v>51963</v>
      </c>
    </row>
    <row r="33" spans="1:1">
      <c r="A33" t="s">
        <v>51964</v>
      </c>
    </row>
    <row r="34" spans="1:1">
      <c r="A34" t="s">
        <v>51965</v>
      </c>
    </row>
    <row r="35" spans="1:1">
      <c r="A35" t="s">
        <v>51966</v>
      </c>
    </row>
    <row r="36" spans="1:1">
      <c r="A36" t="s">
        <v>51967</v>
      </c>
    </row>
    <row r="37" spans="1:1">
      <c r="A37" t="s">
        <v>51968</v>
      </c>
    </row>
    <row r="38" spans="1:1">
      <c r="A38" t="s">
        <v>51969</v>
      </c>
    </row>
    <row r="39" spans="1:1">
      <c r="A39" t="s">
        <v>51970</v>
      </c>
    </row>
    <row r="40" spans="1:1">
      <c r="A40" t="s">
        <v>51971</v>
      </c>
    </row>
    <row r="41" spans="1:1">
      <c r="A41" t="s">
        <v>51972</v>
      </c>
    </row>
    <row r="42" spans="1:1">
      <c r="A42" t="s">
        <v>51973</v>
      </c>
    </row>
    <row r="43" spans="1:1">
      <c r="A43" t="s">
        <v>51974</v>
      </c>
    </row>
    <row r="44" spans="1:1">
      <c r="A44" t="s">
        <v>51975</v>
      </c>
    </row>
    <row r="45" spans="1:1">
      <c r="A45" t="s">
        <v>51976</v>
      </c>
    </row>
    <row r="46" spans="1:1">
      <c r="A46" t="s">
        <v>51977</v>
      </c>
    </row>
    <row r="47" spans="1:1">
      <c r="A47" t="s">
        <v>51978</v>
      </c>
    </row>
    <row r="48" spans="1:1">
      <c r="A48" t="s">
        <v>51979</v>
      </c>
    </row>
    <row r="49" spans="1:1">
      <c r="A49" t="s">
        <v>51980</v>
      </c>
    </row>
    <row r="50" spans="1:1">
      <c r="A50" t="s">
        <v>51981</v>
      </c>
    </row>
    <row r="51" spans="1:1">
      <c r="A51" t="s">
        <v>51982</v>
      </c>
    </row>
    <row r="52" spans="1:1">
      <c r="A52" t="s">
        <v>51983</v>
      </c>
    </row>
    <row r="53" spans="1:1">
      <c r="A53" t="s">
        <v>51984</v>
      </c>
    </row>
    <row r="54" spans="1:1">
      <c r="A54" t="s">
        <v>51985</v>
      </c>
    </row>
    <row r="55" spans="1:1">
      <c r="A55" t="s">
        <v>51986</v>
      </c>
    </row>
    <row r="56" spans="1:1">
      <c r="A56" t="s">
        <v>51987</v>
      </c>
    </row>
    <row r="57" spans="1:1">
      <c r="A57" t="s">
        <v>51988</v>
      </c>
    </row>
    <row r="58" spans="1:1">
      <c r="A58" t="s">
        <v>51989</v>
      </c>
    </row>
    <row r="59" spans="1:1">
      <c r="A59" t="s">
        <v>51990</v>
      </c>
    </row>
    <row r="60" spans="1:1">
      <c r="A60" t="s">
        <v>51991</v>
      </c>
    </row>
    <row r="61" spans="1:1">
      <c r="A61" t="s">
        <v>51992</v>
      </c>
    </row>
    <row r="62" spans="1:1">
      <c r="A62" t="s">
        <v>51993</v>
      </c>
    </row>
    <row r="63" spans="1:1">
      <c r="A63" t="s">
        <v>51994</v>
      </c>
    </row>
    <row r="64" spans="1:1">
      <c r="A64" t="s">
        <v>51995</v>
      </c>
    </row>
    <row r="65" spans="1:1">
      <c r="A65" t="s">
        <v>51996</v>
      </c>
    </row>
    <row r="66" spans="1:1">
      <c r="A66" t="s">
        <v>51997</v>
      </c>
    </row>
    <row r="67" spans="1:1">
      <c r="A67" t="s">
        <v>51998</v>
      </c>
    </row>
    <row r="68" spans="1:1">
      <c r="A68" t="s">
        <v>51999</v>
      </c>
    </row>
    <row r="69" spans="1:1">
      <c r="A69" t="s">
        <v>52000</v>
      </c>
    </row>
    <row r="70" spans="1:1">
      <c r="A70" t="s">
        <v>52001</v>
      </c>
    </row>
    <row r="71" spans="1:1">
      <c r="A71" t="s">
        <v>52002</v>
      </c>
    </row>
    <row r="72" spans="1:1">
      <c r="A72" t="s">
        <v>52003</v>
      </c>
    </row>
    <row r="73" spans="1:1">
      <c r="A73" t="s">
        <v>52004</v>
      </c>
    </row>
    <row r="74" spans="1:1">
      <c r="A74" t="s">
        <v>52005</v>
      </c>
    </row>
    <row r="75" spans="1:1">
      <c r="A75" t="s">
        <v>52006</v>
      </c>
    </row>
    <row r="76" spans="1:1">
      <c r="A76" t="s">
        <v>52007</v>
      </c>
    </row>
    <row r="77" spans="1:1">
      <c r="A77" t="s">
        <v>52008</v>
      </c>
    </row>
    <row r="78" spans="1:1">
      <c r="A78" t="s">
        <v>52009</v>
      </c>
    </row>
    <row r="79" spans="1:1">
      <c r="A79" t="s">
        <v>52010</v>
      </c>
    </row>
    <row r="80" spans="1:1">
      <c r="A80" t="s">
        <v>52011</v>
      </c>
    </row>
    <row r="81" spans="1:1">
      <c r="A81" t="s">
        <v>52012</v>
      </c>
    </row>
    <row r="82" spans="1:1">
      <c r="A82" t="s">
        <v>52013</v>
      </c>
    </row>
    <row r="83" spans="1:1">
      <c r="A83" t="s">
        <v>52014</v>
      </c>
    </row>
    <row r="84" spans="1:1">
      <c r="A84" t="s">
        <v>52015</v>
      </c>
    </row>
    <row r="85" spans="1:1">
      <c r="A85" t="s">
        <v>52016</v>
      </c>
    </row>
    <row r="86" spans="1:1">
      <c r="A86" t="s">
        <v>52017</v>
      </c>
    </row>
    <row r="87" spans="1:1">
      <c r="A87" t="s">
        <v>52018</v>
      </c>
    </row>
    <row r="88" spans="1:1">
      <c r="A88" t="s">
        <v>52019</v>
      </c>
    </row>
    <row r="89" spans="1:1">
      <c r="A89" t="s">
        <v>52020</v>
      </c>
    </row>
    <row r="90" spans="1:1">
      <c r="A90" t="s">
        <v>52021</v>
      </c>
    </row>
    <row r="91" spans="1:1">
      <c r="A91" t="s">
        <v>52022</v>
      </c>
    </row>
    <row r="92" spans="1:1">
      <c r="A92" t="s">
        <v>52023</v>
      </c>
    </row>
    <row r="93" spans="1:1">
      <c r="A93" t="s">
        <v>52024</v>
      </c>
    </row>
    <row r="94" spans="1:1">
      <c r="A94" t="s">
        <v>52025</v>
      </c>
    </row>
    <row r="95" spans="1:1">
      <c r="A95" t="s">
        <v>52026</v>
      </c>
    </row>
    <row r="96" spans="1:1">
      <c r="A96" t="s">
        <v>52027</v>
      </c>
    </row>
    <row r="97" spans="1:1">
      <c r="A97" t="s">
        <v>52028</v>
      </c>
    </row>
    <row r="98" spans="1:1">
      <c r="A98" t="s">
        <v>52029</v>
      </c>
    </row>
    <row r="99" spans="1:1">
      <c r="A99" t="s">
        <v>52030</v>
      </c>
    </row>
    <row r="100" spans="1:1">
      <c r="A100" t="s">
        <v>52031</v>
      </c>
    </row>
    <row r="101" spans="1:1">
      <c r="A101" t="s">
        <v>52032</v>
      </c>
    </row>
    <row r="102" spans="1:1">
      <c r="A102" t="s">
        <v>52033</v>
      </c>
    </row>
    <row r="103" spans="1:1">
      <c r="A103" t="s">
        <v>52034</v>
      </c>
    </row>
    <row r="104" spans="1:1">
      <c r="A104" t="s">
        <v>52035</v>
      </c>
    </row>
    <row r="105" spans="1:1">
      <c r="A105" t="s">
        <v>52036</v>
      </c>
    </row>
    <row r="106" spans="1:1">
      <c r="A106" t="s">
        <v>52037</v>
      </c>
    </row>
    <row r="107" spans="1:1">
      <c r="A107" t="s">
        <v>52038</v>
      </c>
    </row>
    <row r="108" spans="1:1">
      <c r="A108" t="s">
        <v>52039</v>
      </c>
    </row>
    <row r="109" spans="1:1">
      <c r="A109" t="s">
        <v>52040</v>
      </c>
    </row>
    <row r="110" spans="1:1">
      <c r="A110" t="s">
        <v>52041</v>
      </c>
    </row>
    <row r="111" spans="1:1">
      <c r="A111" t="s">
        <v>52042</v>
      </c>
    </row>
    <row r="112" spans="1:1">
      <c r="A112" t="s">
        <v>52043</v>
      </c>
    </row>
    <row r="113" spans="1:1">
      <c r="A113" t="s">
        <v>52044</v>
      </c>
    </row>
    <row r="114" spans="1:1">
      <c r="A114" t="s">
        <v>52045</v>
      </c>
    </row>
    <row r="115" spans="1:1">
      <c r="A115" t="s">
        <v>52046</v>
      </c>
    </row>
    <row r="116" spans="1:1">
      <c r="A116" t="s">
        <v>52047</v>
      </c>
    </row>
    <row r="117" spans="1:1">
      <c r="A117" t="s">
        <v>52048</v>
      </c>
    </row>
    <row r="118" spans="1:1">
      <c r="A118" t="s">
        <v>52049</v>
      </c>
    </row>
    <row r="119" spans="1:1">
      <c r="A119" t="s">
        <v>52050</v>
      </c>
    </row>
    <row r="120" spans="1:1">
      <c r="A120" t="s">
        <v>52051</v>
      </c>
    </row>
    <row r="121" spans="1:1">
      <c r="A121" t="s">
        <v>52052</v>
      </c>
    </row>
    <row r="122" spans="1:1">
      <c r="A122" t="s">
        <v>52053</v>
      </c>
    </row>
    <row r="123" spans="1:1">
      <c r="A123" t="s">
        <v>52054</v>
      </c>
    </row>
    <row r="124" spans="1:1">
      <c r="A124" t="s">
        <v>52055</v>
      </c>
    </row>
    <row r="125" spans="1:1">
      <c r="A125" t="s">
        <v>52056</v>
      </c>
    </row>
    <row r="126" spans="1:1">
      <c r="A126" t="s">
        <v>52057</v>
      </c>
    </row>
    <row r="127" spans="1:1">
      <c r="A127" t="s">
        <v>52058</v>
      </c>
    </row>
    <row r="128" spans="1:1">
      <c r="A128" t="s">
        <v>52059</v>
      </c>
    </row>
    <row r="129" spans="1:1">
      <c r="A129" t="s">
        <v>52060</v>
      </c>
    </row>
    <row r="130" spans="1:1">
      <c r="A130" t="s">
        <v>52061</v>
      </c>
    </row>
    <row r="131" spans="1:1">
      <c r="A131" t="s">
        <v>52062</v>
      </c>
    </row>
    <row r="132" spans="1:1">
      <c r="A132" t="s">
        <v>52063</v>
      </c>
    </row>
    <row r="133" spans="1:1">
      <c r="A133" t="s">
        <v>52064</v>
      </c>
    </row>
    <row r="134" spans="1:1">
      <c r="A134" t="s">
        <v>52065</v>
      </c>
    </row>
    <row r="135" spans="1:1">
      <c r="A135" t="s">
        <v>52066</v>
      </c>
    </row>
    <row r="136" spans="1:1">
      <c r="A136" t="s">
        <v>52067</v>
      </c>
    </row>
    <row r="137" spans="1:1">
      <c r="A137" t="s">
        <v>52068</v>
      </c>
    </row>
    <row r="138" spans="1:1">
      <c r="A138" t="s">
        <v>52069</v>
      </c>
    </row>
    <row r="139" spans="1:1">
      <c r="A139" t="s">
        <v>52070</v>
      </c>
    </row>
    <row r="140" spans="1:1">
      <c r="A140" t="s">
        <v>52071</v>
      </c>
    </row>
    <row r="141" spans="1:1">
      <c r="A141" t="s">
        <v>52072</v>
      </c>
    </row>
    <row r="142" spans="1:1">
      <c r="A142" t="s">
        <v>52073</v>
      </c>
    </row>
    <row r="143" spans="1:1">
      <c r="A143" t="s">
        <v>52074</v>
      </c>
    </row>
    <row r="144" spans="1:1">
      <c r="A144" t="s">
        <v>52075</v>
      </c>
    </row>
    <row r="145" spans="1:1">
      <c r="A145" t="s">
        <v>52076</v>
      </c>
    </row>
    <row r="146" spans="1:1">
      <c r="A146" t="s">
        <v>52077</v>
      </c>
    </row>
    <row r="147" spans="1:1">
      <c r="A147" t="s">
        <v>52078</v>
      </c>
    </row>
    <row r="148" spans="1:1">
      <c r="A148" t="s">
        <v>52079</v>
      </c>
    </row>
    <row r="149" spans="1:1">
      <c r="A149" t="s">
        <v>52080</v>
      </c>
    </row>
    <row r="150" spans="1:1">
      <c r="A150" t="s">
        <v>52081</v>
      </c>
    </row>
    <row r="151" spans="1:1">
      <c r="A151" t="s">
        <v>52082</v>
      </c>
    </row>
    <row r="152" spans="1:1">
      <c r="A152" t="s">
        <v>52083</v>
      </c>
    </row>
    <row r="153" spans="1:1">
      <c r="A153" t="s">
        <v>52084</v>
      </c>
    </row>
    <row r="154" spans="1:1">
      <c r="A154" t="s">
        <v>52085</v>
      </c>
    </row>
    <row r="155" spans="1:1">
      <c r="A155" t="s">
        <v>52086</v>
      </c>
    </row>
    <row r="156" spans="1:1">
      <c r="A156" t="s">
        <v>52087</v>
      </c>
    </row>
    <row r="157" spans="1:1">
      <c r="A157" t="s">
        <v>52088</v>
      </c>
    </row>
    <row r="158" spans="1:1">
      <c r="A158" t="s">
        <v>52089</v>
      </c>
    </row>
    <row r="159" spans="1:1">
      <c r="A159" t="s">
        <v>52090</v>
      </c>
    </row>
    <row r="160" spans="1:1">
      <c r="A160" t="s">
        <v>52091</v>
      </c>
    </row>
    <row r="161" spans="1:1">
      <c r="A161" t="s">
        <v>52092</v>
      </c>
    </row>
    <row r="162" spans="1:1">
      <c r="A162" t="s">
        <v>52093</v>
      </c>
    </row>
    <row r="163" spans="1:1">
      <c r="A163" t="s">
        <v>52094</v>
      </c>
    </row>
    <row r="164" spans="1:1">
      <c r="A164" t="s">
        <v>52095</v>
      </c>
    </row>
    <row r="165" spans="1:1">
      <c r="A165" t="s">
        <v>52096</v>
      </c>
    </row>
    <row r="166" spans="1:1">
      <c r="A166" t="s">
        <v>52097</v>
      </c>
    </row>
    <row r="167" spans="1:1">
      <c r="A167" t="s">
        <v>52098</v>
      </c>
    </row>
    <row r="168" spans="1:1">
      <c r="A168" t="s">
        <v>52099</v>
      </c>
    </row>
    <row r="169" spans="1:1">
      <c r="A169" t="s">
        <v>52100</v>
      </c>
    </row>
    <row r="170" spans="1:1">
      <c r="A170" t="s">
        <v>52101</v>
      </c>
    </row>
    <row r="171" spans="1:1">
      <c r="A171" t="s">
        <v>52102</v>
      </c>
    </row>
    <row r="172" spans="1:1">
      <c r="A172" t="s">
        <v>52103</v>
      </c>
    </row>
    <row r="173" spans="1:1">
      <c r="A173" t="s">
        <v>52104</v>
      </c>
    </row>
    <row r="174" spans="1:1">
      <c r="A174" t="s">
        <v>52105</v>
      </c>
    </row>
    <row r="175" spans="1:1">
      <c r="A175" t="s">
        <v>52106</v>
      </c>
    </row>
    <row r="176" spans="1:1">
      <c r="A176" t="s">
        <v>52107</v>
      </c>
    </row>
    <row r="177" spans="1:1">
      <c r="A177" t="s">
        <v>52108</v>
      </c>
    </row>
    <row r="178" spans="1:1">
      <c r="A178" t="s">
        <v>52109</v>
      </c>
    </row>
    <row r="179" spans="1:1">
      <c r="A179" t="s">
        <v>52110</v>
      </c>
    </row>
    <row r="180" spans="1:1">
      <c r="A180" t="s">
        <v>52111</v>
      </c>
    </row>
    <row r="181" spans="1:1">
      <c r="A181" t="s">
        <v>52112</v>
      </c>
    </row>
    <row r="182" spans="1:1">
      <c r="A182" t="s">
        <v>52113</v>
      </c>
    </row>
    <row r="183" spans="1:1">
      <c r="A183" t="s">
        <v>52114</v>
      </c>
    </row>
    <row r="184" spans="1:1">
      <c r="A184" t="s">
        <v>52115</v>
      </c>
    </row>
    <row r="185" spans="1:1">
      <c r="A185" t="s">
        <v>52116</v>
      </c>
    </row>
    <row r="186" spans="1:1">
      <c r="A186" t="s">
        <v>52117</v>
      </c>
    </row>
    <row r="187" spans="1:1">
      <c r="A187" t="s">
        <v>52118</v>
      </c>
    </row>
    <row r="188" spans="1:1">
      <c r="A188" t="s">
        <v>52119</v>
      </c>
    </row>
    <row r="189" spans="1:1">
      <c r="A189" t="s">
        <v>52120</v>
      </c>
    </row>
    <row r="190" spans="1:1">
      <c r="A190" t="s">
        <v>52121</v>
      </c>
    </row>
    <row r="191" spans="1:1">
      <c r="A191" t="s">
        <v>52122</v>
      </c>
    </row>
    <row r="192" spans="1:1">
      <c r="A192" t="s">
        <v>52123</v>
      </c>
    </row>
    <row r="193" spans="1:1">
      <c r="A193" t="s">
        <v>52124</v>
      </c>
    </row>
    <row r="194" spans="1:1">
      <c r="A194" t="s">
        <v>52125</v>
      </c>
    </row>
    <row r="195" spans="1:1">
      <c r="A195" t="s">
        <v>52126</v>
      </c>
    </row>
    <row r="196" spans="1:1">
      <c r="A196" t="s">
        <v>52127</v>
      </c>
    </row>
    <row r="197" spans="1:1">
      <c r="A197" t="s">
        <v>52128</v>
      </c>
    </row>
    <row r="198" spans="1:1">
      <c r="A198" t="s">
        <v>52129</v>
      </c>
    </row>
    <row r="199" spans="1:1">
      <c r="A199" t="s">
        <v>52130</v>
      </c>
    </row>
    <row r="200" spans="1:1">
      <c r="A200" t="s">
        <v>52131</v>
      </c>
    </row>
    <row r="201" spans="1:1">
      <c r="A201" t="s">
        <v>52132</v>
      </c>
    </row>
    <row r="202" spans="1:1">
      <c r="A202" t="s">
        <v>52133</v>
      </c>
    </row>
    <row r="203" spans="1:1">
      <c r="A203" t="s">
        <v>52134</v>
      </c>
    </row>
    <row r="204" spans="1:1">
      <c r="A204" t="s">
        <v>52135</v>
      </c>
    </row>
    <row r="205" spans="1:1">
      <c r="A205" t="s">
        <v>52136</v>
      </c>
    </row>
    <row r="206" spans="1:1">
      <c r="A206" t="s">
        <v>52137</v>
      </c>
    </row>
    <row r="207" spans="1:1">
      <c r="A207" t="s">
        <v>52138</v>
      </c>
    </row>
    <row r="208" spans="1:1">
      <c r="A208" t="s">
        <v>52139</v>
      </c>
    </row>
    <row r="209" spans="1:1">
      <c r="A209" t="s">
        <v>52140</v>
      </c>
    </row>
    <row r="210" spans="1:1">
      <c r="A210" t="s">
        <v>52141</v>
      </c>
    </row>
    <row r="211" spans="1:1">
      <c r="A211" t="s">
        <v>52142</v>
      </c>
    </row>
    <row r="212" spans="1:1">
      <c r="A212" t="s">
        <v>52143</v>
      </c>
    </row>
    <row r="213" spans="1:1">
      <c r="A213" t="s">
        <v>52144</v>
      </c>
    </row>
    <row r="214" spans="1:1">
      <c r="A214" t="s">
        <v>52145</v>
      </c>
    </row>
    <row r="215" spans="1:1">
      <c r="A215" t="s">
        <v>52146</v>
      </c>
    </row>
    <row r="216" spans="1:1">
      <c r="A216" t="s">
        <v>52147</v>
      </c>
    </row>
    <row r="217" spans="1:1">
      <c r="A217" t="s">
        <v>52148</v>
      </c>
    </row>
    <row r="218" spans="1:1">
      <c r="A218" t="s">
        <v>52149</v>
      </c>
    </row>
    <row r="219" spans="1:1">
      <c r="A219" t="s">
        <v>52150</v>
      </c>
    </row>
    <row r="220" spans="1:1">
      <c r="A220" t="s">
        <v>52151</v>
      </c>
    </row>
    <row r="221" spans="1:1">
      <c r="A221" t="s">
        <v>52152</v>
      </c>
    </row>
    <row r="222" spans="1:1">
      <c r="A222" t="s">
        <v>52153</v>
      </c>
    </row>
    <row r="223" spans="1:1">
      <c r="A223" t="s">
        <v>52154</v>
      </c>
    </row>
    <row r="224" spans="1:1">
      <c r="A224" t="s">
        <v>52155</v>
      </c>
    </row>
    <row r="225" spans="1:1">
      <c r="A225" t="s">
        <v>52156</v>
      </c>
    </row>
    <row r="226" spans="1:1">
      <c r="A226" t="s">
        <v>52157</v>
      </c>
    </row>
    <row r="227" spans="1:1">
      <c r="A227" t="s">
        <v>52158</v>
      </c>
    </row>
    <row r="228" spans="1:1">
      <c r="A228" t="s">
        <v>52159</v>
      </c>
    </row>
    <row r="229" spans="1:1">
      <c r="A229" t="s">
        <v>52160</v>
      </c>
    </row>
    <row r="230" spans="1:1">
      <c r="A230" t="s">
        <v>52161</v>
      </c>
    </row>
    <row r="231" spans="1:1">
      <c r="A231" t="s">
        <v>52162</v>
      </c>
    </row>
    <row r="232" spans="1:1">
      <c r="A232" t="s">
        <v>52163</v>
      </c>
    </row>
    <row r="233" spans="1:1">
      <c r="A233" t="s">
        <v>52164</v>
      </c>
    </row>
    <row r="234" spans="1:1">
      <c r="A234" t="s">
        <v>52165</v>
      </c>
    </row>
    <row r="235" spans="1:1">
      <c r="A235" t="s">
        <v>52166</v>
      </c>
    </row>
    <row r="236" spans="1:1">
      <c r="A236" t="s">
        <v>52167</v>
      </c>
    </row>
    <row r="237" spans="1:1">
      <c r="A237" t="s">
        <v>52168</v>
      </c>
    </row>
    <row r="238" spans="1:1">
      <c r="A238" t="s">
        <v>52169</v>
      </c>
    </row>
    <row r="239" spans="1:1">
      <c r="A239" t="s">
        <v>52170</v>
      </c>
    </row>
    <row r="240" spans="1:1">
      <c r="A240" t="s">
        <v>52171</v>
      </c>
    </row>
    <row r="241" spans="1:1">
      <c r="A241" t="s">
        <v>52172</v>
      </c>
    </row>
    <row r="242" spans="1:1">
      <c r="A242" t="s">
        <v>52173</v>
      </c>
    </row>
    <row r="243" spans="1:1">
      <c r="A243" t="s">
        <v>52174</v>
      </c>
    </row>
    <row r="244" spans="1:1">
      <c r="A244" t="s">
        <v>52175</v>
      </c>
    </row>
    <row r="245" spans="1:1">
      <c r="A245" t="s">
        <v>52176</v>
      </c>
    </row>
    <row r="246" spans="1:1">
      <c r="A246" t="s">
        <v>52177</v>
      </c>
    </row>
    <row r="247" spans="1:1">
      <c r="A247" t="s">
        <v>52178</v>
      </c>
    </row>
    <row r="248" spans="1:1">
      <c r="A248" t="s">
        <v>52179</v>
      </c>
    </row>
    <row r="249" spans="1:1">
      <c r="A249" t="s">
        <v>52180</v>
      </c>
    </row>
    <row r="250" spans="1:1">
      <c r="A250" t="s">
        <v>52181</v>
      </c>
    </row>
    <row r="251" spans="1:1">
      <c r="A251" t="s">
        <v>52182</v>
      </c>
    </row>
    <row r="252" spans="1:1">
      <c r="A252" t="s">
        <v>52183</v>
      </c>
    </row>
    <row r="253" spans="1:1">
      <c r="A253" t="s">
        <v>52184</v>
      </c>
    </row>
    <row r="254" spans="1:1">
      <c r="A254" t="s">
        <v>52185</v>
      </c>
    </row>
    <row r="255" spans="1:1">
      <c r="A255" t="s">
        <v>52186</v>
      </c>
    </row>
    <row r="256" spans="1:1">
      <c r="A256" t="s">
        <v>52187</v>
      </c>
    </row>
    <row r="257" spans="1:1">
      <c r="A257" t="s">
        <v>52188</v>
      </c>
    </row>
    <row r="258" spans="1:1">
      <c r="A258" t="s">
        <v>52189</v>
      </c>
    </row>
    <row r="259" spans="1:1">
      <c r="A259" t="s">
        <v>52190</v>
      </c>
    </row>
    <row r="260" spans="1:1">
      <c r="A260" t="s">
        <v>52191</v>
      </c>
    </row>
    <row r="261" spans="1:1">
      <c r="A261" t="s">
        <v>52192</v>
      </c>
    </row>
    <row r="262" spans="1:1">
      <c r="A262" t="s">
        <v>52193</v>
      </c>
    </row>
    <row r="263" spans="1:1">
      <c r="A263" t="s">
        <v>52194</v>
      </c>
    </row>
    <row r="264" spans="1:1">
      <c r="A264" t="s">
        <v>52195</v>
      </c>
    </row>
    <row r="265" spans="1:1">
      <c r="A265" t="s">
        <v>52196</v>
      </c>
    </row>
    <row r="266" spans="1:1">
      <c r="A266" t="s">
        <v>52197</v>
      </c>
    </row>
    <row r="267" spans="1:1">
      <c r="A267" t="s">
        <v>52198</v>
      </c>
    </row>
    <row r="268" spans="1:1">
      <c r="A268" t="s">
        <v>52199</v>
      </c>
    </row>
    <row r="269" spans="1:1">
      <c r="A269" t="s">
        <v>52200</v>
      </c>
    </row>
    <row r="270" spans="1:1">
      <c r="A270" t="s">
        <v>52201</v>
      </c>
    </row>
    <row r="271" spans="1:1">
      <c r="A271" t="s">
        <v>52202</v>
      </c>
    </row>
    <row r="272" spans="1:1">
      <c r="A272" t="s">
        <v>52203</v>
      </c>
    </row>
    <row r="273" spans="1:1">
      <c r="A273" t="s">
        <v>52204</v>
      </c>
    </row>
    <row r="274" spans="1:1">
      <c r="A274" t="s">
        <v>52205</v>
      </c>
    </row>
    <row r="275" spans="1:1">
      <c r="A275" t="s">
        <v>52206</v>
      </c>
    </row>
    <row r="276" spans="1:1">
      <c r="A276" t="s">
        <v>52207</v>
      </c>
    </row>
    <row r="277" spans="1:1">
      <c r="A277" t="s">
        <v>52208</v>
      </c>
    </row>
    <row r="278" spans="1:1">
      <c r="A278" t="s">
        <v>52209</v>
      </c>
    </row>
    <row r="279" spans="1:1">
      <c r="A279" t="s">
        <v>52210</v>
      </c>
    </row>
    <row r="280" spans="1:1">
      <c r="A280" t="s">
        <v>52211</v>
      </c>
    </row>
    <row r="281" spans="1:1">
      <c r="A281" t="s">
        <v>52212</v>
      </c>
    </row>
    <row r="282" spans="1:1">
      <c r="A282" t="s">
        <v>52213</v>
      </c>
    </row>
    <row r="283" spans="1:1">
      <c r="A283" t="s">
        <v>52214</v>
      </c>
    </row>
    <row r="284" spans="1:1">
      <c r="A284" t="s">
        <v>52215</v>
      </c>
    </row>
    <row r="285" spans="1:1">
      <c r="A285" t="s">
        <v>52216</v>
      </c>
    </row>
    <row r="286" spans="1:1">
      <c r="A286" t="s">
        <v>52217</v>
      </c>
    </row>
    <row r="287" spans="1:1">
      <c r="A287" t="s">
        <v>52218</v>
      </c>
    </row>
    <row r="288" spans="1:1">
      <c r="A288" t="s">
        <v>52219</v>
      </c>
    </row>
    <row r="289" spans="1:1">
      <c r="A289" t="s">
        <v>52220</v>
      </c>
    </row>
    <row r="290" spans="1:1">
      <c r="A290" t="s">
        <v>52221</v>
      </c>
    </row>
    <row r="291" spans="1:1">
      <c r="A291" t="s">
        <v>52222</v>
      </c>
    </row>
    <row r="292" spans="1:1">
      <c r="A292" t="s">
        <v>52223</v>
      </c>
    </row>
    <row r="293" spans="1:1">
      <c r="A293" t="s">
        <v>52224</v>
      </c>
    </row>
    <row r="294" spans="1:1">
      <c r="A294" t="s">
        <v>52225</v>
      </c>
    </row>
    <row r="295" spans="1:1">
      <c r="A295" t="s">
        <v>52226</v>
      </c>
    </row>
    <row r="296" spans="1:1">
      <c r="A296" t="s">
        <v>52227</v>
      </c>
    </row>
    <row r="297" spans="1:1">
      <c r="A297" t="s">
        <v>52228</v>
      </c>
    </row>
    <row r="298" spans="1:1">
      <c r="A298" t="s">
        <v>52229</v>
      </c>
    </row>
    <row r="299" spans="1:1">
      <c r="A299" t="s">
        <v>52230</v>
      </c>
    </row>
    <row r="300" spans="1:1">
      <c r="A300" t="s">
        <v>52231</v>
      </c>
    </row>
    <row r="301" spans="1:1">
      <c r="A301" t="s">
        <v>52232</v>
      </c>
    </row>
    <row r="302" spans="1:1">
      <c r="A302" t="s">
        <v>52233</v>
      </c>
    </row>
    <row r="303" spans="1:1">
      <c r="A303" t="s">
        <v>52234</v>
      </c>
    </row>
    <row r="304" spans="1:1">
      <c r="A304" t="s">
        <v>52235</v>
      </c>
    </row>
    <row r="305" spans="1:1">
      <c r="A305" t="s">
        <v>52236</v>
      </c>
    </row>
    <row r="306" spans="1:1">
      <c r="A306" t="s">
        <v>52237</v>
      </c>
    </row>
    <row r="307" spans="1:1">
      <c r="A307" t="s">
        <v>52238</v>
      </c>
    </row>
    <row r="308" spans="1:1">
      <c r="A308" t="s">
        <v>52239</v>
      </c>
    </row>
    <row r="309" spans="1:1">
      <c r="A309" t="s">
        <v>52240</v>
      </c>
    </row>
    <row r="310" spans="1:1">
      <c r="A310" t="s">
        <v>52241</v>
      </c>
    </row>
    <row r="311" spans="1:1">
      <c r="A311" t="s">
        <v>52242</v>
      </c>
    </row>
    <row r="312" spans="1:1">
      <c r="A312" t="s">
        <v>52243</v>
      </c>
    </row>
    <row r="313" spans="1:1">
      <c r="A313" t="s">
        <v>52244</v>
      </c>
    </row>
    <row r="314" spans="1:1">
      <c r="A314" t="s">
        <v>52245</v>
      </c>
    </row>
    <row r="315" spans="1:1">
      <c r="A315" t="s">
        <v>52246</v>
      </c>
    </row>
    <row r="316" spans="1:1">
      <c r="A316" t="s">
        <v>52247</v>
      </c>
    </row>
    <row r="317" spans="1:1">
      <c r="A317" t="s">
        <v>52248</v>
      </c>
    </row>
    <row r="318" spans="1:1">
      <c r="A318" t="s">
        <v>52249</v>
      </c>
    </row>
    <row r="319" spans="1:1">
      <c r="A319" t="s">
        <v>52250</v>
      </c>
    </row>
    <row r="320" spans="1:1">
      <c r="A320" t="s">
        <v>52251</v>
      </c>
    </row>
    <row r="321" spans="1:1">
      <c r="A321" t="s">
        <v>52252</v>
      </c>
    </row>
    <row r="322" spans="1:1">
      <c r="A322" t="s">
        <v>52253</v>
      </c>
    </row>
    <row r="323" spans="1:1">
      <c r="A323" t="s">
        <v>52254</v>
      </c>
    </row>
    <row r="324" spans="1:1">
      <c r="A324" t="s">
        <v>52255</v>
      </c>
    </row>
    <row r="325" spans="1:1">
      <c r="A325" t="s">
        <v>52256</v>
      </c>
    </row>
    <row r="326" spans="1:1">
      <c r="A326" t="s">
        <v>52257</v>
      </c>
    </row>
    <row r="327" spans="1:1">
      <c r="A327" t="s">
        <v>52258</v>
      </c>
    </row>
    <row r="328" spans="1:1">
      <c r="A328" t="s">
        <v>52259</v>
      </c>
    </row>
    <row r="329" spans="1:1">
      <c r="A329" t="s">
        <v>52260</v>
      </c>
    </row>
    <row r="330" spans="1:1">
      <c r="A330" t="s">
        <v>52261</v>
      </c>
    </row>
    <row r="331" spans="1:1">
      <c r="A331" t="s">
        <v>52262</v>
      </c>
    </row>
    <row r="332" spans="1:1">
      <c r="A332" t="s">
        <v>52263</v>
      </c>
    </row>
    <row r="333" spans="1:1">
      <c r="A333" t="s">
        <v>52264</v>
      </c>
    </row>
    <row r="334" spans="1:1">
      <c r="A334" t="s">
        <v>52265</v>
      </c>
    </row>
    <row r="335" spans="1:1">
      <c r="A335" t="s">
        <v>52266</v>
      </c>
    </row>
    <row r="336" spans="1:1">
      <c r="A336" t="s">
        <v>52267</v>
      </c>
    </row>
    <row r="337" spans="1:1">
      <c r="A337" t="s">
        <v>52268</v>
      </c>
    </row>
    <row r="338" spans="1:1">
      <c r="A338" t="s">
        <v>52269</v>
      </c>
    </row>
    <row r="339" spans="1:1">
      <c r="A339" t="s">
        <v>52270</v>
      </c>
    </row>
    <row r="340" spans="1:1">
      <c r="A340" t="s">
        <v>52271</v>
      </c>
    </row>
    <row r="341" spans="1:1">
      <c r="A341" t="s">
        <v>52272</v>
      </c>
    </row>
    <row r="342" spans="1:1">
      <c r="A342" t="s">
        <v>52273</v>
      </c>
    </row>
    <row r="343" spans="1:1">
      <c r="A343" t="s">
        <v>52274</v>
      </c>
    </row>
    <row r="344" spans="1:1">
      <c r="A344" t="s">
        <v>52275</v>
      </c>
    </row>
    <row r="345" spans="1:1">
      <c r="A345" t="s">
        <v>52276</v>
      </c>
    </row>
    <row r="346" spans="1:1">
      <c r="A346" t="s">
        <v>52277</v>
      </c>
    </row>
    <row r="347" spans="1:1">
      <c r="A347" t="s">
        <v>52278</v>
      </c>
    </row>
    <row r="348" spans="1:1">
      <c r="A348" t="s">
        <v>52279</v>
      </c>
    </row>
    <row r="349" spans="1:1">
      <c r="A349" t="s">
        <v>52280</v>
      </c>
    </row>
    <row r="350" spans="1:1">
      <c r="A350" t="s">
        <v>52281</v>
      </c>
    </row>
    <row r="351" spans="1:1">
      <c r="A351" t="s">
        <v>52282</v>
      </c>
    </row>
    <row r="352" spans="1:1">
      <c r="A352" t="s">
        <v>52283</v>
      </c>
    </row>
    <row r="353" spans="1:1">
      <c r="A353" t="s">
        <v>52284</v>
      </c>
    </row>
    <row r="354" spans="1:1">
      <c r="A354" t="s">
        <v>52285</v>
      </c>
    </row>
    <row r="355" spans="1:1">
      <c r="A355" t="s">
        <v>52286</v>
      </c>
    </row>
    <row r="356" spans="1:1">
      <c r="A356" t="s">
        <v>52287</v>
      </c>
    </row>
    <row r="357" spans="1:1">
      <c r="A357" t="s">
        <v>52288</v>
      </c>
    </row>
    <row r="358" spans="1:1">
      <c r="A358" t="s">
        <v>52289</v>
      </c>
    </row>
    <row r="359" spans="1:1">
      <c r="A359" t="s">
        <v>52290</v>
      </c>
    </row>
    <row r="360" spans="1:1">
      <c r="A360" t="s">
        <v>52291</v>
      </c>
    </row>
    <row r="361" spans="1:1">
      <c r="A361" t="s">
        <v>52292</v>
      </c>
    </row>
    <row r="362" spans="1:1">
      <c r="A362" t="s">
        <v>52293</v>
      </c>
    </row>
    <row r="363" spans="1:1">
      <c r="A363" t="s">
        <v>52294</v>
      </c>
    </row>
    <row r="364" spans="1:1">
      <c r="A364" t="s">
        <v>52295</v>
      </c>
    </row>
    <row r="365" spans="1:1">
      <c r="A365" t="s">
        <v>52296</v>
      </c>
    </row>
    <row r="366" spans="1:1">
      <c r="A366" t="s">
        <v>52297</v>
      </c>
    </row>
    <row r="367" spans="1:1">
      <c r="A367" t="s">
        <v>52298</v>
      </c>
    </row>
    <row r="368" spans="1:1">
      <c r="A368" t="s">
        <v>52299</v>
      </c>
    </row>
    <row r="369" spans="1:1">
      <c r="A369" t="s">
        <v>52300</v>
      </c>
    </row>
    <row r="370" spans="1:1">
      <c r="A370" t="s">
        <v>52301</v>
      </c>
    </row>
    <row r="371" spans="1:1">
      <c r="A371" t="s">
        <v>52302</v>
      </c>
    </row>
    <row r="372" spans="1:1">
      <c r="A372" t="s">
        <v>52303</v>
      </c>
    </row>
    <row r="373" spans="1:1">
      <c r="A373" t="s">
        <v>52304</v>
      </c>
    </row>
    <row r="374" spans="1:1">
      <c r="A374" t="s">
        <v>52305</v>
      </c>
    </row>
    <row r="375" spans="1:1">
      <c r="A375" t="s">
        <v>52306</v>
      </c>
    </row>
    <row r="376" spans="1:1">
      <c r="A376" t="s">
        <v>52307</v>
      </c>
    </row>
    <row r="377" spans="1:1">
      <c r="A377" t="s">
        <v>52308</v>
      </c>
    </row>
    <row r="378" spans="1:1">
      <c r="A378" t="s">
        <v>52309</v>
      </c>
    </row>
    <row r="379" spans="1:1">
      <c r="A379" t="s">
        <v>52310</v>
      </c>
    </row>
    <row r="380" spans="1:1">
      <c r="A380" t="s">
        <v>52311</v>
      </c>
    </row>
    <row r="381" spans="1:1">
      <c r="A381" t="s">
        <v>52312</v>
      </c>
    </row>
    <row r="382" spans="1:1">
      <c r="A382" t="s">
        <v>52313</v>
      </c>
    </row>
    <row r="383" spans="1:1">
      <c r="A383" t="s">
        <v>52314</v>
      </c>
    </row>
    <row r="384" spans="1:1">
      <c r="A384" t="s">
        <v>52315</v>
      </c>
    </row>
    <row r="385" spans="1:1">
      <c r="A385" t="s">
        <v>52316</v>
      </c>
    </row>
    <row r="386" spans="1:1">
      <c r="A386" t="s">
        <v>52317</v>
      </c>
    </row>
    <row r="387" spans="1:1">
      <c r="A387" t="s">
        <v>52318</v>
      </c>
    </row>
    <row r="388" spans="1:1">
      <c r="A388" t="s">
        <v>52319</v>
      </c>
    </row>
    <row r="389" spans="1:1">
      <c r="A389" t="s">
        <v>52320</v>
      </c>
    </row>
    <row r="390" spans="1:1">
      <c r="A390" t="s">
        <v>52321</v>
      </c>
    </row>
    <row r="391" spans="1:1">
      <c r="A391" t="s">
        <v>52322</v>
      </c>
    </row>
    <row r="392" spans="1:1">
      <c r="A392" t="s">
        <v>52323</v>
      </c>
    </row>
    <row r="393" spans="1:1">
      <c r="A393" t="s">
        <v>52324</v>
      </c>
    </row>
    <row r="394" spans="1:1">
      <c r="A394" t="s">
        <v>52325</v>
      </c>
    </row>
    <row r="395" spans="1:1">
      <c r="A395" t="s">
        <v>52326</v>
      </c>
    </row>
    <row r="396" spans="1:1">
      <c r="A396" t="s">
        <v>52327</v>
      </c>
    </row>
    <row r="397" spans="1:1">
      <c r="A397" t="s">
        <v>52328</v>
      </c>
    </row>
    <row r="398" spans="1:1">
      <c r="A398" t="s">
        <v>52329</v>
      </c>
    </row>
    <row r="399" spans="1:1">
      <c r="A399" t="s">
        <v>52330</v>
      </c>
    </row>
    <row r="400" spans="1:1">
      <c r="A400" t="s">
        <v>52331</v>
      </c>
    </row>
    <row r="401" spans="1:1">
      <c r="A401" t="s">
        <v>52332</v>
      </c>
    </row>
    <row r="402" spans="1:1">
      <c r="A402" t="s">
        <v>52333</v>
      </c>
    </row>
    <row r="403" spans="1:1">
      <c r="A403" t="s">
        <v>52334</v>
      </c>
    </row>
    <row r="404" spans="1:1">
      <c r="A404" t="s">
        <v>52335</v>
      </c>
    </row>
    <row r="405" spans="1:1">
      <c r="A405" t="s">
        <v>52336</v>
      </c>
    </row>
    <row r="406" spans="1:1">
      <c r="A406" t="s">
        <v>52337</v>
      </c>
    </row>
    <row r="407" spans="1:1">
      <c r="A407" t="s">
        <v>52338</v>
      </c>
    </row>
    <row r="408" spans="1:1">
      <c r="A408" t="s">
        <v>52339</v>
      </c>
    </row>
    <row r="409" spans="1:1">
      <c r="A409" t="s">
        <v>52340</v>
      </c>
    </row>
    <row r="410" spans="1:1">
      <c r="A410" t="s">
        <v>52341</v>
      </c>
    </row>
    <row r="411" spans="1:1">
      <c r="A411" t="s">
        <v>52342</v>
      </c>
    </row>
    <row r="412" spans="1:1">
      <c r="A412" t="s">
        <v>52343</v>
      </c>
    </row>
    <row r="413" spans="1:1">
      <c r="A413" t="s">
        <v>52344</v>
      </c>
    </row>
    <row r="414" spans="1:1">
      <c r="A414" t="s">
        <v>52345</v>
      </c>
    </row>
    <row r="415" spans="1:1">
      <c r="A415" t="s">
        <v>52346</v>
      </c>
    </row>
    <row r="416" spans="1:1">
      <c r="A416" t="s">
        <v>52347</v>
      </c>
    </row>
    <row r="417" spans="1:1">
      <c r="A417" t="s">
        <v>52348</v>
      </c>
    </row>
    <row r="418" spans="1:1">
      <c r="A418" t="s">
        <v>52349</v>
      </c>
    </row>
    <row r="419" spans="1:1">
      <c r="A419" t="s">
        <v>52350</v>
      </c>
    </row>
    <row r="420" spans="1:1">
      <c r="A420" t="s">
        <v>52351</v>
      </c>
    </row>
    <row r="421" spans="1:1">
      <c r="A421" t="s">
        <v>52352</v>
      </c>
    </row>
    <row r="422" spans="1:1">
      <c r="A422" t="s">
        <v>52353</v>
      </c>
    </row>
    <row r="423" spans="1:1">
      <c r="A423" t="s">
        <v>52354</v>
      </c>
    </row>
    <row r="424" spans="1:1">
      <c r="A424" t="s">
        <v>52355</v>
      </c>
    </row>
    <row r="425" spans="1:1">
      <c r="A425" t="s">
        <v>52356</v>
      </c>
    </row>
    <row r="426" spans="1:1">
      <c r="A426" t="s">
        <v>52357</v>
      </c>
    </row>
    <row r="427" spans="1:1">
      <c r="A427" t="s">
        <v>52358</v>
      </c>
    </row>
    <row r="428" spans="1:1">
      <c r="A428" t="s">
        <v>52359</v>
      </c>
    </row>
    <row r="429" spans="1:1">
      <c r="A429" t="s">
        <v>52360</v>
      </c>
    </row>
    <row r="430" spans="1:1">
      <c r="A430" t="s">
        <v>52361</v>
      </c>
    </row>
    <row r="431" spans="1:1">
      <c r="A431" t="s">
        <v>52362</v>
      </c>
    </row>
    <row r="432" spans="1:1">
      <c r="A432" t="s">
        <v>52363</v>
      </c>
    </row>
    <row r="433" spans="1:1">
      <c r="A433" t="s">
        <v>52364</v>
      </c>
    </row>
    <row r="434" spans="1:1">
      <c r="A434" t="s">
        <v>52365</v>
      </c>
    </row>
    <row r="435" spans="1:1">
      <c r="A435" t="s">
        <v>52366</v>
      </c>
    </row>
    <row r="436" spans="1:1">
      <c r="A436" t="s">
        <v>52367</v>
      </c>
    </row>
    <row r="437" spans="1:1">
      <c r="A437" t="s">
        <v>52368</v>
      </c>
    </row>
    <row r="438" spans="1:1">
      <c r="A438" t="s">
        <v>52369</v>
      </c>
    </row>
    <row r="439" spans="1:1">
      <c r="A439" t="s">
        <v>52370</v>
      </c>
    </row>
    <row r="440" spans="1:1">
      <c r="A440" t="s">
        <v>52371</v>
      </c>
    </row>
    <row r="441" spans="1:1">
      <c r="A441" t="s">
        <v>52372</v>
      </c>
    </row>
    <row r="442" spans="1:1">
      <c r="A442" t="s">
        <v>52373</v>
      </c>
    </row>
    <row r="443" spans="1:1">
      <c r="A443" t="s">
        <v>52374</v>
      </c>
    </row>
    <row r="444" spans="1:1">
      <c r="A444" t="s">
        <v>52375</v>
      </c>
    </row>
    <row r="445" spans="1:1">
      <c r="A445" t="s">
        <v>52376</v>
      </c>
    </row>
    <row r="446" spans="1:1">
      <c r="A446" t="s">
        <v>52377</v>
      </c>
    </row>
    <row r="447" spans="1:1">
      <c r="A447" t="s">
        <v>52378</v>
      </c>
    </row>
    <row r="448" spans="1:1">
      <c r="A448" t="s">
        <v>52379</v>
      </c>
    </row>
    <row r="449" spans="1:1">
      <c r="A449" t="s">
        <v>52380</v>
      </c>
    </row>
    <row r="450" spans="1:1">
      <c r="A450" t="s">
        <v>52381</v>
      </c>
    </row>
    <row r="451" spans="1:1">
      <c r="A451" t="s">
        <v>52382</v>
      </c>
    </row>
    <row r="452" spans="1:1">
      <c r="A452" t="s">
        <v>52383</v>
      </c>
    </row>
    <row r="453" spans="1:1">
      <c r="A453" t="s">
        <v>52384</v>
      </c>
    </row>
    <row r="454" spans="1:1">
      <c r="A454" t="s">
        <v>52385</v>
      </c>
    </row>
    <row r="455" spans="1:1">
      <c r="A455" t="s">
        <v>52386</v>
      </c>
    </row>
    <row r="456" spans="1:1">
      <c r="A456" t="s">
        <v>52387</v>
      </c>
    </row>
    <row r="457" spans="1:1">
      <c r="A457" t="s">
        <v>52388</v>
      </c>
    </row>
    <row r="458" spans="1:1">
      <c r="A458" t="s">
        <v>52389</v>
      </c>
    </row>
    <row r="459" spans="1:1">
      <c r="A459" t="s">
        <v>52390</v>
      </c>
    </row>
    <row r="460" spans="1:1">
      <c r="A460" t="s">
        <v>52391</v>
      </c>
    </row>
    <row r="461" spans="1:1">
      <c r="A461" t="s">
        <v>52392</v>
      </c>
    </row>
    <row r="462" spans="1:1">
      <c r="A462" t="s">
        <v>52393</v>
      </c>
    </row>
    <row r="463" spans="1:1">
      <c r="A463" t="s">
        <v>52394</v>
      </c>
    </row>
    <row r="464" spans="1:1">
      <c r="A464" t="s">
        <v>52395</v>
      </c>
    </row>
    <row r="465" spans="1:1">
      <c r="A465" t="s">
        <v>52396</v>
      </c>
    </row>
    <row r="466" spans="1:1">
      <c r="A466" t="s">
        <v>52397</v>
      </c>
    </row>
    <row r="467" spans="1:1">
      <c r="A467" t="s">
        <v>52398</v>
      </c>
    </row>
    <row r="468" spans="1:1">
      <c r="A468" t="s">
        <v>52399</v>
      </c>
    </row>
    <row r="469" spans="1:1">
      <c r="A469" t="s">
        <v>52400</v>
      </c>
    </row>
    <row r="470" spans="1:1">
      <c r="A470" t="s">
        <v>52401</v>
      </c>
    </row>
    <row r="471" spans="1:1">
      <c r="A471" t="s">
        <v>52402</v>
      </c>
    </row>
    <row r="472" spans="1:1">
      <c r="A472" t="s">
        <v>52403</v>
      </c>
    </row>
    <row r="473" spans="1:1">
      <c r="A473" t="s">
        <v>52404</v>
      </c>
    </row>
    <row r="474" spans="1:1">
      <c r="A474" t="s">
        <v>52405</v>
      </c>
    </row>
    <row r="475" spans="1:1">
      <c r="A475" t="s">
        <v>52406</v>
      </c>
    </row>
    <row r="476" spans="1:1">
      <c r="A476" t="s">
        <v>52407</v>
      </c>
    </row>
    <row r="477" spans="1:1">
      <c r="A477" t="s">
        <v>52408</v>
      </c>
    </row>
    <row r="478" spans="1:1">
      <c r="A478" t="s">
        <v>52409</v>
      </c>
    </row>
    <row r="479" spans="1:1">
      <c r="A479" t="s">
        <v>52410</v>
      </c>
    </row>
    <row r="480" spans="1:1">
      <c r="A480" t="s">
        <v>52411</v>
      </c>
    </row>
    <row r="481" spans="1:1">
      <c r="A481" t="s">
        <v>52412</v>
      </c>
    </row>
    <row r="482" spans="1:1">
      <c r="A482" t="s">
        <v>52413</v>
      </c>
    </row>
    <row r="483" spans="1:1">
      <c r="A483" t="s">
        <v>52414</v>
      </c>
    </row>
    <row r="484" spans="1:1">
      <c r="A484" t="s">
        <v>52415</v>
      </c>
    </row>
    <row r="485" spans="1:1">
      <c r="A485" t="s">
        <v>52416</v>
      </c>
    </row>
    <row r="486" spans="1:1">
      <c r="A486" t="s">
        <v>52417</v>
      </c>
    </row>
    <row r="487" spans="1:1">
      <c r="A487" t="s">
        <v>52418</v>
      </c>
    </row>
    <row r="488" spans="1:1">
      <c r="A488" t="s">
        <v>52419</v>
      </c>
    </row>
    <row r="489" spans="1:1">
      <c r="A489" t="s">
        <v>52420</v>
      </c>
    </row>
    <row r="490" spans="1:1">
      <c r="A490" t="s">
        <v>52421</v>
      </c>
    </row>
    <row r="491" spans="1:1">
      <c r="A491" t="s">
        <v>52422</v>
      </c>
    </row>
    <row r="492" spans="1:1">
      <c r="A492" t="s">
        <v>52423</v>
      </c>
    </row>
    <row r="493" spans="1:1">
      <c r="A493" t="s">
        <v>52424</v>
      </c>
    </row>
    <row r="494" spans="1:1">
      <c r="A494" t="s">
        <v>52425</v>
      </c>
    </row>
    <row r="495" spans="1:1">
      <c r="A495" t="s">
        <v>52426</v>
      </c>
    </row>
    <row r="496" spans="1:1">
      <c r="A496" t="s">
        <v>52427</v>
      </c>
    </row>
    <row r="497" spans="1:1">
      <c r="A497" t="s">
        <v>52428</v>
      </c>
    </row>
    <row r="498" spans="1:1">
      <c r="A498" t="s">
        <v>52429</v>
      </c>
    </row>
    <row r="499" spans="1:1">
      <c r="A499" t="s">
        <v>52430</v>
      </c>
    </row>
    <row r="500" spans="1:1">
      <c r="A500" t="s">
        <v>52431</v>
      </c>
    </row>
    <row r="501" spans="1:1">
      <c r="A501" t="s">
        <v>52432</v>
      </c>
    </row>
    <row r="502" spans="1:1">
      <c r="A502" t="s">
        <v>52433</v>
      </c>
    </row>
    <row r="503" spans="1:1">
      <c r="A503" t="s">
        <v>52434</v>
      </c>
    </row>
    <row r="504" spans="1:1">
      <c r="A504" t="s">
        <v>52435</v>
      </c>
    </row>
    <row r="505" spans="1:1">
      <c r="A505" t="s">
        <v>52436</v>
      </c>
    </row>
    <row r="506" spans="1:1">
      <c r="A506" t="s">
        <v>52437</v>
      </c>
    </row>
    <row r="507" spans="1:1">
      <c r="A507" t="s">
        <v>52438</v>
      </c>
    </row>
    <row r="508" spans="1:1">
      <c r="A508" t="s">
        <v>52439</v>
      </c>
    </row>
    <row r="509" spans="1:1">
      <c r="A509" t="s">
        <v>52440</v>
      </c>
    </row>
    <row r="510" spans="1:1">
      <c r="A510" t="s">
        <v>52441</v>
      </c>
    </row>
    <row r="511" spans="1:1">
      <c r="A511" t="s">
        <v>52442</v>
      </c>
    </row>
    <row r="512" spans="1:1">
      <c r="A512" t="s">
        <v>52443</v>
      </c>
    </row>
    <row r="513" spans="1:1">
      <c r="A513" t="s">
        <v>52444</v>
      </c>
    </row>
    <row r="514" spans="1:1">
      <c r="A514" t="s">
        <v>52445</v>
      </c>
    </row>
    <row r="515" spans="1:1">
      <c r="A515" t="s">
        <v>52446</v>
      </c>
    </row>
    <row r="516" spans="1:1">
      <c r="A516" t="s">
        <v>52447</v>
      </c>
    </row>
    <row r="517" spans="1:1">
      <c r="A517" t="s">
        <v>52448</v>
      </c>
    </row>
    <row r="518" spans="1:1">
      <c r="A518" t="s">
        <v>52449</v>
      </c>
    </row>
    <row r="519" spans="1:1">
      <c r="A519" t="s">
        <v>52450</v>
      </c>
    </row>
    <row r="520" spans="1:1">
      <c r="A520" t="s">
        <v>52451</v>
      </c>
    </row>
    <row r="521" spans="1:1">
      <c r="A521" t="s">
        <v>52452</v>
      </c>
    </row>
    <row r="522" spans="1:1">
      <c r="A522" t="s">
        <v>52453</v>
      </c>
    </row>
    <row r="523" spans="1:1">
      <c r="A523" t="s">
        <v>52454</v>
      </c>
    </row>
    <row r="524" spans="1:1">
      <c r="A524" t="s">
        <v>52455</v>
      </c>
    </row>
    <row r="525" spans="1:1">
      <c r="A525" t="s">
        <v>52456</v>
      </c>
    </row>
    <row r="526" spans="1:1">
      <c r="A526" t="s">
        <v>52457</v>
      </c>
    </row>
    <row r="527" spans="1:1">
      <c r="A527" t="s">
        <v>52458</v>
      </c>
    </row>
    <row r="528" spans="1:1">
      <c r="A528" t="s">
        <v>52459</v>
      </c>
    </row>
    <row r="529" spans="1:1">
      <c r="A529" t="s">
        <v>52460</v>
      </c>
    </row>
    <row r="530" spans="1:1">
      <c r="A530" t="s">
        <v>52461</v>
      </c>
    </row>
    <row r="531" spans="1:1">
      <c r="A531" t="s">
        <v>52462</v>
      </c>
    </row>
    <row r="532" spans="1:1">
      <c r="A532" t="s">
        <v>52463</v>
      </c>
    </row>
    <row r="533" spans="1:1">
      <c r="A533" t="s">
        <v>52464</v>
      </c>
    </row>
    <row r="534" spans="1:1">
      <c r="A534" t="s">
        <v>52465</v>
      </c>
    </row>
    <row r="535" spans="1:1">
      <c r="A535" t="s">
        <v>52466</v>
      </c>
    </row>
    <row r="536" spans="1:1">
      <c r="A536" t="s">
        <v>52467</v>
      </c>
    </row>
    <row r="537" spans="1:1">
      <c r="A537" t="s">
        <v>52468</v>
      </c>
    </row>
    <row r="538" spans="1:1">
      <c r="A538" t="s">
        <v>52469</v>
      </c>
    </row>
    <row r="539" spans="1:1">
      <c r="A539" t="s">
        <v>52470</v>
      </c>
    </row>
    <row r="540" spans="1:1">
      <c r="A540" t="s">
        <v>52471</v>
      </c>
    </row>
    <row r="541" spans="1:1">
      <c r="A541" t="s">
        <v>52472</v>
      </c>
    </row>
    <row r="542" spans="1:1">
      <c r="A542" t="s">
        <v>52473</v>
      </c>
    </row>
    <row r="543" spans="1:1">
      <c r="A543" t="s">
        <v>52474</v>
      </c>
    </row>
    <row r="544" spans="1:1">
      <c r="A544" t="s">
        <v>52475</v>
      </c>
    </row>
    <row r="545" spans="1:1">
      <c r="A545" t="s">
        <v>52476</v>
      </c>
    </row>
    <row r="546" spans="1:1">
      <c r="A546" t="s">
        <v>52477</v>
      </c>
    </row>
    <row r="547" spans="1:1">
      <c r="A547" t="s">
        <v>52478</v>
      </c>
    </row>
    <row r="548" spans="1:1">
      <c r="A548" t="s">
        <v>52479</v>
      </c>
    </row>
    <row r="549" spans="1:1">
      <c r="A549" t="s">
        <v>52480</v>
      </c>
    </row>
    <row r="550" spans="1:1">
      <c r="A550" t="s">
        <v>52481</v>
      </c>
    </row>
    <row r="551" spans="1:1">
      <c r="A551" t="s">
        <v>52482</v>
      </c>
    </row>
    <row r="552" spans="1:1">
      <c r="A552" t="s">
        <v>52483</v>
      </c>
    </row>
    <row r="553" spans="1:1">
      <c r="A553" t="s">
        <v>52484</v>
      </c>
    </row>
    <row r="554" spans="1:1">
      <c r="A554" t="s">
        <v>52485</v>
      </c>
    </row>
    <row r="555" spans="1:1">
      <c r="A555" t="s">
        <v>52486</v>
      </c>
    </row>
    <row r="556" spans="1:1">
      <c r="A556" t="s">
        <v>52487</v>
      </c>
    </row>
    <row r="557" spans="1:1">
      <c r="A557" t="s">
        <v>52488</v>
      </c>
    </row>
    <row r="558" spans="1:1">
      <c r="A558" t="s">
        <v>52489</v>
      </c>
    </row>
    <row r="559" spans="1:1">
      <c r="A559" t="s">
        <v>52490</v>
      </c>
    </row>
    <row r="560" spans="1:1">
      <c r="A560" t="s">
        <v>52491</v>
      </c>
    </row>
    <row r="561" spans="1:1">
      <c r="A561" t="s">
        <v>52492</v>
      </c>
    </row>
    <row r="562" spans="1:1">
      <c r="A562" t="s">
        <v>52493</v>
      </c>
    </row>
    <row r="563" spans="1:1">
      <c r="A563" t="s">
        <v>52494</v>
      </c>
    </row>
    <row r="564" spans="1:1">
      <c r="A564" t="s">
        <v>52495</v>
      </c>
    </row>
    <row r="565" spans="1:1">
      <c r="A565" t="s">
        <v>52496</v>
      </c>
    </row>
    <row r="566" spans="1:1">
      <c r="A566" t="s">
        <v>52497</v>
      </c>
    </row>
    <row r="567" spans="1:1">
      <c r="A567" t="s">
        <v>52498</v>
      </c>
    </row>
    <row r="568" spans="1:1">
      <c r="A568" t="s">
        <v>52499</v>
      </c>
    </row>
    <row r="569" spans="1:1">
      <c r="A569" t="s">
        <v>52500</v>
      </c>
    </row>
    <row r="570" spans="1:1">
      <c r="A570" t="s">
        <v>52501</v>
      </c>
    </row>
    <row r="571" spans="1:1">
      <c r="A571" t="s">
        <v>52502</v>
      </c>
    </row>
    <row r="572" spans="1:1">
      <c r="A572" t="s">
        <v>52503</v>
      </c>
    </row>
    <row r="573" spans="1:1">
      <c r="A573" t="s">
        <v>52504</v>
      </c>
    </row>
    <row r="574" spans="1:1">
      <c r="A574" t="s">
        <v>52505</v>
      </c>
    </row>
    <row r="575" spans="1:1">
      <c r="A575" t="s">
        <v>52506</v>
      </c>
    </row>
    <row r="576" spans="1:1">
      <c r="A576" t="s">
        <v>52507</v>
      </c>
    </row>
    <row r="577" spans="1:1">
      <c r="A577" t="s">
        <v>52508</v>
      </c>
    </row>
    <row r="578" spans="1:1">
      <c r="A578" t="s">
        <v>52509</v>
      </c>
    </row>
    <row r="579" spans="1:1">
      <c r="A579" t="s">
        <v>52510</v>
      </c>
    </row>
    <row r="580" spans="1:1">
      <c r="A580" t="s">
        <v>52511</v>
      </c>
    </row>
    <row r="581" spans="1:1">
      <c r="A581" t="s">
        <v>52512</v>
      </c>
    </row>
    <row r="582" spans="1:1">
      <c r="A582" t="s">
        <v>52513</v>
      </c>
    </row>
    <row r="583" spans="1:1">
      <c r="A583" t="s">
        <v>52514</v>
      </c>
    </row>
    <row r="584" spans="1:1">
      <c r="A584" t="s">
        <v>52515</v>
      </c>
    </row>
    <row r="585" spans="1:1">
      <c r="A585" t="s">
        <v>52516</v>
      </c>
    </row>
    <row r="586" spans="1:1">
      <c r="A586" t="s">
        <v>52517</v>
      </c>
    </row>
    <row r="587" spans="1:1">
      <c r="A587" t="s">
        <v>52518</v>
      </c>
    </row>
    <row r="588" spans="1:1">
      <c r="A588" t="s">
        <v>52519</v>
      </c>
    </row>
    <row r="589" spans="1:1">
      <c r="A589" t="s">
        <v>52520</v>
      </c>
    </row>
    <row r="590" spans="1:1">
      <c r="A590" t="s">
        <v>52521</v>
      </c>
    </row>
    <row r="591" spans="1:1">
      <c r="A591" t="s">
        <v>52522</v>
      </c>
    </row>
    <row r="592" spans="1:1">
      <c r="A592" t="s">
        <v>52523</v>
      </c>
    </row>
    <row r="593" spans="1:1">
      <c r="A593" t="s">
        <v>52524</v>
      </c>
    </row>
    <row r="594" spans="1:1">
      <c r="A594" t="s">
        <v>52525</v>
      </c>
    </row>
    <row r="595" spans="1:1">
      <c r="A595" t="s">
        <v>52526</v>
      </c>
    </row>
    <row r="596" spans="1:1">
      <c r="A596" t="s">
        <v>52527</v>
      </c>
    </row>
    <row r="597" spans="1:1">
      <c r="A597" t="s">
        <v>52528</v>
      </c>
    </row>
    <row r="598" spans="1:1">
      <c r="A598" t="s">
        <v>52529</v>
      </c>
    </row>
    <row r="599" spans="1:1">
      <c r="A599" t="s">
        <v>52530</v>
      </c>
    </row>
    <row r="600" spans="1:1">
      <c r="A600" t="s">
        <v>52531</v>
      </c>
    </row>
    <row r="601" spans="1:1">
      <c r="A601" t="s">
        <v>52532</v>
      </c>
    </row>
    <row r="602" spans="1:1">
      <c r="A602" t="s">
        <v>52533</v>
      </c>
    </row>
    <row r="603" spans="1:1">
      <c r="A603" t="s">
        <v>52534</v>
      </c>
    </row>
    <row r="604" spans="1:1">
      <c r="A604" t="s">
        <v>52535</v>
      </c>
    </row>
    <row r="605" spans="1:1">
      <c r="A605" t="s">
        <v>52536</v>
      </c>
    </row>
    <row r="606" spans="1:1">
      <c r="A606" t="s">
        <v>52537</v>
      </c>
    </row>
    <row r="607" spans="1:1">
      <c r="A607" t="s">
        <v>52538</v>
      </c>
    </row>
    <row r="608" spans="1:1">
      <c r="A608" t="s">
        <v>52539</v>
      </c>
    </row>
    <row r="609" spans="1:1">
      <c r="A609" t="s">
        <v>52540</v>
      </c>
    </row>
    <row r="610" spans="1:1">
      <c r="A610" t="s">
        <v>52541</v>
      </c>
    </row>
    <row r="611" spans="1:1">
      <c r="A611" t="s">
        <v>52542</v>
      </c>
    </row>
    <row r="612" spans="1:1">
      <c r="A612" t="s">
        <v>52543</v>
      </c>
    </row>
    <row r="613" spans="1:1">
      <c r="A613" t="s">
        <v>52544</v>
      </c>
    </row>
    <row r="614" spans="1:1">
      <c r="A614" t="s">
        <v>52545</v>
      </c>
    </row>
    <row r="615" spans="1:1">
      <c r="A615" t="s">
        <v>52546</v>
      </c>
    </row>
    <row r="616" spans="1:1">
      <c r="A616" t="s">
        <v>52547</v>
      </c>
    </row>
    <row r="617" spans="1:1">
      <c r="A617" t="s">
        <v>52548</v>
      </c>
    </row>
    <row r="618" spans="1:1">
      <c r="A618" t="s">
        <v>52549</v>
      </c>
    </row>
    <row r="619" spans="1:1">
      <c r="A619" t="s">
        <v>52550</v>
      </c>
    </row>
    <row r="620" spans="1:1">
      <c r="A620" t="s">
        <v>52551</v>
      </c>
    </row>
    <row r="621" spans="1:1">
      <c r="A621" t="s">
        <v>52552</v>
      </c>
    </row>
    <row r="622" spans="1:1">
      <c r="A622" t="s">
        <v>52553</v>
      </c>
    </row>
    <row r="623" spans="1:1">
      <c r="A623" t="s">
        <v>52554</v>
      </c>
    </row>
    <row r="624" spans="1:1">
      <c r="A624" t="s">
        <v>52555</v>
      </c>
    </row>
    <row r="625" spans="1:1">
      <c r="A625" t="s">
        <v>52556</v>
      </c>
    </row>
    <row r="626" spans="1:1">
      <c r="A626" t="s">
        <v>52557</v>
      </c>
    </row>
    <row r="627" spans="1:1">
      <c r="A627" t="s">
        <v>52558</v>
      </c>
    </row>
    <row r="628" spans="1:1">
      <c r="A628" t="s">
        <v>52559</v>
      </c>
    </row>
    <row r="629" spans="1:1">
      <c r="A629" t="s">
        <v>52560</v>
      </c>
    </row>
    <row r="630" spans="1:1">
      <c r="A630" t="s">
        <v>52561</v>
      </c>
    </row>
    <row r="631" spans="1:1">
      <c r="A631" t="s">
        <v>52562</v>
      </c>
    </row>
    <row r="632" spans="1:1">
      <c r="A632" t="s">
        <v>52563</v>
      </c>
    </row>
    <row r="633" spans="1:1">
      <c r="A633" t="s">
        <v>52564</v>
      </c>
    </row>
    <row r="634" spans="1:1">
      <c r="A634" t="s">
        <v>52565</v>
      </c>
    </row>
    <row r="635" spans="1:1">
      <c r="A635" t="s">
        <v>52566</v>
      </c>
    </row>
    <row r="636" spans="1:1">
      <c r="A636" t="s">
        <v>52567</v>
      </c>
    </row>
    <row r="637" spans="1:1">
      <c r="A637" t="s">
        <v>52568</v>
      </c>
    </row>
    <row r="638" spans="1:1">
      <c r="A638" t="s">
        <v>52569</v>
      </c>
    </row>
    <row r="639" spans="1:1">
      <c r="A639" t="s">
        <v>52570</v>
      </c>
    </row>
    <row r="640" spans="1:1">
      <c r="A640" t="s">
        <v>52571</v>
      </c>
    </row>
    <row r="641" spans="1:1">
      <c r="A641" t="s">
        <v>52572</v>
      </c>
    </row>
    <row r="642" spans="1:1">
      <c r="A642" t="s">
        <v>52573</v>
      </c>
    </row>
    <row r="643" spans="1:1">
      <c r="A643" t="s">
        <v>52574</v>
      </c>
    </row>
    <row r="644" spans="1:1">
      <c r="A644" t="s">
        <v>52575</v>
      </c>
    </row>
    <row r="645" spans="1:1">
      <c r="A645" t="s">
        <v>52576</v>
      </c>
    </row>
    <row r="646" spans="1:1">
      <c r="A646" t="s">
        <v>52577</v>
      </c>
    </row>
    <row r="647" spans="1:1">
      <c r="A647" t="s">
        <v>52578</v>
      </c>
    </row>
    <row r="648" spans="1:1">
      <c r="A648" t="s">
        <v>52579</v>
      </c>
    </row>
    <row r="649" spans="1:1">
      <c r="A649" t="s">
        <v>52580</v>
      </c>
    </row>
    <row r="650" spans="1:1">
      <c r="A650" t="s">
        <v>52581</v>
      </c>
    </row>
    <row r="651" spans="1:1">
      <c r="A651" t="s">
        <v>52582</v>
      </c>
    </row>
    <row r="652" spans="1:1">
      <c r="A652" t="s">
        <v>52583</v>
      </c>
    </row>
    <row r="653" spans="1:1">
      <c r="A653" t="s">
        <v>52584</v>
      </c>
    </row>
    <row r="654" spans="1:1">
      <c r="A654" t="s">
        <v>52585</v>
      </c>
    </row>
    <row r="655" spans="1:1">
      <c r="A655" t="s">
        <v>52586</v>
      </c>
    </row>
    <row r="656" spans="1:1">
      <c r="A656" t="s">
        <v>52587</v>
      </c>
    </row>
    <row r="657" spans="1:1">
      <c r="A657" t="s">
        <v>52588</v>
      </c>
    </row>
    <row r="658" spans="1:1">
      <c r="A658" t="s">
        <v>52589</v>
      </c>
    </row>
    <row r="659" spans="1:1">
      <c r="A659" t="s">
        <v>52590</v>
      </c>
    </row>
    <row r="660" spans="1:1">
      <c r="A660" t="s">
        <v>52591</v>
      </c>
    </row>
    <row r="661" spans="1:1">
      <c r="A661" t="s">
        <v>52592</v>
      </c>
    </row>
    <row r="662" spans="1:1">
      <c r="A662" t="s">
        <v>52593</v>
      </c>
    </row>
    <row r="663" spans="1:1">
      <c r="A663" t="s">
        <v>52594</v>
      </c>
    </row>
    <row r="664" spans="1:1">
      <c r="A664" t="s">
        <v>52595</v>
      </c>
    </row>
    <row r="665" spans="1:1">
      <c r="A665" t="s">
        <v>52596</v>
      </c>
    </row>
    <row r="666" spans="1:1">
      <c r="A666" t="s">
        <v>52597</v>
      </c>
    </row>
    <row r="667" spans="1:1">
      <c r="A667" t="s">
        <v>52598</v>
      </c>
    </row>
    <row r="668" spans="1:1">
      <c r="A668" t="s">
        <v>52599</v>
      </c>
    </row>
    <row r="669" spans="1:1">
      <c r="A669" t="s">
        <v>52600</v>
      </c>
    </row>
    <row r="670" spans="1:1">
      <c r="A670" t="s">
        <v>52601</v>
      </c>
    </row>
    <row r="671" spans="1:1">
      <c r="A671" t="s">
        <v>52602</v>
      </c>
    </row>
    <row r="672" spans="1:1">
      <c r="A672" t="s">
        <v>52603</v>
      </c>
    </row>
    <row r="673" spans="1:1">
      <c r="A673" t="s">
        <v>52604</v>
      </c>
    </row>
    <row r="674" spans="1:1">
      <c r="A674" t="s">
        <v>52605</v>
      </c>
    </row>
    <row r="675" spans="1:1">
      <c r="A675" t="s">
        <v>52606</v>
      </c>
    </row>
    <row r="676" spans="1:1">
      <c r="A676" t="s">
        <v>52607</v>
      </c>
    </row>
    <row r="677" spans="1:1">
      <c r="A677" t="s">
        <v>52608</v>
      </c>
    </row>
    <row r="678" spans="1:1">
      <c r="A678" t="s">
        <v>52609</v>
      </c>
    </row>
    <row r="679" spans="1:1">
      <c r="A679" t="s">
        <v>52610</v>
      </c>
    </row>
    <row r="680" spans="1:1">
      <c r="A680" t="s">
        <v>52611</v>
      </c>
    </row>
    <row r="681" spans="1:1">
      <c r="A681" t="s">
        <v>52612</v>
      </c>
    </row>
    <row r="682" spans="1:1">
      <c r="A682" t="s">
        <v>52613</v>
      </c>
    </row>
    <row r="683" spans="1:1">
      <c r="A683" t="s">
        <v>52614</v>
      </c>
    </row>
    <row r="684" spans="1:1">
      <c r="A684" t="s">
        <v>52615</v>
      </c>
    </row>
    <row r="685" spans="1:1">
      <c r="A685" t="s">
        <v>52616</v>
      </c>
    </row>
    <row r="686" spans="1:1">
      <c r="A686" t="s">
        <v>52617</v>
      </c>
    </row>
    <row r="687" spans="1:1">
      <c r="A687" t="s">
        <v>52618</v>
      </c>
    </row>
    <row r="688" spans="1:1">
      <c r="A688" t="s">
        <v>52619</v>
      </c>
    </row>
    <row r="689" spans="1:1">
      <c r="A689" t="s">
        <v>52620</v>
      </c>
    </row>
    <row r="690" spans="1:1">
      <c r="A690" t="s">
        <v>52621</v>
      </c>
    </row>
    <row r="691" spans="1:1">
      <c r="A691" t="s">
        <v>52622</v>
      </c>
    </row>
    <row r="692" spans="1:1">
      <c r="A692" t="s">
        <v>52623</v>
      </c>
    </row>
    <row r="693" spans="1:1">
      <c r="A693" t="s">
        <v>52624</v>
      </c>
    </row>
    <row r="694" spans="1:1">
      <c r="A694" t="s">
        <v>52625</v>
      </c>
    </row>
    <row r="695" spans="1:1">
      <c r="A695" t="s">
        <v>52626</v>
      </c>
    </row>
    <row r="696" spans="1:1">
      <c r="A696" t="s">
        <v>52627</v>
      </c>
    </row>
    <row r="697" spans="1:1">
      <c r="A697" t="s">
        <v>52628</v>
      </c>
    </row>
    <row r="698" spans="1:1">
      <c r="A698" t="s">
        <v>52629</v>
      </c>
    </row>
    <row r="699" spans="1:1">
      <c r="A699" t="s">
        <v>52630</v>
      </c>
    </row>
    <row r="700" spans="1:1">
      <c r="A700" t="s">
        <v>52631</v>
      </c>
    </row>
    <row r="701" spans="1:1">
      <c r="A701" t="s">
        <v>52632</v>
      </c>
    </row>
    <row r="702" spans="1:1">
      <c r="A702" t="s">
        <v>52633</v>
      </c>
    </row>
    <row r="703" spans="1:1">
      <c r="A703" t="s">
        <v>52634</v>
      </c>
    </row>
    <row r="704" spans="1:1">
      <c r="A704" t="s">
        <v>52635</v>
      </c>
    </row>
    <row r="705" spans="1:1">
      <c r="A705" t="s">
        <v>52636</v>
      </c>
    </row>
    <row r="706" spans="1:1">
      <c r="A706" t="s">
        <v>52637</v>
      </c>
    </row>
    <row r="707" spans="1:1">
      <c r="A707" t="s">
        <v>52638</v>
      </c>
    </row>
    <row r="708" spans="1:1">
      <c r="A708" t="s">
        <v>52639</v>
      </c>
    </row>
    <row r="709" spans="1:1">
      <c r="A709" t="s">
        <v>52640</v>
      </c>
    </row>
    <row r="710" spans="1:1">
      <c r="A710" t="s">
        <v>52641</v>
      </c>
    </row>
    <row r="711" spans="1:1">
      <c r="A711" t="s">
        <v>52642</v>
      </c>
    </row>
    <row r="712" spans="1:1">
      <c r="A712" t="s">
        <v>52643</v>
      </c>
    </row>
    <row r="713" spans="1:1">
      <c r="A713" t="s">
        <v>52644</v>
      </c>
    </row>
    <row r="714" spans="1:1">
      <c r="A714" t="s">
        <v>52645</v>
      </c>
    </row>
    <row r="715" spans="1:1">
      <c r="A715" t="s">
        <v>52646</v>
      </c>
    </row>
    <row r="716" spans="1:1">
      <c r="A716" t="s">
        <v>52647</v>
      </c>
    </row>
    <row r="717" spans="1:1">
      <c r="A717" t="s">
        <v>52648</v>
      </c>
    </row>
    <row r="718" spans="1:1">
      <c r="A718" t="s">
        <v>52649</v>
      </c>
    </row>
    <row r="719" spans="1:1">
      <c r="A719" t="s">
        <v>52650</v>
      </c>
    </row>
    <row r="720" spans="1:1">
      <c r="A720" t="s">
        <v>52651</v>
      </c>
    </row>
    <row r="721" spans="1:1">
      <c r="A721" t="s">
        <v>52652</v>
      </c>
    </row>
    <row r="722" spans="1:1">
      <c r="A722" t="s">
        <v>52653</v>
      </c>
    </row>
    <row r="723" spans="1:1">
      <c r="A723" t="s">
        <v>52654</v>
      </c>
    </row>
    <row r="724" spans="1:1">
      <c r="A724" t="s">
        <v>52655</v>
      </c>
    </row>
    <row r="725" spans="1:1">
      <c r="A725" t="s">
        <v>52656</v>
      </c>
    </row>
    <row r="726" spans="1:1">
      <c r="A726" t="s">
        <v>52657</v>
      </c>
    </row>
    <row r="727" spans="1:1">
      <c r="A727" t="s">
        <v>52658</v>
      </c>
    </row>
    <row r="728" spans="1:1">
      <c r="A728" t="s">
        <v>52659</v>
      </c>
    </row>
    <row r="729" spans="1:1">
      <c r="A729" t="s">
        <v>52660</v>
      </c>
    </row>
    <row r="730" spans="1:1">
      <c r="A730" t="s">
        <v>52661</v>
      </c>
    </row>
    <row r="731" spans="1:1">
      <c r="A731" t="s">
        <v>52662</v>
      </c>
    </row>
    <row r="732" spans="1:1">
      <c r="A732" t="s">
        <v>52663</v>
      </c>
    </row>
    <row r="733" spans="1:1">
      <c r="A733" t="s">
        <v>52664</v>
      </c>
    </row>
    <row r="734" spans="1:1">
      <c r="A734" t="s">
        <v>52665</v>
      </c>
    </row>
    <row r="735" spans="1:1">
      <c r="A735" t="s">
        <v>52666</v>
      </c>
    </row>
    <row r="736" spans="1:1">
      <c r="A736" t="s">
        <v>52667</v>
      </c>
    </row>
    <row r="737" spans="1:1">
      <c r="A737" t="s">
        <v>52668</v>
      </c>
    </row>
    <row r="738" spans="1:1">
      <c r="A738" t="s">
        <v>52669</v>
      </c>
    </row>
    <row r="739" spans="1:1">
      <c r="A739" t="s">
        <v>52670</v>
      </c>
    </row>
    <row r="740" spans="1:1">
      <c r="A740" t="s">
        <v>52671</v>
      </c>
    </row>
    <row r="741" spans="1:1">
      <c r="A741" t="s">
        <v>52672</v>
      </c>
    </row>
    <row r="742" spans="1:1">
      <c r="A742" t="s">
        <v>52673</v>
      </c>
    </row>
    <row r="743" spans="1:1">
      <c r="A743" t="s">
        <v>52674</v>
      </c>
    </row>
    <row r="744" spans="1:1">
      <c r="A744" t="s">
        <v>52675</v>
      </c>
    </row>
    <row r="745" spans="1:1">
      <c r="A745" t="s">
        <v>52676</v>
      </c>
    </row>
    <row r="746" spans="1:1">
      <c r="A746" t="s">
        <v>52677</v>
      </c>
    </row>
    <row r="747" spans="1:1">
      <c r="A747" t="s">
        <v>52678</v>
      </c>
    </row>
    <row r="748" spans="1:1">
      <c r="A748" t="s">
        <v>52679</v>
      </c>
    </row>
    <row r="749" spans="1:1">
      <c r="A749" t="s">
        <v>52680</v>
      </c>
    </row>
    <row r="750" spans="1:1">
      <c r="A750" t="s">
        <v>52681</v>
      </c>
    </row>
    <row r="751" spans="1:1">
      <c r="A751" t="s">
        <v>52682</v>
      </c>
    </row>
    <row r="752" spans="1:1">
      <c r="A752" t="s">
        <v>52683</v>
      </c>
    </row>
    <row r="753" spans="1:1">
      <c r="A753" t="s">
        <v>52684</v>
      </c>
    </row>
    <row r="754" spans="1:1">
      <c r="A754" t="s">
        <v>52685</v>
      </c>
    </row>
    <row r="755" spans="1:1">
      <c r="A755" t="s">
        <v>52686</v>
      </c>
    </row>
    <row r="756" spans="1:1">
      <c r="A756" t="s">
        <v>52687</v>
      </c>
    </row>
    <row r="757" spans="1:1">
      <c r="A757" t="s">
        <v>52688</v>
      </c>
    </row>
    <row r="758" spans="1:1">
      <c r="A758" t="s">
        <v>52689</v>
      </c>
    </row>
    <row r="759" spans="1:1">
      <c r="A759" t="s">
        <v>52690</v>
      </c>
    </row>
    <row r="760" spans="1:1">
      <c r="A760" t="s">
        <v>52691</v>
      </c>
    </row>
    <row r="761" spans="1:1">
      <c r="A761" t="s">
        <v>52692</v>
      </c>
    </row>
    <row r="762" spans="1:1">
      <c r="A762" t="s">
        <v>52693</v>
      </c>
    </row>
    <row r="763" spans="1:1">
      <c r="A763" t="s">
        <v>52694</v>
      </c>
    </row>
    <row r="764" spans="1:1">
      <c r="A764" t="s">
        <v>52695</v>
      </c>
    </row>
    <row r="765" spans="1:1">
      <c r="A765" t="s">
        <v>52696</v>
      </c>
    </row>
    <row r="766" spans="1:1">
      <c r="A766" t="s">
        <v>52697</v>
      </c>
    </row>
    <row r="767" spans="1:1">
      <c r="A767" t="s">
        <v>52698</v>
      </c>
    </row>
    <row r="768" spans="1:1">
      <c r="A768" t="s">
        <v>52699</v>
      </c>
    </row>
    <row r="769" spans="1:1">
      <c r="A769" t="s">
        <v>52700</v>
      </c>
    </row>
    <row r="770" spans="1:1">
      <c r="A770" t="s">
        <v>52701</v>
      </c>
    </row>
    <row r="771" spans="1:1">
      <c r="A771" t="s">
        <v>52702</v>
      </c>
    </row>
    <row r="772" spans="1:1">
      <c r="A772" t="s">
        <v>52703</v>
      </c>
    </row>
    <row r="773" spans="1:1">
      <c r="A773" t="s">
        <v>52704</v>
      </c>
    </row>
    <row r="774" spans="1:1">
      <c r="A774" t="s">
        <v>52705</v>
      </c>
    </row>
    <row r="775" spans="1:1">
      <c r="A775" t="s">
        <v>52706</v>
      </c>
    </row>
    <row r="776" spans="1:1">
      <c r="A776" t="s">
        <v>52707</v>
      </c>
    </row>
    <row r="777" spans="1:1">
      <c r="A777" t="s">
        <v>52708</v>
      </c>
    </row>
    <row r="778" spans="1:1">
      <c r="A778" t="s">
        <v>52709</v>
      </c>
    </row>
    <row r="779" spans="1:1">
      <c r="A779" t="s">
        <v>52710</v>
      </c>
    </row>
    <row r="780" spans="1:1">
      <c r="A780" t="s">
        <v>52711</v>
      </c>
    </row>
    <row r="781" spans="1:1">
      <c r="A781" t="s">
        <v>52712</v>
      </c>
    </row>
    <row r="782" spans="1:1">
      <c r="A782" t="s">
        <v>52713</v>
      </c>
    </row>
    <row r="783" spans="1:1">
      <c r="A783" t="s">
        <v>52714</v>
      </c>
    </row>
    <row r="784" spans="1:1">
      <c r="A784" t="s">
        <v>52715</v>
      </c>
    </row>
    <row r="785" spans="1:1">
      <c r="A785" t="s">
        <v>52716</v>
      </c>
    </row>
    <row r="786" spans="1:1">
      <c r="A786" t="s">
        <v>52717</v>
      </c>
    </row>
    <row r="787" spans="1:1">
      <c r="A787" t="s">
        <v>52718</v>
      </c>
    </row>
    <row r="788" spans="1:1">
      <c r="A788" t="s">
        <v>52719</v>
      </c>
    </row>
    <row r="789" spans="1:1">
      <c r="A789" t="s">
        <v>52720</v>
      </c>
    </row>
    <row r="790" spans="1:1">
      <c r="A790" t="s">
        <v>52721</v>
      </c>
    </row>
    <row r="791" spans="1:1">
      <c r="A791" t="s">
        <v>52722</v>
      </c>
    </row>
    <row r="792" spans="1:1">
      <c r="A792" t="s">
        <v>52723</v>
      </c>
    </row>
    <row r="793" spans="1:1">
      <c r="A793" t="s">
        <v>52724</v>
      </c>
    </row>
    <row r="794" spans="1:1">
      <c r="A794" t="s">
        <v>52725</v>
      </c>
    </row>
    <row r="795" spans="1:1">
      <c r="A795" t="s">
        <v>52726</v>
      </c>
    </row>
    <row r="796" spans="1:1">
      <c r="A796" t="s">
        <v>52727</v>
      </c>
    </row>
    <row r="797" spans="1:1">
      <c r="A797" t="s">
        <v>52728</v>
      </c>
    </row>
    <row r="798" spans="1:1">
      <c r="A798" t="s">
        <v>52729</v>
      </c>
    </row>
    <row r="799" spans="1:1">
      <c r="A799" t="s">
        <v>52730</v>
      </c>
    </row>
    <row r="800" spans="1:1">
      <c r="A800" t="s">
        <v>52731</v>
      </c>
    </row>
    <row r="801" spans="1:1">
      <c r="A801" t="s">
        <v>52732</v>
      </c>
    </row>
    <row r="802" spans="1:1">
      <c r="A802" t="s">
        <v>52733</v>
      </c>
    </row>
    <row r="803" spans="1:1">
      <c r="A803" t="s">
        <v>52734</v>
      </c>
    </row>
    <row r="804" spans="1:1">
      <c r="A804" t="s">
        <v>52735</v>
      </c>
    </row>
    <row r="805" spans="1:1">
      <c r="A805" t="s">
        <v>52736</v>
      </c>
    </row>
    <row r="806" spans="1:1">
      <c r="A806" t="s">
        <v>52737</v>
      </c>
    </row>
    <row r="807" spans="1:1">
      <c r="A807" t="s">
        <v>52738</v>
      </c>
    </row>
    <row r="808" spans="1:1">
      <c r="A808" t="s">
        <v>52739</v>
      </c>
    </row>
    <row r="809" spans="1:1">
      <c r="A809" t="s">
        <v>52740</v>
      </c>
    </row>
    <row r="810" spans="1:1">
      <c r="A810" t="s">
        <v>52741</v>
      </c>
    </row>
    <row r="811" spans="1:1">
      <c r="A811" t="s">
        <v>52742</v>
      </c>
    </row>
    <row r="812" spans="1:1">
      <c r="A812" t="s">
        <v>52743</v>
      </c>
    </row>
    <row r="813" spans="1:1">
      <c r="A813" t="s">
        <v>52744</v>
      </c>
    </row>
    <row r="814" spans="1:1">
      <c r="A814" t="s">
        <v>52745</v>
      </c>
    </row>
    <row r="815" spans="1:1">
      <c r="A815" t="s">
        <v>52746</v>
      </c>
    </row>
    <row r="816" spans="1:1">
      <c r="A816" t="s">
        <v>52747</v>
      </c>
    </row>
    <row r="817" spans="1:1">
      <c r="A817" t="s">
        <v>52748</v>
      </c>
    </row>
    <row r="818" spans="1:1">
      <c r="A818" t="s">
        <v>52749</v>
      </c>
    </row>
    <row r="819" spans="1:1">
      <c r="A819" t="s">
        <v>52750</v>
      </c>
    </row>
    <row r="820" spans="1:1">
      <c r="A820" t="s">
        <v>52751</v>
      </c>
    </row>
    <row r="821" spans="1:1">
      <c r="A821" t="s">
        <v>52752</v>
      </c>
    </row>
    <row r="822" spans="1:1">
      <c r="A822" t="s">
        <v>52753</v>
      </c>
    </row>
    <row r="823" spans="1:1">
      <c r="A823" t="s">
        <v>52754</v>
      </c>
    </row>
    <row r="824" spans="1:1">
      <c r="A824" t="s">
        <v>52755</v>
      </c>
    </row>
    <row r="825" spans="1:1">
      <c r="A825" t="s">
        <v>52756</v>
      </c>
    </row>
    <row r="826" spans="1:1">
      <c r="A826" t="s">
        <v>52757</v>
      </c>
    </row>
    <row r="827" spans="1:1">
      <c r="A827" t="s">
        <v>52758</v>
      </c>
    </row>
    <row r="828" spans="1:1">
      <c r="A828" t="s">
        <v>52759</v>
      </c>
    </row>
    <row r="829" spans="1:1">
      <c r="A829" t="s">
        <v>52760</v>
      </c>
    </row>
    <row r="830" spans="1:1">
      <c r="A830" t="s">
        <v>52761</v>
      </c>
    </row>
    <row r="831" spans="1:1">
      <c r="A831" t="s">
        <v>52762</v>
      </c>
    </row>
    <row r="832" spans="1:1">
      <c r="A832" t="s">
        <v>52763</v>
      </c>
    </row>
    <row r="833" spans="1:1">
      <c r="A833" t="s">
        <v>52764</v>
      </c>
    </row>
    <row r="834" spans="1:1">
      <c r="A834" t="s">
        <v>52765</v>
      </c>
    </row>
    <row r="835" spans="1:1">
      <c r="A835" t="s">
        <v>52766</v>
      </c>
    </row>
    <row r="836" spans="1:1">
      <c r="A836" t="s">
        <v>52767</v>
      </c>
    </row>
    <row r="837" spans="1:1">
      <c r="A837" t="s">
        <v>52768</v>
      </c>
    </row>
    <row r="838" spans="1:1">
      <c r="A838" t="s">
        <v>52769</v>
      </c>
    </row>
    <row r="839" spans="1:1">
      <c r="A839" t="s">
        <v>52770</v>
      </c>
    </row>
    <row r="840" spans="1:1">
      <c r="A840" t="s">
        <v>52771</v>
      </c>
    </row>
    <row r="841" spans="1:1">
      <c r="A841" t="s">
        <v>52772</v>
      </c>
    </row>
    <row r="842" spans="1:1">
      <c r="A842" t="s">
        <v>52773</v>
      </c>
    </row>
    <row r="843" spans="1:1">
      <c r="A843" t="s">
        <v>52774</v>
      </c>
    </row>
    <row r="844" spans="1:1">
      <c r="A844" t="s">
        <v>52775</v>
      </c>
    </row>
    <row r="845" spans="1:1">
      <c r="A845" t="s">
        <v>52776</v>
      </c>
    </row>
    <row r="846" spans="1:1">
      <c r="A846" t="s">
        <v>52777</v>
      </c>
    </row>
    <row r="847" spans="1:1">
      <c r="A847" t="s">
        <v>52778</v>
      </c>
    </row>
    <row r="848" spans="1:1">
      <c r="A848" t="s">
        <v>52779</v>
      </c>
    </row>
    <row r="849" spans="1:1">
      <c r="A849" t="s">
        <v>52780</v>
      </c>
    </row>
    <row r="850" spans="1:1">
      <c r="A850" t="s">
        <v>52781</v>
      </c>
    </row>
    <row r="851" spans="1:1">
      <c r="A851" t="s">
        <v>52782</v>
      </c>
    </row>
    <row r="852" spans="1:1">
      <c r="A852" t="s">
        <v>52783</v>
      </c>
    </row>
    <row r="853" spans="1:1">
      <c r="A853" t="s">
        <v>52784</v>
      </c>
    </row>
    <row r="854" spans="1:1">
      <c r="A854" t="s">
        <v>52785</v>
      </c>
    </row>
    <row r="855" spans="1:1">
      <c r="A855" t="s">
        <v>52786</v>
      </c>
    </row>
    <row r="856" spans="1:1">
      <c r="A856" t="s">
        <v>52787</v>
      </c>
    </row>
    <row r="857" spans="1:1">
      <c r="A857" t="s">
        <v>52788</v>
      </c>
    </row>
    <row r="858" spans="1:1">
      <c r="A858" t="s">
        <v>52789</v>
      </c>
    </row>
    <row r="859" spans="1:1">
      <c r="A859" t="s">
        <v>52790</v>
      </c>
    </row>
    <row r="860" spans="1:1">
      <c r="A860" t="s">
        <v>52791</v>
      </c>
    </row>
    <row r="861" spans="1:1">
      <c r="A861" t="s">
        <v>52792</v>
      </c>
    </row>
    <row r="862" spans="1:1">
      <c r="A862" t="s">
        <v>52793</v>
      </c>
    </row>
    <row r="863" spans="1:1">
      <c r="A863" t="s">
        <v>52794</v>
      </c>
    </row>
    <row r="864" spans="1:1">
      <c r="A864" t="s">
        <v>52795</v>
      </c>
    </row>
    <row r="865" spans="1:1">
      <c r="A865" t="s">
        <v>52796</v>
      </c>
    </row>
    <row r="866" spans="1:1">
      <c r="A866" t="s">
        <v>52797</v>
      </c>
    </row>
    <row r="867" spans="1:1">
      <c r="A867" t="s">
        <v>52798</v>
      </c>
    </row>
    <row r="868" spans="1:1">
      <c r="A868" t="s">
        <v>52799</v>
      </c>
    </row>
    <row r="869" spans="1:1">
      <c r="A869" t="s">
        <v>52800</v>
      </c>
    </row>
    <row r="870" spans="1:1">
      <c r="A870" t="s">
        <v>52801</v>
      </c>
    </row>
    <row r="871" spans="1:1">
      <c r="A871" t="s">
        <v>52802</v>
      </c>
    </row>
    <row r="872" spans="1:1">
      <c r="A872" t="s">
        <v>52803</v>
      </c>
    </row>
    <row r="873" spans="1:1">
      <c r="A873" t="s">
        <v>52804</v>
      </c>
    </row>
    <row r="874" spans="1:1">
      <c r="A874" t="s">
        <v>52805</v>
      </c>
    </row>
    <row r="875" spans="1:1">
      <c r="A875" t="s">
        <v>52806</v>
      </c>
    </row>
    <row r="876" spans="1:1">
      <c r="A876" t="s">
        <v>52807</v>
      </c>
    </row>
    <row r="877" spans="1:1">
      <c r="A877" t="s">
        <v>52808</v>
      </c>
    </row>
    <row r="878" spans="1:1">
      <c r="A878" t="s">
        <v>52809</v>
      </c>
    </row>
    <row r="879" spans="1:1">
      <c r="A879" t="s">
        <v>52810</v>
      </c>
    </row>
    <row r="880" spans="1:1">
      <c r="A880" t="s">
        <v>52811</v>
      </c>
    </row>
    <row r="881" spans="1:1">
      <c r="A881" t="s">
        <v>52812</v>
      </c>
    </row>
    <row r="882" spans="1:1">
      <c r="A882" t="s">
        <v>52813</v>
      </c>
    </row>
    <row r="883" spans="1:1">
      <c r="A883" t="s">
        <v>52814</v>
      </c>
    </row>
    <row r="884" spans="1:1">
      <c r="A884" t="s">
        <v>52815</v>
      </c>
    </row>
    <row r="885" spans="1:1">
      <c r="A885" t="s">
        <v>52816</v>
      </c>
    </row>
    <row r="886" spans="1:1">
      <c r="A886" t="s">
        <v>52817</v>
      </c>
    </row>
    <row r="887" spans="1:1">
      <c r="A887" t="s">
        <v>52818</v>
      </c>
    </row>
    <row r="888" spans="1:1">
      <c r="A888" t="s">
        <v>52819</v>
      </c>
    </row>
    <row r="889" spans="1:1">
      <c r="A889" t="s">
        <v>52820</v>
      </c>
    </row>
    <row r="890" spans="1:1">
      <c r="A890" t="s">
        <v>52821</v>
      </c>
    </row>
    <row r="891" spans="1:1">
      <c r="A891" t="s">
        <v>52822</v>
      </c>
    </row>
    <row r="892" spans="1:1">
      <c r="A892" t="s">
        <v>52823</v>
      </c>
    </row>
    <row r="893" spans="1:1">
      <c r="A893" t="s">
        <v>52824</v>
      </c>
    </row>
    <row r="894" spans="1:1">
      <c r="A894" t="s">
        <v>52825</v>
      </c>
    </row>
    <row r="895" spans="1:1">
      <c r="A895" t="s">
        <v>52826</v>
      </c>
    </row>
    <row r="896" spans="1:1">
      <c r="A896" t="s">
        <v>52827</v>
      </c>
    </row>
    <row r="897" spans="1:1">
      <c r="A897" t="s">
        <v>52828</v>
      </c>
    </row>
    <row r="898" spans="1:1">
      <c r="A898" t="s">
        <v>52829</v>
      </c>
    </row>
    <row r="899" spans="1:1">
      <c r="A899" t="s">
        <v>52830</v>
      </c>
    </row>
    <row r="900" spans="1:1">
      <c r="A900" t="s">
        <v>52831</v>
      </c>
    </row>
    <row r="901" spans="1:1">
      <c r="A901" t="s">
        <v>52832</v>
      </c>
    </row>
    <row r="902" spans="1:1">
      <c r="A902" t="s">
        <v>52833</v>
      </c>
    </row>
    <row r="903" spans="1:1">
      <c r="A903" t="s">
        <v>52834</v>
      </c>
    </row>
    <row r="904" spans="1:1">
      <c r="A904" t="s">
        <v>52835</v>
      </c>
    </row>
    <row r="905" spans="1:1">
      <c r="A905" t="s">
        <v>52836</v>
      </c>
    </row>
    <row r="906" spans="1:1">
      <c r="A906" t="s">
        <v>52837</v>
      </c>
    </row>
    <row r="907" spans="1:1">
      <c r="A907" t="s">
        <v>52838</v>
      </c>
    </row>
    <row r="908" spans="1:1">
      <c r="A908" t="s">
        <v>52839</v>
      </c>
    </row>
    <row r="909" spans="1:1">
      <c r="A909" t="s">
        <v>52840</v>
      </c>
    </row>
    <row r="910" spans="1:1">
      <c r="A910" t="s">
        <v>52841</v>
      </c>
    </row>
    <row r="911" spans="1:1">
      <c r="A911" t="s">
        <v>52842</v>
      </c>
    </row>
    <row r="912" spans="1:1">
      <c r="A912" t="s">
        <v>52843</v>
      </c>
    </row>
    <row r="913" spans="1:1">
      <c r="A913" t="s">
        <v>52844</v>
      </c>
    </row>
    <row r="914" spans="1:1">
      <c r="A914" t="s">
        <v>52845</v>
      </c>
    </row>
    <row r="915" spans="1:1">
      <c r="A915" t="s">
        <v>52846</v>
      </c>
    </row>
    <row r="916" spans="1:1">
      <c r="A916" t="s">
        <v>52847</v>
      </c>
    </row>
    <row r="917" spans="1:1">
      <c r="A917" t="s">
        <v>52848</v>
      </c>
    </row>
    <row r="918" spans="1:1">
      <c r="A918" t="s">
        <v>52849</v>
      </c>
    </row>
    <row r="919" spans="1:1">
      <c r="A919" t="s">
        <v>52850</v>
      </c>
    </row>
    <row r="920" spans="1:1">
      <c r="A920" t="s">
        <v>52851</v>
      </c>
    </row>
    <row r="921" spans="1:1">
      <c r="A921" t="s">
        <v>52852</v>
      </c>
    </row>
    <row r="922" spans="1:1">
      <c r="A922" t="s">
        <v>52853</v>
      </c>
    </row>
    <row r="923" spans="1:1">
      <c r="A923" t="s">
        <v>52854</v>
      </c>
    </row>
    <row r="924" spans="1:1">
      <c r="A924" t="s">
        <v>52855</v>
      </c>
    </row>
    <row r="925" spans="1:1">
      <c r="A925" t="s">
        <v>52856</v>
      </c>
    </row>
    <row r="926" spans="1:1">
      <c r="A926" t="s">
        <v>52857</v>
      </c>
    </row>
    <row r="927" spans="1:1">
      <c r="A927" t="s">
        <v>52858</v>
      </c>
    </row>
    <row r="928" spans="1:1">
      <c r="A928" t="s">
        <v>52859</v>
      </c>
    </row>
    <row r="929" spans="1:1">
      <c r="A929" t="s">
        <v>52860</v>
      </c>
    </row>
    <row r="930" spans="1:1">
      <c r="A930" t="s">
        <v>52861</v>
      </c>
    </row>
    <row r="931" spans="1:1">
      <c r="A931" t="s">
        <v>52862</v>
      </c>
    </row>
    <row r="932" spans="1:1">
      <c r="A932" t="s">
        <v>52863</v>
      </c>
    </row>
    <row r="933" spans="1:1">
      <c r="A933" t="s">
        <v>52864</v>
      </c>
    </row>
    <row r="934" spans="1:1">
      <c r="A934" t="s">
        <v>52865</v>
      </c>
    </row>
    <row r="935" spans="1:1">
      <c r="A935" t="s">
        <v>52866</v>
      </c>
    </row>
    <row r="936" spans="1:1">
      <c r="A936" t="s">
        <v>52867</v>
      </c>
    </row>
    <row r="937" spans="1:1">
      <c r="A937" t="s">
        <v>52868</v>
      </c>
    </row>
    <row r="938" spans="1:1">
      <c r="A938" t="s">
        <v>52869</v>
      </c>
    </row>
    <row r="939" spans="1:1">
      <c r="A939" t="s">
        <v>52870</v>
      </c>
    </row>
    <row r="940" spans="1:1">
      <c r="A940" t="s">
        <v>52871</v>
      </c>
    </row>
    <row r="941" spans="1:1">
      <c r="A941" t="s">
        <v>52872</v>
      </c>
    </row>
    <row r="942" spans="1:1">
      <c r="A942" t="s">
        <v>52873</v>
      </c>
    </row>
    <row r="943" spans="1:1">
      <c r="A943" t="s">
        <v>52874</v>
      </c>
    </row>
    <row r="944" spans="1:1">
      <c r="A944" t="s">
        <v>52875</v>
      </c>
    </row>
    <row r="945" spans="1:1">
      <c r="A945" t="s">
        <v>52876</v>
      </c>
    </row>
    <row r="946" spans="1:1">
      <c r="A946" t="s">
        <v>52877</v>
      </c>
    </row>
    <row r="947" spans="1:1">
      <c r="A947" t="s">
        <v>52878</v>
      </c>
    </row>
    <row r="948" spans="1:1">
      <c r="A948" t="s">
        <v>52879</v>
      </c>
    </row>
    <row r="949" spans="1:1">
      <c r="A949" t="s">
        <v>52880</v>
      </c>
    </row>
    <row r="950" spans="1:1">
      <c r="A950" t="s">
        <v>52881</v>
      </c>
    </row>
    <row r="951" spans="1:1">
      <c r="A951" t="s">
        <v>52882</v>
      </c>
    </row>
    <row r="952" spans="1:1">
      <c r="A952" t="s">
        <v>52883</v>
      </c>
    </row>
    <row r="953" spans="1:1">
      <c r="A953" t="s">
        <v>52884</v>
      </c>
    </row>
    <row r="954" spans="1:1">
      <c r="A954" t="s">
        <v>52885</v>
      </c>
    </row>
    <row r="955" spans="1:1">
      <c r="A955" t="s">
        <v>52886</v>
      </c>
    </row>
    <row r="956" spans="1:1">
      <c r="A956" t="s">
        <v>52887</v>
      </c>
    </row>
    <row r="957" spans="1:1">
      <c r="A957" t="s">
        <v>52888</v>
      </c>
    </row>
    <row r="958" spans="1:1">
      <c r="A958" t="s">
        <v>52889</v>
      </c>
    </row>
    <row r="959" spans="1:1">
      <c r="A959" t="s">
        <v>40424</v>
      </c>
    </row>
    <row r="960" spans="1:1">
      <c r="A960" t="s">
        <v>52890</v>
      </c>
    </row>
    <row r="961" spans="1:1">
      <c r="A961" t="s">
        <v>52891</v>
      </c>
    </row>
    <row r="962" spans="1:1">
      <c r="A962" t="s">
        <v>52892</v>
      </c>
    </row>
    <row r="963" spans="1:1">
      <c r="A963" t="s">
        <v>52893</v>
      </c>
    </row>
    <row r="964" spans="1:1">
      <c r="A964" t="s">
        <v>52894</v>
      </c>
    </row>
    <row r="965" spans="1:1">
      <c r="A965" t="s">
        <v>52895</v>
      </c>
    </row>
    <row r="966" spans="1:1">
      <c r="A966" t="s">
        <v>52896</v>
      </c>
    </row>
    <row r="967" spans="1:1">
      <c r="A967" t="s">
        <v>52897</v>
      </c>
    </row>
    <row r="968" spans="1:1">
      <c r="A968" t="s">
        <v>52898</v>
      </c>
    </row>
    <row r="969" spans="1:1">
      <c r="A969" t="s">
        <v>52899</v>
      </c>
    </row>
    <row r="970" spans="1:1">
      <c r="A970" t="s">
        <v>52900</v>
      </c>
    </row>
    <row r="971" spans="1:1">
      <c r="A971" t="s">
        <v>52901</v>
      </c>
    </row>
    <row r="972" spans="1:1">
      <c r="A972" t="s">
        <v>52902</v>
      </c>
    </row>
    <row r="973" spans="1:1">
      <c r="A973" t="s">
        <v>52903</v>
      </c>
    </row>
    <row r="974" spans="1:1">
      <c r="A974" t="s">
        <v>52904</v>
      </c>
    </row>
    <row r="975" spans="1:1">
      <c r="A975" t="s">
        <v>52905</v>
      </c>
    </row>
    <row r="976" spans="1:1">
      <c r="A976" t="s">
        <v>52906</v>
      </c>
    </row>
    <row r="977" spans="1:1">
      <c r="A977" t="s">
        <v>52907</v>
      </c>
    </row>
    <row r="978" spans="1:1">
      <c r="A978" t="s">
        <v>52908</v>
      </c>
    </row>
    <row r="979" spans="1:1">
      <c r="A979" t="s">
        <v>52909</v>
      </c>
    </row>
    <row r="980" spans="1:1">
      <c r="A980" t="s">
        <v>52910</v>
      </c>
    </row>
    <row r="981" spans="1:1">
      <c r="A981" t="s">
        <v>52911</v>
      </c>
    </row>
    <row r="982" spans="1:1">
      <c r="A982" t="s">
        <v>52912</v>
      </c>
    </row>
    <row r="983" spans="1:1">
      <c r="A983" t="s">
        <v>52913</v>
      </c>
    </row>
    <row r="984" spans="1:1">
      <c r="A984" t="s">
        <v>52914</v>
      </c>
    </row>
    <row r="985" spans="1:1">
      <c r="A985" t="s">
        <v>52915</v>
      </c>
    </row>
    <row r="986" spans="1:1">
      <c r="A986" t="s">
        <v>52916</v>
      </c>
    </row>
    <row r="987" spans="1:1">
      <c r="A987" t="s">
        <v>52917</v>
      </c>
    </row>
    <row r="988" spans="1:1">
      <c r="A988" t="s">
        <v>52918</v>
      </c>
    </row>
    <row r="989" spans="1:1">
      <c r="A989" t="s">
        <v>52919</v>
      </c>
    </row>
    <row r="990" spans="1:1">
      <c r="A990" t="s">
        <v>52920</v>
      </c>
    </row>
    <row r="991" spans="1:1">
      <c r="A991" t="s">
        <v>52921</v>
      </c>
    </row>
    <row r="992" spans="1:1">
      <c r="A992" t="s">
        <v>52922</v>
      </c>
    </row>
    <row r="993" spans="1:1">
      <c r="A993" t="s">
        <v>52923</v>
      </c>
    </row>
    <row r="994" spans="1:1">
      <c r="A994" t="s">
        <v>52924</v>
      </c>
    </row>
    <row r="995" spans="1:1">
      <c r="A995" t="s">
        <v>52925</v>
      </c>
    </row>
    <row r="996" spans="1:1">
      <c r="A996" t="s">
        <v>52926</v>
      </c>
    </row>
    <row r="997" spans="1:1">
      <c r="A997" t="s">
        <v>52927</v>
      </c>
    </row>
    <row r="998" spans="1:1">
      <c r="A998" t="s">
        <v>52928</v>
      </c>
    </row>
    <row r="999" spans="1:1">
      <c r="A999" t="s">
        <v>52929</v>
      </c>
    </row>
    <row r="1000" spans="1:1">
      <c r="A1000" t="s">
        <v>52930</v>
      </c>
    </row>
    <row r="1001" spans="1:1">
      <c r="A1001" t="s">
        <v>52931</v>
      </c>
    </row>
    <row r="1002" spans="1:1">
      <c r="A1002" t="s">
        <v>52932</v>
      </c>
    </row>
    <row r="1003" spans="1:1">
      <c r="A1003" t="s">
        <v>52933</v>
      </c>
    </row>
    <row r="1004" spans="1:1">
      <c r="A1004" t="s">
        <v>52934</v>
      </c>
    </row>
    <row r="1005" spans="1:1">
      <c r="A1005" t="s">
        <v>52935</v>
      </c>
    </row>
    <row r="1006" spans="1:1">
      <c r="A1006" t="s">
        <v>52936</v>
      </c>
    </row>
    <row r="1007" spans="1:1">
      <c r="A1007" t="s">
        <v>52937</v>
      </c>
    </row>
    <row r="1008" spans="1:1">
      <c r="A1008" t="s">
        <v>52938</v>
      </c>
    </row>
    <row r="1009" spans="1:1">
      <c r="A1009" t="s">
        <v>52939</v>
      </c>
    </row>
    <row r="1010" spans="1:1">
      <c r="A1010" t="s">
        <v>52940</v>
      </c>
    </row>
    <row r="1011" spans="1:1">
      <c r="A1011" t="s">
        <v>52941</v>
      </c>
    </row>
    <row r="1012" spans="1:1">
      <c r="A1012" t="s">
        <v>52942</v>
      </c>
    </row>
    <row r="1013" spans="1:1">
      <c r="A1013" t="s">
        <v>52943</v>
      </c>
    </row>
    <row r="1014" spans="1:1">
      <c r="A1014" t="s">
        <v>52944</v>
      </c>
    </row>
    <row r="1015" spans="1:1">
      <c r="A1015" t="s">
        <v>52945</v>
      </c>
    </row>
    <row r="1016" spans="1:1">
      <c r="A1016" t="s">
        <v>52946</v>
      </c>
    </row>
    <row r="1017" spans="1:1">
      <c r="A1017" t="s">
        <v>52947</v>
      </c>
    </row>
    <row r="1018" spans="1:1">
      <c r="A1018" t="s">
        <v>52948</v>
      </c>
    </row>
    <row r="1019" spans="1:1">
      <c r="A1019" t="s">
        <v>52949</v>
      </c>
    </row>
    <row r="1020" spans="1:1">
      <c r="A1020" t="s">
        <v>52950</v>
      </c>
    </row>
    <row r="1021" spans="1:1">
      <c r="A1021" t="s">
        <v>52951</v>
      </c>
    </row>
    <row r="1022" spans="1:1">
      <c r="A1022" t="s">
        <v>52952</v>
      </c>
    </row>
    <row r="1023" spans="1:1">
      <c r="A1023" t="s">
        <v>52953</v>
      </c>
    </row>
    <row r="1024" spans="1:1">
      <c r="A1024" t="s">
        <v>52954</v>
      </c>
    </row>
    <row r="1025" spans="1:1">
      <c r="A1025" t="s">
        <v>52955</v>
      </c>
    </row>
    <row r="1026" spans="1:1">
      <c r="A1026" t="s">
        <v>52956</v>
      </c>
    </row>
    <row r="1027" spans="1:1">
      <c r="A1027" t="s">
        <v>52957</v>
      </c>
    </row>
    <row r="1028" spans="1:1">
      <c r="A1028" t="s">
        <v>52958</v>
      </c>
    </row>
    <row r="1029" spans="1:1">
      <c r="A1029" t="s">
        <v>52959</v>
      </c>
    </row>
    <row r="1030" spans="1:1">
      <c r="A1030" t="s">
        <v>52960</v>
      </c>
    </row>
    <row r="1031" spans="1:1">
      <c r="A1031" t="s">
        <v>52961</v>
      </c>
    </row>
    <row r="1032" spans="1:1">
      <c r="A1032" t="s">
        <v>52962</v>
      </c>
    </row>
    <row r="1033" spans="1:1">
      <c r="A1033" t="s">
        <v>52963</v>
      </c>
    </row>
    <row r="1034" spans="1:1">
      <c r="A1034" t="s">
        <v>52964</v>
      </c>
    </row>
    <row r="1035" spans="1:1">
      <c r="A1035" t="s">
        <v>52965</v>
      </c>
    </row>
    <row r="1036" spans="1:1">
      <c r="A1036" t="s">
        <v>52966</v>
      </c>
    </row>
    <row r="1037" spans="1:1">
      <c r="A1037" t="s">
        <v>52967</v>
      </c>
    </row>
    <row r="1038" spans="1:1">
      <c r="A1038" t="s">
        <v>52968</v>
      </c>
    </row>
    <row r="1039" spans="1:1">
      <c r="A1039" t="s">
        <v>52969</v>
      </c>
    </row>
    <row r="1040" spans="1:1">
      <c r="A1040" t="s">
        <v>52970</v>
      </c>
    </row>
    <row r="1041" spans="1:1">
      <c r="A1041" t="s">
        <v>52971</v>
      </c>
    </row>
    <row r="1042" spans="1:1">
      <c r="A1042" t="s">
        <v>52972</v>
      </c>
    </row>
    <row r="1043" spans="1:1">
      <c r="A1043" t="s">
        <v>52973</v>
      </c>
    </row>
    <row r="1044" spans="1:1">
      <c r="A1044" t="s">
        <v>52974</v>
      </c>
    </row>
    <row r="1045" spans="1:1">
      <c r="A1045" t="s">
        <v>52975</v>
      </c>
    </row>
    <row r="1046" spans="1:1">
      <c r="A1046" t="s">
        <v>52976</v>
      </c>
    </row>
    <row r="1047" spans="1:1">
      <c r="A1047" t="s">
        <v>52977</v>
      </c>
    </row>
    <row r="1048" spans="1:1">
      <c r="A1048" t="s">
        <v>52978</v>
      </c>
    </row>
    <row r="1049" spans="1:1">
      <c r="A1049" t="s">
        <v>52979</v>
      </c>
    </row>
    <row r="1050" spans="1:1">
      <c r="A1050" t="s">
        <v>52980</v>
      </c>
    </row>
    <row r="1051" spans="1:1">
      <c r="A1051" t="s">
        <v>52981</v>
      </c>
    </row>
    <row r="1052" spans="1:1">
      <c r="A1052" t="s">
        <v>52982</v>
      </c>
    </row>
    <row r="1053" spans="1:1">
      <c r="A1053" t="s">
        <v>52983</v>
      </c>
    </row>
    <row r="1054" spans="1:1">
      <c r="A1054" t="s">
        <v>52984</v>
      </c>
    </row>
    <row r="1055" spans="1:1">
      <c r="A1055" t="s">
        <v>52985</v>
      </c>
    </row>
    <row r="1056" spans="1:1">
      <c r="A1056" t="s">
        <v>52986</v>
      </c>
    </row>
    <row r="1057" spans="1:1">
      <c r="A1057" t="s">
        <v>52987</v>
      </c>
    </row>
    <row r="1058" spans="1:1">
      <c r="A1058" t="s">
        <v>52988</v>
      </c>
    </row>
    <row r="1059" spans="1:1">
      <c r="A1059" t="s">
        <v>52989</v>
      </c>
    </row>
    <row r="1060" spans="1:1">
      <c r="A1060" t="s">
        <v>52990</v>
      </c>
    </row>
    <row r="1061" spans="1:1">
      <c r="A1061" t="s">
        <v>52991</v>
      </c>
    </row>
    <row r="1062" spans="1:1">
      <c r="A1062" t="s">
        <v>52992</v>
      </c>
    </row>
    <row r="1063" spans="1:1">
      <c r="A1063" t="s">
        <v>52993</v>
      </c>
    </row>
    <row r="1064" spans="1:1">
      <c r="A1064" t="s">
        <v>52994</v>
      </c>
    </row>
    <row r="1065" spans="1:1">
      <c r="A1065" t="s">
        <v>52995</v>
      </c>
    </row>
    <row r="1066" spans="1:1">
      <c r="A1066" t="s">
        <v>52996</v>
      </c>
    </row>
    <row r="1067" spans="1:1">
      <c r="A1067" t="s">
        <v>52997</v>
      </c>
    </row>
    <row r="1068" spans="1:1">
      <c r="A1068" t="s">
        <v>52998</v>
      </c>
    </row>
    <row r="1069" spans="1:1">
      <c r="A1069" t="s">
        <v>52999</v>
      </c>
    </row>
    <row r="1070" spans="1:1">
      <c r="A1070" t="s">
        <v>53000</v>
      </c>
    </row>
    <row r="1071" spans="1:1">
      <c r="A1071" t="s">
        <v>53001</v>
      </c>
    </row>
    <row r="1072" spans="1:1">
      <c r="A1072" t="s">
        <v>53002</v>
      </c>
    </row>
    <row r="1073" spans="1:1">
      <c r="A1073" t="s">
        <v>53003</v>
      </c>
    </row>
    <row r="1074" spans="1:1">
      <c r="A1074" t="s">
        <v>53004</v>
      </c>
    </row>
    <row r="1075" spans="1:1">
      <c r="A1075" t="s">
        <v>53005</v>
      </c>
    </row>
    <row r="1076" spans="1:1">
      <c r="A1076" t="s">
        <v>53006</v>
      </c>
    </row>
    <row r="1077" spans="1:1">
      <c r="A1077" t="s">
        <v>53007</v>
      </c>
    </row>
    <row r="1078" spans="1:1">
      <c r="A1078" t="s">
        <v>53008</v>
      </c>
    </row>
    <row r="1079" spans="1:1">
      <c r="A1079" t="s">
        <v>53009</v>
      </c>
    </row>
    <row r="1080" spans="1:1">
      <c r="A1080" t="s">
        <v>53010</v>
      </c>
    </row>
    <row r="1081" spans="1:1">
      <c r="A1081" t="s">
        <v>53011</v>
      </c>
    </row>
    <row r="1082" spans="1:1">
      <c r="A1082" t="s">
        <v>53012</v>
      </c>
    </row>
    <row r="1083" spans="1:1">
      <c r="A1083" t="s">
        <v>53013</v>
      </c>
    </row>
    <row r="1084" spans="1:1">
      <c r="A1084" t="s">
        <v>53014</v>
      </c>
    </row>
    <row r="1085" spans="1:1">
      <c r="A1085" t="s">
        <v>53015</v>
      </c>
    </row>
    <row r="1086" spans="1:1">
      <c r="A1086" t="s">
        <v>53016</v>
      </c>
    </row>
    <row r="1087" spans="1:1">
      <c r="A1087" t="s">
        <v>53017</v>
      </c>
    </row>
    <row r="1088" spans="1:1">
      <c r="A1088" t="s">
        <v>53018</v>
      </c>
    </row>
    <row r="1089" spans="1:1">
      <c r="A1089" t="s">
        <v>53019</v>
      </c>
    </row>
    <row r="1090" spans="1:1">
      <c r="A1090" t="s">
        <v>53020</v>
      </c>
    </row>
    <row r="1091" spans="1:1">
      <c r="A1091" t="s">
        <v>53021</v>
      </c>
    </row>
    <row r="1092" spans="1:1">
      <c r="A1092" t="s">
        <v>53022</v>
      </c>
    </row>
    <row r="1093" spans="1:1">
      <c r="A1093" t="s">
        <v>53023</v>
      </c>
    </row>
    <row r="1094" spans="1:1">
      <c r="A1094" t="s">
        <v>53024</v>
      </c>
    </row>
    <row r="1095" spans="1:1">
      <c r="A1095" t="s">
        <v>53025</v>
      </c>
    </row>
    <row r="1096" spans="1:1">
      <c r="A1096" t="s">
        <v>53026</v>
      </c>
    </row>
    <row r="1097" spans="1:1">
      <c r="A1097" t="s">
        <v>53027</v>
      </c>
    </row>
    <row r="1098" spans="1:1">
      <c r="A1098" t="s">
        <v>53028</v>
      </c>
    </row>
    <row r="1099" spans="1:1">
      <c r="A1099" t="s">
        <v>53029</v>
      </c>
    </row>
    <row r="1100" spans="1:1">
      <c r="A1100" t="s">
        <v>53030</v>
      </c>
    </row>
    <row r="1101" spans="1:1">
      <c r="A1101" t="s">
        <v>53031</v>
      </c>
    </row>
    <row r="1102" spans="1:1">
      <c r="A1102" t="s">
        <v>53032</v>
      </c>
    </row>
    <row r="1103" spans="1:1">
      <c r="A1103" t="s">
        <v>53033</v>
      </c>
    </row>
    <row r="1104" spans="1:1">
      <c r="A1104" t="s">
        <v>53034</v>
      </c>
    </row>
    <row r="1105" spans="1:1">
      <c r="A1105" t="s">
        <v>53035</v>
      </c>
    </row>
    <row r="1106" spans="1:1">
      <c r="A1106" t="s">
        <v>53036</v>
      </c>
    </row>
    <row r="1107" spans="1:1">
      <c r="A1107" t="s">
        <v>53037</v>
      </c>
    </row>
    <row r="1108" spans="1:1">
      <c r="A1108" t="s">
        <v>53038</v>
      </c>
    </row>
    <row r="1109" spans="1:1">
      <c r="A1109" t="s">
        <v>53039</v>
      </c>
    </row>
    <row r="1110" spans="1:1">
      <c r="A1110" t="s">
        <v>53040</v>
      </c>
    </row>
    <row r="1111" spans="1:1">
      <c r="A1111" t="s">
        <v>53041</v>
      </c>
    </row>
    <row r="1112" spans="1:1">
      <c r="A1112" t="s">
        <v>53042</v>
      </c>
    </row>
    <row r="1113" spans="1:1">
      <c r="A1113" t="s">
        <v>53043</v>
      </c>
    </row>
    <row r="1114" spans="1:1">
      <c r="A1114" t="s">
        <v>53044</v>
      </c>
    </row>
    <row r="1115" spans="1:1">
      <c r="A1115" t="s">
        <v>53045</v>
      </c>
    </row>
    <row r="1116" spans="1:1">
      <c r="A1116" t="s">
        <v>53046</v>
      </c>
    </row>
    <row r="1117" spans="1:1">
      <c r="A1117" t="s">
        <v>53047</v>
      </c>
    </row>
    <row r="1118" spans="1:1">
      <c r="A1118" t="s">
        <v>53048</v>
      </c>
    </row>
    <row r="1119" spans="1:1">
      <c r="A1119" t="s">
        <v>53049</v>
      </c>
    </row>
    <row r="1120" spans="1:1">
      <c r="A1120" t="s">
        <v>53050</v>
      </c>
    </row>
    <row r="1121" spans="1:1">
      <c r="A1121" t="s">
        <v>53051</v>
      </c>
    </row>
    <row r="1122" spans="1:1">
      <c r="A1122" t="s">
        <v>53052</v>
      </c>
    </row>
    <row r="1123" spans="1:1">
      <c r="A1123" t="s">
        <v>53053</v>
      </c>
    </row>
    <row r="1124" spans="1:1">
      <c r="A1124" t="s">
        <v>53054</v>
      </c>
    </row>
    <row r="1125" spans="1:1">
      <c r="A1125" t="s">
        <v>53055</v>
      </c>
    </row>
    <row r="1126" spans="1:1">
      <c r="A1126" t="s">
        <v>53056</v>
      </c>
    </row>
    <row r="1127" spans="1:1">
      <c r="A1127" t="s">
        <v>53057</v>
      </c>
    </row>
    <row r="1128" spans="1:1">
      <c r="A1128" t="s">
        <v>53058</v>
      </c>
    </row>
    <row r="1129" spans="1:1">
      <c r="A1129" t="s">
        <v>53059</v>
      </c>
    </row>
    <row r="1130" spans="1:1">
      <c r="A1130" t="s">
        <v>53060</v>
      </c>
    </row>
    <row r="1131" spans="1:1">
      <c r="A1131" t="s">
        <v>53061</v>
      </c>
    </row>
    <row r="1132" spans="1:1">
      <c r="A1132" t="s">
        <v>53062</v>
      </c>
    </row>
    <row r="1133" spans="1:1">
      <c r="A1133" t="s">
        <v>53063</v>
      </c>
    </row>
    <row r="1134" spans="1:1">
      <c r="A1134" t="s">
        <v>53064</v>
      </c>
    </row>
    <row r="1135" spans="1:1">
      <c r="A1135" t="s">
        <v>53065</v>
      </c>
    </row>
    <row r="1136" spans="1:1">
      <c r="A1136" t="s">
        <v>53066</v>
      </c>
    </row>
    <row r="1137" spans="1:1">
      <c r="A1137" t="s">
        <v>53067</v>
      </c>
    </row>
    <row r="1138" spans="1:1">
      <c r="A1138" t="s">
        <v>53068</v>
      </c>
    </row>
    <row r="1139" spans="1:1">
      <c r="A1139" t="s">
        <v>53069</v>
      </c>
    </row>
    <row r="1140" spans="1:1">
      <c r="A1140" t="s">
        <v>53070</v>
      </c>
    </row>
    <row r="1141" spans="1:1">
      <c r="A1141" t="s">
        <v>53071</v>
      </c>
    </row>
    <row r="1142" spans="1:1">
      <c r="A1142" t="s">
        <v>53072</v>
      </c>
    </row>
    <row r="1143" spans="1:1">
      <c r="A1143" t="s">
        <v>53073</v>
      </c>
    </row>
    <row r="1144" spans="1:1">
      <c r="A1144" t="s">
        <v>53074</v>
      </c>
    </row>
    <row r="1145" spans="1:1">
      <c r="A1145" t="s">
        <v>53075</v>
      </c>
    </row>
    <row r="1146" spans="1:1">
      <c r="A1146" t="s">
        <v>53076</v>
      </c>
    </row>
    <row r="1147" spans="1:1">
      <c r="A1147" t="s">
        <v>53077</v>
      </c>
    </row>
    <row r="1148" spans="1:1">
      <c r="A1148" t="s">
        <v>53078</v>
      </c>
    </row>
    <row r="1149" spans="1:1">
      <c r="A1149" t="s">
        <v>53079</v>
      </c>
    </row>
    <row r="1150" spans="1:1">
      <c r="A1150" t="s">
        <v>53080</v>
      </c>
    </row>
    <row r="1151" spans="1:1">
      <c r="A1151" t="s">
        <v>53081</v>
      </c>
    </row>
    <row r="1152" spans="1:1">
      <c r="A1152" t="s">
        <v>53082</v>
      </c>
    </row>
    <row r="1153" spans="1:1">
      <c r="A1153" t="s">
        <v>53083</v>
      </c>
    </row>
    <row r="1154" spans="1:1">
      <c r="A1154" t="s">
        <v>53084</v>
      </c>
    </row>
    <row r="1155" spans="1:1">
      <c r="A1155" t="s">
        <v>53085</v>
      </c>
    </row>
    <row r="1156" spans="1:1">
      <c r="A1156" t="s">
        <v>53086</v>
      </c>
    </row>
    <row r="1157" spans="1:1">
      <c r="A1157" t="s">
        <v>53087</v>
      </c>
    </row>
    <row r="1158" spans="1:1">
      <c r="A1158" t="s">
        <v>53088</v>
      </c>
    </row>
    <row r="1159" spans="1:1">
      <c r="A1159" t="s">
        <v>53089</v>
      </c>
    </row>
    <row r="1160" spans="1:1">
      <c r="A1160" t="s">
        <v>53090</v>
      </c>
    </row>
    <row r="1161" spans="1:1">
      <c r="A1161" t="s">
        <v>53091</v>
      </c>
    </row>
    <row r="1162" spans="1:1">
      <c r="A1162" t="s">
        <v>53092</v>
      </c>
    </row>
    <row r="1163" spans="1:1">
      <c r="A1163" t="s">
        <v>53093</v>
      </c>
    </row>
    <row r="1164" spans="1:1">
      <c r="A1164" t="s">
        <v>53094</v>
      </c>
    </row>
    <row r="1165" spans="1:1">
      <c r="A1165" t="s">
        <v>53095</v>
      </c>
    </row>
    <row r="1166" spans="1:1">
      <c r="A1166" t="s">
        <v>53096</v>
      </c>
    </row>
    <row r="1167" spans="1:1">
      <c r="A1167" t="s">
        <v>53097</v>
      </c>
    </row>
    <row r="1168" spans="1:1">
      <c r="A1168" t="s">
        <v>53098</v>
      </c>
    </row>
    <row r="1169" spans="1:1">
      <c r="A1169" t="s">
        <v>53099</v>
      </c>
    </row>
    <row r="1170" spans="1:1">
      <c r="A1170" t="s">
        <v>53100</v>
      </c>
    </row>
    <row r="1171" spans="1:1">
      <c r="A1171" t="s">
        <v>53101</v>
      </c>
    </row>
    <row r="1172" spans="1:1">
      <c r="A1172" t="s">
        <v>53102</v>
      </c>
    </row>
    <row r="1173" spans="1:1">
      <c r="A1173" t="s">
        <v>53103</v>
      </c>
    </row>
    <row r="1174" spans="1:1">
      <c r="A1174" t="s">
        <v>53104</v>
      </c>
    </row>
    <row r="1175" spans="1:1">
      <c r="A1175" t="s">
        <v>53105</v>
      </c>
    </row>
    <row r="1176" spans="1:1">
      <c r="A1176" t="s">
        <v>53106</v>
      </c>
    </row>
    <row r="1177" spans="1:1">
      <c r="A1177" t="s">
        <v>53107</v>
      </c>
    </row>
    <row r="1178" spans="1:1">
      <c r="A1178" t="s">
        <v>53108</v>
      </c>
    </row>
    <row r="1179" spans="1:1">
      <c r="A1179" t="s">
        <v>53109</v>
      </c>
    </row>
    <row r="1180" spans="1:1">
      <c r="A1180" t="s">
        <v>53110</v>
      </c>
    </row>
    <row r="1181" spans="1:1">
      <c r="A1181" t="s">
        <v>53111</v>
      </c>
    </row>
    <row r="1182" spans="1:1">
      <c r="A1182" t="s">
        <v>53112</v>
      </c>
    </row>
    <row r="1183" spans="1:1">
      <c r="A1183" t="s">
        <v>53113</v>
      </c>
    </row>
    <row r="1184" spans="1:1">
      <c r="A1184" t="s">
        <v>53114</v>
      </c>
    </row>
    <row r="1185" spans="1:1">
      <c r="A1185" t="s">
        <v>53115</v>
      </c>
    </row>
    <row r="1186" spans="1:1">
      <c r="A1186" t="s">
        <v>53116</v>
      </c>
    </row>
    <row r="1187" spans="1:1">
      <c r="A1187" t="s">
        <v>53117</v>
      </c>
    </row>
    <row r="1188" spans="1:1">
      <c r="A1188" t="s">
        <v>53118</v>
      </c>
    </row>
    <row r="1189" spans="1:1">
      <c r="A1189" t="s">
        <v>53119</v>
      </c>
    </row>
    <row r="1190" spans="1:1">
      <c r="A1190" t="s">
        <v>53120</v>
      </c>
    </row>
    <row r="1191" spans="1:1">
      <c r="A1191" t="s">
        <v>53121</v>
      </c>
    </row>
    <row r="1192" spans="1:1">
      <c r="A1192" t="s">
        <v>53122</v>
      </c>
    </row>
    <row r="1193" spans="1:1">
      <c r="A1193" t="s">
        <v>53123</v>
      </c>
    </row>
    <row r="1194" spans="1:1">
      <c r="A1194" t="s">
        <v>53124</v>
      </c>
    </row>
    <row r="1195" spans="1:1">
      <c r="A1195" t="s">
        <v>53125</v>
      </c>
    </row>
    <row r="1196" spans="1:1">
      <c r="A1196" t="s">
        <v>53126</v>
      </c>
    </row>
    <row r="1197" spans="1:1">
      <c r="A1197" t="s">
        <v>53127</v>
      </c>
    </row>
    <row r="1198" spans="1:1">
      <c r="A1198" t="s">
        <v>53128</v>
      </c>
    </row>
    <row r="1199" spans="1:1">
      <c r="A1199" t="s">
        <v>53129</v>
      </c>
    </row>
    <row r="1200" spans="1:1">
      <c r="A1200" t="s">
        <v>53130</v>
      </c>
    </row>
    <row r="1201" spans="1:1">
      <c r="A1201" t="s">
        <v>53131</v>
      </c>
    </row>
    <row r="1202" spans="1:1">
      <c r="A1202" t="s">
        <v>53132</v>
      </c>
    </row>
    <row r="1203" spans="1:1">
      <c r="A1203" t="s">
        <v>53133</v>
      </c>
    </row>
    <row r="1204" spans="1:1">
      <c r="A1204" t="s">
        <v>53134</v>
      </c>
    </row>
    <row r="1205" spans="1:1">
      <c r="A1205" t="s">
        <v>53135</v>
      </c>
    </row>
    <row r="1206" spans="1:1">
      <c r="A1206" t="s">
        <v>53136</v>
      </c>
    </row>
    <row r="1207" spans="1:1">
      <c r="A1207" t="s">
        <v>53137</v>
      </c>
    </row>
    <row r="1208" spans="1:1">
      <c r="A1208" t="s">
        <v>53138</v>
      </c>
    </row>
    <row r="1209" spans="1:1">
      <c r="A1209" t="s">
        <v>53139</v>
      </c>
    </row>
    <row r="1210" spans="1:1">
      <c r="A1210" t="s">
        <v>53140</v>
      </c>
    </row>
    <row r="1211" spans="1:1">
      <c r="A1211" t="s">
        <v>53141</v>
      </c>
    </row>
    <row r="1212" spans="1:1">
      <c r="A1212" t="s">
        <v>53142</v>
      </c>
    </row>
    <row r="1213" spans="1:1">
      <c r="A1213" t="s">
        <v>53143</v>
      </c>
    </row>
    <row r="1214" spans="1:1">
      <c r="A1214" t="s">
        <v>53144</v>
      </c>
    </row>
    <row r="1215" spans="1:1">
      <c r="A1215" t="s">
        <v>53145</v>
      </c>
    </row>
    <row r="1216" spans="1:1">
      <c r="A1216" t="s">
        <v>53146</v>
      </c>
    </row>
    <row r="1217" spans="1:1">
      <c r="A1217" t="s">
        <v>53147</v>
      </c>
    </row>
    <row r="1218" spans="1:1">
      <c r="A1218" t="s">
        <v>53148</v>
      </c>
    </row>
    <row r="1219" spans="1:1">
      <c r="A1219" t="s">
        <v>53149</v>
      </c>
    </row>
    <row r="1220" spans="1:1">
      <c r="A1220" t="s">
        <v>53150</v>
      </c>
    </row>
    <row r="1221" spans="1:1">
      <c r="A1221" t="s">
        <v>53151</v>
      </c>
    </row>
    <row r="1222" spans="1:1">
      <c r="A1222" t="s">
        <v>53152</v>
      </c>
    </row>
    <row r="1223" spans="1:1">
      <c r="A1223" t="s">
        <v>53153</v>
      </c>
    </row>
    <row r="1224" spans="1:1">
      <c r="A1224" t="s">
        <v>53154</v>
      </c>
    </row>
    <row r="1225" spans="1:1">
      <c r="A1225" t="s">
        <v>53155</v>
      </c>
    </row>
    <row r="1226" spans="1:1">
      <c r="A1226" t="s">
        <v>53156</v>
      </c>
    </row>
    <row r="1227" spans="1:1">
      <c r="A1227" t="s">
        <v>53157</v>
      </c>
    </row>
    <row r="1228" spans="1:1">
      <c r="A1228" t="s">
        <v>53158</v>
      </c>
    </row>
    <row r="1229" spans="1:1">
      <c r="A1229" t="s">
        <v>53159</v>
      </c>
    </row>
    <row r="1230" spans="1:1">
      <c r="A1230" t="s">
        <v>53160</v>
      </c>
    </row>
    <row r="1231" spans="1:1">
      <c r="A1231" t="s">
        <v>53161</v>
      </c>
    </row>
    <row r="1232" spans="1:1">
      <c r="A1232" t="s">
        <v>53162</v>
      </c>
    </row>
    <row r="1233" spans="1:1">
      <c r="A1233" t="s">
        <v>53163</v>
      </c>
    </row>
    <row r="1234" spans="1:1">
      <c r="A1234" t="s">
        <v>53164</v>
      </c>
    </row>
    <row r="1235" spans="1:1">
      <c r="A1235" t="s">
        <v>53165</v>
      </c>
    </row>
    <row r="1236" spans="1:1">
      <c r="A1236" t="s">
        <v>53166</v>
      </c>
    </row>
    <row r="1237" spans="1:1">
      <c r="A1237" t="s">
        <v>53167</v>
      </c>
    </row>
    <row r="1238" spans="1:1">
      <c r="A1238" t="s">
        <v>53168</v>
      </c>
    </row>
    <row r="1239" spans="1:1">
      <c r="A1239" t="s">
        <v>53169</v>
      </c>
    </row>
    <row r="1240" spans="1:1">
      <c r="A1240" t="s">
        <v>53170</v>
      </c>
    </row>
    <row r="1241" spans="1:1">
      <c r="A1241" t="s">
        <v>53171</v>
      </c>
    </row>
    <row r="1242" spans="1:1">
      <c r="A1242" t="s">
        <v>53172</v>
      </c>
    </row>
    <row r="1243" spans="1:1">
      <c r="A1243" t="s">
        <v>53173</v>
      </c>
    </row>
    <row r="1244" spans="1:1">
      <c r="A1244" t="s">
        <v>53174</v>
      </c>
    </row>
    <row r="1245" spans="1:1">
      <c r="A1245" t="s">
        <v>53175</v>
      </c>
    </row>
    <row r="1246" spans="1:1">
      <c r="A1246" t="s">
        <v>53176</v>
      </c>
    </row>
    <row r="1247" spans="1:1">
      <c r="A1247" t="s">
        <v>53177</v>
      </c>
    </row>
    <row r="1248" spans="1:1">
      <c r="A1248" t="s">
        <v>53178</v>
      </c>
    </row>
    <row r="1249" spans="1:1">
      <c r="A1249" t="s">
        <v>53179</v>
      </c>
    </row>
    <row r="1250" spans="1:1">
      <c r="A1250" t="s">
        <v>53180</v>
      </c>
    </row>
    <row r="1251" spans="1:1">
      <c r="A1251" t="s">
        <v>53181</v>
      </c>
    </row>
    <row r="1252" spans="1:1">
      <c r="A1252" t="s">
        <v>53182</v>
      </c>
    </row>
    <row r="1253" spans="1:1">
      <c r="A1253" t="s">
        <v>53183</v>
      </c>
    </row>
    <row r="1254" spans="1:1">
      <c r="A1254" t="s">
        <v>53184</v>
      </c>
    </row>
    <row r="1255" spans="1:1">
      <c r="A1255" t="s">
        <v>53185</v>
      </c>
    </row>
    <row r="1256" spans="1:1">
      <c r="A1256" t="s">
        <v>53186</v>
      </c>
    </row>
    <row r="1257" spans="1:1">
      <c r="A1257" t="s">
        <v>53187</v>
      </c>
    </row>
    <row r="1258" spans="1:1">
      <c r="A1258" t="s">
        <v>53188</v>
      </c>
    </row>
    <row r="1259" spans="1:1">
      <c r="A1259" t="s">
        <v>53189</v>
      </c>
    </row>
    <row r="1260" spans="1:1">
      <c r="A1260" t="s">
        <v>53190</v>
      </c>
    </row>
    <row r="1261" spans="1:1">
      <c r="A1261" t="s">
        <v>53191</v>
      </c>
    </row>
    <row r="1262" spans="1:1">
      <c r="A1262" t="s">
        <v>53192</v>
      </c>
    </row>
    <row r="1263" spans="1:1">
      <c r="A1263" t="s">
        <v>53193</v>
      </c>
    </row>
    <row r="1264" spans="1:1">
      <c r="A1264" t="s">
        <v>53194</v>
      </c>
    </row>
    <row r="1265" spans="1:1">
      <c r="A1265" t="s">
        <v>53195</v>
      </c>
    </row>
    <row r="1266" spans="1:1">
      <c r="A1266" t="s">
        <v>53196</v>
      </c>
    </row>
    <row r="1267" spans="1:1">
      <c r="A1267" t="s">
        <v>53197</v>
      </c>
    </row>
    <row r="1268" spans="1:1">
      <c r="A1268" t="s">
        <v>53198</v>
      </c>
    </row>
    <row r="1269" spans="1:1">
      <c r="A1269" t="s">
        <v>53199</v>
      </c>
    </row>
    <row r="1270" spans="1:1">
      <c r="A1270" t="s">
        <v>53200</v>
      </c>
    </row>
    <row r="1271" spans="1:1">
      <c r="A1271" t="s">
        <v>53201</v>
      </c>
    </row>
    <row r="1272" spans="1:1">
      <c r="A1272" t="s">
        <v>53202</v>
      </c>
    </row>
    <row r="1273" spans="1:1">
      <c r="A1273" t="s">
        <v>53203</v>
      </c>
    </row>
    <row r="1274" spans="1:1">
      <c r="A1274" t="s">
        <v>53204</v>
      </c>
    </row>
    <row r="1275" spans="1:1">
      <c r="A1275" t="s">
        <v>53205</v>
      </c>
    </row>
    <row r="1276" spans="1:1">
      <c r="A1276" t="s">
        <v>53206</v>
      </c>
    </row>
    <row r="1277" spans="1:1">
      <c r="A1277" t="s">
        <v>53207</v>
      </c>
    </row>
    <row r="1278" spans="1:1">
      <c r="A1278" t="s">
        <v>53208</v>
      </c>
    </row>
    <row r="1279" spans="1:1">
      <c r="A1279" t="s">
        <v>53209</v>
      </c>
    </row>
    <row r="1280" spans="1:1">
      <c r="A1280" t="s">
        <v>53210</v>
      </c>
    </row>
    <row r="1281" spans="1:1">
      <c r="A1281" t="s">
        <v>53211</v>
      </c>
    </row>
    <row r="1282" spans="1:1">
      <c r="A1282" t="s">
        <v>53212</v>
      </c>
    </row>
    <row r="1283" spans="1:1">
      <c r="A1283" t="s">
        <v>53213</v>
      </c>
    </row>
    <row r="1284" spans="1:1">
      <c r="A1284" t="s">
        <v>53214</v>
      </c>
    </row>
    <row r="1285" spans="1:1">
      <c r="A1285" t="s">
        <v>53215</v>
      </c>
    </row>
    <row r="1286" spans="1:1">
      <c r="A1286" t="s">
        <v>53216</v>
      </c>
    </row>
    <row r="1287" spans="1:1">
      <c r="A1287" t="s">
        <v>53217</v>
      </c>
    </row>
    <row r="1288" spans="1:1">
      <c r="A1288" t="s">
        <v>53218</v>
      </c>
    </row>
    <row r="1289" spans="1:1">
      <c r="A1289" t="s">
        <v>53219</v>
      </c>
    </row>
    <row r="1290" spans="1:1">
      <c r="A1290" t="s">
        <v>53220</v>
      </c>
    </row>
    <row r="1291" spans="1:1">
      <c r="A1291" t="s">
        <v>53221</v>
      </c>
    </row>
    <row r="1292" spans="1:1">
      <c r="A1292" t="s">
        <v>53222</v>
      </c>
    </row>
    <row r="1293" spans="1:1">
      <c r="A1293" t="s">
        <v>53223</v>
      </c>
    </row>
    <row r="1294" spans="1:1">
      <c r="A1294" t="s">
        <v>53224</v>
      </c>
    </row>
    <row r="1295" spans="1:1">
      <c r="A1295" t="s">
        <v>53225</v>
      </c>
    </row>
    <row r="1296" spans="1:1">
      <c r="A1296" t="s">
        <v>53226</v>
      </c>
    </row>
    <row r="1297" spans="1:1">
      <c r="A1297" t="s">
        <v>53227</v>
      </c>
    </row>
    <row r="1298" spans="1:1">
      <c r="A1298" t="s">
        <v>53228</v>
      </c>
    </row>
    <row r="1299" spans="1:1">
      <c r="A1299" t="s">
        <v>53229</v>
      </c>
    </row>
    <row r="1300" spans="1:1">
      <c r="A1300" t="s">
        <v>53230</v>
      </c>
    </row>
    <row r="1301" spans="1:1">
      <c r="A1301" t="s">
        <v>53231</v>
      </c>
    </row>
    <row r="1302" spans="1:1">
      <c r="A1302" t="s">
        <v>53232</v>
      </c>
    </row>
    <row r="1303" spans="1:1">
      <c r="A1303" t="s">
        <v>53233</v>
      </c>
    </row>
    <row r="1304" spans="1:1">
      <c r="A1304" t="s">
        <v>53234</v>
      </c>
    </row>
    <row r="1305" spans="1:1">
      <c r="A1305" t="s">
        <v>53235</v>
      </c>
    </row>
    <row r="1306" spans="1:1">
      <c r="A1306" t="s">
        <v>53236</v>
      </c>
    </row>
    <row r="1307" spans="1:1">
      <c r="A1307" t="s">
        <v>53237</v>
      </c>
    </row>
    <row r="1308" spans="1:1">
      <c r="A1308" t="s">
        <v>53238</v>
      </c>
    </row>
    <row r="1309" spans="1:1">
      <c r="A1309" t="s">
        <v>53239</v>
      </c>
    </row>
    <row r="1310" spans="1:1">
      <c r="A1310" t="s">
        <v>53240</v>
      </c>
    </row>
    <row r="1311" spans="1:1">
      <c r="A1311" t="s">
        <v>53241</v>
      </c>
    </row>
    <row r="1312" spans="1:1">
      <c r="A1312" t="s">
        <v>53242</v>
      </c>
    </row>
    <row r="1313" spans="1:1">
      <c r="A1313" t="s">
        <v>53243</v>
      </c>
    </row>
    <row r="1314" spans="1:1">
      <c r="A1314" t="s">
        <v>53244</v>
      </c>
    </row>
    <row r="1315" spans="1:1">
      <c r="A1315" t="s">
        <v>53245</v>
      </c>
    </row>
    <row r="1316" spans="1:1">
      <c r="A1316" t="s">
        <v>53246</v>
      </c>
    </row>
    <row r="1317" spans="1:1">
      <c r="A1317" t="s">
        <v>53247</v>
      </c>
    </row>
    <row r="1318" spans="1:1">
      <c r="A1318" t="s">
        <v>53248</v>
      </c>
    </row>
    <row r="1319" spans="1:1">
      <c r="A1319" t="s">
        <v>53249</v>
      </c>
    </row>
    <row r="1320" spans="1:1">
      <c r="A1320" t="s">
        <v>53250</v>
      </c>
    </row>
    <row r="1321" spans="1:1">
      <c r="A1321" t="s">
        <v>53251</v>
      </c>
    </row>
    <row r="1322" spans="1:1">
      <c r="A1322" t="s">
        <v>53252</v>
      </c>
    </row>
    <row r="1323" spans="1:1">
      <c r="A1323" t="s">
        <v>53253</v>
      </c>
    </row>
    <row r="1324" spans="1:1">
      <c r="A1324" t="s">
        <v>53254</v>
      </c>
    </row>
    <row r="1325" spans="1:1">
      <c r="A1325" t="s">
        <v>53255</v>
      </c>
    </row>
    <row r="1326" spans="1:1">
      <c r="A1326" t="s">
        <v>53256</v>
      </c>
    </row>
    <row r="1327" spans="1:1">
      <c r="A1327" t="s">
        <v>53257</v>
      </c>
    </row>
    <row r="1328" spans="1:1">
      <c r="A1328" t="s">
        <v>53258</v>
      </c>
    </row>
    <row r="1329" spans="1:1">
      <c r="A1329" t="s">
        <v>53259</v>
      </c>
    </row>
    <row r="1330" spans="1:1">
      <c r="A1330" t="s">
        <v>53260</v>
      </c>
    </row>
    <row r="1331" spans="1:1">
      <c r="A1331" t="s">
        <v>53261</v>
      </c>
    </row>
    <row r="1332" spans="1:1">
      <c r="A1332" t="s">
        <v>53262</v>
      </c>
    </row>
    <row r="1333" spans="1:1">
      <c r="A1333" t="s">
        <v>53263</v>
      </c>
    </row>
    <row r="1334" spans="1:1">
      <c r="A1334" t="s">
        <v>53264</v>
      </c>
    </row>
    <row r="1335" spans="1:1">
      <c r="A1335" t="s">
        <v>53265</v>
      </c>
    </row>
    <row r="1336" spans="1:1">
      <c r="A1336" t="s">
        <v>53266</v>
      </c>
    </row>
    <row r="1337" spans="1:1">
      <c r="A1337" t="s">
        <v>53267</v>
      </c>
    </row>
    <row r="1338" spans="1:1">
      <c r="A1338" t="s">
        <v>53268</v>
      </c>
    </row>
    <row r="1339" spans="1:1">
      <c r="A1339" t="s">
        <v>53269</v>
      </c>
    </row>
    <row r="1340" spans="1:1">
      <c r="A1340" t="s">
        <v>53270</v>
      </c>
    </row>
    <row r="1341" spans="1:1">
      <c r="A1341" t="s">
        <v>53271</v>
      </c>
    </row>
    <row r="1342" spans="1:1">
      <c r="A1342" t="s">
        <v>53272</v>
      </c>
    </row>
    <row r="1343" spans="1:1">
      <c r="A1343" t="s">
        <v>53273</v>
      </c>
    </row>
    <row r="1344" spans="1:1">
      <c r="A1344" t="s">
        <v>53274</v>
      </c>
    </row>
    <row r="1345" spans="1:1">
      <c r="A1345" t="s">
        <v>53275</v>
      </c>
    </row>
    <row r="1346" spans="1:1">
      <c r="A1346" t="s">
        <v>53276</v>
      </c>
    </row>
    <row r="1347" spans="1:1">
      <c r="A1347" t="s">
        <v>53277</v>
      </c>
    </row>
    <row r="1348" spans="1:1">
      <c r="A1348" t="s">
        <v>53278</v>
      </c>
    </row>
    <row r="1349" spans="1:1">
      <c r="A1349" t="s">
        <v>53279</v>
      </c>
    </row>
    <row r="1350" spans="1:1">
      <c r="A1350" t="s">
        <v>53280</v>
      </c>
    </row>
    <row r="1351" spans="1:1">
      <c r="A1351" t="s">
        <v>53281</v>
      </c>
    </row>
    <row r="1352" spans="1:1">
      <c r="A1352" t="s">
        <v>53282</v>
      </c>
    </row>
    <row r="1353" spans="1:1">
      <c r="A1353" t="s">
        <v>53283</v>
      </c>
    </row>
    <row r="1354" spans="1:1">
      <c r="A1354" t="s">
        <v>53284</v>
      </c>
    </row>
    <row r="1355" spans="1:1">
      <c r="A1355" t="s">
        <v>53285</v>
      </c>
    </row>
    <row r="1356" spans="1:1">
      <c r="A1356" t="s">
        <v>53286</v>
      </c>
    </row>
    <row r="1357" spans="1:1">
      <c r="A1357" t="s">
        <v>53287</v>
      </c>
    </row>
    <row r="1358" spans="1:1">
      <c r="A1358" t="s">
        <v>53288</v>
      </c>
    </row>
    <row r="1359" spans="1:1">
      <c r="A1359" t="s">
        <v>53289</v>
      </c>
    </row>
    <row r="1360" spans="1:1">
      <c r="A1360" t="s">
        <v>53290</v>
      </c>
    </row>
    <row r="1361" spans="1:1">
      <c r="A1361" t="s">
        <v>53291</v>
      </c>
    </row>
    <row r="1362" spans="1:1">
      <c r="A1362" t="s">
        <v>53292</v>
      </c>
    </row>
    <row r="1363" spans="1:1">
      <c r="A1363" t="s">
        <v>53293</v>
      </c>
    </row>
    <row r="1364" spans="1:1">
      <c r="A1364" t="s">
        <v>53294</v>
      </c>
    </row>
    <row r="1365" spans="1:1">
      <c r="A1365" t="s">
        <v>53295</v>
      </c>
    </row>
    <row r="1366" spans="1:1">
      <c r="A1366" t="s">
        <v>53296</v>
      </c>
    </row>
    <row r="1367" spans="1:1">
      <c r="A1367" t="s">
        <v>53297</v>
      </c>
    </row>
    <row r="1368" spans="1:1">
      <c r="A1368" t="s">
        <v>53298</v>
      </c>
    </row>
    <row r="1369" spans="1:1">
      <c r="A1369" t="s">
        <v>53299</v>
      </c>
    </row>
    <row r="1370" spans="1:1">
      <c r="A1370" t="s">
        <v>53300</v>
      </c>
    </row>
    <row r="1371" spans="1:1">
      <c r="A1371" t="s">
        <v>53301</v>
      </c>
    </row>
    <row r="1372" spans="1:1">
      <c r="A1372" t="s">
        <v>53302</v>
      </c>
    </row>
    <row r="1373" spans="1:1">
      <c r="A1373" t="s">
        <v>53303</v>
      </c>
    </row>
    <row r="1374" spans="1:1">
      <c r="A1374" t="s">
        <v>53304</v>
      </c>
    </row>
    <row r="1375" spans="1:1">
      <c r="A1375" t="s">
        <v>53305</v>
      </c>
    </row>
    <row r="1376" spans="1:1">
      <c r="A1376" t="s">
        <v>53306</v>
      </c>
    </row>
    <row r="1377" spans="1:1">
      <c r="A1377" t="s">
        <v>53307</v>
      </c>
    </row>
    <row r="1378" spans="1:1">
      <c r="A1378" t="s">
        <v>53308</v>
      </c>
    </row>
    <row r="1379" spans="1:1">
      <c r="A1379" t="s">
        <v>53309</v>
      </c>
    </row>
    <row r="1380" spans="1:1">
      <c r="A1380" t="s">
        <v>53310</v>
      </c>
    </row>
    <row r="1381" spans="1:1">
      <c r="A1381" t="s">
        <v>53311</v>
      </c>
    </row>
    <row r="1382" spans="1:1">
      <c r="A1382" t="s">
        <v>53312</v>
      </c>
    </row>
    <row r="1383" spans="1:1">
      <c r="A1383" t="s">
        <v>53313</v>
      </c>
    </row>
    <row r="1384" spans="1:1">
      <c r="A1384" t="s">
        <v>53314</v>
      </c>
    </row>
    <row r="1385" spans="1:1">
      <c r="A1385" t="s">
        <v>53315</v>
      </c>
    </row>
    <row r="1386" spans="1:1">
      <c r="A1386" t="s">
        <v>53316</v>
      </c>
    </row>
    <row r="1387" spans="1:1">
      <c r="A1387" t="s">
        <v>53317</v>
      </c>
    </row>
    <row r="1388" spans="1:1">
      <c r="A1388" t="s">
        <v>53318</v>
      </c>
    </row>
    <row r="1389" spans="1:1">
      <c r="A1389" t="s">
        <v>53319</v>
      </c>
    </row>
    <row r="1390" spans="1:1">
      <c r="A1390" t="s">
        <v>53320</v>
      </c>
    </row>
    <row r="1391" spans="1:1">
      <c r="A1391" t="s">
        <v>53321</v>
      </c>
    </row>
    <row r="1392" spans="1:1">
      <c r="A1392" t="s">
        <v>53322</v>
      </c>
    </row>
    <row r="1393" spans="1:1">
      <c r="A1393" t="s">
        <v>53323</v>
      </c>
    </row>
    <row r="1394" spans="1:1">
      <c r="A1394" t="s">
        <v>53324</v>
      </c>
    </row>
    <row r="1395" spans="1:1">
      <c r="A1395" t="s">
        <v>53325</v>
      </c>
    </row>
    <row r="1396" spans="1:1">
      <c r="A1396" t="s">
        <v>53326</v>
      </c>
    </row>
    <row r="1397" spans="1:1">
      <c r="A1397" t="s">
        <v>53327</v>
      </c>
    </row>
    <row r="1398" spans="1:1">
      <c r="A1398" t="s">
        <v>53328</v>
      </c>
    </row>
    <row r="1399" spans="1:1">
      <c r="A1399" t="s">
        <v>53329</v>
      </c>
    </row>
    <row r="1400" spans="1:1">
      <c r="A1400" t="s">
        <v>53330</v>
      </c>
    </row>
    <row r="1401" spans="1:1">
      <c r="A1401" t="s">
        <v>53331</v>
      </c>
    </row>
    <row r="1402" spans="1:1">
      <c r="A1402" t="s">
        <v>53332</v>
      </c>
    </row>
    <row r="1403" spans="1:1">
      <c r="A1403" t="s">
        <v>53333</v>
      </c>
    </row>
    <row r="1404" spans="1:1">
      <c r="A1404" t="s">
        <v>53334</v>
      </c>
    </row>
    <row r="1405" spans="1:1">
      <c r="A1405" t="s">
        <v>53335</v>
      </c>
    </row>
    <row r="1406" spans="1:1">
      <c r="A1406" t="s">
        <v>53336</v>
      </c>
    </row>
    <row r="1407" spans="1:1">
      <c r="A1407" t="s">
        <v>53337</v>
      </c>
    </row>
    <row r="1408" spans="1:1">
      <c r="A1408" t="s">
        <v>53338</v>
      </c>
    </row>
    <row r="1409" spans="1:1">
      <c r="A1409" t="s">
        <v>53339</v>
      </c>
    </row>
    <row r="1410" spans="1:1">
      <c r="A1410" t="s">
        <v>53340</v>
      </c>
    </row>
    <row r="1411" spans="1:1">
      <c r="A1411" t="s">
        <v>53341</v>
      </c>
    </row>
    <row r="1412" spans="1:1">
      <c r="A1412" t="s">
        <v>53342</v>
      </c>
    </row>
    <row r="1413" spans="1:1">
      <c r="A1413" t="s">
        <v>53343</v>
      </c>
    </row>
    <row r="1414" spans="1:1">
      <c r="A1414" t="s">
        <v>53344</v>
      </c>
    </row>
    <row r="1415" spans="1:1">
      <c r="A1415" t="s">
        <v>53345</v>
      </c>
    </row>
    <row r="1416" spans="1:1">
      <c r="A1416" t="s">
        <v>53346</v>
      </c>
    </row>
    <row r="1417" spans="1:1">
      <c r="A1417" t="s">
        <v>53347</v>
      </c>
    </row>
    <row r="1418" spans="1:1">
      <c r="A1418" t="s">
        <v>53348</v>
      </c>
    </row>
    <row r="1419" spans="1:1">
      <c r="A1419" t="s">
        <v>53349</v>
      </c>
    </row>
    <row r="1420" spans="1:1">
      <c r="A1420" t="s">
        <v>53350</v>
      </c>
    </row>
    <row r="1421" spans="1:1">
      <c r="A1421" t="s">
        <v>53351</v>
      </c>
    </row>
    <row r="1422" spans="1:1">
      <c r="A1422" t="s">
        <v>53352</v>
      </c>
    </row>
    <row r="1423" spans="1:1">
      <c r="A1423" t="s">
        <v>53353</v>
      </c>
    </row>
    <row r="1424" spans="1:1">
      <c r="A1424" t="s">
        <v>53354</v>
      </c>
    </row>
    <row r="1425" spans="1:1">
      <c r="A1425" t="s">
        <v>53355</v>
      </c>
    </row>
    <row r="1426" spans="1:1">
      <c r="A1426" t="s">
        <v>53356</v>
      </c>
    </row>
    <row r="1427" spans="1:1">
      <c r="A1427" t="s">
        <v>53357</v>
      </c>
    </row>
    <row r="1428" spans="1:1">
      <c r="A1428" t="s">
        <v>53358</v>
      </c>
    </row>
    <row r="1429" spans="1:1">
      <c r="A1429" t="s">
        <v>53359</v>
      </c>
    </row>
    <row r="1430" spans="1:1">
      <c r="A1430" t="s">
        <v>53360</v>
      </c>
    </row>
    <row r="1431" spans="1:1">
      <c r="A1431" t="s">
        <v>53361</v>
      </c>
    </row>
    <row r="1432" spans="1:1">
      <c r="A1432" t="s">
        <v>53362</v>
      </c>
    </row>
    <row r="1433" spans="1:1">
      <c r="A1433" t="s">
        <v>53363</v>
      </c>
    </row>
    <row r="1434" spans="1:1">
      <c r="A1434" t="s">
        <v>53364</v>
      </c>
    </row>
    <row r="1435" spans="1:1">
      <c r="A1435" t="s">
        <v>53365</v>
      </c>
    </row>
    <row r="1436" spans="1:1">
      <c r="A1436" t="s">
        <v>53366</v>
      </c>
    </row>
    <row r="1437" spans="1:1">
      <c r="A1437" t="s">
        <v>53367</v>
      </c>
    </row>
    <row r="1438" spans="1:1">
      <c r="A1438" t="s">
        <v>53368</v>
      </c>
    </row>
    <row r="1439" spans="1:1">
      <c r="A1439" t="s">
        <v>53369</v>
      </c>
    </row>
    <row r="1440" spans="1:1">
      <c r="A1440" t="s">
        <v>53370</v>
      </c>
    </row>
    <row r="1441" spans="1:1">
      <c r="A1441" t="s">
        <v>53371</v>
      </c>
    </row>
    <row r="1442" spans="1:1">
      <c r="A1442" t="s">
        <v>53372</v>
      </c>
    </row>
    <row r="1443" spans="1:1">
      <c r="A1443" t="s">
        <v>53373</v>
      </c>
    </row>
    <row r="1444" spans="1:1">
      <c r="A1444" t="s">
        <v>53374</v>
      </c>
    </row>
    <row r="1445" spans="1:1">
      <c r="A1445" t="s">
        <v>53375</v>
      </c>
    </row>
    <row r="1446" spans="1:1">
      <c r="A1446" t="s">
        <v>52799</v>
      </c>
    </row>
    <row r="1447" spans="1:1">
      <c r="A1447" t="s">
        <v>53376</v>
      </c>
    </row>
    <row r="1448" spans="1:1">
      <c r="A1448" t="s">
        <v>53377</v>
      </c>
    </row>
    <row r="1449" spans="1:1">
      <c r="A1449" t="s">
        <v>53378</v>
      </c>
    </row>
    <row r="1450" spans="1:1">
      <c r="A1450" t="s">
        <v>53379</v>
      </c>
    </row>
    <row r="1451" spans="1:1">
      <c r="A1451" t="s">
        <v>53380</v>
      </c>
    </row>
    <row r="1452" spans="1:1">
      <c r="A1452" t="s">
        <v>53381</v>
      </c>
    </row>
    <row r="1453" spans="1:1">
      <c r="A1453" t="s">
        <v>53382</v>
      </c>
    </row>
    <row r="1454" spans="1:1">
      <c r="A1454" t="s">
        <v>53383</v>
      </c>
    </row>
    <row r="1455" spans="1:1">
      <c r="A1455" t="s">
        <v>53384</v>
      </c>
    </row>
    <row r="1456" spans="1:1">
      <c r="A1456" t="s">
        <v>53385</v>
      </c>
    </row>
    <row r="1457" spans="1:1">
      <c r="A1457" t="s">
        <v>53386</v>
      </c>
    </row>
    <row r="1458" spans="1:1">
      <c r="A1458" t="s">
        <v>53387</v>
      </c>
    </row>
    <row r="1459" spans="1:1">
      <c r="A1459" t="s">
        <v>53388</v>
      </c>
    </row>
    <row r="1460" spans="1:1">
      <c r="A1460" t="s">
        <v>53389</v>
      </c>
    </row>
    <row r="1461" spans="1:1">
      <c r="A1461" t="s">
        <v>53390</v>
      </c>
    </row>
    <row r="1462" spans="1:1">
      <c r="A1462" t="s">
        <v>53391</v>
      </c>
    </row>
    <row r="1463" spans="1:1">
      <c r="A1463" t="s">
        <v>53392</v>
      </c>
    </row>
    <row r="1464" spans="1:1">
      <c r="A1464" t="s">
        <v>53393</v>
      </c>
    </row>
    <row r="1465" spans="1:1">
      <c r="A1465" t="s">
        <v>53394</v>
      </c>
    </row>
    <row r="1466" spans="1:1">
      <c r="A1466" t="s">
        <v>53395</v>
      </c>
    </row>
    <row r="1467" spans="1:1">
      <c r="A1467" t="s">
        <v>53396</v>
      </c>
    </row>
    <row r="1468" spans="1:1">
      <c r="A1468" t="s">
        <v>53397</v>
      </c>
    </row>
    <row r="1469" spans="1:1">
      <c r="A1469" t="s">
        <v>53398</v>
      </c>
    </row>
    <row r="1470" spans="1:1">
      <c r="A1470" t="s">
        <v>53399</v>
      </c>
    </row>
    <row r="1471" spans="1:1">
      <c r="A1471" t="s">
        <v>53400</v>
      </c>
    </row>
    <row r="1472" spans="1:1">
      <c r="A1472" t="s">
        <v>53401</v>
      </c>
    </row>
    <row r="1473" spans="1:1">
      <c r="A1473" t="s">
        <v>53402</v>
      </c>
    </row>
    <row r="1474" spans="1:1">
      <c r="A1474" t="s">
        <v>53403</v>
      </c>
    </row>
    <row r="1475" spans="1:1">
      <c r="A1475" t="s">
        <v>53404</v>
      </c>
    </row>
    <row r="1476" spans="1:1">
      <c r="A1476" t="s">
        <v>53405</v>
      </c>
    </row>
    <row r="1477" spans="1:1">
      <c r="A1477" t="s">
        <v>53406</v>
      </c>
    </row>
    <row r="1478" spans="1:1">
      <c r="A1478" t="s">
        <v>53407</v>
      </c>
    </row>
    <row r="1479" spans="1:1">
      <c r="A1479" t="s">
        <v>53408</v>
      </c>
    </row>
    <row r="1480" spans="1:1">
      <c r="A1480" t="s">
        <v>53409</v>
      </c>
    </row>
    <row r="1481" spans="1:1">
      <c r="A1481" t="s">
        <v>53410</v>
      </c>
    </row>
    <row r="1482" spans="1:1">
      <c r="A1482" t="s">
        <v>53411</v>
      </c>
    </row>
    <row r="1483" spans="1:1">
      <c r="A1483" t="s">
        <v>53412</v>
      </c>
    </row>
    <row r="1484" spans="1:1">
      <c r="A1484" t="s">
        <v>53413</v>
      </c>
    </row>
    <row r="1485" spans="1:1">
      <c r="A1485" t="s">
        <v>53414</v>
      </c>
    </row>
    <row r="1486" spans="1:1">
      <c r="A1486" t="s">
        <v>53415</v>
      </c>
    </row>
    <row r="1487" spans="1:1">
      <c r="A1487" t="s">
        <v>53416</v>
      </c>
    </row>
    <row r="1488" spans="1:1">
      <c r="A1488" t="s">
        <v>53417</v>
      </c>
    </row>
    <row r="1489" spans="1:1">
      <c r="A1489" t="s">
        <v>53418</v>
      </c>
    </row>
    <row r="1490" spans="1:1">
      <c r="A1490" t="s">
        <v>53419</v>
      </c>
    </row>
    <row r="1491" spans="1:1">
      <c r="A1491" t="s">
        <v>53420</v>
      </c>
    </row>
    <row r="1492" spans="1:1">
      <c r="A1492" t="s">
        <v>53421</v>
      </c>
    </row>
    <row r="1493" spans="1:1">
      <c r="A1493" t="s">
        <v>53422</v>
      </c>
    </row>
    <row r="1494" spans="1:1">
      <c r="A1494" t="s">
        <v>53423</v>
      </c>
    </row>
    <row r="1495" spans="1:1">
      <c r="A1495" t="s">
        <v>53424</v>
      </c>
    </row>
    <row r="1496" spans="1:1">
      <c r="A1496" t="s">
        <v>53425</v>
      </c>
    </row>
    <row r="1497" spans="1:1">
      <c r="A1497" t="s">
        <v>53426</v>
      </c>
    </row>
    <row r="1498" spans="1:1">
      <c r="A1498" t="s">
        <v>53427</v>
      </c>
    </row>
    <row r="1499" spans="1:1">
      <c r="A1499" t="s">
        <v>53428</v>
      </c>
    </row>
    <row r="1500" spans="1:1">
      <c r="A1500" t="s">
        <v>53429</v>
      </c>
    </row>
    <row r="1501" spans="1:1">
      <c r="A1501" t="s">
        <v>53430</v>
      </c>
    </row>
    <row r="1502" spans="1:1">
      <c r="A1502" t="s">
        <v>53431</v>
      </c>
    </row>
    <row r="1503" spans="1:1">
      <c r="A1503" t="s">
        <v>53432</v>
      </c>
    </row>
    <row r="1504" spans="1:1">
      <c r="A1504" t="s">
        <v>53433</v>
      </c>
    </row>
    <row r="1505" spans="1:1">
      <c r="A1505" t="s">
        <v>53434</v>
      </c>
    </row>
    <row r="1506" spans="1:1">
      <c r="A1506" t="s">
        <v>53435</v>
      </c>
    </row>
    <row r="1507" spans="1:1">
      <c r="A1507" t="s">
        <v>53436</v>
      </c>
    </row>
    <row r="1508" spans="1:1">
      <c r="A1508" t="s">
        <v>53437</v>
      </c>
    </row>
    <row r="1509" spans="1:1">
      <c r="A1509" t="s">
        <v>53438</v>
      </c>
    </row>
    <row r="1510" spans="1:1">
      <c r="A1510" t="s">
        <v>53439</v>
      </c>
    </row>
    <row r="1511" spans="1:1">
      <c r="A1511" t="s">
        <v>53440</v>
      </c>
    </row>
    <row r="1512" spans="1:1">
      <c r="A1512" t="s">
        <v>53441</v>
      </c>
    </row>
    <row r="1513" spans="1:1">
      <c r="A1513" t="s">
        <v>53442</v>
      </c>
    </row>
    <row r="1514" spans="1:1">
      <c r="A1514" t="s">
        <v>53443</v>
      </c>
    </row>
    <row r="1515" spans="1:1">
      <c r="A1515" t="s">
        <v>53444</v>
      </c>
    </row>
    <row r="1516" spans="1:1">
      <c r="A1516" t="s">
        <v>53445</v>
      </c>
    </row>
    <row r="1517" spans="1:1">
      <c r="A1517" t="s">
        <v>53446</v>
      </c>
    </row>
    <row r="1518" spans="1:1">
      <c r="A1518" t="s">
        <v>53447</v>
      </c>
    </row>
    <row r="1519" spans="1:1">
      <c r="A1519" t="s">
        <v>53448</v>
      </c>
    </row>
    <row r="1520" spans="1:1">
      <c r="A1520" t="s">
        <v>53449</v>
      </c>
    </row>
    <row r="1521" spans="1:1">
      <c r="A1521" t="s">
        <v>53450</v>
      </c>
    </row>
    <row r="1522" spans="1:1">
      <c r="A1522" t="s">
        <v>53451</v>
      </c>
    </row>
    <row r="1523" spans="1:1">
      <c r="A1523" t="s">
        <v>53452</v>
      </c>
    </row>
    <row r="1524" spans="1:1">
      <c r="A1524" t="s">
        <v>53453</v>
      </c>
    </row>
    <row r="1525" spans="1:1">
      <c r="A1525" t="s">
        <v>53454</v>
      </c>
    </row>
    <row r="1526" spans="1:1">
      <c r="A1526" t="s">
        <v>53455</v>
      </c>
    </row>
    <row r="1527" spans="1:1">
      <c r="A1527" t="s">
        <v>53456</v>
      </c>
    </row>
    <row r="1528" spans="1:1">
      <c r="A1528" t="s">
        <v>53457</v>
      </c>
    </row>
    <row r="1529" spans="1:1">
      <c r="A1529" t="s">
        <v>53458</v>
      </c>
    </row>
    <row r="1530" spans="1:1">
      <c r="A1530" t="s">
        <v>53459</v>
      </c>
    </row>
    <row r="1531" spans="1:1">
      <c r="A1531" t="s">
        <v>53460</v>
      </c>
    </row>
    <row r="1532" spans="1:1">
      <c r="A1532" t="s">
        <v>53461</v>
      </c>
    </row>
    <row r="1533" spans="1:1">
      <c r="A1533" t="s">
        <v>53462</v>
      </c>
    </row>
    <row r="1534" spans="1:1">
      <c r="A1534" t="s">
        <v>53463</v>
      </c>
    </row>
    <row r="1535" spans="1:1">
      <c r="A1535" t="s">
        <v>53464</v>
      </c>
    </row>
    <row r="1536" spans="1:1">
      <c r="A1536" t="s">
        <v>53465</v>
      </c>
    </row>
    <row r="1537" spans="1:1">
      <c r="A1537" t="s">
        <v>38506</v>
      </c>
    </row>
    <row r="1538" spans="1:1">
      <c r="A1538" t="s">
        <v>53466</v>
      </c>
    </row>
    <row r="1539" spans="1:1">
      <c r="A1539" t="s">
        <v>53467</v>
      </c>
    </row>
    <row r="1540" spans="1:1">
      <c r="A1540" t="s">
        <v>53468</v>
      </c>
    </row>
    <row r="1541" spans="1:1">
      <c r="A1541" t="s">
        <v>53469</v>
      </c>
    </row>
    <row r="1542" spans="1:1">
      <c r="A1542" t="s">
        <v>53470</v>
      </c>
    </row>
    <row r="1543" spans="1:1">
      <c r="A1543" t="s">
        <v>53471</v>
      </c>
    </row>
    <row r="1544" spans="1:1">
      <c r="A1544" t="s">
        <v>53472</v>
      </c>
    </row>
    <row r="1545" spans="1:1">
      <c r="A1545" t="s">
        <v>53473</v>
      </c>
    </row>
    <row r="1546" spans="1:1">
      <c r="A1546" t="s">
        <v>53474</v>
      </c>
    </row>
    <row r="1547" spans="1:1">
      <c r="A1547" t="s">
        <v>53475</v>
      </c>
    </row>
    <row r="1548" spans="1:1">
      <c r="A1548" t="s">
        <v>53476</v>
      </c>
    </row>
    <row r="1549" spans="1:1">
      <c r="A1549" t="s">
        <v>53477</v>
      </c>
    </row>
    <row r="1550" spans="1:1">
      <c r="A1550" t="s">
        <v>53478</v>
      </c>
    </row>
    <row r="1551" spans="1:1">
      <c r="A1551" t="s">
        <v>53479</v>
      </c>
    </row>
    <row r="1552" spans="1:1">
      <c r="A1552" t="s">
        <v>53480</v>
      </c>
    </row>
    <row r="1553" spans="1:1">
      <c r="A1553" t="s">
        <v>53481</v>
      </c>
    </row>
    <row r="1554" spans="1:1">
      <c r="A1554" t="s">
        <v>53482</v>
      </c>
    </row>
    <row r="1555" spans="1:1">
      <c r="A1555" t="s">
        <v>53483</v>
      </c>
    </row>
    <row r="1556" spans="1:1">
      <c r="A1556" t="s">
        <v>53484</v>
      </c>
    </row>
    <row r="1557" spans="1:1">
      <c r="A1557" t="s">
        <v>53485</v>
      </c>
    </row>
    <row r="1558" spans="1:1">
      <c r="A1558" t="s">
        <v>53486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670C3-EB7F-A04A-9D7B-0EA0C8E0B4F8}">
  <dimension ref="A1:A23954"/>
  <sheetViews>
    <sheetView tabSelected="1" workbookViewId="0">
      <selection activeCell="A3" sqref="A3"/>
    </sheetView>
  </sheetViews>
  <sheetFormatPr baseColWidth="10" defaultRowHeight="16"/>
  <sheetData>
    <row r="1" spans="1:1">
      <c r="A1" s="35" t="s">
        <v>53141</v>
      </c>
    </row>
    <row r="2" spans="1:1">
      <c r="A2" s="35" t="s">
        <v>59815</v>
      </c>
    </row>
    <row r="3" spans="1:1">
      <c r="A3" s="35" t="s">
        <v>53487</v>
      </c>
    </row>
    <row r="4" spans="1:1">
      <c r="A4" s="35" t="s">
        <v>53488</v>
      </c>
    </row>
    <row r="5" spans="1:1">
      <c r="A5" s="35" t="s">
        <v>53489</v>
      </c>
    </row>
    <row r="6" spans="1:1">
      <c r="A6" s="35" t="s">
        <v>53490</v>
      </c>
    </row>
    <row r="7" spans="1:1">
      <c r="A7" s="35" t="s">
        <v>53491</v>
      </c>
    </row>
    <row r="8" spans="1:1">
      <c r="A8" s="35" t="s">
        <v>41057</v>
      </c>
    </row>
    <row r="9" spans="1:1">
      <c r="A9" s="35" t="s">
        <v>41057</v>
      </c>
    </row>
    <row r="10" spans="1:1">
      <c r="A10" s="35" t="s">
        <v>41057</v>
      </c>
    </row>
    <row r="11" spans="1:1">
      <c r="A11" s="35" t="s">
        <v>53492</v>
      </c>
    </row>
    <row r="12" spans="1:1">
      <c r="A12" s="35" t="s">
        <v>53493</v>
      </c>
    </row>
    <row r="13" spans="1:1">
      <c r="A13" s="35" t="s">
        <v>53494</v>
      </c>
    </row>
    <row r="14" spans="1:1">
      <c r="A14" s="35" t="s">
        <v>53495</v>
      </c>
    </row>
    <row r="15" spans="1:1">
      <c r="A15" s="35" t="s">
        <v>41057</v>
      </c>
    </row>
    <row r="16" spans="1:1">
      <c r="A16" s="35" t="s">
        <v>41057</v>
      </c>
    </row>
    <row r="17" spans="1:1">
      <c r="A17" s="35" t="e" cm="1">
        <f t="array" ref="A17">---------------DVTF------------------WRL-------------------Q</f>
        <v>#NAME?</v>
      </c>
    </row>
    <row r="18" spans="1:1">
      <c r="A18" s="35" t="s">
        <v>53496</v>
      </c>
    </row>
    <row r="19" spans="1:1">
      <c r="A19" s="35" t="s">
        <v>53497</v>
      </c>
    </row>
    <row r="20" spans="1:1">
      <c r="A20" s="35" t="s">
        <v>41057</v>
      </c>
    </row>
    <row r="21" spans="1:1">
      <c r="A21" s="35" t="s">
        <v>53498</v>
      </c>
    </row>
    <row r="22" spans="1:1">
      <c r="A22" s="35" t="s">
        <v>41057</v>
      </c>
    </row>
    <row r="23" spans="1:1">
      <c r="A23" s="35" t="s">
        <v>41057</v>
      </c>
    </row>
    <row r="24" spans="1:1">
      <c r="A24" s="35" t="s">
        <v>53499</v>
      </c>
    </row>
    <row r="25" spans="1:1">
      <c r="A25" s="35" t="s">
        <v>41057</v>
      </c>
    </row>
    <row r="26" spans="1:1">
      <c r="A26" s="35" t="s">
        <v>41057</v>
      </c>
    </row>
    <row r="27" spans="1:1">
      <c r="A27" s="35" t="s">
        <v>53500</v>
      </c>
    </row>
    <row r="28" spans="1:1">
      <c r="A28" s="35" t="s">
        <v>41057</v>
      </c>
    </row>
    <row r="29" spans="1:1">
      <c r="A29" s="35" t="s">
        <v>41057</v>
      </c>
    </row>
    <row r="30" spans="1:1">
      <c r="A30" s="35" t="s">
        <v>53501</v>
      </c>
    </row>
    <row r="31" spans="1:1">
      <c r="A31" s="35" t="s">
        <v>41057</v>
      </c>
    </row>
    <row r="32" spans="1:1">
      <c r="A32" s="35" t="s">
        <v>53502</v>
      </c>
    </row>
    <row r="33" spans="1:1">
      <c r="A33" s="35" t="s">
        <v>41057</v>
      </c>
    </row>
    <row r="34" spans="1:1">
      <c r="A34" s="35" t="s">
        <v>53503</v>
      </c>
    </row>
    <row r="35" spans="1:1">
      <c r="A35" s="35" t="s">
        <v>53504</v>
      </c>
    </row>
    <row r="36" spans="1:1">
      <c r="A36" s="35" t="s">
        <v>41057</v>
      </c>
    </row>
    <row r="37" spans="1:1">
      <c r="A37" s="35" t="s">
        <v>41057</v>
      </c>
    </row>
    <row r="38" spans="1:1">
      <c r="A38" s="35" t="s">
        <v>53505</v>
      </c>
    </row>
    <row r="39" spans="1:1">
      <c r="A39" s="35" t="s">
        <v>41057</v>
      </c>
    </row>
    <row r="40" spans="1:1">
      <c r="A40" s="35" t="s">
        <v>41057</v>
      </c>
    </row>
    <row r="41" spans="1:1">
      <c r="A41" s="35" t="s">
        <v>41057</v>
      </c>
    </row>
    <row r="42" spans="1:1">
      <c r="A42" s="35" t="s">
        <v>41057</v>
      </c>
    </row>
    <row r="43" spans="1:1">
      <c r="A43" s="35" t="s">
        <v>41057</v>
      </c>
    </row>
    <row r="44" spans="1:1">
      <c r="A44" s="35" t="s">
        <v>53506</v>
      </c>
    </row>
    <row r="45" spans="1:1">
      <c r="A45" s="35" t="s">
        <v>53507</v>
      </c>
    </row>
    <row r="46" spans="1:1">
      <c r="A46" s="35" t="s">
        <v>41057</v>
      </c>
    </row>
    <row r="47" spans="1:1">
      <c r="A47" s="35" t="s">
        <v>53508</v>
      </c>
    </row>
    <row r="48" spans="1:1">
      <c r="A48" s="35" t="s">
        <v>41057</v>
      </c>
    </row>
    <row r="49" spans="1:1">
      <c r="A49" s="35" t="s">
        <v>41057</v>
      </c>
    </row>
    <row r="50" spans="1:1">
      <c r="A50" s="35" t="s">
        <v>41057</v>
      </c>
    </row>
    <row r="51" spans="1:1">
      <c r="A51" s="35" t="s">
        <v>41057</v>
      </c>
    </row>
    <row r="52" spans="1:1">
      <c r="A52" s="35" t="s">
        <v>53509</v>
      </c>
    </row>
    <row r="53" spans="1:1">
      <c r="A53" s="35" t="s">
        <v>41057</v>
      </c>
    </row>
    <row r="54" spans="1:1">
      <c r="A54" s="35" t="e" cm="1">
        <f t="array" ref="A54">-----------------------------------------------------------I</f>
        <v>#NAME?</v>
      </c>
    </row>
    <row r="55" spans="1:1">
      <c r="A55" s="35" t="s">
        <v>53510</v>
      </c>
    </row>
    <row r="56" spans="1:1">
      <c r="A56" s="35" t="s">
        <v>41057</v>
      </c>
    </row>
    <row r="57" spans="1:1">
      <c r="A57" s="35" t="s">
        <v>41057</v>
      </c>
    </row>
    <row r="58" spans="1:1">
      <c r="A58" s="35" t="s">
        <v>53511</v>
      </c>
    </row>
    <row r="59" spans="1:1">
      <c r="A59" s="35" t="s">
        <v>41057</v>
      </c>
    </row>
    <row r="60" spans="1:1">
      <c r="A60" s="35" t="s">
        <v>53512</v>
      </c>
    </row>
    <row r="61" spans="1:1">
      <c r="A61" s="35" t="s">
        <v>41057</v>
      </c>
    </row>
    <row r="62" spans="1:1">
      <c r="A62" s="35" t="s">
        <v>41057</v>
      </c>
    </row>
    <row r="63" spans="1:1">
      <c r="A63" s="35" t="s">
        <v>53513</v>
      </c>
    </row>
    <row r="64" spans="1:1">
      <c r="A64" s="35" t="s">
        <v>53514</v>
      </c>
    </row>
    <row r="65" spans="1:1">
      <c r="A65" s="35" t="s">
        <v>53515</v>
      </c>
    </row>
    <row r="66" spans="1:1">
      <c r="A66" s="35" t="s">
        <v>41057</v>
      </c>
    </row>
    <row r="67" spans="1:1">
      <c r="A67" s="35" t="s">
        <v>41057</v>
      </c>
    </row>
    <row r="68" spans="1:1">
      <c r="A68" s="35" t="s">
        <v>41057</v>
      </c>
    </row>
    <row r="69" spans="1:1">
      <c r="A69" s="35" t="s">
        <v>41057</v>
      </c>
    </row>
    <row r="70" spans="1:1">
      <c r="A70" s="35" t="s">
        <v>41057</v>
      </c>
    </row>
    <row r="71" spans="1:1">
      <c r="A71" s="35" t="e" cm="1">
        <f t="array" ref="A71">-------------------------------------------------RWANSM----H</f>
        <v>#NAME?</v>
      </c>
    </row>
    <row r="72" spans="1:1">
      <c r="A72" s="35" t="s">
        <v>53516</v>
      </c>
    </row>
    <row r="73" spans="1:1">
      <c r="A73" s="35" t="e" cm="1">
        <f t="array" ref="A73">---------------GTWMEIVSELEL---------PEDK------------------QT</f>
        <v>#NAME?</v>
      </c>
    </row>
    <row r="74" spans="1:1">
      <c r="A74" s="35" t="s">
        <v>53517</v>
      </c>
    </row>
    <row r="75" spans="1:1">
      <c r="A75" s="35" t="e" cm="1">
        <f t="array" ref="A75">----------YPDYD-----------------------------LYT--N--------ST</f>
        <v>#NAME?</v>
      </c>
    </row>
    <row r="76" spans="1:1">
      <c r="A76" s="35" t="s">
        <v>53518</v>
      </c>
    </row>
    <row r="77" spans="1:1">
      <c r="A77" s="35" t="s">
        <v>53519</v>
      </c>
    </row>
    <row r="78" spans="1:1">
      <c r="A78" s="35" t="s">
        <v>41057</v>
      </c>
    </row>
    <row r="79" spans="1:1">
      <c r="A79" s="35" t="s">
        <v>53520</v>
      </c>
    </row>
    <row r="80" spans="1:1">
      <c r="A80" s="35" t="s">
        <v>53521</v>
      </c>
    </row>
    <row r="81" spans="1:1">
      <c r="A81" s="35" t="s">
        <v>53522</v>
      </c>
    </row>
    <row r="82" spans="1:1">
      <c r="A82" s="35" t="s">
        <v>41057</v>
      </c>
    </row>
    <row r="83" spans="1:1">
      <c r="A83" s="35" t="s">
        <v>41057</v>
      </c>
    </row>
    <row r="84" spans="1:1">
      <c r="A84" s="35" t="s">
        <v>41057</v>
      </c>
    </row>
    <row r="85" spans="1:1">
      <c r="A85" s="35" t="s">
        <v>53523</v>
      </c>
    </row>
    <row r="86" spans="1:1">
      <c r="A86" s="35" t="s">
        <v>41057</v>
      </c>
    </row>
    <row r="87" spans="1:1">
      <c r="A87" s="35" t="s">
        <v>41057</v>
      </c>
    </row>
    <row r="88" spans="1:1">
      <c r="A88" s="35" t="s">
        <v>53524</v>
      </c>
    </row>
    <row r="89" spans="1:1">
      <c r="A89" s="35" t="s">
        <v>53525</v>
      </c>
    </row>
    <row r="90" spans="1:1">
      <c r="A90" s="35" t="s">
        <v>53526</v>
      </c>
    </row>
    <row r="91" spans="1:1">
      <c r="A91" s="35" t="s">
        <v>53527</v>
      </c>
    </row>
    <row r="92" spans="1:1">
      <c r="A92" s="35" t="e" cm="1">
        <f t="array" ref="A92">----------------------------------------------------------HH</f>
        <v>#NAME?</v>
      </c>
    </row>
    <row r="93" spans="1:1">
      <c r="A93" s="35" t="s">
        <v>53528</v>
      </c>
    </row>
    <row r="94" spans="1:1">
      <c r="A94" s="35" t="s">
        <v>53529</v>
      </c>
    </row>
    <row r="95" spans="1:1">
      <c r="A95" s="35" t="s">
        <v>53530</v>
      </c>
    </row>
    <row r="96" spans="1:1">
      <c r="A96" s="35" t="s">
        <v>41057</v>
      </c>
    </row>
    <row r="97" spans="1:1">
      <c r="A97" s="35" t="s">
        <v>53531</v>
      </c>
    </row>
    <row r="98" spans="1:1">
      <c r="A98" s="35" t="s">
        <v>53532</v>
      </c>
    </row>
    <row r="99" spans="1:1">
      <c r="A99" s="35" t="s">
        <v>53533</v>
      </c>
    </row>
    <row r="100" spans="1:1">
      <c r="A100" s="35" t="s">
        <v>41057</v>
      </c>
    </row>
    <row r="101" spans="1:1">
      <c r="A101" s="35" t="s">
        <v>53534</v>
      </c>
    </row>
    <row r="102" spans="1:1">
      <c r="A102" s="35" t="s">
        <v>53535</v>
      </c>
    </row>
    <row r="103" spans="1:1">
      <c r="A103" s="35" t="s">
        <v>41057</v>
      </c>
    </row>
    <row r="104" spans="1:1">
      <c r="A104" s="35" t="s">
        <v>41057</v>
      </c>
    </row>
    <row r="105" spans="1:1">
      <c r="A105" s="35" t="s">
        <v>41057</v>
      </c>
    </row>
    <row r="106" spans="1:1">
      <c r="A106" s="35" t="e" cm="1">
        <f t="array" ref="A106">---------------------------------------------------DDIDPVASA</f>
        <v>#NAME?</v>
      </c>
    </row>
    <row r="107" spans="1:1">
      <c r="A107" s="35" t="s">
        <v>53536</v>
      </c>
    </row>
    <row r="108" spans="1:1">
      <c r="A108" s="35" t="s">
        <v>53537</v>
      </c>
    </row>
    <row r="109" spans="1:1">
      <c r="A109" s="35" t="s">
        <v>53538</v>
      </c>
    </row>
    <row r="110" spans="1:1">
      <c r="A110" s="35" t="s">
        <v>53539</v>
      </c>
    </row>
    <row r="111" spans="1:1">
      <c r="A111" s="35" t="s">
        <v>53540</v>
      </c>
    </row>
    <row r="112" spans="1:1">
      <c r="A112" s="35" t="s">
        <v>53541</v>
      </c>
    </row>
    <row r="113" spans="1:1">
      <c r="A113" s="35" t="s">
        <v>41057</v>
      </c>
    </row>
    <row r="114" spans="1:1">
      <c r="A114" s="35" t="s">
        <v>53542</v>
      </c>
    </row>
    <row r="115" spans="1:1">
      <c r="A115" s="35" t="s">
        <v>53543</v>
      </c>
    </row>
    <row r="116" spans="1:1">
      <c r="A116" s="35" t="s">
        <v>53544</v>
      </c>
    </row>
    <row r="117" spans="1:1">
      <c r="A117" s="35" t="s">
        <v>41057</v>
      </c>
    </row>
    <row r="118" spans="1:1">
      <c r="A118" s="35" t="s">
        <v>53545</v>
      </c>
    </row>
    <row r="119" spans="1:1">
      <c r="A119" s="35" t="s">
        <v>52215</v>
      </c>
    </row>
    <row r="120" spans="1:1">
      <c r="A120" s="35" t="s">
        <v>41057</v>
      </c>
    </row>
    <row r="121" spans="1:1">
      <c r="A121" s="35" t="s">
        <v>41057</v>
      </c>
    </row>
    <row r="122" spans="1:1">
      <c r="A122" s="35" t="s">
        <v>41057</v>
      </c>
    </row>
    <row r="123" spans="1:1">
      <c r="A123" s="35" t="s">
        <v>41057</v>
      </c>
    </row>
    <row r="124" spans="1:1">
      <c r="A124" s="35" t="s">
        <v>41057</v>
      </c>
    </row>
    <row r="125" spans="1:1">
      <c r="A125" s="35" t="s">
        <v>53546</v>
      </c>
    </row>
    <row r="126" spans="1:1">
      <c r="A126" s="35" t="s">
        <v>41057</v>
      </c>
    </row>
    <row r="127" spans="1:1">
      <c r="A127" s="35" t="s">
        <v>41057</v>
      </c>
    </row>
    <row r="128" spans="1:1">
      <c r="A128" s="35" t="s">
        <v>41057</v>
      </c>
    </row>
    <row r="129" spans="1:1">
      <c r="A129" s="35" t="s">
        <v>53547</v>
      </c>
    </row>
    <row r="130" spans="1:1">
      <c r="A130" s="35" t="s">
        <v>53548</v>
      </c>
    </row>
    <row r="131" spans="1:1">
      <c r="A131" s="35" t="s">
        <v>53549</v>
      </c>
    </row>
    <row r="132" spans="1:1">
      <c r="A132" s="35" t="s">
        <v>53550</v>
      </c>
    </row>
    <row r="133" spans="1:1">
      <c r="A133" s="35" t="s">
        <v>41057</v>
      </c>
    </row>
    <row r="134" spans="1:1">
      <c r="A134" s="35" t="s">
        <v>41057</v>
      </c>
    </row>
    <row r="135" spans="1:1">
      <c r="A135" s="35" t="e" cm="1">
        <f t="array" ref="A135">---------------EYTY------------------FIK-------------------N</f>
        <v>#NAME?</v>
      </c>
    </row>
    <row r="136" spans="1:1">
      <c r="A136" s="35" t="s">
        <v>53551</v>
      </c>
    </row>
    <row r="137" spans="1:1">
      <c r="A137" s="35" t="s">
        <v>53552</v>
      </c>
    </row>
    <row r="138" spans="1:1">
      <c r="A138" s="35" t="s">
        <v>41057</v>
      </c>
    </row>
    <row r="139" spans="1:1">
      <c r="A139" s="35" t="s">
        <v>53553</v>
      </c>
    </row>
    <row r="140" spans="1:1">
      <c r="A140" s="35" t="s">
        <v>41057</v>
      </c>
    </row>
    <row r="141" spans="1:1">
      <c r="A141" s="35" t="s">
        <v>41057</v>
      </c>
    </row>
    <row r="142" spans="1:1">
      <c r="A142" s="35" t="s">
        <v>53554</v>
      </c>
    </row>
    <row r="143" spans="1:1">
      <c r="A143" s="35" t="s">
        <v>41057</v>
      </c>
    </row>
    <row r="144" spans="1:1">
      <c r="A144" s="35" t="s">
        <v>41057</v>
      </c>
    </row>
    <row r="145" spans="1:1">
      <c r="A145" s="35" t="s">
        <v>53500</v>
      </c>
    </row>
    <row r="146" spans="1:1">
      <c r="A146" s="35" t="s">
        <v>41057</v>
      </c>
    </row>
    <row r="147" spans="1:1">
      <c r="A147" s="35" t="s">
        <v>41057</v>
      </c>
    </row>
    <row r="148" spans="1:1">
      <c r="A148" s="35" t="s">
        <v>53555</v>
      </c>
    </row>
    <row r="149" spans="1:1">
      <c r="A149" s="35" t="s">
        <v>41057</v>
      </c>
    </row>
    <row r="150" spans="1:1">
      <c r="A150" s="35" t="s">
        <v>53556</v>
      </c>
    </row>
    <row r="151" spans="1:1">
      <c r="A151" s="35" t="s">
        <v>41057</v>
      </c>
    </row>
    <row r="152" spans="1:1">
      <c r="A152" s="35" t="s">
        <v>53557</v>
      </c>
    </row>
    <row r="153" spans="1:1">
      <c r="A153" s="35" t="s">
        <v>53558</v>
      </c>
    </row>
    <row r="154" spans="1:1">
      <c r="A154" s="35" t="s">
        <v>41057</v>
      </c>
    </row>
    <row r="155" spans="1:1">
      <c r="A155" s="35" t="s">
        <v>41057</v>
      </c>
    </row>
    <row r="156" spans="1:1">
      <c r="A156" s="35" t="s">
        <v>53559</v>
      </c>
    </row>
    <row r="157" spans="1:1">
      <c r="A157" s="35" t="s">
        <v>41057</v>
      </c>
    </row>
    <row r="158" spans="1:1">
      <c r="A158" s="35" t="s">
        <v>41057</v>
      </c>
    </row>
    <row r="159" spans="1:1">
      <c r="A159" s="35" t="s">
        <v>41057</v>
      </c>
    </row>
    <row r="160" spans="1:1">
      <c r="A160" s="35" t="s">
        <v>41057</v>
      </c>
    </row>
    <row r="161" spans="1:1">
      <c r="A161" s="35" t="s">
        <v>41057</v>
      </c>
    </row>
    <row r="162" spans="1:1">
      <c r="A162" s="35" t="s">
        <v>53560</v>
      </c>
    </row>
    <row r="163" spans="1:1">
      <c r="A163" s="35" t="s">
        <v>41057</v>
      </c>
    </row>
    <row r="164" spans="1:1">
      <c r="A164" s="35" t="s">
        <v>41057</v>
      </c>
    </row>
    <row r="165" spans="1:1">
      <c r="A165" s="35" t="s">
        <v>53561</v>
      </c>
    </row>
    <row r="166" spans="1:1">
      <c r="A166" s="35" t="s">
        <v>41057</v>
      </c>
    </row>
    <row r="167" spans="1:1">
      <c r="A167" s="35" t="s">
        <v>41057</v>
      </c>
    </row>
    <row r="168" spans="1:1">
      <c r="A168" s="35" t="s">
        <v>41057</v>
      </c>
    </row>
    <row r="169" spans="1:1">
      <c r="A169" s="35" t="s">
        <v>41057</v>
      </c>
    </row>
    <row r="170" spans="1:1">
      <c r="A170" s="35" t="s">
        <v>41057</v>
      </c>
    </row>
    <row r="171" spans="1:1">
      <c r="A171" s="35" t="s">
        <v>41057</v>
      </c>
    </row>
    <row r="172" spans="1:1">
      <c r="A172" s="35" t="s">
        <v>41057</v>
      </c>
    </row>
    <row r="173" spans="1:1">
      <c r="A173" s="35" t="s">
        <v>41057</v>
      </c>
    </row>
    <row r="174" spans="1:1">
      <c r="A174" s="35" t="s">
        <v>41057</v>
      </c>
    </row>
    <row r="175" spans="1:1">
      <c r="A175" s="35" t="s">
        <v>41057</v>
      </c>
    </row>
    <row r="176" spans="1:1">
      <c r="A176" s="35" t="s">
        <v>41057</v>
      </c>
    </row>
    <row r="177" spans="1:1">
      <c r="A177" s="35" t="s">
        <v>41057</v>
      </c>
    </row>
    <row r="178" spans="1:1">
      <c r="A178" s="35" t="s">
        <v>41057</v>
      </c>
    </row>
    <row r="179" spans="1:1">
      <c r="A179" s="35" t="s">
        <v>41057</v>
      </c>
    </row>
    <row r="180" spans="1:1">
      <c r="A180" s="35" t="s">
        <v>41057</v>
      </c>
    </row>
    <row r="181" spans="1:1">
      <c r="A181" s="35" t="s">
        <v>41057</v>
      </c>
    </row>
    <row r="182" spans="1:1">
      <c r="A182" s="35" t="s">
        <v>41057</v>
      </c>
    </row>
    <row r="183" spans="1:1">
      <c r="A183" s="35" t="s">
        <v>41057</v>
      </c>
    </row>
    <row r="184" spans="1:1">
      <c r="A184" s="35" t="s">
        <v>41057</v>
      </c>
    </row>
    <row r="185" spans="1:1">
      <c r="A185" s="35" t="s">
        <v>41057</v>
      </c>
    </row>
    <row r="186" spans="1:1">
      <c r="A186" s="35" t="s">
        <v>41057</v>
      </c>
    </row>
    <row r="187" spans="1:1">
      <c r="A187" s="35" t="s">
        <v>41057</v>
      </c>
    </row>
    <row r="188" spans="1:1">
      <c r="A188" s="35" t="s">
        <v>41057</v>
      </c>
    </row>
    <row r="189" spans="1:1">
      <c r="A189" s="35" t="e" cm="1">
        <f t="array" ref="A189">-------------------------------------------------GYVESI---GH</f>
        <v>#NAME?</v>
      </c>
    </row>
    <row r="190" spans="1:1">
      <c r="A190" s="35" t="s">
        <v>53562</v>
      </c>
    </row>
    <row r="191" spans="1:1">
      <c r="A191" s="35" t="e" cm="1">
        <f t="array" ref="A191">---------------SDFLAIYSDNYV---------TQTK------------------QH</f>
        <v>#NAME?</v>
      </c>
    </row>
    <row r="192" spans="1:1">
      <c r="A192" s="35" t="s">
        <v>53563</v>
      </c>
    </row>
    <row r="193" spans="1:1">
      <c r="A193" s="35" t="s">
        <v>53564</v>
      </c>
    </row>
    <row r="194" spans="1:1">
      <c r="A194" s="35" t="s">
        <v>41057</v>
      </c>
    </row>
    <row r="195" spans="1:1">
      <c r="A195" s="35" t="s">
        <v>53565</v>
      </c>
    </row>
    <row r="196" spans="1:1">
      <c r="A196" s="35" t="s">
        <v>41057</v>
      </c>
    </row>
    <row r="197" spans="1:1">
      <c r="A197" s="35" t="s">
        <v>53566</v>
      </c>
    </row>
    <row r="198" spans="1:1">
      <c r="A198" s="35" t="s">
        <v>53567</v>
      </c>
    </row>
    <row r="199" spans="1:1">
      <c r="A199" s="35" t="s">
        <v>53568</v>
      </c>
    </row>
    <row r="200" spans="1:1">
      <c r="A200" s="35" t="s">
        <v>41057</v>
      </c>
    </row>
    <row r="201" spans="1:1">
      <c r="A201" s="35" t="s">
        <v>41057</v>
      </c>
    </row>
    <row r="202" spans="1:1">
      <c r="A202" s="35" t="s">
        <v>41057</v>
      </c>
    </row>
    <row r="203" spans="1:1">
      <c r="A203" s="35" t="s">
        <v>53569</v>
      </c>
    </row>
    <row r="204" spans="1:1">
      <c r="A204" s="35" t="s">
        <v>41057</v>
      </c>
    </row>
    <row r="205" spans="1:1">
      <c r="A205" s="35" t="s">
        <v>41057</v>
      </c>
    </row>
    <row r="206" spans="1:1">
      <c r="A206" s="35" t="s">
        <v>53570</v>
      </c>
    </row>
    <row r="207" spans="1:1">
      <c r="A207" s="35" t="s">
        <v>53571</v>
      </c>
    </row>
    <row r="208" spans="1:1">
      <c r="A208" s="35" t="s">
        <v>53572</v>
      </c>
    </row>
    <row r="209" spans="1:1">
      <c r="A209" s="35" t="s">
        <v>53573</v>
      </c>
    </row>
    <row r="210" spans="1:1">
      <c r="A210" s="35" t="e" cm="1">
        <f t="array" ref="A210">----------------------------------------------------------ES</f>
        <v>#NAME?</v>
      </c>
    </row>
    <row r="211" spans="1:1">
      <c r="A211" s="35" t="s">
        <v>53574</v>
      </c>
    </row>
    <row r="212" spans="1:1">
      <c r="A212" s="35" t="s">
        <v>53575</v>
      </c>
    </row>
    <row r="213" spans="1:1">
      <c r="A213" s="35" t="s">
        <v>53576</v>
      </c>
    </row>
    <row r="214" spans="1:1">
      <c r="A214" s="35" t="s">
        <v>41057</v>
      </c>
    </row>
    <row r="215" spans="1:1">
      <c r="A215" s="35" t="s">
        <v>53577</v>
      </c>
    </row>
    <row r="216" spans="1:1">
      <c r="A216" s="35" t="s">
        <v>53578</v>
      </c>
    </row>
    <row r="217" spans="1:1">
      <c r="A217" s="35" t="s">
        <v>53579</v>
      </c>
    </row>
    <row r="218" spans="1:1">
      <c r="A218" s="35" t="s">
        <v>41057</v>
      </c>
    </row>
    <row r="219" spans="1:1">
      <c r="A219" s="35" t="s">
        <v>53580</v>
      </c>
    </row>
    <row r="220" spans="1:1">
      <c r="A220" s="35" t="s">
        <v>53581</v>
      </c>
    </row>
    <row r="221" spans="1:1">
      <c r="A221" s="35" t="s">
        <v>41057</v>
      </c>
    </row>
    <row r="222" spans="1:1">
      <c r="A222" s="35" t="s">
        <v>41057</v>
      </c>
    </row>
    <row r="223" spans="1:1">
      <c r="A223" s="35" t="s">
        <v>41057</v>
      </c>
    </row>
    <row r="224" spans="1:1">
      <c r="A224" s="35" t="e" cm="1">
        <f t="array" ref="A224">---------------------GE-------------------------Y--VNYEHLQNL</f>
        <v>#NAME?</v>
      </c>
    </row>
    <row r="225" spans="1:1">
      <c r="A225" s="35" t="s">
        <v>53582</v>
      </c>
    </row>
    <row r="226" spans="1:1">
      <c r="A226" s="35" t="s">
        <v>53583</v>
      </c>
    </row>
    <row r="227" spans="1:1">
      <c r="A227" s="35" t="s">
        <v>53584</v>
      </c>
    </row>
    <row r="228" spans="1:1">
      <c r="A228" s="35" t="s">
        <v>53585</v>
      </c>
    </row>
    <row r="229" spans="1:1">
      <c r="A229" s="35" t="s">
        <v>53586</v>
      </c>
    </row>
    <row r="230" spans="1:1">
      <c r="A230" s="35" t="s">
        <v>53587</v>
      </c>
    </row>
    <row r="231" spans="1:1">
      <c r="A231" s="35" t="s">
        <v>41057</v>
      </c>
    </row>
    <row r="232" spans="1:1">
      <c r="A232" s="35" t="s">
        <v>53588</v>
      </c>
    </row>
    <row r="233" spans="1:1">
      <c r="A233" s="35" t="s">
        <v>53589</v>
      </c>
    </row>
    <row r="234" spans="1:1">
      <c r="A234" s="35" t="s">
        <v>53590</v>
      </c>
    </row>
    <row r="235" spans="1:1">
      <c r="A235" s="35" t="s">
        <v>41057</v>
      </c>
    </row>
    <row r="236" spans="1:1">
      <c r="A236" s="35" t="s">
        <v>53545</v>
      </c>
    </row>
    <row r="237" spans="1:1">
      <c r="A237" s="35" t="s">
        <v>52526</v>
      </c>
    </row>
    <row r="238" spans="1:1">
      <c r="A238" s="35" t="s">
        <v>41057</v>
      </c>
    </row>
    <row r="239" spans="1:1">
      <c r="A239" s="35" t="s">
        <v>41057</v>
      </c>
    </row>
    <row r="240" spans="1:1">
      <c r="A240" s="35" t="s">
        <v>41057</v>
      </c>
    </row>
    <row r="241" spans="1:1">
      <c r="A241" s="35" t="s">
        <v>41057</v>
      </c>
    </row>
    <row r="242" spans="1:1">
      <c r="A242" s="35" t="s">
        <v>41057</v>
      </c>
    </row>
    <row r="243" spans="1:1">
      <c r="A243" s="35" t="s">
        <v>53546</v>
      </c>
    </row>
    <row r="244" spans="1:1">
      <c r="A244" s="35" t="s">
        <v>41057</v>
      </c>
    </row>
    <row r="245" spans="1:1">
      <c r="A245" s="35" t="s">
        <v>41057</v>
      </c>
    </row>
    <row r="246" spans="1:1">
      <c r="A246" s="35" t="s">
        <v>41057</v>
      </c>
    </row>
    <row r="247" spans="1:1">
      <c r="A247" s="35" t="s">
        <v>53591</v>
      </c>
    </row>
    <row r="248" spans="1:1">
      <c r="A248" s="35" t="s">
        <v>53592</v>
      </c>
    </row>
    <row r="249" spans="1:1">
      <c r="A249" s="35" t="s">
        <v>53593</v>
      </c>
    </row>
    <row r="250" spans="1:1">
      <c r="A250" s="35" t="s">
        <v>53594</v>
      </c>
    </row>
    <row r="251" spans="1:1">
      <c r="A251" s="35" t="s">
        <v>41057</v>
      </c>
    </row>
    <row r="252" spans="1:1">
      <c r="A252" s="35" t="s">
        <v>41057</v>
      </c>
    </row>
    <row r="253" spans="1:1">
      <c r="A253" s="35" t="e" cm="1">
        <f t="array" ref="A253">---------------DYSY------------------FVE-------------------S</f>
        <v>#NAME?</v>
      </c>
    </row>
    <row r="254" spans="1:1">
      <c r="A254" s="35" t="s">
        <v>53595</v>
      </c>
    </row>
    <row r="255" spans="1:1">
      <c r="A255" s="35" t="s">
        <v>53596</v>
      </c>
    </row>
    <row r="256" spans="1:1">
      <c r="A256" s="35" t="s">
        <v>41057</v>
      </c>
    </row>
    <row r="257" spans="1:1">
      <c r="A257" s="35" t="s">
        <v>53597</v>
      </c>
    </row>
    <row r="258" spans="1:1">
      <c r="A258" s="35" t="s">
        <v>41057</v>
      </c>
    </row>
    <row r="259" spans="1:1">
      <c r="A259" s="35" t="s">
        <v>41057</v>
      </c>
    </row>
    <row r="260" spans="1:1">
      <c r="A260" s="35" t="s">
        <v>53598</v>
      </c>
    </row>
    <row r="261" spans="1:1">
      <c r="A261" s="35" t="s">
        <v>41057</v>
      </c>
    </row>
    <row r="262" spans="1:1">
      <c r="A262" s="35" t="s">
        <v>41057</v>
      </c>
    </row>
    <row r="263" spans="1:1">
      <c r="A263" s="35" t="s">
        <v>53500</v>
      </c>
    </row>
    <row r="264" spans="1:1">
      <c r="A264" s="35" t="s">
        <v>41057</v>
      </c>
    </row>
    <row r="265" spans="1:1">
      <c r="A265" s="35" t="s">
        <v>41057</v>
      </c>
    </row>
    <row r="266" spans="1:1">
      <c r="A266" s="35" t="s">
        <v>53599</v>
      </c>
    </row>
    <row r="267" spans="1:1">
      <c r="A267" s="35" t="s">
        <v>41057</v>
      </c>
    </row>
    <row r="268" spans="1:1">
      <c r="A268" s="35" t="s">
        <v>53600</v>
      </c>
    </row>
    <row r="269" spans="1:1">
      <c r="A269" s="35" t="s">
        <v>41057</v>
      </c>
    </row>
    <row r="270" spans="1:1">
      <c r="A270" s="35" t="s">
        <v>53557</v>
      </c>
    </row>
    <row r="271" spans="1:1">
      <c r="A271" s="35" t="s">
        <v>53601</v>
      </c>
    </row>
    <row r="272" spans="1:1">
      <c r="A272" s="35" t="s">
        <v>41057</v>
      </c>
    </row>
    <row r="273" spans="1:1">
      <c r="A273" s="35" t="s">
        <v>41057</v>
      </c>
    </row>
    <row r="274" spans="1:1">
      <c r="A274" s="35" t="s">
        <v>53602</v>
      </c>
    </row>
    <row r="275" spans="1:1">
      <c r="A275" s="35" t="s">
        <v>41057</v>
      </c>
    </row>
    <row r="276" spans="1:1">
      <c r="A276" s="35" t="s">
        <v>41057</v>
      </c>
    </row>
    <row r="277" spans="1:1">
      <c r="A277" s="35" t="s">
        <v>41057</v>
      </c>
    </row>
    <row r="278" spans="1:1">
      <c r="A278" s="35" t="s">
        <v>41057</v>
      </c>
    </row>
    <row r="279" spans="1:1">
      <c r="A279" s="35" t="s">
        <v>41057</v>
      </c>
    </row>
    <row r="280" spans="1:1">
      <c r="A280" s="35" t="s">
        <v>53603</v>
      </c>
    </row>
    <row r="281" spans="1:1">
      <c r="A281" s="35" t="s">
        <v>41057</v>
      </c>
    </row>
    <row r="282" spans="1:1">
      <c r="A282" s="35" t="s">
        <v>41057</v>
      </c>
    </row>
    <row r="283" spans="1:1">
      <c r="A283" s="35" t="s">
        <v>41057</v>
      </c>
    </row>
    <row r="284" spans="1:1">
      <c r="A284" s="35" t="s">
        <v>41057</v>
      </c>
    </row>
    <row r="285" spans="1:1">
      <c r="A285" s="35" t="s">
        <v>41057</v>
      </c>
    </row>
    <row r="286" spans="1:1">
      <c r="A286" s="35" t="s">
        <v>41057</v>
      </c>
    </row>
    <row r="287" spans="1:1">
      <c r="A287" s="35" t="s">
        <v>41057</v>
      </c>
    </row>
    <row r="288" spans="1:1">
      <c r="A288" s="35" t="s">
        <v>41057</v>
      </c>
    </row>
    <row r="289" spans="1:1">
      <c r="A289" s="35" t="s">
        <v>41057</v>
      </c>
    </row>
    <row r="290" spans="1:1">
      <c r="A290" s="35" t="s">
        <v>41057</v>
      </c>
    </row>
    <row r="291" spans="1:1">
      <c r="A291" s="35" t="s">
        <v>41057</v>
      </c>
    </row>
    <row r="292" spans="1:1">
      <c r="A292" s="35" t="s">
        <v>41057</v>
      </c>
    </row>
    <row r="293" spans="1:1">
      <c r="A293" s="35" t="s">
        <v>41057</v>
      </c>
    </row>
    <row r="294" spans="1:1">
      <c r="A294" s="35" t="s">
        <v>41057</v>
      </c>
    </row>
    <row r="295" spans="1:1">
      <c r="A295" s="35" t="s">
        <v>41057</v>
      </c>
    </row>
    <row r="296" spans="1:1">
      <c r="A296" s="35" t="s">
        <v>41057</v>
      </c>
    </row>
    <row r="297" spans="1:1">
      <c r="A297" s="35" t="s">
        <v>41057</v>
      </c>
    </row>
    <row r="298" spans="1:1">
      <c r="A298" s="35" t="s">
        <v>41057</v>
      </c>
    </row>
    <row r="299" spans="1:1">
      <c r="A299" s="35" t="s">
        <v>41057</v>
      </c>
    </row>
    <row r="300" spans="1:1">
      <c r="A300" s="35" t="s">
        <v>41057</v>
      </c>
    </row>
    <row r="301" spans="1:1">
      <c r="A301" s="35" t="s">
        <v>41057</v>
      </c>
    </row>
    <row r="302" spans="1:1">
      <c r="A302" s="35" t="s">
        <v>41057</v>
      </c>
    </row>
    <row r="303" spans="1:1">
      <c r="A303" s="35" t="s">
        <v>41057</v>
      </c>
    </row>
    <row r="304" spans="1:1">
      <c r="A304" s="35" t="s">
        <v>41057</v>
      </c>
    </row>
    <row r="305" spans="1:1">
      <c r="A305" s="35" t="s">
        <v>41057</v>
      </c>
    </row>
    <row r="306" spans="1:1">
      <c r="A306" s="35" t="s">
        <v>41057</v>
      </c>
    </row>
    <row r="307" spans="1:1">
      <c r="A307" s="35" t="e" cm="1">
        <f t="array" ref="A307">--------------------------------------------------YIESV---AH</f>
        <v>#NAME?</v>
      </c>
    </row>
    <row r="308" spans="1:1">
      <c r="A308" s="35" t="s">
        <v>53604</v>
      </c>
    </row>
    <row r="309" spans="1:1">
      <c r="A309" s="35" t="e" cm="1">
        <f t="array" ref="A309">---------------SDYLQIYSEHNV---------TQTK------------------QK</f>
        <v>#NAME?</v>
      </c>
    </row>
    <row r="310" spans="1:1">
      <c r="A310" s="35" t="s">
        <v>53605</v>
      </c>
    </row>
    <row r="311" spans="1:1">
      <c r="A311" s="35" t="s">
        <v>53606</v>
      </c>
    </row>
    <row r="312" spans="1:1">
      <c r="A312" s="35" t="s">
        <v>41057</v>
      </c>
    </row>
    <row r="313" spans="1:1">
      <c r="A313" s="35" t="s">
        <v>53607</v>
      </c>
    </row>
    <row r="314" spans="1:1">
      <c r="A314" s="35" t="s">
        <v>41057</v>
      </c>
    </row>
    <row r="315" spans="1:1">
      <c r="A315" s="35" t="s">
        <v>53608</v>
      </c>
    </row>
    <row r="316" spans="1:1">
      <c r="A316" s="35" t="s">
        <v>53609</v>
      </c>
    </row>
    <row r="317" spans="1:1">
      <c r="A317" s="35" t="s">
        <v>53610</v>
      </c>
    </row>
    <row r="318" spans="1:1">
      <c r="A318" s="35" t="s">
        <v>41057</v>
      </c>
    </row>
    <row r="319" spans="1:1">
      <c r="A319" s="35" t="s">
        <v>41057</v>
      </c>
    </row>
    <row r="320" spans="1:1">
      <c r="A320" s="35" t="s">
        <v>41057</v>
      </c>
    </row>
    <row r="321" spans="1:1">
      <c r="A321" s="35" t="s">
        <v>53611</v>
      </c>
    </row>
    <row r="322" spans="1:1">
      <c r="A322" s="35" t="s">
        <v>41057</v>
      </c>
    </row>
    <row r="323" spans="1:1">
      <c r="A323" s="35" t="s">
        <v>41057</v>
      </c>
    </row>
    <row r="324" spans="1:1">
      <c r="A324" s="35" t="s">
        <v>53612</v>
      </c>
    </row>
    <row r="325" spans="1:1">
      <c r="A325" s="35" t="s">
        <v>53613</v>
      </c>
    </row>
    <row r="326" spans="1:1">
      <c r="A326" s="35" t="s">
        <v>53614</v>
      </c>
    </row>
    <row r="327" spans="1:1">
      <c r="A327" s="35" t="s">
        <v>53615</v>
      </c>
    </row>
    <row r="328" spans="1:1">
      <c r="A328" s="35" t="s">
        <v>53616</v>
      </c>
    </row>
    <row r="329" spans="1:1">
      <c r="A329" s="35" t="s">
        <v>41057</v>
      </c>
    </row>
    <row r="330" spans="1:1">
      <c r="A330" s="35" t="s">
        <v>53617</v>
      </c>
    </row>
    <row r="331" spans="1:1">
      <c r="A331" s="35" t="s">
        <v>53618</v>
      </c>
    </row>
    <row r="332" spans="1:1">
      <c r="A332" s="35" t="s">
        <v>41057</v>
      </c>
    </row>
    <row r="333" spans="1:1">
      <c r="A333" s="35" t="s">
        <v>53619</v>
      </c>
    </row>
    <row r="334" spans="1:1">
      <c r="A334" s="35" t="s">
        <v>53620</v>
      </c>
    </row>
    <row r="335" spans="1:1">
      <c r="A335" s="35" t="s">
        <v>53621</v>
      </c>
    </row>
    <row r="336" spans="1:1">
      <c r="A336" s="35" t="s">
        <v>41057</v>
      </c>
    </row>
    <row r="337" spans="1:1">
      <c r="A337" s="35" t="s">
        <v>53622</v>
      </c>
    </row>
    <row r="338" spans="1:1">
      <c r="A338" s="35" t="s">
        <v>53623</v>
      </c>
    </row>
    <row r="339" spans="1:1">
      <c r="A339" s="35" t="s">
        <v>41057</v>
      </c>
    </row>
    <row r="340" spans="1:1">
      <c r="A340" s="35" t="s">
        <v>41057</v>
      </c>
    </row>
    <row r="341" spans="1:1">
      <c r="A341" s="35" t="s">
        <v>41057</v>
      </c>
    </row>
    <row r="342" spans="1:1">
      <c r="A342" s="35" t="e" cm="1">
        <f t="array" ref="A342">---------------------GK-------------------------F--ILYENLDYL</f>
        <v>#NAME?</v>
      </c>
    </row>
    <row r="343" spans="1:1">
      <c r="A343" s="35" t="s">
        <v>53624</v>
      </c>
    </row>
    <row r="344" spans="1:1">
      <c r="A344" s="35" t="s">
        <v>53625</v>
      </c>
    </row>
    <row r="345" spans="1:1">
      <c r="A345" s="35" t="s">
        <v>53626</v>
      </c>
    </row>
    <row r="346" spans="1:1">
      <c r="A346" s="35" t="s">
        <v>53627</v>
      </c>
    </row>
    <row r="347" spans="1:1">
      <c r="A347" s="35" t="s">
        <v>53628</v>
      </c>
    </row>
    <row r="348" spans="1:1">
      <c r="A348" s="35" t="s">
        <v>53629</v>
      </c>
    </row>
    <row r="349" spans="1:1">
      <c r="A349" s="35" t="s">
        <v>41057</v>
      </c>
    </row>
    <row r="350" spans="1:1">
      <c r="A350" s="35" t="s">
        <v>53630</v>
      </c>
    </row>
    <row r="351" spans="1:1">
      <c r="A351" s="35" t="s">
        <v>53631</v>
      </c>
    </row>
    <row r="352" spans="1:1">
      <c r="A352" s="35" t="s">
        <v>53632</v>
      </c>
    </row>
    <row r="353" spans="1:1">
      <c r="A353" s="35" t="s">
        <v>53633</v>
      </c>
    </row>
    <row r="354" spans="1:1">
      <c r="A354" s="35" t="s">
        <v>53545</v>
      </c>
    </row>
    <row r="355" spans="1:1">
      <c r="A355" s="35" t="s">
        <v>52233</v>
      </c>
    </row>
    <row r="356" spans="1:1">
      <c r="A356" s="35" t="s">
        <v>41057</v>
      </c>
    </row>
    <row r="357" spans="1:1">
      <c r="A357" s="35" t="s">
        <v>41057</v>
      </c>
    </row>
    <row r="358" spans="1:1">
      <c r="A358" s="35" t="s">
        <v>41057</v>
      </c>
    </row>
    <row r="359" spans="1:1">
      <c r="A359" s="35" t="s">
        <v>41057</v>
      </c>
    </row>
    <row r="360" spans="1:1">
      <c r="A360" s="35" t="s">
        <v>41057</v>
      </c>
    </row>
    <row r="361" spans="1:1">
      <c r="A361" s="35" t="s">
        <v>41057</v>
      </c>
    </row>
    <row r="362" spans="1:1">
      <c r="A362" s="35" t="s">
        <v>41057</v>
      </c>
    </row>
    <row r="363" spans="1:1">
      <c r="A363" s="35" t="s">
        <v>41057</v>
      </c>
    </row>
    <row r="364" spans="1:1">
      <c r="A364" s="35" t="s">
        <v>41057</v>
      </c>
    </row>
    <row r="365" spans="1:1">
      <c r="A365" s="35" t="s">
        <v>53634</v>
      </c>
    </row>
    <row r="366" spans="1:1">
      <c r="A366" s="35" t="s">
        <v>53635</v>
      </c>
    </row>
    <row r="367" spans="1:1">
      <c r="A367" s="35" t="s">
        <v>53636</v>
      </c>
    </row>
    <row r="368" spans="1:1">
      <c r="A368" s="35" t="s">
        <v>53637</v>
      </c>
    </row>
    <row r="369" spans="1:1">
      <c r="A369" s="35" t="s">
        <v>41057</v>
      </c>
    </row>
    <row r="370" spans="1:1">
      <c r="A370" s="35" t="s">
        <v>41057</v>
      </c>
    </row>
    <row r="371" spans="1:1">
      <c r="A371" s="35" t="e" cm="1">
        <f t="array" ref="A371">---------------QFSY------------------FLM-------------------N</f>
        <v>#NAME?</v>
      </c>
    </row>
    <row r="372" spans="1:1">
      <c r="A372" s="35" t="s">
        <v>53638</v>
      </c>
    </row>
    <row r="373" spans="1:1">
      <c r="A373" s="35" t="s">
        <v>53639</v>
      </c>
    </row>
    <row r="374" spans="1:1">
      <c r="A374" s="35" t="s">
        <v>41057</v>
      </c>
    </row>
    <row r="375" spans="1:1">
      <c r="A375" s="35" t="s">
        <v>53640</v>
      </c>
    </row>
    <row r="376" spans="1:1">
      <c r="A376" s="35" t="s">
        <v>41057</v>
      </c>
    </row>
    <row r="377" spans="1:1">
      <c r="A377" s="35" t="s">
        <v>41057</v>
      </c>
    </row>
    <row r="378" spans="1:1">
      <c r="A378" s="35" t="s">
        <v>53641</v>
      </c>
    </row>
    <row r="379" spans="1:1">
      <c r="A379" s="35" t="s">
        <v>41057</v>
      </c>
    </row>
    <row r="380" spans="1:1">
      <c r="A380" s="35" t="s">
        <v>41057</v>
      </c>
    </row>
    <row r="381" spans="1:1">
      <c r="A381" s="35" t="s">
        <v>53500</v>
      </c>
    </row>
    <row r="382" spans="1:1">
      <c r="A382" s="35" t="s">
        <v>41057</v>
      </c>
    </row>
    <row r="383" spans="1:1">
      <c r="A383" s="35" t="s">
        <v>41057</v>
      </c>
    </row>
    <row r="384" spans="1:1">
      <c r="A384" s="35" t="s">
        <v>53642</v>
      </c>
    </row>
    <row r="385" spans="1:1">
      <c r="A385" s="35" t="s">
        <v>41057</v>
      </c>
    </row>
    <row r="386" spans="1:1">
      <c r="A386" s="35" t="s">
        <v>53643</v>
      </c>
    </row>
    <row r="387" spans="1:1">
      <c r="A387" s="35" t="s">
        <v>41057</v>
      </c>
    </row>
    <row r="388" spans="1:1">
      <c r="A388" s="35" t="s">
        <v>53644</v>
      </c>
    </row>
    <row r="389" spans="1:1">
      <c r="A389" s="35" t="s">
        <v>53645</v>
      </c>
    </row>
    <row r="390" spans="1:1">
      <c r="A390" s="35" t="s">
        <v>41057</v>
      </c>
    </row>
    <row r="391" spans="1:1">
      <c r="A391" s="35" t="s">
        <v>41057</v>
      </c>
    </row>
    <row r="392" spans="1:1">
      <c r="A392" s="35" t="s">
        <v>53646</v>
      </c>
    </row>
    <row r="393" spans="1:1">
      <c r="A393" s="35" t="s">
        <v>41057</v>
      </c>
    </row>
    <row r="394" spans="1:1">
      <c r="A394" s="35" t="s">
        <v>41057</v>
      </c>
    </row>
    <row r="395" spans="1:1">
      <c r="A395" s="35" t="s">
        <v>41057</v>
      </c>
    </row>
    <row r="396" spans="1:1">
      <c r="A396" s="35" t="s">
        <v>41057</v>
      </c>
    </row>
    <row r="397" spans="1:1">
      <c r="A397" s="35" t="s">
        <v>41057</v>
      </c>
    </row>
    <row r="398" spans="1:1">
      <c r="A398" s="35" t="s">
        <v>41057</v>
      </c>
    </row>
    <row r="399" spans="1:1">
      <c r="A399" s="35" t="s">
        <v>41057</v>
      </c>
    </row>
    <row r="400" spans="1:1">
      <c r="A400" s="35" t="s">
        <v>41057</v>
      </c>
    </row>
    <row r="401" spans="1:1">
      <c r="A401" s="35" t="s">
        <v>41057</v>
      </c>
    </row>
    <row r="402" spans="1:1">
      <c r="A402" s="35" t="s">
        <v>41057</v>
      </c>
    </row>
    <row r="403" spans="1:1">
      <c r="A403" s="35" t="s">
        <v>41057</v>
      </c>
    </row>
    <row r="404" spans="1:1">
      <c r="A404" s="35" t="s">
        <v>41057</v>
      </c>
    </row>
    <row r="405" spans="1:1">
      <c r="A405" s="35" t="s">
        <v>41057</v>
      </c>
    </row>
    <row r="406" spans="1:1">
      <c r="A406" s="35" t="s">
        <v>41057</v>
      </c>
    </row>
    <row r="407" spans="1:1">
      <c r="A407" s="35" t="s">
        <v>41057</v>
      </c>
    </row>
    <row r="408" spans="1:1">
      <c r="A408" s="35" t="s">
        <v>41057</v>
      </c>
    </row>
    <row r="409" spans="1:1">
      <c r="A409" s="35" t="s">
        <v>41057</v>
      </c>
    </row>
    <row r="410" spans="1:1">
      <c r="A410" s="35" t="s">
        <v>41057</v>
      </c>
    </row>
    <row r="411" spans="1:1">
      <c r="A411" s="35" t="s">
        <v>41057</v>
      </c>
    </row>
    <row r="412" spans="1:1">
      <c r="A412" s="35" t="s">
        <v>41057</v>
      </c>
    </row>
    <row r="413" spans="1:1">
      <c r="A413" s="35" t="s">
        <v>41057</v>
      </c>
    </row>
    <row r="414" spans="1:1">
      <c r="A414" s="35" t="s">
        <v>41057</v>
      </c>
    </row>
    <row r="415" spans="1:1">
      <c r="A415" s="35" t="s">
        <v>41057</v>
      </c>
    </row>
    <row r="416" spans="1:1">
      <c r="A416" s="35" t="s">
        <v>41057</v>
      </c>
    </row>
    <row r="417" spans="1:1">
      <c r="A417" s="35" t="s">
        <v>41057</v>
      </c>
    </row>
    <row r="418" spans="1:1">
      <c r="A418" s="35" t="s">
        <v>41057</v>
      </c>
    </row>
    <row r="419" spans="1:1">
      <c r="A419" s="35" t="s">
        <v>41057</v>
      </c>
    </row>
    <row r="420" spans="1:1">
      <c r="A420" s="35" t="s">
        <v>41057</v>
      </c>
    </row>
    <row r="421" spans="1:1">
      <c r="A421" s="35" t="s">
        <v>41057</v>
      </c>
    </row>
    <row r="422" spans="1:1">
      <c r="A422" s="35" t="s">
        <v>41057</v>
      </c>
    </row>
    <row r="423" spans="1:1">
      <c r="A423" s="35" t="s">
        <v>41057</v>
      </c>
    </row>
    <row r="424" spans="1:1">
      <c r="A424" s="35" t="s">
        <v>53647</v>
      </c>
    </row>
    <row r="425" spans="1:1">
      <c r="A425" s="35" t="e" cm="1">
        <f t="array" ref="A425">-----------------------------------------DDGGENDMVWSPSV---IT</f>
        <v>#NAME?</v>
      </c>
    </row>
    <row r="426" spans="1:1">
      <c r="A426" s="35" t="s">
        <v>53648</v>
      </c>
    </row>
    <row r="427" spans="1:1">
      <c r="A427" s="35" t="e" cm="1">
        <f t="array" ref="A427">---------------GEYIYMYQQLNS---------TNDD-----------------IEQ</f>
        <v>#NAME?</v>
      </c>
    </row>
    <row r="428" spans="1:1">
      <c r="A428" s="35" t="s">
        <v>53649</v>
      </c>
    </row>
    <row r="429" spans="1:1">
      <c r="A429" s="35" t="s">
        <v>53650</v>
      </c>
    </row>
    <row r="430" spans="1:1">
      <c r="A430" s="35" t="s">
        <v>41057</v>
      </c>
    </row>
    <row r="431" spans="1:1">
      <c r="A431" s="35" t="s">
        <v>53651</v>
      </c>
    </row>
    <row r="432" spans="1:1">
      <c r="A432" s="35" t="s">
        <v>41057</v>
      </c>
    </row>
    <row r="433" spans="1:1">
      <c r="A433" s="35" t="s">
        <v>53608</v>
      </c>
    </row>
    <row r="434" spans="1:1">
      <c r="A434" s="35" t="s">
        <v>53652</v>
      </c>
    </row>
    <row r="435" spans="1:1">
      <c r="A435" s="35" t="s">
        <v>53653</v>
      </c>
    </row>
    <row r="436" spans="1:1">
      <c r="A436" s="35" t="s">
        <v>41057</v>
      </c>
    </row>
    <row r="437" spans="1:1">
      <c r="A437" s="35" t="s">
        <v>41057</v>
      </c>
    </row>
    <row r="438" spans="1:1">
      <c r="A438" s="35" t="s">
        <v>41057</v>
      </c>
    </row>
    <row r="439" spans="1:1">
      <c r="A439" s="35" t="s">
        <v>53654</v>
      </c>
    </row>
    <row r="440" spans="1:1">
      <c r="A440" s="35" t="s">
        <v>41057</v>
      </c>
    </row>
    <row r="441" spans="1:1">
      <c r="A441" s="35" t="s">
        <v>41057</v>
      </c>
    </row>
    <row r="442" spans="1:1">
      <c r="A442" s="35" t="s">
        <v>53655</v>
      </c>
    </row>
    <row r="443" spans="1:1">
      <c r="A443" s="35" t="s">
        <v>53656</v>
      </c>
    </row>
    <row r="444" spans="1:1">
      <c r="A444" s="35" t="s">
        <v>53657</v>
      </c>
    </row>
    <row r="445" spans="1:1">
      <c r="A445" s="35" t="s">
        <v>53658</v>
      </c>
    </row>
    <row r="446" spans="1:1">
      <c r="A446" s="35" t="s">
        <v>41057</v>
      </c>
    </row>
    <row r="447" spans="1:1">
      <c r="A447" s="35" t="s">
        <v>53659</v>
      </c>
    </row>
    <row r="448" spans="1:1">
      <c r="A448" s="35" t="s">
        <v>53660</v>
      </c>
    </row>
    <row r="449" spans="1:1">
      <c r="A449" s="35" t="s">
        <v>41057</v>
      </c>
    </row>
    <row r="450" spans="1:1">
      <c r="A450" s="35" t="s">
        <v>41057</v>
      </c>
    </row>
    <row r="451" spans="1:1">
      <c r="A451" s="35" t="s">
        <v>53661</v>
      </c>
    </row>
    <row r="452" spans="1:1">
      <c r="A452" s="35" t="s">
        <v>41057</v>
      </c>
    </row>
    <row r="453" spans="1:1">
      <c r="A453" s="35" t="s">
        <v>41057</v>
      </c>
    </row>
    <row r="454" spans="1:1">
      <c r="A454" s="35" t="s">
        <v>41057</v>
      </c>
    </row>
    <row r="455" spans="1:1">
      <c r="A455" s="35" t="s">
        <v>53662</v>
      </c>
    </row>
    <row r="456" spans="1:1">
      <c r="A456" s="35" t="s">
        <v>41057</v>
      </c>
    </row>
    <row r="457" spans="1:1">
      <c r="A457" s="35" t="s">
        <v>41057</v>
      </c>
    </row>
    <row r="458" spans="1:1">
      <c r="A458" s="35" t="s">
        <v>41057</v>
      </c>
    </row>
    <row r="459" spans="1:1">
      <c r="A459" s="35" t="s">
        <v>41057</v>
      </c>
    </row>
    <row r="460" spans="1:1">
      <c r="A460" s="35" t="e" cm="1">
        <f t="array" ref="A460">----------------------------------------------------YYNEIVNT</f>
        <v>#NAME?</v>
      </c>
    </row>
    <row r="461" spans="1:1">
      <c r="A461" s="35" t="s">
        <v>53663</v>
      </c>
    </row>
    <row r="462" spans="1:1">
      <c r="A462" s="35" t="s">
        <v>53664</v>
      </c>
    </row>
    <row r="463" spans="1:1">
      <c r="A463" s="35" t="e" cm="1">
        <f t="array" ref="A463">---------GLF-----------LSYEQA-LK--H-----HVNAP-----SALDFTPEEI</f>
        <v>#NAME?</v>
      </c>
    </row>
    <row r="464" spans="1:1">
      <c r="A464" s="35" t="s">
        <v>53665</v>
      </c>
    </row>
    <row r="465" spans="1:1">
      <c r="A465" s="35" t="s">
        <v>53666</v>
      </c>
    </row>
    <row r="466" spans="1:1">
      <c r="A466" s="35" t="s">
        <v>53667</v>
      </c>
    </row>
    <row r="467" spans="1:1">
      <c r="A467" s="35" t="s">
        <v>41057</v>
      </c>
    </row>
    <row r="468" spans="1:1">
      <c r="A468" s="35" t="s">
        <v>53668</v>
      </c>
    </row>
    <row r="469" spans="1:1">
      <c r="A469" s="35" t="s">
        <v>53669</v>
      </c>
    </row>
    <row r="470" spans="1:1">
      <c r="A470" s="35" t="s">
        <v>53670</v>
      </c>
    </row>
    <row r="471" spans="1:1">
      <c r="A471" s="35" t="s">
        <v>41057</v>
      </c>
    </row>
    <row r="472" spans="1:1">
      <c r="A472" s="35" t="s">
        <v>53545</v>
      </c>
    </row>
    <row r="473" spans="1:1">
      <c r="A473" s="35" t="s">
        <v>52259</v>
      </c>
    </row>
    <row r="474" spans="1:1">
      <c r="A474" s="35" t="s">
        <v>41057</v>
      </c>
    </row>
    <row r="475" spans="1:1">
      <c r="A475" s="35" t="s">
        <v>41057</v>
      </c>
    </row>
    <row r="476" spans="1:1">
      <c r="A476" s="35" t="s">
        <v>41057</v>
      </c>
    </row>
    <row r="477" spans="1:1">
      <c r="A477" s="35" t="s">
        <v>41057</v>
      </c>
    </row>
    <row r="478" spans="1:1">
      <c r="A478" s="35" t="s">
        <v>41057</v>
      </c>
    </row>
    <row r="479" spans="1:1">
      <c r="A479" s="35" t="s">
        <v>41057</v>
      </c>
    </row>
    <row r="480" spans="1:1">
      <c r="A480" s="35" t="s">
        <v>41057</v>
      </c>
    </row>
    <row r="481" spans="1:1">
      <c r="A481" s="35" t="s">
        <v>41057</v>
      </c>
    </row>
    <row r="482" spans="1:1">
      <c r="A482" s="35" t="s">
        <v>41057</v>
      </c>
    </row>
    <row r="483" spans="1:1">
      <c r="A483" s="35" t="s">
        <v>53634</v>
      </c>
    </row>
    <row r="484" spans="1:1">
      <c r="A484" s="35" t="s">
        <v>53671</v>
      </c>
    </row>
    <row r="485" spans="1:1">
      <c r="A485" s="35" t="s">
        <v>53672</v>
      </c>
    </row>
    <row r="486" spans="1:1">
      <c r="A486" s="35" t="s">
        <v>53637</v>
      </c>
    </row>
    <row r="487" spans="1:1">
      <c r="A487" s="35" t="s">
        <v>41057</v>
      </c>
    </row>
    <row r="488" spans="1:1">
      <c r="A488" s="35" t="s">
        <v>41057</v>
      </c>
    </row>
    <row r="489" spans="1:1">
      <c r="A489" s="35" t="e" cm="1">
        <f t="array" ref="A489">---------------EFSY------------------FLM-------------------N</f>
        <v>#NAME?</v>
      </c>
    </row>
    <row r="490" spans="1:1">
      <c r="A490" s="35" t="s">
        <v>53638</v>
      </c>
    </row>
    <row r="491" spans="1:1">
      <c r="A491" s="35" t="s">
        <v>53673</v>
      </c>
    </row>
    <row r="492" spans="1:1">
      <c r="A492" s="35" t="s">
        <v>41057</v>
      </c>
    </row>
    <row r="493" spans="1:1">
      <c r="A493" s="35" t="s">
        <v>53674</v>
      </c>
    </row>
    <row r="494" spans="1:1">
      <c r="A494" s="35" t="s">
        <v>41057</v>
      </c>
    </row>
    <row r="495" spans="1:1">
      <c r="A495" s="35" t="s">
        <v>41057</v>
      </c>
    </row>
    <row r="496" spans="1:1">
      <c r="A496" s="35" t="s">
        <v>53675</v>
      </c>
    </row>
    <row r="497" spans="1:1">
      <c r="A497" s="35" t="s">
        <v>41057</v>
      </c>
    </row>
    <row r="498" spans="1:1">
      <c r="A498" s="35" t="s">
        <v>41057</v>
      </c>
    </row>
    <row r="499" spans="1:1">
      <c r="A499" s="35" t="s">
        <v>53676</v>
      </c>
    </row>
    <row r="500" spans="1:1">
      <c r="A500" s="35" t="s">
        <v>41057</v>
      </c>
    </row>
    <row r="501" spans="1:1">
      <c r="A501" s="35" t="s">
        <v>41057</v>
      </c>
    </row>
    <row r="502" spans="1:1">
      <c r="A502" s="35" t="s">
        <v>53677</v>
      </c>
    </row>
    <row r="503" spans="1:1">
      <c r="A503" s="35" t="s">
        <v>41057</v>
      </c>
    </row>
    <row r="504" spans="1:1">
      <c r="A504" s="35" t="s">
        <v>53678</v>
      </c>
    </row>
    <row r="505" spans="1:1">
      <c r="A505" s="35" t="s">
        <v>41057</v>
      </c>
    </row>
    <row r="506" spans="1:1">
      <c r="A506" s="35" t="s">
        <v>53679</v>
      </c>
    </row>
    <row r="507" spans="1:1">
      <c r="A507" s="35" t="s">
        <v>53680</v>
      </c>
    </row>
    <row r="508" spans="1:1">
      <c r="A508" s="35" t="s">
        <v>41057</v>
      </c>
    </row>
    <row r="509" spans="1:1">
      <c r="A509" s="35" t="s">
        <v>41057</v>
      </c>
    </row>
    <row r="510" spans="1:1">
      <c r="A510" s="35" t="s">
        <v>53681</v>
      </c>
    </row>
    <row r="511" spans="1:1">
      <c r="A511" s="35" t="s">
        <v>41057</v>
      </c>
    </row>
    <row r="512" spans="1:1">
      <c r="A512" s="35" t="s">
        <v>41057</v>
      </c>
    </row>
    <row r="513" spans="1:1">
      <c r="A513" s="35" t="s">
        <v>41057</v>
      </c>
    </row>
    <row r="514" spans="1:1">
      <c r="A514" s="35" t="s">
        <v>41057</v>
      </c>
    </row>
    <row r="515" spans="1:1">
      <c r="A515" s="35" t="s">
        <v>41057</v>
      </c>
    </row>
    <row r="516" spans="1:1">
      <c r="A516" s="35" t="s">
        <v>41057</v>
      </c>
    </row>
    <row r="517" spans="1:1">
      <c r="A517" s="35" t="s">
        <v>41057</v>
      </c>
    </row>
    <row r="518" spans="1:1">
      <c r="A518" s="35" t="s">
        <v>41057</v>
      </c>
    </row>
    <row r="519" spans="1:1">
      <c r="A519" s="35" t="s">
        <v>41057</v>
      </c>
    </row>
    <row r="520" spans="1:1">
      <c r="A520" s="35" t="s">
        <v>41057</v>
      </c>
    </row>
    <row r="521" spans="1:1">
      <c r="A521" s="35" t="s">
        <v>41057</v>
      </c>
    </row>
    <row r="522" spans="1:1">
      <c r="A522" s="35" t="s">
        <v>41057</v>
      </c>
    </row>
    <row r="523" spans="1:1">
      <c r="A523" s="35" t="s">
        <v>41057</v>
      </c>
    </row>
    <row r="524" spans="1:1">
      <c r="A524" s="35" t="s">
        <v>41057</v>
      </c>
    </row>
    <row r="525" spans="1:1">
      <c r="A525" s="35" t="s">
        <v>41057</v>
      </c>
    </row>
    <row r="526" spans="1:1">
      <c r="A526" s="35" t="s">
        <v>41057</v>
      </c>
    </row>
    <row r="527" spans="1:1">
      <c r="A527" s="35" t="s">
        <v>41057</v>
      </c>
    </row>
    <row r="528" spans="1:1">
      <c r="A528" s="35" t="s">
        <v>41057</v>
      </c>
    </row>
    <row r="529" spans="1:1">
      <c r="A529" s="35" t="s">
        <v>41057</v>
      </c>
    </row>
    <row r="530" spans="1:1">
      <c r="A530" s="35" t="s">
        <v>41057</v>
      </c>
    </row>
    <row r="531" spans="1:1">
      <c r="A531" s="35" t="s">
        <v>41057</v>
      </c>
    </row>
    <row r="532" spans="1:1">
      <c r="A532" s="35" t="s">
        <v>41057</v>
      </c>
    </row>
    <row r="533" spans="1:1">
      <c r="A533" s="35" t="s">
        <v>41057</v>
      </c>
    </row>
    <row r="534" spans="1:1">
      <c r="A534" s="35" t="s">
        <v>41057</v>
      </c>
    </row>
    <row r="535" spans="1:1">
      <c r="A535" s="35" t="s">
        <v>41057</v>
      </c>
    </row>
    <row r="536" spans="1:1">
      <c r="A536" s="35" t="s">
        <v>41057</v>
      </c>
    </row>
    <row r="537" spans="1:1">
      <c r="A537" s="35" t="s">
        <v>41057</v>
      </c>
    </row>
    <row r="538" spans="1:1">
      <c r="A538" s="35" t="s">
        <v>41057</v>
      </c>
    </row>
    <row r="539" spans="1:1">
      <c r="A539" s="35" t="s">
        <v>41057</v>
      </c>
    </row>
    <row r="540" spans="1:1">
      <c r="A540" s="35" t="s">
        <v>41057</v>
      </c>
    </row>
    <row r="541" spans="1:1">
      <c r="A541" s="35" t="s">
        <v>41057</v>
      </c>
    </row>
    <row r="542" spans="1:1">
      <c r="A542" s="35" t="s">
        <v>53647</v>
      </c>
    </row>
    <row r="543" spans="1:1">
      <c r="A543" s="35" t="e" cm="1">
        <f t="array" ref="A543">----------------------------------------STPDKSFTVRYRESI---GA</f>
        <v>#NAME?</v>
      </c>
    </row>
    <row r="544" spans="1:1">
      <c r="A544" s="35" t="s">
        <v>53682</v>
      </c>
    </row>
    <row r="545" spans="1:1">
      <c r="A545" s="35" t="e" cm="1">
        <f t="array" ref="A545">---------------GDYIYMYDQIHS---------NKDD-----------------IDQ</f>
        <v>#NAME?</v>
      </c>
    </row>
    <row r="546" spans="1:1">
      <c r="A546" s="35" t="s">
        <v>53649</v>
      </c>
    </row>
    <row r="547" spans="1:1">
      <c r="A547" s="35" t="s">
        <v>53683</v>
      </c>
    </row>
    <row r="548" spans="1:1">
      <c r="A548" s="35" t="s">
        <v>41057</v>
      </c>
    </row>
    <row r="549" spans="1:1">
      <c r="A549" s="35" t="s">
        <v>53684</v>
      </c>
    </row>
    <row r="550" spans="1:1">
      <c r="A550" s="35" t="s">
        <v>41057</v>
      </c>
    </row>
    <row r="551" spans="1:1">
      <c r="A551" s="35" t="s">
        <v>53685</v>
      </c>
    </row>
    <row r="552" spans="1:1">
      <c r="A552" s="35" t="s">
        <v>53686</v>
      </c>
    </row>
    <row r="553" spans="1:1">
      <c r="A553" s="35" t="s">
        <v>53687</v>
      </c>
    </row>
    <row r="554" spans="1:1">
      <c r="A554" s="35" t="s">
        <v>41057</v>
      </c>
    </row>
    <row r="555" spans="1:1">
      <c r="A555" s="35" t="s">
        <v>41057</v>
      </c>
    </row>
    <row r="556" spans="1:1">
      <c r="A556" s="35" t="s">
        <v>41057</v>
      </c>
    </row>
    <row r="557" spans="1:1">
      <c r="A557" s="35" t="s">
        <v>53688</v>
      </c>
    </row>
    <row r="558" spans="1:1">
      <c r="A558" s="35" t="s">
        <v>41057</v>
      </c>
    </row>
    <row r="559" spans="1:1">
      <c r="A559" s="35" t="s">
        <v>41057</v>
      </c>
    </row>
    <row r="560" spans="1:1">
      <c r="A560" s="35" t="s">
        <v>53689</v>
      </c>
    </row>
    <row r="561" spans="1:1">
      <c r="A561" s="35" t="s">
        <v>53690</v>
      </c>
    </row>
    <row r="562" spans="1:1">
      <c r="A562" s="35" t="s">
        <v>53691</v>
      </c>
    </row>
    <row r="563" spans="1:1">
      <c r="A563" s="35" t="s">
        <v>53692</v>
      </c>
    </row>
    <row r="564" spans="1:1">
      <c r="A564" s="35" t="s">
        <v>41057</v>
      </c>
    </row>
    <row r="565" spans="1:1">
      <c r="A565" s="35" t="s">
        <v>53693</v>
      </c>
    </row>
    <row r="566" spans="1:1">
      <c r="A566" s="35" t="s">
        <v>53694</v>
      </c>
    </row>
    <row r="567" spans="1:1">
      <c r="A567" s="35" t="s">
        <v>41057</v>
      </c>
    </row>
    <row r="568" spans="1:1">
      <c r="A568" s="35" t="s">
        <v>41057</v>
      </c>
    </row>
    <row r="569" spans="1:1">
      <c r="A569" s="35" t="s">
        <v>53695</v>
      </c>
    </row>
    <row r="570" spans="1:1">
      <c r="A570" s="35" t="s">
        <v>41057</v>
      </c>
    </row>
    <row r="571" spans="1:1">
      <c r="A571" s="35" t="s">
        <v>41057</v>
      </c>
    </row>
    <row r="572" spans="1:1">
      <c r="A572" s="35" t="s">
        <v>41057</v>
      </c>
    </row>
    <row r="573" spans="1:1">
      <c r="A573" s="35" t="s">
        <v>41057</v>
      </c>
    </row>
    <row r="574" spans="1:1">
      <c r="A574" s="35" t="s">
        <v>41057</v>
      </c>
    </row>
    <row r="575" spans="1:1">
      <c r="A575" s="35" t="s">
        <v>41057</v>
      </c>
    </row>
    <row r="576" spans="1:1">
      <c r="A576" s="35" t="s">
        <v>41057</v>
      </c>
    </row>
    <row r="577" spans="1:1">
      <c r="A577" s="35" t="s">
        <v>41057</v>
      </c>
    </row>
    <row r="578" spans="1:1">
      <c r="A578" s="35" t="e" cm="1">
        <f t="array" ref="A578">-----------------------------------------------------YEPIKQV</f>
        <v>#NAME?</v>
      </c>
    </row>
    <row r="579" spans="1:1">
      <c r="A579" s="35" t="s">
        <v>53696</v>
      </c>
    </row>
    <row r="580" spans="1:1">
      <c r="A580" s="35" t="s">
        <v>53697</v>
      </c>
    </row>
    <row r="581" spans="1:1">
      <c r="A581" s="35" t="e" cm="1">
        <f t="array" ref="A581">---------NLM-----------LSYEQP-LK--Y-----YTG----------------V</f>
        <v>#NAME?</v>
      </c>
    </row>
    <row r="582" spans="1:1">
      <c r="A582" s="35" t="s">
        <v>53698</v>
      </c>
    </row>
    <row r="583" spans="1:1">
      <c r="A583" s="35" t="s">
        <v>53699</v>
      </c>
    </row>
    <row r="584" spans="1:1">
      <c r="A584" s="35" t="s">
        <v>53700</v>
      </c>
    </row>
    <row r="585" spans="1:1">
      <c r="A585" s="35" t="s">
        <v>41057</v>
      </c>
    </row>
    <row r="586" spans="1:1">
      <c r="A586" s="35" t="s">
        <v>53701</v>
      </c>
    </row>
    <row r="587" spans="1:1">
      <c r="A587" s="35" t="s">
        <v>53702</v>
      </c>
    </row>
    <row r="588" spans="1:1">
      <c r="A588" s="35" t="s">
        <v>53670</v>
      </c>
    </row>
    <row r="589" spans="1:1">
      <c r="A589" s="35" t="s">
        <v>41057</v>
      </c>
    </row>
    <row r="590" spans="1:1">
      <c r="A590" s="35" t="s">
        <v>53545</v>
      </c>
    </row>
    <row r="591" spans="1:1">
      <c r="A591" s="35" t="s">
        <v>52306</v>
      </c>
    </row>
    <row r="592" spans="1:1">
      <c r="A592" s="35" t="s">
        <v>41057</v>
      </c>
    </row>
    <row r="593" spans="1:1">
      <c r="A593" s="35" t="s">
        <v>41057</v>
      </c>
    </row>
    <row r="594" spans="1:1">
      <c r="A594" s="35" t="s">
        <v>53703</v>
      </c>
    </row>
    <row r="595" spans="1:1">
      <c r="A595" s="35" t="s">
        <v>53704</v>
      </c>
    </row>
    <row r="596" spans="1:1">
      <c r="A596" s="35" t="s">
        <v>53705</v>
      </c>
    </row>
    <row r="597" spans="1:1">
      <c r="A597" s="35" t="s">
        <v>53706</v>
      </c>
    </row>
    <row r="598" spans="1:1">
      <c r="A598" s="35" t="s">
        <v>41057</v>
      </c>
    </row>
    <row r="599" spans="1:1">
      <c r="A599" s="35" t="s">
        <v>41057</v>
      </c>
    </row>
    <row r="600" spans="1:1">
      <c r="A600" s="35" t="s">
        <v>41057</v>
      </c>
    </row>
    <row r="601" spans="1:1">
      <c r="A601" s="35" t="s">
        <v>53707</v>
      </c>
    </row>
    <row r="602" spans="1:1">
      <c r="A602" s="35" t="s">
        <v>53708</v>
      </c>
    </row>
    <row r="603" spans="1:1">
      <c r="A603" s="35" t="s">
        <v>53709</v>
      </c>
    </row>
    <row r="604" spans="1:1">
      <c r="A604" s="35" t="s">
        <v>53710</v>
      </c>
    </row>
    <row r="605" spans="1:1">
      <c r="A605" s="35" t="s">
        <v>41057</v>
      </c>
    </row>
    <row r="606" spans="1:1">
      <c r="A606" s="35" t="s">
        <v>41057</v>
      </c>
    </row>
    <row r="607" spans="1:1">
      <c r="A607" s="35" t="e" cm="1">
        <f t="array" ref="A607">---------------SKTY------------------FSG-------------------V</f>
        <v>#NAME?</v>
      </c>
    </row>
    <row r="608" spans="1:1">
      <c r="A608" s="35" t="s">
        <v>53711</v>
      </c>
    </row>
    <row r="609" spans="1:1">
      <c r="A609" s="35" t="s">
        <v>53712</v>
      </c>
    </row>
    <row r="610" spans="1:1">
      <c r="A610" s="35" t="s">
        <v>41057</v>
      </c>
    </row>
    <row r="611" spans="1:1">
      <c r="A611" s="35" t="s">
        <v>53713</v>
      </c>
    </row>
    <row r="612" spans="1:1">
      <c r="A612" s="35" t="s">
        <v>41057</v>
      </c>
    </row>
    <row r="613" spans="1:1">
      <c r="A613" s="35" t="s">
        <v>41057</v>
      </c>
    </row>
    <row r="614" spans="1:1">
      <c r="A614" s="35" t="s">
        <v>53714</v>
      </c>
    </row>
    <row r="615" spans="1:1">
      <c r="A615" s="35" t="s">
        <v>41057</v>
      </c>
    </row>
    <row r="616" spans="1:1">
      <c r="A616" s="35" t="s">
        <v>41057</v>
      </c>
    </row>
    <row r="617" spans="1:1">
      <c r="A617" s="35" t="s">
        <v>53500</v>
      </c>
    </row>
    <row r="618" spans="1:1">
      <c r="A618" s="35" t="s">
        <v>41057</v>
      </c>
    </row>
    <row r="619" spans="1:1">
      <c r="A619" s="35" t="s">
        <v>41057</v>
      </c>
    </row>
    <row r="620" spans="1:1">
      <c r="A620" s="35" t="s">
        <v>53715</v>
      </c>
    </row>
    <row r="621" spans="1:1">
      <c r="A621" s="35" t="s">
        <v>41057</v>
      </c>
    </row>
    <row r="622" spans="1:1">
      <c r="A622" s="35" t="s">
        <v>53716</v>
      </c>
    </row>
    <row r="623" spans="1:1">
      <c r="A623" s="35" t="s">
        <v>41057</v>
      </c>
    </row>
    <row r="624" spans="1:1">
      <c r="A624" s="35" t="s">
        <v>53717</v>
      </c>
    </row>
    <row r="625" spans="1:1">
      <c r="A625" s="35" t="s">
        <v>53718</v>
      </c>
    </row>
    <row r="626" spans="1:1">
      <c r="A626" s="35" t="s">
        <v>41057</v>
      </c>
    </row>
    <row r="627" spans="1:1">
      <c r="A627" s="35" t="s">
        <v>41057</v>
      </c>
    </row>
    <row r="628" spans="1:1">
      <c r="A628" s="35" t="s">
        <v>53719</v>
      </c>
    </row>
    <row r="629" spans="1:1">
      <c r="A629" s="35" t="s">
        <v>41057</v>
      </c>
    </row>
    <row r="630" spans="1:1">
      <c r="A630" s="35" t="s">
        <v>41057</v>
      </c>
    </row>
    <row r="631" spans="1:1">
      <c r="A631" s="35" t="s">
        <v>41057</v>
      </c>
    </row>
    <row r="632" spans="1:1">
      <c r="A632" s="35" t="s">
        <v>41057</v>
      </c>
    </row>
    <row r="633" spans="1:1">
      <c r="A633" s="35" t="s">
        <v>41057</v>
      </c>
    </row>
    <row r="634" spans="1:1">
      <c r="A634" s="35" t="e" cm="1">
        <f t="array" ref="A634">-----------LPYFAPDSWSYPTPAS----------------------------DAFQP</f>
        <v>#NAME?</v>
      </c>
    </row>
    <row r="635" spans="1:1">
      <c r="A635" s="35" t="s">
        <v>53720</v>
      </c>
    </row>
    <row r="636" spans="1:1">
      <c r="A636" s="35" t="s">
        <v>53721</v>
      </c>
    </row>
    <row r="637" spans="1:1">
      <c r="A637" s="35" t="e" cm="1">
        <f t="array" ref="A637">---------------DATTYKFFFKNCTTVEVP---PF-------------TNTSNPSGV</f>
        <v>#NAME?</v>
      </c>
    </row>
    <row r="638" spans="1:1">
      <c r="A638" s="35" t="s">
        <v>41057</v>
      </c>
    </row>
    <row r="639" spans="1:1">
      <c r="A639" s="35" t="s">
        <v>41057</v>
      </c>
    </row>
    <row r="640" spans="1:1">
      <c r="A640" s="35" t="s">
        <v>53722</v>
      </c>
    </row>
    <row r="641" spans="1:1">
      <c r="A641" s="35" t="s">
        <v>53723</v>
      </c>
    </row>
    <row r="642" spans="1:1">
      <c r="A642" s="35" t="s">
        <v>53724</v>
      </c>
    </row>
    <row r="643" spans="1:1">
      <c r="A643" s="35" t="s">
        <v>53725</v>
      </c>
    </row>
    <row r="644" spans="1:1">
      <c r="A644" s="35" t="e" cm="1">
        <f t="array" ref="A644">-----FNSPGNYLIRG--TINSNSPIY-------------------------------SV</f>
        <v>#NAME?</v>
      </c>
    </row>
    <row r="645" spans="1:1">
      <c r="A645" s="35" t="s">
        <v>53726</v>
      </c>
    </row>
    <row r="646" spans="1:1">
      <c r="A646" s="35" t="s">
        <v>53727</v>
      </c>
    </row>
    <row r="647" spans="1:1">
      <c r="A647" s="35" t="s">
        <v>53728</v>
      </c>
    </row>
    <row r="648" spans="1:1">
      <c r="A648" s="35" t="s">
        <v>53729</v>
      </c>
    </row>
    <row r="649" spans="1:1">
      <c r="A649" s="35" t="s">
        <v>41057</v>
      </c>
    </row>
    <row r="650" spans="1:1">
      <c r="A650" s="35" t="s">
        <v>53730</v>
      </c>
    </row>
    <row r="651" spans="1:1">
      <c r="A651" s="35" t="s">
        <v>41057</v>
      </c>
    </row>
    <row r="652" spans="1:1">
      <c r="A652" s="35" t="e" cm="1">
        <f t="array" ref="A652">----YVRKIS--------------------------------------------VKTGST</f>
        <v>#NAME?</v>
      </c>
    </row>
    <row r="653" spans="1:1">
      <c r="A653" s="35" t="e" cm="1">
        <f t="array" ref="A653">------------------------------------------------YLYTY-TTD-QG</f>
        <v>#NAME?</v>
      </c>
    </row>
    <row r="654" spans="1:1">
      <c r="A654" s="35" t="s">
        <v>53731</v>
      </c>
    </row>
    <row r="655" spans="1:1">
      <c r="A655" s="35" t="s">
        <v>53732</v>
      </c>
    </row>
    <row r="656" spans="1:1">
      <c r="A656" s="35" t="s">
        <v>53733</v>
      </c>
    </row>
    <row r="657" spans="1:1">
      <c r="A657" s="35" t="e" cm="1">
        <f t="array" ref="A657">---FTPKVGT-----------TLPTPTGANTYTFNL-----GSDFNSAGVSTSINQ-VGT</f>
        <v>#NAME?</v>
      </c>
    </row>
    <row r="658" spans="1:1">
      <c r="A658" s="35" t="s">
        <v>53734</v>
      </c>
    </row>
    <row r="659" spans="1:1">
      <c r="A659" s="35" t="s">
        <v>53735</v>
      </c>
    </row>
    <row r="660" spans="1:1">
      <c r="A660" s="35" t="e" cm="1">
        <f t="array" ref="A660">--LSSISFG-------------------------NQTYPIGVGLLP-----PYTFSVPLY</f>
        <v>#NAME?</v>
      </c>
    </row>
    <row r="661" spans="1:1">
      <c r="A661" s="35" t="s">
        <v>53736</v>
      </c>
    </row>
    <row r="662" spans="1:1">
      <c r="A662" s="35" t="s">
        <v>53737</v>
      </c>
    </row>
    <row r="663" spans="1:1">
      <c r="A663" s="35" t="e" cm="1">
        <f t="array" ref="A663">---------------GEMIELWNDLNI---------PYEN------------------QP</f>
        <v>#NAME?</v>
      </c>
    </row>
    <row r="664" spans="1:1">
      <c r="A664" s="35" t="s">
        <v>53738</v>
      </c>
    </row>
    <row r="665" spans="1:1">
      <c r="A665" s="35" t="s">
        <v>53739</v>
      </c>
    </row>
    <row r="666" spans="1:1">
      <c r="A666" s="35" t="s">
        <v>53740</v>
      </c>
    </row>
    <row r="667" spans="1:1">
      <c r="A667" s="35" t="s">
        <v>53741</v>
      </c>
    </row>
    <row r="668" spans="1:1">
      <c r="A668" s="35" t="s">
        <v>41057</v>
      </c>
    </row>
    <row r="669" spans="1:1">
      <c r="A669" s="35" t="s">
        <v>53742</v>
      </c>
    </row>
    <row r="670" spans="1:1">
      <c r="A670" s="35" t="s">
        <v>53743</v>
      </c>
    </row>
    <row r="671" spans="1:1">
      <c r="A671" s="35" t="s">
        <v>53744</v>
      </c>
    </row>
    <row r="672" spans="1:1">
      <c r="A672" s="35" t="s">
        <v>41057</v>
      </c>
    </row>
    <row r="673" spans="1:1">
      <c r="A673" s="35" t="s">
        <v>41057</v>
      </c>
    </row>
    <row r="674" spans="1:1">
      <c r="A674" s="35" t="s">
        <v>41057</v>
      </c>
    </row>
    <row r="675" spans="1:1">
      <c r="A675" s="35" t="s">
        <v>53745</v>
      </c>
    </row>
    <row r="676" spans="1:1">
      <c r="A676" s="35" t="s">
        <v>41057</v>
      </c>
    </row>
    <row r="677" spans="1:1">
      <c r="A677" s="35" t="s">
        <v>41057</v>
      </c>
    </row>
    <row r="678" spans="1:1">
      <c r="A678" s="35" t="s">
        <v>41057</v>
      </c>
    </row>
    <row r="679" spans="1:1">
      <c r="A679" s="35" t="s">
        <v>53746</v>
      </c>
    </row>
    <row r="680" spans="1:1">
      <c r="A680" s="35" t="s">
        <v>53747</v>
      </c>
    </row>
    <row r="681" spans="1:1">
      <c r="A681" s="35" t="s">
        <v>53748</v>
      </c>
    </row>
    <row r="682" spans="1:1">
      <c r="A682" s="35" t="e" cm="1">
        <f t="array" ref="A682">----------------------------------------------------------VA</f>
        <v>#NAME?</v>
      </c>
    </row>
    <row r="683" spans="1:1">
      <c r="A683" s="35" t="s">
        <v>53749</v>
      </c>
    </row>
    <row r="684" spans="1:1">
      <c r="A684" s="35" t="s">
        <v>53750</v>
      </c>
    </row>
    <row r="685" spans="1:1">
      <c r="A685" s="35" t="s">
        <v>53751</v>
      </c>
    </row>
    <row r="686" spans="1:1">
      <c r="A686" s="35" t="s">
        <v>41057</v>
      </c>
    </row>
    <row r="687" spans="1:1">
      <c r="A687" s="35" t="s">
        <v>53752</v>
      </c>
    </row>
    <row r="688" spans="1:1">
      <c r="A688" s="35" t="s">
        <v>41057</v>
      </c>
    </row>
    <row r="689" spans="1:1">
      <c r="A689" s="35" t="s">
        <v>41057</v>
      </c>
    </row>
    <row r="690" spans="1:1">
      <c r="A690" s="35" t="s">
        <v>41057</v>
      </c>
    </row>
    <row r="691" spans="1:1">
      <c r="A691" s="35" t="s">
        <v>53753</v>
      </c>
    </row>
    <row r="692" spans="1:1">
      <c r="A692" s="35" t="s">
        <v>53754</v>
      </c>
    </row>
    <row r="693" spans="1:1">
      <c r="A693" s="35" t="s">
        <v>41057</v>
      </c>
    </row>
    <row r="694" spans="1:1">
      <c r="A694" s="35" t="s">
        <v>41057</v>
      </c>
    </row>
    <row r="695" spans="1:1">
      <c r="A695" s="35" t="s">
        <v>41057</v>
      </c>
    </row>
    <row r="696" spans="1:1">
      <c r="A696" s="35" t="e" cm="1">
        <f t="array" ref="A696">--------------------------------------------------------LLSM</f>
        <v>#NAME?</v>
      </c>
    </row>
    <row r="697" spans="1:1">
      <c r="A697" s="35" t="s">
        <v>53755</v>
      </c>
    </row>
    <row r="698" spans="1:1">
      <c r="A698" s="35" t="s">
        <v>53756</v>
      </c>
    </row>
    <row r="699" spans="1:1">
      <c r="A699" s="35" t="s">
        <v>53757</v>
      </c>
    </row>
    <row r="700" spans="1:1">
      <c r="A700" s="35" t="s">
        <v>53758</v>
      </c>
    </row>
    <row r="701" spans="1:1">
      <c r="A701" s="35" t="s">
        <v>53759</v>
      </c>
    </row>
    <row r="702" spans="1:1">
      <c r="A702" s="35" t="s">
        <v>53760</v>
      </c>
    </row>
    <row r="703" spans="1:1">
      <c r="A703" s="35" t="s">
        <v>41057</v>
      </c>
    </row>
    <row r="704" spans="1:1">
      <c r="A704" s="35" t="s">
        <v>53761</v>
      </c>
    </row>
    <row r="705" spans="1:1">
      <c r="A705" s="35" t="s">
        <v>53762</v>
      </c>
    </row>
    <row r="706" spans="1:1">
      <c r="A706" s="35" t="s">
        <v>53763</v>
      </c>
    </row>
    <row r="707" spans="1:1">
      <c r="A707" s="35" t="s">
        <v>41057</v>
      </c>
    </row>
    <row r="708" spans="1:1">
      <c r="A708" s="35" t="s">
        <v>53545</v>
      </c>
    </row>
    <row r="709" spans="1:1">
      <c r="A709" s="35" t="s">
        <v>52420</v>
      </c>
    </row>
    <row r="710" spans="1:1">
      <c r="A710" s="35" t="s">
        <v>41057</v>
      </c>
    </row>
    <row r="711" spans="1:1">
      <c r="A711" s="35" t="s">
        <v>53764</v>
      </c>
    </row>
    <row r="712" spans="1:1">
      <c r="A712" s="35" t="s">
        <v>53765</v>
      </c>
    </row>
    <row r="713" spans="1:1">
      <c r="A713" s="35" t="s">
        <v>53766</v>
      </c>
    </row>
    <row r="714" spans="1:1">
      <c r="A714" s="35" t="s">
        <v>53767</v>
      </c>
    </row>
    <row r="715" spans="1:1">
      <c r="A715" s="35" t="s">
        <v>53706</v>
      </c>
    </row>
    <row r="716" spans="1:1">
      <c r="A716" s="35" t="s">
        <v>41057</v>
      </c>
    </row>
    <row r="717" spans="1:1">
      <c r="A717" s="35" t="s">
        <v>41057</v>
      </c>
    </row>
    <row r="718" spans="1:1">
      <c r="A718" s="35" t="s">
        <v>41057</v>
      </c>
    </row>
    <row r="719" spans="1:1">
      <c r="A719" s="35" t="s">
        <v>53707</v>
      </c>
    </row>
    <row r="720" spans="1:1">
      <c r="A720" s="35" t="s">
        <v>53768</v>
      </c>
    </row>
    <row r="721" spans="1:1">
      <c r="A721" s="35" t="s">
        <v>53769</v>
      </c>
    </row>
    <row r="722" spans="1:1">
      <c r="A722" s="35" t="s">
        <v>53770</v>
      </c>
    </row>
    <row r="723" spans="1:1">
      <c r="A723" s="35" t="s">
        <v>41057</v>
      </c>
    </row>
    <row r="724" spans="1:1">
      <c r="A724" s="35" t="s">
        <v>41057</v>
      </c>
    </row>
    <row r="725" spans="1:1">
      <c r="A725" s="35" t="e" cm="1">
        <f t="array" ref="A725">---------------DLTY------------------FQG-------------------L</f>
        <v>#NAME?</v>
      </c>
    </row>
    <row r="726" spans="1:1">
      <c r="A726" s="35" t="s">
        <v>53771</v>
      </c>
    </row>
    <row r="727" spans="1:1">
      <c r="A727" s="35" t="s">
        <v>53712</v>
      </c>
    </row>
    <row r="728" spans="1:1">
      <c r="A728" s="35" t="s">
        <v>41057</v>
      </c>
    </row>
    <row r="729" spans="1:1">
      <c r="A729" s="35" t="s">
        <v>53772</v>
      </c>
    </row>
    <row r="730" spans="1:1">
      <c r="A730" s="35" t="s">
        <v>41057</v>
      </c>
    </row>
    <row r="731" spans="1:1">
      <c r="A731" s="35" t="s">
        <v>41057</v>
      </c>
    </row>
    <row r="732" spans="1:1">
      <c r="A732" s="35" t="s">
        <v>53773</v>
      </c>
    </row>
    <row r="733" spans="1:1">
      <c r="A733" s="35" t="s">
        <v>41057</v>
      </c>
    </row>
    <row r="734" spans="1:1">
      <c r="A734" s="35" t="s">
        <v>41057</v>
      </c>
    </row>
    <row r="735" spans="1:1">
      <c r="A735" s="35" t="s">
        <v>53500</v>
      </c>
    </row>
    <row r="736" spans="1:1">
      <c r="A736" s="35" t="s">
        <v>41057</v>
      </c>
    </row>
    <row r="737" spans="1:1">
      <c r="A737" s="35" t="s">
        <v>41057</v>
      </c>
    </row>
    <row r="738" spans="1:1">
      <c r="A738" s="35" t="s">
        <v>53774</v>
      </c>
    </row>
    <row r="739" spans="1:1">
      <c r="A739" s="35" t="s">
        <v>41057</v>
      </c>
    </row>
    <row r="740" spans="1:1">
      <c r="A740" s="35" t="s">
        <v>53716</v>
      </c>
    </row>
    <row r="741" spans="1:1">
      <c r="A741" s="35" t="s">
        <v>41057</v>
      </c>
    </row>
    <row r="742" spans="1:1">
      <c r="A742" s="35" t="s">
        <v>53775</v>
      </c>
    </row>
    <row r="743" spans="1:1">
      <c r="A743" s="35" t="s">
        <v>53776</v>
      </c>
    </row>
    <row r="744" spans="1:1">
      <c r="A744" s="35" t="s">
        <v>41057</v>
      </c>
    </row>
    <row r="745" spans="1:1">
      <c r="A745" s="35" t="s">
        <v>41057</v>
      </c>
    </row>
    <row r="746" spans="1:1">
      <c r="A746" s="35" t="s">
        <v>53777</v>
      </c>
    </row>
    <row r="747" spans="1:1">
      <c r="A747" s="35" t="s">
        <v>41057</v>
      </c>
    </row>
    <row r="748" spans="1:1">
      <c r="A748" s="35" t="s">
        <v>41057</v>
      </c>
    </row>
    <row r="749" spans="1:1">
      <c r="A749" s="35" t="s">
        <v>41057</v>
      </c>
    </row>
    <row r="750" spans="1:1">
      <c r="A750" s="35" t="s">
        <v>41057</v>
      </c>
    </row>
    <row r="751" spans="1:1">
      <c r="A751" s="35" t="s">
        <v>41057</v>
      </c>
    </row>
    <row r="752" spans="1:1">
      <c r="A752" s="35" t="e" cm="1">
        <f t="array" ref="A752">-----------LKNPGND-WNWSNVASE---------------------------NGFYP</f>
        <v>#NAME?</v>
      </c>
    </row>
    <row r="753" spans="1:1">
      <c r="A753" s="35" t="s">
        <v>53778</v>
      </c>
    </row>
    <row r="754" spans="1:1">
      <c r="A754" s="35" t="e" cm="1">
        <f t="array" ref="A754">-GWLTSPVT---------YTYYTNGTTAPVTGTSITIAIQAGNISPNFNMLPGYIGSIAG</f>
        <v>#NAME?</v>
      </c>
    </row>
    <row r="755" spans="1:1">
      <c r="A755" s="35" t="s">
        <v>53779</v>
      </c>
    </row>
    <row r="756" spans="1:1">
      <c r="A756" s="35" t="s">
        <v>53780</v>
      </c>
    </row>
    <row r="757" spans="1:1">
      <c r="A757" s="35" t="e" cm="1">
        <f t="array" ref="A757">---------SSYALVNFTIPSQTTALIPTGTNVTVKQPLTLSGNVFYNANVNRFNFTSYS</f>
        <v>#NAME?</v>
      </c>
    </row>
    <row r="758" spans="1:1">
      <c r="A758" s="35" t="s">
        <v>53781</v>
      </c>
    </row>
    <row r="759" spans="1:1">
      <c r="A759" s="35" t="s">
        <v>53782</v>
      </c>
    </row>
    <row r="760" spans="1:1">
      <c r="A760" s="35" t="s">
        <v>53783</v>
      </c>
    </row>
    <row r="761" spans="1:1">
      <c r="A761" s="35" t="s">
        <v>53784</v>
      </c>
    </row>
    <row r="762" spans="1:1">
      <c r="A762" s="35" t="e" cm="1">
        <f t="array" ref="A762">-----FTKSGQYCIRGNLTASGTDAVY-------------------------------SV</f>
        <v>#NAME?</v>
      </c>
    </row>
    <row r="763" spans="1:1">
      <c r="A763" s="35" t="s">
        <v>53785</v>
      </c>
    </row>
    <row r="764" spans="1:1">
      <c r="A764" s="35" t="s">
        <v>53786</v>
      </c>
    </row>
    <row r="765" spans="1:1">
      <c r="A765" s="35" t="s">
        <v>53787</v>
      </c>
    </row>
    <row r="766" spans="1:1">
      <c r="A766" s="35" t="s">
        <v>53788</v>
      </c>
    </row>
    <row r="767" spans="1:1">
      <c r="A767" s="35" t="s">
        <v>41057</v>
      </c>
    </row>
    <row r="768" spans="1:1">
      <c r="A768" s="35" t="s">
        <v>53789</v>
      </c>
    </row>
    <row r="769" spans="1:1">
      <c r="A769" s="35" t="s">
        <v>41057</v>
      </c>
    </row>
    <row r="770" spans="1:1">
      <c r="A770" s="35" t="e" cm="1">
        <f t="array" ref="A770">----VKLSYG--------------------------------------------TRGSGT</f>
        <v>#NAME?</v>
      </c>
    </row>
    <row r="771" spans="1:1">
      <c r="A771" s="35" t="e" cm="1">
        <f t="array" ref="A771">------------------------------------------------ELYTY-TTP-QG</f>
        <v>#NAME?</v>
      </c>
    </row>
    <row r="772" spans="1:1">
      <c r="A772" s="35" t="s">
        <v>53790</v>
      </c>
    </row>
    <row r="773" spans="1:1">
      <c r="A773" s="35" t="s">
        <v>53791</v>
      </c>
    </row>
    <row r="774" spans="1:1">
      <c r="A774" s="35" t="s">
        <v>53792</v>
      </c>
    </row>
    <row r="775" spans="1:1">
      <c r="A775" s="35" t="e" cm="1">
        <f t="array" ref="A775">---LRPAVSSF----------VISSPINFSTASWN----------TPIGGTVQLGV-SGS</f>
        <v>#NAME?</v>
      </c>
    </row>
    <row r="776" spans="1:1">
      <c r="A776" s="35" t="s">
        <v>53793</v>
      </c>
    </row>
    <row r="777" spans="1:1">
      <c r="A777" s="35" t="s">
        <v>53794</v>
      </c>
    </row>
    <row r="778" spans="1:1">
      <c r="A778" s="35" t="e" cm="1">
        <f t="array" ref="A778">--LKSISVTV-TGASTL-----------------SATYPIGLGLLP-----PYSIGVPFF</f>
        <v>#NAME?</v>
      </c>
    </row>
    <row r="779" spans="1:1">
      <c r="A779" s="35" t="s">
        <v>53795</v>
      </c>
    </row>
    <row r="780" spans="1:1">
      <c r="A780" s="35" t="s">
        <v>53796</v>
      </c>
    </row>
    <row r="781" spans="1:1">
      <c r="A781" s="35" t="e" cm="1">
        <f t="array" ref="A781">---------------GEQIELYNDLYV---------PYEN------------------QP</f>
        <v>#NAME?</v>
      </c>
    </row>
    <row r="782" spans="1:1">
      <c r="A782" s="35" t="s">
        <v>53797</v>
      </c>
    </row>
    <row r="783" spans="1:1">
      <c r="A783" s="35" t="s">
        <v>53798</v>
      </c>
    </row>
    <row r="784" spans="1:1">
      <c r="A784" s="35" t="s">
        <v>53740</v>
      </c>
    </row>
    <row r="785" spans="1:1">
      <c r="A785" s="35" t="s">
        <v>53741</v>
      </c>
    </row>
    <row r="786" spans="1:1">
      <c r="A786" s="35" t="s">
        <v>41057</v>
      </c>
    </row>
    <row r="787" spans="1:1">
      <c r="A787" s="35" t="s">
        <v>53742</v>
      </c>
    </row>
    <row r="788" spans="1:1">
      <c r="A788" s="35" t="s">
        <v>53799</v>
      </c>
    </row>
    <row r="789" spans="1:1">
      <c r="A789" s="35" t="s">
        <v>53800</v>
      </c>
    </row>
    <row r="790" spans="1:1">
      <c r="A790" s="35" t="s">
        <v>41057</v>
      </c>
    </row>
    <row r="791" spans="1:1">
      <c r="A791" s="35" t="s">
        <v>41057</v>
      </c>
    </row>
    <row r="792" spans="1:1">
      <c r="A792" s="35" t="s">
        <v>41057</v>
      </c>
    </row>
    <row r="793" spans="1:1">
      <c r="A793" s="35" t="s">
        <v>53801</v>
      </c>
    </row>
    <row r="794" spans="1:1">
      <c r="A794" s="35" t="s">
        <v>41057</v>
      </c>
    </row>
    <row r="795" spans="1:1">
      <c r="A795" s="35" t="s">
        <v>41057</v>
      </c>
    </row>
    <row r="796" spans="1:1">
      <c r="A796" s="35" t="s">
        <v>41057</v>
      </c>
    </row>
    <row r="797" spans="1:1">
      <c r="A797" s="35" t="s">
        <v>53802</v>
      </c>
    </row>
    <row r="798" spans="1:1">
      <c r="A798" s="35" t="s">
        <v>53803</v>
      </c>
    </row>
    <row r="799" spans="1:1">
      <c r="A799" s="35" t="s">
        <v>53804</v>
      </c>
    </row>
    <row r="800" spans="1:1">
      <c r="A800" s="35" t="e" cm="1">
        <f t="array" ref="A800">----------------------------------------------------------ST</f>
        <v>#NAME?</v>
      </c>
    </row>
    <row r="801" spans="1:1">
      <c r="A801" s="35" t="s">
        <v>53805</v>
      </c>
    </row>
    <row r="802" spans="1:1">
      <c r="A802" s="35" t="s">
        <v>53806</v>
      </c>
    </row>
    <row r="803" spans="1:1">
      <c r="A803" s="35" t="s">
        <v>53807</v>
      </c>
    </row>
    <row r="804" spans="1:1">
      <c r="A804" s="35" t="s">
        <v>41057</v>
      </c>
    </row>
    <row r="805" spans="1:1">
      <c r="A805" s="35" t="s">
        <v>53808</v>
      </c>
    </row>
    <row r="806" spans="1:1">
      <c r="A806" s="35" t="s">
        <v>41057</v>
      </c>
    </row>
    <row r="807" spans="1:1">
      <c r="A807" s="35" t="s">
        <v>41057</v>
      </c>
    </row>
    <row r="808" spans="1:1">
      <c r="A808" s="35" t="s">
        <v>41057</v>
      </c>
    </row>
    <row r="809" spans="1:1">
      <c r="A809" s="35" t="s">
        <v>53809</v>
      </c>
    </row>
    <row r="810" spans="1:1">
      <c r="A810" s="35" t="s">
        <v>53754</v>
      </c>
    </row>
    <row r="811" spans="1:1">
      <c r="A811" s="35" t="s">
        <v>41057</v>
      </c>
    </row>
    <row r="812" spans="1:1">
      <c r="A812" s="35" t="s">
        <v>41057</v>
      </c>
    </row>
    <row r="813" spans="1:1">
      <c r="A813" s="35" t="s">
        <v>41057</v>
      </c>
    </row>
    <row r="814" spans="1:1">
      <c r="A814" s="35" t="e" cm="1">
        <f t="array" ref="A814">--------------------------------------------------------LTNL</f>
        <v>#NAME?</v>
      </c>
    </row>
    <row r="815" spans="1:1">
      <c r="A815" s="35" t="s">
        <v>53810</v>
      </c>
    </row>
    <row r="816" spans="1:1">
      <c r="A816" s="35" t="s">
        <v>53811</v>
      </c>
    </row>
    <row r="817" spans="1:1">
      <c r="A817" s="35" t="s">
        <v>53812</v>
      </c>
    </row>
    <row r="818" spans="1:1">
      <c r="A818" s="35" t="s">
        <v>53813</v>
      </c>
    </row>
    <row r="819" spans="1:1">
      <c r="A819" s="35" t="s">
        <v>53814</v>
      </c>
    </row>
    <row r="820" spans="1:1">
      <c r="A820" s="35" t="s">
        <v>53815</v>
      </c>
    </row>
    <row r="821" spans="1:1">
      <c r="A821" s="35" t="s">
        <v>41057</v>
      </c>
    </row>
    <row r="822" spans="1:1">
      <c r="A822" s="35" t="s">
        <v>53816</v>
      </c>
    </row>
    <row r="823" spans="1:1">
      <c r="A823" s="35" t="s">
        <v>53762</v>
      </c>
    </row>
    <row r="824" spans="1:1">
      <c r="A824" s="35" t="s">
        <v>53817</v>
      </c>
    </row>
    <row r="825" spans="1:1">
      <c r="A825" s="35" t="s">
        <v>41057</v>
      </c>
    </row>
    <row r="826" spans="1:1">
      <c r="A826" s="35" t="s">
        <v>53545</v>
      </c>
    </row>
    <row r="827" spans="1:1">
      <c r="A827" s="35" t="s">
        <v>52569</v>
      </c>
    </row>
    <row r="828" spans="1:1">
      <c r="A828" s="35" t="s">
        <v>41057</v>
      </c>
    </row>
    <row r="829" spans="1:1">
      <c r="A829" s="35" t="s">
        <v>41057</v>
      </c>
    </row>
    <row r="830" spans="1:1">
      <c r="A830" s="35" t="s">
        <v>41057</v>
      </c>
    </row>
    <row r="831" spans="1:1">
      <c r="A831" s="35" t="s">
        <v>41057</v>
      </c>
    </row>
    <row r="832" spans="1:1">
      <c r="A832" s="35" t="s">
        <v>41057</v>
      </c>
    </row>
    <row r="833" spans="1:1">
      <c r="A833" s="35" t="s">
        <v>53546</v>
      </c>
    </row>
    <row r="834" spans="1:1">
      <c r="A834" s="35" t="s">
        <v>41057</v>
      </c>
    </row>
    <row r="835" spans="1:1">
      <c r="A835" s="35" t="s">
        <v>41057</v>
      </c>
    </row>
    <row r="836" spans="1:1">
      <c r="A836" s="35" t="s">
        <v>41057</v>
      </c>
    </row>
    <row r="837" spans="1:1">
      <c r="A837" s="35" t="s">
        <v>53547</v>
      </c>
    </row>
    <row r="838" spans="1:1">
      <c r="A838" s="35" t="s">
        <v>53818</v>
      </c>
    </row>
    <row r="839" spans="1:1">
      <c r="A839" s="35" t="s">
        <v>53819</v>
      </c>
    </row>
    <row r="840" spans="1:1">
      <c r="A840" s="35" t="s">
        <v>53820</v>
      </c>
    </row>
    <row r="841" spans="1:1">
      <c r="A841" s="35" t="s">
        <v>41057</v>
      </c>
    </row>
    <row r="842" spans="1:1">
      <c r="A842" s="35" t="s">
        <v>41057</v>
      </c>
    </row>
    <row r="843" spans="1:1">
      <c r="A843" s="35" t="e" cm="1">
        <f t="array" ref="A843">---------------EVTY------------------FVE-------------------K</f>
        <v>#NAME?</v>
      </c>
    </row>
    <row r="844" spans="1:1">
      <c r="A844" s="35" t="s">
        <v>53821</v>
      </c>
    </row>
    <row r="845" spans="1:1">
      <c r="A845" s="35" t="s">
        <v>53822</v>
      </c>
    </row>
    <row r="846" spans="1:1">
      <c r="A846" s="35" t="s">
        <v>41057</v>
      </c>
    </row>
    <row r="847" spans="1:1">
      <c r="A847" s="35" t="s">
        <v>53823</v>
      </c>
    </row>
    <row r="848" spans="1:1">
      <c r="A848" s="35" t="s">
        <v>41057</v>
      </c>
    </row>
    <row r="849" spans="1:1">
      <c r="A849" s="35" t="s">
        <v>41057</v>
      </c>
    </row>
    <row r="850" spans="1:1">
      <c r="A850" s="35" t="s">
        <v>53824</v>
      </c>
    </row>
    <row r="851" spans="1:1">
      <c r="A851" s="35" t="s">
        <v>41057</v>
      </c>
    </row>
    <row r="852" spans="1:1">
      <c r="A852" s="35" t="s">
        <v>41057</v>
      </c>
    </row>
    <row r="853" spans="1:1">
      <c r="A853" s="35" t="s">
        <v>53500</v>
      </c>
    </row>
    <row r="854" spans="1:1">
      <c r="A854" s="35" t="s">
        <v>41057</v>
      </c>
    </row>
    <row r="855" spans="1:1">
      <c r="A855" s="35" t="s">
        <v>41057</v>
      </c>
    </row>
    <row r="856" spans="1:1">
      <c r="A856" s="35" t="s">
        <v>53825</v>
      </c>
    </row>
    <row r="857" spans="1:1">
      <c r="A857" s="35" t="s">
        <v>41057</v>
      </c>
    </row>
    <row r="858" spans="1:1">
      <c r="A858" s="35" t="s">
        <v>53826</v>
      </c>
    </row>
    <row r="859" spans="1:1">
      <c r="A859" s="35" t="s">
        <v>41057</v>
      </c>
    </row>
    <row r="860" spans="1:1">
      <c r="A860" s="35" t="s">
        <v>53827</v>
      </c>
    </row>
    <row r="861" spans="1:1">
      <c r="A861" s="35" t="s">
        <v>53828</v>
      </c>
    </row>
    <row r="862" spans="1:1">
      <c r="A862" s="35" t="s">
        <v>41057</v>
      </c>
    </row>
    <row r="863" spans="1:1">
      <c r="A863" s="35" t="s">
        <v>41057</v>
      </c>
    </row>
    <row r="864" spans="1:1">
      <c r="A864" s="35" t="s">
        <v>53829</v>
      </c>
    </row>
    <row r="865" spans="1:1">
      <c r="A865" s="35" t="s">
        <v>41057</v>
      </c>
    </row>
    <row r="866" spans="1:1">
      <c r="A866" s="35" t="s">
        <v>41057</v>
      </c>
    </row>
    <row r="867" spans="1:1">
      <c r="A867" s="35" t="s">
        <v>41057</v>
      </c>
    </row>
    <row r="868" spans="1:1">
      <c r="A868" s="35" t="s">
        <v>41057</v>
      </c>
    </row>
    <row r="869" spans="1:1">
      <c r="A869" s="35" t="s">
        <v>41057</v>
      </c>
    </row>
    <row r="870" spans="1:1">
      <c r="A870" s="35" t="s">
        <v>53830</v>
      </c>
    </row>
    <row r="871" spans="1:1">
      <c r="A871" s="35" t="s">
        <v>41057</v>
      </c>
    </row>
    <row r="872" spans="1:1">
      <c r="A872" s="35" t="s">
        <v>41057</v>
      </c>
    </row>
    <row r="873" spans="1:1">
      <c r="A873" s="35" t="s">
        <v>41057</v>
      </c>
    </row>
    <row r="874" spans="1:1">
      <c r="A874" s="35" t="s">
        <v>41057</v>
      </c>
    </row>
    <row r="875" spans="1:1">
      <c r="A875" s="35" t="s">
        <v>41057</v>
      </c>
    </row>
    <row r="876" spans="1:1">
      <c r="A876" s="35" t="s">
        <v>41057</v>
      </c>
    </row>
    <row r="877" spans="1:1">
      <c r="A877" s="35" t="s">
        <v>41057</v>
      </c>
    </row>
    <row r="878" spans="1:1">
      <c r="A878" s="35" t="s">
        <v>41057</v>
      </c>
    </row>
    <row r="879" spans="1:1">
      <c r="A879" s="35" t="s">
        <v>41057</v>
      </c>
    </row>
    <row r="880" spans="1:1">
      <c r="A880" s="35" t="s">
        <v>41057</v>
      </c>
    </row>
    <row r="881" spans="1:1">
      <c r="A881" s="35" t="s">
        <v>41057</v>
      </c>
    </row>
    <row r="882" spans="1:1">
      <c r="A882" s="35" t="s">
        <v>41057</v>
      </c>
    </row>
    <row r="883" spans="1:1">
      <c r="A883" s="35" t="s">
        <v>41057</v>
      </c>
    </row>
    <row r="884" spans="1:1">
      <c r="A884" s="35" t="s">
        <v>41057</v>
      </c>
    </row>
    <row r="885" spans="1:1">
      <c r="A885" s="35" t="s">
        <v>41057</v>
      </c>
    </row>
    <row r="886" spans="1:1">
      <c r="A886" s="35" t="s">
        <v>53831</v>
      </c>
    </row>
    <row r="887" spans="1:1">
      <c r="A887" s="35" t="s">
        <v>41057</v>
      </c>
    </row>
    <row r="888" spans="1:1">
      <c r="A888" s="35" t="s">
        <v>41057</v>
      </c>
    </row>
    <row r="889" spans="1:1">
      <c r="A889" s="35" t="s">
        <v>41057</v>
      </c>
    </row>
    <row r="890" spans="1:1">
      <c r="A890" s="35" t="s">
        <v>41057</v>
      </c>
    </row>
    <row r="891" spans="1:1">
      <c r="A891" s="35" t="s">
        <v>41057</v>
      </c>
    </row>
    <row r="892" spans="1:1">
      <c r="A892" s="35" t="s">
        <v>41057</v>
      </c>
    </row>
    <row r="893" spans="1:1">
      <c r="A893" s="35" t="s">
        <v>41057</v>
      </c>
    </row>
    <row r="894" spans="1:1">
      <c r="A894" s="35" t="s">
        <v>41057</v>
      </c>
    </row>
    <row r="895" spans="1:1">
      <c r="A895" s="35" t="s">
        <v>41057</v>
      </c>
    </row>
    <row r="896" spans="1:1">
      <c r="A896" s="35" t="s">
        <v>41057</v>
      </c>
    </row>
    <row r="897" spans="1:1">
      <c r="A897" s="35" t="e" cm="1">
        <f t="array" ref="A897">-------------------------------------------------QVLDSV---GT</f>
        <v>#NAME?</v>
      </c>
    </row>
    <row r="898" spans="1:1">
      <c r="A898" s="35" t="s">
        <v>53832</v>
      </c>
    </row>
    <row r="899" spans="1:1">
      <c r="A899" s="35" t="e" cm="1">
        <f t="array" ref="A899">---------------GEFIEMKFDLEV---------PTGK------------------QA</f>
        <v>#NAME?</v>
      </c>
    </row>
    <row r="900" spans="1:1">
      <c r="A900" s="35" t="s">
        <v>53833</v>
      </c>
    </row>
    <row r="901" spans="1:1">
      <c r="A901" s="35" t="s">
        <v>53834</v>
      </c>
    </row>
    <row r="902" spans="1:1">
      <c r="A902" s="35" t="s">
        <v>53835</v>
      </c>
    </row>
    <row r="903" spans="1:1">
      <c r="A903" s="35" t="s">
        <v>53836</v>
      </c>
    </row>
    <row r="904" spans="1:1">
      <c r="A904" s="35" t="s">
        <v>41057</v>
      </c>
    </row>
    <row r="905" spans="1:1">
      <c r="A905" s="35" t="s">
        <v>53837</v>
      </c>
    </row>
    <row r="906" spans="1:1">
      <c r="A906" s="35" t="s">
        <v>53838</v>
      </c>
    </row>
    <row r="907" spans="1:1">
      <c r="A907" s="35" t="s">
        <v>53839</v>
      </c>
    </row>
    <row r="908" spans="1:1">
      <c r="A908" s="35" t="s">
        <v>41057</v>
      </c>
    </row>
    <row r="909" spans="1:1">
      <c r="A909" s="35" t="s">
        <v>41057</v>
      </c>
    </row>
    <row r="910" spans="1:1">
      <c r="A910" s="35" t="s">
        <v>41057</v>
      </c>
    </row>
    <row r="911" spans="1:1">
      <c r="A911" s="35" t="s">
        <v>53840</v>
      </c>
    </row>
    <row r="912" spans="1:1">
      <c r="A912" s="35" t="s">
        <v>41057</v>
      </c>
    </row>
    <row r="913" spans="1:1">
      <c r="A913" s="35" t="s">
        <v>41057</v>
      </c>
    </row>
    <row r="914" spans="1:1">
      <c r="A914" s="35" t="s">
        <v>41057</v>
      </c>
    </row>
    <row r="915" spans="1:1">
      <c r="A915" s="35" t="s">
        <v>53841</v>
      </c>
    </row>
    <row r="916" spans="1:1">
      <c r="A916" s="35" t="s">
        <v>53842</v>
      </c>
    </row>
    <row r="917" spans="1:1">
      <c r="A917" s="35" t="s">
        <v>53843</v>
      </c>
    </row>
    <row r="918" spans="1:1">
      <c r="A918" s="35" t="e" cm="1">
        <f t="array" ref="A918">----------------------------------------------------------RQ</f>
        <v>#NAME?</v>
      </c>
    </row>
    <row r="919" spans="1:1">
      <c r="A919" s="35" t="s">
        <v>53844</v>
      </c>
    </row>
    <row r="920" spans="1:1">
      <c r="A920" s="35" t="s">
        <v>53845</v>
      </c>
    </row>
    <row r="921" spans="1:1">
      <c r="A921" s="35" t="s">
        <v>53846</v>
      </c>
    </row>
    <row r="922" spans="1:1">
      <c r="A922" s="35" t="s">
        <v>41057</v>
      </c>
    </row>
    <row r="923" spans="1:1">
      <c r="A923" s="35" t="s">
        <v>53847</v>
      </c>
    </row>
    <row r="924" spans="1:1">
      <c r="A924" s="35" t="s">
        <v>41057</v>
      </c>
    </row>
    <row r="925" spans="1:1">
      <c r="A925" s="35" t="s">
        <v>41057</v>
      </c>
    </row>
    <row r="926" spans="1:1">
      <c r="A926" s="35" t="s">
        <v>41057</v>
      </c>
    </row>
    <row r="927" spans="1:1">
      <c r="A927" s="35" t="s">
        <v>53809</v>
      </c>
    </row>
    <row r="928" spans="1:1">
      <c r="A928" s="35" t="s">
        <v>53848</v>
      </c>
    </row>
    <row r="929" spans="1:1">
      <c r="A929" s="35" t="s">
        <v>41057</v>
      </c>
    </row>
    <row r="930" spans="1:1">
      <c r="A930" s="35" t="s">
        <v>41057</v>
      </c>
    </row>
    <row r="931" spans="1:1">
      <c r="A931" s="35" t="s">
        <v>41057</v>
      </c>
    </row>
    <row r="932" spans="1:1">
      <c r="A932" s="35" t="e" cm="1">
        <f t="array" ref="A932">---------------------TA-------------------------F--GTGDQLVQL</f>
        <v>#NAME?</v>
      </c>
    </row>
    <row r="933" spans="1:1">
      <c r="A933" s="35" t="s">
        <v>53849</v>
      </c>
    </row>
    <row r="934" spans="1:1">
      <c r="A934" s="35" t="s">
        <v>53850</v>
      </c>
    </row>
    <row r="935" spans="1:1">
      <c r="A935" s="35" t="s">
        <v>53851</v>
      </c>
    </row>
    <row r="936" spans="1:1">
      <c r="A936" s="35" t="s">
        <v>53852</v>
      </c>
    </row>
    <row r="937" spans="1:1">
      <c r="A937" s="35" t="s">
        <v>53853</v>
      </c>
    </row>
    <row r="938" spans="1:1">
      <c r="A938" s="35" t="s">
        <v>53854</v>
      </c>
    </row>
    <row r="939" spans="1:1">
      <c r="A939" s="35" t="s">
        <v>41057</v>
      </c>
    </row>
    <row r="940" spans="1:1">
      <c r="A940" s="35" t="s">
        <v>53855</v>
      </c>
    </row>
    <row r="941" spans="1:1">
      <c r="A941" s="35" t="s">
        <v>53856</v>
      </c>
    </row>
    <row r="942" spans="1:1">
      <c r="A942" s="35" t="s">
        <v>53857</v>
      </c>
    </row>
    <row r="943" spans="1:1">
      <c r="A943" s="35" t="s">
        <v>53858</v>
      </c>
    </row>
    <row r="944" spans="1:1">
      <c r="A944" s="35" t="s">
        <v>53545</v>
      </c>
    </row>
    <row r="945" spans="1:1">
      <c r="A945" s="35" t="s">
        <v>52594</v>
      </c>
    </row>
    <row r="946" spans="1:1">
      <c r="A946" s="35" t="s">
        <v>41057</v>
      </c>
    </row>
    <row r="947" spans="1:1">
      <c r="A947" s="35" t="s">
        <v>41057</v>
      </c>
    </row>
    <row r="948" spans="1:1">
      <c r="A948" s="35" t="s">
        <v>41057</v>
      </c>
    </row>
    <row r="949" spans="1:1">
      <c r="A949" s="35" t="s">
        <v>41057</v>
      </c>
    </row>
    <row r="950" spans="1:1">
      <c r="A950" s="35" t="s">
        <v>41057</v>
      </c>
    </row>
    <row r="951" spans="1:1">
      <c r="A951" s="35" t="s">
        <v>53546</v>
      </c>
    </row>
    <row r="952" spans="1:1">
      <c r="A952" s="35" t="s">
        <v>41057</v>
      </c>
    </row>
    <row r="953" spans="1:1">
      <c r="A953" s="35" t="s">
        <v>41057</v>
      </c>
    </row>
    <row r="954" spans="1:1">
      <c r="A954" s="35" t="s">
        <v>41057</v>
      </c>
    </row>
    <row r="955" spans="1:1">
      <c r="A955" s="35" t="s">
        <v>53547</v>
      </c>
    </row>
    <row r="956" spans="1:1">
      <c r="A956" s="35" t="s">
        <v>53859</v>
      </c>
    </row>
    <row r="957" spans="1:1">
      <c r="A957" s="35" t="s">
        <v>53860</v>
      </c>
    </row>
    <row r="958" spans="1:1">
      <c r="A958" s="35" t="s">
        <v>53637</v>
      </c>
    </row>
    <row r="959" spans="1:1">
      <c r="A959" s="35" t="s">
        <v>41057</v>
      </c>
    </row>
    <row r="960" spans="1:1">
      <c r="A960" s="35" t="s">
        <v>41057</v>
      </c>
    </row>
    <row r="961" spans="1:1">
      <c r="A961" s="35" t="e" cm="1">
        <f t="array" ref="A961">---------------EITY------------------FLE-------------------K</f>
        <v>#NAME?</v>
      </c>
    </row>
    <row r="962" spans="1:1">
      <c r="A962" s="35" t="s">
        <v>53861</v>
      </c>
    </row>
    <row r="963" spans="1:1">
      <c r="A963" s="35" t="s">
        <v>53862</v>
      </c>
    </row>
    <row r="964" spans="1:1">
      <c r="A964" s="35" t="s">
        <v>41057</v>
      </c>
    </row>
    <row r="965" spans="1:1">
      <c r="A965" s="35" t="s">
        <v>53863</v>
      </c>
    </row>
    <row r="966" spans="1:1">
      <c r="A966" s="35" t="s">
        <v>41057</v>
      </c>
    </row>
    <row r="967" spans="1:1">
      <c r="A967" s="35" t="s">
        <v>41057</v>
      </c>
    </row>
    <row r="968" spans="1:1">
      <c r="A968" s="35" t="s">
        <v>53864</v>
      </c>
    </row>
    <row r="969" spans="1:1">
      <c r="A969" s="35" t="s">
        <v>41057</v>
      </c>
    </row>
    <row r="970" spans="1:1">
      <c r="A970" s="35" t="s">
        <v>41057</v>
      </c>
    </row>
    <row r="971" spans="1:1">
      <c r="A971" s="35" t="s">
        <v>53500</v>
      </c>
    </row>
    <row r="972" spans="1:1">
      <c r="A972" s="35" t="s">
        <v>41057</v>
      </c>
    </row>
    <row r="973" spans="1:1">
      <c r="A973" s="35" t="s">
        <v>41057</v>
      </c>
    </row>
    <row r="974" spans="1:1">
      <c r="A974" s="35" t="s">
        <v>53865</v>
      </c>
    </row>
    <row r="975" spans="1:1">
      <c r="A975" s="35" t="s">
        <v>41057</v>
      </c>
    </row>
    <row r="976" spans="1:1">
      <c r="A976" s="35" t="s">
        <v>53866</v>
      </c>
    </row>
    <row r="977" spans="1:1">
      <c r="A977" s="35" t="s">
        <v>41057</v>
      </c>
    </row>
    <row r="978" spans="1:1">
      <c r="A978" s="35" t="s">
        <v>53867</v>
      </c>
    </row>
    <row r="979" spans="1:1">
      <c r="A979" s="35" t="s">
        <v>53868</v>
      </c>
    </row>
    <row r="980" spans="1:1">
      <c r="A980" s="35" t="s">
        <v>41057</v>
      </c>
    </row>
    <row r="981" spans="1:1">
      <c r="A981" s="35" t="s">
        <v>41057</v>
      </c>
    </row>
    <row r="982" spans="1:1">
      <c r="A982" s="35" t="s">
        <v>53869</v>
      </c>
    </row>
    <row r="983" spans="1:1">
      <c r="A983" s="35" t="s">
        <v>41057</v>
      </c>
    </row>
    <row r="984" spans="1:1">
      <c r="A984" s="35" t="s">
        <v>41057</v>
      </c>
    </row>
    <row r="985" spans="1:1">
      <c r="A985" s="35" t="s">
        <v>41057</v>
      </c>
    </row>
    <row r="986" spans="1:1">
      <c r="A986" s="35" t="s">
        <v>41057</v>
      </c>
    </row>
    <row r="987" spans="1:1">
      <c r="A987" s="35" t="s">
        <v>41057</v>
      </c>
    </row>
    <row r="988" spans="1:1">
      <c r="A988" s="35" t="s">
        <v>53830</v>
      </c>
    </row>
    <row r="989" spans="1:1">
      <c r="A989" s="35" t="s">
        <v>41057</v>
      </c>
    </row>
    <row r="990" spans="1:1">
      <c r="A990" s="35" t="s">
        <v>41057</v>
      </c>
    </row>
    <row r="991" spans="1:1">
      <c r="A991" s="35" t="s">
        <v>41057</v>
      </c>
    </row>
    <row r="992" spans="1:1">
      <c r="A992" s="35" t="s">
        <v>41057</v>
      </c>
    </row>
    <row r="993" spans="1:1">
      <c r="A993" s="35" t="s">
        <v>41057</v>
      </c>
    </row>
    <row r="994" spans="1:1">
      <c r="A994" s="35" t="s">
        <v>41057</v>
      </c>
    </row>
    <row r="995" spans="1:1">
      <c r="A995" s="35" t="s">
        <v>41057</v>
      </c>
    </row>
    <row r="996" spans="1:1">
      <c r="A996" s="35" t="s">
        <v>41057</v>
      </c>
    </row>
    <row r="997" spans="1:1">
      <c r="A997" s="35" t="s">
        <v>41057</v>
      </c>
    </row>
    <row r="998" spans="1:1">
      <c r="A998" s="35" t="s">
        <v>41057</v>
      </c>
    </row>
    <row r="999" spans="1:1">
      <c r="A999" s="35" t="s">
        <v>41057</v>
      </c>
    </row>
    <row r="1000" spans="1:1">
      <c r="A1000" s="35" t="s">
        <v>41057</v>
      </c>
    </row>
    <row r="1001" spans="1:1">
      <c r="A1001" s="35" t="s">
        <v>41057</v>
      </c>
    </row>
    <row r="1002" spans="1:1">
      <c r="A1002" s="35" t="s">
        <v>41057</v>
      </c>
    </row>
    <row r="1003" spans="1:1">
      <c r="A1003" s="35" t="s">
        <v>41057</v>
      </c>
    </row>
    <row r="1004" spans="1:1">
      <c r="A1004" s="35" t="s">
        <v>53870</v>
      </c>
    </row>
    <row r="1005" spans="1:1">
      <c r="A1005" s="35" t="s">
        <v>41057</v>
      </c>
    </row>
    <row r="1006" spans="1:1">
      <c r="A1006" s="35" t="s">
        <v>41057</v>
      </c>
    </row>
    <row r="1007" spans="1:1">
      <c r="A1007" s="35" t="s">
        <v>41057</v>
      </c>
    </row>
    <row r="1008" spans="1:1">
      <c r="A1008" s="35" t="s">
        <v>41057</v>
      </c>
    </row>
    <row r="1009" spans="1:1">
      <c r="A1009" s="35" t="s">
        <v>41057</v>
      </c>
    </row>
    <row r="1010" spans="1:1">
      <c r="A1010" s="35" t="s">
        <v>41057</v>
      </c>
    </row>
    <row r="1011" spans="1:1">
      <c r="A1011" s="35" t="s">
        <v>41057</v>
      </c>
    </row>
    <row r="1012" spans="1:1">
      <c r="A1012" s="35" t="s">
        <v>41057</v>
      </c>
    </row>
    <row r="1013" spans="1:1">
      <c r="A1013" s="35" t="s">
        <v>41057</v>
      </c>
    </row>
    <row r="1014" spans="1:1">
      <c r="A1014" s="35" t="s">
        <v>41057</v>
      </c>
    </row>
    <row r="1015" spans="1:1">
      <c r="A1015" s="35" t="e" cm="1">
        <f t="array" ref="A1015">--------------------------------------------------LCDSA---MT</f>
        <v>#NAME?</v>
      </c>
    </row>
    <row r="1016" spans="1:1">
      <c r="A1016" s="35" t="s">
        <v>53871</v>
      </c>
    </row>
    <row r="1017" spans="1:1">
      <c r="A1017" s="35" t="e" cm="1">
        <f t="array" ref="A1017">---------------GEYIEMMNDLKT---------PQGK------------------QA</f>
        <v>#NAME?</v>
      </c>
    </row>
    <row r="1018" spans="1:1">
      <c r="A1018" s="35" t="s">
        <v>53872</v>
      </c>
    </row>
    <row r="1019" spans="1:1">
      <c r="A1019" s="35" t="s">
        <v>53873</v>
      </c>
    </row>
    <row r="1020" spans="1:1">
      <c r="A1020" s="35" t="s">
        <v>41057</v>
      </c>
    </row>
    <row r="1021" spans="1:1">
      <c r="A1021" s="35" t="s">
        <v>53874</v>
      </c>
    </row>
    <row r="1022" spans="1:1">
      <c r="A1022" s="35" t="s">
        <v>41057</v>
      </c>
    </row>
    <row r="1023" spans="1:1">
      <c r="A1023" s="35" t="s">
        <v>53875</v>
      </c>
    </row>
    <row r="1024" spans="1:1">
      <c r="A1024" s="35" t="s">
        <v>53876</v>
      </c>
    </row>
    <row r="1025" spans="1:1">
      <c r="A1025" s="35" t="s">
        <v>53877</v>
      </c>
    </row>
    <row r="1026" spans="1:1">
      <c r="A1026" s="35" t="s">
        <v>41057</v>
      </c>
    </row>
    <row r="1027" spans="1:1">
      <c r="A1027" s="35" t="s">
        <v>41057</v>
      </c>
    </row>
    <row r="1028" spans="1:1">
      <c r="A1028" s="35" t="s">
        <v>41057</v>
      </c>
    </row>
    <row r="1029" spans="1:1">
      <c r="A1029" s="35" t="s">
        <v>53878</v>
      </c>
    </row>
    <row r="1030" spans="1:1">
      <c r="A1030" s="35" t="s">
        <v>41057</v>
      </c>
    </row>
    <row r="1031" spans="1:1">
      <c r="A1031" s="35" t="s">
        <v>41057</v>
      </c>
    </row>
    <row r="1032" spans="1:1">
      <c r="A1032" s="35" t="s">
        <v>41057</v>
      </c>
    </row>
    <row r="1033" spans="1:1">
      <c r="A1033" s="35" t="s">
        <v>53879</v>
      </c>
    </row>
    <row r="1034" spans="1:1">
      <c r="A1034" s="35" t="s">
        <v>53880</v>
      </c>
    </row>
    <row r="1035" spans="1:1">
      <c r="A1035" s="35" t="s">
        <v>53881</v>
      </c>
    </row>
    <row r="1036" spans="1:1">
      <c r="A1036" s="35" t="e" cm="1">
        <f t="array" ref="A1036">----------------------------------------------------------RV</f>
        <v>#NAME?</v>
      </c>
    </row>
    <row r="1037" spans="1:1">
      <c r="A1037" s="35" t="s">
        <v>53882</v>
      </c>
    </row>
    <row r="1038" spans="1:1">
      <c r="A1038" s="35" t="s">
        <v>53883</v>
      </c>
    </row>
    <row r="1039" spans="1:1">
      <c r="A1039" s="35" t="s">
        <v>53884</v>
      </c>
    </row>
    <row r="1040" spans="1:1">
      <c r="A1040" s="35" t="s">
        <v>41057</v>
      </c>
    </row>
    <row r="1041" spans="1:1">
      <c r="A1041" s="35" t="s">
        <v>53885</v>
      </c>
    </row>
    <row r="1042" spans="1:1">
      <c r="A1042" s="35" t="s">
        <v>41057</v>
      </c>
    </row>
    <row r="1043" spans="1:1">
      <c r="A1043" s="35" t="s">
        <v>41057</v>
      </c>
    </row>
    <row r="1044" spans="1:1">
      <c r="A1044" s="35" t="s">
        <v>41057</v>
      </c>
    </row>
    <row r="1045" spans="1:1">
      <c r="A1045" s="35" t="s">
        <v>53886</v>
      </c>
    </row>
    <row r="1046" spans="1:1">
      <c r="A1046" s="35" t="s">
        <v>53887</v>
      </c>
    </row>
    <row r="1047" spans="1:1">
      <c r="A1047" s="35" t="s">
        <v>41057</v>
      </c>
    </row>
    <row r="1048" spans="1:1">
      <c r="A1048" s="35" t="s">
        <v>41057</v>
      </c>
    </row>
    <row r="1049" spans="1:1">
      <c r="A1049" s="35" t="s">
        <v>41057</v>
      </c>
    </row>
    <row r="1050" spans="1:1">
      <c r="A1050" s="35" t="e" cm="1">
        <f t="array" ref="A1050">---------------------NS-------------------------YTNGTTEQLSNL</f>
        <v>#NAME?</v>
      </c>
    </row>
    <row r="1051" spans="1:1">
      <c r="A1051" s="35" t="s">
        <v>53888</v>
      </c>
    </row>
    <row r="1052" spans="1:1">
      <c r="A1052" s="35" t="s">
        <v>53889</v>
      </c>
    </row>
    <row r="1053" spans="1:1">
      <c r="A1053" s="35" t="s">
        <v>53890</v>
      </c>
    </row>
    <row r="1054" spans="1:1">
      <c r="A1054" s="35" t="s">
        <v>53891</v>
      </c>
    </row>
    <row r="1055" spans="1:1">
      <c r="A1055" s="35" t="s">
        <v>53892</v>
      </c>
    </row>
    <row r="1056" spans="1:1">
      <c r="A1056" s="35" t="s">
        <v>53893</v>
      </c>
    </row>
    <row r="1057" spans="1:1">
      <c r="A1057" s="35" t="s">
        <v>41057</v>
      </c>
    </row>
    <row r="1058" spans="1:1">
      <c r="A1058" s="35" t="s">
        <v>53894</v>
      </c>
    </row>
    <row r="1059" spans="1:1">
      <c r="A1059" s="35" t="s">
        <v>53895</v>
      </c>
    </row>
    <row r="1060" spans="1:1">
      <c r="A1060" s="35" t="s">
        <v>53896</v>
      </c>
    </row>
    <row r="1061" spans="1:1">
      <c r="A1061" s="35" t="s">
        <v>53897</v>
      </c>
    </row>
    <row r="1062" spans="1:1">
      <c r="A1062" s="35" t="s">
        <v>53545</v>
      </c>
    </row>
    <row r="1063" spans="1:1">
      <c r="A1063" s="35" t="s">
        <v>53898</v>
      </c>
    </row>
    <row r="1064" spans="1:1">
      <c r="A1064" s="35" t="s">
        <v>41057</v>
      </c>
    </row>
    <row r="1065" spans="1:1">
      <c r="A1065" s="35" t="s">
        <v>41057</v>
      </c>
    </row>
    <row r="1066" spans="1:1">
      <c r="A1066" s="35" t="s">
        <v>41057</v>
      </c>
    </row>
    <row r="1067" spans="1:1">
      <c r="A1067" s="35" t="s">
        <v>41057</v>
      </c>
    </row>
    <row r="1068" spans="1:1">
      <c r="A1068" s="35" t="s">
        <v>41057</v>
      </c>
    </row>
    <row r="1069" spans="1:1">
      <c r="A1069" s="35" t="s">
        <v>41057</v>
      </c>
    </row>
    <row r="1070" spans="1:1">
      <c r="A1070" s="35" t="s">
        <v>41057</v>
      </c>
    </row>
    <row r="1071" spans="1:1">
      <c r="A1071" s="35" t="s">
        <v>41057</v>
      </c>
    </row>
    <row r="1072" spans="1:1">
      <c r="A1072" s="35" t="s">
        <v>41057</v>
      </c>
    </row>
    <row r="1073" spans="1:1">
      <c r="A1073" s="35" t="s">
        <v>41057</v>
      </c>
    </row>
    <row r="1074" spans="1:1">
      <c r="A1074" s="35" t="s">
        <v>41057</v>
      </c>
    </row>
    <row r="1075" spans="1:1">
      <c r="A1075" s="35" t="s">
        <v>53899</v>
      </c>
    </row>
    <row r="1076" spans="1:1">
      <c r="A1076" s="35" t="s">
        <v>53900</v>
      </c>
    </row>
    <row r="1077" spans="1:1">
      <c r="A1077" s="35" t="s">
        <v>41057</v>
      </c>
    </row>
    <row r="1078" spans="1:1">
      <c r="A1078" s="35" t="s">
        <v>41057</v>
      </c>
    </row>
    <row r="1079" spans="1:1">
      <c r="A1079" s="35" t="e" cm="1">
        <f t="array" ref="A1079">---------------SISF------------------WKS-------------------V</f>
        <v>#NAME?</v>
      </c>
    </row>
    <row r="1080" spans="1:1">
      <c r="A1080" s="35" t="s">
        <v>53901</v>
      </c>
    </row>
    <row r="1081" spans="1:1">
      <c r="A1081" s="35" t="s">
        <v>53902</v>
      </c>
    </row>
    <row r="1082" spans="1:1">
      <c r="A1082" s="35" t="s">
        <v>41057</v>
      </c>
    </row>
    <row r="1083" spans="1:1">
      <c r="A1083" s="35" t="s">
        <v>53903</v>
      </c>
    </row>
    <row r="1084" spans="1:1">
      <c r="A1084" s="35" t="s">
        <v>41057</v>
      </c>
    </row>
    <row r="1085" spans="1:1">
      <c r="A1085" s="35" t="s">
        <v>41057</v>
      </c>
    </row>
    <row r="1086" spans="1:1">
      <c r="A1086" s="35" t="s">
        <v>53904</v>
      </c>
    </row>
    <row r="1087" spans="1:1">
      <c r="A1087" s="35" t="s">
        <v>41057</v>
      </c>
    </row>
    <row r="1088" spans="1:1">
      <c r="A1088" s="35" t="s">
        <v>41057</v>
      </c>
    </row>
    <row r="1089" spans="1:1">
      <c r="A1089" s="35" t="s">
        <v>53500</v>
      </c>
    </row>
    <row r="1090" spans="1:1">
      <c r="A1090" s="35" t="s">
        <v>41057</v>
      </c>
    </row>
    <row r="1091" spans="1:1">
      <c r="A1091" s="35" t="s">
        <v>41057</v>
      </c>
    </row>
    <row r="1092" spans="1:1">
      <c r="A1092" s="35" t="s">
        <v>53905</v>
      </c>
    </row>
    <row r="1093" spans="1:1">
      <c r="A1093" s="35" t="s">
        <v>41057</v>
      </c>
    </row>
    <row r="1094" spans="1:1">
      <c r="A1094" s="35" t="s">
        <v>53906</v>
      </c>
    </row>
    <row r="1095" spans="1:1">
      <c r="A1095" s="35" t="s">
        <v>41057</v>
      </c>
    </row>
    <row r="1096" spans="1:1">
      <c r="A1096" s="35" t="s">
        <v>53907</v>
      </c>
    </row>
    <row r="1097" spans="1:1">
      <c r="A1097" s="35" t="s">
        <v>53908</v>
      </c>
    </row>
    <row r="1098" spans="1:1">
      <c r="A1098" s="35" t="s">
        <v>41057</v>
      </c>
    </row>
    <row r="1099" spans="1:1">
      <c r="A1099" s="35" t="s">
        <v>41057</v>
      </c>
    </row>
    <row r="1100" spans="1:1">
      <c r="A1100" s="35" t="s">
        <v>53909</v>
      </c>
    </row>
    <row r="1101" spans="1:1">
      <c r="A1101" s="35" t="s">
        <v>41057</v>
      </c>
    </row>
    <row r="1102" spans="1:1">
      <c r="A1102" s="35" t="s">
        <v>41057</v>
      </c>
    </row>
    <row r="1103" spans="1:1">
      <c r="A1103" s="35" t="s">
        <v>41057</v>
      </c>
    </row>
    <row r="1104" spans="1:1">
      <c r="A1104" s="35" t="s">
        <v>41057</v>
      </c>
    </row>
    <row r="1105" spans="1:1">
      <c r="A1105" s="35" t="s">
        <v>41057</v>
      </c>
    </row>
    <row r="1106" spans="1:1">
      <c r="A1106" s="35" t="s">
        <v>53910</v>
      </c>
    </row>
    <row r="1107" spans="1:1">
      <c r="A1107" s="35" t="s">
        <v>41057</v>
      </c>
    </row>
    <row r="1108" spans="1:1">
      <c r="A1108" s="35" t="s">
        <v>41057</v>
      </c>
    </row>
    <row r="1109" spans="1:1">
      <c r="A1109" s="35" t="s">
        <v>41057</v>
      </c>
    </row>
    <row r="1110" spans="1:1">
      <c r="A1110" s="35" t="s">
        <v>41057</v>
      </c>
    </row>
    <row r="1111" spans="1:1">
      <c r="A1111" s="35" t="s">
        <v>41057</v>
      </c>
    </row>
    <row r="1112" spans="1:1">
      <c r="A1112" s="35" t="s">
        <v>41057</v>
      </c>
    </row>
    <row r="1113" spans="1:1">
      <c r="A1113" s="35" t="s">
        <v>41057</v>
      </c>
    </row>
    <row r="1114" spans="1:1">
      <c r="A1114" s="35" t="s">
        <v>41057</v>
      </c>
    </row>
    <row r="1115" spans="1:1">
      <c r="A1115" s="35" t="s">
        <v>41057</v>
      </c>
    </row>
    <row r="1116" spans="1:1">
      <c r="A1116" s="35" t="s">
        <v>41057</v>
      </c>
    </row>
    <row r="1117" spans="1:1">
      <c r="A1117" s="35" t="s">
        <v>41057</v>
      </c>
    </row>
    <row r="1118" spans="1:1">
      <c r="A1118" s="35" t="s">
        <v>41057</v>
      </c>
    </row>
    <row r="1119" spans="1:1">
      <c r="A1119" s="35" t="s">
        <v>41057</v>
      </c>
    </row>
    <row r="1120" spans="1:1">
      <c r="A1120" s="35" t="s">
        <v>41057</v>
      </c>
    </row>
    <row r="1121" spans="1:1">
      <c r="A1121" s="35" t="s">
        <v>41057</v>
      </c>
    </row>
    <row r="1122" spans="1:1">
      <c r="A1122" s="35" t="s">
        <v>53911</v>
      </c>
    </row>
    <row r="1123" spans="1:1">
      <c r="A1123" s="35" t="s">
        <v>41057</v>
      </c>
    </row>
    <row r="1124" spans="1:1">
      <c r="A1124" s="35" t="s">
        <v>41057</v>
      </c>
    </row>
    <row r="1125" spans="1:1">
      <c r="A1125" s="35" t="s">
        <v>53912</v>
      </c>
    </row>
    <row r="1126" spans="1:1">
      <c r="A1126" s="35" t="s">
        <v>41057</v>
      </c>
    </row>
    <row r="1127" spans="1:1">
      <c r="A1127" s="35" t="s">
        <v>41057</v>
      </c>
    </row>
    <row r="1128" spans="1:1">
      <c r="A1128" s="35" t="s">
        <v>41057</v>
      </c>
    </row>
    <row r="1129" spans="1:1">
      <c r="A1129" s="35" t="s">
        <v>41057</v>
      </c>
    </row>
    <row r="1130" spans="1:1">
      <c r="A1130" s="35" t="s">
        <v>41057</v>
      </c>
    </row>
    <row r="1131" spans="1:1">
      <c r="A1131" s="35" t="s">
        <v>41057</v>
      </c>
    </row>
    <row r="1132" spans="1:1">
      <c r="A1132" s="35" t="s">
        <v>41057</v>
      </c>
    </row>
    <row r="1133" spans="1:1">
      <c r="A1133" s="35" t="e" cm="1">
        <f t="array" ref="A1133">-----------------------------------------------------YA---AE</f>
        <v>#NAME?</v>
      </c>
    </row>
    <row r="1134" spans="1:1">
      <c r="A1134" s="35" t="s">
        <v>53913</v>
      </c>
    </row>
    <row r="1135" spans="1:1">
      <c r="A1135" s="35" t="e" cm="1">
        <f t="array" ref="A1135">---------------NDWFRVYDELYR---------SGSE------------------KE</f>
        <v>#NAME?</v>
      </c>
    </row>
    <row r="1136" spans="1:1">
      <c r="A1136" s="35" t="s">
        <v>53914</v>
      </c>
    </row>
    <row r="1137" spans="1:1">
      <c r="A1137" s="35" t="e" cm="1">
        <f t="array" ref="A1137">---------------------------------------------FDDPS--------AG</f>
        <v>#NAME?</v>
      </c>
    </row>
    <row r="1138" spans="1:1">
      <c r="A1138" s="35" t="s">
        <v>53915</v>
      </c>
    </row>
    <row r="1139" spans="1:1">
      <c r="A1139" s="35" t="s">
        <v>53916</v>
      </c>
    </row>
    <row r="1140" spans="1:1">
      <c r="A1140" s="35" t="s">
        <v>41057</v>
      </c>
    </row>
    <row r="1141" spans="1:1">
      <c r="A1141" s="35" t="s">
        <v>53917</v>
      </c>
    </row>
    <row r="1142" spans="1:1">
      <c r="A1142" s="35" t="s">
        <v>53918</v>
      </c>
    </row>
    <row r="1143" spans="1:1">
      <c r="A1143" s="35" t="s">
        <v>41057</v>
      </c>
    </row>
    <row r="1144" spans="1:1">
      <c r="A1144" s="35" t="s">
        <v>41057</v>
      </c>
    </row>
    <row r="1145" spans="1:1">
      <c r="A1145" s="35" t="s">
        <v>41057</v>
      </c>
    </row>
    <row r="1146" spans="1:1">
      <c r="A1146" s="35" t="s">
        <v>41057</v>
      </c>
    </row>
    <row r="1147" spans="1:1">
      <c r="A1147" s="35" t="s">
        <v>41057</v>
      </c>
    </row>
    <row r="1148" spans="1:1">
      <c r="A1148" s="35" t="s">
        <v>41057</v>
      </c>
    </row>
    <row r="1149" spans="1:1">
      <c r="A1149" s="35" t="s">
        <v>41057</v>
      </c>
    </row>
    <row r="1150" spans="1:1">
      <c r="A1150" s="35" t="s">
        <v>41057</v>
      </c>
    </row>
    <row r="1151" spans="1:1">
      <c r="A1151" s="35" t="s">
        <v>53919</v>
      </c>
    </row>
    <row r="1152" spans="1:1">
      <c r="A1152" s="35" t="s">
        <v>53920</v>
      </c>
    </row>
    <row r="1153" spans="1:1">
      <c r="A1153" s="35" t="s">
        <v>41057</v>
      </c>
    </row>
    <row r="1154" spans="1:1">
      <c r="A1154" s="35" t="s">
        <v>41057</v>
      </c>
    </row>
    <row r="1155" spans="1:1">
      <c r="A1155" s="35" t="s">
        <v>41057</v>
      </c>
    </row>
    <row r="1156" spans="1:1">
      <c r="A1156" s="35" t="s">
        <v>41057</v>
      </c>
    </row>
    <row r="1157" spans="1:1">
      <c r="A1157" s="35" t="s">
        <v>41057</v>
      </c>
    </row>
    <row r="1158" spans="1:1">
      <c r="A1158" s="35" t="s">
        <v>41057</v>
      </c>
    </row>
    <row r="1159" spans="1:1">
      <c r="A1159" s="35" t="s">
        <v>41057</v>
      </c>
    </row>
    <row r="1160" spans="1:1">
      <c r="A1160" s="35" t="s">
        <v>41057</v>
      </c>
    </row>
    <row r="1161" spans="1:1">
      <c r="A1161" s="35" t="s">
        <v>41057</v>
      </c>
    </row>
    <row r="1162" spans="1:1">
      <c r="A1162" s="35" t="s">
        <v>41057</v>
      </c>
    </row>
    <row r="1163" spans="1:1">
      <c r="A1163" s="35" t="s">
        <v>41057</v>
      </c>
    </row>
    <row r="1164" spans="1:1">
      <c r="A1164" s="35" t="s">
        <v>41057</v>
      </c>
    </row>
    <row r="1165" spans="1:1">
      <c r="A1165" s="35" t="s">
        <v>41057</v>
      </c>
    </row>
    <row r="1166" spans="1:1">
      <c r="A1166" s="35" t="s">
        <v>41057</v>
      </c>
    </row>
    <row r="1167" spans="1:1">
      <c r="A1167" s="35" t="s">
        <v>41057</v>
      </c>
    </row>
    <row r="1168" spans="1:1">
      <c r="A1168" s="35" t="s">
        <v>41057</v>
      </c>
    </row>
    <row r="1169" spans="1:1">
      <c r="A1169" s="35" t="s">
        <v>41057</v>
      </c>
    </row>
    <row r="1170" spans="1:1">
      <c r="A1170" s="35" t="s">
        <v>41057</v>
      </c>
    </row>
    <row r="1171" spans="1:1">
      <c r="A1171" s="35" t="s">
        <v>41057</v>
      </c>
    </row>
    <row r="1172" spans="1:1">
      <c r="A1172" s="35" t="s">
        <v>41057</v>
      </c>
    </row>
    <row r="1173" spans="1:1">
      <c r="A1173" s="35" t="s">
        <v>41057</v>
      </c>
    </row>
    <row r="1174" spans="1:1">
      <c r="A1174" s="35" t="s">
        <v>41057</v>
      </c>
    </row>
    <row r="1175" spans="1:1">
      <c r="A1175" s="35" t="s">
        <v>41057</v>
      </c>
    </row>
    <row r="1176" spans="1:1">
      <c r="A1176" s="35" t="s">
        <v>41057</v>
      </c>
    </row>
    <row r="1177" spans="1:1">
      <c r="A1177" s="35" t="s">
        <v>41057</v>
      </c>
    </row>
    <row r="1178" spans="1:1">
      <c r="A1178" s="35" t="s">
        <v>41057</v>
      </c>
    </row>
    <row r="1179" spans="1:1">
      <c r="A1179" s="35" t="s">
        <v>41057</v>
      </c>
    </row>
    <row r="1180" spans="1:1">
      <c r="A1180" s="35" t="s">
        <v>53545</v>
      </c>
    </row>
    <row r="1181" spans="1:1">
      <c r="A1181" s="35" t="s">
        <v>53921</v>
      </c>
    </row>
    <row r="1182" spans="1:1">
      <c r="A1182" s="35" t="s">
        <v>41057</v>
      </c>
    </row>
    <row r="1183" spans="1:1">
      <c r="A1183" s="35" t="s">
        <v>41057</v>
      </c>
    </row>
    <row r="1184" spans="1:1">
      <c r="A1184" s="35" t="s">
        <v>41057</v>
      </c>
    </row>
    <row r="1185" spans="1:1">
      <c r="A1185" s="35" t="s">
        <v>53922</v>
      </c>
    </row>
    <row r="1186" spans="1:1">
      <c r="A1186" s="35" t="s">
        <v>53923</v>
      </c>
    </row>
    <row r="1187" spans="1:1">
      <c r="A1187" s="35" t="s">
        <v>41057</v>
      </c>
    </row>
    <row r="1188" spans="1:1">
      <c r="A1188" s="35" t="s">
        <v>41057</v>
      </c>
    </row>
    <row r="1189" spans="1:1">
      <c r="A1189" s="35" t="s">
        <v>41057</v>
      </c>
    </row>
    <row r="1190" spans="1:1">
      <c r="A1190" s="35" t="s">
        <v>41057</v>
      </c>
    </row>
    <row r="1191" spans="1:1">
      <c r="A1191" s="35" t="s">
        <v>41057</v>
      </c>
    </row>
    <row r="1192" spans="1:1">
      <c r="A1192" s="35" t="s">
        <v>41057</v>
      </c>
    </row>
    <row r="1193" spans="1:1">
      <c r="A1193" s="35" t="s">
        <v>53924</v>
      </c>
    </row>
    <row r="1194" spans="1:1">
      <c r="A1194" s="35" t="s">
        <v>53900</v>
      </c>
    </row>
    <row r="1195" spans="1:1">
      <c r="A1195" s="35" t="s">
        <v>41057</v>
      </c>
    </row>
    <row r="1196" spans="1:1">
      <c r="A1196" s="35" t="s">
        <v>41057</v>
      </c>
    </row>
    <row r="1197" spans="1:1">
      <c r="A1197" s="35" t="e" cm="1">
        <f t="array" ref="A1197">---------------SISF------------------WKS-------------------V</f>
        <v>#NAME?</v>
      </c>
    </row>
    <row r="1198" spans="1:1">
      <c r="A1198" s="35" t="s">
        <v>53901</v>
      </c>
    </row>
    <row r="1199" spans="1:1">
      <c r="A1199" s="35" t="s">
        <v>53925</v>
      </c>
    </row>
    <row r="1200" spans="1:1">
      <c r="A1200" s="35" t="s">
        <v>41057</v>
      </c>
    </row>
    <row r="1201" spans="1:1">
      <c r="A1201" s="35" t="s">
        <v>53903</v>
      </c>
    </row>
    <row r="1202" spans="1:1">
      <c r="A1202" s="35" t="s">
        <v>41057</v>
      </c>
    </row>
    <row r="1203" spans="1:1">
      <c r="A1203" s="35" t="s">
        <v>41057</v>
      </c>
    </row>
    <row r="1204" spans="1:1">
      <c r="A1204" s="35" t="s">
        <v>53904</v>
      </c>
    </row>
    <row r="1205" spans="1:1">
      <c r="A1205" s="35" t="s">
        <v>41057</v>
      </c>
    </row>
    <row r="1206" spans="1:1">
      <c r="A1206" s="35" t="s">
        <v>41057</v>
      </c>
    </row>
    <row r="1207" spans="1:1">
      <c r="A1207" s="35" t="s">
        <v>53500</v>
      </c>
    </row>
    <row r="1208" spans="1:1">
      <c r="A1208" s="35" t="s">
        <v>41057</v>
      </c>
    </row>
    <row r="1209" spans="1:1">
      <c r="A1209" s="35" t="s">
        <v>41057</v>
      </c>
    </row>
    <row r="1210" spans="1:1">
      <c r="A1210" s="35" t="s">
        <v>53905</v>
      </c>
    </row>
    <row r="1211" spans="1:1">
      <c r="A1211" s="35" t="s">
        <v>41057</v>
      </c>
    </row>
    <row r="1212" spans="1:1">
      <c r="A1212" s="35" t="s">
        <v>53906</v>
      </c>
    </row>
    <row r="1213" spans="1:1">
      <c r="A1213" s="35" t="s">
        <v>41057</v>
      </c>
    </row>
    <row r="1214" spans="1:1">
      <c r="A1214" s="35" t="s">
        <v>53907</v>
      </c>
    </row>
    <row r="1215" spans="1:1">
      <c r="A1215" s="35" t="s">
        <v>53908</v>
      </c>
    </row>
    <row r="1216" spans="1:1">
      <c r="A1216" s="35" t="s">
        <v>41057</v>
      </c>
    </row>
    <row r="1217" spans="1:1">
      <c r="A1217" s="35" t="s">
        <v>41057</v>
      </c>
    </row>
    <row r="1218" spans="1:1">
      <c r="A1218" s="35" t="s">
        <v>53909</v>
      </c>
    </row>
    <row r="1219" spans="1:1">
      <c r="A1219" s="35" t="s">
        <v>41057</v>
      </c>
    </row>
    <row r="1220" spans="1:1">
      <c r="A1220" s="35" t="s">
        <v>41057</v>
      </c>
    </row>
    <row r="1221" spans="1:1">
      <c r="A1221" s="35" t="s">
        <v>41057</v>
      </c>
    </row>
    <row r="1222" spans="1:1">
      <c r="A1222" s="35" t="s">
        <v>41057</v>
      </c>
    </row>
    <row r="1223" spans="1:1">
      <c r="A1223" s="35" t="s">
        <v>41057</v>
      </c>
    </row>
    <row r="1224" spans="1:1">
      <c r="A1224" s="35" t="s">
        <v>53910</v>
      </c>
    </row>
    <row r="1225" spans="1:1">
      <c r="A1225" s="35" t="s">
        <v>41057</v>
      </c>
    </row>
    <row r="1226" spans="1:1">
      <c r="A1226" s="35" t="s">
        <v>41057</v>
      </c>
    </row>
    <row r="1227" spans="1:1">
      <c r="A1227" s="35" t="s">
        <v>41057</v>
      </c>
    </row>
    <row r="1228" spans="1:1">
      <c r="A1228" s="35" t="s">
        <v>41057</v>
      </c>
    </row>
    <row r="1229" spans="1:1">
      <c r="A1229" s="35" t="s">
        <v>41057</v>
      </c>
    </row>
    <row r="1230" spans="1:1">
      <c r="A1230" s="35" t="s">
        <v>41057</v>
      </c>
    </row>
    <row r="1231" spans="1:1">
      <c r="A1231" s="35" t="s">
        <v>41057</v>
      </c>
    </row>
    <row r="1232" spans="1:1">
      <c r="A1232" s="35" t="s">
        <v>41057</v>
      </c>
    </row>
    <row r="1233" spans="1:1">
      <c r="A1233" s="35" t="s">
        <v>41057</v>
      </c>
    </row>
    <row r="1234" spans="1:1">
      <c r="A1234" s="35" t="s">
        <v>41057</v>
      </c>
    </row>
    <row r="1235" spans="1:1">
      <c r="A1235" s="35" t="s">
        <v>41057</v>
      </c>
    </row>
    <row r="1236" spans="1:1">
      <c r="A1236" s="35" t="s">
        <v>41057</v>
      </c>
    </row>
    <row r="1237" spans="1:1">
      <c r="A1237" s="35" t="s">
        <v>41057</v>
      </c>
    </row>
    <row r="1238" spans="1:1">
      <c r="A1238" s="35" t="s">
        <v>41057</v>
      </c>
    </row>
    <row r="1239" spans="1:1">
      <c r="A1239" s="35" t="s">
        <v>41057</v>
      </c>
    </row>
    <row r="1240" spans="1:1">
      <c r="A1240" s="35" t="s">
        <v>53926</v>
      </c>
    </row>
    <row r="1241" spans="1:1">
      <c r="A1241" s="35" t="s">
        <v>41057</v>
      </c>
    </row>
    <row r="1242" spans="1:1">
      <c r="A1242" s="35" t="s">
        <v>41057</v>
      </c>
    </row>
    <row r="1243" spans="1:1">
      <c r="A1243" s="35" t="s">
        <v>53912</v>
      </c>
    </row>
    <row r="1244" spans="1:1">
      <c r="A1244" s="35" t="s">
        <v>41057</v>
      </c>
    </row>
    <row r="1245" spans="1:1">
      <c r="A1245" s="35" t="s">
        <v>41057</v>
      </c>
    </row>
    <row r="1246" spans="1:1">
      <c r="A1246" s="35" t="s">
        <v>41057</v>
      </c>
    </row>
    <row r="1247" spans="1:1">
      <c r="A1247" s="35" t="s">
        <v>41057</v>
      </c>
    </row>
    <row r="1248" spans="1:1">
      <c r="A1248" s="35" t="s">
        <v>41057</v>
      </c>
    </row>
    <row r="1249" spans="1:1">
      <c r="A1249" s="35" t="s">
        <v>41057</v>
      </c>
    </row>
    <row r="1250" spans="1:1">
      <c r="A1250" s="35" t="s">
        <v>41057</v>
      </c>
    </row>
    <row r="1251" spans="1:1">
      <c r="A1251" s="35" t="e" cm="1">
        <f t="array" ref="A1251">-----------------------------------------------------YP---AE</f>
        <v>#NAME?</v>
      </c>
    </row>
    <row r="1252" spans="1:1">
      <c r="A1252" s="35" t="s">
        <v>53927</v>
      </c>
    </row>
    <row r="1253" spans="1:1">
      <c r="A1253" s="35" t="e" cm="1">
        <f t="array" ref="A1253">---------------NDWFRVYNELYR---------SGSE------------------KE</f>
        <v>#NAME?</v>
      </c>
    </row>
    <row r="1254" spans="1:1">
      <c r="A1254" s="35" t="s">
        <v>53914</v>
      </c>
    </row>
    <row r="1255" spans="1:1">
      <c r="A1255" s="35" t="e" cm="1">
        <f t="array" ref="A1255">---------------------------------------------FDDPS--------AG</f>
        <v>#NAME?</v>
      </c>
    </row>
    <row r="1256" spans="1:1">
      <c r="A1256" s="35" t="s">
        <v>53915</v>
      </c>
    </row>
    <row r="1257" spans="1:1">
      <c r="A1257" s="35" t="s">
        <v>53928</v>
      </c>
    </row>
    <row r="1258" spans="1:1">
      <c r="A1258" s="35" t="s">
        <v>41057</v>
      </c>
    </row>
    <row r="1259" spans="1:1">
      <c r="A1259" s="35" t="s">
        <v>53917</v>
      </c>
    </row>
    <row r="1260" spans="1:1">
      <c r="A1260" s="35" t="s">
        <v>53929</v>
      </c>
    </row>
    <row r="1261" spans="1:1">
      <c r="A1261" s="35" t="s">
        <v>41057</v>
      </c>
    </row>
    <row r="1262" spans="1:1">
      <c r="A1262" s="35" t="s">
        <v>41057</v>
      </c>
    </row>
    <row r="1263" spans="1:1">
      <c r="A1263" s="35" t="s">
        <v>41057</v>
      </c>
    </row>
    <row r="1264" spans="1:1">
      <c r="A1264" s="35" t="s">
        <v>41057</v>
      </c>
    </row>
    <row r="1265" spans="1:1">
      <c r="A1265" s="35" t="s">
        <v>41057</v>
      </c>
    </row>
    <row r="1266" spans="1:1">
      <c r="A1266" s="35" t="s">
        <v>41057</v>
      </c>
    </row>
    <row r="1267" spans="1:1">
      <c r="A1267" s="35" t="s">
        <v>41057</v>
      </c>
    </row>
    <row r="1268" spans="1:1">
      <c r="A1268" s="35" t="s">
        <v>41057</v>
      </c>
    </row>
    <row r="1269" spans="1:1">
      <c r="A1269" s="35" t="s">
        <v>41057</v>
      </c>
    </row>
    <row r="1270" spans="1:1">
      <c r="A1270" s="35" t="s">
        <v>41057</v>
      </c>
    </row>
    <row r="1271" spans="1:1">
      <c r="A1271" s="35" t="s">
        <v>41057</v>
      </c>
    </row>
    <row r="1272" spans="1:1">
      <c r="A1272" s="35" t="s">
        <v>41057</v>
      </c>
    </row>
    <row r="1273" spans="1:1">
      <c r="A1273" s="35" t="s">
        <v>41057</v>
      </c>
    </row>
    <row r="1274" spans="1:1">
      <c r="A1274" s="35" t="s">
        <v>41057</v>
      </c>
    </row>
    <row r="1275" spans="1:1">
      <c r="A1275" s="35" t="s">
        <v>41057</v>
      </c>
    </row>
    <row r="1276" spans="1:1">
      <c r="A1276" s="35" t="s">
        <v>41057</v>
      </c>
    </row>
    <row r="1277" spans="1:1">
      <c r="A1277" s="35" t="s">
        <v>41057</v>
      </c>
    </row>
    <row r="1278" spans="1:1">
      <c r="A1278" s="35" t="s">
        <v>41057</v>
      </c>
    </row>
    <row r="1279" spans="1:1">
      <c r="A1279" s="35" t="s">
        <v>41057</v>
      </c>
    </row>
    <row r="1280" spans="1:1">
      <c r="A1280" s="35" t="s">
        <v>41057</v>
      </c>
    </row>
    <row r="1281" spans="1:1">
      <c r="A1281" s="35" t="s">
        <v>41057</v>
      </c>
    </row>
    <row r="1282" spans="1:1">
      <c r="A1282" s="35" t="s">
        <v>41057</v>
      </c>
    </row>
    <row r="1283" spans="1:1">
      <c r="A1283" s="35" t="s">
        <v>41057</v>
      </c>
    </row>
    <row r="1284" spans="1:1">
      <c r="A1284" s="35" t="s">
        <v>41057</v>
      </c>
    </row>
    <row r="1285" spans="1:1">
      <c r="A1285" s="35" t="s">
        <v>41057</v>
      </c>
    </row>
    <row r="1286" spans="1:1">
      <c r="A1286" s="35" t="s">
        <v>41057</v>
      </c>
    </row>
    <row r="1287" spans="1:1">
      <c r="A1287" s="35" t="s">
        <v>41057</v>
      </c>
    </row>
    <row r="1288" spans="1:1">
      <c r="A1288" s="35" t="s">
        <v>41057</v>
      </c>
    </row>
    <row r="1289" spans="1:1">
      <c r="A1289" s="35" t="s">
        <v>41057</v>
      </c>
    </row>
    <row r="1290" spans="1:1">
      <c r="A1290" s="35" t="s">
        <v>41057</v>
      </c>
    </row>
    <row r="1291" spans="1:1">
      <c r="A1291" s="35" t="s">
        <v>41057</v>
      </c>
    </row>
    <row r="1292" spans="1:1">
      <c r="A1292" s="35" t="s">
        <v>41057</v>
      </c>
    </row>
    <row r="1293" spans="1:1">
      <c r="A1293" s="35" t="s">
        <v>41057</v>
      </c>
    </row>
    <row r="1294" spans="1:1">
      <c r="A1294" s="35" t="s">
        <v>41057</v>
      </c>
    </row>
    <row r="1295" spans="1:1">
      <c r="A1295" s="35" t="s">
        <v>41057</v>
      </c>
    </row>
    <row r="1296" spans="1:1">
      <c r="A1296" s="35" t="s">
        <v>41057</v>
      </c>
    </row>
    <row r="1297" spans="1:1">
      <c r="A1297" s="35" t="s">
        <v>41057</v>
      </c>
    </row>
    <row r="1298" spans="1:1">
      <c r="A1298" s="35" t="s">
        <v>53545</v>
      </c>
    </row>
    <row r="1299" spans="1:1">
      <c r="A1299" s="35" t="s">
        <v>53414</v>
      </c>
    </row>
    <row r="1300" spans="1:1">
      <c r="A1300" s="35" t="s">
        <v>41057</v>
      </c>
    </row>
    <row r="1301" spans="1:1">
      <c r="A1301" s="35" t="s">
        <v>41057</v>
      </c>
    </row>
    <row r="1302" spans="1:1">
      <c r="A1302" s="35" t="s">
        <v>53930</v>
      </c>
    </row>
    <row r="1303" spans="1:1">
      <c r="A1303" s="35" t="s">
        <v>53931</v>
      </c>
    </row>
    <row r="1304" spans="1:1">
      <c r="A1304" s="35" t="s">
        <v>53932</v>
      </c>
    </row>
    <row r="1305" spans="1:1">
      <c r="A1305" s="35" t="s">
        <v>53933</v>
      </c>
    </row>
    <row r="1306" spans="1:1">
      <c r="A1306" s="35" t="s">
        <v>41057</v>
      </c>
    </row>
    <row r="1307" spans="1:1">
      <c r="A1307" s="35" t="s">
        <v>41057</v>
      </c>
    </row>
    <row r="1308" spans="1:1">
      <c r="A1308" s="35" t="s">
        <v>41057</v>
      </c>
    </row>
    <row r="1309" spans="1:1">
      <c r="A1309" s="35" t="s">
        <v>53934</v>
      </c>
    </row>
    <row r="1310" spans="1:1">
      <c r="A1310" s="35" t="s">
        <v>53935</v>
      </c>
    </row>
    <row r="1311" spans="1:1">
      <c r="A1311" s="35" t="s">
        <v>53936</v>
      </c>
    </row>
    <row r="1312" spans="1:1">
      <c r="A1312" s="35" t="s">
        <v>53900</v>
      </c>
    </row>
    <row r="1313" spans="1:1">
      <c r="A1313" s="35" t="s">
        <v>41057</v>
      </c>
    </row>
    <row r="1314" spans="1:1">
      <c r="A1314" s="35" t="s">
        <v>41057</v>
      </c>
    </row>
    <row r="1315" spans="1:1">
      <c r="A1315" s="35" t="e" cm="1">
        <f t="array" ref="A1315">---------------SISF------------------WKS-------------------V</f>
        <v>#NAME?</v>
      </c>
    </row>
    <row r="1316" spans="1:1">
      <c r="A1316" s="35" t="s">
        <v>53901</v>
      </c>
    </row>
    <row r="1317" spans="1:1">
      <c r="A1317" s="35" t="s">
        <v>53925</v>
      </c>
    </row>
    <row r="1318" spans="1:1">
      <c r="A1318" s="35" t="s">
        <v>41057</v>
      </c>
    </row>
    <row r="1319" spans="1:1">
      <c r="A1319" s="35" t="s">
        <v>53903</v>
      </c>
    </row>
    <row r="1320" spans="1:1">
      <c r="A1320" s="35" t="s">
        <v>41057</v>
      </c>
    </row>
    <row r="1321" spans="1:1">
      <c r="A1321" s="35" t="s">
        <v>41057</v>
      </c>
    </row>
    <row r="1322" spans="1:1">
      <c r="A1322" s="35" t="s">
        <v>53904</v>
      </c>
    </row>
    <row r="1323" spans="1:1">
      <c r="A1323" s="35" t="s">
        <v>41057</v>
      </c>
    </row>
    <row r="1324" spans="1:1">
      <c r="A1324" s="35" t="s">
        <v>41057</v>
      </c>
    </row>
    <row r="1325" spans="1:1">
      <c r="A1325" s="35" t="s">
        <v>53500</v>
      </c>
    </row>
    <row r="1326" spans="1:1">
      <c r="A1326" s="35" t="s">
        <v>41057</v>
      </c>
    </row>
    <row r="1327" spans="1:1">
      <c r="A1327" s="35" t="s">
        <v>41057</v>
      </c>
    </row>
    <row r="1328" spans="1:1">
      <c r="A1328" s="35" t="s">
        <v>53905</v>
      </c>
    </row>
    <row r="1329" spans="1:1">
      <c r="A1329" s="35" t="s">
        <v>41057</v>
      </c>
    </row>
    <row r="1330" spans="1:1">
      <c r="A1330" s="35" t="s">
        <v>53906</v>
      </c>
    </row>
    <row r="1331" spans="1:1">
      <c r="A1331" s="35" t="s">
        <v>41057</v>
      </c>
    </row>
    <row r="1332" spans="1:1">
      <c r="A1332" s="35" t="s">
        <v>53907</v>
      </c>
    </row>
    <row r="1333" spans="1:1">
      <c r="A1333" s="35" t="s">
        <v>53908</v>
      </c>
    </row>
    <row r="1334" spans="1:1">
      <c r="A1334" s="35" t="s">
        <v>41057</v>
      </c>
    </row>
    <row r="1335" spans="1:1">
      <c r="A1335" s="35" t="s">
        <v>41057</v>
      </c>
    </row>
    <row r="1336" spans="1:1">
      <c r="A1336" s="35" t="s">
        <v>53909</v>
      </c>
    </row>
    <row r="1337" spans="1:1">
      <c r="A1337" s="35" t="s">
        <v>41057</v>
      </c>
    </row>
    <row r="1338" spans="1:1">
      <c r="A1338" s="35" t="s">
        <v>41057</v>
      </c>
    </row>
    <row r="1339" spans="1:1">
      <c r="A1339" s="35" t="s">
        <v>41057</v>
      </c>
    </row>
    <row r="1340" spans="1:1">
      <c r="A1340" s="35" t="s">
        <v>41057</v>
      </c>
    </row>
    <row r="1341" spans="1:1">
      <c r="A1341" s="35" t="s">
        <v>41057</v>
      </c>
    </row>
    <row r="1342" spans="1:1">
      <c r="A1342" s="35" t="s">
        <v>53910</v>
      </c>
    </row>
    <row r="1343" spans="1:1">
      <c r="A1343" s="35" t="s">
        <v>41057</v>
      </c>
    </row>
    <row r="1344" spans="1:1">
      <c r="A1344" s="35" t="s">
        <v>41057</v>
      </c>
    </row>
    <row r="1345" spans="1:1">
      <c r="A1345" s="35" t="s">
        <v>41057</v>
      </c>
    </row>
    <row r="1346" spans="1:1">
      <c r="A1346" s="35" t="s">
        <v>41057</v>
      </c>
    </row>
    <row r="1347" spans="1:1">
      <c r="A1347" s="35" t="s">
        <v>41057</v>
      </c>
    </row>
    <row r="1348" spans="1:1">
      <c r="A1348" s="35" t="s">
        <v>41057</v>
      </c>
    </row>
    <row r="1349" spans="1:1">
      <c r="A1349" s="35" t="s">
        <v>41057</v>
      </c>
    </row>
    <row r="1350" spans="1:1">
      <c r="A1350" s="35" t="s">
        <v>41057</v>
      </c>
    </row>
    <row r="1351" spans="1:1">
      <c r="A1351" s="35" t="s">
        <v>41057</v>
      </c>
    </row>
    <row r="1352" spans="1:1">
      <c r="A1352" s="35" t="s">
        <v>41057</v>
      </c>
    </row>
    <row r="1353" spans="1:1">
      <c r="A1353" s="35" t="s">
        <v>41057</v>
      </c>
    </row>
    <row r="1354" spans="1:1">
      <c r="A1354" s="35" t="s">
        <v>41057</v>
      </c>
    </row>
    <row r="1355" spans="1:1">
      <c r="A1355" s="35" t="s">
        <v>41057</v>
      </c>
    </row>
    <row r="1356" spans="1:1">
      <c r="A1356" s="35" t="s">
        <v>41057</v>
      </c>
    </row>
    <row r="1357" spans="1:1">
      <c r="A1357" s="35" t="s">
        <v>41057</v>
      </c>
    </row>
    <row r="1358" spans="1:1">
      <c r="A1358" s="35" t="s">
        <v>53926</v>
      </c>
    </row>
    <row r="1359" spans="1:1">
      <c r="A1359" s="35" t="s">
        <v>41057</v>
      </c>
    </row>
    <row r="1360" spans="1:1">
      <c r="A1360" s="35" t="s">
        <v>41057</v>
      </c>
    </row>
    <row r="1361" spans="1:1">
      <c r="A1361" s="35" t="s">
        <v>53912</v>
      </c>
    </row>
    <row r="1362" spans="1:1">
      <c r="A1362" s="35" t="s">
        <v>41057</v>
      </c>
    </row>
    <row r="1363" spans="1:1">
      <c r="A1363" s="35" t="s">
        <v>41057</v>
      </c>
    </row>
    <row r="1364" spans="1:1">
      <c r="A1364" s="35" t="s">
        <v>41057</v>
      </c>
    </row>
    <row r="1365" spans="1:1">
      <c r="A1365" s="35" t="s">
        <v>41057</v>
      </c>
    </row>
    <row r="1366" spans="1:1">
      <c r="A1366" s="35" t="s">
        <v>41057</v>
      </c>
    </row>
    <row r="1367" spans="1:1">
      <c r="A1367" s="35" t="s">
        <v>41057</v>
      </c>
    </row>
    <row r="1368" spans="1:1">
      <c r="A1368" s="35" t="s">
        <v>41057</v>
      </c>
    </row>
    <row r="1369" spans="1:1">
      <c r="A1369" s="35" t="e" cm="1">
        <f t="array" ref="A1369">-----------------------------------------------------YP---AE</f>
        <v>#NAME?</v>
      </c>
    </row>
    <row r="1370" spans="1:1">
      <c r="A1370" s="35" t="s">
        <v>53927</v>
      </c>
    </row>
    <row r="1371" spans="1:1">
      <c r="A1371" s="35" t="e" cm="1">
        <f t="array" ref="A1371">---------------NDWFRVYDELYR---------SGSE------------------KE</f>
        <v>#NAME?</v>
      </c>
    </row>
    <row r="1372" spans="1:1">
      <c r="A1372" s="35" t="s">
        <v>53914</v>
      </c>
    </row>
    <row r="1373" spans="1:1">
      <c r="A1373" s="35" t="e" cm="1">
        <f t="array" ref="A1373">---------------------------------------------FDDAS--------AG</f>
        <v>#NAME?</v>
      </c>
    </row>
    <row r="1374" spans="1:1">
      <c r="A1374" s="35" t="s">
        <v>53915</v>
      </c>
    </row>
    <row r="1375" spans="1:1">
      <c r="A1375" s="35" t="s">
        <v>53937</v>
      </c>
    </row>
    <row r="1376" spans="1:1">
      <c r="A1376" s="35" t="s">
        <v>41057</v>
      </c>
    </row>
    <row r="1377" spans="1:1">
      <c r="A1377" s="35" t="s">
        <v>53917</v>
      </c>
    </row>
    <row r="1378" spans="1:1">
      <c r="A1378" s="35" t="s">
        <v>53938</v>
      </c>
    </row>
    <row r="1379" spans="1:1">
      <c r="A1379" s="35" t="s">
        <v>53939</v>
      </c>
    </row>
    <row r="1380" spans="1:1">
      <c r="A1380" s="35" t="s">
        <v>41057</v>
      </c>
    </row>
    <row r="1381" spans="1:1">
      <c r="A1381" s="35" t="s">
        <v>41057</v>
      </c>
    </row>
    <row r="1382" spans="1:1">
      <c r="A1382" s="35" t="s">
        <v>41057</v>
      </c>
    </row>
    <row r="1383" spans="1:1">
      <c r="A1383" s="35" t="s">
        <v>53940</v>
      </c>
    </row>
    <row r="1384" spans="1:1">
      <c r="A1384" s="35" t="s">
        <v>41057</v>
      </c>
    </row>
    <row r="1385" spans="1:1">
      <c r="A1385" s="35" t="s">
        <v>41057</v>
      </c>
    </row>
    <row r="1386" spans="1:1">
      <c r="A1386" s="35" t="s">
        <v>53941</v>
      </c>
    </row>
    <row r="1387" spans="1:1">
      <c r="A1387" s="35" t="s">
        <v>53942</v>
      </c>
    </row>
    <row r="1388" spans="1:1">
      <c r="A1388" s="35" t="s">
        <v>53943</v>
      </c>
    </row>
    <row r="1389" spans="1:1">
      <c r="A1389" s="35" t="s">
        <v>53944</v>
      </c>
    </row>
    <row r="1390" spans="1:1">
      <c r="A1390" s="35" t="s">
        <v>41057</v>
      </c>
    </row>
    <row r="1391" spans="1:1">
      <c r="A1391" s="35" t="s">
        <v>41057</v>
      </c>
    </row>
    <row r="1392" spans="1:1">
      <c r="A1392" s="35" t="s">
        <v>41057</v>
      </c>
    </row>
    <row r="1393" spans="1:1">
      <c r="A1393" s="35" t="s">
        <v>41057</v>
      </c>
    </row>
    <row r="1394" spans="1:1">
      <c r="A1394" s="35" t="s">
        <v>41057</v>
      </c>
    </row>
    <row r="1395" spans="1:1">
      <c r="A1395" s="35" t="s">
        <v>41057</v>
      </c>
    </row>
    <row r="1396" spans="1:1">
      <c r="A1396" s="35" t="s">
        <v>41057</v>
      </c>
    </row>
    <row r="1397" spans="1:1">
      <c r="A1397" s="35" t="s">
        <v>41057</v>
      </c>
    </row>
    <row r="1398" spans="1:1">
      <c r="A1398" s="35" t="s">
        <v>41057</v>
      </c>
    </row>
    <row r="1399" spans="1:1">
      <c r="A1399" s="35" t="s">
        <v>41057</v>
      </c>
    </row>
    <row r="1400" spans="1:1">
      <c r="A1400" s="35" t="s">
        <v>41057</v>
      </c>
    </row>
    <row r="1401" spans="1:1">
      <c r="A1401" s="35" t="s">
        <v>41057</v>
      </c>
    </row>
    <row r="1402" spans="1:1">
      <c r="A1402" s="35" t="s">
        <v>41057</v>
      </c>
    </row>
    <row r="1403" spans="1:1">
      <c r="A1403" s="35" t="s">
        <v>41057</v>
      </c>
    </row>
    <row r="1404" spans="1:1">
      <c r="A1404" s="35" t="s">
        <v>41057</v>
      </c>
    </row>
    <row r="1405" spans="1:1">
      <c r="A1405" s="35" t="s">
        <v>41057</v>
      </c>
    </row>
    <row r="1406" spans="1:1">
      <c r="A1406" s="35" t="s">
        <v>53945</v>
      </c>
    </row>
    <row r="1407" spans="1:1">
      <c r="A1407" s="35" t="s">
        <v>53946</v>
      </c>
    </row>
    <row r="1408" spans="1:1">
      <c r="A1408" s="35" t="s">
        <v>53947</v>
      </c>
    </row>
    <row r="1409" spans="1:1">
      <c r="A1409" s="35" t="s">
        <v>53948</v>
      </c>
    </row>
    <row r="1410" spans="1:1">
      <c r="A1410" s="35" t="s">
        <v>53949</v>
      </c>
    </row>
    <row r="1411" spans="1:1">
      <c r="A1411" s="35" t="s">
        <v>41057</v>
      </c>
    </row>
    <row r="1412" spans="1:1">
      <c r="A1412" s="35" t="s">
        <v>41057</v>
      </c>
    </row>
    <row r="1413" spans="1:1">
      <c r="A1413" s="35" t="s">
        <v>53950</v>
      </c>
    </row>
    <row r="1414" spans="1:1">
      <c r="A1414" s="35" t="s">
        <v>53951</v>
      </c>
    </row>
    <row r="1415" spans="1:1">
      <c r="A1415" s="35" t="s">
        <v>41057</v>
      </c>
    </row>
    <row r="1416" spans="1:1">
      <c r="A1416" s="35" t="s">
        <v>53545</v>
      </c>
    </row>
    <row r="1417" spans="1:1">
      <c r="A1417" s="35" t="s">
        <v>53952</v>
      </c>
    </row>
    <row r="1418" spans="1:1">
      <c r="A1418" s="35" t="s">
        <v>41057</v>
      </c>
    </row>
    <row r="1419" spans="1:1">
      <c r="A1419" s="35" t="s">
        <v>41057</v>
      </c>
    </row>
    <row r="1420" spans="1:1">
      <c r="A1420" s="35" t="s">
        <v>41057</v>
      </c>
    </row>
    <row r="1421" spans="1:1">
      <c r="A1421" s="35" t="s">
        <v>41057</v>
      </c>
    </row>
    <row r="1422" spans="1:1">
      <c r="A1422" s="35" t="s">
        <v>41057</v>
      </c>
    </row>
    <row r="1423" spans="1:1">
      <c r="A1423" s="35" t="s">
        <v>41057</v>
      </c>
    </row>
    <row r="1424" spans="1:1">
      <c r="A1424" s="35" t="s">
        <v>41057</v>
      </c>
    </row>
    <row r="1425" spans="1:1">
      <c r="A1425" s="35" t="s">
        <v>41057</v>
      </c>
    </row>
    <row r="1426" spans="1:1">
      <c r="A1426" s="35" t="s">
        <v>41057</v>
      </c>
    </row>
    <row r="1427" spans="1:1">
      <c r="A1427" s="35" t="s">
        <v>41057</v>
      </c>
    </row>
    <row r="1428" spans="1:1">
      <c r="A1428" s="35" t="s">
        <v>41057</v>
      </c>
    </row>
    <row r="1429" spans="1:1">
      <c r="A1429" s="35" t="s">
        <v>53899</v>
      </c>
    </row>
    <row r="1430" spans="1:1">
      <c r="A1430" s="35" t="s">
        <v>53900</v>
      </c>
    </row>
    <row r="1431" spans="1:1">
      <c r="A1431" s="35" t="s">
        <v>41057</v>
      </c>
    </row>
    <row r="1432" spans="1:1">
      <c r="A1432" s="35" t="s">
        <v>41057</v>
      </c>
    </row>
    <row r="1433" spans="1:1">
      <c r="A1433" s="35" t="e" cm="1">
        <f t="array" ref="A1433">---------------SISF------------------WKS-------------------V</f>
        <v>#NAME?</v>
      </c>
    </row>
    <row r="1434" spans="1:1">
      <c r="A1434" s="35" t="s">
        <v>53901</v>
      </c>
    </row>
    <row r="1435" spans="1:1">
      <c r="A1435" s="35" t="s">
        <v>53902</v>
      </c>
    </row>
    <row r="1436" spans="1:1">
      <c r="A1436" s="35" t="s">
        <v>41057</v>
      </c>
    </row>
    <row r="1437" spans="1:1">
      <c r="A1437" s="35" t="s">
        <v>53903</v>
      </c>
    </row>
    <row r="1438" spans="1:1">
      <c r="A1438" s="35" t="s">
        <v>41057</v>
      </c>
    </row>
    <row r="1439" spans="1:1">
      <c r="A1439" s="35" t="s">
        <v>41057</v>
      </c>
    </row>
    <row r="1440" spans="1:1">
      <c r="A1440" s="35" t="s">
        <v>53904</v>
      </c>
    </row>
    <row r="1441" spans="1:1">
      <c r="A1441" s="35" t="s">
        <v>41057</v>
      </c>
    </row>
    <row r="1442" spans="1:1">
      <c r="A1442" s="35" t="s">
        <v>41057</v>
      </c>
    </row>
    <row r="1443" spans="1:1">
      <c r="A1443" s="35" t="s">
        <v>53500</v>
      </c>
    </row>
    <row r="1444" spans="1:1">
      <c r="A1444" s="35" t="s">
        <v>41057</v>
      </c>
    </row>
    <row r="1445" spans="1:1">
      <c r="A1445" s="35" t="s">
        <v>41057</v>
      </c>
    </row>
    <row r="1446" spans="1:1">
      <c r="A1446" s="35" t="s">
        <v>53905</v>
      </c>
    </row>
    <row r="1447" spans="1:1">
      <c r="A1447" s="35" t="s">
        <v>41057</v>
      </c>
    </row>
    <row r="1448" spans="1:1">
      <c r="A1448" s="35" t="s">
        <v>53906</v>
      </c>
    </row>
    <row r="1449" spans="1:1">
      <c r="A1449" s="35" t="s">
        <v>41057</v>
      </c>
    </row>
    <row r="1450" spans="1:1">
      <c r="A1450" s="35" t="s">
        <v>53907</v>
      </c>
    </row>
    <row r="1451" spans="1:1">
      <c r="A1451" s="35" t="s">
        <v>53908</v>
      </c>
    </row>
    <row r="1452" spans="1:1">
      <c r="A1452" s="35" t="s">
        <v>41057</v>
      </c>
    </row>
    <row r="1453" spans="1:1">
      <c r="A1453" s="35" t="s">
        <v>41057</v>
      </c>
    </row>
    <row r="1454" spans="1:1">
      <c r="A1454" s="35" t="s">
        <v>53909</v>
      </c>
    </row>
    <row r="1455" spans="1:1">
      <c r="A1455" s="35" t="s">
        <v>41057</v>
      </c>
    </row>
    <row r="1456" spans="1:1">
      <c r="A1456" s="35" t="s">
        <v>41057</v>
      </c>
    </row>
    <row r="1457" spans="1:1">
      <c r="A1457" s="35" t="s">
        <v>41057</v>
      </c>
    </row>
    <row r="1458" spans="1:1">
      <c r="A1458" s="35" t="s">
        <v>41057</v>
      </c>
    </row>
    <row r="1459" spans="1:1">
      <c r="A1459" s="35" t="s">
        <v>41057</v>
      </c>
    </row>
    <row r="1460" spans="1:1">
      <c r="A1460" s="35" t="s">
        <v>53910</v>
      </c>
    </row>
    <row r="1461" spans="1:1">
      <c r="A1461" s="35" t="s">
        <v>41057</v>
      </c>
    </row>
    <row r="1462" spans="1:1">
      <c r="A1462" s="35" t="s">
        <v>41057</v>
      </c>
    </row>
    <row r="1463" spans="1:1">
      <c r="A1463" s="35" t="s">
        <v>41057</v>
      </c>
    </row>
    <row r="1464" spans="1:1">
      <c r="A1464" s="35" t="s">
        <v>41057</v>
      </c>
    </row>
    <row r="1465" spans="1:1">
      <c r="A1465" s="35" t="s">
        <v>41057</v>
      </c>
    </row>
    <row r="1466" spans="1:1">
      <c r="A1466" s="35" t="s">
        <v>41057</v>
      </c>
    </row>
    <row r="1467" spans="1:1">
      <c r="A1467" s="35" t="s">
        <v>41057</v>
      </c>
    </row>
    <row r="1468" spans="1:1">
      <c r="A1468" s="35" t="s">
        <v>41057</v>
      </c>
    </row>
    <row r="1469" spans="1:1">
      <c r="A1469" s="35" t="s">
        <v>41057</v>
      </c>
    </row>
    <row r="1470" spans="1:1">
      <c r="A1470" s="35" t="s">
        <v>41057</v>
      </c>
    </row>
    <row r="1471" spans="1:1">
      <c r="A1471" s="35" t="s">
        <v>41057</v>
      </c>
    </row>
    <row r="1472" spans="1:1">
      <c r="A1472" s="35" t="s">
        <v>41057</v>
      </c>
    </row>
    <row r="1473" spans="1:1">
      <c r="A1473" s="35" t="s">
        <v>41057</v>
      </c>
    </row>
    <row r="1474" spans="1:1">
      <c r="A1474" s="35" t="s">
        <v>41057</v>
      </c>
    </row>
    <row r="1475" spans="1:1">
      <c r="A1475" s="35" t="s">
        <v>41057</v>
      </c>
    </row>
    <row r="1476" spans="1:1">
      <c r="A1476" s="35" t="s">
        <v>53953</v>
      </c>
    </row>
    <row r="1477" spans="1:1">
      <c r="A1477" s="35" t="s">
        <v>41057</v>
      </c>
    </row>
    <row r="1478" spans="1:1">
      <c r="A1478" s="35" t="s">
        <v>41057</v>
      </c>
    </row>
    <row r="1479" spans="1:1">
      <c r="A1479" s="35" t="s">
        <v>53912</v>
      </c>
    </row>
    <row r="1480" spans="1:1">
      <c r="A1480" s="35" t="s">
        <v>41057</v>
      </c>
    </row>
    <row r="1481" spans="1:1">
      <c r="A1481" s="35" t="s">
        <v>41057</v>
      </c>
    </row>
    <row r="1482" spans="1:1">
      <c r="A1482" s="35" t="s">
        <v>41057</v>
      </c>
    </row>
    <row r="1483" spans="1:1">
      <c r="A1483" s="35" t="s">
        <v>41057</v>
      </c>
    </row>
    <row r="1484" spans="1:1">
      <c r="A1484" s="35" t="s">
        <v>41057</v>
      </c>
    </row>
    <row r="1485" spans="1:1">
      <c r="A1485" s="35" t="s">
        <v>41057</v>
      </c>
    </row>
    <row r="1486" spans="1:1">
      <c r="A1486" s="35" t="s">
        <v>41057</v>
      </c>
    </row>
    <row r="1487" spans="1:1">
      <c r="A1487" s="35" t="e" cm="1">
        <f t="array" ref="A1487">-----------------------------------------------------YP---AE</f>
        <v>#NAME?</v>
      </c>
    </row>
    <row r="1488" spans="1:1">
      <c r="A1488" s="35" t="s">
        <v>53913</v>
      </c>
    </row>
    <row r="1489" spans="1:1">
      <c r="A1489" s="35" t="e" cm="1">
        <f t="array" ref="A1489">---------------NDWFRVYDELYR---------SGSE------------------KE</f>
        <v>#NAME?</v>
      </c>
    </row>
    <row r="1490" spans="1:1">
      <c r="A1490" s="35" t="s">
        <v>53914</v>
      </c>
    </row>
    <row r="1491" spans="1:1">
      <c r="A1491" s="35" t="e" cm="1">
        <f t="array" ref="A1491">---------------------------------------------FDDPS--------AG</f>
        <v>#NAME?</v>
      </c>
    </row>
    <row r="1492" spans="1:1">
      <c r="A1492" s="35" t="s">
        <v>53915</v>
      </c>
    </row>
    <row r="1493" spans="1:1">
      <c r="A1493" s="35" t="s">
        <v>53916</v>
      </c>
    </row>
    <row r="1494" spans="1:1">
      <c r="A1494" s="35" t="s">
        <v>41057</v>
      </c>
    </row>
    <row r="1495" spans="1:1">
      <c r="A1495" s="35" t="s">
        <v>53917</v>
      </c>
    </row>
    <row r="1496" spans="1:1">
      <c r="A1496" s="35" t="s">
        <v>53954</v>
      </c>
    </row>
    <row r="1497" spans="1:1">
      <c r="A1497" s="35" t="s">
        <v>53939</v>
      </c>
    </row>
    <row r="1498" spans="1:1">
      <c r="A1498" s="35" t="s">
        <v>41057</v>
      </c>
    </row>
    <row r="1499" spans="1:1">
      <c r="A1499" s="35" t="s">
        <v>41057</v>
      </c>
    </row>
    <row r="1500" spans="1:1">
      <c r="A1500" s="35" t="s">
        <v>41057</v>
      </c>
    </row>
    <row r="1501" spans="1:1">
      <c r="A1501" s="35" t="s">
        <v>41057</v>
      </c>
    </row>
    <row r="1502" spans="1:1">
      <c r="A1502" s="35" t="s">
        <v>41057</v>
      </c>
    </row>
    <row r="1503" spans="1:1">
      <c r="A1503" s="35" t="s">
        <v>41057</v>
      </c>
    </row>
    <row r="1504" spans="1:1">
      <c r="A1504" s="35" t="s">
        <v>41057</v>
      </c>
    </row>
    <row r="1505" spans="1:1">
      <c r="A1505" s="35" t="s">
        <v>41057</v>
      </c>
    </row>
    <row r="1506" spans="1:1">
      <c r="A1506" s="35" t="s">
        <v>41057</v>
      </c>
    </row>
    <row r="1507" spans="1:1">
      <c r="A1507" s="35" t="s">
        <v>41057</v>
      </c>
    </row>
    <row r="1508" spans="1:1">
      <c r="A1508" s="35" t="s">
        <v>41057</v>
      </c>
    </row>
    <row r="1509" spans="1:1">
      <c r="A1509" s="35" t="s">
        <v>41057</v>
      </c>
    </row>
    <row r="1510" spans="1:1">
      <c r="A1510" s="35" t="s">
        <v>41057</v>
      </c>
    </row>
    <row r="1511" spans="1:1">
      <c r="A1511" s="35" t="s">
        <v>41057</v>
      </c>
    </row>
    <row r="1512" spans="1:1">
      <c r="A1512" s="35" t="s">
        <v>41057</v>
      </c>
    </row>
    <row r="1513" spans="1:1">
      <c r="A1513" s="35" t="s">
        <v>41057</v>
      </c>
    </row>
    <row r="1514" spans="1:1">
      <c r="A1514" s="35" t="s">
        <v>41057</v>
      </c>
    </row>
    <row r="1515" spans="1:1">
      <c r="A1515" s="35" t="s">
        <v>41057</v>
      </c>
    </row>
    <row r="1516" spans="1:1">
      <c r="A1516" s="35" t="s">
        <v>41057</v>
      </c>
    </row>
    <row r="1517" spans="1:1">
      <c r="A1517" s="35" t="s">
        <v>41057</v>
      </c>
    </row>
    <row r="1518" spans="1:1">
      <c r="A1518" s="35" t="s">
        <v>41057</v>
      </c>
    </row>
    <row r="1519" spans="1:1">
      <c r="A1519" s="35" t="s">
        <v>41057</v>
      </c>
    </row>
    <row r="1520" spans="1:1">
      <c r="A1520" s="35" t="s">
        <v>41057</v>
      </c>
    </row>
    <row r="1521" spans="1:1">
      <c r="A1521" s="35" t="s">
        <v>41057</v>
      </c>
    </row>
    <row r="1522" spans="1:1">
      <c r="A1522" s="35" t="s">
        <v>41057</v>
      </c>
    </row>
    <row r="1523" spans="1:1">
      <c r="A1523" s="35" t="s">
        <v>41057</v>
      </c>
    </row>
    <row r="1524" spans="1:1">
      <c r="A1524" s="35" t="s">
        <v>41057</v>
      </c>
    </row>
    <row r="1525" spans="1:1">
      <c r="A1525" s="35" t="s">
        <v>53955</v>
      </c>
    </row>
    <row r="1526" spans="1:1">
      <c r="A1526" s="35" t="s">
        <v>53956</v>
      </c>
    </row>
    <row r="1527" spans="1:1">
      <c r="A1527" s="35" t="s">
        <v>41057</v>
      </c>
    </row>
    <row r="1528" spans="1:1">
      <c r="A1528" s="35" t="s">
        <v>41057</v>
      </c>
    </row>
    <row r="1529" spans="1:1">
      <c r="A1529" s="35" t="s">
        <v>41057</v>
      </c>
    </row>
    <row r="1530" spans="1:1">
      <c r="A1530" s="35" t="s">
        <v>41057</v>
      </c>
    </row>
    <row r="1531" spans="1:1">
      <c r="A1531" s="35" t="s">
        <v>41057</v>
      </c>
    </row>
    <row r="1532" spans="1:1">
      <c r="A1532" s="35" t="s">
        <v>41057</v>
      </c>
    </row>
    <row r="1533" spans="1:1">
      <c r="A1533" s="35" t="s">
        <v>41057</v>
      </c>
    </row>
    <row r="1534" spans="1:1">
      <c r="A1534" s="35" t="s">
        <v>53545</v>
      </c>
    </row>
    <row r="1535" spans="1:1">
      <c r="A1535" s="35" t="s">
        <v>53957</v>
      </c>
    </row>
    <row r="1536" spans="1:1">
      <c r="A1536" s="35" t="s">
        <v>41057</v>
      </c>
    </row>
    <row r="1537" spans="1:1">
      <c r="A1537" s="35" t="s">
        <v>41057</v>
      </c>
    </row>
    <row r="1538" spans="1:1">
      <c r="A1538" s="35" t="s">
        <v>41057</v>
      </c>
    </row>
    <row r="1539" spans="1:1">
      <c r="A1539" s="35" t="s">
        <v>41057</v>
      </c>
    </row>
    <row r="1540" spans="1:1">
      <c r="A1540" s="35" t="s">
        <v>41057</v>
      </c>
    </row>
    <row r="1541" spans="1:1">
      <c r="A1541" s="35" t="s">
        <v>41057</v>
      </c>
    </row>
    <row r="1542" spans="1:1">
      <c r="A1542" s="35" t="s">
        <v>41057</v>
      </c>
    </row>
    <row r="1543" spans="1:1">
      <c r="A1543" s="35" t="s">
        <v>41057</v>
      </c>
    </row>
    <row r="1544" spans="1:1">
      <c r="A1544" s="35" t="s">
        <v>41057</v>
      </c>
    </row>
    <row r="1545" spans="1:1">
      <c r="A1545" s="35" t="s">
        <v>41057</v>
      </c>
    </row>
    <row r="1546" spans="1:1">
      <c r="A1546" s="35" t="s">
        <v>41057</v>
      </c>
    </row>
    <row r="1547" spans="1:1">
      <c r="A1547" s="35" t="s">
        <v>41057</v>
      </c>
    </row>
    <row r="1548" spans="1:1">
      <c r="A1548" s="35" t="s">
        <v>41057</v>
      </c>
    </row>
    <row r="1549" spans="1:1">
      <c r="A1549" s="35" t="s">
        <v>41057</v>
      </c>
    </row>
    <row r="1550" spans="1:1">
      <c r="A1550" s="35" t="s">
        <v>41057</v>
      </c>
    </row>
    <row r="1551" spans="1:1">
      <c r="A1551" s="35" t="s">
        <v>41057</v>
      </c>
    </row>
    <row r="1552" spans="1:1">
      <c r="A1552" s="35" t="s">
        <v>41057</v>
      </c>
    </row>
    <row r="1553" spans="1:1">
      <c r="A1553" s="35" t="s">
        <v>41057</v>
      </c>
    </row>
    <row r="1554" spans="1:1">
      <c r="A1554" s="35" t="s">
        <v>41057</v>
      </c>
    </row>
    <row r="1555" spans="1:1">
      <c r="A1555" s="35" t="s">
        <v>41057</v>
      </c>
    </row>
    <row r="1556" spans="1:1">
      <c r="A1556" s="35" t="s">
        <v>41057</v>
      </c>
    </row>
    <row r="1557" spans="1:1">
      <c r="A1557" s="35" t="s">
        <v>41057</v>
      </c>
    </row>
    <row r="1558" spans="1:1">
      <c r="A1558" s="35" t="s">
        <v>41057</v>
      </c>
    </row>
    <row r="1559" spans="1:1">
      <c r="A1559" s="35" t="s">
        <v>41057</v>
      </c>
    </row>
    <row r="1560" spans="1:1">
      <c r="A1560" s="35" t="s">
        <v>41057</v>
      </c>
    </row>
    <row r="1561" spans="1:1">
      <c r="A1561" s="35" t="s">
        <v>41057</v>
      </c>
    </row>
    <row r="1562" spans="1:1">
      <c r="A1562" s="35" t="s">
        <v>41057</v>
      </c>
    </row>
    <row r="1563" spans="1:1">
      <c r="A1563" s="35" t="s">
        <v>41057</v>
      </c>
    </row>
    <row r="1564" spans="1:1">
      <c r="A1564" s="35" t="s">
        <v>41057</v>
      </c>
    </row>
    <row r="1565" spans="1:1">
      <c r="A1565" s="35" t="s">
        <v>41057</v>
      </c>
    </row>
    <row r="1566" spans="1:1">
      <c r="A1566" s="35" t="s">
        <v>41057</v>
      </c>
    </row>
    <row r="1567" spans="1:1">
      <c r="A1567" s="35" t="s">
        <v>41057</v>
      </c>
    </row>
    <row r="1568" spans="1:1">
      <c r="A1568" s="35" t="s">
        <v>41057</v>
      </c>
    </row>
    <row r="1569" spans="1:1">
      <c r="A1569" s="35" t="s">
        <v>53958</v>
      </c>
    </row>
    <row r="1570" spans="1:1">
      <c r="A1570" s="35" t="s">
        <v>41057</v>
      </c>
    </row>
    <row r="1571" spans="1:1">
      <c r="A1571" s="35" t="s">
        <v>41057</v>
      </c>
    </row>
    <row r="1572" spans="1:1">
      <c r="A1572" s="35" t="s">
        <v>53909</v>
      </c>
    </row>
    <row r="1573" spans="1:1">
      <c r="A1573" s="35" t="s">
        <v>41057</v>
      </c>
    </row>
    <row r="1574" spans="1:1">
      <c r="A1574" s="35" t="s">
        <v>41057</v>
      </c>
    </row>
    <row r="1575" spans="1:1">
      <c r="A1575" s="35" t="s">
        <v>41057</v>
      </c>
    </row>
    <row r="1576" spans="1:1">
      <c r="A1576" s="35" t="s">
        <v>41057</v>
      </c>
    </row>
    <row r="1577" spans="1:1">
      <c r="A1577" s="35" t="s">
        <v>41057</v>
      </c>
    </row>
    <row r="1578" spans="1:1">
      <c r="A1578" s="35" t="s">
        <v>53910</v>
      </c>
    </row>
    <row r="1579" spans="1:1">
      <c r="A1579" s="35" t="s">
        <v>41057</v>
      </c>
    </row>
    <row r="1580" spans="1:1">
      <c r="A1580" s="35" t="s">
        <v>41057</v>
      </c>
    </row>
    <row r="1581" spans="1:1">
      <c r="A1581" s="35" t="s">
        <v>41057</v>
      </c>
    </row>
    <row r="1582" spans="1:1">
      <c r="A1582" s="35" t="s">
        <v>41057</v>
      </c>
    </row>
    <row r="1583" spans="1:1">
      <c r="A1583" s="35" t="s">
        <v>41057</v>
      </c>
    </row>
    <row r="1584" spans="1:1">
      <c r="A1584" s="35" t="s">
        <v>41057</v>
      </c>
    </row>
    <row r="1585" spans="1:1">
      <c r="A1585" s="35" t="s">
        <v>41057</v>
      </c>
    </row>
    <row r="1586" spans="1:1">
      <c r="A1586" s="35" t="s">
        <v>41057</v>
      </c>
    </row>
    <row r="1587" spans="1:1">
      <c r="A1587" s="35" t="s">
        <v>41057</v>
      </c>
    </row>
    <row r="1588" spans="1:1">
      <c r="A1588" s="35" t="s">
        <v>41057</v>
      </c>
    </row>
    <row r="1589" spans="1:1">
      <c r="A1589" s="35" t="s">
        <v>41057</v>
      </c>
    </row>
    <row r="1590" spans="1:1">
      <c r="A1590" s="35" t="s">
        <v>41057</v>
      </c>
    </row>
    <row r="1591" spans="1:1">
      <c r="A1591" s="35" t="s">
        <v>41057</v>
      </c>
    </row>
    <row r="1592" spans="1:1">
      <c r="A1592" s="35" t="s">
        <v>41057</v>
      </c>
    </row>
    <row r="1593" spans="1:1">
      <c r="A1593" s="35" t="s">
        <v>41057</v>
      </c>
    </row>
    <row r="1594" spans="1:1">
      <c r="A1594" s="35" t="s">
        <v>53953</v>
      </c>
    </row>
    <row r="1595" spans="1:1">
      <c r="A1595" s="35" t="s">
        <v>41057</v>
      </c>
    </row>
    <row r="1596" spans="1:1">
      <c r="A1596" s="35" t="s">
        <v>41057</v>
      </c>
    </row>
    <row r="1597" spans="1:1">
      <c r="A1597" s="35" t="s">
        <v>53912</v>
      </c>
    </row>
    <row r="1598" spans="1:1">
      <c r="A1598" s="35" t="s">
        <v>41057</v>
      </c>
    </row>
    <row r="1599" spans="1:1">
      <c r="A1599" s="35" t="s">
        <v>41057</v>
      </c>
    </row>
    <row r="1600" spans="1:1">
      <c r="A1600" s="35" t="s">
        <v>41057</v>
      </c>
    </row>
    <row r="1601" spans="1:1">
      <c r="A1601" s="35" t="s">
        <v>41057</v>
      </c>
    </row>
    <row r="1602" spans="1:1">
      <c r="A1602" s="35" t="s">
        <v>41057</v>
      </c>
    </row>
    <row r="1603" spans="1:1">
      <c r="A1603" s="35" t="s">
        <v>41057</v>
      </c>
    </row>
    <row r="1604" spans="1:1">
      <c r="A1604" s="35" t="s">
        <v>41057</v>
      </c>
    </row>
    <row r="1605" spans="1:1">
      <c r="A1605" s="35" t="e" cm="1">
        <f t="array" ref="A1605">-----------------------------------------------------YP---AE</f>
        <v>#NAME?</v>
      </c>
    </row>
    <row r="1606" spans="1:1">
      <c r="A1606" s="35" t="s">
        <v>53913</v>
      </c>
    </row>
    <row r="1607" spans="1:1">
      <c r="A1607" s="35" t="e" cm="1">
        <f t="array" ref="A1607">---------------NDWFRVYDELYR---------SGSE------------------KE</f>
        <v>#NAME?</v>
      </c>
    </row>
    <row r="1608" spans="1:1">
      <c r="A1608" s="35" t="s">
        <v>53914</v>
      </c>
    </row>
    <row r="1609" spans="1:1">
      <c r="A1609" s="35" t="e" cm="1">
        <f t="array" ref="A1609">---------------------------------------------FDDPS--------AG</f>
        <v>#NAME?</v>
      </c>
    </row>
    <row r="1610" spans="1:1">
      <c r="A1610" s="35" t="s">
        <v>53915</v>
      </c>
    </row>
    <row r="1611" spans="1:1">
      <c r="A1611" s="35" t="s">
        <v>53916</v>
      </c>
    </row>
    <row r="1612" spans="1:1">
      <c r="A1612" s="35" t="s">
        <v>41057</v>
      </c>
    </row>
    <row r="1613" spans="1:1">
      <c r="A1613" s="35" t="s">
        <v>53917</v>
      </c>
    </row>
    <row r="1614" spans="1:1">
      <c r="A1614" s="35" t="s">
        <v>53959</v>
      </c>
    </row>
    <row r="1615" spans="1:1">
      <c r="A1615" s="35" t="s">
        <v>53939</v>
      </c>
    </row>
    <row r="1616" spans="1:1">
      <c r="A1616" s="35" t="s">
        <v>41057</v>
      </c>
    </row>
    <row r="1617" spans="1:1">
      <c r="A1617" s="35" t="s">
        <v>41057</v>
      </c>
    </row>
    <row r="1618" spans="1:1">
      <c r="A1618" s="35" t="s">
        <v>41057</v>
      </c>
    </row>
    <row r="1619" spans="1:1">
      <c r="A1619" s="35" t="s">
        <v>53960</v>
      </c>
    </row>
    <row r="1620" spans="1:1">
      <c r="A1620" s="35" t="s">
        <v>41057</v>
      </c>
    </row>
    <row r="1621" spans="1:1">
      <c r="A1621" s="35" t="s">
        <v>41057</v>
      </c>
    </row>
    <row r="1622" spans="1:1">
      <c r="A1622" s="35" t="s">
        <v>53941</v>
      </c>
    </row>
    <row r="1623" spans="1:1">
      <c r="A1623" s="35" t="s">
        <v>53942</v>
      </c>
    </row>
    <row r="1624" spans="1:1">
      <c r="A1624" s="35" t="s">
        <v>53943</v>
      </c>
    </row>
    <row r="1625" spans="1:1">
      <c r="A1625" s="35" t="s">
        <v>53961</v>
      </c>
    </row>
    <row r="1626" spans="1:1">
      <c r="A1626" s="35" t="s">
        <v>41057</v>
      </c>
    </row>
    <row r="1627" spans="1:1">
      <c r="A1627" s="35" t="s">
        <v>41057</v>
      </c>
    </row>
    <row r="1628" spans="1:1">
      <c r="A1628" s="35" t="s">
        <v>41057</v>
      </c>
    </row>
    <row r="1629" spans="1:1">
      <c r="A1629" s="35" t="s">
        <v>41057</v>
      </c>
    </row>
    <row r="1630" spans="1:1">
      <c r="A1630" s="35" t="s">
        <v>41057</v>
      </c>
    </row>
    <row r="1631" spans="1:1">
      <c r="A1631" s="35" t="s">
        <v>41057</v>
      </c>
    </row>
    <row r="1632" spans="1:1">
      <c r="A1632" s="35" t="s">
        <v>41057</v>
      </c>
    </row>
    <row r="1633" spans="1:1">
      <c r="A1633" s="35" t="s">
        <v>41057</v>
      </c>
    </row>
    <row r="1634" spans="1:1">
      <c r="A1634" s="35" t="s">
        <v>41057</v>
      </c>
    </row>
    <row r="1635" spans="1:1">
      <c r="A1635" s="35" t="s">
        <v>41057</v>
      </c>
    </row>
    <row r="1636" spans="1:1">
      <c r="A1636" s="35" t="s">
        <v>41057</v>
      </c>
    </row>
    <row r="1637" spans="1:1">
      <c r="A1637" s="35" t="s">
        <v>41057</v>
      </c>
    </row>
    <row r="1638" spans="1:1">
      <c r="A1638" s="35" t="s">
        <v>41057</v>
      </c>
    </row>
    <row r="1639" spans="1:1">
      <c r="A1639" s="35" t="s">
        <v>41057</v>
      </c>
    </row>
    <row r="1640" spans="1:1">
      <c r="A1640" s="35" t="s">
        <v>41057</v>
      </c>
    </row>
    <row r="1641" spans="1:1">
      <c r="A1641" s="35" t="s">
        <v>41057</v>
      </c>
    </row>
    <row r="1642" spans="1:1">
      <c r="A1642" s="35" t="s">
        <v>41057</v>
      </c>
    </row>
    <row r="1643" spans="1:1">
      <c r="A1643" s="35" t="s">
        <v>53962</v>
      </c>
    </row>
    <row r="1644" spans="1:1">
      <c r="A1644" s="35" t="s">
        <v>53963</v>
      </c>
    </row>
    <row r="1645" spans="1:1">
      <c r="A1645" s="35" t="s">
        <v>41057</v>
      </c>
    </row>
    <row r="1646" spans="1:1">
      <c r="A1646" s="35" t="s">
        <v>41057</v>
      </c>
    </row>
    <row r="1647" spans="1:1">
      <c r="A1647" s="35" t="s">
        <v>41057</v>
      </c>
    </row>
    <row r="1648" spans="1:1">
      <c r="A1648" s="35" t="s">
        <v>41057</v>
      </c>
    </row>
    <row r="1649" spans="1:1">
      <c r="A1649" s="35" t="s">
        <v>41057</v>
      </c>
    </row>
    <row r="1650" spans="1:1">
      <c r="A1650" s="35" t="s">
        <v>41057</v>
      </c>
    </row>
    <row r="1651" spans="1:1">
      <c r="A1651" s="35" t="s">
        <v>41057</v>
      </c>
    </row>
    <row r="1652" spans="1:1">
      <c r="A1652" s="35" t="s">
        <v>53545</v>
      </c>
    </row>
    <row r="1653" spans="1:1">
      <c r="A1653" s="35" t="s">
        <v>52979</v>
      </c>
    </row>
    <row r="1654" spans="1:1">
      <c r="A1654" s="35" t="s">
        <v>41057</v>
      </c>
    </row>
    <row r="1655" spans="1:1">
      <c r="A1655" s="35" t="s">
        <v>41057</v>
      </c>
    </row>
    <row r="1656" spans="1:1">
      <c r="A1656" s="35" t="s">
        <v>41057</v>
      </c>
    </row>
    <row r="1657" spans="1:1">
      <c r="A1657" s="35" t="s">
        <v>41057</v>
      </c>
    </row>
    <row r="1658" spans="1:1">
      <c r="A1658" s="35" t="s">
        <v>41057</v>
      </c>
    </row>
    <row r="1659" spans="1:1">
      <c r="A1659" s="35" t="s">
        <v>41057</v>
      </c>
    </row>
    <row r="1660" spans="1:1">
      <c r="A1660" s="35" t="s">
        <v>41057</v>
      </c>
    </row>
    <row r="1661" spans="1:1">
      <c r="A1661" s="35" t="s">
        <v>41057</v>
      </c>
    </row>
    <row r="1662" spans="1:1">
      <c r="A1662" s="35" t="s">
        <v>41057</v>
      </c>
    </row>
    <row r="1663" spans="1:1">
      <c r="A1663" s="35" t="s">
        <v>41057</v>
      </c>
    </row>
    <row r="1664" spans="1:1">
      <c r="A1664" s="35" t="s">
        <v>41057</v>
      </c>
    </row>
    <row r="1665" spans="1:1">
      <c r="A1665" s="35" t="s">
        <v>53964</v>
      </c>
    </row>
    <row r="1666" spans="1:1">
      <c r="A1666" s="35" t="s">
        <v>41057</v>
      </c>
    </row>
    <row r="1667" spans="1:1">
      <c r="A1667" s="35" t="s">
        <v>41057</v>
      </c>
    </row>
    <row r="1668" spans="1:1">
      <c r="A1668" s="35" t="s">
        <v>41057</v>
      </c>
    </row>
    <row r="1669" spans="1:1">
      <c r="A1669" s="35" t="s">
        <v>41057</v>
      </c>
    </row>
    <row r="1670" spans="1:1">
      <c r="A1670" s="35" t="s">
        <v>41057</v>
      </c>
    </row>
    <row r="1671" spans="1:1">
      <c r="A1671" s="35" t="s">
        <v>41057</v>
      </c>
    </row>
    <row r="1672" spans="1:1">
      <c r="A1672" s="35" t="s">
        <v>41057</v>
      </c>
    </row>
    <row r="1673" spans="1:1">
      <c r="A1673" s="35" t="s">
        <v>41057</v>
      </c>
    </row>
    <row r="1674" spans="1:1">
      <c r="A1674" s="35" t="s">
        <v>41057</v>
      </c>
    </row>
    <row r="1675" spans="1:1">
      <c r="A1675" s="35" t="s">
        <v>41057</v>
      </c>
    </row>
    <row r="1676" spans="1:1">
      <c r="A1676" s="35" t="s">
        <v>41057</v>
      </c>
    </row>
    <row r="1677" spans="1:1">
      <c r="A1677" s="35" t="s">
        <v>41057</v>
      </c>
    </row>
    <row r="1678" spans="1:1">
      <c r="A1678" s="35" t="s">
        <v>41057</v>
      </c>
    </row>
    <row r="1679" spans="1:1">
      <c r="A1679" s="35" t="s">
        <v>41057</v>
      </c>
    </row>
    <row r="1680" spans="1:1">
      <c r="A1680" s="35" t="s">
        <v>41057</v>
      </c>
    </row>
    <row r="1681" spans="1:1">
      <c r="A1681" s="35" t="s">
        <v>41057</v>
      </c>
    </row>
    <row r="1682" spans="1:1">
      <c r="A1682" s="35" t="s">
        <v>41057</v>
      </c>
    </row>
    <row r="1683" spans="1:1">
      <c r="A1683" s="35" t="s">
        <v>41057</v>
      </c>
    </row>
    <row r="1684" spans="1:1">
      <c r="A1684" s="35" t="s">
        <v>53965</v>
      </c>
    </row>
    <row r="1685" spans="1:1">
      <c r="A1685" s="35" t="s">
        <v>41057</v>
      </c>
    </row>
    <row r="1686" spans="1:1">
      <c r="A1686" s="35" t="s">
        <v>53966</v>
      </c>
    </row>
    <row r="1687" spans="1:1">
      <c r="A1687" s="35" t="s">
        <v>53908</v>
      </c>
    </row>
    <row r="1688" spans="1:1">
      <c r="A1688" s="35" t="s">
        <v>41057</v>
      </c>
    </row>
    <row r="1689" spans="1:1">
      <c r="A1689" s="35" t="s">
        <v>41057</v>
      </c>
    </row>
    <row r="1690" spans="1:1">
      <c r="A1690" s="35" t="s">
        <v>53909</v>
      </c>
    </row>
    <row r="1691" spans="1:1">
      <c r="A1691" s="35" t="s">
        <v>41057</v>
      </c>
    </row>
    <row r="1692" spans="1:1">
      <c r="A1692" s="35" t="s">
        <v>41057</v>
      </c>
    </row>
    <row r="1693" spans="1:1">
      <c r="A1693" s="35" t="s">
        <v>41057</v>
      </c>
    </row>
    <row r="1694" spans="1:1">
      <c r="A1694" s="35" t="s">
        <v>41057</v>
      </c>
    </row>
    <row r="1695" spans="1:1">
      <c r="A1695" s="35" t="s">
        <v>41057</v>
      </c>
    </row>
    <row r="1696" spans="1:1">
      <c r="A1696" s="35" t="s">
        <v>53967</v>
      </c>
    </row>
    <row r="1697" spans="1:1">
      <c r="A1697" s="35" t="s">
        <v>41057</v>
      </c>
    </row>
    <row r="1698" spans="1:1">
      <c r="A1698" s="35" t="s">
        <v>41057</v>
      </c>
    </row>
    <row r="1699" spans="1:1">
      <c r="A1699" s="35" t="s">
        <v>41057</v>
      </c>
    </row>
    <row r="1700" spans="1:1">
      <c r="A1700" s="35" t="s">
        <v>41057</v>
      </c>
    </row>
    <row r="1701" spans="1:1">
      <c r="A1701" s="35" t="s">
        <v>41057</v>
      </c>
    </row>
    <row r="1702" spans="1:1">
      <c r="A1702" s="35" t="s">
        <v>41057</v>
      </c>
    </row>
    <row r="1703" spans="1:1">
      <c r="A1703" s="35" t="s">
        <v>41057</v>
      </c>
    </row>
    <row r="1704" spans="1:1">
      <c r="A1704" s="35" t="s">
        <v>41057</v>
      </c>
    </row>
    <row r="1705" spans="1:1">
      <c r="A1705" s="35" t="s">
        <v>41057</v>
      </c>
    </row>
    <row r="1706" spans="1:1">
      <c r="A1706" s="35" t="s">
        <v>41057</v>
      </c>
    </row>
    <row r="1707" spans="1:1">
      <c r="A1707" s="35" t="s">
        <v>41057</v>
      </c>
    </row>
    <row r="1708" spans="1:1">
      <c r="A1708" s="35" t="s">
        <v>41057</v>
      </c>
    </row>
    <row r="1709" spans="1:1">
      <c r="A1709" s="35" t="s">
        <v>41057</v>
      </c>
    </row>
    <row r="1710" spans="1:1">
      <c r="A1710" s="35" t="s">
        <v>41057</v>
      </c>
    </row>
    <row r="1711" spans="1:1">
      <c r="A1711" s="35" t="s">
        <v>41057</v>
      </c>
    </row>
    <row r="1712" spans="1:1">
      <c r="A1712" s="35" t="s">
        <v>53968</v>
      </c>
    </row>
    <row r="1713" spans="1:1">
      <c r="A1713" s="35" t="s">
        <v>41057</v>
      </c>
    </row>
    <row r="1714" spans="1:1">
      <c r="A1714" s="35" t="s">
        <v>41057</v>
      </c>
    </row>
    <row r="1715" spans="1:1">
      <c r="A1715" s="35" t="s">
        <v>53912</v>
      </c>
    </row>
    <row r="1716" spans="1:1">
      <c r="A1716" s="35" t="s">
        <v>41057</v>
      </c>
    </row>
    <row r="1717" spans="1:1">
      <c r="A1717" s="35" t="s">
        <v>41057</v>
      </c>
    </row>
    <row r="1718" spans="1:1">
      <c r="A1718" s="35" t="s">
        <v>41057</v>
      </c>
    </row>
    <row r="1719" spans="1:1">
      <c r="A1719" s="35" t="s">
        <v>41057</v>
      </c>
    </row>
    <row r="1720" spans="1:1">
      <c r="A1720" s="35" t="s">
        <v>41057</v>
      </c>
    </row>
    <row r="1721" spans="1:1">
      <c r="A1721" s="35" t="s">
        <v>41057</v>
      </c>
    </row>
    <row r="1722" spans="1:1">
      <c r="A1722" s="35" t="s">
        <v>41057</v>
      </c>
    </row>
    <row r="1723" spans="1:1">
      <c r="A1723" s="35" t="e" cm="1">
        <f t="array" ref="A1723">-----------------------------------------------------YP---AE</f>
        <v>#NAME?</v>
      </c>
    </row>
    <row r="1724" spans="1:1">
      <c r="A1724" s="35" t="s">
        <v>53969</v>
      </c>
    </row>
    <row r="1725" spans="1:1">
      <c r="A1725" s="35" t="e" cm="1">
        <f t="array" ref="A1725">---------------SDWFRVYDELYR---------SGSE------------------KE</f>
        <v>#NAME?</v>
      </c>
    </row>
    <row r="1726" spans="1:1">
      <c r="A1726" s="35" t="s">
        <v>53970</v>
      </c>
    </row>
    <row r="1727" spans="1:1">
      <c r="A1727" s="35" t="e" cm="1">
        <f t="array" ref="A1727">---------------------------------------------FDDPS--------AG</f>
        <v>#NAME?</v>
      </c>
    </row>
    <row r="1728" spans="1:1">
      <c r="A1728" s="35" t="s">
        <v>53915</v>
      </c>
    </row>
    <row r="1729" spans="1:1">
      <c r="A1729" s="35" t="s">
        <v>53971</v>
      </c>
    </row>
    <row r="1730" spans="1:1">
      <c r="A1730" s="35" t="s">
        <v>41057</v>
      </c>
    </row>
    <row r="1731" spans="1:1">
      <c r="A1731" s="35" t="s">
        <v>53917</v>
      </c>
    </row>
    <row r="1732" spans="1:1">
      <c r="A1732" s="35" t="s">
        <v>53972</v>
      </c>
    </row>
    <row r="1733" spans="1:1">
      <c r="A1733" s="35" t="s">
        <v>53973</v>
      </c>
    </row>
    <row r="1734" spans="1:1">
      <c r="A1734" s="35" t="s">
        <v>41057</v>
      </c>
    </row>
    <row r="1735" spans="1:1">
      <c r="A1735" s="35" t="s">
        <v>41057</v>
      </c>
    </row>
    <row r="1736" spans="1:1">
      <c r="A1736" s="35" t="s">
        <v>41057</v>
      </c>
    </row>
    <row r="1737" spans="1:1">
      <c r="A1737" s="35" t="s">
        <v>53974</v>
      </c>
    </row>
    <row r="1738" spans="1:1">
      <c r="A1738" s="35" t="s">
        <v>41057</v>
      </c>
    </row>
    <row r="1739" spans="1:1">
      <c r="A1739" s="35" t="s">
        <v>41057</v>
      </c>
    </row>
    <row r="1740" spans="1:1">
      <c r="A1740" s="35" t="s">
        <v>53975</v>
      </c>
    </row>
    <row r="1741" spans="1:1">
      <c r="A1741" s="35" t="s">
        <v>53942</v>
      </c>
    </row>
    <row r="1742" spans="1:1">
      <c r="A1742" s="35" t="s">
        <v>53943</v>
      </c>
    </row>
    <row r="1743" spans="1:1">
      <c r="A1743" s="35" t="s">
        <v>53976</v>
      </c>
    </row>
    <row r="1744" spans="1:1">
      <c r="A1744" s="35" t="s">
        <v>41057</v>
      </c>
    </row>
    <row r="1745" spans="1:1">
      <c r="A1745" s="35" t="s">
        <v>41057</v>
      </c>
    </row>
    <row r="1746" spans="1:1">
      <c r="A1746" s="35" t="s">
        <v>41057</v>
      </c>
    </row>
    <row r="1747" spans="1:1">
      <c r="A1747" s="35" t="s">
        <v>41057</v>
      </c>
    </row>
    <row r="1748" spans="1:1">
      <c r="A1748" s="35" t="s">
        <v>41057</v>
      </c>
    </row>
    <row r="1749" spans="1:1">
      <c r="A1749" s="35" t="s">
        <v>41057</v>
      </c>
    </row>
    <row r="1750" spans="1:1">
      <c r="A1750" s="35" t="s">
        <v>41057</v>
      </c>
    </row>
    <row r="1751" spans="1:1">
      <c r="A1751" s="35" t="s">
        <v>41057</v>
      </c>
    </row>
    <row r="1752" spans="1:1">
      <c r="A1752" s="35" t="s">
        <v>41057</v>
      </c>
    </row>
    <row r="1753" spans="1:1">
      <c r="A1753" s="35" t="s">
        <v>41057</v>
      </c>
    </row>
    <row r="1754" spans="1:1">
      <c r="A1754" s="35" t="s">
        <v>41057</v>
      </c>
    </row>
    <row r="1755" spans="1:1">
      <c r="A1755" s="35" t="s">
        <v>41057</v>
      </c>
    </row>
    <row r="1756" spans="1:1">
      <c r="A1756" s="35" t="s">
        <v>41057</v>
      </c>
    </row>
    <row r="1757" spans="1:1">
      <c r="A1757" s="35" t="s">
        <v>41057</v>
      </c>
    </row>
    <row r="1758" spans="1:1">
      <c r="A1758" s="35" t="s">
        <v>41057</v>
      </c>
    </row>
    <row r="1759" spans="1:1">
      <c r="A1759" s="35" t="s">
        <v>41057</v>
      </c>
    </row>
    <row r="1760" spans="1:1">
      <c r="A1760" s="35" t="s">
        <v>53977</v>
      </c>
    </row>
    <row r="1761" spans="1:1">
      <c r="A1761" s="35" t="s">
        <v>53978</v>
      </c>
    </row>
    <row r="1762" spans="1:1">
      <c r="A1762" s="35" t="s">
        <v>53979</v>
      </c>
    </row>
    <row r="1763" spans="1:1">
      <c r="A1763" s="35" t="s">
        <v>53980</v>
      </c>
    </row>
    <row r="1764" spans="1:1">
      <c r="A1764" s="35" t="s">
        <v>53981</v>
      </c>
    </row>
    <row r="1765" spans="1:1">
      <c r="A1765" s="35" t="s">
        <v>41057</v>
      </c>
    </row>
    <row r="1766" spans="1:1">
      <c r="A1766" s="35" t="s">
        <v>41057</v>
      </c>
    </row>
    <row r="1767" spans="1:1">
      <c r="A1767" s="35" t="s">
        <v>53982</v>
      </c>
    </row>
    <row r="1768" spans="1:1">
      <c r="A1768" s="35" t="s">
        <v>53983</v>
      </c>
    </row>
    <row r="1769" spans="1:1">
      <c r="A1769" s="35" t="s">
        <v>53984</v>
      </c>
    </row>
    <row r="1770" spans="1:1">
      <c r="A1770" s="35" t="s">
        <v>53545</v>
      </c>
    </row>
    <row r="1771" spans="1:1">
      <c r="A1771" s="35" t="s">
        <v>53985</v>
      </c>
    </row>
    <row r="1772" spans="1:1">
      <c r="A1772" s="35" t="s">
        <v>41057</v>
      </c>
    </row>
    <row r="1773" spans="1:1">
      <c r="A1773" s="35" t="s">
        <v>41057</v>
      </c>
    </row>
    <row r="1774" spans="1:1">
      <c r="A1774" s="35" t="s">
        <v>41057</v>
      </c>
    </row>
    <row r="1775" spans="1:1">
      <c r="A1775" s="35" t="s">
        <v>41057</v>
      </c>
    </row>
    <row r="1776" spans="1:1">
      <c r="A1776" s="35" t="s">
        <v>41057</v>
      </c>
    </row>
    <row r="1777" spans="1:1">
      <c r="A1777" s="35" t="s">
        <v>41057</v>
      </c>
    </row>
    <row r="1778" spans="1:1">
      <c r="A1778" s="35" t="s">
        <v>41057</v>
      </c>
    </row>
    <row r="1779" spans="1:1">
      <c r="A1779" s="35" t="s">
        <v>41057</v>
      </c>
    </row>
    <row r="1780" spans="1:1">
      <c r="A1780" s="35" t="s">
        <v>41057</v>
      </c>
    </row>
    <row r="1781" spans="1:1">
      <c r="A1781" s="35" t="s">
        <v>41057</v>
      </c>
    </row>
    <row r="1782" spans="1:1">
      <c r="A1782" s="35" t="s">
        <v>41057</v>
      </c>
    </row>
    <row r="1783" spans="1:1">
      <c r="A1783" s="35" t="s">
        <v>41057</v>
      </c>
    </row>
    <row r="1784" spans="1:1">
      <c r="A1784" s="35" t="s">
        <v>41057</v>
      </c>
    </row>
    <row r="1785" spans="1:1">
      <c r="A1785" s="35" t="s">
        <v>41057</v>
      </c>
    </row>
    <row r="1786" spans="1:1">
      <c r="A1786" s="35" t="s">
        <v>41057</v>
      </c>
    </row>
    <row r="1787" spans="1:1">
      <c r="A1787" s="35" t="e" cm="1">
        <f t="array" ref="A1787">-----------------SR------------------PDS-------------------E</f>
        <v>#NAME?</v>
      </c>
    </row>
    <row r="1788" spans="1:1">
      <c r="A1788" s="35" t="s">
        <v>53986</v>
      </c>
    </row>
    <row r="1789" spans="1:1">
      <c r="A1789" s="35" t="s">
        <v>53987</v>
      </c>
    </row>
    <row r="1790" spans="1:1">
      <c r="A1790" s="35" t="s">
        <v>41057</v>
      </c>
    </row>
    <row r="1791" spans="1:1">
      <c r="A1791" s="35" t="s">
        <v>53988</v>
      </c>
    </row>
    <row r="1792" spans="1:1">
      <c r="A1792" s="35" t="s">
        <v>41057</v>
      </c>
    </row>
    <row r="1793" spans="1:1">
      <c r="A1793" s="35" t="s">
        <v>41057</v>
      </c>
    </row>
    <row r="1794" spans="1:1">
      <c r="A1794" s="35" t="s">
        <v>41057</v>
      </c>
    </row>
    <row r="1795" spans="1:1">
      <c r="A1795" s="35" t="s">
        <v>41057</v>
      </c>
    </row>
    <row r="1796" spans="1:1">
      <c r="A1796" s="35" t="s">
        <v>41057</v>
      </c>
    </row>
    <row r="1797" spans="1:1">
      <c r="A1797" s="35" t="s">
        <v>41057</v>
      </c>
    </row>
    <row r="1798" spans="1:1">
      <c r="A1798" s="35" t="s">
        <v>41057</v>
      </c>
    </row>
    <row r="1799" spans="1:1">
      <c r="A1799" s="35" t="s">
        <v>41057</v>
      </c>
    </row>
    <row r="1800" spans="1:1">
      <c r="A1800" s="35" t="s">
        <v>41057</v>
      </c>
    </row>
    <row r="1801" spans="1:1">
      <c r="A1801" s="35" t="s">
        <v>41057</v>
      </c>
    </row>
    <row r="1802" spans="1:1">
      <c r="A1802" s="35" t="s">
        <v>41057</v>
      </c>
    </row>
    <row r="1803" spans="1:1">
      <c r="A1803" s="35" t="s">
        <v>41057</v>
      </c>
    </row>
    <row r="1804" spans="1:1">
      <c r="A1804" s="35" t="s">
        <v>53989</v>
      </c>
    </row>
    <row r="1805" spans="1:1">
      <c r="A1805" s="35" t="s">
        <v>53990</v>
      </c>
    </row>
    <row r="1806" spans="1:1">
      <c r="A1806" s="35" t="s">
        <v>41057</v>
      </c>
    </row>
    <row r="1807" spans="1:1">
      <c r="A1807" s="35" t="s">
        <v>41057</v>
      </c>
    </row>
    <row r="1808" spans="1:1">
      <c r="A1808" s="35" t="s">
        <v>53991</v>
      </c>
    </row>
    <row r="1809" spans="1:1">
      <c r="A1809" s="35" t="s">
        <v>41057</v>
      </c>
    </row>
    <row r="1810" spans="1:1">
      <c r="A1810" s="35" t="s">
        <v>41057</v>
      </c>
    </row>
    <row r="1811" spans="1:1">
      <c r="A1811" s="35" t="s">
        <v>41057</v>
      </c>
    </row>
    <row r="1812" spans="1:1">
      <c r="A1812" s="35" t="s">
        <v>41057</v>
      </c>
    </row>
    <row r="1813" spans="1:1">
      <c r="A1813" s="35" t="s">
        <v>41057</v>
      </c>
    </row>
    <row r="1814" spans="1:1">
      <c r="A1814" s="35" t="s">
        <v>53992</v>
      </c>
    </row>
    <row r="1815" spans="1:1">
      <c r="A1815" s="35" t="s">
        <v>41057</v>
      </c>
    </row>
    <row r="1816" spans="1:1">
      <c r="A1816" s="35" t="s">
        <v>41057</v>
      </c>
    </row>
    <row r="1817" spans="1:1">
      <c r="A1817" s="35" t="s">
        <v>41057</v>
      </c>
    </row>
    <row r="1818" spans="1:1">
      <c r="A1818" s="35" t="s">
        <v>41057</v>
      </c>
    </row>
    <row r="1819" spans="1:1">
      <c r="A1819" s="35" t="s">
        <v>41057</v>
      </c>
    </row>
    <row r="1820" spans="1:1">
      <c r="A1820" s="35" t="s">
        <v>41057</v>
      </c>
    </row>
    <row r="1821" spans="1:1">
      <c r="A1821" s="35" t="s">
        <v>41057</v>
      </c>
    </row>
    <row r="1822" spans="1:1">
      <c r="A1822" s="35" t="s">
        <v>41057</v>
      </c>
    </row>
    <row r="1823" spans="1:1">
      <c r="A1823" s="35" t="s">
        <v>41057</v>
      </c>
    </row>
    <row r="1824" spans="1:1">
      <c r="A1824" s="35" t="s">
        <v>41057</v>
      </c>
    </row>
    <row r="1825" spans="1:1">
      <c r="A1825" s="35" t="s">
        <v>41057</v>
      </c>
    </row>
    <row r="1826" spans="1:1">
      <c r="A1826" s="35" t="s">
        <v>41057</v>
      </c>
    </row>
    <row r="1827" spans="1:1">
      <c r="A1827" s="35" t="s">
        <v>41057</v>
      </c>
    </row>
    <row r="1828" spans="1:1">
      <c r="A1828" s="35" t="s">
        <v>41057</v>
      </c>
    </row>
    <row r="1829" spans="1:1">
      <c r="A1829" s="35" t="s">
        <v>41057</v>
      </c>
    </row>
    <row r="1830" spans="1:1">
      <c r="A1830" s="35" t="s">
        <v>53993</v>
      </c>
    </row>
    <row r="1831" spans="1:1">
      <c r="A1831" s="35" t="s">
        <v>41057</v>
      </c>
    </row>
    <row r="1832" spans="1:1">
      <c r="A1832" s="35" t="s">
        <v>41057</v>
      </c>
    </row>
    <row r="1833" spans="1:1">
      <c r="A1833" s="35" t="s">
        <v>53912</v>
      </c>
    </row>
    <row r="1834" spans="1:1">
      <c r="A1834" s="35" t="s">
        <v>41057</v>
      </c>
    </row>
    <row r="1835" spans="1:1">
      <c r="A1835" s="35" t="s">
        <v>41057</v>
      </c>
    </row>
    <row r="1836" spans="1:1">
      <c r="A1836" s="35" t="s">
        <v>41057</v>
      </c>
    </row>
    <row r="1837" spans="1:1">
      <c r="A1837" s="35" t="s">
        <v>41057</v>
      </c>
    </row>
    <row r="1838" spans="1:1">
      <c r="A1838" s="35" t="s">
        <v>41057</v>
      </c>
    </row>
    <row r="1839" spans="1:1">
      <c r="A1839" s="35" t="s">
        <v>41057</v>
      </c>
    </row>
    <row r="1840" spans="1:1">
      <c r="A1840" s="35" t="s">
        <v>41057</v>
      </c>
    </row>
    <row r="1841" spans="1:1">
      <c r="A1841" s="35" t="e" cm="1">
        <f t="array" ref="A1841">-----------------------------------------------------YP---AE</f>
        <v>#NAME?</v>
      </c>
    </row>
    <row r="1842" spans="1:1">
      <c r="A1842" s="35" t="s">
        <v>53994</v>
      </c>
    </row>
    <row r="1843" spans="1:1">
      <c r="A1843" s="35" t="e" cm="1">
        <f t="array" ref="A1843">---------------SDWFRIFDELYR---------SSDE------------------KL</f>
        <v>#NAME?</v>
      </c>
    </row>
    <row r="1844" spans="1:1">
      <c r="A1844" s="35" t="s">
        <v>53995</v>
      </c>
    </row>
    <row r="1845" spans="1:1">
      <c r="A1845" s="35" t="e" cm="1">
        <f t="array" ref="A1845">---------------------------------------------FDDTT--------AA</f>
        <v>#NAME?</v>
      </c>
    </row>
    <row r="1846" spans="1:1">
      <c r="A1846" s="35" t="s">
        <v>53915</v>
      </c>
    </row>
    <row r="1847" spans="1:1">
      <c r="A1847" s="35" t="s">
        <v>53996</v>
      </c>
    </row>
    <row r="1848" spans="1:1">
      <c r="A1848" s="35" t="s">
        <v>41057</v>
      </c>
    </row>
    <row r="1849" spans="1:1">
      <c r="A1849" s="35" t="s">
        <v>53997</v>
      </c>
    </row>
    <row r="1850" spans="1:1">
      <c r="A1850" s="35" t="s">
        <v>53998</v>
      </c>
    </row>
    <row r="1851" spans="1:1">
      <c r="A1851" s="35" t="s">
        <v>41057</v>
      </c>
    </row>
    <row r="1852" spans="1:1">
      <c r="A1852" s="35" t="s">
        <v>41057</v>
      </c>
    </row>
    <row r="1853" spans="1:1">
      <c r="A1853" s="35" t="s">
        <v>41057</v>
      </c>
    </row>
    <row r="1854" spans="1:1">
      <c r="A1854" s="35" t="s">
        <v>41057</v>
      </c>
    </row>
    <row r="1855" spans="1:1">
      <c r="A1855" s="35" t="s">
        <v>41057</v>
      </c>
    </row>
    <row r="1856" spans="1:1">
      <c r="A1856" s="35" t="s">
        <v>41057</v>
      </c>
    </row>
    <row r="1857" spans="1:1">
      <c r="A1857" s="35" t="s">
        <v>41057</v>
      </c>
    </row>
    <row r="1858" spans="1:1">
      <c r="A1858" s="35" t="s">
        <v>41057</v>
      </c>
    </row>
    <row r="1859" spans="1:1">
      <c r="A1859" s="35" t="s">
        <v>41057</v>
      </c>
    </row>
    <row r="1860" spans="1:1">
      <c r="A1860" s="35" t="s">
        <v>41057</v>
      </c>
    </row>
    <row r="1861" spans="1:1">
      <c r="A1861" s="35" t="s">
        <v>41057</v>
      </c>
    </row>
    <row r="1862" spans="1:1">
      <c r="A1862" s="35" t="s">
        <v>41057</v>
      </c>
    </row>
    <row r="1863" spans="1:1">
      <c r="A1863" s="35" t="s">
        <v>41057</v>
      </c>
    </row>
    <row r="1864" spans="1:1">
      <c r="A1864" s="35" t="s">
        <v>41057</v>
      </c>
    </row>
    <row r="1865" spans="1:1">
      <c r="A1865" s="35" t="s">
        <v>41057</v>
      </c>
    </row>
    <row r="1866" spans="1:1">
      <c r="A1866" s="35" t="s">
        <v>41057</v>
      </c>
    </row>
    <row r="1867" spans="1:1">
      <c r="A1867" s="35" t="s">
        <v>41057</v>
      </c>
    </row>
    <row r="1868" spans="1:1">
      <c r="A1868" s="35" t="s">
        <v>41057</v>
      </c>
    </row>
    <row r="1869" spans="1:1">
      <c r="A1869" s="35" t="s">
        <v>41057</v>
      </c>
    </row>
    <row r="1870" spans="1:1">
      <c r="A1870" s="35" t="s">
        <v>41057</v>
      </c>
    </row>
    <row r="1871" spans="1:1">
      <c r="A1871" s="35" t="s">
        <v>41057</v>
      </c>
    </row>
    <row r="1872" spans="1:1">
      <c r="A1872" s="35" t="s">
        <v>41057</v>
      </c>
    </row>
    <row r="1873" spans="1:1">
      <c r="A1873" s="35" t="s">
        <v>41057</v>
      </c>
    </row>
    <row r="1874" spans="1:1">
      <c r="A1874" s="35" t="s">
        <v>41057</v>
      </c>
    </row>
    <row r="1875" spans="1:1">
      <c r="A1875" s="35" t="s">
        <v>41057</v>
      </c>
    </row>
    <row r="1876" spans="1:1">
      <c r="A1876" s="35" t="s">
        <v>41057</v>
      </c>
    </row>
    <row r="1877" spans="1:1">
      <c r="A1877" s="35" t="s">
        <v>41057</v>
      </c>
    </row>
    <row r="1878" spans="1:1">
      <c r="A1878" s="35" t="s">
        <v>41057</v>
      </c>
    </row>
    <row r="1879" spans="1:1">
      <c r="A1879" s="35" t="s">
        <v>41057</v>
      </c>
    </row>
    <row r="1880" spans="1:1">
      <c r="A1880" s="35" t="s">
        <v>41057</v>
      </c>
    </row>
    <row r="1881" spans="1:1">
      <c r="A1881" s="35" t="s">
        <v>41057</v>
      </c>
    </row>
    <row r="1882" spans="1:1">
      <c r="A1882" s="35" t="s">
        <v>41057</v>
      </c>
    </row>
    <row r="1883" spans="1:1">
      <c r="A1883" s="35" t="s">
        <v>41057</v>
      </c>
    </row>
    <row r="1884" spans="1:1">
      <c r="A1884" s="35" t="s">
        <v>41057</v>
      </c>
    </row>
    <row r="1885" spans="1:1">
      <c r="A1885" s="35" t="s">
        <v>41057</v>
      </c>
    </row>
    <row r="1886" spans="1:1">
      <c r="A1886" s="35" t="s">
        <v>41057</v>
      </c>
    </row>
    <row r="1887" spans="1:1">
      <c r="A1887" s="35" t="s">
        <v>41057</v>
      </c>
    </row>
    <row r="1888" spans="1:1">
      <c r="A1888" s="35" t="s">
        <v>53545</v>
      </c>
    </row>
    <row r="1889" spans="1:1">
      <c r="A1889" s="35" t="s">
        <v>53999</v>
      </c>
    </row>
    <row r="1890" spans="1:1">
      <c r="A1890" s="35" t="s">
        <v>41057</v>
      </c>
    </row>
    <row r="1891" spans="1:1">
      <c r="A1891" s="35" t="s">
        <v>41057</v>
      </c>
    </row>
    <row r="1892" spans="1:1">
      <c r="A1892" s="35" t="s">
        <v>41057</v>
      </c>
    </row>
    <row r="1893" spans="1:1">
      <c r="A1893" s="35" t="s">
        <v>41057</v>
      </c>
    </row>
    <row r="1894" spans="1:1">
      <c r="A1894" s="35" t="s">
        <v>41057</v>
      </c>
    </row>
    <row r="1895" spans="1:1">
      <c r="A1895" s="35" t="s">
        <v>41057</v>
      </c>
    </row>
    <row r="1896" spans="1:1">
      <c r="A1896" s="35" t="s">
        <v>41057</v>
      </c>
    </row>
    <row r="1897" spans="1:1">
      <c r="A1897" s="35" t="s">
        <v>41057</v>
      </c>
    </row>
    <row r="1898" spans="1:1">
      <c r="A1898" s="35" t="s">
        <v>41057</v>
      </c>
    </row>
    <row r="1899" spans="1:1">
      <c r="A1899" s="35" t="s">
        <v>54000</v>
      </c>
    </row>
    <row r="1900" spans="1:1">
      <c r="A1900" s="35" t="e" cm="1">
        <f t="array" ref="A1900">---------------------------------------------QEMLPSR----SGSQ</f>
        <v>#NAME?</v>
      </c>
    </row>
    <row r="1901" spans="1:1">
      <c r="A1901" s="35" t="s">
        <v>54001</v>
      </c>
    </row>
    <row r="1902" spans="1:1">
      <c r="A1902" s="35" t="s">
        <v>54002</v>
      </c>
    </row>
    <row r="1903" spans="1:1">
      <c r="A1903" s="35" t="s">
        <v>41057</v>
      </c>
    </row>
    <row r="1904" spans="1:1">
      <c r="A1904" s="35" t="s">
        <v>41057</v>
      </c>
    </row>
    <row r="1905" spans="1:1">
      <c r="A1905" s="35" t="s">
        <v>41057</v>
      </c>
    </row>
    <row r="1906" spans="1:1">
      <c r="A1906" s="35" t="s">
        <v>41057</v>
      </c>
    </row>
    <row r="1907" spans="1:1">
      <c r="A1907" s="35" t="s">
        <v>54003</v>
      </c>
    </row>
    <row r="1908" spans="1:1">
      <c r="A1908" s="35" t="s">
        <v>41057</v>
      </c>
    </row>
    <row r="1909" spans="1:1">
      <c r="A1909" s="35" t="s">
        <v>53903</v>
      </c>
    </row>
    <row r="1910" spans="1:1">
      <c r="A1910" s="35" t="s">
        <v>41057</v>
      </c>
    </row>
    <row r="1911" spans="1:1">
      <c r="A1911" s="35" t="s">
        <v>41057</v>
      </c>
    </row>
    <row r="1912" spans="1:1">
      <c r="A1912" s="35" t="s">
        <v>53904</v>
      </c>
    </row>
    <row r="1913" spans="1:1">
      <c r="A1913" s="35" t="s">
        <v>41057</v>
      </c>
    </row>
    <row r="1914" spans="1:1">
      <c r="A1914" s="35" t="s">
        <v>41057</v>
      </c>
    </row>
    <row r="1915" spans="1:1">
      <c r="A1915" s="35" t="s">
        <v>53500</v>
      </c>
    </row>
    <row r="1916" spans="1:1">
      <c r="A1916" s="35" t="s">
        <v>41057</v>
      </c>
    </row>
    <row r="1917" spans="1:1">
      <c r="A1917" s="35" t="s">
        <v>41057</v>
      </c>
    </row>
    <row r="1918" spans="1:1">
      <c r="A1918" s="35" t="s">
        <v>53905</v>
      </c>
    </row>
    <row r="1919" spans="1:1">
      <c r="A1919" s="35" t="s">
        <v>41057</v>
      </c>
    </row>
    <row r="1920" spans="1:1">
      <c r="A1920" s="35" t="s">
        <v>53906</v>
      </c>
    </row>
    <row r="1921" spans="1:1">
      <c r="A1921" s="35" t="s">
        <v>41057</v>
      </c>
    </row>
    <row r="1922" spans="1:1">
      <c r="A1922" s="35" t="s">
        <v>53907</v>
      </c>
    </row>
    <row r="1923" spans="1:1">
      <c r="A1923" s="35" t="s">
        <v>53908</v>
      </c>
    </row>
    <row r="1924" spans="1:1">
      <c r="A1924" s="35" t="s">
        <v>41057</v>
      </c>
    </row>
    <row r="1925" spans="1:1">
      <c r="A1925" s="35" t="s">
        <v>41057</v>
      </c>
    </row>
    <row r="1926" spans="1:1">
      <c r="A1926" s="35" t="s">
        <v>53909</v>
      </c>
    </row>
    <row r="1927" spans="1:1">
      <c r="A1927" s="35" t="s">
        <v>41057</v>
      </c>
    </row>
    <row r="1928" spans="1:1">
      <c r="A1928" s="35" t="s">
        <v>41057</v>
      </c>
    </row>
    <row r="1929" spans="1:1">
      <c r="A1929" s="35" t="s">
        <v>41057</v>
      </c>
    </row>
    <row r="1930" spans="1:1">
      <c r="A1930" s="35" t="s">
        <v>41057</v>
      </c>
    </row>
    <row r="1931" spans="1:1">
      <c r="A1931" s="35" t="s">
        <v>41057</v>
      </c>
    </row>
    <row r="1932" spans="1:1">
      <c r="A1932" s="35" t="s">
        <v>53910</v>
      </c>
    </row>
    <row r="1933" spans="1:1">
      <c r="A1933" s="35" t="s">
        <v>41057</v>
      </c>
    </row>
    <row r="1934" spans="1:1">
      <c r="A1934" s="35" t="s">
        <v>41057</v>
      </c>
    </row>
    <row r="1935" spans="1:1">
      <c r="A1935" s="35" t="s">
        <v>41057</v>
      </c>
    </row>
    <row r="1936" spans="1:1">
      <c r="A1936" s="35" t="s">
        <v>41057</v>
      </c>
    </row>
    <row r="1937" spans="1:1">
      <c r="A1937" s="35" t="s">
        <v>41057</v>
      </c>
    </row>
    <row r="1938" spans="1:1">
      <c r="A1938" s="35" t="s">
        <v>41057</v>
      </c>
    </row>
    <row r="1939" spans="1:1">
      <c r="A1939" s="35" t="s">
        <v>41057</v>
      </c>
    </row>
    <row r="1940" spans="1:1">
      <c r="A1940" s="35" t="s">
        <v>41057</v>
      </c>
    </row>
    <row r="1941" spans="1:1">
      <c r="A1941" s="35" t="s">
        <v>41057</v>
      </c>
    </row>
    <row r="1942" spans="1:1">
      <c r="A1942" s="35" t="s">
        <v>41057</v>
      </c>
    </row>
    <row r="1943" spans="1:1">
      <c r="A1943" s="35" t="s">
        <v>41057</v>
      </c>
    </row>
    <row r="1944" spans="1:1">
      <c r="A1944" s="35" t="s">
        <v>41057</v>
      </c>
    </row>
    <row r="1945" spans="1:1">
      <c r="A1945" s="35" t="s">
        <v>41057</v>
      </c>
    </row>
    <row r="1946" spans="1:1">
      <c r="A1946" s="35" t="s">
        <v>41057</v>
      </c>
    </row>
    <row r="1947" spans="1:1">
      <c r="A1947" s="35" t="s">
        <v>41057</v>
      </c>
    </row>
    <row r="1948" spans="1:1">
      <c r="A1948" s="35" t="s">
        <v>53953</v>
      </c>
    </row>
    <row r="1949" spans="1:1">
      <c r="A1949" s="35" t="s">
        <v>41057</v>
      </c>
    </row>
    <row r="1950" spans="1:1">
      <c r="A1950" s="35" t="s">
        <v>41057</v>
      </c>
    </row>
    <row r="1951" spans="1:1">
      <c r="A1951" s="35" t="s">
        <v>53912</v>
      </c>
    </row>
    <row r="1952" spans="1:1">
      <c r="A1952" s="35" t="s">
        <v>41057</v>
      </c>
    </row>
    <row r="1953" spans="1:1">
      <c r="A1953" s="35" t="s">
        <v>41057</v>
      </c>
    </row>
    <row r="1954" spans="1:1">
      <c r="A1954" s="35" t="s">
        <v>41057</v>
      </c>
    </row>
    <row r="1955" spans="1:1">
      <c r="A1955" s="35" t="s">
        <v>41057</v>
      </c>
    </row>
    <row r="1956" spans="1:1">
      <c r="A1956" s="35" t="s">
        <v>41057</v>
      </c>
    </row>
    <row r="1957" spans="1:1">
      <c r="A1957" s="35" t="s">
        <v>41057</v>
      </c>
    </row>
    <row r="1958" spans="1:1">
      <c r="A1958" s="35" t="s">
        <v>41057</v>
      </c>
    </row>
    <row r="1959" spans="1:1">
      <c r="A1959" s="35" t="e" cm="1">
        <f t="array" ref="A1959">-----------------------------------------------------YP---AE</f>
        <v>#NAME?</v>
      </c>
    </row>
    <row r="1960" spans="1:1">
      <c r="A1960" s="35" t="s">
        <v>53913</v>
      </c>
    </row>
    <row r="1961" spans="1:1">
      <c r="A1961" s="35" t="e" cm="1">
        <f t="array" ref="A1961">---------------NDWFRVYDELYR---------SGSE------------------KE</f>
        <v>#NAME?</v>
      </c>
    </row>
    <row r="1962" spans="1:1">
      <c r="A1962" s="35" t="s">
        <v>53914</v>
      </c>
    </row>
    <row r="1963" spans="1:1">
      <c r="A1963" s="35" t="e" cm="1">
        <f t="array" ref="A1963">---------------------------------------------FDDPS--------AG</f>
        <v>#NAME?</v>
      </c>
    </row>
    <row r="1964" spans="1:1">
      <c r="A1964" s="35" t="s">
        <v>53915</v>
      </c>
    </row>
    <row r="1965" spans="1:1">
      <c r="A1965" s="35" t="s">
        <v>54004</v>
      </c>
    </row>
    <row r="1966" spans="1:1">
      <c r="A1966" s="35" t="s">
        <v>41057</v>
      </c>
    </row>
    <row r="1967" spans="1:1">
      <c r="A1967" s="35" t="s">
        <v>41057</v>
      </c>
    </row>
    <row r="1968" spans="1:1">
      <c r="A1968" s="35" t="s">
        <v>54005</v>
      </c>
    </row>
    <row r="1969" spans="1:1">
      <c r="A1969" s="35" t="s">
        <v>41057</v>
      </c>
    </row>
    <row r="1970" spans="1:1">
      <c r="A1970" s="35" t="s">
        <v>41057</v>
      </c>
    </row>
    <row r="1971" spans="1:1">
      <c r="A1971" s="35" t="s">
        <v>41057</v>
      </c>
    </row>
    <row r="1972" spans="1:1">
      <c r="A1972" s="35" t="s">
        <v>41057</v>
      </c>
    </row>
    <row r="1973" spans="1:1">
      <c r="A1973" s="35" t="s">
        <v>41057</v>
      </c>
    </row>
    <row r="1974" spans="1:1">
      <c r="A1974" s="35" t="s">
        <v>41057</v>
      </c>
    </row>
    <row r="1975" spans="1:1">
      <c r="A1975" s="35" t="s">
        <v>41057</v>
      </c>
    </row>
    <row r="1976" spans="1:1">
      <c r="A1976" s="35" t="s">
        <v>41057</v>
      </c>
    </row>
    <row r="1977" spans="1:1">
      <c r="A1977" s="35" t="s">
        <v>41057</v>
      </c>
    </row>
    <row r="1978" spans="1:1">
      <c r="A1978" s="35" t="s">
        <v>54006</v>
      </c>
    </row>
    <row r="1979" spans="1:1">
      <c r="A1979" s="35" t="s">
        <v>41057</v>
      </c>
    </row>
    <row r="1980" spans="1:1">
      <c r="A1980" s="35" t="s">
        <v>41057</v>
      </c>
    </row>
    <row r="1981" spans="1:1">
      <c r="A1981" s="35" t="s">
        <v>41057</v>
      </c>
    </row>
    <row r="1982" spans="1:1">
      <c r="A1982" s="35" t="s">
        <v>41057</v>
      </c>
    </row>
    <row r="1983" spans="1:1">
      <c r="A1983" s="35" t="s">
        <v>41057</v>
      </c>
    </row>
    <row r="1984" spans="1:1">
      <c r="A1984" s="35" t="s">
        <v>41057</v>
      </c>
    </row>
    <row r="1985" spans="1:1">
      <c r="A1985" s="35" t="s">
        <v>41057</v>
      </c>
    </row>
    <row r="1986" spans="1:1">
      <c r="A1986" s="35" t="s">
        <v>41057</v>
      </c>
    </row>
    <row r="1987" spans="1:1">
      <c r="A1987" s="35" t="s">
        <v>41057</v>
      </c>
    </row>
    <row r="1988" spans="1:1">
      <c r="A1988" s="35" t="s">
        <v>41057</v>
      </c>
    </row>
    <row r="1989" spans="1:1">
      <c r="A1989" s="35" t="s">
        <v>41057</v>
      </c>
    </row>
    <row r="1990" spans="1:1">
      <c r="A1990" s="35" t="s">
        <v>41057</v>
      </c>
    </row>
    <row r="1991" spans="1:1">
      <c r="A1991" s="35" t="s">
        <v>41057</v>
      </c>
    </row>
    <row r="1992" spans="1:1">
      <c r="A1992" s="35" t="s">
        <v>41057</v>
      </c>
    </row>
    <row r="1993" spans="1:1">
      <c r="A1993" s="35" t="s">
        <v>41057</v>
      </c>
    </row>
    <row r="1994" spans="1:1">
      <c r="A1994" s="35" t="s">
        <v>41057</v>
      </c>
    </row>
    <row r="1995" spans="1:1">
      <c r="A1995" s="35" t="s">
        <v>41057</v>
      </c>
    </row>
    <row r="1996" spans="1:1">
      <c r="A1996" s="35" t="s">
        <v>41057</v>
      </c>
    </row>
    <row r="1997" spans="1:1">
      <c r="A1997" s="35" t="s">
        <v>41057</v>
      </c>
    </row>
    <row r="1998" spans="1:1">
      <c r="A1998" s="35" t="s">
        <v>54007</v>
      </c>
    </row>
    <row r="1999" spans="1:1">
      <c r="A1999" s="35" t="s">
        <v>41057</v>
      </c>
    </row>
    <row r="2000" spans="1:1">
      <c r="A2000" s="35" t="s">
        <v>41057</v>
      </c>
    </row>
    <row r="2001" spans="1:1">
      <c r="A2001" s="35" t="s">
        <v>41057</v>
      </c>
    </row>
    <row r="2002" spans="1:1">
      <c r="A2002" s="35" t="s">
        <v>41057</v>
      </c>
    </row>
    <row r="2003" spans="1:1">
      <c r="A2003" s="35" t="s">
        <v>41057</v>
      </c>
    </row>
    <row r="2004" spans="1:1">
      <c r="A2004" s="35" t="s">
        <v>41057</v>
      </c>
    </row>
    <row r="2005" spans="1:1">
      <c r="A2005" s="35" t="s">
        <v>41057</v>
      </c>
    </row>
    <row r="2006" spans="1:1">
      <c r="A2006" s="35" t="s">
        <v>53545</v>
      </c>
    </row>
    <row r="2007" spans="1:1">
      <c r="A2007" s="35" t="s">
        <v>54008</v>
      </c>
    </row>
    <row r="2008" spans="1:1">
      <c r="A2008" s="35" t="s">
        <v>41057</v>
      </c>
    </row>
    <row r="2009" spans="1:1">
      <c r="A2009" s="35" t="s">
        <v>41057</v>
      </c>
    </row>
    <row r="2010" spans="1:1">
      <c r="A2010" s="35" t="s">
        <v>41057</v>
      </c>
    </row>
    <row r="2011" spans="1:1">
      <c r="A2011" s="35" t="s">
        <v>41057</v>
      </c>
    </row>
    <row r="2012" spans="1:1">
      <c r="A2012" s="35" t="s">
        <v>41057</v>
      </c>
    </row>
    <row r="2013" spans="1:1">
      <c r="A2013" s="35" t="s">
        <v>41057</v>
      </c>
    </row>
    <row r="2014" spans="1:1">
      <c r="A2014" s="35" t="s">
        <v>41057</v>
      </c>
    </row>
    <row r="2015" spans="1:1">
      <c r="A2015" s="35" t="s">
        <v>41057</v>
      </c>
    </row>
    <row r="2016" spans="1:1">
      <c r="A2016" s="35" t="s">
        <v>41057</v>
      </c>
    </row>
    <row r="2017" spans="1:1">
      <c r="A2017" s="35" t="s">
        <v>41057</v>
      </c>
    </row>
    <row r="2018" spans="1:1">
      <c r="A2018" s="35" t="s">
        <v>41057</v>
      </c>
    </row>
    <row r="2019" spans="1:1">
      <c r="A2019" s="35" t="s">
        <v>54009</v>
      </c>
    </row>
    <row r="2020" spans="1:1">
      <c r="A2020" s="35" t="s">
        <v>41057</v>
      </c>
    </row>
    <row r="2021" spans="1:1">
      <c r="A2021" s="35" t="s">
        <v>41057</v>
      </c>
    </row>
    <row r="2022" spans="1:1">
      <c r="A2022" s="35" t="s">
        <v>41057</v>
      </c>
    </row>
    <row r="2023" spans="1:1">
      <c r="A2023" s="35" t="s">
        <v>41057</v>
      </c>
    </row>
    <row r="2024" spans="1:1">
      <c r="A2024" s="35" t="s">
        <v>41057</v>
      </c>
    </row>
    <row r="2025" spans="1:1">
      <c r="A2025" s="35" t="s">
        <v>41057</v>
      </c>
    </row>
    <row r="2026" spans="1:1">
      <c r="A2026" s="35" t="s">
        <v>41057</v>
      </c>
    </row>
    <row r="2027" spans="1:1">
      <c r="A2027" s="35" t="s">
        <v>41057</v>
      </c>
    </row>
    <row r="2028" spans="1:1">
      <c r="A2028" s="35" t="s">
        <v>41057</v>
      </c>
    </row>
    <row r="2029" spans="1:1">
      <c r="A2029" s="35" t="s">
        <v>41057</v>
      </c>
    </row>
    <row r="2030" spans="1:1">
      <c r="A2030" s="35" t="s">
        <v>41057</v>
      </c>
    </row>
    <row r="2031" spans="1:1">
      <c r="A2031" s="35" t="s">
        <v>41057</v>
      </c>
    </row>
    <row r="2032" spans="1:1">
      <c r="A2032" s="35" t="s">
        <v>41057</v>
      </c>
    </row>
    <row r="2033" spans="1:1">
      <c r="A2033" s="35" t="s">
        <v>41057</v>
      </c>
    </row>
    <row r="2034" spans="1:1">
      <c r="A2034" s="35" t="s">
        <v>41057</v>
      </c>
    </row>
    <row r="2035" spans="1:1">
      <c r="A2035" s="35" t="s">
        <v>41057</v>
      </c>
    </row>
    <row r="2036" spans="1:1">
      <c r="A2036" s="35" t="s">
        <v>54010</v>
      </c>
    </row>
    <row r="2037" spans="1:1">
      <c r="A2037" s="35" t="s">
        <v>41057</v>
      </c>
    </row>
    <row r="2038" spans="1:1">
      <c r="A2038" s="35" t="s">
        <v>54011</v>
      </c>
    </row>
    <row r="2039" spans="1:1">
      <c r="A2039" s="35" t="s">
        <v>41057</v>
      </c>
    </row>
    <row r="2040" spans="1:1">
      <c r="A2040" s="35" t="s">
        <v>54012</v>
      </c>
    </row>
    <row r="2041" spans="1:1">
      <c r="A2041" s="35" t="s">
        <v>54013</v>
      </c>
    </row>
    <row r="2042" spans="1:1">
      <c r="A2042" s="35" t="s">
        <v>41057</v>
      </c>
    </row>
    <row r="2043" spans="1:1">
      <c r="A2043" s="35" t="s">
        <v>41057</v>
      </c>
    </row>
    <row r="2044" spans="1:1">
      <c r="A2044" s="35" t="s">
        <v>54014</v>
      </c>
    </row>
    <row r="2045" spans="1:1">
      <c r="A2045" s="35" t="s">
        <v>41057</v>
      </c>
    </row>
    <row r="2046" spans="1:1">
      <c r="A2046" s="35" t="s">
        <v>41057</v>
      </c>
    </row>
    <row r="2047" spans="1:1">
      <c r="A2047" s="35" t="s">
        <v>41057</v>
      </c>
    </row>
    <row r="2048" spans="1:1">
      <c r="A2048" s="35" t="s">
        <v>41057</v>
      </c>
    </row>
    <row r="2049" spans="1:1">
      <c r="A2049" s="35" t="s">
        <v>41057</v>
      </c>
    </row>
    <row r="2050" spans="1:1">
      <c r="A2050" s="35" t="s">
        <v>41057</v>
      </c>
    </row>
    <row r="2051" spans="1:1">
      <c r="A2051" s="35" t="s">
        <v>41057</v>
      </c>
    </row>
    <row r="2052" spans="1:1">
      <c r="A2052" s="35" t="s">
        <v>41057</v>
      </c>
    </row>
    <row r="2053" spans="1:1">
      <c r="A2053" s="35" t="s">
        <v>41057</v>
      </c>
    </row>
    <row r="2054" spans="1:1">
      <c r="A2054" s="35" t="s">
        <v>41057</v>
      </c>
    </row>
    <row r="2055" spans="1:1">
      <c r="A2055" s="35" t="s">
        <v>41057</v>
      </c>
    </row>
    <row r="2056" spans="1:1">
      <c r="A2056" s="35" t="s">
        <v>41057</v>
      </c>
    </row>
    <row r="2057" spans="1:1">
      <c r="A2057" s="35" t="s">
        <v>41057</v>
      </c>
    </row>
    <row r="2058" spans="1:1">
      <c r="A2058" s="35" t="s">
        <v>41057</v>
      </c>
    </row>
    <row r="2059" spans="1:1">
      <c r="A2059" s="35" t="s">
        <v>41057</v>
      </c>
    </row>
    <row r="2060" spans="1:1">
      <c r="A2060" s="35" t="s">
        <v>41057</v>
      </c>
    </row>
    <row r="2061" spans="1:1">
      <c r="A2061" s="35" t="s">
        <v>41057</v>
      </c>
    </row>
    <row r="2062" spans="1:1">
      <c r="A2062" s="35" t="s">
        <v>41057</v>
      </c>
    </row>
    <row r="2063" spans="1:1">
      <c r="A2063" s="35" t="s">
        <v>41057</v>
      </c>
    </row>
    <row r="2064" spans="1:1">
      <c r="A2064" s="35" t="s">
        <v>41057</v>
      </c>
    </row>
    <row r="2065" spans="1:1">
      <c r="A2065" s="35" t="s">
        <v>41057</v>
      </c>
    </row>
    <row r="2066" spans="1:1">
      <c r="A2066" s="35" t="s">
        <v>41057</v>
      </c>
    </row>
    <row r="2067" spans="1:1">
      <c r="A2067" s="35" t="s">
        <v>41057</v>
      </c>
    </row>
    <row r="2068" spans="1:1">
      <c r="A2068" s="35" t="s">
        <v>41057</v>
      </c>
    </row>
    <row r="2069" spans="1:1">
      <c r="A2069" s="35" t="s">
        <v>41057</v>
      </c>
    </row>
    <row r="2070" spans="1:1">
      <c r="A2070" s="35" t="s">
        <v>41057</v>
      </c>
    </row>
    <row r="2071" spans="1:1">
      <c r="A2071" s="35" t="s">
        <v>41057</v>
      </c>
    </row>
    <row r="2072" spans="1:1">
      <c r="A2072" s="35" t="s">
        <v>41057</v>
      </c>
    </row>
    <row r="2073" spans="1:1">
      <c r="A2073" s="35" t="s">
        <v>41057</v>
      </c>
    </row>
    <row r="2074" spans="1:1">
      <c r="A2074" s="35" t="s">
        <v>41057</v>
      </c>
    </row>
    <row r="2075" spans="1:1">
      <c r="A2075" s="35" t="s">
        <v>41057</v>
      </c>
    </row>
    <row r="2076" spans="1:1">
      <c r="A2076" s="35" t="s">
        <v>41057</v>
      </c>
    </row>
    <row r="2077" spans="1:1">
      <c r="A2077" s="35" t="s">
        <v>41057</v>
      </c>
    </row>
    <row r="2078" spans="1:1">
      <c r="A2078" s="35" t="s">
        <v>54015</v>
      </c>
    </row>
    <row r="2079" spans="1:1">
      <c r="A2079" s="35" t="e" cm="1">
        <f t="array" ref="A2079">---------------SDWFRIYDELYR---------SSDE------------------KL</f>
        <v>#NAME?</v>
      </c>
    </row>
    <row r="2080" spans="1:1">
      <c r="A2080" s="35" t="s">
        <v>53995</v>
      </c>
    </row>
    <row r="2081" spans="1:1">
      <c r="A2081" s="35" t="e" cm="1">
        <f t="array" ref="A2081">---------------------------------------------FDSTG--------AA</f>
        <v>#NAME?</v>
      </c>
    </row>
    <row r="2082" spans="1:1">
      <c r="A2082" s="35" t="s">
        <v>54016</v>
      </c>
    </row>
    <row r="2083" spans="1:1">
      <c r="A2083" s="35" t="s">
        <v>54017</v>
      </c>
    </row>
    <row r="2084" spans="1:1">
      <c r="A2084" s="35" t="s">
        <v>41057</v>
      </c>
    </row>
    <row r="2085" spans="1:1">
      <c r="A2085" s="35" t="s">
        <v>53997</v>
      </c>
    </row>
    <row r="2086" spans="1:1">
      <c r="A2086" s="35" t="s">
        <v>54018</v>
      </c>
    </row>
    <row r="2087" spans="1:1">
      <c r="A2087" s="35" t="s">
        <v>53939</v>
      </c>
    </row>
    <row r="2088" spans="1:1">
      <c r="A2088" s="35" t="s">
        <v>41057</v>
      </c>
    </row>
    <row r="2089" spans="1:1">
      <c r="A2089" s="35" t="s">
        <v>41057</v>
      </c>
    </row>
    <row r="2090" spans="1:1">
      <c r="A2090" s="35" t="s">
        <v>41057</v>
      </c>
    </row>
    <row r="2091" spans="1:1">
      <c r="A2091" s="35" t="s">
        <v>54019</v>
      </c>
    </row>
    <row r="2092" spans="1:1">
      <c r="A2092" s="35" t="s">
        <v>41057</v>
      </c>
    </row>
    <row r="2093" spans="1:1">
      <c r="A2093" s="35" t="s">
        <v>41057</v>
      </c>
    </row>
    <row r="2094" spans="1:1">
      <c r="A2094" s="35" t="s">
        <v>54020</v>
      </c>
    </row>
    <row r="2095" spans="1:1">
      <c r="A2095" s="35" t="s">
        <v>54021</v>
      </c>
    </row>
    <row r="2096" spans="1:1">
      <c r="A2096" s="35" t="s">
        <v>54022</v>
      </c>
    </row>
    <row r="2097" spans="1:1">
      <c r="A2097" s="35" t="s">
        <v>54023</v>
      </c>
    </row>
    <row r="2098" spans="1:1">
      <c r="A2098" s="35" t="s">
        <v>41057</v>
      </c>
    </row>
    <row r="2099" spans="1:1">
      <c r="A2099" s="35" t="s">
        <v>41057</v>
      </c>
    </row>
    <row r="2100" spans="1:1">
      <c r="A2100" s="35" t="s">
        <v>41057</v>
      </c>
    </row>
    <row r="2101" spans="1:1">
      <c r="A2101" s="35" t="s">
        <v>41057</v>
      </c>
    </row>
    <row r="2102" spans="1:1">
      <c r="A2102" s="35" t="s">
        <v>41057</v>
      </c>
    </row>
    <row r="2103" spans="1:1">
      <c r="A2103" s="35" t="s">
        <v>41057</v>
      </c>
    </row>
    <row r="2104" spans="1:1">
      <c r="A2104" s="35" t="s">
        <v>41057</v>
      </c>
    </row>
    <row r="2105" spans="1:1">
      <c r="A2105" s="35" t="s">
        <v>41057</v>
      </c>
    </row>
    <row r="2106" spans="1:1">
      <c r="A2106" s="35" t="s">
        <v>41057</v>
      </c>
    </row>
    <row r="2107" spans="1:1">
      <c r="A2107" s="35" t="s">
        <v>41057</v>
      </c>
    </row>
    <row r="2108" spans="1:1">
      <c r="A2108" s="35" t="s">
        <v>41057</v>
      </c>
    </row>
    <row r="2109" spans="1:1">
      <c r="A2109" s="35" t="s">
        <v>41057</v>
      </c>
    </row>
    <row r="2110" spans="1:1">
      <c r="A2110" s="35" t="s">
        <v>41057</v>
      </c>
    </row>
    <row r="2111" spans="1:1">
      <c r="A2111" s="35" t="s">
        <v>41057</v>
      </c>
    </row>
    <row r="2112" spans="1:1">
      <c r="A2112" s="35" t="s">
        <v>41057</v>
      </c>
    </row>
    <row r="2113" spans="1:1">
      <c r="A2113" s="35" t="s">
        <v>41057</v>
      </c>
    </row>
    <row r="2114" spans="1:1">
      <c r="A2114" s="35" t="s">
        <v>41057</v>
      </c>
    </row>
    <row r="2115" spans="1:1">
      <c r="A2115" s="35" t="s">
        <v>41057</v>
      </c>
    </row>
    <row r="2116" spans="1:1">
      <c r="A2116" s="35" t="s">
        <v>41057</v>
      </c>
    </row>
    <row r="2117" spans="1:1">
      <c r="A2117" s="35" t="s">
        <v>41057</v>
      </c>
    </row>
    <row r="2118" spans="1:1">
      <c r="A2118" s="35" t="s">
        <v>41057</v>
      </c>
    </row>
    <row r="2119" spans="1:1">
      <c r="A2119" s="35" t="s">
        <v>41057</v>
      </c>
    </row>
    <row r="2120" spans="1:1">
      <c r="A2120" s="35" t="s">
        <v>41057</v>
      </c>
    </row>
    <row r="2121" spans="1:1">
      <c r="A2121" s="35" t="s">
        <v>41057</v>
      </c>
    </row>
    <row r="2122" spans="1:1">
      <c r="A2122" s="35" t="s">
        <v>41057</v>
      </c>
    </row>
    <row r="2123" spans="1:1">
      <c r="A2123" s="35" t="s">
        <v>41057</v>
      </c>
    </row>
    <row r="2124" spans="1:1">
      <c r="A2124" s="35" t="s">
        <v>53545</v>
      </c>
    </row>
    <row r="2125" spans="1:1">
      <c r="A2125" s="35" t="s">
        <v>54024</v>
      </c>
    </row>
    <row r="2126" spans="1:1">
      <c r="A2126" s="35" t="s">
        <v>41057</v>
      </c>
    </row>
    <row r="2127" spans="1:1">
      <c r="A2127" s="35" t="s">
        <v>41057</v>
      </c>
    </row>
    <row r="2128" spans="1:1">
      <c r="A2128" s="35" t="s">
        <v>41057</v>
      </c>
    </row>
    <row r="2129" spans="1:1">
      <c r="A2129" s="35" t="s">
        <v>41057</v>
      </c>
    </row>
    <row r="2130" spans="1:1">
      <c r="A2130" s="35" t="s">
        <v>41057</v>
      </c>
    </row>
    <row r="2131" spans="1:1">
      <c r="A2131" s="35" t="s">
        <v>41057</v>
      </c>
    </row>
    <row r="2132" spans="1:1">
      <c r="A2132" s="35" t="s">
        <v>41057</v>
      </c>
    </row>
    <row r="2133" spans="1:1">
      <c r="A2133" s="35" t="s">
        <v>41057</v>
      </c>
    </row>
    <row r="2134" spans="1:1">
      <c r="A2134" s="35" t="s">
        <v>41057</v>
      </c>
    </row>
    <row r="2135" spans="1:1">
      <c r="A2135" s="35" t="s">
        <v>41057</v>
      </c>
    </row>
    <row r="2136" spans="1:1">
      <c r="A2136" s="35" t="s">
        <v>41057</v>
      </c>
    </row>
    <row r="2137" spans="1:1">
      <c r="A2137" s="35" t="s">
        <v>54025</v>
      </c>
    </row>
    <row r="2138" spans="1:1">
      <c r="A2138" s="35" t="s">
        <v>41057</v>
      </c>
    </row>
    <row r="2139" spans="1:1">
      <c r="A2139" s="35" t="s">
        <v>41057</v>
      </c>
    </row>
    <row r="2140" spans="1:1">
      <c r="A2140" s="35" t="s">
        <v>41057</v>
      </c>
    </row>
    <row r="2141" spans="1:1">
      <c r="A2141" s="35" t="s">
        <v>41057</v>
      </c>
    </row>
    <row r="2142" spans="1:1">
      <c r="A2142" s="35" t="s">
        <v>41057</v>
      </c>
    </row>
    <row r="2143" spans="1:1">
      <c r="A2143" s="35" t="s">
        <v>41057</v>
      </c>
    </row>
    <row r="2144" spans="1:1">
      <c r="A2144" s="35" t="s">
        <v>41057</v>
      </c>
    </row>
    <row r="2145" spans="1:1">
      <c r="A2145" s="35" t="s">
        <v>54026</v>
      </c>
    </row>
    <row r="2146" spans="1:1">
      <c r="A2146" s="35" t="s">
        <v>41057</v>
      </c>
    </row>
    <row r="2147" spans="1:1">
      <c r="A2147" s="35" t="s">
        <v>41057</v>
      </c>
    </row>
    <row r="2148" spans="1:1">
      <c r="A2148" s="35" t="s">
        <v>41057</v>
      </c>
    </row>
    <row r="2149" spans="1:1">
      <c r="A2149" s="35" t="s">
        <v>41057</v>
      </c>
    </row>
    <row r="2150" spans="1:1">
      <c r="A2150" s="35" t="s">
        <v>41057</v>
      </c>
    </row>
    <row r="2151" spans="1:1">
      <c r="A2151" s="35" t="s">
        <v>41057</v>
      </c>
    </row>
    <row r="2152" spans="1:1">
      <c r="A2152" s="35" t="s">
        <v>41057</v>
      </c>
    </row>
    <row r="2153" spans="1:1">
      <c r="A2153" s="35" t="s">
        <v>41057</v>
      </c>
    </row>
    <row r="2154" spans="1:1">
      <c r="A2154" s="35" t="s">
        <v>41057</v>
      </c>
    </row>
    <row r="2155" spans="1:1">
      <c r="A2155" s="35" t="s">
        <v>41057</v>
      </c>
    </row>
    <row r="2156" spans="1:1">
      <c r="A2156" s="35" t="s">
        <v>41057</v>
      </c>
    </row>
    <row r="2157" spans="1:1">
      <c r="A2157" s="35" t="s">
        <v>41057</v>
      </c>
    </row>
    <row r="2158" spans="1:1">
      <c r="A2158" s="35" t="s">
        <v>41057</v>
      </c>
    </row>
    <row r="2159" spans="1:1">
      <c r="A2159" s="35" t="s">
        <v>41057</v>
      </c>
    </row>
    <row r="2160" spans="1:1">
      <c r="A2160" s="35" t="s">
        <v>41057</v>
      </c>
    </row>
    <row r="2161" spans="1:1">
      <c r="A2161" s="35" t="s">
        <v>41057</v>
      </c>
    </row>
    <row r="2162" spans="1:1">
      <c r="A2162" s="35" t="s">
        <v>41057</v>
      </c>
    </row>
    <row r="2163" spans="1:1">
      <c r="A2163" s="35" t="s">
        <v>41057</v>
      </c>
    </row>
    <row r="2164" spans="1:1">
      <c r="A2164" s="35" t="s">
        <v>41057</v>
      </c>
    </row>
    <row r="2165" spans="1:1">
      <c r="A2165" s="35" t="s">
        <v>41057</v>
      </c>
    </row>
    <row r="2166" spans="1:1">
      <c r="A2166" s="35" t="s">
        <v>41057</v>
      </c>
    </row>
    <row r="2167" spans="1:1">
      <c r="A2167" s="35" t="s">
        <v>41057</v>
      </c>
    </row>
    <row r="2168" spans="1:1">
      <c r="A2168" s="35" t="s">
        <v>41057</v>
      </c>
    </row>
    <row r="2169" spans="1:1">
      <c r="A2169" s="35" t="s">
        <v>41057</v>
      </c>
    </row>
    <row r="2170" spans="1:1">
      <c r="A2170" s="35" t="s">
        <v>41057</v>
      </c>
    </row>
    <row r="2171" spans="1:1">
      <c r="A2171" s="35" t="s">
        <v>41057</v>
      </c>
    </row>
    <row r="2172" spans="1:1">
      <c r="A2172" s="35" t="s">
        <v>41057</v>
      </c>
    </row>
    <row r="2173" spans="1:1">
      <c r="A2173" s="35" t="s">
        <v>41057</v>
      </c>
    </row>
    <row r="2174" spans="1:1">
      <c r="A2174" s="35" t="s">
        <v>41057</v>
      </c>
    </row>
    <row r="2175" spans="1:1">
      <c r="A2175" s="35" t="s">
        <v>41057</v>
      </c>
    </row>
    <row r="2176" spans="1:1">
      <c r="A2176" s="35" t="s">
        <v>41057</v>
      </c>
    </row>
    <row r="2177" spans="1:1">
      <c r="A2177" s="35" t="s">
        <v>41057</v>
      </c>
    </row>
    <row r="2178" spans="1:1">
      <c r="A2178" s="35" t="s">
        <v>41057</v>
      </c>
    </row>
    <row r="2179" spans="1:1">
      <c r="A2179" s="35" t="s">
        <v>41057</v>
      </c>
    </row>
    <row r="2180" spans="1:1">
      <c r="A2180" s="35" t="s">
        <v>41057</v>
      </c>
    </row>
    <row r="2181" spans="1:1">
      <c r="A2181" s="35" t="s">
        <v>41057</v>
      </c>
    </row>
    <row r="2182" spans="1:1">
      <c r="A2182" s="35" t="s">
        <v>41057</v>
      </c>
    </row>
    <row r="2183" spans="1:1">
      <c r="A2183" s="35" t="s">
        <v>41057</v>
      </c>
    </row>
    <row r="2184" spans="1:1">
      <c r="A2184" s="35" t="s">
        <v>41057</v>
      </c>
    </row>
    <row r="2185" spans="1:1">
      <c r="A2185" s="35" t="s">
        <v>41057</v>
      </c>
    </row>
    <row r="2186" spans="1:1">
      <c r="A2186" s="35" t="s">
        <v>41057</v>
      </c>
    </row>
    <row r="2187" spans="1:1">
      <c r="A2187" s="35" t="s">
        <v>41057</v>
      </c>
    </row>
    <row r="2188" spans="1:1">
      <c r="A2188" s="35" t="s">
        <v>41057</v>
      </c>
    </row>
    <row r="2189" spans="1:1">
      <c r="A2189" s="35" t="s">
        <v>41057</v>
      </c>
    </row>
    <row r="2190" spans="1:1">
      <c r="A2190" s="35" t="s">
        <v>41057</v>
      </c>
    </row>
    <row r="2191" spans="1:1">
      <c r="A2191" s="35" t="s">
        <v>41057</v>
      </c>
    </row>
    <row r="2192" spans="1:1">
      <c r="A2192" s="35" t="s">
        <v>41057</v>
      </c>
    </row>
    <row r="2193" spans="1:1">
      <c r="A2193" s="35" t="s">
        <v>41057</v>
      </c>
    </row>
    <row r="2194" spans="1:1">
      <c r="A2194" s="35" t="s">
        <v>41057</v>
      </c>
    </row>
    <row r="2195" spans="1:1">
      <c r="A2195" s="35" t="s">
        <v>41057</v>
      </c>
    </row>
    <row r="2196" spans="1:1">
      <c r="A2196" s="35" t="s">
        <v>41057</v>
      </c>
    </row>
    <row r="2197" spans="1:1">
      <c r="A2197" s="35" t="s">
        <v>54027</v>
      </c>
    </row>
    <row r="2198" spans="1:1">
      <c r="A2198" s="35" t="s">
        <v>54028</v>
      </c>
    </row>
    <row r="2199" spans="1:1">
      <c r="A2199" s="35" t="s">
        <v>41057</v>
      </c>
    </row>
    <row r="2200" spans="1:1">
      <c r="A2200" s="35" t="s">
        <v>41057</v>
      </c>
    </row>
    <row r="2201" spans="1:1">
      <c r="A2201" s="35" t="s">
        <v>54029</v>
      </c>
    </row>
    <row r="2202" spans="1:1">
      <c r="A2202" s="35" t="s">
        <v>41057</v>
      </c>
    </row>
    <row r="2203" spans="1:1">
      <c r="A2203" s="35" t="s">
        <v>53917</v>
      </c>
    </row>
    <row r="2204" spans="1:1">
      <c r="A2204" s="35" t="s">
        <v>53959</v>
      </c>
    </row>
    <row r="2205" spans="1:1">
      <c r="A2205" s="35" t="s">
        <v>53939</v>
      </c>
    </row>
    <row r="2206" spans="1:1">
      <c r="A2206" s="35" t="s">
        <v>41057</v>
      </c>
    </row>
    <row r="2207" spans="1:1">
      <c r="A2207" s="35" t="s">
        <v>41057</v>
      </c>
    </row>
    <row r="2208" spans="1:1">
      <c r="A2208" s="35" t="s">
        <v>41057</v>
      </c>
    </row>
    <row r="2209" spans="1:1">
      <c r="A2209" s="35" t="s">
        <v>53960</v>
      </c>
    </row>
    <row r="2210" spans="1:1">
      <c r="A2210" s="35" t="s">
        <v>41057</v>
      </c>
    </row>
    <row r="2211" spans="1:1">
      <c r="A2211" s="35" t="s">
        <v>41057</v>
      </c>
    </row>
    <row r="2212" spans="1:1">
      <c r="A2212" s="35" t="s">
        <v>53941</v>
      </c>
    </row>
    <row r="2213" spans="1:1">
      <c r="A2213" s="35" t="s">
        <v>53942</v>
      </c>
    </row>
    <row r="2214" spans="1:1">
      <c r="A2214" s="35" t="s">
        <v>53943</v>
      </c>
    </row>
    <row r="2215" spans="1:1">
      <c r="A2215" s="35" t="s">
        <v>53961</v>
      </c>
    </row>
    <row r="2216" spans="1:1">
      <c r="A2216" s="35" t="s">
        <v>41057</v>
      </c>
    </row>
    <row r="2217" spans="1:1">
      <c r="A2217" s="35" t="s">
        <v>41057</v>
      </c>
    </row>
    <row r="2218" spans="1:1">
      <c r="A2218" s="35" t="s">
        <v>41057</v>
      </c>
    </row>
    <row r="2219" spans="1:1">
      <c r="A2219" s="35" t="s">
        <v>41057</v>
      </c>
    </row>
    <row r="2220" spans="1:1">
      <c r="A2220" s="35" t="s">
        <v>41057</v>
      </c>
    </row>
    <row r="2221" spans="1:1">
      <c r="A2221" s="35" t="s">
        <v>41057</v>
      </c>
    </row>
    <row r="2222" spans="1:1">
      <c r="A2222" s="35" t="s">
        <v>41057</v>
      </c>
    </row>
    <row r="2223" spans="1:1">
      <c r="A2223" s="35" t="s">
        <v>41057</v>
      </c>
    </row>
    <row r="2224" spans="1:1">
      <c r="A2224" s="35" t="s">
        <v>41057</v>
      </c>
    </row>
    <row r="2225" spans="1:1">
      <c r="A2225" s="35" t="s">
        <v>41057</v>
      </c>
    </row>
    <row r="2226" spans="1:1">
      <c r="A2226" s="35" t="s">
        <v>41057</v>
      </c>
    </row>
    <row r="2227" spans="1:1">
      <c r="A2227" s="35" t="s">
        <v>41057</v>
      </c>
    </row>
    <row r="2228" spans="1:1">
      <c r="A2228" s="35" t="s">
        <v>41057</v>
      </c>
    </row>
    <row r="2229" spans="1:1">
      <c r="A2229" s="35" t="s">
        <v>41057</v>
      </c>
    </row>
    <row r="2230" spans="1:1">
      <c r="A2230" s="35" t="s">
        <v>41057</v>
      </c>
    </row>
    <row r="2231" spans="1:1">
      <c r="A2231" s="35" t="s">
        <v>41057</v>
      </c>
    </row>
    <row r="2232" spans="1:1">
      <c r="A2232" s="35" t="s">
        <v>41057</v>
      </c>
    </row>
    <row r="2233" spans="1:1">
      <c r="A2233" s="35" t="s">
        <v>54030</v>
      </c>
    </row>
    <row r="2234" spans="1:1">
      <c r="A2234" s="35" t="s">
        <v>54031</v>
      </c>
    </row>
    <row r="2235" spans="1:1">
      <c r="A2235" s="35" t="s">
        <v>54032</v>
      </c>
    </row>
    <row r="2236" spans="1:1">
      <c r="A2236" s="35" t="s">
        <v>54033</v>
      </c>
    </row>
    <row r="2237" spans="1:1">
      <c r="A2237" s="35" t="s">
        <v>41057</v>
      </c>
    </row>
    <row r="2238" spans="1:1">
      <c r="A2238" s="35" t="s">
        <v>41057</v>
      </c>
    </row>
    <row r="2239" spans="1:1">
      <c r="A2239" s="35" t="s">
        <v>53982</v>
      </c>
    </row>
    <row r="2240" spans="1:1">
      <c r="A2240" s="35" t="s">
        <v>53951</v>
      </c>
    </row>
    <row r="2241" spans="1:1">
      <c r="A2241" s="35" t="s">
        <v>41057</v>
      </c>
    </row>
    <row r="2242" spans="1:1">
      <c r="A2242" s="35" t="s">
        <v>53545</v>
      </c>
    </row>
    <row r="2243" spans="1:1">
      <c r="A2243" s="35" t="s">
        <v>54034</v>
      </c>
    </row>
    <row r="2244" spans="1:1">
      <c r="A2244" s="35" t="s">
        <v>41057</v>
      </c>
    </row>
    <row r="2245" spans="1:1">
      <c r="A2245" s="35" t="s">
        <v>41057</v>
      </c>
    </row>
    <row r="2246" spans="1:1">
      <c r="A2246" s="35" t="s">
        <v>41057</v>
      </c>
    </row>
    <row r="2247" spans="1:1">
      <c r="A2247" s="35" t="s">
        <v>41057</v>
      </c>
    </row>
    <row r="2248" spans="1:1">
      <c r="A2248" s="35" t="s">
        <v>41057</v>
      </c>
    </row>
    <row r="2249" spans="1:1">
      <c r="A2249" s="35" t="s">
        <v>41057</v>
      </c>
    </row>
    <row r="2250" spans="1:1">
      <c r="A2250" s="35" t="s">
        <v>41057</v>
      </c>
    </row>
    <row r="2251" spans="1:1">
      <c r="A2251" s="35" t="s">
        <v>41057</v>
      </c>
    </row>
    <row r="2252" spans="1:1">
      <c r="A2252" s="35" t="s">
        <v>41057</v>
      </c>
    </row>
    <row r="2253" spans="1:1">
      <c r="A2253" s="35" t="s">
        <v>41057</v>
      </c>
    </row>
    <row r="2254" spans="1:1">
      <c r="A2254" s="35" t="s">
        <v>41057</v>
      </c>
    </row>
    <row r="2255" spans="1:1">
      <c r="A2255" s="35" t="s">
        <v>54035</v>
      </c>
    </row>
    <row r="2256" spans="1:1">
      <c r="A2256" s="35" t="s">
        <v>41057</v>
      </c>
    </row>
    <row r="2257" spans="1:1">
      <c r="A2257" s="35" t="s">
        <v>41057</v>
      </c>
    </row>
    <row r="2258" spans="1:1">
      <c r="A2258" s="35" t="s">
        <v>41057</v>
      </c>
    </row>
    <row r="2259" spans="1:1">
      <c r="A2259" s="35" t="s">
        <v>41057</v>
      </c>
    </row>
    <row r="2260" spans="1:1">
      <c r="A2260" s="35" t="s">
        <v>41057</v>
      </c>
    </row>
    <row r="2261" spans="1:1">
      <c r="A2261" s="35" t="s">
        <v>41057</v>
      </c>
    </row>
    <row r="2262" spans="1:1">
      <c r="A2262" s="35" t="s">
        <v>41057</v>
      </c>
    </row>
    <row r="2263" spans="1:1">
      <c r="A2263" s="35" t="s">
        <v>54036</v>
      </c>
    </row>
    <row r="2264" spans="1:1">
      <c r="A2264" s="35" t="s">
        <v>41057</v>
      </c>
    </row>
    <row r="2265" spans="1:1">
      <c r="A2265" s="35" t="s">
        <v>41057</v>
      </c>
    </row>
    <row r="2266" spans="1:1">
      <c r="A2266" s="35" t="s">
        <v>41057</v>
      </c>
    </row>
    <row r="2267" spans="1:1">
      <c r="A2267" s="35" t="s">
        <v>41057</v>
      </c>
    </row>
    <row r="2268" spans="1:1">
      <c r="A2268" s="35" t="s">
        <v>41057</v>
      </c>
    </row>
    <row r="2269" spans="1:1">
      <c r="A2269" s="35" t="s">
        <v>41057</v>
      </c>
    </row>
    <row r="2270" spans="1:1">
      <c r="A2270" s="35" t="s">
        <v>41057</v>
      </c>
    </row>
    <row r="2271" spans="1:1">
      <c r="A2271" s="35" t="s">
        <v>41057</v>
      </c>
    </row>
    <row r="2272" spans="1:1">
      <c r="A2272" s="35" t="s">
        <v>41057</v>
      </c>
    </row>
    <row r="2273" spans="1:1">
      <c r="A2273" s="35" t="s">
        <v>41057</v>
      </c>
    </row>
    <row r="2274" spans="1:1">
      <c r="A2274" s="35" t="s">
        <v>41057</v>
      </c>
    </row>
    <row r="2275" spans="1:1">
      <c r="A2275" s="35" t="s">
        <v>41057</v>
      </c>
    </row>
    <row r="2276" spans="1:1">
      <c r="A2276" s="35" t="s">
        <v>41057</v>
      </c>
    </row>
    <row r="2277" spans="1:1">
      <c r="A2277" s="35" t="s">
        <v>41057</v>
      </c>
    </row>
    <row r="2278" spans="1:1">
      <c r="A2278" s="35" t="s">
        <v>41057</v>
      </c>
    </row>
    <row r="2279" spans="1:1">
      <c r="A2279" s="35" t="s">
        <v>41057</v>
      </c>
    </row>
    <row r="2280" spans="1:1">
      <c r="A2280" s="35" t="s">
        <v>41057</v>
      </c>
    </row>
    <row r="2281" spans="1:1">
      <c r="A2281" s="35" t="s">
        <v>41057</v>
      </c>
    </row>
    <row r="2282" spans="1:1">
      <c r="A2282" s="35" t="s">
        <v>41057</v>
      </c>
    </row>
    <row r="2283" spans="1:1">
      <c r="A2283" s="35" t="s">
        <v>41057</v>
      </c>
    </row>
    <row r="2284" spans="1:1">
      <c r="A2284" s="35" t="s">
        <v>41057</v>
      </c>
    </row>
    <row r="2285" spans="1:1">
      <c r="A2285" s="35" t="s">
        <v>41057</v>
      </c>
    </row>
    <row r="2286" spans="1:1">
      <c r="A2286" s="35" t="s">
        <v>41057</v>
      </c>
    </row>
    <row r="2287" spans="1:1">
      <c r="A2287" s="35" t="s">
        <v>41057</v>
      </c>
    </row>
    <row r="2288" spans="1:1">
      <c r="A2288" s="35" t="s">
        <v>41057</v>
      </c>
    </row>
    <row r="2289" spans="1:1">
      <c r="A2289" s="35" t="s">
        <v>41057</v>
      </c>
    </row>
    <row r="2290" spans="1:1">
      <c r="A2290" s="35" t="s">
        <v>41057</v>
      </c>
    </row>
    <row r="2291" spans="1:1">
      <c r="A2291" s="35" t="s">
        <v>41057</v>
      </c>
    </row>
    <row r="2292" spans="1:1">
      <c r="A2292" s="35" t="s">
        <v>41057</v>
      </c>
    </row>
    <row r="2293" spans="1:1">
      <c r="A2293" s="35" t="s">
        <v>41057</v>
      </c>
    </row>
    <row r="2294" spans="1:1">
      <c r="A2294" s="35" t="s">
        <v>41057</v>
      </c>
    </row>
    <row r="2295" spans="1:1">
      <c r="A2295" s="35" t="s">
        <v>41057</v>
      </c>
    </row>
    <row r="2296" spans="1:1">
      <c r="A2296" s="35" t="s">
        <v>41057</v>
      </c>
    </row>
    <row r="2297" spans="1:1">
      <c r="A2297" s="35" t="s">
        <v>41057</v>
      </c>
    </row>
    <row r="2298" spans="1:1">
      <c r="A2298" s="35" t="s">
        <v>41057</v>
      </c>
    </row>
    <row r="2299" spans="1:1">
      <c r="A2299" s="35" t="s">
        <v>41057</v>
      </c>
    </row>
    <row r="2300" spans="1:1">
      <c r="A2300" s="35" t="s">
        <v>41057</v>
      </c>
    </row>
    <row r="2301" spans="1:1">
      <c r="A2301" s="35" t="s">
        <v>41057</v>
      </c>
    </row>
    <row r="2302" spans="1:1">
      <c r="A2302" s="35" t="s">
        <v>41057</v>
      </c>
    </row>
    <row r="2303" spans="1:1">
      <c r="A2303" s="35" t="s">
        <v>41057</v>
      </c>
    </row>
    <row r="2304" spans="1:1">
      <c r="A2304" s="35" t="s">
        <v>41057</v>
      </c>
    </row>
    <row r="2305" spans="1:1">
      <c r="A2305" s="35" t="s">
        <v>41057</v>
      </c>
    </row>
    <row r="2306" spans="1:1">
      <c r="A2306" s="35" t="s">
        <v>41057</v>
      </c>
    </row>
    <row r="2307" spans="1:1">
      <c r="A2307" s="35" t="s">
        <v>41057</v>
      </c>
    </row>
    <row r="2308" spans="1:1">
      <c r="A2308" s="35" t="s">
        <v>41057</v>
      </c>
    </row>
    <row r="2309" spans="1:1">
      <c r="A2309" s="35" t="s">
        <v>41057</v>
      </c>
    </row>
    <row r="2310" spans="1:1">
      <c r="A2310" s="35" t="s">
        <v>41057</v>
      </c>
    </row>
    <row r="2311" spans="1:1">
      <c r="A2311" s="35" t="s">
        <v>41057</v>
      </c>
    </row>
    <row r="2312" spans="1:1">
      <c r="A2312" s="35" t="s">
        <v>41057</v>
      </c>
    </row>
    <row r="2313" spans="1:1">
      <c r="A2313" s="35" t="s">
        <v>41057</v>
      </c>
    </row>
    <row r="2314" spans="1:1">
      <c r="A2314" s="35" t="s">
        <v>41057</v>
      </c>
    </row>
    <row r="2315" spans="1:1">
      <c r="A2315" s="35" t="s">
        <v>41057</v>
      </c>
    </row>
    <row r="2316" spans="1:1">
      <c r="A2316" s="35" t="s">
        <v>41057</v>
      </c>
    </row>
    <row r="2317" spans="1:1">
      <c r="A2317" s="35" t="s">
        <v>41057</v>
      </c>
    </row>
    <row r="2318" spans="1:1">
      <c r="A2318" s="35" t="s">
        <v>41057</v>
      </c>
    </row>
    <row r="2319" spans="1:1">
      <c r="A2319" s="35" t="s">
        <v>41057</v>
      </c>
    </row>
    <row r="2320" spans="1:1">
      <c r="A2320" s="35" t="s">
        <v>41057</v>
      </c>
    </row>
    <row r="2321" spans="1:1">
      <c r="A2321" s="35" t="s">
        <v>41057</v>
      </c>
    </row>
    <row r="2322" spans="1:1">
      <c r="A2322" s="35" t="s">
        <v>54037</v>
      </c>
    </row>
    <row r="2323" spans="1:1">
      <c r="A2323" s="35" t="s">
        <v>53939</v>
      </c>
    </row>
    <row r="2324" spans="1:1">
      <c r="A2324" s="35" t="s">
        <v>41057</v>
      </c>
    </row>
    <row r="2325" spans="1:1">
      <c r="A2325" s="35" t="s">
        <v>41057</v>
      </c>
    </row>
    <row r="2326" spans="1:1">
      <c r="A2326" s="35" t="s">
        <v>41057</v>
      </c>
    </row>
    <row r="2327" spans="1:1">
      <c r="A2327" s="35" t="s">
        <v>54038</v>
      </c>
    </row>
    <row r="2328" spans="1:1">
      <c r="A2328" s="35" t="s">
        <v>41057</v>
      </c>
    </row>
    <row r="2329" spans="1:1">
      <c r="A2329" s="35" t="s">
        <v>41057</v>
      </c>
    </row>
    <row r="2330" spans="1:1">
      <c r="A2330" s="35" t="s">
        <v>53941</v>
      </c>
    </row>
    <row r="2331" spans="1:1">
      <c r="A2331" s="35" t="s">
        <v>53942</v>
      </c>
    </row>
    <row r="2332" spans="1:1">
      <c r="A2332" s="35" t="s">
        <v>53943</v>
      </c>
    </row>
    <row r="2333" spans="1:1">
      <c r="A2333" s="35" t="s">
        <v>54039</v>
      </c>
    </row>
    <row r="2334" spans="1:1">
      <c r="A2334" s="35" t="s">
        <v>41057</v>
      </c>
    </row>
    <row r="2335" spans="1:1">
      <c r="A2335" s="35" t="s">
        <v>41057</v>
      </c>
    </row>
    <row r="2336" spans="1:1">
      <c r="A2336" s="35" t="s">
        <v>41057</v>
      </c>
    </row>
    <row r="2337" spans="1:1">
      <c r="A2337" s="35" t="s">
        <v>41057</v>
      </c>
    </row>
    <row r="2338" spans="1:1">
      <c r="A2338" s="35" t="s">
        <v>41057</v>
      </c>
    </row>
    <row r="2339" spans="1:1">
      <c r="A2339" s="35" t="s">
        <v>41057</v>
      </c>
    </row>
    <row r="2340" spans="1:1">
      <c r="A2340" s="35" t="s">
        <v>41057</v>
      </c>
    </row>
    <row r="2341" spans="1:1">
      <c r="A2341" s="35" t="s">
        <v>41057</v>
      </c>
    </row>
    <row r="2342" spans="1:1">
      <c r="A2342" s="35" t="s">
        <v>41057</v>
      </c>
    </row>
    <row r="2343" spans="1:1">
      <c r="A2343" s="35" t="s">
        <v>41057</v>
      </c>
    </row>
    <row r="2344" spans="1:1">
      <c r="A2344" s="35" t="s">
        <v>41057</v>
      </c>
    </row>
    <row r="2345" spans="1:1">
      <c r="A2345" s="35" t="s">
        <v>41057</v>
      </c>
    </row>
    <row r="2346" spans="1:1">
      <c r="A2346" s="35" t="s">
        <v>41057</v>
      </c>
    </row>
    <row r="2347" spans="1:1">
      <c r="A2347" s="35" t="s">
        <v>41057</v>
      </c>
    </row>
    <row r="2348" spans="1:1">
      <c r="A2348" s="35" t="s">
        <v>41057</v>
      </c>
    </row>
    <row r="2349" spans="1:1">
      <c r="A2349" s="35" t="s">
        <v>41057</v>
      </c>
    </row>
    <row r="2350" spans="1:1">
      <c r="A2350" s="35" t="s">
        <v>41057</v>
      </c>
    </row>
    <row r="2351" spans="1:1">
      <c r="A2351" s="35" t="s">
        <v>54040</v>
      </c>
    </row>
    <row r="2352" spans="1:1">
      <c r="A2352" s="35" t="s">
        <v>54041</v>
      </c>
    </row>
    <row r="2353" spans="1:1">
      <c r="A2353" s="35" t="s">
        <v>54042</v>
      </c>
    </row>
    <row r="2354" spans="1:1">
      <c r="A2354" s="35" t="s">
        <v>54043</v>
      </c>
    </row>
    <row r="2355" spans="1:1">
      <c r="A2355" s="35" t="s">
        <v>41057</v>
      </c>
    </row>
    <row r="2356" spans="1:1">
      <c r="A2356" s="35" t="s">
        <v>41057</v>
      </c>
    </row>
    <row r="2357" spans="1:1">
      <c r="A2357" s="35" t="s">
        <v>54044</v>
      </c>
    </row>
    <row r="2358" spans="1:1">
      <c r="A2358" s="35" t="s">
        <v>53951</v>
      </c>
    </row>
    <row r="2359" spans="1:1">
      <c r="A2359" s="35" t="s">
        <v>41057</v>
      </c>
    </row>
    <row r="2360" spans="1:1">
      <c r="A2360" s="35" t="s">
        <v>53545</v>
      </c>
    </row>
    <row r="2361" spans="1:1">
      <c r="A2361" s="35" t="s">
        <v>54045</v>
      </c>
    </row>
    <row r="2362" spans="1:1">
      <c r="A2362" s="35" t="s">
        <v>41057</v>
      </c>
    </row>
    <row r="2363" spans="1:1">
      <c r="A2363" s="35" t="s">
        <v>41057</v>
      </c>
    </row>
    <row r="2364" spans="1:1">
      <c r="A2364" s="35" t="s">
        <v>41057</v>
      </c>
    </row>
    <row r="2365" spans="1:1">
      <c r="A2365" s="35" t="s">
        <v>41057</v>
      </c>
    </row>
    <row r="2366" spans="1:1">
      <c r="A2366" s="35" t="s">
        <v>41057</v>
      </c>
    </row>
    <row r="2367" spans="1:1">
      <c r="A2367" s="35" t="s">
        <v>41057</v>
      </c>
    </row>
    <row r="2368" spans="1:1">
      <c r="A2368" s="35" t="s">
        <v>41057</v>
      </c>
    </row>
    <row r="2369" spans="1:1">
      <c r="A2369" s="35" t="s">
        <v>41057</v>
      </c>
    </row>
    <row r="2370" spans="1:1">
      <c r="A2370" s="35" t="s">
        <v>41057</v>
      </c>
    </row>
    <row r="2371" spans="1:1">
      <c r="A2371" s="35" t="s">
        <v>41057</v>
      </c>
    </row>
    <row r="2372" spans="1:1">
      <c r="A2372" s="35" t="s">
        <v>54046</v>
      </c>
    </row>
    <row r="2373" spans="1:1">
      <c r="A2373" s="35" t="s">
        <v>54047</v>
      </c>
    </row>
    <row r="2374" spans="1:1">
      <c r="A2374" s="35" t="s">
        <v>41057</v>
      </c>
    </row>
    <row r="2375" spans="1:1">
      <c r="A2375" s="35" t="s">
        <v>41057</v>
      </c>
    </row>
    <row r="2376" spans="1:1">
      <c r="A2376" s="35" t="s">
        <v>41057</v>
      </c>
    </row>
    <row r="2377" spans="1:1">
      <c r="A2377" s="35" t="s">
        <v>41057</v>
      </c>
    </row>
    <row r="2378" spans="1:1">
      <c r="A2378" s="35" t="s">
        <v>41057</v>
      </c>
    </row>
    <row r="2379" spans="1:1">
      <c r="A2379" s="35" t="s">
        <v>41057</v>
      </c>
    </row>
    <row r="2380" spans="1:1">
      <c r="A2380" s="35" t="s">
        <v>41057</v>
      </c>
    </row>
    <row r="2381" spans="1:1">
      <c r="A2381" s="35" t="s">
        <v>54048</v>
      </c>
    </row>
    <row r="2382" spans="1:1">
      <c r="A2382" s="35" t="s">
        <v>41057</v>
      </c>
    </row>
    <row r="2383" spans="1:1">
      <c r="A2383" s="35" t="s">
        <v>41057</v>
      </c>
    </row>
    <row r="2384" spans="1:1">
      <c r="A2384" s="35" t="s">
        <v>41057</v>
      </c>
    </row>
    <row r="2385" spans="1:1">
      <c r="A2385" s="35" t="s">
        <v>41057</v>
      </c>
    </row>
    <row r="2386" spans="1:1">
      <c r="A2386" s="35" t="s">
        <v>41057</v>
      </c>
    </row>
    <row r="2387" spans="1:1">
      <c r="A2387" s="35" t="s">
        <v>41057</v>
      </c>
    </row>
    <row r="2388" spans="1:1">
      <c r="A2388" s="35" t="s">
        <v>41057</v>
      </c>
    </row>
    <row r="2389" spans="1:1">
      <c r="A2389" s="35" t="s">
        <v>41057</v>
      </c>
    </row>
    <row r="2390" spans="1:1">
      <c r="A2390" s="35" t="s">
        <v>41057</v>
      </c>
    </row>
    <row r="2391" spans="1:1">
      <c r="A2391" s="35" t="s">
        <v>41057</v>
      </c>
    </row>
    <row r="2392" spans="1:1">
      <c r="A2392" s="35" t="s">
        <v>41057</v>
      </c>
    </row>
    <row r="2393" spans="1:1">
      <c r="A2393" s="35" t="s">
        <v>41057</v>
      </c>
    </row>
    <row r="2394" spans="1:1">
      <c r="A2394" s="35" t="s">
        <v>41057</v>
      </c>
    </row>
    <row r="2395" spans="1:1">
      <c r="A2395" s="35" t="s">
        <v>41057</v>
      </c>
    </row>
    <row r="2396" spans="1:1">
      <c r="A2396" s="35" t="s">
        <v>41057</v>
      </c>
    </row>
    <row r="2397" spans="1:1">
      <c r="A2397" s="35" t="s">
        <v>41057</v>
      </c>
    </row>
    <row r="2398" spans="1:1">
      <c r="A2398" s="35" t="s">
        <v>41057</v>
      </c>
    </row>
    <row r="2399" spans="1:1">
      <c r="A2399" s="35" t="s">
        <v>41057</v>
      </c>
    </row>
    <row r="2400" spans="1:1">
      <c r="A2400" s="35" t="s">
        <v>41057</v>
      </c>
    </row>
    <row r="2401" spans="1:1">
      <c r="A2401" s="35" t="s">
        <v>41057</v>
      </c>
    </row>
    <row r="2402" spans="1:1">
      <c r="A2402" s="35" t="s">
        <v>41057</v>
      </c>
    </row>
    <row r="2403" spans="1:1">
      <c r="A2403" s="35" t="s">
        <v>41057</v>
      </c>
    </row>
    <row r="2404" spans="1:1">
      <c r="A2404" s="35" t="s">
        <v>41057</v>
      </c>
    </row>
    <row r="2405" spans="1:1">
      <c r="A2405" s="35" t="s">
        <v>41057</v>
      </c>
    </row>
    <row r="2406" spans="1:1">
      <c r="A2406" s="35" t="s">
        <v>41057</v>
      </c>
    </row>
    <row r="2407" spans="1:1">
      <c r="A2407" s="35" t="s">
        <v>41057</v>
      </c>
    </row>
    <row r="2408" spans="1:1">
      <c r="A2408" s="35" t="s">
        <v>41057</v>
      </c>
    </row>
    <row r="2409" spans="1:1">
      <c r="A2409" s="35" t="s">
        <v>41057</v>
      </c>
    </row>
    <row r="2410" spans="1:1">
      <c r="A2410" s="35" t="s">
        <v>41057</v>
      </c>
    </row>
    <row r="2411" spans="1:1">
      <c r="A2411" s="35" t="s">
        <v>41057</v>
      </c>
    </row>
    <row r="2412" spans="1:1">
      <c r="A2412" s="35" t="s">
        <v>41057</v>
      </c>
    </row>
    <row r="2413" spans="1:1">
      <c r="A2413" s="35" t="s">
        <v>41057</v>
      </c>
    </row>
    <row r="2414" spans="1:1">
      <c r="A2414" s="35" t="s">
        <v>41057</v>
      </c>
    </row>
    <row r="2415" spans="1:1">
      <c r="A2415" s="35" t="s">
        <v>41057</v>
      </c>
    </row>
    <row r="2416" spans="1:1">
      <c r="A2416" s="35" t="s">
        <v>41057</v>
      </c>
    </row>
    <row r="2417" spans="1:1">
      <c r="A2417" s="35" t="s">
        <v>41057</v>
      </c>
    </row>
    <row r="2418" spans="1:1">
      <c r="A2418" s="35" t="s">
        <v>41057</v>
      </c>
    </row>
    <row r="2419" spans="1:1">
      <c r="A2419" s="35" t="s">
        <v>41057</v>
      </c>
    </row>
    <row r="2420" spans="1:1">
      <c r="A2420" s="35" t="s">
        <v>41057</v>
      </c>
    </row>
    <row r="2421" spans="1:1">
      <c r="A2421" s="35" t="s">
        <v>41057</v>
      </c>
    </row>
    <row r="2422" spans="1:1">
      <c r="A2422" s="35" t="s">
        <v>41057</v>
      </c>
    </row>
    <row r="2423" spans="1:1">
      <c r="A2423" s="35" t="s">
        <v>41057</v>
      </c>
    </row>
    <row r="2424" spans="1:1">
      <c r="A2424" s="35" t="s">
        <v>41057</v>
      </c>
    </row>
    <row r="2425" spans="1:1">
      <c r="A2425" s="35" t="s">
        <v>41057</v>
      </c>
    </row>
    <row r="2426" spans="1:1">
      <c r="A2426" s="35" t="s">
        <v>41057</v>
      </c>
    </row>
    <row r="2427" spans="1:1">
      <c r="A2427" s="35" t="s">
        <v>41057</v>
      </c>
    </row>
    <row r="2428" spans="1:1">
      <c r="A2428" s="35" t="s">
        <v>41057</v>
      </c>
    </row>
    <row r="2429" spans="1:1">
      <c r="A2429" s="35" t="s">
        <v>41057</v>
      </c>
    </row>
    <row r="2430" spans="1:1">
      <c r="A2430" s="35" t="s">
        <v>41057</v>
      </c>
    </row>
    <row r="2431" spans="1:1">
      <c r="A2431" s="35" t="s">
        <v>41057</v>
      </c>
    </row>
    <row r="2432" spans="1:1">
      <c r="A2432" s="35" t="s">
        <v>41057</v>
      </c>
    </row>
    <row r="2433" spans="1:1">
      <c r="A2433" s="35" t="e" cm="1">
        <f t="array" ref="A2433">---------------------YDELYR---------SGSE------------------KE</f>
        <v>#NAME?</v>
      </c>
    </row>
    <row r="2434" spans="1:1">
      <c r="A2434" s="35" t="s">
        <v>53914</v>
      </c>
    </row>
    <row r="2435" spans="1:1">
      <c r="A2435" s="35" t="e" cm="1">
        <f t="array" ref="A2435">---------------------------------------------FDDPS--------AG</f>
        <v>#NAME?</v>
      </c>
    </row>
    <row r="2436" spans="1:1">
      <c r="A2436" s="35" t="s">
        <v>53915</v>
      </c>
    </row>
    <row r="2437" spans="1:1">
      <c r="A2437" s="35" t="s">
        <v>53916</v>
      </c>
    </row>
    <row r="2438" spans="1:1">
      <c r="A2438" s="35" t="s">
        <v>41057</v>
      </c>
    </row>
    <row r="2439" spans="1:1">
      <c r="A2439" s="35" t="s">
        <v>53917</v>
      </c>
    </row>
    <row r="2440" spans="1:1">
      <c r="A2440" s="35" t="s">
        <v>53959</v>
      </c>
    </row>
    <row r="2441" spans="1:1">
      <c r="A2441" s="35" t="s">
        <v>53939</v>
      </c>
    </row>
    <row r="2442" spans="1:1">
      <c r="A2442" s="35" t="s">
        <v>41057</v>
      </c>
    </row>
    <row r="2443" spans="1:1">
      <c r="A2443" s="35" t="s">
        <v>41057</v>
      </c>
    </row>
    <row r="2444" spans="1:1">
      <c r="A2444" s="35" t="s">
        <v>41057</v>
      </c>
    </row>
    <row r="2445" spans="1:1">
      <c r="A2445" s="35" t="s">
        <v>53960</v>
      </c>
    </row>
    <row r="2446" spans="1:1">
      <c r="A2446" s="35" t="s">
        <v>41057</v>
      </c>
    </row>
    <row r="2447" spans="1:1">
      <c r="A2447" s="35" t="s">
        <v>41057</v>
      </c>
    </row>
    <row r="2448" spans="1:1">
      <c r="A2448" s="35" t="s">
        <v>53941</v>
      </c>
    </row>
    <row r="2449" spans="1:1">
      <c r="A2449" s="35" t="s">
        <v>53942</v>
      </c>
    </row>
    <row r="2450" spans="1:1">
      <c r="A2450" s="35" t="s">
        <v>53943</v>
      </c>
    </row>
    <row r="2451" spans="1:1">
      <c r="A2451" s="35" t="s">
        <v>54049</v>
      </c>
    </row>
    <row r="2452" spans="1:1">
      <c r="A2452" s="35" t="s">
        <v>41057</v>
      </c>
    </row>
    <row r="2453" spans="1:1">
      <c r="A2453" s="35" t="s">
        <v>41057</v>
      </c>
    </row>
    <row r="2454" spans="1:1">
      <c r="A2454" s="35" t="s">
        <v>41057</v>
      </c>
    </row>
    <row r="2455" spans="1:1">
      <c r="A2455" s="35" t="s">
        <v>41057</v>
      </c>
    </row>
    <row r="2456" spans="1:1">
      <c r="A2456" s="35" t="s">
        <v>41057</v>
      </c>
    </row>
    <row r="2457" spans="1:1">
      <c r="A2457" s="35" t="s">
        <v>41057</v>
      </c>
    </row>
    <row r="2458" spans="1:1">
      <c r="A2458" s="35" t="s">
        <v>41057</v>
      </c>
    </row>
    <row r="2459" spans="1:1">
      <c r="A2459" s="35" t="s">
        <v>41057</v>
      </c>
    </row>
    <row r="2460" spans="1:1">
      <c r="A2460" s="35" t="s">
        <v>41057</v>
      </c>
    </row>
    <row r="2461" spans="1:1">
      <c r="A2461" s="35" t="s">
        <v>41057</v>
      </c>
    </row>
    <row r="2462" spans="1:1">
      <c r="A2462" s="35" t="s">
        <v>41057</v>
      </c>
    </row>
    <row r="2463" spans="1:1">
      <c r="A2463" s="35" t="s">
        <v>41057</v>
      </c>
    </row>
    <row r="2464" spans="1:1">
      <c r="A2464" s="35" t="s">
        <v>41057</v>
      </c>
    </row>
    <row r="2465" spans="1:1">
      <c r="A2465" s="35" t="s">
        <v>41057</v>
      </c>
    </row>
    <row r="2466" spans="1:1">
      <c r="A2466" s="35" t="s">
        <v>41057</v>
      </c>
    </row>
    <row r="2467" spans="1:1">
      <c r="A2467" s="35" t="s">
        <v>41057</v>
      </c>
    </row>
    <row r="2468" spans="1:1">
      <c r="A2468" s="35" t="s">
        <v>41057</v>
      </c>
    </row>
    <row r="2469" spans="1:1">
      <c r="A2469" s="35" t="s">
        <v>54050</v>
      </c>
    </row>
    <row r="2470" spans="1:1">
      <c r="A2470" s="35" t="s">
        <v>54051</v>
      </c>
    </row>
    <row r="2471" spans="1:1">
      <c r="A2471" s="35" t="s">
        <v>54032</v>
      </c>
    </row>
    <row r="2472" spans="1:1">
      <c r="A2472" s="35" t="s">
        <v>54052</v>
      </c>
    </row>
    <row r="2473" spans="1:1">
      <c r="A2473" s="35" t="s">
        <v>41057</v>
      </c>
    </row>
    <row r="2474" spans="1:1">
      <c r="A2474" s="35" t="s">
        <v>41057</v>
      </c>
    </row>
    <row r="2475" spans="1:1">
      <c r="A2475" s="35" t="s">
        <v>54053</v>
      </c>
    </row>
    <row r="2476" spans="1:1">
      <c r="A2476" s="35" t="s">
        <v>53951</v>
      </c>
    </row>
    <row r="2477" spans="1:1">
      <c r="A2477" s="35" t="s">
        <v>41057</v>
      </c>
    </row>
    <row r="2478" spans="1:1">
      <c r="A2478" s="35" t="s">
        <v>53545</v>
      </c>
    </row>
    <row r="2479" spans="1:1">
      <c r="A2479" s="35" t="s">
        <v>54054</v>
      </c>
    </row>
    <row r="2480" spans="1:1">
      <c r="A2480" s="35" t="s">
        <v>41057</v>
      </c>
    </row>
    <row r="2481" spans="1:1">
      <c r="A2481" s="35" t="s">
        <v>41057</v>
      </c>
    </row>
    <row r="2482" spans="1:1">
      <c r="A2482" s="35" t="s">
        <v>41057</v>
      </c>
    </row>
    <row r="2483" spans="1:1">
      <c r="A2483" s="35" t="s">
        <v>41057</v>
      </c>
    </row>
    <row r="2484" spans="1:1">
      <c r="A2484" s="35" t="s">
        <v>41057</v>
      </c>
    </row>
    <row r="2485" spans="1:1">
      <c r="A2485" s="35" t="s">
        <v>41057</v>
      </c>
    </row>
    <row r="2486" spans="1:1">
      <c r="A2486" s="35" t="s">
        <v>41057</v>
      </c>
    </row>
    <row r="2487" spans="1:1">
      <c r="A2487" s="35" t="s">
        <v>41057</v>
      </c>
    </row>
    <row r="2488" spans="1:1">
      <c r="A2488" s="35" t="s">
        <v>41057</v>
      </c>
    </row>
    <row r="2489" spans="1:1">
      <c r="A2489" s="35" t="s">
        <v>41057</v>
      </c>
    </row>
    <row r="2490" spans="1:1">
      <c r="A2490" s="35" t="s">
        <v>54055</v>
      </c>
    </row>
    <row r="2491" spans="1:1">
      <c r="A2491" s="35" t="s">
        <v>54056</v>
      </c>
    </row>
    <row r="2492" spans="1:1">
      <c r="A2492" s="35" t="s">
        <v>41057</v>
      </c>
    </row>
    <row r="2493" spans="1:1">
      <c r="A2493" s="35" t="s">
        <v>41057</v>
      </c>
    </row>
    <row r="2494" spans="1:1">
      <c r="A2494" s="35" t="s">
        <v>41057</v>
      </c>
    </row>
    <row r="2495" spans="1:1">
      <c r="A2495" s="35" t="s">
        <v>41057</v>
      </c>
    </row>
    <row r="2496" spans="1:1">
      <c r="A2496" s="35" t="s">
        <v>41057</v>
      </c>
    </row>
    <row r="2497" spans="1:1">
      <c r="A2497" s="35" t="s">
        <v>41057</v>
      </c>
    </row>
    <row r="2498" spans="1:1">
      <c r="A2498" s="35" t="s">
        <v>41057</v>
      </c>
    </row>
    <row r="2499" spans="1:1">
      <c r="A2499" s="35" t="s">
        <v>54057</v>
      </c>
    </row>
    <row r="2500" spans="1:1">
      <c r="A2500" s="35" t="s">
        <v>41057</v>
      </c>
    </row>
    <row r="2501" spans="1:1">
      <c r="A2501" s="35" t="s">
        <v>41057</v>
      </c>
    </row>
    <row r="2502" spans="1:1">
      <c r="A2502" s="35" t="s">
        <v>41057</v>
      </c>
    </row>
    <row r="2503" spans="1:1">
      <c r="A2503" s="35" t="s">
        <v>41057</v>
      </c>
    </row>
    <row r="2504" spans="1:1">
      <c r="A2504" s="35" t="s">
        <v>41057</v>
      </c>
    </row>
    <row r="2505" spans="1:1">
      <c r="A2505" s="35" t="s">
        <v>41057</v>
      </c>
    </row>
    <row r="2506" spans="1:1">
      <c r="A2506" s="35" t="s">
        <v>41057</v>
      </c>
    </row>
    <row r="2507" spans="1:1">
      <c r="A2507" s="35" t="s">
        <v>41057</v>
      </c>
    </row>
    <row r="2508" spans="1:1">
      <c r="A2508" s="35" t="s">
        <v>41057</v>
      </c>
    </row>
    <row r="2509" spans="1:1">
      <c r="A2509" s="35" t="s">
        <v>41057</v>
      </c>
    </row>
    <row r="2510" spans="1:1">
      <c r="A2510" s="35" t="s">
        <v>41057</v>
      </c>
    </row>
    <row r="2511" spans="1:1">
      <c r="A2511" s="35" t="s">
        <v>41057</v>
      </c>
    </row>
    <row r="2512" spans="1:1">
      <c r="A2512" s="35" t="s">
        <v>41057</v>
      </c>
    </row>
    <row r="2513" spans="1:1">
      <c r="A2513" s="35" t="s">
        <v>41057</v>
      </c>
    </row>
    <row r="2514" spans="1:1">
      <c r="A2514" s="35" t="s">
        <v>41057</v>
      </c>
    </row>
    <row r="2515" spans="1:1">
      <c r="A2515" s="35" t="s">
        <v>41057</v>
      </c>
    </row>
    <row r="2516" spans="1:1">
      <c r="A2516" s="35" t="s">
        <v>41057</v>
      </c>
    </row>
    <row r="2517" spans="1:1">
      <c r="A2517" s="35" t="s">
        <v>41057</v>
      </c>
    </row>
    <row r="2518" spans="1:1">
      <c r="A2518" s="35" t="s">
        <v>41057</v>
      </c>
    </row>
    <row r="2519" spans="1:1">
      <c r="A2519" s="35" t="s">
        <v>41057</v>
      </c>
    </row>
    <row r="2520" spans="1:1">
      <c r="A2520" s="35" t="s">
        <v>41057</v>
      </c>
    </row>
    <row r="2521" spans="1:1">
      <c r="A2521" s="35" t="s">
        <v>41057</v>
      </c>
    </row>
    <row r="2522" spans="1:1">
      <c r="A2522" s="35" t="s">
        <v>41057</v>
      </c>
    </row>
    <row r="2523" spans="1:1">
      <c r="A2523" s="35" t="s">
        <v>41057</v>
      </c>
    </row>
    <row r="2524" spans="1:1">
      <c r="A2524" s="35" t="s">
        <v>41057</v>
      </c>
    </row>
    <row r="2525" spans="1:1">
      <c r="A2525" s="35" t="s">
        <v>41057</v>
      </c>
    </row>
    <row r="2526" spans="1:1">
      <c r="A2526" s="35" t="s">
        <v>41057</v>
      </c>
    </row>
    <row r="2527" spans="1:1">
      <c r="A2527" s="35" t="s">
        <v>41057</v>
      </c>
    </row>
    <row r="2528" spans="1:1">
      <c r="A2528" s="35" t="s">
        <v>41057</v>
      </c>
    </row>
    <row r="2529" spans="1:1">
      <c r="A2529" s="35" t="s">
        <v>41057</v>
      </c>
    </row>
    <row r="2530" spans="1:1">
      <c r="A2530" s="35" t="s">
        <v>41057</v>
      </c>
    </row>
    <row r="2531" spans="1:1">
      <c r="A2531" s="35" t="s">
        <v>41057</v>
      </c>
    </row>
    <row r="2532" spans="1:1">
      <c r="A2532" s="35" t="s">
        <v>41057</v>
      </c>
    </row>
    <row r="2533" spans="1:1">
      <c r="A2533" s="35" t="s">
        <v>41057</v>
      </c>
    </row>
    <row r="2534" spans="1:1">
      <c r="A2534" s="35" t="s">
        <v>41057</v>
      </c>
    </row>
    <row r="2535" spans="1:1">
      <c r="A2535" s="35" t="s">
        <v>41057</v>
      </c>
    </row>
    <row r="2536" spans="1:1">
      <c r="A2536" s="35" t="s">
        <v>41057</v>
      </c>
    </row>
    <row r="2537" spans="1:1">
      <c r="A2537" s="35" t="s">
        <v>41057</v>
      </c>
    </row>
    <row r="2538" spans="1:1">
      <c r="A2538" s="35" t="s">
        <v>41057</v>
      </c>
    </row>
    <row r="2539" spans="1:1">
      <c r="A2539" s="35" t="s">
        <v>41057</v>
      </c>
    </row>
    <row r="2540" spans="1:1">
      <c r="A2540" s="35" t="s">
        <v>41057</v>
      </c>
    </row>
    <row r="2541" spans="1:1">
      <c r="A2541" s="35" t="s">
        <v>41057</v>
      </c>
    </row>
    <row r="2542" spans="1:1">
      <c r="A2542" s="35" t="s">
        <v>41057</v>
      </c>
    </row>
    <row r="2543" spans="1:1">
      <c r="A2543" s="35" t="s">
        <v>41057</v>
      </c>
    </row>
    <row r="2544" spans="1:1">
      <c r="A2544" s="35" t="s">
        <v>41057</v>
      </c>
    </row>
    <row r="2545" spans="1:1">
      <c r="A2545" s="35" t="s">
        <v>41057</v>
      </c>
    </row>
    <row r="2546" spans="1:1">
      <c r="A2546" s="35" t="s">
        <v>41057</v>
      </c>
    </row>
    <row r="2547" spans="1:1">
      <c r="A2547" s="35" t="s">
        <v>41057</v>
      </c>
    </row>
    <row r="2548" spans="1:1">
      <c r="A2548" s="35" t="s">
        <v>41057</v>
      </c>
    </row>
    <row r="2549" spans="1:1">
      <c r="A2549" s="35" t="s">
        <v>41057</v>
      </c>
    </row>
    <row r="2550" spans="1:1">
      <c r="A2550" s="35" t="s">
        <v>41057</v>
      </c>
    </row>
    <row r="2551" spans="1:1">
      <c r="A2551" s="35" t="s">
        <v>54058</v>
      </c>
    </row>
    <row r="2552" spans="1:1">
      <c r="A2552" s="35" t="s">
        <v>54059</v>
      </c>
    </row>
    <row r="2553" spans="1:1">
      <c r="A2553" s="35" t="s">
        <v>41057</v>
      </c>
    </row>
    <row r="2554" spans="1:1">
      <c r="A2554" s="35" t="s">
        <v>41057</v>
      </c>
    </row>
    <row r="2555" spans="1:1">
      <c r="A2555" s="35" t="s">
        <v>41057</v>
      </c>
    </row>
    <row r="2556" spans="1:1">
      <c r="A2556" s="35" t="s">
        <v>41057</v>
      </c>
    </row>
    <row r="2557" spans="1:1">
      <c r="A2557" s="35" t="s">
        <v>41057</v>
      </c>
    </row>
    <row r="2558" spans="1:1">
      <c r="A2558" s="35" t="s">
        <v>54060</v>
      </c>
    </row>
    <row r="2559" spans="1:1">
      <c r="A2559" s="35" t="s">
        <v>53939</v>
      </c>
    </row>
    <row r="2560" spans="1:1">
      <c r="A2560" s="35" t="s">
        <v>41057</v>
      </c>
    </row>
    <row r="2561" spans="1:1">
      <c r="A2561" s="35" t="s">
        <v>41057</v>
      </c>
    </row>
    <row r="2562" spans="1:1">
      <c r="A2562" s="35" t="s">
        <v>41057</v>
      </c>
    </row>
    <row r="2563" spans="1:1">
      <c r="A2563" s="35" t="s">
        <v>53960</v>
      </c>
    </row>
    <row r="2564" spans="1:1">
      <c r="A2564" s="35" t="s">
        <v>41057</v>
      </c>
    </row>
    <row r="2565" spans="1:1">
      <c r="A2565" s="35" t="s">
        <v>41057</v>
      </c>
    </row>
    <row r="2566" spans="1:1">
      <c r="A2566" s="35" t="s">
        <v>53941</v>
      </c>
    </row>
    <row r="2567" spans="1:1">
      <c r="A2567" s="35" t="s">
        <v>53942</v>
      </c>
    </row>
    <row r="2568" spans="1:1">
      <c r="A2568" s="35" t="s">
        <v>53943</v>
      </c>
    </row>
    <row r="2569" spans="1:1">
      <c r="A2569" s="35" t="s">
        <v>54049</v>
      </c>
    </row>
    <row r="2570" spans="1:1">
      <c r="A2570" s="35" t="s">
        <v>41057</v>
      </c>
    </row>
    <row r="2571" spans="1:1">
      <c r="A2571" s="35" t="s">
        <v>41057</v>
      </c>
    </row>
    <row r="2572" spans="1:1">
      <c r="A2572" s="35" t="s">
        <v>41057</v>
      </c>
    </row>
    <row r="2573" spans="1:1">
      <c r="A2573" s="35" t="s">
        <v>41057</v>
      </c>
    </row>
    <row r="2574" spans="1:1">
      <c r="A2574" s="35" t="s">
        <v>41057</v>
      </c>
    </row>
    <row r="2575" spans="1:1">
      <c r="A2575" s="35" t="s">
        <v>41057</v>
      </c>
    </row>
    <row r="2576" spans="1:1">
      <c r="A2576" s="35" t="s">
        <v>41057</v>
      </c>
    </row>
    <row r="2577" spans="1:1">
      <c r="A2577" s="35" t="s">
        <v>41057</v>
      </c>
    </row>
    <row r="2578" spans="1:1">
      <c r="A2578" s="35" t="s">
        <v>41057</v>
      </c>
    </row>
    <row r="2579" spans="1:1">
      <c r="A2579" s="35" t="s">
        <v>41057</v>
      </c>
    </row>
    <row r="2580" spans="1:1">
      <c r="A2580" s="35" t="s">
        <v>41057</v>
      </c>
    </row>
    <row r="2581" spans="1:1">
      <c r="A2581" s="35" t="s">
        <v>41057</v>
      </c>
    </row>
    <row r="2582" spans="1:1">
      <c r="A2582" s="35" t="s">
        <v>41057</v>
      </c>
    </row>
    <row r="2583" spans="1:1">
      <c r="A2583" s="35" t="s">
        <v>41057</v>
      </c>
    </row>
    <row r="2584" spans="1:1">
      <c r="A2584" s="35" t="s">
        <v>41057</v>
      </c>
    </row>
    <row r="2585" spans="1:1">
      <c r="A2585" s="35" t="s">
        <v>41057</v>
      </c>
    </row>
    <row r="2586" spans="1:1">
      <c r="A2586" s="35" t="s">
        <v>41057</v>
      </c>
    </row>
    <row r="2587" spans="1:1">
      <c r="A2587" s="35" t="s">
        <v>54061</v>
      </c>
    </row>
    <row r="2588" spans="1:1">
      <c r="A2588" s="35" t="s">
        <v>54051</v>
      </c>
    </row>
    <row r="2589" spans="1:1">
      <c r="A2589" s="35" t="s">
        <v>54062</v>
      </c>
    </row>
    <row r="2590" spans="1:1">
      <c r="A2590" s="35" t="s">
        <v>54063</v>
      </c>
    </row>
    <row r="2591" spans="1:1">
      <c r="A2591" s="35" t="s">
        <v>41057</v>
      </c>
    </row>
    <row r="2592" spans="1:1">
      <c r="A2592" s="35" t="s">
        <v>41057</v>
      </c>
    </row>
    <row r="2593" spans="1:1">
      <c r="A2593" s="35" t="s">
        <v>53982</v>
      </c>
    </row>
    <row r="2594" spans="1:1">
      <c r="A2594" s="35" t="s">
        <v>53951</v>
      </c>
    </row>
    <row r="2595" spans="1:1">
      <c r="A2595" s="35" t="s">
        <v>41057</v>
      </c>
    </row>
    <row r="2596" spans="1:1">
      <c r="A2596" s="35" t="s">
        <v>53545</v>
      </c>
    </row>
    <row r="2597" spans="1:1">
      <c r="A2597" s="35" t="s">
        <v>53054</v>
      </c>
    </row>
    <row r="2598" spans="1:1">
      <c r="A2598" s="35" t="s">
        <v>41057</v>
      </c>
    </row>
    <row r="2599" spans="1:1">
      <c r="A2599" s="35" t="s">
        <v>41057</v>
      </c>
    </row>
    <row r="2600" spans="1:1">
      <c r="A2600" s="35" t="s">
        <v>41057</v>
      </c>
    </row>
    <row r="2601" spans="1:1">
      <c r="A2601" s="35" t="s">
        <v>41057</v>
      </c>
    </row>
    <row r="2602" spans="1:1">
      <c r="A2602" s="35" t="s">
        <v>41057</v>
      </c>
    </row>
    <row r="2603" spans="1:1">
      <c r="A2603" s="35" t="s">
        <v>41057</v>
      </c>
    </row>
    <row r="2604" spans="1:1">
      <c r="A2604" s="35" t="s">
        <v>41057</v>
      </c>
    </row>
    <row r="2605" spans="1:1">
      <c r="A2605" s="35" t="s">
        <v>41057</v>
      </c>
    </row>
    <row r="2606" spans="1:1">
      <c r="A2606" s="35" t="s">
        <v>41057</v>
      </c>
    </row>
    <row r="2607" spans="1:1">
      <c r="A2607" s="35" t="s">
        <v>41057</v>
      </c>
    </row>
    <row r="2608" spans="1:1">
      <c r="A2608" s="35" t="s">
        <v>41057</v>
      </c>
    </row>
    <row r="2609" spans="1:1">
      <c r="A2609" s="35" t="s">
        <v>41057</v>
      </c>
    </row>
    <row r="2610" spans="1:1">
      <c r="A2610" s="35" t="s">
        <v>41057</v>
      </c>
    </row>
    <row r="2611" spans="1:1">
      <c r="A2611" s="35" t="s">
        <v>41057</v>
      </c>
    </row>
    <row r="2612" spans="1:1">
      <c r="A2612" s="35" t="s">
        <v>41057</v>
      </c>
    </row>
    <row r="2613" spans="1:1">
      <c r="A2613" s="35" t="s">
        <v>41057</v>
      </c>
    </row>
    <row r="2614" spans="1:1">
      <c r="A2614" s="35" t="s">
        <v>41057</v>
      </c>
    </row>
    <row r="2615" spans="1:1">
      <c r="A2615" s="35" t="s">
        <v>53902</v>
      </c>
    </row>
    <row r="2616" spans="1:1">
      <c r="A2616" s="35" t="s">
        <v>41057</v>
      </c>
    </row>
    <row r="2617" spans="1:1">
      <c r="A2617" s="35" t="s">
        <v>54064</v>
      </c>
    </row>
    <row r="2618" spans="1:1">
      <c r="A2618" s="35" t="s">
        <v>41057</v>
      </c>
    </row>
    <row r="2619" spans="1:1">
      <c r="A2619" s="35" t="s">
        <v>41057</v>
      </c>
    </row>
    <row r="2620" spans="1:1">
      <c r="A2620" s="35" t="s">
        <v>54065</v>
      </c>
    </row>
    <row r="2621" spans="1:1">
      <c r="A2621" s="35" t="s">
        <v>41057</v>
      </c>
    </row>
    <row r="2622" spans="1:1">
      <c r="A2622" s="35" t="s">
        <v>41057</v>
      </c>
    </row>
    <row r="2623" spans="1:1">
      <c r="A2623" s="35" t="s">
        <v>53500</v>
      </c>
    </row>
    <row r="2624" spans="1:1">
      <c r="A2624" s="35" t="s">
        <v>41057</v>
      </c>
    </row>
    <row r="2625" spans="1:1">
      <c r="A2625" s="35" t="s">
        <v>41057</v>
      </c>
    </row>
    <row r="2626" spans="1:1">
      <c r="A2626" s="35" t="s">
        <v>54066</v>
      </c>
    </row>
    <row r="2627" spans="1:1">
      <c r="A2627" s="35" t="s">
        <v>41057</v>
      </c>
    </row>
    <row r="2628" spans="1:1">
      <c r="A2628" s="35" t="s">
        <v>54067</v>
      </c>
    </row>
    <row r="2629" spans="1:1">
      <c r="A2629" s="35" t="s">
        <v>41057</v>
      </c>
    </row>
    <row r="2630" spans="1:1">
      <c r="A2630" s="35" t="s">
        <v>53989</v>
      </c>
    </row>
    <row r="2631" spans="1:1">
      <c r="A2631" s="35" t="s">
        <v>54068</v>
      </c>
    </row>
    <row r="2632" spans="1:1">
      <c r="A2632" s="35" t="s">
        <v>41057</v>
      </c>
    </row>
    <row r="2633" spans="1:1">
      <c r="A2633" s="35" t="s">
        <v>41057</v>
      </c>
    </row>
    <row r="2634" spans="1:1">
      <c r="A2634" s="35" t="s">
        <v>54069</v>
      </c>
    </row>
    <row r="2635" spans="1:1">
      <c r="A2635" s="35" t="s">
        <v>41057</v>
      </c>
    </row>
    <row r="2636" spans="1:1">
      <c r="A2636" s="35" t="s">
        <v>41057</v>
      </c>
    </row>
    <row r="2637" spans="1:1">
      <c r="A2637" s="35" t="s">
        <v>41057</v>
      </c>
    </row>
    <row r="2638" spans="1:1">
      <c r="A2638" s="35" t="s">
        <v>41057</v>
      </c>
    </row>
    <row r="2639" spans="1:1">
      <c r="A2639" s="35" t="s">
        <v>41057</v>
      </c>
    </row>
    <row r="2640" spans="1:1">
      <c r="A2640" s="35" t="s">
        <v>54070</v>
      </c>
    </row>
    <row r="2641" spans="1:1">
      <c r="A2641" s="35" t="s">
        <v>41057</v>
      </c>
    </row>
    <row r="2642" spans="1:1">
      <c r="A2642" s="35" t="s">
        <v>41057</v>
      </c>
    </row>
    <row r="2643" spans="1:1">
      <c r="A2643" s="35" t="s">
        <v>41057</v>
      </c>
    </row>
    <row r="2644" spans="1:1">
      <c r="A2644" s="35" t="s">
        <v>41057</v>
      </c>
    </row>
    <row r="2645" spans="1:1">
      <c r="A2645" s="35" t="s">
        <v>41057</v>
      </c>
    </row>
    <row r="2646" spans="1:1">
      <c r="A2646" s="35" t="s">
        <v>41057</v>
      </c>
    </row>
    <row r="2647" spans="1:1">
      <c r="A2647" s="35" t="s">
        <v>41057</v>
      </c>
    </row>
    <row r="2648" spans="1:1">
      <c r="A2648" s="35" t="s">
        <v>41057</v>
      </c>
    </row>
    <row r="2649" spans="1:1">
      <c r="A2649" s="35" t="s">
        <v>41057</v>
      </c>
    </row>
    <row r="2650" spans="1:1">
      <c r="A2650" s="35" t="s">
        <v>41057</v>
      </c>
    </row>
    <row r="2651" spans="1:1">
      <c r="A2651" s="35" t="s">
        <v>41057</v>
      </c>
    </row>
    <row r="2652" spans="1:1">
      <c r="A2652" s="35" t="s">
        <v>41057</v>
      </c>
    </row>
    <row r="2653" spans="1:1">
      <c r="A2653" s="35" t="s">
        <v>41057</v>
      </c>
    </row>
    <row r="2654" spans="1:1">
      <c r="A2654" s="35" t="s">
        <v>41057</v>
      </c>
    </row>
    <row r="2655" spans="1:1">
      <c r="A2655" s="35" t="s">
        <v>41057</v>
      </c>
    </row>
    <row r="2656" spans="1:1">
      <c r="A2656" s="35" t="s">
        <v>53926</v>
      </c>
    </row>
    <row r="2657" spans="1:1">
      <c r="A2657" s="35" t="s">
        <v>41057</v>
      </c>
    </row>
    <row r="2658" spans="1:1">
      <c r="A2658" s="35" t="s">
        <v>41057</v>
      </c>
    </row>
    <row r="2659" spans="1:1">
      <c r="A2659" s="35" t="s">
        <v>53912</v>
      </c>
    </row>
    <row r="2660" spans="1:1">
      <c r="A2660" s="35" t="s">
        <v>41057</v>
      </c>
    </row>
    <row r="2661" spans="1:1">
      <c r="A2661" s="35" t="s">
        <v>41057</v>
      </c>
    </row>
    <row r="2662" spans="1:1">
      <c r="A2662" s="35" t="s">
        <v>41057</v>
      </c>
    </row>
    <row r="2663" spans="1:1">
      <c r="A2663" s="35" t="s">
        <v>41057</v>
      </c>
    </row>
    <row r="2664" spans="1:1">
      <c r="A2664" s="35" t="s">
        <v>41057</v>
      </c>
    </row>
    <row r="2665" spans="1:1">
      <c r="A2665" s="35" t="s">
        <v>41057</v>
      </c>
    </row>
    <row r="2666" spans="1:1">
      <c r="A2666" s="35" t="s">
        <v>41057</v>
      </c>
    </row>
    <row r="2667" spans="1:1">
      <c r="A2667" s="35" t="e" cm="1">
        <f t="array" ref="A2667">-----------------------------------------------------YP---AE</f>
        <v>#NAME?</v>
      </c>
    </row>
    <row r="2668" spans="1:1">
      <c r="A2668" s="35" t="s">
        <v>54071</v>
      </c>
    </row>
    <row r="2669" spans="1:1">
      <c r="A2669" s="35" t="e" cm="1">
        <f t="array" ref="A2669">---------------NDSMRLTSEIYH---------TPDE------------------KQ</f>
        <v>#NAME?</v>
      </c>
    </row>
    <row r="2670" spans="1:1">
      <c r="A2670" s="35" t="s">
        <v>54072</v>
      </c>
    </row>
    <row r="2671" spans="1:1">
      <c r="A2671" s="35" t="e" cm="1">
        <f t="array" ref="A2671">---------------------------------------------FADPS--------AG</f>
        <v>#NAME?</v>
      </c>
    </row>
    <row r="2672" spans="1:1">
      <c r="A2672" s="35" t="s">
        <v>54073</v>
      </c>
    </row>
    <row r="2673" spans="1:1">
      <c r="A2673" s="35" t="s">
        <v>54074</v>
      </c>
    </row>
    <row r="2674" spans="1:1">
      <c r="A2674" s="35" t="s">
        <v>41057</v>
      </c>
    </row>
    <row r="2675" spans="1:1">
      <c r="A2675" s="35" t="s">
        <v>54075</v>
      </c>
    </row>
    <row r="2676" spans="1:1">
      <c r="A2676" s="35" t="s">
        <v>54076</v>
      </c>
    </row>
    <row r="2677" spans="1:1">
      <c r="A2677" s="35" t="s">
        <v>53973</v>
      </c>
    </row>
    <row r="2678" spans="1:1">
      <c r="A2678" s="35" t="s">
        <v>41057</v>
      </c>
    </row>
    <row r="2679" spans="1:1">
      <c r="A2679" s="35" t="s">
        <v>41057</v>
      </c>
    </row>
    <row r="2680" spans="1:1">
      <c r="A2680" s="35" t="s">
        <v>41057</v>
      </c>
    </row>
    <row r="2681" spans="1:1">
      <c r="A2681" s="35" t="s">
        <v>54077</v>
      </c>
    </row>
    <row r="2682" spans="1:1">
      <c r="A2682" s="35" t="s">
        <v>41057</v>
      </c>
    </row>
    <row r="2683" spans="1:1">
      <c r="A2683" s="35" t="s">
        <v>41057</v>
      </c>
    </row>
    <row r="2684" spans="1:1">
      <c r="A2684" s="35" t="s">
        <v>54078</v>
      </c>
    </row>
    <row r="2685" spans="1:1">
      <c r="A2685" s="35" t="s">
        <v>54079</v>
      </c>
    </row>
    <row r="2686" spans="1:1">
      <c r="A2686" s="35" t="s">
        <v>54080</v>
      </c>
    </row>
    <row r="2687" spans="1:1">
      <c r="A2687" s="35" t="s">
        <v>54081</v>
      </c>
    </row>
    <row r="2688" spans="1:1">
      <c r="A2688" s="35" t="s">
        <v>41057</v>
      </c>
    </row>
    <row r="2689" spans="1:1">
      <c r="A2689" s="35" t="s">
        <v>41057</v>
      </c>
    </row>
    <row r="2690" spans="1:1">
      <c r="A2690" s="35" t="s">
        <v>41057</v>
      </c>
    </row>
    <row r="2691" spans="1:1">
      <c r="A2691" s="35" t="s">
        <v>41057</v>
      </c>
    </row>
    <row r="2692" spans="1:1">
      <c r="A2692" s="35" t="s">
        <v>41057</v>
      </c>
    </row>
    <row r="2693" spans="1:1">
      <c r="A2693" s="35" t="s">
        <v>41057</v>
      </c>
    </row>
    <row r="2694" spans="1:1">
      <c r="A2694" s="35" t="s">
        <v>41057</v>
      </c>
    </row>
    <row r="2695" spans="1:1">
      <c r="A2695" s="35" t="s">
        <v>41057</v>
      </c>
    </row>
    <row r="2696" spans="1:1">
      <c r="A2696" s="35" t="s">
        <v>41057</v>
      </c>
    </row>
    <row r="2697" spans="1:1">
      <c r="A2697" s="35" t="s">
        <v>41057</v>
      </c>
    </row>
    <row r="2698" spans="1:1">
      <c r="A2698" s="35" t="s">
        <v>41057</v>
      </c>
    </row>
    <row r="2699" spans="1:1">
      <c r="A2699" s="35" t="s">
        <v>41057</v>
      </c>
    </row>
    <row r="2700" spans="1:1">
      <c r="A2700" s="35" t="s">
        <v>41057</v>
      </c>
    </row>
    <row r="2701" spans="1:1">
      <c r="A2701" s="35" t="s">
        <v>41057</v>
      </c>
    </row>
    <row r="2702" spans="1:1">
      <c r="A2702" s="35" t="s">
        <v>41057</v>
      </c>
    </row>
    <row r="2703" spans="1:1">
      <c r="A2703" s="35" t="s">
        <v>41057</v>
      </c>
    </row>
    <row r="2704" spans="1:1">
      <c r="A2704" s="35" t="s">
        <v>54082</v>
      </c>
    </row>
    <row r="2705" spans="1:1">
      <c r="A2705" s="35" t="s">
        <v>54083</v>
      </c>
    </row>
    <row r="2706" spans="1:1">
      <c r="A2706" s="35" t="s">
        <v>54084</v>
      </c>
    </row>
    <row r="2707" spans="1:1">
      <c r="A2707" s="35" t="s">
        <v>54085</v>
      </c>
    </row>
    <row r="2708" spans="1:1">
      <c r="A2708" s="35" t="s">
        <v>54086</v>
      </c>
    </row>
    <row r="2709" spans="1:1">
      <c r="A2709" s="35" t="s">
        <v>41057</v>
      </c>
    </row>
    <row r="2710" spans="1:1">
      <c r="A2710" s="35" t="s">
        <v>41057</v>
      </c>
    </row>
    <row r="2711" spans="1:1">
      <c r="A2711" s="35" t="s">
        <v>50942</v>
      </c>
    </row>
    <row r="2712" spans="1:1">
      <c r="A2712" s="35" t="s">
        <v>54087</v>
      </c>
    </row>
    <row r="2713" spans="1:1">
      <c r="A2713" s="35" t="s">
        <v>41057</v>
      </c>
    </row>
    <row r="2714" spans="1:1">
      <c r="A2714" s="35" t="s">
        <v>53545</v>
      </c>
    </row>
    <row r="2715" spans="1:1">
      <c r="A2715" s="35" t="s">
        <v>54088</v>
      </c>
    </row>
    <row r="2716" spans="1:1">
      <c r="A2716" s="35" t="s">
        <v>41057</v>
      </c>
    </row>
    <row r="2717" spans="1:1">
      <c r="A2717" s="35" t="s">
        <v>41057</v>
      </c>
    </row>
    <row r="2718" spans="1:1">
      <c r="A2718" s="35" t="s">
        <v>41057</v>
      </c>
    </row>
    <row r="2719" spans="1:1">
      <c r="A2719" s="35" t="s">
        <v>41057</v>
      </c>
    </row>
    <row r="2720" spans="1:1">
      <c r="A2720" s="35" t="s">
        <v>41057</v>
      </c>
    </row>
    <row r="2721" spans="1:1">
      <c r="A2721" s="35" t="s">
        <v>41057</v>
      </c>
    </row>
    <row r="2722" spans="1:1">
      <c r="A2722" s="35" t="s">
        <v>41057</v>
      </c>
    </row>
    <row r="2723" spans="1:1">
      <c r="A2723" s="35" t="s">
        <v>41057</v>
      </c>
    </row>
    <row r="2724" spans="1:1">
      <c r="A2724" s="35" t="s">
        <v>41057</v>
      </c>
    </row>
    <row r="2725" spans="1:1">
      <c r="A2725" s="35" t="s">
        <v>41057</v>
      </c>
    </row>
    <row r="2726" spans="1:1">
      <c r="A2726" s="35" t="s">
        <v>41057</v>
      </c>
    </row>
    <row r="2727" spans="1:1">
      <c r="A2727" s="35" t="s">
        <v>41057</v>
      </c>
    </row>
    <row r="2728" spans="1:1">
      <c r="A2728" s="35" t="s">
        <v>41057</v>
      </c>
    </row>
    <row r="2729" spans="1:1">
      <c r="A2729" s="35" t="s">
        <v>41057</v>
      </c>
    </row>
    <row r="2730" spans="1:1">
      <c r="A2730" s="35" t="s">
        <v>41057</v>
      </c>
    </row>
    <row r="2731" spans="1:1">
      <c r="A2731" s="35" t="s">
        <v>41057</v>
      </c>
    </row>
    <row r="2732" spans="1:1">
      <c r="A2732" s="35" t="s">
        <v>41057</v>
      </c>
    </row>
    <row r="2733" spans="1:1">
      <c r="A2733" s="35" t="s">
        <v>41057</v>
      </c>
    </row>
    <row r="2734" spans="1:1">
      <c r="A2734" s="35" t="s">
        <v>41057</v>
      </c>
    </row>
    <row r="2735" spans="1:1">
      <c r="A2735" s="35" t="s">
        <v>41057</v>
      </c>
    </row>
    <row r="2736" spans="1:1">
      <c r="A2736" s="35" t="s">
        <v>41057</v>
      </c>
    </row>
    <row r="2737" spans="1:1">
      <c r="A2737" s="35" t="s">
        <v>41057</v>
      </c>
    </row>
    <row r="2738" spans="1:1">
      <c r="A2738" s="35" t="s">
        <v>41057</v>
      </c>
    </row>
    <row r="2739" spans="1:1">
      <c r="A2739" s="35" t="s">
        <v>41057</v>
      </c>
    </row>
    <row r="2740" spans="1:1">
      <c r="A2740" s="35" t="s">
        <v>41057</v>
      </c>
    </row>
    <row r="2741" spans="1:1">
      <c r="A2741" s="35" t="s">
        <v>41057</v>
      </c>
    </row>
    <row r="2742" spans="1:1">
      <c r="A2742" s="35" t="s">
        <v>41057</v>
      </c>
    </row>
    <row r="2743" spans="1:1">
      <c r="A2743" s="35" t="s">
        <v>41057</v>
      </c>
    </row>
    <row r="2744" spans="1:1">
      <c r="A2744" s="35" t="s">
        <v>41057</v>
      </c>
    </row>
    <row r="2745" spans="1:1">
      <c r="A2745" s="35" t="s">
        <v>41057</v>
      </c>
    </row>
    <row r="2746" spans="1:1">
      <c r="A2746" s="35" t="s">
        <v>41057</v>
      </c>
    </row>
    <row r="2747" spans="1:1">
      <c r="A2747" s="35" t="s">
        <v>41057</v>
      </c>
    </row>
    <row r="2748" spans="1:1">
      <c r="A2748" s="35" t="s">
        <v>54089</v>
      </c>
    </row>
    <row r="2749" spans="1:1">
      <c r="A2749" s="35" t="s">
        <v>54090</v>
      </c>
    </row>
    <row r="2750" spans="1:1">
      <c r="A2750" s="35" t="s">
        <v>41057</v>
      </c>
    </row>
    <row r="2751" spans="1:1">
      <c r="A2751" s="35" t="s">
        <v>41057</v>
      </c>
    </row>
    <row r="2752" spans="1:1">
      <c r="A2752" s="35" t="s">
        <v>54091</v>
      </c>
    </row>
    <row r="2753" spans="1:1">
      <c r="A2753" s="35" t="s">
        <v>41057</v>
      </c>
    </row>
    <row r="2754" spans="1:1">
      <c r="A2754" s="35" t="s">
        <v>41057</v>
      </c>
    </row>
    <row r="2755" spans="1:1">
      <c r="A2755" s="35" t="s">
        <v>41057</v>
      </c>
    </row>
    <row r="2756" spans="1:1">
      <c r="A2756" s="35" t="s">
        <v>41057</v>
      </c>
    </row>
    <row r="2757" spans="1:1">
      <c r="A2757" s="35" t="s">
        <v>41057</v>
      </c>
    </row>
    <row r="2758" spans="1:1">
      <c r="A2758" s="35" t="s">
        <v>41057</v>
      </c>
    </row>
    <row r="2759" spans="1:1">
      <c r="A2759" s="35" t="s">
        <v>41057</v>
      </c>
    </row>
    <row r="2760" spans="1:1">
      <c r="A2760" s="35" t="s">
        <v>41057</v>
      </c>
    </row>
    <row r="2761" spans="1:1">
      <c r="A2761" s="35" t="s">
        <v>41057</v>
      </c>
    </row>
    <row r="2762" spans="1:1">
      <c r="A2762" s="35" t="s">
        <v>41057</v>
      </c>
    </row>
    <row r="2763" spans="1:1">
      <c r="A2763" s="35" t="s">
        <v>41057</v>
      </c>
    </row>
    <row r="2764" spans="1:1">
      <c r="A2764" s="35" t="s">
        <v>41057</v>
      </c>
    </row>
    <row r="2765" spans="1:1">
      <c r="A2765" s="35" t="s">
        <v>41057</v>
      </c>
    </row>
    <row r="2766" spans="1:1">
      <c r="A2766" s="35" t="s">
        <v>41057</v>
      </c>
    </row>
    <row r="2767" spans="1:1">
      <c r="A2767" s="35" t="s">
        <v>41057</v>
      </c>
    </row>
    <row r="2768" spans="1:1">
      <c r="A2768" s="35" t="s">
        <v>41057</v>
      </c>
    </row>
    <row r="2769" spans="1:1">
      <c r="A2769" s="35" t="s">
        <v>41057</v>
      </c>
    </row>
    <row r="2770" spans="1:1">
      <c r="A2770" s="35" t="s">
        <v>41057</v>
      </c>
    </row>
    <row r="2771" spans="1:1">
      <c r="A2771" s="35" t="s">
        <v>41057</v>
      </c>
    </row>
    <row r="2772" spans="1:1">
      <c r="A2772" s="35" t="s">
        <v>41057</v>
      </c>
    </row>
    <row r="2773" spans="1:1">
      <c r="A2773" s="35" t="s">
        <v>41057</v>
      </c>
    </row>
    <row r="2774" spans="1:1">
      <c r="A2774" s="35" t="s">
        <v>41057</v>
      </c>
    </row>
    <row r="2775" spans="1:1">
      <c r="A2775" s="35" t="s">
        <v>41057</v>
      </c>
    </row>
    <row r="2776" spans="1:1">
      <c r="A2776" s="35" t="s">
        <v>41057</v>
      </c>
    </row>
    <row r="2777" spans="1:1">
      <c r="A2777" s="35" t="s">
        <v>54092</v>
      </c>
    </row>
    <row r="2778" spans="1:1">
      <c r="A2778" s="35" t="s">
        <v>41057</v>
      </c>
    </row>
    <row r="2779" spans="1:1">
      <c r="A2779" s="35" t="s">
        <v>41057</v>
      </c>
    </row>
    <row r="2780" spans="1:1">
      <c r="A2780" s="35" t="s">
        <v>41057</v>
      </c>
    </row>
    <row r="2781" spans="1:1">
      <c r="A2781" s="35" t="s">
        <v>41057</v>
      </c>
    </row>
    <row r="2782" spans="1:1">
      <c r="A2782" s="35" t="s">
        <v>41057</v>
      </c>
    </row>
    <row r="2783" spans="1:1">
      <c r="A2783" s="35" t="s">
        <v>41057</v>
      </c>
    </row>
    <row r="2784" spans="1:1">
      <c r="A2784" s="35" t="s">
        <v>41057</v>
      </c>
    </row>
    <row r="2785" spans="1:1">
      <c r="A2785" s="35" t="e" cm="1">
        <f t="array" ref="A2785">-----------------------------------------------------EP---MS</f>
        <v>#NAME?</v>
      </c>
    </row>
    <row r="2786" spans="1:1">
      <c r="A2786" s="35" t="s">
        <v>54093</v>
      </c>
    </row>
    <row r="2787" spans="1:1">
      <c r="A2787" s="35" t="s">
        <v>41057</v>
      </c>
    </row>
    <row r="2788" spans="1:1">
      <c r="A2788" s="35" t="s">
        <v>41057</v>
      </c>
    </row>
    <row r="2789" spans="1:1">
      <c r="A2789" s="35" t="s">
        <v>41057</v>
      </c>
    </row>
    <row r="2790" spans="1:1">
      <c r="A2790" s="35" t="s">
        <v>41057</v>
      </c>
    </row>
    <row r="2791" spans="1:1">
      <c r="A2791" s="35" t="s">
        <v>41057</v>
      </c>
    </row>
    <row r="2792" spans="1:1">
      <c r="A2792" s="35" t="s">
        <v>41057</v>
      </c>
    </row>
    <row r="2793" spans="1:1">
      <c r="A2793" s="35" t="s">
        <v>41057</v>
      </c>
    </row>
    <row r="2794" spans="1:1">
      <c r="A2794" s="35" t="s">
        <v>54094</v>
      </c>
    </row>
    <row r="2795" spans="1:1">
      <c r="A2795" s="35" t="s">
        <v>53973</v>
      </c>
    </row>
    <row r="2796" spans="1:1">
      <c r="A2796" s="35" t="s">
        <v>41057</v>
      </c>
    </row>
    <row r="2797" spans="1:1">
      <c r="A2797" s="35" t="s">
        <v>41057</v>
      </c>
    </row>
    <row r="2798" spans="1:1">
      <c r="A2798" s="35" t="s">
        <v>41057</v>
      </c>
    </row>
    <row r="2799" spans="1:1">
      <c r="A2799" s="35" t="s">
        <v>54077</v>
      </c>
    </row>
    <row r="2800" spans="1:1">
      <c r="A2800" s="35" t="s">
        <v>41057</v>
      </c>
    </row>
    <row r="2801" spans="1:1">
      <c r="A2801" s="35" t="s">
        <v>41057</v>
      </c>
    </row>
    <row r="2802" spans="1:1">
      <c r="A2802" s="35" t="s">
        <v>54078</v>
      </c>
    </row>
    <row r="2803" spans="1:1">
      <c r="A2803" s="35" t="s">
        <v>54079</v>
      </c>
    </row>
    <row r="2804" spans="1:1">
      <c r="A2804" s="35" t="s">
        <v>54080</v>
      </c>
    </row>
    <row r="2805" spans="1:1">
      <c r="A2805" s="35" t="s">
        <v>54081</v>
      </c>
    </row>
    <row r="2806" spans="1:1">
      <c r="A2806" s="35" t="s">
        <v>41057</v>
      </c>
    </row>
    <row r="2807" spans="1:1">
      <c r="A2807" s="35" t="s">
        <v>41057</v>
      </c>
    </row>
    <row r="2808" spans="1:1">
      <c r="A2808" s="35" t="s">
        <v>41057</v>
      </c>
    </row>
    <row r="2809" spans="1:1">
      <c r="A2809" s="35" t="s">
        <v>41057</v>
      </c>
    </row>
    <row r="2810" spans="1:1">
      <c r="A2810" s="35" t="s">
        <v>41057</v>
      </c>
    </row>
    <row r="2811" spans="1:1">
      <c r="A2811" s="35" t="s">
        <v>41057</v>
      </c>
    </row>
    <row r="2812" spans="1:1">
      <c r="A2812" s="35" t="s">
        <v>41057</v>
      </c>
    </row>
    <row r="2813" spans="1:1">
      <c r="A2813" s="35" t="s">
        <v>41057</v>
      </c>
    </row>
    <row r="2814" spans="1:1">
      <c r="A2814" s="35" t="s">
        <v>41057</v>
      </c>
    </row>
    <row r="2815" spans="1:1">
      <c r="A2815" s="35" t="s">
        <v>41057</v>
      </c>
    </row>
    <row r="2816" spans="1:1">
      <c r="A2816" s="35" t="s">
        <v>41057</v>
      </c>
    </row>
    <row r="2817" spans="1:1">
      <c r="A2817" s="35" t="s">
        <v>41057</v>
      </c>
    </row>
    <row r="2818" spans="1:1">
      <c r="A2818" s="35" t="s">
        <v>41057</v>
      </c>
    </row>
    <row r="2819" spans="1:1">
      <c r="A2819" s="35" t="s">
        <v>41057</v>
      </c>
    </row>
    <row r="2820" spans="1:1">
      <c r="A2820" s="35" t="s">
        <v>41057</v>
      </c>
    </row>
    <row r="2821" spans="1:1">
      <c r="A2821" s="35" t="s">
        <v>41057</v>
      </c>
    </row>
    <row r="2822" spans="1:1">
      <c r="A2822" s="35" t="s">
        <v>54082</v>
      </c>
    </row>
    <row r="2823" spans="1:1">
      <c r="A2823" s="35" t="s">
        <v>54083</v>
      </c>
    </row>
    <row r="2824" spans="1:1">
      <c r="A2824" s="35" t="s">
        <v>54084</v>
      </c>
    </row>
    <row r="2825" spans="1:1">
      <c r="A2825" s="35" t="s">
        <v>54085</v>
      </c>
    </row>
    <row r="2826" spans="1:1">
      <c r="A2826" s="35" t="s">
        <v>54095</v>
      </c>
    </row>
    <row r="2827" spans="1:1">
      <c r="A2827" s="35" t="s">
        <v>41057</v>
      </c>
    </row>
    <row r="2828" spans="1:1">
      <c r="A2828" s="35" t="s">
        <v>41057</v>
      </c>
    </row>
    <row r="2829" spans="1:1">
      <c r="A2829" s="35" t="s">
        <v>50942</v>
      </c>
    </row>
    <row r="2830" spans="1:1">
      <c r="A2830" s="35" t="s">
        <v>54087</v>
      </c>
    </row>
    <row r="2831" spans="1:1">
      <c r="A2831" s="35" t="s">
        <v>41057</v>
      </c>
    </row>
    <row r="2832" spans="1:1">
      <c r="A2832" s="35" t="s">
        <v>53545</v>
      </c>
    </row>
    <row r="2833" spans="1:1">
      <c r="A2833" s="35" t="s">
        <v>52001</v>
      </c>
    </row>
    <row r="2834" spans="1:1">
      <c r="A2834" s="35" t="s">
        <v>41057</v>
      </c>
    </row>
    <row r="2835" spans="1:1">
      <c r="A2835" s="35" t="s">
        <v>41057</v>
      </c>
    </row>
    <row r="2836" spans="1:1">
      <c r="A2836" s="35" t="s">
        <v>41057</v>
      </c>
    </row>
    <row r="2837" spans="1:1">
      <c r="A2837" s="35" t="s">
        <v>41057</v>
      </c>
    </row>
    <row r="2838" spans="1:1">
      <c r="A2838" s="35" t="s">
        <v>41057</v>
      </c>
    </row>
    <row r="2839" spans="1:1">
      <c r="A2839" s="35" t="s">
        <v>54096</v>
      </c>
    </row>
    <row r="2840" spans="1:1">
      <c r="A2840" s="35" t="s">
        <v>41057</v>
      </c>
    </row>
    <row r="2841" spans="1:1">
      <c r="A2841" s="35" t="s">
        <v>41057</v>
      </c>
    </row>
    <row r="2842" spans="1:1">
      <c r="A2842" s="35" t="s">
        <v>41057</v>
      </c>
    </row>
    <row r="2843" spans="1:1">
      <c r="A2843" s="35" t="s">
        <v>54097</v>
      </c>
    </row>
    <row r="2844" spans="1:1">
      <c r="A2844" s="35" t="s">
        <v>54098</v>
      </c>
    </row>
    <row r="2845" spans="1:1">
      <c r="A2845" s="35" t="s">
        <v>54099</v>
      </c>
    </row>
    <row r="2846" spans="1:1">
      <c r="A2846" s="35" t="s">
        <v>54100</v>
      </c>
    </row>
    <row r="2847" spans="1:1">
      <c r="A2847" s="35" t="s">
        <v>41057</v>
      </c>
    </row>
    <row r="2848" spans="1:1">
      <c r="A2848" s="35" t="s">
        <v>41057</v>
      </c>
    </row>
    <row r="2849" spans="1:1">
      <c r="A2849" s="35" t="e" cm="1">
        <f t="array" ref="A2849">---------------KVTF------------------FQA-------------------V</f>
        <v>#NAME?</v>
      </c>
    </row>
    <row r="2850" spans="1:1">
      <c r="A2850" s="35" t="s">
        <v>54101</v>
      </c>
    </row>
    <row r="2851" spans="1:1">
      <c r="A2851" s="35" t="s">
        <v>54102</v>
      </c>
    </row>
    <row r="2852" spans="1:1">
      <c r="A2852" s="35" t="s">
        <v>41057</v>
      </c>
    </row>
    <row r="2853" spans="1:1">
      <c r="A2853" s="35" t="s">
        <v>54103</v>
      </c>
    </row>
    <row r="2854" spans="1:1">
      <c r="A2854" s="35" t="s">
        <v>41057</v>
      </c>
    </row>
    <row r="2855" spans="1:1">
      <c r="A2855" s="35" t="s">
        <v>41057</v>
      </c>
    </row>
    <row r="2856" spans="1:1">
      <c r="A2856" s="35" t="s">
        <v>54104</v>
      </c>
    </row>
    <row r="2857" spans="1:1">
      <c r="A2857" s="35" t="s">
        <v>41057</v>
      </c>
    </row>
    <row r="2858" spans="1:1">
      <c r="A2858" s="35" t="s">
        <v>41057</v>
      </c>
    </row>
    <row r="2859" spans="1:1">
      <c r="A2859" s="35" t="s">
        <v>54105</v>
      </c>
    </row>
    <row r="2860" spans="1:1">
      <c r="A2860" s="35" t="s">
        <v>41057</v>
      </c>
    </row>
    <row r="2861" spans="1:1">
      <c r="A2861" s="35" t="s">
        <v>41057</v>
      </c>
    </row>
    <row r="2862" spans="1:1">
      <c r="A2862" s="35" t="s">
        <v>54106</v>
      </c>
    </row>
    <row r="2863" spans="1:1">
      <c r="A2863" s="35" t="s">
        <v>41057</v>
      </c>
    </row>
    <row r="2864" spans="1:1">
      <c r="A2864" s="35" t="s">
        <v>54107</v>
      </c>
    </row>
    <row r="2865" spans="1:1">
      <c r="A2865" s="35" t="s">
        <v>41057</v>
      </c>
    </row>
    <row r="2866" spans="1:1">
      <c r="A2866" s="35" t="s">
        <v>54108</v>
      </c>
    </row>
    <row r="2867" spans="1:1">
      <c r="A2867" s="35" t="s">
        <v>54109</v>
      </c>
    </row>
    <row r="2868" spans="1:1">
      <c r="A2868" s="35" t="s">
        <v>41057</v>
      </c>
    </row>
    <row r="2869" spans="1:1">
      <c r="A2869" s="35" t="s">
        <v>41057</v>
      </c>
    </row>
    <row r="2870" spans="1:1">
      <c r="A2870" s="35" t="s">
        <v>41057</v>
      </c>
    </row>
    <row r="2871" spans="1:1">
      <c r="A2871" s="35" t="s">
        <v>41057</v>
      </c>
    </row>
    <row r="2872" spans="1:1">
      <c r="A2872" s="35" t="s">
        <v>41057</v>
      </c>
    </row>
    <row r="2873" spans="1:1">
      <c r="A2873" s="35" t="s">
        <v>41057</v>
      </c>
    </row>
    <row r="2874" spans="1:1">
      <c r="A2874" s="35" t="s">
        <v>41057</v>
      </c>
    </row>
    <row r="2875" spans="1:1">
      <c r="A2875" s="35" t="s">
        <v>41057</v>
      </c>
    </row>
    <row r="2876" spans="1:1">
      <c r="A2876" s="35" t="s">
        <v>41057</v>
      </c>
    </row>
    <row r="2877" spans="1:1">
      <c r="A2877" s="35" t="s">
        <v>41057</v>
      </c>
    </row>
    <row r="2878" spans="1:1">
      <c r="A2878" s="35" t="s">
        <v>41057</v>
      </c>
    </row>
    <row r="2879" spans="1:1">
      <c r="A2879" s="35" t="s">
        <v>54110</v>
      </c>
    </row>
    <row r="2880" spans="1:1">
      <c r="A2880" s="35" t="s">
        <v>41057</v>
      </c>
    </row>
    <row r="2881" spans="1:1">
      <c r="A2881" s="35" t="s">
        <v>41057</v>
      </c>
    </row>
    <row r="2882" spans="1:1">
      <c r="A2882" s="35" t="s">
        <v>41057</v>
      </c>
    </row>
    <row r="2883" spans="1:1">
      <c r="A2883" s="35" t="s">
        <v>41057</v>
      </c>
    </row>
    <row r="2884" spans="1:1">
      <c r="A2884" s="35" t="s">
        <v>41057</v>
      </c>
    </row>
    <row r="2885" spans="1:1">
      <c r="A2885" s="35" t="s">
        <v>41057</v>
      </c>
    </row>
    <row r="2886" spans="1:1">
      <c r="A2886" s="35" t="s">
        <v>41057</v>
      </c>
    </row>
    <row r="2887" spans="1:1">
      <c r="A2887" s="35" t="s">
        <v>41057</v>
      </c>
    </row>
    <row r="2888" spans="1:1">
      <c r="A2888" s="35" t="s">
        <v>41057</v>
      </c>
    </row>
    <row r="2889" spans="1:1">
      <c r="A2889" s="35" t="s">
        <v>41057</v>
      </c>
    </row>
    <row r="2890" spans="1:1">
      <c r="A2890" s="35" t="s">
        <v>41057</v>
      </c>
    </row>
    <row r="2891" spans="1:1">
      <c r="A2891" s="35" t="s">
        <v>41057</v>
      </c>
    </row>
    <row r="2892" spans="1:1">
      <c r="A2892" s="35" t="s">
        <v>54111</v>
      </c>
    </row>
    <row r="2893" spans="1:1">
      <c r="A2893" s="35" t="s">
        <v>41057</v>
      </c>
    </row>
    <row r="2894" spans="1:1">
      <c r="A2894" s="35" t="s">
        <v>41057</v>
      </c>
    </row>
    <row r="2895" spans="1:1">
      <c r="A2895" s="35" t="s">
        <v>54112</v>
      </c>
    </row>
    <row r="2896" spans="1:1">
      <c r="A2896" s="35" t="s">
        <v>41057</v>
      </c>
    </row>
    <row r="2897" spans="1:1">
      <c r="A2897" s="35" t="s">
        <v>41057</v>
      </c>
    </row>
    <row r="2898" spans="1:1">
      <c r="A2898" s="35" t="s">
        <v>41057</v>
      </c>
    </row>
    <row r="2899" spans="1:1">
      <c r="A2899" s="35" t="s">
        <v>41057</v>
      </c>
    </row>
    <row r="2900" spans="1:1">
      <c r="A2900" s="35" t="s">
        <v>41057</v>
      </c>
    </row>
    <row r="2901" spans="1:1">
      <c r="A2901" s="35" t="s">
        <v>41057</v>
      </c>
    </row>
    <row r="2902" spans="1:1">
      <c r="A2902" s="35" t="s">
        <v>41057</v>
      </c>
    </row>
    <row r="2903" spans="1:1">
      <c r="A2903" s="35" t="e" cm="1">
        <f t="array" ref="A2903">----------------------------------------------------AWV---AE</f>
        <v>#NAME?</v>
      </c>
    </row>
    <row r="2904" spans="1:1">
      <c r="A2904" s="35" t="s">
        <v>54113</v>
      </c>
    </row>
    <row r="2905" spans="1:1">
      <c r="A2905" s="35" t="e" cm="1">
        <f t="array" ref="A2905">---------------QKWWRLYAELYM---------DEAK------------------KL</f>
        <v>#NAME?</v>
      </c>
    </row>
    <row r="2906" spans="1:1">
      <c r="A2906" s="35" t="s">
        <v>54114</v>
      </c>
    </row>
    <row r="2907" spans="1:1">
      <c r="A2907" s="35" t="s">
        <v>41057</v>
      </c>
    </row>
    <row r="2908" spans="1:1">
      <c r="A2908" s="35" t="s">
        <v>41057</v>
      </c>
    </row>
    <row r="2909" spans="1:1">
      <c r="A2909" s="35" t="s">
        <v>54115</v>
      </c>
    </row>
    <row r="2910" spans="1:1">
      <c r="A2910" s="35" t="s">
        <v>41057</v>
      </c>
    </row>
    <row r="2911" spans="1:1">
      <c r="A2911" s="35" t="s">
        <v>53997</v>
      </c>
    </row>
    <row r="2912" spans="1:1">
      <c r="A2912" s="35" t="s">
        <v>54116</v>
      </c>
    </row>
    <row r="2913" spans="1:1">
      <c r="A2913" s="35" t="s">
        <v>54117</v>
      </c>
    </row>
    <row r="2914" spans="1:1">
      <c r="A2914" s="35" t="s">
        <v>41057</v>
      </c>
    </row>
    <row r="2915" spans="1:1">
      <c r="A2915" s="35" t="s">
        <v>41057</v>
      </c>
    </row>
    <row r="2916" spans="1:1">
      <c r="A2916" s="35" t="s">
        <v>41057</v>
      </c>
    </row>
    <row r="2917" spans="1:1">
      <c r="A2917" s="35" t="s">
        <v>54118</v>
      </c>
    </row>
    <row r="2918" spans="1:1">
      <c r="A2918" s="35" t="s">
        <v>41057</v>
      </c>
    </row>
    <row r="2919" spans="1:1">
      <c r="A2919" s="35" t="s">
        <v>41057</v>
      </c>
    </row>
    <row r="2920" spans="1:1">
      <c r="A2920" s="35" t="s">
        <v>54119</v>
      </c>
    </row>
    <row r="2921" spans="1:1">
      <c r="A2921" s="35" t="s">
        <v>54120</v>
      </c>
    </row>
    <row r="2922" spans="1:1">
      <c r="A2922" s="35" t="s">
        <v>54121</v>
      </c>
    </row>
    <row r="2923" spans="1:1">
      <c r="A2923" s="35" t="s">
        <v>54122</v>
      </c>
    </row>
    <row r="2924" spans="1:1">
      <c r="A2924" s="35" t="e" cm="1">
        <f t="array" ref="A2924">----------------------------------------------------------HT</f>
        <v>#NAME?</v>
      </c>
    </row>
    <row r="2925" spans="1:1">
      <c r="A2925" s="35" t="s">
        <v>54123</v>
      </c>
    </row>
    <row r="2926" spans="1:1">
      <c r="A2926" s="35" t="s">
        <v>54124</v>
      </c>
    </row>
    <row r="2927" spans="1:1">
      <c r="A2927" s="35" t="s">
        <v>54125</v>
      </c>
    </row>
    <row r="2928" spans="1:1">
      <c r="A2928" s="35" t="s">
        <v>41057</v>
      </c>
    </row>
    <row r="2929" spans="1:1">
      <c r="A2929" s="35" t="s">
        <v>54126</v>
      </c>
    </row>
    <row r="2930" spans="1:1">
      <c r="A2930" s="35" t="s">
        <v>41057</v>
      </c>
    </row>
    <row r="2931" spans="1:1">
      <c r="A2931" s="35" t="s">
        <v>54127</v>
      </c>
    </row>
    <row r="2932" spans="1:1">
      <c r="A2932" s="35" t="s">
        <v>41057</v>
      </c>
    </row>
    <row r="2933" spans="1:1">
      <c r="A2933" s="35" t="s">
        <v>54128</v>
      </c>
    </row>
    <row r="2934" spans="1:1">
      <c r="A2934" s="35" t="s">
        <v>54129</v>
      </c>
    </row>
    <row r="2935" spans="1:1">
      <c r="A2935" s="35" t="s">
        <v>41057</v>
      </c>
    </row>
    <row r="2936" spans="1:1">
      <c r="A2936" s="35" t="s">
        <v>54130</v>
      </c>
    </row>
    <row r="2937" spans="1:1">
      <c r="A2937" s="35" t="e" cm="1">
        <f t="array" ref="A2937">-------------------------------------------VG-----------LTQF</f>
        <v>#NAME?</v>
      </c>
    </row>
    <row r="2938" spans="1:1">
      <c r="A2938" s="35" t="s">
        <v>54131</v>
      </c>
    </row>
    <row r="2939" spans="1:1">
      <c r="A2939" s="35" t="s">
        <v>54132</v>
      </c>
    </row>
    <row r="2940" spans="1:1">
      <c r="A2940" s="35" t="s">
        <v>54133</v>
      </c>
    </row>
    <row r="2941" spans="1:1">
      <c r="A2941" s="35" t="s">
        <v>54134</v>
      </c>
    </row>
    <row r="2942" spans="1:1">
      <c r="A2942" s="35" t="s">
        <v>54135</v>
      </c>
    </row>
    <row r="2943" spans="1:1">
      <c r="A2943" s="35" t="s">
        <v>54136</v>
      </c>
    </row>
    <row r="2944" spans="1:1">
      <c r="A2944" s="35" t="s">
        <v>54137</v>
      </c>
    </row>
    <row r="2945" spans="1:1">
      <c r="A2945" s="35" t="s">
        <v>41057</v>
      </c>
    </row>
    <row r="2946" spans="1:1">
      <c r="A2946" s="35" t="s">
        <v>54138</v>
      </c>
    </row>
    <row r="2947" spans="1:1">
      <c r="A2947" s="35" t="s">
        <v>54139</v>
      </c>
    </row>
    <row r="2948" spans="1:1">
      <c r="A2948" s="35" t="s">
        <v>54140</v>
      </c>
    </row>
    <row r="2949" spans="1:1">
      <c r="A2949" s="35" t="s">
        <v>41057</v>
      </c>
    </row>
    <row r="2950" spans="1:1">
      <c r="A2950" s="35" t="s">
        <v>53545</v>
      </c>
    </row>
    <row r="2951" spans="1:1">
      <c r="A2951" s="35" t="s">
        <v>52041</v>
      </c>
    </row>
    <row r="2952" spans="1:1">
      <c r="A2952" s="35" t="s">
        <v>41057</v>
      </c>
    </row>
    <row r="2953" spans="1:1">
      <c r="A2953" s="35" t="s">
        <v>41057</v>
      </c>
    </row>
    <row r="2954" spans="1:1">
      <c r="A2954" s="35" t="s">
        <v>54141</v>
      </c>
    </row>
    <row r="2955" spans="1:1">
      <c r="A2955" s="35" t="s">
        <v>54142</v>
      </c>
    </row>
    <row r="2956" spans="1:1">
      <c r="A2956" s="35" t="s">
        <v>54143</v>
      </c>
    </row>
    <row r="2957" spans="1:1">
      <c r="A2957" s="35" t="s">
        <v>54096</v>
      </c>
    </row>
    <row r="2958" spans="1:1">
      <c r="A2958" s="35" t="s">
        <v>41057</v>
      </c>
    </row>
    <row r="2959" spans="1:1">
      <c r="A2959" s="35" t="s">
        <v>41057</v>
      </c>
    </row>
    <row r="2960" spans="1:1">
      <c r="A2960" s="35" t="s">
        <v>41057</v>
      </c>
    </row>
    <row r="2961" spans="1:1">
      <c r="A2961" s="35" t="s">
        <v>54097</v>
      </c>
    </row>
    <row r="2962" spans="1:1">
      <c r="A2962" s="35" t="s">
        <v>54098</v>
      </c>
    </row>
    <row r="2963" spans="1:1">
      <c r="A2963" s="35" t="s">
        <v>54099</v>
      </c>
    </row>
    <row r="2964" spans="1:1">
      <c r="A2964" s="35" t="s">
        <v>54144</v>
      </c>
    </row>
    <row r="2965" spans="1:1">
      <c r="A2965" s="35" t="s">
        <v>41057</v>
      </c>
    </row>
    <row r="2966" spans="1:1">
      <c r="A2966" s="35" t="s">
        <v>41057</v>
      </c>
    </row>
    <row r="2967" spans="1:1">
      <c r="A2967" s="35" t="e" cm="1">
        <f t="array" ref="A2967">---------------KVTF------------------FQA-------------------V</f>
        <v>#NAME?</v>
      </c>
    </row>
    <row r="2968" spans="1:1">
      <c r="A2968" s="35" t="s">
        <v>54101</v>
      </c>
    </row>
    <row r="2969" spans="1:1">
      <c r="A2969" s="35" t="s">
        <v>54102</v>
      </c>
    </row>
    <row r="2970" spans="1:1">
      <c r="A2970" s="35" t="s">
        <v>41057</v>
      </c>
    </row>
    <row r="2971" spans="1:1">
      <c r="A2971" s="35" t="s">
        <v>54145</v>
      </c>
    </row>
    <row r="2972" spans="1:1">
      <c r="A2972" s="35" t="s">
        <v>41057</v>
      </c>
    </row>
    <row r="2973" spans="1:1">
      <c r="A2973" s="35" t="s">
        <v>41057</v>
      </c>
    </row>
    <row r="2974" spans="1:1">
      <c r="A2974" s="35" t="s">
        <v>54146</v>
      </c>
    </row>
    <row r="2975" spans="1:1">
      <c r="A2975" s="35" t="s">
        <v>41057</v>
      </c>
    </row>
    <row r="2976" spans="1:1">
      <c r="A2976" s="35" t="s">
        <v>41057</v>
      </c>
    </row>
    <row r="2977" spans="1:1">
      <c r="A2977" s="35" t="s">
        <v>54105</v>
      </c>
    </row>
    <row r="2978" spans="1:1">
      <c r="A2978" s="35" t="s">
        <v>41057</v>
      </c>
    </row>
    <row r="2979" spans="1:1">
      <c r="A2979" s="35" t="s">
        <v>41057</v>
      </c>
    </row>
    <row r="2980" spans="1:1">
      <c r="A2980" s="35" t="s">
        <v>54106</v>
      </c>
    </row>
    <row r="2981" spans="1:1">
      <c r="A2981" s="35" t="s">
        <v>41057</v>
      </c>
    </row>
    <row r="2982" spans="1:1">
      <c r="A2982" s="35" t="s">
        <v>54147</v>
      </c>
    </row>
    <row r="2983" spans="1:1">
      <c r="A2983" s="35" t="s">
        <v>41057</v>
      </c>
    </row>
    <row r="2984" spans="1:1">
      <c r="A2984" s="35" t="s">
        <v>54148</v>
      </c>
    </row>
    <row r="2985" spans="1:1">
      <c r="A2985" s="35" t="s">
        <v>54149</v>
      </c>
    </row>
    <row r="2986" spans="1:1">
      <c r="A2986" s="35" t="s">
        <v>41057</v>
      </c>
    </row>
    <row r="2987" spans="1:1">
      <c r="A2987" s="35" t="s">
        <v>41057</v>
      </c>
    </row>
    <row r="2988" spans="1:1">
      <c r="A2988" s="35" t="s">
        <v>54150</v>
      </c>
    </row>
    <row r="2989" spans="1:1">
      <c r="A2989" s="35" t="s">
        <v>41057</v>
      </c>
    </row>
    <row r="2990" spans="1:1">
      <c r="A2990" s="35" t="s">
        <v>41057</v>
      </c>
    </row>
    <row r="2991" spans="1:1">
      <c r="A2991" s="35" t="s">
        <v>41057</v>
      </c>
    </row>
    <row r="2992" spans="1:1">
      <c r="A2992" s="35" t="s">
        <v>41057</v>
      </c>
    </row>
    <row r="2993" spans="1:1">
      <c r="A2993" s="35" t="s">
        <v>41057</v>
      </c>
    </row>
    <row r="2994" spans="1:1">
      <c r="A2994" s="35" t="s">
        <v>54151</v>
      </c>
    </row>
    <row r="2995" spans="1:1">
      <c r="A2995" s="35" t="s">
        <v>41057</v>
      </c>
    </row>
    <row r="2996" spans="1:1">
      <c r="A2996" s="35" t="s">
        <v>41057</v>
      </c>
    </row>
    <row r="2997" spans="1:1">
      <c r="A2997" s="35" t="s">
        <v>54152</v>
      </c>
    </row>
    <row r="2998" spans="1:1">
      <c r="A2998" s="35" t="s">
        <v>41057</v>
      </c>
    </row>
    <row r="2999" spans="1:1">
      <c r="A2999" s="35" t="s">
        <v>41057</v>
      </c>
    </row>
    <row r="3000" spans="1:1">
      <c r="A3000" s="35" t="s">
        <v>41057</v>
      </c>
    </row>
    <row r="3001" spans="1:1">
      <c r="A3001" s="35" t="s">
        <v>41057</v>
      </c>
    </row>
    <row r="3002" spans="1:1">
      <c r="A3002" s="35" t="s">
        <v>41057</v>
      </c>
    </row>
    <row r="3003" spans="1:1">
      <c r="A3003" s="35" t="s">
        <v>41057</v>
      </c>
    </row>
    <row r="3004" spans="1:1">
      <c r="A3004" s="35" t="s">
        <v>41057</v>
      </c>
    </row>
    <row r="3005" spans="1:1">
      <c r="A3005" s="35" t="s">
        <v>41057</v>
      </c>
    </row>
    <row r="3006" spans="1:1">
      <c r="A3006" s="35" t="s">
        <v>41057</v>
      </c>
    </row>
    <row r="3007" spans="1:1">
      <c r="A3007" s="35" t="s">
        <v>41057</v>
      </c>
    </row>
    <row r="3008" spans="1:1">
      <c r="A3008" s="35" t="s">
        <v>41057</v>
      </c>
    </row>
    <row r="3009" spans="1:1">
      <c r="A3009" s="35" t="s">
        <v>41057</v>
      </c>
    </row>
    <row r="3010" spans="1:1">
      <c r="A3010" s="35" t="s">
        <v>54153</v>
      </c>
    </row>
    <row r="3011" spans="1:1">
      <c r="A3011" s="35" t="s">
        <v>41057</v>
      </c>
    </row>
    <row r="3012" spans="1:1">
      <c r="A3012" s="35" t="s">
        <v>41057</v>
      </c>
    </row>
    <row r="3013" spans="1:1">
      <c r="A3013" s="35" t="s">
        <v>41057</v>
      </c>
    </row>
    <row r="3014" spans="1:1">
      <c r="A3014" s="35" t="s">
        <v>41057</v>
      </c>
    </row>
    <row r="3015" spans="1:1">
      <c r="A3015" s="35" t="s">
        <v>41057</v>
      </c>
    </row>
    <row r="3016" spans="1:1">
      <c r="A3016" s="35" t="s">
        <v>41057</v>
      </c>
    </row>
    <row r="3017" spans="1:1">
      <c r="A3017" s="35" t="s">
        <v>41057</v>
      </c>
    </row>
    <row r="3018" spans="1:1">
      <c r="A3018" s="35" t="s">
        <v>41057</v>
      </c>
    </row>
    <row r="3019" spans="1:1">
      <c r="A3019" s="35" t="s">
        <v>41057</v>
      </c>
    </row>
    <row r="3020" spans="1:1">
      <c r="A3020" s="35" t="s">
        <v>41057</v>
      </c>
    </row>
    <row r="3021" spans="1:1">
      <c r="A3021" s="35" t="e" cm="1">
        <f t="array" ref="A3021">-----------------------------------------------------WL---AE</f>
        <v>#NAME?</v>
      </c>
    </row>
    <row r="3022" spans="1:1">
      <c r="A3022" s="35" t="s">
        <v>54154</v>
      </c>
    </row>
    <row r="3023" spans="1:1">
      <c r="A3023" s="35" t="e" cm="1">
        <f t="array" ref="A3023">---------------QAWFRLYAETFL---------GESD------------------KI</f>
        <v>#NAME?</v>
      </c>
    </row>
    <row r="3024" spans="1:1">
      <c r="A3024" s="35" t="s">
        <v>54155</v>
      </c>
    </row>
    <row r="3025" spans="1:1">
      <c r="A3025" s="35" t="s">
        <v>41057</v>
      </c>
    </row>
    <row r="3026" spans="1:1">
      <c r="A3026" s="35" t="s">
        <v>41057</v>
      </c>
    </row>
    <row r="3027" spans="1:1">
      <c r="A3027" s="35" t="s">
        <v>54156</v>
      </c>
    </row>
    <row r="3028" spans="1:1">
      <c r="A3028" s="35" t="s">
        <v>41057</v>
      </c>
    </row>
    <row r="3029" spans="1:1">
      <c r="A3029" s="35" t="s">
        <v>53997</v>
      </c>
    </row>
    <row r="3030" spans="1:1">
      <c r="A3030" s="35" t="s">
        <v>54157</v>
      </c>
    </row>
    <row r="3031" spans="1:1">
      <c r="A3031" s="35" t="s">
        <v>54158</v>
      </c>
    </row>
    <row r="3032" spans="1:1">
      <c r="A3032" s="35" t="s">
        <v>41057</v>
      </c>
    </row>
    <row r="3033" spans="1:1">
      <c r="A3033" s="35" t="s">
        <v>41057</v>
      </c>
    </row>
    <row r="3034" spans="1:1">
      <c r="A3034" s="35" t="s">
        <v>41057</v>
      </c>
    </row>
    <row r="3035" spans="1:1">
      <c r="A3035" s="35" t="s">
        <v>54159</v>
      </c>
    </row>
    <row r="3036" spans="1:1">
      <c r="A3036" s="35" t="s">
        <v>41057</v>
      </c>
    </row>
    <row r="3037" spans="1:1">
      <c r="A3037" s="35" t="s">
        <v>41057</v>
      </c>
    </row>
    <row r="3038" spans="1:1">
      <c r="A3038" s="35" t="s">
        <v>54160</v>
      </c>
    </row>
    <row r="3039" spans="1:1">
      <c r="A3039" s="35" t="s">
        <v>54161</v>
      </c>
    </row>
    <row r="3040" spans="1:1">
      <c r="A3040" s="35" t="s">
        <v>54162</v>
      </c>
    </row>
    <row r="3041" spans="1:1">
      <c r="A3041" s="35" t="s">
        <v>54122</v>
      </c>
    </row>
    <row r="3042" spans="1:1">
      <c r="A3042" s="35" t="e" cm="1">
        <f t="array" ref="A3042">----------------------------------------------------------HT</f>
        <v>#NAME?</v>
      </c>
    </row>
    <row r="3043" spans="1:1">
      <c r="A3043" s="35" t="s">
        <v>54163</v>
      </c>
    </row>
    <row r="3044" spans="1:1">
      <c r="A3044" s="35" t="s">
        <v>54164</v>
      </c>
    </row>
    <row r="3045" spans="1:1">
      <c r="A3045" s="35" t="s">
        <v>54165</v>
      </c>
    </row>
    <row r="3046" spans="1:1">
      <c r="A3046" s="35" t="s">
        <v>41057</v>
      </c>
    </row>
    <row r="3047" spans="1:1">
      <c r="A3047" s="35" t="s">
        <v>54166</v>
      </c>
    </row>
    <row r="3048" spans="1:1">
      <c r="A3048" s="35" t="s">
        <v>41057</v>
      </c>
    </row>
    <row r="3049" spans="1:1">
      <c r="A3049" s="35" t="s">
        <v>54167</v>
      </c>
    </row>
    <row r="3050" spans="1:1">
      <c r="A3050" s="35" t="s">
        <v>41057</v>
      </c>
    </row>
    <row r="3051" spans="1:1">
      <c r="A3051" s="35" t="s">
        <v>54168</v>
      </c>
    </row>
    <row r="3052" spans="1:1">
      <c r="A3052" s="35" t="s">
        <v>54169</v>
      </c>
    </row>
    <row r="3053" spans="1:1">
      <c r="A3053" s="35" t="s">
        <v>41057</v>
      </c>
    </row>
    <row r="3054" spans="1:1">
      <c r="A3054" s="35" t="s">
        <v>54170</v>
      </c>
    </row>
    <row r="3055" spans="1:1">
      <c r="A3055" s="35" t="e" cm="1">
        <f t="array" ref="A3055">-------------------------------------------VSNVS-GTANCYWVEEG</f>
        <v>#NAME?</v>
      </c>
    </row>
    <row r="3056" spans="1:1">
      <c r="A3056" s="35" t="s">
        <v>54171</v>
      </c>
    </row>
    <row r="3057" spans="1:1">
      <c r="A3057" s="35" t="s">
        <v>54132</v>
      </c>
    </row>
    <row r="3058" spans="1:1">
      <c r="A3058" s="35" t="s">
        <v>54133</v>
      </c>
    </row>
    <row r="3059" spans="1:1">
      <c r="A3059" s="35" t="s">
        <v>54172</v>
      </c>
    </row>
    <row r="3060" spans="1:1">
      <c r="A3060" s="35" t="s">
        <v>54173</v>
      </c>
    </row>
    <row r="3061" spans="1:1">
      <c r="A3061" s="35" t="s">
        <v>54174</v>
      </c>
    </row>
    <row r="3062" spans="1:1">
      <c r="A3062" s="35" t="s">
        <v>54175</v>
      </c>
    </row>
    <row r="3063" spans="1:1">
      <c r="A3063" s="35" t="s">
        <v>41057</v>
      </c>
    </row>
    <row r="3064" spans="1:1">
      <c r="A3064" s="35" t="s">
        <v>54176</v>
      </c>
    </row>
    <row r="3065" spans="1:1">
      <c r="A3065" s="35" t="s">
        <v>54139</v>
      </c>
    </row>
    <row r="3066" spans="1:1">
      <c r="A3066" s="35" t="s">
        <v>54140</v>
      </c>
    </row>
    <row r="3067" spans="1:1">
      <c r="A3067" s="35" t="s">
        <v>41057</v>
      </c>
    </row>
    <row r="3068" spans="1:1">
      <c r="A3068" s="35" t="s">
        <v>53545</v>
      </c>
    </row>
    <row r="3069" spans="1:1">
      <c r="A3069" s="35" t="s">
        <v>52206</v>
      </c>
    </row>
    <row r="3070" spans="1:1">
      <c r="A3070" s="35" t="s">
        <v>41057</v>
      </c>
    </row>
    <row r="3071" spans="1:1">
      <c r="A3071" s="35" t="s">
        <v>41057</v>
      </c>
    </row>
    <row r="3072" spans="1:1">
      <c r="A3072" s="35" t="s">
        <v>54177</v>
      </c>
    </row>
    <row r="3073" spans="1:1">
      <c r="A3073" s="35" t="s">
        <v>41057</v>
      </c>
    </row>
    <row r="3074" spans="1:1">
      <c r="A3074" s="35" t="s">
        <v>41057</v>
      </c>
    </row>
    <row r="3075" spans="1:1">
      <c r="A3075" s="35" t="s">
        <v>41057</v>
      </c>
    </row>
    <row r="3076" spans="1:1">
      <c r="A3076" s="35" t="s">
        <v>41057</v>
      </c>
    </row>
    <row r="3077" spans="1:1">
      <c r="A3077" s="35" t="s">
        <v>41057</v>
      </c>
    </row>
    <row r="3078" spans="1:1">
      <c r="A3078" s="35" t="s">
        <v>41057</v>
      </c>
    </row>
    <row r="3079" spans="1:1">
      <c r="A3079" s="35" t="s">
        <v>54097</v>
      </c>
    </row>
    <row r="3080" spans="1:1">
      <c r="A3080" s="35" t="s">
        <v>54098</v>
      </c>
    </row>
    <row r="3081" spans="1:1">
      <c r="A3081" s="35" t="s">
        <v>54178</v>
      </c>
    </row>
    <row r="3082" spans="1:1">
      <c r="A3082" s="35" t="s">
        <v>54144</v>
      </c>
    </row>
    <row r="3083" spans="1:1">
      <c r="A3083" s="35" t="s">
        <v>41057</v>
      </c>
    </row>
    <row r="3084" spans="1:1">
      <c r="A3084" s="35" t="s">
        <v>41057</v>
      </c>
    </row>
    <row r="3085" spans="1:1">
      <c r="A3085" s="35" t="e" cm="1">
        <f t="array" ref="A3085">---------------KVTF------------------FQS-------------------V</f>
        <v>#NAME?</v>
      </c>
    </row>
    <row r="3086" spans="1:1">
      <c r="A3086" s="35" t="s">
        <v>54101</v>
      </c>
    </row>
    <row r="3087" spans="1:1">
      <c r="A3087" s="35" t="s">
        <v>54179</v>
      </c>
    </row>
    <row r="3088" spans="1:1">
      <c r="A3088" s="35" t="s">
        <v>41057</v>
      </c>
    </row>
    <row r="3089" spans="1:1">
      <c r="A3089" s="35" t="s">
        <v>54180</v>
      </c>
    </row>
    <row r="3090" spans="1:1">
      <c r="A3090" s="35" t="s">
        <v>41057</v>
      </c>
    </row>
    <row r="3091" spans="1:1">
      <c r="A3091" s="35" t="s">
        <v>41057</v>
      </c>
    </row>
    <row r="3092" spans="1:1">
      <c r="A3092" s="35" t="s">
        <v>54181</v>
      </c>
    </row>
    <row r="3093" spans="1:1">
      <c r="A3093" s="35" t="s">
        <v>41057</v>
      </c>
    </row>
    <row r="3094" spans="1:1">
      <c r="A3094" s="35" t="s">
        <v>41057</v>
      </c>
    </row>
    <row r="3095" spans="1:1">
      <c r="A3095" s="35" t="s">
        <v>53500</v>
      </c>
    </row>
    <row r="3096" spans="1:1">
      <c r="A3096" s="35" t="s">
        <v>41057</v>
      </c>
    </row>
    <row r="3097" spans="1:1">
      <c r="A3097" s="35" t="s">
        <v>41057</v>
      </c>
    </row>
    <row r="3098" spans="1:1">
      <c r="A3098" s="35" t="s">
        <v>54182</v>
      </c>
    </row>
    <row r="3099" spans="1:1">
      <c r="A3099" s="35" t="s">
        <v>41057</v>
      </c>
    </row>
    <row r="3100" spans="1:1">
      <c r="A3100" s="35" t="s">
        <v>54183</v>
      </c>
    </row>
    <row r="3101" spans="1:1">
      <c r="A3101" s="35" t="s">
        <v>41057</v>
      </c>
    </row>
    <row r="3102" spans="1:1">
      <c r="A3102" s="35" t="s">
        <v>54184</v>
      </c>
    </row>
    <row r="3103" spans="1:1">
      <c r="A3103" s="35" t="s">
        <v>54185</v>
      </c>
    </row>
    <row r="3104" spans="1:1">
      <c r="A3104" s="35" t="s">
        <v>41057</v>
      </c>
    </row>
    <row r="3105" spans="1:1">
      <c r="A3105" s="35" t="s">
        <v>41057</v>
      </c>
    </row>
    <row r="3106" spans="1:1">
      <c r="A3106" s="35" t="s">
        <v>54186</v>
      </c>
    </row>
    <row r="3107" spans="1:1">
      <c r="A3107" s="35" t="s">
        <v>41057</v>
      </c>
    </row>
    <row r="3108" spans="1:1">
      <c r="A3108" s="35" t="s">
        <v>41057</v>
      </c>
    </row>
    <row r="3109" spans="1:1">
      <c r="A3109" s="35" t="s">
        <v>41057</v>
      </c>
    </row>
    <row r="3110" spans="1:1">
      <c r="A3110" s="35" t="s">
        <v>41057</v>
      </c>
    </row>
    <row r="3111" spans="1:1">
      <c r="A3111" s="35" t="s">
        <v>41057</v>
      </c>
    </row>
    <row r="3112" spans="1:1">
      <c r="A3112" s="35" t="s">
        <v>54187</v>
      </c>
    </row>
    <row r="3113" spans="1:1">
      <c r="A3113" s="35" t="s">
        <v>41057</v>
      </c>
    </row>
    <row r="3114" spans="1:1">
      <c r="A3114" s="35" t="s">
        <v>41057</v>
      </c>
    </row>
    <row r="3115" spans="1:1">
      <c r="A3115" s="35" t="s">
        <v>54188</v>
      </c>
    </row>
    <row r="3116" spans="1:1">
      <c r="A3116" s="35" t="s">
        <v>41057</v>
      </c>
    </row>
    <row r="3117" spans="1:1">
      <c r="A3117" s="35" t="s">
        <v>41057</v>
      </c>
    </row>
    <row r="3118" spans="1:1">
      <c r="A3118" s="35" t="s">
        <v>41057</v>
      </c>
    </row>
    <row r="3119" spans="1:1">
      <c r="A3119" s="35" t="s">
        <v>41057</v>
      </c>
    </row>
    <row r="3120" spans="1:1">
      <c r="A3120" s="35" t="s">
        <v>41057</v>
      </c>
    </row>
    <row r="3121" spans="1:1">
      <c r="A3121" s="35" t="s">
        <v>41057</v>
      </c>
    </row>
    <row r="3122" spans="1:1">
      <c r="A3122" s="35" t="s">
        <v>41057</v>
      </c>
    </row>
    <row r="3123" spans="1:1">
      <c r="A3123" s="35" t="s">
        <v>41057</v>
      </c>
    </row>
    <row r="3124" spans="1:1">
      <c r="A3124" s="35" t="s">
        <v>41057</v>
      </c>
    </row>
    <row r="3125" spans="1:1">
      <c r="A3125" s="35" t="s">
        <v>41057</v>
      </c>
    </row>
    <row r="3126" spans="1:1">
      <c r="A3126" s="35" t="s">
        <v>41057</v>
      </c>
    </row>
    <row r="3127" spans="1:1">
      <c r="A3127" s="35" t="s">
        <v>41057</v>
      </c>
    </row>
    <row r="3128" spans="1:1">
      <c r="A3128" s="35" t="s">
        <v>54189</v>
      </c>
    </row>
    <row r="3129" spans="1:1">
      <c r="A3129" s="35" t="s">
        <v>41057</v>
      </c>
    </row>
    <row r="3130" spans="1:1">
      <c r="A3130" s="35" t="s">
        <v>41057</v>
      </c>
    </row>
    <row r="3131" spans="1:1">
      <c r="A3131" s="35" t="s">
        <v>41057</v>
      </c>
    </row>
    <row r="3132" spans="1:1">
      <c r="A3132" s="35" t="s">
        <v>41057</v>
      </c>
    </row>
    <row r="3133" spans="1:1">
      <c r="A3133" s="35" t="s">
        <v>41057</v>
      </c>
    </row>
    <row r="3134" spans="1:1">
      <c r="A3134" s="35" t="s">
        <v>41057</v>
      </c>
    </row>
    <row r="3135" spans="1:1">
      <c r="A3135" s="35" t="s">
        <v>41057</v>
      </c>
    </row>
    <row r="3136" spans="1:1">
      <c r="A3136" s="35" t="s">
        <v>41057</v>
      </c>
    </row>
    <row r="3137" spans="1:1">
      <c r="A3137" s="35" t="s">
        <v>41057</v>
      </c>
    </row>
    <row r="3138" spans="1:1">
      <c r="A3138" s="35" t="s">
        <v>41057</v>
      </c>
    </row>
    <row r="3139" spans="1:1">
      <c r="A3139" s="35" t="e" cm="1">
        <f t="array" ref="A3139">-----------------------------------------------------WM---AE</f>
        <v>#NAME?</v>
      </c>
    </row>
    <row r="3140" spans="1:1">
      <c r="A3140" s="35" t="s">
        <v>54190</v>
      </c>
    </row>
    <row r="3141" spans="1:1">
      <c r="A3141" s="35" t="e" cm="1">
        <f t="array" ref="A3141">---------------QQWFRLYAEVFL---------NETK------------------KV</f>
        <v>#NAME?</v>
      </c>
    </row>
    <row r="3142" spans="1:1">
      <c r="A3142" s="35" t="s">
        <v>54191</v>
      </c>
    </row>
    <row r="3143" spans="1:1">
      <c r="A3143" s="35" t="s">
        <v>41057</v>
      </c>
    </row>
    <row r="3144" spans="1:1">
      <c r="A3144" s="35" t="s">
        <v>41057</v>
      </c>
    </row>
    <row r="3145" spans="1:1">
      <c r="A3145" s="35" t="s">
        <v>54192</v>
      </c>
    </row>
    <row r="3146" spans="1:1">
      <c r="A3146" s="35" t="s">
        <v>41057</v>
      </c>
    </row>
    <row r="3147" spans="1:1">
      <c r="A3147" s="35" t="s">
        <v>53997</v>
      </c>
    </row>
    <row r="3148" spans="1:1">
      <c r="A3148" s="35" t="s">
        <v>54193</v>
      </c>
    </row>
    <row r="3149" spans="1:1">
      <c r="A3149" s="35" t="s">
        <v>54194</v>
      </c>
    </row>
    <row r="3150" spans="1:1">
      <c r="A3150" s="35" t="s">
        <v>41057</v>
      </c>
    </row>
    <row r="3151" spans="1:1">
      <c r="A3151" s="35" t="s">
        <v>41057</v>
      </c>
    </row>
    <row r="3152" spans="1:1">
      <c r="A3152" s="35" t="s">
        <v>41057</v>
      </c>
    </row>
    <row r="3153" spans="1:1">
      <c r="A3153" s="35" t="s">
        <v>54159</v>
      </c>
    </row>
    <row r="3154" spans="1:1">
      <c r="A3154" s="35" t="s">
        <v>41057</v>
      </c>
    </row>
    <row r="3155" spans="1:1">
      <c r="A3155" s="35" t="s">
        <v>41057</v>
      </c>
    </row>
    <row r="3156" spans="1:1">
      <c r="A3156" s="35" t="s">
        <v>54195</v>
      </c>
    </row>
    <row r="3157" spans="1:1">
      <c r="A3157" s="35" t="s">
        <v>54196</v>
      </c>
    </row>
    <row r="3158" spans="1:1">
      <c r="A3158" s="35" t="s">
        <v>54197</v>
      </c>
    </row>
    <row r="3159" spans="1:1">
      <c r="A3159" s="35" t="s">
        <v>54122</v>
      </c>
    </row>
    <row r="3160" spans="1:1">
      <c r="A3160" s="35" t="e" cm="1">
        <f t="array" ref="A3160">----------------------------------------------------------HV</f>
        <v>#NAME?</v>
      </c>
    </row>
    <row r="3161" spans="1:1">
      <c r="A3161" s="35" t="s">
        <v>54198</v>
      </c>
    </row>
    <row r="3162" spans="1:1">
      <c r="A3162" s="35" t="s">
        <v>54199</v>
      </c>
    </row>
    <row r="3163" spans="1:1">
      <c r="A3163" s="35" t="s">
        <v>54200</v>
      </c>
    </row>
    <row r="3164" spans="1:1">
      <c r="A3164" s="35" t="s">
        <v>41057</v>
      </c>
    </row>
    <row r="3165" spans="1:1">
      <c r="A3165" s="35" t="s">
        <v>54201</v>
      </c>
    </row>
    <row r="3166" spans="1:1">
      <c r="A3166" s="35" t="s">
        <v>41057</v>
      </c>
    </row>
    <row r="3167" spans="1:1">
      <c r="A3167" s="35" t="s">
        <v>54167</v>
      </c>
    </row>
    <row r="3168" spans="1:1">
      <c r="A3168" s="35" t="s">
        <v>41057</v>
      </c>
    </row>
    <row r="3169" spans="1:1">
      <c r="A3169" s="35" t="s">
        <v>54202</v>
      </c>
    </row>
    <row r="3170" spans="1:1">
      <c r="A3170" s="35" t="s">
        <v>54203</v>
      </c>
    </row>
    <row r="3171" spans="1:1">
      <c r="A3171" s="35" t="s">
        <v>41057</v>
      </c>
    </row>
    <row r="3172" spans="1:1">
      <c r="A3172" s="35" t="e" cm="1">
        <f t="array" ref="A3172">---EVTVDVQKIAASGGFL---E-------------------PHKTGSPVLYIPPILSSN</f>
        <v>#NAME?</v>
      </c>
    </row>
    <row r="3173" spans="1:1">
      <c r="A3173" s="35" t="s">
        <v>54204</v>
      </c>
    </row>
    <row r="3174" spans="1:1">
      <c r="A3174" s="35" t="s">
        <v>54205</v>
      </c>
    </row>
    <row r="3175" spans="1:1">
      <c r="A3175" s="35" t="s">
        <v>54206</v>
      </c>
    </row>
    <row r="3176" spans="1:1">
      <c r="A3176" s="35" t="s">
        <v>54207</v>
      </c>
    </row>
    <row r="3177" spans="1:1">
      <c r="A3177" s="35" t="s">
        <v>54208</v>
      </c>
    </row>
    <row r="3178" spans="1:1">
      <c r="A3178" s="35" t="s">
        <v>54209</v>
      </c>
    </row>
    <row r="3179" spans="1:1">
      <c r="A3179" s="35" t="s">
        <v>54210</v>
      </c>
    </row>
    <row r="3180" spans="1:1">
      <c r="A3180" s="35" t="s">
        <v>54211</v>
      </c>
    </row>
    <row r="3181" spans="1:1">
      <c r="A3181" s="35" t="s">
        <v>41057</v>
      </c>
    </row>
    <row r="3182" spans="1:1">
      <c r="A3182" s="35" t="s">
        <v>54212</v>
      </c>
    </row>
    <row r="3183" spans="1:1">
      <c r="A3183" s="35" t="s">
        <v>54213</v>
      </c>
    </row>
    <row r="3184" spans="1:1">
      <c r="A3184" s="35" t="s">
        <v>54214</v>
      </c>
    </row>
    <row r="3185" spans="1:1">
      <c r="A3185" s="35" t="s">
        <v>41057</v>
      </c>
    </row>
    <row r="3186" spans="1:1">
      <c r="A3186" s="35" t="s">
        <v>53545</v>
      </c>
    </row>
    <row r="3187" spans="1:1">
      <c r="A3187" s="35" t="s">
        <v>52168</v>
      </c>
    </row>
    <row r="3188" spans="1:1">
      <c r="A3188" s="35" t="s">
        <v>41057</v>
      </c>
    </row>
    <row r="3189" spans="1:1">
      <c r="A3189" s="35" t="s">
        <v>41057</v>
      </c>
    </row>
    <row r="3190" spans="1:1">
      <c r="A3190" s="35" t="s">
        <v>41057</v>
      </c>
    </row>
    <row r="3191" spans="1:1">
      <c r="A3191" s="35" t="s">
        <v>41057</v>
      </c>
    </row>
    <row r="3192" spans="1:1">
      <c r="A3192" s="35" t="s">
        <v>41057</v>
      </c>
    </row>
    <row r="3193" spans="1:1">
      <c r="A3193" s="35" t="s">
        <v>54096</v>
      </c>
    </row>
    <row r="3194" spans="1:1">
      <c r="A3194" s="35" t="s">
        <v>41057</v>
      </c>
    </row>
    <row r="3195" spans="1:1">
      <c r="A3195" s="35" t="s">
        <v>41057</v>
      </c>
    </row>
    <row r="3196" spans="1:1">
      <c r="A3196" s="35" t="s">
        <v>41057</v>
      </c>
    </row>
    <row r="3197" spans="1:1">
      <c r="A3197" s="35" t="s">
        <v>54097</v>
      </c>
    </row>
    <row r="3198" spans="1:1">
      <c r="A3198" s="35" t="s">
        <v>54215</v>
      </c>
    </row>
    <row r="3199" spans="1:1">
      <c r="A3199" s="35" t="s">
        <v>54099</v>
      </c>
    </row>
    <row r="3200" spans="1:1">
      <c r="A3200" s="35" t="s">
        <v>54100</v>
      </c>
    </row>
    <row r="3201" spans="1:1">
      <c r="A3201" s="35" t="s">
        <v>41057</v>
      </c>
    </row>
    <row r="3202" spans="1:1">
      <c r="A3202" s="35" t="s">
        <v>41057</v>
      </c>
    </row>
    <row r="3203" spans="1:1">
      <c r="A3203" s="35" t="e" cm="1">
        <f t="array" ref="A3203">---------------QITF------------------FKT-------------------V</f>
        <v>#NAME?</v>
      </c>
    </row>
    <row r="3204" spans="1:1">
      <c r="A3204" s="35" t="s">
        <v>53901</v>
      </c>
    </row>
    <row r="3205" spans="1:1">
      <c r="A3205" s="35" t="s">
        <v>54216</v>
      </c>
    </row>
    <row r="3206" spans="1:1">
      <c r="A3206" s="35" t="s">
        <v>41057</v>
      </c>
    </row>
    <row r="3207" spans="1:1">
      <c r="A3207" s="35" t="s">
        <v>54217</v>
      </c>
    </row>
    <row r="3208" spans="1:1">
      <c r="A3208" s="35" t="s">
        <v>41057</v>
      </c>
    </row>
    <row r="3209" spans="1:1">
      <c r="A3209" s="35" t="s">
        <v>41057</v>
      </c>
    </row>
    <row r="3210" spans="1:1">
      <c r="A3210" s="35" t="s">
        <v>54218</v>
      </c>
    </row>
    <row r="3211" spans="1:1">
      <c r="A3211" s="35" t="s">
        <v>41057</v>
      </c>
    </row>
    <row r="3212" spans="1:1">
      <c r="A3212" s="35" t="s">
        <v>41057</v>
      </c>
    </row>
    <row r="3213" spans="1:1">
      <c r="A3213" s="35" t="s">
        <v>53500</v>
      </c>
    </row>
    <row r="3214" spans="1:1">
      <c r="A3214" s="35" t="s">
        <v>41057</v>
      </c>
    </row>
    <row r="3215" spans="1:1">
      <c r="A3215" s="35" t="s">
        <v>41057</v>
      </c>
    </row>
    <row r="3216" spans="1:1">
      <c r="A3216" s="35" t="s">
        <v>54219</v>
      </c>
    </row>
    <row r="3217" spans="1:1">
      <c r="A3217" s="35" t="s">
        <v>41057</v>
      </c>
    </row>
    <row r="3218" spans="1:1">
      <c r="A3218" s="35" t="s">
        <v>54220</v>
      </c>
    </row>
    <row r="3219" spans="1:1">
      <c r="A3219" s="35" t="s">
        <v>41057</v>
      </c>
    </row>
    <row r="3220" spans="1:1">
      <c r="A3220" s="35" t="s">
        <v>54221</v>
      </c>
    </row>
    <row r="3221" spans="1:1">
      <c r="A3221" s="35" t="s">
        <v>54222</v>
      </c>
    </row>
    <row r="3222" spans="1:1">
      <c r="A3222" s="35" t="s">
        <v>41057</v>
      </c>
    </row>
    <row r="3223" spans="1:1">
      <c r="A3223" s="35" t="s">
        <v>41057</v>
      </c>
    </row>
    <row r="3224" spans="1:1">
      <c r="A3224" s="35" t="s">
        <v>54223</v>
      </c>
    </row>
    <row r="3225" spans="1:1">
      <c r="A3225" s="35" t="s">
        <v>41057</v>
      </c>
    </row>
    <row r="3226" spans="1:1">
      <c r="A3226" s="35" t="s">
        <v>41057</v>
      </c>
    </row>
    <row r="3227" spans="1:1">
      <c r="A3227" s="35" t="s">
        <v>41057</v>
      </c>
    </row>
    <row r="3228" spans="1:1">
      <c r="A3228" s="35" t="s">
        <v>41057</v>
      </c>
    </row>
    <row r="3229" spans="1:1">
      <c r="A3229" s="35" t="s">
        <v>41057</v>
      </c>
    </row>
    <row r="3230" spans="1:1">
      <c r="A3230" s="35" t="s">
        <v>54224</v>
      </c>
    </row>
    <row r="3231" spans="1:1">
      <c r="A3231" s="35" t="s">
        <v>41057</v>
      </c>
    </row>
    <row r="3232" spans="1:1">
      <c r="A3232" s="35" t="s">
        <v>41057</v>
      </c>
    </row>
    <row r="3233" spans="1:1">
      <c r="A3233" s="35" t="s">
        <v>54225</v>
      </c>
    </row>
    <row r="3234" spans="1:1">
      <c r="A3234" s="35" t="s">
        <v>41057</v>
      </c>
    </row>
    <row r="3235" spans="1:1">
      <c r="A3235" s="35" t="s">
        <v>41057</v>
      </c>
    </row>
    <row r="3236" spans="1:1">
      <c r="A3236" s="35" t="s">
        <v>41057</v>
      </c>
    </row>
    <row r="3237" spans="1:1">
      <c r="A3237" s="35" t="s">
        <v>41057</v>
      </c>
    </row>
    <row r="3238" spans="1:1">
      <c r="A3238" s="35" t="s">
        <v>41057</v>
      </c>
    </row>
    <row r="3239" spans="1:1">
      <c r="A3239" s="35" t="s">
        <v>41057</v>
      </c>
    </row>
    <row r="3240" spans="1:1">
      <c r="A3240" s="35" t="s">
        <v>41057</v>
      </c>
    </row>
    <row r="3241" spans="1:1">
      <c r="A3241" s="35" t="s">
        <v>41057</v>
      </c>
    </row>
    <row r="3242" spans="1:1">
      <c r="A3242" s="35" t="s">
        <v>41057</v>
      </c>
    </row>
    <row r="3243" spans="1:1">
      <c r="A3243" s="35" t="s">
        <v>41057</v>
      </c>
    </row>
    <row r="3244" spans="1:1">
      <c r="A3244" s="35" t="s">
        <v>41057</v>
      </c>
    </row>
    <row r="3245" spans="1:1">
      <c r="A3245" s="35" t="s">
        <v>41057</v>
      </c>
    </row>
    <row r="3246" spans="1:1">
      <c r="A3246" s="35" t="s">
        <v>41057</v>
      </c>
    </row>
    <row r="3247" spans="1:1">
      <c r="A3247" s="35" t="s">
        <v>41057</v>
      </c>
    </row>
    <row r="3248" spans="1:1">
      <c r="A3248" s="35" t="s">
        <v>41057</v>
      </c>
    </row>
    <row r="3249" spans="1:1">
      <c r="A3249" s="35" t="s">
        <v>41057</v>
      </c>
    </row>
    <row r="3250" spans="1:1">
      <c r="A3250" s="35" t="s">
        <v>41057</v>
      </c>
    </row>
    <row r="3251" spans="1:1">
      <c r="A3251" s="35" t="s">
        <v>41057</v>
      </c>
    </row>
    <row r="3252" spans="1:1">
      <c r="A3252" s="35" t="s">
        <v>41057</v>
      </c>
    </row>
    <row r="3253" spans="1:1">
      <c r="A3253" s="35" t="s">
        <v>41057</v>
      </c>
    </row>
    <row r="3254" spans="1:1">
      <c r="A3254" s="35" t="s">
        <v>41057</v>
      </c>
    </row>
    <row r="3255" spans="1:1">
      <c r="A3255" s="35" t="s">
        <v>41057</v>
      </c>
    </row>
    <row r="3256" spans="1:1">
      <c r="A3256" s="35" t="s">
        <v>41057</v>
      </c>
    </row>
    <row r="3257" spans="1:1">
      <c r="A3257" s="35" t="e" cm="1">
        <f t="array" ref="A3257">-----------------------------------------------------YP---AE</f>
        <v>#NAME?</v>
      </c>
    </row>
    <row r="3258" spans="1:1">
      <c r="A3258" s="35" t="s">
        <v>54226</v>
      </c>
    </row>
    <row r="3259" spans="1:1">
      <c r="A3259" s="35" t="e" cm="1">
        <f t="array" ref="A3259">---------------NDWFRTYDSIFR---------MDND------------------RV</f>
        <v>#NAME?</v>
      </c>
    </row>
    <row r="3260" spans="1:1">
      <c r="A3260" s="35" t="s">
        <v>54227</v>
      </c>
    </row>
    <row r="3261" spans="1:1">
      <c r="A3261" s="35" t="s">
        <v>41057</v>
      </c>
    </row>
    <row r="3262" spans="1:1">
      <c r="A3262" s="35" t="s">
        <v>41057</v>
      </c>
    </row>
    <row r="3263" spans="1:1">
      <c r="A3263" s="35" t="s">
        <v>54228</v>
      </c>
    </row>
    <row r="3264" spans="1:1">
      <c r="A3264" s="35" t="s">
        <v>41057</v>
      </c>
    </row>
    <row r="3265" spans="1:1">
      <c r="A3265" s="35" t="s">
        <v>54229</v>
      </c>
    </row>
    <row r="3266" spans="1:1">
      <c r="A3266" s="35" t="s">
        <v>54230</v>
      </c>
    </row>
    <row r="3267" spans="1:1">
      <c r="A3267" s="35" t="s">
        <v>54231</v>
      </c>
    </row>
    <row r="3268" spans="1:1">
      <c r="A3268" s="35" t="s">
        <v>41057</v>
      </c>
    </row>
    <row r="3269" spans="1:1">
      <c r="A3269" s="35" t="s">
        <v>41057</v>
      </c>
    </row>
    <row r="3270" spans="1:1">
      <c r="A3270" s="35" t="s">
        <v>41057</v>
      </c>
    </row>
    <row r="3271" spans="1:1">
      <c r="A3271" s="35" t="s">
        <v>54232</v>
      </c>
    </row>
    <row r="3272" spans="1:1">
      <c r="A3272" s="35" t="s">
        <v>41057</v>
      </c>
    </row>
    <row r="3273" spans="1:1">
      <c r="A3273" s="35" t="s">
        <v>41057</v>
      </c>
    </row>
    <row r="3274" spans="1:1">
      <c r="A3274" s="35" t="s">
        <v>54233</v>
      </c>
    </row>
    <row r="3275" spans="1:1">
      <c r="A3275" s="35" t="s">
        <v>54234</v>
      </c>
    </row>
    <row r="3276" spans="1:1">
      <c r="A3276" s="35" t="s">
        <v>54235</v>
      </c>
    </row>
    <row r="3277" spans="1:1">
      <c r="A3277" s="35" t="s">
        <v>54236</v>
      </c>
    </row>
    <row r="3278" spans="1:1">
      <c r="A3278" s="35" t="e" cm="1">
        <f t="array" ref="A3278">----------------------------------------------------------FT</f>
        <v>#NAME?</v>
      </c>
    </row>
    <row r="3279" spans="1:1">
      <c r="A3279" s="35" t="s">
        <v>54237</v>
      </c>
    </row>
    <row r="3280" spans="1:1">
      <c r="A3280" s="35" t="s">
        <v>54238</v>
      </c>
    </row>
    <row r="3281" spans="1:1">
      <c r="A3281" s="35" t="s">
        <v>54239</v>
      </c>
    </row>
    <row r="3282" spans="1:1">
      <c r="A3282" s="35" t="s">
        <v>41057</v>
      </c>
    </row>
    <row r="3283" spans="1:1">
      <c r="A3283" s="35" t="s">
        <v>54240</v>
      </c>
    </row>
    <row r="3284" spans="1:1">
      <c r="A3284" s="35" t="s">
        <v>41057</v>
      </c>
    </row>
    <row r="3285" spans="1:1">
      <c r="A3285" s="35" t="s">
        <v>54241</v>
      </c>
    </row>
    <row r="3286" spans="1:1">
      <c r="A3286" s="35" t="s">
        <v>41057</v>
      </c>
    </row>
    <row r="3287" spans="1:1">
      <c r="A3287" s="35" t="s">
        <v>54242</v>
      </c>
    </row>
    <row r="3288" spans="1:1">
      <c r="A3288" s="35" t="s">
        <v>54243</v>
      </c>
    </row>
    <row r="3289" spans="1:1">
      <c r="A3289" s="35" t="s">
        <v>41057</v>
      </c>
    </row>
    <row r="3290" spans="1:1">
      <c r="A3290" s="35" t="s">
        <v>41057</v>
      </c>
    </row>
    <row r="3291" spans="1:1">
      <c r="A3291" s="35" t="s">
        <v>54244</v>
      </c>
    </row>
    <row r="3292" spans="1:1">
      <c r="A3292" s="35" t="e" cm="1">
        <f t="array" ref="A3292">------------------------------------------------TFNEQLAPLDSA</f>
        <v>#NAME?</v>
      </c>
    </row>
    <row r="3293" spans="1:1">
      <c r="A3293" s="35" t="s">
        <v>54245</v>
      </c>
    </row>
    <row r="3294" spans="1:1">
      <c r="A3294" s="35" t="s">
        <v>54246</v>
      </c>
    </row>
    <row r="3295" spans="1:1">
      <c r="A3295" s="35" t="s">
        <v>54247</v>
      </c>
    </row>
    <row r="3296" spans="1:1">
      <c r="A3296" s="35" t="s">
        <v>54248</v>
      </c>
    </row>
    <row r="3297" spans="1:1">
      <c r="A3297" s="35" t="s">
        <v>54249</v>
      </c>
    </row>
    <row r="3298" spans="1:1">
      <c r="A3298" s="35" t="s">
        <v>54250</v>
      </c>
    </row>
    <row r="3299" spans="1:1">
      <c r="A3299" s="35" t="e" cm="1">
        <f t="array" ref="A3299">-------------------------------------------------------VIANV</f>
        <v>#NAME?</v>
      </c>
    </row>
    <row r="3300" spans="1:1">
      <c r="A3300" s="35" t="s">
        <v>54251</v>
      </c>
    </row>
    <row r="3301" spans="1:1">
      <c r="A3301" s="35" t="s">
        <v>54252</v>
      </c>
    </row>
    <row r="3302" spans="1:1">
      <c r="A3302" s="35" t="s">
        <v>54253</v>
      </c>
    </row>
    <row r="3303" spans="1:1">
      <c r="A3303" s="35" t="s">
        <v>41057</v>
      </c>
    </row>
    <row r="3304" spans="1:1">
      <c r="A3304" s="35" t="s">
        <v>53545</v>
      </c>
    </row>
    <row r="3305" spans="1:1">
      <c r="A3305" s="35" t="s">
        <v>53045</v>
      </c>
    </row>
    <row r="3306" spans="1:1">
      <c r="A3306" s="35" t="s">
        <v>41057</v>
      </c>
    </row>
    <row r="3307" spans="1:1">
      <c r="A3307" s="35" t="s">
        <v>41057</v>
      </c>
    </row>
    <row r="3308" spans="1:1">
      <c r="A3308" s="35" t="s">
        <v>41057</v>
      </c>
    </row>
    <row r="3309" spans="1:1">
      <c r="A3309" s="35" t="s">
        <v>41057</v>
      </c>
    </row>
    <row r="3310" spans="1:1">
      <c r="A3310" s="35" t="s">
        <v>41057</v>
      </c>
    </row>
    <row r="3311" spans="1:1">
      <c r="A3311" s="35" t="s">
        <v>41057</v>
      </c>
    </row>
    <row r="3312" spans="1:1">
      <c r="A3312" s="35" t="s">
        <v>41057</v>
      </c>
    </row>
    <row r="3313" spans="1:1">
      <c r="A3313" s="35" t="s">
        <v>41057</v>
      </c>
    </row>
    <row r="3314" spans="1:1">
      <c r="A3314" s="35" t="s">
        <v>41057</v>
      </c>
    </row>
    <row r="3315" spans="1:1">
      <c r="A3315" s="35" t="s">
        <v>41057</v>
      </c>
    </row>
    <row r="3316" spans="1:1">
      <c r="A3316" s="35" t="s">
        <v>41057</v>
      </c>
    </row>
    <row r="3317" spans="1:1">
      <c r="A3317" s="35" t="s">
        <v>41057</v>
      </c>
    </row>
    <row r="3318" spans="1:1">
      <c r="A3318" s="35" t="s">
        <v>41057</v>
      </c>
    </row>
    <row r="3319" spans="1:1">
      <c r="A3319" s="35" t="s">
        <v>41057</v>
      </c>
    </row>
    <row r="3320" spans="1:1">
      <c r="A3320" s="35" t="s">
        <v>41057</v>
      </c>
    </row>
    <row r="3321" spans="1:1">
      <c r="A3321" s="35" t="s">
        <v>41057</v>
      </c>
    </row>
    <row r="3322" spans="1:1">
      <c r="A3322" s="35" t="s">
        <v>41057</v>
      </c>
    </row>
    <row r="3323" spans="1:1">
      <c r="A3323" s="35" t="s">
        <v>41057</v>
      </c>
    </row>
    <row r="3324" spans="1:1">
      <c r="A3324" s="35" t="s">
        <v>41057</v>
      </c>
    </row>
    <row r="3325" spans="1:1">
      <c r="A3325" s="35" t="s">
        <v>41057</v>
      </c>
    </row>
    <row r="3326" spans="1:1">
      <c r="A3326" s="35" t="s">
        <v>41057</v>
      </c>
    </row>
    <row r="3327" spans="1:1">
      <c r="A3327" s="35" t="s">
        <v>41057</v>
      </c>
    </row>
    <row r="3328" spans="1:1">
      <c r="A3328" s="35" t="s">
        <v>41057</v>
      </c>
    </row>
    <row r="3329" spans="1:1">
      <c r="A3329" s="35" t="s">
        <v>41057</v>
      </c>
    </row>
    <row r="3330" spans="1:1">
      <c r="A3330" s="35" t="s">
        <v>41057</v>
      </c>
    </row>
    <row r="3331" spans="1:1">
      <c r="A3331" s="35" t="s">
        <v>41057</v>
      </c>
    </row>
    <row r="3332" spans="1:1">
      <c r="A3332" s="35" t="s">
        <v>41057</v>
      </c>
    </row>
    <row r="3333" spans="1:1">
      <c r="A3333" s="35" t="s">
        <v>41057</v>
      </c>
    </row>
    <row r="3334" spans="1:1">
      <c r="A3334" s="35" t="s">
        <v>41057</v>
      </c>
    </row>
    <row r="3335" spans="1:1">
      <c r="A3335" s="35" t="s">
        <v>41057</v>
      </c>
    </row>
    <row r="3336" spans="1:1">
      <c r="A3336" s="35" t="s">
        <v>41057</v>
      </c>
    </row>
    <row r="3337" spans="1:1">
      <c r="A3337" s="35" t="s">
        <v>41057</v>
      </c>
    </row>
    <row r="3338" spans="1:1">
      <c r="A3338" s="35" t="s">
        <v>41057</v>
      </c>
    </row>
    <row r="3339" spans="1:1">
      <c r="A3339" s="35" t="s">
        <v>41057</v>
      </c>
    </row>
    <row r="3340" spans="1:1">
      <c r="A3340" s="35" t="s">
        <v>41057</v>
      </c>
    </row>
    <row r="3341" spans="1:1">
      <c r="A3341" s="35" t="s">
        <v>41057</v>
      </c>
    </row>
    <row r="3342" spans="1:1">
      <c r="A3342" s="35" t="s">
        <v>54254</v>
      </c>
    </row>
    <row r="3343" spans="1:1">
      <c r="A3343" s="35" t="s">
        <v>41057</v>
      </c>
    </row>
    <row r="3344" spans="1:1">
      <c r="A3344" s="35" t="s">
        <v>41057</v>
      </c>
    </row>
    <row r="3345" spans="1:1">
      <c r="A3345" s="35" t="s">
        <v>41057</v>
      </c>
    </row>
    <row r="3346" spans="1:1">
      <c r="A3346" s="35" t="s">
        <v>41057</v>
      </c>
    </row>
    <row r="3347" spans="1:1">
      <c r="A3347" s="35" t="s">
        <v>41057</v>
      </c>
    </row>
    <row r="3348" spans="1:1">
      <c r="A3348" s="35" t="s">
        <v>54255</v>
      </c>
    </row>
    <row r="3349" spans="1:1">
      <c r="A3349" s="35" t="s">
        <v>41057</v>
      </c>
    </row>
    <row r="3350" spans="1:1">
      <c r="A3350" s="35" t="s">
        <v>41057</v>
      </c>
    </row>
    <row r="3351" spans="1:1">
      <c r="A3351" s="35" t="s">
        <v>54256</v>
      </c>
    </row>
    <row r="3352" spans="1:1">
      <c r="A3352" s="35" t="s">
        <v>41057</v>
      </c>
    </row>
    <row r="3353" spans="1:1">
      <c r="A3353" s="35" t="s">
        <v>41057</v>
      </c>
    </row>
    <row r="3354" spans="1:1">
      <c r="A3354" s="35" t="s">
        <v>41057</v>
      </c>
    </row>
    <row r="3355" spans="1:1">
      <c r="A3355" s="35" t="s">
        <v>41057</v>
      </c>
    </row>
    <row r="3356" spans="1:1">
      <c r="A3356" s="35" t="s">
        <v>41057</v>
      </c>
    </row>
    <row r="3357" spans="1:1">
      <c r="A3357" s="35" t="s">
        <v>41057</v>
      </c>
    </row>
    <row r="3358" spans="1:1">
      <c r="A3358" s="35" t="s">
        <v>41057</v>
      </c>
    </row>
    <row r="3359" spans="1:1">
      <c r="A3359" s="35" t="s">
        <v>41057</v>
      </c>
    </row>
    <row r="3360" spans="1:1">
      <c r="A3360" s="35" t="s">
        <v>41057</v>
      </c>
    </row>
    <row r="3361" spans="1:1">
      <c r="A3361" s="35" t="s">
        <v>41057</v>
      </c>
    </row>
    <row r="3362" spans="1:1">
      <c r="A3362" s="35" t="s">
        <v>41057</v>
      </c>
    </row>
    <row r="3363" spans="1:1">
      <c r="A3363" s="35" t="s">
        <v>41057</v>
      </c>
    </row>
    <row r="3364" spans="1:1">
      <c r="A3364" s="35" t="s">
        <v>41057</v>
      </c>
    </row>
    <row r="3365" spans="1:1">
      <c r="A3365" s="35" t="s">
        <v>41057</v>
      </c>
    </row>
    <row r="3366" spans="1:1">
      <c r="A3366" s="35" t="s">
        <v>41057</v>
      </c>
    </row>
    <row r="3367" spans="1:1">
      <c r="A3367" s="35" t="s">
        <v>54257</v>
      </c>
    </row>
    <row r="3368" spans="1:1">
      <c r="A3368" s="35" t="s">
        <v>41057</v>
      </c>
    </row>
    <row r="3369" spans="1:1">
      <c r="A3369" s="35" t="s">
        <v>41057</v>
      </c>
    </row>
    <row r="3370" spans="1:1">
      <c r="A3370" s="35" t="s">
        <v>41057</v>
      </c>
    </row>
    <row r="3371" spans="1:1">
      <c r="A3371" s="35" t="s">
        <v>41057</v>
      </c>
    </row>
    <row r="3372" spans="1:1">
      <c r="A3372" s="35" t="s">
        <v>41057</v>
      </c>
    </row>
    <row r="3373" spans="1:1">
      <c r="A3373" s="35" t="s">
        <v>41057</v>
      </c>
    </row>
    <row r="3374" spans="1:1">
      <c r="A3374" s="35" t="s">
        <v>41057</v>
      </c>
    </row>
    <row r="3375" spans="1:1">
      <c r="A3375" s="35" t="e" cm="1">
        <f t="array" ref="A3375">-----------------------------------------------------KA---AE</f>
        <v>#NAME?</v>
      </c>
    </row>
    <row r="3376" spans="1:1">
      <c r="A3376" s="35" t="s">
        <v>54258</v>
      </c>
    </row>
    <row r="3377" spans="1:1">
      <c r="A3377" s="35" t="e" cm="1">
        <f t="array" ref="A3377">---------------NFMMRLEDELWH---------TDSE------------------KH</f>
        <v>#NAME?</v>
      </c>
    </row>
    <row r="3378" spans="1:1">
      <c r="A3378" s="35" t="s">
        <v>54259</v>
      </c>
    </row>
    <row r="3379" spans="1:1">
      <c r="A3379" s="35" t="e" cm="1">
        <f t="array" ref="A3379">---------------------------------------------FDEND--------AT</f>
        <v>#NAME?</v>
      </c>
    </row>
    <row r="3380" spans="1:1">
      <c r="A3380" s="35" t="s">
        <v>54260</v>
      </c>
    </row>
    <row r="3381" spans="1:1">
      <c r="A3381" s="35" t="s">
        <v>54261</v>
      </c>
    </row>
    <row r="3382" spans="1:1">
      <c r="A3382" s="35" t="s">
        <v>41057</v>
      </c>
    </row>
    <row r="3383" spans="1:1">
      <c r="A3383" s="35" t="s">
        <v>54262</v>
      </c>
    </row>
    <row r="3384" spans="1:1">
      <c r="A3384" s="35" t="s">
        <v>54263</v>
      </c>
    </row>
    <row r="3385" spans="1:1">
      <c r="A3385" s="35" t="s">
        <v>53973</v>
      </c>
    </row>
    <row r="3386" spans="1:1">
      <c r="A3386" s="35" t="s">
        <v>41057</v>
      </c>
    </row>
    <row r="3387" spans="1:1">
      <c r="A3387" s="35" t="s">
        <v>41057</v>
      </c>
    </row>
    <row r="3388" spans="1:1">
      <c r="A3388" s="35" t="s">
        <v>41057</v>
      </c>
    </row>
    <row r="3389" spans="1:1">
      <c r="A3389" s="35" t="s">
        <v>54264</v>
      </c>
    </row>
    <row r="3390" spans="1:1">
      <c r="A3390" s="35" t="s">
        <v>41057</v>
      </c>
    </row>
    <row r="3391" spans="1:1">
      <c r="A3391" s="35" t="s">
        <v>41057</v>
      </c>
    </row>
    <row r="3392" spans="1:1">
      <c r="A3392" s="35" t="s">
        <v>54265</v>
      </c>
    </row>
    <row r="3393" spans="1:1">
      <c r="A3393" s="35" t="s">
        <v>54266</v>
      </c>
    </row>
    <row r="3394" spans="1:1">
      <c r="A3394" s="35" t="s">
        <v>54267</v>
      </c>
    </row>
    <row r="3395" spans="1:1">
      <c r="A3395" s="35" t="s">
        <v>54268</v>
      </c>
    </row>
    <row r="3396" spans="1:1">
      <c r="A3396" s="35" t="e" cm="1">
        <f t="array" ref="A3396">----------------------------------------------------------WT</f>
        <v>#NAME?</v>
      </c>
    </row>
    <row r="3397" spans="1:1">
      <c r="A3397" s="35" t="s">
        <v>54269</v>
      </c>
    </row>
    <row r="3398" spans="1:1">
      <c r="A3398" s="35" t="s">
        <v>54270</v>
      </c>
    </row>
    <row r="3399" spans="1:1">
      <c r="A3399" s="35" t="s">
        <v>54271</v>
      </c>
    </row>
    <row r="3400" spans="1:1">
      <c r="A3400" s="35" t="s">
        <v>41057</v>
      </c>
    </row>
    <row r="3401" spans="1:1">
      <c r="A3401" s="35" t="s">
        <v>54272</v>
      </c>
    </row>
    <row r="3402" spans="1:1">
      <c r="A3402" s="35" t="s">
        <v>54273</v>
      </c>
    </row>
    <row r="3403" spans="1:1">
      <c r="A3403" s="35" t="s">
        <v>54274</v>
      </c>
    </row>
    <row r="3404" spans="1:1">
      <c r="A3404" s="35" t="s">
        <v>41057</v>
      </c>
    </row>
    <row r="3405" spans="1:1">
      <c r="A3405" s="35" t="s">
        <v>54275</v>
      </c>
    </row>
    <row r="3406" spans="1:1">
      <c r="A3406" s="35" t="s">
        <v>54276</v>
      </c>
    </row>
    <row r="3407" spans="1:1">
      <c r="A3407" s="35" t="s">
        <v>41057</v>
      </c>
    </row>
    <row r="3408" spans="1:1">
      <c r="A3408" s="35" t="s">
        <v>41057</v>
      </c>
    </row>
    <row r="3409" spans="1:1">
      <c r="A3409" s="35" t="s">
        <v>41057</v>
      </c>
    </row>
    <row r="3410" spans="1:1">
      <c r="A3410" s="35" t="e" cm="1">
        <f t="array" ref="A3410">----------------------------------------------------AYGPLYQA</f>
        <v>#NAME?</v>
      </c>
    </row>
    <row r="3411" spans="1:1">
      <c r="A3411" s="35" t="s">
        <v>54277</v>
      </c>
    </row>
    <row r="3412" spans="1:1">
      <c r="A3412" s="35" t="s">
        <v>54278</v>
      </c>
    </row>
    <row r="3413" spans="1:1">
      <c r="A3413" s="35" t="s">
        <v>54279</v>
      </c>
    </row>
    <row r="3414" spans="1:1">
      <c r="A3414" s="35" t="s">
        <v>54280</v>
      </c>
    </row>
    <row r="3415" spans="1:1">
      <c r="A3415" s="35" t="s">
        <v>54281</v>
      </c>
    </row>
    <row r="3416" spans="1:1">
      <c r="A3416" s="35" t="s">
        <v>54282</v>
      </c>
    </row>
    <row r="3417" spans="1:1">
      <c r="A3417" s="35" t="e" cm="1">
        <f t="array" ref="A3417">---------------------------------------------------------ANV</f>
        <v>#NAME?</v>
      </c>
    </row>
    <row r="3418" spans="1:1">
      <c r="A3418" s="35" t="s">
        <v>54283</v>
      </c>
    </row>
    <row r="3419" spans="1:1">
      <c r="A3419" s="35" t="s">
        <v>54284</v>
      </c>
    </row>
    <row r="3420" spans="1:1">
      <c r="A3420" s="35" t="s">
        <v>54285</v>
      </c>
    </row>
    <row r="3421" spans="1:1">
      <c r="A3421" s="35" t="e" cm="1">
        <f t="array" ref="A3421">---------------NRDNQQVDHRQT--VLDIVFGD--TSETERVLGMCESCPLAIHSL</f>
        <v>#NAME?</v>
      </c>
    </row>
    <row r="3422" spans="1:1">
      <c r="A3422" s="35" t="s">
        <v>54286</v>
      </c>
    </row>
    <row r="3423" spans="1:1">
      <c r="A3423" s="35" t="s">
        <v>53431</v>
      </c>
    </row>
    <row r="3424" spans="1:1">
      <c r="A3424" s="35" t="s">
        <v>41057</v>
      </c>
    </row>
    <row r="3425" spans="1:1">
      <c r="A3425" s="35" t="s">
        <v>41057</v>
      </c>
    </row>
    <row r="3426" spans="1:1">
      <c r="A3426" s="35" t="s">
        <v>41057</v>
      </c>
    </row>
    <row r="3427" spans="1:1">
      <c r="A3427" s="35" t="s">
        <v>41057</v>
      </c>
    </row>
    <row r="3428" spans="1:1">
      <c r="A3428" s="35" t="s">
        <v>41057</v>
      </c>
    </row>
    <row r="3429" spans="1:1">
      <c r="A3429" s="35" t="s">
        <v>41057</v>
      </c>
    </row>
    <row r="3430" spans="1:1">
      <c r="A3430" s="35" t="s">
        <v>41057</v>
      </c>
    </row>
    <row r="3431" spans="1:1">
      <c r="A3431" s="35" t="s">
        <v>41057</v>
      </c>
    </row>
    <row r="3432" spans="1:1">
      <c r="A3432" s="35" t="s">
        <v>41057</v>
      </c>
    </row>
    <row r="3433" spans="1:1">
      <c r="A3433" s="35" t="s">
        <v>41057</v>
      </c>
    </row>
    <row r="3434" spans="1:1">
      <c r="A3434" s="35" t="s">
        <v>54287</v>
      </c>
    </row>
    <row r="3435" spans="1:1">
      <c r="A3435" s="35" t="s">
        <v>54099</v>
      </c>
    </row>
    <row r="3436" spans="1:1">
      <c r="A3436" s="35" t="s">
        <v>53710</v>
      </c>
    </row>
    <row r="3437" spans="1:1">
      <c r="A3437" s="35" t="s">
        <v>41057</v>
      </c>
    </row>
    <row r="3438" spans="1:1">
      <c r="A3438" s="35" t="s">
        <v>41057</v>
      </c>
    </row>
    <row r="3439" spans="1:1">
      <c r="A3439" s="35" t="e" cm="1">
        <f t="array" ref="A3439">---------------SITF------------------FKT-------------------I</f>
        <v>#NAME?</v>
      </c>
    </row>
    <row r="3440" spans="1:1">
      <c r="A3440" s="35" t="s">
        <v>54288</v>
      </c>
    </row>
    <row r="3441" spans="1:1">
      <c r="A3441" s="35" t="s">
        <v>54289</v>
      </c>
    </row>
    <row r="3442" spans="1:1">
      <c r="A3442" s="35" t="s">
        <v>41057</v>
      </c>
    </row>
    <row r="3443" spans="1:1">
      <c r="A3443" s="35" t="s">
        <v>54103</v>
      </c>
    </row>
    <row r="3444" spans="1:1">
      <c r="A3444" s="35" t="s">
        <v>41057</v>
      </c>
    </row>
    <row r="3445" spans="1:1">
      <c r="A3445" s="35" t="s">
        <v>41057</v>
      </c>
    </row>
    <row r="3446" spans="1:1">
      <c r="A3446" s="35" t="s">
        <v>54290</v>
      </c>
    </row>
    <row r="3447" spans="1:1">
      <c r="A3447" s="35" t="s">
        <v>41057</v>
      </c>
    </row>
    <row r="3448" spans="1:1">
      <c r="A3448" s="35" t="s">
        <v>41057</v>
      </c>
    </row>
    <row r="3449" spans="1:1">
      <c r="A3449" s="35" t="s">
        <v>53500</v>
      </c>
    </row>
    <row r="3450" spans="1:1">
      <c r="A3450" s="35" t="s">
        <v>41057</v>
      </c>
    </row>
    <row r="3451" spans="1:1">
      <c r="A3451" s="35" t="s">
        <v>41057</v>
      </c>
    </row>
    <row r="3452" spans="1:1">
      <c r="A3452" s="35" t="s">
        <v>54291</v>
      </c>
    </row>
    <row r="3453" spans="1:1">
      <c r="A3453" s="35" t="s">
        <v>41057</v>
      </c>
    </row>
    <row r="3454" spans="1:1">
      <c r="A3454" s="35" t="s">
        <v>54292</v>
      </c>
    </row>
    <row r="3455" spans="1:1">
      <c r="A3455" s="35" t="s">
        <v>41057</v>
      </c>
    </row>
    <row r="3456" spans="1:1">
      <c r="A3456" s="35" t="s">
        <v>54293</v>
      </c>
    </row>
    <row r="3457" spans="1:1">
      <c r="A3457" s="35" t="s">
        <v>54294</v>
      </c>
    </row>
    <row r="3458" spans="1:1">
      <c r="A3458" s="35" t="s">
        <v>41057</v>
      </c>
    </row>
    <row r="3459" spans="1:1">
      <c r="A3459" s="35" t="s">
        <v>41057</v>
      </c>
    </row>
    <row r="3460" spans="1:1">
      <c r="A3460" s="35" t="s">
        <v>54295</v>
      </c>
    </row>
    <row r="3461" spans="1:1">
      <c r="A3461" s="35" t="s">
        <v>41057</v>
      </c>
    </row>
    <row r="3462" spans="1:1">
      <c r="A3462" s="35" t="s">
        <v>41057</v>
      </c>
    </row>
    <row r="3463" spans="1:1">
      <c r="A3463" s="35" t="s">
        <v>41057</v>
      </c>
    </row>
    <row r="3464" spans="1:1">
      <c r="A3464" s="35" t="s">
        <v>41057</v>
      </c>
    </row>
    <row r="3465" spans="1:1">
      <c r="A3465" s="35" t="s">
        <v>41057</v>
      </c>
    </row>
    <row r="3466" spans="1:1">
      <c r="A3466" s="35" t="s">
        <v>54296</v>
      </c>
    </row>
    <row r="3467" spans="1:1">
      <c r="A3467" s="35" t="s">
        <v>41057</v>
      </c>
    </row>
    <row r="3468" spans="1:1">
      <c r="A3468" s="35" t="s">
        <v>41057</v>
      </c>
    </row>
    <row r="3469" spans="1:1">
      <c r="A3469" s="35" t="s">
        <v>54297</v>
      </c>
    </row>
    <row r="3470" spans="1:1">
      <c r="A3470" s="35" t="s">
        <v>41057</v>
      </c>
    </row>
    <row r="3471" spans="1:1">
      <c r="A3471" s="35" t="s">
        <v>41057</v>
      </c>
    </row>
    <row r="3472" spans="1:1">
      <c r="A3472" s="35" t="s">
        <v>41057</v>
      </c>
    </row>
    <row r="3473" spans="1:1">
      <c r="A3473" s="35" t="s">
        <v>41057</v>
      </c>
    </row>
    <row r="3474" spans="1:1">
      <c r="A3474" s="35" t="s">
        <v>41057</v>
      </c>
    </row>
    <row r="3475" spans="1:1">
      <c r="A3475" s="35" t="s">
        <v>41057</v>
      </c>
    </row>
    <row r="3476" spans="1:1">
      <c r="A3476" s="35" t="s">
        <v>41057</v>
      </c>
    </row>
    <row r="3477" spans="1:1">
      <c r="A3477" s="35" t="s">
        <v>41057</v>
      </c>
    </row>
    <row r="3478" spans="1:1">
      <c r="A3478" s="35" t="s">
        <v>41057</v>
      </c>
    </row>
    <row r="3479" spans="1:1">
      <c r="A3479" s="35" t="s">
        <v>41057</v>
      </c>
    </row>
    <row r="3480" spans="1:1">
      <c r="A3480" s="35" t="s">
        <v>41057</v>
      </c>
    </row>
    <row r="3481" spans="1:1">
      <c r="A3481" s="35" t="s">
        <v>41057</v>
      </c>
    </row>
    <row r="3482" spans="1:1">
      <c r="A3482" s="35" t="s">
        <v>41057</v>
      </c>
    </row>
    <row r="3483" spans="1:1">
      <c r="A3483" s="35" t="s">
        <v>41057</v>
      </c>
    </row>
    <row r="3484" spans="1:1">
      <c r="A3484" s="35" t="s">
        <v>41057</v>
      </c>
    </row>
    <row r="3485" spans="1:1">
      <c r="A3485" s="35" t="s">
        <v>54257</v>
      </c>
    </row>
    <row r="3486" spans="1:1">
      <c r="A3486" s="35" t="s">
        <v>41057</v>
      </c>
    </row>
    <row r="3487" spans="1:1">
      <c r="A3487" s="35" t="s">
        <v>41057</v>
      </c>
    </row>
    <row r="3488" spans="1:1">
      <c r="A3488" s="35" t="s">
        <v>41057</v>
      </c>
    </row>
    <row r="3489" spans="1:1">
      <c r="A3489" s="35" t="s">
        <v>41057</v>
      </c>
    </row>
    <row r="3490" spans="1:1">
      <c r="A3490" s="35" t="s">
        <v>41057</v>
      </c>
    </row>
    <row r="3491" spans="1:1">
      <c r="A3491" s="35" t="s">
        <v>41057</v>
      </c>
    </row>
    <row r="3492" spans="1:1">
      <c r="A3492" s="35" t="s">
        <v>41057</v>
      </c>
    </row>
    <row r="3493" spans="1:1">
      <c r="A3493" s="35" t="e" cm="1">
        <f t="array" ref="A3493">-----------------------------------------------------KA---AE</f>
        <v>#NAME?</v>
      </c>
    </row>
    <row r="3494" spans="1:1">
      <c r="A3494" s="35" t="s">
        <v>54258</v>
      </c>
    </row>
    <row r="3495" spans="1:1">
      <c r="A3495" s="35" t="e" cm="1">
        <f t="array" ref="A3495">---------------NFMMRLEDELWH---------TDSE------------------KA</f>
        <v>#NAME?</v>
      </c>
    </row>
    <row r="3496" spans="1:1">
      <c r="A3496" s="35" t="s">
        <v>54259</v>
      </c>
    </row>
    <row r="3497" spans="1:1">
      <c r="A3497" s="35" t="e" cm="1">
        <f t="array" ref="A3497">---------------------------------------------FDESD--------AT</f>
        <v>#NAME?</v>
      </c>
    </row>
    <row r="3498" spans="1:1">
      <c r="A3498" s="35" t="s">
        <v>54298</v>
      </c>
    </row>
    <row r="3499" spans="1:1">
      <c r="A3499" s="35" t="s">
        <v>54299</v>
      </c>
    </row>
    <row r="3500" spans="1:1">
      <c r="A3500" s="35" t="s">
        <v>41057</v>
      </c>
    </row>
    <row r="3501" spans="1:1">
      <c r="A3501" s="35" t="s">
        <v>54262</v>
      </c>
    </row>
    <row r="3502" spans="1:1">
      <c r="A3502" s="35" t="s">
        <v>54263</v>
      </c>
    </row>
    <row r="3503" spans="1:1">
      <c r="A3503" s="35" t="s">
        <v>53973</v>
      </c>
    </row>
    <row r="3504" spans="1:1">
      <c r="A3504" s="35" t="s">
        <v>41057</v>
      </c>
    </row>
    <row r="3505" spans="1:1">
      <c r="A3505" s="35" t="s">
        <v>41057</v>
      </c>
    </row>
    <row r="3506" spans="1:1">
      <c r="A3506" s="35" t="s">
        <v>41057</v>
      </c>
    </row>
    <row r="3507" spans="1:1">
      <c r="A3507" s="35" t="s">
        <v>54300</v>
      </c>
    </row>
    <row r="3508" spans="1:1">
      <c r="A3508" s="35" t="s">
        <v>41057</v>
      </c>
    </row>
    <row r="3509" spans="1:1">
      <c r="A3509" s="35" t="s">
        <v>41057</v>
      </c>
    </row>
    <row r="3510" spans="1:1">
      <c r="A3510" s="35" t="s">
        <v>54265</v>
      </c>
    </row>
    <row r="3511" spans="1:1">
      <c r="A3511" s="35" t="s">
        <v>54266</v>
      </c>
    </row>
    <row r="3512" spans="1:1">
      <c r="A3512" s="35" t="s">
        <v>54267</v>
      </c>
    </row>
    <row r="3513" spans="1:1">
      <c r="A3513" s="35" t="s">
        <v>54268</v>
      </c>
    </row>
    <row r="3514" spans="1:1">
      <c r="A3514" s="35" t="e" cm="1">
        <f t="array" ref="A3514">----------------------------------------------------------WT</f>
        <v>#NAME?</v>
      </c>
    </row>
    <row r="3515" spans="1:1">
      <c r="A3515" s="35" t="s">
        <v>54269</v>
      </c>
    </row>
    <row r="3516" spans="1:1">
      <c r="A3516" s="35" t="s">
        <v>54270</v>
      </c>
    </row>
    <row r="3517" spans="1:1">
      <c r="A3517" s="35" t="s">
        <v>54271</v>
      </c>
    </row>
    <row r="3518" spans="1:1">
      <c r="A3518" s="35" t="s">
        <v>41057</v>
      </c>
    </row>
    <row r="3519" spans="1:1">
      <c r="A3519" s="35" t="s">
        <v>54272</v>
      </c>
    </row>
    <row r="3520" spans="1:1">
      <c r="A3520" s="35" t="s">
        <v>54273</v>
      </c>
    </row>
    <row r="3521" spans="1:1">
      <c r="A3521" s="35" t="s">
        <v>54274</v>
      </c>
    </row>
    <row r="3522" spans="1:1">
      <c r="A3522" s="35" t="s">
        <v>41057</v>
      </c>
    </row>
    <row r="3523" spans="1:1">
      <c r="A3523" s="35" t="s">
        <v>54275</v>
      </c>
    </row>
    <row r="3524" spans="1:1">
      <c r="A3524" s="35" t="s">
        <v>54276</v>
      </c>
    </row>
    <row r="3525" spans="1:1">
      <c r="A3525" s="35" t="s">
        <v>41057</v>
      </c>
    </row>
    <row r="3526" spans="1:1">
      <c r="A3526" s="35" t="s">
        <v>41057</v>
      </c>
    </row>
    <row r="3527" spans="1:1">
      <c r="A3527" s="35" t="s">
        <v>41057</v>
      </c>
    </row>
    <row r="3528" spans="1:1">
      <c r="A3528" s="35" t="e" cm="1">
        <f t="array" ref="A3528">----------------------------------------------------AYGPLYQA</f>
        <v>#NAME?</v>
      </c>
    </row>
    <row r="3529" spans="1:1">
      <c r="A3529" s="35" t="s">
        <v>54277</v>
      </c>
    </row>
    <row r="3530" spans="1:1">
      <c r="A3530" s="35" t="s">
        <v>54278</v>
      </c>
    </row>
    <row r="3531" spans="1:1">
      <c r="A3531" s="35" t="s">
        <v>54279</v>
      </c>
    </row>
    <row r="3532" spans="1:1">
      <c r="A3532" s="35" t="s">
        <v>54280</v>
      </c>
    </row>
    <row r="3533" spans="1:1">
      <c r="A3533" s="35" t="s">
        <v>54281</v>
      </c>
    </row>
    <row r="3534" spans="1:1">
      <c r="A3534" s="35" t="s">
        <v>54282</v>
      </c>
    </row>
    <row r="3535" spans="1:1">
      <c r="A3535" s="35" t="e" cm="1">
        <f t="array" ref="A3535">---------------------------------------------------------ANV</f>
        <v>#NAME?</v>
      </c>
    </row>
    <row r="3536" spans="1:1">
      <c r="A3536" s="35" t="s">
        <v>54283</v>
      </c>
    </row>
    <row r="3537" spans="1:1">
      <c r="A3537" s="35" t="s">
        <v>54301</v>
      </c>
    </row>
    <row r="3538" spans="1:1">
      <c r="A3538" s="35" t="s">
        <v>54302</v>
      </c>
    </row>
    <row r="3539" spans="1:1">
      <c r="A3539" s="35" t="e" cm="1">
        <f t="array" ref="A3539">---------------NRDNQQIDYRQT--VLDIVFGG--ITETERVLGMCKSCPLAIHFL</f>
        <v>#NAME?</v>
      </c>
    </row>
    <row r="3540" spans="1:1">
      <c r="A3540" s="35" t="s">
        <v>54303</v>
      </c>
    </row>
    <row r="3541" spans="1:1">
      <c r="A3541" s="35" t="s">
        <v>53303</v>
      </c>
    </row>
    <row r="3542" spans="1:1">
      <c r="A3542" s="35" t="s">
        <v>41057</v>
      </c>
    </row>
    <row r="3543" spans="1:1">
      <c r="A3543" s="35" t="s">
        <v>41057</v>
      </c>
    </row>
    <row r="3544" spans="1:1">
      <c r="A3544" s="35" t="s">
        <v>41057</v>
      </c>
    </row>
    <row r="3545" spans="1:1">
      <c r="A3545" s="35" t="s">
        <v>41057</v>
      </c>
    </row>
    <row r="3546" spans="1:1">
      <c r="A3546" s="35" t="s">
        <v>41057</v>
      </c>
    </row>
    <row r="3547" spans="1:1">
      <c r="A3547" s="35" t="s">
        <v>41057</v>
      </c>
    </row>
    <row r="3548" spans="1:1">
      <c r="A3548" s="35" t="s">
        <v>41057</v>
      </c>
    </row>
    <row r="3549" spans="1:1">
      <c r="A3549" s="35" t="s">
        <v>41057</v>
      </c>
    </row>
    <row r="3550" spans="1:1">
      <c r="A3550" s="35" t="s">
        <v>41057</v>
      </c>
    </row>
    <row r="3551" spans="1:1">
      <c r="A3551" s="35" t="s">
        <v>41057</v>
      </c>
    </row>
    <row r="3552" spans="1:1">
      <c r="A3552" s="35" t="s">
        <v>54304</v>
      </c>
    </row>
    <row r="3553" spans="1:1">
      <c r="A3553" s="35" t="s">
        <v>54305</v>
      </c>
    </row>
    <row r="3554" spans="1:1">
      <c r="A3554" s="35" t="s">
        <v>54306</v>
      </c>
    </row>
    <row r="3555" spans="1:1">
      <c r="A3555" s="35" t="s">
        <v>41057</v>
      </c>
    </row>
    <row r="3556" spans="1:1">
      <c r="A3556" s="35" t="s">
        <v>41057</v>
      </c>
    </row>
    <row r="3557" spans="1:1">
      <c r="A3557" s="35" t="e" cm="1">
        <f t="array" ref="A3557">--------QAVK-IQSIPFKICGN---------TGYQSKT-------------------V</f>
        <v>#NAME?</v>
      </c>
    </row>
    <row r="3558" spans="1:1">
      <c r="A3558" s="35" t="s">
        <v>54288</v>
      </c>
    </row>
    <row r="3559" spans="1:1">
      <c r="A3559" s="35" t="s">
        <v>54307</v>
      </c>
    </row>
    <row r="3560" spans="1:1">
      <c r="A3560" s="35" t="s">
        <v>41057</v>
      </c>
    </row>
    <row r="3561" spans="1:1">
      <c r="A3561" s="35" t="s">
        <v>54308</v>
      </c>
    </row>
    <row r="3562" spans="1:1">
      <c r="A3562" s="35" t="s">
        <v>41057</v>
      </c>
    </row>
    <row r="3563" spans="1:1">
      <c r="A3563" s="35" t="s">
        <v>41057</v>
      </c>
    </row>
    <row r="3564" spans="1:1">
      <c r="A3564" s="35" t="s">
        <v>54309</v>
      </c>
    </row>
    <row r="3565" spans="1:1">
      <c r="A3565" s="35" t="s">
        <v>41057</v>
      </c>
    </row>
    <row r="3566" spans="1:1">
      <c r="A3566" s="35" t="s">
        <v>41057</v>
      </c>
    </row>
    <row r="3567" spans="1:1">
      <c r="A3567" s="35" t="s">
        <v>53500</v>
      </c>
    </row>
    <row r="3568" spans="1:1">
      <c r="A3568" s="35" t="s">
        <v>41057</v>
      </c>
    </row>
    <row r="3569" spans="1:1">
      <c r="A3569" s="35" t="s">
        <v>41057</v>
      </c>
    </row>
    <row r="3570" spans="1:1">
      <c r="A3570" s="35" t="s">
        <v>54310</v>
      </c>
    </row>
    <row r="3571" spans="1:1">
      <c r="A3571" s="35" t="s">
        <v>41057</v>
      </c>
    </row>
    <row r="3572" spans="1:1">
      <c r="A3572" s="35" t="s">
        <v>54311</v>
      </c>
    </row>
    <row r="3573" spans="1:1">
      <c r="A3573" s="35" t="s">
        <v>41057</v>
      </c>
    </row>
    <row r="3574" spans="1:1">
      <c r="A3574" s="35" t="s">
        <v>54312</v>
      </c>
    </row>
    <row r="3575" spans="1:1">
      <c r="A3575" s="35" t="s">
        <v>54313</v>
      </c>
    </row>
    <row r="3576" spans="1:1">
      <c r="A3576" s="35" t="s">
        <v>41057</v>
      </c>
    </row>
    <row r="3577" spans="1:1">
      <c r="A3577" s="35" t="s">
        <v>41057</v>
      </c>
    </row>
    <row r="3578" spans="1:1">
      <c r="A3578" s="35" t="s">
        <v>53991</v>
      </c>
    </row>
    <row r="3579" spans="1:1">
      <c r="A3579" s="35" t="s">
        <v>41057</v>
      </c>
    </row>
    <row r="3580" spans="1:1">
      <c r="A3580" s="35" t="s">
        <v>41057</v>
      </c>
    </row>
    <row r="3581" spans="1:1">
      <c r="A3581" s="35" t="s">
        <v>41057</v>
      </c>
    </row>
    <row r="3582" spans="1:1">
      <c r="A3582" s="35" t="s">
        <v>41057</v>
      </c>
    </row>
    <row r="3583" spans="1:1">
      <c r="A3583" s="35" t="s">
        <v>41057</v>
      </c>
    </row>
    <row r="3584" spans="1:1">
      <c r="A3584" s="35" t="s">
        <v>54314</v>
      </c>
    </row>
    <row r="3585" spans="1:1">
      <c r="A3585" s="35" t="s">
        <v>41057</v>
      </c>
    </row>
    <row r="3586" spans="1:1">
      <c r="A3586" s="35" t="s">
        <v>41057</v>
      </c>
    </row>
    <row r="3587" spans="1:1">
      <c r="A3587" s="35" t="s">
        <v>54315</v>
      </c>
    </row>
    <row r="3588" spans="1:1">
      <c r="A3588" s="35" t="s">
        <v>41057</v>
      </c>
    </row>
    <row r="3589" spans="1:1">
      <c r="A3589" s="35" t="s">
        <v>41057</v>
      </c>
    </row>
    <row r="3590" spans="1:1">
      <c r="A3590" s="35" t="s">
        <v>41057</v>
      </c>
    </row>
    <row r="3591" spans="1:1">
      <c r="A3591" s="35" t="s">
        <v>41057</v>
      </c>
    </row>
    <row r="3592" spans="1:1">
      <c r="A3592" s="35" t="s">
        <v>41057</v>
      </c>
    </row>
    <row r="3593" spans="1:1">
      <c r="A3593" s="35" t="s">
        <v>41057</v>
      </c>
    </row>
    <row r="3594" spans="1:1">
      <c r="A3594" s="35" t="s">
        <v>41057</v>
      </c>
    </row>
    <row r="3595" spans="1:1">
      <c r="A3595" s="35" t="s">
        <v>41057</v>
      </c>
    </row>
    <row r="3596" spans="1:1">
      <c r="A3596" s="35" t="s">
        <v>41057</v>
      </c>
    </row>
    <row r="3597" spans="1:1">
      <c r="A3597" s="35" t="s">
        <v>41057</v>
      </c>
    </row>
    <row r="3598" spans="1:1">
      <c r="A3598" s="35" t="s">
        <v>41057</v>
      </c>
    </row>
    <row r="3599" spans="1:1">
      <c r="A3599" s="35" t="s">
        <v>41057</v>
      </c>
    </row>
    <row r="3600" spans="1:1">
      <c r="A3600" s="35" t="s">
        <v>54316</v>
      </c>
    </row>
    <row r="3601" spans="1:1">
      <c r="A3601" s="35" t="s">
        <v>41057</v>
      </c>
    </row>
    <row r="3602" spans="1:1">
      <c r="A3602" s="35" t="s">
        <v>41057</v>
      </c>
    </row>
    <row r="3603" spans="1:1">
      <c r="A3603" s="35" t="s">
        <v>54317</v>
      </c>
    </row>
    <row r="3604" spans="1:1">
      <c r="A3604" s="35" t="s">
        <v>41057</v>
      </c>
    </row>
    <row r="3605" spans="1:1">
      <c r="A3605" s="35" t="s">
        <v>41057</v>
      </c>
    </row>
    <row r="3606" spans="1:1">
      <c r="A3606" s="35" t="s">
        <v>41057</v>
      </c>
    </row>
    <row r="3607" spans="1:1">
      <c r="A3607" s="35" t="s">
        <v>41057</v>
      </c>
    </row>
    <row r="3608" spans="1:1">
      <c r="A3608" s="35" t="s">
        <v>41057</v>
      </c>
    </row>
    <row r="3609" spans="1:1">
      <c r="A3609" s="35" t="s">
        <v>41057</v>
      </c>
    </row>
    <row r="3610" spans="1:1">
      <c r="A3610" s="35" t="s">
        <v>41057</v>
      </c>
    </row>
    <row r="3611" spans="1:1">
      <c r="A3611" s="35" t="e" cm="1">
        <f t="array" ref="A3611">-----------------------------------------------------YS---AE</f>
        <v>#NAME?</v>
      </c>
    </row>
    <row r="3612" spans="1:1">
      <c r="A3612" s="35" t="s">
        <v>54318</v>
      </c>
    </row>
    <row r="3613" spans="1:1">
      <c r="A3613" s="35" t="e" cm="1">
        <f t="array" ref="A3613">---------------SDMMRVYDELFR---------TAEE------------------KE</f>
        <v>#NAME?</v>
      </c>
    </row>
    <row r="3614" spans="1:1">
      <c r="A3614" s="35" t="s">
        <v>54319</v>
      </c>
    </row>
    <row r="3615" spans="1:1">
      <c r="A3615" s="35" t="e" cm="1">
        <f t="array" ref="A3615">---------------------------------------------FDAAD--------DV</f>
        <v>#NAME?</v>
      </c>
    </row>
    <row r="3616" spans="1:1">
      <c r="A3616" s="35" t="s">
        <v>54298</v>
      </c>
    </row>
    <row r="3617" spans="1:1">
      <c r="A3617" s="35" t="s">
        <v>54320</v>
      </c>
    </row>
    <row r="3618" spans="1:1">
      <c r="A3618" s="35" t="s">
        <v>41057</v>
      </c>
    </row>
    <row r="3619" spans="1:1">
      <c r="A3619" s="35" t="s">
        <v>54321</v>
      </c>
    </row>
    <row r="3620" spans="1:1">
      <c r="A3620" s="35" t="s">
        <v>54322</v>
      </c>
    </row>
    <row r="3621" spans="1:1">
      <c r="A3621" s="35" t="s">
        <v>41057</v>
      </c>
    </row>
    <row r="3622" spans="1:1">
      <c r="A3622" s="35" t="s">
        <v>41057</v>
      </c>
    </row>
    <row r="3623" spans="1:1">
      <c r="A3623" s="35" t="s">
        <v>41057</v>
      </c>
    </row>
    <row r="3624" spans="1:1">
      <c r="A3624" s="35" t="s">
        <v>41057</v>
      </c>
    </row>
    <row r="3625" spans="1:1">
      <c r="A3625" s="35" t="s">
        <v>41057</v>
      </c>
    </row>
    <row r="3626" spans="1:1">
      <c r="A3626" s="35" t="s">
        <v>41057</v>
      </c>
    </row>
    <row r="3627" spans="1:1">
      <c r="A3627" s="35" t="s">
        <v>41057</v>
      </c>
    </row>
    <row r="3628" spans="1:1">
      <c r="A3628" s="35" t="s">
        <v>41057</v>
      </c>
    </row>
    <row r="3629" spans="1:1">
      <c r="A3629" s="35" t="s">
        <v>41057</v>
      </c>
    </row>
    <row r="3630" spans="1:1">
      <c r="A3630" s="35" t="s">
        <v>41057</v>
      </c>
    </row>
    <row r="3631" spans="1:1">
      <c r="A3631" s="35" t="s">
        <v>41057</v>
      </c>
    </row>
    <row r="3632" spans="1:1">
      <c r="A3632" s="35" t="s">
        <v>41057</v>
      </c>
    </row>
    <row r="3633" spans="1:1">
      <c r="A3633" s="35" t="s">
        <v>41057</v>
      </c>
    </row>
    <row r="3634" spans="1:1">
      <c r="A3634" s="35" t="s">
        <v>41057</v>
      </c>
    </row>
    <row r="3635" spans="1:1">
      <c r="A3635" s="35" t="s">
        <v>41057</v>
      </c>
    </row>
    <row r="3636" spans="1:1">
      <c r="A3636" s="35" t="s">
        <v>41057</v>
      </c>
    </row>
    <row r="3637" spans="1:1">
      <c r="A3637" s="35" t="s">
        <v>41057</v>
      </c>
    </row>
    <row r="3638" spans="1:1">
      <c r="A3638" s="35" t="s">
        <v>41057</v>
      </c>
    </row>
    <row r="3639" spans="1:1">
      <c r="A3639" s="35" t="s">
        <v>41057</v>
      </c>
    </row>
    <row r="3640" spans="1:1">
      <c r="A3640" s="35" t="s">
        <v>41057</v>
      </c>
    </row>
    <row r="3641" spans="1:1">
      <c r="A3641" s="35" t="s">
        <v>41057</v>
      </c>
    </row>
    <row r="3642" spans="1:1">
      <c r="A3642" s="35" t="s">
        <v>41057</v>
      </c>
    </row>
    <row r="3643" spans="1:1">
      <c r="A3643" s="35" t="s">
        <v>41057</v>
      </c>
    </row>
    <row r="3644" spans="1:1">
      <c r="A3644" s="35" t="s">
        <v>41057</v>
      </c>
    </row>
    <row r="3645" spans="1:1">
      <c r="A3645" s="35" t="s">
        <v>41057</v>
      </c>
    </row>
    <row r="3646" spans="1:1">
      <c r="A3646" s="35" t="s">
        <v>41057</v>
      </c>
    </row>
    <row r="3647" spans="1:1">
      <c r="A3647" s="35" t="s">
        <v>41057</v>
      </c>
    </row>
    <row r="3648" spans="1:1">
      <c r="A3648" s="35" t="s">
        <v>41057</v>
      </c>
    </row>
    <row r="3649" spans="1:1">
      <c r="A3649" s="35" t="s">
        <v>54323</v>
      </c>
    </row>
    <row r="3650" spans="1:1">
      <c r="A3650" s="35" t="s">
        <v>54324</v>
      </c>
    </row>
    <row r="3651" spans="1:1">
      <c r="A3651" s="35" t="s">
        <v>41057</v>
      </c>
    </row>
    <row r="3652" spans="1:1">
      <c r="A3652" s="35" t="s">
        <v>54325</v>
      </c>
    </row>
    <row r="3653" spans="1:1">
      <c r="A3653" s="35" t="s">
        <v>41057</v>
      </c>
    </row>
    <row r="3654" spans="1:1">
      <c r="A3654" s="35" t="s">
        <v>41057</v>
      </c>
    </row>
    <row r="3655" spans="1:1">
      <c r="A3655" s="35" t="s">
        <v>41057</v>
      </c>
    </row>
    <row r="3656" spans="1:1">
      <c r="A3656" s="35" t="s">
        <v>54326</v>
      </c>
    </row>
    <row r="3657" spans="1:1">
      <c r="A3657" s="35" t="s">
        <v>54327</v>
      </c>
    </row>
    <row r="3658" spans="1:1">
      <c r="A3658" s="35" t="s">
        <v>53545</v>
      </c>
    </row>
    <row r="3659" spans="1:1">
      <c r="A3659" s="35" t="s">
        <v>54328</v>
      </c>
    </row>
    <row r="3660" spans="1:1">
      <c r="A3660" s="35" t="s">
        <v>41057</v>
      </c>
    </row>
    <row r="3661" spans="1:1">
      <c r="A3661" s="35" t="s">
        <v>41057</v>
      </c>
    </row>
    <row r="3662" spans="1:1">
      <c r="A3662" s="35" t="s">
        <v>41057</v>
      </c>
    </row>
    <row r="3663" spans="1:1">
      <c r="A3663" s="35" t="s">
        <v>41057</v>
      </c>
    </row>
    <row r="3664" spans="1:1">
      <c r="A3664" s="35" t="s">
        <v>41057</v>
      </c>
    </row>
    <row r="3665" spans="1:1">
      <c r="A3665" s="35" t="s">
        <v>41057</v>
      </c>
    </row>
    <row r="3666" spans="1:1">
      <c r="A3666" s="35" t="s">
        <v>41057</v>
      </c>
    </row>
    <row r="3667" spans="1:1">
      <c r="A3667" s="35" t="s">
        <v>41057</v>
      </c>
    </row>
    <row r="3668" spans="1:1">
      <c r="A3668" s="35" t="s">
        <v>41057</v>
      </c>
    </row>
    <row r="3669" spans="1:1">
      <c r="A3669" s="35" t="s">
        <v>41057</v>
      </c>
    </row>
    <row r="3670" spans="1:1">
      <c r="A3670" s="35" t="s">
        <v>41057</v>
      </c>
    </row>
    <row r="3671" spans="1:1">
      <c r="A3671" s="35" t="s">
        <v>41057</v>
      </c>
    </row>
    <row r="3672" spans="1:1">
      <c r="A3672" s="35" t="s">
        <v>41057</v>
      </c>
    </row>
    <row r="3673" spans="1:1">
      <c r="A3673" s="35" t="s">
        <v>41057</v>
      </c>
    </row>
    <row r="3674" spans="1:1">
      <c r="A3674" s="35" t="s">
        <v>41057</v>
      </c>
    </row>
    <row r="3675" spans="1:1">
      <c r="A3675" s="35" t="e" cm="1">
        <f t="array" ref="A3675">---------WVK-VQSIPF------------------VKT-------------------L</f>
        <v>#NAME?</v>
      </c>
    </row>
    <row r="3676" spans="1:1">
      <c r="A3676" s="35" t="s">
        <v>54329</v>
      </c>
    </row>
    <row r="3677" spans="1:1">
      <c r="A3677" s="35" t="s">
        <v>41057</v>
      </c>
    </row>
    <row r="3678" spans="1:1">
      <c r="A3678" s="35" t="s">
        <v>41057</v>
      </c>
    </row>
    <row r="3679" spans="1:1">
      <c r="A3679" s="35" t="s">
        <v>41057</v>
      </c>
    </row>
    <row r="3680" spans="1:1">
      <c r="A3680" s="35" t="s">
        <v>41057</v>
      </c>
    </row>
    <row r="3681" spans="1:1">
      <c r="A3681" s="35" t="s">
        <v>41057</v>
      </c>
    </row>
    <row r="3682" spans="1:1">
      <c r="A3682" s="35" t="s">
        <v>41057</v>
      </c>
    </row>
    <row r="3683" spans="1:1">
      <c r="A3683" s="35" t="s">
        <v>41057</v>
      </c>
    </row>
    <row r="3684" spans="1:1">
      <c r="A3684" s="35" t="s">
        <v>41057</v>
      </c>
    </row>
    <row r="3685" spans="1:1">
      <c r="A3685" s="35" t="s">
        <v>41057</v>
      </c>
    </row>
    <row r="3686" spans="1:1">
      <c r="A3686" s="35" t="s">
        <v>41057</v>
      </c>
    </row>
    <row r="3687" spans="1:1">
      <c r="A3687" s="35" t="s">
        <v>41057</v>
      </c>
    </row>
    <row r="3688" spans="1:1">
      <c r="A3688" s="35" t="s">
        <v>41057</v>
      </c>
    </row>
    <row r="3689" spans="1:1">
      <c r="A3689" s="35" t="s">
        <v>41057</v>
      </c>
    </row>
    <row r="3690" spans="1:1">
      <c r="A3690" s="35" t="s">
        <v>41057</v>
      </c>
    </row>
    <row r="3691" spans="1:1">
      <c r="A3691" s="35" t="s">
        <v>41057</v>
      </c>
    </row>
    <row r="3692" spans="1:1">
      <c r="A3692" s="35" t="s">
        <v>41057</v>
      </c>
    </row>
    <row r="3693" spans="1:1">
      <c r="A3693" s="35" t="s">
        <v>41057</v>
      </c>
    </row>
    <row r="3694" spans="1:1">
      <c r="A3694" s="35" t="s">
        <v>41057</v>
      </c>
    </row>
    <row r="3695" spans="1:1">
      <c r="A3695" s="35" t="s">
        <v>41057</v>
      </c>
    </row>
    <row r="3696" spans="1:1">
      <c r="A3696" s="35" t="s">
        <v>41057</v>
      </c>
    </row>
    <row r="3697" spans="1:1">
      <c r="A3697" s="35" t="s">
        <v>41057</v>
      </c>
    </row>
    <row r="3698" spans="1:1">
      <c r="A3698" s="35" t="s">
        <v>41057</v>
      </c>
    </row>
    <row r="3699" spans="1:1">
      <c r="A3699" s="35" t="s">
        <v>41057</v>
      </c>
    </row>
    <row r="3700" spans="1:1">
      <c r="A3700" s="35" t="s">
        <v>41057</v>
      </c>
    </row>
    <row r="3701" spans="1:1">
      <c r="A3701" s="35" t="s">
        <v>41057</v>
      </c>
    </row>
    <row r="3702" spans="1:1">
      <c r="A3702" s="35" t="s">
        <v>41057</v>
      </c>
    </row>
    <row r="3703" spans="1:1">
      <c r="A3703" s="35" t="s">
        <v>41057</v>
      </c>
    </row>
    <row r="3704" spans="1:1">
      <c r="A3704" s="35" t="s">
        <v>41057</v>
      </c>
    </row>
    <row r="3705" spans="1:1">
      <c r="A3705" s="35" t="s">
        <v>41057</v>
      </c>
    </row>
    <row r="3706" spans="1:1">
      <c r="A3706" s="35" t="s">
        <v>41057</v>
      </c>
    </row>
    <row r="3707" spans="1:1">
      <c r="A3707" s="35" t="s">
        <v>41057</v>
      </c>
    </row>
    <row r="3708" spans="1:1">
      <c r="A3708" s="35" t="s">
        <v>41057</v>
      </c>
    </row>
    <row r="3709" spans="1:1">
      <c r="A3709" s="35" t="s">
        <v>41057</v>
      </c>
    </row>
    <row r="3710" spans="1:1">
      <c r="A3710" s="35" t="s">
        <v>41057</v>
      </c>
    </row>
    <row r="3711" spans="1:1">
      <c r="A3711" s="35" t="s">
        <v>41057</v>
      </c>
    </row>
    <row r="3712" spans="1:1">
      <c r="A3712" s="35" t="s">
        <v>41057</v>
      </c>
    </row>
    <row r="3713" spans="1:1">
      <c r="A3713" s="35" t="s">
        <v>41057</v>
      </c>
    </row>
    <row r="3714" spans="1:1">
      <c r="A3714" s="35" t="s">
        <v>41057</v>
      </c>
    </row>
    <row r="3715" spans="1:1">
      <c r="A3715" s="35" t="s">
        <v>41057</v>
      </c>
    </row>
    <row r="3716" spans="1:1">
      <c r="A3716" s="35" t="s">
        <v>41057</v>
      </c>
    </row>
    <row r="3717" spans="1:1">
      <c r="A3717" s="35" t="s">
        <v>41057</v>
      </c>
    </row>
    <row r="3718" spans="1:1">
      <c r="A3718" s="35" t="s">
        <v>41057</v>
      </c>
    </row>
    <row r="3719" spans="1:1">
      <c r="A3719" s="35" t="s">
        <v>41057</v>
      </c>
    </row>
    <row r="3720" spans="1:1">
      <c r="A3720" s="35" t="s">
        <v>41057</v>
      </c>
    </row>
    <row r="3721" spans="1:1">
      <c r="A3721" s="35" t="s">
        <v>41057</v>
      </c>
    </row>
    <row r="3722" spans="1:1">
      <c r="A3722" s="35" t="s">
        <v>41057</v>
      </c>
    </row>
    <row r="3723" spans="1:1">
      <c r="A3723" s="35" t="s">
        <v>41057</v>
      </c>
    </row>
    <row r="3724" spans="1:1">
      <c r="A3724" s="35" t="s">
        <v>41057</v>
      </c>
    </row>
    <row r="3725" spans="1:1">
      <c r="A3725" s="35" t="s">
        <v>41057</v>
      </c>
    </row>
    <row r="3726" spans="1:1">
      <c r="A3726" s="35" t="s">
        <v>41057</v>
      </c>
    </row>
    <row r="3727" spans="1:1">
      <c r="A3727" s="35" t="s">
        <v>41057</v>
      </c>
    </row>
    <row r="3728" spans="1:1">
      <c r="A3728" s="35" t="s">
        <v>41057</v>
      </c>
    </row>
    <row r="3729" spans="1:1">
      <c r="A3729" s="35" t="s">
        <v>41057</v>
      </c>
    </row>
    <row r="3730" spans="1:1">
      <c r="A3730" s="35" t="s">
        <v>41057</v>
      </c>
    </row>
    <row r="3731" spans="1:1">
      <c r="A3731" s="35" t="s">
        <v>41057</v>
      </c>
    </row>
    <row r="3732" spans="1:1">
      <c r="A3732" s="35" t="s">
        <v>41057</v>
      </c>
    </row>
    <row r="3733" spans="1:1">
      <c r="A3733" s="35" t="s">
        <v>41057</v>
      </c>
    </row>
    <row r="3734" spans="1:1">
      <c r="A3734" s="35" t="s">
        <v>41057</v>
      </c>
    </row>
    <row r="3735" spans="1:1">
      <c r="A3735" s="35" t="s">
        <v>41057</v>
      </c>
    </row>
    <row r="3736" spans="1:1">
      <c r="A3736" s="35" t="s">
        <v>41057</v>
      </c>
    </row>
    <row r="3737" spans="1:1">
      <c r="A3737" s="35" t="s">
        <v>41057</v>
      </c>
    </row>
    <row r="3738" spans="1:1">
      <c r="A3738" s="35" t="s">
        <v>41057</v>
      </c>
    </row>
    <row r="3739" spans="1:1">
      <c r="A3739" s="35" t="s">
        <v>41057</v>
      </c>
    </row>
    <row r="3740" spans="1:1">
      <c r="A3740" s="35" t="s">
        <v>41057</v>
      </c>
    </row>
    <row r="3741" spans="1:1">
      <c r="A3741" s="35" t="s">
        <v>41057</v>
      </c>
    </row>
    <row r="3742" spans="1:1">
      <c r="A3742" s="35" t="s">
        <v>41057</v>
      </c>
    </row>
    <row r="3743" spans="1:1">
      <c r="A3743" s="35" t="s">
        <v>41057</v>
      </c>
    </row>
    <row r="3744" spans="1:1">
      <c r="A3744" s="35" t="s">
        <v>41057</v>
      </c>
    </row>
    <row r="3745" spans="1:1">
      <c r="A3745" s="35" t="s">
        <v>41057</v>
      </c>
    </row>
    <row r="3746" spans="1:1">
      <c r="A3746" s="35" t="s">
        <v>41057</v>
      </c>
    </row>
    <row r="3747" spans="1:1">
      <c r="A3747" s="35" t="s">
        <v>41057</v>
      </c>
    </row>
    <row r="3748" spans="1:1">
      <c r="A3748" s="35" t="s">
        <v>41057</v>
      </c>
    </row>
    <row r="3749" spans="1:1">
      <c r="A3749" s="35" t="s">
        <v>41057</v>
      </c>
    </row>
    <row r="3750" spans="1:1">
      <c r="A3750" s="35" t="s">
        <v>41057</v>
      </c>
    </row>
    <row r="3751" spans="1:1">
      <c r="A3751" s="35" t="s">
        <v>41057</v>
      </c>
    </row>
    <row r="3752" spans="1:1">
      <c r="A3752" s="35" t="s">
        <v>41057</v>
      </c>
    </row>
    <row r="3753" spans="1:1">
      <c r="A3753" s="35" t="s">
        <v>41057</v>
      </c>
    </row>
    <row r="3754" spans="1:1">
      <c r="A3754" s="35" t="s">
        <v>41057</v>
      </c>
    </row>
    <row r="3755" spans="1:1">
      <c r="A3755" s="35" t="s">
        <v>41057</v>
      </c>
    </row>
    <row r="3756" spans="1:1">
      <c r="A3756" s="35" t="s">
        <v>41057</v>
      </c>
    </row>
    <row r="3757" spans="1:1">
      <c r="A3757" s="35" t="s">
        <v>41057</v>
      </c>
    </row>
    <row r="3758" spans="1:1">
      <c r="A3758" s="35" t="s">
        <v>41057</v>
      </c>
    </row>
    <row r="3759" spans="1:1">
      <c r="A3759" s="35" t="s">
        <v>41057</v>
      </c>
    </row>
    <row r="3760" spans="1:1">
      <c r="A3760" s="35" t="s">
        <v>41057</v>
      </c>
    </row>
    <row r="3761" spans="1:1">
      <c r="A3761" s="35" t="s">
        <v>41057</v>
      </c>
    </row>
    <row r="3762" spans="1:1">
      <c r="A3762" s="35" t="s">
        <v>41057</v>
      </c>
    </row>
    <row r="3763" spans="1:1">
      <c r="A3763" s="35" t="s">
        <v>41057</v>
      </c>
    </row>
    <row r="3764" spans="1:1">
      <c r="A3764" s="35" t="s">
        <v>41057</v>
      </c>
    </row>
    <row r="3765" spans="1:1">
      <c r="A3765" s="35" t="s">
        <v>54330</v>
      </c>
    </row>
    <row r="3766" spans="1:1">
      <c r="A3766" s="35" t="s">
        <v>54331</v>
      </c>
    </row>
    <row r="3767" spans="1:1">
      <c r="A3767" s="35" t="s">
        <v>54332</v>
      </c>
    </row>
    <row r="3768" spans="1:1">
      <c r="A3768" s="35" t="s">
        <v>54333</v>
      </c>
    </row>
    <row r="3769" spans="1:1">
      <c r="A3769" s="35" t="s">
        <v>54334</v>
      </c>
    </row>
    <row r="3770" spans="1:1">
      <c r="A3770" s="35" t="s">
        <v>54335</v>
      </c>
    </row>
    <row r="3771" spans="1:1">
      <c r="A3771" s="35" t="e" cm="1">
        <f t="array" ref="A3771">---------------------------------------------------------ANV</f>
        <v>#NAME?</v>
      </c>
    </row>
    <row r="3772" spans="1:1">
      <c r="A3772" s="35" t="s">
        <v>54336</v>
      </c>
    </row>
    <row r="3773" spans="1:1">
      <c r="A3773" s="35" t="s">
        <v>54337</v>
      </c>
    </row>
    <row r="3774" spans="1:1">
      <c r="A3774" s="35" t="s">
        <v>54338</v>
      </c>
    </row>
    <row r="3775" spans="1:1">
      <c r="A3775" s="35" t="s">
        <v>54339</v>
      </c>
    </row>
    <row r="3776" spans="1:1">
      <c r="A3776" s="35" t="s">
        <v>53545</v>
      </c>
    </row>
    <row r="3777" spans="1:1">
      <c r="A3777" s="35" t="s">
        <v>52789</v>
      </c>
    </row>
    <row r="3778" spans="1:1">
      <c r="A3778" s="35" t="s">
        <v>41057</v>
      </c>
    </row>
    <row r="3779" spans="1:1">
      <c r="A3779" s="35" t="s">
        <v>41057</v>
      </c>
    </row>
    <row r="3780" spans="1:1">
      <c r="A3780" s="35" t="s">
        <v>54340</v>
      </c>
    </row>
    <row r="3781" spans="1:1">
      <c r="A3781" s="35" t="s">
        <v>54341</v>
      </c>
    </row>
    <row r="3782" spans="1:1">
      <c r="A3782" s="35" t="s">
        <v>54342</v>
      </c>
    </row>
    <row r="3783" spans="1:1">
      <c r="A3783" s="35" t="s">
        <v>54343</v>
      </c>
    </row>
    <row r="3784" spans="1:1">
      <c r="A3784" s="35" t="s">
        <v>41057</v>
      </c>
    </row>
    <row r="3785" spans="1:1">
      <c r="A3785" s="35" t="s">
        <v>41057</v>
      </c>
    </row>
    <row r="3786" spans="1:1">
      <c r="A3786" s="35" t="s">
        <v>41057</v>
      </c>
    </row>
    <row r="3787" spans="1:1">
      <c r="A3787" s="35" t="s">
        <v>54344</v>
      </c>
    </row>
    <row r="3788" spans="1:1">
      <c r="A3788" s="35" t="s">
        <v>54098</v>
      </c>
    </row>
    <row r="3789" spans="1:1">
      <c r="A3789" s="35" t="s">
        <v>54345</v>
      </c>
    </row>
    <row r="3790" spans="1:1">
      <c r="A3790" s="35" t="s">
        <v>54346</v>
      </c>
    </row>
    <row r="3791" spans="1:1">
      <c r="A3791" s="35" t="s">
        <v>41057</v>
      </c>
    </row>
    <row r="3792" spans="1:1">
      <c r="A3792" s="35" t="s">
        <v>41057</v>
      </c>
    </row>
    <row r="3793" spans="1:1">
      <c r="A3793" s="35" t="e" cm="1">
        <f t="array" ref="A3793">---------------QVTF------------------FKV-------------------V</f>
        <v>#NAME?</v>
      </c>
    </row>
    <row r="3794" spans="1:1">
      <c r="A3794" s="35" t="s">
        <v>54288</v>
      </c>
    </row>
    <row r="3795" spans="1:1">
      <c r="A3795" s="35" t="s">
        <v>54347</v>
      </c>
    </row>
    <row r="3796" spans="1:1">
      <c r="A3796" s="35" t="s">
        <v>41057</v>
      </c>
    </row>
    <row r="3797" spans="1:1">
      <c r="A3797" s="35" t="s">
        <v>54348</v>
      </c>
    </row>
    <row r="3798" spans="1:1">
      <c r="A3798" s="35" t="s">
        <v>41057</v>
      </c>
    </row>
    <row r="3799" spans="1:1">
      <c r="A3799" s="35" t="s">
        <v>41057</v>
      </c>
    </row>
    <row r="3800" spans="1:1">
      <c r="A3800" s="35" t="s">
        <v>54349</v>
      </c>
    </row>
    <row r="3801" spans="1:1">
      <c r="A3801" s="35" t="s">
        <v>41057</v>
      </c>
    </row>
    <row r="3802" spans="1:1">
      <c r="A3802" s="35" t="s">
        <v>41057</v>
      </c>
    </row>
    <row r="3803" spans="1:1">
      <c r="A3803" s="35" t="s">
        <v>53500</v>
      </c>
    </row>
    <row r="3804" spans="1:1">
      <c r="A3804" s="35" t="s">
        <v>41057</v>
      </c>
    </row>
    <row r="3805" spans="1:1">
      <c r="A3805" s="35" t="s">
        <v>41057</v>
      </c>
    </row>
    <row r="3806" spans="1:1">
      <c r="A3806" s="35" t="s">
        <v>54350</v>
      </c>
    </row>
    <row r="3807" spans="1:1">
      <c r="A3807" s="35" t="s">
        <v>41057</v>
      </c>
    </row>
    <row r="3808" spans="1:1">
      <c r="A3808" s="35" t="s">
        <v>54351</v>
      </c>
    </row>
    <row r="3809" spans="1:1">
      <c r="A3809" s="35" t="s">
        <v>41057</v>
      </c>
    </row>
    <row r="3810" spans="1:1">
      <c r="A3810" s="35" t="s">
        <v>54352</v>
      </c>
    </row>
    <row r="3811" spans="1:1">
      <c r="A3811" s="35" t="s">
        <v>54353</v>
      </c>
    </row>
    <row r="3812" spans="1:1">
      <c r="A3812" s="35" t="s">
        <v>41057</v>
      </c>
    </row>
    <row r="3813" spans="1:1">
      <c r="A3813" s="35" t="s">
        <v>41057</v>
      </c>
    </row>
    <row r="3814" spans="1:1">
      <c r="A3814" s="35" t="s">
        <v>54354</v>
      </c>
    </row>
    <row r="3815" spans="1:1">
      <c r="A3815" s="35" t="s">
        <v>41057</v>
      </c>
    </row>
    <row r="3816" spans="1:1">
      <c r="A3816" s="35" t="s">
        <v>41057</v>
      </c>
    </row>
    <row r="3817" spans="1:1">
      <c r="A3817" s="35" t="s">
        <v>41057</v>
      </c>
    </row>
    <row r="3818" spans="1:1">
      <c r="A3818" s="35" t="s">
        <v>41057</v>
      </c>
    </row>
    <row r="3819" spans="1:1">
      <c r="A3819" s="35" t="s">
        <v>41057</v>
      </c>
    </row>
    <row r="3820" spans="1:1">
      <c r="A3820" s="35" t="s">
        <v>54355</v>
      </c>
    </row>
    <row r="3821" spans="1:1">
      <c r="A3821" s="35" t="s">
        <v>41057</v>
      </c>
    </row>
    <row r="3822" spans="1:1">
      <c r="A3822" s="35" t="s">
        <v>41057</v>
      </c>
    </row>
    <row r="3823" spans="1:1">
      <c r="A3823" s="35" t="s">
        <v>54356</v>
      </c>
    </row>
    <row r="3824" spans="1:1">
      <c r="A3824" s="35" t="s">
        <v>41057</v>
      </c>
    </row>
    <row r="3825" spans="1:1">
      <c r="A3825" s="35" t="s">
        <v>41057</v>
      </c>
    </row>
    <row r="3826" spans="1:1">
      <c r="A3826" s="35" t="s">
        <v>41057</v>
      </c>
    </row>
    <row r="3827" spans="1:1">
      <c r="A3827" s="35" t="s">
        <v>41057</v>
      </c>
    </row>
    <row r="3828" spans="1:1">
      <c r="A3828" s="35" t="s">
        <v>41057</v>
      </c>
    </row>
    <row r="3829" spans="1:1">
      <c r="A3829" s="35" t="s">
        <v>41057</v>
      </c>
    </row>
    <row r="3830" spans="1:1">
      <c r="A3830" s="35" t="s">
        <v>41057</v>
      </c>
    </row>
    <row r="3831" spans="1:1">
      <c r="A3831" s="35" t="s">
        <v>41057</v>
      </c>
    </row>
    <row r="3832" spans="1:1">
      <c r="A3832" s="35" t="s">
        <v>41057</v>
      </c>
    </row>
    <row r="3833" spans="1:1">
      <c r="A3833" s="35" t="s">
        <v>41057</v>
      </c>
    </row>
    <row r="3834" spans="1:1">
      <c r="A3834" s="35" t="s">
        <v>41057</v>
      </c>
    </row>
    <row r="3835" spans="1:1">
      <c r="A3835" s="35" t="s">
        <v>41057</v>
      </c>
    </row>
    <row r="3836" spans="1:1">
      <c r="A3836" s="35" t="s">
        <v>41057</v>
      </c>
    </row>
    <row r="3837" spans="1:1">
      <c r="A3837" s="35" t="s">
        <v>41057</v>
      </c>
    </row>
    <row r="3838" spans="1:1">
      <c r="A3838" s="35" t="s">
        <v>41057</v>
      </c>
    </row>
    <row r="3839" spans="1:1">
      <c r="A3839" s="35" t="s">
        <v>41057</v>
      </c>
    </row>
    <row r="3840" spans="1:1">
      <c r="A3840" s="35" t="s">
        <v>41057</v>
      </c>
    </row>
    <row r="3841" spans="1:1">
      <c r="A3841" s="35" t="s">
        <v>41057</v>
      </c>
    </row>
    <row r="3842" spans="1:1">
      <c r="A3842" s="35" t="s">
        <v>41057</v>
      </c>
    </row>
    <row r="3843" spans="1:1">
      <c r="A3843" s="35" t="s">
        <v>41057</v>
      </c>
    </row>
    <row r="3844" spans="1:1">
      <c r="A3844" s="35" t="s">
        <v>41057</v>
      </c>
    </row>
    <row r="3845" spans="1:1">
      <c r="A3845" s="35" t="s">
        <v>41057</v>
      </c>
    </row>
    <row r="3846" spans="1:1">
      <c r="A3846" s="35" t="s">
        <v>41057</v>
      </c>
    </row>
    <row r="3847" spans="1:1">
      <c r="A3847" s="35" t="e" cm="1">
        <f t="array" ref="A3847">---------------------------------------------GNKIAWCSKV---GH</f>
        <v>#NAME?</v>
      </c>
    </row>
    <row r="3848" spans="1:1">
      <c r="A3848" s="35" t="s">
        <v>54357</v>
      </c>
    </row>
    <row r="3849" spans="1:1">
      <c r="A3849" s="35" t="e" cm="1">
        <f t="array" ref="A3849">---------------GDWLNIWYELAR---------NFAH------------------DR</f>
        <v>#NAME?</v>
      </c>
    </row>
    <row r="3850" spans="1:1">
      <c r="A3850" s="35" t="s">
        <v>54358</v>
      </c>
    </row>
    <row r="3851" spans="1:1">
      <c r="A3851" s="35" t="e" cm="1">
        <f t="array" ref="A3851">----------------------------------------------QQTH--------AA</f>
        <v>#NAME?</v>
      </c>
    </row>
    <row r="3852" spans="1:1">
      <c r="A3852" s="35" t="s">
        <v>48721</v>
      </c>
    </row>
    <row r="3853" spans="1:1">
      <c r="A3853" s="35" t="s">
        <v>54359</v>
      </c>
    </row>
    <row r="3854" spans="1:1">
      <c r="A3854" s="35" t="s">
        <v>41057</v>
      </c>
    </row>
    <row r="3855" spans="1:1">
      <c r="A3855" s="35" t="s">
        <v>54360</v>
      </c>
    </row>
    <row r="3856" spans="1:1">
      <c r="A3856" s="35" t="s">
        <v>54361</v>
      </c>
    </row>
    <row r="3857" spans="1:1">
      <c r="A3857" s="35" t="s">
        <v>41057</v>
      </c>
    </row>
    <row r="3858" spans="1:1">
      <c r="A3858" s="35" t="s">
        <v>41057</v>
      </c>
    </row>
    <row r="3859" spans="1:1">
      <c r="A3859" s="35" t="s">
        <v>41057</v>
      </c>
    </row>
    <row r="3860" spans="1:1">
      <c r="A3860" s="35" t="s">
        <v>41057</v>
      </c>
    </row>
    <row r="3861" spans="1:1">
      <c r="A3861" s="35" t="s">
        <v>54362</v>
      </c>
    </row>
    <row r="3862" spans="1:1">
      <c r="A3862" s="35" t="s">
        <v>41057</v>
      </c>
    </row>
    <row r="3863" spans="1:1">
      <c r="A3863" s="35" t="s">
        <v>41057</v>
      </c>
    </row>
    <row r="3864" spans="1:1">
      <c r="A3864" s="35" t="s">
        <v>54363</v>
      </c>
    </row>
    <row r="3865" spans="1:1">
      <c r="A3865" s="35" t="s">
        <v>54364</v>
      </c>
    </row>
    <row r="3866" spans="1:1">
      <c r="A3866" s="35" t="s">
        <v>54365</v>
      </c>
    </row>
    <row r="3867" spans="1:1">
      <c r="A3867" s="35" t="s">
        <v>54366</v>
      </c>
    </row>
    <row r="3868" spans="1:1">
      <c r="A3868" s="35" t="e" cm="1">
        <f t="array" ref="A3868">----------------------------------------------------------FT</f>
        <v>#NAME?</v>
      </c>
    </row>
    <row r="3869" spans="1:1">
      <c r="A3869" s="35" t="s">
        <v>54367</v>
      </c>
    </row>
    <row r="3870" spans="1:1">
      <c r="A3870" s="35" t="s">
        <v>54368</v>
      </c>
    </row>
    <row r="3871" spans="1:1">
      <c r="A3871" s="35" t="s">
        <v>54369</v>
      </c>
    </row>
    <row r="3872" spans="1:1">
      <c r="A3872" s="35" t="s">
        <v>41057</v>
      </c>
    </row>
    <row r="3873" spans="1:1">
      <c r="A3873" s="35" t="s">
        <v>54370</v>
      </c>
    </row>
    <row r="3874" spans="1:1">
      <c r="A3874" s="35" t="s">
        <v>41057</v>
      </c>
    </row>
    <row r="3875" spans="1:1">
      <c r="A3875" s="35" t="s">
        <v>54371</v>
      </c>
    </row>
    <row r="3876" spans="1:1">
      <c r="A3876" s="35" t="s">
        <v>41057</v>
      </c>
    </row>
    <row r="3877" spans="1:1">
      <c r="A3877" s="35" t="s">
        <v>54372</v>
      </c>
    </row>
    <row r="3878" spans="1:1">
      <c r="A3878" s="35" t="s">
        <v>54373</v>
      </c>
    </row>
    <row r="3879" spans="1:1">
      <c r="A3879" s="35" t="e" cm="1">
        <f t="array" ref="A3879">---FVLRLALYDVDGN---------------------------LSGDDQSLDINPQTSTT</f>
        <v>#NAME?</v>
      </c>
    </row>
    <row r="3880" spans="1:1">
      <c r="A3880" s="35" t="s">
        <v>54374</v>
      </c>
    </row>
    <row r="3881" spans="1:1">
      <c r="A3881" s="35" t="s">
        <v>54375</v>
      </c>
    </row>
    <row r="3882" spans="1:1">
      <c r="A3882" s="35" t="s">
        <v>54376</v>
      </c>
    </row>
    <row r="3883" spans="1:1">
      <c r="A3883" s="35" t="s">
        <v>54377</v>
      </c>
    </row>
    <row r="3884" spans="1:1">
      <c r="A3884" s="35" t="s">
        <v>54378</v>
      </c>
    </row>
    <row r="3885" spans="1:1">
      <c r="A3885" s="35" t="s">
        <v>54379</v>
      </c>
    </row>
    <row r="3886" spans="1:1">
      <c r="A3886" s="35" t="s">
        <v>54380</v>
      </c>
    </row>
    <row r="3887" spans="1:1">
      <c r="A3887" s="35" t="s">
        <v>54381</v>
      </c>
    </row>
    <row r="3888" spans="1:1">
      <c r="A3888" s="35" t="s">
        <v>54382</v>
      </c>
    </row>
    <row r="3889" spans="1:1">
      <c r="A3889" s="35" t="s">
        <v>41057</v>
      </c>
    </row>
    <row r="3890" spans="1:1">
      <c r="A3890" s="35" t="s">
        <v>54383</v>
      </c>
    </row>
    <row r="3891" spans="1:1">
      <c r="A3891" s="35" t="s">
        <v>54252</v>
      </c>
    </row>
    <row r="3892" spans="1:1">
      <c r="A3892" s="35" t="s">
        <v>54384</v>
      </c>
    </row>
    <row r="3893" spans="1:1">
      <c r="A3893" s="35" t="s">
        <v>41057</v>
      </c>
    </row>
    <row r="3894" spans="1:1">
      <c r="A3894" s="35" t="s">
        <v>53545</v>
      </c>
    </row>
    <row r="3895" spans="1:1">
      <c r="A3895" s="35" t="s">
        <v>54385</v>
      </c>
    </row>
    <row r="3896" spans="1:1">
      <c r="A3896" s="35" t="s">
        <v>41057</v>
      </c>
    </row>
    <row r="3897" spans="1:1">
      <c r="A3897" s="35" t="s">
        <v>41057</v>
      </c>
    </row>
    <row r="3898" spans="1:1">
      <c r="A3898" s="35" t="s">
        <v>41057</v>
      </c>
    </row>
    <row r="3899" spans="1:1">
      <c r="A3899" s="35" t="s">
        <v>41057</v>
      </c>
    </row>
    <row r="3900" spans="1:1">
      <c r="A3900" s="35" t="s">
        <v>41057</v>
      </c>
    </row>
    <row r="3901" spans="1:1">
      <c r="A3901" s="35" t="s">
        <v>41057</v>
      </c>
    </row>
    <row r="3902" spans="1:1">
      <c r="A3902" s="35" t="s">
        <v>41057</v>
      </c>
    </row>
    <row r="3903" spans="1:1">
      <c r="A3903" s="35" t="s">
        <v>41057</v>
      </c>
    </row>
    <row r="3904" spans="1:1">
      <c r="A3904" s="35" t="s">
        <v>41057</v>
      </c>
    </row>
    <row r="3905" spans="1:1">
      <c r="A3905" s="35" t="s">
        <v>41057</v>
      </c>
    </row>
    <row r="3906" spans="1:1">
      <c r="A3906" s="35" t="s">
        <v>41057</v>
      </c>
    </row>
    <row r="3907" spans="1:1">
      <c r="A3907" s="35" t="s">
        <v>41057</v>
      </c>
    </row>
    <row r="3908" spans="1:1">
      <c r="A3908" s="35" t="s">
        <v>41057</v>
      </c>
    </row>
    <row r="3909" spans="1:1">
      <c r="A3909" s="35" t="s">
        <v>41057</v>
      </c>
    </row>
    <row r="3910" spans="1:1">
      <c r="A3910" s="35" t="s">
        <v>41057</v>
      </c>
    </row>
    <row r="3911" spans="1:1">
      <c r="A3911" s="35" t="s">
        <v>41057</v>
      </c>
    </row>
    <row r="3912" spans="1:1">
      <c r="A3912" s="35" t="s">
        <v>41057</v>
      </c>
    </row>
    <row r="3913" spans="1:1">
      <c r="A3913" s="35" t="s">
        <v>41057</v>
      </c>
    </row>
    <row r="3914" spans="1:1">
      <c r="A3914" s="35" t="s">
        <v>41057</v>
      </c>
    </row>
    <row r="3915" spans="1:1">
      <c r="A3915" s="35" t="s">
        <v>41057</v>
      </c>
    </row>
    <row r="3916" spans="1:1">
      <c r="A3916" s="35" t="s">
        <v>41057</v>
      </c>
    </row>
    <row r="3917" spans="1:1">
      <c r="A3917" s="35" t="s">
        <v>41057</v>
      </c>
    </row>
    <row r="3918" spans="1:1">
      <c r="A3918" s="35" t="s">
        <v>41057</v>
      </c>
    </row>
    <row r="3919" spans="1:1">
      <c r="A3919" s="35" t="s">
        <v>41057</v>
      </c>
    </row>
    <row r="3920" spans="1:1">
      <c r="A3920" s="35" t="s">
        <v>41057</v>
      </c>
    </row>
    <row r="3921" spans="1:1">
      <c r="A3921" s="35" t="s">
        <v>41057</v>
      </c>
    </row>
    <row r="3922" spans="1:1">
      <c r="A3922" s="35" t="s">
        <v>41057</v>
      </c>
    </row>
    <row r="3923" spans="1:1">
      <c r="A3923" s="35" t="s">
        <v>41057</v>
      </c>
    </row>
    <row r="3924" spans="1:1">
      <c r="A3924" s="35" t="s">
        <v>41057</v>
      </c>
    </row>
    <row r="3925" spans="1:1">
      <c r="A3925" s="35" t="s">
        <v>41057</v>
      </c>
    </row>
    <row r="3926" spans="1:1">
      <c r="A3926" s="35" t="s">
        <v>41057</v>
      </c>
    </row>
    <row r="3927" spans="1:1">
      <c r="A3927" s="35" t="s">
        <v>41057</v>
      </c>
    </row>
    <row r="3928" spans="1:1">
      <c r="A3928" s="35" t="s">
        <v>41057</v>
      </c>
    </row>
    <row r="3929" spans="1:1">
      <c r="A3929" s="35" t="s">
        <v>41057</v>
      </c>
    </row>
    <row r="3930" spans="1:1">
      <c r="A3930" s="35" t="s">
        <v>41057</v>
      </c>
    </row>
    <row r="3931" spans="1:1">
      <c r="A3931" s="35" t="s">
        <v>41057</v>
      </c>
    </row>
    <row r="3932" spans="1:1">
      <c r="A3932" s="35" t="s">
        <v>41057</v>
      </c>
    </row>
    <row r="3933" spans="1:1">
      <c r="A3933" s="35" t="s">
        <v>41057</v>
      </c>
    </row>
    <row r="3934" spans="1:1">
      <c r="A3934" s="35" t="s">
        <v>41057</v>
      </c>
    </row>
    <row r="3935" spans="1:1">
      <c r="A3935" s="35" t="s">
        <v>41057</v>
      </c>
    </row>
    <row r="3936" spans="1:1">
      <c r="A3936" s="35" t="s">
        <v>41057</v>
      </c>
    </row>
    <row r="3937" spans="1:1">
      <c r="A3937" s="35" t="s">
        <v>41057</v>
      </c>
    </row>
    <row r="3938" spans="1:1">
      <c r="A3938" s="35" t="s">
        <v>41057</v>
      </c>
    </row>
    <row r="3939" spans="1:1">
      <c r="A3939" s="35" t="s">
        <v>41057</v>
      </c>
    </row>
    <row r="3940" spans="1:1">
      <c r="A3940" s="35" t="s">
        <v>41057</v>
      </c>
    </row>
    <row r="3941" spans="1:1">
      <c r="A3941" s="35" t="s">
        <v>41057</v>
      </c>
    </row>
    <row r="3942" spans="1:1">
      <c r="A3942" s="35" t="s">
        <v>41057</v>
      </c>
    </row>
    <row r="3943" spans="1:1">
      <c r="A3943" s="35" t="s">
        <v>41057</v>
      </c>
    </row>
    <row r="3944" spans="1:1">
      <c r="A3944" s="35" t="s">
        <v>41057</v>
      </c>
    </row>
    <row r="3945" spans="1:1">
      <c r="A3945" s="35" t="s">
        <v>41057</v>
      </c>
    </row>
    <row r="3946" spans="1:1">
      <c r="A3946" s="35" t="s">
        <v>41057</v>
      </c>
    </row>
    <row r="3947" spans="1:1">
      <c r="A3947" s="35" t="s">
        <v>41057</v>
      </c>
    </row>
    <row r="3948" spans="1:1">
      <c r="A3948" s="35" t="s">
        <v>41057</v>
      </c>
    </row>
    <row r="3949" spans="1:1">
      <c r="A3949" s="35" t="s">
        <v>41057</v>
      </c>
    </row>
    <row r="3950" spans="1:1">
      <c r="A3950" s="35" t="s">
        <v>41057</v>
      </c>
    </row>
    <row r="3951" spans="1:1">
      <c r="A3951" s="35" t="s">
        <v>41057</v>
      </c>
    </row>
    <row r="3952" spans="1:1">
      <c r="A3952" s="35" t="s">
        <v>41057</v>
      </c>
    </row>
    <row r="3953" spans="1:1">
      <c r="A3953" s="35" t="s">
        <v>41057</v>
      </c>
    </row>
    <row r="3954" spans="1:1">
      <c r="A3954" s="35" t="s">
        <v>41057</v>
      </c>
    </row>
    <row r="3955" spans="1:1">
      <c r="A3955" s="35" t="s">
        <v>41057</v>
      </c>
    </row>
    <row r="3956" spans="1:1">
      <c r="A3956" s="35" t="s">
        <v>41057</v>
      </c>
    </row>
    <row r="3957" spans="1:1">
      <c r="A3957" s="35" t="s">
        <v>41057</v>
      </c>
    </row>
    <row r="3958" spans="1:1">
      <c r="A3958" s="35" t="s">
        <v>41057</v>
      </c>
    </row>
    <row r="3959" spans="1:1">
      <c r="A3959" s="35" t="s">
        <v>41057</v>
      </c>
    </row>
    <row r="3960" spans="1:1">
      <c r="A3960" s="35" t="s">
        <v>41057</v>
      </c>
    </row>
    <row r="3961" spans="1:1">
      <c r="A3961" s="35" t="s">
        <v>41057</v>
      </c>
    </row>
    <row r="3962" spans="1:1">
      <c r="A3962" s="35" t="s">
        <v>41057</v>
      </c>
    </row>
    <row r="3963" spans="1:1">
      <c r="A3963" s="35" t="s">
        <v>41057</v>
      </c>
    </row>
    <row r="3964" spans="1:1">
      <c r="A3964" s="35" t="s">
        <v>41057</v>
      </c>
    </row>
    <row r="3965" spans="1:1">
      <c r="A3965" s="35" t="s">
        <v>41057</v>
      </c>
    </row>
    <row r="3966" spans="1:1">
      <c r="A3966" s="35" t="s">
        <v>41057</v>
      </c>
    </row>
    <row r="3967" spans="1:1">
      <c r="A3967" s="35" t="s">
        <v>41057</v>
      </c>
    </row>
    <row r="3968" spans="1:1">
      <c r="A3968" s="35" t="s">
        <v>41057</v>
      </c>
    </row>
    <row r="3969" spans="1:1">
      <c r="A3969" s="35" t="s">
        <v>41057</v>
      </c>
    </row>
    <row r="3970" spans="1:1">
      <c r="A3970" s="35" t="s">
        <v>41057</v>
      </c>
    </row>
    <row r="3971" spans="1:1">
      <c r="A3971" s="35" t="s">
        <v>41057</v>
      </c>
    </row>
    <row r="3972" spans="1:1">
      <c r="A3972" s="35" t="s">
        <v>41057</v>
      </c>
    </row>
    <row r="3973" spans="1:1">
      <c r="A3973" s="35" t="s">
        <v>41057</v>
      </c>
    </row>
    <row r="3974" spans="1:1">
      <c r="A3974" s="35" t="s">
        <v>54386</v>
      </c>
    </row>
    <row r="3975" spans="1:1">
      <c r="A3975" s="35" t="s">
        <v>41057</v>
      </c>
    </row>
    <row r="3976" spans="1:1">
      <c r="A3976" s="35" t="s">
        <v>41057</v>
      </c>
    </row>
    <row r="3977" spans="1:1">
      <c r="A3977" s="35" t="s">
        <v>41057</v>
      </c>
    </row>
    <row r="3978" spans="1:1">
      <c r="A3978" s="35" t="s">
        <v>41057</v>
      </c>
    </row>
    <row r="3979" spans="1:1">
      <c r="A3979" s="35" t="s">
        <v>54387</v>
      </c>
    </row>
    <row r="3980" spans="1:1">
      <c r="A3980" s="35" t="s">
        <v>41057</v>
      </c>
    </row>
    <row r="3981" spans="1:1">
      <c r="A3981" s="35" t="s">
        <v>41057</v>
      </c>
    </row>
    <row r="3982" spans="1:1">
      <c r="A3982" s="35" t="s">
        <v>54388</v>
      </c>
    </row>
    <row r="3983" spans="1:1">
      <c r="A3983" s="35" t="s">
        <v>54389</v>
      </c>
    </row>
    <row r="3984" spans="1:1">
      <c r="A3984" s="35" t="s">
        <v>54390</v>
      </c>
    </row>
    <row r="3985" spans="1:1">
      <c r="A3985" s="35" t="s">
        <v>54122</v>
      </c>
    </row>
    <row r="3986" spans="1:1">
      <c r="A3986" s="35" t="e" cm="1">
        <f t="array" ref="A3986">----------------------------------------------------------YQ</f>
        <v>#NAME?</v>
      </c>
    </row>
    <row r="3987" spans="1:1">
      <c r="A3987" s="35" t="s">
        <v>54391</v>
      </c>
    </row>
    <row r="3988" spans="1:1">
      <c r="A3988" s="35" t="s">
        <v>54392</v>
      </c>
    </row>
    <row r="3989" spans="1:1">
      <c r="A3989" s="35" t="s">
        <v>54393</v>
      </c>
    </row>
    <row r="3990" spans="1:1">
      <c r="A3990" s="35" t="s">
        <v>41057</v>
      </c>
    </row>
    <row r="3991" spans="1:1">
      <c r="A3991" s="35" t="s">
        <v>54394</v>
      </c>
    </row>
    <row r="3992" spans="1:1">
      <c r="A3992" s="35" t="s">
        <v>41057</v>
      </c>
    </row>
    <row r="3993" spans="1:1">
      <c r="A3993" s="35" t="s">
        <v>41057</v>
      </c>
    </row>
    <row r="3994" spans="1:1">
      <c r="A3994" s="35" t="s">
        <v>41057</v>
      </c>
    </row>
    <row r="3995" spans="1:1">
      <c r="A3995" s="35" t="s">
        <v>41057</v>
      </c>
    </row>
    <row r="3996" spans="1:1">
      <c r="A3996" s="35" t="s">
        <v>41057</v>
      </c>
    </row>
    <row r="3997" spans="1:1">
      <c r="A3997" s="35" t="s">
        <v>54395</v>
      </c>
    </row>
    <row r="3998" spans="1:1">
      <c r="A3998" s="35" t="s">
        <v>41057</v>
      </c>
    </row>
    <row r="3999" spans="1:1">
      <c r="A3999" s="35" t="s">
        <v>41057</v>
      </c>
    </row>
    <row r="4000" spans="1:1">
      <c r="A4000" s="35" t="e" cm="1">
        <f t="array" ref="A4000">--------------------------------------------------------TTSA</f>
        <v>#NAME?</v>
      </c>
    </row>
    <row r="4001" spans="1:1">
      <c r="A4001" s="35" t="s">
        <v>54396</v>
      </c>
    </row>
    <row r="4002" spans="1:1">
      <c r="A4002" s="35" t="s">
        <v>54397</v>
      </c>
    </row>
    <row r="4003" spans="1:1">
      <c r="A4003" s="35" t="s">
        <v>54398</v>
      </c>
    </row>
    <row r="4004" spans="1:1">
      <c r="A4004" s="35" t="s">
        <v>54399</v>
      </c>
    </row>
    <row r="4005" spans="1:1">
      <c r="A4005" s="35" t="s">
        <v>54400</v>
      </c>
    </row>
    <row r="4006" spans="1:1">
      <c r="A4006" s="35" t="s">
        <v>54401</v>
      </c>
    </row>
    <row r="4007" spans="1:1">
      <c r="A4007" s="35" t="s">
        <v>41057</v>
      </c>
    </row>
    <row r="4008" spans="1:1">
      <c r="A4008" s="35" t="s">
        <v>54402</v>
      </c>
    </row>
    <row r="4009" spans="1:1">
      <c r="A4009" s="35" t="s">
        <v>54252</v>
      </c>
    </row>
    <row r="4010" spans="1:1">
      <c r="A4010" s="35" t="s">
        <v>54384</v>
      </c>
    </row>
    <row r="4011" spans="1:1">
      <c r="A4011" s="35" t="s">
        <v>41057</v>
      </c>
    </row>
    <row r="4012" spans="1:1">
      <c r="A4012" s="35" t="s">
        <v>53545</v>
      </c>
    </row>
    <row r="4013" spans="1:1">
      <c r="A4013" s="35" t="s">
        <v>54403</v>
      </c>
    </row>
    <row r="4014" spans="1:1">
      <c r="A4014" s="35" t="s">
        <v>41057</v>
      </c>
    </row>
    <row r="4015" spans="1:1">
      <c r="A4015" s="35" t="s">
        <v>41057</v>
      </c>
    </row>
    <row r="4016" spans="1:1">
      <c r="A4016" s="35" t="s">
        <v>41057</v>
      </c>
    </row>
    <row r="4017" spans="1:1">
      <c r="A4017" s="35" t="s">
        <v>41057</v>
      </c>
    </row>
    <row r="4018" spans="1:1">
      <c r="A4018" s="35" t="s">
        <v>41057</v>
      </c>
    </row>
    <row r="4019" spans="1:1">
      <c r="A4019" s="35" t="s">
        <v>41057</v>
      </c>
    </row>
    <row r="4020" spans="1:1">
      <c r="A4020" s="35" t="s">
        <v>41057</v>
      </c>
    </row>
    <row r="4021" spans="1:1">
      <c r="A4021" s="35" t="s">
        <v>41057</v>
      </c>
    </row>
    <row r="4022" spans="1:1">
      <c r="A4022" s="35" t="s">
        <v>41057</v>
      </c>
    </row>
    <row r="4023" spans="1:1">
      <c r="A4023" s="35" t="s">
        <v>41057</v>
      </c>
    </row>
    <row r="4024" spans="1:1">
      <c r="A4024" s="35" t="s">
        <v>41057</v>
      </c>
    </row>
    <row r="4025" spans="1:1">
      <c r="A4025" s="35" t="s">
        <v>41057</v>
      </c>
    </row>
    <row r="4026" spans="1:1">
      <c r="A4026" s="35" t="s">
        <v>41057</v>
      </c>
    </row>
    <row r="4027" spans="1:1">
      <c r="A4027" s="35" t="s">
        <v>41057</v>
      </c>
    </row>
    <row r="4028" spans="1:1">
      <c r="A4028" s="35" t="s">
        <v>41057</v>
      </c>
    </row>
    <row r="4029" spans="1:1">
      <c r="A4029" s="35" t="s">
        <v>41057</v>
      </c>
    </row>
    <row r="4030" spans="1:1">
      <c r="A4030" s="35" t="s">
        <v>41057</v>
      </c>
    </row>
    <row r="4031" spans="1:1">
      <c r="A4031" s="35" t="s">
        <v>41057</v>
      </c>
    </row>
    <row r="4032" spans="1:1">
      <c r="A4032" s="35" t="s">
        <v>41057</v>
      </c>
    </row>
    <row r="4033" spans="1:1">
      <c r="A4033" s="35" t="s">
        <v>41057</v>
      </c>
    </row>
    <row r="4034" spans="1:1">
      <c r="A4034" s="35" t="s">
        <v>41057</v>
      </c>
    </row>
    <row r="4035" spans="1:1">
      <c r="A4035" s="35" t="s">
        <v>41057</v>
      </c>
    </row>
    <row r="4036" spans="1:1">
      <c r="A4036" s="35" t="s">
        <v>41057</v>
      </c>
    </row>
    <row r="4037" spans="1:1">
      <c r="A4037" s="35" t="s">
        <v>41057</v>
      </c>
    </row>
    <row r="4038" spans="1:1">
      <c r="A4038" s="35" t="s">
        <v>41057</v>
      </c>
    </row>
    <row r="4039" spans="1:1">
      <c r="A4039" s="35" t="s">
        <v>41057</v>
      </c>
    </row>
    <row r="4040" spans="1:1">
      <c r="A4040" s="35" t="s">
        <v>41057</v>
      </c>
    </row>
    <row r="4041" spans="1:1">
      <c r="A4041" s="35" t="s">
        <v>41057</v>
      </c>
    </row>
    <row r="4042" spans="1:1">
      <c r="A4042" s="35" t="s">
        <v>41057</v>
      </c>
    </row>
    <row r="4043" spans="1:1">
      <c r="A4043" s="35" t="s">
        <v>41057</v>
      </c>
    </row>
    <row r="4044" spans="1:1">
      <c r="A4044" s="35" t="s">
        <v>41057</v>
      </c>
    </row>
    <row r="4045" spans="1:1">
      <c r="A4045" s="35" t="s">
        <v>41057</v>
      </c>
    </row>
    <row r="4046" spans="1:1">
      <c r="A4046" s="35" t="s">
        <v>41057</v>
      </c>
    </row>
    <row r="4047" spans="1:1">
      <c r="A4047" s="35" t="s">
        <v>41057</v>
      </c>
    </row>
    <row r="4048" spans="1:1">
      <c r="A4048" s="35" t="s">
        <v>41057</v>
      </c>
    </row>
    <row r="4049" spans="1:1">
      <c r="A4049" s="35" t="s">
        <v>41057</v>
      </c>
    </row>
    <row r="4050" spans="1:1">
      <c r="A4050" s="35" t="s">
        <v>41057</v>
      </c>
    </row>
    <row r="4051" spans="1:1">
      <c r="A4051" s="35" t="s">
        <v>41057</v>
      </c>
    </row>
    <row r="4052" spans="1:1">
      <c r="A4052" s="35" t="s">
        <v>41057</v>
      </c>
    </row>
    <row r="4053" spans="1:1">
      <c r="A4053" s="35" t="s">
        <v>41057</v>
      </c>
    </row>
    <row r="4054" spans="1:1">
      <c r="A4054" s="35" t="s">
        <v>41057</v>
      </c>
    </row>
    <row r="4055" spans="1:1">
      <c r="A4055" s="35" t="s">
        <v>41057</v>
      </c>
    </row>
    <row r="4056" spans="1:1">
      <c r="A4056" s="35" t="s">
        <v>41057</v>
      </c>
    </row>
    <row r="4057" spans="1:1">
      <c r="A4057" s="35" t="s">
        <v>41057</v>
      </c>
    </row>
    <row r="4058" spans="1:1">
      <c r="A4058" s="35" t="s">
        <v>41057</v>
      </c>
    </row>
    <row r="4059" spans="1:1">
      <c r="A4059" s="35" t="s">
        <v>41057</v>
      </c>
    </row>
    <row r="4060" spans="1:1">
      <c r="A4060" s="35" t="s">
        <v>41057</v>
      </c>
    </row>
    <row r="4061" spans="1:1">
      <c r="A4061" s="35" t="s">
        <v>41057</v>
      </c>
    </row>
    <row r="4062" spans="1:1">
      <c r="A4062" s="35" t="s">
        <v>41057</v>
      </c>
    </row>
    <row r="4063" spans="1:1">
      <c r="A4063" s="35" t="s">
        <v>41057</v>
      </c>
    </row>
    <row r="4064" spans="1:1">
      <c r="A4064" s="35" t="s">
        <v>41057</v>
      </c>
    </row>
    <row r="4065" spans="1:1">
      <c r="A4065" s="35" t="s">
        <v>41057</v>
      </c>
    </row>
    <row r="4066" spans="1:1">
      <c r="A4066" s="35" t="s">
        <v>41057</v>
      </c>
    </row>
    <row r="4067" spans="1:1">
      <c r="A4067" s="35" t="s">
        <v>41057</v>
      </c>
    </row>
    <row r="4068" spans="1:1">
      <c r="A4068" s="35" t="s">
        <v>41057</v>
      </c>
    </row>
    <row r="4069" spans="1:1">
      <c r="A4069" s="35" t="s">
        <v>41057</v>
      </c>
    </row>
    <row r="4070" spans="1:1">
      <c r="A4070" s="35" t="s">
        <v>41057</v>
      </c>
    </row>
    <row r="4071" spans="1:1">
      <c r="A4071" s="35" t="s">
        <v>41057</v>
      </c>
    </row>
    <row r="4072" spans="1:1">
      <c r="A4072" s="35" t="s">
        <v>41057</v>
      </c>
    </row>
    <row r="4073" spans="1:1">
      <c r="A4073" s="35" t="s">
        <v>41057</v>
      </c>
    </row>
    <row r="4074" spans="1:1">
      <c r="A4074" s="35" t="s">
        <v>41057</v>
      </c>
    </row>
    <row r="4075" spans="1:1">
      <c r="A4075" s="35" t="s">
        <v>41057</v>
      </c>
    </row>
    <row r="4076" spans="1:1">
      <c r="A4076" s="35" t="s">
        <v>41057</v>
      </c>
    </row>
    <row r="4077" spans="1:1">
      <c r="A4077" s="35" t="s">
        <v>41057</v>
      </c>
    </row>
    <row r="4078" spans="1:1">
      <c r="A4078" s="35" t="s">
        <v>41057</v>
      </c>
    </row>
    <row r="4079" spans="1:1">
      <c r="A4079" s="35" t="s">
        <v>41057</v>
      </c>
    </row>
    <row r="4080" spans="1:1">
      <c r="A4080" s="35" t="s">
        <v>41057</v>
      </c>
    </row>
    <row r="4081" spans="1:1">
      <c r="A4081" s="35" t="s">
        <v>41057</v>
      </c>
    </row>
    <row r="4082" spans="1:1">
      <c r="A4082" s="35" t="s">
        <v>41057</v>
      </c>
    </row>
    <row r="4083" spans="1:1">
      <c r="A4083" s="35" t="s">
        <v>41057</v>
      </c>
    </row>
    <row r="4084" spans="1:1">
      <c r="A4084" s="35" t="s">
        <v>41057</v>
      </c>
    </row>
    <row r="4085" spans="1:1">
      <c r="A4085" s="35" t="s">
        <v>41057</v>
      </c>
    </row>
    <row r="4086" spans="1:1">
      <c r="A4086" s="35" t="s">
        <v>41057</v>
      </c>
    </row>
    <row r="4087" spans="1:1">
      <c r="A4087" s="35" t="s">
        <v>41057</v>
      </c>
    </row>
    <row r="4088" spans="1:1">
      <c r="A4088" s="35" t="s">
        <v>41057</v>
      </c>
    </row>
    <row r="4089" spans="1:1">
      <c r="A4089" s="35" t="s">
        <v>41057</v>
      </c>
    </row>
    <row r="4090" spans="1:1">
      <c r="A4090" s="35" t="s">
        <v>41057</v>
      </c>
    </row>
    <row r="4091" spans="1:1">
      <c r="A4091" s="35" t="s">
        <v>41057</v>
      </c>
    </row>
    <row r="4092" spans="1:1">
      <c r="A4092" s="35" t="s">
        <v>54404</v>
      </c>
    </row>
    <row r="4093" spans="1:1">
      <c r="A4093" s="35" t="s">
        <v>53973</v>
      </c>
    </row>
    <row r="4094" spans="1:1">
      <c r="A4094" s="35" t="s">
        <v>41057</v>
      </c>
    </row>
    <row r="4095" spans="1:1">
      <c r="A4095" s="35" t="s">
        <v>41057</v>
      </c>
    </row>
    <row r="4096" spans="1:1">
      <c r="A4096" s="35" t="s">
        <v>41057</v>
      </c>
    </row>
    <row r="4097" spans="1:1">
      <c r="A4097" s="35" t="s">
        <v>54405</v>
      </c>
    </row>
    <row r="4098" spans="1:1">
      <c r="A4098" s="35" t="s">
        <v>41057</v>
      </c>
    </row>
    <row r="4099" spans="1:1">
      <c r="A4099" s="35" t="s">
        <v>41057</v>
      </c>
    </row>
    <row r="4100" spans="1:1">
      <c r="A4100" s="35" t="s">
        <v>54406</v>
      </c>
    </row>
    <row r="4101" spans="1:1">
      <c r="A4101" s="35" t="s">
        <v>54407</v>
      </c>
    </row>
    <row r="4102" spans="1:1">
      <c r="A4102" s="35" t="s">
        <v>54408</v>
      </c>
    </row>
    <row r="4103" spans="1:1">
      <c r="A4103" s="35" t="s">
        <v>54409</v>
      </c>
    </row>
    <row r="4104" spans="1:1">
      <c r="A4104" s="35" t="e" cm="1">
        <f t="array" ref="A4104">----------------------------------------------------------YN</f>
        <v>#NAME?</v>
      </c>
    </row>
    <row r="4105" spans="1:1">
      <c r="A4105" s="35" t="s">
        <v>54410</v>
      </c>
    </row>
    <row r="4106" spans="1:1">
      <c r="A4106" s="35" t="s">
        <v>54411</v>
      </c>
    </row>
    <row r="4107" spans="1:1">
      <c r="A4107" s="35" t="s">
        <v>54369</v>
      </c>
    </row>
    <row r="4108" spans="1:1">
      <c r="A4108" s="35" t="s">
        <v>41057</v>
      </c>
    </row>
    <row r="4109" spans="1:1">
      <c r="A4109" s="35" t="s">
        <v>54412</v>
      </c>
    </row>
    <row r="4110" spans="1:1">
      <c r="A4110" s="35" t="s">
        <v>41057</v>
      </c>
    </row>
    <row r="4111" spans="1:1">
      <c r="A4111" s="35" t="s">
        <v>41057</v>
      </c>
    </row>
    <row r="4112" spans="1:1">
      <c r="A4112" s="35" t="s">
        <v>41057</v>
      </c>
    </row>
    <row r="4113" spans="1:1">
      <c r="A4113" s="35" t="s">
        <v>54413</v>
      </c>
    </row>
    <row r="4114" spans="1:1">
      <c r="A4114" s="35" t="s">
        <v>41057</v>
      </c>
    </row>
    <row r="4115" spans="1:1">
      <c r="A4115" s="35" t="s">
        <v>41057</v>
      </c>
    </row>
    <row r="4116" spans="1:1">
      <c r="A4116" s="35" t="s">
        <v>41057</v>
      </c>
    </row>
    <row r="4117" spans="1:1">
      <c r="A4117" s="35" t="s">
        <v>41057</v>
      </c>
    </row>
    <row r="4118" spans="1:1">
      <c r="A4118" s="35" t="e" cm="1">
        <f t="array" ref="A4118">--------------------------------------------------------TSSA</f>
        <v>#NAME?</v>
      </c>
    </row>
    <row r="4119" spans="1:1">
      <c r="A4119" s="35" t="s">
        <v>54414</v>
      </c>
    </row>
    <row r="4120" spans="1:1">
      <c r="A4120" s="35" t="s">
        <v>54415</v>
      </c>
    </row>
    <row r="4121" spans="1:1">
      <c r="A4121" s="35" t="s">
        <v>54416</v>
      </c>
    </row>
    <row r="4122" spans="1:1">
      <c r="A4122" s="35" t="s">
        <v>54417</v>
      </c>
    </row>
    <row r="4123" spans="1:1">
      <c r="A4123" s="35" t="s">
        <v>54418</v>
      </c>
    </row>
    <row r="4124" spans="1:1">
      <c r="A4124" s="35" t="s">
        <v>54419</v>
      </c>
    </row>
    <row r="4125" spans="1:1">
      <c r="A4125" s="35" t="s">
        <v>41057</v>
      </c>
    </row>
    <row r="4126" spans="1:1">
      <c r="A4126" s="35" t="s">
        <v>54420</v>
      </c>
    </row>
    <row r="4127" spans="1:1">
      <c r="A4127" s="35" t="s">
        <v>54421</v>
      </c>
    </row>
    <row r="4128" spans="1:1">
      <c r="A4128" s="35" t="s">
        <v>54422</v>
      </c>
    </row>
    <row r="4129" spans="1:1">
      <c r="A4129" s="35" t="s">
        <v>41057</v>
      </c>
    </row>
    <row r="4130" spans="1:1">
      <c r="A4130" s="35" t="s">
        <v>53545</v>
      </c>
    </row>
    <row r="4131" spans="1:1">
      <c r="A4131" s="35" t="s">
        <v>54423</v>
      </c>
    </row>
    <row r="4132" spans="1:1">
      <c r="A4132" s="35" t="s">
        <v>41057</v>
      </c>
    </row>
    <row r="4133" spans="1:1">
      <c r="A4133" s="35" t="s">
        <v>41057</v>
      </c>
    </row>
    <row r="4134" spans="1:1">
      <c r="A4134" s="35" t="s">
        <v>41057</v>
      </c>
    </row>
    <row r="4135" spans="1:1">
      <c r="A4135" s="35" t="s">
        <v>41057</v>
      </c>
    </row>
    <row r="4136" spans="1:1">
      <c r="A4136" s="35" t="s">
        <v>41057</v>
      </c>
    </row>
    <row r="4137" spans="1:1">
      <c r="A4137" s="35" t="s">
        <v>54424</v>
      </c>
    </row>
    <row r="4138" spans="1:1">
      <c r="A4138" s="35" t="s">
        <v>41057</v>
      </c>
    </row>
    <row r="4139" spans="1:1">
      <c r="A4139" s="35" t="s">
        <v>41057</v>
      </c>
    </row>
    <row r="4140" spans="1:1">
      <c r="A4140" s="35" t="s">
        <v>41057</v>
      </c>
    </row>
    <row r="4141" spans="1:1">
      <c r="A4141" s="35" t="s">
        <v>54097</v>
      </c>
    </row>
    <row r="4142" spans="1:1">
      <c r="A4142" s="35" t="s">
        <v>54098</v>
      </c>
    </row>
    <row r="4143" spans="1:1">
      <c r="A4143" s="35" t="s">
        <v>54425</v>
      </c>
    </row>
    <row r="4144" spans="1:1">
      <c r="A4144" s="35" t="s">
        <v>54100</v>
      </c>
    </row>
    <row r="4145" spans="1:1">
      <c r="A4145" s="35" t="s">
        <v>41057</v>
      </c>
    </row>
    <row r="4146" spans="1:1">
      <c r="A4146" s="35" t="s">
        <v>41057</v>
      </c>
    </row>
    <row r="4147" spans="1:1">
      <c r="A4147" s="35" t="e" cm="1">
        <f t="array" ref="A4147">---------------QITF------------------FKV-------------------V</f>
        <v>#NAME?</v>
      </c>
    </row>
    <row r="4148" spans="1:1">
      <c r="A4148" s="35" t="s">
        <v>54288</v>
      </c>
    </row>
    <row r="4149" spans="1:1">
      <c r="A4149" s="35" t="s">
        <v>54426</v>
      </c>
    </row>
    <row r="4150" spans="1:1">
      <c r="A4150" s="35" t="s">
        <v>41057</v>
      </c>
    </row>
    <row r="4151" spans="1:1">
      <c r="A4151" s="35" t="s">
        <v>54427</v>
      </c>
    </row>
    <row r="4152" spans="1:1">
      <c r="A4152" s="35" t="s">
        <v>41057</v>
      </c>
    </row>
    <row r="4153" spans="1:1">
      <c r="A4153" s="35" t="s">
        <v>41057</v>
      </c>
    </row>
    <row r="4154" spans="1:1">
      <c r="A4154" s="35" t="s">
        <v>54428</v>
      </c>
    </row>
    <row r="4155" spans="1:1">
      <c r="A4155" s="35" t="s">
        <v>41057</v>
      </c>
    </row>
    <row r="4156" spans="1:1">
      <c r="A4156" s="35" t="s">
        <v>41057</v>
      </c>
    </row>
    <row r="4157" spans="1:1">
      <c r="A4157" s="35" t="s">
        <v>53500</v>
      </c>
    </row>
    <row r="4158" spans="1:1">
      <c r="A4158" s="35" t="s">
        <v>41057</v>
      </c>
    </row>
    <row r="4159" spans="1:1">
      <c r="A4159" s="35" t="s">
        <v>41057</v>
      </c>
    </row>
    <row r="4160" spans="1:1">
      <c r="A4160" s="35" t="s">
        <v>54429</v>
      </c>
    </row>
    <row r="4161" spans="1:1">
      <c r="A4161" s="35" t="s">
        <v>41057</v>
      </c>
    </row>
    <row r="4162" spans="1:1">
      <c r="A4162" s="35" t="s">
        <v>54430</v>
      </c>
    </row>
    <row r="4163" spans="1:1">
      <c r="A4163" s="35" t="s">
        <v>41057</v>
      </c>
    </row>
    <row r="4164" spans="1:1">
      <c r="A4164" s="35" t="s">
        <v>54431</v>
      </c>
    </row>
    <row r="4165" spans="1:1">
      <c r="A4165" s="35" t="s">
        <v>54432</v>
      </c>
    </row>
    <row r="4166" spans="1:1">
      <c r="A4166" s="35" t="s">
        <v>41057</v>
      </c>
    </row>
    <row r="4167" spans="1:1">
      <c r="A4167" s="35" t="s">
        <v>41057</v>
      </c>
    </row>
    <row r="4168" spans="1:1">
      <c r="A4168" s="35" t="s">
        <v>54354</v>
      </c>
    </row>
    <row r="4169" spans="1:1">
      <c r="A4169" s="35" t="s">
        <v>41057</v>
      </c>
    </row>
    <row r="4170" spans="1:1">
      <c r="A4170" s="35" t="s">
        <v>41057</v>
      </c>
    </row>
    <row r="4171" spans="1:1">
      <c r="A4171" s="35" t="s">
        <v>41057</v>
      </c>
    </row>
    <row r="4172" spans="1:1">
      <c r="A4172" s="35" t="s">
        <v>41057</v>
      </c>
    </row>
    <row r="4173" spans="1:1">
      <c r="A4173" s="35" t="s">
        <v>41057</v>
      </c>
    </row>
    <row r="4174" spans="1:1">
      <c r="A4174" s="35" t="s">
        <v>54224</v>
      </c>
    </row>
    <row r="4175" spans="1:1">
      <c r="A4175" s="35" t="s">
        <v>41057</v>
      </c>
    </row>
    <row r="4176" spans="1:1">
      <c r="A4176" s="35" t="s">
        <v>41057</v>
      </c>
    </row>
    <row r="4177" spans="1:1">
      <c r="A4177" s="35" t="s">
        <v>54433</v>
      </c>
    </row>
    <row r="4178" spans="1:1">
      <c r="A4178" s="35" t="s">
        <v>41057</v>
      </c>
    </row>
    <row r="4179" spans="1:1">
      <c r="A4179" s="35" t="s">
        <v>41057</v>
      </c>
    </row>
    <row r="4180" spans="1:1">
      <c r="A4180" s="35" t="s">
        <v>41057</v>
      </c>
    </row>
    <row r="4181" spans="1:1">
      <c r="A4181" s="35" t="s">
        <v>41057</v>
      </c>
    </row>
    <row r="4182" spans="1:1">
      <c r="A4182" s="35" t="s">
        <v>41057</v>
      </c>
    </row>
    <row r="4183" spans="1:1">
      <c r="A4183" s="35" t="s">
        <v>41057</v>
      </c>
    </row>
    <row r="4184" spans="1:1">
      <c r="A4184" s="35" t="s">
        <v>41057</v>
      </c>
    </row>
    <row r="4185" spans="1:1">
      <c r="A4185" s="35" t="s">
        <v>41057</v>
      </c>
    </row>
    <row r="4186" spans="1:1">
      <c r="A4186" s="35" t="s">
        <v>41057</v>
      </c>
    </row>
    <row r="4187" spans="1:1">
      <c r="A4187" s="35" t="s">
        <v>41057</v>
      </c>
    </row>
    <row r="4188" spans="1:1">
      <c r="A4188" s="35" t="s">
        <v>41057</v>
      </c>
    </row>
    <row r="4189" spans="1:1">
      <c r="A4189" s="35" t="s">
        <v>41057</v>
      </c>
    </row>
    <row r="4190" spans="1:1">
      <c r="A4190" s="35" t="s">
        <v>54434</v>
      </c>
    </row>
    <row r="4191" spans="1:1">
      <c r="A4191" s="35" t="s">
        <v>41057</v>
      </c>
    </row>
    <row r="4192" spans="1:1">
      <c r="A4192" s="35" t="s">
        <v>41057</v>
      </c>
    </row>
    <row r="4193" spans="1:1">
      <c r="A4193" s="35" t="s">
        <v>41057</v>
      </c>
    </row>
    <row r="4194" spans="1:1">
      <c r="A4194" s="35" t="s">
        <v>41057</v>
      </c>
    </row>
    <row r="4195" spans="1:1">
      <c r="A4195" s="35" t="s">
        <v>41057</v>
      </c>
    </row>
    <row r="4196" spans="1:1">
      <c r="A4196" s="35" t="s">
        <v>41057</v>
      </c>
    </row>
    <row r="4197" spans="1:1">
      <c r="A4197" s="35" t="s">
        <v>41057</v>
      </c>
    </row>
    <row r="4198" spans="1:1">
      <c r="A4198" s="35" t="s">
        <v>41057</v>
      </c>
    </row>
    <row r="4199" spans="1:1">
      <c r="A4199" s="35" t="s">
        <v>41057</v>
      </c>
    </row>
    <row r="4200" spans="1:1">
      <c r="A4200" s="35" t="s">
        <v>41057</v>
      </c>
    </row>
    <row r="4201" spans="1:1">
      <c r="A4201" s="35" t="e" cm="1">
        <f t="array" ref="A4201">---------------------------------------------SACFRWVNYV---GH</f>
        <v>#NAME?</v>
      </c>
    </row>
    <row r="4202" spans="1:1">
      <c r="A4202" s="35" t="s">
        <v>54435</v>
      </c>
    </row>
    <row r="4203" spans="1:1">
      <c r="A4203" s="35" t="e" cm="1">
        <f t="array" ref="A4203">---------------GDWLNIWNELTV---------QPGH------------------QV</f>
        <v>#NAME?</v>
      </c>
    </row>
    <row r="4204" spans="1:1">
      <c r="A4204" s="35" t="s">
        <v>54436</v>
      </c>
    </row>
    <row r="4205" spans="1:1">
      <c r="A4205" s="35" t="e" cm="1">
        <f t="array" ref="A4205">----------------------------------------------NRTE--------AT</f>
        <v>#NAME?</v>
      </c>
    </row>
    <row r="4206" spans="1:1">
      <c r="A4206" s="35" t="s">
        <v>41182</v>
      </c>
    </row>
    <row r="4207" spans="1:1">
      <c r="A4207" s="35" t="s">
        <v>54437</v>
      </c>
    </row>
    <row r="4208" spans="1:1">
      <c r="A4208" s="35" t="s">
        <v>41057</v>
      </c>
    </row>
    <row r="4209" spans="1:1">
      <c r="A4209" s="35" t="s">
        <v>54262</v>
      </c>
    </row>
    <row r="4210" spans="1:1">
      <c r="A4210" s="35" t="s">
        <v>41057</v>
      </c>
    </row>
    <row r="4211" spans="1:1">
      <c r="A4211" s="35" t="s">
        <v>41057</v>
      </c>
    </row>
    <row r="4212" spans="1:1">
      <c r="A4212" s="35" t="s">
        <v>41057</v>
      </c>
    </row>
    <row r="4213" spans="1:1">
      <c r="A4213" s="35" t="s">
        <v>41057</v>
      </c>
    </row>
    <row r="4214" spans="1:1">
      <c r="A4214" s="35" t="s">
        <v>41057</v>
      </c>
    </row>
    <row r="4215" spans="1:1">
      <c r="A4215" s="35" t="s">
        <v>41057</v>
      </c>
    </row>
    <row r="4216" spans="1:1">
      <c r="A4216" s="35" t="s">
        <v>41057</v>
      </c>
    </row>
    <row r="4217" spans="1:1">
      <c r="A4217" s="35" t="s">
        <v>41057</v>
      </c>
    </row>
    <row r="4218" spans="1:1">
      <c r="A4218" s="35" t="s">
        <v>41057</v>
      </c>
    </row>
    <row r="4219" spans="1:1">
      <c r="A4219" s="35" t="s">
        <v>41057</v>
      </c>
    </row>
    <row r="4220" spans="1:1">
      <c r="A4220" s="35" t="s">
        <v>41057</v>
      </c>
    </row>
    <row r="4221" spans="1:1">
      <c r="A4221" s="35" t="s">
        <v>41057</v>
      </c>
    </row>
    <row r="4222" spans="1:1">
      <c r="A4222" s="35" t="s">
        <v>41057</v>
      </c>
    </row>
    <row r="4223" spans="1:1">
      <c r="A4223" s="35" t="s">
        <v>41057</v>
      </c>
    </row>
    <row r="4224" spans="1:1">
      <c r="A4224" s="35" t="s">
        <v>41057</v>
      </c>
    </row>
    <row r="4225" spans="1:1">
      <c r="A4225" s="35" t="s">
        <v>41057</v>
      </c>
    </row>
    <row r="4226" spans="1:1">
      <c r="A4226" s="35" t="s">
        <v>41057</v>
      </c>
    </row>
    <row r="4227" spans="1:1">
      <c r="A4227" s="35" t="s">
        <v>41057</v>
      </c>
    </row>
    <row r="4228" spans="1:1">
      <c r="A4228" s="35" t="s">
        <v>41057</v>
      </c>
    </row>
    <row r="4229" spans="1:1">
      <c r="A4229" s="35" t="s">
        <v>41057</v>
      </c>
    </row>
    <row r="4230" spans="1:1">
      <c r="A4230" s="35" t="s">
        <v>41057</v>
      </c>
    </row>
    <row r="4231" spans="1:1">
      <c r="A4231" s="35" t="s">
        <v>41057</v>
      </c>
    </row>
    <row r="4232" spans="1:1">
      <c r="A4232" s="35" t="s">
        <v>41057</v>
      </c>
    </row>
    <row r="4233" spans="1:1">
      <c r="A4233" s="35" t="s">
        <v>41057</v>
      </c>
    </row>
    <row r="4234" spans="1:1">
      <c r="A4234" s="35" t="s">
        <v>41057</v>
      </c>
    </row>
    <row r="4235" spans="1:1">
      <c r="A4235" s="35" t="s">
        <v>41057</v>
      </c>
    </row>
    <row r="4236" spans="1:1">
      <c r="A4236" s="35" t="s">
        <v>41057</v>
      </c>
    </row>
    <row r="4237" spans="1:1">
      <c r="A4237" s="35" t="s">
        <v>41057</v>
      </c>
    </row>
    <row r="4238" spans="1:1">
      <c r="A4238" s="35" t="s">
        <v>41057</v>
      </c>
    </row>
    <row r="4239" spans="1:1">
      <c r="A4239" s="35" t="s">
        <v>41057</v>
      </c>
    </row>
    <row r="4240" spans="1:1">
      <c r="A4240" s="35" t="s">
        <v>41057</v>
      </c>
    </row>
    <row r="4241" spans="1:1">
      <c r="A4241" s="35" t="s">
        <v>41057</v>
      </c>
    </row>
    <row r="4242" spans="1:1">
      <c r="A4242" s="35" t="s">
        <v>41057</v>
      </c>
    </row>
    <row r="4243" spans="1:1">
      <c r="A4243" s="35" t="s">
        <v>41057</v>
      </c>
    </row>
    <row r="4244" spans="1:1">
      <c r="A4244" s="35" t="s">
        <v>41057</v>
      </c>
    </row>
    <row r="4245" spans="1:1">
      <c r="A4245" s="35" t="s">
        <v>41057</v>
      </c>
    </row>
    <row r="4246" spans="1:1">
      <c r="A4246" s="35" t="s">
        <v>41057</v>
      </c>
    </row>
    <row r="4247" spans="1:1">
      <c r="A4247" s="35" t="s">
        <v>41057</v>
      </c>
    </row>
    <row r="4248" spans="1:1">
      <c r="A4248" s="35" t="s">
        <v>53545</v>
      </c>
    </row>
    <row r="4249" spans="1:1">
      <c r="A4249" s="35" t="s">
        <v>54438</v>
      </c>
    </row>
    <row r="4250" spans="1:1">
      <c r="A4250" s="35" t="s">
        <v>41057</v>
      </c>
    </row>
    <row r="4251" spans="1:1">
      <c r="A4251" s="35" t="s">
        <v>41057</v>
      </c>
    </row>
    <row r="4252" spans="1:1">
      <c r="A4252" s="35" t="s">
        <v>41057</v>
      </c>
    </row>
    <row r="4253" spans="1:1">
      <c r="A4253" s="35" t="s">
        <v>41057</v>
      </c>
    </row>
    <row r="4254" spans="1:1">
      <c r="A4254" s="35" t="s">
        <v>54439</v>
      </c>
    </row>
    <row r="4255" spans="1:1">
      <c r="A4255" s="35" t="s">
        <v>53706</v>
      </c>
    </row>
    <row r="4256" spans="1:1">
      <c r="A4256" s="35" t="s">
        <v>41057</v>
      </c>
    </row>
    <row r="4257" spans="1:1">
      <c r="A4257" s="35" t="s">
        <v>41057</v>
      </c>
    </row>
    <row r="4258" spans="1:1">
      <c r="A4258" s="35" t="s">
        <v>41057</v>
      </c>
    </row>
    <row r="4259" spans="1:1">
      <c r="A4259" s="35" t="s">
        <v>54097</v>
      </c>
    </row>
    <row r="4260" spans="1:1">
      <c r="A4260" s="35" t="s">
        <v>54098</v>
      </c>
    </row>
    <row r="4261" spans="1:1">
      <c r="A4261" s="35" t="s">
        <v>54099</v>
      </c>
    </row>
    <row r="4262" spans="1:1">
      <c r="A4262" s="35" t="s">
        <v>54100</v>
      </c>
    </row>
    <row r="4263" spans="1:1">
      <c r="A4263" s="35" t="s">
        <v>41057</v>
      </c>
    </row>
    <row r="4264" spans="1:1">
      <c r="A4264" s="35" t="s">
        <v>41057</v>
      </c>
    </row>
    <row r="4265" spans="1:1">
      <c r="A4265" s="35" t="e" cm="1">
        <f t="array" ref="A4265">---------------QITF------------------FKV-------------------V</f>
        <v>#NAME?</v>
      </c>
    </row>
    <row r="4266" spans="1:1">
      <c r="A4266" s="35" t="s">
        <v>54288</v>
      </c>
    </row>
    <row r="4267" spans="1:1">
      <c r="A4267" s="35" t="s">
        <v>54440</v>
      </c>
    </row>
    <row r="4268" spans="1:1">
      <c r="A4268" s="35" t="s">
        <v>41057</v>
      </c>
    </row>
    <row r="4269" spans="1:1">
      <c r="A4269" s="35" t="s">
        <v>54441</v>
      </c>
    </row>
    <row r="4270" spans="1:1">
      <c r="A4270" s="35" t="s">
        <v>41057</v>
      </c>
    </row>
    <row r="4271" spans="1:1">
      <c r="A4271" s="35" t="s">
        <v>41057</v>
      </c>
    </row>
    <row r="4272" spans="1:1">
      <c r="A4272" s="35" t="s">
        <v>54442</v>
      </c>
    </row>
    <row r="4273" spans="1:1">
      <c r="A4273" s="35" t="s">
        <v>41057</v>
      </c>
    </row>
    <row r="4274" spans="1:1">
      <c r="A4274" s="35" t="s">
        <v>41057</v>
      </c>
    </row>
    <row r="4275" spans="1:1">
      <c r="A4275" s="35" t="s">
        <v>53500</v>
      </c>
    </row>
    <row r="4276" spans="1:1">
      <c r="A4276" s="35" t="s">
        <v>41057</v>
      </c>
    </row>
    <row r="4277" spans="1:1">
      <c r="A4277" s="35" t="s">
        <v>41057</v>
      </c>
    </row>
    <row r="4278" spans="1:1">
      <c r="A4278" s="35" t="s">
        <v>54443</v>
      </c>
    </row>
    <row r="4279" spans="1:1">
      <c r="A4279" s="35" t="s">
        <v>41057</v>
      </c>
    </row>
    <row r="4280" spans="1:1">
      <c r="A4280" s="35" t="s">
        <v>54292</v>
      </c>
    </row>
    <row r="4281" spans="1:1">
      <c r="A4281" s="35" t="s">
        <v>41057</v>
      </c>
    </row>
    <row r="4282" spans="1:1">
      <c r="A4282" s="35" t="s">
        <v>54444</v>
      </c>
    </row>
    <row r="4283" spans="1:1">
      <c r="A4283" s="35" t="s">
        <v>54432</v>
      </c>
    </row>
    <row r="4284" spans="1:1">
      <c r="A4284" s="35" t="s">
        <v>41057</v>
      </c>
    </row>
    <row r="4285" spans="1:1">
      <c r="A4285" s="35" t="s">
        <v>41057</v>
      </c>
    </row>
    <row r="4286" spans="1:1">
      <c r="A4286" s="35" t="s">
        <v>54445</v>
      </c>
    </row>
    <row r="4287" spans="1:1">
      <c r="A4287" s="35" t="s">
        <v>41057</v>
      </c>
    </row>
    <row r="4288" spans="1:1">
      <c r="A4288" s="35" t="s">
        <v>41057</v>
      </c>
    </row>
    <row r="4289" spans="1:1">
      <c r="A4289" s="35" t="s">
        <v>41057</v>
      </c>
    </row>
    <row r="4290" spans="1:1">
      <c r="A4290" s="35" t="s">
        <v>41057</v>
      </c>
    </row>
    <row r="4291" spans="1:1">
      <c r="A4291" s="35" t="s">
        <v>41057</v>
      </c>
    </row>
    <row r="4292" spans="1:1">
      <c r="A4292" s="35" t="s">
        <v>54224</v>
      </c>
    </row>
    <row r="4293" spans="1:1">
      <c r="A4293" s="35" t="s">
        <v>41057</v>
      </c>
    </row>
    <row r="4294" spans="1:1">
      <c r="A4294" s="35" t="s">
        <v>41057</v>
      </c>
    </row>
    <row r="4295" spans="1:1">
      <c r="A4295" s="35" t="s">
        <v>54446</v>
      </c>
    </row>
    <row r="4296" spans="1:1">
      <c r="A4296" s="35" t="s">
        <v>41057</v>
      </c>
    </row>
    <row r="4297" spans="1:1">
      <c r="A4297" s="35" t="s">
        <v>41057</v>
      </c>
    </row>
    <row r="4298" spans="1:1">
      <c r="A4298" s="35" t="s">
        <v>41057</v>
      </c>
    </row>
    <row r="4299" spans="1:1">
      <c r="A4299" s="35" t="s">
        <v>41057</v>
      </c>
    </row>
    <row r="4300" spans="1:1">
      <c r="A4300" s="35" t="s">
        <v>41057</v>
      </c>
    </row>
    <row r="4301" spans="1:1">
      <c r="A4301" s="35" t="s">
        <v>41057</v>
      </c>
    </row>
    <row r="4302" spans="1:1">
      <c r="A4302" s="35" t="s">
        <v>41057</v>
      </c>
    </row>
    <row r="4303" spans="1:1">
      <c r="A4303" s="35" t="s">
        <v>41057</v>
      </c>
    </row>
    <row r="4304" spans="1:1">
      <c r="A4304" s="35" t="s">
        <v>41057</v>
      </c>
    </row>
    <row r="4305" spans="1:1">
      <c r="A4305" s="35" t="s">
        <v>41057</v>
      </c>
    </row>
    <row r="4306" spans="1:1">
      <c r="A4306" s="35" t="s">
        <v>41057</v>
      </c>
    </row>
    <row r="4307" spans="1:1">
      <c r="A4307" s="35" t="s">
        <v>41057</v>
      </c>
    </row>
    <row r="4308" spans="1:1">
      <c r="A4308" s="35" t="s">
        <v>54447</v>
      </c>
    </row>
    <row r="4309" spans="1:1">
      <c r="A4309" s="35" t="s">
        <v>41057</v>
      </c>
    </row>
    <row r="4310" spans="1:1">
      <c r="A4310" s="35" t="s">
        <v>41057</v>
      </c>
    </row>
    <row r="4311" spans="1:1">
      <c r="A4311" s="35" t="s">
        <v>41057</v>
      </c>
    </row>
    <row r="4312" spans="1:1">
      <c r="A4312" s="35" t="e" cm="1">
        <f t="array" ref="A4312">--------------------------------------------------------TADK</f>
        <v>#NAME?</v>
      </c>
    </row>
    <row r="4313" spans="1:1">
      <c r="A4313" s="35" t="s">
        <v>41057</v>
      </c>
    </row>
    <row r="4314" spans="1:1">
      <c r="A4314" s="35" t="s">
        <v>41057</v>
      </c>
    </row>
    <row r="4315" spans="1:1">
      <c r="A4315" s="35" t="s">
        <v>41057</v>
      </c>
    </row>
    <row r="4316" spans="1:1">
      <c r="A4316" s="35" t="s">
        <v>41057</v>
      </c>
    </row>
    <row r="4317" spans="1:1">
      <c r="A4317" s="35" t="s">
        <v>41057</v>
      </c>
    </row>
    <row r="4318" spans="1:1">
      <c r="A4318" s="35" t="s">
        <v>41057</v>
      </c>
    </row>
    <row r="4319" spans="1:1">
      <c r="A4319" s="35" t="e" cm="1">
        <f t="array" ref="A4319">---------------------------------------------SFCFRWVNYV---GH</f>
        <v>#NAME?</v>
      </c>
    </row>
    <row r="4320" spans="1:1">
      <c r="A4320" s="35" t="s">
        <v>54448</v>
      </c>
    </row>
    <row r="4321" spans="1:1">
      <c r="A4321" s="35" t="e" cm="1">
        <f t="array" ref="A4321">---------------GDWLNIWNELSQ---------EPGH------------------QI</f>
        <v>#NAME?</v>
      </c>
    </row>
    <row r="4322" spans="1:1">
      <c r="A4322" s="35" t="s">
        <v>54449</v>
      </c>
    </row>
    <row r="4323" spans="1:1">
      <c r="A4323" s="35" t="e" cm="1">
        <f t="array" ref="A4323">----------------------------------------------EKAE--------AT</f>
        <v>#NAME?</v>
      </c>
    </row>
    <row r="4324" spans="1:1">
      <c r="A4324" s="35" t="s">
        <v>41182</v>
      </c>
    </row>
    <row r="4325" spans="1:1">
      <c r="A4325" s="35" t="s">
        <v>54450</v>
      </c>
    </row>
    <row r="4326" spans="1:1">
      <c r="A4326" s="35" t="s">
        <v>41057</v>
      </c>
    </row>
    <row r="4327" spans="1:1">
      <c r="A4327" s="35" t="s">
        <v>54451</v>
      </c>
    </row>
    <row r="4328" spans="1:1">
      <c r="A4328" s="35" t="s">
        <v>54452</v>
      </c>
    </row>
    <row r="4329" spans="1:1">
      <c r="A4329" s="35" t="s">
        <v>54453</v>
      </c>
    </row>
    <row r="4330" spans="1:1">
      <c r="A4330" s="35" t="s">
        <v>41057</v>
      </c>
    </row>
    <row r="4331" spans="1:1">
      <c r="A4331" s="35" t="s">
        <v>41057</v>
      </c>
    </row>
    <row r="4332" spans="1:1">
      <c r="A4332" s="35" t="s">
        <v>41057</v>
      </c>
    </row>
    <row r="4333" spans="1:1">
      <c r="A4333" s="35" t="s">
        <v>54454</v>
      </c>
    </row>
    <row r="4334" spans="1:1">
      <c r="A4334" s="35" t="s">
        <v>41057</v>
      </c>
    </row>
    <row r="4335" spans="1:1">
      <c r="A4335" s="35" t="s">
        <v>41057</v>
      </c>
    </row>
    <row r="4336" spans="1:1">
      <c r="A4336" s="35" t="s">
        <v>54455</v>
      </c>
    </row>
    <row r="4337" spans="1:1">
      <c r="A4337" s="35" t="s">
        <v>54456</v>
      </c>
    </row>
    <row r="4338" spans="1:1">
      <c r="A4338" s="35" t="s">
        <v>54457</v>
      </c>
    </row>
    <row r="4339" spans="1:1">
      <c r="A4339" s="35" t="s">
        <v>54236</v>
      </c>
    </row>
    <row r="4340" spans="1:1">
      <c r="A4340" s="35" t="e" cm="1">
        <f t="array" ref="A4340">----------------------------------------------------------FT</f>
        <v>#NAME?</v>
      </c>
    </row>
    <row r="4341" spans="1:1">
      <c r="A4341" s="35" t="s">
        <v>54458</v>
      </c>
    </row>
    <row r="4342" spans="1:1">
      <c r="A4342" s="35" t="s">
        <v>54459</v>
      </c>
    </row>
    <row r="4343" spans="1:1">
      <c r="A4343" s="35" t="s">
        <v>54460</v>
      </c>
    </row>
    <row r="4344" spans="1:1">
      <c r="A4344" s="35" t="s">
        <v>41057</v>
      </c>
    </row>
    <row r="4345" spans="1:1">
      <c r="A4345" s="35" t="s">
        <v>54461</v>
      </c>
    </row>
    <row r="4346" spans="1:1">
      <c r="A4346" s="35" t="s">
        <v>41057</v>
      </c>
    </row>
    <row r="4347" spans="1:1">
      <c r="A4347" s="35" t="s">
        <v>54462</v>
      </c>
    </row>
    <row r="4348" spans="1:1">
      <c r="A4348" s="35" t="s">
        <v>41057</v>
      </c>
    </row>
    <row r="4349" spans="1:1">
      <c r="A4349" s="35" t="s">
        <v>54463</v>
      </c>
    </row>
    <row r="4350" spans="1:1">
      <c r="A4350" s="35" t="s">
        <v>54464</v>
      </c>
    </row>
    <row r="4351" spans="1:1">
      <c r="A4351" s="35" t="e" cm="1">
        <f t="array" ref="A4351">------------FDND--------------------------TLG-KILSNGL-LDPLAA</f>
        <v>#NAME?</v>
      </c>
    </row>
    <row r="4352" spans="1:1">
      <c r="A4352" s="35" t="s">
        <v>54465</v>
      </c>
    </row>
    <row r="4353" spans="1:1">
      <c r="A4353" s="35" t="s">
        <v>54466</v>
      </c>
    </row>
    <row r="4354" spans="1:1">
      <c r="A4354" s="35" t="s">
        <v>54467</v>
      </c>
    </row>
    <row r="4355" spans="1:1">
      <c r="A4355" s="35" t="s">
        <v>54468</v>
      </c>
    </row>
    <row r="4356" spans="1:1">
      <c r="A4356" s="35" t="s">
        <v>54469</v>
      </c>
    </row>
    <row r="4357" spans="1:1">
      <c r="A4357" s="35" t="s">
        <v>54470</v>
      </c>
    </row>
    <row r="4358" spans="1:1">
      <c r="A4358" s="35" t="s">
        <v>54471</v>
      </c>
    </row>
    <row r="4359" spans="1:1">
      <c r="A4359" s="35" t="s">
        <v>54472</v>
      </c>
    </row>
    <row r="4360" spans="1:1">
      <c r="A4360" s="35" t="s">
        <v>54473</v>
      </c>
    </row>
    <row r="4361" spans="1:1">
      <c r="A4361" s="35" t="s">
        <v>41057</v>
      </c>
    </row>
    <row r="4362" spans="1:1">
      <c r="A4362" s="35" t="s">
        <v>54474</v>
      </c>
    </row>
    <row r="4363" spans="1:1">
      <c r="A4363" s="35" t="s">
        <v>54475</v>
      </c>
    </row>
    <row r="4364" spans="1:1">
      <c r="A4364" s="35" t="s">
        <v>54476</v>
      </c>
    </row>
    <row r="4365" spans="1:1">
      <c r="A4365" s="35" t="s">
        <v>54477</v>
      </c>
    </row>
    <row r="4366" spans="1:1">
      <c r="A4366" s="35" t="s">
        <v>53545</v>
      </c>
    </row>
    <row r="4367" spans="1:1">
      <c r="A4367" s="35" t="s">
        <v>51973</v>
      </c>
    </row>
    <row r="4368" spans="1:1">
      <c r="A4368" s="35" t="s">
        <v>41057</v>
      </c>
    </row>
    <row r="4369" spans="1:1">
      <c r="A4369" s="35" t="s">
        <v>41057</v>
      </c>
    </row>
    <row r="4370" spans="1:1">
      <c r="A4370" s="35" t="s">
        <v>41057</v>
      </c>
    </row>
    <row r="4371" spans="1:1">
      <c r="A4371" s="35" t="s">
        <v>41057</v>
      </c>
    </row>
    <row r="4372" spans="1:1">
      <c r="A4372" s="35" t="s">
        <v>41057</v>
      </c>
    </row>
    <row r="4373" spans="1:1">
      <c r="A4373" s="35" t="s">
        <v>54478</v>
      </c>
    </row>
    <row r="4374" spans="1:1">
      <c r="A4374" s="35" t="s">
        <v>41057</v>
      </c>
    </row>
    <row r="4375" spans="1:1">
      <c r="A4375" s="35" t="s">
        <v>41057</v>
      </c>
    </row>
    <row r="4376" spans="1:1">
      <c r="A4376" s="35" t="s">
        <v>41057</v>
      </c>
    </row>
    <row r="4377" spans="1:1">
      <c r="A4377" s="35" t="s">
        <v>54097</v>
      </c>
    </row>
    <row r="4378" spans="1:1">
      <c r="A4378" s="35" t="s">
        <v>54098</v>
      </c>
    </row>
    <row r="4379" spans="1:1">
      <c r="A4379" s="35" t="s">
        <v>54425</v>
      </c>
    </row>
    <row r="4380" spans="1:1">
      <c r="A4380" s="35" t="s">
        <v>54100</v>
      </c>
    </row>
    <row r="4381" spans="1:1">
      <c r="A4381" s="35" t="s">
        <v>41057</v>
      </c>
    </row>
    <row r="4382" spans="1:1">
      <c r="A4382" s="35" t="s">
        <v>41057</v>
      </c>
    </row>
    <row r="4383" spans="1:1">
      <c r="A4383" s="35" t="e" cm="1">
        <f t="array" ref="A4383">---------------QITF------------------FKI-------------------V</f>
        <v>#NAME?</v>
      </c>
    </row>
    <row r="4384" spans="1:1">
      <c r="A4384" s="35" t="s">
        <v>54288</v>
      </c>
    </row>
    <row r="4385" spans="1:1">
      <c r="A4385" s="35" t="s">
        <v>54440</v>
      </c>
    </row>
    <row r="4386" spans="1:1">
      <c r="A4386" s="35" t="s">
        <v>41057</v>
      </c>
    </row>
    <row r="4387" spans="1:1">
      <c r="A4387" s="35" t="s">
        <v>54441</v>
      </c>
    </row>
    <row r="4388" spans="1:1">
      <c r="A4388" s="35" t="s">
        <v>41057</v>
      </c>
    </row>
    <row r="4389" spans="1:1">
      <c r="A4389" s="35" t="s">
        <v>41057</v>
      </c>
    </row>
    <row r="4390" spans="1:1">
      <c r="A4390" s="35" t="s">
        <v>54479</v>
      </c>
    </row>
    <row r="4391" spans="1:1">
      <c r="A4391" s="35" t="s">
        <v>41057</v>
      </c>
    </row>
    <row r="4392" spans="1:1">
      <c r="A4392" s="35" t="s">
        <v>41057</v>
      </c>
    </row>
    <row r="4393" spans="1:1">
      <c r="A4393" s="35" t="s">
        <v>53500</v>
      </c>
    </row>
    <row r="4394" spans="1:1">
      <c r="A4394" s="35" t="s">
        <v>41057</v>
      </c>
    </row>
    <row r="4395" spans="1:1">
      <c r="A4395" s="35" t="s">
        <v>41057</v>
      </c>
    </row>
    <row r="4396" spans="1:1">
      <c r="A4396" s="35" t="s">
        <v>54443</v>
      </c>
    </row>
    <row r="4397" spans="1:1">
      <c r="A4397" s="35" t="s">
        <v>41057</v>
      </c>
    </row>
    <row r="4398" spans="1:1">
      <c r="A4398" s="35" t="s">
        <v>54480</v>
      </c>
    </row>
    <row r="4399" spans="1:1">
      <c r="A4399" s="35" t="s">
        <v>41057</v>
      </c>
    </row>
    <row r="4400" spans="1:1">
      <c r="A4400" s="35" t="s">
        <v>54481</v>
      </c>
    </row>
    <row r="4401" spans="1:1">
      <c r="A4401" s="35" t="s">
        <v>54432</v>
      </c>
    </row>
    <row r="4402" spans="1:1">
      <c r="A4402" s="35" t="s">
        <v>41057</v>
      </c>
    </row>
    <row r="4403" spans="1:1">
      <c r="A4403" s="35" t="s">
        <v>41057</v>
      </c>
    </row>
    <row r="4404" spans="1:1">
      <c r="A4404" s="35" t="s">
        <v>54482</v>
      </c>
    </row>
    <row r="4405" spans="1:1">
      <c r="A4405" s="35" t="s">
        <v>41057</v>
      </c>
    </row>
    <row r="4406" spans="1:1">
      <c r="A4406" s="35" t="s">
        <v>41057</v>
      </c>
    </row>
    <row r="4407" spans="1:1">
      <c r="A4407" s="35" t="s">
        <v>41057</v>
      </c>
    </row>
    <row r="4408" spans="1:1">
      <c r="A4408" s="35" t="s">
        <v>41057</v>
      </c>
    </row>
    <row r="4409" spans="1:1">
      <c r="A4409" s="35" t="s">
        <v>41057</v>
      </c>
    </row>
    <row r="4410" spans="1:1">
      <c r="A4410" s="35" t="s">
        <v>54224</v>
      </c>
    </row>
    <row r="4411" spans="1:1">
      <c r="A4411" s="35" t="s">
        <v>41057</v>
      </c>
    </row>
    <row r="4412" spans="1:1">
      <c r="A4412" s="35" t="s">
        <v>41057</v>
      </c>
    </row>
    <row r="4413" spans="1:1">
      <c r="A4413" s="35" t="s">
        <v>54483</v>
      </c>
    </row>
    <row r="4414" spans="1:1">
      <c r="A4414" s="35" t="s">
        <v>41057</v>
      </c>
    </row>
    <row r="4415" spans="1:1">
      <c r="A4415" s="35" t="s">
        <v>41057</v>
      </c>
    </row>
    <row r="4416" spans="1:1">
      <c r="A4416" s="35" t="s">
        <v>41057</v>
      </c>
    </row>
    <row r="4417" spans="1:1">
      <c r="A4417" s="35" t="s">
        <v>41057</v>
      </c>
    </row>
    <row r="4418" spans="1:1">
      <c r="A4418" s="35" t="s">
        <v>41057</v>
      </c>
    </row>
    <row r="4419" spans="1:1">
      <c r="A4419" s="35" t="s">
        <v>41057</v>
      </c>
    </row>
    <row r="4420" spans="1:1">
      <c r="A4420" s="35" t="s">
        <v>41057</v>
      </c>
    </row>
    <row r="4421" spans="1:1">
      <c r="A4421" s="35" t="s">
        <v>41057</v>
      </c>
    </row>
    <row r="4422" spans="1:1">
      <c r="A4422" s="35" t="s">
        <v>41057</v>
      </c>
    </row>
    <row r="4423" spans="1:1">
      <c r="A4423" s="35" t="s">
        <v>41057</v>
      </c>
    </row>
    <row r="4424" spans="1:1">
      <c r="A4424" s="35" t="s">
        <v>41057</v>
      </c>
    </row>
    <row r="4425" spans="1:1">
      <c r="A4425" s="35" t="s">
        <v>41057</v>
      </c>
    </row>
    <row r="4426" spans="1:1">
      <c r="A4426" s="35" t="s">
        <v>41057</v>
      </c>
    </row>
    <row r="4427" spans="1:1">
      <c r="A4427" s="35" t="s">
        <v>41057</v>
      </c>
    </row>
    <row r="4428" spans="1:1">
      <c r="A4428" s="35" t="s">
        <v>41057</v>
      </c>
    </row>
    <row r="4429" spans="1:1">
      <c r="A4429" s="35" t="s">
        <v>41057</v>
      </c>
    </row>
    <row r="4430" spans="1:1">
      <c r="A4430" s="35" t="s">
        <v>41057</v>
      </c>
    </row>
    <row r="4431" spans="1:1">
      <c r="A4431" s="35" t="s">
        <v>41057</v>
      </c>
    </row>
    <row r="4432" spans="1:1">
      <c r="A4432" s="35" t="s">
        <v>41057</v>
      </c>
    </row>
    <row r="4433" spans="1:1">
      <c r="A4433" s="35" t="s">
        <v>41057</v>
      </c>
    </row>
    <row r="4434" spans="1:1">
      <c r="A4434" s="35" t="s">
        <v>41057</v>
      </c>
    </row>
    <row r="4435" spans="1:1">
      <c r="A4435" s="35" t="s">
        <v>41057</v>
      </c>
    </row>
    <row r="4436" spans="1:1">
      <c r="A4436" s="35" t="s">
        <v>41057</v>
      </c>
    </row>
    <row r="4437" spans="1:1">
      <c r="A4437" s="35" t="e" cm="1">
        <f t="array" ref="A4437">---------------------------------------------GEKFRWLNYL---GH</f>
        <v>#NAME?</v>
      </c>
    </row>
    <row r="4438" spans="1:1">
      <c r="A4438" s="35" t="s">
        <v>54484</v>
      </c>
    </row>
    <row r="4439" spans="1:1">
      <c r="A4439" s="35" t="e" cm="1">
        <f t="array" ref="A4439">---------------GDWMHIWNELTQ---------TEGK------------------KV</f>
        <v>#NAME?</v>
      </c>
    </row>
    <row r="4440" spans="1:1">
      <c r="A4440" s="35" t="s">
        <v>54485</v>
      </c>
    </row>
    <row r="4441" spans="1:1">
      <c r="A4441" s="35" t="e" cm="1">
        <f t="array" ref="A4441">---------S------------------------------------------------VT</f>
        <v>#NAME?</v>
      </c>
    </row>
    <row r="4442" spans="1:1">
      <c r="A4442" s="35" t="s">
        <v>54486</v>
      </c>
    </row>
    <row r="4443" spans="1:1">
      <c r="A4443" s="35" t="s">
        <v>54487</v>
      </c>
    </row>
    <row r="4444" spans="1:1">
      <c r="A4444" s="35" t="s">
        <v>41057</v>
      </c>
    </row>
    <row r="4445" spans="1:1">
      <c r="A4445" s="35" t="s">
        <v>54451</v>
      </c>
    </row>
    <row r="4446" spans="1:1">
      <c r="A4446" s="35" t="s">
        <v>54488</v>
      </c>
    </row>
    <row r="4447" spans="1:1">
      <c r="A4447" s="35" t="s">
        <v>54489</v>
      </c>
    </row>
    <row r="4448" spans="1:1">
      <c r="A4448" s="35" t="s">
        <v>41057</v>
      </c>
    </row>
    <row r="4449" spans="1:1">
      <c r="A4449" s="35" t="s">
        <v>41057</v>
      </c>
    </row>
    <row r="4450" spans="1:1">
      <c r="A4450" s="35" t="s">
        <v>41057</v>
      </c>
    </row>
    <row r="4451" spans="1:1">
      <c r="A4451" s="35" t="s">
        <v>41057</v>
      </c>
    </row>
    <row r="4452" spans="1:1">
      <c r="A4452" s="35" t="s">
        <v>41057</v>
      </c>
    </row>
    <row r="4453" spans="1:1">
      <c r="A4453" s="35" t="s">
        <v>41057</v>
      </c>
    </row>
    <row r="4454" spans="1:1">
      <c r="A4454" s="35" t="s">
        <v>54490</v>
      </c>
    </row>
    <row r="4455" spans="1:1">
      <c r="A4455" s="35" t="s">
        <v>54456</v>
      </c>
    </row>
    <row r="4456" spans="1:1">
      <c r="A4456" s="35" t="s">
        <v>54491</v>
      </c>
    </row>
    <row r="4457" spans="1:1">
      <c r="A4457" s="35" t="s">
        <v>54122</v>
      </c>
    </row>
    <row r="4458" spans="1:1">
      <c r="A4458" s="35" t="e" cm="1">
        <f t="array" ref="A4458">----------------------------------------------------------FT</f>
        <v>#NAME?</v>
      </c>
    </row>
    <row r="4459" spans="1:1">
      <c r="A4459" s="35" t="s">
        <v>54492</v>
      </c>
    </row>
    <row r="4460" spans="1:1">
      <c r="A4460" s="35" t="s">
        <v>54493</v>
      </c>
    </row>
    <row r="4461" spans="1:1">
      <c r="A4461" s="35" t="s">
        <v>54494</v>
      </c>
    </row>
    <row r="4462" spans="1:1">
      <c r="A4462" s="35" t="s">
        <v>41057</v>
      </c>
    </row>
    <row r="4463" spans="1:1">
      <c r="A4463" s="35" t="s">
        <v>54495</v>
      </c>
    </row>
    <row r="4464" spans="1:1">
      <c r="A4464" s="35" t="s">
        <v>41057</v>
      </c>
    </row>
    <row r="4465" spans="1:1">
      <c r="A4465" s="35" t="s">
        <v>54496</v>
      </c>
    </row>
    <row r="4466" spans="1:1">
      <c r="A4466" s="35" t="s">
        <v>41057</v>
      </c>
    </row>
    <row r="4467" spans="1:1">
      <c r="A4467" s="35" t="s">
        <v>54497</v>
      </c>
    </row>
    <row r="4468" spans="1:1">
      <c r="A4468" s="35" t="s">
        <v>54498</v>
      </c>
    </row>
    <row r="4469" spans="1:1">
      <c r="A4469" s="35" t="e" cm="1">
        <f t="array" ref="A4469">------------IDTTW--------------------------------ATGTPTSPYGD</f>
        <v>#NAME?</v>
      </c>
    </row>
    <row r="4470" spans="1:1">
      <c r="A4470" s="35" t="s">
        <v>54499</v>
      </c>
    </row>
    <row r="4471" spans="1:1">
      <c r="A4471" s="35" t="s">
        <v>41057</v>
      </c>
    </row>
    <row r="4472" spans="1:1">
      <c r="A4472" s="35" t="e" cm="1">
        <f t="array" ref="A4472">-------------------------SGTEDHVVIAGVDV-------------GFNPVFSA</f>
        <v>#NAME?</v>
      </c>
    </row>
    <row r="4473" spans="1:1">
      <c r="A4473" s="35" t="s">
        <v>54468</v>
      </c>
    </row>
    <row r="4474" spans="1:1">
      <c r="A4474" s="35" t="s">
        <v>54469</v>
      </c>
    </row>
    <row r="4475" spans="1:1">
      <c r="A4475" s="35" t="s">
        <v>54500</v>
      </c>
    </row>
    <row r="4476" spans="1:1">
      <c r="A4476" s="35" t="s">
        <v>54501</v>
      </c>
    </row>
    <row r="4477" spans="1:1">
      <c r="A4477" s="35" t="s">
        <v>54502</v>
      </c>
    </row>
    <row r="4478" spans="1:1">
      <c r="A4478" s="35" t="s">
        <v>54503</v>
      </c>
    </row>
    <row r="4479" spans="1:1">
      <c r="A4479" s="35" t="s">
        <v>41057</v>
      </c>
    </row>
    <row r="4480" spans="1:1">
      <c r="A4480" s="35" t="s">
        <v>54504</v>
      </c>
    </row>
    <row r="4481" spans="1:1">
      <c r="A4481" s="35" t="s">
        <v>54252</v>
      </c>
    </row>
    <row r="4482" spans="1:1">
      <c r="A4482" s="35" t="s">
        <v>54384</v>
      </c>
    </row>
    <row r="4483" spans="1:1">
      <c r="A4483" s="35" t="s">
        <v>41057</v>
      </c>
    </row>
    <row r="4484" spans="1:1">
      <c r="A4484" s="35" t="s">
        <v>53545</v>
      </c>
    </row>
    <row r="4485" spans="1:1">
      <c r="A4485" s="35" t="s">
        <v>53367</v>
      </c>
    </row>
    <row r="4486" spans="1:1">
      <c r="A4486" s="35" t="s">
        <v>41057</v>
      </c>
    </row>
    <row r="4487" spans="1:1">
      <c r="A4487" s="35" t="e" cm="1">
        <f t="array" ref="A4487">-----------------------------------------------------------K</f>
        <v>#NAME?</v>
      </c>
    </row>
    <row r="4488" spans="1:1">
      <c r="A4488" s="35" t="s">
        <v>54505</v>
      </c>
    </row>
    <row r="4489" spans="1:1">
      <c r="A4489" s="35" t="s">
        <v>54506</v>
      </c>
    </row>
    <row r="4490" spans="1:1">
      <c r="A4490" s="35" t="s">
        <v>54507</v>
      </c>
    </row>
    <row r="4491" spans="1:1">
      <c r="A4491" s="35" t="s">
        <v>54478</v>
      </c>
    </row>
    <row r="4492" spans="1:1">
      <c r="A4492" s="35" t="s">
        <v>41057</v>
      </c>
    </row>
    <row r="4493" spans="1:1">
      <c r="A4493" s="35" t="s">
        <v>41057</v>
      </c>
    </row>
    <row r="4494" spans="1:1">
      <c r="A4494" s="35" t="s">
        <v>41057</v>
      </c>
    </row>
    <row r="4495" spans="1:1">
      <c r="A4495" s="35" t="s">
        <v>54097</v>
      </c>
    </row>
    <row r="4496" spans="1:1">
      <c r="A4496" s="35" t="s">
        <v>54098</v>
      </c>
    </row>
    <row r="4497" spans="1:1">
      <c r="A4497" s="35" t="s">
        <v>54099</v>
      </c>
    </row>
    <row r="4498" spans="1:1">
      <c r="A4498" s="35" t="s">
        <v>54346</v>
      </c>
    </row>
    <row r="4499" spans="1:1">
      <c r="A4499" s="35" t="s">
        <v>41057</v>
      </c>
    </row>
    <row r="4500" spans="1:1">
      <c r="A4500" s="35" t="s">
        <v>41057</v>
      </c>
    </row>
    <row r="4501" spans="1:1">
      <c r="A4501" s="35" t="e" cm="1">
        <f t="array" ref="A4501">---------------QITF------------------FKV-------------------V</f>
        <v>#NAME?</v>
      </c>
    </row>
    <row r="4502" spans="1:1">
      <c r="A4502" s="35" t="s">
        <v>54288</v>
      </c>
    </row>
    <row r="4503" spans="1:1">
      <c r="A4503" s="35" t="s">
        <v>54440</v>
      </c>
    </row>
    <row r="4504" spans="1:1">
      <c r="A4504" s="35" t="s">
        <v>41057</v>
      </c>
    </row>
    <row r="4505" spans="1:1">
      <c r="A4505" s="35" t="s">
        <v>54508</v>
      </c>
    </row>
    <row r="4506" spans="1:1">
      <c r="A4506" s="35" t="s">
        <v>41057</v>
      </c>
    </row>
    <row r="4507" spans="1:1">
      <c r="A4507" s="35" t="s">
        <v>41057</v>
      </c>
    </row>
    <row r="4508" spans="1:1">
      <c r="A4508" s="35" t="s">
        <v>54509</v>
      </c>
    </row>
    <row r="4509" spans="1:1">
      <c r="A4509" s="35" t="s">
        <v>41057</v>
      </c>
    </row>
    <row r="4510" spans="1:1">
      <c r="A4510" s="35" t="s">
        <v>41057</v>
      </c>
    </row>
    <row r="4511" spans="1:1">
      <c r="A4511" s="35" t="s">
        <v>53500</v>
      </c>
    </row>
    <row r="4512" spans="1:1">
      <c r="A4512" s="35" t="s">
        <v>41057</v>
      </c>
    </row>
    <row r="4513" spans="1:1">
      <c r="A4513" s="35" t="s">
        <v>41057</v>
      </c>
    </row>
    <row r="4514" spans="1:1">
      <c r="A4514" s="35" t="s">
        <v>54510</v>
      </c>
    </row>
    <row r="4515" spans="1:1">
      <c r="A4515" s="35" t="s">
        <v>41057</v>
      </c>
    </row>
    <row r="4516" spans="1:1">
      <c r="A4516" s="35" t="s">
        <v>54292</v>
      </c>
    </row>
    <row r="4517" spans="1:1">
      <c r="A4517" s="35" t="s">
        <v>41057</v>
      </c>
    </row>
    <row r="4518" spans="1:1">
      <c r="A4518" s="35" t="s">
        <v>54444</v>
      </c>
    </row>
    <row r="4519" spans="1:1">
      <c r="A4519" s="35" t="s">
        <v>54432</v>
      </c>
    </row>
    <row r="4520" spans="1:1">
      <c r="A4520" s="35" t="s">
        <v>41057</v>
      </c>
    </row>
    <row r="4521" spans="1:1">
      <c r="A4521" s="35" t="s">
        <v>41057</v>
      </c>
    </row>
    <row r="4522" spans="1:1">
      <c r="A4522" s="35" t="s">
        <v>53681</v>
      </c>
    </row>
    <row r="4523" spans="1:1">
      <c r="A4523" s="35" t="s">
        <v>41057</v>
      </c>
    </row>
    <row r="4524" spans="1:1">
      <c r="A4524" s="35" t="s">
        <v>41057</v>
      </c>
    </row>
    <row r="4525" spans="1:1">
      <c r="A4525" s="35" t="s">
        <v>41057</v>
      </c>
    </row>
    <row r="4526" spans="1:1">
      <c r="A4526" s="35" t="s">
        <v>41057</v>
      </c>
    </row>
    <row r="4527" spans="1:1">
      <c r="A4527" s="35" t="s">
        <v>41057</v>
      </c>
    </row>
    <row r="4528" spans="1:1">
      <c r="A4528" s="35" t="s">
        <v>54224</v>
      </c>
    </row>
    <row r="4529" spans="1:1">
      <c r="A4529" s="35" t="s">
        <v>41057</v>
      </c>
    </row>
    <row r="4530" spans="1:1">
      <c r="A4530" s="35" t="s">
        <v>41057</v>
      </c>
    </row>
    <row r="4531" spans="1:1">
      <c r="A4531" s="35" t="s">
        <v>54511</v>
      </c>
    </row>
    <row r="4532" spans="1:1">
      <c r="A4532" s="35" t="s">
        <v>41057</v>
      </c>
    </row>
    <row r="4533" spans="1:1">
      <c r="A4533" s="35" t="s">
        <v>41057</v>
      </c>
    </row>
    <row r="4534" spans="1:1">
      <c r="A4534" s="35" t="s">
        <v>41057</v>
      </c>
    </row>
    <row r="4535" spans="1:1">
      <c r="A4535" s="35" t="s">
        <v>41057</v>
      </c>
    </row>
    <row r="4536" spans="1:1">
      <c r="A4536" s="35" t="s">
        <v>41057</v>
      </c>
    </row>
    <row r="4537" spans="1:1">
      <c r="A4537" s="35" t="s">
        <v>41057</v>
      </c>
    </row>
    <row r="4538" spans="1:1">
      <c r="A4538" s="35" t="s">
        <v>41057</v>
      </c>
    </row>
    <row r="4539" spans="1:1">
      <c r="A4539" s="35" t="s">
        <v>41057</v>
      </c>
    </row>
    <row r="4540" spans="1:1">
      <c r="A4540" s="35" t="s">
        <v>41057</v>
      </c>
    </row>
    <row r="4541" spans="1:1">
      <c r="A4541" s="35" t="s">
        <v>41057</v>
      </c>
    </row>
    <row r="4542" spans="1:1">
      <c r="A4542" s="35" t="s">
        <v>41057</v>
      </c>
    </row>
    <row r="4543" spans="1:1">
      <c r="A4543" s="35" t="s">
        <v>41057</v>
      </c>
    </row>
    <row r="4544" spans="1:1">
      <c r="A4544" s="35" t="s">
        <v>54512</v>
      </c>
    </row>
    <row r="4545" spans="1:1">
      <c r="A4545" s="35" t="s">
        <v>41057</v>
      </c>
    </row>
    <row r="4546" spans="1:1">
      <c r="A4546" s="35" t="s">
        <v>41057</v>
      </c>
    </row>
    <row r="4547" spans="1:1">
      <c r="A4547" s="35" t="s">
        <v>41057</v>
      </c>
    </row>
    <row r="4548" spans="1:1">
      <c r="A4548" s="35" t="s">
        <v>54513</v>
      </c>
    </row>
    <row r="4549" spans="1:1">
      <c r="A4549" s="35" t="s">
        <v>41057</v>
      </c>
    </row>
    <row r="4550" spans="1:1">
      <c r="A4550" s="35" t="s">
        <v>41057</v>
      </c>
    </row>
    <row r="4551" spans="1:1">
      <c r="A4551" s="35" t="s">
        <v>41057</v>
      </c>
    </row>
    <row r="4552" spans="1:1">
      <c r="A4552" s="35" t="s">
        <v>41057</v>
      </c>
    </row>
    <row r="4553" spans="1:1">
      <c r="A4553" s="35" t="s">
        <v>41057</v>
      </c>
    </row>
    <row r="4554" spans="1:1">
      <c r="A4554" s="35" t="s">
        <v>41057</v>
      </c>
    </row>
    <row r="4555" spans="1:1">
      <c r="A4555" s="35" t="e" cm="1">
        <f t="array" ref="A4555">---------------------------------------------GTEFRWLNWV---GH</f>
        <v>#NAME?</v>
      </c>
    </row>
    <row r="4556" spans="1:1">
      <c r="A4556" s="35" t="s">
        <v>54514</v>
      </c>
    </row>
    <row r="4557" spans="1:1">
      <c r="A4557" s="35" t="e" cm="1">
        <f t="array" ref="A4557">---------------GDWLHIWNELTQ---------PAGK------------------QA</f>
        <v>#NAME?</v>
      </c>
    </row>
    <row r="4558" spans="1:1">
      <c r="A4558" s="35" t="s">
        <v>54515</v>
      </c>
    </row>
    <row r="4559" spans="1:1">
      <c r="A4559" s="35" t="e" cm="1">
        <f t="array" ref="A4559">---------SGVGCDDDCT----------------------AGE-PNASS--------ET</f>
        <v>#NAME?</v>
      </c>
    </row>
    <row r="4560" spans="1:1">
      <c r="A4560" s="35" t="s">
        <v>54516</v>
      </c>
    </row>
    <row r="4561" spans="1:1">
      <c r="A4561" s="35" t="s">
        <v>54517</v>
      </c>
    </row>
    <row r="4562" spans="1:1">
      <c r="A4562" s="35" t="s">
        <v>41057</v>
      </c>
    </row>
    <row r="4563" spans="1:1">
      <c r="A4563" s="35" t="s">
        <v>54451</v>
      </c>
    </row>
    <row r="4564" spans="1:1">
      <c r="A4564" s="35" t="s">
        <v>54518</v>
      </c>
    </row>
    <row r="4565" spans="1:1">
      <c r="A4565" s="35" t="s">
        <v>54519</v>
      </c>
    </row>
    <row r="4566" spans="1:1">
      <c r="A4566" s="35" t="s">
        <v>41057</v>
      </c>
    </row>
    <row r="4567" spans="1:1">
      <c r="A4567" s="35" t="s">
        <v>41057</v>
      </c>
    </row>
    <row r="4568" spans="1:1">
      <c r="A4568" s="35" t="s">
        <v>41057</v>
      </c>
    </row>
    <row r="4569" spans="1:1">
      <c r="A4569" s="35" t="s">
        <v>54520</v>
      </c>
    </row>
    <row r="4570" spans="1:1">
      <c r="A4570" s="35" t="s">
        <v>41057</v>
      </c>
    </row>
    <row r="4571" spans="1:1">
      <c r="A4571" s="35" t="s">
        <v>41057</v>
      </c>
    </row>
    <row r="4572" spans="1:1">
      <c r="A4572" s="35" t="s">
        <v>54521</v>
      </c>
    </row>
    <row r="4573" spans="1:1">
      <c r="A4573" s="35" t="s">
        <v>54522</v>
      </c>
    </row>
    <row r="4574" spans="1:1">
      <c r="A4574" s="35" t="s">
        <v>54523</v>
      </c>
    </row>
    <row r="4575" spans="1:1">
      <c r="A4575" s="35" t="s">
        <v>54236</v>
      </c>
    </row>
    <row r="4576" spans="1:1">
      <c r="A4576" s="35" t="e" cm="1">
        <f t="array" ref="A4576">----------------------------------------------------------FT</f>
        <v>#NAME?</v>
      </c>
    </row>
    <row r="4577" spans="1:1">
      <c r="A4577" s="35" t="s">
        <v>54458</v>
      </c>
    </row>
    <row r="4578" spans="1:1">
      <c r="A4578" s="35" t="s">
        <v>54524</v>
      </c>
    </row>
    <row r="4579" spans="1:1">
      <c r="A4579" s="35" t="s">
        <v>54494</v>
      </c>
    </row>
    <row r="4580" spans="1:1">
      <c r="A4580" s="35" t="s">
        <v>41057</v>
      </c>
    </row>
    <row r="4581" spans="1:1">
      <c r="A4581" s="35" t="s">
        <v>54525</v>
      </c>
    </row>
    <row r="4582" spans="1:1">
      <c r="A4582" s="35" t="s">
        <v>41057</v>
      </c>
    </row>
    <row r="4583" spans="1:1">
      <c r="A4583" s="35" t="s">
        <v>54526</v>
      </c>
    </row>
    <row r="4584" spans="1:1">
      <c r="A4584" s="35" t="s">
        <v>41057</v>
      </c>
    </row>
    <row r="4585" spans="1:1">
      <c r="A4585" s="35" t="s">
        <v>54527</v>
      </c>
    </row>
    <row r="4586" spans="1:1">
      <c r="A4586" s="35" t="s">
        <v>54528</v>
      </c>
    </row>
    <row r="4587" spans="1:1">
      <c r="A4587" s="35" t="s">
        <v>54529</v>
      </c>
    </row>
    <row r="4588" spans="1:1">
      <c r="A4588" s="35" t="s">
        <v>54530</v>
      </c>
    </row>
    <row r="4589" spans="1:1">
      <c r="A4589" s="35" t="s">
        <v>41057</v>
      </c>
    </row>
    <row r="4590" spans="1:1">
      <c r="A4590" s="35" t="e" cm="1">
        <f t="array" ref="A4590">--------------------------------TLTEGQA-------------GNNPVVTA</f>
        <v>#NAME?</v>
      </c>
    </row>
    <row r="4591" spans="1:1">
      <c r="A4591" s="35" t="s">
        <v>54531</v>
      </c>
    </row>
    <row r="4592" spans="1:1">
      <c r="A4592" s="35" t="s">
        <v>54532</v>
      </c>
    </row>
    <row r="4593" spans="1:1">
      <c r="A4593" s="35" t="s">
        <v>54533</v>
      </c>
    </row>
    <row r="4594" spans="1:1">
      <c r="A4594" s="35" t="s">
        <v>54534</v>
      </c>
    </row>
    <row r="4595" spans="1:1">
      <c r="A4595" s="35" t="s">
        <v>54535</v>
      </c>
    </row>
    <row r="4596" spans="1:1">
      <c r="A4596" s="35" t="s">
        <v>54536</v>
      </c>
    </row>
    <row r="4597" spans="1:1">
      <c r="A4597" s="35" t="s">
        <v>41057</v>
      </c>
    </row>
    <row r="4598" spans="1:1">
      <c r="A4598" s="35" t="s">
        <v>54537</v>
      </c>
    </row>
    <row r="4599" spans="1:1">
      <c r="A4599" s="35" t="s">
        <v>54252</v>
      </c>
    </row>
    <row r="4600" spans="1:1">
      <c r="A4600" s="35" t="s">
        <v>54384</v>
      </c>
    </row>
    <row r="4601" spans="1:1">
      <c r="A4601" s="35" t="s">
        <v>41057</v>
      </c>
    </row>
    <row r="4602" spans="1:1">
      <c r="A4602" s="35" t="s">
        <v>53545</v>
      </c>
    </row>
    <row r="4603" spans="1:1">
      <c r="A4603" s="35" t="s">
        <v>53404</v>
      </c>
    </row>
    <row r="4604" spans="1:1">
      <c r="A4604" s="35" t="s">
        <v>41057</v>
      </c>
    </row>
    <row r="4605" spans="1:1">
      <c r="A4605" s="35" t="s">
        <v>41057</v>
      </c>
    </row>
    <row r="4606" spans="1:1">
      <c r="A4606" s="35" t="s">
        <v>41057</v>
      </c>
    </row>
    <row r="4607" spans="1:1">
      <c r="A4607" s="35" t="s">
        <v>41057</v>
      </c>
    </row>
    <row r="4608" spans="1:1">
      <c r="A4608" s="35" t="s">
        <v>54538</v>
      </c>
    </row>
    <row r="4609" spans="1:1">
      <c r="A4609" s="35" t="s">
        <v>54096</v>
      </c>
    </row>
    <row r="4610" spans="1:1">
      <c r="A4610" s="35" t="s">
        <v>41057</v>
      </c>
    </row>
    <row r="4611" spans="1:1">
      <c r="A4611" s="35" t="s">
        <v>41057</v>
      </c>
    </row>
    <row r="4612" spans="1:1">
      <c r="A4612" s="35" t="s">
        <v>41057</v>
      </c>
    </row>
    <row r="4613" spans="1:1">
      <c r="A4613" s="35" t="s">
        <v>53492</v>
      </c>
    </row>
    <row r="4614" spans="1:1">
      <c r="A4614" s="35" t="s">
        <v>54098</v>
      </c>
    </row>
    <row r="4615" spans="1:1">
      <c r="A4615" s="35" t="s">
        <v>54539</v>
      </c>
    </row>
    <row r="4616" spans="1:1">
      <c r="A4616" s="35" t="s">
        <v>53770</v>
      </c>
    </row>
    <row r="4617" spans="1:1">
      <c r="A4617" s="35" t="s">
        <v>41057</v>
      </c>
    </row>
    <row r="4618" spans="1:1">
      <c r="A4618" s="35" t="s">
        <v>41057</v>
      </c>
    </row>
    <row r="4619" spans="1:1">
      <c r="A4619" s="35" t="e" cm="1">
        <f t="array" ref="A4619">---------------QISF------------------WKV-------------------T</f>
        <v>#NAME?</v>
      </c>
    </row>
    <row r="4620" spans="1:1">
      <c r="A4620" s="35" t="s">
        <v>53901</v>
      </c>
    </row>
    <row r="4621" spans="1:1">
      <c r="A4621" s="35" t="s">
        <v>54216</v>
      </c>
    </row>
    <row r="4622" spans="1:1">
      <c r="A4622" s="35" t="s">
        <v>41057</v>
      </c>
    </row>
    <row r="4623" spans="1:1">
      <c r="A4623" s="35" t="s">
        <v>54441</v>
      </c>
    </row>
    <row r="4624" spans="1:1">
      <c r="A4624" s="35" t="s">
        <v>41057</v>
      </c>
    </row>
    <row r="4625" spans="1:1">
      <c r="A4625" s="35" t="s">
        <v>41057</v>
      </c>
    </row>
    <row r="4626" spans="1:1">
      <c r="A4626" s="35" t="s">
        <v>54540</v>
      </c>
    </row>
    <row r="4627" spans="1:1">
      <c r="A4627" s="35" t="s">
        <v>41057</v>
      </c>
    </row>
    <row r="4628" spans="1:1">
      <c r="A4628" s="35" t="s">
        <v>41057</v>
      </c>
    </row>
    <row r="4629" spans="1:1">
      <c r="A4629" s="35" t="s">
        <v>53500</v>
      </c>
    </row>
    <row r="4630" spans="1:1">
      <c r="A4630" s="35" t="s">
        <v>41057</v>
      </c>
    </row>
    <row r="4631" spans="1:1">
      <c r="A4631" s="35" t="s">
        <v>41057</v>
      </c>
    </row>
    <row r="4632" spans="1:1">
      <c r="A4632" s="35" t="s">
        <v>54541</v>
      </c>
    </row>
    <row r="4633" spans="1:1">
      <c r="A4633" s="35" t="s">
        <v>41057</v>
      </c>
    </row>
    <row r="4634" spans="1:1">
      <c r="A4634" s="35" t="s">
        <v>54542</v>
      </c>
    </row>
    <row r="4635" spans="1:1">
      <c r="A4635" s="35" t="s">
        <v>41057</v>
      </c>
    </row>
    <row r="4636" spans="1:1">
      <c r="A4636" s="35" t="s">
        <v>54543</v>
      </c>
    </row>
    <row r="4637" spans="1:1">
      <c r="A4637" s="35" t="s">
        <v>54544</v>
      </c>
    </row>
    <row r="4638" spans="1:1">
      <c r="A4638" s="35" t="s">
        <v>41057</v>
      </c>
    </row>
    <row r="4639" spans="1:1">
      <c r="A4639" s="35" t="s">
        <v>41057</v>
      </c>
    </row>
    <row r="4640" spans="1:1">
      <c r="A4640" s="35" t="s">
        <v>54545</v>
      </c>
    </row>
    <row r="4641" spans="1:1">
      <c r="A4641" s="35" t="s">
        <v>41057</v>
      </c>
    </row>
    <row r="4642" spans="1:1">
      <c r="A4642" s="35" t="s">
        <v>41057</v>
      </c>
    </row>
    <row r="4643" spans="1:1">
      <c r="A4643" s="35" t="s">
        <v>41057</v>
      </c>
    </row>
    <row r="4644" spans="1:1">
      <c r="A4644" s="35" t="s">
        <v>41057</v>
      </c>
    </row>
    <row r="4645" spans="1:1">
      <c r="A4645" s="35" t="s">
        <v>41057</v>
      </c>
    </row>
    <row r="4646" spans="1:1">
      <c r="A4646" s="35" t="s">
        <v>54355</v>
      </c>
    </row>
    <row r="4647" spans="1:1">
      <c r="A4647" s="35" t="s">
        <v>41057</v>
      </c>
    </row>
    <row r="4648" spans="1:1">
      <c r="A4648" s="35" t="s">
        <v>41057</v>
      </c>
    </row>
    <row r="4649" spans="1:1">
      <c r="A4649" s="35" t="s">
        <v>54546</v>
      </c>
    </row>
    <row r="4650" spans="1:1">
      <c r="A4650" s="35" t="s">
        <v>41057</v>
      </c>
    </row>
    <row r="4651" spans="1:1">
      <c r="A4651" s="35" t="s">
        <v>41057</v>
      </c>
    </row>
    <row r="4652" spans="1:1">
      <c r="A4652" s="35" t="s">
        <v>41057</v>
      </c>
    </row>
    <row r="4653" spans="1:1">
      <c r="A4653" s="35" t="s">
        <v>41057</v>
      </c>
    </row>
    <row r="4654" spans="1:1">
      <c r="A4654" s="35" t="s">
        <v>41057</v>
      </c>
    </row>
    <row r="4655" spans="1:1">
      <c r="A4655" s="35" t="s">
        <v>41057</v>
      </c>
    </row>
    <row r="4656" spans="1:1">
      <c r="A4656" s="35" t="s">
        <v>41057</v>
      </c>
    </row>
    <row r="4657" spans="1:1">
      <c r="A4657" s="35" t="s">
        <v>41057</v>
      </c>
    </row>
    <row r="4658" spans="1:1">
      <c r="A4658" s="35" t="s">
        <v>41057</v>
      </c>
    </row>
    <row r="4659" spans="1:1">
      <c r="A4659" s="35" t="s">
        <v>41057</v>
      </c>
    </row>
    <row r="4660" spans="1:1">
      <c r="A4660" s="35" t="s">
        <v>41057</v>
      </c>
    </row>
    <row r="4661" spans="1:1">
      <c r="A4661" s="35" t="s">
        <v>41057</v>
      </c>
    </row>
    <row r="4662" spans="1:1">
      <c r="A4662" s="35" t="s">
        <v>54512</v>
      </c>
    </row>
    <row r="4663" spans="1:1">
      <c r="A4663" s="35" t="s">
        <v>41057</v>
      </c>
    </row>
    <row r="4664" spans="1:1">
      <c r="A4664" s="35" t="s">
        <v>41057</v>
      </c>
    </row>
    <row r="4665" spans="1:1">
      <c r="A4665" s="35" t="s">
        <v>41057</v>
      </c>
    </row>
    <row r="4666" spans="1:1">
      <c r="A4666" s="35" t="s">
        <v>54547</v>
      </c>
    </row>
    <row r="4667" spans="1:1">
      <c r="A4667" s="35" t="s">
        <v>41057</v>
      </c>
    </row>
    <row r="4668" spans="1:1">
      <c r="A4668" s="35" t="s">
        <v>41057</v>
      </c>
    </row>
    <row r="4669" spans="1:1">
      <c r="A4669" s="35" t="s">
        <v>41057</v>
      </c>
    </row>
    <row r="4670" spans="1:1">
      <c r="A4670" s="35" t="s">
        <v>41057</v>
      </c>
    </row>
    <row r="4671" spans="1:1">
      <c r="A4671" s="35" t="s">
        <v>41057</v>
      </c>
    </row>
    <row r="4672" spans="1:1">
      <c r="A4672" s="35" t="s">
        <v>41057</v>
      </c>
    </row>
    <row r="4673" spans="1:1">
      <c r="A4673" s="35" t="e" cm="1">
        <f t="array" ref="A4673">---------------------------------------------PVYARWLDYI---GE</f>
        <v>#NAME?</v>
      </c>
    </row>
    <row r="4674" spans="1:1">
      <c r="A4674" s="35" t="s">
        <v>54548</v>
      </c>
    </row>
    <row r="4675" spans="1:1">
      <c r="A4675" s="35" t="e" cm="1">
        <f t="array" ref="A4675">---------------GDWMHIWNQLTG---------TSEHY-----------------ER</f>
        <v>#NAME?</v>
      </c>
    </row>
    <row r="4676" spans="1:1">
      <c r="A4676" s="35" t="s">
        <v>54549</v>
      </c>
    </row>
    <row r="4677" spans="1:1">
      <c r="A4677" s="35" t="e" cm="1">
        <f t="array" ref="A4677">---------EFEDVDGPCN----------------------TDAVPNQVC--------AP</f>
        <v>#NAME?</v>
      </c>
    </row>
    <row r="4678" spans="1:1">
      <c r="A4678" s="35" t="s">
        <v>54516</v>
      </c>
    </row>
    <row r="4679" spans="1:1">
      <c r="A4679" s="35" t="s">
        <v>54550</v>
      </c>
    </row>
    <row r="4680" spans="1:1">
      <c r="A4680" s="35" t="s">
        <v>41057</v>
      </c>
    </row>
    <row r="4681" spans="1:1">
      <c r="A4681" s="35" t="s">
        <v>54451</v>
      </c>
    </row>
    <row r="4682" spans="1:1">
      <c r="A4682" s="35" t="s">
        <v>54551</v>
      </c>
    </row>
    <row r="4683" spans="1:1">
      <c r="A4683" s="35" t="s">
        <v>54552</v>
      </c>
    </row>
    <row r="4684" spans="1:1">
      <c r="A4684" s="35" t="s">
        <v>41057</v>
      </c>
    </row>
    <row r="4685" spans="1:1">
      <c r="A4685" s="35" t="s">
        <v>41057</v>
      </c>
    </row>
    <row r="4686" spans="1:1">
      <c r="A4686" s="35" t="s">
        <v>41057</v>
      </c>
    </row>
    <row r="4687" spans="1:1">
      <c r="A4687" s="35" t="s">
        <v>54553</v>
      </c>
    </row>
    <row r="4688" spans="1:1">
      <c r="A4688" s="35" t="s">
        <v>41057</v>
      </c>
    </row>
    <row r="4689" spans="1:1">
      <c r="A4689" s="35" t="s">
        <v>41057</v>
      </c>
    </row>
    <row r="4690" spans="1:1">
      <c r="A4690" s="35" t="s">
        <v>54521</v>
      </c>
    </row>
    <row r="4691" spans="1:1">
      <c r="A4691" s="35" t="s">
        <v>54456</v>
      </c>
    </row>
    <row r="4692" spans="1:1">
      <c r="A4692" s="35" t="s">
        <v>54554</v>
      </c>
    </row>
    <row r="4693" spans="1:1">
      <c r="A4693" s="35" t="s">
        <v>54236</v>
      </c>
    </row>
    <row r="4694" spans="1:1">
      <c r="A4694" s="35" t="e" cm="1">
        <f t="array" ref="A4694">----------------------------------------------------------FT</f>
        <v>#NAME?</v>
      </c>
    </row>
    <row r="4695" spans="1:1">
      <c r="A4695" s="35" t="s">
        <v>54458</v>
      </c>
    </row>
    <row r="4696" spans="1:1">
      <c r="A4696" s="35" t="s">
        <v>54555</v>
      </c>
    </row>
    <row r="4697" spans="1:1">
      <c r="A4697" s="35" t="s">
        <v>54494</v>
      </c>
    </row>
    <row r="4698" spans="1:1">
      <c r="A4698" s="35" t="s">
        <v>41057</v>
      </c>
    </row>
    <row r="4699" spans="1:1">
      <c r="A4699" s="35" t="s">
        <v>54556</v>
      </c>
    </row>
    <row r="4700" spans="1:1">
      <c r="A4700" s="35" t="s">
        <v>41057</v>
      </c>
    </row>
    <row r="4701" spans="1:1">
      <c r="A4701" s="35" t="s">
        <v>54557</v>
      </c>
    </row>
    <row r="4702" spans="1:1">
      <c r="A4702" s="35" t="s">
        <v>41057</v>
      </c>
    </row>
    <row r="4703" spans="1:1">
      <c r="A4703" s="35" t="s">
        <v>54497</v>
      </c>
    </row>
    <row r="4704" spans="1:1">
      <c r="A4704" s="35" t="s">
        <v>54498</v>
      </c>
    </row>
    <row r="4705" spans="1:1">
      <c r="A4705" s="35" t="e" cm="1">
        <f t="array" ref="A4705">------------LDV----------------------------L----------PNSIRA</f>
        <v>#NAME?</v>
      </c>
    </row>
    <row r="4706" spans="1:1">
      <c r="A4706" s="35" t="s">
        <v>54558</v>
      </c>
    </row>
    <row r="4707" spans="1:1">
      <c r="A4707" s="35" t="e" cm="1">
        <f t="array" ref="A4707">---------------------------------------------LSTDNNGNNANLPRV</f>
        <v>#NAME?</v>
      </c>
    </row>
    <row r="4708" spans="1:1">
      <c r="A4708" s="35" t="s">
        <v>54559</v>
      </c>
    </row>
    <row r="4709" spans="1:1">
      <c r="A4709" s="35" t="s">
        <v>54560</v>
      </c>
    </row>
    <row r="4710" spans="1:1">
      <c r="A4710" s="35" t="s">
        <v>54469</v>
      </c>
    </row>
    <row r="4711" spans="1:1">
      <c r="A4711" s="35" t="s">
        <v>54561</v>
      </c>
    </row>
    <row r="4712" spans="1:1">
      <c r="A4712" s="35" t="s">
        <v>54562</v>
      </c>
    </row>
    <row r="4713" spans="1:1">
      <c r="A4713" s="35" t="s">
        <v>54472</v>
      </c>
    </row>
    <row r="4714" spans="1:1">
      <c r="A4714" s="35" t="s">
        <v>54563</v>
      </c>
    </row>
    <row r="4715" spans="1:1">
      <c r="A4715" s="35" t="s">
        <v>41057</v>
      </c>
    </row>
    <row r="4716" spans="1:1">
      <c r="A4716" s="35" t="s">
        <v>54564</v>
      </c>
    </row>
    <row r="4717" spans="1:1">
      <c r="A4717" s="35" t="s">
        <v>54252</v>
      </c>
    </row>
    <row r="4718" spans="1:1">
      <c r="A4718" s="35" t="s">
        <v>54384</v>
      </c>
    </row>
    <row r="4719" spans="1:1">
      <c r="A4719" s="35" t="s">
        <v>41057</v>
      </c>
    </row>
    <row r="4720" spans="1:1">
      <c r="A4720" s="35" t="s">
        <v>53545</v>
      </c>
    </row>
    <row r="4721" spans="1:1">
      <c r="A4721" s="35" t="s">
        <v>53421</v>
      </c>
    </row>
    <row r="4722" spans="1:1">
      <c r="A4722" s="35" t="s">
        <v>41057</v>
      </c>
    </row>
    <row r="4723" spans="1:1">
      <c r="A4723" s="35" t="s">
        <v>41057</v>
      </c>
    </row>
    <row r="4724" spans="1:1">
      <c r="A4724" s="35" t="s">
        <v>41057</v>
      </c>
    </row>
    <row r="4725" spans="1:1">
      <c r="A4725" s="35" t="s">
        <v>41057</v>
      </c>
    </row>
    <row r="4726" spans="1:1">
      <c r="A4726" s="35" t="s">
        <v>54565</v>
      </c>
    </row>
    <row r="4727" spans="1:1">
      <c r="A4727" s="35" t="s">
        <v>54096</v>
      </c>
    </row>
    <row r="4728" spans="1:1">
      <c r="A4728" s="35" t="s">
        <v>41057</v>
      </c>
    </row>
    <row r="4729" spans="1:1">
      <c r="A4729" s="35" t="s">
        <v>41057</v>
      </c>
    </row>
    <row r="4730" spans="1:1">
      <c r="A4730" s="35" t="s">
        <v>41057</v>
      </c>
    </row>
    <row r="4731" spans="1:1">
      <c r="A4731" s="35" t="s">
        <v>54097</v>
      </c>
    </row>
    <row r="4732" spans="1:1">
      <c r="A4732" s="35" t="s">
        <v>54098</v>
      </c>
    </row>
    <row r="4733" spans="1:1">
      <c r="A4733" s="35" t="s">
        <v>54099</v>
      </c>
    </row>
    <row r="4734" spans="1:1">
      <c r="A4734" s="35" t="s">
        <v>54100</v>
      </c>
    </row>
    <row r="4735" spans="1:1">
      <c r="A4735" s="35" t="s">
        <v>41057</v>
      </c>
    </row>
    <row r="4736" spans="1:1">
      <c r="A4736" s="35" t="s">
        <v>41057</v>
      </c>
    </row>
    <row r="4737" spans="1:1">
      <c r="A4737" s="35" t="e" cm="1">
        <f t="array" ref="A4737">---------------QITF------------------WKV-------------------T</f>
        <v>#NAME?</v>
      </c>
    </row>
    <row r="4738" spans="1:1">
      <c r="A4738" s="35" t="s">
        <v>54566</v>
      </c>
    </row>
    <row r="4739" spans="1:1">
      <c r="A4739" s="35" t="s">
        <v>54426</v>
      </c>
    </row>
    <row r="4740" spans="1:1">
      <c r="A4740" s="35" t="s">
        <v>41057</v>
      </c>
    </row>
    <row r="4741" spans="1:1">
      <c r="A4741" s="35" t="s">
        <v>54441</v>
      </c>
    </row>
    <row r="4742" spans="1:1">
      <c r="A4742" s="35" t="s">
        <v>41057</v>
      </c>
    </row>
    <row r="4743" spans="1:1">
      <c r="A4743" s="35" t="s">
        <v>41057</v>
      </c>
    </row>
    <row r="4744" spans="1:1">
      <c r="A4744" s="35" t="s">
        <v>54540</v>
      </c>
    </row>
    <row r="4745" spans="1:1">
      <c r="A4745" s="35" t="s">
        <v>41057</v>
      </c>
    </row>
    <row r="4746" spans="1:1">
      <c r="A4746" s="35" t="s">
        <v>41057</v>
      </c>
    </row>
    <row r="4747" spans="1:1">
      <c r="A4747" s="35" t="s">
        <v>53500</v>
      </c>
    </row>
    <row r="4748" spans="1:1">
      <c r="A4748" s="35" t="s">
        <v>41057</v>
      </c>
    </row>
    <row r="4749" spans="1:1">
      <c r="A4749" s="35" t="s">
        <v>41057</v>
      </c>
    </row>
    <row r="4750" spans="1:1">
      <c r="A4750" s="35" t="s">
        <v>54567</v>
      </c>
    </row>
    <row r="4751" spans="1:1">
      <c r="A4751" s="35" t="s">
        <v>41057</v>
      </c>
    </row>
    <row r="4752" spans="1:1">
      <c r="A4752" s="35" t="s">
        <v>54292</v>
      </c>
    </row>
    <row r="4753" spans="1:1">
      <c r="A4753" s="35" t="s">
        <v>41057</v>
      </c>
    </row>
    <row r="4754" spans="1:1">
      <c r="A4754" s="35" t="s">
        <v>54543</v>
      </c>
    </row>
    <row r="4755" spans="1:1">
      <c r="A4755" s="35" t="s">
        <v>54544</v>
      </c>
    </row>
    <row r="4756" spans="1:1">
      <c r="A4756" s="35" t="s">
        <v>41057</v>
      </c>
    </row>
    <row r="4757" spans="1:1">
      <c r="A4757" s="35" t="s">
        <v>41057</v>
      </c>
    </row>
    <row r="4758" spans="1:1">
      <c r="A4758" s="35" t="s">
        <v>54545</v>
      </c>
    </row>
    <row r="4759" spans="1:1">
      <c r="A4759" s="35" t="s">
        <v>41057</v>
      </c>
    </row>
    <row r="4760" spans="1:1">
      <c r="A4760" s="35" t="s">
        <v>41057</v>
      </c>
    </row>
    <row r="4761" spans="1:1">
      <c r="A4761" s="35" t="s">
        <v>41057</v>
      </c>
    </row>
    <row r="4762" spans="1:1">
      <c r="A4762" s="35" t="s">
        <v>41057</v>
      </c>
    </row>
    <row r="4763" spans="1:1">
      <c r="A4763" s="35" t="s">
        <v>41057</v>
      </c>
    </row>
    <row r="4764" spans="1:1">
      <c r="A4764" s="35" t="s">
        <v>54355</v>
      </c>
    </row>
    <row r="4765" spans="1:1">
      <c r="A4765" s="35" t="s">
        <v>41057</v>
      </c>
    </row>
    <row r="4766" spans="1:1">
      <c r="A4766" s="35" t="s">
        <v>41057</v>
      </c>
    </row>
    <row r="4767" spans="1:1">
      <c r="A4767" s="35" t="s">
        <v>54568</v>
      </c>
    </row>
    <row r="4768" spans="1:1">
      <c r="A4768" s="35" t="s">
        <v>41057</v>
      </c>
    </row>
    <row r="4769" spans="1:1">
      <c r="A4769" s="35" t="s">
        <v>41057</v>
      </c>
    </row>
    <row r="4770" spans="1:1">
      <c r="A4770" s="35" t="s">
        <v>41057</v>
      </c>
    </row>
    <row r="4771" spans="1:1">
      <c r="A4771" s="35" t="s">
        <v>41057</v>
      </c>
    </row>
    <row r="4772" spans="1:1">
      <c r="A4772" s="35" t="s">
        <v>41057</v>
      </c>
    </row>
    <row r="4773" spans="1:1">
      <c r="A4773" s="35" t="s">
        <v>41057</v>
      </c>
    </row>
    <row r="4774" spans="1:1">
      <c r="A4774" s="35" t="s">
        <v>41057</v>
      </c>
    </row>
    <row r="4775" spans="1:1">
      <c r="A4775" s="35" t="s">
        <v>41057</v>
      </c>
    </row>
    <row r="4776" spans="1:1">
      <c r="A4776" s="35" t="s">
        <v>41057</v>
      </c>
    </row>
    <row r="4777" spans="1:1">
      <c r="A4777" s="35" t="s">
        <v>41057</v>
      </c>
    </row>
    <row r="4778" spans="1:1">
      <c r="A4778" s="35" t="s">
        <v>41057</v>
      </c>
    </row>
    <row r="4779" spans="1:1">
      <c r="A4779" s="35" t="s">
        <v>41057</v>
      </c>
    </row>
    <row r="4780" spans="1:1">
      <c r="A4780" s="35" t="s">
        <v>41057</v>
      </c>
    </row>
    <row r="4781" spans="1:1">
      <c r="A4781" s="35" t="s">
        <v>41057</v>
      </c>
    </row>
    <row r="4782" spans="1:1">
      <c r="A4782" s="35" t="s">
        <v>41057</v>
      </c>
    </row>
    <row r="4783" spans="1:1">
      <c r="A4783" s="35" t="s">
        <v>41057</v>
      </c>
    </row>
    <row r="4784" spans="1:1">
      <c r="A4784" s="35" t="s">
        <v>41057</v>
      </c>
    </row>
    <row r="4785" spans="1:1">
      <c r="A4785" s="35" t="s">
        <v>41057</v>
      </c>
    </row>
    <row r="4786" spans="1:1">
      <c r="A4786" s="35" t="s">
        <v>41057</v>
      </c>
    </row>
    <row r="4787" spans="1:1">
      <c r="A4787" s="35" t="s">
        <v>41057</v>
      </c>
    </row>
    <row r="4788" spans="1:1">
      <c r="A4788" s="35" t="s">
        <v>41057</v>
      </c>
    </row>
    <row r="4789" spans="1:1">
      <c r="A4789" s="35" t="s">
        <v>41057</v>
      </c>
    </row>
    <row r="4790" spans="1:1">
      <c r="A4790" s="35" t="s">
        <v>41057</v>
      </c>
    </row>
    <row r="4791" spans="1:1">
      <c r="A4791" s="35" t="e" cm="1">
        <f t="array" ref="A4791">---------------------------------------------AAYARWLDYP---GE</f>
        <v>#NAME?</v>
      </c>
    </row>
    <row r="4792" spans="1:1">
      <c r="A4792" s="35" t="s">
        <v>54569</v>
      </c>
    </row>
    <row r="4793" spans="1:1">
      <c r="A4793" s="35" t="e" cm="1">
        <f t="array" ref="A4793">---------------GDWMHIWNQLTM---------TSEQ------------------QR</f>
        <v>#NAME?</v>
      </c>
    </row>
    <row r="4794" spans="1:1">
      <c r="A4794" s="35" t="s">
        <v>54570</v>
      </c>
    </row>
    <row r="4795" spans="1:1">
      <c r="A4795" s="35" t="e" cm="1">
        <f t="array" ref="A4795">---------SFAEVDQPCA----------------------ENA-PHQVC--------AP</f>
        <v>#NAME?</v>
      </c>
    </row>
    <row r="4796" spans="1:1">
      <c r="A4796" s="35" t="s">
        <v>54516</v>
      </c>
    </row>
    <row r="4797" spans="1:1">
      <c r="A4797" s="35" t="s">
        <v>54571</v>
      </c>
    </row>
    <row r="4798" spans="1:1">
      <c r="A4798" s="35" t="s">
        <v>41057</v>
      </c>
    </row>
    <row r="4799" spans="1:1">
      <c r="A4799" s="35" t="s">
        <v>54572</v>
      </c>
    </row>
    <row r="4800" spans="1:1">
      <c r="A4800" s="35" t="s">
        <v>54573</v>
      </c>
    </row>
    <row r="4801" spans="1:1">
      <c r="A4801" s="35" t="s">
        <v>54574</v>
      </c>
    </row>
    <row r="4802" spans="1:1">
      <c r="A4802" s="35" t="s">
        <v>41057</v>
      </c>
    </row>
    <row r="4803" spans="1:1">
      <c r="A4803" s="35" t="s">
        <v>41057</v>
      </c>
    </row>
    <row r="4804" spans="1:1">
      <c r="A4804" s="35" t="s">
        <v>41057</v>
      </c>
    </row>
    <row r="4805" spans="1:1">
      <c r="A4805" s="35" t="s">
        <v>54575</v>
      </c>
    </row>
    <row r="4806" spans="1:1">
      <c r="A4806" s="35" t="s">
        <v>41057</v>
      </c>
    </row>
    <row r="4807" spans="1:1">
      <c r="A4807" s="35" t="s">
        <v>41057</v>
      </c>
    </row>
    <row r="4808" spans="1:1">
      <c r="A4808" s="35" t="s">
        <v>54521</v>
      </c>
    </row>
    <row r="4809" spans="1:1">
      <c r="A4809" s="35" t="s">
        <v>54456</v>
      </c>
    </row>
    <row r="4810" spans="1:1">
      <c r="A4810" s="35" t="s">
        <v>54576</v>
      </c>
    </row>
    <row r="4811" spans="1:1">
      <c r="A4811" s="35" t="s">
        <v>54236</v>
      </c>
    </row>
    <row r="4812" spans="1:1">
      <c r="A4812" s="35" t="e" cm="1">
        <f t="array" ref="A4812">----------------------------------------------------------FT</f>
        <v>#NAME?</v>
      </c>
    </row>
    <row r="4813" spans="1:1">
      <c r="A4813" s="35" t="s">
        <v>54492</v>
      </c>
    </row>
    <row r="4814" spans="1:1">
      <c r="A4814" s="35" t="s">
        <v>54555</v>
      </c>
    </row>
    <row r="4815" spans="1:1">
      <c r="A4815" s="35" t="s">
        <v>54494</v>
      </c>
    </row>
    <row r="4816" spans="1:1">
      <c r="A4816" s="35" t="s">
        <v>41057</v>
      </c>
    </row>
    <row r="4817" spans="1:1">
      <c r="A4817" s="35" t="s">
        <v>54577</v>
      </c>
    </row>
    <row r="4818" spans="1:1">
      <c r="A4818" s="35" t="s">
        <v>41057</v>
      </c>
    </row>
    <row r="4819" spans="1:1">
      <c r="A4819" s="35" t="s">
        <v>54578</v>
      </c>
    </row>
    <row r="4820" spans="1:1">
      <c r="A4820" s="35" t="s">
        <v>41057</v>
      </c>
    </row>
    <row r="4821" spans="1:1">
      <c r="A4821" s="35" t="s">
        <v>54497</v>
      </c>
    </row>
    <row r="4822" spans="1:1">
      <c r="A4822" s="35" t="s">
        <v>54498</v>
      </c>
    </row>
    <row r="4823" spans="1:1">
      <c r="A4823" s="35" t="e" cm="1">
        <f t="array" ref="A4823">------------VDA----------------------------L----------PNALHA</f>
        <v>#NAME?</v>
      </c>
    </row>
    <row r="4824" spans="1:1">
      <c r="A4824" s="35" t="s">
        <v>54579</v>
      </c>
    </row>
    <row r="4825" spans="1:1">
      <c r="A4825" s="35" t="e" cm="1">
        <f t="array" ref="A4825">-----------------------------------------------VTGAD--WNAEAG</f>
        <v>#NAME?</v>
      </c>
    </row>
    <row r="4826" spans="1:1">
      <c r="A4826" s="35" t="s">
        <v>54580</v>
      </c>
    </row>
    <row r="4827" spans="1:1">
      <c r="A4827" s="35" t="s">
        <v>54560</v>
      </c>
    </row>
    <row r="4828" spans="1:1">
      <c r="A4828" s="35" t="s">
        <v>54469</v>
      </c>
    </row>
    <row r="4829" spans="1:1">
      <c r="A4829" s="35" t="s">
        <v>54581</v>
      </c>
    </row>
    <row r="4830" spans="1:1">
      <c r="A4830" s="35" t="s">
        <v>54582</v>
      </c>
    </row>
    <row r="4831" spans="1:1">
      <c r="A4831" s="35" t="s">
        <v>54472</v>
      </c>
    </row>
    <row r="4832" spans="1:1">
      <c r="A4832" s="35" t="s">
        <v>54583</v>
      </c>
    </row>
    <row r="4833" spans="1:1">
      <c r="A4833" s="35" t="s">
        <v>41057</v>
      </c>
    </row>
    <row r="4834" spans="1:1">
      <c r="A4834" s="35" t="s">
        <v>54564</v>
      </c>
    </row>
    <row r="4835" spans="1:1">
      <c r="A4835" s="35" t="s">
        <v>54252</v>
      </c>
    </row>
    <row r="4836" spans="1:1">
      <c r="A4836" s="35" t="s">
        <v>54384</v>
      </c>
    </row>
    <row r="4837" spans="1:1">
      <c r="A4837" s="35" t="s">
        <v>41057</v>
      </c>
    </row>
    <row r="4838" spans="1:1">
      <c r="A4838" s="35" t="s">
        <v>53545</v>
      </c>
    </row>
    <row r="4839" spans="1:1">
      <c r="A4839" s="35" t="s">
        <v>53476</v>
      </c>
    </row>
    <row r="4840" spans="1:1">
      <c r="A4840" s="35" t="s">
        <v>41075</v>
      </c>
    </row>
    <row r="4841" spans="1:1">
      <c r="A4841" s="35" t="s">
        <v>41057</v>
      </c>
    </row>
    <row r="4842" spans="1:1">
      <c r="A4842" s="35" t="s">
        <v>41057</v>
      </c>
    </row>
    <row r="4843" spans="1:1">
      <c r="A4843" s="35" t="s">
        <v>41057</v>
      </c>
    </row>
    <row r="4844" spans="1:1">
      <c r="A4844" s="35" t="s">
        <v>41057</v>
      </c>
    </row>
    <row r="4845" spans="1:1">
      <c r="A4845" s="35" t="s">
        <v>54478</v>
      </c>
    </row>
    <row r="4846" spans="1:1">
      <c r="A4846" s="35" t="s">
        <v>41057</v>
      </c>
    </row>
    <row r="4847" spans="1:1">
      <c r="A4847" s="35" t="s">
        <v>41057</v>
      </c>
    </row>
    <row r="4848" spans="1:1">
      <c r="A4848" s="35" t="s">
        <v>41057</v>
      </c>
    </row>
    <row r="4849" spans="1:1">
      <c r="A4849" s="35" t="s">
        <v>54097</v>
      </c>
    </row>
    <row r="4850" spans="1:1">
      <c r="A4850" s="35" t="s">
        <v>54098</v>
      </c>
    </row>
    <row r="4851" spans="1:1">
      <c r="A4851" s="35" t="s">
        <v>54099</v>
      </c>
    </row>
    <row r="4852" spans="1:1">
      <c r="A4852" s="35" t="s">
        <v>54100</v>
      </c>
    </row>
    <row r="4853" spans="1:1">
      <c r="A4853" s="35" t="s">
        <v>41057</v>
      </c>
    </row>
    <row r="4854" spans="1:1">
      <c r="A4854" s="35" t="s">
        <v>41057</v>
      </c>
    </row>
    <row r="4855" spans="1:1">
      <c r="A4855" s="35" t="e" cm="1">
        <f t="array" ref="A4855">---------------QITF------------------WKV-------------------T</f>
        <v>#NAME?</v>
      </c>
    </row>
    <row r="4856" spans="1:1">
      <c r="A4856" s="35" t="s">
        <v>54288</v>
      </c>
    </row>
    <row r="4857" spans="1:1">
      <c r="A4857" s="35" t="s">
        <v>54426</v>
      </c>
    </row>
    <row r="4858" spans="1:1">
      <c r="A4858" s="35" t="s">
        <v>41057</v>
      </c>
    </row>
    <row r="4859" spans="1:1">
      <c r="A4859" s="35" t="s">
        <v>54441</v>
      </c>
    </row>
    <row r="4860" spans="1:1">
      <c r="A4860" s="35" t="s">
        <v>41057</v>
      </c>
    </row>
    <row r="4861" spans="1:1">
      <c r="A4861" s="35" t="s">
        <v>41057</v>
      </c>
    </row>
    <row r="4862" spans="1:1">
      <c r="A4862" s="35" t="s">
        <v>54540</v>
      </c>
    </row>
    <row r="4863" spans="1:1">
      <c r="A4863" s="35" t="s">
        <v>41057</v>
      </c>
    </row>
    <row r="4864" spans="1:1">
      <c r="A4864" s="35" t="s">
        <v>41057</v>
      </c>
    </row>
    <row r="4865" spans="1:1">
      <c r="A4865" s="35" t="s">
        <v>53500</v>
      </c>
    </row>
    <row r="4866" spans="1:1">
      <c r="A4866" s="35" t="s">
        <v>41057</v>
      </c>
    </row>
    <row r="4867" spans="1:1">
      <c r="A4867" s="35" t="s">
        <v>41057</v>
      </c>
    </row>
    <row r="4868" spans="1:1">
      <c r="A4868" s="35" t="s">
        <v>54541</v>
      </c>
    </row>
    <row r="4869" spans="1:1">
      <c r="A4869" s="35" t="s">
        <v>41057</v>
      </c>
    </row>
    <row r="4870" spans="1:1">
      <c r="A4870" s="35" t="s">
        <v>54292</v>
      </c>
    </row>
    <row r="4871" spans="1:1">
      <c r="A4871" s="35" t="s">
        <v>41057</v>
      </c>
    </row>
    <row r="4872" spans="1:1">
      <c r="A4872" s="35" t="s">
        <v>54543</v>
      </c>
    </row>
    <row r="4873" spans="1:1">
      <c r="A4873" s="35" t="s">
        <v>54544</v>
      </c>
    </row>
    <row r="4874" spans="1:1">
      <c r="A4874" s="35" t="s">
        <v>41057</v>
      </c>
    </row>
    <row r="4875" spans="1:1">
      <c r="A4875" s="35" t="s">
        <v>41057</v>
      </c>
    </row>
    <row r="4876" spans="1:1">
      <c r="A4876" s="35" t="s">
        <v>54545</v>
      </c>
    </row>
    <row r="4877" spans="1:1">
      <c r="A4877" s="35" t="s">
        <v>41057</v>
      </c>
    </row>
    <row r="4878" spans="1:1">
      <c r="A4878" s="35" t="s">
        <v>41057</v>
      </c>
    </row>
    <row r="4879" spans="1:1">
      <c r="A4879" s="35" t="s">
        <v>41057</v>
      </c>
    </row>
    <row r="4880" spans="1:1">
      <c r="A4880" s="35" t="s">
        <v>41057</v>
      </c>
    </row>
    <row r="4881" spans="1:1">
      <c r="A4881" s="35" t="s">
        <v>41057</v>
      </c>
    </row>
    <row r="4882" spans="1:1">
      <c r="A4882" s="35" t="s">
        <v>54355</v>
      </c>
    </row>
    <row r="4883" spans="1:1">
      <c r="A4883" s="35" t="s">
        <v>41057</v>
      </c>
    </row>
    <row r="4884" spans="1:1">
      <c r="A4884" s="35" t="s">
        <v>41057</v>
      </c>
    </row>
    <row r="4885" spans="1:1">
      <c r="A4885" s="35" t="s">
        <v>54584</v>
      </c>
    </row>
    <row r="4886" spans="1:1">
      <c r="A4886" s="35" t="s">
        <v>41057</v>
      </c>
    </row>
    <row r="4887" spans="1:1">
      <c r="A4887" s="35" t="s">
        <v>41057</v>
      </c>
    </row>
    <row r="4888" spans="1:1">
      <c r="A4888" s="35" t="s">
        <v>41057</v>
      </c>
    </row>
    <row r="4889" spans="1:1">
      <c r="A4889" s="35" t="s">
        <v>41057</v>
      </c>
    </row>
    <row r="4890" spans="1:1">
      <c r="A4890" s="35" t="s">
        <v>41057</v>
      </c>
    </row>
    <row r="4891" spans="1:1">
      <c r="A4891" s="35" t="s">
        <v>41057</v>
      </c>
    </row>
    <row r="4892" spans="1:1">
      <c r="A4892" s="35" t="s">
        <v>41057</v>
      </c>
    </row>
    <row r="4893" spans="1:1">
      <c r="A4893" s="35" t="s">
        <v>41057</v>
      </c>
    </row>
    <row r="4894" spans="1:1">
      <c r="A4894" s="35" t="s">
        <v>41057</v>
      </c>
    </row>
    <row r="4895" spans="1:1">
      <c r="A4895" s="35" t="s">
        <v>41057</v>
      </c>
    </row>
    <row r="4896" spans="1:1">
      <c r="A4896" s="35" t="s">
        <v>41057</v>
      </c>
    </row>
    <row r="4897" spans="1:1">
      <c r="A4897" s="35" t="s">
        <v>41057</v>
      </c>
    </row>
    <row r="4898" spans="1:1">
      <c r="A4898" s="35" t="s">
        <v>54585</v>
      </c>
    </row>
    <row r="4899" spans="1:1">
      <c r="A4899" s="35" t="s">
        <v>41057</v>
      </c>
    </row>
    <row r="4900" spans="1:1">
      <c r="A4900" s="35" t="s">
        <v>41057</v>
      </c>
    </row>
    <row r="4901" spans="1:1">
      <c r="A4901" s="35" t="s">
        <v>41057</v>
      </c>
    </row>
    <row r="4902" spans="1:1">
      <c r="A4902" s="35" t="e" cm="1">
        <f t="array" ref="A4902">--------------------------------------------------------GSSA</f>
        <v>#NAME?</v>
      </c>
    </row>
    <row r="4903" spans="1:1">
      <c r="A4903" s="35" t="s">
        <v>54586</v>
      </c>
    </row>
    <row r="4904" spans="1:1">
      <c r="A4904" s="35" t="s">
        <v>41057</v>
      </c>
    </row>
    <row r="4905" spans="1:1">
      <c r="A4905" s="35" t="s">
        <v>41057</v>
      </c>
    </row>
    <row r="4906" spans="1:1">
      <c r="A4906" s="35" t="s">
        <v>41057</v>
      </c>
    </row>
    <row r="4907" spans="1:1">
      <c r="A4907" s="35" t="s">
        <v>41057</v>
      </c>
    </row>
    <row r="4908" spans="1:1">
      <c r="A4908" s="35" t="s">
        <v>41057</v>
      </c>
    </row>
    <row r="4909" spans="1:1">
      <c r="A4909" s="35" t="e" cm="1">
        <f t="array" ref="A4909">---------------------------------------------GVYARWLDFP---GE</f>
        <v>#NAME?</v>
      </c>
    </row>
    <row r="4910" spans="1:1">
      <c r="A4910" s="35" t="s">
        <v>54587</v>
      </c>
    </row>
    <row r="4911" spans="1:1">
      <c r="A4911" s="35" t="e" cm="1">
        <f t="array" ref="A4911">---------------GDWMHIWNQLTL---------SKEQ------------------ER</f>
        <v>#NAME?</v>
      </c>
    </row>
    <row r="4912" spans="1:1">
      <c r="A4912" s="35" t="s">
        <v>54588</v>
      </c>
    </row>
    <row r="4913" spans="1:1">
      <c r="A4913" s="35" t="e" cm="1">
        <f t="array" ref="A4913">---------SFANVDGPCE----------------------SDA-PRQVC--------AP</f>
        <v>#NAME?</v>
      </c>
    </row>
    <row r="4914" spans="1:1">
      <c r="A4914" s="35" t="s">
        <v>54589</v>
      </c>
    </row>
    <row r="4915" spans="1:1">
      <c r="A4915" s="35" t="s">
        <v>54571</v>
      </c>
    </row>
    <row r="4916" spans="1:1">
      <c r="A4916" s="35" t="s">
        <v>41057</v>
      </c>
    </row>
    <row r="4917" spans="1:1">
      <c r="A4917" s="35" t="s">
        <v>54572</v>
      </c>
    </row>
    <row r="4918" spans="1:1">
      <c r="A4918" s="35" t="s">
        <v>54590</v>
      </c>
    </row>
    <row r="4919" spans="1:1">
      <c r="A4919" s="35" t="s">
        <v>54591</v>
      </c>
    </row>
    <row r="4920" spans="1:1">
      <c r="A4920" s="35" t="s">
        <v>41057</v>
      </c>
    </row>
    <row r="4921" spans="1:1">
      <c r="A4921" s="35" t="s">
        <v>41057</v>
      </c>
    </row>
    <row r="4922" spans="1:1">
      <c r="A4922" s="35" t="s">
        <v>41057</v>
      </c>
    </row>
    <row r="4923" spans="1:1">
      <c r="A4923" s="35" t="s">
        <v>54592</v>
      </c>
    </row>
    <row r="4924" spans="1:1">
      <c r="A4924" s="35" t="s">
        <v>41057</v>
      </c>
    </row>
    <row r="4925" spans="1:1">
      <c r="A4925" s="35" t="s">
        <v>41057</v>
      </c>
    </row>
    <row r="4926" spans="1:1">
      <c r="A4926" s="35" t="s">
        <v>54521</v>
      </c>
    </row>
    <row r="4927" spans="1:1">
      <c r="A4927" s="35" t="s">
        <v>54456</v>
      </c>
    </row>
    <row r="4928" spans="1:1">
      <c r="A4928" s="35" t="s">
        <v>54576</v>
      </c>
    </row>
    <row r="4929" spans="1:1">
      <c r="A4929" s="35" t="s">
        <v>54236</v>
      </c>
    </row>
    <row r="4930" spans="1:1">
      <c r="A4930" s="35" t="e" cm="1">
        <f t="array" ref="A4930">----------------------------------------------------------FT</f>
        <v>#NAME?</v>
      </c>
    </row>
    <row r="4931" spans="1:1">
      <c r="A4931" s="35" t="s">
        <v>54492</v>
      </c>
    </row>
    <row r="4932" spans="1:1">
      <c r="A4932" s="35" t="s">
        <v>54555</v>
      </c>
    </row>
    <row r="4933" spans="1:1">
      <c r="A4933" s="35" t="s">
        <v>54494</v>
      </c>
    </row>
    <row r="4934" spans="1:1">
      <c r="A4934" s="35" t="s">
        <v>41057</v>
      </c>
    </row>
    <row r="4935" spans="1:1">
      <c r="A4935" s="35" t="s">
        <v>54593</v>
      </c>
    </row>
    <row r="4936" spans="1:1">
      <c r="A4936" s="35" t="s">
        <v>41057</v>
      </c>
    </row>
    <row r="4937" spans="1:1">
      <c r="A4937" s="35" t="s">
        <v>54594</v>
      </c>
    </row>
    <row r="4938" spans="1:1">
      <c r="A4938" s="35" t="s">
        <v>41057</v>
      </c>
    </row>
    <row r="4939" spans="1:1">
      <c r="A4939" s="35" t="s">
        <v>54497</v>
      </c>
    </row>
    <row r="4940" spans="1:1">
      <c r="A4940" s="35" t="s">
        <v>54498</v>
      </c>
    </row>
    <row r="4941" spans="1:1">
      <c r="A4941" s="35" t="e" cm="1">
        <f t="array" ref="A4941">------------LDA----------------------------L----------PNALHA</f>
        <v>#NAME?</v>
      </c>
    </row>
    <row r="4942" spans="1:1">
      <c r="A4942" s="35" t="s">
        <v>54595</v>
      </c>
    </row>
    <row r="4943" spans="1:1">
      <c r="A4943" s="35" t="e" cm="1">
        <f t="array" ref="A4943">---------------------------------------------MNVSGVDGLWNVPAS</f>
        <v>#NAME?</v>
      </c>
    </row>
    <row r="4944" spans="1:1">
      <c r="A4944" s="35" t="s">
        <v>54596</v>
      </c>
    </row>
    <row r="4945" spans="1:1">
      <c r="A4945" s="35" t="s">
        <v>54560</v>
      </c>
    </row>
    <row r="4946" spans="1:1">
      <c r="A4946" s="35" t="s">
        <v>54469</v>
      </c>
    </row>
    <row r="4947" spans="1:1">
      <c r="A4947" s="35" t="s">
        <v>54597</v>
      </c>
    </row>
    <row r="4948" spans="1:1">
      <c r="A4948" s="35" t="s">
        <v>54598</v>
      </c>
    </row>
    <row r="4949" spans="1:1">
      <c r="A4949" s="35" t="s">
        <v>54472</v>
      </c>
    </row>
    <row r="4950" spans="1:1">
      <c r="A4950" s="35" t="s">
        <v>54599</v>
      </c>
    </row>
    <row r="4951" spans="1:1">
      <c r="A4951" s="35" t="s">
        <v>41057</v>
      </c>
    </row>
    <row r="4952" spans="1:1">
      <c r="A4952" s="35" t="s">
        <v>54564</v>
      </c>
    </row>
    <row r="4953" spans="1:1">
      <c r="A4953" s="35" t="s">
        <v>54252</v>
      </c>
    </row>
    <row r="4954" spans="1:1">
      <c r="A4954" s="35" t="s">
        <v>54384</v>
      </c>
    </row>
    <row r="4955" spans="1:1">
      <c r="A4955" s="35" t="s">
        <v>41057</v>
      </c>
    </row>
    <row r="4956" spans="1:1">
      <c r="A4956" s="35" t="s">
        <v>53545</v>
      </c>
    </row>
    <row r="4957" spans="1:1">
      <c r="A4957" s="35" t="s">
        <v>52030</v>
      </c>
    </row>
    <row r="4958" spans="1:1">
      <c r="A4958" s="35" t="s">
        <v>41057</v>
      </c>
    </row>
    <row r="4959" spans="1:1">
      <c r="A4959" s="35" t="s">
        <v>41057</v>
      </c>
    </row>
    <row r="4960" spans="1:1">
      <c r="A4960" s="35" t="s">
        <v>41057</v>
      </c>
    </row>
    <row r="4961" spans="1:1">
      <c r="A4961" s="35" t="s">
        <v>41057</v>
      </c>
    </row>
    <row r="4962" spans="1:1">
      <c r="A4962" s="35" t="s">
        <v>41057</v>
      </c>
    </row>
    <row r="4963" spans="1:1">
      <c r="A4963" s="35" t="s">
        <v>54478</v>
      </c>
    </row>
    <row r="4964" spans="1:1">
      <c r="A4964" s="35" t="s">
        <v>41057</v>
      </c>
    </row>
    <row r="4965" spans="1:1">
      <c r="A4965" s="35" t="s">
        <v>41057</v>
      </c>
    </row>
    <row r="4966" spans="1:1">
      <c r="A4966" s="35" t="s">
        <v>41057</v>
      </c>
    </row>
    <row r="4967" spans="1:1">
      <c r="A4967" s="35" t="s">
        <v>54097</v>
      </c>
    </row>
    <row r="4968" spans="1:1">
      <c r="A4968" s="35" t="s">
        <v>54098</v>
      </c>
    </row>
    <row r="4969" spans="1:1">
      <c r="A4969" s="35" t="s">
        <v>54099</v>
      </c>
    </row>
    <row r="4970" spans="1:1">
      <c r="A4970" s="35" t="s">
        <v>54100</v>
      </c>
    </row>
    <row r="4971" spans="1:1">
      <c r="A4971" s="35" t="s">
        <v>41057</v>
      </c>
    </row>
    <row r="4972" spans="1:1">
      <c r="A4972" s="35" t="s">
        <v>41057</v>
      </c>
    </row>
    <row r="4973" spans="1:1">
      <c r="A4973" s="35" t="e" cm="1">
        <f t="array" ref="A4973">---------------QITF------------------WKV-------------------T</f>
        <v>#NAME?</v>
      </c>
    </row>
    <row r="4974" spans="1:1">
      <c r="A4974" s="35" t="s">
        <v>53901</v>
      </c>
    </row>
    <row r="4975" spans="1:1">
      <c r="A4975" s="35" t="s">
        <v>54426</v>
      </c>
    </row>
    <row r="4976" spans="1:1">
      <c r="A4976" s="35" t="s">
        <v>41057</v>
      </c>
    </row>
    <row r="4977" spans="1:1">
      <c r="A4977" s="35" t="s">
        <v>54441</v>
      </c>
    </row>
    <row r="4978" spans="1:1">
      <c r="A4978" s="35" t="s">
        <v>41057</v>
      </c>
    </row>
    <row r="4979" spans="1:1">
      <c r="A4979" s="35" t="s">
        <v>41057</v>
      </c>
    </row>
    <row r="4980" spans="1:1">
      <c r="A4980" s="35" t="s">
        <v>54540</v>
      </c>
    </row>
    <row r="4981" spans="1:1">
      <c r="A4981" s="35" t="s">
        <v>41057</v>
      </c>
    </row>
    <row r="4982" spans="1:1">
      <c r="A4982" s="35" t="s">
        <v>41057</v>
      </c>
    </row>
    <row r="4983" spans="1:1">
      <c r="A4983" s="35" t="s">
        <v>53500</v>
      </c>
    </row>
    <row r="4984" spans="1:1">
      <c r="A4984" s="35" t="s">
        <v>41057</v>
      </c>
    </row>
    <row r="4985" spans="1:1">
      <c r="A4985" s="35" t="s">
        <v>41057</v>
      </c>
    </row>
    <row r="4986" spans="1:1">
      <c r="A4986" s="35" t="s">
        <v>54541</v>
      </c>
    </row>
    <row r="4987" spans="1:1">
      <c r="A4987" s="35" t="s">
        <v>41057</v>
      </c>
    </row>
    <row r="4988" spans="1:1">
      <c r="A4988" s="35" t="s">
        <v>54292</v>
      </c>
    </row>
    <row r="4989" spans="1:1">
      <c r="A4989" s="35" t="s">
        <v>41057</v>
      </c>
    </row>
    <row r="4990" spans="1:1">
      <c r="A4990" s="35" t="s">
        <v>54543</v>
      </c>
    </row>
    <row r="4991" spans="1:1">
      <c r="A4991" s="35" t="s">
        <v>54544</v>
      </c>
    </row>
    <row r="4992" spans="1:1">
      <c r="A4992" s="35" t="s">
        <v>41057</v>
      </c>
    </row>
    <row r="4993" spans="1:1">
      <c r="A4993" s="35" t="s">
        <v>41057</v>
      </c>
    </row>
    <row r="4994" spans="1:1">
      <c r="A4994" s="35" t="s">
        <v>54545</v>
      </c>
    </row>
    <row r="4995" spans="1:1">
      <c r="A4995" s="35" t="s">
        <v>41057</v>
      </c>
    </row>
    <row r="4996" spans="1:1">
      <c r="A4996" s="35" t="s">
        <v>41057</v>
      </c>
    </row>
    <row r="4997" spans="1:1">
      <c r="A4997" s="35" t="s">
        <v>41057</v>
      </c>
    </row>
    <row r="4998" spans="1:1">
      <c r="A4998" s="35" t="s">
        <v>41057</v>
      </c>
    </row>
    <row r="4999" spans="1:1">
      <c r="A4999" s="35" t="s">
        <v>41057</v>
      </c>
    </row>
    <row r="5000" spans="1:1">
      <c r="A5000" s="35" t="s">
        <v>54355</v>
      </c>
    </row>
    <row r="5001" spans="1:1">
      <c r="A5001" s="35" t="s">
        <v>41057</v>
      </c>
    </row>
    <row r="5002" spans="1:1">
      <c r="A5002" s="35" t="s">
        <v>41057</v>
      </c>
    </row>
    <row r="5003" spans="1:1">
      <c r="A5003" s="35" t="s">
        <v>54600</v>
      </c>
    </row>
    <row r="5004" spans="1:1">
      <c r="A5004" s="35" t="s">
        <v>41057</v>
      </c>
    </row>
    <row r="5005" spans="1:1">
      <c r="A5005" s="35" t="s">
        <v>41057</v>
      </c>
    </row>
    <row r="5006" spans="1:1">
      <c r="A5006" s="35" t="s">
        <v>41057</v>
      </c>
    </row>
    <row r="5007" spans="1:1">
      <c r="A5007" s="35" t="s">
        <v>41057</v>
      </c>
    </row>
    <row r="5008" spans="1:1">
      <c r="A5008" s="35" t="s">
        <v>41057</v>
      </c>
    </row>
    <row r="5009" spans="1:1">
      <c r="A5009" s="35" t="s">
        <v>41057</v>
      </c>
    </row>
    <row r="5010" spans="1:1">
      <c r="A5010" s="35" t="s">
        <v>41057</v>
      </c>
    </row>
    <row r="5011" spans="1:1">
      <c r="A5011" s="35" t="s">
        <v>41057</v>
      </c>
    </row>
    <row r="5012" spans="1:1">
      <c r="A5012" s="35" t="s">
        <v>41057</v>
      </c>
    </row>
    <row r="5013" spans="1:1">
      <c r="A5013" s="35" t="s">
        <v>41057</v>
      </c>
    </row>
    <row r="5014" spans="1:1">
      <c r="A5014" s="35" t="s">
        <v>41057</v>
      </c>
    </row>
    <row r="5015" spans="1:1">
      <c r="A5015" s="35" t="s">
        <v>41057</v>
      </c>
    </row>
    <row r="5016" spans="1:1">
      <c r="A5016" s="35" t="s">
        <v>54601</v>
      </c>
    </row>
    <row r="5017" spans="1:1">
      <c r="A5017" s="35" t="s">
        <v>41057</v>
      </c>
    </row>
    <row r="5018" spans="1:1">
      <c r="A5018" s="35" t="s">
        <v>41057</v>
      </c>
    </row>
    <row r="5019" spans="1:1">
      <c r="A5019" s="35" t="s">
        <v>41057</v>
      </c>
    </row>
    <row r="5020" spans="1:1">
      <c r="A5020" s="35" t="e" cm="1">
        <f t="array" ref="A5020">-------------------------------------------------------LGSTT</f>
        <v>#NAME?</v>
      </c>
    </row>
    <row r="5021" spans="1:1">
      <c r="A5021" s="35" t="s">
        <v>54602</v>
      </c>
    </row>
    <row r="5022" spans="1:1">
      <c r="A5022" s="35" t="s">
        <v>41057</v>
      </c>
    </row>
    <row r="5023" spans="1:1">
      <c r="A5023" s="35" t="s">
        <v>54603</v>
      </c>
    </row>
    <row r="5024" spans="1:1">
      <c r="A5024" s="35" t="s">
        <v>41057</v>
      </c>
    </row>
    <row r="5025" spans="1:1">
      <c r="A5025" s="35" t="s">
        <v>41057</v>
      </c>
    </row>
    <row r="5026" spans="1:1">
      <c r="A5026" s="35" t="s">
        <v>41057</v>
      </c>
    </row>
    <row r="5027" spans="1:1">
      <c r="A5027" s="35" t="e" cm="1">
        <f t="array" ref="A5027">---------------------------------------------GVFARWLDFP---GE</f>
        <v>#NAME?</v>
      </c>
    </row>
    <row r="5028" spans="1:1">
      <c r="A5028" s="35" t="s">
        <v>54604</v>
      </c>
    </row>
    <row r="5029" spans="1:1">
      <c r="A5029" s="35" t="e" cm="1">
        <f t="array" ref="A5029">---------------GDWMHIWNQLTL---------TAEQ------------------QR</f>
        <v>#NAME?</v>
      </c>
    </row>
    <row r="5030" spans="1:1">
      <c r="A5030" s="35" t="s">
        <v>54605</v>
      </c>
    </row>
    <row r="5031" spans="1:1">
      <c r="A5031" s="35" t="e" cm="1">
        <f t="array" ref="A5031">---------SFAAVDGPCA----------------------TTA-PTQVC--------AP</f>
        <v>#NAME?</v>
      </c>
    </row>
    <row r="5032" spans="1:1">
      <c r="A5032" s="35" t="s">
        <v>54589</v>
      </c>
    </row>
    <row r="5033" spans="1:1">
      <c r="A5033" s="35" t="s">
        <v>54606</v>
      </c>
    </row>
    <row r="5034" spans="1:1">
      <c r="A5034" s="35" t="s">
        <v>41057</v>
      </c>
    </row>
    <row r="5035" spans="1:1">
      <c r="A5035" s="35" t="s">
        <v>54572</v>
      </c>
    </row>
    <row r="5036" spans="1:1">
      <c r="A5036" s="35" t="s">
        <v>54607</v>
      </c>
    </row>
    <row r="5037" spans="1:1">
      <c r="A5037" s="35" t="s">
        <v>54608</v>
      </c>
    </row>
    <row r="5038" spans="1:1">
      <c r="A5038" s="35" t="s">
        <v>41057</v>
      </c>
    </row>
    <row r="5039" spans="1:1">
      <c r="A5039" s="35" t="s">
        <v>41057</v>
      </c>
    </row>
    <row r="5040" spans="1:1">
      <c r="A5040" s="35" t="s">
        <v>41057</v>
      </c>
    </row>
    <row r="5041" spans="1:1">
      <c r="A5041" s="35" t="s">
        <v>54609</v>
      </c>
    </row>
    <row r="5042" spans="1:1">
      <c r="A5042" s="35" t="s">
        <v>41057</v>
      </c>
    </row>
    <row r="5043" spans="1:1">
      <c r="A5043" s="35" t="s">
        <v>41057</v>
      </c>
    </row>
    <row r="5044" spans="1:1">
      <c r="A5044" s="35" t="s">
        <v>54521</v>
      </c>
    </row>
    <row r="5045" spans="1:1">
      <c r="A5045" s="35" t="s">
        <v>54456</v>
      </c>
    </row>
    <row r="5046" spans="1:1">
      <c r="A5046" s="35" t="s">
        <v>54576</v>
      </c>
    </row>
    <row r="5047" spans="1:1">
      <c r="A5047" s="35" t="s">
        <v>54236</v>
      </c>
    </row>
    <row r="5048" spans="1:1">
      <c r="A5048" s="35" t="e" cm="1">
        <f t="array" ref="A5048">----------------------------------------------------------FT</f>
        <v>#NAME?</v>
      </c>
    </row>
    <row r="5049" spans="1:1">
      <c r="A5049" s="35" t="s">
        <v>54492</v>
      </c>
    </row>
    <row r="5050" spans="1:1">
      <c r="A5050" s="35" t="s">
        <v>54555</v>
      </c>
    </row>
    <row r="5051" spans="1:1">
      <c r="A5051" s="35" t="s">
        <v>54494</v>
      </c>
    </row>
    <row r="5052" spans="1:1">
      <c r="A5052" s="35" t="s">
        <v>41057</v>
      </c>
    </row>
    <row r="5053" spans="1:1">
      <c r="A5053" s="35" t="s">
        <v>54610</v>
      </c>
    </row>
    <row r="5054" spans="1:1">
      <c r="A5054" s="35" t="s">
        <v>41057</v>
      </c>
    </row>
    <row r="5055" spans="1:1">
      <c r="A5055" s="35" t="s">
        <v>54611</v>
      </c>
    </row>
    <row r="5056" spans="1:1">
      <c r="A5056" s="35" t="s">
        <v>41057</v>
      </c>
    </row>
    <row r="5057" spans="1:1">
      <c r="A5057" s="35" t="s">
        <v>54497</v>
      </c>
    </row>
    <row r="5058" spans="1:1">
      <c r="A5058" s="35" t="s">
        <v>54498</v>
      </c>
    </row>
    <row r="5059" spans="1:1">
      <c r="A5059" s="35" t="e" cm="1">
        <f t="array" ref="A5059">------------IDV----------------------------L----------PNGVHA</f>
        <v>#NAME?</v>
      </c>
    </row>
    <row r="5060" spans="1:1">
      <c r="A5060" s="35" t="s">
        <v>54612</v>
      </c>
    </row>
    <row r="5061" spans="1:1">
      <c r="A5061" s="35" t="s">
        <v>54613</v>
      </c>
    </row>
    <row r="5062" spans="1:1">
      <c r="A5062" s="35" t="s">
        <v>54614</v>
      </c>
    </row>
    <row r="5063" spans="1:1">
      <c r="A5063" s="35" t="s">
        <v>54560</v>
      </c>
    </row>
    <row r="5064" spans="1:1">
      <c r="A5064" s="35" t="s">
        <v>54469</v>
      </c>
    </row>
    <row r="5065" spans="1:1">
      <c r="A5065" s="35" t="s">
        <v>54615</v>
      </c>
    </row>
    <row r="5066" spans="1:1">
      <c r="A5066" s="35" t="s">
        <v>54616</v>
      </c>
    </row>
    <row r="5067" spans="1:1">
      <c r="A5067" s="35" t="s">
        <v>54472</v>
      </c>
    </row>
    <row r="5068" spans="1:1">
      <c r="A5068" s="35" t="s">
        <v>54617</v>
      </c>
    </row>
    <row r="5069" spans="1:1">
      <c r="A5069" s="35" t="s">
        <v>41057</v>
      </c>
    </row>
    <row r="5070" spans="1:1">
      <c r="A5070" s="35" t="s">
        <v>54504</v>
      </c>
    </row>
    <row r="5071" spans="1:1">
      <c r="A5071" s="35" t="s">
        <v>54252</v>
      </c>
    </row>
    <row r="5072" spans="1:1">
      <c r="A5072" s="35" t="s">
        <v>54384</v>
      </c>
    </row>
    <row r="5073" spans="1:1">
      <c r="A5073" s="35" t="s">
        <v>41057</v>
      </c>
    </row>
    <row r="5074" spans="1:1">
      <c r="A5074" s="35" t="s">
        <v>53545</v>
      </c>
    </row>
    <row r="5075" spans="1:1">
      <c r="A5075" s="35" t="s">
        <v>51982</v>
      </c>
    </row>
    <row r="5076" spans="1:1">
      <c r="A5076" s="35" t="s">
        <v>41057</v>
      </c>
    </row>
    <row r="5077" spans="1:1">
      <c r="A5077" s="35" t="s">
        <v>41057</v>
      </c>
    </row>
    <row r="5078" spans="1:1">
      <c r="A5078" s="35" t="s">
        <v>41057</v>
      </c>
    </row>
    <row r="5079" spans="1:1">
      <c r="A5079" s="35" t="s">
        <v>41057</v>
      </c>
    </row>
    <row r="5080" spans="1:1">
      <c r="A5080" s="35" t="s">
        <v>41057</v>
      </c>
    </row>
    <row r="5081" spans="1:1">
      <c r="A5081" s="35" t="s">
        <v>54478</v>
      </c>
    </row>
    <row r="5082" spans="1:1">
      <c r="A5082" s="35" t="s">
        <v>41057</v>
      </c>
    </row>
    <row r="5083" spans="1:1">
      <c r="A5083" s="35" t="s">
        <v>41057</v>
      </c>
    </row>
    <row r="5084" spans="1:1">
      <c r="A5084" s="35" t="s">
        <v>41057</v>
      </c>
    </row>
    <row r="5085" spans="1:1">
      <c r="A5085" s="35" t="s">
        <v>54097</v>
      </c>
    </row>
    <row r="5086" spans="1:1">
      <c r="A5086" s="35" t="s">
        <v>54098</v>
      </c>
    </row>
    <row r="5087" spans="1:1">
      <c r="A5087" s="35" t="s">
        <v>54099</v>
      </c>
    </row>
    <row r="5088" spans="1:1">
      <c r="A5088" s="35" t="s">
        <v>54618</v>
      </c>
    </row>
    <row r="5089" spans="1:1">
      <c r="A5089" s="35" t="s">
        <v>41057</v>
      </c>
    </row>
    <row r="5090" spans="1:1">
      <c r="A5090" s="35" t="s">
        <v>41057</v>
      </c>
    </row>
    <row r="5091" spans="1:1">
      <c r="A5091" s="35" t="e" cm="1">
        <f t="array" ref="A5091">---------------EITF------------------FKV-------------------V</f>
        <v>#NAME?</v>
      </c>
    </row>
    <row r="5092" spans="1:1">
      <c r="A5092" s="35" t="s">
        <v>54288</v>
      </c>
    </row>
    <row r="5093" spans="1:1">
      <c r="A5093" s="35" t="s">
        <v>54619</v>
      </c>
    </row>
    <row r="5094" spans="1:1">
      <c r="A5094" s="35" t="s">
        <v>41057</v>
      </c>
    </row>
    <row r="5095" spans="1:1">
      <c r="A5095" s="35" t="s">
        <v>54441</v>
      </c>
    </row>
    <row r="5096" spans="1:1">
      <c r="A5096" s="35" t="s">
        <v>41057</v>
      </c>
    </row>
    <row r="5097" spans="1:1">
      <c r="A5097" s="35" t="s">
        <v>41057</v>
      </c>
    </row>
    <row r="5098" spans="1:1">
      <c r="A5098" s="35" t="s">
        <v>54442</v>
      </c>
    </row>
    <row r="5099" spans="1:1">
      <c r="A5099" s="35" t="s">
        <v>41057</v>
      </c>
    </row>
    <row r="5100" spans="1:1">
      <c r="A5100" s="35" t="s">
        <v>41057</v>
      </c>
    </row>
    <row r="5101" spans="1:1">
      <c r="A5101" s="35" t="s">
        <v>53500</v>
      </c>
    </row>
    <row r="5102" spans="1:1">
      <c r="A5102" s="35" t="s">
        <v>41057</v>
      </c>
    </row>
    <row r="5103" spans="1:1">
      <c r="A5103" s="35" t="s">
        <v>41057</v>
      </c>
    </row>
    <row r="5104" spans="1:1">
      <c r="A5104" s="35" t="s">
        <v>54620</v>
      </c>
    </row>
    <row r="5105" spans="1:1">
      <c r="A5105" s="35" t="s">
        <v>41057</v>
      </c>
    </row>
    <row r="5106" spans="1:1">
      <c r="A5106" s="35" t="s">
        <v>54292</v>
      </c>
    </row>
    <row r="5107" spans="1:1">
      <c r="A5107" s="35" t="s">
        <v>41057</v>
      </c>
    </row>
    <row r="5108" spans="1:1">
      <c r="A5108" s="35" t="s">
        <v>54621</v>
      </c>
    </row>
    <row r="5109" spans="1:1">
      <c r="A5109" s="35" t="s">
        <v>54622</v>
      </c>
    </row>
    <row r="5110" spans="1:1">
      <c r="A5110" s="35" t="s">
        <v>41057</v>
      </c>
    </row>
    <row r="5111" spans="1:1">
      <c r="A5111" s="35" t="s">
        <v>41057</v>
      </c>
    </row>
    <row r="5112" spans="1:1">
      <c r="A5112" s="35" t="s">
        <v>54623</v>
      </c>
    </row>
    <row r="5113" spans="1:1">
      <c r="A5113" s="35" t="s">
        <v>41057</v>
      </c>
    </row>
    <row r="5114" spans="1:1">
      <c r="A5114" s="35" t="s">
        <v>41057</v>
      </c>
    </row>
    <row r="5115" spans="1:1">
      <c r="A5115" s="35" t="s">
        <v>41057</v>
      </c>
    </row>
    <row r="5116" spans="1:1">
      <c r="A5116" s="35" t="s">
        <v>41057</v>
      </c>
    </row>
    <row r="5117" spans="1:1">
      <c r="A5117" s="35" t="s">
        <v>41057</v>
      </c>
    </row>
    <row r="5118" spans="1:1">
      <c r="A5118" s="35" t="s">
        <v>53830</v>
      </c>
    </row>
    <row r="5119" spans="1:1">
      <c r="A5119" s="35" t="s">
        <v>41057</v>
      </c>
    </row>
    <row r="5120" spans="1:1">
      <c r="A5120" s="35" t="s">
        <v>41057</v>
      </c>
    </row>
    <row r="5121" spans="1:1">
      <c r="A5121" s="35" t="s">
        <v>54624</v>
      </c>
    </row>
    <row r="5122" spans="1:1">
      <c r="A5122" s="35" t="s">
        <v>41057</v>
      </c>
    </row>
    <row r="5123" spans="1:1">
      <c r="A5123" s="35" t="s">
        <v>41057</v>
      </c>
    </row>
    <row r="5124" spans="1:1">
      <c r="A5124" s="35" t="s">
        <v>41057</v>
      </c>
    </row>
    <row r="5125" spans="1:1">
      <c r="A5125" s="35" t="s">
        <v>41057</v>
      </c>
    </row>
    <row r="5126" spans="1:1">
      <c r="A5126" s="35" t="s">
        <v>41057</v>
      </c>
    </row>
    <row r="5127" spans="1:1">
      <c r="A5127" s="35" t="s">
        <v>41057</v>
      </c>
    </row>
    <row r="5128" spans="1:1">
      <c r="A5128" s="35" t="s">
        <v>41057</v>
      </c>
    </row>
    <row r="5129" spans="1:1">
      <c r="A5129" s="35" t="s">
        <v>41057</v>
      </c>
    </row>
    <row r="5130" spans="1:1">
      <c r="A5130" s="35" t="s">
        <v>41057</v>
      </c>
    </row>
    <row r="5131" spans="1:1">
      <c r="A5131" s="35" t="s">
        <v>41057</v>
      </c>
    </row>
    <row r="5132" spans="1:1">
      <c r="A5132" s="35" t="s">
        <v>41057</v>
      </c>
    </row>
    <row r="5133" spans="1:1">
      <c r="A5133" s="35" t="s">
        <v>41057</v>
      </c>
    </row>
    <row r="5134" spans="1:1">
      <c r="A5134" s="35" t="s">
        <v>54625</v>
      </c>
    </row>
    <row r="5135" spans="1:1">
      <c r="A5135" s="35" t="s">
        <v>41057</v>
      </c>
    </row>
    <row r="5136" spans="1:1">
      <c r="A5136" s="35" t="s">
        <v>41057</v>
      </c>
    </row>
    <row r="5137" spans="1:1">
      <c r="A5137" s="35" t="s">
        <v>41057</v>
      </c>
    </row>
    <row r="5138" spans="1:1">
      <c r="A5138" s="35" t="s">
        <v>54513</v>
      </c>
    </row>
    <row r="5139" spans="1:1">
      <c r="A5139" s="35" t="s">
        <v>41057</v>
      </c>
    </row>
    <row r="5140" spans="1:1">
      <c r="A5140" s="35" t="s">
        <v>41057</v>
      </c>
    </row>
    <row r="5141" spans="1:1">
      <c r="A5141" s="35" t="s">
        <v>41057</v>
      </c>
    </row>
    <row r="5142" spans="1:1">
      <c r="A5142" s="35" t="s">
        <v>41057</v>
      </c>
    </row>
    <row r="5143" spans="1:1">
      <c r="A5143" s="35" t="s">
        <v>41057</v>
      </c>
    </row>
    <row r="5144" spans="1:1">
      <c r="A5144" s="35" t="s">
        <v>41057</v>
      </c>
    </row>
    <row r="5145" spans="1:1">
      <c r="A5145" s="35" t="e" cm="1">
        <f t="array" ref="A5145">---------------------------------------------PTYVSWTNAI---GH</f>
        <v>#NAME?</v>
      </c>
    </row>
    <row r="5146" spans="1:1">
      <c r="A5146" s="35" t="s">
        <v>54626</v>
      </c>
    </row>
    <row r="5147" spans="1:1">
      <c r="A5147" s="35" t="e" cm="1">
        <f t="array" ref="A5147">---------------GTWLEIWDELTM---------TTEK------------------KN</f>
        <v>#NAME?</v>
      </c>
    </row>
    <row r="5148" spans="1:1">
      <c r="A5148" s="35" t="s">
        <v>54627</v>
      </c>
    </row>
    <row r="5149" spans="1:1">
      <c r="A5149" s="35" t="s">
        <v>54628</v>
      </c>
    </row>
    <row r="5150" spans="1:1">
      <c r="A5150" s="35" t="s">
        <v>41057</v>
      </c>
    </row>
    <row r="5151" spans="1:1">
      <c r="A5151" s="35" t="s">
        <v>54629</v>
      </c>
    </row>
    <row r="5152" spans="1:1">
      <c r="A5152" s="35" t="s">
        <v>41057</v>
      </c>
    </row>
    <row r="5153" spans="1:1">
      <c r="A5153" s="35" t="s">
        <v>54451</v>
      </c>
    </row>
    <row r="5154" spans="1:1">
      <c r="A5154" s="35" t="s">
        <v>54630</v>
      </c>
    </row>
    <row r="5155" spans="1:1">
      <c r="A5155" s="35" t="s">
        <v>54631</v>
      </c>
    </row>
    <row r="5156" spans="1:1">
      <c r="A5156" s="35" t="s">
        <v>41057</v>
      </c>
    </row>
    <row r="5157" spans="1:1">
      <c r="A5157" s="35" t="s">
        <v>41057</v>
      </c>
    </row>
    <row r="5158" spans="1:1">
      <c r="A5158" s="35" t="s">
        <v>41057</v>
      </c>
    </row>
    <row r="5159" spans="1:1">
      <c r="A5159" s="35" t="s">
        <v>54632</v>
      </c>
    </row>
    <row r="5160" spans="1:1">
      <c r="A5160" s="35" t="s">
        <v>41057</v>
      </c>
    </row>
    <row r="5161" spans="1:1">
      <c r="A5161" s="35" t="s">
        <v>41057</v>
      </c>
    </row>
    <row r="5162" spans="1:1">
      <c r="A5162" s="35" t="s">
        <v>54633</v>
      </c>
    </row>
    <row r="5163" spans="1:1">
      <c r="A5163" s="35" t="s">
        <v>54634</v>
      </c>
    </row>
    <row r="5164" spans="1:1">
      <c r="A5164" s="35" t="s">
        <v>54635</v>
      </c>
    </row>
    <row r="5165" spans="1:1">
      <c r="A5165" s="35" t="s">
        <v>54636</v>
      </c>
    </row>
    <row r="5166" spans="1:1">
      <c r="A5166" s="35" t="e" cm="1">
        <f t="array" ref="A5166">----------------------------------------------------------FT</f>
        <v>#NAME?</v>
      </c>
    </row>
    <row r="5167" spans="1:1">
      <c r="A5167" s="35" t="s">
        <v>54637</v>
      </c>
    </row>
    <row r="5168" spans="1:1">
      <c r="A5168" s="35" t="s">
        <v>54638</v>
      </c>
    </row>
    <row r="5169" spans="1:1">
      <c r="A5169" s="35" t="s">
        <v>54639</v>
      </c>
    </row>
    <row r="5170" spans="1:1">
      <c r="A5170" s="35" t="s">
        <v>41057</v>
      </c>
    </row>
    <row r="5171" spans="1:1">
      <c r="A5171" s="35" t="s">
        <v>54640</v>
      </c>
    </row>
    <row r="5172" spans="1:1">
      <c r="A5172" s="35" t="s">
        <v>41057</v>
      </c>
    </row>
    <row r="5173" spans="1:1">
      <c r="A5173" s="35" t="s">
        <v>54641</v>
      </c>
    </row>
    <row r="5174" spans="1:1">
      <c r="A5174" s="35" t="s">
        <v>41057</v>
      </c>
    </row>
    <row r="5175" spans="1:1">
      <c r="A5175" s="35" t="s">
        <v>54642</v>
      </c>
    </row>
    <row r="5176" spans="1:1">
      <c r="A5176" s="35" t="s">
        <v>54498</v>
      </c>
    </row>
    <row r="5177" spans="1:1">
      <c r="A5177" s="35" t="e" cm="1">
        <f t="array" ref="A5177">------------APGT--------------------------------------PSPSHA</f>
        <v>#NAME?</v>
      </c>
    </row>
    <row r="5178" spans="1:1">
      <c r="A5178" s="35" t="s">
        <v>41087</v>
      </c>
    </row>
    <row r="5179" spans="1:1">
      <c r="A5179" s="35" t="s">
        <v>41057</v>
      </c>
    </row>
    <row r="5180" spans="1:1">
      <c r="A5180" s="35" t="e" cm="1">
        <f t="array" ref="A5180">------------------------------------------------------DLLADA</f>
        <v>#NAME?</v>
      </c>
    </row>
    <row r="5181" spans="1:1">
      <c r="A5181" s="35" t="s">
        <v>54643</v>
      </c>
    </row>
    <row r="5182" spans="1:1">
      <c r="A5182" s="35" t="s">
        <v>54644</v>
      </c>
    </row>
    <row r="5183" spans="1:1">
      <c r="A5183" s="35" t="s">
        <v>54645</v>
      </c>
    </row>
    <row r="5184" spans="1:1">
      <c r="A5184" s="35" t="s">
        <v>54646</v>
      </c>
    </row>
    <row r="5185" spans="1:1">
      <c r="A5185" s="35" t="s">
        <v>54647</v>
      </c>
    </row>
    <row r="5186" spans="1:1">
      <c r="A5186" s="35" t="s">
        <v>54648</v>
      </c>
    </row>
    <row r="5187" spans="1:1">
      <c r="A5187" s="35" t="s">
        <v>41057</v>
      </c>
    </row>
    <row r="5188" spans="1:1">
      <c r="A5188" s="35" t="s">
        <v>54649</v>
      </c>
    </row>
    <row r="5189" spans="1:1">
      <c r="A5189" s="35" t="s">
        <v>54650</v>
      </c>
    </row>
    <row r="5190" spans="1:1">
      <c r="A5190" s="35" t="s">
        <v>54651</v>
      </c>
    </row>
    <row r="5191" spans="1:1">
      <c r="A5191" s="35" t="s">
        <v>41057</v>
      </c>
    </row>
    <row r="5192" spans="1:1">
      <c r="A5192" s="35" t="s">
        <v>53545</v>
      </c>
    </row>
    <row r="5193" spans="1:1">
      <c r="A5193" s="35" t="s">
        <v>53024</v>
      </c>
    </row>
    <row r="5194" spans="1:1">
      <c r="A5194" s="35" t="s">
        <v>41057</v>
      </c>
    </row>
    <row r="5195" spans="1:1">
      <c r="A5195" s="35" t="s">
        <v>41057</v>
      </c>
    </row>
    <row r="5196" spans="1:1">
      <c r="A5196" s="35" t="s">
        <v>41057</v>
      </c>
    </row>
    <row r="5197" spans="1:1">
      <c r="A5197" s="35" t="s">
        <v>41057</v>
      </c>
    </row>
    <row r="5198" spans="1:1">
      <c r="A5198" s="35" t="s">
        <v>54652</v>
      </c>
    </row>
    <row r="5199" spans="1:1">
      <c r="A5199" s="35" t="s">
        <v>54653</v>
      </c>
    </row>
    <row r="5200" spans="1:1">
      <c r="A5200" s="35" t="s">
        <v>41057</v>
      </c>
    </row>
    <row r="5201" spans="1:1">
      <c r="A5201" s="35" t="s">
        <v>41057</v>
      </c>
    </row>
    <row r="5202" spans="1:1">
      <c r="A5202" s="35" t="s">
        <v>41057</v>
      </c>
    </row>
    <row r="5203" spans="1:1">
      <c r="A5203" s="35" t="s">
        <v>54654</v>
      </c>
    </row>
    <row r="5204" spans="1:1">
      <c r="A5204" s="35" t="s">
        <v>54655</v>
      </c>
    </row>
    <row r="5205" spans="1:1">
      <c r="A5205" s="35" t="s">
        <v>41057</v>
      </c>
    </row>
    <row r="5206" spans="1:1">
      <c r="A5206" s="35" t="s">
        <v>41057</v>
      </c>
    </row>
    <row r="5207" spans="1:1">
      <c r="A5207" s="35" t="s">
        <v>41057</v>
      </c>
    </row>
    <row r="5208" spans="1:1">
      <c r="A5208" s="35" t="s">
        <v>41057</v>
      </c>
    </row>
    <row r="5209" spans="1:1">
      <c r="A5209" s="35" t="s">
        <v>41057</v>
      </c>
    </row>
    <row r="5210" spans="1:1">
      <c r="A5210" s="35" t="s">
        <v>41057</v>
      </c>
    </row>
    <row r="5211" spans="1:1">
      <c r="A5211" s="35" t="s">
        <v>54656</v>
      </c>
    </row>
    <row r="5212" spans="1:1">
      <c r="A5212" s="35" t="s">
        <v>41057</v>
      </c>
    </row>
    <row r="5213" spans="1:1">
      <c r="A5213" s="35" t="s">
        <v>54441</v>
      </c>
    </row>
    <row r="5214" spans="1:1">
      <c r="A5214" s="35" t="s">
        <v>41057</v>
      </c>
    </row>
    <row r="5215" spans="1:1">
      <c r="A5215" s="35" t="s">
        <v>41057</v>
      </c>
    </row>
    <row r="5216" spans="1:1">
      <c r="A5216" s="35" t="s">
        <v>53904</v>
      </c>
    </row>
    <row r="5217" spans="1:1">
      <c r="A5217" s="35" t="s">
        <v>41057</v>
      </c>
    </row>
    <row r="5218" spans="1:1">
      <c r="A5218" s="35" t="s">
        <v>41057</v>
      </c>
    </row>
    <row r="5219" spans="1:1">
      <c r="A5219" s="35" t="s">
        <v>53500</v>
      </c>
    </row>
    <row r="5220" spans="1:1">
      <c r="A5220" s="35" t="s">
        <v>41057</v>
      </c>
    </row>
    <row r="5221" spans="1:1">
      <c r="A5221" s="35" t="s">
        <v>41057</v>
      </c>
    </row>
    <row r="5222" spans="1:1">
      <c r="A5222" s="35" t="s">
        <v>54620</v>
      </c>
    </row>
    <row r="5223" spans="1:1">
      <c r="A5223" s="35" t="s">
        <v>41057</v>
      </c>
    </row>
    <row r="5224" spans="1:1">
      <c r="A5224" s="35" t="s">
        <v>54480</v>
      </c>
    </row>
    <row r="5225" spans="1:1">
      <c r="A5225" s="35" t="s">
        <v>41057</v>
      </c>
    </row>
    <row r="5226" spans="1:1">
      <c r="A5226" s="35" t="s">
        <v>54657</v>
      </c>
    </row>
    <row r="5227" spans="1:1">
      <c r="A5227" s="35" t="s">
        <v>54658</v>
      </c>
    </row>
    <row r="5228" spans="1:1">
      <c r="A5228" s="35" t="s">
        <v>41057</v>
      </c>
    </row>
    <row r="5229" spans="1:1">
      <c r="A5229" s="35" t="s">
        <v>41057</v>
      </c>
    </row>
    <row r="5230" spans="1:1">
      <c r="A5230" s="35" t="s">
        <v>54354</v>
      </c>
    </row>
    <row r="5231" spans="1:1">
      <c r="A5231" s="35" t="s">
        <v>41057</v>
      </c>
    </row>
    <row r="5232" spans="1:1">
      <c r="A5232" s="35" t="s">
        <v>41057</v>
      </c>
    </row>
    <row r="5233" spans="1:1">
      <c r="A5233" s="35" t="s">
        <v>41057</v>
      </c>
    </row>
    <row r="5234" spans="1:1">
      <c r="A5234" s="35" t="s">
        <v>41057</v>
      </c>
    </row>
    <row r="5235" spans="1:1">
      <c r="A5235" s="35" t="s">
        <v>41057</v>
      </c>
    </row>
    <row r="5236" spans="1:1">
      <c r="A5236" s="35" t="s">
        <v>53830</v>
      </c>
    </row>
    <row r="5237" spans="1:1">
      <c r="A5237" s="35" t="s">
        <v>41057</v>
      </c>
    </row>
    <row r="5238" spans="1:1">
      <c r="A5238" s="35" t="s">
        <v>41057</v>
      </c>
    </row>
    <row r="5239" spans="1:1">
      <c r="A5239" s="35" t="s">
        <v>54659</v>
      </c>
    </row>
    <row r="5240" spans="1:1">
      <c r="A5240" s="35" t="s">
        <v>41057</v>
      </c>
    </row>
    <row r="5241" spans="1:1">
      <c r="A5241" s="35" t="s">
        <v>41057</v>
      </c>
    </row>
    <row r="5242" spans="1:1">
      <c r="A5242" s="35" t="s">
        <v>41057</v>
      </c>
    </row>
    <row r="5243" spans="1:1">
      <c r="A5243" s="35" t="s">
        <v>41057</v>
      </c>
    </row>
    <row r="5244" spans="1:1">
      <c r="A5244" s="35" t="s">
        <v>41057</v>
      </c>
    </row>
    <row r="5245" spans="1:1">
      <c r="A5245" s="35" t="s">
        <v>41057</v>
      </c>
    </row>
    <row r="5246" spans="1:1">
      <c r="A5246" s="35" t="s">
        <v>41057</v>
      </c>
    </row>
    <row r="5247" spans="1:1">
      <c r="A5247" s="35" t="s">
        <v>41057</v>
      </c>
    </row>
    <row r="5248" spans="1:1">
      <c r="A5248" s="35" t="s">
        <v>41057</v>
      </c>
    </row>
    <row r="5249" spans="1:1">
      <c r="A5249" s="35" t="s">
        <v>41057</v>
      </c>
    </row>
    <row r="5250" spans="1:1">
      <c r="A5250" s="35" t="s">
        <v>41057</v>
      </c>
    </row>
    <row r="5251" spans="1:1">
      <c r="A5251" s="35" t="s">
        <v>41057</v>
      </c>
    </row>
    <row r="5252" spans="1:1">
      <c r="A5252" s="35" t="s">
        <v>54660</v>
      </c>
    </row>
    <row r="5253" spans="1:1">
      <c r="A5253" s="35" t="s">
        <v>41057</v>
      </c>
    </row>
    <row r="5254" spans="1:1">
      <c r="A5254" s="35" t="s">
        <v>41057</v>
      </c>
    </row>
    <row r="5255" spans="1:1">
      <c r="A5255" s="35" t="s">
        <v>41057</v>
      </c>
    </row>
    <row r="5256" spans="1:1">
      <c r="A5256" s="35" t="s">
        <v>41057</v>
      </c>
    </row>
    <row r="5257" spans="1:1">
      <c r="A5257" s="35" t="s">
        <v>41057</v>
      </c>
    </row>
    <row r="5258" spans="1:1">
      <c r="A5258" s="35" t="s">
        <v>41057</v>
      </c>
    </row>
    <row r="5259" spans="1:1">
      <c r="A5259" s="35" t="s">
        <v>41057</v>
      </c>
    </row>
    <row r="5260" spans="1:1">
      <c r="A5260" s="35" t="s">
        <v>41057</v>
      </c>
    </row>
    <row r="5261" spans="1:1">
      <c r="A5261" s="35" t="s">
        <v>41057</v>
      </c>
    </row>
    <row r="5262" spans="1:1">
      <c r="A5262" s="35" t="s">
        <v>41057</v>
      </c>
    </row>
    <row r="5263" spans="1:1">
      <c r="A5263" s="35" t="e" cm="1">
        <f t="array" ref="A5263">--------------------------------------------------YISDV---GH</f>
        <v>#NAME?</v>
      </c>
    </row>
    <row r="5264" spans="1:1">
      <c r="A5264" s="35" t="s">
        <v>54661</v>
      </c>
    </row>
    <row r="5265" spans="1:1">
      <c r="A5265" s="35" t="e" cm="1">
        <f t="array" ref="A5265">---------------GEWLQIWSELTL---------PAEK------------------ET</f>
        <v>#NAME?</v>
      </c>
    </row>
    <row r="5266" spans="1:1">
      <c r="A5266" s="35" t="s">
        <v>54662</v>
      </c>
    </row>
    <row r="5267" spans="1:1">
      <c r="A5267" s="35" t="s">
        <v>54663</v>
      </c>
    </row>
    <row r="5268" spans="1:1">
      <c r="A5268" s="35" t="s">
        <v>41057</v>
      </c>
    </row>
    <row r="5269" spans="1:1">
      <c r="A5269" s="35" t="s">
        <v>54664</v>
      </c>
    </row>
    <row r="5270" spans="1:1">
      <c r="A5270" s="35" t="s">
        <v>41057</v>
      </c>
    </row>
    <row r="5271" spans="1:1">
      <c r="A5271" s="35" t="s">
        <v>53997</v>
      </c>
    </row>
    <row r="5272" spans="1:1">
      <c r="A5272" s="35" t="s">
        <v>54665</v>
      </c>
    </row>
    <row r="5273" spans="1:1">
      <c r="A5273" s="35" t="s">
        <v>54666</v>
      </c>
    </row>
    <row r="5274" spans="1:1">
      <c r="A5274" s="35" t="s">
        <v>41057</v>
      </c>
    </row>
    <row r="5275" spans="1:1">
      <c r="A5275" s="35" t="s">
        <v>41057</v>
      </c>
    </row>
    <row r="5276" spans="1:1">
      <c r="A5276" s="35" t="s">
        <v>41057</v>
      </c>
    </row>
    <row r="5277" spans="1:1">
      <c r="A5277" s="35" t="s">
        <v>54667</v>
      </c>
    </row>
    <row r="5278" spans="1:1">
      <c r="A5278" s="35" t="s">
        <v>41057</v>
      </c>
    </row>
    <row r="5279" spans="1:1">
      <c r="A5279" s="35" t="s">
        <v>41057</v>
      </c>
    </row>
    <row r="5280" spans="1:1">
      <c r="A5280" s="35" t="s">
        <v>51834</v>
      </c>
    </row>
    <row r="5281" spans="1:1">
      <c r="A5281" s="35" t="s">
        <v>54668</v>
      </c>
    </row>
    <row r="5282" spans="1:1">
      <c r="A5282" s="35" t="s">
        <v>54669</v>
      </c>
    </row>
    <row r="5283" spans="1:1">
      <c r="A5283" s="35" t="s">
        <v>54236</v>
      </c>
    </row>
    <row r="5284" spans="1:1">
      <c r="A5284" s="35" t="e" cm="1">
        <f t="array" ref="A5284">----------------------------------------------------------FT</f>
        <v>#NAME?</v>
      </c>
    </row>
    <row r="5285" spans="1:1">
      <c r="A5285" s="35" t="s">
        <v>54670</v>
      </c>
    </row>
    <row r="5286" spans="1:1">
      <c r="A5286" s="35" t="s">
        <v>54671</v>
      </c>
    </row>
    <row r="5287" spans="1:1">
      <c r="A5287" s="35" t="s">
        <v>54672</v>
      </c>
    </row>
    <row r="5288" spans="1:1">
      <c r="A5288" s="35" t="s">
        <v>41057</v>
      </c>
    </row>
    <row r="5289" spans="1:1">
      <c r="A5289" s="35" t="s">
        <v>54673</v>
      </c>
    </row>
    <row r="5290" spans="1:1">
      <c r="A5290" s="35" t="s">
        <v>41057</v>
      </c>
    </row>
    <row r="5291" spans="1:1">
      <c r="A5291" s="35" t="s">
        <v>54674</v>
      </c>
    </row>
    <row r="5292" spans="1:1">
      <c r="A5292" s="35" t="s">
        <v>41057</v>
      </c>
    </row>
    <row r="5293" spans="1:1">
      <c r="A5293" s="35" t="s">
        <v>54675</v>
      </c>
    </row>
    <row r="5294" spans="1:1">
      <c r="A5294" s="35" t="s">
        <v>54676</v>
      </c>
    </row>
    <row r="5295" spans="1:1">
      <c r="A5295" s="35" t="s">
        <v>41057</v>
      </c>
    </row>
    <row r="5296" spans="1:1">
      <c r="A5296" s="35" t="s">
        <v>41057</v>
      </c>
    </row>
    <row r="5297" spans="1:1">
      <c r="A5297" s="35" t="s">
        <v>41057</v>
      </c>
    </row>
    <row r="5298" spans="1:1">
      <c r="A5298" s="35" t="e" cm="1">
        <f t="array" ref="A5298">--------------------------------------------------------FGTA</f>
        <v>#NAME?</v>
      </c>
    </row>
    <row r="5299" spans="1:1">
      <c r="A5299" s="35" t="s">
        <v>54468</v>
      </c>
    </row>
    <row r="5300" spans="1:1">
      <c r="A5300" s="35" t="s">
        <v>54469</v>
      </c>
    </row>
    <row r="5301" spans="1:1">
      <c r="A5301" s="35" t="s">
        <v>54677</v>
      </c>
    </row>
    <row r="5302" spans="1:1">
      <c r="A5302" s="35" t="s">
        <v>54678</v>
      </c>
    </row>
    <row r="5303" spans="1:1">
      <c r="A5303" s="35" t="s">
        <v>54679</v>
      </c>
    </row>
    <row r="5304" spans="1:1">
      <c r="A5304" s="35" t="s">
        <v>54680</v>
      </c>
    </row>
    <row r="5305" spans="1:1">
      <c r="A5305" s="35" t="s">
        <v>41057</v>
      </c>
    </row>
    <row r="5306" spans="1:1">
      <c r="A5306" s="35" t="s">
        <v>54681</v>
      </c>
    </row>
    <row r="5307" spans="1:1">
      <c r="A5307" s="35" t="s">
        <v>54682</v>
      </c>
    </row>
    <row r="5308" spans="1:1">
      <c r="A5308" s="35" t="s">
        <v>54683</v>
      </c>
    </row>
    <row r="5309" spans="1:1">
      <c r="A5309" s="35" t="s">
        <v>54684</v>
      </c>
    </row>
    <row r="5310" spans="1:1">
      <c r="A5310" s="35" t="s">
        <v>53545</v>
      </c>
    </row>
    <row r="5311" spans="1:1">
      <c r="A5311" s="35" t="s">
        <v>51991</v>
      </c>
    </row>
    <row r="5312" spans="1:1">
      <c r="A5312" s="35" t="s">
        <v>41057</v>
      </c>
    </row>
    <row r="5313" spans="1:1">
      <c r="A5313" s="35" t="s">
        <v>41057</v>
      </c>
    </row>
    <row r="5314" spans="1:1">
      <c r="A5314" s="35" t="s">
        <v>41057</v>
      </c>
    </row>
    <row r="5315" spans="1:1">
      <c r="A5315" s="35" t="s">
        <v>41057</v>
      </c>
    </row>
    <row r="5316" spans="1:1">
      <c r="A5316" s="35" t="s">
        <v>41057</v>
      </c>
    </row>
    <row r="5317" spans="1:1">
      <c r="A5317" s="35" t="s">
        <v>54096</v>
      </c>
    </row>
    <row r="5318" spans="1:1">
      <c r="A5318" s="35" t="s">
        <v>41057</v>
      </c>
    </row>
    <row r="5319" spans="1:1">
      <c r="A5319" s="35" t="s">
        <v>41057</v>
      </c>
    </row>
    <row r="5320" spans="1:1">
      <c r="A5320" s="35" t="s">
        <v>41057</v>
      </c>
    </row>
    <row r="5321" spans="1:1">
      <c r="A5321" s="35" t="s">
        <v>54097</v>
      </c>
    </row>
    <row r="5322" spans="1:1">
      <c r="A5322" s="35" t="s">
        <v>54098</v>
      </c>
    </row>
    <row r="5323" spans="1:1">
      <c r="A5323" s="35" t="s">
        <v>54099</v>
      </c>
    </row>
    <row r="5324" spans="1:1">
      <c r="A5324" s="35" t="s">
        <v>53710</v>
      </c>
    </row>
    <row r="5325" spans="1:1">
      <c r="A5325" s="35" t="s">
        <v>41057</v>
      </c>
    </row>
    <row r="5326" spans="1:1">
      <c r="A5326" s="35" t="s">
        <v>41057</v>
      </c>
    </row>
    <row r="5327" spans="1:1">
      <c r="A5327" s="35" t="e" cm="1">
        <f t="array" ref="A5327">---------------EVTF------------------FKN-------------------I</f>
        <v>#NAME?</v>
      </c>
    </row>
    <row r="5328" spans="1:1">
      <c r="A5328" s="35" t="s">
        <v>54288</v>
      </c>
    </row>
    <row r="5329" spans="1:1">
      <c r="A5329" s="35" t="s">
        <v>54685</v>
      </c>
    </row>
    <row r="5330" spans="1:1">
      <c r="A5330" s="35" t="s">
        <v>41057</v>
      </c>
    </row>
    <row r="5331" spans="1:1">
      <c r="A5331" s="35" t="s">
        <v>54441</v>
      </c>
    </row>
    <row r="5332" spans="1:1">
      <c r="A5332" s="35" t="s">
        <v>41057</v>
      </c>
    </row>
    <row r="5333" spans="1:1">
      <c r="A5333" s="35" t="s">
        <v>41057</v>
      </c>
    </row>
    <row r="5334" spans="1:1">
      <c r="A5334" s="35" t="s">
        <v>54686</v>
      </c>
    </row>
    <row r="5335" spans="1:1">
      <c r="A5335" s="35" t="s">
        <v>41057</v>
      </c>
    </row>
    <row r="5336" spans="1:1">
      <c r="A5336" s="35" t="s">
        <v>41057</v>
      </c>
    </row>
    <row r="5337" spans="1:1">
      <c r="A5337" s="35" t="s">
        <v>53500</v>
      </c>
    </row>
    <row r="5338" spans="1:1">
      <c r="A5338" s="35" t="s">
        <v>41057</v>
      </c>
    </row>
    <row r="5339" spans="1:1">
      <c r="A5339" s="35" t="s">
        <v>41057</v>
      </c>
    </row>
    <row r="5340" spans="1:1">
      <c r="A5340" s="35" t="s">
        <v>54687</v>
      </c>
    </row>
    <row r="5341" spans="1:1">
      <c r="A5341" s="35" t="s">
        <v>41057</v>
      </c>
    </row>
    <row r="5342" spans="1:1">
      <c r="A5342" s="35" t="s">
        <v>54688</v>
      </c>
    </row>
    <row r="5343" spans="1:1">
      <c r="A5343" s="35" t="s">
        <v>41057</v>
      </c>
    </row>
    <row r="5344" spans="1:1">
      <c r="A5344" s="35" t="s">
        <v>54689</v>
      </c>
    </row>
    <row r="5345" spans="1:1">
      <c r="A5345" s="35" t="s">
        <v>54690</v>
      </c>
    </row>
    <row r="5346" spans="1:1">
      <c r="A5346" s="35" t="s">
        <v>41057</v>
      </c>
    </row>
    <row r="5347" spans="1:1">
      <c r="A5347" s="35" t="s">
        <v>41057</v>
      </c>
    </row>
    <row r="5348" spans="1:1">
      <c r="A5348" s="35" t="s">
        <v>54354</v>
      </c>
    </row>
    <row r="5349" spans="1:1">
      <c r="A5349" s="35" t="s">
        <v>41057</v>
      </c>
    </row>
    <row r="5350" spans="1:1">
      <c r="A5350" s="35" t="s">
        <v>41057</v>
      </c>
    </row>
    <row r="5351" spans="1:1">
      <c r="A5351" s="35" t="s">
        <v>41057</v>
      </c>
    </row>
    <row r="5352" spans="1:1">
      <c r="A5352" s="35" t="s">
        <v>41057</v>
      </c>
    </row>
    <row r="5353" spans="1:1">
      <c r="A5353" s="35" t="s">
        <v>41057</v>
      </c>
    </row>
    <row r="5354" spans="1:1">
      <c r="A5354" s="35" t="s">
        <v>54224</v>
      </c>
    </row>
    <row r="5355" spans="1:1">
      <c r="A5355" s="35" t="s">
        <v>41057</v>
      </c>
    </row>
    <row r="5356" spans="1:1">
      <c r="A5356" s="35" t="s">
        <v>41057</v>
      </c>
    </row>
    <row r="5357" spans="1:1">
      <c r="A5357" s="35" t="s">
        <v>54691</v>
      </c>
    </row>
    <row r="5358" spans="1:1">
      <c r="A5358" s="35" t="s">
        <v>41057</v>
      </c>
    </row>
    <row r="5359" spans="1:1">
      <c r="A5359" s="35" t="s">
        <v>41057</v>
      </c>
    </row>
    <row r="5360" spans="1:1">
      <c r="A5360" s="35" t="s">
        <v>41057</v>
      </c>
    </row>
    <row r="5361" spans="1:1">
      <c r="A5361" s="35" t="s">
        <v>41057</v>
      </c>
    </row>
    <row r="5362" spans="1:1">
      <c r="A5362" s="35" t="s">
        <v>41057</v>
      </c>
    </row>
    <row r="5363" spans="1:1">
      <c r="A5363" s="35" t="s">
        <v>41057</v>
      </c>
    </row>
    <row r="5364" spans="1:1">
      <c r="A5364" s="35" t="s">
        <v>41057</v>
      </c>
    </row>
    <row r="5365" spans="1:1">
      <c r="A5365" s="35" t="s">
        <v>41057</v>
      </c>
    </row>
    <row r="5366" spans="1:1">
      <c r="A5366" s="35" t="s">
        <v>41057</v>
      </c>
    </row>
    <row r="5367" spans="1:1">
      <c r="A5367" s="35" t="s">
        <v>41057</v>
      </c>
    </row>
    <row r="5368" spans="1:1">
      <c r="A5368" s="35" t="s">
        <v>41057</v>
      </c>
    </row>
    <row r="5369" spans="1:1">
      <c r="A5369" s="35" t="s">
        <v>41057</v>
      </c>
    </row>
    <row r="5370" spans="1:1">
      <c r="A5370" s="35" t="s">
        <v>41057</v>
      </c>
    </row>
    <row r="5371" spans="1:1">
      <c r="A5371" s="35" t="s">
        <v>41057</v>
      </c>
    </row>
    <row r="5372" spans="1:1">
      <c r="A5372" s="35" t="s">
        <v>41057</v>
      </c>
    </row>
    <row r="5373" spans="1:1">
      <c r="A5373" s="35" t="s">
        <v>41057</v>
      </c>
    </row>
    <row r="5374" spans="1:1">
      <c r="A5374" s="35" t="s">
        <v>41057</v>
      </c>
    </row>
    <row r="5375" spans="1:1">
      <c r="A5375" s="35" t="s">
        <v>41057</v>
      </c>
    </row>
    <row r="5376" spans="1:1">
      <c r="A5376" s="35" t="s">
        <v>41057</v>
      </c>
    </row>
    <row r="5377" spans="1:1">
      <c r="A5377" s="35" t="s">
        <v>41057</v>
      </c>
    </row>
    <row r="5378" spans="1:1">
      <c r="A5378" s="35" t="s">
        <v>41057</v>
      </c>
    </row>
    <row r="5379" spans="1:1">
      <c r="A5379" s="35" t="s">
        <v>41057</v>
      </c>
    </row>
    <row r="5380" spans="1:1">
      <c r="A5380" s="35" t="s">
        <v>41057</v>
      </c>
    </row>
    <row r="5381" spans="1:1">
      <c r="A5381" s="35" t="e" cm="1">
        <f t="array" ref="A5381">---------------------------------------------GDEWGYARRL---GH</f>
        <v>#NAME?</v>
      </c>
    </row>
    <row r="5382" spans="1:1">
      <c r="A5382" s="35" t="s">
        <v>54692</v>
      </c>
    </row>
    <row r="5383" spans="1:1">
      <c r="A5383" s="35" t="e" cm="1">
        <f t="array" ref="A5383">---------------GDWLNIWYELAR---------NNSH------------------DS</f>
        <v>#NAME?</v>
      </c>
    </row>
    <row r="5384" spans="1:1">
      <c r="A5384" s="35" t="s">
        <v>54693</v>
      </c>
    </row>
    <row r="5385" spans="1:1">
      <c r="A5385" s="35" t="e" cm="1">
        <f t="array" ref="A5385">-----------------------------------------------------------S</f>
        <v>#NAME?</v>
      </c>
    </row>
    <row r="5386" spans="1:1">
      <c r="A5386" s="35" t="s">
        <v>54694</v>
      </c>
    </row>
    <row r="5387" spans="1:1">
      <c r="A5387" s="35" t="s">
        <v>54695</v>
      </c>
    </row>
    <row r="5388" spans="1:1">
      <c r="A5388" s="35" t="s">
        <v>41057</v>
      </c>
    </row>
    <row r="5389" spans="1:1">
      <c r="A5389" s="35" t="s">
        <v>53997</v>
      </c>
    </row>
    <row r="5390" spans="1:1">
      <c r="A5390" s="35" t="s">
        <v>54696</v>
      </c>
    </row>
    <row r="5391" spans="1:1">
      <c r="A5391" s="35" t="s">
        <v>54697</v>
      </c>
    </row>
    <row r="5392" spans="1:1">
      <c r="A5392" s="35" t="s">
        <v>41057</v>
      </c>
    </row>
    <row r="5393" spans="1:1">
      <c r="A5393" s="35" t="s">
        <v>54698</v>
      </c>
    </row>
    <row r="5394" spans="1:1">
      <c r="A5394" s="35" t="s">
        <v>41057</v>
      </c>
    </row>
    <row r="5395" spans="1:1">
      <c r="A5395" s="35" t="s">
        <v>54699</v>
      </c>
    </row>
    <row r="5396" spans="1:1">
      <c r="A5396" s="35" t="s">
        <v>41057</v>
      </c>
    </row>
    <row r="5397" spans="1:1">
      <c r="A5397" s="35" t="s">
        <v>41057</v>
      </c>
    </row>
    <row r="5398" spans="1:1">
      <c r="A5398" s="35" t="s">
        <v>54700</v>
      </c>
    </row>
    <row r="5399" spans="1:1">
      <c r="A5399" s="35" t="s">
        <v>54701</v>
      </c>
    </row>
    <row r="5400" spans="1:1">
      <c r="A5400" s="35" t="s">
        <v>54702</v>
      </c>
    </row>
    <row r="5401" spans="1:1">
      <c r="A5401" s="35" t="s">
        <v>54236</v>
      </c>
    </row>
    <row r="5402" spans="1:1">
      <c r="A5402" s="35" t="e" cm="1">
        <f t="array" ref="A5402">----------------------------------------------------------FT</f>
        <v>#NAME?</v>
      </c>
    </row>
    <row r="5403" spans="1:1">
      <c r="A5403" s="35" t="s">
        <v>54703</v>
      </c>
    </row>
    <row r="5404" spans="1:1">
      <c r="A5404" s="35" t="s">
        <v>54704</v>
      </c>
    </row>
    <row r="5405" spans="1:1">
      <c r="A5405" s="35" t="s">
        <v>54705</v>
      </c>
    </row>
    <row r="5406" spans="1:1">
      <c r="A5406" s="35" t="s">
        <v>41057</v>
      </c>
    </row>
    <row r="5407" spans="1:1">
      <c r="A5407" s="35" t="s">
        <v>54706</v>
      </c>
    </row>
    <row r="5408" spans="1:1">
      <c r="A5408" s="35" t="s">
        <v>41057</v>
      </c>
    </row>
    <row r="5409" spans="1:1">
      <c r="A5409" s="35" t="s">
        <v>54707</v>
      </c>
    </row>
    <row r="5410" spans="1:1">
      <c r="A5410" s="35" t="s">
        <v>41057</v>
      </c>
    </row>
    <row r="5411" spans="1:1">
      <c r="A5411" s="35" t="s">
        <v>54708</v>
      </c>
    </row>
    <row r="5412" spans="1:1">
      <c r="A5412" s="35" t="s">
        <v>41057</v>
      </c>
    </row>
    <row r="5413" spans="1:1">
      <c r="A5413" s="35" t="e" cm="1">
        <f t="array" ref="A5413">------------WDGDW-SA-------------AKDRVAKRVWLA-------KNLTLANS</f>
        <v>#NAME?</v>
      </c>
    </row>
    <row r="5414" spans="1:1">
      <c r="A5414" s="35" t="s">
        <v>54709</v>
      </c>
    </row>
    <row r="5415" spans="1:1">
      <c r="A5415" s="35" t="e" cm="1">
        <f t="array" ref="A5415">--------------------------------------------TNNVSSTHLSWRVDDW</f>
        <v>#NAME?</v>
      </c>
    </row>
    <row r="5416" spans="1:1">
      <c r="A5416" s="35" t="s">
        <v>54710</v>
      </c>
    </row>
    <row r="5417" spans="1:1">
      <c r="A5417" s="35" t="s">
        <v>54377</v>
      </c>
    </row>
    <row r="5418" spans="1:1">
      <c r="A5418" s="35" t="s">
        <v>54711</v>
      </c>
    </row>
    <row r="5419" spans="1:1">
      <c r="A5419" s="35" t="s">
        <v>54712</v>
      </c>
    </row>
    <row r="5420" spans="1:1">
      <c r="A5420" s="35" t="s">
        <v>54713</v>
      </c>
    </row>
    <row r="5421" spans="1:1">
      <c r="A5421" s="35" t="s">
        <v>54714</v>
      </c>
    </row>
    <row r="5422" spans="1:1">
      <c r="A5422" s="35" t="s">
        <v>54715</v>
      </c>
    </row>
    <row r="5423" spans="1:1">
      <c r="A5423" s="35" t="s">
        <v>41057</v>
      </c>
    </row>
    <row r="5424" spans="1:1">
      <c r="A5424" s="35" t="s">
        <v>54716</v>
      </c>
    </row>
    <row r="5425" spans="1:1">
      <c r="A5425" s="35" t="s">
        <v>54252</v>
      </c>
    </row>
    <row r="5426" spans="1:1">
      <c r="A5426" s="35" t="s">
        <v>54384</v>
      </c>
    </row>
    <row r="5427" spans="1:1">
      <c r="A5427" s="35" t="s">
        <v>41057</v>
      </c>
    </row>
    <row r="5428" spans="1:1">
      <c r="A5428" s="35" t="s">
        <v>53545</v>
      </c>
    </row>
    <row r="5429" spans="1:1">
      <c r="A5429" s="35" t="s">
        <v>54717</v>
      </c>
    </row>
    <row r="5430" spans="1:1">
      <c r="A5430" s="35" t="s">
        <v>41057</v>
      </c>
    </row>
    <row r="5431" spans="1:1">
      <c r="A5431" s="35" t="s">
        <v>41057</v>
      </c>
    </row>
    <row r="5432" spans="1:1">
      <c r="A5432" s="35" t="s">
        <v>41057</v>
      </c>
    </row>
    <row r="5433" spans="1:1">
      <c r="A5433" s="35" t="s">
        <v>41057</v>
      </c>
    </row>
    <row r="5434" spans="1:1">
      <c r="A5434" s="35" t="s">
        <v>54718</v>
      </c>
    </row>
    <row r="5435" spans="1:1">
      <c r="A5435" s="35" t="s">
        <v>54719</v>
      </c>
    </row>
    <row r="5436" spans="1:1">
      <c r="A5436" s="35" t="s">
        <v>41057</v>
      </c>
    </row>
    <row r="5437" spans="1:1">
      <c r="A5437" s="35" t="s">
        <v>41057</v>
      </c>
    </row>
    <row r="5438" spans="1:1">
      <c r="A5438" s="35" t="s">
        <v>41057</v>
      </c>
    </row>
    <row r="5439" spans="1:1">
      <c r="A5439" s="35" t="s">
        <v>54720</v>
      </c>
    </row>
    <row r="5440" spans="1:1">
      <c r="A5440" s="35" t="s">
        <v>54721</v>
      </c>
    </row>
    <row r="5441" spans="1:1">
      <c r="A5441" s="35" t="s">
        <v>54722</v>
      </c>
    </row>
    <row r="5442" spans="1:1">
      <c r="A5442" s="35" t="s">
        <v>54723</v>
      </c>
    </row>
    <row r="5443" spans="1:1">
      <c r="A5443" s="35" t="s">
        <v>41057</v>
      </c>
    </row>
    <row r="5444" spans="1:1">
      <c r="A5444" s="35" t="s">
        <v>41057</v>
      </c>
    </row>
    <row r="5445" spans="1:1">
      <c r="A5445" s="35" t="e" cm="1">
        <f t="array" ref="A5445">---------------V---------------------FKV-------------------V</f>
        <v>#NAME?</v>
      </c>
    </row>
    <row r="5446" spans="1:1">
      <c r="A5446" s="35" t="s">
        <v>54288</v>
      </c>
    </row>
    <row r="5447" spans="1:1">
      <c r="A5447" s="35" t="s">
        <v>54216</v>
      </c>
    </row>
    <row r="5448" spans="1:1">
      <c r="A5448" s="35" t="s">
        <v>41057</v>
      </c>
    </row>
    <row r="5449" spans="1:1">
      <c r="A5449" s="35" t="s">
        <v>54724</v>
      </c>
    </row>
    <row r="5450" spans="1:1">
      <c r="A5450" s="35" t="s">
        <v>41057</v>
      </c>
    </row>
    <row r="5451" spans="1:1">
      <c r="A5451" s="35" t="s">
        <v>41057</v>
      </c>
    </row>
    <row r="5452" spans="1:1">
      <c r="A5452" s="35" t="s">
        <v>54725</v>
      </c>
    </row>
    <row r="5453" spans="1:1">
      <c r="A5453" s="35" t="s">
        <v>41057</v>
      </c>
    </row>
    <row r="5454" spans="1:1">
      <c r="A5454" s="35" t="s">
        <v>41057</v>
      </c>
    </row>
    <row r="5455" spans="1:1">
      <c r="A5455" s="35" t="s">
        <v>53500</v>
      </c>
    </row>
    <row r="5456" spans="1:1">
      <c r="A5456" s="35" t="s">
        <v>41057</v>
      </c>
    </row>
    <row r="5457" spans="1:1">
      <c r="A5457" s="35" t="s">
        <v>41057</v>
      </c>
    </row>
    <row r="5458" spans="1:1">
      <c r="A5458" s="35" t="s">
        <v>54726</v>
      </c>
    </row>
    <row r="5459" spans="1:1">
      <c r="A5459" s="35" t="s">
        <v>41057</v>
      </c>
    </row>
    <row r="5460" spans="1:1">
      <c r="A5460" s="35" t="s">
        <v>54727</v>
      </c>
    </row>
    <row r="5461" spans="1:1">
      <c r="A5461" s="35" t="s">
        <v>41057</v>
      </c>
    </row>
    <row r="5462" spans="1:1">
      <c r="A5462" s="35" t="s">
        <v>54728</v>
      </c>
    </row>
    <row r="5463" spans="1:1">
      <c r="A5463" s="35" t="s">
        <v>54729</v>
      </c>
    </row>
    <row r="5464" spans="1:1">
      <c r="A5464" s="35" t="s">
        <v>41057</v>
      </c>
    </row>
    <row r="5465" spans="1:1">
      <c r="A5465" s="35" t="s">
        <v>41057</v>
      </c>
    </row>
    <row r="5466" spans="1:1">
      <c r="A5466" s="35" t="s">
        <v>54545</v>
      </c>
    </row>
    <row r="5467" spans="1:1">
      <c r="A5467" s="35" t="s">
        <v>41057</v>
      </c>
    </row>
    <row r="5468" spans="1:1">
      <c r="A5468" s="35" t="s">
        <v>41057</v>
      </c>
    </row>
    <row r="5469" spans="1:1">
      <c r="A5469" s="35" t="s">
        <v>41057</v>
      </c>
    </row>
    <row r="5470" spans="1:1">
      <c r="A5470" s="35" t="s">
        <v>41057</v>
      </c>
    </row>
    <row r="5471" spans="1:1">
      <c r="A5471" s="35" t="s">
        <v>41057</v>
      </c>
    </row>
    <row r="5472" spans="1:1">
      <c r="A5472" s="35" t="s">
        <v>54224</v>
      </c>
    </row>
    <row r="5473" spans="1:1">
      <c r="A5473" s="35" t="s">
        <v>41057</v>
      </c>
    </row>
    <row r="5474" spans="1:1">
      <c r="A5474" s="35" t="s">
        <v>41057</v>
      </c>
    </row>
    <row r="5475" spans="1:1">
      <c r="A5475" s="35" t="s">
        <v>54730</v>
      </c>
    </row>
    <row r="5476" spans="1:1">
      <c r="A5476" s="35" t="s">
        <v>41057</v>
      </c>
    </row>
    <row r="5477" spans="1:1">
      <c r="A5477" s="35" t="s">
        <v>41057</v>
      </c>
    </row>
    <row r="5478" spans="1:1">
      <c r="A5478" s="35" t="s">
        <v>41057</v>
      </c>
    </row>
    <row r="5479" spans="1:1">
      <c r="A5479" s="35" t="s">
        <v>41057</v>
      </c>
    </row>
    <row r="5480" spans="1:1">
      <c r="A5480" s="35" t="s">
        <v>41057</v>
      </c>
    </row>
    <row r="5481" spans="1:1">
      <c r="A5481" s="35" t="s">
        <v>41057</v>
      </c>
    </row>
    <row r="5482" spans="1:1">
      <c r="A5482" s="35" t="s">
        <v>41057</v>
      </c>
    </row>
    <row r="5483" spans="1:1">
      <c r="A5483" s="35" t="s">
        <v>41057</v>
      </c>
    </row>
    <row r="5484" spans="1:1">
      <c r="A5484" s="35" t="s">
        <v>41057</v>
      </c>
    </row>
    <row r="5485" spans="1:1">
      <c r="A5485" s="35" t="s">
        <v>41057</v>
      </c>
    </row>
    <row r="5486" spans="1:1">
      <c r="A5486" s="35" t="s">
        <v>41057</v>
      </c>
    </row>
    <row r="5487" spans="1:1">
      <c r="A5487" s="35" t="s">
        <v>41057</v>
      </c>
    </row>
    <row r="5488" spans="1:1">
      <c r="A5488" s="35" t="s">
        <v>54153</v>
      </c>
    </row>
    <row r="5489" spans="1:1">
      <c r="A5489" s="35" t="s">
        <v>41057</v>
      </c>
    </row>
    <row r="5490" spans="1:1">
      <c r="A5490" s="35" t="s">
        <v>41057</v>
      </c>
    </row>
    <row r="5491" spans="1:1">
      <c r="A5491" s="35" t="s">
        <v>41057</v>
      </c>
    </row>
    <row r="5492" spans="1:1">
      <c r="A5492" s="35" t="s">
        <v>54731</v>
      </c>
    </row>
    <row r="5493" spans="1:1">
      <c r="A5493" s="35" t="s">
        <v>41057</v>
      </c>
    </row>
    <row r="5494" spans="1:1">
      <c r="A5494" s="35" t="s">
        <v>41057</v>
      </c>
    </row>
    <row r="5495" spans="1:1">
      <c r="A5495" s="35" t="s">
        <v>41057</v>
      </c>
    </row>
    <row r="5496" spans="1:1">
      <c r="A5496" s="35" t="s">
        <v>41057</v>
      </c>
    </row>
    <row r="5497" spans="1:1">
      <c r="A5497" s="35" t="s">
        <v>41057</v>
      </c>
    </row>
    <row r="5498" spans="1:1">
      <c r="A5498" s="35" t="s">
        <v>41057</v>
      </c>
    </row>
    <row r="5499" spans="1:1">
      <c r="A5499" s="35" t="e" cm="1">
        <f t="array" ref="A5499">---------------------------------------------HVEFAWVRNI---GH</f>
        <v>#NAME?</v>
      </c>
    </row>
    <row r="5500" spans="1:1">
      <c r="A5500" s="35" t="s">
        <v>54732</v>
      </c>
    </row>
    <row r="5501" spans="1:1">
      <c r="A5501" s="35" t="e" cm="1">
        <f t="array" ref="A5501">---------------GDWLQIWQDVSS---------SKDH------------------EK</f>
        <v>#NAME?</v>
      </c>
    </row>
    <row r="5502" spans="1:1">
      <c r="A5502" s="35" t="s">
        <v>54733</v>
      </c>
    </row>
    <row r="5503" spans="1:1">
      <c r="A5503" s="35" t="e" cm="1">
        <f t="array" ref="A5503">---------SWDVPD--------------------------------------------N</f>
        <v>#NAME?</v>
      </c>
    </row>
    <row r="5504" spans="1:1">
      <c r="A5504" s="35" t="s">
        <v>54734</v>
      </c>
    </row>
    <row r="5505" spans="1:1">
      <c r="A5505" s="35" t="s">
        <v>54735</v>
      </c>
    </row>
    <row r="5506" spans="1:1">
      <c r="A5506" s="35" t="s">
        <v>41057</v>
      </c>
    </row>
    <row r="5507" spans="1:1">
      <c r="A5507" s="35" t="s">
        <v>53997</v>
      </c>
    </row>
    <row r="5508" spans="1:1">
      <c r="A5508" s="35" t="s">
        <v>54736</v>
      </c>
    </row>
    <row r="5509" spans="1:1">
      <c r="A5509" s="35" t="s">
        <v>54737</v>
      </c>
    </row>
    <row r="5510" spans="1:1">
      <c r="A5510" s="35" t="s">
        <v>41057</v>
      </c>
    </row>
    <row r="5511" spans="1:1">
      <c r="A5511" s="35" t="s">
        <v>41057</v>
      </c>
    </row>
    <row r="5512" spans="1:1">
      <c r="A5512" s="35" t="s">
        <v>41057</v>
      </c>
    </row>
    <row r="5513" spans="1:1">
      <c r="A5513" s="35" t="s">
        <v>54738</v>
      </c>
    </row>
    <row r="5514" spans="1:1">
      <c r="A5514" s="35" t="s">
        <v>41057</v>
      </c>
    </row>
    <row r="5515" spans="1:1">
      <c r="A5515" s="35" t="s">
        <v>41057</v>
      </c>
    </row>
    <row r="5516" spans="1:1">
      <c r="A5516" s="35" t="s">
        <v>54739</v>
      </c>
    </row>
    <row r="5517" spans="1:1">
      <c r="A5517" s="35" t="s">
        <v>53690</v>
      </c>
    </row>
    <row r="5518" spans="1:1">
      <c r="A5518" s="35" t="s">
        <v>54740</v>
      </c>
    </row>
    <row r="5519" spans="1:1">
      <c r="A5519" s="35" t="s">
        <v>54236</v>
      </c>
    </row>
    <row r="5520" spans="1:1">
      <c r="A5520" s="35" t="e" cm="1">
        <f t="array" ref="A5520">----------------------------------------------------------FT</f>
        <v>#NAME?</v>
      </c>
    </row>
    <row r="5521" spans="1:1">
      <c r="A5521" s="35" t="s">
        <v>54741</v>
      </c>
    </row>
    <row r="5522" spans="1:1">
      <c r="A5522" s="35" t="s">
        <v>54742</v>
      </c>
    </row>
    <row r="5523" spans="1:1">
      <c r="A5523" s="35" t="s">
        <v>54369</v>
      </c>
    </row>
    <row r="5524" spans="1:1">
      <c r="A5524" s="35" t="s">
        <v>41057</v>
      </c>
    </row>
    <row r="5525" spans="1:1">
      <c r="A5525" s="35" t="s">
        <v>54743</v>
      </c>
    </row>
    <row r="5526" spans="1:1">
      <c r="A5526" s="35" t="s">
        <v>41057</v>
      </c>
    </row>
    <row r="5527" spans="1:1">
      <c r="A5527" s="35" t="s">
        <v>54744</v>
      </c>
    </row>
    <row r="5528" spans="1:1">
      <c r="A5528" s="35" t="s">
        <v>41057</v>
      </c>
    </row>
    <row r="5529" spans="1:1">
      <c r="A5529" s="35" t="s">
        <v>54745</v>
      </c>
    </row>
    <row r="5530" spans="1:1">
      <c r="A5530" s="35" t="s">
        <v>54746</v>
      </c>
    </row>
    <row r="5531" spans="1:1">
      <c r="A5531" s="35" t="e" cm="1">
        <f t="array" ref="A5531">----LLLLAQYDLDD-------------------------WGYFQ-EPGGYECEGNDGRS</f>
        <v>#NAME?</v>
      </c>
    </row>
    <row r="5532" spans="1:1">
      <c r="A5532" s="35" t="s">
        <v>54747</v>
      </c>
    </row>
    <row r="5533" spans="1:1">
      <c r="A5533" s="35" t="s">
        <v>54748</v>
      </c>
    </row>
    <row r="5534" spans="1:1">
      <c r="A5534" s="35" t="s">
        <v>54749</v>
      </c>
    </row>
    <row r="5535" spans="1:1">
      <c r="A5535" s="35" t="s">
        <v>54750</v>
      </c>
    </row>
    <row r="5536" spans="1:1">
      <c r="A5536" s="35" t="s">
        <v>54751</v>
      </c>
    </row>
    <row r="5537" spans="1:1">
      <c r="A5537" s="35" t="s">
        <v>54752</v>
      </c>
    </row>
    <row r="5538" spans="1:1">
      <c r="A5538" s="35" t="s">
        <v>54753</v>
      </c>
    </row>
    <row r="5539" spans="1:1">
      <c r="A5539" s="35" t="s">
        <v>54754</v>
      </c>
    </row>
    <row r="5540" spans="1:1">
      <c r="A5540" s="35" t="s">
        <v>54755</v>
      </c>
    </row>
    <row r="5541" spans="1:1">
      <c r="A5541" s="35" t="s">
        <v>41057</v>
      </c>
    </row>
    <row r="5542" spans="1:1">
      <c r="A5542" s="35" t="s">
        <v>54756</v>
      </c>
    </row>
    <row r="5543" spans="1:1">
      <c r="A5543" s="35" t="s">
        <v>54757</v>
      </c>
    </row>
    <row r="5544" spans="1:1">
      <c r="A5544" s="35" t="s">
        <v>54384</v>
      </c>
    </row>
    <row r="5545" spans="1:1">
      <c r="A5545" s="35" t="s">
        <v>41057</v>
      </c>
    </row>
    <row r="5546" spans="1:1">
      <c r="A5546" s="35" t="s">
        <v>53545</v>
      </c>
    </row>
    <row r="5547" spans="1:1">
      <c r="A5547" s="35" t="s">
        <v>52019</v>
      </c>
    </row>
    <row r="5548" spans="1:1">
      <c r="A5548" s="35" t="s">
        <v>41057</v>
      </c>
    </row>
    <row r="5549" spans="1:1">
      <c r="A5549" s="35" t="s">
        <v>41057</v>
      </c>
    </row>
    <row r="5550" spans="1:1">
      <c r="A5550" s="35" t="s">
        <v>41057</v>
      </c>
    </row>
    <row r="5551" spans="1:1">
      <c r="A5551" s="35" t="s">
        <v>41057</v>
      </c>
    </row>
    <row r="5552" spans="1:1">
      <c r="A5552" s="35" t="s">
        <v>41057</v>
      </c>
    </row>
    <row r="5553" spans="1:1">
      <c r="A5553" s="35" t="s">
        <v>54096</v>
      </c>
    </row>
    <row r="5554" spans="1:1">
      <c r="A5554" s="35" t="s">
        <v>41057</v>
      </c>
    </row>
    <row r="5555" spans="1:1">
      <c r="A5555" s="35" t="s">
        <v>41057</v>
      </c>
    </row>
    <row r="5556" spans="1:1">
      <c r="A5556" s="35" t="s">
        <v>41057</v>
      </c>
    </row>
    <row r="5557" spans="1:1">
      <c r="A5557" s="35" t="s">
        <v>54097</v>
      </c>
    </row>
    <row r="5558" spans="1:1">
      <c r="A5558" s="35" t="s">
        <v>54758</v>
      </c>
    </row>
    <row r="5559" spans="1:1">
      <c r="A5559" s="35" t="s">
        <v>54099</v>
      </c>
    </row>
    <row r="5560" spans="1:1">
      <c r="A5560" s="35" t="s">
        <v>54100</v>
      </c>
    </row>
    <row r="5561" spans="1:1">
      <c r="A5561" s="35" t="s">
        <v>41057</v>
      </c>
    </row>
    <row r="5562" spans="1:1">
      <c r="A5562" s="35" t="s">
        <v>41057</v>
      </c>
    </row>
    <row r="5563" spans="1:1">
      <c r="A5563" s="35" t="e" cm="1">
        <f t="array" ref="A5563">---------------MITF------------------FKV-------------------V</f>
        <v>#NAME?</v>
      </c>
    </row>
    <row r="5564" spans="1:1">
      <c r="A5564" s="35" t="s">
        <v>54288</v>
      </c>
    </row>
    <row r="5565" spans="1:1">
      <c r="A5565" s="35" t="s">
        <v>54216</v>
      </c>
    </row>
    <row r="5566" spans="1:1">
      <c r="A5566" s="35" t="s">
        <v>41057</v>
      </c>
    </row>
    <row r="5567" spans="1:1">
      <c r="A5567" s="35" t="s">
        <v>54724</v>
      </c>
    </row>
    <row r="5568" spans="1:1">
      <c r="A5568" s="35" t="s">
        <v>41057</v>
      </c>
    </row>
    <row r="5569" spans="1:1">
      <c r="A5569" s="35" t="s">
        <v>41057</v>
      </c>
    </row>
    <row r="5570" spans="1:1">
      <c r="A5570" s="35" t="s">
        <v>54725</v>
      </c>
    </row>
    <row r="5571" spans="1:1">
      <c r="A5571" s="35" t="s">
        <v>41057</v>
      </c>
    </row>
    <row r="5572" spans="1:1">
      <c r="A5572" s="35" t="s">
        <v>41057</v>
      </c>
    </row>
    <row r="5573" spans="1:1">
      <c r="A5573" s="35" t="s">
        <v>53500</v>
      </c>
    </row>
    <row r="5574" spans="1:1">
      <c r="A5574" s="35" t="s">
        <v>41057</v>
      </c>
    </row>
    <row r="5575" spans="1:1">
      <c r="A5575" s="35" t="s">
        <v>41057</v>
      </c>
    </row>
    <row r="5576" spans="1:1">
      <c r="A5576" s="35" t="s">
        <v>54726</v>
      </c>
    </row>
    <row r="5577" spans="1:1">
      <c r="A5577" s="35" t="s">
        <v>41057</v>
      </c>
    </row>
    <row r="5578" spans="1:1">
      <c r="A5578" s="35" t="s">
        <v>54727</v>
      </c>
    </row>
    <row r="5579" spans="1:1">
      <c r="A5579" s="35" t="s">
        <v>41057</v>
      </c>
    </row>
    <row r="5580" spans="1:1">
      <c r="A5580" s="35" t="s">
        <v>54728</v>
      </c>
    </row>
    <row r="5581" spans="1:1">
      <c r="A5581" s="35" t="s">
        <v>54729</v>
      </c>
    </row>
    <row r="5582" spans="1:1">
      <c r="A5582" s="35" t="s">
        <v>41057</v>
      </c>
    </row>
    <row r="5583" spans="1:1">
      <c r="A5583" s="35" t="s">
        <v>41057</v>
      </c>
    </row>
    <row r="5584" spans="1:1">
      <c r="A5584" s="35" t="s">
        <v>54545</v>
      </c>
    </row>
    <row r="5585" spans="1:1">
      <c r="A5585" s="35" t="s">
        <v>41057</v>
      </c>
    </row>
    <row r="5586" spans="1:1">
      <c r="A5586" s="35" t="s">
        <v>41057</v>
      </c>
    </row>
    <row r="5587" spans="1:1">
      <c r="A5587" s="35" t="s">
        <v>41057</v>
      </c>
    </row>
    <row r="5588" spans="1:1">
      <c r="A5588" s="35" t="s">
        <v>41057</v>
      </c>
    </row>
    <row r="5589" spans="1:1">
      <c r="A5589" s="35" t="s">
        <v>41057</v>
      </c>
    </row>
    <row r="5590" spans="1:1">
      <c r="A5590" s="35" t="s">
        <v>54224</v>
      </c>
    </row>
    <row r="5591" spans="1:1">
      <c r="A5591" s="35" t="s">
        <v>41057</v>
      </c>
    </row>
    <row r="5592" spans="1:1">
      <c r="A5592" s="35" t="s">
        <v>41057</v>
      </c>
    </row>
    <row r="5593" spans="1:1">
      <c r="A5593" s="35" t="s">
        <v>54730</v>
      </c>
    </row>
    <row r="5594" spans="1:1">
      <c r="A5594" s="35" t="s">
        <v>41057</v>
      </c>
    </row>
    <row r="5595" spans="1:1">
      <c r="A5595" s="35" t="s">
        <v>41057</v>
      </c>
    </row>
    <row r="5596" spans="1:1">
      <c r="A5596" s="35" t="s">
        <v>41057</v>
      </c>
    </row>
    <row r="5597" spans="1:1">
      <c r="A5597" s="35" t="s">
        <v>41057</v>
      </c>
    </row>
    <row r="5598" spans="1:1">
      <c r="A5598" s="35" t="s">
        <v>41057</v>
      </c>
    </row>
    <row r="5599" spans="1:1">
      <c r="A5599" s="35" t="s">
        <v>41057</v>
      </c>
    </row>
    <row r="5600" spans="1:1">
      <c r="A5600" s="35" t="s">
        <v>41057</v>
      </c>
    </row>
    <row r="5601" spans="1:1">
      <c r="A5601" s="35" t="s">
        <v>41057</v>
      </c>
    </row>
    <row r="5602" spans="1:1">
      <c r="A5602" s="35" t="s">
        <v>41057</v>
      </c>
    </row>
    <row r="5603" spans="1:1">
      <c r="A5603" s="35" t="s">
        <v>41057</v>
      </c>
    </row>
    <row r="5604" spans="1:1">
      <c r="A5604" s="35" t="s">
        <v>41057</v>
      </c>
    </row>
    <row r="5605" spans="1:1">
      <c r="A5605" s="35" t="s">
        <v>41057</v>
      </c>
    </row>
    <row r="5606" spans="1:1">
      <c r="A5606" s="35" t="s">
        <v>54153</v>
      </c>
    </row>
    <row r="5607" spans="1:1">
      <c r="A5607" s="35" t="s">
        <v>41057</v>
      </c>
    </row>
    <row r="5608" spans="1:1">
      <c r="A5608" s="35" t="s">
        <v>41057</v>
      </c>
    </row>
    <row r="5609" spans="1:1">
      <c r="A5609" s="35" t="s">
        <v>41057</v>
      </c>
    </row>
    <row r="5610" spans="1:1">
      <c r="A5610" s="35" t="s">
        <v>54731</v>
      </c>
    </row>
    <row r="5611" spans="1:1">
      <c r="A5611" s="35" t="s">
        <v>41057</v>
      </c>
    </row>
    <row r="5612" spans="1:1">
      <c r="A5612" s="35" t="s">
        <v>41057</v>
      </c>
    </row>
    <row r="5613" spans="1:1">
      <c r="A5613" s="35" t="s">
        <v>41057</v>
      </c>
    </row>
    <row r="5614" spans="1:1">
      <c r="A5614" s="35" t="s">
        <v>41057</v>
      </c>
    </row>
    <row r="5615" spans="1:1">
      <c r="A5615" s="35" t="s">
        <v>41057</v>
      </c>
    </row>
    <row r="5616" spans="1:1">
      <c r="A5616" s="35" t="s">
        <v>41057</v>
      </c>
    </row>
    <row r="5617" spans="1:1">
      <c r="A5617" s="35" t="e" cm="1">
        <f t="array" ref="A5617">---------------------------------------------HVEFAWVRNI---GH</f>
        <v>#NAME?</v>
      </c>
    </row>
    <row r="5618" spans="1:1">
      <c r="A5618" s="35" t="s">
        <v>54732</v>
      </c>
    </row>
    <row r="5619" spans="1:1">
      <c r="A5619" s="35" t="e" cm="1">
        <f t="array" ref="A5619">---------------GDWLQIWQDVSS---------SKDH------------------EK</f>
        <v>#NAME?</v>
      </c>
    </row>
    <row r="5620" spans="1:1">
      <c r="A5620" s="35" t="s">
        <v>54733</v>
      </c>
    </row>
    <row r="5621" spans="1:1">
      <c r="A5621" s="35" t="e" cm="1">
        <f t="array" ref="A5621">---------SWDVPD--------------------------------------------N</f>
        <v>#NAME?</v>
      </c>
    </row>
    <row r="5622" spans="1:1">
      <c r="A5622" s="35" t="s">
        <v>54734</v>
      </c>
    </row>
    <row r="5623" spans="1:1">
      <c r="A5623" s="35" t="s">
        <v>54735</v>
      </c>
    </row>
    <row r="5624" spans="1:1">
      <c r="A5624" s="35" t="s">
        <v>41057</v>
      </c>
    </row>
    <row r="5625" spans="1:1">
      <c r="A5625" s="35" t="s">
        <v>53997</v>
      </c>
    </row>
    <row r="5626" spans="1:1">
      <c r="A5626" s="35" t="s">
        <v>54736</v>
      </c>
    </row>
    <row r="5627" spans="1:1">
      <c r="A5627" s="35" t="s">
        <v>54737</v>
      </c>
    </row>
    <row r="5628" spans="1:1">
      <c r="A5628" s="35" t="s">
        <v>41057</v>
      </c>
    </row>
    <row r="5629" spans="1:1">
      <c r="A5629" s="35" t="s">
        <v>41057</v>
      </c>
    </row>
    <row r="5630" spans="1:1">
      <c r="A5630" s="35" t="s">
        <v>41057</v>
      </c>
    </row>
    <row r="5631" spans="1:1">
      <c r="A5631" s="35" t="s">
        <v>54738</v>
      </c>
    </row>
    <row r="5632" spans="1:1">
      <c r="A5632" s="35" t="s">
        <v>41057</v>
      </c>
    </row>
    <row r="5633" spans="1:1">
      <c r="A5633" s="35" t="s">
        <v>41057</v>
      </c>
    </row>
    <row r="5634" spans="1:1">
      <c r="A5634" s="35" t="s">
        <v>54739</v>
      </c>
    </row>
    <row r="5635" spans="1:1">
      <c r="A5635" s="35" t="s">
        <v>53690</v>
      </c>
    </row>
    <row r="5636" spans="1:1">
      <c r="A5636" s="35" t="s">
        <v>54740</v>
      </c>
    </row>
    <row r="5637" spans="1:1">
      <c r="A5637" s="35" t="s">
        <v>54236</v>
      </c>
    </row>
    <row r="5638" spans="1:1">
      <c r="A5638" s="35" t="e" cm="1">
        <f t="array" ref="A5638">----------------------------------------------------------FT</f>
        <v>#NAME?</v>
      </c>
    </row>
    <row r="5639" spans="1:1">
      <c r="A5639" s="35" t="s">
        <v>54741</v>
      </c>
    </row>
    <row r="5640" spans="1:1">
      <c r="A5640" s="35" t="s">
        <v>54742</v>
      </c>
    </row>
    <row r="5641" spans="1:1">
      <c r="A5641" s="35" t="s">
        <v>54369</v>
      </c>
    </row>
    <row r="5642" spans="1:1">
      <c r="A5642" s="35" t="s">
        <v>41057</v>
      </c>
    </row>
    <row r="5643" spans="1:1">
      <c r="A5643" s="35" t="s">
        <v>54743</v>
      </c>
    </row>
    <row r="5644" spans="1:1">
      <c r="A5644" s="35" t="s">
        <v>41057</v>
      </c>
    </row>
    <row r="5645" spans="1:1">
      <c r="A5645" s="35" t="s">
        <v>54744</v>
      </c>
    </row>
    <row r="5646" spans="1:1">
      <c r="A5646" s="35" t="s">
        <v>41057</v>
      </c>
    </row>
    <row r="5647" spans="1:1">
      <c r="A5647" s="35" t="s">
        <v>54745</v>
      </c>
    </row>
    <row r="5648" spans="1:1">
      <c r="A5648" s="35" t="s">
        <v>54746</v>
      </c>
    </row>
    <row r="5649" spans="1:1">
      <c r="A5649" s="35" t="e" cm="1">
        <f t="array" ref="A5649">----LLLLAQYDLDD-------------------------WGYFQ-EPGGYECEGNDGRS</f>
        <v>#NAME?</v>
      </c>
    </row>
    <row r="5650" spans="1:1">
      <c r="A5650" s="35" t="s">
        <v>54747</v>
      </c>
    </row>
    <row r="5651" spans="1:1">
      <c r="A5651" s="35" t="s">
        <v>54748</v>
      </c>
    </row>
    <row r="5652" spans="1:1">
      <c r="A5652" s="35" t="s">
        <v>54749</v>
      </c>
    </row>
    <row r="5653" spans="1:1">
      <c r="A5653" s="35" t="s">
        <v>54750</v>
      </c>
    </row>
    <row r="5654" spans="1:1">
      <c r="A5654" s="35" t="s">
        <v>54751</v>
      </c>
    </row>
    <row r="5655" spans="1:1">
      <c r="A5655" s="35" t="s">
        <v>54752</v>
      </c>
    </row>
    <row r="5656" spans="1:1">
      <c r="A5656" s="35" t="s">
        <v>54753</v>
      </c>
    </row>
    <row r="5657" spans="1:1">
      <c r="A5657" s="35" t="s">
        <v>54754</v>
      </c>
    </row>
    <row r="5658" spans="1:1">
      <c r="A5658" s="35" t="s">
        <v>54755</v>
      </c>
    </row>
    <row r="5659" spans="1:1">
      <c r="A5659" s="35" t="s">
        <v>41057</v>
      </c>
    </row>
    <row r="5660" spans="1:1">
      <c r="A5660" s="35" t="s">
        <v>54756</v>
      </c>
    </row>
    <row r="5661" spans="1:1">
      <c r="A5661" s="35" t="s">
        <v>54757</v>
      </c>
    </row>
    <row r="5662" spans="1:1">
      <c r="A5662" s="35" t="s">
        <v>54384</v>
      </c>
    </row>
    <row r="5663" spans="1:1">
      <c r="A5663" s="35" t="s">
        <v>41057</v>
      </c>
    </row>
    <row r="5664" spans="1:1">
      <c r="A5664" s="35" t="s">
        <v>53545</v>
      </c>
    </row>
    <row r="5665" spans="1:1">
      <c r="A5665" s="35" t="s">
        <v>54759</v>
      </c>
    </row>
    <row r="5666" spans="1:1">
      <c r="A5666" s="35" t="s">
        <v>41057</v>
      </c>
    </row>
    <row r="5667" spans="1:1">
      <c r="A5667" s="35" t="s">
        <v>41057</v>
      </c>
    </row>
    <row r="5668" spans="1:1">
      <c r="A5668" s="35" t="s">
        <v>54760</v>
      </c>
    </row>
    <row r="5669" spans="1:1">
      <c r="A5669" s="35" t="s">
        <v>54761</v>
      </c>
    </row>
    <row r="5670" spans="1:1">
      <c r="A5670" s="35" t="s">
        <v>54762</v>
      </c>
    </row>
    <row r="5671" spans="1:1">
      <c r="A5671" s="35" t="s">
        <v>54343</v>
      </c>
    </row>
    <row r="5672" spans="1:1">
      <c r="A5672" s="35" t="s">
        <v>41057</v>
      </c>
    </row>
    <row r="5673" spans="1:1">
      <c r="A5673" s="35" t="s">
        <v>41057</v>
      </c>
    </row>
    <row r="5674" spans="1:1">
      <c r="A5674" s="35" t="s">
        <v>41057</v>
      </c>
    </row>
    <row r="5675" spans="1:1">
      <c r="A5675" s="35" t="s">
        <v>54097</v>
      </c>
    </row>
    <row r="5676" spans="1:1">
      <c r="A5676" s="35" t="s">
        <v>54763</v>
      </c>
    </row>
    <row r="5677" spans="1:1">
      <c r="A5677" s="35" t="s">
        <v>54764</v>
      </c>
    </row>
    <row r="5678" spans="1:1">
      <c r="A5678" s="35" t="s">
        <v>54100</v>
      </c>
    </row>
    <row r="5679" spans="1:1">
      <c r="A5679" s="35" t="s">
        <v>41057</v>
      </c>
    </row>
    <row r="5680" spans="1:1">
      <c r="A5680" s="35" t="s">
        <v>41057</v>
      </c>
    </row>
    <row r="5681" spans="1:1">
      <c r="A5681" s="35" t="e" cm="1">
        <f t="array" ref="A5681">---------------QITF------------------FIA-------------------V</f>
        <v>#NAME?</v>
      </c>
    </row>
    <row r="5682" spans="1:1">
      <c r="A5682" s="35" t="s">
        <v>54101</v>
      </c>
    </row>
    <row r="5683" spans="1:1">
      <c r="A5683" s="35" t="s">
        <v>54619</v>
      </c>
    </row>
    <row r="5684" spans="1:1">
      <c r="A5684" s="35" t="s">
        <v>41057</v>
      </c>
    </row>
    <row r="5685" spans="1:1">
      <c r="A5685" s="35" t="s">
        <v>54765</v>
      </c>
    </row>
    <row r="5686" spans="1:1">
      <c r="A5686" s="35" t="s">
        <v>41057</v>
      </c>
    </row>
    <row r="5687" spans="1:1">
      <c r="A5687" s="35" t="s">
        <v>41057</v>
      </c>
    </row>
    <row r="5688" spans="1:1">
      <c r="A5688" s="35" t="s">
        <v>54766</v>
      </c>
    </row>
    <row r="5689" spans="1:1">
      <c r="A5689" s="35" t="s">
        <v>41057</v>
      </c>
    </row>
    <row r="5690" spans="1:1">
      <c r="A5690" s="35" t="s">
        <v>41057</v>
      </c>
    </row>
    <row r="5691" spans="1:1">
      <c r="A5691" s="35" t="s">
        <v>53500</v>
      </c>
    </row>
    <row r="5692" spans="1:1">
      <c r="A5692" s="35" t="s">
        <v>41057</v>
      </c>
    </row>
    <row r="5693" spans="1:1">
      <c r="A5693" s="35" t="s">
        <v>41057</v>
      </c>
    </row>
    <row r="5694" spans="1:1">
      <c r="A5694" s="35" t="s">
        <v>54767</v>
      </c>
    </row>
    <row r="5695" spans="1:1">
      <c r="A5695" s="35" t="s">
        <v>41057</v>
      </c>
    </row>
    <row r="5696" spans="1:1">
      <c r="A5696" s="35" t="s">
        <v>54768</v>
      </c>
    </row>
    <row r="5697" spans="1:1">
      <c r="A5697" s="35" t="s">
        <v>41057</v>
      </c>
    </row>
    <row r="5698" spans="1:1">
      <c r="A5698" s="35" t="s">
        <v>54769</v>
      </c>
    </row>
    <row r="5699" spans="1:1">
      <c r="A5699" s="35" t="s">
        <v>54770</v>
      </c>
    </row>
    <row r="5700" spans="1:1">
      <c r="A5700" s="35" t="s">
        <v>41057</v>
      </c>
    </row>
    <row r="5701" spans="1:1">
      <c r="A5701" s="35" t="s">
        <v>41057</v>
      </c>
    </row>
    <row r="5702" spans="1:1">
      <c r="A5702" s="35" t="s">
        <v>54771</v>
      </c>
    </row>
    <row r="5703" spans="1:1">
      <c r="A5703" s="35" t="s">
        <v>41057</v>
      </c>
    </row>
    <row r="5704" spans="1:1">
      <c r="A5704" s="35" t="s">
        <v>41057</v>
      </c>
    </row>
    <row r="5705" spans="1:1">
      <c r="A5705" s="35" t="s">
        <v>41057</v>
      </c>
    </row>
    <row r="5706" spans="1:1">
      <c r="A5706" s="35" t="s">
        <v>41057</v>
      </c>
    </row>
    <row r="5707" spans="1:1">
      <c r="A5707" s="35" t="s">
        <v>41057</v>
      </c>
    </row>
    <row r="5708" spans="1:1">
      <c r="A5708" s="35" t="s">
        <v>53830</v>
      </c>
    </row>
    <row r="5709" spans="1:1">
      <c r="A5709" s="35" t="s">
        <v>41057</v>
      </c>
    </row>
    <row r="5710" spans="1:1">
      <c r="A5710" s="35" t="s">
        <v>41057</v>
      </c>
    </row>
    <row r="5711" spans="1:1">
      <c r="A5711" s="35" t="s">
        <v>54772</v>
      </c>
    </row>
    <row r="5712" spans="1:1">
      <c r="A5712" s="35" t="s">
        <v>41057</v>
      </c>
    </row>
    <row r="5713" spans="1:1">
      <c r="A5713" s="35" t="s">
        <v>41057</v>
      </c>
    </row>
    <row r="5714" spans="1:1">
      <c r="A5714" s="35" t="s">
        <v>41057</v>
      </c>
    </row>
    <row r="5715" spans="1:1">
      <c r="A5715" s="35" t="s">
        <v>41057</v>
      </c>
    </row>
    <row r="5716" spans="1:1">
      <c r="A5716" s="35" t="s">
        <v>41057</v>
      </c>
    </row>
    <row r="5717" spans="1:1">
      <c r="A5717" s="35" t="s">
        <v>41057</v>
      </c>
    </row>
    <row r="5718" spans="1:1">
      <c r="A5718" s="35" t="s">
        <v>41057</v>
      </c>
    </row>
    <row r="5719" spans="1:1">
      <c r="A5719" s="35" t="s">
        <v>41057</v>
      </c>
    </row>
    <row r="5720" spans="1:1">
      <c r="A5720" s="35" t="s">
        <v>41057</v>
      </c>
    </row>
    <row r="5721" spans="1:1">
      <c r="A5721" s="35" t="s">
        <v>41057</v>
      </c>
    </row>
    <row r="5722" spans="1:1">
      <c r="A5722" s="35" t="s">
        <v>41057</v>
      </c>
    </row>
    <row r="5723" spans="1:1">
      <c r="A5723" s="35" t="s">
        <v>41057</v>
      </c>
    </row>
    <row r="5724" spans="1:1">
      <c r="A5724" s="35" t="s">
        <v>54773</v>
      </c>
    </row>
    <row r="5725" spans="1:1">
      <c r="A5725" s="35" t="s">
        <v>41057</v>
      </c>
    </row>
    <row r="5726" spans="1:1">
      <c r="A5726" s="35" t="s">
        <v>41057</v>
      </c>
    </row>
    <row r="5727" spans="1:1">
      <c r="A5727" s="35" t="s">
        <v>41057</v>
      </c>
    </row>
    <row r="5728" spans="1:1">
      <c r="A5728" s="35" t="s">
        <v>41057</v>
      </c>
    </row>
    <row r="5729" spans="1:1">
      <c r="A5729" s="35" t="s">
        <v>41057</v>
      </c>
    </row>
    <row r="5730" spans="1:1">
      <c r="A5730" s="35" t="s">
        <v>41057</v>
      </c>
    </row>
    <row r="5731" spans="1:1">
      <c r="A5731" s="35" t="s">
        <v>41057</v>
      </c>
    </row>
    <row r="5732" spans="1:1">
      <c r="A5732" s="35" t="s">
        <v>41057</v>
      </c>
    </row>
    <row r="5733" spans="1:1">
      <c r="A5733" s="35" t="s">
        <v>41057</v>
      </c>
    </row>
    <row r="5734" spans="1:1">
      <c r="A5734" s="35" t="s">
        <v>41057</v>
      </c>
    </row>
    <row r="5735" spans="1:1">
      <c r="A5735" s="35" t="e" cm="1">
        <f t="array" ref="A5735">---------------------------------------------DYTVSWVNAI---GH</f>
        <v>#NAME?</v>
      </c>
    </row>
    <row r="5736" spans="1:1">
      <c r="A5736" s="35" t="s">
        <v>54774</v>
      </c>
    </row>
    <row r="5737" spans="1:1">
      <c r="A5737" s="35" t="e" cm="1">
        <f t="array" ref="A5737">---------------GQWMEIWSELTL---------TSEK------------------EY</f>
        <v>#NAME?</v>
      </c>
    </row>
    <row r="5738" spans="1:1">
      <c r="A5738" s="35" t="s">
        <v>54775</v>
      </c>
    </row>
    <row r="5739" spans="1:1">
      <c r="A5739" s="35" t="e" cm="1">
        <f t="array" ref="A5739">-----------------------------------------------------------N</f>
        <v>#NAME?</v>
      </c>
    </row>
    <row r="5740" spans="1:1">
      <c r="A5740" s="35" t="s">
        <v>54776</v>
      </c>
    </row>
    <row r="5741" spans="1:1">
      <c r="A5741" s="35" t="s">
        <v>54777</v>
      </c>
    </row>
    <row r="5742" spans="1:1">
      <c r="A5742" s="35" t="s">
        <v>41057</v>
      </c>
    </row>
    <row r="5743" spans="1:1">
      <c r="A5743" s="35" t="s">
        <v>53997</v>
      </c>
    </row>
    <row r="5744" spans="1:1">
      <c r="A5744" s="35" t="s">
        <v>54778</v>
      </c>
    </row>
    <row r="5745" spans="1:1">
      <c r="A5745" s="35" t="s">
        <v>54779</v>
      </c>
    </row>
    <row r="5746" spans="1:1">
      <c r="A5746" s="35" t="s">
        <v>41057</v>
      </c>
    </row>
    <row r="5747" spans="1:1">
      <c r="A5747" s="35" t="s">
        <v>41057</v>
      </c>
    </row>
    <row r="5748" spans="1:1">
      <c r="A5748" s="35" t="s">
        <v>41057</v>
      </c>
    </row>
    <row r="5749" spans="1:1">
      <c r="A5749" s="35" t="s">
        <v>54780</v>
      </c>
    </row>
    <row r="5750" spans="1:1">
      <c r="A5750" s="35" t="s">
        <v>41057</v>
      </c>
    </row>
    <row r="5751" spans="1:1">
      <c r="A5751" s="35" t="s">
        <v>41057</v>
      </c>
    </row>
    <row r="5752" spans="1:1">
      <c r="A5752" s="35" t="s">
        <v>54781</v>
      </c>
    </row>
    <row r="5753" spans="1:1">
      <c r="A5753" s="35" t="s">
        <v>54782</v>
      </c>
    </row>
    <row r="5754" spans="1:1">
      <c r="A5754" s="35" t="s">
        <v>54783</v>
      </c>
    </row>
    <row r="5755" spans="1:1">
      <c r="A5755" s="35" t="s">
        <v>54236</v>
      </c>
    </row>
    <row r="5756" spans="1:1">
      <c r="A5756" s="35" t="e" cm="1">
        <f t="array" ref="A5756">----------------------------------------------------------VN</f>
        <v>#NAME?</v>
      </c>
    </row>
    <row r="5757" spans="1:1">
      <c r="A5757" s="35" t="s">
        <v>54784</v>
      </c>
    </row>
    <row r="5758" spans="1:1">
      <c r="A5758" s="35" t="s">
        <v>54785</v>
      </c>
    </row>
    <row r="5759" spans="1:1">
      <c r="A5759" s="35" t="s">
        <v>54786</v>
      </c>
    </row>
    <row r="5760" spans="1:1">
      <c r="A5760" s="35" t="s">
        <v>41057</v>
      </c>
    </row>
    <row r="5761" spans="1:1">
      <c r="A5761" s="35" t="s">
        <v>54787</v>
      </c>
    </row>
    <row r="5762" spans="1:1">
      <c r="A5762" s="35" t="s">
        <v>41057</v>
      </c>
    </row>
    <row r="5763" spans="1:1">
      <c r="A5763" s="35" t="s">
        <v>54788</v>
      </c>
    </row>
    <row r="5764" spans="1:1">
      <c r="A5764" s="35" t="s">
        <v>41057</v>
      </c>
    </row>
    <row r="5765" spans="1:1">
      <c r="A5765" s="35" t="s">
        <v>54789</v>
      </c>
    </row>
    <row r="5766" spans="1:1">
      <c r="A5766" s="35" t="s">
        <v>54790</v>
      </c>
    </row>
    <row r="5767" spans="1:1">
      <c r="A5767" s="35" t="s">
        <v>41057</v>
      </c>
    </row>
    <row r="5768" spans="1:1">
      <c r="A5768" s="35" t="s">
        <v>41057</v>
      </c>
    </row>
    <row r="5769" spans="1:1">
      <c r="A5769" s="35" t="s">
        <v>54791</v>
      </c>
    </row>
    <row r="5770" spans="1:1">
      <c r="A5770" s="35" t="e" cm="1">
        <f t="array" ref="A5770">----------------------------------------------------PGDTIDDA</f>
        <v>#NAME?</v>
      </c>
    </row>
    <row r="5771" spans="1:1">
      <c r="A5771" s="35" t="s">
        <v>54792</v>
      </c>
    </row>
    <row r="5772" spans="1:1">
      <c r="A5772" s="35" t="s">
        <v>54793</v>
      </c>
    </row>
    <row r="5773" spans="1:1">
      <c r="A5773" s="35" t="s">
        <v>54794</v>
      </c>
    </row>
    <row r="5774" spans="1:1">
      <c r="A5774" s="35" t="s">
        <v>54795</v>
      </c>
    </row>
    <row r="5775" spans="1:1">
      <c r="A5775" s="35" t="s">
        <v>54796</v>
      </c>
    </row>
    <row r="5776" spans="1:1">
      <c r="A5776" s="35" t="s">
        <v>54797</v>
      </c>
    </row>
    <row r="5777" spans="1:1">
      <c r="A5777" s="35" t="s">
        <v>41057</v>
      </c>
    </row>
    <row r="5778" spans="1:1">
      <c r="A5778" s="35" t="s">
        <v>54798</v>
      </c>
    </row>
    <row r="5779" spans="1:1">
      <c r="A5779" s="35" t="s">
        <v>54799</v>
      </c>
    </row>
    <row r="5780" spans="1:1">
      <c r="A5780" s="35" t="s">
        <v>54800</v>
      </c>
    </row>
    <row r="5781" spans="1:1">
      <c r="A5781" s="35" t="s">
        <v>41057</v>
      </c>
    </row>
    <row r="5782" spans="1:1">
      <c r="A5782" s="35" t="s">
        <v>53545</v>
      </c>
    </row>
    <row r="5783" spans="1:1">
      <c r="A5783" s="35" t="s">
        <v>54801</v>
      </c>
    </row>
    <row r="5784" spans="1:1">
      <c r="A5784" s="35" t="s">
        <v>41057</v>
      </c>
    </row>
    <row r="5785" spans="1:1">
      <c r="A5785" s="35" t="s">
        <v>41057</v>
      </c>
    </row>
    <row r="5786" spans="1:1">
      <c r="A5786" s="35" t="s">
        <v>41057</v>
      </c>
    </row>
    <row r="5787" spans="1:1">
      <c r="A5787" s="35" t="s">
        <v>41057</v>
      </c>
    </row>
    <row r="5788" spans="1:1">
      <c r="A5788" s="35" t="s">
        <v>41057</v>
      </c>
    </row>
    <row r="5789" spans="1:1">
      <c r="A5789" s="35" t="s">
        <v>41057</v>
      </c>
    </row>
    <row r="5790" spans="1:1">
      <c r="A5790" s="35" t="s">
        <v>41057</v>
      </c>
    </row>
    <row r="5791" spans="1:1">
      <c r="A5791" s="35" t="s">
        <v>41057</v>
      </c>
    </row>
    <row r="5792" spans="1:1">
      <c r="A5792" s="35" t="s">
        <v>41057</v>
      </c>
    </row>
    <row r="5793" spans="1:1">
      <c r="A5793" s="35" t="s">
        <v>41057</v>
      </c>
    </row>
    <row r="5794" spans="1:1">
      <c r="A5794" s="35" t="s">
        <v>41057</v>
      </c>
    </row>
    <row r="5795" spans="1:1">
      <c r="A5795" s="35" t="s">
        <v>41057</v>
      </c>
    </row>
    <row r="5796" spans="1:1">
      <c r="A5796" s="35" t="s">
        <v>41057</v>
      </c>
    </row>
    <row r="5797" spans="1:1">
      <c r="A5797" s="35" t="s">
        <v>41057</v>
      </c>
    </row>
    <row r="5798" spans="1:1">
      <c r="A5798" s="35" t="s">
        <v>41057</v>
      </c>
    </row>
    <row r="5799" spans="1:1">
      <c r="A5799" s="35" t="s">
        <v>41057</v>
      </c>
    </row>
    <row r="5800" spans="1:1">
      <c r="A5800" s="35" t="s">
        <v>41057</v>
      </c>
    </row>
    <row r="5801" spans="1:1">
      <c r="A5801" s="35" t="s">
        <v>41057</v>
      </c>
    </row>
    <row r="5802" spans="1:1">
      <c r="A5802" s="35" t="s">
        <v>41057</v>
      </c>
    </row>
    <row r="5803" spans="1:1">
      <c r="A5803" s="35" t="s">
        <v>41057</v>
      </c>
    </row>
    <row r="5804" spans="1:1">
      <c r="A5804" s="35" t="s">
        <v>41057</v>
      </c>
    </row>
    <row r="5805" spans="1:1">
      <c r="A5805" s="35" t="s">
        <v>41057</v>
      </c>
    </row>
    <row r="5806" spans="1:1">
      <c r="A5806" s="35" t="s">
        <v>41057</v>
      </c>
    </row>
    <row r="5807" spans="1:1">
      <c r="A5807" s="35" t="s">
        <v>41057</v>
      </c>
    </row>
    <row r="5808" spans="1:1">
      <c r="A5808" s="35" t="s">
        <v>41057</v>
      </c>
    </row>
    <row r="5809" spans="1:1">
      <c r="A5809" s="35" t="s">
        <v>41057</v>
      </c>
    </row>
    <row r="5810" spans="1:1">
      <c r="A5810" s="35" t="s">
        <v>41057</v>
      </c>
    </row>
    <row r="5811" spans="1:1">
      <c r="A5811" s="35" t="s">
        <v>41057</v>
      </c>
    </row>
    <row r="5812" spans="1:1">
      <c r="A5812" s="35" t="s">
        <v>41057</v>
      </c>
    </row>
    <row r="5813" spans="1:1">
      <c r="A5813" s="35" t="s">
        <v>41057</v>
      </c>
    </row>
    <row r="5814" spans="1:1">
      <c r="A5814" s="35" t="s">
        <v>54802</v>
      </c>
    </row>
    <row r="5815" spans="1:1">
      <c r="A5815" s="35" t="s">
        <v>41057</v>
      </c>
    </row>
    <row r="5816" spans="1:1">
      <c r="A5816" s="35" t="s">
        <v>54803</v>
      </c>
    </row>
    <row r="5817" spans="1:1">
      <c r="A5817" s="35" t="s">
        <v>41057</v>
      </c>
    </row>
    <row r="5818" spans="1:1">
      <c r="A5818" s="35" t="s">
        <v>41057</v>
      </c>
    </row>
    <row r="5819" spans="1:1">
      <c r="A5819" s="35" t="s">
        <v>41057</v>
      </c>
    </row>
    <row r="5820" spans="1:1">
      <c r="A5820" s="35" t="s">
        <v>41057</v>
      </c>
    </row>
    <row r="5821" spans="1:1">
      <c r="A5821" s="35" t="s">
        <v>41057</v>
      </c>
    </row>
    <row r="5822" spans="1:1">
      <c r="A5822" s="35" t="s">
        <v>41057</v>
      </c>
    </row>
    <row r="5823" spans="1:1">
      <c r="A5823" s="35" t="s">
        <v>41057</v>
      </c>
    </row>
    <row r="5824" spans="1:1">
      <c r="A5824" s="35" t="s">
        <v>41057</v>
      </c>
    </row>
    <row r="5825" spans="1:1">
      <c r="A5825" s="35" t="s">
        <v>41057</v>
      </c>
    </row>
    <row r="5826" spans="1:1">
      <c r="A5826" s="35" t="s">
        <v>41057</v>
      </c>
    </row>
    <row r="5827" spans="1:1">
      <c r="A5827" s="35" t="s">
        <v>41057</v>
      </c>
    </row>
    <row r="5828" spans="1:1">
      <c r="A5828" s="35" t="s">
        <v>41057</v>
      </c>
    </row>
    <row r="5829" spans="1:1">
      <c r="A5829" s="35" t="s">
        <v>41057</v>
      </c>
    </row>
    <row r="5830" spans="1:1">
      <c r="A5830" s="35" t="s">
        <v>41057</v>
      </c>
    </row>
    <row r="5831" spans="1:1">
      <c r="A5831" s="35" t="s">
        <v>41057</v>
      </c>
    </row>
    <row r="5832" spans="1:1">
      <c r="A5832" s="35" t="s">
        <v>41057</v>
      </c>
    </row>
    <row r="5833" spans="1:1">
      <c r="A5833" s="35" t="s">
        <v>41057</v>
      </c>
    </row>
    <row r="5834" spans="1:1">
      <c r="A5834" s="35" t="s">
        <v>41057</v>
      </c>
    </row>
    <row r="5835" spans="1:1">
      <c r="A5835" s="35" t="s">
        <v>41057</v>
      </c>
    </row>
    <row r="5836" spans="1:1">
      <c r="A5836" s="35" t="s">
        <v>41057</v>
      </c>
    </row>
    <row r="5837" spans="1:1">
      <c r="A5837" s="35" t="s">
        <v>41057</v>
      </c>
    </row>
    <row r="5838" spans="1:1">
      <c r="A5838" s="35" t="s">
        <v>41057</v>
      </c>
    </row>
    <row r="5839" spans="1:1">
      <c r="A5839" s="35" t="s">
        <v>41057</v>
      </c>
    </row>
    <row r="5840" spans="1:1">
      <c r="A5840" s="35" t="s">
        <v>41057</v>
      </c>
    </row>
    <row r="5841" spans="1:1">
      <c r="A5841" s="35" t="s">
        <v>41057</v>
      </c>
    </row>
    <row r="5842" spans="1:1">
      <c r="A5842" s="35" t="s">
        <v>54804</v>
      </c>
    </row>
    <row r="5843" spans="1:1">
      <c r="A5843" s="35" t="s">
        <v>41057</v>
      </c>
    </row>
    <row r="5844" spans="1:1">
      <c r="A5844" s="35" t="s">
        <v>41057</v>
      </c>
    </row>
    <row r="5845" spans="1:1">
      <c r="A5845" s="35" t="s">
        <v>41057</v>
      </c>
    </row>
    <row r="5846" spans="1:1">
      <c r="A5846" s="35" t="s">
        <v>41057</v>
      </c>
    </row>
    <row r="5847" spans="1:1">
      <c r="A5847" s="35" t="s">
        <v>41057</v>
      </c>
    </row>
    <row r="5848" spans="1:1">
      <c r="A5848" s="35" t="s">
        <v>41057</v>
      </c>
    </row>
    <row r="5849" spans="1:1">
      <c r="A5849" s="35" t="s">
        <v>41057</v>
      </c>
    </row>
    <row r="5850" spans="1:1">
      <c r="A5850" s="35" t="s">
        <v>41057</v>
      </c>
    </row>
    <row r="5851" spans="1:1">
      <c r="A5851" s="35" t="s">
        <v>41057</v>
      </c>
    </row>
    <row r="5852" spans="1:1">
      <c r="A5852" s="35" t="s">
        <v>41057</v>
      </c>
    </row>
    <row r="5853" spans="1:1">
      <c r="A5853" s="35" t="s">
        <v>41057</v>
      </c>
    </row>
    <row r="5854" spans="1:1">
      <c r="A5854" s="35" t="s">
        <v>41057</v>
      </c>
    </row>
    <row r="5855" spans="1:1">
      <c r="A5855" s="35" t="s">
        <v>41057</v>
      </c>
    </row>
    <row r="5856" spans="1:1">
      <c r="A5856" s="35" t="s">
        <v>41057</v>
      </c>
    </row>
    <row r="5857" spans="1:1">
      <c r="A5857" s="35" t="s">
        <v>41057</v>
      </c>
    </row>
    <row r="5858" spans="1:1">
      <c r="A5858" s="35" t="s">
        <v>41057</v>
      </c>
    </row>
    <row r="5859" spans="1:1">
      <c r="A5859" s="35" t="s">
        <v>41057</v>
      </c>
    </row>
    <row r="5860" spans="1:1">
      <c r="A5860" s="35" t="s">
        <v>41057</v>
      </c>
    </row>
    <row r="5861" spans="1:1">
      <c r="A5861" s="35" t="s">
        <v>54805</v>
      </c>
    </row>
    <row r="5862" spans="1:1">
      <c r="A5862" s="35" t="s">
        <v>54806</v>
      </c>
    </row>
    <row r="5863" spans="1:1">
      <c r="A5863" s="35" t="s">
        <v>54807</v>
      </c>
    </row>
    <row r="5864" spans="1:1">
      <c r="A5864" s="35" t="s">
        <v>41057</v>
      </c>
    </row>
    <row r="5865" spans="1:1">
      <c r="A5865" s="35" t="s">
        <v>41057</v>
      </c>
    </row>
    <row r="5866" spans="1:1">
      <c r="A5866" s="35" t="s">
        <v>41057</v>
      </c>
    </row>
    <row r="5867" spans="1:1">
      <c r="A5867" s="35" t="s">
        <v>54808</v>
      </c>
    </row>
    <row r="5868" spans="1:1">
      <c r="A5868" s="35" t="s">
        <v>41057</v>
      </c>
    </row>
    <row r="5869" spans="1:1">
      <c r="A5869" s="35" t="s">
        <v>41057</v>
      </c>
    </row>
    <row r="5870" spans="1:1">
      <c r="A5870" s="35" t="s">
        <v>54809</v>
      </c>
    </row>
    <row r="5871" spans="1:1">
      <c r="A5871" s="35" t="s">
        <v>54456</v>
      </c>
    </row>
    <row r="5872" spans="1:1">
      <c r="A5872" s="35" t="s">
        <v>54810</v>
      </c>
    </row>
    <row r="5873" spans="1:1">
      <c r="A5873" s="35" t="s">
        <v>54236</v>
      </c>
    </row>
    <row r="5874" spans="1:1">
      <c r="A5874" s="35" t="e" cm="1">
        <f t="array" ref="A5874">----------------------------------------------------------FN</f>
        <v>#NAME?</v>
      </c>
    </row>
    <row r="5875" spans="1:1">
      <c r="A5875" s="35" t="s">
        <v>54811</v>
      </c>
    </row>
    <row r="5876" spans="1:1">
      <c r="A5876" s="35" t="s">
        <v>54812</v>
      </c>
    </row>
    <row r="5877" spans="1:1">
      <c r="A5877" s="35" t="s">
        <v>54494</v>
      </c>
    </row>
    <row r="5878" spans="1:1">
      <c r="A5878" s="35" t="s">
        <v>41057</v>
      </c>
    </row>
    <row r="5879" spans="1:1">
      <c r="A5879" s="35" t="s">
        <v>54813</v>
      </c>
    </row>
    <row r="5880" spans="1:1">
      <c r="A5880" s="35" t="s">
        <v>41057</v>
      </c>
    </row>
    <row r="5881" spans="1:1">
      <c r="A5881" s="35" t="s">
        <v>54814</v>
      </c>
    </row>
    <row r="5882" spans="1:1">
      <c r="A5882" s="35" t="s">
        <v>41057</v>
      </c>
    </row>
    <row r="5883" spans="1:1">
      <c r="A5883" s="35" t="s">
        <v>54463</v>
      </c>
    </row>
    <row r="5884" spans="1:1">
      <c r="A5884" s="35" t="s">
        <v>54464</v>
      </c>
    </row>
    <row r="5885" spans="1:1">
      <c r="A5885" s="35" t="e" cm="1">
        <f t="array" ref="A5885">----------YDNDSG---------------------------LE-------ITPNGLGA</f>
        <v>#NAME?</v>
      </c>
    </row>
    <row r="5886" spans="1:1">
      <c r="A5886" s="35" t="s">
        <v>54815</v>
      </c>
    </row>
    <row r="5887" spans="1:1">
      <c r="A5887" s="35" t="e" cm="1">
        <f t="array" ref="A5887">--------------------------------------------GNGFNFPDGFGPGADG</f>
        <v>#NAME?</v>
      </c>
    </row>
    <row r="5888" spans="1:1">
      <c r="A5888" s="35" t="s">
        <v>54816</v>
      </c>
    </row>
    <row r="5889" spans="1:1">
      <c r="A5889" s="35" t="s">
        <v>54468</v>
      </c>
    </row>
    <row r="5890" spans="1:1">
      <c r="A5890" s="35" t="s">
        <v>54817</v>
      </c>
    </row>
    <row r="5891" spans="1:1">
      <c r="A5891" s="35" t="s">
        <v>54470</v>
      </c>
    </row>
    <row r="5892" spans="1:1">
      <c r="A5892" s="35" t="s">
        <v>54818</v>
      </c>
    </row>
    <row r="5893" spans="1:1">
      <c r="A5893" s="35" t="s">
        <v>54472</v>
      </c>
    </row>
    <row r="5894" spans="1:1">
      <c r="A5894" s="35" t="s">
        <v>54819</v>
      </c>
    </row>
    <row r="5895" spans="1:1">
      <c r="A5895" s="35" t="s">
        <v>41057</v>
      </c>
    </row>
    <row r="5896" spans="1:1">
      <c r="A5896" s="35" t="s">
        <v>54820</v>
      </c>
    </row>
    <row r="5897" spans="1:1">
      <c r="A5897" s="35" t="s">
        <v>54821</v>
      </c>
    </row>
    <row r="5898" spans="1:1">
      <c r="A5898" s="35" t="s">
        <v>54822</v>
      </c>
    </row>
    <row r="5899" spans="1:1">
      <c r="A5899" s="35" t="s">
        <v>54823</v>
      </c>
    </row>
    <row r="5900" spans="1:1">
      <c r="A5900" s="35" t="s">
        <v>54824</v>
      </c>
    </row>
    <row r="5901" spans="1:1">
      <c r="A5901" s="35" t="s">
        <v>52009</v>
      </c>
    </row>
    <row r="5902" spans="1:1">
      <c r="A5902" s="35" t="s">
        <v>41057</v>
      </c>
    </row>
    <row r="5903" spans="1:1">
      <c r="A5903" s="35" t="s">
        <v>41057</v>
      </c>
    </row>
    <row r="5904" spans="1:1">
      <c r="A5904" s="35" t="s">
        <v>41057</v>
      </c>
    </row>
    <row r="5905" spans="1:1">
      <c r="A5905" s="35" t="s">
        <v>41057</v>
      </c>
    </row>
    <row r="5906" spans="1:1">
      <c r="A5906" s="35" t="s">
        <v>41057</v>
      </c>
    </row>
    <row r="5907" spans="1:1">
      <c r="A5907" s="35" t="s">
        <v>54343</v>
      </c>
    </row>
    <row r="5908" spans="1:1">
      <c r="A5908" s="35" t="s">
        <v>41057</v>
      </c>
    </row>
    <row r="5909" spans="1:1">
      <c r="A5909" s="35" t="s">
        <v>41057</v>
      </c>
    </row>
    <row r="5910" spans="1:1">
      <c r="A5910" s="35" t="s">
        <v>41057</v>
      </c>
    </row>
    <row r="5911" spans="1:1">
      <c r="A5911" s="35" t="s">
        <v>54825</v>
      </c>
    </row>
    <row r="5912" spans="1:1">
      <c r="A5912" s="35" t="s">
        <v>54826</v>
      </c>
    </row>
    <row r="5913" spans="1:1">
      <c r="A5913" s="35" t="s">
        <v>54099</v>
      </c>
    </row>
    <row r="5914" spans="1:1">
      <c r="A5914" s="35" t="s">
        <v>54100</v>
      </c>
    </row>
    <row r="5915" spans="1:1">
      <c r="A5915" s="35" t="s">
        <v>41057</v>
      </c>
    </row>
    <row r="5916" spans="1:1">
      <c r="A5916" s="35" t="s">
        <v>41057</v>
      </c>
    </row>
    <row r="5917" spans="1:1">
      <c r="A5917" s="35" t="e" cm="1">
        <f t="array" ref="A5917">---------------QITF------------------FKA-------------------V</f>
        <v>#NAME?</v>
      </c>
    </row>
    <row r="5918" spans="1:1">
      <c r="A5918" s="35" t="s">
        <v>53901</v>
      </c>
    </row>
    <row r="5919" spans="1:1">
      <c r="A5919" s="35" t="s">
        <v>54426</v>
      </c>
    </row>
    <row r="5920" spans="1:1">
      <c r="A5920" s="35" t="s">
        <v>41057</v>
      </c>
    </row>
    <row r="5921" spans="1:1">
      <c r="A5921" s="35" t="s">
        <v>54827</v>
      </c>
    </row>
    <row r="5922" spans="1:1">
      <c r="A5922" s="35" t="s">
        <v>41057</v>
      </c>
    </row>
    <row r="5923" spans="1:1">
      <c r="A5923" s="35" t="s">
        <v>41057</v>
      </c>
    </row>
    <row r="5924" spans="1:1">
      <c r="A5924" s="35" t="s">
        <v>54828</v>
      </c>
    </row>
    <row r="5925" spans="1:1">
      <c r="A5925" s="35" t="s">
        <v>41057</v>
      </c>
    </row>
    <row r="5926" spans="1:1">
      <c r="A5926" s="35" t="s">
        <v>41057</v>
      </c>
    </row>
    <row r="5927" spans="1:1">
      <c r="A5927" s="35" t="s">
        <v>53500</v>
      </c>
    </row>
    <row r="5928" spans="1:1">
      <c r="A5928" s="35" t="s">
        <v>41057</v>
      </c>
    </row>
    <row r="5929" spans="1:1">
      <c r="A5929" s="35" t="s">
        <v>41057</v>
      </c>
    </row>
    <row r="5930" spans="1:1">
      <c r="A5930" s="35" t="s">
        <v>54829</v>
      </c>
    </row>
    <row r="5931" spans="1:1">
      <c r="A5931" s="35" t="s">
        <v>41057</v>
      </c>
    </row>
    <row r="5932" spans="1:1">
      <c r="A5932" s="35" t="s">
        <v>54292</v>
      </c>
    </row>
    <row r="5933" spans="1:1">
      <c r="A5933" s="35" t="s">
        <v>41057</v>
      </c>
    </row>
    <row r="5934" spans="1:1">
      <c r="A5934" s="35" t="s">
        <v>54830</v>
      </c>
    </row>
    <row r="5935" spans="1:1">
      <c r="A5935" s="35" t="s">
        <v>54831</v>
      </c>
    </row>
    <row r="5936" spans="1:1">
      <c r="A5936" s="35" t="s">
        <v>41057</v>
      </c>
    </row>
    <row r="5937" spans="1:1">
      <c r="A5937" s="35" t="s">
        <v>41057</v>
      </c>
    </row>
    <row r="5938" spans="1:1">
      <c r="A5938" s="35" t="s">
        <v>53505</v>
      </c>
    </row>
    <row r="5939" spans="1:1">
      <c r="A5939" s="35" t="s">
        <v>41057</v>
      </c>
    </row>
    <row r="5940" spans="1:1">
      <c r="A5940" s="35" t="s">
        <v>41057</v>
      </c>
    </row>
    <row r="5941" spans="1:1">
      <c r="A5941" s="35" t="s">
        <v>41057</v>
      </c>
    </row>
    <row r="5942" spans="1:1">
      <c r="A5942" s="35" t="s">
        <v>41057</v>
      </c>
    </row>
    <row r="5943" spans="1:1">
      <c r="A5943" s="35" t="s">
        <v>41057</v>
      </c>
    </row>
    <row r="5944" spans="1:1">
      <c r="A5944" s="35" t="s">
        <v>54832</v>
      </c>
    </row>
    <row r="5945" spans="1:1">
      <c r="A5945" s="35" t="s">
        <v>41057</v>
      </c>
    </row>
    <row r="5946" spans="1:1">
      <c r="A5946" s="35" t="s">
        <v>41057</v>
      </c>
    </row>
    <row r="5947" spans="1:1">
      <c r="A5947" s="35" t="s">
        <v>54833</v>
      </c>
    </row>
    <row r="5948" spans="1:1">
      <c r="A5948" s="35" t="s">
        <v>41057</v>
      </c>
    </row>
    <row r="5949" spans="1:1">
      <c r="A5949" s="35" t="s">
        <v>41057</v>
      </c>
    </row>
    <row r="5950" spans="1:1">
      <c r="A5950" s="35" t="s">
        <v>41057</v>
      </c>
    </row>
    <row r="5951" spans="1:1">
      <c r="A5951" s="35" t="s">
        <v>41057</v>
      </c>
    </row>
    <row r="5952" spans="1:1">
      <c r="A5952" s="35" t="s">
        <v>41057</v>
      </c>
    </row>
    <row r="5953" spans="1:1">
      <c r="A5953" s="35" t="s">
        <v>41057</v>
      </c>
    </row>
    <row r="5954" spans="1:1">
      <c r="A5954" s="35" t="s">
        <v>41057</v>
      </c>
    </row>
    <row r="5955" spans="1:1">
      <c r="A5955" s="35" t="s">
        <v>41057</v>
      </c>
    </row>
    <row r="5956" spans="1:1">
      <c r="A5956" s="35" t="s">
        <v>41057</v>
      </c>
    </row>
    <row r="5957" spans="1:1">
      <c r="A5957" s="35" t="s">
        <v>41057</v>
      </c>
    </row>
    <row r="5958" spans="1:1">
      <c r="A5958" s="35" t="s">
        <v>41057</v>
      </c>
    </row>
    <row r="5959" spans="1:1">
      <c r="A5959" s="35" t="s">
        <v>41057</v>
      </c>
    </row>
    <row r="5960" spans="1:1">
      <c r="A5960" s="35" t="s">
        <v>54834</v>
      </c>
    </row>
    <row r="5961" spans="1:1">
      <c r="A5961" s="35" t="s">
        <v>41057</v>
      </c>
    </row>
    <row r="5962" spans="1:1">
      <c r="A5962" s="35" t="s">
        <v>41057</v>
      </c>
    </row>
    <row r="5963" spans="1:1">
      <c r="A5963" s="35" t="s">
        <v>54835</v>
      </c>
    </row>
    <row r="5964" spans="1:1">
      <c r="A5964" s="35" t="e" cm="1">
        <f t="array" ref="A5964">---------------------------------------------Y------NNYWGTYN</f>
        <v>#NAME?</v>
      </c>
    </row>
    <row r="5965" spans="1:1">
      <c r="A5965" s="35" t="s">
        <v>54836</v>
      </c>
    </row>
    <row r="5966" spans="1:1">
      <c r="A5966" s="35" t="s">
        <v>41057</v>
      </c>
    </row>
    <row r="5967" spans="1:1">
      <c r="A5967" s="35" t="s">
        <v>54837</v>
      </c>
    </row>
    <row r="5968" spans="1:1">
      <c r="A5968" s="35" t="s">
        <v>41057</v>
      </c>
    </row>
    <row r="5969" spans="1:1">
      <c r="A5969" s="35" t="s">
        <v>41057</v>
      </c>
    </row>
    <row r="5970" spans="1:1">
      <c r="A5970" s="35" t="e" cm="1">
        <f t="array" ref="A5970">-------------ANAI-----------------TTGYPTLTGLSNVIYSWPYMIASTLP</f>
        <v>#NAME?</v>
      </c>
    </row>
    <row r="5971" spans="1:1">
      <c r="A5971" s="35" t="s">
        <v>54838</v>
      </c>
    </row>
    <row r="5972" spans="1:1">
      <c r="A5972" s="35" t="s">
        <v>54839</v>
      </c>
    </row>
    <row r="5973" spans="1:1">
      <c r="A5973" s="35" t="e" cm="1">
        <f t="array" ref="A5973">---------------SEWWDIWTELTE---------TAEK------------------IE</f>
        <v>#NAME?</v>
      </c>
    </row>
    <row r="5974" spans="1:1">
      <c r="A5974" s="35" t="s">
        <v>54840</v>
      </c>
    </row>
    <row r="5975" spans="1:1">
      <c r="A5975" s="35" t="e" cm="1">
        <f t="array" ref="A5975">----------------------------------------------YNTG--------WN</f>
        <v>#NAME?</v>
      </c>
    </row>
    <row r="5976" spans="1:1">
      <c r="A5976" s="35" t="s">
        <v>54841</v>
      </c>
    </row>
    <row r="5977" spans="1:1">
      <c r="A5977" s="35" t="s">
        <v>54842</v>
      </c>
    </row>
    <row r="5978" spans="1:1">
      <c r="A5978" s="35" t="s">
        <v>41057</v>
      </c>
    </row>
    <row r="5979" spans="1:1">
      <c r="A5979" s="35" t="s">
        <v>54843</v>
      </c>
    </row>
    <row r="5980" spans="1:1">
      <c r="A5980" s="35" t="s">
        <v>54844</v>
      </c>
    </row>
    <row r="5981" spans="1:1">
      <c r="A5981" s="35" t="s">
        <v>54845</v>
      </c>
    </row>
    <row r="5982" spans="1:1">
      <c r="A5982" s="35" t="s">
        <v>41057</v>
      </c>
    </row>
    <row r="5983" spans="1:1">
      <c r="A5983" s="35" t="s">
        <v>54846</v>
      </c>
    </row>
    <row r="5984" spans="1:1">
      <c r="A5984" s="35" t="s">
        <v>41057</v>
      </c>
    </row>
    <row r="5985" spans="1:1">
      <c r="A5985" s="35" t="s">
        <v>54847</v>
      </c>
    </row>
    <row r="5986" spans="1:1">
      <c r="A5986" s="35" t="s">
        <v>41057</v>
      </c>
    </row>
    <row r="5987" spans="1:1">
      <c r="A5987" s="35" t="s">
        <v>41057</v>
      </c>
    </row>
    <row r="5988" spans="1:1">
      <c r="A5988" s="35" t="s">
        <v>54848</v>
      </c>
    </row>
    <row r="5989" spans="1:1">
      <c r="A5989" s="35" t="s">
        <v>54849</v>
      </c>
    </row>
    <row r="5990" spans="1:1">
      <c r="A5990" s="35" t="s">
        <v>54850</v>
      </c>
    </row>
    <row r="5991" spans="1:1">
      <c r="A5991" s="35" t="s">
        <v>54851</v>
      </c>
    </row>
    <row r="5992" spans="1:1">
      <c r="A5992" s="35" t="e" cm="1">
        <f t="array" ref="A5992">----------------------------------------------------------WQ</f>
        <v>#NAME?</v>
      </c>
    </row>
    <row r="5993" spans="1:1">
      <c r="A5993" s="35" t="s">
        <v>54852</v>
      </c>
    </row>
    <row r="5994" spans="1:1">
      <c r="A5994" s="35" t="s">
        <v>54853</v>
      </c>
    </row>
    <row r="5995" spans="1:1">
      <c r="A5995" s="35" t="s">
        <v>54494</v>
      </c>
    </row>
    <row r="5996" spans="1:1">
      <c r="A5996" s="35" t="s">
        <v>41057</v>
      </c>
    </row>
    <row r="5997" spans="1:1">
      <c r="A5997" s="35" t="s">
        <v>54854</v>
      </c>
    </row>
    <row r="5998" spans="1:1">
      <c r="A5998" s="35" t="s">
        <v>41057</v>
      </c>
    </row>
    <row r="5999" spans="1:1">
      <c r="A5999" s="35" t="s">
        <v>54855</v>
      </c>
    </row>
    <row r="6000" spans="1:1">
      <c r="A6000" s="35" t="s">
        <v>41057</v>
      </c>
    </row>
    <row r="6001" spans="1:1">
      <c r="A6001" s="35" t="s">
        <v>54856</v>
      </c>
    </row>
    <row r="6002" spans="1:1">
      <c r="A6002" s="35" t="s">
        <v>54857</v>
      </c>
    </row>
    <row r="6003" spans="1:1">
      <c r="A6003" s="35" t="s">
        <v>41057</v>
      </c>
    </row>
    <row r="6004" spans="1:1">
      <c r="A6004" s="35" t="s">
        <v>41057</v>
      </c>
    </row>
    <row r="6005" spans="1:1">
      <c r="A6005" s="35" t="s">
        <v>54858</v>
      </c>
    </row>
    <row r="6006" spans="1:1">
      <c r="A6006" s="35" t="e" cm="1">
        <f t="array" ref="A6006">------------------------------------------------PYAGGGEVFTEV</f>
        <v>#NAME?</v>
      </c>
    </row>
    <row r="6007" spans="1:1">
      <c r="A6007" s="35" t="s">
        <v>54859</v>
      </c>
    </row>
    <row r="6008" spans="1:1">
      <c r="A6008" s="35" t="s">
        <v>54860</v>
      </c>
    </row>
    <row r="6009" spans="1:1">
      <c r="A6009" s="35" t="s">
        <v>54861</v>
      </c>
    </row>
    <row r="6010" spans="1:1">
      <c r="A6010" s="35" t="s">
        <v>54862</v>
      </c>
    </row>
    <row r="6011" spans="1:1">
      <c r="A6011" s="35" t="s">
        <v>54863</v>
      </c>
    </row>
    <row r="6012" spans="1:1">
      <c r="A6012" s="35" t="s">
        <v>54864</v>
      </c>
    </row>
    <row r="6013" spans="1:1">
      <c r="A6013" s="35" t="e" cm="1">
        <f t="array" ref="A6013">----------------------------------------------------------NL</f>
        <v>#NAME?</v>
      </c>
    </row>
    <row r="6014" spans="1:1">
      <c r="A6014" s="35" t="s">
        <v>54865</v>
      </c>
    </row>
    <row r="6015" spans="1:1">
      <c r="A6015" s="35" t="s">
        <v>54866</v>
      </c>
    </row>
    <row r="6016" spans="1:1">
      <c r="A6016" s="35" t="s">
        <v>54253</v>
      </c>
    </row>
    <row r="6017" spans="1:1">
      <c r="A6017" s="35" t="s">
        <v>41057</v>
      </c>
    </row>
    <row r="6018" spans="1:1">
      <c r="A6018" s="35" t="s">
        <v>53545</v>
      </c>
    </row>
    <row r="6019" spans="1:1">
      <c r="A6019" s="35" t="s">
        <v>54867</v>
      </c>
    </row>
    <row r="6020" spans="1:1">
      <c r="A6020" s="35" t="s">
        <v>41057</v>
      </c>
    </row>
    <row r="6021" spans="1:1">
      <c r="A6021" s="35" t="s">
        <v>41057</v>
      </c>
    </row>
    <row r="6022" spans="1:1">
      <c r="A6022" s="35" t="s">
        <v>41057</v>
      </c>
    </row>
    <row r="6023" spans="1:1">
      <c r="A6023" s="35" t="s">
        <v>41057</v>
      </c>
    </row>
    <row r="6024" spans="1:1">
      <c r="A6024" s="35" t="s">
        <v>54868</v>
      </c>
    </row>
    <row r="6025" spans="1:1">
      <c r="A6025" s="35" t="s">
        <v>53706</v>
      </c>
    </row>
    <row r="6026" spans="1:1">
      <c r="A6026" s="35" t="s">
        <v>41057</v>
      </c>
    </row>
    <row r="6027" spans="1:1">
      <c r="A6027" s="35" t="s">
        <v>41057</v>
      </c>
    </row>
    <row r="6028" spans="1:1">
      <c r="A6028" s="35" t="s">
        <v>41057</v>
      </c>
    </row>
    <row r="6029" spans="1:1">
      <c r="A6029" s="35" t="s">
        <v>54097</v>
      </c>
    </row>
    <row r="6030" spans="1:1">
      <c r="A6030" s="35" t="s">
        <v>54098</v>
      </c>
    </row>
    <row r="6031" spans="1:1">
      <c r="A6031" s="35" t="s">
        <v>54869</v>
      </c>
    </row>
    <row r="6032" spans="1:1">
      <c r="A6032" s="35" t="s">
        <v>54100</v>
      </c>
    </row>
    <row r="6033" spans="1:1">
      <c r="A6033" s="35" t="s">
        <v>41057</v>
      </c>
    </row>
    <row r="6034" spans="1:1">
      <c r="A6034" s="35" t="s">
        <v>41057</v>
      </c>
    </row>
    <row r="6035" spans="1:1">
      <c r="A6035" s="35" t="e" cm="1">
        <f t="array" ref="A6035">---------------EITF------------------FKV-------------------V</f>
        <v>#NAME?</v>
      </c>
    </row>
    <row r="6036" spans="1:1">
      <c r="A6036" s="35" t="s">
        <v>54288</v>
      </c>
    </row>
    <row r="6037" spans="1:1">
      <c r="A6037" s="35" t="s">
        <v>54870</v>
      </c>
    </row>
    <row r="6038" spans="1:1">
      <c r="A6038" s="35" t="s">
        <v>41057</v>
      </c>
    </row>
    <row r="6039" spans="1:1">
      <c r="A6039" s="35" t="s">
        <v>54871</v>
      </c>
    </row>
    <row r="6040" spans="1:1">
      <c r="A6040" s="35" t="s">
        <v>41057</v>
      </c>
    </row>
    <row r="6041" spans="1:1">
      <c r="A6041" s="35" t="s">
        <v>41057</v>
      </c>
    </row>
    <row r="6042" spans="1:1">
      <c r="A6042" s="35" t="s">
        <v>54872</v>
      </c>
    </row>
    <row r="6043" spans="1:1">
      <c r="A6043" s="35" t="s">
        <v>41057</v>
      </c>
    </row>
    <row r="6044" spans="1:1">
      <c r="A6044" s="35" t="s">
        <v>41057</v>
      </c>
    </row>
    <row r="6045" spans="1:1">
      <c r="A6045" s="35" t="s">
        <v>53500</v>
      </c>
    </row>
    <row r="6046" spans="1:1">
      <c r="A6046" s="35" t="s">
        <v>41057</v>
      </c>
    </row>
    <row r="6047" spans="1:1">
      <c r="A6047" s="35" t="s">
        <v>41057</v>
      </c>
    </row>
    <row r="6048" spans="1:1">
      <c r="A6048" s="35" t="s">
        <v>54873</v>
      </c>
    </row>
    <row r="6049" spans="1:1">
      <c r="A6049" s="35" t="s">
        <v>41057</v>
      </c>
    </row>
    <row r="6050" spans="1:1">
      <c r="A6050" s="35" t="s">
        <v>54874</v>
      </c>
    </row>
    <row r="6051" spans="1:1">
      <c r="A6051" s="35" t="s">
        <v>41057</v>
      </c>
    </row>
    <row r="6052" spans="1:1">
      <c r="A6052" s="35" t="s">
        <v>54875</v>
      </c>
    </row>
    <row r="6053" spans="1:1">
      <c r="A6053" s="35" t="s">
        <v>54876</v>
      </c>
    </row>
    <row r="6054" spans="1:1">
      <c r="A6054" s="35" t="s">
        <v>41057</v>
      </c>
    </row>
    <row r="6055" spans="1:1">
      <c r="A6055" s="35" t="s">
        <v>41057</v>
      </c>
    </row>
    <row r="6056" spans="1:1">
      <c r="A6056" s="35" t="s">
        <v>54877</v>
      </c>
    </row>
    <row r="6057" spans="1:1">
      <c r="A6057" s="35" t="s">
        <v>41057</v>
      </c>
    </row>
    <row r="6058" spans="1:1">
      <c r="A6058" s="35" t="s">
        <v>41057</v>
      </c>
    </row>
    <row r="6059" spans="1:1">
      <c r="A6059" s="35" t="s">
        <v>41057</v>
      </c>
    </row>
    <row r="6060" spans="1:1">
      <c r="A6060" s="35" t="s">
        <v>41057</v>
      </c>
    </row>
    <row r="6061" spans="1:1">
      <c r="A6061" s="35" t="s">
        <v>41057</v>
      </c>
    </row>
    <row r="6062" spans="1:1">
      <c r="A6062" s="35" t="s">
        <v>54878</v>
      </c>
    </row>
    <row r="6063" spans="1:1">
      <c r="A6063" s="35" t="s">
        <v>41057</v>
      </c>
    </row>
    <row r="6064" spans="1:1">
      <c r="A6064" s="35" t="s">
        <v>41057</v>
      </c>
    </row>
    <row r="6065" spans="1:1">
      <c r="A6065" s="35" t="s">
        <v>41057</v>
      </c>
    </row>
    <row r="6066" spans="1:1">
      <c r="A6066" s="35" t="s">
        <v>41057</v>
      </c>
    </row>
    <row r="6067" spans="1:1">
      <c r="A6067" s="35" t="s">
        <v>41057</v>
      </c>
    </row>
    <row r="6068" spans="1:1">
      <c r="A6068" s="35" t="s">
        <v>41057</v>
      </c>
    </row>
    <row r="6069" spans="1:1">
      <c r="A6069" s="35" t="s">
        <v>41057</v>
      </c>
    </row>
    <row r="6070" spans="1:1">
      <c r="A6070" s="35" t="s">
        <v>41057</v>
      </c>
    </row>
    <row r="6071" spans="1:1">
      <c r="A6071" s="35" t="s">
        <v>41057</v>
      </c>
    </row>
    <row r="6072" spans="1:1">
      <c r="A6072" s="35" t="s">
        <v>41057</v>
      </c>
    </row>
    <row r="6073" spans="1:1">
      <c r="A6073" s="35" t="s">
        <v>41057</v>
      </c>
    </row>
    <row r="6074" spans="1:1">
      <c r="A6074" s="35" t="s">
        <v>41057</v>
      </c>
    </row>
    <row r="6075" spans="1:1">
      <c r="A6075" s="35" t="s">
        <v>41057</v>
      </c>
    </row>
    <row r="6076" spans="1:1">
      <c r="A6076" s="35" t="s">
        <v>41057</v>
      </c>
    </row>
    <row r="6077" spans="1:1">
      <c r="A6077" s="35" t="s">
        <v>41057</v>
      </c>
    </row>
    <row r="6078" spans="1:1">
      <c r="A6078" s="35" t="s">
        <v>54879</v>
      </c>
    </row>
    <row r="6079" spans="1:1">
      <c r="A6079" s="35" t="s">
        <v>41057</v>
      </c>
    </row>
    <row r="6080" spans="1:1">
      <c r="A6080" s="35" t="s">
        <v>41057</v>
      </c>
    </row>
    <row r="6081" spans="1:1">
      <c r="A6081" s="35" t="s">
        <v>54880</v>
      </c>
    </row>
    <row r="6082" spans="1:1">
      <c r="A6082" s="35" t="e" cm="1">
        <f t="array" ref="A6082">--------------------------------------------------------GVSA</f>
        <v>#NAME?</v>
      </c>
    </row>
    <row r="6083" spans="1:1">
      <c r="A6083" s="35" t="s">
        <v>41057</v>
      </c>
    </row>
    <row r="6084" spans="1:1">
      <c r="A6084" s="35" t="s">
        <v>41057</v>
      </c>
    </row>
    <row r="6085" spans="1:1">
      <c r="A6085" s="35" t="s">
        <v>54881</v>
      </c>
    </row>
    <row r="6086" spans="1:1">
      <c r="A6086" s="35" t="s">
        <v>41057</v>
      </c>
    </row>
    <row r="6087" spans="1:1">
      <c r="A6087" s="35" t="s">
        <v>41057</v>
      </c>
    </row>
    <row r="6088" spans="1:1">
      <c r="A6088" s="35" t="s">
        <v>41057</v>
      </c>
    </row>
    <row r="6089" spans="1:1">
      <c r="A6089" s="35" t="e" cm="1">
        <f t="array" ref="A6089">---------------------------------------------AYLFAYVREV---GN</f>
        <v>#NAME?</v>
      </c>
    </row>
    <row r="6090" spans="1:1">
      <c r="A6090" s="35" t="s">
        <v>54882</v>
      </c>
    </row>
    <row r="6091" spans="1:1">
      <c r="A6091" s="35" t="e" cm="1">
        <f t="array" ref="A6091">---------------GHWMSTWHDLTK---------DVNN------------------NR</f>
        <v>#NAME?</v>
      </c>
    </row>
    <row r="6092" spans="1:1">
      <c r="A6092" s="35" t="s">
        <v>54883</v>
      </c>
    </row>
    <row r="6093" spans="1:1">
      <c r="A6093" s="35" t="e" cm="1">
        <f t="array" ref="A6093">---------------------------------------------PDSTG--------YL</f>
        <v>#NAME?</v>
      </c>
    </row>
    <row r="6094" spans="1:1">
      <c r="A6094" s="35" t="s">
        <v>54884</v>
      </c>
    </row>
    <row r="6095" spans="1:1">
      <c r="A6095" s="35" t="s">
        <v>54885</v>
      </c>
    </row>
    <row r="6096" spans="1:1">
      <c r="A6096" s="35" t="s">
        <v>41057</v>
      </c>
    </row>
    <row r="6097" spans="1:1">
      <c r="A6097" s="35" t="s">
        <v>54886</v>
      </c>
    </row>
    <row r="6098" spans="1:1">
      <c r="A6098" s="35" t="s">
        <v>54887</v>
      </c>
    </row>
    <row r="6099" spans="1:1">
      <c r="A6099" s="35" t="s">
        <v>54888</v>
      </c>
    </row>
    <row r="6100" spans="1:1">
      <c r="A6100" s="35" t="s">
        <v>41057</v>
      </c>
    </row>
    <row r="6101" spans="1:1">
      <c r="A6101" s="35" t="s">
        <v>41057</v>
      </c>
    </row>
    <row r="6102" spans="1:1">
      <c r="A6102" s="35" t="s">
        <v>41057</v>
      </c>
    </row>
    <row r="6103" spans="1:1">
      <c r="A6103" s="35" t="s">
        <v>54889</v>
      </c>
    </row>
    <row r="6104" spans="1:1">
      <c r="A6104" s="35" t="s">
        <v>41057</v>
      </c>
    </row>
    <row r="6105" spans="1:1">
      <c r="A6105" s="35" t="s">
        <v>41057</v>
      </c>
    </row>
    <row r="6106" spans="1:1">
      <c r="A6106" s="35" t="s">
        <v>54890</v>
      </c>
    </row>
    <row r="6107" spans="1:1">
      <c r="A6107" s="35" t="s">
        <v>54668</v>
      </c>
    </row>
    <row r="6108" spans="1:1">
      <c r="A6108" s="35" t="s">
        <v>54891</v>
      </c>
    </row>
    <row r="6109" spans="1:1">
      <c r="A6109" s="35" t="s">
        <v>54892</v>
      </c>
    </row>
    <row r="6110" spans="1:1">
      <c r="A6110" s="35" t="e" cm="1">
        <f t="array" ref="A6110">----------------------------------------------------------FT</f>
        <v>#NAME?</v>
      </c>
    </row>
    <row r="6111" spans="1:1">
      <c r="A6111" s="35" t="s">
        <v>54893</v>
      </c>
    </row>
    <row r="6112" spans="1:1">
      <c r="A6112" s="35" t="s">
        <v>54894</v>
      </c>
    </row>
    <row r="6113" spans="1:1">
      <c r="A6113" s="35" t="s">
        <v>54895</v>
      </c>
    </row>
    <row r="6114" spans="1:1">
      <c r="A6114" s="35" t="s">
        <v>41057</v>
      </c>
    </row>
    <row r="6115" spans="1:1">
      <c r="A6115" s="35" t="e" cm="1">
        <f t="array" ref="A6115">---TLQ-F-NHP----SKEFIWRIVSGAYWSKNSPFLC--YSNREASLES-------NGW</f>
        <v>#NAME?</v>
      </c>
    </row>
    <row r="6116" spans="1:1">
      <c r="A6116" s="35" t="s">
        <v>54896</v>
      </c>
    </row>
    <row r="6117" spans="1:1">
      <c r="A6117" s="35" t="s">
        <v>54897</v>
      </c>
    </row>
    <row r="6118" spans="1:1">
      <c r="A6118" s="35" t="s">
        <v>41057</v>
      </c>
    </row>
    <row r="6119" spans="1:1">
      <c r="A6119" s="35" t="s">
        <v>54898</v>
      </c>
    </row>
    <row r="6120" spans="1:1">
      <c r="A6120" s="35" t="s">
        <v>54899</v>
      </c>
    </row>
    <row r="6121" spans="1:1">
      <c r="A6121" s="35" t="e" cm="1">
        <f t="array" ref="A6121">-YVVFTYVPGAGVDDE------------------------------------VTPKAMAE</f>
        <v>#NAME?</v>
      </c>
    </row>
    <row r="6122" spans="1:1">
      <c r="A6122" s="35" t="s">
        <v>54900</v>
      </c>
    </row>
    <row r="6123" spans="1:1">
      <c r="A6123" s="35" t="s">
        <v>54901</v>
      </c>
    </row>
    <row r="6124" spans="1:1">
      <c r="A6124" s="35" t="s">
        <v>54902</v>
      </c>
    </row>
    <row r="6125" spans="1:1">
      <c r="A6125" s="35" t="s">
        <v>54903</v>
      </c>
    </row>
    <row r="6126" spans="1:1">
      <c r="A6126" s="35" t="s">
        <v>54904</v>
      </c>
    </row>
    <row r="6127" spans="1:1">
      <c r="A6127" s="35" t="s">
        <v>54905</v>
      </c>
    </row>
    <row r="6128" spans="1:1">
      <c r="A6128" s="35" t="s">
        <v>54906</v>
      </c>
    </row>
    <row r="6129" spans="1:1">
      <c r="A6129" s="35" t="s">
        <v>54907</v>
      </c>
    </row>
    <row r="6130" spans="1:1">
      <c r="A6130" s="35" t="s">
        <v>54908</v>
      </c>
    </row>
    <row r="6131" spans="1:1">
      <c r="A6131" s="35" t="e" cm="1">
        <f t="array" ref="A6131">-------------------------------------------------------PPLSI</f>
        <v>#NAME?</v>
      </c>
    </row>
    <row r="6132" spans="1:1">
      <c r="A6132" s="35" t="s">
        <v>54909</v>
      </c>
    </row>
    <row r="6133" spans="1:1">
      <c r="A6133" s="35" t="s">
        <v>54252</v>
      </c>
    </row>
    <row r="6134" spans="1:1">
      <c r="A6134" s="35" t="s">
        <v>54384</v>
      </c>
    </row>
    <row r="6135" spans="1:1">
      <c r="A6135" s="35" t="s">
        <v>41057</v>
      </c>
    </row>
    <row r="6136" spans="1:1">
      <c r="A6136" s="35" t="s">
        <v>53545</v>
      </c>
    </row>
    <row r="6137" spans="1:1">
      <c r="A6137" s="35" t="s">
        <v>52771</v>
      </c>
    </row>
    <row r="6138" spans="1:1">
      <c r="A6138" s="35" t="s">
        <v>41057</v>
      </c>
    </row>
    <row r="6139" spans="1:1">
      <c r="A6139" s="35" t="s">
        <v>41057</v>
      </c>
    </row>
    <row r="6140" spans="1:1">
      <c r="A6140" s="35" t="s">
        <v>41057</v>
      </c>
    </row>
    <row r="6141" spans="1:1">
      <c r="A6141" s="35" t="s">
        <v>41057</v>
      </c>
    </row>
    <row r="6142" spans="1:1">
      <c r="A6142" s="35" t="s">
        <v>54910</v>
      </c>
    </row>
    <row r="6143" spans="1:1">
      <c r="A6143" s="35" t="s">
        <v>54424</v>
      </c>
    </row>
    <row r="6144" spans="1:1">
      <c r="A6144" s="35" t="s">
        <v>41057</v>
      </c>
    </row>
    <row r="6145" spans="1:1">
      <c r="A6145" s="35" t="s">
        <v>41057</v>
      </c>
    </row>
    <row r="6146" spans="1:1">
      <c r="A6146" s="35" t="s">
        <v>41057</v>
      </c>
    </row>
    <row r="6147" spans="1:1">
      <c r="A6147" s="35" t="s">
        <v>54911</v>
      </c>
    </row>
    <row r="6148" spans="1:1">
      <c r="A6148" s="35" t="s">
        <v>54912</v>
      </c>
    </row>
    <row r="6149" spans="1:1">
      <c r="A6149" s="35" t="s">
        <v>54913</v>
      </c>
    </row>
    <row r="6150" spans="1:1">
      <c r="A6150" s="35" t="s">
        <v>54914</v>
      </c>
    </row>
    <row r="6151" spans="1:1">
      <c r="A6151" s="35" t="s">
        <v>41057</v>
      </c>
    </row>
    <row r="6152" spans="1:1">
      <c r="A6152" s="35" t="s">
        <v>41057</v>
      </c>
    </row>
    <row r="6153" spans="1:1">
      <c r="A6153" s="35" t="e" cm="1">
        <f t="array" ref="A6153">---------------QITF------------------YKN-------------------V</f>
        <v>#NAME?</v>
      </c>
    </row>
    <row r="6154" spans="1:1">
      <c r="A6154" s="35" t="s">
        <v>54101</v>
      </c>
    </row>
    <row r="6155" spans="1:1">
      <c r="A6155" s="35" t="s">
        <v>54915</v>
      </c>
    </row>
    <row r="6156" spans="1:1">
      <c r="A6156" s="35" t="s">
        <v>41057</v>
      </c>
    </row>
    <row r="6157" spans="1:1">
      <c r="A6157" s="35" t="s">
        <v>54916</v>
      </c>
    </row>
    <row r="6158" spans="1:1">
      <c r="A6158" s="35" t="s">
        <v>41057</v>
      </c>
    </row>
    <row r="6159" spans="1:1">
      <c r="A6159" s="35" t="s">
        <v>41057</v>
      </c>
    </row>
    <row r="6160" spans="1:1">
      <c r="A6160" s="35" t="s">
        <v>54917</v>
      </c>
    </row>
    <row r="6161" spans="1:1">
      <c r="A6161" s="35" t="s">
        <v>41057</v>
      </c>
    </row>
    <row r="6162" spans="1:1">
      <c r="A6162" s="35" t="s">
        <v>41057</v>
      </c>
    </row>
    <row r="6163" spans="1:1">
      <c r="A6163" s="35" t="s">
        <v>53500</v>
      </c>
    </row>
    <row r="6164" spans="1:1">
      <c r="A6164" s="35" t="s">
        <v>41057</v>
      </c>
    </row>
    <row r="6165" spans="1:1">
      <c r="A6165" s="35" t="s">
        <v>41057</v>
      </c>
    </row>
    <row r="6166" spans="1:1">
      <c r="A6166" s="35" t="s">
        <v>54918</v>
      </c>
    </row>
    <row r="6167" spans="1:1">
      <c r="A6167" s="35" t="s">
        <v>41057</v>
      </c>
    </row>
    <row r="6168" spans="1:1">
      <c r="A6168" s="35" t="s">
        <v>54919</v>
      </c>
    </row>
    <row r="6169" spans="1:1">
      <c r="A6169" s="35" t="s">
        <v>41057</v>
      </c>
    </row>
    <row r="6170" spans="1:1">
      <c r="A6170" s="35" t="s">
        <v>54920</v>
      </c>
    </row>
    <row r="6171" spans="1:1">
      <c r="A6171" s="35" t="s">
        <v>54921</v>
      </c>
    </row>
    <row r="6172" spans="1:1">
      <c r="A6172" s="35" t="s">
        <v>41057</v>
      </c>
    </row>
    <row r="6173" spans="1:1">
      <c r="A6173" s="35" t="s">
        <v>41057</v>
      </c>
    </row>
    <row r="6174" spans="1:1">
      <c r="A6174" s="35" t="s">
        <v>53681</v>
      </c>
    </row>
    <row r="6175" spans="1:1">
      <c r="A6175" s="35" t="s">
        <v>41057</v>
      </c>
    </row>
    <row r="6176" spans="1:1">
      <c r="A6176" s="35" t="s">
        <v>41057</v>
      </c>
    </row>
    <row r="6177" spans="1:1">
      <c r="A6177" s="35" t="s">
        <v>41057</v>
      </c>
    </row>
    <row r="6178" spans="1:1">
      <c r="A6178" s="35" t="s">
        <v>41057</v>
      </c>
    </row>
    <row r="6179" spans="1:1">
      <c r="A6179" s="35" t="s">
        <v>41057</v>
      </c>
    </row>
    <row r="6180" spans="1:1">
      <c r="A6180" s="35" t="s">
        <v>54922</v>
      </c>
    </row>
    <row r="6181" spans="1:1">
      <c r="A6181" s="35" t="s">
        <v>41057</v>
      </c>
    </row>
    <row r="6182" spans="1:1">
      <c r="A6182" s="35" t="s">
        <v>41057</v>
      </c>
    </row>
    <row r="6183" spans="1:1">
      <c r="A6183" s="35" t="s">
        <v>41057</v>
      </c>
    </row>
    <row r="6184" spans="1:1">
      <c r="A6184" s="35" t="s">
        <v>41057</v>
      </c>
    </row>
    <row r="6185" spans="1:1">
      <c r="A6185" s="35" t="s">
        <v>41057</v>
      </c>
    </row>
    <row r="6186" spans="1:1">
      <c r="A6186" s="35" t="s">
        <v>41057</v>
      </c>
    </row>
    <row r="6187" spans="1:1">
      <c r="A6187" s="35" t="s">
        <v>41057</v>
      </c>
    </row>
    <row r="6188" spans="1:1">
      <c r="A6188" s="35" t="s">
        <v>41057</v>
      </c>
    </row>
    <row r="6189" spans="1:1">
      <c r="A6189" s="35" t="s">
        <v>41057</v>
      </c>
    </row>
    <row r="6190" spans="1:1">
      <c r="A6190" s="35" t="s">
        <v>41057</v>
      </c>
    </row>
    <row r="6191" spans="1:1">
      <c r="A6191" s="35" t="s">
        <v>41057</v>
      </c>
    </row>
    <row r="6192" spans="1:1">
      <c r="A6192" s="35" t="s">
        <v>41057</v>
      </c>
    </row>
    <row r="6193" spans="1:1">
      <c r="A6193" s="35" t="s">
        <v>41057</v>
      </c>
    </row>
    <row r="6194" spans="1:1">
      <c r="A6194" s="35" t="s">
        <v>41057</v>
      </c>
    </row>
    <row r="6195" spans="1:1">
      <c r="A6195" s="35" t="s">
        <v>41057</v>
      </c>
    </row>
    <row r="6196" spans="1:1">
      <c r="A6196" s="35" t="s">
        <v>54923</v>
      </c>
    </row>
    <row r="6197" spans="1:1">
      <c r="A6197" s="35" t="s">
        <v>41057</v>
      </c>
    </row>
    <row r="6198" spans="1:1">
      <c r="A6198" s="35" t="s">
        <v>41057</v>
      </c>
    </row>
    <row r="6199" spans="1:1">
      <c r="A6199" s="35" t="s">
        <v>54924</v>
      </c>
    </row>
    <row r="6200" spans="1:1">
      <c r="A6200" s="35" t="s">
        <v>41057</v>
      </c>
    </row>
    <row r="6201" spans="1:1">
      <c r="A6201" s="35" t="s">
        <v>41057</v>
      </c>
    </row>
    <row r="6202" spans="1:1">
      <c r="A6202" s="35" t="s">
        <v>41057</v>
      </c>
    </row>
    <row r="6203" spans="1:1">
      <c r="A6203" s="35" t="s">
        <v>54925</v>
      </c>
    </row>
    <row r="6204" spans="1:1">
      <c r="A6204" s="35" t="s">
        <v>41057</v>
      </c>
    </row>
    <row r="6205" spans="1:1">
      <c r="A6205" s="35" t="s">
        <v>41057</v>
      </c>
    </row>
    <row r="6206" spans="1:1">
      <c r="A6206" s="35" t="s">
        <v>41057</v>
      </c>
    </row>
    <row r="6207" spans="1:1">
      <c r="A6207" s="35" t="e" cm="1">
        <f t="array" ref="A6207">--------------------------------------------TLNRAAWIENI---GW</f>
        <v>#NAME?</v>
      </c>
    </row>
    <row r="6208" spans="1:1">
      <c r="A6208" s="35" t="s">
        <v>54926</v>
      </c>
    </row>
    <row r="6209" spans="1:1">
      <c r="A6209" s="35" t="e" cm="1">
        <f t="array" ref="A6209">---------------GEWLFIWNELAQ---------KNFN------------------KN</f>
        <v>#NAME?</v>
      </c>
    </row>
    <row r="6210" spans="1:1">
      <c r="A6210" s="35" t="s">
        <v>54927</v>
      </c>
    </row>
    <row r="6211" spans="1:1">
      <c r="A6211" s="35" t="s">
        <v>41057</v>
      </c>
    </row>
    <row r="6212" spans="1:1">
      <c r="A6212" s="35" t="s">
        <v>41057</v>
      </c>
    </row>
    <row r="6213" spans="1:1">
      <c r="A6213" s="35" t="s">
        <v>54928</v>
      </c>
    </row>
    <row r="6214" spans="1:1">
      <c r="A6214" s="35" t="s">
        <v>41057</v>
      </c>
    </row>
    <row r="6215" spans="1:1">
      <c r="A6215" s="35" t="s">
        <v>54929</v>
      </c>
    </row>
    <row r="6216" spans="1:1">
      <c r="A6216" s="35" t="s">
        <v>54930</v>
      </c>
    </row>
    <row r="6217" spans="1:1">
      <c r="A6217" s="35" t="s">
        <v>54931</v>
      </c>
    </row>
    <row r="6218" spans="1:1">
      <c r="A6218" s="35" t="s">
        <v>54932</v>
      </c>
    </row>
    <row r="6219" spans="1:1">
      <c r="A6219" s="35" t="s">
        <v>54933</v>
      </c>
    </row>
    <row r="6220" spans="1:1">
      <c r="A6220" s="35" t="s">
        <v>41057</v>
      </c>
    </row>
    <row r="6221" spans="1:1">
      <c r="A6221" s="35" t="s">
        <v>41057</v>
      </c>
    </row>
    <row r="6222" spans="1:1">
      <c r="A6222" s="35" t="s">
        <v>41057</v>
      </c>
    </row>
    <row r="6223" spans="1:1">
      <c r="A6223" s="35" t="s">
        <v>41057</v>
      </c>
    </row>
    <row r="6224" spans="1:1">
      <c r="A6224" s="35" t="s">
        <v>41057</v>
      </c>
    </row>
    <row r="6225" spans="1:1">
      <c r="A6225" s="35" t="s">
        <v>41057</v>
      </c>
    </row>
    <row r="6226" spans="1:1">
      <c r="A6226" s="35" t="s">
        <v>54934</v>
      </c>
    </row>
    <row r="6227" spans="1:1">
      <c r="A6227" s="35" t="s">
        <v>41057</v>
      </c>
    </row>
    <row r="6228" spans="1:1">
      <c r="A6228" s="35" t="s">
        <v>41057</v>
      </c>
    </row>
    <row r="6229" spans="1:1">
      <c r="A6229" s="35" t="s">
        <v>41057</v>
      </c>
    </row>
    <row r="6230" spans="1:1">
      <c r="A6230" s="35" t="s">
        <v>41057</v>
      </c>
    </row>
    <row r="6231" spans="1:1">
      <c r="A6231" s="35" t="s">
        <v>54935</v>
      </c>
    </row>
    <row r="6232" spans="1:1">
      <c r="A6232" s="35" t="s">
        <v>41057</v>
      </c>
    </row>
    <row r="6233" spans="1:1">
      <c r="A6233" s="35" t="s">
        <v>54936</v>
      </c>
    </row>
    <row r="6234" spans="1:1">
      <c r="A6234" s="35" t="s">
        <v>41057</v>
      </c>
    </row>
    <row r="6235" spans="1:1">
      <c r="A6235" s="35" t="s">
        <v>41057</v>
      </c>
    </row>
    <row r="6236" spans="1:1">
      <c r="A6236" s="35" t="s">
        <v>41057</v>
      </c>
    </row>
    <row r="6237" spans="1:1">
      <c r="A6237" s="35" t="s">
        <v>54937</v>
      </c>
    </row>
    <row r="6238" spans="1:1">
      <c r="A6238" s="35" t="s">
        <v>54938</v>
      </c>
    </row>
    <row r="6239" spans="1:1">
      <c r="A6239" s="35" t="s">
        <v>41057</v>
      </c>
    </row>
    <row r="6240" spans="1:1">
      <c r="A6240" s="35" t="s">
        <v>41057</v>
      </c>
    </row>
    <row r="6241" spans="1:1">
      <c r="A6241" s="35" t="s">
        <v>41057</v>
      </c>
    </row>
    <row r="6242" spans="1:1">
      <c r="A6242" s="35" t="s">
        <v>41057</v>
      </c>
    </row>
    <row r="6243" spans="1:1">
      <c r="A6243" s="35" t="s">
        <v>41057</v>
      </c>
    </row>
    <row r="6244" spans="1:1">
      <c r="A6244" s="35" t="s">
        <v>41057</v>
      </c>
    </row>
    <row r="6245" spans="1:1">
      <c r="A6245" s="35" t="s">
        <v>54939</v>
      </c>
    </row>
    <row r="6246" spans="1:1">
      <c r="A6246" s="35" t="s">
        <v>41057</v>
      </c>
    </row>
    <row r="6247" spans="1:1">
      <c r="A6247" s="35" t="s">
        <v>41057</v>
      </c>
    </row>
    <row r="6248" spans="1:1">
      <c r="A6248" s="35" t="s">
        <v>54940</v>
      </c>
    </row>
    <row r="6249" spans="1:1">
      <c r="A6249" s="35" t="s">
        <v>41057</v>
      </c>
    </row>
    <row r="6250" spans="1:1">
      <c r="A6250" s="35" t="s">
        <v>54941</v>
      </c>
    </row>
    <row r="6251" spans="1:1">
      <c r="A6251" s="35" t="s">
        <v>41057</v>
      </c>
    </row>
    <row r="6252" spans="1:1">
      <c r="A6252" s="35" t="s">
        <v>41057</v>
      </c>
    </row>
    <row r="6253" spans="1:1">
      <c r="A6253" s="35" t="s">
        <v>41057</v>
      </c>
    </row>
    <row r="6254" spans="1:1">
      <c r="A6254" s="35" t="s">
        <v>53545</v>
      </c>
    </row>
    <row r="6255" spans="1:1">
      <c r="A6255" s="35" t="s">
        <v>54942</v>
      </c>
    </row>
    <row r="6256" spans="1:1">
      <c r="A6256" s="35" t="s">
        <v>41057</v>
      </c>
    </row>
    <row r="6257" spans="1:1">
      <c r="A6257" s="35" t="s">
        <v>41057</v>
      </c>
    </row>
    <row r="6258" spans="1:1">
      <c r="A6258" s="35" t="s">
        <v>41057</v>
      </c>
    </row>
    <row r="6259" spans="1:1">
      <c r="A6259" s="35" t="s">
        <v>54943</v>
      </c>
    </row>
    <row r="6260" spans="1:1">
      <c r="A6260" s="35" t="s">
        <v>54944</v>
      </c>
    </row>
    <row r="6261" spans="1:1">
      <c r="A6261" s="35" t="s">
        <v>54096</v>
      </c>
    </row>
    <row r="6262" spans="1:1">
      <c r="A6262" s="35" t="s">
        <v>41057</v>
      </c>
    </row>
    <row r="6263" spans="1:1">
      <c r="A6263" s="35" t="s">
        <v>41057</v>
      </c>
    </row>
    <row r="6264" spans="1:1">
      <c r="A6264" s="35" t="s">
        <v>41057</v>
      </c>
    </row>
    <row r="6265" spans="1:1">
      <c r="A6265" s="35" t="s">
        <v>54344</v>
      </c>
    </row>
    <row r="6266" spans="1:1">
      <c r="A6266" s="35" t="s">
        <v>54945</v>
      </c>
    </row>
    <row r="6267" spans="1:1">
      <c r="A6267" s="35" t="s">
        <v>54946</v>
      </c>
    </row>
    <row r="6268" spans="1:1">
      <c r="A6268" s="35" t="s">
        <v>54618</v>
      </c>
    </row>
    <row r="6269" spans="1:1">
      <c r="A6269" s="35" t="s">
        <v>41057</v>
      </c>
    </row>
    <row r="6270" spans="1:1">
      <c r="A6270" s="35" t="s">
        <v>41057</v>
      </c>
    </row>
    <row r="6271" spans="1:1">
      <c r="A6271" s="35" t="e" cm="1">
        <f t="array" ref="A6271">---------------QITF------------------FKV-------------------V</f>
        <v>#NAME?</v>
      </c>
    </row>
    <row r="6272" spans="1:1">
      <c r="A6272" s="35" t="s">
        <v>54288</v>
      </c>
    </row>
    <row r="6273" spans="1:1">
      <c r="A6273" s="35" t="s">
        <v>54685</v>
      </c>
    </row>
    <row r="6274" spans="1:1">
      <c r="A6274" s="35" t="s">
        <v>41057</v>
      </c>
    </row>
    <row r="6275" spans="1:1">
      <c r="A6275" s="35" t="s">
        <v>54947</v>
      </c>
    </row>
    <row r="6276" spans="1:1">
      <c r="A6276" s="35" t="s">
        <v>41057</v>
      </c>
    </row>
    <row r="6277" spans="1:1">
      <c r="A6277" s="35" t="s">
        <v>41057</v>
      </c>
    </row>
    <row r="6278" spans="1:1">
      <c r="A6278" s="35" t="s">
        <v>54948</v>
      </c>
    </row>
    <row r="6279" spans="1:1">
      <c r="A6279" s="35" t="s">
        <v>41057</v>
      </c>
    </row>
    <row r="6280" spans="1:1">
      <c r="A6280" s="35" t="s">
        <v>41057</v>
      </c>
    </row>
    <row r="6281" spans="1:1">
      <c r="A6281" s="35" t="s">
        <v>53500</v>
      </c>
    </row>
    <row r="6282" spans="1:1">
      <c r="A6282" s="35" t="s">
        <v>41057</v>
      </c>
    </row>
    <row r="6283" spans="1:1">
      <c r="A6283" s="35" t="s">
        <v>41057</v>
      </c>
    </row>
    <row r="6284" spans="1:1">
      <c r="A6284" s="35" t="s">
        <v>54949</v>
      </c>
    </row>
    <row r="6285" spans="1:1">
      <c r="A6285" s="35" t="s">
        <v>41057</v>
      </c>
    </row>
    <row r="6286" spans="1:1">
      <c r="A6286" s="35" t="s">
        <v>54950</v>
      </c>
    </row>
    <row r="6287" spans="1:1">
      <c r="A6287" s="35" t="s">
        <v>41057</v>
      </c>
    </row>
    <row r="6288" spans="1:1">
      <c r="A6288" s="35" t="s">
        <v>54951</v>
      </c>
    </row>
    <row r="6289" spans="1:1">
      <c r="A6289" s="35" t="s">
        <v>54952</v>
      </c>
    </row>
    <row r="6290" spans="1:1">
      <c r="A6290" s="35" t="s">
        <v>41057</v>
      </c>
    </row>
    <row r="6291" spans="1:1">
      <c r="A6291" s="35" t="s">
        <v>41057</v>
      </c>
    </row>
    <row r="6292" spans="1:1">
      <c r="A6292" s="35" t="s">
        <v>54623</v>
      </c>
    </row>
    <row r="6293" spans="1:1">
      <c r="A6293" s="35" t="s">
        <v>41057</v>
      </c>
    </row>
    <row r="6294" spans="1:1">
      <c r="A6294" s="35" t="s">
        <v>41057</v>
      </c>
    </row>
    <row r="6295" spans="1:1">
      <c r="A6295" s="35" t="s">
        <v>41057</v>
      </c>
    </row>
    <row r="6296" spans="1:1">
      <c r="A6296" s="35" t="s">
        <v>41057</v>
      </c>
    </row>
    <row r="6297" spans="1:1">
      <c r="A6297" s="35" t="s">
        <v>41057</v>
      </c>
    </row>
    <row r="6298" spans="1:1">
      <c r="A6298" s="35" t="s">
        <v>54953</v>
      </c>
    </row>
    <row r="6299" spans="1:1">
      <c r="A6299" s="35" t="s">
        <v>41057</v>
      </c>
    </row>
    <row r="6300" spans="1:1">
      <c r="A6300" s="35" t="s">
        <v>41057</v>
      </c>
    </row>
    <row r="6301" spans="1:1">
      <c r="A6301" s="35" t="s">
        <v>41057</v>
      </c>
    </row>
    <row r="6302" spans="1:1">
      <c r="A6302" s="35" t="s">
        <v>41057</v>
      </c>
    </row>
    <row r="6303" spans="1:1">
      <c r="A6303" s="35" t="s">
        <v>41057</v>
      </c>
    </row>
    <row r="6304" spans="1:1">
      <c r="A6304" s="35" t="s">
        <v>41057</v>
      </c>
    </row>
    <row r="6305" spans="1:1">
      <c r="A6305" s="35" t="s">
        <v>41057</v>
      </c>
    </row>
    <row r="6306" spans="1:1">
      <c r="A6306" s="35" t="s">
        <v>41057</v>
      </c>
    </row>
    <row r="6307" spans="1:1">
      <c r="A6307" s="35" t="s">
        <v>41057</v>
      </c>
    </row>
    <row r="6308" spans="1:1">
      <c r="A6308" s="35" t="s">
        <v>41057</v>
      </c>
    </row>
    <row r="6309" spans="1:1">
      <c r="A6309" s="35" t="s">
        <v>41057</v>
      </c>
    </row>
    <row r="6310" spans="1:1">
      <c r="A6310" s="35" t="s">
        <v>41057</v>
      </c>
    </row>
    <row r="6311" spans="1:1">
      <c r="A6311" s="35" t="s">
        <v>41057</v>
      </c>
    </row>
    <row r="6312" spans="1:1">
      <c r="A6312" s="35" t="s">
        <v>41057</v>
      </c>
    </row>
    <row r="6313" spans="1:1">
      <c r="A6313" s="35" t="s">
        <v>41057</v>
      </c>
    </row>
    <row r="6314" spans="1:1">
      <c r="A6314" s="35" t="s">
        <v>54954</v>
      </c>
    </row>
    <row r="6315" spans="1:1">
      <c r="A6315" s="35" t="s">
        <v>41057</v>
      </c>
    </row>
    <row r="6316" spans="1:1">
      <c r="A6316" s="35" t="s">
        <v>41057</v>
      </c>
    </row>
    <row r="6317" spans="1:1">
      <c r="A6317" s="35" t="s">
        <v>54955</v>
      </c>
    </row>
    <row r="6318" spans="1:1">
      <c r="A6318" s="35" t="s">
        <v>41057</v>
      </c>
    </row>
    <row r="6319" spans="1:1">
      <c r="A6319" s="35" t="s">
        <v>41057</v>
      </c>
    </row>
    <row r="6320" spans="1:1">
      <c r="A6320" s="35" t="s">
        <v>41057</v>
      </c>
    </row>
    <row r="6321" spans="1:1">
      <c r="A6321" s="35" t="s">
        <v>54956</v>
      </c>
    </row>
    <row r="6322" spans="1:1">
      <c r="A6322" s="35" t="s">
        <v>41057</v>
      </c>
    </row>
    <row r="6323" spans="1:1">
      <c r="A6323" s="35" t="s">
        <v>41057</v>
      </c>
    </row>
    <row r="6324" spans="1:1">
      <c r="A6324" s="35" t="s">
        <v>41057</v>
      </c>
    </row>
    <row r="6325" spans="1:1">
      <c r="A6325" s="35" t="e" cm="1">
        <f t="array" ref="A6325">--------------------------------------------KFKKFAWVRNI---GY</f>
        <v>#NAME?</v>
      </c>
    </row>
    <row r="6326" spans="1:1">
      <c r="A6326" s="35" t="s">
        <v>54957</v>
      </c>
    </row>
    <row r="6327" spans="1:1">
      <c r="A6327" s="35" t="e" cm="1">
        <f t="array" ref="A6327">---------------GEWMYIWSQVTN---------K--S------------------DE</f>
        <v>#NAME?</v>
      </c>
    </row>
    <row r="6328" spans="1:1">
      <c r="A6328" s="35" t="s">
        <v>54958</v>
      </c>
    </row>
    <row r="6329" spans="1:1">
      <c r="A6329" s="35" t="s">
        <v>41057</v>
      </c>
    </row>
    <row r="6330" spans="1:1">
      <c r="A6330" s="35" t="s">
        <v>41057</v>
      </c>
    </row>
    <row r="6331" spans="1:1">
      <c r="A6331" s="35" t="s">
        <v>54959</v>
      </c>
    </row>
    <row r="6332" spans="1:1">
      <c r="A6332" s="35" t="s">
        <v>41057</v>
      </c>
    </row>
    <row r="6333" spans="1:1">
      <c r="A6333" s="35" t="s">
        <v>54451</v>
      </c>
    </row>
    <row r="6334" spans="1:1">
      <c r="A6334" s="35" t="s">
        <v>54960</v>
      </c>
    </row>
    <row r="6335" spans="1:1">
      <c r="A6335" s="35" t="s">
        <v>54961</v>
      </c>
    </row>
    <row r="6336" spans="1:1">
      <c r="A6336" s="35" t="s">
        <v>54962</v>
      </c>
    </row>
    <row r="6337" spans="1:1">
      <c r="A6337" s="35" t="s">
        <v>54963</v>
      </c>
    </row>
    <row r="6338" spans="1:1">
      <c r="A6338" s="35" t="s">
        <v>54964</v>
      </c>
    </row>
    <row r="6339" spans="1:1">
      <c r="A6339" s="35" t="s">
        <v>54965</v>
      </c>
    </row>
    <row r="6340" spans="1:1">
      <c r="A6340" s="35" t="s">
        <v>54966</v>
      </c>
    </row>
    <row r="6341" spans="1:1">
      <c r="A6341" s="35" t="s">
        <v>54967</v>
      </c>
    </row>
    <row r="6342" spans="1:1">
      <c r="A6342" s="35" t="s">
        <v>54968</v>
      </c>
    </row>
    <row r="6343" spans="1:1">
      <c r="A6343" s="35" t="s">
        <v>54969</v>
      </c>
    </row>
    <row r="6344" spans="1:1">
      <c r="A6344" s="35" t="s">
        <v>54970</v>
      </c>
    </row>
    <row r="6345" spans="1:1">
      <c r="A6345" s="35" t="s">
        <v>54409</v>
      </c>
    </row>
    <row r="6346" spans="1:1">
      <c r="A6346" s="35" t="e" cm="1">
        <f t="array" ref="A6346">----------------------------------------------------------YN</f>
        <v>#NAME?</v>
      </c>
    </row>
    <row r="6347" spans="1:1">
      <c r="A6347" s="35" t="s">
        <v>54971</v>
      </c>
    </row>
    <row r="6348" spans="1:1">
      <c r="A6348" s="35" t="s">
        <v>54972</v>
      </c>
    </row>
    <row r="6349" spans="1:1">
      <c r="A6349" s="35" t="s">
        <v>54973</v>
      </c>
    </row>
    <row r="6350" spans="1:1">
      <c r="A6350" s="35" t="s">
        <v>41057</v>
      </c>
    </row>
    <row r="6351" spans="1:1">
      <c r="A6351" s="35" t="s">
        <v>54974</v>
      </c>
    </row>
    <row r="6352" spans="1:1">
      <c r="A6352" s="35" t="s">
        <v>41057</v>
      </c>
    </row>
    <row r="6353" spans="1:1">
      <c r="A6353" s="35" t="s">
        <v>54975</v>
      </c>
    </row>
    <row r="6354" spans="1:1">
      <c r="A6354" s="35" t="s">
        <v>41057</v>
      </c>
    </row>
    <row r="6355" spans="1:1">
      <c r="A6355" s="35" t="s">
        <v>54976</v>
      </c>
    </row>
    <row r="6356" spans="1:1">
      <c r="A6356" s="35" t="s">
        <v>54977</v>
      </c>
    </row>
    <row r="6357" spans="1:1">
      <c r="A6357" s="35" t="s">
        <v>41057</v>
      </c>
    </row>
    <row r="6358" spans="1:1">
      <c r="A6358" s="35" t="s">
        <v>41057</v>
      </c>
    </row>
    <row r="6359" spans="1:1">
      <c r="A6359" s="35" t="s">
        <v>41057</v>
      </c>
    </row>
    <row r="6360" spans="1:1">
      <c r="A6360" s="35" t="e" cm="1">
        <f t="array" ref="A6360">----------------GRTI--------------------------------GENPVTKS</f>
        <v>#NAME?</v>
      </c>
    </row>
    <row r="6361" spans="1:1">
      <c r="A6361" s="35" t="s">
        <v>54978</v>
      </c>
    </row>
    <row r="6362" spans="1:1">
      <c r="A6362" s="35" t="s">
        <v>54979</v>
      </c>
    </row>
    <row r="6363" spans="1:1">
      <c r="A6363" s="35" t="s">
        <v>54980</v>
      </c>
    </row>
    <row r="6364" spans="1:1">
      <c r="A6364" s="35" t="s">
        <v>54981</v>
      </c>
    </row>
    <row r="6365" spans="1:1">
      <c r="A6365" s="35" t="s">
        <v>54982</v>
      </c>
    </row>
    <row r="6366" spans="1:1">
      <c r="A6366" s="35" t="s">
        <v>54983</v>
      </c>
    </row>
    <row r="6367" spans="1:1">
      <c r="A6367" s="35" t="s">
        <v>41057</v>
      </c>
    </row>
    <row r="6368" spans="1:1">
      <c r="A6368" s="35" t="s">
        <v>54984</v>
      </c>
    </row>
    <row r="6369" spans="1:1">
      <c r="A6369" s="35" t="s">
        <v>54985</v>
      </c>
    </row>
    <row r="6370" spans="1:1">
      <c r="A6370" s="35" t="s">
        <v>54986</v>
      </c>
    </row>
    <row r="6371" spans="1:1">
      <c r="A6371" s="35" t="s">
        <v>54987</v>
      </c>
    </row>
    <row r="6372" spans="1:1">
      <c r="A6372" s="35" t="s">
        <v>53545</v>
      </c>
    </row>
    <row r="6373" spans="1:1">
      <c r="A6373" s="35" t="s">
        <v>52158</v>
      </c>
    </row>
    <row r="6374" spans="1:1">
      <c r="A6374" s="35" t="s">
        <v>41057</v>
      </c>
    </row>
    <row r="6375" spans="1:1">
      <c r="A6375" s="35" t="s">
        <v>41057</v>
      </c>
    </row>
    <row r="6376" spans="1:1">
      <c r="A6376" s="35" t="s">
        <v>41057</v>
      </c>
    </row>
    <row r="6377" spans="1:1">
      <c r="A6377" s="35" t="s">
        <v>41057</v>
      </c>
    </row>
    <row r="6378" spans="1:1">
      <c r="A6378" s="35" t="s">
        <v>41057</v>
      </c>
    </row>
    <row r="6379" spans="1:1">
      <c r="A6379" s="35" t="s">
        <v>54096</v>
      </c>
    </row>
    <row r="6380" spans="1:1">
      <c r="A6380" s="35" t="s">
        <v>41057</v>
      </c>
    </row>
    <row r="6381" spans="1:1">
      <c r="A6381" s="35" t="s">
        <v>41057</v>
      </c>
    </row>
    <row r="6382" spans="1:1">
      <c r="A6382" s="35" t="s">
        <v>41057</v>
      </c>
    </row>
    <row r="6383" spans="1:1">
      <c r="A6383" s="35" t="s">
        <v>54344</v>
      </c>
    </row>
    <row r="6384" spans="1:1">
      <c r="A6384" s="35" t="s">
        <v>54945</v>
      </c>
    </row>
    <row r="6385" spans="1:1">
      <c r="A6385" s="35" t="s">
        <v>54946</v>
      </c>
    </row>
    <row r="6386" spans="1:1">
      <c r="A6386" s="35" t="s">
        <v>54618</v>
      </c>
    </row>
    <row r="6387" spans="1:1">
      <c r="A6387" s="35" t="s">
        <v>41057</v>
      </c>
    </row>
    <row r="6388" spans="1:1">
      <c r="A6388" s="35" t="s">
        <v>41057</v>
      </c>
    </row>
    <row r="6389" spans="1:1">
      <c r="A6389" s="35" t="e" cm="1">
        <f t="array" ref="A6389">---------------QITF------------------FKV-------------------V</f>
        <v>#NAME?</v>
      </c>
    </row>
    <row r="6390" spans="1:1">
      <c r="A6390" s="35" t="s">
        <v>54288</v>
      </c>
    </row>
    <row r="6391" spans="1:1">
      <c r="A6391" s="35" t="s">
        <v>54685</v>
      </c>
    </row>
    <row r="6392" spans="1:1">
      <c r="A6392" s="35" t="s">
        <v>41057</v>
      </c>
    </row>
    <row r="6393" spans="1:1">
      <c r="A6393" s="35" t="s">
        <v>54947</v>
      </c>
    </row>
    <row r="6394" spans="1:1">
      <c r="A6394" s="35" t="s">
        <v>41057</v>
      </c>
    </row>
    <row r="6395" spans="1:1">
      <c r="A6395" s="35" t="s">
        <v>41057</v>
      </c>
    </row>
    <row r="6396" spans="1:1">
      <c r="A6396" s="35" t="s">
        <v>54948</v>
      </c>
    </row>
    <row r="6397" spans="1:1">
      <c r="A6397" s="35" t="s">
        <v>41057</v>
      </c>
    </row>
    <row r="6398" spans="1:1">
      <c r="A6398" s="35" t="s">
        <v>41057</v>
      </c>
    </row>
    <row r="6399" spans="1:1">
      <c r="A6399" s="35" t="s">
        <v>53500</v>
      </c>
    </row>
    <row r="6400" spans="1:1">
      <c r="A6400" s="35" t="s">
        <v>41057</v>
      </c>
    </row>
    <row r="6401" spans="1:1">
      <c r="A6401" s="35" t="s">
        <v>41057</v>
      </c>
    </row>
    <row r="6402" spans="1:1">
      <c r="A6402" s="35" t="s">
        <v>54949</v>
      </c>
    </row>
    <row r="6403" spans="1:1">
      <c r="A6403" s="35" t="s">
        <v>41057</v>
      </c>
    </row>
    <row r="6404" spans="1:1">
      <c r="A6404" s="35" t="s">
        <v>54950</v>
      </c>
    </row>
    <row r="6405" spans="1:1">
      <c r="A6405" s="35" t="s">
        <v>41057</v>
      </c>
    </row>
    <row r="6406" spans="1:1">
      <c r="A6406" s="35" t="s">
        <v>54951</v>
      </c>
    </row>
    <row r="6407" spans="1:1">
      <c r="A6407" s="35" t="s">
        <v>54952</v>
      </c>
    </row>
    <row r="6408" spans="1:1">
      <c r="A6408" s="35" t="s">
        <v>41057</v>
      </c>
    </row>
    <row r="6409" spans="1:1">
      <c r="A6409" s="35" t="s">
        <v>41057</v>
      </c>
    </row>
    <row r="6410" spans="1:1">
      <c r="A6410" s="35" t="s">
        <v>54623</v>
      </c>
    </row>
    <row r="6411" spans="1:1">
      <c r="A6411" s="35" t="s">
        <v>41057</v>
      </c>
    </row>
    <row r="6412" spans="1:1">
      <c r="A6412" s="35" t="s">
        <v>41057</v>
      </c>
    </row>
    <row r="6413" spans="1:1">
      <c r="A6413" s="35" t="s">
        <v>41057</v>
      </c>
    </row>
    <row r="6414" spans="1:1">
      <c r="A6414" s="35" t="s">
        <v>41057</v>
      </c>
    </row>
    <row r="6415" spans="1:1">
      <c r="A6415" s="35" t="s">
        <v>41057</v>
      </c>
    </row>
    <row r="6416" spans="1:1">
      <c r="A6416" s="35" t="s">
        <v>54953</v>
      </c>
    </row>
    <row r="6417" spans="1:1">
      <c r="A6417" s="35" t="s">
        <v>41057</v>
      </c>
    </row>
    <row r="6418" spans="1:1">
      <c r="A6418" s="35" t="s">
        <v>41057</v>
      </c>
    </row>
    <row r="6419" spans="1:1">
      <c r="A6419" s="35" t="s">
        <v>41057</v>
      </c>
    </row>
    <row r="6420" spans="1:1">
      <c r="A6420" s="35" t="s">
        <v>41057</v>
      </c>
    </row>
    <row r="6421" spans="1:1">
      <c r="A6421" s="35" t="s">
        <v>41057</v>
      </c>
    </row>
    <row r="6422" spans="1:1">
      <c r="A6422" s="35" t="s">
        <v>41057</v>
      </c>
    </row>
    <row r="6423" spans="1:1">
      <c r="A6423" s="35" t="s">
        <v>41057</v>
      </c>
    </row>
    <row r="6424" spans="1:1">
      <c r="A6424" s="35" t="s">
        <v>41057</v>
      </c>
    </row>
    <row r="6425" spans="1:1">
      <c r="A6425" s="35" t="s">
        <v>41057</v>
      </c>
    </row>
    <row r="6426" spans="1:1">
      <c r="A6426" s="35" t="s">
        <v>41057</v>
      </c>
    </row>
    <row r="6427" spans="1:1">
      <c r="A6427" s="35" t="s">
        <v>41057</v>
      </c>
    </row>
    <row r="6428" spans="1:1">
      <c r="A6428" s="35" t="s">
        <v>41057</v>
      </c>
    </row>
    <row r="6429" spans="1:1">
      <c r="A6429" s="35" t="s">
        <v>41057</v>
      </c>
    </row>
    <row r="6430" spans="1:1">
      <c r="A6430" s="35" t="s">
        <v>41057</v>
      </c>
    </row>
    <row r="6431" spans="1:1">
      <c r="A6431" s="35" t="s">
        <v>41057</v>
      </c>
    </row>
    <row r="6432" spans="1:1">
      <c r="A6432" s="35" t="s">
        <v>54954</v>
      </c>
    </row>
    <row r="6433" spans="1:1">
      <c r="A6433" s="35" t="s">
        <v>41057</v>
      </c>
    </row>
    <row r="6434" spans="1:1">
      <c r="A6434" s="35" t="s">
        <v>41057</v>
      </c>
    </row>
    <row r="6435" spans="1:1">
      <c r="A6435" s="35" t="s">
        <v>54955</v>
      </c>
    </row>
    <row r="6436" spans="1:1">
      <c r="A6436" s="35" t="s">
        <v>41057</v>
      </c>
    </row>
    <row r="6437" spans="1:1">
      <c r="A6437" s="35" t="s">
        <v>41057</v>
      </c>
    </row>
    <row r="6438" spans="1:1">
      <c r="A6438" s="35" t="s">
        <v>41057</v>
      </c>
    </row>
    <row r="6439" spans="1:1">
      <c r="A6439" s="35" t="s">
        <v>54956</v>
      </c>
    </row>
    <row r="6440" spans="1:1">
      <c r="A6440" s="35" t="s">
        <v>41057</v>
      </c>
    </row>
    <row r="6441" spans="1:1">
      <c r="A6441" s="35" t="s">
        <v>41057</v>
      </c>
    </row>
    <row r="6442" spans="1:1">
      <c r="A6442" s="35" t="s">
        <v>41057</v>
      </c>
    </row>
    <row r="6443" spans="1:1">
      <c r="A6443" s="35" t="e" cm="1">
        <f t="array" ref="A6443">--------------------------------------------KFKKFAWVRNI---GY</f>
        <v>#NAME?</v>
      </c>
    </row>
    <row r="6444" spans="1:1">
      <c r="A6444" s="35" t="s">
        <v>54957</v>
      </c>
    </row>
    <row r="6445" spans="1:1">
      <c r="A6445" s="35" t="e" cm="1">
        <f t="array" ref="A6445">---------------GEWMYIWSQVTN---------K--S------------------DE</f>
        <v>#NAME?</v>
      </c>
    </row>
    <row r="6446" spans="1:1">
      <c r="A6446" s="35" t="s">
        <v>54958</v>
      </c>
    </row>
    <row r="6447" spans="1:1">
      <c r="A6447" s="35" t="s">
        <v>41057</v>
      </c>
    </row>
    <row r="6448" spans="1:1">
      <c r="A6448" s="35" t="s">
        <v>41057</v>
      </c>
    </row>
    <row r="6449" spans="1:1">
      <c r="A6449" s="35" t="s">
        <v>54959</v>
      </c>
    </row>
    <row r="6450" spans="1:1">
      <c r="A6450" s="35" t="s">
        <v>41057</v>
      </c>
    </row>
    <row r="6451" spans="1:1">
      <c r="A6451" s="35" t="s">
        <v>54451</v>
      </c>
    </row>
    <row r="6452" spans="1:1">
      <c r="A6452" s="35" t="s">
        <v>54960</v>
      </c>
    </row>
    <row r="6453" spans="1:1">
      <c r="A6453" s="35" t="s">
        <v>54961</v>
      </c>
    </row>
    <row r="6454" spans="1:1">
      <c r="A6454" s="35" t="s">
        <v>54962</v>
      </c>
    </row>
    <row r="6455" spans="1:1">
      <c r="A6455" s="35" t="s">
        <v>54963</v>
      </c>
    </row>
    <row r="6456" spans="1:1">
      <c r="A6456" s="35" t="s">
        <v>54964</v>
      </c>
    </row>
    <row r="6457" spans="1:1">
      <c r="A6457" s="35" t="s">
        <v>54965</v>
      </c>
    </row>
    <row r="6458" spans="1:1">
      <c r="A6458" s="35" t="s">
        <v>54966</v>
      </c>
    </row>
    <row r="6459" spans="1:1">
      <c r="A6459" s="35" t="s">
        <v>54967</v>
      </c>
    </row>
    <row r="6460" spans="1:1">
      <c r="A6460" s="35" t="s">
        <v>54968</v>
      </c>
    </row>
    <row r="6461" spans="1:1">
      <c r="A6461" s="35" t="s">
        <v>54969</v>
      </c>
    </row>
    <row r="6462" spans="1:1">
      <c r="A6462" s="35" t="s">
        <v>54970</v>
      </c>
    </row>
    <row r="6463" spans="1:1">
      <c r="A6463" s="35" t="s">
        <v>54409</v>
      </c>
    </row>
    <row r="6464" spans="1:1">
      <c r="A6464" s="35" t="e" cm="1">
        <f t="array" ref="A6464">----------------------------------------------------------YN</f>
        <v>#NAME?</v>
      </c>
    </row>
    <row r="6465" spans="1:1">
      <c r="A6465" s="35" t="s">
        <v>54971</v>
      </c>
    </row>
    <row r="6466" spans="1:1">
      <c r="A6466" s="35" t="s">
        <v>54972</v>
      </c>
    </row>
    <row r="6467" spans="1:1">
      <c r="A6467" s="35" t="s">
        <v>54973</v>
      </c>
    </row>
    <row r="6468" spans="1:1">
      <c r="A6468" s="35" t="s">
        <v>41057</v>
      </c>
    </row>
    <row r="6469" spans="1:1">
      <c r="A6469" s="35" t="s">
        <v>54974</v>
      </c>
    </row>
    <row r="6470" spans="1:1">
      <c r="A6470" s="35" t="s">
        <v>41057</v>
      </c>
    </row>
    <row r="6471" spans="1:1">
      <c r="A6471" s="35" t="s">
        <v>54975</v>
      </c>
    </row>
    <row r="6472" spans="1:1">
      <c r="A6472" s="35" t="s">
        <v>41057</v>
      </c>
    </row>
    <row r="6473" spans="1:1">
      <c r="A6473" s="35" t="s">
        <v>54976</v>
      </c>
    </row>
    <row r="6474" spans="1:1">
      <c r="A6474" s="35" t="s">
        <v>54988</v>
      </c>
    </row>
    <row r="6475" spans="1:1">
      <c r="A6475" s="35" t="s">
        <v>41057</v>
      </c>
    </row>
    <row r="6476" spans="1:1">
      <c r="A6476" s="35" t="s">
        <v>41057</v>
      </c>
    </row>
    <row r="6477" spans="1:1">
      <c r="A6477" s="35" t="s">
        <v>41057</v>
      </c>
    </row>
    <row r="6478" spans="1:1">
      <c r="A6478" s="35" t="e" cm="1">
        <f t="array" ref="A6478">----------------GRTI--------------------------------GENPVTKS</f>
        <v>#NAME?</v>
      </c>
    </row>
    <row r="6479" spans="1:1">
      <c r="A6479" s="35" t="s">
        <v>54978</v>
      </c>
    </row>
    <row r="6480" spans="1:1">
      <c r="A6480" s="35" t="s">
        <v>54979</v>
      </c>
    </row>
    <row r="6481" spans="1:1">
      <c r="A6481" s="35" t="s">
        <v>54980</v>
      </c>
    </row>
    <row r="6482" spans="1:1">
      <c r="A6482" s="35" t="s">
        <v>54981</v>
      </c>
    </row>
    <row r="6483" spans="1:1">
      <c r="A6483" s="35" t="s">
        <v>54982</v>
      </c>
    </row>
    <row r="6484" spans="1:1">
      <c r="A6484" s="35" t="s">
        <v>54983</v>
      </c>
    </row>
    <row r="6485" spans="1:1">
      <c r="A6485" s="35" t="s">
        <v>41057</v>
      </c>
    </row>
    <row r="6486" spans="1:1">
      <c r="A6486" s="35" t="s">
        <v>54984</v>
      </c>
    </row>
    <row r="6487" spans="1:1">
      <c r="A6487" s="35" t="s">
        <v>54985</v>
      </c>
    </row>
    <row r="6488" spans="1:1">
      <c r="A6488" s="35" t="s">
        <v>54986</v>
      </c>
    </row>
    <row r="6489" spans="1:1">
      <c r="A6489" s="35" t="s">
        <v>54987</v>
      </c>
    </row>
    <row r="6490" spans="1:1">
      <c r="A6490" s="35" t="s">
        <v>53545</v>
      </c>
    </row>
    <row r="6491" spans="1:1">
      <c r="A6491" s="35" t="s">
        <v>54989</v>
      </c>
    </row>
    <row r="6492" spans="1:1">
      <c r="A6492" s="35" t="s">
        <v>41057</v>
      </c>
    </row>
    <row r="6493" spans="1:1">
      <c r="A6493" s="35" t="s">
        <v>41057</v>
      </c>
    </row>
    <row r="6494" spans="1:1">
      <c r="A6494" s="35" t="s">
        <v>41057</v>
      </c>
    </row>
    <row r="6495" spans="1:1">
      <c r="A6495" s="35" t="s">
        <v>41057</v>
      </c>
    </row>
    <row r="6496" spans="1:1">
      <c r="A6496" s="35" t="s">
        <v>54990</v>
      </c>
    </row>
    <row r="6497" spans="1:1">
      <c r="A6497" s="35" t="s">
        <v>53706</v>
      </c>
    </row>
    <row r="6498" spans="1:1">
      <c r="A6498" s="35" t="s">
        <v>41057</v>
      </c>
    </row>
    <row r="6499" spans="1:1">
      <c r="A6499" s="35" t="s">
        <v>41057</v>
      </c>
    </row>
    <row r="6500" spans="1:1">
      <c r="A6500" s="35" t="s">
        <v>41057</v>
      </c>
    </row>
    <row r="6501" spans="1:1">
      <c r="A6501" s="35" t="s">
        <v>54991</v>
      </c>
    </row>
    <row r="6502" spans="1:1">
      <c r="A6502" s="35" t="s">
        <v>54992</v>
      </c>
    </row>
    <row r="6503" spans="1:1">
      <c r="A6503" s="35" t="s">
        <v>54993</v>
      </c>
    </row>
    <row r="6504" spans="1:1">
      <c r="A6504" s="35" t="s">
        <v>54994</v>
      </c>
    </row>
    <row r="6505" spans="1:1">
      <c r="A6505" s="35" t="s">
        <v>41057</v>
      </c>
    </row>
    <row r="6506" spans="1:1">
      <c r="A6506" s="35" t="s">
        <v>41057</v>
      </c>
    </row>
    <row r="6507" spans="1:1">
      <c r="A6507" s="35" t="e" cm="1">
        <f t="array" ref="A6507">---------------QITY------------------FKV-------------------I</f>
        <v>#NAME?</v>
      </c>
    </row>
    <row r="6508" spans="1:1">
      <c r="A6508" s="35" t="s">
        <v>54288</v>
      </c>
    </row>
    <row r="6509" spans="1:1">
      <c r="A6509" s="35" t="s">
        <v>54995</v>
      </c>
    </row>
    <row r="6510" spans="1:1">
      <c r="A6510" s="35" t="s">
        <v>41057</v>
      </c>
    </row>
    <row r="6511" spans="1:1">
      <c r="A6511" s="35" t="s">
        <v>54996</v>
      </c>
    </row>
    <row r="6512" spans="1:1">
      <c r="A6512" s="35" t="s">
        <v>41057</v>
      </c>
    </row>
    <row r="6513" spans="1:1">
      <c r="A6513" s="35" t="s">
        <v>41057</v>
      </c>
    </row>
    <row r="6514" spans="1:1">
      <c r="A6514" s="35" t="s">
        <v>54997</v>
      </c>
    </row>
    <row r="6515" spans="1:1">
      <c r="A6515" s="35" t="s">
        <v>41057</v>
      </c>
    </row>
    <row r="6516" spans="1:1">
      <c r="A6516" s="35" t="s">
        <v>41057</v>
      </c>
    </row>
    <row r="6517" spans="1:1">
      <c r="A6517" s="35" t="s">
        <v>53500</v>
      </c>
    </row>
    <row r="6518" spans="1:1">
      <c r="A6518" s="35" t="s">
        <v>41057</v>
      </c>
    </row>
    <row r="6519" spans="1:1">
      <c r="A6519" s="35" t="s">
        <v>41057</v>
      </c>
    </row>
    <row r="6520" spans="1:1">
      <c r="A6520" s="35" t="s">
        <v>54998</v>
      </c>
    </row>
    <row r="6521" spans="1:1">
      <c r="A6521" s="35" t="s">
        <v>41057</v>
      </c>
    </row>
    <row r="6522" spans="1:1">
      <c r="A6522" s="35" t="s">
        <v>54999</v>
      </c>
    </row>
    <row r="6523" spans="1:1">
      <c r="A6523" s="35" t="s">
        <v>41057</v>
      </c>
    </row>
    <row r="6524" spans="1:1">
      <c r="A6524" s="35" t="s">
        <v>55000</v>
      </c>
    </row>
    <row r="6525" spans="1:1">
      <c r="A6525" s="35" t="s">
        <v>55001</v>
      </c>
    </row>
    <row r="6526" spans="1:1">
      <c r="A6526" s="35" t="s">
        <v>41057</v>
      </c>
    </row>
    <row r="6527" spans="1:1">
      <c r="A6527" s="35" t="s">
        <v>41057</v>
      </c>
    </row>
    <row r="6528" spans="1:1">
      <c r="A6528" s="35" t="s">
        <v>53681</v>
      </c>
    </row>
    <row r="6529" spans="1:1">
      <c r="A6529" s="35" t="s">
        <v>41057</v>
      </c>
    </row>
    <row r="6530" spans="1:1">
      <c r="A6530" s="35" t="s">
        <v>41057</v>
      </c>
    </row>
    <row r="6531" spans="1:1">
      <c r="A6531" s="35" t="s">
        <v>41057</v>
      </c>
    </row>
    <row r="6532" spans="1:1">
      <c r="A6532" s="35" t="s">
        <v>41057</v>
      </c>
    </row>
    <row r="6533" spans="1:1">
      <c r="A6533" s="35" t="s">
        <v>41057</v>
      </c>
    </row>
    <row r="6534" spans="1:1">
      <c r="A6534" s="35" t="s">
        <v>55002</v>
      </c>
    </row>
    <row r="6535" spans="1:1">
      <c r="A6535" s="35" t="s">
        <v>41057</v>
      </c>
    </row>
    <row r="6536" spans="1:1">
      <c r="A6536" s="35" t="s">
        <v>41057</v>
      </c>
    </row>
    <row r="6537" spans="1:1">
      <c r="A6537" s="35" t="s">
        <v>41057</v>
      </c>
    </row>
    <row r="6538" spans="1:1">
      <c r="A6538" s="35" t="s">
        <v>41057</v>
      </c>
    </row>
    <row r="6539" spans="1:1">
      <c r="A6539" s="35" t="s">
        <v>41057</v>
      </c>
    </row>
    <row r="6540" spans="1:1">
      <c r="A6540" s="35" t="s">
        <v>41057</v>
      </c>
    </row>
    <row r="6541" spans="1:1">
      <c r="A6541" s="35" t="s">
        <v>41057</v>
      </c>
    </row>
    <row r="6542" spans="1:1">
      <c r="A6542" s="35" t="s">
        <v>41057</v>
      </c>
    </row>
    <row r="6543" spans="1:1">
      <c r="A6543" s="35" t="s">
        <v>41057</v>
      </c>
    </row>
    <row r="6544" spans="1:1">
      <c r="A6544" s="35" t="s">
        <v>41057</v>
      </c>
    </row>
    <row r="6545" spans="1:1">
      <c r="A6545" s="35" t="s">
        <v>41057</v>
      </c>
    </row>
    <row r="6546" spans="1:1">
      <c r="A6546" s="35" t="s">
        <v>41057</v>
      </c>
    </row>
    <row r="6547" spans="1:1">
      <c r="A6547" s="35" t="s">
        <v>41057</v>
      </c>
    </row>
    <row r="6548" spans="1:1">
      <c r="A6548" s="35" t="s">
        <v>41057</v>
      </c>
    </row>
    <row r="6549" spans="1:1">
      <c r="A6549" s="35" t="s">
        <v>41057</v>
      </c>
    </row>
    <row r="6550" spans="1:1">
      <c r="A6550" s="35" t="s">
        <v>55003</v>
      </c>
    </row>
    <row r="6551" spans="1:1">
      <c r="A6551" s="35" t="s">
        <v>41057</v>
      </c>
    </row>
    <row r="6552" spans="1:1">
      <c r="A6552" s="35" t="s">
        <v>41057</v>
      </c>
    </row>
    <row r="6553" spans="1:1">
      <c r="A6553" s="35" t="s">
        <v>55004</v>
      </c>
    </row>
    <row r="6554" spans="1:1">
      <c r="A6554" s="35" t="s">
        <v>41057</v>
      </c>
    </row>
    <row r="6555" spans="1:1">
      <c r="A6555" s="35" t="s">
        <v>41057</v>
      </c>
    </row>
    <row r="6556" spans="1:1">
      <c r="A6556" s="35" t="s">
        <v>41057</v>
      </c>
    </row>
    <row r="6557" spans="1:1">
      <c r="A6557" s="35" t="s">
        <v>55005</v>
      </c>
    </row>
    <row r="6558" spans="1:1">
      <c r="A6558" s="35" t="s">
        <v>41057</v>
      </c>
    </row>
    <row r="6559" spans="1:1">
      <c r="A6559" s="35" t="s">
        <v>41057</v>
      </c>
    </row>
    <row r="6560" spans="1:1">
      <c r="A6560" s="35" t="s">
        <v>55006</v>
      </c>
    </row>
    <row r="6561" spans="1:1">
      <c r="A6561" s="35" t="e" cm="1">
        <f t="array" ref="A6561">-------------------------------------------SDHNRFAWVRKL---GY</f>
        <v>#NAME?</v>
      </c>
    </row>
    <row r="6562" spans="1:1">
      <c r="A6562" s="35" t="s">
        <v>55007</v>
      </c>
    </row>
    <row r="6563" spans="1:1">
      <c r="A6563" s="35" t="e" cm="1">
        <f t="array" ref="A6563">---------------GEWLNLWNEMMG---------P--N------------------DR</f>
        <v>#NAME?</v>
      </c>
    </row>
    <row r="6564" spans="1:1">
      <c r="A6564" s="35" t="s">
        <v>55008</v>
      </c>
    </row>
    <row r="6565" spans="1:1">
      <c r="A6565" s="35" t="s">
        <v>41057</v>
      </c>
    </row>
    <row r="6566" spans="1:1">
      <c r="A6566" s="35" t="s">
        <v>41057</v>
      </c>
    </row>
    <row r="6567" spans="1:1">
      <c r="A6567" s="35" t="s">
        <v>55009</v>
      </c>
    </row>
    <row r="6568" spans="1:1">
      <c r="A6568" s="35" t="s">
        <v>41057</v>
      </c>
    </row>
    <row r="6569" spans="1:1">
      <c r="A6569" s="35" t="s">
        <v>54451</v>
      </c>
    </row>
    <row r="6570" spans="1:1">
      <c r="A6570" s="35" t="s">
        <v>55010</v>
      </c>
    </row>
    <row r="6571" spans="1:1">
      <c r="A6571" s="35" t="s">
        <v>55011</v>
      </c>
    </row>
    <row r="6572" spans="1:1">
      <c r="A6572" s="35" t="s">
        <v>55012</v>
      </c>
    </row>
    <row r="6573" spans="1:1">
      <c r="A6573" s="35" t="s">
        <v>55013</v>
      </c>
    </row>
    <row r="6574" spans="1:1">
      <c r="A6574" s="35" t="s">
        <v>55014</v>
      </c>
    </row>
    <row r="6575" spans="1:1">
      <c r="A6575" s="35" t="s">
        <v>55015</v>
      </c>
    </row>
    <row r="6576" spans="1:1">
      <c r="A6576" s="35" t="s">
        <v>55016</v>
      </c>
    </row>
    <row r="6577" spans="1:1">
      <c r="A6577" s="35" t="s">
        <v>55017</v>
      </c>
    </row>
    <row r="6578" spans="1:1">
      <c r="A6578" s="35" t="s">
        <v>55018</v>
      </c>
    </row>
    <row r="6579" spans="1:1">
      <c r="A6579" s="35" t="s">
        <v>55019</v>
      </c>
    </row>
    <row r="6580" spans="1:1">
      <c r="A6580" s="35" t="s">
        <v>55020</v>
      </c>
    </row>
    <row r="6581" spans="1:1">
      <c r="A6581" s="35" t="s">
        <v>55021</v>
      </c>
    </row>
    <row r="6582" spans="1:1">
      <c r="A6582" s="35" t="e" cm="1">
        <f t="array" ref="A6582">----------------------------------------------------------YT</f>
        <v>#NAME?</v>
      </c>
    </row>
    <row r="6583" spans="1:1">
      <c r="A6583" s="35" t="s">
        <v>55022</v>
      </c>
    </row>
    <row r="6584" spans="1:1">
      <c r="A6584" s="35" t="s">
        <v>55023</v>
      </c>
    </row>
    <row r="6585" spans="1:1">
      <c r="A6585" s="35" t="s">
        <v>54494</v>
      </c>
    </row>
    <row r="6586" spans="1:1">
      <c r="A6586" s="35" t="s">
        <v>41057</v>
      </c>
    </row>
    <row r="6587" spans="1:1">
      <c r="A6587" s="35" t="s">
        <v>55024</v>
      </c>
    </row>
    <row r="6588" spans="1:1">
      <c r="A6588" s="35" t="s">
        <v>41057</v>
      </c>
    </row>
    <row r="6589" spans="1:1">
      <c r="A6589" s="35" t="s">
        <v>55025</v>
      </c>
    </row>
    <row r="6590" spans="1:1">
      <c r="A6590" s="35" t="s">
        <v>41057</v>
      </c>
    </row>
    <row r="6591" spans="1:1">
      <c r="A6591" s="35" t="s">
        <v>55026</v>
      </c>
    </row>
    <row r="6592" spans="1:1">
      <c r="A6592" s="35" t="s">
        <v>55027</v>
      </c>
    </row>
    <row r="6593" spans="1:1">
      <c r="A6593" s="35" t="s">
        <v>41057</v>
      </c>
    </row>
    <row r="6594" spans="1:1">
      <c r="A6594" s="35" t="s">
        <v>55028</v>
      </c>
    </row>
    <row r="6595" spans="1:1">
      <c r="A6595" s="35" t="s">
        <v>41057</v>
      </c>
    </row>
    <row r="6596" spans="1:1">
      <c r="A6596" s="35" t="e" cm="1">
        <f t="array" ref="A6596">----------------GDPV--------------------------------GSTPIQSE</f>
        <v>#NAME?</v>
      </c>
    </row>
    <row r="6597" spans="1:1">
      <c r="A6597" s="35" t="s">
        <v>55029</v>
      </c>
    </row>
    <row r="6598" spans="1:1">
      <c r="A6598" s="35" t="s">
        <v>55030</v>
      </c>
    </row>
    <row r="6599" spans="1:1">
      <c r="A6599" s="35" t="s">
        <v>55031</v>
      </c>
    </row>
    <row r="6600" spans="1:1">
      <c r="A6600" s="35" t="s">
        <v>55032</v>
      </c>
    </row>
    <row r="6601" spans="1:1">
      <c r="A6601" s="35" t="s">
        <v>55033</v>
      </c>
    </row>
    <row r="6602" spans="1:1">
      <c r="A6602" s="35" t="s">
        <v>55034</v>
      </c>
    </row>
    <row r="6603" spans="1:1">
      <c r="A6603" s="35" t="s">
        <v>41057</v>
      </c>
    </row>
    <row r="6604" spans="1:1">
      <c r="A6604" s="35" t="s">
        <v>55035</v>
      </c>
    </row>
    <row r="6605" spans="1:1">
      <c r="A6605" s="35" t="s">
        <v>55036</v>
      </c>
    </row>
    <row r="6606" spans="1:1">
      <c r="A6606" s="35" t="s">
        <v>55037</v>
      </c>
    </row>
    <row r="6607" spans="1:1">
      <c r="A6607" s="35" t="s">
        <v>53633</v>
      </c>
    </row>
    <row r="6608" spans="1:1">
      <c r="A6608" s="35" t="s">
        <v>53545</v>
      </c>
    </row>
    <row r="6609" spans="1:1">
      <c r="A6609" s="35" t="s">
        <v>55038</v>
      </c>
    </row>
    <row r="6610" spans="1:1">
      <c r="A6610" s="35" t="s">
        <v>41057</v>
      </c>
    </row>
    <row r="6611" spans="1:1">
      <c r="A6611" s="35" t="s">
        <v>41057</v>
      </c>
    </row>
    <row r="6612" spans="1:1">
      <c r="A6612" s="35" t="s">
        <v>55039</v>
      </c>
    </row>
    <row r="6613" spans="1:1">
      <c r="A6613" s="35" t="s">
        <v>55040</v>
      </c>
    </row>
    <row r="6614" spans="1:1">
      <c r="A6614" s="35" t="s">
        <v>55041</v>
      </c>
    </row>
    <row r="6615" spans="1:1">
      <c r="A6615" s="35" t="s">
        <v>54096</v>
      </c>
    </row>
    <row r="6616" spans="1:1">
      <c r="A6616" s="35" t="s">
        <v>41057</v>
      </c>
    </row>
    <row r="6617" spans="1:1">
      <c r="A6617" s="35" t="s">
        <v>41057</v>
      </c>
    </row>
    <row r="6618" spans="1:1">
      <c r="A6618" s="35" t="s">
        <v>41057</v>
      </c>
    </row>
    <row r="6619" spans="1:1">
      <c r="A6619" s="35" t="s">
        <v>54097</v>
      </c>
    </row>
    <row r="6620" spans="1:1">
      <c r="A6620" s="35" t="s">
        <v>54098</v>
      </c>
    </row>
    <row r="6621" spans="1:1">
      <c r="A6621" s="35" t="s">
        <v>54345</v>
      </c>
    </row>
    <row r="6622" spans="1:1">
      <c r="A6622" s="35" t="s">
        <v>54100</v>
      </c>
    </row>
    <row r="6623" spans="1:1">
      <c r="A6623" s="35" t="s">
        <v>41057</v>
      </c>
    </row>
    <row r="6624" spans="1:1">
      <c r="A6624" s="35" t="s">
        <v>41057</v>
      </c>
    </row>
    <row r="6625" spans="1:1">
      <c r="A6625" s="35" t="e" cm="1">
        <f t="array" ref="A6625">---------------QITF------------------FKT-------------------I</f>
        <v>#NAME?</v>
      </c>
    </row>
    <row r="6626" spans="1:1">
      <c r="A6626" s="35" t="s">
        <v>53901</v>
      </c>
    </row>
    <row r="6627" spans="1:1">
      <c r="A6627" s="35" t="s">
        <v>55042</v>
      </c>
    </row>
    <row r="6628" spans="1:1">
      <c r="A6628" s="35" t="s">
        <v>41057</v>
      </c>
    </row>
    <row r="6629" spans="1:1">
      <c r="A6629" s="35" t="s">
        <v>55043</v>
      </c>
    </row>
    <row r="6630" spans="1:1">
      <c r="A6630" s="35" t="s">
        <v>41057</v>
      </c>
    </row>
    <row r="6631" spans="1:1">
      <c r="A6631" s="35" t="s">
        <v>41057</v>
      </c>
    </row>
    <row r="6632" spans="1:1">
      <c r="A6632" s="35" t="s">
        <v>55044</v>
      </c>
    </row>
    <row r="6633" spans="1:1">
      <c r="A6633" s="35" t="s">
        <v>41057</v>
      </c>
    </row>
    <row r="6634" spans="1:1">
      <c r="A6634" s="35" t="s">
        <v>41057</v>
      </c>
    </row>
    <row r="6635" spans="1:1">
      <c r="A6635" s="35" t="s">
        <v>55045</v>
      </c>
    </row>
    <row r="6636" spans="1:1">
      <c r="A6636" s="35" t="s">
        <v>41057</v>
      </c>
    </row>
    <row r="6637" spans="1:1">
      <c r="A6637" s="35" t="s">
        <v>41057</v>
      </c>
    </row>
    <row r="6638" spans="1:1">
      <c r="A6638" s="35" t="s">
        <v>55046</v>
      </c>
    </row>
    <row r="6639" spans="1:1">
      <c r="A6639" s="35" t="s">
        <v>41057</v>
      </c>
    </row>
    <row r="6640" spans="1:1">
      <c r="A6640" s="35" t="s">
        <v>55047</v>
      </c>
    </row>
    <row r="6641" spans="1:1">
      <c r="A6641" s="35" t="s">
        <v>41057</v>
      </c>
    </row>
    <row r="6642" spans="1:1">
      <c r="A6642" s="35" t="s">
        <v>55048</v>
      </c>
    </row>
    <row r="6643" spans="1:1">
      <c r="A6643" s="35" t="s">
        <v>55049</v>
      </c>
    </row>
    <row r="6644" spans="1:1">
      <c r="A6644" s="35" t="s">
        <v>41057</v>
      </c>
    </row>
    <row r="6645" spans="1:1">
      <c r="A6645" s="35" t="s">
        <v>41057</v>
      </c>
    </row>
    <row r="6646" spans="1:1">
      <c r="A6646" s="35" t="s">
        <v>54771</v>
      </c>
    </row>
    <row r="6647" spans="1:1">
      <c r="A6647" s="35" t="s">
        <v>41057</v>
      </c>
    </row>
    <row r="6648" spans="1:1">
      <c r="A6648" s="35" t="s">
        <v>41057</v>
      </c>
    </row>
    <row r="6649" spans="1:1">
      <c r="A6649" s="35" t="s">
        <v>41057</v>
      </c>
    </row>
    <row r="6650" spans="1:1">
      <c r="A6650" s="35" t="s">
        <v>41057</v>
      </c>
    </row>
    <row r="6651" spans="1:1">
      <c r="A6651" s="35" t="s">
        <v>41057</v>
      </c>
    </row>
    <row r="6652" spans="1:1">
      <c r="A6652" s="35" t="s">
        <v>55050</v>
      </c>
    </row>
    <row r="6653" spans="1:1">
      <c r="A6653" s="35" t="s">
        <v>41057</v>
      </c>
    </row>
    <row r="6654" spans="1:1">
      <c r="A6654" s="35" t="s">
        <v>41057</v>
      </c>
    </row>
    <row r="6655" spans="1:1">
      <c r="A6655" s="35" t="s">
        <v>41057</v>
      </c>
    </row>
    <row r="6656" spans="1:1">
      <c r="A6656" s="35" t="s">
        <v>41057</v>
      </c>
    </row>
    <row r="6657" spans="1:1">
      <c r="A6657" s="35" t="s">
        <v>41057</v>
      </c>
    </row>
    <row r="6658" spans="1:1">
      <c r="A6658" s="35" t="s">
        <v>41057</v>
      </c>
    </row>
    <row r="6659" spans="1:1">
      <c r="A6659" s="35" t="s">
        <v>41057</v>
      </c>
    </row>
    <row r="6660" spans="1:1">
      <c r="A6660" s="35" t="s">
        <v>41057</v>
      </c>
    </row>
    <row r="6661" spans="1:1">
      <c r="A6661" s="35" t="s">
        <v>41057</v>
      </c>
    </row>
    <row r="6662" spans="1:1">
      <c r="A6662" s="35" t="s">
        <v>41057</v>
      </c>
    </row>
    <row r="6663" spans="1:1">
      <c r="A6663" s="35" t="s">
        <v>41057</v>
      </c>
    </row>
    <row r="6664" spans="1:1">
      <c r="A6664" s="35" t="s">
        <v>41057</v>
      </c>
    </row>
    <row r="6665" spans="1:1">
      <c r="A6665" s="35" t="s">
        <v>41057</v>
      </c>
    </row>
    <row r="6666" spans="1:1">
      <c r="A6666" s="35" t="s">
        <v>41057</v>
      </c>
    </row>
    <row r="6667" spans="1:1">
      <c r="A6667" s="35" t="s">
        <v>41057</v>
      </c>
    </row>
    <row r="6668" spans="1:1">
      <c r="A6668" s="35" t="s">
        <v>55051</v>
      </c>
    </row>
    <row r="6669" spans="1:1">
      <c r="A6669" s="35" t="s">
        <v>41057</v>
      </c>
    </row>
    <row r="6670" spans="1:1">
      <c r="A6670" s="35" t="s">
        <v>41057</v>
      </c>
    </row>
    <row r="6671" spans="1:1">
      <c r="A6671" s="35" t="s">
        <v>41057</v>
      </c>
    </row>
    <row r="6672" spans="1:1">
      <c r="A6672" s="35" t="s">
        <v>41057</v>
      </c>
    </row>
    <row r="6673" spans="1:1">
      <c r="A6673" s="35" t="s">
        <v>41057</v>
      </c>
    </row>
    <row r="6674" spans="1:1">
      <c r="A6674" s="35" t="s">
        <v>41057</v>
      </c>
    </row>
    <row r="6675" spans="1:1">
      <c r="A6675" s="35" t="s">
        <v>41057</v>
      </c>
    </row>
    <row r="6676" spans="1:1">
      <c r="A6676" s="35" t="s">
        <v>41057</v>
      </c>
    </row>
    <row r="6677" spans="1:1">
      <c r="A6677" s="35" t="s">
        <v>41057</v>
      </c>
    </row>
    <row r="6678" spans="1:1">
      <c r="A6678" s="35" t="s">
        <v>41057</v>
      </c>
    </row>
    <row r="6679" spans="1:1">
      <c r="A6679" s="35" t="e" cm="1">
        <f t="array" ref="A6679">---------------------------------------------AEKFQWVENL---GE</f>
        <v>#NAME?</v>
      </c>
    </row>
    <row r="6680" spans="1:1">
      <c r="A6680" s="35" t="s">
        <v>55052</v>
      </c>
    </row>
    <row r="6681" spans="1:1">
      <c r="A6681" s="35" t="e" cm="1">
        <f t="array" ref="A6681">---------------SQWLNIWSQLTI---------TRSK------------------RK</f>
        <v>#NAME?</v>
      </c>
    </row>
    <row r="6682" spans="1:1">
      <c r="A6682" s="35" t="s">
        <v>55053</v>
      </c>
    </row>
    <row r="6683" spans="1:1">
      <c r="A6683" s="35" t="s">
        <v>55054</v>
      </c>
    </row>
    <row r="6684" spans="1:1">
      <c r="A6684" s="35" t="s">
        <v>41057</v>
      </c>
    </row>
    <row r="6685" spans="1:1">
      <c r="A6685" s="35" t="s">
        <v>55055</v>
      </c>
    </row>
    <row r="6686" spans="1:1">
      <c r="A6686" s="35" t="s">
        <v>41057</v>
      </c>
    </row>
    <row r="6687" spans="1:1">
      <c r="A6687" s="35" t="s">
        <v>54929</v>
      </c>
    </row>
    <row r="6688" spans="1:1">
      <c r="A6688" s="35" t="s">
        <v>55056</v>
      </c>
    </row>
    <row r="6689" spans="1:1">
      <c r="A6689" s="35" t="s">
        <v>55057</v>
      </c>
    </row>
    <row r="6690" spans="1:1">
      <c r="A6690" s="35" t="s">
        <v>55058</v>
      </c>
    </row>
    <row r="6691" spans="1:1">
      <c r="A6691" s="35" t="s">
        <v>55059</v>
      </c>
    </row>
    <row r="6692" spans="1:1">
      <c r="A6692" s="35" t="s">
        <v>41057</v>
      </c>
    </row>
    <row r="6693" spans="1:1">
      <c r="A6693" s="35" t="s">
        <v>55060</v>
      </c>
    </row>
    <row r="6694" spans="1:1">
      <c r="A6694" s="35" t="s">
        <v>55061</v>
      </c>
    </row>
    <row r="6695" spans="1:1">
      <c r="A6695" s="35" t="s">
        <v>55062</v>
      </c>
    </row>
    <row r="6696" spans="1:1">
      <c r="A6696" s="35" t="s">
        <v>55063</v>
      </c>
    </row>
    <row r="6697" spans="1:1">
      <c r="A6697" s="35" t="s">
        <v>55064</v>
      </c>
    </row>
    <row r="6698" spans="1:1">
      <c r="A6698" s="35" t="s">
        <v>55065</v>
      </c>
    </row>
    <row r="6699" spans="1:1">
      <c r="A6699" s="35" t="s">
        <v>55066</v>
      </c>
    </row>
    <row r="6700" spans="1:1">
      <c r="A6700" s="35" t="e" cm="1">
        <f t="array" ref="A6700">---------------------------------------------------------LFG</f>
        <v>#NAME?</v>
      </c>
    </row>
    <row r="6701" spans="1:1">
      <c r="A6701" s="35" t="s">
        <v>55067</v>
      </c>
    </row>
    <row r="6702" spans="1:1">
      <c r="A6702" s="35" t="s">
        <v>41057</v>
      </c>
    </row>
    <row r="6703" spans="1:1">
      <c r="A6703" s="35" t="s">
        <v>55068</v>
      </c>
    </row>
    <row r="6704" spans="1:1">
      <c r="A6704" s="35" t="s">
        <v>41057</v>
      </c>
    </row>
    <row r="6705" spans="1:1">
      <c r="A6705" s="35" t="s">
        <v>55069</v>
      </c>
    </row>
    <row r="6706" spans="1:1">
      <c r="A6706" s="35" t="s">
        <v>55070</v>
      </c>
    </row>
    <row r="6707" spans="1:1">
      <c r="A6707" s="35" t="s">
        <v>55071</v>
      </c>
    </row>
    <row r="6708" spans="1:1">
      <c r="A6708" s="35" t="s">
        <v>41057</v>
      </c>
    </row>
    <row r="6709" spans="1:1">
      <c r="A6709" s="35" t="s">
        <v>55072</v>
      </c>
    </row>
    <row r="6710" spans="1:1">
      <c r="A6710" s="35" t="s">
        <v>55073</v>
      </c>
    </row>
    <row r="6711" spans="1:1">
      <c r="A6711" s="35" t="s">
        <v>55074</v>
      </c>
    </row>
    <row r="6712" spans="1:1">
      <c r="A6712" s="35" t="e" cm="1">
        <f t="array" ref="A6712">----------------------------------------------------------ND</f>
        <v>#NAME?</v>
      </c>
    </row>
    <row r="6713" spans="1:1">
      <c r="A6713" s="35" t="s">
        <v>55075</v>
      </c>
    </row>
    <row r="6714" spans="1:1">
      <c r="A6714" s="35" t="s">
        <v>55076</v>
      </c>
    </row>
    <row r="6715" spans="1:1">
      <c r="A6715" s="35" t="s">
        <v>55077</v>
      </c>
    </row>
    <row r="6716" spans="1:1">
      <c r="A6716" s="35" t="s">
        <v>54532</v>
      </c>
    </row>
    <row r="6717" spans="1:1">
      <c r="A6717" s="35" t="s">
        <v>55078</v>
      </c>
    </row>
    <row r="6718" spans="1:1">
      <c r="A6718" s="35" t="s">
        <v>55079</v>
      </c>
    </row>
    <row r="6719" spans="1:1">
      <c r="A6719" s="35" t="s">
        <v>55080</v>
      </c>
    </row>
    <row r="6720" spans="1:1">
      <c r="A6720" s="35" t="s">
        <v>55081</v>
      </c>
    </row>
    <row r="6721" spans="1:1">
      <c r="A6721" s="35" t="s">
        <v>41057</v>
      </c>
    </row>
    <row r="6722" spans="1:1">
      <c r="A6722" s="35" t="s">
        <v>55082</v>
      </c>
    </row>
    <row r="6723" spans="1:1">
      <c r="A6723" s="35" t="s">
        <v>55083</v>
      </c>
    </row>
    <row r="6724" spans="1:1">
      <c r="A6724" s="35" t="s">
        <v>55084</v>
      </c>
    </row>
    <row r="6725" spans="1:1">
      <c r="A6725" s="35" t="s">
        <v>41057</v>
      </c>
    </row>
    <row r="6726" spans="1:1">
      <c r="A6726" s="35" t="s">
        <v>53545</v>
      </c>
    </row>
    <row r="6727" spans="1:1">
      <c r="A6727" s="35" t="s">
        <v>55085</v>
      </c>
    </row>
    <row r="6728" spans="1:1">
      <c r="A6728" s="35" t="s">
        <v>41057</v>
      </c>
    </row>
    <row r="6729" spans="1:1">
      <c r="A6729" s="35" t="s">
        <v>41057</v>
      </c>
    </row>
    <row r="6730" spans="1:1">
      <c r="A6730" s="35" t="s">
        <v>41057</v>
      </c>
    </row>
    <row r="6731" spans="1:1">
      <c r="A6731" s="35" t="s">
        <v>55086</v>
      </c>
    </row>
    <row r="6732" spans="1:1">
      <c r="A6732" s="35" t="s">
        <v>55087</v>
      </c>
    </row>
    <row r="6733" spans="1:1">
      <c r="A6733" s="35" t="s">
        <v>54424</v>
      </c>
    </row>
    <row r="6734" spans="1:1">
      <c r="A6734" s="35" t="s">
        <v>41057</v>
      </c>
    </row>
    <row r="6735" spans="1:1">
      <c r="A6735" s="35" t="s">
        <v>41057</v>
      </c>
    </row>
    <row r="6736" spans="1:1">
      <c r="A6736" s="35" t="s">
        <v>41057</v>
      </c>
    </row>
    <row r="6737" spans="1:1">
      <c r="A6737" s="35" t="s">
        <v>53492</v>
      </c>
    </row>
    <row r="6738" spans="1:1">
      <c r="A6738" s="35" t="s">
        <v>55088</v>
      </c>
    </row>
    <row r="6739" spans="1:1">
      <c r="A6739" s="35" t="s">
        <v>55089</v>
      </c>
    </row>
    <row r="6740" spans="1:1">
      <c r="A6740" s="35" t="s">
        <v>54100</v>
      </c>
    </row>
    <row r="6741" spans="1:1">
      <c r="A6741" s="35" t="s">
        <v>41057</v>
      </c>
    </row>
    <row r="6742" spans="1:1">
      <c r="A6742" s="35" t="s">
        <v>41057</v>
      </c>
    </row>
    <row r="6743" spans="1:1">
      <c r="A6743" s="35" t="e" cm="1">
        <f t="array" ref="A6743">---------------QFTL------------------FKT-------------------N</f>
        <v>#NAME?</v>
      </c>
    </row>
    <row r="6744" spans="1:1">
      <c r="A6744" s="35" t="s">
        <v>54101</v>
      </c>
    </row>
    <row r="6745" spans="1:1">
      <c r="A6745" s="35" t="s">
        <v>55090</v>
      </c>
    </row>
    <row r="6746" spans="1:1">
      <c r="A6746" s="35" t="s">
        <v>41057</v>
      </c>
    </row>
    <row r="6747" spans="1:1">
      <c r="A6747" s="35" t="s">
        <v>55091</v>
      </c>
    </row>
    <row r="6748" spans="1:1">
      <c r="A6748" s="35" t="s">
        <v>41057</v>
      </c>
    </row>
    <row r="6749" spans="1:1">
      <c r="A6749" s="35" t="s">
        <v>41057</v>
      </c>
    </row>
    <row r="6750" spans="1:1">
      <c r="A6750" s="35" t="s">
        <v>54290</v>
      </c>
    </row>
    <row r="6751" spans="1:1">
      <c r="A6751" s="35" t="s">
        <v>41057</v>
      </c>
    </row>
    <row r="6752" spans="1:1">
      <c r="A6752" s="35" t="s">
        <v>41057</v>
      </c>
    </row>
    <row r="6753" spans="1:1">
      <c r="A6753" s="35" t="s">
        <v>53500</v>
      </c>
    </row>
    <row r="6754" spans="1:1">
      <c r="A6754" s="35" t="s">
        <v>41057</v>
      </c>
    </row>
    <row r="6755" spans="1:1">
      <c r="A6755" s="35" t="s">
        <v>41057</v>
      </c>
    </row>
    <row r="6756" spans="1:1">
      <c r="A6756" s="35" t="s">
        <v>55092</v>
      </c>
    </row>
    <row r="6757" spans="1:1">
      <c r="A6757" s="35" t="s">
        <v>41057</v>
      </c>
    </row>
    <row r="6758" spans="1:1">
      <c r="A6758" s="35" t="s">
        <v>55093</v>
      </c>
    </row>
    <row r="6759" spans="1:1">
      <c r="A6759" s="35" t="s">
        <v>41057</v>
      </c>
    </row>
    <row r="6760" spans="1:1">
      <c r="A6760" s="35" t="s">
        <v>54689</v>
      </c>
    </row>
    <row r="6761" spans="1:1">
      <c r="A6761" s="35" t="s">
        <v>55094</v>
      </c>
    </row>
    <row r="6762" spans="1:1">
      <c r="A6762" s="35" t="s">
        <v>41057</v>
      </c>
    </row>
    <row r="6763" spans="1:1">
      <c r="A6763" s="35" t="s">
        <v>41057</v>
      </c>
    </row>
    <row r="6764" spans="1:1">
      <c r="A6764" s="35" t="s">
        <v>55095</v>
      </c>
    </row>
    <row r="6765" spans="1:1">
      <c r="A6765" s="35" t="s">
        <v>41057</v>
      </c>
    </row>
    <row r="6766" spans="1:1">
      <c r="A6766" s="35" t="s">
        <v>41057</v>
      </c>
    </row>
    <row r="6767" spans="1:1">
      <c r="A6767" s="35" t="s">
        <v>41057</v>
      </c>
    </row>
    <row r="6768" spans="1:1">
      <c r="A6768" s="35" t="s">
        <v>41057</v>
      </c>
    </row>
    <row r="6769" spans="1:1">
      <c r="A6769" s="35" t="s">
        <v>41057</v>
      </c>
    </row>
    <row r="6770" spans="1:1">
      <c r="A6770" s="35" t="s">
        <v>55096</v>
      </c>
    </row>
    <row r="6771" spans="1:1">
      <c r="A6771" s="35" t="s">
        <v>41057</v>
      </c>
    </row>
    <row r="6772" spans="1:1">
      <c r="A6772" s="35" t="s">
        <v>41057</v>
      </c>
    </row>
    <row r="6773" spans="1:1">
      <c r="A6773" s="35" t="s">
        <v>41057</v>
      </c>
    </row>
    <row r="6774" spans="1:1">
      <c r="A6774" s="35" t="s">
        <v>41057</v>
      </c>
    </row>
    <row r="6775" spans="1:1">
      <c r="A6775" s="35" t="s">
        <v>41057</v>
      </c>
    </row>
    <row r="6776" spans="1:1">
      <c r="A6776" s="35" t="s">
        <v>41057</v>
      </c>
    </row>
    <row r="6777" spans="1:1">
      <c r="A6777" s="35" t="s">
        <v>41057</v>
      </c>
    </row>
    <row r="6778" spans="1:1">
      <c r="A6778" s="35" t="s">
        <v>41057</v>
      </c>
    </row>
    <row r="6779" spans="1:1">
      <c r="A6779" s="35" t="s">
        <v>41057</v>
      </c>
    </row>
    <row r="6780" spans="1:1">
      <c r="A6780" s="35" t="s">
        <v>41057</v>
      </c>
    </row>
    <row r="6781" spans="1:1">
      <c r="A6781" s="35" t="s">
        <v>41057</v>
      </c>
    </row>
    <row r="6782" spans="1:1">
      <c r="A6782" s="35" t="s">
        <v>41057</v>
      </c>
    </row>
    <row r="6783" spans="1:1">
      <c r="A6783" s="35" t="s">
        <v>41057</v>
      </c>
    </row>
    <row r="6784" spans="1:1">
      <c r="A6784" s="35" t="s">
        <v>41057</v>
      </c>
    </row>
    <row r="6785" spans="1:1">
      <c r="A6785" s="35" t="s">
        <v>41057</v>
      </c>
    </row>
    <row r="6786" spans="1:1">
      <c r="A6786" s="35" t="s">
        <v>41057</v>
      </c>
    </row>
    <row r="6787" spans="1:1">
      <c r="A6787" s="35" t="s">
        <v>41057</v>
      </c>
    </row>
    <row r="6788" spans="1:1">
      <c r="A6788" s="35" t="s">
        <v>41057</v>
      </c>
    </row>
    <row r="6789" spans="1:1">
      <c r="A6789" s="35" t="s">
        <v>41057</v>
      </c>
    </row>
    <row r="6790" spans="1:1">
      <c r="A6790" s="35" t="s">
        <v>54513</v>
      </c>
    </row>
    <row r="6791" spans="1:1">
      <c r="A6791" s="35" t="s">
        <v>41057</v>
      </c>
    </row>
    <row r="6792" spans="1:1">
      <c r="A6792" s="35" t="s">
        <v>41057</v>
      </c>
    </row>
    <row r="6793" spans="1:1">
      <c r="A6793" s="35" t="s">
        <v>41057</v>
      </c>
    </row>
    <row r="6794" spans="1:1">
      <c r="A6794" s="35" t="s">
        <v>41057</v>
      </c>
    </row>
    <row r="6795" spans="1:1">
      <c r="A6795" s="35" t="s">
        <v>41057</v>
      </c>
    </row>
    <row r="6796" spans="1:1">
      <c r="A6796" s="35" t="s">
        <v>41057</v>
      </c>
    </row>
    <row r="6797" spans="1:1">
      <c r="A6797" s="35" t="e" cm="1">
        <f t="array" ref="A6797">---------------------------------------------TGKWAFSENL---GN</f>
        <v>#NAME?</v>
      </c>
    </row>
    <row r="6798" spans="1:1">
      <c r="A6798" s="35" t="s">
        <v>55097</v>
      </c>
    </row>
    <row r="6799" spans="1:1">
      <c r="A6799" s="35" t="e" cm="1">
        <f t="array" ref="A6799">---------------GEWLNIWNEIFR---------NPEH------------------DR</f>
        <v>#NAME?</v>
      </c>
    </row>
    <row r="6800" spans="1:1">
      <c r="A6800" s="35" t="s">
        <v>55098</v>
      </c>
    </row>
    <row r="6801" spans="1:1">
      <c r="A6801" s="35" t="s">
        <v>55099</v>
      </c>
    </row>
    <row r="6802" spans="1:1">
      <c r="A6802" s="35" t="s">
        <v>41057</v>
      </c>
    </row>
    <row r="6803" spans="1:1">
      <c r="A6803" s="35" t="s">
        <v>55100</v>
      </c>
    </row>
    <row r="6804" spans="1:1">
      <c r="A6804" s="35" t="s">
        <v>41057</v>
      </c>
    </row>
    <row r="6805" spans="1:1">
      <c r="A6805" s="35" t="s">
        <v>53997</v>
      </c>
    </row>
    <row r="6806" spans="1:1">
      <c r="A6806" s="35" t="s">
        <v>55101</v>
      </c>
    </row>
    <row r="6807" spans="1:1">
      <c r="A6807" s="35" t="s">
        <v>55102</v>
      </c>
    </row>
    <row r="6808" spans="1:1">
      <c r="A6808" s="35" t="s">
        <v>41057</v>
      </c>
    </row>
    <row r="6809" spans="1:1">
      <c r="A6809" s="35" t="s">
        <v>41057</v>
      </c>
    </row>
    <row r="6810" spans="1:1">
      <c r="A6810" s="35" t="s">
        <v>41057</v>
      </c>
    </row>
    <row r="6811" spans="1:1">
      <c r="A6811" s="35" t="s">
        <v>55103</v>
      </c>
    </row>
    <row r="6812" spans="1:1">
      <c r="A6812" s="35" t="s">
        <v>41057</v>
      </c>
    </row>
    <row r="6813" spans="1:1">
      <c r="A6813" s="35" t="s">
        <v>41057</v>
      </c>
    </row>
    <row r="6814" spans="1:1">
      <c r="A6814" s="35" t="s">
        <v>55104</v>
      </c>
    </row>
    <row r="6815" spans="1:1">
      <c r="A6815" s="35" t="s">
        <v>55105</v>
      </c>
    </row>
    <row r="6816" spans="1:1">
      <c r="A6816" s="35" t="s">
        <v>55106</v>
      </c>
    </row>
    <row r="6817" spans="1:1">
      <c r="A6817" s="35" t="s">
        <v>54409</v>
      </c>
    </row>
    <row r="6818" spans="1:1">
      <c r="A6818" s="35" t="e" cm="1">
        <f t="array" ref="A6818">----------------------------------------------------------QS</f>
        <v>#NAME?</v>
      </c>
    </row>
    <row r="6819" spans="1:1">
      <c r="A6819" s="35" t="s">
        <v>55107</v>
      </c>
    </row>
    <row r="6820" spans="1:1">
      <c r="A6820" s="35" t="s">
        <v>55108</v>
      </c>
    </row>
    <row r="6821" spans="1:1">
      <c r="A6821" s="35" t="s">
        <v>55109</v>
      </c>
    </row>
    <row r="6822" spans="1:1">
      <c r="A6822" s="35" t="s">
        <v>41057</v>
      </c>
    </row>
    <row r="6823" spans="1:1">
      <c r="A6823" s="35" t="s">
        <v>55110</v>
      </c>
    </row>
    <row r="6824" spans="1:1">
      <c r="A6824" s="35" t="s">
        <v>41057</v>
      </c>
    </row>
    <row r="6825" spans="1:1">
      <c r="A6825" s="35" t="s">
        <v>41057</v>
      </c>
    </row>
    <row r="6826" spans="1:1">
      <c r="A6826" s="35" t="s">
        <v>41057</v>
      </c>
    </row>
    <row r="6827" spans="1:1">
      <c r="A6827" s="35" t="s">
        <v>41057</v>
      </c>
    </row>
    <row r="6828" spans="1:1">
      <c r="A6828" s="35" t="s">
        <v>41057</v>
      </c>
    </row>
    <row r="6829" spans="1:1">
      <c r="A6829" s="35" t="s">
        <v>41057</v>
      </c>
    </row>
    <row r="6830" spans="1:1">
      <c r="A6830" s="35" t="s">
        <v>41057</v>
      </c>
    </row>
    <row r="6831" spans="1:1">
      <c r="A6831" s="35" t="s">
        <v>41057</v>
      </c>
    </row>
    <row r="6832" spans="1:1">
      <c r="A6832" s="35" t="e" cm="1">
        <f t="array" ref="A6832">----------------------------------------------------GTKYLATK</f>
        <v>#NAME?</v>
      </c>
    </row>
    <row r="6833" spans="1:1">
      <c r="A6833" s="35" t="s">
        <v>55111</v>
      </c>
    </row>
    <row r="6834" spans="1:1">
      <c r="A6834" s="35" t="s">
        <v>41057</v>
      </c>
    </row>
    <row r="6835" spans="1:1">
      <c r="A6835" s="35" t="s">
        <v>41057</v>
      </c>
    </row>
    <row r="6836" spans="1:1">
      <c r="A6836" s="35" t="s">
        <v>41057</v>
      </c>
    </row>
    <row r="6837" spans="1:1">
      <c r="A6837" s="35" t="s">
        <v>55112</v>
      </c>
    </row>
    <row r="6838" spans="1:1">
      <c r="A6838" s="35" t="s">
        <v>55113</v>
      </c>
    </row>
    <row r="6839" spans="1:1">
      <c r="A6839" s="35" t="s">
        <v>41057</v>
      </c>
    </row>
    <row r="6840" spans="1:1">
      <c r="A6840" s="35" t="s">
        <v>41057</v>
      </c>
    </row>
    <row r="6841" spans="1:1">
      <c r="A6841" s="35" t="s">
        <v>55114</v>
      </c>
    </row>
    <row r="6842" spans="1:1">
      <c r="A6842" s="35" t="s">
        <v>55115</v>
      </c>
    </row>
    <row r="6843" spans="1:1">
      <c r="A6843" s="35" t="s">
        <v>55116</v>
      </c>
    </row>
    <row r="6844" spans="1:1">
      <c r="A6844" s="35" t="s">
        <v>53545</v>
      </c>
    </row>
    <row r="6845" spans="1:1">
      <c r="A6845" s="35" t="s">
        <v>52324</v>
      </c>
    </row>
    <row r="6846" spans="1:1">
      <c r="A6846" s="35" t="s">
        <v>41057</v>
      </c>
    </row>
    <row r="6847" spans="1:1">
      <c r="A6847" s="35" t="s">
        <v>41057</v>
      </c>
    </row>
    <row r="6848" spans="1:1">
      <c r="A6848" s="35" t="s">
        <v>41057</v>
      </c>
    </row>
    <row r="6849" spans="1:1">
      <c r="A6849" s="35" t="s">
        <v>41057</v>
      </c>
    </row>
    <row r="6850" spans="1:1">
      <c r="A6850" s="35" t="s">
        <v>41057</v>
      </c>
    </row>
    <row r="6851" spans="1:1">
      <c r="A6851" s="35" t="s">
        <v>53706</v>
      </c>
    </row>
    <row r="6852" spans="1:1">
      <c r="A6852" s="35" t="s">
        <v>41057</v>
      </c>
    </row>
    <row r="6853" spans="1:1">
      <c r="A6853" s="35" t="s">
        <v>41057</v>
      </c>
    </row>
    <row r="6854" spans="1:1">
      <c r="A6854" s="35" t="s">
        <v>41057</v>
      </c>
    </row>
    <row r="6855" spans="1:1">
      <c r="A6855" s="35" t="s">
        <v>53492</v>
      </c>
    </row>
    <row r="6856" spans="1:1">
      <c r="A6856" s="35" t="s">
        <v>55117</v>
      </c>
    </row>
    <row r="6857" spans="1:1">
      <c r="A6857" s="35" t="s">
        <v>55118</v>
      </c>
    </row>
    <row r="6858" spans="1:1">
      <c r="A6858" s="35" t="s">
        <v>55119</v>
      </c>
    </row>
    <row r="6859" spans="1:1">
      <c r="A6859" s="35" t="s">
        <v>41057</v>
      </c>
    </row>
    <row r="6860" spans="1:1">
      <c r="A6860" s="35" t="s">
        <v>41057</v>
      </c>
    </row>
    <row r="6861" spans="1:1">
      <c r="A6861" s="35" t="e" cm="1">
        <f t="array" ref="A6861">--------------LDNSV------------------WRN-------------------V</f>
        <v>#NAME?</v>
      </c>
    </row>
    <row r="6862" spans="1:1">
      <c r="A6862" s="35" t="s">
        <v>55120</v>
      </c>
    </row>
    <row r="6863" spans="1:1">
      <c r="A6863" s="35" t="s">
        <v>55121</v>
      </c>
    </row>
    <row r="6864" spans="1:1">
      <c r="A6864" s="35" t="s">
        <v>41057</v>
      </c>
    </row>
    <row r="6865" spans="1:1">
      <c r="A6865" s="35" t="s">
        <v>55122</v>
      </c>
    </row>
    <row r="6866" spans="1:1">
      <c r="A6866" s="35" t="s">
        <v>41057</v>
      </c>
    </row>
    <row r="6867" spans="1:1">
      <c r="A6867" s="35" t="s">
        <v>41057</v>
      </c>
    </row>
    <row r="6868" spans="1:1">
      <c r="A6868" s="35" t="s">
        <v>55123</v>
      </c>
    </row>
    <row r="6869" spans="1:1">
      <c r="A6869" s="35" t="s">
        <v>41057</v>
      </c>
    </row>
    <row r="6870" spans="1:1">
      <c r="A6870" s="35" t="s">
        <v>41057</v>
      </c>
    </row>
    <row r="6871" spans="1:1">
      <c r="A6871" s="35" t="s">
        <v>53500</v>
      </c>
    </row>
    <row r="6872" spans="1:1">
      <c r="A6872" s="35" t="s">
        <v>41057</v>
      </c>
    </row>
    <row r="6873" spans="1:1">
      <c r="A6873" s="35" t="s">
        <v>41057</v>
      </c>
    </row>
    <row r="6874" spans="1:1">
      <c r="A6874" s="35" t="s">
        <v>55124</v>
      </c>
    </row>
    <row r="6875" spans="1:1">
      <c r="A6875" s="35" t="s">
        <v>41057</v>
      </c>
    </row>
    <row r="6876" spans="1:1">
      <c r="A6876" s="35" t="s">
        <v>55125</v>
      </c>
    </row>
    <row r="6877" spans="1:1">
      <c r="A6877" s="35" t="s">
        <v>41057</v>
      </c>
    </row>
    <row r="6878" spans="1:1">
      <c r="A6878" s="35" t="s">
        <v>55126</v>
      </c>
    </row>
    <row r="6879" spans="1:1">
      <c r="A6879" s="35" t="s">
        <v>55127</v>
      </c>
    </row>
    <row r="6880" spans="1:1">
      <c r="A6880" s="35" t="s">
        <v>41057</v>
      </c>
    </row>
    <row r="6881" spans="1:1">
      <c r="A6881" s="35" t="s">
        <v>41057</v>
      </c>
    </row>
    <row r="6882" spans="1:1">
      <c r="A6882" s="35" t="s">
        <v>53909</v>
      </c>
    </row>
    <row r="6883" spans="1:1">
      <c r="A6883" s="35" t="s">
        <v>41057</v>
      </c>
    </row>
    <row r="6884" spans="1:1">
      <c r="A6884" s="35" t="s">
        <v>41057</v>
      </c>
    </row>
    <row r="6885" spans="1:1">
      <c r="A6885" s="35" t="s">
        <v>41057</v>
      </c>
    </row>
    <row r="6886" spans="1:1">
      <c r="A6886" s="35" t="s">
        <v>41057</v>
      </c>
    </row>
    <row r="6887" spans="1:1">
      <c r="A6887" s="35" t="s">
        <v>41057</v>
      </c>
    </row>
    <row r="6888" spans="1:1">
      <c r="A6888" s="35" t="s">
        <v>55128</v>
      </c>
    </row>
    <row r="6889" spans="1:1">
      <c r="A6889" s="35" t="s">
        <v>41057</v>
      </c>
    </row>
    <row r="6890" spans="1:1">
      <c r="A6890" s="35" t="s">
        <v>41057</v>
      </c>
    </row>
    <row r="6891" spans="1:1">
      <c r="A6891" s="35" t="s">
        <v>41057</v>
      </c>
    </row>
    <row r="6892" spans="1:1">
      <c r="A6892" s="35" t="s">
        <v>41057</v>
      </c>
    </row>
    <row r="6893" spans="1:1">
      <c r="A6893" s="35" t="s">
        <v>41057</v>
      </c>
    </row>
    <row r="6894" spans="1:1">
      <c r="A6894" s="35" t="s">
        <v>41057</v>
      </c>
    </row>
    <row r="6895" spans="1:1">
      <c r="A6895" s="35" t="s">
        <v>41057</v>
      </c>
    </row>
    <row r="6896" spans="1:1">
      <c r="A6896" s="35" t="s">
        <v>41057</v>
      </c>
    </row>
    <row r="6897" spans="1:1">
      <c r="A6897" s="35" t="s">
        <v>41057</v>
      </c>
    </row>
    <row r="6898" spans="1:1">
      <c r="A6898" s="35" t="s">
        <v>41057</v>
      </c>
    </row>
    <row r="6899" spans="1:1">
      <c r="A6899" s="35" t="s">
        <v>41057</v>
      </c>
    </row>
    <row r="6900" spans="1:1">
      <c r="A6900" s="35" t="s">
        <v>41057</v>
      </c>
    </row>
    <row r="6901" spans="1:1">
      <c r="A6901" s="35" t="s">
        <v>41057</v>
      </c>
    </row>
    <row r="6902" spans="1:1">
      <c r="A6902" s="35" t="s">
        <v>41057</v>
      </c>
    </row>
    <row r="6903" spans="1:1">
      <c r="A6903" s="35" t="s">
        <v>41057</v>
      </c>
    </row>
    <row r="6904" spans="1:1">
      <c r="A6904" s="35" t="s">
        <v>55129</v>
      </c>
    </row>
    <row r="6905" spans="1:1">
      <c r="A6905" s="35" t="s">
        <v>41057</v>
      </c>
    </row>
    <row r="6906" spans="1:1">
      <c r="A6906" s="35" t="s">
        <v>41057</v>
      </c>
    </row>
    <row r="6907" spans="1:1">
      <c r="A6907" s="35" t="s">
        <v>54317</v>
      </c>
    </row>
    <row r="6908" spans="1:1">
      <c r="A6908" s="35" t="s">
        <v>41057</v>
      </c>
    </row>
    <row r="6909" spans="1:1">
      <c r="A6909" s="35" t="s">
        <v>41057</v>
      </c>
    </row>
    <row r="6910" spans="1:1">
      <c r="A6910" s="35" t="s">
        <v>41057</v>
      </c>
    </row>
    <row r="6911" spans="1:1">
      <c r="A6911" s="35" t="s">
        <v>41057</v>
      </c>
    </row>
    <row r="6912" spans="1:1">
      <c r="A6912" s="35" t="s">
        <v>41057</v>
      </c>
    </row>
    <row r="6913" spans="1:1">
      <c r="A6913" s="35" t="s">
        <v>41057</v>
      </c>
    </row>
    <row r="6914" spans="1:1">
      <c r="A6914" s="35" t="s">
        <v>41057</v>
      </c>
    </row>
    <row r="6915" spans="1:1">
      <c r="A6915" s="35" t="e" cm="1">
        <f t="array" ref="A6915">-----------------------------------------------------YP---SE</f>
        <v>#NAME?</v>
      </c>
    </row>
    <row r="6916" spans="1:1">
      <c r="A6916" s="35" t="s">
        <v>55130</v>
      </c>
    </row>
    <row r="6917" spans="1:1">
      <c r="A6917" s="35" t="e" cm="1">
        <f t="array" ref="A6917">--------------FPTWTRVHEELFM---------DPDT------------------RA</f>
        <v>#NAME?</v>
      </c>
    </row>
    <row r="6918" spans="1:1">
      <c r="A6918" s="35" t="s">
        <v>55131</v>
      </c>
    </row>
    <row r="6919" spans="1:1">
      <c r="A6919" s="35" t="e" cm="1">
        <f t="array" ref="A6919">---------------------------------------------FRPED--------PV</f>
        <v>#NAME?</v>
      </c>
    </row>
    <row r="6920" spans="1:1">
      <c r="A6920" s="35" t="s">
        <v>55132</v>
      </c>
    </row>
    <row r="6921" spans="1:1">
      <c r="A6921" s="35" t="s">
        <v>55133</v>
      </c>
    </row>
    <row r="6922" spans="1:1">
      <c r="A6922" s="35" t="s">
        <v>41057</v>
      </c>
    </row>
    <row r="6923" spans="1:1">
      <c r="A6923" s="35" t="s">
        <v>55134</v>
      </c>
    </row>
    <row r="6924" spans="1:1">
      <c r="A6924" s="35" t="s">
        <v>55135</v>
      </c>
    </row>
    <row r="6925" spans="1:1">
      <c r="A6925" s="35" t="s">
        <v>53973</v>
      </c>
    </row>
    <row r="6926" spans="1:1">
      <c r="A6926" s="35" t="s">
        <v>41057</v>
      </c>
    </row>
    <row r="6927" spans="1:1">
      <c r="A6927" s="35" t="s">
        <v>41057</v>
      </c>
    </row>
    <row r="6928" spans="1:1">
      <c r="A6928" s="35" t="s">
        <v>55136</v>
      </c>
    </row>
    <row r="6929" spans="1:1">
      <c r="A6929" s="35" t="s">
        <v>55137</v>
      </c>
    </row>
    <row r="6930" spans="1:1">
      <c r="A6930" s="35" t="s">
        <v>41057</v>
      </c>
    </row>
    <row r="6931" spans="1:1">
      <c r="A6931" s="35" t="s">
        <v>41057</v>
      </c>
    </row>
    <row r="6932" spans="1:1">
      <c r="A6932" s="35" t="s">
        <v>55138</v>
      </c>
    </row>
    <row r="6933" spans="1:1">
      <c r="A6933" s="35" t="s">
        <v>55139</v>
      </c>
    </row>
    <row r="6934" spans="1:1">
      <c r="A6934" s="35" t="s">
        <v>55140</v>
      </c>
    </row>
    <row r="6935" spans="1:1">
      <c r="A6935" s="35" t="s">
        <v>55141</v>
      </c>
    </row>
    <row r="6936" spans="1:1">
      <c r="A6936" s="35" t="e" cm="1">
        <f t="array" ref="A6936">----------------------------------------------------------YN</f>
        <v>#NAME?</v>
      </c>
    </row>
    <row r="6937" spans="1:1">
      <c r="A6937" s="35" t="s">
        <v>55142</v>
      </c>
    </row>
    <row r="6938" spans="1:1">
      <c r="A6938" s="35" t="s">
        <v>55143</v>
      </c>
    </row>
    <row r="6939" spans="1:1">
      <c r="A6939" s="35" t="s">
        <v>55144</v>
      </c>
    </row>
    <row r="6940" spans="1:1">
      <c r="A6940" s="35" t="s">
        <v>41057</v>
      </c>
    </row>
    <row r="6941" spans="1:1">
      <c r="A6941" s="35" t="s">
        <v>55145</v>
      </c>
    </row>
    <row r="6942" spans="1:1">
      <c r="A6942" s="35" t="s">
        <v>55146</v>
      </c>
    </row>
    <row r="6943" spans="1:1">
      <c r="A6943" s="35" t="s">
        <v>41057</v>
      </c>
    </row>
    <row r="6944" spans="1:1">
      <c r="A6944" s="35" t="s">
        <v>41057</v>
      </c>
    </row>
    <row r="6945" spans="1:1">
      <c r="A6945" s="35" t="s">
        <v>55147</v>
      </c>
    </row>
    <row r="6946" spans="1:1">
      <c r="A6946" s="35" t="s">
        <v>55148</v>
      </c>
    </row>
    <row r="6947" spans="1:1">
      <c r="A6947" s="35" t="s">
        <v>41057</v>
      </c>
    </row>
    <row r="6948" spans="1:1">
      <c r="A6948" s="35" t="s">
        <v>41057</v>
      </c>
    </row>
    <row r="6949" spans="1:1">
      <c r="A6949" s="35" t="s">
        <v>41057</v>
      </c>
    </row>
    <row r="6950" spans="1:1">
      <c r="A6950" s="35" t="e" cm="1">
        <f t="array" ref="A6950">----------------------D-----------------------------SYAAIKSA</f>
        <v>#NAME?</v>
      </c>
    </row>
    <row r="6951" spans="1:1">
      <c r="A6951" s="35" t="s">
        <v>55149</v>
      </c>
    </row>
    <row r="6952" spans="1:1">
      <c r="A6952" s="35" t="s">
        <v>54469</v>
      </c>
    </row>
    <row r="6953" spans="1:1">
      <c r="A6953" s="35" t="s">
        <v>55150</v>
      </c>
    </row>
    <row r="6954" spans="1:1">
      <c r="A6954" s="35" t="s">
        <v>55151</v>
      </c>
    </row>
    <row r="6955" spans="1:1">
      <c r="A6955" s="35" t="s">
        <v>55152</v>
      </c>
    </row>
    <row r="6956" spans="1:1">
      <c r="A6956" s="35" t="s">
        <v>55153</v>
      </c>
    </row>
    <row r="6957" spans="1:1">
      <c r="A6957" s="35" t="e" cm="1">
        <f t="array" ref="A6957">---------------------------------------------------------SDV</f>
        <v>#NAME?</v>
      </c>
    </row>
    <row r="6958" spans="1:1">
      <c r="A6958" s="35" t="s">
        <v>55154</v>
      </c>
    </row>
    <row r="6959" spans="1:1">
      <c r="A6959" s="35" t="s">
        <v>55155</v>
      </c>
    </row>
    <row r="6960" spans="1:1">
      <c r="A6960" s="35" t="s">
        <v>55156</v>
      </c>
    </row>
    <row r="6961" spans="1:1">
      <c r="A6961" s="35" t="s">
        <v>41057</v>
      </c>
    </row>
    <row r="6962" spans="1:1">
      <c r="A6962" s="35" t="s">
        <v>53545</v>
      </c>
    </row>
    <row r="6963" spans="1:1">
      <c r="A6963" s="35" t="s">
        <v>52577</v>
      </c>
    </row>
    <row r="6964" spans="1:1">
      <c r="A6964" s="35" t="s">
        <v>41057</v>
      </c>
    </row>
    <row r="6965" spans="1:1">
      <c r="A6965" s="35" t="s">
        <v>41057</v>
      </c>
    </row>
    <row r="6966" spans="1:1">
      <c r="A6966" s="35" t="s">
        <v>55157</v>
      </c>
    </row>
    <row r="6967" spans="1:1">
      <c r="A6967" s="35" t="s">
        <v>41057</v>
      </c>
    </row>
    <row r="6968" spans="1:1">
      <c r="A6968" s="35" t="s">
        <v>55158</v>
      </c>
    </row>
    <row r="6969" spans="1:1">
      <c r="A6969" s="35" t="s">
        <v>55159</v>
      </c>
    </row>
    <row r="6970" spans="1:1">
      <c r="A6970" s="35" t="s">
        <v>41057</v>
      </c>
    </row>
    <row r="6971" spans="1:1">
      <c r="A6971" s="35" t="s">
        <v>41057</v>
      </c>
    </row>
    <row r="6972" spans="1:1">
      <c r="A6972" s="35" t="s">
        <v>41057</v>
      </c>
    </row>
    <row r="6973" spans="1:1">
      <c r="A6973" s="35" t="s">
        <v>54097</v>
      </c>
    </row>
    <row r="6974" spans="1:1">
      <c r="A6974" s="35" t="s">
        <v>55160</v>
      </c>
    </row>
    <row r="6975" spans="1:1">
      <c r="A6975" s="35" t="s">
        <v>55161</v>
      </c>
    </row>
    <row r="6976" spans="1:1">
      <c r="A6976" s="35" t="s">
        <v>54618</v>
      </c>
    </row>
    <row r="6977" spans="1:1">
      <c r="A6977" s="35" t="s">
        <v>41057</v>
      </c>
    </row>
    <row r="6978" spans="1:1">
      <c r="A6978" s="35" t="s">
        <v>41057</v>
      </c>
    </row>
    <row r="6979" spans="1:1">
      <c r="A6979" s="35" t="e" cm="1">
        <f t="array" ref="A6979">---------------QRSL------------------WKR-------------------N</f>
        <v>#NAME?</v>
      </c>
    </row>
    <row r="6980" spans="1:1">
      <c r="A6980" s="35" t="s">
        <v>55162</v>
      </c>
    </row>
    <row r="6981" spans="1:1">
      <c r="A6981" s="35" t="s">
        <v>54619</v>
      </c>
    </row>
    <row r="6982" spans="1:1">
      <c r="A6982" s="35" t="s">
        <v>41057</v>
      </c>
    </row>
    <row r="6983" spans="1:1">
      <c r="A6983" s="35" t="s">
        <v>55163</v>
      </c>
    </row>
    <row r="6984" spans="1:1">
      <c r="A6984" s="35" t="s">
        <v>41057</v>
      </c>
    </row>
    <row r="6985" spans="1:1">
      <c r="A6985" s="35" t="s">
        <v>41057</v>
      </c>
    </row>
    <row r="6986" spans="1:1">
      <c r="A6986" s="35" t="s">
        <v>55164</v>
      </c>
    </row>
    <row r="6987" spans="1:1">
      <c r="A6987" s="35" t="s">
        <v>41057</v>
      </c>
    </row>
    <row r="6988" spans="1:1">
      <c r="A6988" s="35" t="s">
        <v>41057</v>
      </c>
    </row>
    <row r="6989" spans="1:1">
      <c r="A6989" s="35" t="s">
        <v>53676</v>
      </c>
    </row>
    <row r="6990" spans="1:1">
      <c r="A6990" s="35" t="s">
        <v>41057</v>
      </c>
    </row>
    <row r="6991" spans="1:1">
      <c r="A6991" s="35" t="s">
        <v>41057</v>
      </c>
    </row>
    <row r="6992" spans="1:1">
      <c r="A6992" s="35" t="s">
        <v>55165</v>
      </c>
    </row>
    <row r="6993" spans="1:1">
      <c r="A6993" s="35" t="s">
        <v>41057</v>
      </c>
    </row>
    <row r="6994" spans="1:1">
      <c r="A6994" s="35" t="s">
        <v>55166</v>
      </c>
    </row>
    <row r="6995" spans="1:1">
      <c r="A6995" s="35" t="s">
        <v>41057</v>
      </c>
    </row>
    <row r="6996" spans="1:1">
      <c r="A6996" s="35" t="s">
        <v>55167</v>
      </c>
    </row>
    <row r="6997" spans="1:1">
      <c r="A6997" s="35" t="s">
        <v>55168</v>
      </c>
    </row>
    <row r="6998" spans="1:1">
      <c r="A6998" s="35" t="s">
        <v>41057</v>
      </c>
    </row>
    <row r="6999" spans="1:1">
      <c r="A6999" s="35" t="s">
        <v>41057</v>
      </c>
    </row>
    <row r="7000" spans="1:1">
      <c r="A7000" s="35" t="s">
        <v>55169</v>
      </c>
    </row>
    <row r="7001" spans="1:1">
      <c r="A7001" s="35" t="s">
        <v>41057</v>
      </c>
    </row>
    <row r="7002" spans="1:1">
      <c r="A7002" s="35" t="s">
        <v>41057</v>
      </c>
    </row>
    <row r="7003" spans="1:1">
      <c r="A7003" s="35" t="s">
        <v>41057</v>
      </c>
    </row>
    <row r="7004" spans="1:1">
      <c r="A7004" s="35" t="s">
        <v>41057</v>
      </c>
    </row>
    <row r="7005" spans="1:1">
      <c r="A7005" s="35" t="s">
        <v>41057</v>
      </c>
    </row>
    <row r="7006" spans="1:1">
      <c r="A7006" s="35" t="s">
        <v>41057</v>
      </c>
    </row>
    <row r="7007" spans="1:1">
      <c r="A7007" s="35" t="s">
        <v>41057</v>
      </c>
    </row>
    <row r="7008" spans="1:1">
      <c r="A7008" s="35" t="s">
        <v>41057</v>
      </c>
    </row>
    <row r="7009" spans="1:1">
      <c r="A7009" s="35" t="s">
        <v>41057</v>
      </c>
    </row>
    <row r="7010" spans="1:1">
      <c r="A7010" s="35" t="s">
        <v>41057</v>
      </c>
    </row>
    <row r="7011" spans="1:1">
      <c r="A7011" s="35" t="s">
        <v>41057</v>
      </c>
    </row>
    <row r="7012" spans="1:1">
      <c r="A7012" s="35" t="s">
        <v>41057</v>
      </c>
    </row>
    <row r="7013" spans="1:1">
      <c r="A7013" s="35" t="s">
        <v>41057</v>
      </c>
    </row>
    <row r="7014" spans="1:1">
      <c r="A7014" s="35" t="s">
        <v>41057</v>
      </c>
    </row>
    <row r="7015" spans="1:1">
      <c r="A7015" s="35" t="s">
        <v>41057</v>
      </c>
    </row>
    <row r="7016" spans="1:1">
      <c r="A7016" s="35" t="s">
        <v>41057</v>
      </c>
    </row>
    <row r="7017" spans="1:1">
      <c r="A7017" s="35" t="s">
        <v>41057</v>
      </c>
    </row>
    <row r="7018" spans="1:1">
      <c r="A7018" s="35" t="s">
        <v>41057</v>
      </c>
    </row>
    <row r="7019" spans="1:1">
      <c r="A7019" s="35" t="s">
        <v>41057</v>
      </c>
    </row>
    <row r="7020" spans="1:1">
      <c r="A7020" s="35" t="s">
        <v>41057</v>
      </c>
    </row>
    <row r="7021" spans="1:1">
      <c r="A7021" s="35" t="s">
        <v>41057</v>
      </c>
    </row>
    <row r="7022" spans="1:1">
      <c r="A7022" s="35" t="s">
        <v>55170</v>
      </c>
    </row>
    <row r="7023" spans="1:1">
      <c r="A7023" s="35" t="s">
        <v>41057</v>
      </c>
    </row>
    <row r="7024" spans="1:1">
      <c r="A7024" s="35" t="s">
        <v>41057</v>
      </c>
    </row>
    <row r="7025" spans="1:1">
      <c r="A7025" s="35" t="s">
        <v>55171</v>
      </c>
    </row>
    <row r="7026" spans="1:1">
      <c r="A7026" s="35" t="s">
        <v>41057</v>
      </c>
    </row>
    <row r="7027" spans="1:1">
      <c r="A7027" s="35" t="s">
        <v>41057</v>
      </c>
    </row>
    <row r="7028" spans="1:1">
      <c r="A7028" s="35" t="s">
        <v>41057</v>
      </c>
    </row>
    <row r="7029" spans="1:1">
      <c r="A7029" s="35" t="s">
        <v>41057</v>
      </c>
    </row>
    <row r="7030" spans="1:1">
      <c r="A7030" s="35" t="s">
        <v>41057</v>
      </c>
    </row>
    <row r="7031" spans="1:1">
      <c r="A7031" s="35" t="s">
        <v>41057</v>
      </c>
    </row>
    <row r="7032" spans="1:1">
      <c r="A7032" s="35" t="s">
        <v>41057</v>
      </c>
    </row>
    <row r="7033" spans="1:1">
      <c r="A7033" s="35" t="e" cm="1">
        <f t="array" ref="A7033">-----------------------------------------------------YP---VE</f>
        <v>#NAME?</v>
      </c>
    </row>
    <row r="7034" spans="1:1">
      <c r="A7034" s="35" t="s">
        <v>55172</v>
      </c>
    </row>
    <row r="7035" spans="1:1">
      <c r="A7035" s="35" t="e" cm="1">
        <f t="array" ref="A7035">--------------AATWLRIHDETFN---------DVEI------------------RS</f>
        <v>#NAME?</v>
      </c>
    </row>
    <row r="7036" spans="1:1">
      <c r="A7036" s="35" t="s">
        <v>55173</v>
      </c>
    </row>
    <row r="7037" spans="1:1">
      <c r="A7037" s="35" t="e" cm="1">
        <f t="array" ref="A7037">---------------------------------------------FAPDD--------VA</f>
        <v>#NAME?</v>
      </c>
    </row>
    <row r="7038" spans="1:1">
      <c r="A7038" s="35" t="s">
        <v>55174</v>
      </c>
    </row>
    <row r="7039" spans="1:1">
      <c r="A7039" s="35" t="s">
        <v>55175</v>
      </c>
    </row>
    <row r="7040" spans="1:1">
      <c r="A7040" s="35" t="s">
        <v>41057</v>
      </c>
    </row>
    <row r="7041" spans="1:1">
      <c r="A7041" s="35" t="s">
        <v>54075</v>
      </c>
    </row>
    <row r="7042" spans="1:1">
      <c r="A7042" s="35" t="s">
        <v>55176</v>
      </c>
    </row>
    <row r="7043" spans="1:1">
      <c r="A7043" s="35" t="s">
        <v>53939</v>
      </c>
    </row>
    <row r="7044" spans="1:1">
      <c r="A7044" s="35" t="s">
        <v>41057</v>
      </c>
    </row>
    <row r="7045" spans="1:1">
      <c r="A7045" s="35" t="s">
        <v>41057</v>
      </c>
    </row>
    <row r="7046" spans="1:1">
      <c r="A7046" s="35" t="s">
        <v>55177</v>
      </c>
    </row>
    <row r="7047" spans="1:1">
      <c r="A7047" s="35" t="s">
        <v>55178</v>
      </c>
    </row>
    <row r="7048" spans="1:1">
      <c r="A7048" s="35" t="s">
        <v>41057</v>
      </c>
    </row>
    <row r="7049" spans="1:1">
      <c r="A7049" s="35" t="s">
        <v>41057</v>
      </c>
    </row>
    <row r="7050" spans="1:1">
      <c r="A7050" s="35" t="s">
        <v>55138</v>
      </c>
    </row>
    <row r="7051" spans="1:1">
      <c r="A7051" s="35" t="s">
        <v>55179</v>
      </c>
    </row>
    <row r="7052" spans="1:1">
      <c r="A7052" s="35" t="s">
        <v>55180</v>
      </c>
    </row>
    <row r="7053" spans="1:1">
      <c r="A7053" s="35" t="s">
        <v>55181</v>
      </c>
    </row>
    <row r="7054" spans="1:1">
      <c r="A7054" s="35" t="e" cm="1">
        <f t="array" ref="A7054">----------------------------------------------------------FK</f>
        <v>#NAME?</v>
      </c>
    </row>
    <row r="7055" spans="1:1">
      <c r="A7055" s="35" t="s">
        <v>55182</v>
      </c>
    </row>
    <row r="7056" spans="1:1">
      <c r="A7056" s="35" t="s">
        <v>55183</v>
      </c>
    </row>
    <row r="7057" spans="1:1">
      <c r="A7057" s="35" t="s">
        <v>55184</v>
      </c>
    </row>
    <row r="7058" spans="1:1">
      <c r="A7058" s="35" t="s">
        <v>41057</v>
      </c>
    </row>
    <row r="7059" spans="1:1">
      <c r="A7059" s="35" t="s">
        <v>55185</v>
      </c>
    </row>
    <row r="7060" spans="1:1">
      <c r="A7060" s="35" t="s">
        <v>55186</v>
      </c>
    </row>
    <row r="7061" spans="1:1">
      <c r="A7061" s="35" t="s">
        <v>41057</v>
      </c>
    </row>
    <row r="7062" spans="1:1">
      <c r="A7062" s="35" t="s">
        <v>41057</v>
      </c>
    </row>
    <row r="7063" spans="1:1">
      <c r="A7063" s="35" t="s">
        <v>55147</v>
      </c>
    </row>
    <row r="7064" spans="1:1">
      <c r="A7064" s="35" t="s">
        <v>55187</v>
      </c>
    </row>
    <row r="7065" spans="1:1">
      <c r="A7065" s="35" t="s">
        <v>41057</v>
      </c>
    </row>
    <row r="7066" spans="1:1">
      <c r="A7066" s="35" t="s">
        <v>41057</v>
      </c>
    </row>
    <row r="7067" spans="1:1">
      <c r="A7067" s="35" t="s">
        <v>41057</v>
      </c>
    </row>
    <row r="7068" spans="1:1">
      <c r="A7068" s="35" t="e" cm="1">
        <f t="array" ref="A7068">----------------------D-----------------------------AYAPLNSA</f>
        <v>#NAME?</v>
      </c>
    </row>
    <row r="7069" spans="1:1">
      <c r="A7069" s="35" t="s">
        <v>55188</v>
      </c>
    </row>
    <row r="7070" spans="1:1">
      <c r="A7070" s="35" t="s">
        <v>55189</v>
      </c>
    </row>
    <row r="7071" spans="1:1">
      <c r="A7071" s="35" t="s">
        <v>55190</v>
      </c>
    </row>
    <row r="7072" spans="1:1">
      <c r="A7072" s="35" t="s">
        <v>55191</v>
      </c>
    </row>
    <row r="7073" spans="1:1">
      <c r="A7073" s="35" t="s">
        <v>55192</v>
      </c>
    </row>
    <row r="7074" spans="1:1">
      <c r="A7074" s="35" t="s">
        <v>55193</v>
      </c>
    </row>
    <row r="7075" spans="1:1">
      <c r="A7075" s="35" t="e" cm="1">
        <f t="array" ref="A7075">---------------------------------------------------------AQI</f>
        <v>#NAME?</v>
      </c>
    </row>
    <row r="7076" spans="1:1">
      <c r="A7076" s="35" t="s">
        <v>55194</v>
      </c>
    </row>
    <row r="7077" spans="1:1">
      <c r="A7077" s="35" t="s">
        <v>55195</v>
      </c>
    </row>
    <row r="7078" spans="1:1">
      <c r="A7078" s="35" t="s">
        <v>55196</v>
      </c>
    </row>
    <row r="7079" spans="1:1">
      <c r="A7079" s="35" t="s">
        <v>41057</v>
      </c>
    </row>
    <row r="7080" spans="1:1">
      <c r="A7080" s="35" t="s">
        <v>53545</v>
      </c>
    </row>
    <row r="7081" spans="1:1">
      <c r="A7081" s="35" t="s">
        <v>52332</v>
      </c>
    </row>
    <row r="7082" spans="1:1">
      <c r="A7082" s="35" t="s">
        <v>41057</v>
      </c>
    </row>
    <row r="7083" spans="1:1">
      <c r="A7083" s="35" t="s">
        <v>41057</v>
      </c>
    </row>
    <row r="7084" spans="1:1">
      <c r="A7084" s="35" t="s">
        <v>41057</v>
      </c>
    </row>
    <row r="7085" spans="1:1">
      <c r="A7085" s="35" t="s">
        <v>41057</v>
      </c>
    </row>
    <row r="7086" spans="1:1">
      <c r="A7086" s="35" t="s">
        <v>55197</v>
      </c>
    </row>
    <row r="7087" spans="1:1">
      <c r="A7087" s="35" t="s">
        <v>55198</v>
      </c>
    </row>
    <row r="7088" spans="1:1">
      <c r="A7088" s="35" t="s">
        <v>41057</v>
      </c>
    </row>
    <row r="7089" spans="1:1">
      <c r="A7089" s="35" t="s">
        <v>41057</v>
      </c>
    </row>
    <row r="7090" spans="1:1">
      <c r="A7090" s="35" t="s">
        <v>41057</v>
      </c>
    </row>
    <row r="7091" spans="1:1">
      <c r="A7091" s="35" t="s">
        <v>55199</v>
      </c>
    </row>
    <row r="7092" spans="1:1">
      <c r="A7092" s="35" t="s">
        <v>55200</v>
      </c>
    </row>
    <row r="7093" spans="1:1">
      <c r="A7093" s="35" t="s">
        <v>55201</v>
      </c>
    </row>
    <row r="7094" spans="1:1">
      <c r="A7094" s="35" t="s">
        <v>55202</v>
      </c>
    </row>
    <row r="7095" spans="1:1">
      <c r="A7095" s="35" t="s">
        <v>41057</v>
      </c>
    </row>
    <row r="7096" spans="1:1">
      <c r="A7096" s="35" t="s">
        <v>41057</v>
      </c>
    </row>
    <row r="7097" spans="1:1">
      <c r="A7097" s="35" t="e" cm="1">
        <f t="array" ref="A7097">----------------KTI------------------FKS-------------------Y</f>
        <v>#NAME?</v>
      </c>
    </row>
    <row r="7098" spans="1:1">
      <c r="A7098" s="35" t="s">
        <v>55203</v>
      </c>
    </row>
    <row r="7099" spans="1:1">
      <c r="A7099" s="35" t="s">
        <v>55204</v>
      </c>
    </row>
    <row r="7100" spans="1:1">
      <c r="A7100" s="35" t="s">
        <v>41057</v>
      </c>
    </row>
    <row r="7101" spans="1:1">
      <c r="A7101" s="35" t="s">
        <v>55205</v>
      </c>
    </row>
    <row r="7102" spans="1:1">
      <c r="A7102" s="35" t="s">
        <v>41057</v>
      </c>
    </row>
    <row r="7103" spans="1:1">
      <c r="A7103" s="35" t="s">
        <v>41057</v>
      </c>
    </row>
    <row r="7104" spans="1:1">
      <c r="A7104" s="35" t="s">
        <v>55206</v>
      </c>
    </row>
    <row r="7105" spans="1:1">
      <c r="A7105" s="35" t="s">
        <v>41057</v>
      </c>
    </row>
    <row r="7106" spans="1:1">
      <c r="A7106" s="35" t="s">
        <v>41057</v>
      </c>
    </row>
    <row r="7107" spans="1:1">
      <c r="A7107" s="35" t="s">
        <v>55207</v>
      </c>
    </row>
    <row r="7108" spans="1:1">
      <c r="A7108" s="35" t="s">
        <v>41057</v>
      </c>
    </row>
    <row r="7109" spans="1:1">
      <c r="A7109" s="35" t="s">
        <v>41057</v>
      </c>
    </row>
    <row r="7110" spans="1:1">
      <c r="A7110" s="35" t="s">
        <v>55208</v>
      </c>
    </row>
    <row r="7111" spans="1:1">
      <c r="A7111" s="35" t="s">
        <v>41057</v>
      </c>
    </row>
    <row r="7112" spans="1:1">
      <c r="A7112" s="35" t="s">
        <v>55209</v>
      </c>
    </row>
    <row r="7113" spans="1:1">
      <c r="A7113" s="35" t="s">
        <v>41057</v>
      </c>
    </row>
    <row r="7114" spans="1:1">
      <c r="A7114" s="35" t="s">
        <v>55210</v>
      </c>
    </row>
    <row r="7115" spans="1:1">
      <c r="A7115" s="35" t="s">
        <v>55211</v>
      </c>
    </row>
    <row r="7116" spans="1:1">
      <c r="A7116" s="35" t="s">
        <v>41057</v>
      </c>
    </row>
    <row r="7117" spans="1:1">
      <c r="A7117" s="35" t="s">
        <v>41057</v>
      </c>
    </row>
    <row r="7118" spans="1:1">
      <c r="A7118" s="35" t="s">
        <v>53991</v>
      </c>
    </row>
    <row r="7119" spans="1:1">
      <c r="A7119" s="35" t="s">
        <v>41057</v>
      </c>
    </row>
    <row r="7120" spans="1:1">
      <c r="A7120" s="35" t="s">
        <v>41057</v>
      </c>
    </row>
    <row r="7121" spans="1:1">
      <c r="A7121" s="35" t="s">
        <v>41057</v>
      </c>
    </row>
    <row r="7122" spans="1:1">
      <c r="A7122" s="35" t="s">
        <v>41057</v>
      </c>
    </row>
    <row r="7123" spans="1:1">
      <c r="A7123" s="35" t="s">
        <v>41057</v>
      </c>
    </row>
    <row r="7124" spans="1:1">
      <c r="A7124" s="35" t="s">
        <v>41057</v>
      </c>
    </row>
    <row r="7125" spans="1:1">
      <c r="A7125" s="35" t="s">
        <v>41057</v>
      </c>
    </row>
    <row r="7126" spans="1:1">
      <c r="A7126" s="35" t="s">
        <v>41057</v>
      </c>
    </row>
    <row r="7127" spans="1:1">
      <c r="A7127" s="35" t="s">
        <v>41057</v>
      </c>
    </row>
    <row r="7128" spans="1:1">
      <c r="A7128" s="35" t="s">
        <v>41057</v>
      </c>
    </row>
    <row r="7129" spans="1:1">
      <c r="A7129" s="35" t="s">
        <v>41057</v>
      </c>
    </row>
    <row r="7130" spans="1:1">
      <c r="A7130" s="35" t="s">
        <v>41057</v>
      </c>
    </row>
    <row r="7131" spans="1:1">
      <c r="A7131" s="35" t="s">
        <v>41057</v>
      </c>
    </row>
    <row r="7132" spans="1:1">
      <c r="A7132" s="35" t="s">
        <v>41057</v>
      </c>
    </row>
    <row r="7133" spans="1:1">
      <c r="A7133" s="35" t="s">
        <v>41057</v>
      </c>
    </row>
    <row r="7134" spans="1:1">
      <c r="A7134" s="35" t="s">
        <v>41057</v>
      </c>
    </row>
    <row r="7135" spans="1:1">
      <c r="A7135" s="35" t="s">
        <v>41057</v>
      </c>
    </row>
    <row r="7136" spans="1:1">
      <c r="A7136" s="35" t="s">
        <v>41057</v>
      </c>
    </row>
    <row r="7137" spans="1:1">
      <c r="A7137" s="35" t="s">
        <v>41057</v>
      </c>
    </row>
    <row r="7138" spans="1:1">
      <c r="A7138" s="35" t="s">
        <v>41057</v>
      </c>
    </row>
    <row r="7139" spans="1:1">
      <c r="A7139" s="35" t="s">
        <v>41057</v>
      </c>
    </row>
    <row r="7140" spans="1:1">
      <c r="A7140" s="35" t="s">
        <v>55212</v>
      </c>
    </row>
    <row r="7141" spans="1:1">
      <c r="A7141" s="35" t="s">
        <v>41057</v>
      </c>
    </row>
    <row r="7142" spans="1:1">
      <c r="A7142" s="35" t="s">
        <v>41057</v>
      </c>
    </row>
    <row r="7143" spans="1:1">
      <c r="A7143" s="35" t="s">
        <v>55171</v>
      </c>
    </row>
    <row r="7144" spans="1:1">
      <c r="A7144" s="35" t="s">
        <v>41057</v>
      </c>
    </row>
    <row r="7145" spans="1:1">
      <c r="A7145" s="35" t="s">
        <v>41057</v>
      </c>
    </row>
    <row r="7146" spans="1:1">
      <c r="A7146" s="35" t="s">
        <v>41057</v>
      </c>
    </row>
    <row r="7147" spans="1:1">
      <c r="A7147" s="35" t="s">
        <v>41057</v>
      </c>
    </row>
    <row r="7148" spans="1:1">
      <c r="A7148" s="35" t="s">
        <v>41057</v>
      </c>
    </row>
    <row r="7149" spans="1:1">
      <c r="A7149" s="35" t="s">
        <v>41057</v>
      </c>
    </row>
    <row r="7150" spans="1:1">
      <c r="A7150" s="35" t="s">
        <v>41057</v>
      </c>
    </row>
    <row r="7151" spans="1:1">
      <c r="A7151" s="35" t="e" cm="1">
        <f t="array" ref="A7151">-----------------------------------------------------YP---AE</f>
        <v>#NAME?</v>
      </c>
    </row>
    <row r="7152" spans="1:1">
      <c r="A7152" s="35" t="s">
        <v>55213</v>
      </c>
    </row>
    <row r="7153" spans="1:1">
      <c r="A7153" s="35" t="e" cm="1">
        <f t="array" ref="A7153">--------------FSNFCRIRNELFM---------DPDE------------------RH</f>
        <v>#NAME?</v>
      </c>
    </row>
    <row r="7154" spans="1:1">
      <c r="A7154" s="35" t="s">
        <v>55214</v>
      </c>
    </row>
    <row r="7155" spans="1:1">
      <c r="A7155" s="35" t="e" cm="1">
        <f t="array" ref="A7155">---------------------------------------------FSSSD--------VV</f>
        <v>#NAME?</v>
      </c>
    </row>
    <row r="7156" spans="1:1">
      <c r="A7156" s="35" t="s">
        <v>55174</v>
      </c>
    </row>
    <row r="7157" spans="1:1">
      <c r="A7157" s="35" t="s">
        <v>55215</v>
      </c>
    </row>
    <row r="7158" spans="1:1">
      <c r="A7158" s="35" t="s">
        <v>41057</v>
      </c>
    </row>
    <row r="7159" spans="1:1">
      <c r="A7159" s="35" t="s">
        <v>55216</v>
      </c>
    </row>
    <row r="7160" spans="1:1">
      <c r="A7160" s="35" t="s">
        <v>55217</v>
      </c>
    </row>
    <row r="7161" spans="1:1">
      <c r="A7161" s="35" t="s">
        <v>55218</v>
      </c>
    </row>
    <row r="7162" spans="1:1">
      <c r="A7162" s="35" t="s">
        <v>41057</v>
      </c>
    </row>
    <row r="7163" spans="1:1">
      <c r="A7163" s="35" t="s">
        <v>41057</v>
      </c>
    </row>
    <row r="7164" spans="1:1">
      <c r="A7164" s="35" t="s">
        <v>55219</v>
      </c>
    </row>
    <row r="7165" spans="1:1">
      <c r="A7165" s="35" t="s">
        <v>55220</v>
      </c>
    </row>
    <row r="7166" spans="1:1">
      <c r="A7166" s="35" t="s">
        <v>41057</v>
      </c>
    </row>
    <row r="7167" spans="1:1">
      <c r="A7167" s="35" t="s">
        <v>41057</v>
      </c>
    </row>
    <row r="7168" spans="1:1">
      <c r="A7168" s="35" t="s">
        <v>55138</v>
      </c>
    </row>
    <row r="7169" spans="1:1">
      <c r="A7169" s="35" t="s">
        <v>55221</v>
      </c>
    </row>
    <row r="7170" spans="1:1">
      <c r="A7170" s="35" t="s">
        <v>55222</v>
      </c>
    </row>
    <row r="7171" spans="1:1">
      <c r="A7171" s="35" t="s">
        <v>55223</v>
      </c>
    </row>
    <row r="7172" spans="1:1">
      <c r="A7172" s="35" t="e" cm="1">
        <f t="array" ref="A7172">----------------------------------------------------------YR</f>
        <v>#NAME?</v>
      </c>
    </row>
    <row r="7173" spans="1:1">
      <c r="A7173" s="35" t="s">
        <v>55224</v>
      </c>
    </row>
    <row r="7174" spans="1:1">
      <c r="A7174" s="35" t="s">
        <v>55225</v>
      </c>
    </row>
    <row r="7175" spans="1:1">
      <c r="A7175" s="35" t="s">
        <v>54639</v>
      </c>
    </row>
    <row r="7176" spans="1:1">
      <c r="A7176" s="35" t="s">
        <v>41057</v>
      </c>
    </row>
    <row r="7177" spans="1:1">
      <c r="A7177" s="35" t="s">
        <v>55226</v>
      </c>
    </row>
    <row r="7178" spans="1:1">
      <c r="A7178" s="35" t="s">
        <v>55186</v>
      </c>
    </row>
    <row r="7179" spans="1:1">
      <c r="A7179" s="35" t="s">
        <v>41057</v>
      </c>
    </row>
    <row r="7180" spans="1:1">
      <c r="A7180" s="35" t="s">
        <v>41057</v>
      </c>
    </row>
    <row r="7181" spans="1:1">
      <c r="A7181" s="35" t="s">
        <v>55227</v>
      </c>
    </row>
    <row r="7182" spans="1:1">
      <c r="A7182" s="35" t="s">
        <v>55228</v>
      </c>
    </row>
    <row r="7183" spans="1:1">
      <c r="A7183" s="35" t="s">
        <v>41057</v>
      </c>
    </row>
    <row r="7184" spans="1:1">
      <c r="A7184" s="35" t="s">
        <v>41057</v>
      </c>
    </row>
    <row r="7185" spans="1:1">
      <c r="A7185" s="35" t="s">
        <v>41057</v>
      </c>
    </row>
    <row r="7186" spans="1:1">
      <c r="A7186" s="35" t="e" cm="1">
        <f t="array" ref="A7186">----------------------D-----------------------------AAAPLESA</f>
        <v>#NAME?</v>
      </c>
    </row>
    <row r="7187" spans="1:1">
      <c r="A7187" s="35" t="s">
        <v>55229</v>
      </c>
    </row>
    <row r="7188" spans="1:1">
      <c r="A7188" s="35" t="s">
        <v>55230</v>
      </c>
    </row>
    <row r="7189" spans="1:1">
      <c r="A7189" s="35" t="s">
        <v>55231</v>
      </c>
    </row>
    <row r="7190" spans="1:1">
      <c r="A7190" s="35" t="s">
        <v>55232</v>
      </c>
    </row>
    <row r="7191" spans="1:1">
      <c r="A7191" s="35" t="s">
        <v>55233</v>
      </c>
    </row>
    <row r="7192" spans="1:1">
      <c r="A7192" s="35" t="s">
        <v>55234</v>
      </c>
    </row>
    <row r="7193" spans="1:1">
      <c r="A7193" s="35" t="e" cm="1">
        <f t="array" ref="A7193">---------------------------------------------------------YTV</f>
        <v>#NAME?</v>
      </c>
    </row>
    <row r="7194" spans="1:1">
      <c r="A7194" s="35" t="s">
        <v>55235</v>
      </c>
    </row>
    <row r="7195" spans="1:1">
      <c r="A7195" s="35" t="s">
        <v>55236</v>
      </c>
    </row>
    <row r="7196" spans="1:1">
      <c r="A7196" s="35" t="s">
        <v>55237</v>
      </c>
    </row>
    <row r="7197" spans="1:1">
      <c r="A7197" s="35" t="s">
        <v>41057</v>
      </c>
    </row>
    <row r="7198" spans="1:1">
      <c r="A7198" s="35" t="s">
        <v>53545</v>
      </c>
    </row>
    <row r="7199" spans="1:1">
      <c r="A7199" s="35" t="s">
        <v>52459</v>
      </c>
    </row>
    <row r="7200" spans="1:1">
      <c r="A7200" s="35" t="s">
        <v>41057</v>
      </c>
    </row>
    <row r="7201" spans="1:1">
      <c r="A7201" s="35" t="s">
        <v>41057</v>
      </c>
    </row>
    <row r="7202" spans="1:1">
      <c r="A7202" s="35" t="s">
        <v>41057</v>
      </c>
    </row>
    <row r="7203" spans="1:1">
      <c r="A7203" s="35" t="s">
        <v>41057</v>
      </c>
    </row>
    <row r="7204" spans="1:1">
      <c r="A7204" s="35" t="s">
        <v>41057</v>
      </c>
    </row>
    <row r="7205" spans="1:1">
      <c r="A7205" s="35" t="s">
        <v>53546</v>
      </c>
    </row>
    <row r="7206" spans="1:1">
      <c r="A7206" s="35" t="s">
        <v>41057</v>
      </c>
    </row>
    <row r="7207" spans="1:1">
      <c r="A7207" s="35" t="s">
        <v>41057</v>
      </c>
    </row>
    <row r="7208" spans="1:1">
      <c r="A7208" s="35" t="s">
        <v>41057</v>
      </c>
    </row>
    <row r="7209" spans="1:1">
      <c r="A7209" s="35" t="s">
        <v>54097</v>
      </c>
    </row>
    <row r="7210" spans="1:1">
      <c r="A7210" s="35" t="s">
        <v>55238</v>
      </c>
    </row>
    <row r="7211" spans="1:1">
      <c r="A7211" s="35" t="s">
        <v>55239</v>
      </c>
    </row>
    <row r="7212" spans="1:1">
      <c r="A7212" s="35" t="s">
        <v>55240</v>
      </c>
    </row>
    <row r="7213" spans="1:1">
      <c r="A7213" s="35" t="s">
        <v>41057</v>
      </c>
    </row>
    <row r="7214" spans="1:1">
      <c r="A7214" s="35" t="s">
        <v>41057</v>
      </c>
    </row>
    <row r="7215" spans="1:1">
      <c r="A7215" s="35" t="e" cm="1">
        <f t="array" ref="A7215">---------------KNTY------------------WKK-------------------A</f>
        <v>#NAME?</v>
      </c>
    </row>
    <row r="7216" spans="1:1">
      <c r="A7216" s="35" t="s">
        <v>55241</v>
      </c>
    </row>
    <row r="7217" spans="1:1">
      <c r="A7217" s="35" t="s">
        <v>55242</v>
      </c>
    </row>
    <row r="7218" spans="1:1">
      <c r="A7218" s="35" t="s">
        <v>41057</v>
      </c>
    </row>
    <row r="7219" spans="1:1">
      <c r="A7219" s="35" t="s">
        <v>55243</v>
      </c>
    </row>
    <row r="7220" spans="1:1">
      <c r="A7220" s="35" t="s">
        <v>41057</v>
      </c>
    </row>
    <row r="7221" spans="1:1">
      <c r="A7221" s="35" t="s">
        <v>41057</v>
      </c>
    </row>
    <row r="7222" spans="1:1">
      <c r="A7222" s="35" t="s">
        <v>55244</v>
      </c>
    </row>
    <row r="7223" spans="1:1">
      <c r="A7223" s="35" t="s">
        <v>41057</v>
      </c>
    </row>
    <row r="7224" spans="1:1">
      <c r="A7224" s="35" t="s">
        <v>41057</v>
      </c>
    </row>
    <row r="7225" spans="1:1">
      <c r="A7225" s="35" t="s">
        <v>53500</v>
      </c>
    </row>
    <row r="7226" spans="1:1">
      <c r="A7226" s="35" t="s">
        <v>41057</v>
      </c>
    </row>
    <row r="7227" spans="1:1">
      <c r="A7227" s="35" t="s">
        <v>41057</v>
      </c>
    </row>
    <row r="7228" spans="1:1">
      <c r="A7228" s="35" t="s">
        <v>55245</v>
      </c>
    </row>
    <row r="7229" spans="1:1">
      <c r="A7229" s="35" t="s">
        <v>41057</v>
      </c>
    </row>
    <row r="7230" spans="1:1">
      <c r="A7230" s="35" t="s">
        <v>55246</v>
      </c>
    </row>
    <row r="7231" spans="1:1">
      <c r="A7231" s="35" t="s">
        <v>41057</v>
      </c>
    </row>
    <row r="7232" spans="1:1">
      <c r="A7232" s="35" t="s">
        <v>55247</v>
      </c>
    </row>
    <row r="7233" spans="1:1">
      <c r="A7233" s="35" t="s">
        <v>55248</v>
      </c>
    </row>
    <row r="7234" spans="1:1">
      <c r="A7234" s="35" t="s">
        <v>41057</v>
      </c>
    </row>
    <row r="7235" spans="1:1">
      <c r="A7235" s="35" t="s">
        <v>41057</v>
      </c>
    </row>
    <row r="7236" spans="1:1">
      <c r="A7236" s="35" t="s">
        <v>55249</v>
      </c>
    </row>
    <row r="7237" spans="1:1">
      <c r="A7237" s="35" t="s">
        <v>41057</v>
      </c>
    </row>
    <row r="7238" spans="1:1">
      <c r="A7238" s="35" t="s">
        <v>41057</v>
      </c>
    </row>
    <row r="7239" spans="1:1">
      <c r="A7239" s="35" t="s">
        <v>41057</v>
      </c>
    </row>
    <row r="7240" spans="1:1">
      <c r="A7240" s="35" t="s">
        <v>41057</v>
      </c>
    </row>
    <row r="7241" spans="1:1">
      <c r="A7241" s="35" t="s">
        <v>41057</v>
      </c>
    </row>
    <row r="7242" spans="1:1">
      <c r="A7242" s="35" t="s">
        <v>54314</v>
      </c>
    </row>
    <row r="7243" spans="1:1">
      <c r="A7243" s="35" t="s">
        <v>41057</v>
      </c>
    </row>
    <row r="7244" spans="1:1">
      <c r="A7244" s="35" t="s">
        <v>41057</v>
      </c>
    </row>
    <row r="7245" spans="1:1">
      <c r="A7245" s="35" t="s">
        <v>41057</v>
      </c>
    </row>
    <row r="7246" spans="1:1">
      <c r="A7246" s="35" t="s">
        <v>41057</v>
      </c>
    </row>
    <row r="7247" spans="1:1">
      <c r="A7247" s="35" t="s">
        <v>41057</v>
      </c>
    </row>
    <row r="7248" spans="1:1">
      <c r="A7248" s="35" t="s">
        <v>41057</v>
      </c>
    </row>
    <row r="7249" spans="1:1">
      <c r="A7249" s="35" t="s">
        <v>41057</v>
      </c>
    </row>
    <row r="7250" spans="1:1">
      <c r="A7250" s="35" t="s">
        <v>41057</v>
      </c>
    </row>
    <row r="7251" spans="1:1">
      <c r="A7251" s="35" t="s">
        <v>41057</v>
      </c>
    </row>
    <row r="7252" spans="1:1">
      <c r="A7252" s="35" t="s">
        <v>41057</v>
      </c>
    </row>
    <row r="7253" spans="1:1">
      <c r="A7253" s="35" t="s">
        <v>41057</v>
      </c>
    </row>
    <row r="7254" spans="1:1">
      <c r="A7254" s="35" t="s">
        <v>41057</v>
      </c>
    </row>
    <row r="7255" spans="1:1">
      <c r="A7255" s="35" t="s">
        <v>41057</v>
      </c>
    </row>
    <row r="7256" spans="1:1">
      <c r="A7256" s="35" t="s">
        <v>41057</v>
      </c>
    </row>
    <row r="7257" spans="1:1">
      <c r="A7257" s="35" t="s">
        <v>41057</v>
      </c>
    </row>
    <row r="7258" spans="1:1">
      <c r="A7258" s="35" t="s">
        <v>55250</v>
      </c>
    </row>
    <row r="7259" spans="1:1">
      <c r="A7259" s="35" t="s">
        <v>41057</v>
      </c>
    </row>
    <row r="7260" spans="1:1">
      <c r="A7260" s="35" t="s">
        <v>41057</v>
      </c>
    </row>
    <row r="7261" spans="1:1">
      <c r="A7261" s="35" t="s">
        <v>55251</v>
      </c>
    </row>
    <row r="7262" spans="1:1">
      <c r="A7262" s="35" t="s">
        <v>41057</v>
      </c>
    </row>
    <row r="7263" spans="1:1">
      <c r="A7263" s="35" t="s">
        <v>41057</v>
      </c>
    </row>
    <row r="7264" spans="1:1">
      <c r="A7264" s="35" t="s">
        <v>41057</v>
      </c>
    </row>
    <row r="7265" spans="1:1">
      <c r="A7265" s="35" t="s">
        <v>41057</v>
      </c>
    </row>
    <row r="7266" spans="1:1">
      <c r="A7266" s="35" t="s">
        <v>41057</v>
      </c>
    </row>
    <row r="7267" spans="1:1">
      <c r="A7267" s="35" t="s">
        <v>41057</v>
      </c>
    </row>
    <row r="7268" spans="1:1">
      <c r="A7268" s="35" t="s">
        <v>41057</v>
      </c>
    </row>
    <row r="7269" spans="1:1">
      <c r="A7269" s="35" t="e" cm="1">
        <f t="array" ref="A7269">-----------------------------------------------------FP---VE</f>
        <v>#NAME?</v>
      </c>
    </row>
    <row r="7270" spans="1:1">
      <c r="A7270" s="35" t="s">
        <v>55252</v>
      </c>
    </row>
    <row r="7271" spans="1:1">
      <c r="A7271" s="35" t="e" cm="1">
        <f t="array" ref="A7271">---------------HQWFRMYWELYL---------TYDQ------------------KI</f>
        <v>#NAME?</v>
      </c>
    </row>
    <row r="7272" spans="1:1">
      <c r="A7272" s="35" t="s">
        <v>55253</v>
      </c>
    </row>
    <row r="7273" spans="1:1">
      <c r="A7273" s="35" t="e" cm="1">
        <f t="array" ref="A7273">---------------------------------------------FQTE---------VE</f>
        <v>#NAME?</v>
      </c>
    </row>
    <row r="7274" spans="1:1">
      <c r="A7274" s="35" t="s">
        <v>55254</v>
      </c>
    </row>
    <row r="7275" spans="1:1">
      <c r="A7275" s="35" t="s">
        <v>55255</v>
      </c>
    </row>
    <row r="7276" spans="1:1">
      <c r="A7276" s="35" t="s">
        <v>41057</v>
      </c>
    </row>
    <row r="7277" spans="1:1">
      <c r="A7277" s="35" t="s">
        <v>55256</v>
      </c>
    </row>
    <row r="7278" spans="1:1">
      <c r="A7278" s="35" t="s">
        <v>55257</v>
      </c>
    </row>
    <row r="7279" spans="1:1">
      <c r="A7279" s="35" t="s">
        <v>55258</v>
      </c>
    </row>
    <row r="7280" spans="1:1">
      <c r="A7280" s="35" t="s">
        <v>41057</v>
      </c>
    </row>
    <row r="7281" spans="1:1">
      <c r="A7281" s="35" t="s">
        <v>41057</v>
      </c>
    </row>
    <row r="7282" spans="1:1">
      <c r="A7282" s="35" t="s">
        <v>55259</v>
      </c>
    </row>
    <row r="7283" spans="1:1">
      <c r="A7283" s="35" t="s">
        <v>55260</v>
      </c>
    </row>
    <row r="7284" spans="1:1">
      <c r="A7284" s="35" t="s">
        <v>41057</v>
      </c>
    </row>
    <row r="7285" spans="1:1">
      <c r="A7285" s="35" t="s">
        <v>41057</v>
      </c>
    </row>
    <row r="7286" spans="1:1">
      <c r="A7286" s="35" t="s">
        <v>55261</v>
      </c>
    </row>
    <row r="7287" spans="1:1">
      <c r="A7287" s="35" t="s">
        <v>55262</v>
      </c>
    </row>
    <row r="7288" spans="1:1">
      <c r="A7288" s="35" t="s">
        <v>55263</v>
      </c>
    </row>
    <row r="7289" spans="1:1">
      <c r="A7289" s="35" t="s">
        <v>55264</v>
      </c>
    </row>
    <row r="7290" spans="1:1">
      <c r="A7290" s="35" t="e" cm="1">
        <f t="array" ref="A7290">----------------------------------------------------------NL</f>
        <v>#NAME?</v>
      </c>
    </row>
    <row r="7291" spans="1:1">
      <c r="A7291" s="35" t="s">
        <v>55265</v>
      </c>
    </row>
    <row r="7292" spans="1:1">
      <c r="A7292" s="35" t="s">
        <v>55266</v>
      </c>
    </row>
    <row r="7293" spans="1:1">
      <c r="A7293" s="35" t="s">
        <v>54786</v>
      </c>
    </row>
    <row r="7294" spans="1:1">
      <c r="A7294" s="35" t="s">
        <v>41057</v>
      </c>
    </row>
    <row r="7295" spans="1:1">
      <c r="A7295" s="35" t="s">
        <v>55267</v>
      </c>
    </row>
    <row r="7296" spans="1:1">
      <c r="A7296" s="35" t="s">
        <v>55268</v>
      </c>
    </row>
    <row r="7297" spans="1:1">
      <c r="A7297" s="35" t="s">
        <v>41057</v>
      </c>
    </row>
    <row r="7298" spans="1:1">
      <c r="A7298" s="35" t="s">
        <v>41057</v>
      </c>
    </row>
    <row r="7299" spans="1:1">
      <c r="A7299" s="35" t="s">
        <v>55269</v>
      </c>
    </row>
    <row r="7300" spans="1:1">
      <c r="A7300" s="35" t="s">
        <v>55270</v>
      </c>
    </row>
    <row r="7301" spans="1:1">
      <c r="A7301" s="35" t="s">
        <v>41057</v>
      </c>
    </row>
    <row r="7302" spans="1:1">
      <c r="A7302" s="35" t="s">
        <v>41057</v>
      </c>
    </row>
    <row r="7303" spans="1:1">
      <c r="A7303" s="35" t="s">
        <v>41057</v>
      </c>
    </row>
    <row r="7304" spans="1:1">
      <c r="A7304" s="35" t="e" cm="1">
        <f t="array" ref="A7304">---------------------TE-----------------------------VLAPIAEA</f>
        <v>#NAME?</v>
      </c>
    </row>
    <row r="7305" spans="1:1">
      <c r="A7305" s="35" t="s">
        <v>55271</v>
      </c>
    </row>
    <row r="7306" spans="1:1">
      <c r="A7306" s="35" t="s">
        <v>55272</v>
      </c>
    </row>
    <row r="7307" spans="1:1">
      <c r="A7307" s="35" t="s">
        <v>55273</v>
      </c>
    </row>
    <row r="7308" spans="1:1">
      <c r="A7308" s="35" t="s">
        <v>55274</v>
      </c>
    </row>
    <row r="7309" spans="1:1">
      <c r="A7309" s="35" t="s">
        <v>55275</v>
      </c>
    </row>
    <row r="7310" spans="1:1">
      <c r="A7310" s="35" t="s">
        <v>55276</v>
      </c>
    </row>
    <row r="7311" spans="1:1">
      <c r="A7311" s="35" t="e" cm="1">
        <f t="array" ref="A7311">---------------------------------------------------------PAV</f>
        <v>#NAME?</v>
      </c>
    </row>
    <row r="7312" spans="1:1">
      <c r="A7312" s="35" t="s">
        <v>55277</v>
      </c>
    </row>
    <row r="7313" spans="1:1">
      <c r="A7313" s="35" t="s">
        <v>55278</v>
      </c>
    </row>
    <row r="7314" spans="1:1">
      <c r="A7314" s="35" t="s">
        <v>55279</v>
      </c>
    </row>
    <row r="7315" spans="1:1">
      <c r="A7315" s="35" t="s">
        <v>41057</v>
      </c>
    </row>
    <row r="7316" spans="1:1">
      <c r="A7316" s="35" t="s">
        <v>53545</v>
      </c>
    </row>
    <row r="7317" spans="1:1">
      <c r="A7317" s="35" t="s">
        <v>52535</v>
      </c>
    </row>
    <row r="7318" spans="1:1">
      <c r="A7318" s="35" t="s">
        <v>41057</v>
      </c>
    </row>
    <row r="7319" spans="1:1">
      <c r="A7319" s="35" t="s">
        <v>41057</v>
      </c>
    </row>
    <row r="7320" spans="1:1">
      <c r="A7320" s="35" t="s">
        <v>41057</v>
      </c>
    </row>
    <row r="7321" spans="1:1">
      <c r="A7321" s="35" t="s">
        <v>41057</v>
      </c>
    </row>
    <row r="7322" spans="1:1">
      <c r="A7322" s="35" t="s">
        <v>55280</v>
      </c>
    </row>
    <row r="7323" spans="1:1">
      <c r="A7323" s="35" t="s">
        <v>55281</v>
      </c>
    </row>
    <row r="7324" spans="1:1">
      <c r="A7324" s="35" t="s">
        <v>41057</v>
      </c>
    </row>
    <row r="7325" spans="1:1">
      <c r="A7325" s="35" t="s">
        <v>41057</v>
      </c>
    </row>
    <row r="7326" spans="1:1">
      <c r="A7326" s="35" t="s">
        <v>41057</v>
      </c>
    </row>
    <row r="7327" spans="1:1">
      <c r="A7327" s="35" t="s">
        <v>54097</v>
      </c>
    </row>
    <row r="7328" spans="1:1">
      <c r="A7328" s="35" t="s">
        <v>55282</v>
      </c>
    </row>
    <row r="7329" spans="1:1">
      <c r="A7329" s="35" t="s">
        <v>55283</v>
      </c>
    </row>
    <row r="7330" spans="1:1">
      <c r="A7330" s="35" t="s">
        <v>53637</v>
      </c>
    </row>
    <row r="7331" spans="1:1">
      <c r="A7331" s="35" t="s">
        <v>41057</v>
      </c>
    </row>
    <row r="7332" spans="1:1">
      <c r="A7332" s="35" t="s">
        <v>41057</v>
      </c>
    </row>
    <row r="7333" spans="1:1">
      <c r="A7333" s="35" t="e" cm="1">
        <f t="array" ref="A7333">---------------AKSL------------------WKS-------------------V</f>
        <v>#NAME?</v>
      </c>
    </row>
    <row r="7334" spans="1:1">
      <c r="A7334" s="35" t="s">
        <v>55284</v>
      </c>
    </row>
    <row r="7335" spans="1:1">
      <c r="A7335" s="35" t="s">
        <v>55285</v>
      </c>
    </row>
    <row r="7336" spans="1:1">
      <c r="A7336" s="35" t="s">
        <v>41057</v>
      </c>
    </row>
    <row r="7337" spans="1:1">
      <c r="A7337" s="35" t="s">
        <v>55286</v>
      </c>
    </row>
    <row r="7338" spans="1:1">
      <c r="A7338" s="35" t="s">
        <v>41057</v>
      </c>
    </row>
    <row r="7339" spans="1:1">
      <c r="A7339" s="35" t="s">
        <v>41057</v>
      </c>
    </row>
    <row r="7340" spans="1:1">
      <c r="A7340" s="35" t="s">
        <v>55287</v>
      </c>
    </row>
    <row r="7341" spans="1:1">
      <c r="A7341" s="35" t="s">
        <v>41057</v>
      </c>
    </row>
    <row r="7342" spans="1:1">
      <c r="A7342" s="35" t="s">
        <v>41057</v>
      </c>
    </row>
    <row r="7343" spans="1:1">
      <c r="A7343" s="35" t="s">
        <v>53500</v>
      </c>
    </row>
    <row r="7344" spans="1:1">
      <c r="A7344" s="35" t="s">
        <v>41057</v>
      </c>
    </row>
    <row r="7345" spans="1:1">
      <c r="A7345" s="35" t="s">
        <v>41057</v>
      </c>
    </row>
    <row r="7346" spans="1:1">
      <c r="A7346" s="35" t="s">
        <v>55288</v>
      </c>
    </row>
    <row r="7347" spans="1:1">
      <c r="A7347" s="35" t="s">
        <v>41057</v>
      </c>
    </row>
    <row r="7348" spans="1:1">
      <c r="A7348" s="35" t="s">
        <v>55289</v>
      </c>
    </row>
    <row r="7349" spans="1:1">
      <c r="A7349" s="35" t="s">
        <v>41057</v>
      </c>
    </row>
    <row r="7350" spans="1:1">
      <c r="A7350" s="35" t="s">
        <v>55290</v>
      </c>
    </row>
    <row r="7351" spans="1:1">
      <c r="A7351" s="35" t="s">
        <v>55291</v>
      </c>
    </row>
    <row r="7352" spans="1:1">
      <c r="A7352" s="35" t="s">
        <v>41057</v>
      </c>
    </row>
    <row r="7353" spans="1:1">
      <c r="A7353" s="35" t="s">
        <v>41057</v>
      </c>
    </row>
    <row r="7354" spans="1:1">
      <c r="A7354" s="35" t="s">
        <v>55249</v>
      </c>
    </row>
    <row r="7355" spans="1:1">
      <c r="A7355" s="35" t="s">
        <v>41057</v>
      </c>
    </row>
    <row r="7356" spans="1:1">
      <c r="A7356" s="35" t="s">
        <v>41057</v>
      </c>
    </row>
    <row r="7357" spans="1:1">
      <c r="A7357" s="35" t="s">
        <v>41057</v>
      </c>
    </row>
    <row r="7358" spans="1:1">
      <c r="A7358" s="35" t="s">
        <v>41057</v>
      </c>
    </row>
    <row r="7359" spans="1:1">
      <c r="A7359" s="35" t="s">
        <v>41057</v>
      </c>
    </row>
    <row r="7360" spans="1:1">
      <c r="A7360" s="35" t="s">
        <v>55292</v>
      </c>
    </row>
    <row r="7361" spans="1:1">
      <c r="A7361" s="35" t="s">
        <v>41057</v>
      </c>
    </row>
    <row r="7362" spans="1:1">
      <c r="A7362" s="35" t="s">
        <v>41057</v>
      </c>
    </row>
    <row r="7363" spans="1:1">
      <c r="A7363" s="35" t="s">
        <v>41057</v>
      </c>
    </row>
    <row r="7364" spans="1:1">
      <c r="A7364" s="35" t="s">
        <v>41057</v>
      </c>
    </row>
    <row r="7365" spans="1:1">
      <c r="A7365" s="35" t="s">
        <v>41057</v>
      </c>
    </row>
    <row r="7366" spans="1:1">
      <c r="A7366" s="35" t="s">
        <v>41057</v>
      </c>
    </row>
    <row r="7367" spans="1:1">
      <c r="A7367" s="35" t="s">
        <v>41057</v>
      </c>
    </row>
    <row r="7368" spans="1:1">
      <c r="A7368" s="35" t="s">
        <v>41057</v>
      </c>
    </row>
    <row r="7369" spans="1:1">
      <c r="A7369" s="35" t="s">
        <v>41057</v>
      </c>
    </row>
    <row r="7370" spans="1:1">
      <c r="A7370" s="35" t="s">
        <v>41057</v>
      </c>
    </row>
    <row r="7371" spans="1:1">
      <c r="A7371" s="35" t="s">
        <v>41057</v>
      </c>
    </row>
    <row r="7372" spans="1:1">
      <c r="A7372" s="35" t="s">
        <v>41057</v>
      </c>
    </row>
    <row r="7373" spans="1:1">
      <c r="A7373" s="35" t="s">
        <v>41057</v>
      </c>
    </row>
    <row r="7374" spans="1:1">
      <c r="A7374" s="35" t="s">
        <v>41057</v>
      </c>
    </row>
    <row r="7375" spans="1:1">
      <c r="A7375" s="35" t="s">
        <v>41057</v>
      </c>
    </row>
    <row r="7376" spans="1:1">
      <c r="A7376" s="35" t="s">
        <v>55293</v>
      </c>
    </row>
    <row r="7377" spans="1:1">
      <c r="A7377" s="35" t="s">
        <v>41057</v>
      </c>
    </row>
    <row r="7378" spans="1:1">
      <c r="A7378" s="35" t="s">
        <v>41057</v>
      </c>
    </row>
    <row r="7379" spans="1:1">
      <c r="A7379" s="35" t="s">
        <v>54317</v>
      </c>
    </row>
    <row r="7380" spans="1:1">
      <c r="A7380" s="35" t="s">
        <v>41057</v>
      </c>
    </row>
    <row r="7381" spans="1:1">
      <c r="A7381" s="35" t="s">
        <v>41057</v>
      </c>
    </row>
    <row r="7382" spans="1:1">
      <c r="A7382" s="35" t="s">
        <v>41057</v>
      </c>
    </row>
    <row r="7383" spans="1:1">
      <c r="A7383" s="35" t="s">
        <v>41057</v>
      </c>
    </row>
    <row r="7384" spans="1:1">
      <c r="A7384" s="35" t="s">
        <v>41057</v>
      </c>
    </row>
    <row r="7385" spans="1:1">
      <c r="A7385" s="35" t="s">
        <v>41057</v>
      </c>
    </row>
    <row r="7386" spans="1:1">
      <c r="A7386" s="35" t="s">
        <v>41057</v>
      </c>
    </row>
    <row r="7387" spans="1:1">
      <c r="A7387" s="35" t="e" cm="1">
        <f t="array" ref="A7387">-----------------------------------------------------FP---VE</f>
        <v>#NAME?</v>
      </c>
    </row>
    <row r="7388" spans="1:1">
      <c r="A7388" s="35" t="s">
        <v>55294</v>
      </c>
    </row>
    <row r="7389" spans="1:1">
      <c r="A7389" s="35" t="e" cm="1">
        <f t="array" ref="A7389">---------------HNWFRVYAQMYF---------NSKQ------------------TA</f>
        <v>#NAME?</v>
      </c>
    </row>
    <row r="7390" spans="1:1">
      <c r="A7390" s="35" t="s">
        <v>55295</v>
      </c>
    </row>
    <row r="7391" spans="1:1">
      <c r="A7391" s="35" t="e" cm="1">
        <f t="array" ref="A7391">---------------------------------------------FGNE---------TQ</f>
        <v>#NAME?</v>
      </c>
    </row>
    <row r="7392" spans="1:1">
      <c r="A7392" s="35" t="s">
        <v>55296</v>
      </c>
    </row>
    <row r="7393" spans="1:1">
      <c r="A7393" s="35" t="s">
        <v>55297</v>
      </c>
    </row>
    <row r="7394" spans="1:1">
      <c r="A7394" s="35" t="s">
        <v>41057</v>
      </c>
    </row>
    <row r="7395" spans="1:1">
      <c r="A7395" s="35" t="s">
        <v>55298</v>
      </c>
    </row>
    <row r="7396" spans="1:1">
      <c r="A7396" s="35" t="s">
        <v>55299</v>
      </c>
    </row>
    <row r="7397" spans="1:1">
      <c r="A7397" s="35" t="s">
        <v>54697</v>
      </c>
    </row>
    <row r="7398" spans="1:1">
      <c r="A7398" s="35" t="s">
        <v>41057</v>
      </c>
    </row>
    <row r="7399" spans="1:1">
      <c r="A7399" s="35" t="s">
        <v>41057</v>
      </c>
    </row>
    <row r="7400" spans="1:1">
      <c r="A7400" s="35" t="s">
        <v>55300</v>
      </c>
    </row>
    <row r="7401" spans="1:1">
      <c r="A7401" s="35" t="s">
        <v>55301</v>
      </c>
    </row>
    <row r="7402" spans="1:1">
      <c r="A7402" s="35" t="s">
        <v>41057</v>
      </c>
    </row>
    <row r="7403" spans="1:1">
      <c r="A7403" s="35" t="s">
        <v>41057</v>
      </c>
    </row>
    <row r="7404" spans="1:1">
      <c r="A7404" s="35" t="s">
        <v>55302</v>
      </c>
    </row>
    <row r="7405" spans="1:1">
      <c r="A7405" s="35" t="s">
        <v>55303</v>
      </c>
    </row>
    <row r="7406" spans="1:1">
      <c r="A7406" s="35" t="s">
        <v>55304</v>
      </c>
    </row>
    <row r="7407" spans="1:1">
      <c r="A7407" s="35" t="s">
        <v>55305</v>
      </c>
    </row>
    <row r="7408" spans="1:1">
      <c r="A7408" s="35" t="e" cm="1">
        <f t="array" ref="A7408">----------------------------------------------------------QK</f>
        <v>#NAME?</v>
      </c>
    </row>
    <row r="7409" spans="1:1">
      <c r="A7409" s="35" t="s">
        <v>55306</v>
      </c>
    </row>
    <row r="7410" spans="1:1">
      <c r="A7410" s="35" t="s">
        <v>55307</v>
      </c>
    </row>
    <row r="7411" spans="1:1">
      <c r="A7411" s="35" t="s">
        <v>54494</v>
      </c>
    </row>
    <row r="7412" spans="1:1">
      <c r="A7412" s="35" t="s">
        <v>41057</v>
      </c>
    </row>
    <row r="7413" spans="1:1">
      <c r="A7413" s="35" t="s">
        <v>55308</v>
      </c>
    </row>
    <row r="7414" spans="1:1">
      <c r="A7414" s="35" t="s">
        <v>55268</v>
      </c>
    </row>
    <row r="7415" spans="1:1">
      <c r="A7415" s="35" t="s">
        <v>41057</v>
      </c>
    </row>
    <row r="7416" spans="1:1">
      <c r="A7416" s="35" t="s">
        <v>41057</v>
      </c>
    </row>
    <row r="7417" spans="1:1">
      <c r="A7417" s="35" t="s">
        <v>55309</v>
      </c>
    </row>
    <row r="7418" spans="1:1">
      <c r="A7418" s="35" t="s">
        <v>55310</v>
      </c>
    </row>
    <row r="7419" spans="1:1">
      <c r="A7419" s="35" t="s">
        <v>41057</v>
      </c>
    </row>
    <row r="7420" spans="1:1">
      <c r="A7420" s="35" t="s">
        <v>41057</v>
      </c>
    </row>
    <row r="7421" spans="1:1">
      <c r="A7421" s="35" t="s">
        <v>41057</v>
      </c>
    </row>
    <row r="7422" spans="1:1">
      <c r="A7422" s="35" t="e" cm="1">
        <f t="array" ref="A7422">---------------------DN-----------------------------TAAPLYEA</f>
        <v>#NAME?</v>
      </c>
    </row>
    <row r="7423" spans="1:1">
      <c r="A7423" s="35" t="s">
        <v>55311</v>
      </c>
    </row>
    <row r="7424" spans="1:1">
      <c r="A7424" s="35" t="s">
        <v>55312</v>
      </c>
    </row>
    <row r="7425" spans="1:1">
      <c r="A7425" s="35" t="s">
        <v>55313</v>
      </c>
    </row>
    <row r="7426" spans="1:1">
      <c r="A7426" s="35" t="s">
        <v>55314</v>
      </c>
    </row>
    <row r="7427" spans="1:1">
      <c r="A7427" s="35" t="s">
        <v>55315</v>
      </c>
    </row>
    <row r="7428" spans="1:1">
      <c r="A7428" s="35" t="s">
        <v>55316</v>
      </c>
    </row>
    <row r="7429" spans="1:1">
      <c r="A7429" s="35" t="e" cm="1">
        <f t="array" ref="A7429">---------------------------------------------------------EST</f>
        <v>#NAME?</v>
      </c>
    </row>
    <row r="7430" spans="1:1">
      <c r="A7430" s="35" t="s">
        <v>55317</v>
      </c>
    </row>
    <row r="7431" spans="1:1">
      <c r="A7431" s="35" t="s">
        <v>54252</v>
      </c>
    </row>
    <row r="7432" spans="1:1">
      <c r="A7432" s="35" t="s">
        <v>54651</v>
      </c>
    </row>
    <row r="7433" spans="1:1">
      <c r="A7433" s="35" t="s">
        <v>41057</v>
      </c>
    </row>
    <row r="7434" spans="1:1">
      <c r="A7434" s="35" t="s">
        <v>53545</v>
      </c>
    </row>
    <row r="7435" spans="1:1">
      <c r="A7435" s="35" t="s">
        <v>52561</v>
      </c>
    </row>
    <row r="7436" spans="1:1">
      <c r="A7436" s="35" t="s">
        <v>41057</v>
      </c>
    </row>
    <row r="7437" spans="1:1">
      <c r="A7437" s="35" t="s">
        <v>41057</v>
      </c>
    </row>
    <row r="7438" spans="1:1">
      <c r="A7438" s="35" t="s">
        <v>41057</v>
      </c>
    </row>
    <row r="7439" spans="1:1">
      <c r="A7439" s="35" t="s">
        <v>41057</v>
      </c>
    </row>
    <row r="7440" spans="1:1">
      <c r="A7440" s="35" t="s">
        <v>41057</v>
      </c>
    </row>
    <row r="7441" spans="1:1">
      <c r="A7441" s="35" t="s">
        <v>41057</v>
      </c>
    </row>
    <row r="7442" spans="1:1">
      <c r="A7442" s="35" t="s">
        <v>41057</v>
      </c>
    </row>
    <row r="7443" spans="1:1">
      <c r="A7443" s="35" t="s">
        <v>41057</v>
      </c>
    </row>
    <row r="7444" spans="1:1">
      <c r="A7444" s="35" t="s">
        <v>41057</v>
      </c>
    </row>
    <row r="7445" spans="1:1">
      <c r="A7445" s="35" t="s">
        <v>55318</v>
      </c>
    </row>
    <row r="7446" spans="1:1">
      <c r="A7446" s="35" t="s">
        <v>55319</v>
      </c>
    </row>
    <row r="7447" spans="1:1">
      <c r="A7447" s="35" t="s">
        <v>55320</v>
      </c>
    </row>
    <row r="7448" spans="1:1">
      <c r="A7448" s="35" t="s">
        <v>55321</v>
      </c>
    </row>
    <row r="7449" spans="1:1">
      <c r="A7449" s="35" t="s">
        <v>41057</v>
      </c>
    </row>
    <row r="7450" spans="1:1">
      <c r="A7450" s="35" t="s">
        <v>41057</v>
      </c>
    </row>
    <row r="7451" spans="1:1">
      <c r="A7451" s="35" t="e" cm="1">
        <f t="array" ref="A7451">--------------RKNAF------------------VSR-------------------F</f>
        <v>#NAME?</v>
      </c>
    </row>
    <row r="7452" spans="1:1">
      <c r="A7452" s="35" t="s">
        <v>55322</v>
      </c>
    </row>
    <row r="7453" spans="1:1">
      <c r="A7453" s="35" t="s">
        <v>55323</v>
      </c>
    </row>
    <row r="7454" spans="1:1">
      <c r="A7454" s="35" t="s">
        <v>41057</v>
      </c>
    </row>
    <row r="7455" spans="1:1">
      <c r="A7455" s="35" t="s">
        <v>55324</v>
      </c>
    </row>
    <row r="7456" spans="1:1">
      <c r="A7456" s="35" t="s">
        <v>41057</v>
      </c>
    </row>
    <row r="7457" spans="1:1">
      <c r="A7457" s="35" t="s">
        <v>41057</v>
      </c>
    </row>
    <row r="7458" spans="1:1">
      <c r="A7458" s="35" t="s">
        <v>55325</v>
      </c>
    </row>
    <row r="7459" spans="1:1">
      <c r="A7459" s="35" t="s">
        <v>41057</v>
      </c>
    </row>
    <row r="7460" spans="1:1">
      <c r="A7460" s="35" t="s">
        <v>41057</v>
      </c>
    </row>
    <row r="7461" spans="1:1">
      <c r="A7461" s="35" t="s">
        <v>55326</v>
      </c>
    </row>
    <row r="7462" spans="1:1">
      <c r="A7462" s="35" t="s">
        <v>41057</v>
      </c>
    </row>
    <row r="7463" spans="1:1">
      <c r="A7463" s="35" t="s">
        <v>41057</v>
      </c>
    </row>
    <row r="7464" spans="1:1">
      <c r="A7464" s="35" t="s">
        <v>55327</v>
      </c>
    </row>
    <row r="7465" spans="1:1">
      <c r="A7465" s="35" t="s">
        <v>41057</v>
      </c>
    </row>
    <row r="7466" spans="1:1">
      <c r="A7466" s="35" t="s">
        <v>55328</v>
      </c>
    </row>
    <row r="7467" spans="1:1">
      <c r="A7467" s="35" t="s">
        <v>41057</v>
      </c>
    </row>
    <row r="7468" spans="1:1">
      <c r="A7468" s="35" t="s">
        <v>55329</v>
      </c>
    </row>
    <row r="7469" spans="1:1">
      <c r="A7469" s="35" t="s">
        <v>55330</v>
      </c>
    </row>
    <row r="7470" spans="1:1">
      <c r="A7470" s="35" t="s">
        <v>41057</v>
      </c>
    </row>
    <row r="7471" spans="1:1">
      <c r="A7471" s="35" t="s">
        <v>41057</v>
      </c>
    </row>
    <row r="7472" spans="1:1">
      <c r="A7472" s="35" t="s">
        <v>53909</v>
      </c>
    </row>
    <row r="7473" spans="1:1">
      <c r="A7473" s="35" t="s">
        <v>41057</v>
      </c>
    </row>
    <row r="7474" spans="1:1">
      <c r="A7474" s="35" t="s">
        <v>41057</v>
      </c>
    </row>
    <row r="7475" spans="1:1">
      <c r="A7475" s="35" t="s">
        <v>41057</v>
      </c>
    </row>
    <row r="7476" spans="1:1">
      <c r="A7476" s="35" t="s">
        <v>41057</v>
      </c>
    </row>
    <row r="7477" spans="1:1">
      <c r="A7477" s="35" t="s">
        <v>41057</v>
      </c>
    </row>
    <row r="7478" spans="1:1">
      <c r="A7478" s="35" t="s">
        <v>55331</v>
      </c>
    </row>
    <row r="7479" spans="1:1">
      <c r="A7479" s="35" t="s">
        <v>41057</v>
      </c>
    </row>
    <row r="7480" spans="1:1">
      <c r="A7480" s="35" t="s">
        <v>41057</v>
      </c>
    </row>
    <row r="7481" spans="1:1">
      <c r="A7481" s="35" t="s">
        <v>41057</v>
      </c>
    </row>
    <row r="7482" spans="1:1">
      <c r="A7482" s="35" t="s">
        <v>41057</v>
      </c>
    </row>
    <row r="7483" spans="1:1">
      <c r="A7483" s="35" t="s">
        <v>41057</v>
      </c>
    </row>
    <row r="7484" spans="1:1">
      <c r="A7484" s="35" t="s">
        <v>41057</v>
      </c>
    </row>
    <row r="7485" spans="1:1">
      <c r="A7485" s="35" t="s">
        <v>41057</v>
      </c>
    </row>
    <row r="7486" spans="1:1">
      <c r="A7486" s="35" t="s">
        <v>41057</v>
      </c>
    </row>
    <row r="7487" spans="1:1">
      <c r="A7487" s="35" t="s">
        <v>41057</v>
      </c>
    </row>
    <row r="7488" spans="1:1">
      <c r="A7488" s="35" t="s">
        <v>41057</v>
      </c>
    </row>
    <row r="7489" spans="1:1">
      <c r="A7489" s="35" t="s">
        <v>41057</v>
      </c>
    </row>
    <row r="7490" spans="1:1">
      <c r="A7490" s="35" t="s">
        <v>41057</v>
      </c>
    </row>
    <row r="7491" spans="1:1">
      <c r="A7491" s="35" t="s">
        <v>41057</v>
      </c>
    </row>
    <row r="7492" spans="1:1">
      <c r="A7492" s="35" t="s">
        <v>41057</v>
      </c>
    </row>
    <row r="7493" spans="1:1">
      <c r="A7493" s="35" t="s">
        <v>41057</v>
      </c>
    </row>
    <row r="7494" spans="1:1">
      <c r="A7494" s="35" t="s">
        <v>55332</v>
      </c>
    </row>
    <row r="7495" spans="1:1">
      <c r="A7495" s="35" t="s">
        <v>41057</v>
      </c>
    </row>
    <row r="7496" spans="1:1">
      <c r="A7496" s="35" t="s">
        <v>41057</v>
      </c>
    </row>
    <row r="7497" spans="1:1">
      <c r="A7497" s="35" t="s">
        <v>55333</v>
      </c>
    </row>
    <row r="7498" spans="1:1">
      <c r="A7498" s="35" t="s">
        <v>41057</v>
      </c>
    </row>
    <row r="7499" spans="1:1">
      <c r="A7499" s="35" t="s">
        <v>41057</v>
      </c>
    </row>
    <row r="7500" spans="1:1">
      <c r="A7500" s="35" t="s">
        <v>41057</v>
      </c>
    </row>
    <row r="7501" spans="1:1">
      <c r="A7501" s="35" t="s">
        <v>41057</v>
      </c>
    </row>
    <row r="7502" spans="1:1">
      <c r="A7502" s="35" t="s">
        <v>41057</v>
      </c>
    </row>
    <row r="7503" spans="1:1">
      <c r="A7503" s="35" t="s">
        <v>41057</v>
      </c>
    </row>
    <row r="7504" spans="1:1">
      <c r="A7504" s="35" t="s">
        <v>41057</v>
      </c>
    </row>
    <row r="7505" spans="1:1">
      <c r="A7505" s="35" t="e" cm="1">
        <f t="array" ref="A7505">-----------------------------------------------------FP---VE</f>
        <v>#NAME?</v>
      </c>
    </row>
    <row r="7506" spans="1:1">
      <c r="A7506" s="35" t="s">
        <v>55334</v>
      </c>
    </row>
    <row r="7507" spans="1:1">
      <c r="A7507" s="35" t="e" cm="1">
        <f t="array" ref="A7507">---------------NNYMRIRNALFT---------TNTE------------------KD</f>
        <v>#NAME?</v>
      </c>
    </row>
    <row r="7508" spans="1:1">
      <c r="A7508" s="35" t="s">
        <v>55335</v>
      </c>
    </row>
    <row r="7509" spans="1:1">
      <c r="A7509" s="35" t="e" cm="1">
        <f t="array" ref="A7509">---------------------------------------------FETSD--------AN</f>
        <v>#NAME?</v>
      </c>
    </row>
    <row r="7510" spans="1:1">
      <c r="A7510" s="35" t="s">
        <v>55336</v>
      </c>
    </row>
    <row r="7511" spans="1:1">
      <c r="A7511" s="35" t="s">
        <v>55337</v>
      </c>
    </row>
    <row r="7512" spans="1:1">
      <c r="A7512" s="35" t="s">
        <v>41057</v>
      </c>
    </row>
    <row r="7513" spans="1:1">
      <c r="A7513" s="35" t="s">
        <v>55338</v>
      </c>
    </row>
    <row r="7514" spans="1:1">
      <c r="A7514" s="35" t="s">
        <v>55339</v>
      </c>
    </row>
    <row r="7515" spans="1:1">
      <c r="A7515" s="35" t="s">
        <v>55218</v>
      </c>
    </row>
    <row r="7516" spans="1:1">
      <c r="A7516" s="35" t="s">
        <v>41057</v>
      </c>
    </row>
    <row r="7517" spans="1:1">
      <c r="A7517" s="35" t="s">
        <v>41057</v>
      </c>
    </row>
    <row r="7518" spans="1:1">
      <c r="A7518" s="35" t="s">
        <v>55340</v>
      </c>
    </row>
    <row r="7519" spans="1:1">
      <c r="A7519" s="35" t="s">
        <v>55341</v>
      </c>
    </row>
    <row r="7520" spans="1:1">
      <c r="A7520" s="35" t="s">
        <v>41057</v>
      </c>
    </row>
    <row r="7521" spans="1:1">
      <c r="A7521" s="35" t="s">
        <v>41057</v>
      </c>
    </row>
    <row r="7522" spans="1:1">
      <c r="A7522" s="35" t="s">
        <v>55342</v>
      </c>
    </row>
    <row r="7523" spans="1:1">
      <c r="A7523" s="35" t="s">
        <v>55343</v>
      </c>
    </row>
    <row r="7524" spans="1:1">
      <c r="A7524" s="35" t="s">
        <v>55344</v>
      </c>
    </row>
    <row r="7525" spans="1:1">
      <c r="A7525" s="35" t="s">
        <v>55345</v>
      </c>
    </row>
    <row r="7526" spans="1:1">
      <c r="A7526" s="35" t="e" cm="1">
        <f t="array" ref="A7526">----------------------------------------------------------QD</f>
        <v>#NAME?</v>
      </c>
    </row>
    <row r="7527" spans="1:1">
      <c r="A7527" s="35" t="s">
        <v>55346</v>
      </c>
    </row>
    <row r="7528" spans="1:1">
      <c r="A7528" s="35" t="s">
        <v>55347</v>
      </c>
    </row>
    <row r="7529" spans="1:1">
      <c r="A7529" s="35" t="s">
        <v>55348</v>
      </c>
    </row>
    <row r="7530" spans="1:1">
      <c r="A7530" s="35" t="s">
        <v>41057</v>
      </c>
    </row>
    <row r="7531" spans="1:1">
      <c r="A7531" s="35" t="s">
        <v>55349</v>
      </c>
    </row>
    <row r="7532" spans="1:1">
      <c r="A7532" s="35" t="s">
        <v>55186</v>
      </c>
    </row>
    <row r="7533" spans="1:1">
      <c r="A7533" s="35" t="s">
        <v>41057</v>
      </c>
    </row>
    <row r="7534" spans="1:1">
      <c r="A7534" s="35" t="s">
        <v>41057</v>
      </c>
    </row>
    <row r="7535" spans="1:1">
      <c r="A7535" s="35" t="s">
        <v>55350</v>
      </c>
    </row>
    <row r="7536" spans="1:1">
      <c r="A7536" s="35" t="s">
        <v>55351</v>
      </c>
    </row>
    <row r="7537" spans="1:1">
      <c r="A7537" s="35" t="s">
        <v>41057</v>
      </c>
    </row>
    <row r="7538" spans="1:1">
      <c r="A7538" s="35" t="s">
        <v>41057</v>
      </c>
    </row>
    <row r="7539" spans="1:1">
      <c r="A7539" s="35" t="s">
        <v>41057</v>
      </c>
    </row>
    <row r="7540" spans="1:1">
      <c r="A7540" s="35" t="e" cm="1">
        <f t="array" ref="A7540">---------------------DD-----------------------------KYTPLQSA</f>
        <v>#NAME?</v>
      </c>
    </row>
    <row r="7541" spans="1:1">
      <c r="A7541" s="35" t="s">
        <v>55352</v>
      </c>
    </row>
    <row r="7542" spans="1:1">
      <c r="A7542" s="35" t="s">
        <v>55353</v>
      </c>
    </row>
    <row r="7543" spans="1:1">
      <c r="A7543" s="35" t="s">
        <v>55354</v>
      </c>
    </row>
    <row r="7544" spans="1:1">
      <c r="A7544" s="35" t="s">
        <v>55355</v>
      </c>
    </row>
    <row r="7545" spans="1:1">
      <c r="A7545" s="35" t="s">
        <v>55356</v>
      </c>
    </row>
    <row r="7546" spans="1:1">
      <c r="A7546" s="35" t="s">
        <v>55357</v>
      </c>
    </row>
    <row r="7547" spans="1:1">
      <c r="A7547" s="35" t="e" cm="1">
        <f t="array" ref="A7547">---------------------------------------------------------ADV</f>
        <v>#NAME?</v>
      </c>
    </row>
    <row r="7548" spans="1:1">
      <c r="A7548" s="35" t="s">
        <v>55358</v>
      </c>
    </row>
    <row r="7549" spans="1:1">
      <c r="A7549" s="35" t="s">
        <v>55359</v>
      </c>
    </row>
    <row r="7550" spans="1:1">
      <c r="A7550" s="35" t="s">
        <v>55360</v>
      </c>
    </row>
    <row r="7551" spans="1:1">
      <c r="A7551" s="35" t="s">
        <v>41057</v>
      </c>
    </row>
    <row r="7552" spans="1:1">
      <c r="A7552" s="35" t="s">
        <v>53545</v>
      </c>
    </row>
    <row r="7553" spans="1:1">
      <c r="A7553" s="35" t="s">
        <v>52777</v>
      </c>
    </row>
    <row r="7554" spans="1:1">
      <c r="A7554" s="35" t="s">
        <v>41057</v>
      </c>
    </row>
    <row r="7555" spans="1:1">
      <c r="A7555" s="35" t="s">
        <v>41057</v>
      </c>
    </row>
    <row r="7556" spans="1:1">
      <c r="A7556" s="35" t="s">
        <v>41057</v>
      </c>
    </row>
    <row r="7557" spans="1:1">
      <c r="A7557" s="35" t="s">
        <v>41057</v>
      </c>
    </row>
    <row r="7558" spans="1:1">
      <c r="A7558" s="35" t="s">
        <v>55361</v>
      </c>
    </row>
    <row r="7559" spans="1:1">
      <c r="A7559" s="35" t="s">
        <v>54343</v>
      </c>
    </row>
    <row r="7560" spans="1:1">
      <c r="A7560" s="35" t="s">
        <v>41057</v>
      </c>
    </row>
    <row r="7561" spans="1:1">
      <c r="A7561" s="35" t="s">
        <v>41057</v>
      </c>
    </row>
    <row r="7562" spans="1:1">
      <c r="A7562" s="35" t="s">
        <v>41057</v>
      </c>
    </row>
    <row r="7563" spans="1:1">
      <c r="A7563" s="35" t="s">
        <v>55362</v>
      </c>
    </row>
    <row r="7564" spans="1:1">
      <c r="A7564" s="35" t="s">
        <v>55363</v>
      </c>
    </row>
    <row r="7565" spans="1:1">
      <c r="A7565" s="35" t="s">
        <v>55364</v>
      </c>
    </row>
    <row r="7566" spans="1:1">
      <c r="A7566" s="35" t="s">
        <v>55365</v>
      </c>
    </row>
    <row r="7567" spans="1:1">
      <c r="A7567" s="35" t="s">
        <v>41057</v>
      </c>
    </row>
    <row r="7568" spans="1:1">
      <c r="A7568" s="35" t="s">
        <v>41057</v>
      </c>
    </row>
    <row r="7569" spans="1:1">
      <c r="A7569" s="35" t="e" cm="1">
        <f t="array" ref="A7569">---------------QITY------------------FKV-------------------A</f>
        <v>#NAME?</v>
      </c>
    </row>
    <row r="7570" spans="1:1">
      <c r="A7570" s="35" t="s">
        <v>55366</v>
      </c>
    </row>
    <row r="7571" spans="1:1">
      <c r="A7571" s="35" t="s">
        <v>55367</v>
      </c>
    </row>
    <row r="7572" spans="1:1">
      <c r="A7572" s="35" t="s">
        <v>41057</v>
      </c>
    </row>
    <row r="7573" spans="1:1">
      <c r="A7573" s="35" t="s">
        <v>55368</v>
      </c>
    </row>
    <row r="7574" spans="1:1">
      <c r="A7574" s="35" t="s">
        <v>41057</v>
      </c>
    </row>
    <row r="7575" spans="1:1">
      <c r="A7575" s="35" t="s">
        <v>41057</v>
      </c>
    </row>
    <row r="7576" spans="1:1">
      <c r="A7576" s="35" t="s">
        <v>55369</v>
      </c>
    </row>
    <row r="7577" spans="1:1">
      <c r="A7577" s="35" t="s">
        <v>41057</v>
      </c>
    </row>
    <row r="7578" spans="1:1">
      <c r="A7578" s="35" t="s">
        <v>41057</v>
      </c>
    </row>
    <row r="7579" spans="1:1">
      <c r="A7579" s="35" t="s">
        <v>49835</v>
      </c>
    </row>
    <row r="7580" spans="1:1">
      <c r="A7580" s="35" t="s">
        <v>41057</v>
      </c>
    </row>
    <row r="7581" spans="1:1">
      <c r="A7581" s="35" t="s">
        <v>41057</v>
      </c>
    </row>
    <row r="7582" spans="1:1">
      <c r="A7582" s="35" t="s">
        <v>55370</v>
      </c>
    </row>
    <row r="7583" spans="1:1">
      <c r="A7583" s="35" t="s">
        <v>41057</v>
      </c>
    </row>
    <row r="7584" spans="1:1">
      <c r="A7584" s="35" t="s">
        <v>55371</v>
      </c>
    </row>
    <row r="7585" spans="1:1">
      <c r="A7585" s="35" t="s">
        <v>41057</v>
      </c>
    </row>
    <row r="7586" spans="1:1">
      <c r="A7586" s="35" t="s">
        <v>54657</v>
      </c>
    </row>
    <row r="7587" spans="1:1">
      <c r="A7587" s="35" t="s">
        <v>55372</v>
      </c>
    </row>
    <row r="7588" spans="1:1">
      <c r="A7588" s="35" t="s">
        <v>41057</v>
      </c>
    </row>
    <row r="7589" spans="1:1">
      <c r="A7589" s="35" t="s">
        <v>41057</v>
      </c>
    </row>
    <row r="7590" spans="1:1">
      <c r="A7590" s="35" t="s">
        <v>55373</v>
      </c>
    </row>
    <row r="7591" spans="1:1">
      <c r="A7591" s="35" t="s">
        <v>41057</v>
      </c>
    </row>
    <row r="7592" spans="1:1">
      <c r="A7592" s="35" t="s">
        <v>41057</v>
      </c>
    </row>
    <row r="7593" spans="1:1">
      <c r="A7593" s="35" t="s">
        <v>41057</v>
      </c>
    </row>
    <row r="7594" spans="1:1">
      <c r="A7594" s="35" t="s">
        <v>41057</v>
      </c>
    </row>
    <row r="7595" spans="1:1">
      <c r="A7595" s="35" t="s">
        <v>41057</v>
      </c>
    </row>
    <row r="7596" spans="1:1">
      <c r="A7596" s="35" t="s">
        <v>55374</v>
      </c>
    </row>
    <row r="7597" spans="1:1">
      <c r="A7597" s="35" t="s">
        <v>55375</v>
      </c>
    </row>
    <row r="7598" spans="1:1">
      <c r="A7598" s="35" t="s">
        <v>55376</v>
      </c>
    </row>
    <row r="7599" spans="1:1">
      <c r="A7599" s="35" t="s">
        <v>55377</v>
      </c>
    </row>
    <row r="7600" spans="1:1">
      <c r="A7600" s="35" t="s">
        <v>41057</v>
      </c>
    </row>
    <row r="7601" spans="1:1">
      <c r="A7601" s="35" t="s">
        <v>41057</v>
      </c>
    </row>
    <row r="7602" spans="1:1">
      <c r="A7602" s="35" t="s">
        <v>55378</v>
      </c>
    </row>
    <row r="7603" spans="1:1">
      <c r="A7603" s="35" t="s">
        <v>41057</v>
      </c>
    </row>
    <row r="7604" spans="1:1">
      <c r="A7604" s="35" t="s">
        <v>41057</v>
      </c>
    </row>
    <row r="7605" spans="1:1">
      <c r="A7605" s="35" t="s">
        <v>55379</v>
      </c>
    </row>
    <row r="7606" spans="1:1">
      <c r="A7606" s="35" t="s">
        <v>41057</v>
      </c>
    </row>
    <row r="7607" spans="1:1">
      <c r="A7607" s="35" t="e" cm="1">
        <f t="array" ref="A7607">-------------------------------FIILNGLKL------------------ET</f>
        <v>#NAME?</v>
      </c>
    </row>
    <row r="7608" spans="1:1">
      <c r="A7608" s="35" t="s">
        <v>55380</v>
      </c>
    </row>
    <row r="7609" spans="1:1">
      <c r="A7609" s="35" t="e" cm="1">
        <f t="array" ref="A7609">----------------------------------------------------IGSNWYTF</f>
        <v>#NAME?</v>
      </c>
    </row>
    <row r="7610" spans="1:1">
      <c r="A7610" s="35" t="s">
        <v>55381</v>
      </c>
    </row>
    <row r="7611" spans="1:1">
      <c r="A7611" s="35" t="s">
        <v>41057</v>
      </c>
    </row>
    <row r="7612" spans="1:1">
      <c r="A7612" s="35" t="s">
        <v>55382</v>
      </c>
    </row>
    <row r="7613" spans="1:1">
      <c r="A7613" s="35" t="s">
        <v>41057</v>
      </c>
    </row>
    <row r="7614" spans="1:1">
      <c r="A7614" s="35" t="s">
        <v>55383</v>
      </c>
    </row>
    <row r="7615" spans="1:1">
      <c r="A7615" s="35" t="e" cm="1">
        <f t="array" ref="A7615">---------------------------------------------------TYYGSD-EK</f>
        <v>#NAME?</v>
      </c>
    </row>
    <row r="7616" spans="1:1">
      <c r="A7616" s="35" t="s">
        <v>55384</v>
      </c>
    </row>
    <row r="7617" spans="1:1">
      <c r="A7617" s="35" t="s">
        <v>55385</v>
      </c>
    </row>
    <row r="7618" spans="1:1">
      <c r="A7618" s="35" t="s">
        <v>41057</v>
      </c>
    </row>
    <row r="7619" spans="1:1">
      <c r="A7619" s="35" t="s">
        <v>55386</v>
      </c>
    </row>
    <row r="7620" spans="1:1">
      <c r="A7620" s="35" t="s">
        <v>41057</v>
      </c>
    </row>
    <row r="7621" spans="1:1">
      <c r="A7621" s="35" t="s">
        <v>41057</v>
      </c>
    </row>
    <row r="7622" spans="1:1">
      <c r="A7622" s="35" t="s">
        <v>41057</v>
      </c>
    </row>
    <row r="7623" spans="1:1">
      <c r="A7623" s="35" t="e" cm="1">
        <f t="array" ref="A7623">---------------------------------------------NEYFAWTEKL---GF</f>
        <v>#NAME?</v>
      </c>
    </row>
    <row r="7624" spans="1:1">
      <c r="A7624" s="35" t="s">
        <v>55387</v>
      </c>
    </row>
    <row r="7625" spans="1:1">
      <c r="A7625" s="35" t="e" cm="1">
        <f t="array" ref="A7625">---------------SNYLDIYHMTNT---------KPYM------------------KE</f>
        <v>#NAME?</v>
      </c>
    </row>
    <row r="7626" spans="1:1">
      <c r="A7626" s="35" t="s">
        <v>55388</v>
      </c>
    </row>
    <row r="7627" spans="1:1">
      <c r="A7627" s="35" t="s">
        <v>55389</v>
      </c>
    </row>
    <row r="7628" spans="1:1">
      <c r="A7628" s="35" t="s">
        <v>41057</v>
      </c>
    </row>
    <row r="7629" spans="1:1">
      <c r="A7629" s="35" t="s">
        <v>55390</v>
      </c>
    </row>
    <row r="7630" spans="1:1">
      <c r="A7630" s="35" t="s">
        <v>41057</v>
      </c>
    </row>
    <row r="7631" spans="1:1">
      <c r="A7631" s="35" t="s">
        <v>55391</v>
      </c>
    </row>
    <row r="7632" spans="1:1">
      <c r="A7632" s="35" t="s">
        <v>55392</v>
      </c>
    </row>
    <row r="7633" spans="1:1">
      <c r="A7633" s="35" t="s">
        <v>55393</v>
      </c>
    </row>
    <row r="7634" spans="1:1">
      <c r="A7634" s="35" t="s">
        <v>41057</v>
      </c>
    </row>
    <row r="7635" spans="1:1">
      <c r="A7635" s="35" t="s">
        <v>41057</v>
      </c>
    </row>
    <row r="7636" spans="1:1">
      <c r="A7636" s="35" t="s">
        <v>41057</v>
      </c>
    </row>
    <row r="7637" spans="1:1">
      <c r="A7637" s="35" t="s">
        <v>55394</v>
      </c>
    </row>
    <row r="7638" spans="1:1">
      <c r="A7638" s="35" t="s">
        <v>41057</v>
      </c>
    </row>
    <row r="7639" spans="1:1">
      <c r="A7639" s="35" t="s">
        <v>41057</v>
      </c>
    </row>
    <row r="7640" spans="1:1">
      <c r="A7640" s="35" t="s">
        <v>55395</v>
      </c>
    </row>
    <row r="7641" spans="1:1">
      <c r="A7641" s="35" t="s">
        <v>55396</v>
      </c>
    </row>
    <row r="7642" spans="1:1">
      <c r="A7642" s="35" t="s">
        <v>55397</v>
      </c>
    </row>
    <row r="7643" spans="1:1">
      <c r="A7643" s="35" t="s">
        <v>55398</v>
      </c>
    </row>
    <row r="7644" spans="1:1">
      <c r="A7644" s="35" t="e" cm="1">
        <f t="array" ref="A7644">----------------------------------------------------------SV</f>
        <v>#NAME?</v>
      </c>
    </row>
    <row r="7645" spans="1:1">
      <c r="A7645" s="35" t="s">
        <v>55399</v>
      </c>
    </row>
    <row r="7646" spans="1:1">
      <c r="A7646" s="35" t="s">
        <v>41057</v>
      </c>
    </row>
    <row r="7647" spans="1:1">
      <c r="A7647" s="35" t="s">
        <v>55400</v>
      </c>
    </row>
    <row r="7648" spans="1:1">
      <c r="A7648" s="35" t="s">
        <v>41057</v>
      </c>
    </row>
    <row r="7649" spans="1:1">
      <c r="A7649" s="35" t="s">
        <v>55401</v>
      </c>
    </row>
    <row r="7650" spans="1:1">
      <c r="A7650" s="35" t="s">
        <v>55402</v>
      </c>
    </row>
    <row r="7651" spans="1:1">
      <c r="A7651" s="35" t="s">
        <v>41057</v>
      </c>
    </row>
    <row r="7652" spans="1:1">
      <c r="A7652" s="35" t="s">
        <v>41057</v>
      </c>
    </row>
    <row r="7653" spans="1:1">
      <c r="A7653" s="35" t="s">
        <v>55403</v>
      </c>
    </row>
    <row r="7654" spans="1:1">
      <c r="A7654" s="35" t="s">
        <v>55404</v>
      </c>
    </row>
    <row r="7655" spans="1:1">
      <c r="A7655" s="35" t="s">
        <v>41057</v>
      </c>
    </row>
    <row r="7656" spans="1:1">
      <c r="A7656" s="35" t="s">
        <v>41057</v>
      </c>
    </row>
    <row r="7657" spans="1:1">
      <c r="A7657" s="35" t="s">
        <v>41057</v>
      </c>
    </row>
    <row r="7658" spans="1:1">
      <c r="A7658" s="35" t="e" cm="1">
        <f t="array" ref="A7658">---------------------------------------------------SEYNYLNSS</f>
        <v>#NAME?</v>
      </c>
    </row>
    <row r="7659" spans="1:1">
      <c r="A7659" s="35" t="s">
        <v>55405</v>
      </c>
    </row>
    <row r="7660" spans="1:1">
      <c r="A7660" s="35" t="s">
        <v>55406</v>
      </c>
    </row>
    <row r="7661" spans="1:1">
      <c r="A7661" s="35" t="s">
        <v>55407</v>
      </c>
    </row>
    <row r="7662" spans="1:1">
      <c r="A7662" s="35" t="s">
        <v>55408</v>
      </c>
    </row>
    <row r="7663" spans="1:1">
      <c r="A7663" s="35" t="s">
        <v>55409</v>
      </c>
    </row>
    <row r="7664" spans="1:1">
      <c r="A7664" s="35" t="s">
        <v>55410</v>
      </c>
    </row>
    <row r="7665" spans="1:1">
      <c r="A7665" s="35" t="s">
        <v>41057</v>
      </c>
    </row>
    <row r="7666" spans="1:1">
      <c r="A7666" s="35" t="s">
        <v>55411</v>
      </c>
    </row>
    <row r="7667" spans="1:1">
      <c r="A7667" s="35" t="s">
        <v>55412</v>
      </c>
    </row>
    <row r="7668" spans="1:1">
      <c r="A7668" s="35" t="s">
        <v>55413</v>
      </c>
    </row>
    <row r="7669" spans="1:1">
      <c r="A7669" s="35" t="s">
        <v>41057</v>
      </c>
    </row>
    <row r="7670" spans="1:1">
      <c r="A7670" s="35" t="s">
        <v>53545</v>
      </c>
    </row>
    <row r="7671" spans="1:1">
      <c r="A7671" s="35" t="s">
        <v>55414</v>
      </c>
    </row>
    <row r="7672" spans="1:1">
      <c r="A7672" s="35" t="s">
        <v>41057</v>
      </c>
    </row>
    <row r="7673" spans="1:1">
      <c r="A7673" s="35" t="s">
        <v>41057</v>
      </c>
    </row>
    <row r="7674" spans="1:1">
      <c r="A7674" s="35" t="s">
        <v>41057</v>
      </c>
    </row>
    <row r="7675" spans="1:1">
      <c r="A7675" s="35" t="s">
        <v>41057</v>
      </c>
    </row>
    <row r="7676" spans="1:1">
      <c r="A7676" s="35" t="s">
        <v>55197</v>
      </c>
    </row>
    <row r="7677" spans="1:1">
      <c r="A7677" s="35" t="s">
        <v>55281</v>
      </c>
    </row>
    <row r="7678" spans="1:1">
      <c r="A7678" s="35" t="s">
        <v>41057</v>
      </c>
    </row>
    <row r="7679" spans="1:1">
      <c r="A7679" s="35" t="s">
        <v>41057</v>
      </c>
    </row>
    <row r="7680" spans="1:1">
      <c r="A7680" s="35" t="s">
        <v>41057</v>
      </c>
    </row>
    <row r="7681" spans="1:1">
      <c r="A7681" s="35" t="s">
        <v>54097</v>
      </c>
    </row>
    <row r="7682" spans="1:1">
      <c r="A7682" s="35" t="s">
        <v>55415</v>
      </c>
    </row>
    <row r="7683" spans="1:1">
      <c r="A7683" s="35" t="s">
        <v>55416</v>
      </c>
    </row>
    <row r="7684" spans="1:1">
      <c r="A7684" s="35" t="s">
        <v>54618</v>
      </c>
    </row>
    <row r="7685" spans="1:1">
      <c r="A7685" s="35" t="s">
        <v>41057</v>
      </c>
    </row>
    <row r="7686" spans="1:1">
      <c r="A7686" s="35" t="s">
        <v>41057</v>
      </c>
    </row>
    <row r="7687" spans="1:1">
      <c r="A7687" s="35" t="e" cm="1">
        <f t="array" ref="A7687">---------------HITF------------------YKM-------------------S</f>
        <v>#NAME?</v>
      </c>
    </row>
    <row r="7688" spans="1:1">
      <c r="A7688" s="35" t="s">
        <v>54288</v>
      </c>
    </row>
    <row r="7689" spans="1:1">
      <c r="A7689" s="35" t="s">
        <v>55417</v>
      </c>
    </row>
    <row r="7690" spans="1:1">
      <c r="A7690" s="35" t="s">
        <v>41057</v>
      </c>
    </row>
    <row r="7691" spans="1:1">
      <c r="A7691" s="35" t="s">
        <v>55418</v>
      </c>
    </row>
    <row r="7692" spans="1:1">
      <c r="A7692" s="35" t="s">
        <v>41057</v>
      </c>
    </row>
    <row r="7693" spans="1:1">
      <c r="A7693" s="35" t="s">
        <v>41057</v>
      </c>
    </row>
    <row r="7694" spans="1:1">
      <c r="A7694" s="35" t="s">
        <v>55419</v>
      </c>
    </row>
    <row r="7695" spans="1:1">
      <c r="A7695" s="35" t="s">
        <v>41057</v>
      </c>
    </row>
    <row r="7696" spans="1:1">
      <c r="A7696" s="35" t="s">
        <v>41057</v>
      </c>
    </row>
    <row r="7697" spans="1:1">
      <c r="A7697" s="35" t="s">
        <v>53500</v>
      </c>
    </row>
    <row r="7698" spans="1:1">
      <c r="A7698" s="35" t="s">
        <v>41057</v>
      </c>
    </row>
    <row r="7699" spans="1:1">
      <c r="A7699" s="35" t="s">
        <v>41057</v>
      </c>
    </row>
    <row r="7700" spans="1:1">
      <c r="A7700" s="35" t="s">
        <v>55420</v>
      </c>
    </row>
    <row r="7701" spans="1:1">
      <c r="A7701" s="35" t="s">
        <v>41057</v>
      </c>
    </row>
    <row r="7702" spans="1:1">
      <c r="A7702" s="35" t="s">
        <v>55421</v>
      </c>
    </row>
    <row r="7703" spans="1:1">
      <c r="A7703" s="35" t="s">
        <v>41057</v>
      </c>
    </row>
    <row r="7704" spans="1:1">
      <c r="A7704" s="35" t="s">
        <v>55422</v>
      </c>
    </row>
    <row r="7705" spans="1:1">
      <c r="A7705" s="35" t="s">
        <v>55423</v>
      </c>
    </row>
    <row r="7706" spans="1:1">
      <c r="A7706" s="35" t="s">
        <v>41057</v>
      </c>
    </row>
    <row r="7707" spans="1:1">
      <c r="A7707" s="35" t="s">
        <v>41057</v>
      </c>
    </row>
    <row r="7708" spans="1:1">
      <c r="A7708" s="35" t="s">
        <v>55424</v>
      </c>
    </row>
    <row r="7709" spans="1:1">
      <c r="A7709" s="35" t="s">
        <v>41057</v>
      </c>
    </row>
    <row r="7710" spans="1:1">
      <c r="A7710" s="35" t="s">
        <v>41057</v>
      </c>
    </row>
    <row r="7711" spans="1:1">
      <c r="A7711" s="35" t="s">
        <v>41057</v>
      </c>
    </row>
    <row r="7712" spans="1:1">
      <c r="A7712" s="35" t="s">
        <v>41057</v>
      </c>
    </row>
    <row r="7713" spans="1:1">
      <c r="A7713" s="35" t="s">
        <v>41057</v>
      </c>
    </row>
    <row r="7714" spans="1:1">
      <c r="A7714" s="35" t="s">
        <v>55425</v>
      </c>
    </row>
    <row r="7715" spans="1:1">
      <c r="A7715" s="35" t="s">
        <v>55426</v>
      </c>
    </row>
    <row r="7716" spans="1:1">
      <c r="A7716" s="35" t="s">
        <v>55427</v>
      </c>
    </row>
    <row r="7717" spans="1:1">
      <c r="A7717" s="35" t="s">
        <v>55428</v>
      </c>
    </row>
    <row r="7718" spans="1:1">
      <c r="A7718" s="35" t="s">
        <v>41057</v>
      </c>
    </row>
    <row r="7719" spans="1:1">
      <c r="A7719" s="35" t="s">
        <v>41057</v>
      </c>
    </row>
    <row r="7720" spans="1:1">
      <c r="A7720" s="35" t="s">
        <v>55429</v>
      </c>
    </row>
    <row r="7721" spans="1:1">
      <c r="A7721" s="35" t="s">
        <v>41057</v>
      </c>
    </row>
    <row r="7722" spans="1:1">
      <c r="A7722" s="35" t="s">
        <v>41057</v>
      </c>
    </row>
    <row r="7723" spans="1:1">
      <c r="A7723" s="35" t="s">
        <v>55430</v>
      </c>
    </row>
    <row r="7724" spans="1:1">
      <c r="A7724" s="35" t="s">
        <v>41057</v>
      </c>
    </row>
    <row r="7725" spans="1:1">
      <c r="A7725" s="35" t="s">
        <v>55431</v>
      </c>
    </row>
    <row r="7726" spans="1:1">
      <c r="A7726" s="35" t="s">
        <v>55432</v>
      </c>
    </row>
    <row r="7727" spans="1:1">
      <c r="A7727" s="35" t="e" cm="1">
        <f t="array" ref="A7727">----------------------------------------------------YTSSGSTV</f>
        <v>#NAME?</v>
      </c>
    </row>
    <row r="7728" spans="1:1">
      <c r="A7728" s="35" t="s">
        <v>55433</v>
      </c>
    </row>
    <row r="7729" spans="1:1">
      <c r="A7729" s="35" t="s">
        <v>41057</v>
      </c>
    </row>
    <row r="7730" spans="1:1">
      <c r="A7730" s="35" t="s">
        <v>55434</v>
      </c>
    </row>
    <row r="7731" spans="1:1">
      <c r="A7731" s="35" t="s">
        <v>41057</v>
      </c>
    </row>
    <row r="7732" spans="1:1">
      <c r="A7732" s="35" t="s">
        <v>55435</v>
      </c>
    </row>
    <row r="7733" spans="1:1">
      <c r="A7733" s="35" t="e" cm="1">
        <f t="array" ref="A7733">---------------------------------------------------GYITTNAEI</f>
        <v>#NAME?</v>
      </c>
    </row>
    <row r="7734" spans="1:1">
      <c r="A7734" s="35" t="s">
        <v>55436</v>
      </c>
    </row>
    <row r="7735" spans="1:1">
      <c r="A7735" s="35" t="s">
        <v>55437</v>
      </c>
    </row>
    <row r="7736" spans="1:1">
      <c r="A7736" s="35" t="s">
        <v>41057</v>
      </c>
    </row>
    <row r="7737" spans="1:1">
      <c r="A7737" s="35" t="s">
        <v>55438</v>
      </c>
    </row>
    <row r="7738" spans="1:1">
      <c r="A7738" s="35" t="s">
        <v>41057</v>
      </c>
    </row>
    <row r="7739" spans="1:1">
      <c r="A7739" s="35" t="s">
        <v>41057</v>
      </c>
    </row>
    <row r="7740" spans="1:1">
      <c r="A7740" s="35" t="s">
        <v>41057</v>
      </c>
    </row>
    <row r="7741" spans="1:1">
      <c r="A7741" s="35" t="e" cm="1">
        <f t="array" ref="A7741">------------------------------------------------FAWVKRL---GH</f>
        <v>#NAME?</v>
      </c>
    </row>
    <row r="7742" spans="1:1">
      <c r="A7742" s="35" t="s">
        <v>55439</v>
      </c>
    </row>
    <row r="7743" spans="1:1">
      <c r="A7743" s="35" t="e" cm="1">
        <f t="array" ref="A7743">---------------GMWIDIWYELTG---------MTRQ------------------ED</f>
        <v>#NAME?</v>
      </c>
    </row>
    <row r="7744" spans="1:1">
      <c r="A7744" s="35" t="s">
        <v>55440</v>
      </c>
    </row>
    <row r="7745" spans="1:1">
      <c r="A7745" s="35" t="s">
        <v>55441</v>
      </c>
    </row>
    <row r="7746" spans="1:1">
      <c r="A7746" s="35" t="s">
        <v>41057</v>
      </c>
    </row>
    <row r="7747" spans="1:1">
      <c r="A7747" s="35" t="s">
        <v>55442</v>
      </c>
    </row>
    <row r="7748" spans="1:1">
      <c r="A7748" s="35" t="s">
        <v>41057</v>
      </c>
    </row>
    <row r="7749" spans="1:1">
      <c r="A7749" s="35" t="s">
        <v>54262</v>
      </c>
    </row>
    <row r="7750" spans="1:1">
      <c r="A7750" s="35" t="s">
        <v>55443</v>
      </c>
    </row>
    <row r="7751" spans="1:1">
      <c r="A7751" s="35" t="s">
        <v>55444</v>
      </c>
    </row>
    <row r="7752" spans="1:1">
      <c r="A7752" s="35" t="s">
        <v>41057</v>
      </c>
    </row>
    <row r="7753" spans="1:1">
      <c r="A7753" s="35" t="s">
        <v>41057</v>
      </c>
    </row>
    <row r="7754" spans="1:1">
      <c r="A7754" s="35" t="s">
        <v>41057</v>
      </c>
    </row>
    <row r="7755" spans="1:1">
      <c r="A7755" s="35" t="s">
        <v>55445</v>
      </c>
    </row>
    <row r="7756" spans="1:1">
      <c r="A7756" s="35" t="s">
        <v>55446</v>
      </c>
    </row>
    <row r="7757" spans="1:1">
      <c r="A7757" s="35" t="s">
        <v>41057</v>
      </c>
    </row>
    <row r="7758" spans="1:1">
      <c r="A7758" s="35" t="s">
        <v>55447</v>
      </c>
    </row>
    <row r="7759" spans="1:1">
      <c r="A7759" s="35" t="s">
        <v>55448</v>
      </c>
    </row>
    <row r="7760" spans="1:1">
      <c r="A7760" s="35" t="s">
        <v>55449</v>
      </c>
    </row>
    <row r="7761" spans="1:1">
      <c r="A7761" s="35" t="s">
        <v>55450</v>
      </c>
    </row>
    <row r="7762" spans="1:1">
      <c r="A7762" s="35" t="e" cm="1">
        <f t="array" ref="A7762">----------------------------------------------------------HN</f>
        <v>#NAME?</v>
      </c>
    </row>
    <row r="7763" spans="1:1">
      <c r="A7763" s="35" t="s">
        <v>55451</v>
      </c>
    </row>
    <row r="7764" spans="1:1">
      <c r="A7764" s="35" t="s">
        <v>41057</v>
      </c>
    </row>
    <row r="7765" spans="1:1">
      <c r="A7765" s="35" t="s">
        <v>55452</v>
      </c>
    </row>
    <row r="7766" spans="1:1">
      <c r="A7766" s="35" t="s">
        <v>41057</v>
      </c>
    </row>
    <row r="7767" spans="1:1">
      <c r="A7767" s="35" t="s">
        <v>55453</v>
      </c>
    </row>
    <row r="7768" spans="1:1">
      <c r="A7768" s="35" t="s">
        <v>55454</v>
      </c>
    </row>
    <row r="7769" spans="1:1">
      <c r="A7769" s="35" t="s">
        <v>41057</v>
      </c>
    </row>
    <row r="7770" spans="1:1">
      <c r="A7770" s="35" t="s">
        <v>41057</v>
      </c>
    </row>
    <row r="7771" spans="1:1">
      <c r="A7771" s="35" t="s">
        <v>55455</v>
      </c>
    </row>
    <row r="7772" spans="1:1">
      <c r="A7772" s="35" t="s">
        <v>55456</v>
      </c>
    </row>
    <row r="7773" spans="1:1">
      <c r="A7773" s="35" t="s">
        <v>41057</v>
      </c>
    </row>
    <row r="7774" spans="1:1">
      <c r="A7774" s="35" t="s">
        <v>41057</v>
      </c>
    </row>
    <row r="7775" spans="1:1">
      <c r="A7775" s="35" t="s">
        <v>41057</v>
      </c>
    </row>
    <row r="7776" spans="1:1">
      <c r="A7776" s="35" t="e" cm="1">
        <f t="array" ref="A7776">---------------------------------------------------GQINPFTTC</f>
        <v>#NAME?</v>
      </c>
    </row>
    <row r="7777" spans="1:1">
      <c r="A7777" s="35" t="s">
        <v>55457</v>
      </c>
    </row>
    <row r="7778" spans="1:1">
      <c r="A7778" s="35" t="s">
        <v>55458</v>
      </c>
    </row>
    <row r="7779" spans="1:1">
      <c r="A7779" s="35" t="s">
        <v>55459</v>
      </c>
    </row>
    <row r="7780" spans="1:1">
      <c r="A7780" s="35" t="s">
        <v>55460</v>
      </c>
    </row>
    <row r="7781" spans="1:1">
      <c r="A7781" s="35" t="s">
        <v>55461</v>
      </c>
    </row>
    <row r="7782" spans="1:1">
      <c r="A7782" s="35" t="s">
        <v>55462</v>
      </c>
    </row>
    <row r="7783" spans="1:1">
      <c r="A7783" s="35" t="e" cm="1">
        <f t="array" ref="A7783">--------------------------------------------------------RPEI</f>
        <v>#NAME?</v>
      </c>
    </row>
    <row r="7784" spans="1:1">
      <c r="A7784" s="35" t="s">
        <v>55463</v>
      </c>
    </row>
    <row r="7785" spans="1:1">
      <c r="A7785" s="35" t="s">
        <v>55464</v>
      </c>
    </row>
    <row r="7786" spans="1:1">
      <c r="A7786" s="35" t="s">
        <v>55465</v>
      </c>
    </row>
    <row r="7787" spans="1:1">
      <c r="A7787" s="35" t="s">
        <v>41057</v>
      </c>
    </row>
    <row r="7788" spans="1:1">
      <c r="A7788" s="35" t="s">
        <v>53545</v>
      </c>
    </row>
    <row r="7789" spans="1:1">
      <c r="A7789" s="35" t="s">
        <v>52177</v>
      </c>
    </row>
    <row r="7790" spans="1:1">
      <c r="A7790" s="35" t="s">
        <v>41057</v>
      </c>
    </row>
    <row r="7791" spans="1:1">
      <c r="A7791" s="35" t="s">
        <v>41057</v>
      </c>
    </row>
    <row r="7792" spans="1:1">
      <c r="A7792" s="35" t="s">
        <v>41057</v>
      </c>
    </row>
    <row r="7793" spans="1:1">
      <c r="A7793" s="35" t="s">
        <v>41057</v>
      </c>
    </row>
    <row r="7794" spans="1:1">
      <c r="A7794" s="35" t="s">
        <v>41057</v>
      </c>
    </row>
    <row r="7795" spans="1:1">
      <c r="A7795" s="35" t="s">
        <v>54478</v>
      </c>
    </row>
    <row r="7796" spans="1:1">
      <c r="A7796" s="35" t="s">
        <v>41057</v>
      </c>
    </row>
    <row r="7797" spans="1:1">
      <c r="A7797" s="35" t="s">
        <v>41057</v>
      </c>
    </row>
    <row r="7798" spans="1:1">
      <c r="A7798" s="35" t="s">
        <v>41057</v>
      </c>
    </row>
    <row r="7799" spans="1:1">
      <c r="A7799" s="35" t="s">
        <v>54097</v>
      </c>
    </row>
    <row r="7800" spans="1:1">
      <c r="A7800" s="35" t="s">
        <v>55466</v>
      </c>
    </row>
    <row r="7801" spans="1:1">
      <c r="A7801" s="35" t="s">
        <v>55467</v>
      </c>
    </row>
    <row r="7802" spans="1:1">
      <c r="A7802" s="35" t="s">
        <v>54100</v>
      </c>
    </row>
    <row r="7803" spans="1:1">
      <c r="A7803" s="35" t="s">
        <v>41057</v>
      </c>
    </row>
    <row r="7804" spans="1:1">
      <c r="A7804" s="35" t="s">
        <v>41057</v>
      </c>
    </row>
    <row r="7805" spans="1:1">
      <c r="A7805" s="35" t="e" cm="1">
        <f t="array" ref="A7805">---------------SLTY------------------FKN-------------------V</f>
        <v>#NAME?</v>
      </c>
    </row>
    <row r="7806" spans="1:1">
      <c r="A7806" s="35" t="s">
        <v>55468</v>
      </c>
    </row>
    <row r="7807" spans="1:1">
      <c r="A7807" s="35" t="s">
        <v>55469</v>
      </c>
    </row>
    <row r="7808" spans="1:1">
      <c r="A7808" s="35" t="s">
        <v>41057</v>
      </c>
    </row>
    <row r="7809" spans="1:1">
      <c r="A7809" s="35" t="s">
        <v>55470</v>
      </c>
    </row>
    <row r="7810" spans="1:1">
      <c r="A7810" s="35" t="s">
        <v>41057</v>
      </c>
    </row>
    <row r="7811" spans="1:1">
      <c r="A7811" s="35" t="s">
        <v>41057</v>
      </c>
    </row>
    <row r="7812" spans="1:1">
      <c r="A7812" s="35" t="s">
        <v>55471</v>
      </c>
    </row>
    <row r="7813" spans="1:1">
      <c r="A7813" s="35" t="s">
        <v>41057</v>
      </c>
    </row>
    <row r="7814" spans="1:1">
      <c r="A7814" s="35" t="s">
        <v>41057</v>
      </c>
    </row>
    <row r="7815" spans="1:1">
      <c r="A7815" s="35" t="s">
        <v>55472</v>
      </c>
    </row>
    <row r="7816" spans="1:1">
      <c r="A7816" s="35" t="s">
        <v>41057</v>
      </c>
    </row>
    <row r="7817" spans="1:1">
      <c r="A7817" s="35" t="s">
        <v>41057</v>
      </c>
    </row>
    <row r="7818" spans="1:1">
      <c r="A7818" s="35" t="s">
        <v>55473</v>
      </c>
    </row>
    <row r="7819" spans="1:1">
      <c r="A7819" s="35" t="s">
        <v>41057</v>
      </c>
    </row>
    <row r="7820" spans="1:1">
      <c r="A7820" s="35" t="s">
        <v>55047</v>
      </c>
    </row>
    <row r="7821" spans="1:1">
      <c r="A7821" s="35" t="s">
        <v>41057</v>
      </c>
    </row>
    <row r="7822" spans="1:1">
      <c r="A7822" s="35" t="s">
        <v>55474</v>
      </c>
    </row>
    <row r="7823" spans="1:1">
      <c r="A7823" s="35" t="s">
        <v>55475</v>
      </c>
    </row>
    <row r="7824" spans="1:1">
      <c r="A7824" s="35" t="s">
        <v>41057</v>
      </c>
    </row>
    <row r="7825" spans="1:1">
      <c r="A7825" s="35" t="s">
        <v>41057</v>
      </c>
    </row>
    <row r="7826" spans="1:1">
      <c r="A7826" s="35" t="s">
        <v>53505</v>
      </c>
    </row>
    <row r="7827" spans="1:1">
      <c r="A7827" s="35" t="s">
        <v>41057</v>
      </c>
    </row>
    <row r="7828" spans="1:1">
      <c r="A7828" s="35" t="s">
        <v>41057</v>
      </c>
    </row>
    <row r="7829" spans="1:1">
      <c r="A7829" s="35" t="s">
        <v>41057</v>
      </c>
    </row>
    <row r="7830" spans="1:1">
      <c r="A7830" s="35" t="s">
        <v>41057</v>
      </c>
    </row>
    <row r="7831" spans="1:1">
      <c r="A7831" s="35" t="s">
        <v>41057</v>
      </c>
    </row>
    <row r="7832" spans="1:1">
      <c r="A7832" s="35" t="s">
        <v>55476</v>
      </c>
    </row>
    <row r="7833" spans="1:1">
      <c r="A7833" s="35" t="s">
        <v>55477</v>
      </c>
    </row>
    <row r="7834" spans="1:1">
      <c r="A7834" s="35" t="s">
        <v>41057</v>
      </c>
    </row>
    <row r="7835" spans="1:1">
      <c r="A7835" s="35" t="s">
        <v>55478</v>
      </c>
    </row>
    <row r="7836" spans="1:1">
      <c r="A7836" s="35" t="s">
        <v>41057</v>
      </c>
    </row>
    <row r="7837" spans="1:1">
      <c r="A7837" s="35" t="s">
        <v>41057</v>
      </c>
    </row>
    <row r="7838" spans="1:1">
      <c r="A7838" s="35" t="s">
        <v>41057</v>
      </c>
    </row>
    <row r="7839" spans="1:1">
      <c r="A7839" s="35" t="s">
        <v>41057</v>
      </c>
    </row>
    <row r="7840" spans="1:1">
      <c r="A7840" s="35" t="s">
        <v>41057</v>
      </c>
    </row>
    <row r="7841" spans="1:1">
      <c r="A7841" s="35" t="s">
        <v>41057</v>
      </c>
    </row>
    <row r="7842" spans="1:1">
      <c r="A7842" s="35" t="s">
        <v>41057</v>
      </c>
    </row>
    <row r="7843" spans="1:1">
      <c r="A7843" s="35" t="s">
        <v>41057</v>
      </c>
    </row>
    <row r="7844" spans="1:1">
      <c r="A7844" s="35" t="s">
        <v>41057</v>
      </c>
    </row>
    <row r="7845" spans="1:1">
      <c r="A7845" s="35" t="s">
        <v>41057</v>
      </c>
    </row>
    <row r="7846" spans="1:1">
      <c r="A7846" s="35" t="s">
        <v>41057</v>
      </c>
    </row>
    <row r="7847" spans="1:1">
      <c r="A7847" s="35" t="s">
        <v>41057</v>
      </c>
    </row>
    <row r="7848" spans="1:1">
      <c r="A7848" s="35" t="s">
        <v>41057</v>
      </c>
    </row>
    <row r="7849" spans="1:1">
      <c r="A7849" s="35" t="s">
        <v>41057</v>
      </c>
    </row>
    <row r="7850" spans="1:1">
      <c r="A7850" s="35" t="s">
        <v>41057</v>
      </c>
    </row>
    <row r="7851" spans="1:1">
      <c r="A7851" s="35" t="s">
        <v>55479</v>
      </c>
    </row>
    <row r="7852" spans="1:1">
      <c r="A7852" s="35" t="s">
        <v>41057</v>
      </c>
    </row>
    <row r="7853" spans="1:1">
      <c r="A7853" s="35" t="s">
        <v>41057</v>
      </c>
    </row>
    <row r="7854" spans="1:1">
      <c r="A7854" s="35" t="s">
        <v>41057</v>
      </c>
    </row>
    <row r="7855" spans="1:1">
      <c r="A7855" s="35" t="s">
        <v>41057</v>
      </c>
    </row>
    <row r="7856" spans="1:1">
      <c r="A7856" s="35" t="s">
        <v>41057</v>
      </c>
    </row>
    <row r="7857" spans="1:1">
      <c r="A7857" s="35" t="s">
        <v>41057</v>
      </c>
    </row>
    <row r="7858" spans="1:1">
      <c r="A7858" s="35" t="s">
        <v>41057</v>
      </c>
    </row>
    <row r="7859" spans="1:1">
      <c r="A7859" s="35" t="e" cm="1">
        <f t="array" ref="A7859">-----------------------------------------------EFQWIPNI---GA</f>
        <v>#NAME?</v>
      </c>
    </row>
    <row r="7860" spans="1:1">
      <c r="A7860" s="35" t="s">
        <v>55480</v>
      </c>
    </row>
    <row r="7861" spans="1:1">
      <c r="A7861" s="35" t="e" cm="1">
        <f t="array" ref="A7861">---------------GQWIEIYYELFL---------DTSE------------------KN</f>
        <v>#NAME?</v>
      </c>
    </row>
    <row r="7862" spans="1:1">
      <c r="A7862" s="35" t="s">
        <v>55481</v>
      </c>
    </row>
    <row r="7863" spans="1:1">
      <c r="A7863" s="35" t="e" cm="1">
        <f t="array" ref="A7863">---------FYPTSTLDPS-------------------------LNNNPD--------SQ</f>
        <v>#NAME?</v>
      </c>
    </row>
    <row r="7864" spans="1:1">
      <c r="A7864" s="35" t="s">
        <v>55482</v>
      </c>
    </row>
    <row r="7865" spans="1:1">
      <c r="A7865" s="35" t="s">
        <v>55483</v>
      </c>
    </row>
    <row r="7866" spans="1:1">
      <c r="A7866" s="35" t="s">
        <v>41057</v>
      </c>
    </row>
    <row r="7867" spans="1:1">
      <c r="A7867" s="35" t="s">
        <v>55484</v>
      </c>
    </row>
    <row r="7868" spans="1:1">
      <c r="A7868" s="35" t="s">
        <v>55485</v>
      </c>
    </row>
    <row r="7869" spans="1:1">
      <c r="A7869" s="35" t="s">
        <v>55486</v>
      </c>
    </row>
    <row r="7870" spans="1:1">
      <c r="A7870" s="35" t="s">
        <v>55487</v>
      </c>
    </row>
    <row r="7871" spans="1:1">
      <c r="A7871" s="35" t="s">
        <v>55488</v>
      </c>
    </row>
    <row r="7872" spans="1:1">
      <c r="A7872" s="35" t="s">
        <v>55489</v>
      </c>
    </row>
    <row r="7873" spans="1:1">
      <c r="A7873" s="35" t="s">
        <v>55490</v>
      </c>
    </row>
    <row r="7874" spans="1:1">
      <c r="A7874" s="35" t="s">
        <v>55491</v>
      </c>
    </row>
    <row r="7875" spans="1:1">
      <c r="A7875" s="35" t="s">
        <v>41057</v>
      </c>
    </row>
    <row r="7876" spans="1:1">
      <c r="A7876" s="35" t="s">
        <v>54739</v>
      </c>
    </row>
    <row r="7877" spans="1:1">
      <c r="A7877" s="35" t="s">
        <v>55492</v>
      </c>
    </row>
    <row r="7878" spans="1:1">
      <c r="A7878" s="35" t="s">
        <v>55493</v>
      </c>
    </row>
    <row r="7879" spans="1:1">
      <c r="A7879" s="35" t="s">
        <v>55494</v>
      </c>
    </row>
    <row r="7880" spans="1:1">
      <c r="A7880" s="35" t="e" cm="1">
        <f t="array" ref="A7880">---------------------------------------------------------SFT</f>
        <v>#NAME?</v>
      </c>
    </row>
    <row r="7881" spans="1:1">
      <c r="A7881" s="35" t="s">
        <v>55495</v>
      </c>
    </row>
    <row r="7882" spans="1:1">
      <c r="A7882" s="35" t="s">
        <v>41057</v>
      </c>
    </row>
    <row r="7883" spans="1:1">
      <c r="A7883" s="35" t="s">
        <v>55496</v>
      </c>
    </row>
    <row r="7884" spans="1:1">
      <c r="A7884" s="35" t="s">
        <v>41057</v>
      </c>
    </row>
    <row r="7885" spans="1:1">
      <c r="A7885" s="35" t="s">
        <v>55497</v>
      </c>
    </row>
    <row r="7886" spans="1:1">
      <c r="A7886" s="35" t="s">
        <v>55498</v>
      </c>
    </row>
    <row r="7887" spans="1:1">
      <c r="A7887" s="35" t="e" cm="1">
        <f t="array" ref="A7887">-------------------------------------------------YTNYDNEFIDP</f>
        <v>#NAME?</v>
      </c>
    </row>
    <row r="7888" spans="1:1">
      <c r="A7888" s="35" t="s">
        <v>55499</v>
      </c>
    </row>
    <row r="7889" spans="1:1">
      <c r="A7889" s="35" t="s">
        <v>55500</v>
      </c>
    </row>
    <row r="7890" spans="1:1">
      <c r="A7890" s="35" t="s">
        <v>55501</v>
      </c>
    </row>
    <row r="7891" spans="1:1">
      <c r="A7891" s="35" t="s">
        <v>55502</v>
      </c>
    </row>
    <row r="7892" spans="1:1">
      <c r="A7892" s="35" t="e" cm="1">
        <f t="array" ref="A7892">-------------------------PNH------------------------------RA</f>
        <v>#NAME?</v>
      </c>
    </row>
    <row r="7893" spans="1:1">
      <c r="A7893" s="35" t="s">
        <v>55503</v>
      </c>
    </row>
    <row r="7894" spans="1:1">
      <c r="A7894" s="35" t="e" cm="1">
        <f t="array" ref="A7894">---------------------TK-----------------------FNFKFYEKNIIKST</f>
        <v>#NAME?</v>
      </c>
    </row>
    <row r="7895" spans="1:1">
      <c r="A7895" s="35" t="s">
        <v>55504</v>
      </c>
    </row>
    <row r="7896" spans="1:1">
      <c r="A7896" s="35" t="s">
        <v>55505</v>
      </c>
    </row>
    <row r="7897" spans="1:1">
      <c r="A7897" s="35" t="s">
        <v>55506</v>
      </c>
    </row>
    <row r="7898" spans="1:1">
      <c r="A7898" s="35" t="s">
        <v>55507</v>
      </c>
    </row>
    <row r="7899" spans="1:1">
      <c r="A7899" s="35" t="s">
        <v>55508</v>
      </c>
    </row>
    <row r="7900" spans="1:1">
      <c r="A7900" s="35" t="s">
        <v>55509</v>
      </c>
    </row>
    <row r="7901" spans="1:1">
      <c r="A7901" s="35" t="s">
        <v>41057</v>
      </c>
    </row>
    <row r="7902" spans="1:1">
      <c r="A7902" s="35" t="s">
        <v>55510</v>
      </c>
    </row>
    <row r="7903" spans="1:1">
      <c r="A7903" s="35" t="s">
        <v>55511</v>
      </c>
    </row>
    <row r="7904" spans="1:1">
      <c r="A7904" s="35" t="s">
        <v>55512</v>
      </c>
    </row>
    <row r="7905" spans="1:1">
      <c r="A7905" s="35" t="s">
        <v>41057</v>
      </c>
    </row>
    <row r="7906" spans="1:1">
      <c r="A7906" s="35" t="s">
        <v>53545</v>
      </c>
    </row>
    <row r="7907" spans="1:1">
      <c r="A7907" s="35" t="s">
        <v>53396</v>
      </c>
    </row>
    <row r="7908" spans="1:1">
      <c r="A7908" s="35" t="s">
        <v>41057</v>
      </c>
    </row>
    <row r="7909" spans="1:1">
      <c r="A7909" s="35" t="s">
        <v>41057</v>
      </c>
    </row>
    <row r="7910" spans="1:1">
      <c r="A7910" s="35" t="s">
        <v>41057</v>
      </c>
    </row>
    <row r="7911" spans="1:1">
      <c r="A7911" s="35" t="s">
        <v>41057</v>
      </c>
    </row>
    <row r="7912" spans="1:1">
      <c r="A7912" s="35" t="s">
        <v>41057</v>
      </c>
    </row>
    <row r="7913" spans="1:1">
      <c r="A7913" s="35" t="s">
        <v>54096</v>
      </c>
    </row>
    <row r="7914" spans="1:1">
      <c r="A7914" s="35" t="s">
        <v>41057</v>
      </c>
    </row>
    <row r="7915" spans="1:1">
      <c r="A7915" s="35" t="s">
        <v>41057</v>
      </c>
    </row>
    <row r="7916" spans="1:1">
      <c r="A7916" s="35" t="s">
        <v>41057</v>
      </c>
    </row>
    <row r="7917" spans="1:1">
      <c r="A7917" s="35" t="s">
        <v>55513</v>
      </c>
    </row>
    <row r="7918" spans="1:1">
      <c r="A7918" s="35" t="s">
        <v>55514</v>
      </c>
    </row>
    <row r="7919" spans="1:1">
      <c r="A7919" s="35" t="s">
        <v>55515</v>
      </c>
    </row>
    <row r="7920" spans="1:1">
      <c r="A7920" s="35" t="s">
        <v>54100</v>
      </c>
    </row>
    <row r="7921" spans="1:1">
      <c r="A7921" s="35" t="s">
        <v>41057</v>
      </c>
    </row>
    <row r="7922" spans="1:1">
      <c r="A7922" s="35" t="s">
        <v>41057</v>
      </c>
    </row>
    <row r="7923" spans="1:1">
      <c r="A7923" s="35" t="e" cm="1">
        <f t="array" ref="A7923">---------------QTTY------------------FKS-------------------I</f>
        <v>#NAME?</v>
      </c>
    </row>
    <row r="7924" spans="1:1">
      <c r="A7924" s="35" t="s">
        <v>54101</v>
      </c>
    </row>
    <row r="7925" spans="1:1">
      <c r="A7925" s="35" t="s">
        <v>55516</v>
      </c>
    </row>
    <row r="7926" spans="1:1">
      <c r="A7926" s="35" t="s">
        <v>41057</v>
      </c>
    </row>
    <row r="7927" spans="1:1">
      <c r="A7927" s="35" t="s">
        <v>55517</v>
      </c>
    </row>
    <row r="7928" spans="1:1">
      <c r="A7928" s="35" t="s">
        <v>41057</v>
      </c>
    </row>
    <row r="7929" spans="1:1">
      <c r="A7929" s="35" t="s">
        <v>41057</v>
      </c>
    </row>
    <row r="7930" spans="1:1">
      <c r="A7930" s="35" t="s">
        <v>55518</v>
      </c>
    </row>
    <row r="7931" spans="1:1">
      <c r="A7931" s="35" t="s">
        <v>41057</v>
      </c>
    </row>
    <row r="7932" spans="1:1">
      <c r="A7932" s="35" t="s">
        <v>41057</v>
      </c>
    </row>
    <row r="7933" spans="1:1">
      <c r="A7933" s="35" t="s">
        <v>53500</v>
      </c>
    </row>
    <row r="7934" spans="1:1">
      <c r="A7934" s="35" t="s">
        <v>41057</v>
      </c>
    </row>
    <row r="7935" spans="1:1">
      <c r="A7935" s="35" t="s">
        <v>41057</v>
      </c>
    </row>
    <row r="7936" spans="1:1">
      <c r="A7936" s="35" t="s">
        <v>55519</v>
      </c>
    </row>
    <row r="7937" spans="1:1">
      <c r="A7937" s="35" t="s">
        <v>41057</v>
      </c>
    </row>
    <row r="7938" spans="1:1">
      <c r="A7938" s="35" t="s">
        <v>55520</v>
      </c>
    </row>
    <row r="7939" spans="1:1">
      <c r="A7939" s="35" t="s">
        <v>41057</v>
      </c>
    </row>
    <row r="7940" spans="1:1">
      <c r="A7940" s="35" t="s">
        <v>55521</v>
      </c>
    </row>
    <row r="7941" spans="1:1">
      <c r="A7941" s="35" t="s">
        <v>55522</v>
      </c>
    </row>
    <row r="7942" spans="1:1">
      <c r="A7942" s="35" t="s">
        <v>41057</v>
      </c>
    </row>
    <row r="7943" spans="1:1">
      <c r="A7943" s="35" t="s">
        <v>41057</v>
      </c>
    </row>
    <row r="7944" spans="1:1">
      <c r="A7944" s="35" t="s">
        <v>55523</v>
      </c>
    </row>
    <row r="7945" spans="1:1">
      <c r="A7945" s="35" t="s">
        <v>41057</v>
      </c>
    </row>
    <row r="7946" spans="1:1">
      <c r="A7946" s="35" t="s">
        <v>41057</v>
      </c>
    </row>
    <row r="7947" spans="1:1">
      <c r="A7947" s="35" t="s">
        <v>41057</v>
      </c>
    </row>
    <row r="7948" spans="1:1">
      <c r="A7948" s="35" t="s">
        <v>41057</v>
      </c>
    </row>
    <row r="7949" spans="1:1">
      <c r="A7949" s="35" t="s">
        <v>41057</v>
      </c>
    </row>
    <row r="7950" spans="1:1">
      <c r="A7950" s="35" t="s">
        <v>55524</v>
      </c>
    </row>
    <row r="7951" spans="1:1">
      <c r="A7951" s="35" t="s">
        <v>41057</v>
      </c>
    </row>
    <row r="7952" spans="1:1">
      <c r="A7952" s="35" t="s">
        <v>41057</v>
      </c>
    </row>
    <row r="7953" spans="1:1">
      <c r="A7953" s="35" t="s">
        <v>41057</v>
      </c>
    </row>
    <row r="7954" spans="1:1">
      <c r="A7954" s="35" t="s">
        <v>41057</v>
      </c>
    </row>
    <row r="7955" spans="1:1">
      <c r="A7955" s="35" t="e" cm="1">
        <f t="array" ref="A7955">-----------------------------------------------------------S</f>
        <v>#NAME?</v>
      </c>
    </row>
    <row r="7956" spans="1:1">
      <c r="A7956" s="35" t="s">
        <v>41057</v>
      </c>
    </row>
    <row r="7957" spans="1:1">
      <c r="A7957" s="35" t="s">
        <v>41057</v>
      </c>
    </row>
    <row r="7958" spans="1:1">
      <c r="A7958" s="35" t="s">
        <v>41057</v>
      </c>
    </row>
    <row r="7959" spans="1:1">
      <c r="A7959" s="35" t="s">
        <v>41057</v>
      </c>
    </row>
    <row r="7960" spans="1:1">
      <c r="A7960" s="35" t="s">
        <v>41057</v>
      </c>
    </row>
    <row r="7961" spans="1:1">
      <c r="A7961" s="35" t="s">
        <v>41057</v>
      </c>
    </row>
    <row r="7962" spans="1:1">
      <c r="A7962" s="35" t="s">
        <v>41057</v>
      </c>
    </row>
    <row r="7963" spans="1:1">
      <c r="A7963" s="35" t="s">
        <v>41057</v>
      </c>
    </row>
    <row r="7964" spans="1:1">
      <c r="A7964" s="35" t="s">
        <v>41057</v>
      </c>
    </row>
    <row r="7965" spans="1:1">
      <c r="A7965" s="35" t="s">
        <v>41057</v>
      </c>
    </row>
    <row r="7966" spans="1:1">
      <c r="A7966" s="35" t="s">
        <v>41057</v>
      </c>
    </row>
    <row r="7967" spans="1:1">
      <c r="A7967" s="35" t="s">
        <v>41057</v>
      </c>
    </row>
    <row r="7968" spans="1:1">
      <c r="A7968" s="35" t="s">
        <v>41057</v>
      </c>
    </row>
    <row r="7969" spans="1:1">
      <c r="A7969" s="35" t="s">
        <v>53513</v>
      </c>
    </row>
    <row r="7970" spans="1:1">
      <c r="A7970" s="35" t="s">
        <v>41057</v>
      </c>
    </row>
    <row r="7971" spans="1:1">
      <c r="A7971" s="35" t="s">
        <v>41057</v>
      </c>
    </row>
    <row r="7972" spans="1:1">
      <c r="A7972" s="35" t="s">
        <v>41057</v>
      </c>
    </row>
    <row r="7973" spans="1:1">
      <c r="A7973" s="35" t="s">
        <v>41057</v>
      </c>
    </row>
    <row r="7974" spans="1:1">
      <c r="A7974" s="35" t="s">
        <v>41057</v>
      </c>
    </row>
    <row r="7975" spans="1:1">
      <c r="A7975" s="35" t="s">
        <v>41057</v>
      </c>
    </row>
    <row r="7976" spans="1:1">
      <c r="A7976" s="35" t="s">
        <v>41057</v>
      </c>
    </row>
    <row r="7977" spans="1:1">
      <c r="A7977" s="35" t="e" cm="1">
        <f t="array" ref="A7977">------------------------------------------------VGFVNSF---LA</f>
        <v>#NAME?</v>
      </c>
    </row>
    <row r="7978" spans="1:1">
      <c r="A7978" s="35" t="s">
        <v>55525</v>
      </c>
    </row>
    <row r="7979" spans="1:1">
      <c r="A7979" s="35" t="e" cm="1">
        <f t="array" ref="A7979">---------------GQQLDFMNELYL---------EEGK------------------RL</f>
        <v>#NAME?</v>
      </c>
    </row>
    <row r="7980" spans="1:1">
      <c r="A7980" s="35" t="s">
        <v>55526</v>
      </c>
    </row>
    <row r="7981" spans="1:1">
      <c r="A7981" s="35" t="e" cm="1">
        <f t="array" ref="A7981">------------------------------------------------TN--------AL</f>
        <v>#NAME?</v>
      </c>
    </row>
    <row r="7982" spans="1:1">
      <c r="A7982" s="35" t="s">
        <v>55527</v>
      </c>
    </row>
    <row r="7983" spans="1:1">
      <c r="A7983" s="35" t="s">
        <v>55528</v>
      </c>
    </row>
    <row r="7984" spans="1:1">
      <c r="A7984" s="35" t="s">
        <v>41057</v>
      </c>
    </row>
    <row r="7985" spans="1:1">
      <c r="A7985" s="35" t="s">
        <v>55529</v>
      </c>
    </row>
    <row r="7986" spans="1:1">
      <c r="A7986" s="35" t="s">
        <v>55530</v>
      </c>
    </row>
    <row r="7987" spans="1:1">
      <c r="A7987" s="35" t="s">
        <v>55531</v>
      </c>
    </row>
    <row r="7988" spans="1:1">
      <c r="A7988" s="35" t="s">
        <v>41057</v>
      </c>
    </row>
    <row r="7989" spans="1:1">
      <c r="A7989" s="35" t="s">
        <v>41057</v>
      </c>
    </row>
    <row r="7990" spans="1:1">
      <c r="A7990" s="35" t="s">
        <v>41057</v>
      </c>
    </row>
    <row r="7991" spans="1:1">
      <c r="A7991" s="35" t="s">
        <v>55532</v>
      </c>
    </row>
    <row r="7992" spans="1:1">
      <c r="A7992" s="35" t="s">
        <v>41057</v>
      </c>
    </row>
    <row r="7993" spans="1:1">
      <c r="A7993" s="35" t="s">
        <v>41057</v>
      </c>
    </row>
    <row r="7994" spans="1:1">
      <c r="A7994" s="35" t="s">
        <v>55533</v>
      </c>
    </row>
    <row r="7995" spans="1:1">
      <c r="A7995" s="35" t="s">
        <v>55534</v>
      </c>
    </row>
    <row r="7996" spans="1:1">
      <c r="A7996" s="35" t="s">
        <v>55535</v>
      </c>
    </row>
    <row r="7997" spans="1:1">
      <c r="A7997" s="35" t="s">
        <v>55536</v>
      </c>
    </row>
    <row r="7998" spans="1:1">
      <c r="A7998" s="35" t="e" cm="1">
        <f t="array" ref="A7998">----------------------------------------------------------FN</f>
        <v>#NAME?</v>
      </c>
    </row>
    <row r="7999" spans="1:1">
      <c r="A7999" s="35" t="s">
        <v>55537</v>
      </c>
    </row>
    <row r="8000" spans="1:1">
      <c r="A8000" s="35" t="s">
        <v>55538</v>
      </c>
    </row>
    <row r="8001" spans="1:1">
      <c r="A8001" s="35" t="s">
        <v>55184</v>
      </c>
    </row>
    <row r="8002" spans="1:1">
      <c r="A8002" s="35" t="s">
        <v>41057</v>
      </c>
    </row>
    <row r="8003" spans="1:1">
      <c r="A8003" s="35" t="s">
        <v>55539</v>
      </c>
    </row>
    <row r="8004" spans="1:1">
      <c r="A8004" s="35" t="s">
        <v>41057</v>
      </c>
    </row>
    <row r="8005" spans="1:1">
      <c r="A8005" s="35" t="s">
        <v>55540</v>
      </c>
    </row>
    <row r="8006" spans="1:1">
      <c r="A8006" s="35" t="s">
        <v>41057</v>
      </c>
    </row>
    <row r="8007" spans="1:1">
      <c r="A8007" s="35" t="s">
        <v>55541</v>
      </c>
    </row>
    <row r="8008" spans="1:1">
      <c r="A8008" s="35" t="s">
        <v>55542</v>
      </c>
    </row>
    <row r="8009" spans="1:1">
      <c r="A8009" s="35" t="s">
        <v>41057</v>
      </c>
    </row>
    <row r="8010" spans="1:1">
      <c r="A8010" s="35" t="s">
        <v>41057</v>
      </c>
    </row>
    <row r="8011" spans="1:1">
      <c r="A8011" s="35" t="s">
        <v>41057</v>
      </c>
    </row>
    <row r="8012" spans="1:1">
      <c r="A8012" s="35" t="e" cm="1">
        <f t="array" ref="A8012">---------------------------------------------------GGGTSLEDA</f>
        <v>#NAME?</v>
      </c>
    </row>
    <row r="8013" spans="1:1">
      <c r="A8013" s="35" t="s">
        <v>55543</v>
      </c>
    </row>
    <row r="8014" spans="1:1">
      <c r="A8014" s="35" t="s">
        <v>55544</v>
      </c>
    </row>
    <row r="8015" spans="1:1">
      <c r="A8015" s="35" t="s">
        <v>55545</v>
      </c>
    </row>
    <row r="8016" spans="1:1">
      <c r="A8016" s="35" t="s">
        <v>55546</v>
      </c>
    </row>
    <row r="8017" spans="1:1">
      <c r="A8017" s="35" t="s">
        <v>55547</v>
      </c>
    </row>
    <row r="8018" spans="1:1">
      <c r="A8018" s="35" t="s">
        <v>55548</v>
      </c>
    </row>
    <row r="8019" spans="1:1">
      <c r="A8019" s="35" t="s">
        <v>41057</v>
      </c>
    </row>
    <row r="8020" spans="1:1">
      <c r="A8020" s="35" t="s">
        <v>55549</v>
      </c>
    </row>
    <row r="8021" spans="1:1">
      <c r="A8021" s="35" t="s">
        <v>55550</v>
      </c>
    </row>
    <row r="8022" spans="1:1">
      <c r="A8022" s="35" t="s">
        <v>55551</v>
      </c>
    </row>
    <row r="8023" spans="1:1">
      <c r="A8023" s="35" t="s">
        <v>41057</v>
      </c>
    </row>
    <row r="8024" spans="1:1">
      <c r="A8024" s="35" t="s">
        <v>53545</v>
      </c>
    </row>
    <row r="8025" spans="1:1">
      <c r="A8025" s="35" t="s">
        <v>55552</v>
      </c>
    </row>
    <row r="8026" spans="1:1">
      <c r="A8026" s="35" t="s">
        <v>41057</v>
      </c>
    </row>
    <row r="8027" spans="1:1">
      <c r="A8027" s="35" t="s">
        <v>41057</v>
      </c>
    </row>
    <row r="8028" spans="1:1">
      <c r="A8028" s="35" t="s">
        <v>41057</v>
      </c>
    </row>
    <row r="8029" spans="1:1">
      <c r="A8029" s="35" t="s">
        <v>41057</v>
      </c>
    </row>
    <row r="8030" spans="1:1">
      <c r="A8030" s="35" t="s">
        <v>55553</v>
      </c>
    </row>
    <row r="8031" spans="1:1">
      <c r="A8031" s="35" t="s">
        <v>41057</v>
      </c>
    </row>
    <row r="8032" spans="1:1">
      <c r="A8032" s="35" t="s">
        <v>41057</v>
      </c>
    </row>
    <row r="8033" spans="1:1">
      <c r="A8033" s="35" t="s">
        <v>41057</v>
      </c>
    </row>
    <row r="8034" spans="1:1">
      <c r="A8034" s="35" t="s">
        <v>41057</v>
      </c>
    </row>
    <row r="8035" spans="1:1">
      <c r="A8035" s="35" t="s">
        <v>41057</v>
      </c>
    </row>
    <row r="8036" spans="1:1">
      <c r="A8036" s="35" t="s">
        <v>41057</v>
      </c>
    </row>
    <row r="8037" spans="1:1">
      <c r="A8037" s="35" t="s">
        <v>55554</v>
      </c>
    </row>
    <row r="8038" spans="1:1">
      <c r="A8038" s="35" t="s">
        <v>55555</v>
      </c>
    </row>
    <row r="8039" spans="1:1">
      <c r="A8039" s="35" t="s">
        <v>41057</v>
      </c>
    </row>
    <row r="8040" spans="1:1">
      <c r="A8040" s="35" t="s">
        <v>41057</v>
      </c>
    </row>
    <row r="8041" spans="1:1">
      <c r="A8041" s="35" t="e" cm="1">
        <f t="array" ref="A8041">---------------QVTF------------------FKT-------------------V</f>
        <v>#NAME?</v>
      </c>
    </row>
    <row r="8042" spans="1:1">
      <c r="A8042" s="35" t="s">
        <v>54288</v>
      </c>
    </row>
    <row r="8043" spans="1:1">
      <c r="A8043" s="35" t="s">
        <v>55556</v>
      </c>
    </row>
    <row r="8044" spans="1:1">
      <c r="A8044" s="35" t="s">
        <v>41057</v>
      </c>
    </row>
    <row r="8045" spans="1:1">
      <c r="A8045" s="35" t="s">
        <v>55557</v>
      </c>
    </row>
    <row r="8046" spans="1:1">
      <c r="A8046" s="35" t="s">
        <v>41057</v>
      </c>
    </row>
    <row r="8047" spans="1:1">
      <c r="A8047" s="35" t="s">
        <v>41057</v>
      </c>
    </row>
    <row r="8048" spans="1:1">
      <c r="A8048" s="35" t="s">
        <v>55558</v>
      </c>
    </row>
    <row r="8049" spans="1:1">
      <c r="A8049" s="35" t="s">
        <v>41057</v>
      </c>
    </row>
    <row r="8050" spans="1:1">
      <c r="A8050" s="35" t="s">
        <v>41057</v>
      </c>
    </row>
    <row r="8051" spans="1:1">
      <c r="A8051" s="35" t="s">
        <v>53500</v>
      </c>
    </row>
    <row r="8052" spans="1:1">
      <c r="A8052" s="35" t="s">
        <v>41057</v>
      </c>
    </row>
    <row r="8053" spans="1:1">
      <c r="A8053" s="35" t="s">
        <v>41057</v>
      </c>
    </row>
    <row r="8054" spans="1:1">
      <c r="A8054" s="35" t="s">
        <v>55559</v>
      </c>
    </row>
    <row r="8055" spans="1:1">
      <c r="A8055" s="35" t="s">
        <v>41057</v>
      </c>
    </row>
    <row r="8056" spans="1:1">
      <c r="A8056" s="35" t="s">
        <v>55560</v>
      </c>
    </row>
    <row r="8057" spans="1:1">
      <c r="A8057" s="35" t="s">
        <v>41057</v>
      </c>
    </row>
    <row r="8058" spans="1:1">
      <c r="A8058" s="35" t="s">
        <v>55561</v>
      </c>
    </row>
    <row r="8059" spans="1:1">
      <c r="A8059" s="35" t="s">
        <v>55562</v>
      </c>
    </row>
    <row r="8060" spans="1:1">
      <c r="A8060" s="35" t="s">
        <v>41057</v>
      </c>
    </row>
    <row r="8061" spans="1:1">
      <c r="A8061" s="35" t="s">
        <v>41057</v>
      </c>
    </row>
    <row r="8062" spans="1:1">
      <c r="A8062" s="35" t="s">
        <v>55563</v>
      </c>
    </row>
    <row r="8063" spans="1:1">
      <c r="A8063" s="35" t="s">
        <v>41057</v>
      </c>
    </row>
    <row r="8064" spans="1:1">
      <c r="A8064" s="35" t="s">
        <v>41057</v>
      </c>
    </row>
    <row r="8065" spans="1:1">
      <c r="A8065" s="35" t="s">
        <v>41057</v>
      </c>
    </row>
    <row r="8066" spans="1:1">
      <c r="A8066" s="35" t="s">
        <v>41057</v>
      </c>
    </row>
    <row r="8067" spans="1:1">
      <c r="A8067" s="35" t="s">
        <v>41057</v>
      </c>
    </row>
    <row r="8068" spans="1:1">
      <c r="A8068" s="35" t="s">
        <v>41057</v>
      </c>
    </row>
    <row r="8069" spans="1:1">
      <c r="A8069" s="35" t="s">
        <v>41057</v>
      </c>
    </row>
    <row r="8070" spans="1:1">
      <c r="A8070" s="35" t="s">
        <v>41057</v>
      </c>
    </row>
    <row r="8071" spans="1:1">
      <c r="A8071" s="35" t="s">
        <v>41057</v>
      </c>
    </row>
    <row r="8072" spans="1:1">
      <c r="A8072" s="35" t="s">
        <v>41057</v>
      </c>
    </row>
    <row r="8073" spans="1:1">
      <c r="A8073" s="35" t="s">
        <v>41057</v>
      </c>
    </row>
    <row r="8074" spans="1:1">
      <c r="A8074" s="35" t="s">
        <v>41057</v>
      </c>
    </row>
    <row r="8075" spans="1:1">
      <c r="A8075" s="35" t="s">
        <v>41057</v>
      </c>
    </row>
    <row r="8076" spans="1:1">
      <c r="A8076" s="35" t="s">
        <v>41057</v>
      </c>
    </row>
    <row r="8077" spans="1:1">
      <c r="A8077" s="35" t="s">
        <v>41057</v>
      </c>
    </row>
    <row r="8078" spans="1:1">
      <c r="A8078" s="35" t="s">
        <v>41057</v>
      </c>
    </row>
    <row r="8079" spans="1:1">
      <c r="A8079" s="35" t="s">
        <v>41057</v>
      </c>
    </row>
    <row r="8080" spans="1:1">
      <c r="A8080" s="35" t="s">
        <v>41057</v>
      </c>
    </row>
    <row r="8081" spans="1:1">
      <c r="A8081" s="35" t="s">
        <v>41057</v>
      </c>
    </row>
    <row r="8082" spans="1:1">
      <c r="A8082" s="35" t="s">
        <v>41057</v>
      </c>
    </row>
    <row r="8083" spans="1:1">
      <c r="A8083" s="35" t="s">
        <v>41057</v>
      </c>
    </row>
    <row r="8084" spans="1:1">
      <c r="A8084" s="35" t="s">
        <v>55564</v>
      </c>
    </row>
    <row r="8085" spans="1:1">
      <c r="A8085" s="35" t="s">
        <v>41057</v>
      </c>
    </row>
    <row r="8086" spans="1:1">
      <c r="A8086" s="35" t="s">
        <v>41057</v>
      </c>
    </row>
    <row r="8087" spans="1:1">
      <c r="A8087" s="35" t="s">
        <v>41057</v>
      </c>
    </row>
    <row r="8088" spans="1:1">
      <c r="A8088" s="35" t="s">
        <v>41057</v>
      </c>
    </row>
    <row r="8089" spans="1:1">
      <c r="A8089" s="35" t="s">
        <v>41057</v>
      </c>
    </row>
    <row r="8090" spans="1:1">
      <c r="A8090" s="35" t="s">
        <v>41057</v>
      </c>
    </row>
    <row r="8091" spans="1:1">
      <c r="A8091" s="35" t="s">
        <v>55565</v>
      </c>
    </row>
    <row r="8092" spans="1:1">
      <c r="A8092" s="35" t="s">
        <v>50344</v>
      </c>
    </row>
    <row r="8093" spans="1:1">
      <c r="A8093" s="35" t="s">
        <v>41057</v>
      </c>
    </row>
    <row r="8094" spans="1:1">
      <c r="A8094" s="35" t="s">
        <v>41057</v>
      </c>
    </row>
    <row r="8095" spans="1:1">
      <c r="A8095" s="35" t="e" cm="1">
        <f t="array" ref="A8095">-------------------------------------------DCDAWVHWTNAV---GH</f>
        <v>#NAME?</v>
      </c>
    </row>
    <row r="8096" spans="1:1">
      <c r="A8096" s="35" t="s">
        <v>55566</v>
      </c>
    </row>
    <row r="8097" spans="1:1">
      <c r="A8097" s="35" t="s">
        <v>55567</v>
      </c>
    </row>
    <row r="8098" spans="1:1">
      <c r="A8098" s="35" t="s">
        <v>55568</v>
      </c>
    </row>
    <row r="8099" spans="1:1">
      <c r="A8099" s="35" t="s">
        <v>55569</v>
      </c>
    </row>
    <row r="8100" spans="1:1">
      <c r="A8100" s="35" t="s">
        <v>55570</v>
      </c>
    </row>
    <row r="8101" spans="1:1">
      <c r="A8101" s="35" t="s">
        <v>55571</v>
      </c>
    </row>
    <row r="8102" spans="1:1">
      <c r="A8102" s="35" t="s">
        <v>41057</v>
      </c>
    </row>
    <row r="8103" spans="1:1">
      <c r="A8103" s="35" t="s">
        <v>53997</v>
      </c>
    </row>
    <row r="8104" spans="1:1">
      <c r="A8104" s="35" t="s">
        <v>55572</v>
      </c>
    </row>
    <row r="8105" spans="1:1">
      <c r="A8105" s="35" t="s">
        <v>55258</v>
      </c>
    </row>
    <row r="8106" spans="1:1">
      <c r="A8106" s="35" t="s">
        <v>41057</v>
      </c>
    </row>
    <row r="8107" spans="1:1">
      <c r="A8107" s="35" t="s">
        <v>41057</v>
      </c>
    </row>
    <row r="8108" spans="1:1">
      <c r="A8108" s="35" t="s">
        <v>41057</v>
      </c>
    </row>
    <row r="8109" spans="1:1">
      <c r="A8109" s="35" t="s">
        <v>41057</v>
      </c>
    </row>
    <row r="8110" spans="1:1">
      <c r="A8110" s="35" t="s">
        <v>41057</v>
      </c>
    </row>
    <row r="8111" spans="1:1">
      <c r="A8111" s="35" t="s">
        <v>41057</v>
      </c>
    </row>
    <row r="8112" spans="1:1">
      <c r="A8112" s="35" t="s">
        <v>41057</v>
      </c>
    </row>
    <row r="8113" spans="1:1">
      <c r="A8113" s="35" t="s">
        <v>41057</v>
      </c>
    </row>
    <row r="8114" spans="1:1">
      <c r="A8114" s="35" t="s">
        <v>41057</v>
      </c>
    </row>
    <row r="8115" spans="1:1">
      <c r="A8115" s="35" t="s">
        <v>41057</v>
      </c>
    </row>
    <row r="8116" spans="1:1">
      <c r="A8116" s="35" t="s">
        <v>41057</v>
      </c>
    </row>
    <row r="8117" spans="1:1">
      <c r="A8117" s="35" t="s">
        <v>41057</v>
      </c>
    </row>
    <row r="8118" spans="1:1">
      <c r="A8118" s="35" t="s">
        <v>41057</v>
      </c>
    </row>
    <row r="8119" spans="1:1">
      <c r="A8119" s="35" t="s">
        <v>41057</v>
      </c>
    </row>
    <row r="8120" spans="1:1">
      <c r="A8120" s="35" t="s">
        <v>41057</v>
      </c>
    </row>
    <row r="8121" spans="1:1">
      <c r="A8121" s="35" t="s">
        <v>41057</v>
      </c>
    </row>
    <row r="8122" spans="1:1">
      <c r="A8122" s="35" t="s">
        <v>41057</v>
      </c>
    </row>
    <row r="8123" spans="1:1">
      <c r="A8123" s="35" t="s">
        <v>41057</v>
      </c>
    </row>
    <row r="8124" spans="1:1">
      <c r="A8124" s="35" t="s">
        <v>41057</v>
      </c>
    </row>
    <row r="8125" spans="1:1">
      <c r="A8125" s="35" t="s">
        <v>41057</v>
      </c>
    </row>
    <row r="8126" spans="1:1">
      <c r="A8126" s="35" t="s">
        <v>41057</v>
      </c>
    </row>
    <row r="8127" spans="1:1">
      <c r="A8127" s="35" t="s">
        <v>41057</v>
      </c>
    </row>
    <row r="8128" spans="1:1">
      <c r="A8128" s="35" t="s">
        <v>41057</v>
      </c>
    </row>
    <row r="8129" spans="1:1">
      <c r="A8129" s="35" t="s">
        <v>41057</v>
      </c>
    </row>
    <row r="8130" spans="1:1">
      <c r="A8130" s="35" t="s">
        <v>41057</v>
      </c>
    </row>
    <row r="8131" spans="1:1">
      <c r="A8131" s="35" t="s">
        <v>41057</v>
      </c>
    </row>
    <row r="8132" spans="1:1">
      <c r="A8132" s="35" t="s">
        <v>41057</v>
      </c>
    </row>
    <row r="8133" spans="1:1">
      <c r="A8133" s="35" t="s">
        <v>41057</v>
      </c>
    </row>
    <row r="8134" spans="1:1">
      <c r="A8134" s="35" t="s">
        <v>41057</v>
      </c>
    </row>
    <row r="8135" spans="1:1">
      <c r="A8135" s="35" t="s">
        <v>41057</v>
      </c>
    </row>
    <row r="8136" spans="1:1">
      <c r="A8136" s="35" t="s">
        <v>41057</v>
      </c>
    </row>
    <row r="8137" spans="1:1">
      <c r="A8137" s="35" t="s">
        <v>41057</v>
      </c>
    </row>
    <row r="8138" spans="1:1">
      <c r="A8138" s="35" t="s">
        <v>41057</v>
      </c>
    </row>
    <row r="8139" spans="1:1">
      <c r="A8139" s="35" t="s">
        <v>41057</v>
      </c>
    </row>
    <row r="8140" spans="1:1">
      <c r="A8140" s="35" t="s">
        <v>41057</v>
      </c>
    </row>
    <row r="8141" spans="1:1">
      <c r="A8141" s="35" t="s">
        <v>41057</v>
      </c>
    </row>
    <row r="8142" spans="1:1">
      <c r="A8142" s="35" t="s">
        <v>53545</v>
      </c>
    </row>
    <row r="8143" spans="1:1">
      <c r="A8143" s="35" t="s">
        <v>55573</v>
      </c>
    </row>
    <row r="8144" spans="1:1">
      <c r="A8144" s="35" t="s">
        <v>41057</v>
      </c>
    </row>
    <row r="8145" spans="1:1">
      <c r="A8145" s="35" t="s">
        <v>41057</v>
      </c>
    </row>
    <row r="8146" spans="1:1">
      <c r="A8146" s="35" t="s">
        <v>41057</v>
      </c>
    </row>
    <row r="8147" spans="1:1">
      <c r="A8147" s="35" t="s">
        <v>41057</v>
      </c>
    </row>
    <row r="8148" spans="1:1">
      <c r="A8148" s="35" t="s">
        <v>41057</v>
      </c>
    </row>
    <row r="8149" spans="1:1">
      <c r="A8149" s="35" t="s">
        <v>54343</v>
      </c>
    </row>
    <row r="8150" spans="1:1">
      <c r="A8150" s="35" t="s">
        <v>41057</v>
      </c>
    </row>
    <row r="8151" spans="1:1">
      <c r="A8151" s="35" t="s">
        <v>41057</v>
      </c>
    </row>
    <row r="8152" spans="1:1">
      <c r="A8152" s="35" t="s">
        <v>41057</v>
      </c>
    </row>
    <row r="8153" spans="1:1">
      <c r="A8153" s="35" t="s">
        <v>55574</v>
      </c>
    </row>
    <row r="8154" spans="1:1">
      <c r="A8154" s="35" t="s">
        <v>54098</v>
      </c>
    </row>
    <row r="8155" spans="1:1">
      <c r="A8155" s="35" t="s">
        <v>55575</v>
      </c>
    </row>
    <row r="8156" spans="1:1">
      <c r="A8156" s="35" t="s">
        <v>54100</v>
      </c>
    </row>
    <row r="8157" spans="1:1">
      <c r="A8157" s="35" t="s">
        <v>41057</v>
      </c>
    </row>
    <row r="8158" spans="1:1">
      <c r="A8158" s="35" t="s">
        <v>41057</v>
      </c>
    </row>
    <row r="8159" spans="1:1">
      <c r="A8159" s="35" t="e" cm="1">
        <f t="array" ref="A8159">---------------QITY------------------FKT-------------------V</f>
        <v>#NAME?</v>
      </c>
    </row>
    <row r="8160" spans="1:1">
      <c r="A8160" s="35" t="s">
        <v>54288</v>
      </c>
    </row>
    <row r="8161" spans="1:1">
      <c r="A8161" s="35" t="s">
        <v>55576</v>
      </c>
    </row>
    <row r="8162" spans="1:1">
      <c r="A8162" s="35" t="s">
        <v>41057</v>
      </c>
    </row>
    <row r="8163" spans="1:1">
      <c r="A8163" s="35" t="s">
        <v>55577</v>
      </c>
    </row>
    <row r="8164" spans="1:1">
      <c r="A8164" s="35" t="s">
        <v>41057</v>
      </c>
    </row>
    <row r="8165" spans="1:1">
      <c r="A8165" s="35" t="s">
        <v>41057</v>
      </c>
    </row>
    <row r="8166" spans="1:1">
      <c r="A8166" s="35" t="s">
        <v>55578</v>
      </c>
    </row>
    <row r="8167" spans="1:1">
      <c r="A8167" s="35" t="s">
        <v>41057</v>
      </c>
    </row>
    <row r="8168" spans="1:1">
      <c r="A8168" s="35" t="s">
        <v>41057</v>
      </c>
    </row>
    <row r="8169" spans="1:1">
      <c r="A8169" s="35" t="s">
        <v>41057</v>
      </c>
    </row>
    <row r="8170" spans="1:1">
      <c r="A8170" s="35" t="s">
        <v>41057</v>
      </c>
    </row>
    <row r="8171" spans="1:1">
      <c r="A8171" s="35" t="s">
        <v>41057</v>
      </c>
    </row>
    <row r="8172" spans="1:1">
      <c r="A8172" s="35" t="s">
        <v>55579</v>
      </c>
    </row>
    <row r="8173" spans="1:1">
      <c r="A8173" s="35" t="s">
        <v>41057</v>
      </c>
    </row>
    <row r="8174" spans="1:1">
      <c r="A8174" s="35" t="s">
        <v>55580</v>
      </c>
    </row>
    <row r="8175" spans="1:1">
      <c r="A8175" s="35" t="s">
        <v>41057</v>
      </c>
    </row>
    <row r="8176" spans="1:1">
      <c r="A8176" s="35" t="s">
        <v>55581</v>
      </c>
    </row>
    <row r="8177" spans="1:1">
      <c r="A8177" s="35" t="s">
        <v>55582</v>
      </c>
    </row>
    <row r="8178" spans="1:1">
      <c r="A8178" s="35" t="s">
        <v>41057</v>
      </c>
    </row>
    <row r="8179" spans="1:1">
      <c r="A8179" s="35" t="s">
        <v>41057</v>
      </c>
    </row>
    <row r="8180" spans="1:1">
      <c r="A8180" s="35" t="s">
        <v>53505</v>
      </c>
    </row>
    <row r="8181" spans="1:1">
      <c r="A8181" s="35" t="s">
        <v>41057</v>
      </c>
    </row>
    <row r="8182" spans="1:1">
      <c r="A8182" s="35" t="s">
        <v>41057</v>
      </c>
    </row>
    <row r="8183" spans="1:1">
      <c r="A8183" s="35" t="s">
        <v>41057</v>
      </c>
    </row>
    <row r="8184" spans="1:1">
      <c r="A8184" s="35" t="s">
        <v>41057</v>
      </c>
    </row>
    <row r="8185" spans="1:1">
      <c r="A8185" s="35" t="s">
        <v>41057</v>
      </c>
    </row>
    <row r="8186" spans="1:1">
      <c r="A8186" s="35" t="s">
        <v>41057</v>
      </c>
    </row>
    <row r="8187" spans="1:1">
      <c r="A8187" s="35" t="s">
        <v>41057</v>
      </c>
    </row>
    <row r="8188" spans="1:1">
      <c r="A8188" s="35" t="s">
        <v>41057</v>
      </c>
    </row>
    <row r="8189" spans="1:1">
      <c r="A8189" s="35" t="s">
        <v>41057</v>
      </c>
    </row>
    <row r="8190" spans="1:1">
      <c r="A8190" s="35" t="s">
        <v>41057</v>
      </c>
    </row>
    <row r="8191" spans="1:1">
      <c r="A8191" s="35" t="s">
        <v>41057</v>
      </c>
    </row>
    <row r="8192" spans="1:1">
      <c r="A8192" s="35" t="s">
        <v>41057</v>
      </c>
    </row>
    <row r="8193" spans="1:1">
      <c r="A8193" s="35" t="s">
        <v>41057</v>
      </c>
    </row>
    <row r="8194" spans="1:1">
      <c r="A8194" s="35" t="s">
        <v>41057</v>
      </c>
    </row>
    <row r="8195" spans="1:1">
      <c r="A8195" s="35" t="s">
        <v>41057</v>
      </c>
    </row>
    <row r="8196" spans="1:1">
      <c r="A8196" s="35" t="s">
        <v>41057</v>
      </c>
    </row>
    <row r="8197" spans="1:1">
      <c r="A8197" s="35" t="s">
        <v>41057</v>
      </c>
    </row>
    <row r="8198" spans="1:1">
      <c r="A8198" s="35" t="s">
        <v>41057</v>
      </c>
    </row>
    <row r="8199" spans="1:1">
      <c r="A8199" s="35" t="s">
        <v>41057</v>
      </c>
    </row>
    <row r="8200" spans="1:1">
      <c r="A8200" s="35" t="s">
        <v>41057</v>
      </c>
    </row>
    <row r="8201" spans="1:1">
      <c r="A8201" s="35" t="s">
        <v>41057</v>
      </c>
    </row>
    <row r="8202" spans="1:1">
      <c r="A8202" s="35" t="s">
        <v>41057</v>
      </c>
    </row>
    <row r="8203" spans="1:1">
      <c r="A8203" s="35" t="s">
        <v>41057</v>
      </c>
    </row>
    <row r="8204" spans="1:1">
      <c r="A8204" s="35" t="s">
        <v>41057</v>
      </c>
    </row>
    <row r="8205" spans="1:1">
      <c r="A8205" s="35" t="s">
        <v>55583</v>
      </c>
    </row>
    <row r="8206" spans="1:1">
      <c r="A8206" s="35" t="s">
        <v>41057</v>
      </c>
    </row>
    <row r="8207" spans="1:1">
      <c r="A8207" s="35" t="s">
        <v>41057</v>
      </c>
    </row>
    <row r="8208" spans="1:1">
      <c r="A8208" s="35" t="s">
        <v>41057</v>
      </c>
    </row>
    <row r="8209" spans="1:1">
      <c r="A8209" s="35" t="s">
        <v>41057</v>
      </c>
    </row>
    <row r="8210" spans="1:1">
      <c r="A8210" s="35" t="s">
        <v>41057</v>
      </c>
    </row>
    <row r="8211" spans="1:1">
      <c r="A8211" s="35" t="s">
        <v>41057</v>
      </c>
    </row>
    <row r="8212" spans="1:1">
      <c r="A8212" s="35" t="s">
        <v>41057</v>
      </c>
    </row>
    <row r="8213" spans="1:1">
      <c r="A8213" s="35" t="e" cm="1">
        <f t="array" ref="A8213">------------------------------------------SNKETNFQWIDYL---GH</f>
        <v>#NAME?</v>
      </c>
    </row>
    <row r="8214" spans="1:1">
      <c r="A8214" s="35" t="s">
        <v>55584</v>
      </c>
    </row>
    <row r="8215" spans="1:1">
      <c r="A8215" s="35" t="e" cm="1">
        <f t="array" ref="A8215">---------------GQWMTIWNELTL---------KDEQ------------------KR</f>
        <v>#NAME?</v>
      </c>
    </row>
    <row r="8216" spans="1:1">
      <c r="A8216" s="35" t="s">
        <v>55585</v>
      </c>
    </row>
    <row r="8217" spans="1:1">
      <c r="A8217" s="35" t="s">
        <v>41057</v>
      </c>
    </row>
    <row r="8218" spans="1:1">
      <c r="A8218" s="35" t="s">
        <v>41057</v>
      </c>
    </row>
    <row r="8219" spans="1:1">
      <c r="A8219" s="35" t="s">
        <v>41057</v>
      </c>
    </row>
    <row r="8220" spans="1:1">
      <c r="A8220" s="35" t="s">
        <v>41057</v>
      </c>
    </row>
    <row r="8221" spans="1:1">
      <c r="A8221" s="35" t="s">
        <v>41057</v>
      </c>
    </row>
    <row r="8222" spans="1:1">
      <c r="A8222" s="35" t="s">
        <v>41057</v>
      </c>
    </row>
    <row r="8223" spans="1:1">
      <c r="A8223" s="35" t="s">
        <v>55218</v>
      </c>
    </row>
    <row r="8224" spans="1:1">
      <c r="A8224" s="35" t="s">
        <v>41057</v>
      </c>
    </row>
    <row r="8225" spans="1:1">
      <c r="A8225" s="35" t="s">
        <v>41057</v>
      </c>
    </row>
    <row r="8226" spans="1:1">
      <c r="A8226" s="35" t="s">
        <v>41057</v>
      </c>
    </row>
    <row r="8227" spans="1:1">
      <c r="A8227" s="35" t="s">
        <v>41057</v>
      </c>
    </row>
    <row r="8228" spans="1:1">
      <c r="A8228" s="35" t="s">
        <v>41057</v>
      </c>
    </row>
    <row r="8229" spans="1:1">
      <c r="A8229" s="35" t="s">
        <v>41057</v>
      </c>
    </row>
    <row r="8230" spans="1:1">
      <c r="A8230" s="35" t="s">
        <v>41057</v>
      </c>
    </row>
    <row r="8231" spans="1:1">
      <c r="A8231" s="35" t="s">
        <v>55586</v>
      </c>
    </row>
    <row r="8232" spans="1:1">
      <c r="A8232" s="35" t="s">
        <v>41057</v>
      </c>
    </row>
    <row r="8233" spans="1:1">
      <c r="A8233" s="35" t="s">
        <v>41057</v>
      </c>
    </row>
    <row r="8234" spans="1:1">
      <c r="A8234" s="35" t="s">
        <v>41057</v>
      </c>
    </row>
    <row r="8235" spans="1:1">
      <c r="A8235" s="35" t="s">
        <v>41057</v>
      </c>
    </row>
    <row r="8236" spans="1:1">
      <c r="A8236" s="35" t="s">
        <v>41057</v>
      </c>
    </row>
    <row r="8237" spans="1:1">
      <c r="A8237" s="35" t="s">
        <v>41057</v>
      </c>
    </row>
    <row r="8238" spans="1:1">
      <c r="A8238" s="35" t="s">
        <v>41057</v>
      </c>
    </row>
    <row r="8239" spans="1:1">
      <c r="A8239" s="35" t="s">
        <v>55587</v>
      </c>
    </row>
    <row r="8240" spans="1:1">
      <c r="A8240" s="35" t="s">
        <v>41057</v>
      </c>
    </row>
    <row r="8241" spans="1:1">
      <c r="A8241" s="35" t="s">
        <v>41057</v>
      </c>
    </row>
    <row r="8242" spans="1:1">
      <c r="A8242" s="35" t="s">
        <v>41057</v>
      </c>
    </row>
    <row r="8243" spans="1:1">
      <c r="A8243" s="35" t="s">
        <v>41057</v>
      </c>
    </row>
    <row r="8244" spans="1:1">
      <c r="A8244" s="35" t="s">
        <v>41057</v>
      </c>
    </row>
    <row r="8245" spans="1:1">
      <c r="A8245" s="35" t="s">
        <v>41057</v>
      </c>
    </row>
    <row r="8246" spans="1:1">
      <c r="A8246" s="35" t="s">
        <v>41057</v>
      </c>
    </row>
    <row r="8247" spans="1:1">
      <c r="A8247" s="35" t="s">
        <v>41057</v>
      </c>
    </row>
    <row r="8248" spans="1:1">
      <c r="A8248" s="35" t="s">
        <v>41057</v>
      </c>
    </row>
    <row r="8249" spans="1:1">
      <c r="A8249" s="35" t="s">
        <v>55588</v>
      </c>
    </row>
    <row r="8250" spans="1:1">
      <c r="A8250" s="35" t="s">
        <v>41057</v>
      </c>
    </row>
    <row r="8251" spans="1:1">
      <c r="A8251" s="35" t="s">
        <v>55589</v>
      </c>
    </row>
    <row r="8252" spans="1:1">
      <c r="A8252" s="35" t="s">
        <v>55590</v>
      </c>
    </row>
    <row r="8253" spans="1:1">
      <c r="A8253" s="35" t="s">
        <v>55591</v>
      </c>
    </row>
    <row r="8254" spans="1:1">
      <c r="A8254" s="35" t="s">
        <v>41057</v>
      </c>
    </row>
    <row r="8255" spans="1:1">
      <c r="A8255" s="35" t="s">
        <v>55592</v>
      </c>
    </row>
    <row r="8256" spans="1:1">
      <c r="A8256" s="35" t="s">
        <v>41057</v>
      </c>
    </row>
    <row r="8257" spans="1:1">
      <c r="A8257" s="35" t="s">
        <v>41057</v>
      </c>
    </row>
    <row r="8258" spans="1:1">
      <c r="A8258" s="35" t="s">
        <v>41057</v>
      </c>
    </row>
    <row r="8259" spans="1:1">
      <c r="A8259" s="35" t="s">
        <v>41057</v>
      </c>
    </row>
    <row r="8260" spans="1:1">
      <c r="A8260" s="35" t="s">
        <v>53545</v>
      </c>
    </row>
    <row r="8261" spans="1:1">
      <c r="A8261" s="35" t="s">
        <v>55593</v>
      </c>
    </row>
    <row r="8262" spans="1:1">
      <c r="A8262" s="35" t="s">
        <v>41057</v>
      </c>
    </row>
    <row r="8263" spans="1:1">
      <c r="A8263" s="35" t="s">
        <v>41057</v>
      </c>
    </row>
    <row r="8264" spans="1:1">
      <c r="A8264" s="35" t="s">
        <v>41057</v>
      </c>
    </row>
    <row r="8265" spans="1:1">
      <c r="A8265" s="35" t="s">
        <v>41057</v>
      </c>
    </row>
    <row r="8266" spans="1:1">
      <c r="A8266" s="35" t="s">
        <v>41057</v>
      </c>
    </row>
    <row r="8267" spans="1:1">
      <c r="A8267" s="35" t="s">
        <v>41057</v>
      </c>
    </row>
    <row r="8268" spans="1:1">
      <c r="A8268" s="35" t="s">
        <v>41057</v>
      </c>
    </row>
    <row r="8269" spans="1:1">
      <c r="A8269" s="35" t="s">
        <v>41057</v>
      </c>
    </row>
    <row r="8270" spans="1:1">
      <c r="A8270" s="35" t="s">
        <v>41057</v>
      </c>
    </row>
    <row r="8271" spans="1:1">
      <c r="A8271" s="35" t="s">
        <v>41057</v>
      </c>
    </row>
    <row r="8272" spans="1:1">
      <c r="A8272" s="35" t="s">
        <v>41057</v>
      </c>
    </row>
    <row r="8273" spans="1:1">
      <c r="A8273" s="35" t="s">
        <v>41057</v>
      </c>
    </row>
    <row r="8274" spans="1:1">
      <c r="A8274" s="35" t="s">
        <v>41057</v>
      </c>
    </row>
    <row r="8275" spans="1:1">
      <c r="A8275" s="35" t="s">
        <v>41057</v>
      </c>
    </row>
    <row r="8276" spans="1:1">
      <c r="A8276" s="35" t="s">
        <v>41057</v>
      </c>
    </row>
    <row r="8277" spans="1:1">
      <c r="A8277" s="35" t="s">
        <v>41057</v>
      </c>
    </row>
    <row r="8278" spans="1:1">
      <c r="A8278" s="35" t="s">
        <v>41057</v>
      </c>
    </row>
    <row r="8279" spans="1:1">
      <c r="A8279" s="35" t="s">
        <v>41057</v>
      </c>
    </row>
    <row r="8280" spans="1:1">
      <c r="A8280" s="35" t="s">
        <v>41057</v>
      </c>
    </row>
    <row r="8281" spans="1:1">
      <c r="A8281" s="35" t="s">
        <v>41057</v>
      </c>
    </row>
    <row r="8282" spans="1:1">
      <c r="A8282" s="35" t="s">
        <v>41057</v>
      </c>
    </row>
    <row r="8283" spans="1:1">
      <c r="A8283" s="35" t="s">
        <v>41057</v>
      </c>
    </row>
    <row r="8284" spans="1:1">
      <c r="A8284" s="35" t="s">
        <v>41057</v>
      </c>
    </row>
    <row r="8285" spans="1:1">
      <c r="A8285" s="35" t="s">
        <v>41057</v>
      </c>
    </row>
    <row r="8286" spans="1:1">
      <c r="A8286" s="35" t="s">
        <v>41057</v>
      </c>
    </row>
    <row r="8287" spans="1:1">
      <c r="A8287" s="35" t="s">
        <v>41057</v>
      </c>
    </row>
    <row r="8288" spans="1:1">
      <c r="A8288" s="35" t="s">
        <v>41057</v>
      </c>
    </row>
    <row r="8289" spans="1:1">
      <c r="A8289" s="35" t="s">
        <v>41057</v>
      </c>
    </row>
    <row r="8290" spans="1:1">
      <c r="A8290" s="35" t="s">
        <v>41057</v>
      </c>
    </row>
    <row r="8291" spans="1:1">
      <c r="A8291" s="35" t="s">
        <v>41057</v>
      </c>
    </row>
    <row r="8292" spans="1:1">
      <c r="A8292" s="35" t="s">
        <v>41057</v>
      </c>
    </row>
    <row r="8293" spans="1:1">
      <c r="A8293" s="35" t="s">
        <v>41057</v>
      </c>
    </row>
    <row r="8294" spans="1:1">
      <c r="A8294" s="35" t="s">
        <v>41057</v>
      </c>
    </row>
    <row r="8295" spans="1:1">
      <c r="A8295" s="35" t="s">
        <v>41057</v>
      </c>
    </row>
    <row r="8296" spans="1:1">
      <c r="A8296" s="35" t="s">
        <v>41057</v>
      </c>
    </row>
    <row r="8297" spans="1:1">
      <c r="A8297" s="35" t="s">
        <v>41057</v>
      </c>
    </row>
    <row r="8298" spans="1:1">
      <c r="A8298" s="35" t="s">
        <v>41057</v>
      </c>
    </row>
    <row r="8299" spans="1:1">
      <c r="A8299" s="35" t="s">
        <v>41057</v>
      </c>
    </row>
    <row r="8300" spans="1:1">
      <c r="A8300" s="35" t="s">
        <v>41057</v>
      </c>
    </row>
    <row r="8301" spans="1:1">
      <c r="A8301" s="35" t="s">
        <v>41057</v>
      </c>
    </row>
    <row r="8302" spans="1:1">
      <c r="A8302" s="35" t="s">
        <v>41057</v>
      </c>
    </row>
    <row r="8303" spans="1:1">
      <c r="A8303" s="35" t="s">
        <v>41057</v>
      </c>
    </row>
    <row r="8304" spans="1:1">
      <c r="A8304" s="35" t="s">
        <v>41057</v>
      </c>
    </row>
    <row r="8305" spans="1:1">
      <c r="A8305" s="35" t="s">
        <v>41057</v>
      </c>
    </row>
    <row r="8306" spans="1:1">
      <c r="A8306" s="35" t="s">
        <v>41057</v>
      </c>
    </row>
    <row r="8307" spans="1:1">
      <c r="A8307" s="35" t="s">
        <v>41057</v>
      </c>
    </row>
    <row r="8308" spans="1:1">
      <c r="A8308" s="35" t="s">
        <v>41057</v>
      </c>
    </row>
    <row r="8309" spans="1:1">
      <c r="A8309" s="35" t="s">
        <v>41057</v>
      </c>
    </row>
    <row r="8310" spans="1:1">
      <c r="A8310" s="35" t="s">
        <v>41057</v>
      </c>
    </row>
    <row r="8311" spans="1:1">
      <c r="A8311" s="35" t="s">
        <v>41057</v>
      </c>
    </row>
    <row r="8312" spans="1:1">
      <c r="A8312" s="35" t="s">
        <v>41057</v>
      </c>
    </row>
    <row r="8313" spans="1:1">
      <c r="A8313" s="35" t="s">
        <v>41057</v>
      </c>
    </row>
    <row r="8314" spans="1:1">
      <c r="A8314" s="35" t="s">
        <v>41057</v>
      </c>
    </row>
    <row r="8315" spans="1:1">
      <c r="A8315" s="35" t="s">
        <v>41057</v>
      </c>
    </row>
    <row r="8316" spans="1:1">
      <c r="A8316" s="35" t="s">
        <v>41057</v>
      </c>
    </row>
    <row r="8317" spans="1:1">
      <c r="A8317" s="35" t="s">
        <v>41057</v>
      </c>
    </row>
    <row r="8318" spans="1:1">
      <c r="A8318" s="35" t="s">
        <v>41057</v>
      </c>
    </row>
    <row r="8319" spans="1:1">
      <c r="A8319" s="35" t="s">
        <v>41057</v>
      </c>
    </row>
    <row r="8320" spans="1:1">
      <c r="A8320" s="35" t="s">
        <v>41057</v>
      </c>
    </row>
    <row r="8321" spans="1:1">
      <c r="A8321" s="35" t="s">
        <v>41057</v>
      </c>
    </row>
    <row r="8322" spans="1:1">
      <c r="A8322" s="35" t="s">
        <v>41057</v>
      </c>
    </row>
    <row r="8323" spans="1:1">
      <c r="A8323" s="35" t="s">
        <v>41057</v>
      </c>
    </row>
    <row r="8324" spans="1:1">
      <c r="A8324" s="35" t="s">
        <v>41057</v>
      </c>
    </row>
    <row r="8325" spans="1:1">
      <c r="A8325" s="35" t="s">
        <v>41057</v>
      </c>
    </row>
    <row r="8326" spans="1:1">
      <c r="A8326" s="35" t="s">
        <v>41057</v>
      </c>
    </row>
    <row r="8327" spans="1:1">
      <c r="A8327" s="35" t="s">
        <v>41057</v>
      </c>
    </row>
    <row r="8328" spans="1:1">
      <c r="A8328" s="35" t="s">
        <v>41057</v>
      </c>
    </row>
    <row r="8329" spans="1:1">
      <c r="A8329" s="35" t="s">
        <v>41057</v>
      </c>
    </row>
    <row r="8330" spans="1:1">
      <c r="A8330" s="35" t="s">
        <v>41057</v>
      </c>
    </row>
    <row r="8331" spans="1:1">
      <c r="A8331" s="35" t="s">
        <v>41057</v>
      </c>
    </row>
    <row r="8332" spans="1:1">
      <c r="A8332" s="35" t="s">
        <v>41057</v>
      </c>
    </row>
    <row r="8333" spans="1:1">
      <c r="A8333" s="35" t="s">
        <v>41057</v>
      </c>
    </row>
    <row r="8334" spans="1:1">
      <c r="A8334" s="35" t="s">
        <v>41057</v>
      </c>
    </row>
    <row r="8335" spans="1:1">
      <c r="A8335" s="35" t="s">
        <v>41057</v>
      </c>
    </row>
    <row r="8336" spans="1:1">
      <c r="A8336" s="35" t="s">
        <v>41057</v>
      </c>
    </row>
    <row r="8337" spans="1:1">
      <c r="A8337" s="35" t="s">
        <v>41057</v>
      </c>
    </row>
    <row r="8338" spans="1:1">
      <c r="A8338" s="35" t="s">
        <v>41057</v>
      </c>
    </row>
    <row r="8339" spans="1:1">
      <c r="A8339" s="35" t="s">
        <v>41057</v>
      </c>
    </row>
    <row r="8340" spans="1:1">
      <c r="A8340" s="35" t="s">
        <v>41057</v>
      </c>
    </row>
    <row r="8341" spans="1:1">
      <c r="A8341" s="35" t="s">
        <v>41057</v>
      </c>
    </row>
    <row r="8342" spans="1:1">
      <c r="A8342" s="35" t="s">
        <v>41057</v>
      </c>
    </row>
    <row r="8343" spans="1:1">
      <c r="A8343" s="35" t="s">
        <v>41057</v>
      </c>
    </row>
    <row r="8344" spans="1:1">
      <c r="A8344" s="35" t="s">
        <v>41057</v>
      </c>
    </row>
    <row r="8345" spans="1:1">
      <c r="A8345" s="35" t="s">
        <v>41057</v>
      </c>
    </row>
    <row r="8346" spans="1:1">
      <c r="A8346" s="35" t="s">
        <v>41057</v>
      </c>
    </row>
    <row r="8347" spans="1:1">
      <c r="A8347" s="35" t="s">
        <v>41057</v>
      </c>
    </row>
    <row r="8348" spans="1:1">
      <c r="A8348" s="35" t="s">
        <v>41057</v>
      </c>
    </row>
    <row r="8349" spans="1:1">
      <c r="A8349" s="35" t="s">
        <v>41057</v>
      </c>
    </row>
    <row r="8350" spans="1:1">
      <c r="A8350" s="35" t="s">
        <v>41057</v>
      </c>
    </row>
    <row r="8351" spans="1:1">
      <c r="A8351" s="35" t="s">
        <v>41057</v>
      </c>
    </row>
    <row r="8352" spans="1:1">
      <c r="A8352" s="35" t="s">
        <v>41057</v>
      </c>
    </row>
    <row r="8353" spans="1:1">
      <c r="A8353" s="35" t="s">
        <v>41057</v>
      </c>
    </row>
    <row r="8354" spans="1:1">
      <c r="A8354" s="35" t="s">
        <v>41057</v>
      </c>
    </row>
    <row r="8355" spans="1:1">
      <c r="A8355" s="35" t="s">
        <v>55594</v>
      </c>
    </row>
    <row r="8356" spans="1:1">
      <c r="A8356" s="35" t="s">
        <v>41057</v>
      </c>
    </row>
    <row r="8357" spans="1:1">
      <c r="A8357" s="35" t="s">
        <v>55595</v>
      </c>
    </row>
    <row r="8358" spans="1:1">
      <c r="A8358" s="35" t="s">
        <v>41057</v>
      </c>
    </row>
    <row r="8359" spans="1:1">
      <c r="A8359" s="35" t="s">
        <v>55596</v>
      </c>
    </row>
    <row r="8360" spans="1:1">
      <c r="A8360" s="35" t="s">
        <v>41057</v>
      </c>
    </row>
    <row r="8361" spans="1:1">
      <c r="A8361" s="35" t="s">
        <v>55597</v>
      </c>
    </row>
    <row r="8362" spans="1:1">
      <c r="A8362" s="35" t="s">
        <v>41057</v>
      </c>
    </row>
    <row r="8363" spans="1:1">
      <c r="A8363" s="35" t="s">
        <v>41057</v>
      </c>
    </row>
    <row r="8364" spans="1:1">
      <c r="A8364" s="35" t="s">
        <v>41057</v>
      </c>
    </row>
    <row r="8365" spans="1:1">
      <c r="A8365" s="35" t="s">
        <v>41057</v>
      </c>
    </row>
    <row r="8366" spans="1:1">
      <c r="A8366" s="35" t="e" cm="1">
        <f t="array" ref="A8366">------------------------------------------------SPDLTGQPLNNT</f>
        <v>#NAME?</v>
      </c>
    </row>
    <row r="8367" spans="1:1">
      <c r="A8367" s="35" t="s">
        <v>55598</v>
      </c>
    </row>
    <row r="8368" spans="1:1">
      <c r="A8368" s="35" t="s">
        <v>55599</v>
      </c>
    </row>
    <row r="8369" spans="1:1">
      <c r="A8369" s="35" t="s">
        <v>55600</v>
      </c>
    </row>
    <row r="8370" spans="1:1">
      <c r="A8370" s="35" t="s">
        <v>55601</v>
      </c>
    </row>
    <row r="8371" spans="1:1">
      <c r="A8371" s="35" t="s">
        <v>55602</v>
      </c>
    </row>
    <row r="8372" spans="1:1">
      <c r="A8372" s="35" t="s">
        <v>41057</v>
      </c>
    </row>
    <row r="8373" spans="1:1">
      <c r="A8373" s="35" t="s">
        <v>41057</v>
      </c>
    </row>
    <row r="8374" spans="1:1">
      <c r="A8374" s="35" t="s">
        <v>41057</v>
      </c>
    </row>
    <row r="8375" spans="1:1">
      <c r="A8375" s="35" t="s">
        <v>41057</v>
      </c>
    </row>
    <row r="8376" spans="1:1">
      <c r="A8376" s="35" t="s">
        <v>41057</v>
      </c>
    </row>
    <row r="8377" spans="1:1">
      <c r="A8377" s="35" t="s">
        <v>41057</v>
      </c>
    </row>
    <row r="8378" spans="1:1">
      <c r="A8378" s="35" t="s">
        <v>53545</v>
      </c>
    </row>
    <row r="8379" spans="1:1">
      <c r="A8379" s="35" t="s">
        <v>51961</v>
      </c>
    </row>
    <row r="8380" spans="1:1">
      <c r="A8380" s="35" t="s">
        <v>41057</v>
      </c>
    </row>
    <row r="8381" spans="1:1">
      <c r="A8381" s="35" t="s">
        <v>41057</v>
      </c>
    </row>
    <row r="8382" spans="1:1">
      <c r="A8382" s="35" t="s">
        <v>41057</v>
      </c>
    </row>
    <row r="8383" spans="1:1">
      <c r="A8383" s="35" t="s">
        <v>41057</v>
      </c>
    </row>
    <row r="8384" spans="1:1">
      <c r="A8384" s="35" t="s">
        <v>41057</v>
      </c>
    </row>
    <row r="8385" spans="1:1">
      <c r="A8385" s="35" t="s">
        <v>54478</v>
      </c>
    </row>
    <row r="8386" spans="1:1">
      <c r="A8386" s="35" t="s">
        <v>41057</v>
      </c>
    </row>
    <row r="8387" spans="1:1">
      <c r="A8387" s="35" t="s">
        <v>41057</v>
      </c>
    </row>
    <row r="8388" spans="1:1">
      <c r="A8388" s="35" t="s">
        <v>41057</v>
      </c>
    </row>
    <row r="8389" spans="1:1">
      <c r="A8389" s="35" t="s">
        <v>54097</v>
      </c>
    </row>
    <row r="8390" spans="1:1">
      <c r="A8390" s="35" t="s">
        <v>55603</v>
      </c>
    </row>
    <row r="8391" spans="1:1">
      <c r="A8391" s="35" t="s">
        <v>55604</v>
      </c>
    </row>
    <row r="8392" spans="1:1">
      <c r="A8392" s="35" t="s">
        <v>55321</v>
      </c>
    </row>
    <row r="8393" spans="1:1">
      <c r="A8393" s="35" t="s">
        <v>41057</v>
      </c>
    </row>
    <row r="8394" spans="1:1">
      <c r="A8394" s="35" t="s">
        <v>41057</v>
      </c>
    </row>
    <row r="8395" spans="1:1">
      <c r="A8395" s="35" t="e" cm="1">
        <f t="array" ref="A8395">---------------QITF------------------FKA-------------------V</f>
        <v>#NAME?</v>
      </c>
    </row>
    <row r="8396" spans="1:1">
      <c r="A8396" s="35" t="s">
        <v>53901</v>
      </c>
    </row>
    <row r="8397" spans="1:1">
      <c r="A8397" s="35" t="s">
        <v>55605</v>
      </c>
    </row>
    <row r="8398" spans="1:1">
      <c r="A8398" s="35" t="s">
        <v>41057</v>
      </c>
    </row>
    <row r="8399" spans="1:1">
      <c r="A8399" s="35" t="s">
        <v>55606</v>
      </c>
    </row>
    <row r="8400" spans="1:1">
      <c r="A8400" s="35" t="s">
        <v>41057</v>
      </c>
    </row>
    <row r="8401" spans="1:1">
      <c r="A8401" s="35" t="s">
        <v>41057</v>
      </c>
    </row>
    <row r="8402" spans="1:1">
      <c r="A8402" s="35" t="s">
        <v>55607</v>
      </c>
    </row>
    <row r="8403" spans="1:1">
      <c r="A8403" s="35" t="s">
        <v>41057</v>
      </c>
    </row>
    <row r="8404" spans="1:1">
      <c r="A8404" s="35" t="s">
        <v>41057</v>
      </c>
    </row>
    <row r="8405" spans="1:1">
      <c r="A8405" s="35" t="s">
        <v>55207</v>
      </c>
    </row>
    <row r="8406" spans="1:1">
      <c r="A8406" s="35" t="s">
        <v>41057</v>
      </c>
    </row>
    <row r="8407" spans="1:1">
      <c r="A8407" s="35" t="s">
        <v>41057</v>
      </c>
    </row>
    <row r="8408" spans="1:1">
      <c r="A8408" s="35" t="s">
        <v>55608</v>
      </c>
    </row>
    <row r="8409" spans="1:1">
      <c r="A8409" s="35" t="s">
        <v>41057</v>
      </c>
    </row>
    <row r="8410" spans="1:1">
      <c r="A8410" s="35" t="s">
        <v>55609</v>
      </c>
    </row>
    <row r="8411" spans="1:1">
      <c r="A8411" s="35" t="s">
        <v>41057</v>
      </c>
    </row>
    <row r="8412" spans="1:1">
      <c r="A8412" s="35" t="s">
        <v>55610</v>
      </c>
    </row>
    <row r="8413" spans="1:1">
      <c r="A8413" s="35" t="s">
        <v>55611</v>
      </c>
    </row>
    <row r="8414" spans="1:1">
      <c r="A8414" s="35" t="s">
        <v>41057</v>
      </c>
    </row>
    <row r="8415" spans="1:1">
      <c r="A8415" s="35" t="s">
        <v>41057</v>
      </c>
    </row>
    <row r="8416" spans="1:1">
      <c r="A8416" s="35" t="s">
        <v>55612</v>
      </c>
    </row>
    <row r="8417" spans="1:1">
      <c r="A8417" s="35" t="s">
        <v>41057</v>
      </c>
    </row>
    <row r="8418" spans="1:1">
      <c r="A8418" s="35" t="s">
        <v>41057</v>
      </c>
    </row>
    <row r="8419" spans="1:1">
      <c r="A8419" s="35" t="s">
        <v>41057</v>
      </c>
    </row>
    <row r="8420" spans="1:1">
      <c r="A8420" s="35" t="s">
        <v>41057</v>
      </c>
    </row>
    <row r="8421" spans="1:1">
      <c r="A8421" s="35" t="s">
        <v>41057</v>
      </c>
    </row>
    <row r="8422" spans="1:1">
      <c r="A8422" s="35" t="s">
        <v>55613</v>
      </c>
    </row>
    <row r="8423" spans="1:1">
      <c r="A8423" s="35" t="s">
        <v>55614</v>
      </c>
    </row>
    <row r="8424" spans="1:1">
      <c r="A8424" s="35" t="s">
        <v>55615</v>
      </c>
    </row>
    <row r="8425" spans="1:1">
      <c r="A8425" s="35" t="s">
        <v>55616</v>
      </c>
    </row>
    <row r="8426" spans="1:1">
      <c r="A8426" s="35" t="s">
        <v>41057</v>
      </c>
    </row>
    <row r="8427" spans="1:1">
      <c r="A8427" s="35" t="s">
        <v>41057</v>
      </c>
    </row>
    <row r="8428" spans="1:1">
      <c r="A8428" s="35" t="s">
        <v>41057</v>
      </c>
    </row>
    <row r="8429" spans="1:1">
      <c r="A8429" s="35" t="s">
        <v>41057</v>
      </c>
    </row>
    <row r="8430" spans="1:1">
      <c r="A8430" s="35" t="s">
        <v>41057</v>
      </c>
    </row>
    <row r="8431" spans="1:1">
      <c r="A8431" s="35" t="s">
        <v>41057</v>
      </c>
    </row>
    <row r="8432" spans="1:1">
      <c r="A8432" s="35" t="s">
        <v>55617</v>
      </c>
    </row>
    <row r="8433" spans="1:1">
      <c r="A8433" s="35" t="s">
        <v>41057</v>
      </c>
    </row>
    <row r="8434" spans="1:1">
      <c r="A8434" s="35" t="s">
        <v>55618</v>
      </c>
    </row>
    <row r="8435" spans="1:1">
      <c r="A8435" s="35" t="s">
        <v>41057</v>
      </c>
    </row>
    <row r="8436" spans="1:1">
      <c r="A8436" s="35" t="s">
        <v>41057</v>
      </c>
    </row>
    <row r="8437" spans="1:1">
      <c r="A8437" s="35" t="s">
        <v>41057</v>
      </c>
    </row>
    <row r="8438" spans="1:1">
      <c r="A8438" s="35" t="s">
        <v>55619</v>
      </c>
    </row>
    <row r="8439" spans="1:1">
      <c r="A8439" s="35" t="s">
        <v>41057</v>
      </c>
    </row>
    <row r="8440" spans="1:1">
      <c r="A8440" s="35" t="s">
        <v>41057</v>
      </c>
    </row>
    <row r="8441" spans="1:1">
      <c r="A8441" s="35" t="e" cm="1">
        <f t="array" ref="A8441">----------------S----------------------------ARQLLSDYISNNQDV</f>
        <v>#NAME?</v>
      </c>
    </row>
    <row r="8442" spans="1:1">
      <c r="A8442" s="35" t="s">
        <v>55620</v>
      </c>
    </row>
    <row r="8443" spans="1:1">
      <c r="A8443" s="35" t="s">
        <v>55621</v>
      </c>
    </row>
    <row r="8444" spans="1:1">
      <c r="A8444" s="35" t="s">
        <v>55622</v>
      </c>
    </row>
    <row r="8445" spans="1:1">
      <c r="A8445" s="35" t="s">
        <v>55623</v>
      </c>
    </row>
    <row r="8446" spans="1:1">
      <c r="A8446" s="35" t="s">
        <v>41057</v>
      </c>
    </row>
    <row r="8447" spans="1:1">
      <c r="A8447" s="35" t="s">
        <v>55624</v>
      </c>
    </row>
    <row r="8448" spans="1:1">
      <c r="A8448" s="35" t="s">
        <v>55625</v>
      </c>
    </row>
    <row r="8449" spans="1:1">
      <c r="A8449" s="35" t="e" cm="1">
        <f t="array" ref="A8449">-------------------------------------------SERYKFAWVEEL---GH</f>
        <v>#NAME?</v>
      </c>
    </row>
    <row r="8450" spans="1:1">
      <c r="A8450" s="35" t="s">
        <v>55626</v>
      </c>
    </row>
    <row r="8451" spans="1:1">
      <c r="A8451" s="35" t="s">
        <v>55627</v>
      </c>
    </row>
    <row r="8452" spans="1:1">
      <c r="A8452" s="35" t="s">
        <v>55628</v>
      </c>
    </row>
    <row r="8453" spans="1:1">
      <c r="A8453" s="35" t="s">
        <v>55629</v>
      </c>
    </row>
    <row r="8454" spans="1:1">
      <c r="A8454" s="35" t="s">
        <v>41057</v>
      </c>
    </row>
    <row r="8455" spans="1:1">
      <c r="A8455" s="35" t="s">
        <v>55630</v>
      </c>
    </row>
    <row r="8456" spans="1:1">
      <c r="A8456" s="35" t="s">
        <v>41057</v>
      </c>
    </row>
    <row r="8457" spans="1:1">
      <c r="A8457" s="35" t="s">
        <v>54451</v>
      </c>
    </row>
    <row r="8458" spans="1:1">
      <c r="A8458" s="35" t="s">
        <v>55631</v>
      </c>
    </row>
    <row r="8459" spans="1:1">
      <c r="A8459" s="35" t="s">
        <v>55632</v>
      </c>
    </row>
    <row r="8460" spans="1:1">
      <c r="A8460" s="35" t="s">
        <v>41057</v>
      </c>
    </row>
    <row r="8461" spans="1:1">
      <c r="A8461" s="35" t="s">
        <v>41057</v>
      </c>
    </row>
    <row r="8462" spans="1:1">
      <c r="A8462" s="35" t="s">
        <v>41057</v>
      </c>
    </row>
    <row r="8463" spans="1:1">
      <c r="A8463" s="35" t="s">
        <v>55633</v>
      </c>
    </row>
    <row r="8464" spans="1:1">
      <c r="A8464" s="35" t="s">
        <v>41057</v>
      </c>
    </row>
    <row r="8465" spans="1:1">
      <c r="A8465" s="35" t="s">
        <v>55634</v>
      </c>
    </row>
    <row r="8466" spans="1:1">
      <c r="A8466" s="35" t="s">
        <v>41057</v>
      </c>
    </row>
    <row r="8467" spans="1:1">
      <c r="A8467" s="35" t="s">
        <v>55635</v>
      </c>
    </row>
    <row r="8468" spans="1:1">
      <c r="A8468" s="35" t="s">
        <v>55636</v>
      </c>
    </row>
    <row r="8469" spans="1:1">
      <c r="A8469" s="35" t="s">
        <v>55637</v>
      </c>
    </row>
    <row r="8470" spans="1:1">
      <c r="A8470" s="35" t="s">
        <v>41057</v>
      </c>
    </row>
    <row r="8471" spans="1:1">
      <c r="A8471" s="35" t="s">
        <v>41057</v>
      </c>
    </row>
    <row r="8472" spans="1:1">
      <c r="A8472" s="35" t="s">
        <v>41057</v>
      </c>
    </row>
    <row r="8473" spans="1:1">
      <c r="A8473" s="35" t="s">
        <v>55638</v>
      </c>
    </row>
    <row r="8474" spans="1:1">
      <c r="A8474" s="35" t="s">
        <v>41057</v>
      </c>
    </row>
    <row r="8475" spans="1:1">
      <c r="A8475" s="35" t="s">
        <v>55639</v>
      </c>
    </row>
    <row r="8476" spans="1:1">
      <c r="A8476" s="35" t="s">
        <v>41057</v>
      </c>
    </row>
    <row r="8477" spans="1:1">
      <c r="A8477" s="35" t="s">
        <v>55640</v>
      </c>
    </row>
    <row r="8478" spans="1:1">
      <c r="A8478" s="35" t="s">
        <v>41057</v>
      </c>
    </row>
    <row r="8479" spans="1:1">
      <c r="A8479" s="35" t="s">
        <v>55641</v>
      </c>
    </row>
    <row r="8480" spans="1:1">
      <c r="A8480" s="35" t="s">
        <v>41057</v>
      </c>
    </row>
    <row r="8481" spans="1:1">
      <c r="A8481" s="35" t="s">
        <v>41057</v>
      </c>
    </row>
    <row r="8482" spans="1:1">
      <c r="A8482" s="35" t="s">
        <v>41057</v>
      </c>
    </row>
    <row r="8483" spans="1:1">
      <c r="A8483" s="35" t="s">
        <v>41057</v>
      </c>
    </row>
    <row r="8484" spans="1:1">
      <c r="A8484" s="35" t="e" cm="1">
        <f t="array" ref="A8484">------------------------------------------------GIDGSISPIDMA</f>
        <v>#NAME?</v>
      </c>
    </row>
    <row r="8485" spans="1:1">
      <c r="A8485" s="35" t="s">
        <v>55642</v>
      </c>
    </row>
    <row r="8486" spans="1:1">
      <c r="A8486" s="35" t="s">
        <v>55643</v>
      </c>
    </row>
    <row r="8487" spans="1:1">
      <c r="A8487" s="35" t="s">
        <v>55644</v>
      </c>
    </row>
    <row r="8488" spans="1:1">
      <c r="A8488" s="35" t="s">
        <v>55645</v>
      </c>
    </row>
    <row r="8489" spans="1:1">
      <c r="A8489" s="35" t="s">
        <v>55646</v>
      </c>
    </row>
    <row r="8490" spans="1:1">
      <c r="A8490" s="35" t="s">
        <v>55647</v>
      </c>
    </row>
    <row r="8491" spans="1:1">
      <c r="A8491" s="35" t="e" cm="1">
        <f t="array" ref="A8491">---------------------------------------------------------VNI</f>
        <v>#NAME?</v>
      </c>
    </row>
    <row r="8492" spans="1:1">
      <c r="A8492" s="35" t="s">
        <v>55648</v>
      </c>
    </row>
    <row r="8493" spans="1:1">
      <c r="A8493" s="35" t="s">
        <v>55649</v>
      </c>
    </row>
    <row r="8494" spans="1:1">
      <c r="A8494" s="35" t="s">
        <v>55650</v>
      </c>
    </row>
    <row r="8495" spans="1:1">
      <c r="A8495" s="35" t="s">
        <v>41057</v>
      </c>
    </row>
    <row r="8496" spans="1:1">
      <c r="A8496" s="35" t="s">
        <v>53545</v>
      </c>
    </row>
    <row r="8497" spans="1:1">
      <c r="A8497" s="35" t="s">
        <v>55651</v>
      </c>
    </row>
    <row r="8498" spans="1:1">
      <c r="A8498" s="35" t="s">
        <v>41057</v>
      </c>
    </row>
    <row r="8499" spans="1:1">
      <c r="A8499" s="35" t="s">
        <v>41057</v>
      </c>
    </row>
    <row r="8500" spans="1:1">
      <c r="A8500" s="35" t="s">
        <v>41057</v>
      </c>
    </row>
    <row r="8501" spans="1:1">
      <c r="A8501" s="35" t="s">
        <v>41057</v>
      </c>
    </row>
    <row r="8502" spans="1:1">
      <c r="A8502" s="35" t="s">
        <v>55652</v>
      </c>
    </row>
    <row r="8503" spans="1:1">
      <c r="A8503" s="35" t="s">
        <v>54096</v>
      </c>
    </row>
    <row r="8504" spans="1:1">
      <c r="A8504" s="35" t="s">
        <v>41057</v>
      </c>
    </row>
    <row r="8505" spans="1:1">
      <c r="A8505" s="35" t="s">
        <v>41057</v>
      </c>
    </row>
    <row r="8506" spans="1:1">
      <c r="A8506" s="35" t="s">
        <v>41057</v>
      </c>
    </row>
    <row r="8507" spans="1:1">
      <c r="A8507" s="35" t="s">
        <v>54344</v>
      </c>
    </row>
    <row r="8508" spans="1:1">
      <c r="A8508" s="35" t="s">
        <v>55653</v>
      </c>
    </row>
    <row r="8509" spans="1:1">
      <c r="A8509" s="35" t="s">
        <v>55654</v>
      </c>
    </row>
    <row r="8510" spans="1:1">
      <c r="A8510" s="35" t="s">
        <v>53710</v>
      </c>
    </row>
    <row r="8511" spans="1:1">
      <c r="A8511" s="35" t="s">
        <v>41057</v>
      </c>
    </row>
    <row r="8512" spans="1:1">
      <c r="A8512" s="35" t="s">
        <v>41057</v>
      </c>
    </row>
    <row r="8513" spans="1:1">
      <c r="A8513" s="35" t="e" cm="1">
        <f t="array" ref="A8513">---------------QITF------------------FKT-------------------I</f>
        <v>#NAME?</v>
      </c>
    </row>
    <row r="8514" spans="1:1">
      <c r="A8514" s="35" t="s">
        <v>54288</v>
      </c>
    </row>
    <row r="8515" spans="1:1">
      <c r="A8515" s="35" t="s">
        <v>54216</v>
      </c>
    </row>
    <row r="8516" spans="1:1">
      <c r="A8516" s="35" t="s">
        <v>41057</v>
      </c>
    </row>
    <row r="8517" spans="1:1">
      <c r="A8517" s="35" t="s">
        <v>55655</v>
      </c>
    </row>
    <row r="8518" spans="1:1">
      <c r="A8518" s="35" t="s">
        <v>41057</v>
      </c>
    </row>
    <row r="8519" spans="1:1">
      <c r="A8519" s="35" t="s">
        <v>41057</v>
      </c>
    </row>
    <row r="8520" spans="1:1">
      <c r="A8520" s="35" t="s">
        <v>54766</v>
      </c>
    </row>
    <row r="8521" spans="1:1">
      <c r="A8521" s="35" t="s">
        <v>41057</v>
      </c>
    </row>
    <row r="8522" spans="1:1">
      <c r="A8522" s="35" t="s">
        <v>41057</v>
      </c>
    </row>
    <row r="8523" spans="1:1">
      <c r="A8523" s="35" t="s">
        <v>53500</v>
      </c>
    </row>
    <row r="8524" spans="1:1">
      <c r="A8524" s="35" t="s">
        <v>41057</v>
      </c>
    </row>
    <row r="8525" spans="1:1">
      <c r="A8525" s="35" t="s">
        <v>41057</v>
      </c>
    </row>
    <row r="8526" spans="1:1">
      <c r="A8526" s="35" t="s">
        <v>55656</v>
      </c>
    </row>
    <row r="8527" spans="1:1">
      <c r="A8527" s="35" t="s">
        <v>41057</v>
      </c>
    </row>
    <row r="8528" spans="1:1">
      <c r="A8528" s="35" t="s">
        <v>55657</v>
      </c>
    </row>
    <row r="8529" spans="1:1">
      <c r="A8529" s="35" t="s">
        <v>41057</v>
      </c>
    </row>
    <row r="8530" spans="1:1">
      <c r="A8530" s="35" t="s">
        <v>55658</v>
      </c>
    </row>
    <row r="8531" spans="1:1">
      <c r="A8531" s="35" t="s">
        <v>55659</v>
      </c>
    </row>
    <row r="8532" spans="1:1">
      <c r="A8532" s="35" t="s">
        <v>41057</v>
      </c>
    </row>
    <row r="8533" spans="1:1">
      <c r="A8533" s="35" t="s">
        <v>41057</v>
      </c>
    </row>
    <row r="8534" spans="1:1">
      <c r="A8534" s="35" t="s">
        <v>55660</v>
      </c>
    </row>
    <row r="8535" spans="1:1">
      <c r="A8535" s="35" t="s">
        <v>41057</v>
      </c>
    </row>
    <row r="8536" spans="1:1">
      <c r="A8536" s="35" t="s">
        <v>41057</v>
      </c>
    </row>
    <row r="8537" spans="1:1">
      <c r="A8537" s="35" t="s">
        <v>41057</v>
      </c>
    </row>
    <row r="8538" spans="1:1">
      <c r="A8538" s="35" t="s">
        <v>41057</v>
      </c>
    </row>
    <row r="8539" spans="1:1">
      <c r="A8539" s="35" t="s">
        <v>41057</v>
      </c>
    </row>
    <row r="8540" spans="1:1">
      <c r="A8540" s="35" t="s">
        <v>55661</v>
      </c>
    </row>
    <row r="8541" spans="1:1">
      <c r="A8541" s="35" t="s">
        <v>41057</v>
      </c>
    </row>
    <row r="8542" spans="1:1">
      <c r="A8542" s="35" t="s">
        <v>41057</v>
      </c>
    </row>
    <row r="8543" spans="1:1">
      <c r="A8543" s="35" t="s">
        <v>41057</v>
      </c>
    </row>
    <row r="8544" spans="1:1">
      <c r="A8544" s="35" t="s">
        <v>41057</v>
      </c>
    </row>
    <row r="8545" spans="1:1">
      <c r="A8545" s="35" t="s">
        <v>41057</v>
      </c>
    </row>
    <row r="8546" spans="1:1">
      <c r="A8546" s="35" t="s">
        <v>41057</v>
      </c>
    </row>
    <row r="8547" spans="1:1">
      <c r="A8547" s="35" t="s">
        <v>41057</v>
      </c>
    </row>
    <row r="8548" spans="1:1">
      <c r="A8548" s="35" t="s">
        <v>41057</v>
      </c>
    </row>
    <row r="8549" spans="1:1">
      <c r="A8549" s="35" t="s">
        <v>41057</v>
      </c>
    </row>
    <row r="8550" spans="1:1">
      <c r="A8550" s="35" t="s">
        <v>41057</v>
      </c>
    </row>
    <row r="8551" spans="1:1">
      <c r="A8551" s="35" t="s">
        <v>41057</v>
      </c>
    </row>
    <row r="8552" spans="1:1">
      <c r="A8552" s="35" t="s">
        <v>41057</v>
      </c>
    </row>
    <row r="8553" spans="1:1">
      <c r="A8553" s="35" t="s">
        <v>41057</v>
      </c>
    </row>
    <row r="8554" spans="1:1">
      <c r="A8554" s="35" t="s">
        <v>41057</v>
      </c>
    </row>
    <row r="8555" spans="1:1">
      <c r="A8555" s="35" t="s">
        <v>41057</v>
      </c>
    </row>
    <row r="8556" spans="1:1">
      <c r="A8556" s="35" t="s">
        <v>55662</v>
      </c>
    </row>
    <row r="8557" spans="1:1">
      <c r="A8557" s="35" t="s">
        <v>41057</v>
      </c>
    </row>
    <row r="8558" spans="1:1">
      <c r="A8558" s="35" t="s">
        <v>41057</v>
      </c>
    </row>
    <row r="8559" spans="1:1">
      <c r="A8559" s="35" t="s">
        <v>55663</v>
      </c>
    </row>
    <row r="8560" spans="1:1">
      <c r="A8560" s="35" t="s">
        <v>41057</v>
      </c>
    </row>
    <row r="8561" spans="1:1">
      <c r="A8561" s="35" t="s">
        <v>41057</v>
      </c>
    </row>
    <row r="8562" spans="1:1">
      <c r="A8562" s="35" t="s">
        <v>41057</v>
      </c>
    </row>
    <row r="8563" spans="1:1">
      <c r="A8563" s="35" t="s">
        <v>41057</v>
      </c>
    </row>
    <row r="8564" spans="1:1">
      <c r="A8564" s="35" t="s">
        <v>41057</v>
      </c>
    </row>
    <row r="8565" spans="1:1">
      <c r="A8565" s="35" t="s">
        <v>41057</v>
      </c>
    </row>
    <row r="8566" spans="1:1">
      <c r="A8566" s="35" t="s">
        <v>41057</v>
      </c>
    </row>
    <row r="8567" spans="1:1">
      <c r="A8567" s="35" t="s">
        <v>41057</v>
      </c>
    </row>
    <row r="8568" spans="1:1">
      <c r="A8568" s="35" t="s">
        <v>41057</v>
      </c>
    </row>
    <row r="8569" spans="1:1">
      <c r="A8569" s="35" t="s">
        <v>41057</v>
      </c>
    </row>
    <row r="8570" spans="1:1">
      <c r="A8570" s="35" t="s">
        <v>41057</v>
      </c>
    </row>
    <row r="8571" spans="1:1">
      <c r="A8571" s="35" t="s">
        <v>55664</v>
      </c>
    </row>
    <row r="8572" spans="1:1">
      <c r="A8572" s="35" t="s">
        <v>41057</v>
      </c>
    </row>
    <row r="8573" spans="1:1">
      <c r="A8573" s="35" t="s">
        <v>55665</v>
      </c>
    </row>
    <row r="8574" spans="1:1">
      <c r="A8574" s="35" t="s">
        <v>41057</v>
      </c>
    </row>
    <row r="8575" spans="1:1">
      <c r="A8575" s="35" t="s">
        <v>41057</v>
      </c>
    </row>
    <row r="8576" spans="1:1">
      <c r="A8576" s="35" t="s">
        <v>41057</v>
      </c>
    </row>
    <row r="8577" spans="1:1">
      <c r="A8577" s="35" t="s">
        <v>41057</v>
      </c>
    </row>
    <row r="8578" spans="1:1">
      <c r="A8578" s="35" t="s">
        <v>41057</v>
      </c>
    </row>
    <row r="8579" spans="1:1">
      <c r="A8579" s="35" t="s">
        <v>41057</v>
      </c>
    </row>
    <row r="8580" spans="1:1">
      <c r="A8580" s="35" t="s">
        <v>41057</v>
      </c>
    </row>
    <row r="8581" spans="1:1">
      <c r="A8581" s="35" t="s">
        <v>41057</v>
      </c>
    </row>
    <row r="8582" spans="1:1">
      <c r="A8582" s="35" t="s">
        <v>41057</v>
      </c>
    </row>
    <row r="8583" spans="1:1">
      <c r="A8583" s="35" t="s">
        <v>41057</v>
      </c>
    </row>
    <row r="8584" spans="1:1">
      <c r="A8584" s="35" t="s">
        <v>41057</v>
      </c>
    </row>
    <row r="8585" spans="1:1">
      <c r="A8585" s="35" t="s">
        <v>41057</v>
      </c>
    </row>
    <row r="8586" spans="1:1">
      <c r="A8586" s="35" t="s">
        <v>41057</v>
      </c>
    </row>
    <row r="8587" spans="1:1">
      <c r="A8587" s="35" t="s">
        <v>41057</v>
      </c>
    </row>
    <row r="8588" spans="1:1">
      <c r="A8588" s="35" t="s">
        <v>41057</v>
      </c>
    </row>
    <row r="8589" spans="1:1">
      <c r="A8589" s="35" t="s">
        <v>41057</v>
      </c>
    </row>
    <row r="8590" spans="1:1">
      <c r="A8590" s="35" t="s">
        <v>41057</v>
      </c>
    </row>
    <row r="8591" spans="1:1">
      <c r="A8591" s="35" t="s">
        <v>55594</v>
      </c>
    </row>
    <row r="8592" spans="1:1">
      <c r="A8592" s="35" t="s">
        <v>41057</v>
      </c>
    </row>
    <row r="8593" spans="1:1">
      <c r="A8593" s="35" t="s">
        <v>55666</v>
      </c>
    </row>
    <row r="8594" spans="1:1">
      <c r="A8594" s="35" t="s">
        <v>41057</v>
      </c>
    </row>
    <row r="8595" spans="1:1">
      <c r="A8595" s="35" t="s">
        <v>55667</v>
      </c>
    </row>
    <row r="8596" spans="1:1">
      <c r="A8596" s="35" t="s">
        <v>41057</v>
      </c>
    </row>
    <row r="8597" spans="1:1">
      <c r="A8597" s="35" t="s">
        <v>41057</v>
      </c>
    </row>
    <row r="8598" spans="1:1">
      <c r="A8598" s="35" t="s">
        <v>41057</v>
      </c>
    </row>
    <row r="8599" spans="1:1">
      <c r="A8599" s="35" t="s">
        <v>41057</v>
      </c>
    </row>
    <row r="8600" spans="1:1">
      <c r="A8600" s="35" t="s">
        <v>41057</v>
      </c>
    </row>
    <row r="8601" spans="1:1">
      <c r="A8601" s="35" t="s">
        <v>41057</v>
      </c>
    </row>
    <row r="8602" spans="1:1">
      <c r="A8602" s="35" t="e" cm="1">
        <f t="array" ref="A8602">-----------------------------------------------------------S</f>
        <v>#NAME?</v>
      </c>
    </row>
    <row r="8603" spans="1:1">
      <c r="A8603" s="35" t="s">
        <v>55668</v>
      </c>
    </row>
    <row r="8604" spans="1:1">
      <c r="A8604" s="35" t="s">
        <v>41057</v>
      </c>
    </row>
    <row r="8605" spans="1:1">
      <c r="A8605" s="35" t="s">
        <v>55669</v>
      </c>
    </row>
    <row r="8606" spans="1:1">
      <c r="A8606" s="35" t="s">
        <v>55670</v>
      </c>
    </row>
    <row r="8607" spans="1:1">
      <c r="A8607" s="35" t="s">
        <v>41057</v>
      </c>
    </row>
    <row r="8608" spans="1:1">
      <c r="A8608" s="35" t="s">
        <v>41057</v>
      </c>
    </row>
    <row r="8609" spans="1:1">
      <c r="A8609" s="35" t="s">
        <v>41057</v>
      </c>
    </row>
    <row r="8610" spans="1:1">
      <c r="A8610" s="35" t="s">
        <v>41057</v>
      </c>
    </row>
    <row r="8611" spans="1:1">
      <c r="A8611" s="35" t="s">
        <v>41057</v>
      </c>
    </row>
    <row r="8612" spans="1:1">
      <c r="A8612" s="35" t="s">
        <v>41057</v>
      </c>
    </row>
    <row r="8613" spans="1:1">
      <c r="A8613" s="35" t="s">
        <v>41057</v>
      </c>
    </row>
    <row r="8614" spans="1:1">
      <c r="A8614" s="35" t="s">
        <v>53545</v>
      </c>
    </row>
    <row r="8615" spans="1:1">
      <c r="A8615" s="35" t="s">
        <v>55671</v>
      </c>
    </row>
    <row r="8616" spans="1:1">
      <c r="A8616" s="35" t="s">
        <v>41057</v>
      </c>
    </row>
    <row r="8617" spans="1:1">
      <c r="A8617" s="35" t="s">
        <v>41057</v>
      </c>
    </row>
    <row r="8618" spans="1:1">
      <c r="A8618" s="35" t="s">
        <v>41057</v>
      </c>
    </row>
    <row r="8619" spans="1:1">
      <c r="A8619" s="35" t="s">
        <v>41057</v>
      </c>
    </row>
    <row r="8620" spans="1:1">
      <c r="A8620" s="35" t="s">
        <v>41057</v>
      </c>
    </row>
    <row r="8621" spans="1:1">
      <c r="A8621" s="35" t="s">
        <v>41057</v>
      </c>
    </row>
    <row r="8622" spans="1:1">
      <c r="A8622" s="35" t="s">
        <v>41057</v>
      </c>
    </row>
    <row r="8623" spans="1:1">
      <c r="A8623" s="35" t="s">
        <v>41057</v>
      </c>
    </row>
    <row r="8624" spans="1:1">
      <c r="A8624" s="35" t="s">
        <v>41057</v>
      </c>
    </row>
    <row r="8625" spans="1:1">
      <c r="A8625" s="35" t="s">
        <v>41057</v>
      </c>
    </row>
    <row r="8626" spans="1:1">
      <c r="A8626" s="35" t="s">
        <v>41057</v>
      </c>
    </row>
    <row r="8627" spans="1:1">
      <c r="A8627" s="35" t="s">
        <v>41057</v>
      </c>
    </row>
    <row r="8628" spans="1:1">
      <c r="A8628" s="35" t="s">
        <v>41057</v>
      </c>
    </row>
    <row r="8629" spans="1:1">
      <c r="A8629" s="35" t="s">
        <v>41057</v>
      </c>
    </row>
    <row r="8630" spans="1:1">
      <c r="A8630" s="35" t="s">
        <v>41057</v>
      </c>
    </row>
    <row r="8631" spans="1:1">
      <c r="A8631" s="35" t="s">
        <v>41057</v>
      </c>
    </row>
    <row r="8632" spans="1:1">
      <c r="A8632" s="35" t="s">
        <v>41057</v>
      </c>
    </row>
    <row r="8633" spans="1:1">
      <c r="A8633" s="35" t="s">
        <v>41057</v>
      </c>
    </row>
    <row r="8634" spans="1:1">
      <c r="A8634" s="35" t="s">
        <v>41057</v>
      </c>
    </row>
    <row r="8635" spans="1:1">
      <c r="A8635" s="35" t="s">
        <v>41057</v>
      </c>
    </row>
    <row r="8636" spans="1:1">
      <c r="A8636" s="35" t="s">
        <v>41057</v>
      </c>
    </row>
    <row r="8637" spans="1:1">
      <c r="A8637" s="35" t="s">
        <v>41057</v>
      </c>
    </row>
    <row r="8638" spans="1:1">
      <c r="A8638" s="35" t="s">
        <v>41057</v>
      </c>
    </row>
    <row r="8639" spans="1:1">
      <c r="A8639" s="35" t="s">
        <v>41057</v>
      </c>
    </row>
    <row r="8640" spans="1:1">
      <c r="A8640" s="35" t="s">
        <v>41057</v>
      </c>
    </row>
    <row r="8641" spans="1:1">
      <c r="A8641" s="35" t="s">
        <v>41057</v>
      </c>
    </row>
    <row r="8642" spans="1:1">
      <c r="A8642" s="35" t="s">
        <v>41057</v>
      </c>
    </row>
    <row r="8643" spans="1:1">
      <c r="A8643" s="35" t="s">
        <v>41057</v>
      </c>
    </row>
    <row r="8644" spans="1:1">
      <c r="A8644" s="35" t="s">
        <v>41057</v>
      </c>
    </row>
    <row r="8645" spans="1:1">
      <c r="A8645" s="35" t="s">
        <v>41057</v>
      </c>
    </row>
    <row r="8646" spans="1:1">
      <c r="A8646" s="35" t="s">
        <v>41057</v>
      </c>
    </row>
    <row r="8647" spans="1:1">
      <c r="A8647" s="35" t="s">
        <v>41057</v>
      </c>
    </row>
    <row r="8648" spans="1:1">
      <c r="A8648" s="35" t="s">
        <v>41057</v>
      </c>
    </row>
    <row r="8649" spans="1:1">
      <c r="A8649" s="35" t="s">
        <v>41057</v>
      </c>
    </row>
    <row r="8650" spans="1:1">
      <c r="A8650" s="35" t="s">
        <v>41057</v>
      </c>
    </row>
    <row r="8651" spans="1:1">
      <c r="A8651" s="35" t="s">
        <v>41057</v>
      </c>
    </row>
    <row r="8652" spans="1:1">
      <c r="A8652" s="35" t="s">
        <v>41057</v>
      </c>
    </row>
    <row r="8653" spans="1:1">
      <c r="A8653" s="35" t="s">
        <v>41057</v>
      </c>
    </row>
    <row r="8654" spans="1:1">
      <c r="A8654" s="35" t="s">
        <v>41057</v>
      </c>
    </row>
    <row r="8655" spans="1:1">
      <c r="A8655" s="35" t="e" cm="1">
        <f t="array" ref="A8655">-------QKIPII----------------------------------------------P</f>
        <v>#NAME?</v>
      </c>
    </row>
    <row r="8656" spans="1:1">
      <c r="A8656" s="35" t="s">
        <v>55672</v>
      </c>
    </row>
    <row r="8657" spans="1:1">
      <c r="A8657" s="35" t="s">
        <v>55673</v>
      </c>
    </row>
    <row r="8658" spans="1:1">
      <c r="A8658" s="35" t="s">
        <v>55674</v>
      </c>
    </row>
    <row r="8659" spans="1:1">
      <c r="A8659" s="35" t="s">
        <v>41057</v>
      </c>
    </row>
    <row r="8660" spans="1:1">
      <c r="A8660" s="35" t="s">
        <v>41057</v>
      </c>
    </row>
    <row r="8661" spans="1:1">
      <c r="A8661" s="35" t="s">
        <v>41057</v>
      </c>
    </row>
    <row r="8662" spans="1:1">
      <c r="A8662" s="35" t="s">
        <v>41057</v>
      </c>
    </row>
    <row r="8663" spans="1:1">
      <c r="A8663" s="35" t="s">
        <v>41057</v>
      </c>
    </row>
    <row r="8664" spans="1:1">
      <c r="A8664" s="35" t="s">
        <v>41057</v>
      </c>
    </row>
    <row r="8665" spans="1:1">
      <c r="A8665" s="35" t="s">
        <v>41057</v>
      </c>
    </row>
    <row r="8666" spans="1:1">
      <c r="A8666" s="35" t="s">
        <v>41057</v>
      </c>
    </row>
    <row r="8667" spans="1:1">
      <c r="A8667" s="35" t="s">
        <v>41057</v>
      </c>
    </row>
    <row r="8668" spans="1:1">
      <c r="A8668" s="35" t="s">
        <v>41057</v>
      </c>
    </row>
    <row r="8669" spans="1:1">
      <c r="A8669" s="35" t="s">
        <v>41057</v>
      </c>
    </row>
    <row r="8670" spans="1:1">
      <c r="A8670" s="35" t="s">
        <v>41057</v>
      </c>
    </row>
    <row r="8671" spans="1:1">
      <c r="A8671" s="35" t="s">
        <v>41057</v>
      </c>
    </row>
    <row r="8672" spans="1:1">
      <c r="A8672" s="35" t="s">
        <v>41057</v>
      </c>
    </row>
    <row r="8673" spans="1:1">
      <c r="A8673" s="35" t="s">
        <v>41057</v>
      </c>
    </row>
    <row r="8674" spans="1:1">
      <c r="A8674" s="35" t="s">
        <v>41057</v>
      </c>
    </row>
    <row r="8675" spans="1:1">
      <c r="A8675" s="35" t="s">
        <v>41057</v>
      </c>
    </row>
    <row r="8676" spans="1:1">
      <c r="A8676" s="35" t="s">
        <v>41057</v>
      </c>
    </row>
    <row r="8677" spans="1:1">
      <c r="A8677" s="35" t="s">
        <v>41057</v>
      </c>
    </row>
    <row r="8678" spans="1:1">
      <c r="A8678" s="35" t="s">
        <v>41057</v>
      </c>
    </row>
    <row r="8679" spans="1:1">
      <c r="A8679" s="35" t="s">
        <v>41057</v>
      </c>
    </row>
    <row r="8680" spans="1:1">
      <c r="A8680" s="35" t="s">
        <v>41057</v>
      </c>
    </row>
    <row r="8681" spans="1:1">
      <c r="A8681" s="35" t="s">
        <v>41057</v>
      </c>
    </row>
    <row r="8682" spans="1:1">
      <c r="A8682" s="35" t="s">
        <v>41057</v>
      </c>
    </row>
    <row r="8683" spans="1:1">
      <c r="A8683" s="35" t="s">
        <v>41057</v>
      </c>
    </row>
    <row r="8684" spans="1:1">
      <c r="A8684" s="35" t="s">
        <v>41057</v>
      </c>
    </row>
    <row r="8685" spans="1:1">
      <c r="A8685" s="35" t="s">
        <v>41057</v>
      </c>
    </row>
    <row r="8686" spans="1:1">
      <c r="A8686" s="35" t="s">
        <v>41057</v>
      </c>
    </row>
    <row r="8687" spans="1:1">
      <c r="A8687" s="35" t="s">
        <v>41057</v>
      </c>
    </row>
    <row r="8688" spans="1:1">
      <c r="A8688" s="35" t="s">
        <v>41057</v>
      </c>
    </row>
    <row r="8689" spans="1:1">
      <c r="A8689" s="35" t="s">
        <v>41057</v>
      </c>
    </row>
    <row r="8690" spans="1:1">
      <c r="A8690" s="35" t="s">
        <v>41057</v>
      </c>
    </row>
    <row r="8691" spans="1:1">
      <c r="A8691" s="35" t="s">
        <v>41057</v>
      </c>
    </row>
    <row r="8692" spans="1:1">
      <c r="A8692" s="35" t="s">
        <v>41057</v>
      </c>
    </row>
    <row r="8693" spans="1:1">
      <c r="A8693" s="35" t="s">
        <v>41057</v>
      </c>
    </row>
    <row r="8694" spans="1:1">
      <c r="A8694" s="35" t="s">
        <v>41057</v>
      </c>
    </row>
    <row r="8695" spans="1:1">
      <c r="A8695" s="35" t="s">
        <v>41057</v>
      </c>
    </row>
    <row r="8696" spans="1:1">
      <c r="A8696" s="35" t="s">
        <v>41057</v>
      </c>
    </row>
    <row r="8697" spans="1:1">
      <c r="A8697" s="35" t="s">
        <v>41057</v>
      </c>
    </row>
    <row r="8698" spans="1:1">
      <c r="A8698" s="35" t="s">
        <v>41057</v>
      </c>
    </row>
    <row r="8699" spans="1:1">
      <c r="A8699" s="35" t="s">
        <v>41057</v>
      </c>
    </row>
    <row r="8700" spans="1:1">
      <c r="A8700" s="35" t="s">
        <v>41057</v>
      </c>
    </row>
    <row r="8701" spans="1:1">
      <c r="A8701" s="35" t="s">
        <v>41057</v>
      </c>
    </row>
    <row r="8702" spans="1:1">
      <c r="A8702" s="35" t="s">
        <v>41057</v>
      </c>
    </row>
    <row r="8703" spans="1:1">
      <c r="A8703" s="35" t="s">
        <v>41057</v>
      </c>
    </row>
    <row r="8704" spans="1:1">
      <c r="A8704" s="35" t="s">
        <v>41057</v>
      </c>
    </row>
    <row r="8705" spans="1:1">
      <c r="A8705" s="35" t="s">
        <v>41057</v>
      </c>
    </row>
    <row r="8706" spans="1:1">
      <c r="A8706" s="35" t="s">
        <v>41057</v>
      </c>
    </row>
    <row r="8707" spans="1:1">
      <c r="A8707" s="35" t="s">
        <v>41057</v>
      </c>
    </row>
    <row r="8708" spans="1:1">
      <c r="A8708" s="35" t="s">
        <v>41057</v>
      </c>
    </row>
    <row r="8709" spans="1:1">
      <c r="A8709" s="35" t="s">
        <v>41057</v>
      </c>
    </row>
    <row r="8710" spans="1:1">
      <c r="A8710" s="35" t="s">
        <v>41057</v>
      </c>
    </row>
    <row r="8711" spans="1:1">
      <c r="A8711" s="35" t="s">
        <v>41057</v>
      </c>
    </row>
    <row r="8712" spans="1:1">
      <c r="A8712" s="35" t="s">
        <v>41057</v>
      </c>
    </row>
    <row r="8713" spans="1:1">
      <c r="A8713" s="35" t="s">
        <v>55675</v>
      </c>
    </row>
    <row r="8714" spans="1:1">
      <c r="A8714" s="35" t="s">
        <v>41057</v>
      </c>
    </row>
    <row r="8715" spans="1:1">
      <c r="A8715" s="35" t="s">
        <v>41057</v>
      </c>
    </row>
    <row r="8716" spans="1:1">
      <c r="A8716" s="35" t="s">
        <v>41057</v>
      </c>
    </row>
    <row r="8717" spans="1:1">
      <c r="A8717" s="35" t="s">
        <v>41057</v>
      </c>
    </row>
    <row r="8718" spans="1:1">
      <c r="A8718" s="35" t="s">
        <v>55676</v>
      </c>
    </row>
    <row r="8719" spans="1:1">
      <c r="A8719" s="35" t="s">
        <v>41057</v>
      </c>
    </row>
    <row r="8720" spans="1:1">
      <c r="A8720" s="35" t="s">
        <v>41057</v>
      </c>
    </row>
    <row r="8721" spans="1:1">
      <c r="A8721" s="35" t="s">
        <v>41057</v>
      </c>
    </row>
    <row r="8722" spans="1:1">
      <c r="A8722" s="35" t="s">
        <v>41057</v>
      </c>
    </row>
    <row r="8723" spans="1:1">
      <c r="A8723" s="35" t="s">
        <v>41057</v>
      </c>
    </row>
    <row r="8724" spans="1:1">
      <c r="A8724" s="35" t="s">
        <v>41057</v>
      </c>
    </row>
    <row r="8725" spans="1:1">
      <c r="A8725" s="35" t="s">
        <v>41057</v>
      </c>
    </row>
    <row r="8726" spans="1:1">
      <c r="A8726" s="35" t="s">
        <v>41057</v>
      </c>
    </row>
    <row r="8727" spans="1:1">
      <c r="A8727" s="35" t="s">
        <v>41057</v>
      </c>
    </row>
    <row r="8728" spans="1:1">
      <c r="A8728" s="35" t="s">
        <v>41057</v>
      </c>
    </row>
    <row r="8729" spans="1:1">
      <c r="A8729" s="35" t="s">
        <v>41057</v>
      </c>
    </row>
    <row r="8730" spans="1:1">
      <c r="A8730" s="35" t="s">
        <v>41057</v>
      </c>
    </row>
    <row r="8731" spans="1:1">
      <c r="A8731" s="35" t="s">
        <v>41057</v>
      </c>
    </row>
    <row r="8732" spans="1:1">
      <c r="A8732" s="35" t="s">
        <v>53545</v>
      </c>
    </row>
    <row r="8733" spans="1:1">
      <c r="A8733" s="35" t="s">
        <v>55677</v>
      </c>
    </row>
    <row r="8734" spans="1:1">
      <c r="A8734" s="35" t="s">
        <v>41057</v>
      </c>
    </row>
    <row r="8735" spans="1:1">
      <c r="A8735" s="35" t="s">
        <v>41057</v>
      </c>
    </row>
    <row r="8736" spans="1:1">
      <c r="A8736" s="35" t="s">
        <v>41057</v>
      </c>
    </row>
    <row r="8737" spans="1:1">
      <c r="A8737" s="35" t="s">
        <v>41057</v>
      </c>
    </row>
    <row r="8738" spans="1:1">
      <c r="A8738" s="35" t="s">
        <v>41057</v>
      </c>
    </row>
    <row r="8739" spans="1:1">
      <c r="A8739" s="35" t="s">
        <v>41057</v>
      </c>
    </row>
    <row r="8740" spans="1:1">
      <c r="A8740" s="35" t="s">
        <v>41057</v>
      </c>
    </row>
    <row r="8741" spans="1:1">
      <c r="A8741" s="35" t="s">
        <v>41057</v>
      </c>
    </row>
    <row r="8742" spans="1:1">
      <c r="A8742" s="35" t="s">
        <v>41057</v>
      </c>
    </row>
    <row r="8743" spans="1:1">
      <c r="A8743" s="35" t="s">
        <v>41057</v>
      </c>
    </row>
    <row r="8744" spans="1:1">
      <c r="A8744" s="35" t="s">
        <v>41057</v>
      </c>
    </row>
    <row r="8745" spans="1:1">
      <c r="A8745" s="35" t="s">
        <v>41057</v>
      </c>
    </row>
    <row r="8746" spans="1:1">
      <c r="A8746" s="35" t="s">
        <v>41057</v>
      </c>
    </row>
    <row r="8747" spans="1:1">
      <c r="A8747" s="35" t="s">
        <v>41057</v>
      </c>
    </row>
    <row r="8748" spans="1:1">
      <c r="A8748" s="35" t="s">
        <v>41057</v>
      </c>
    </row>
    <row r="8749" spans="1:1">
      <c r="A8749" s="35" t="s">
        <v>41057</v>
      </c>
    </row>
    <row r="8750" spans="1:1">
      <c r="A8750" s="35" t="s">
        <v>41057</v>
      </c>
    </row>
    <row r="8751" spans="1:1">
      <c r="A8751" s="35" t="s">
        <v>41057</v>
      </c>
    </row>
    <row r="8752" spans="1:1">
      <c r="A8752" s="35" t="s">
        <v>41057</v>
      </c>
    </row>
    <row r="8753" spans="1:1">
      <c r="A8753" s="35" t="s">
        <v>41057</v>
      </c>
    </row>
    <row r="8754" spans="1:1">
      <c r="A8754" s="35" t="s">
        <v>41057</v>
      </c>
    </row>
    <row r="8755" spans="1:1">
      <c r="A8755" s="35" t="s">
        <v>41057</v>
      </c>
    </row>
    <row r="8756" spans="1:1">
      <c r="A8756" s="35" t="s">
        <v>41057</v>
      </c>
    </row>
    <row r="8757" spans="1:1">
      <c r="A8757" s="35" t="s">
        <v>41057</v>
      </c>
    </row>
    <row r="8758" spans="1:1">
      <c r="A8758" s="35" t="s">
        <v>41057</v>
      </c>
    </row>
    <row r="8759" spans="1:1">
      <c r="A8759" s="35" t="s">
        <v>41057</v>
      </c>
    </row>
    <row r="8760" spans="1:1">
      <c r="A8760" s="35" t="s">
        <v>41057</v>
      </c>
    </row>
    <row r="8761" spans="1:1">
      <c r="A8761" s="35" t="s">
        <v>41057</v>
      </c>
    </row>
    <row r="8762" spans="1:1">
      <c r="A8762" s="35" t="s">
        <v>41057</v>
      </c>
    </row>
    <row r="8763" spans="1:1">
      <c r="A8763" s="35" t="s">
        <v>41057</v>
      </c>
    </row>
    <row r="8764" spans="1:1">
      <c r="A8764" s="35" t="s">
        <v>41057</v>
      </c>
    </row>
    <row r="8765" spans="1:1">
      <c r="A8765" s="35" t="s">
        <v>41057</v>
      </c>
    </row>
    <row r="8766" spans="1:1">
      <c r="A8766" s="35" t="s">
        <v>41057</v>
      </c>
    </row>
    <row r="8767" spans="1:1">
      <c r="A8767" s="35" t="s">
        <v>41057</v>
      </c>
    </row>
    <row r="8768" spans="1:1">
      <c r="A8768" s="35" t="s">
        <v>41057</v>
      </c>
    </row>
    <row r="8769" spans="1:1">
      <c r="A8769" s="35" t="s">
        <v>41057</v>
      </c>
    </row>
    <row r="8770" spans="1:1">
      <c r="A8770" s="35" t="s">
        <v>41057</v>
      </c>
    </row>
    <row r="8771" spans="1:1">
      <c r="A8771" s="35" t="s">
        <v>41057</v>
      </c>
    </row>
    <row r="8772" spans="1:1">
      <c r="A8772" s="35" t="s">
        <v>41057</v>
      </c>
    </row>
    <row r="8773" spans="1:1">
      <c r="A8773" s="35" t="s">
        <v>41057</v>
      </c>
    </row>
    <row r="8774" spans="1:1">
      <c r="A8774" s="35" t="s">
        <v>41057</v>
      </c>
    </row>
    <row r="8775" spans="1:1">
      <c r="A8775" s="35" t="s">
        <v>41057</v>
      </c>
    </row>
    <row r="8776" spans="1:1">
      <c r="A8776" s="35" t="s">
        <v>41057</v>
      </c>
    </row>
    <row r="8777" spans="1:1">
      <c r="A8777" s="35" t="s">
        <v>41057</v>
      </c>
    </row>
    <row r="8778" spans="1:1">
      <c r="A8778" s="35" t="s">
        <v>41057</v>
      </c>
    </row>
    <row r="8779" spans="1:1">
      <c r="A8779" s="35" t="s">
        <v>41057</v>
      </c>
    </row>
    <row r="8780" spans="1:1">
      <c r="A8780" s="35" t="s">
        <v>41057</v>
      </c>
    </row>
    <row r="8781" spans="1:1">
      <c r="A8781" s="35" t="s">
        <v>41057</v>
      </c>
    </row>
    <row r="8782" spans="1:1">
      <c r="A8782" s="35" t="s">
        <v>41057</v>
      </c>
    </row>
    <row r="8783" spans="1:1">
      <c r="A8783" s="35" t="s">
        <v>41057</v>
      </c>
    </row>
    <row r="8784" spans="1:1">
      <c r="A8784" s="35" t="s">
        <v>41057</v>
      </c>
    </row>
    <row r="8785" spans="1:1">
      <c r="A8785" s="35" t="s">
        <v>41057</v>
      </c>
    </row>
    <row r="8786" spans="1:1">
      <c r="A8786" s="35" t="s">
        <v>41057</v>
      </c>
    </row>
    <row r="8787" spans="1:1">
      <c r="A8787" s="35" t="s">
        <v>41057</v>
      </c>
    </row>
    <row r="8788" spans="1:1">
      <c r="A8788" s="35" t="s">
        <v>41057</v>
      </c>
    </row>
    <row r="8789" spans="1:1">
      <c r="A8789" s="35" t="s">
        <v>41057</v>
      </c>
    </row>
    <row r="8790" spans="1:1">
      <c r="A8790" s="35" t="s">
        <v>41057</v>
      </c>
    </row>
    <row r="8791" spans="1:1">
      <c r="A8791" s="35" t="s">
        <v>41057</v>
      </c>
    </row>
    <row r="8792" spans="1:1">
      <c r="A8792" s="35" t="s">
        <v>41057</v>
      </c>
    </row>
    <row r="8793" spans="1:1">
      <c r="A8793" s="35" t="s">
        <v>41057</v>
      </c>
    </row>
    <row r="8794" spans="1:1">
      <c r="A8794" s="35" t="s">
        <v>41057</v>
      </c>
    </row>
    <row r="8795" spans="1:1">
      <c r="A8795" s="35" t="s">
        <v>41057</v>
      </c>
    </row>
    <row r="8796" spans="1:1">
      <c r="A8796" s="35" t="s">
        <v>41057</v>
      </c>
    </row>
    <row r="8797" spans="1:1">
      <c r="A8797" s="35" t="s">
        <v>41057</v>
      </c>
    </row>
    <row r="8798" spans="1:1">
      <c r="A8798" s="35" t="e" cm="1">
        <f t="array" ref="A8798">----YYSY------------------------LKFFLDYCCENDLDYDSITNPLES--LD</f>
        <v>#NAME?</v>
      </c>
    </row>
    <row r="8799" spans="1:1">
      <c r="A8799" s="35" t="s">
        <v>55678</v>
      </c>
    </row>
    <row r="8800" spans="1:1">
      <c r="A8800" s="35" t="s">
        <v>55679</v>
      </c>
    </row>
    <row r="8801" spans="1:1">
      <c r="A8801" s="35" t="e" cm="1">
        <f t="array" ref="A8801">--SESS-NHDDKISKIINLLSGS-FDTNGFVLNRYLEEF----TKNDEISEIQNLSEKSN</f>
        <v>#NAME?</v>
      </c>
    </row>
    <row r="8802" spans="1:1">
      <c r="A8802" s="35" t="s">
        <v>55680</v>
      </c>
    </row>
    <row r="8803" spans="1:1">
      <c r="A8803" s="35" t="e" cm="1">
        <f t="array" ref="A8803">-----------------------------------KISNILYRNKKACTAWIKKL---AH</f>
        <v>#NAME?</v>
      </c>
    </row>
    <row r="8804" spans="1:1">
      <c r="A8804" s="35" t="s">
        <v>55681</v>
      </c>
    </row>
    <row r="8805" spans="1:1">
      <c r="A8805" s="35" t="e" cm="1">
        <f t="array" ref="A8805">---------------SDWFEIYSQTNL---------SESR------------------ID</f>
        <v>#NAME?</v>
      </c>
    </row>
    <row r="8806" spans="1:1">
      <c r="A8806" s="35" t="s">
        <v>55682</v>
      </c>
    </row>
    <row r="8807" spans="1:1">
      <c r="A8807" s="35" t="e" cm="1">
        <f t="array" ref="A8807">----------------------------------------------------------ND</f>
        <v>#NAME?</v>
      </c>
    </row>
    <row r="8808" spans="1:1">
      <c r="A8808" s="35" t="s">
        <v>55683</v>
      </c>
    </row>
    <row r="8809" spans="1:1">
      <c r="A8809" s="35" t="s">
        <v>55684</v>
      </c>
    </row>
    <row r="8810" spans="1:1">
      <c r="A8810" s="35" t="s">
        <v>41057</v>
      </c>
    </row>
    <row r="8811" spans="1:1">
      <c r="A8811" s="35" t="s">
        <v>53997</v>
      </c>
    </row>
    <row r="8812" spans="1:1">
      <c r="A8812" s="35" t="s">
        <v>55685</v>
      </c>
    </row>
    <row r="8813" spans="1:1">
      <c r="A8813" s="35" t="s">
        <v>55686</v>
      </c>
    </row>
    <row r="8814" spans="1:1">
      <c r="A8814" s="35" t="s">
        <v>41057</v>
      </c>
    </row>
    <row r="8815" spans="1:1">
      <c r="A8815" s="35" t="s">
        <v>41057</v>
      </c>
    </row>
    <row r="8816" spans="1:1">
      <c r="A8816" s="35" t="s">
        <v>41057</v>
      </c>
    </row>
    <row r="8817" spans="1:1">
      <c r="A8817" s="35" t="s">
        <v>55687</v>
      </c>
    </row>
    <row r="8818" spans="1:1">
      <c r="A8818" s="35" t="s">
        <v>41057</v>
      </c>
    </row>
    <row r="8819" spans="1:1">
      <c r="A8819" s="35" t="s">
        <v>41057</v>
      </c>
    </row>
    <row r="8820" spans="1:1">
      <c r="A8820" s="35" t="s">
        <v>55688</v>
      </c>
    </row>
    <row r="8821" spans="1:1">
      <c r="A8821" s="35" t="s">
        <v>55689</v>
      </c>
    </row>
    <row r="8822" spans="1:1">
      <c r="A8822" s="35" t="s">
        <v>55690</v>
      </c>
    </row>
    <row r="8823" spans="1:1">
      <c r="A8823" s="35" t="e" cm="1">
        <f t="array" ref="A8823">-----QY--------------------L-------VDE--------------FQYSTTNI</f>
        <v>#NAME?</v>
      </c>
    </row>
    <row r="8824" spans="1:1">
      <c r="A8824" s="35" t="s">
        <v>55691</v>
      </c>
    </row>
    <row r="8825" spans="1:1">
      <c r="A8825" s="35" t="s">
        <v>55692</v>
      </c>
    </row>
    <row r="8826" spans="1:1">
      <c r="A8826" s="35" t="s">
        <v>55693</v>
      </c>
    </row>
    <row r="8827" spans="1:1">
      <c r="A8827" s="35" t="e" cm="1">
        <f t="array" ref="A8827">------------------------------------------------TDPKIHFKRVSI</f>
        <v>#NAME?</v>
      </c>
    </row>
    <row r="8828" spans="1:1">
      <c r="A8828" s="35" t="s">
        <v>41057</v>
      </c>
    </row>
    <row r="8829" spans="1:1">
      <c r="A8829" s="35" t="s">
        <v>55694</v>
      </c>
    </row>
    <row r="8830" spans="1:1">
      <c r="A8830" s="35" t="e" cm="1">
        <f t="array" ref="A8830">--TDKRDYSS-----------------------DYFFGEKQWSNYGVHSWYDFSQVRKIR</f>
        <v>#NAME?</v>
      </c>
    </row>
    <row r="8831" spans="1:1">
      <c r="A8831" s="35" t="s">
        <v>55695</v>
      </c>
    </row>
    <row r="8832" spans="1:1">
      <c r="A8832" s="35" t="e" cm="1">
        <f t="array" ref="A8832">--CE---------QIKSMYIKHSDEIFDQSNIQKIRDNLHILKINFDITDKQLLLQMIYD</f>
        <v>#NAME?</v>
      </c>
    </row>
    <row r="8833" spans="1:1">
      <c r="A8833" s="35" t="s">
        <v>55696</v>
      </c>
    </row>
    <row r="8834" spans="1:1">
      <c r="A8834" s="35" t="s">
        <v>55697</v>
      </c>
    </row>
    <row r="8835" spans="1:1">
      <c r="A8835" s="35" t="s">
        <v>41057</v>
      </c>
    </row>
    <row r="8836" spans="1:1">
      <c r="A8836" s="35" t="s">
        <v>41057</v>
      </c>
    </row>
    <row r="8837" spans="1:1">
      <c r="A8837" s="35" t="s">
        <v>41057</v>
      </c>
    </row>
    <row r="8838" spans="1:1">
      <c r="A8838" s="35" t="s">
        <v>41057</v>
      </c>
    </row>
    <row r="8839" spans="1:1">
      <c r="A8839" s="35" t="s">
        <v>41057</v>
      </c>
    </row>
    <row r="8840" spans="1:1">
      <c r="A8840" s="35" t="s">
        <v>41057</v>
      </c>
    </row>
    <row r="8841" spans="1:1">
      <c r="A8841" s="35" t="s">
        <v>41057</v>
      </c>
    </row>
    <row r="8842" spans="1:1">
      <c r="A8842" s="35" t="s">
        <v>41057</v>
      </c>
    </row>
    <row r="8843" spans="1:1">
      <c r="A8843" s="35" t="s">
        <v>41057</v>
      </c>
    </row>
    <row r="8844" spans="1:1">
      <c r="A8844" s="35" t="s">
        <v>41057</v>
      </c>
    </row>
    <row r="8845" spans="1:1">
      <c r="A8845" s="35" t="s">
        <v>41057</v>
      </c>
    </row>
    <row r="8846" spans="1:1">
      <c r="A8846" s="35" t="s">
        <v>41057</v>
      </c>
    </row>
    <row r="8847" spans="1:1">
      <c r="A8847" s="35" t="s">
        <v>41057</v>
      </c>
    </row>
    <row r="8848" spans="1:1">
      <c r="A8848" s="35" t="s">
        <v>41057</v>
      </c>
    </row>
    <row r="8849" spans="1:1">
      <c r="A8849" s="35" t="s">
        <v>41057</v>
      </c>
    </row>
    <row r="8850" spans="1:1">
      <c r="A8850" s="35" t="s">
        <v>53545</v>
      </c>
    </row>
    <row r="8851" spans="1:1">
      <c r="A8851" s="35" t="s">
        <v>52050</v>
      </c>
    </row>
    <row r="8852" spans="1:1">
      <c r="A8852" s="35" t="s">
        <v>41057</v>
      </c>
    </row>
    <row r="8853" spans="1:1">
      <c r="A8853" s="35" t="s">
        <v>41057</v>
      </c>
    </row>
    <row r="8854" spans="1:1">
      <c r="A8854" s="35" t="s">
        <v>41057</v>
      </c>
    </row>
    <row r="8855" spans="1:1">
      <c r="A8855" s="35" t="s">
        <v>41057</v>
      </c>
    </row>
    <row r="8856" spans="1:1">
      <c r="A8856" s="35" t="s">
        <v>41057</v>
      </c>
    </row>
    <row r="8857" spans="1:1">
      <c r="A8857" s="35" t="s">
        <v>54096</v>
      </c>
    </row>
    <row r="8858" spans="1:1">
      <c r="A8858" s="35" t="s">
        <v>41057</v>
      </c>
    </row>
    <row r="8859" spans="1:1">
      <c r="A8859" s="35" t="s">
        <v>41057</v>
      </c>
    </row>
    <row r="8860" spans="1:1">
      <c r="A8860" s="35" t="s">
        <v>41057</v>
      </c>
    </row>
    <row r="8861" spans="1:1">
      <c r="A8861" s="35" t="s">
        <v>54344</v>
      </c>
    </row>
    <row r="8862" spans="1:1">
      <c r="A8862" s="35" t="s">
        <v>55698</v>
      </c>
    </row>
    <row r="8863" spans="1:1">
      <c r="A8863" s="35" t="s">
        <v>55699</v>
      </c>
    </row>
    <row r="8864" spans="1:1">
      <c r="A8864" s="35" t="s">
        <v>55700</v>
      </c>
    </row>
    <row r="8865" spans="1:1">
      <c r="A8865" s="35" t="s">
        <v>41057</v>
      </c>
    </row>
    <row r="8866" spans="1:1">
      <c r="A8866" s="35" t="s">
        <v>41057</v>
      </c>
    </row>
    <row r="8867" spans="1:1">
      <c r="A8867" s="35" t="e" cm="1">
        <f t="array" ref="A8867">---------------EITF------------------FKK-------------------L</f>
        <v>#NAME?</v>
      </c>
    </row>
    <row r="8868" spans="1:1">
      <c r="A8868" s="35" t="s">
        <v>55701</v>
      </c>
    </row>
    <row r="8869" spans="1:1">
      <c r="A8869" s="35" t="s">
        <v>55702</v>
      </c>
    </row>
    <row r="8870" spans="1:1">
      <c r="A8870" s="35" t="s">
        <v>41057</v>
      </c>
    </row>
    <row r="8871" spans="1:1">
      <c r="A8871" s="35" t="s">
        <v>55703</v>
      </c>
    </row>
    <row r="8872" spans="1:1">
      <c r="A8872" s="35" t="s">
        <v>41057</v>
      </c>
    </row>
    <row r="8873" spans="1:1">
      <c r="A8873" s="35" t="s">
        <v>41057</v>
      </c>
    </row>
    <row r="8874" spans="1:1">
      <c r="A8874" s="35" t="s">
        <v>55704</v>
      </c>
    </row>
    <row r="8875" spans="1:1">
      <c r="A8875" s="35" t="s">
        <v>41057</v>
      </c>
    </row>
    <row r="8876" spans="1:1">
      <c r="A8876" s="35" t="s">
        <v>41057</v>
      </c>
    </row>
    <row r="8877" spans="1:1">
      <c r="A8877" s="35" t="s">
        <v>53500</v>
      </c>
    </row>
    <row r="8878" spans="1:1">
      <c r="A8878" s="35" t="s">
        <v>41057</v>
      </c>
    </row>
    <row r="8879" spans="1:1">
      <c r="A8879" s="35" t="s">
        <v>41057</v>
      </c>
    </row>
    <row r="8880" spans="1:1">
      <c r="A8880" s="35" t="s">
        <v>55705</v>
      </c>
    </row>
    <row r="8881" spans="1:1">
      <c r="A8881" s="35" t="s">
        <v>41057</v>
      </c>
    </row>
    <row r="8882" spans="1:1">
      <c r="A8882" s="35" t="s">
        <v>55706</v>
      </c>
    </row>
    <row r="8883" spans="1:1">
      <c r="A8883" s="35" t="s">
        <v>41057</v>
      </c>
    </row>
    <row r="8884" spans="1:1">
      <c r="A8884" s="35" t="s">
        <v>55707</v>
      </c>
    </row>
    <row r="8885" spans="1:1">
      <c r="A8885" s="35" t="s">
        <v>55708</v>
      </c>
    </row>
    <row r="8886" spans="1:1">
      <c r="A8886" s="35" t="s">
        <v>41057</v>
      </c>
    </row>
    <row r="8887" spans="1:1">
      <c r="A8887" s="35" t="s">
        <v>41057</v>
      </c>
    </row>
    <row r="8888" spans="1:1">
      <c r="A8888" s="35" t="e" cm="1">
        <f t="array" ref="A8888">------------------I--PSISAEFINSKNEDVIKTIKNLNSQYIDNDFMRKLNNCI</f>
        <v>#NAME?</v>
      </c>
    </row>
    <row r="8889" spans="1:1">
      <c r="A8889" s="35" t="s">
        <v>55709</v>
      </c>
    </row>
    <row r="8890" spans="1:1">
      <c r="A8890" s="35" t="e" cm="1">
        <f t="array" ref="A8890">------YQQKIFGKLLNKSNDNLSQNESFQNDSFKLEILDSFFSTNVKYNLVFELIKLID</f>
        <v>#NAME?</v>
      </c>
    </row>
    <row r="8891" spans="1:1">
      <c r="A8891" s="35" t="s">
        <v>55710</v>
      </c>
    </row>
    <row r="8892" spans="1:1">
      <c r="A8892" s="35" t="s">
        <v>55672</v>
      </c>
    </row>
    <row r="8893" spans="1:1">
      <c r="A8893" s="35" t="s">
        <v>55673</v>
      </c>
    </row>
    <row r="8894" spans="1:1">
      <c r="A8894" s="35" t="s">
        <v>55711</v>
      </c>
    </row>
    <row r="8895" spans="1:1">
      <c r="A8895" s="35" t="s">
        <v>55712</v>
      </c>
    </row>
    <row r="8896" spans="1:1">
      <c r="A8896" s="35" t="s">
        <v>55713</v>
      </c>
    </row>
    <row r="8897" spans="1:1">
      <c r="A8897" s="35" t="e" cm="1">
        <f t="array" ref="A8897">-MVLLKINVDYYMHEISYYMNDMCSKSPSHDLSDTLKNYV-PNISESTNQ-FNKQSGSNL</f>
        <v>#NAME?</v>
      </c>
    </row>
    <row r="8898" spans="1:1">
      <c r="A8898" s="35" t="s">
        <v>52060</v>
      </c>
    </row>
    <row r="8899" spans="1:1">
      <c r="A8899" s="35" t="s">
        <v>55714</v>
      </c>
    </row>
    <row r="8900" spans="1:1">
      <c r="A8900" s="35" t="s">
        <v>55715</v>
      </c>
    </row>
    <row r="8901" spans="1:1">
      <c r="A8901" s="35" t="s">
        <v>55716</v>
      </c>
    </row>
    <row r="8902" spans="1:1">
      <c r="A8902" s="35" t="s">
        <v>55717</v>
      </c>
    </row>
    <row r="8903" spans="1:1">
      <c r="A8903" s="35" t="s">
        <v>55718</v>
      </c>
    </row>
    <row r="8904" spans="1:1">
      <c r="A8904" s="35" t="e" cm="1">
        <f t="array" ref="A8904">-----YNDSEYQRFEID--------YF-------------------------------RL</f>
        <v>#NAME?</v>
      </c>
    </row>
    <row r="8905" spans="1:1">
      <c r="A8905" s="35" t="s">
        <v>55719</v>
      </c>
    </row>
    <row r="8906" spans="1:1">
      <c r="A8906" s="35" t="s">
        <v>55720</v>
      </c>
    </row>
    <row r="8907" spans="1:1">
      <c r="A8907" s="35" t="s">
        <v>55721</v>
      </c>
    </row>
    <row r="8908" spans="1:1">
      <c r="A8908" s="35" t="s">
        <v>55722</v>
      </c>
    </row>
    <row r="8909" spans="1:1">
      <c r="A8909" s="35" t="s">
        <v>55723</v>
      </c>
    </row>
    <row r="8910" spans="1:1">
      <c r="A8910" s="35" t="s">
        <v>55724</v>
      </c>
    </row>
    <row r="8911" spans="1:1">
      <c r="A8911" s="35" t="e" cm="1">
        <f t="array" ref="A8911">---------YFMNTFNIFTAHE-----LNPIKKLSVRDIYD-------IIDTTFMSVREI</f>
        <v>#NAME?</v>
      </c>
    </row>
    <row r="8912" spans="1:1">
      <c r="A8912" s="35" t="s">
        <v>55725</v>
      </c>
    </row>
    <row r="8913" spans="1:1">
      <c r="A8913" s="35" t="s">
        <v>55726</v>
      </c>
    </row>
    <row r="8914" spans="1:1">
      <c r="A8914" s="35" t="s">
        <v>55727</v>
      </c>
    </row>
    <row r="8915" spans="1:1">
      <c r="A8915" s="35" t="s">
        <v>55728</v>
      </c>
    </row>
    <row r="8916" spans="1:1">
      <c r="A8916" s="35" t="s">
        <v>55729</v>
      </c>
    </row>
    <row r="8917" spans="1:1">
      <c r="A8917" s="35" t="s">
        <v>55678</v>
      </c>
    </row>
    <row r="8918" spans="1:1">
      <c r="A8918" s="35" t="s">
        <v>55679</v>
      </c>
    </row>
    <row r="8919" spans="1:1">
      <c r="A8919" s="35" t="e" cm="1">
        <f t="array" ref="A8919">--SESS-NHDDKISKIINLLSGS-FDTNGFVLNRYLEEF----TKNDEISEIQNLSEKSN</f>
        <v>#NAME?</v>
      </c>
    </row>
    <row r="8920" spans="1:1">
      <c r="A8920" s="35" t="s">
        <v>55680</v>
      </c>
    </row>
    <row r="8921" spans="1:1">
      <c r="A8921" s="35" t="e" cm="1">
        <f t="array" ref="A8921">-----------------------------------KISNILYRNKKACTAWIKKL---AH</f>
        <v>#NAME?</v>
      </c>
    </row>
    <row r="8922" spans="1:1">
      <c r="A8922" s="35" t="s">
        <v>55681</v>
      </c>
    </row>
    <row r="8923" spans="1:1">
      <c r="A8923" s="35" t="e" cm="1">
        <f t="array" ref="A8923">---------------SDWFEIYSQTNL---------SESR------------------ID</f>
        <v>#NAME?</v>
      </c>
    </row>
    <row r="8924" spans="1:1">
      <c r="A8924" s="35" t="s">
        <v>55682</v>
      </c>
    </row>
    <row r="8925" spans="1:1">
      <c r="A8925" s="35" t="e" cm="1">
        <f t="array" ref="A8925">----------------------------------------------------------ND</f>
        <v>#NAME?</v>
      </c>
    </row>
    <row r="8926" spans="1:1">
      <c r="A8926" s="35" t="s">
        <v>55683</v>
      </c>
    </row>
    <row r="8927" spans="1:1">
      <c r="A8927" s="35" t="s">
        <v>55684</v>
      </c>
    </row>
    <row r="8928" spans="1:1">
      <c r="A8928" s="35" t="s">
        <v>41057</v>
      </c>
    </row>
    <row r="8929" spans="1:1">
      <c r="A8929" s="35" t="s">
        <v>53997</v>
      </c>
    </row>
    <row r="8930" spans="1:1">
      <c r="A8930" s="35" t="s">
        <v>55685</v>
      </c>
    </row>
    <row r="8931" spans="1:1">
      <c r="A8931" s="35" t="s">
        <v>55686</v>
      </c>
    </row>
    <row r="8932" spans="1:1">
      <c r="A8932" s="35" t="s">
        <v>41057</v>
      </c>
    </row>
    <row r="8933" spans="1:1">
      <c r="A8933" s="35" t="s">
        <v>41057</v>
      </c>
    </row>
    <row r="8934" spans="1:1">
      <c r="A8934" s="35" t="s">
        <v>41057</v>
      </c>
    </row>
    <row r="8935" spans="1:1">
      <c r="A8935" s="35" t="s">
        <v>55687</v>
      </c>
    </row>
    <row r="8936" spans="1:1">
      <c r="A8936" s="35" t="s">
        <v>41057</v>
      </c>
    </row>
    <row r="8937" spans="1:1">
      <c r="A8937" s="35" t="s">
        <v>41057</v>
      </c>
    </row>
    <row r="8938" spans="1:1">
      <c r="A8938" s="35" t="s">
        <v>55688</v>
      </c>
    </row>
    <row r="8939" spans="1:1">
      <c r="A8939" s="35" t="s">
        <v>55689</v>
      </c>
    </row>
    <row r="8940" spans="1:1">
      <c r="A8940" s="35" t="s">
        <v>55690</v>
      </c>
    </row>
    <row r="8941" spans="1:1">
      <c r="A8941" s="35" t="e" cm="1">
        <f t="array" ref="A8941">-----QY--------------------L-------VDE--------------FQYSTTNI</f>
        <v>#NAME?</v>
      </c>
    </row>
    <row r="8942" spans="1:1">
      <c r="A8942" s="35" t="s">
        <v>55691</v>
      </c>
    </row>
    <row r="8943" spans="1:1">
      <c r="A8943" s="35" t="s">
        <v>55692</v>
      </c>
    </row>
    <row r="8944" spans="1:1">
      <c r="A8944" s="35" t="s">
        <v>55693</v>
      </c>
    </row>
    <row r="8945" spans="1:1">
      <c r="A8945" s="35" t="e" cm="1">
        <f t="array" ref="A8945">------------------------------------------------TDPKIHFKRVSI</f>
        <v>#NAME?</v>
      </c>
    </row>
    <row r="8946" spans="1:1">
      <c r="A8946" s="35" t="s">
        <v>41057</v>
      </c>
    </row>
    <row r="8947" spans="1:1">
      <c r="A8947" s="35" t="s">
        <v>55694</v>
      </c>
    </row>
    <row r="8948" spans="1:1">
      <c r="A8948" s="35" t="e" cm="1">
        <f t="array" ref="A8948">--TDKRDYSS-----------------------DYFFGEKQWSNYGVHSWYDFSQVRKIR</f>
        <v>#NAME?</v>
      </c>
    </row>
    <row r="8949" spans="1:1">
      <c r="A8949" s="35" t="s">
        <v>55695</v>
      </c>
    </row>
    <row r="8950" spans="1:1">
      <c r="A8950" s="35" t="e" cm="1">
        <f t="array" ref="A8950">--CE---------QIKSMYIKHSDEIFDQSNIQKIRDNLHILKINFDITDKQLLLQMIYD</f>
        <v>#NAME?</v>
      </c>
    </row>
    <row r="8951" spans="1:1">
      <c r="A8951" s="35" t="s">
        <v>55696</v>
      </c>
    </row>
    <row r="8952" spans="1:1">
      <c r="A8952" s="35" t="s">
        <v>55730</v>
      </c>
    </row>
    <row r="8953" spans="1:1">
      <c r="A8953" s="35" t="s">
        <v>55731</v>
      </c>
    </row>
    <row r="8954" spans="1:1">
      <c r="A8954" s="35" t="s">
        <v>55732</v>
      </c>
    </row>
    <row r="8955" spans="1:1">
      <c r="A8955" s="35" t="e" cm="1">
        <f t="array" ref="A8955">-------------------------------NNMKTVSSTYKDIINQIIV---NTNYLDH</f>
        <v>#NAME?</v>
      </c>
    </row>
    <row r="8956" spans="1:1">
      <c r="A8956" s="35" t="s">
        <v>55733</v>
      </c>
    </row>
    <row r="8957" spans="1:1">
      <c r="A8957" s="35" t="s">
        <v>55734</v>
      </c>
    </row>
    <row r="8958" spans="1:1">
      <c r="A8958" s="35" t="s">
        <v>55735</v>
      </c>
    </row>
    <row r="8959" spans="1:1">
      <c r="A8959" s="35" t="s">
        <v>55736</v>
      </c>
    </row>
    <row r="8960" spans="1:1">
      <c r="A8960" s="35" t="s">
        <v>55737</v>
      </c>
    </row>
    <row r="8961" spans="1:1">
      <c r="A8961" s="35" t="s">
        <v>55738</v>
      </c>
    </row>
    <row r="8962" spans="1:1">
      <c r="A8962" s="35" t="s">
        <v>55739</v>
      </c>
    </row>
    <row r="8963" spans="1:1">
      <c r="A8963" s="35" t="s">
        <v>41057</v>
      </c>
    </row>
    <row r="8964" spans="1:1">
      <c r="A8964" s="35" t="s">
        <v>55740</v>
      </c>
    </row>
    <row r="8965" spans="1:1">
      <c r="A8965" s="35" t="s">
        <v>55741</v>
      </c>
    </row>
    <row r="8966" spans="1:1">
      <c r="A8966" s="35" t="s">
        <v>55742</v>
      </c>
    </row>
    <row r="8967" spans="1:1">
      <c r="A8967" s="35" t="s">
        <v>41057</v>
      </c>
    </row>
    <row r="8968" spans="1:1">
      <c r="A8968" s="35" t="s">
        <v>53545</v>
      </c>
    </row>
    <row r="8969" spans="1:1">
      <c r="A8969" s="35" t="s">
        <v>55743</v>
      </c>
    </row>
    <row r="8970" spans="1:1">
      <c r="A8970" s="35" t="s">
        <v>41057</v>
      </c>
    </row>
    <row r="8971" spans="1:1">
      <c r="A8971" s="35" t="s">
        <v>41057</v>
      </c>
    </row>
    <row r="8972" spans="1:1">
      <c r="A8972" s="35" t="s">
        <v>41057</v>
      </c>
    </row>
    <row r="8973" spans="1:1">
      <c r="A8973" s="35" t="s">
        <v>41057</v>
      </c>
    </row>
    <row r="8974" spans="1:1">
      <c r="A8974" s="35" t="s">
        <v>41057</v>
      </c>
    </row>
    <row r="8975" spans="1:1">
      <c r="A8975" s="35" t="s">
        <v>41057</v>
      </c>
    </row>
    <row r="8976" spans="1:1">
      <c r="A8976" s="35" t="s">
        <v>41057</v>
      </c>
    </row>
    <row r="8977" spans="1:1">
      <c r="A8977" s="35" t="s">
        <v>41057</v>
      </c>
    </row>
    <row r="8978" spans="1:1">
      <c r="A8978" s="35" t="s">
        <v>41057</v>
      </c>
    </row>
    <row r="8979" spans="1:1">
      <c r="A8979" s="35" t="s">
        <v>41057</v>
      </c>
    </row>
    <row r="8980" spans="1:1">
      <c r="A8980" s="35" t="s">
        <v>41057</v>
      </c>
    </row>
    <row r="8981" spans="1:1">
      <c r="A8981" s="35" t="s">
        <v>41057</v>
      </c>
    </row>
    <row r="8982" spans="1:1">
      <c r="A8982" s="35" t="s">
        <v>41057</v>
      </c>
    </row>
    <row r="8983" spans="1:1">
      <c r="A8983" s="35" t="s">
        <v>41057</v>
      </c>
    </row>
    <row r="8984" spans="1:1">
      <c r="A8984" s="35" t="s">
        <v>41057</v>
      </c>
    </row>
    <row r="8985" spans="1:1">
      <c r="A8985" s="35" t="s">
        <v>41057</v>
      </c>
    </row>
    <row r="8986" spans="1:1">
      <c r="A8986" s="35" t="s">
        <v>41057</v>
      </c>
    </row>
    <row r="8987" spans="1:1">
      <c r="A8987" s="35" t="s">
        <v>41057</v>
      </c>
    </row>
    <row r="8988" spans="1:1">
      <c r="A8988" s="35" t="s">
        <v>41057</v>
      </c>
    </row>
    <row r="8989" spans="1:1">
      <c r="A8989" s="35" t="s">
        <v>41057</v>
      </c>
    </row>
    <row r="8990" spans="1:1">
      <c r="A8990" s="35" t="s">
        <v>41057</v>
      </c>
    </row>
    <row r="8991" spans="1:1">
      <c r="A8991" s="35" t="s">
        <v>41057</v>
      </c>
    </row>
    <row r="8992" spans="1:1">
      <c r="A8992" s="35" t="s">
        <v>41057</v>
      </c>
    </row>
    <row r="8993" spans="1:1">
      <c r="A8993" s="35" t="s">
        <v>41057</v>
      </c>
    </row>
    <row r="8994" spans="1:1">
      <c r="A8994" s="35" t="s">
        <v>41057</v>
      </c>
    </row>
    <row r="8995" spans="1:1">
      <c r="A8995" s="35" t="s">
        <v>41057</v>
      </c>
    </row>
    <row r="8996" spans="1:1">
      <c r="A8996" s="35" t="s">
        <v>41057</v>
      </c>
    </row>
    <row r="8997" spans="1:1">
      <c r="A8997" s="35" t="s">
        <v>41057</v>
      </c>
    </row>
    <row r="8998" spans="1:1">
      <c r="A8998" s="35" t="s">
        <v>41057</v>
      </c>
    </row>
    <row r="8999" spans="1:1">
      <c r="A8999" s="35" t="s">
        <v>41057</v>
      </c>
    </row>
    <row r="9000" spans="1:1">
      <c r="A9000" s="35" t="s">
        <v>41057</v>
      </c>
    </row>
    <row r="9001" spans="1:1">
      <c r="A9001" s="35" t="s">
        <v>41057</v>
      </c>
    </row>
    <row r="9002" spans="1:1">
      <c r="A9002" s="35" t="s">
        <v>41057</v>
      </c>
    </row>
    <row r="9003" spans="1:1">
      <c r="A9003" s="35" t="s">
        <v>41057</v>
      </c>
    </row>
    <row r="9004" spans="1:1">
      <c r="A9004" s="35" t="s">
        <v>41057</v>
      </c>
    </row>
    <row r="9005" spans="1:1">
      <c r="A9005" s="35" t="s">
        <v>41057</v>
      </c>
    </row>
    <row r="9006" spans="1:1">
      <c r="A9006" s="35" t="s">
        <v>41057</v>
      </c>
    </row>
    <row r="9007" spans="1:1">
      <c r="A9007" s="35" t="s">
        <v>41057</v>
      </c>
    </row>
    <row r="9008" spans="1:1">
      <c r="A9008" s="35" t="s">
        <v>41057</v>
      </c>
    </row>
    <row r="9009" spans="1:1">
      <c r="A9009" s="35" t="s">
        <v>41057</v>
      </c>
    </row>
    <row r="9010" spans="1:1">
      <c r="A9010" s="35" t="s">
        <v>41057</v>
      </c>
    </row>
    <row r="9011" spans="1:1">
      <c r="A9011" s="35" t="s">
        <v>41057</v>
      </c>
    </row>
    <row r="9012" spans="1:1">
      <c r="A9012" s="35" t="s">
        <v>41057</v>
      </c>
    </row>
    <row r="9013" spans="1:1">
      <c r="A9013" s="35" t="s">
        <v>41057</v>
      </c>
    </row>
    <row r="9014" spans="1:1">
      <c r="A9014" s="35" t="s">
        <v>41057</v>
      </c>
    </row>
    <row r="9015" spans="1:1">
      <c r="A9015" s="35" t="s">
        <v>41057</v>
      </c>
    </row>
    <row r="9016" spans="1:1">
      <c r="A9016" s="35" t="s">
        <v>41057</v>
      </c>
    </row>
    <row r="9017" spans="1:1">
      <c r="A9017" s="35" t="s">
        <v>41057</v>
      </c>
    </row>
    <row r="9018" spans="1:1">
      <c r="A9018" s="35" t="s">
        <v>41057</v>
      </c>
    </row>
    <row r="9019" spans="1:1">
      <c r="A9019" s="35" t="s">
        <v>41057</v>
      </c>
    </row>
    <row r="9020" spans="1:1">
      <c r="A9020" s="35" t="s">
        <v>41057</v>
      </c>
    </row>
    <row r="9021" spans="1:1">
      <c r="A9021" s="35" t="s">
        <v>41057</v>
      </c>
    </row>
    <row r="9022" spans="1:1">
      <c r="A9022" s="35" t="s">
        <v>41057</v>
      </c>
    </row>
    <row r="9023" spans="1:1">
      <c r="A9023" s="35" t="s">
        <v>41057</v>
      </c>
    </row>
    <row r="9024" spans="1:1">
      <c r="A9024" s="35" t="s">
        <v>41057</v>
      </c>
    </row>
    <row r="9025" spans="1:1">
      <c r="A9025" s="35" t="s">
        <v>41057</v>
      </c>
    </row>
    <row r="9026" spans="1:1">
      <c r="A9026" s="35" t="s">
        <v>41057</v>
      </c>
    </row>
    <row r="9027" spans="1:1">
      <c r="A9027" s="35" t="s">
        <v>41057</v>
      </c>
    </row>
    <row r="9028" spans="1:1">
      <c r="A9028" s="35" t="s">
        <v>41057</v>
      </c>
    </row>
    <row r="9029" spans="1:1">
      <c r="A9029" s="35" t="s">
        <v>41057</v>
      </c>
    </row>
    <row r="9030" spans="1:1">
      <c r="A9030" s="35" t="s">
        <v>41057</v>
      </c>
    </row>
    <row r="9031" spans="1:1">
      <c r="A9031" s="35" t="s">
        <v>41057</v>
      </c>
    </row>
    <row r="9032" spans="1:1">
      <c r="A9032" s="35" t="s">
        <v>41057</v>
      </c>
    </row>
    <row r="9033" spans="1:1">
      <c r="A9033" s="35" t="s">
        <v>41057</v>
      </c>
    </row>
    <row r="9034" spans="1:1">
      <c r="A9034" s="35" t="s">
        <v>41057</v>
      </c>
    </row>
    <row r="9035" spans="1:1">
      <c r="A9035" s="35" t="s">
        <v>41057</v>
      </c>
    </row>
    <row r="9036" spans="1:1">
      <c r="A9036" s="35" t="s">
        <v>41057</v>
      </c>
    </row>
    <row r="9037" spans="1:1">
      <c r="A9037" s="35" t="s">
        <v>41057</v>
      </c>
    </row>
    <row r="9038" spans="1:1">
      <c r="A9038" s="35" t="s">
        <v>41057</v>
      </c>
    </row>
    <row r="9039" spans="1:1">
      <c r="A9039" s="35" t="s">
        <v>41057</v>
      </c>
    </row>
    <row r="9040" spans="1:1">
      <c r="A9040" s="35" t="s">
        <v>41057</v>
      </c>
    </row>
    <row r="9041" spans="1:1">
      <c r="A9041" s="35" t="s">
        <v>55744</v>
      </c>
    </row>
    <row r="9042" spans="1:1">
      <c r="A9042" s="35" t="s">
        <v>41057</v>
      </c>
    </row>
    <row r="9043" spans="1:1">
      <c r="A9043" s="35" t="s">
        <v>41057</v>
      </c>
    </row>
    <row r="9044" spans="1:1">
      <c r="A9044" s="35" t="s">
        <v>41057</v>
      </c>
    </row>
    <row r="9045" spans="1:1">
      <c r="A9045" s="35" t="s">
        <v>41057</v>
      </c>
    </row>
    <row r="9046" spans="1:1">
      <c r="A9046" s="35" t="s">
        <v>41057</v>
      </c>
    </row>
    <row r="9047" spans="1:1">
      <c r="A9047" s="35" t="s">
        <v>41057</v>
      </c>
    </row>
    <row r="9048" spans="1:1">
      <c r="A9048" s="35" t="s">
        <v>41057</v>
      </c>
    </row>
    <row r="9049" spans="1:1">
      <c r="A9049" s="35" t="s">
        <v>41057</v>
      </c>
    </row>
    <row r="9050" spans="1:1">
      <c r="A9050" s="35" t="s">
        <v>41057</v>
      </c>
    </row>
    <row r="9051" spans="1:1">
      <c r="A9051" s="35" t="s">
        <v>41057</v>
      </c>
    </row>
    <row r="9052" spans="1:1">
      <c r="A9052" s="35" t="s">
        <v>41057</v>
      </c>
    </row>
    <row r="9053" spans="1:1">
      <c r="A9053" s="35" t="s">
        <v>41057</v>
      </c>
    </row>
    <row r="9054" spans="1:1">
      <c r="A9054" s="35" t="s">
        <v>41057</v>
      </c>
    </row>
    <row r="9055" spans="1:1">
      <c r="A9055" s="35" t="s">
        <v>41057</v>
      </c>
    </row>
    <row r="9056" spans="1:1">
      <c r="A9056" s="35" t="s">
        <v>41057</v>
      </c>
    </row>
    <row r="9057" spans="1:1">
      <c r="A9057" s="35" t="s">
        <v>41057</v>
      </c>
    </row>
    <row r="9058" spans="1:1">
      <c r="A9058" s="35" t="s">
        <v>41057</v>
      </c>
    </row>
    <row r="9059" spans="1:1">
      <c r="A9059" s="35" t="s">
        <v>41057</v>
      </c>
    </row>
    <row r="9060" spans="1:1">
      <c r="A9060" s="35" t="s">
        <v>41057</v>
      </c>
    </row>
    <row r="9061" spans="1:1">
      <c r="A9061" s="35" t="s">
        <v>41057</v>
      </c>
    </row>
    <row r="9062" spans="1:1">
      <c r="A9062" s="35" t="s">
        <v>41057</v>
      </c>
    </row>
    <row r="9063" spans="1:1">
      <c r="A9063" s="35" t="s">
        <v>41057</v>
      </c>
    </row>
    <row r="9064" spans="1:1">
      <c r="A9064" s="35" t="s">
        <v>41057</v>
      </c>
    </row>
    <row r="9065" spans="1:1">
      <c r="A9065" s="35" t="s">
        <v>41057</v>
      </c>
    </row>
    <row r="9066" spans="1:1">
      <c r="A9066" s="35" t="s">
        <v>41057</v>
      </c>
    </row>
    <row r="9067" spans="1:1">
      <c r="A9067" s="35" t="s">
        <v>41057</v>
      </c>
    </row>
    <row r="9068" spans="1:1">
      <c r="A9068" s="35" t="s">
        <v>41057</v>
      </c>
    </row>
    <row r="9069" spans="1:1">
      <c r="A9069" s="35" t="s">
        <v>41057</v>
      </c>
    </row>
    <row r="9070" spans="1:1">
      <c r="A9070" s="35" t="s">
        <v>55745</v>
      </c>
    </row>
    <row r="9071" spans="1:1">
      <c r="A9071" s="35" t="s">
        <v>55731</v>
      </c>
    </row>
    <row r="9072" spans="1:1">
      <c r="A9072" s="35" t="s">
        <v>55732</v>
      </c>
    </row>
    <row r="9073" spans="1:1">
      <c r="A9073" s="35" t="e" cm="1">
        <f t="array" ref="A9073">-------------------------------NNMKTVSSTYKDIINQIIV---NTNYLDH</f>
        <v>#NAME?</v>
      </c>
    </row>
    <row r="9074" spans="1:1">
      <c r="A9074" s="35" t="s">
        <v>55733</v>
      </c>
    </row>
    <row r="9075" spans="1:1">
      <c r="A9075" s="35" t="s">
        <v>55734</v>
      </c>
    </row>
    <row r="9076" spans="1:1">
      <c r="A9076" s="35" t="s">
        <v>55735</v>
      </c>
    </row>
    <row r="9077" spans="1:1">
      <c r="A9077" s="35" t="s">
        <v>55736</v>
      </c>
    </row>
    <row r="9078" spans="1:1">
      <c r="A9078" s="35" t="s">
        <v>55737</v>
      </c>
    </row>
    <row r="9079" spans="1:1">
      <c r="A9079" s="35" t="s">
        <v>55746</v>
      </c>
    </row>
    <row r="9080" spans="1:1">
      <c r="A9080" s="35" t="s">
        <v>55747</v>
      </c>
    </row>
    <row r="9081" spans="1:1">
      <c r="A9081" s="35" t="s">
        <v>41057</v>
      </c>
    </row>
    <row r="9082" spans="1:1">
      <c r="A9082" s="35" t="s">
        <v>55740</v>
      </c>
    </row>
    <row r="9083" spans="1:1">
      <c r="A9083" s="35" t="s">
        <v>55741</v>
      </c>
    </row>
    <row r="9084" spans="1:1">
      <c r="A9084" s="35" t="s">
        <v>55742</v>
      </c>
    </row>
    <row r="9085" spans="1:1">
      <c r="A9085" s="35" t="s">
        <v>41057</v>
      </c>
    </row>
    <row r="9086" spans="1:1">
      <c r="A9086" s="35" t="s">
        <v>53545</v>
      </c>
    </row>
    <row r="9087" spans="1:1">
      <c r="A9087" s="35" t="s">
        <v>55748</v>
      </c>
    </row>
    <row r="9088" spans="1:1">
      <c r="A9088" s="35" t="s">
        <v>41057</v>
      </c>
    </row>
    <row r="9089" spans="1:1">
      <c r="A9089" s="35" t="s">
        <v>41057</v>
      </c>
    </row>
    <row r="9090" spans="1:1">
      <c r="A9090" s="35" t="s">
        <v>41057</v>
      </c>
    </row>
    <row r="9091" spans="1:1">
      <c r="A9091" s="35" t="s">
        <v>41057</v>
      </c>
    </row>
    <row r="9092" spans="1:1">
      <c r="A9092" s="35" t="s">
        <v>41057</v>
      </c>
    </row>
    <row r="9093" spans="1:1">
      <c r="A9093" s="35" t="s">
        <v>41057</v>
      </c>
    </row>
    <row r="9094" spans="1:1">
      <c r="A9094" s="35" t="s">
        <v>41057</v>
      </c>
    </row>
    <row r="9095" spans="1:1">
      <c r="A9095" s="35" t="s">
        <v>41057</v>
      </c>
    </row>
    <row r="9096" spans="1:1">
      <c r="A9096" s="35" t="s">
        <v>41057</v>
      </c>
    </row>
    <row r="9097" spans="1:1">
      <c r="A9097" s="35" t="s">
        <v>41057</v>
      </c>
    </row>
    <row r="9098" spans="1:1">
      <c r="A9098" s="35" t="e" cm="1">
        <f t="array" ref="A9098">----------------------------------------------NLIKNY----VD-D</f>
        <v>#NAME?</v>
      </c>
    </row>
    <row r="9099" spans="1:1">
      <c r="A9099" s="35" t="s">
        <v>55749</v>
      </c>
    </row>
    <row r="9100" spans="1:1">
      <c r="A9100" s="35" t="s">
        <v>41057</v>
      </c>
    </row>
    <row r="9101" spans="1:1">
      <c r="A9101" s="35" t="s">
        <v>41057</v>
      </c>
    </row>
    <row r="9102" spans="1:1">
      <c r="A9102" s="35" t="s">
        <v>41057</v>
      </c>
    </row>
    <row r="9103" spans="1:1">
      <c r="A9103" s="35" t="e" cm="1">
        <f t="array" ref="A9103">---------------LIDY------------------FNS-------------------V</f>
        <v>#NAME?</v>
      </c>
    </row>
    <row r="9104" spans="1:1">
      <c r="A9104" s="35" t="s">
        <v>55750</v>
      </c>
    </row>
    <row r="9105" spans="1:1">
      <c r="A9105" s="35" t="s">
        <v>41057</v>
      </c>
    </row>
    <row r="9106" spans="1:1">
      <c r="A9106" s="35" t="s">
        <v>41057</v>
      </c>
    </row>
    <row r="9107" spans="1:1">
      <c r="A9107" s="35" t="s">
        <v>41057</v>
      </c>
    </row>
    <row r="9108" spans="1:1">
      <c r="A9108" s="35" t="s">
        <v>41057</v>
      </c>
    </row>
    <row r="9109" spans="1:1">
      <c r="A9109" s="35" t="s">
        <v>41057</v>
      </c>
    </row>
    <row r="9110" spans="1:1">
      <c r="A9110" s="35" t="s">
        <v>41057</v>
      </c>
    </row>
    <row r="9111" spans="1:1">
      <c r="A9111" s="35" t="s">
        <v>41057</v>
      </c>
    </row>
    <row r="9112" spans="1:1">
      <c r="A9112" s="35" t="s">
        <v>41057</v>
      </c>
    </row>
    <row r="9113" spans="1:1">
      <c r="A9113" s="35" t="s">
        <v>41057</v>
      </c>
    </row>
    <row r="9114" spans="1:1">
      <c r="A9114" s="35" t="s">
        <v>41057</v>
      </c>
    </row>
    <row r="9115" spans="1:1">
      <c r="A9115" s="35" t="s">
        <v>41057</v>
      </c>
    </row>
    <row r="9116" spans="1:1">
      <c r="A9116" s="35" t="s">
        <v>41057</v>
      </c>
    </row>
    <row r="9117" spans="1:1">
      <c r="A9117" s="35" t="s">
        <v>41057</v>
      </c>
    </row>
    <row r="9118" spans="1:1">
      <c r="A9118" s="35" t="s">
        <v>41057</v>
      </c>
    </row>
    <row r="9119" spans="1:1">
      <c r="A9119" s="35" t="s">
        <v>41057</v>
      </c>
    </row>
    <row r="9120" spans="1:1">
      <c r="A9120" s="35" t="s">
        <v>55751</v>
      </c>
    </row>
    <row r="9121" spans="1:1">
      <c r="A9121" s="35" t="s">
        <v>55752</v>
      </c>
    </row>
    <row r="9122" spans="1:1">
      <c r="A9122" s="35" t="s">
        <v>41057</v>
      </c>
    </row>
    <row r="9123" spans="1:1">
      <c r="A9123" s="35" t="s">
        <v>41057</v>
      </c>
    </row>
    <row r="9124" spans="1:1">
      <c r="A9124" s="35" t="s">
        <v>41057</v>
      </c>
    </row>
    <row r="9125" spans="1:1">
      <c r="A9125" s="35" t="s">
        <v>41057</v>
      </c>
    </row>
    <row r="9126" spans="1:1">
      <c r="A9126" s="35" t="s">
        <v>41057</v>
      </c>
    </row>
    <row r="9127" spans="1:1">
      <c r="A9127" s="35" t="s">
        <v>41057</v>
      </c>
    </row>
    <row r="9128" spans="1:1">
      <c r="A9128" s="35" t="s">
        <v>41057</v>
      </c>
    </row>
    <row r="9129" spans="1:1">
      <c r="A9129" s="35" t="s">
        <v>41057</v>
      </c>
    </row>
    <row r="9130" spans="1:1">
      <c r="A9130" s="35" t="s">
        <v>41057</v>
      </c>
    </row>
    <row r="9131" spans="1:1">
      <c r="A9131" s="35" t="s">
        <v>41057</v>
      </c>
    </row>
    <row r="9132" spans="1:1">
      <c r="A9132" s="35" t="s">
        <v>41057</v>
      </c>
    </row>
    <row r="9133" spans="1:1">
      <c r="A9133" s="35" t="s">
        <v>55753</v>
      </c>
    </row>
    <row r="9134" spans="1:1">
      <c r="A9134" s="35" t="s">
        <v>41057</v>
      </c>
    </row>
    <row r="9135" spans="1:1">
      <c r="A9135" s="35" t="s">
        <v>41057</v>
      </c>
    </row>
    <row r="9136" spans="1:1">
      <c r="A9136" s="35" t="s">
        <v>41057</v>
      </c>
    </row>
    <row r="9137" spans="1:1">
      <c r="A9137" s="35" t="s">
        <v>41057</v>
      </c>
    </row>
    <row r="9138" spans="1:1">
      <c r="A9138" s="35" t="e" cm="1">
        <f t="array" ref="A9138">---------IHRYNGESYKMTPYNTRFYGL----NDNLPLVYPFDHPPVNPYGVNPDYYS</f>
        <v>#NAME?</v>
      </c>
    </row>
    <row r="9139" spans="1:1">
      <c r="A9139" s="35" t="s">
        <v>55754</v>
      </c>
    </row>
    <row r="9140" spans="1:1">
      <c r="A9140" s="35" t="s">
        <v>41057</v>
      </c>
    </row>
    <row r="9141" spans="1:1">
      <c r="A9141" s="35" t="e" cm="1">
        <f t="array" ref="A9141">-----------------------------------------------------------S</f>
        <v>#NAME?</v>
      </c>
    </row>
    <row r="9142" spans="1:1">
      <c r="A9142" s="35" t="s">
        <v>55755</v>
      </c>
    </row>
    <row r="9143" spans="1:1">
      <c r="A9143" s="35" t="s">
        <v>41057</v>
      </c>
    </row>
    <row r="9144" spans="1:1">
      <c r="A9144" s="35" t="s">
        <v>55756</v>
      </c>
    </row>
    <row r="9145" spans="1:1">
      <c r="A9145" s="35" t="s">
        <v>41057</v>
      </c>
    </row>
    <row r="9146" spans="1:1">
      <c r="A9146" s="35" t="s">
        <v>55757</v>
      </c>
    </row>
    <row r="9147" spans="1:1">
      <c r="A9147" s="35" t="s">
        <v>41057</v>
      </c>
    </row>
    <row r="9148" spans="1:1">
      <c r="A9148" s="35" t="s">
        <v>41057</v>
      </c>
    </row>
    <row r="9149" spans="1:1">
      <c r="A9149" s="35" t="s">
        <v>41057</v>
      </c>
    </row>
    <row r="9150" spans="1:1">
      <c r="A9150" s="35" t="s">
        <v>41057</v>
      </c>
    </row>
    <row r="9151" spans="1:1">
      <c r="A9151" s="35" t="s">
        <v>41057</v>
      </c>
    </row>
    <row r="9152" spans="1:1">
      <c r="A9152" s="35" t="s">
        <v>41057</v>
      </c>
    </row>
    <row r="9153" spans="1:1">
      <c r="A9153" s="35" t="s">
        <v>41057</v>
      </c>
    </row>
    <row r="9154" spans="1:1">
      <c r="A9154" s="35" t="s">
        <v>41057</v>
      </c>
    </row>
    <row r="9155" spans="1:1">
      <c r="A9155" s="35" t="s">
        <v>41057</v>
      </c>
    </row>
    <row r="9156" spans="1:1">
      <c r="A9156" s="35" t="s">
        <v>41057</v>
      </c>
    </row>
    <row r="9157" spans="1:1">
      <c r="A9157" s="35" t="s">
        <v>41057</v>
      </c>
    </row>
    <row r="9158" spans="1:1">
      <c r="A9158" s="35" t="s">
        <v>41057</v>
      </c>
    </row>
    <row r="9159" spans="1:1">
      <c r="A9159" s="35" t="s">
        <v>41057</v>
      </c>
    </row>
    <row r="9160" spans="1:1">
      <c r="A9160" s="35" t="s">
        <v>41057</v>
      </c>
    </row>
    <row r="9161" spans="1:1">
      <c r="A9161" s="35" t="s">
        <v>41057</v>
      </c>
    </row>
    <row r="9162" spans="1:1">
      <c r="A9162" s="35" t="s">
        <v>41057</v>
      </c>
    </row>
    <row r="9163" spans="1:1">
      <c r="A9163" s="35" t="s">
        <v>41057</v>
      </c>
    </row>
    <row r="9164" spans="1:1">
      <c r="A9164" s="35" t="s">
        <v>41057</v>
      </c>
    </row>
    <row r="9165" spans="1:1">
      <c r="A9165" s="35" t="s">
        <v>41057</v>
      </c>
    </row>
    <row r="9166" spans="1:1">
      <c r="A9166" s="35" t="s">
        <v>41057</v>
      </c>
    </row>
    <row r="9167" spans="1:1">
      <c r="A9167" s="35" t="s">
        <v>41057</v>
      </c>
    </row>
    <row r="9168" spans="1:1">
      <c r="A9168" s="35" t="s">
        <v>41057</v>
      </c>
    </row>
    <row r="9169" spans="1:1">
      <c r="A9169" s="35" t="s">
        <v>41057</v>
      </c>
    </row>
    <row r="9170" spans="1:1">
      <c r="A9170" s="35" t="s">
        <v>41057</v>
      </c>
    </row>
    <row r="9171" spans="1:1">
      <c r="A9171" s="35" t="s">
        <v>41057</v>
      </c>
    </row>
    <row r="9172" spans="1:1">
      <c r="A9172" s="35" t="s">
        <v>41057</v>
      </c>
    </row>
    <row r="9173" spans="1:1">
      <c r="A9173" s="35" t="s">
        <v>41057</v>
      </c>
    </row>
    <row r="9174" spans="1:1">
      <c r="A9174" s="35" t="s">
        <v>41057</v>
      </c>
    </row>
    <row r="9175" spans="1:1">
      <c r="A9175" s="35" t="s">
        <v>41057</v>
      </c>
    </row>
    <row r="9176" spans="1:1">
      <c r="A9176" s="35" t="s">
        <v>41057</v>
      </c>
    </row>
    <row r="9177" spans="1:1">
      <c r="A9177" s="35" t="s">
        <v>41057</v>
      </c>
    </row>
    <row r="9178" spans="1:1">
      <c r="A9178" s="35" t="s">
        <v>41057</v>
      </c>
    </row>
    <row r="9179" spans="1:1">
      <c r="A9179" s="35" t="s">
        <v>41057</v>
      </c>
    </row>
    <row r="9180" spans="1:1">
      <c r="A9180" s="35" t="s">
        <v>41057</v>
      </c>
    </row>
    <row r="9181" spans="1:1">
      <c r="A9181" s="35" t="s">
        <v>41057</v>
      </c>
    </row>
    <row r="9182" spans="1:1">
      <c r="A9182" s="35" t="s">
        <v>41057</v>
      </c>
    </row>
    <row r="9183" spans="1:1">
      <c r="A9183" s="35" t="s">
        <v>41057</v>
      </c>
    </row>
    <row r="9184" spans="1:1">
      <c r="A9184" s="35" t="s">
        <v>41057</v>
      </c>
    </row>
    <row r="9185" spans="1:1">
      <c r="A9185" s="35" t="s">
        <v>41057</v>
      </c>
    </row>
    <row r="9186" spans="1:1">
      <c r="A9186" s="35" t="s">
        <v>41057</v>
      </c>
    </row>
    <row r="9187" spans="1:1">
      <c r="A9187" s="35" t="s">
        <v>41057</v>
      </c>
    </row>
    <row r="9188" spans="1:1">
      <c r="A9188" s="35" t="s">
        <v>41057</v>
      </c>
    </row>
    <row r="9189" spans="1:1">
      <c r="A9189" s="35" t="s">
        <v>41057</v>
      </c>
    </row>
    <row r="9190" spans="1:1">
      <c r="A9190" s="35" t="s">
        <v>41057</v>
      </c>
    </row>
    <row r="9191" spans="1:1">
      <c r="A9191" s="35" t="s">
        <v>41057</v>
      </c>
    </row>
    <row r="9192" spans="1:1">
      <c r="A9192" s="35" t="s">
        <v>41057</v>
      </c>
    </row>
    <row r="9193" spans="1:1">
      <c r="A9193" s="35" t="s">
        <v>41057</v>
      </c>
    </row>
    <row r="9194" spans="1:1">
      <c r="A9194" s="35" t="s">
        <v>41057</v>
      </c>
    </row>
    <row r="9195" spans="1:1">
      <c r="A9195" s="35" t="s">
        <v>41057</v>
      </c>
    </row>
    <row r="9196" spans="1:1">
      <c r="A9196" s="35" t="s">
        <v>41057</v>
      </c>
    </row>
    <row r="9197" spans="1:1">
      <c r="A9197" s="35" t="s">
        <v>41057</v>
      </c>
    </row>
    <row r="9198" spans="1:1">
      <c r="A9198" s="35" t="s">
        <v>41057</v>
      </c>
    </row>
    <row r="9199" spans="1:1">
      <c r="A9199" s="35" t="s">
        <v>41057</v>
      </c>
    </row>
    <row r="9200" spans="1:1">
      <c r="A9200" s="35" t="s">
        <v>41057</v>
      </c>
    </row>
    <row r="9201" spans="1:1">
      <c r="A9201" s="35" t="s">
        <v>41057</v>
      </c>
    </row>
    <row r="9202" spans="1:1">
      <c r="A9202" s="35" t="s">
        <v>41057</v>
      </c>
    </row>
    <row r="9203" spans="1:1">
      <c r="A9203" s="35" t="s">
        <v>41057</v>
      </c>
    </row>
    <row r="9204" spans="1:1">
      <c r="A9204" s="35" t="s">
        <v>53545</v>
      </c>
    </row>
    <row r="9205" spans="1:1">
      <c r="A9205" s="35" t="s">
        <v>52087</v>
      </c>
    </row>
    <row r="9206" spans="1:1">
      <c r="A9206" s="35" t="s">
        <v>41057</v>
      </c>
    </row>
    <row r="9207" spans="1:1">
      <c r="A9207" s="35" t="s">
        <v>41057</v>
      </c>
    </row>
    <row r="9208" spans="1:1">
      <c r="A9208" s="35" t="s">
        <v>41057</v>
      </c>
    </row>
    <row r="9209" spans="1:1">
      <c r="A9209" s="35" t="s">
        <v>41057</v>
      </c>
    </row>
    <row r="9210" spans="1:1">
      <c r="A9210" s="35" t="s">
        <v>41057</v>
      </c>
    </row>
    <row r="9211" spans="1:1">
      <c r="A9211" s="35" t="s">
        <v>54096</v>
      </c>
    </row>
    <row r="9212" spans="1:1">
      <c r="A9212" s="35" t="s">
        <v>41057</v>
      </c>
    </row>
    <row r="9213" spans="1:1">
      <c r="A9213" s="35" t="s">
        <v>41057</v>
      </c>
    </row>
    <row r="9214" spans="1:1">
      <c r="A9214" s="35" t="s">
        <v>41057</v>
      </c>
    </row>
    <row r="9215" spans="1:1">
      <c r="A9215" s="35" t="s">
        <v>54344</v>
      </c>
    </row>
    <row r="9216" spans="1:1">
      <c r="A9216" s="35" t="e" cm="1">
        <f t="array" ref="A9216">---------------------------------------------LNLVAN--------N</f>
        <v>#NAME?</v>
      </c>
    </row>
    <row r="9217" spans="1:1">
      <c r="A9217" s="35" t="s">
        <v>55758</v>
      </c>
    </row>
    <row r="9218" spans="1:1">
      <c r="A9218" s="35" t="s">
        <v>54346</v>
      </c>
    </row>
    <row r="9219" spans="1:1">
      <c r="A9219" s="35" t="s">
        <v>41057</v>
      </c>
    </row>
    <row r="9220" spans="1:1">
      <c r="A9220" s="35" t="s">
        <v>41057</v>
      </c>
    </row>
    <row r="9221" spans="1:1">
      <c r="A9221" s="35" t="e" cm="1">
        <f t="array" ref="A9221">---------------QVTF------------------FKK-------------------V</f>
        <v>#NAME?</v>
      </c>
    </row>
    <row r="9222" spans="1:1">
      <c r="A9222" s="35" t="s">
        <v>54288</v>
      </c>
    </row>
    <row r="9223" spans="1:1">
      <c r="A9223" s="35" t="s">
        <v>55759</v>
      </c>
    </row>
    <row r="9224" spans="1:1">
      <c r="A9224" s="35" t="s">
        <v>41057</v>
      </c>
    </row>
    <row r="9225" spans="1:1">
      <c r="A9225" s="35" t="s">
        <v>55760</v>
      </c>
    </row>
    <row r="9226" spans="1:1">
      <c r="A9226" s="35" t="s">
        <v>41057</v>
      </c>
    </row>
    <row r="9227" spans="1:1">
      <c r="A9227" s="35" t="s">
        <v>41057</v>
      </c>
    </row>
    <row r="9228" spans="1:1">
      <c r="A9228" s="35" t="s">
        <v>55761</v>
      </c>
    </row>
    <row r="9229" spans="1:1">
      <c r="A9229" s="35" t="s">
        <v>41057</v>
      </c>
    </row>
    <row r="9230" spans="1:1">
      <c r="A9230" s="35" t="s">
        <v>41057</v>
      </c>
    </row>
    <row r="9231" spans="1:1">
      <c r="A9231" s="35" t="s">
        <v>53500</v>
      </c>
    </row>
    <row r="9232" spans="1:1">
      <c r="A9232" s="35" t="s">
        <v>41057</v>
      </c>
    </row>
    <row r="9233" spans="1:1">
      <c r="A9233" s="35" t="s">
        <v>41057</v>
      </c>
    </row>
    <row r="9234" spans="1:1">
      <c r="A9234" s="35" t="s">
        <v>55762</v>
      </c>
    </row>
    <row r="9235" spans="1:1">
      <c r="A9235" s="35" t="s">
        <v>41057</v>
      </c>
    </row>
    <row r="9236" spans="1:1">
      <c r="A9236" s="35" t="s">
        <v>55763</v>
      </c>
    </row>
    <row r="9237" spans="1:1">
      <c r="A9237" s="35" t="s">
        <v>41057</v>
      </c>
    </row>
    <row r="9238" spans="1:1">
      <c r="A9238" s="35" t="s">
        <v>55764</v>
      </c>
    </row>
    <row r="9239" spans="1:1">
      <c r="A9239" s="35" t="s">
        <v>55765</v>
      </c>
    </row>
    <row r="9240" spans="1:1">
      <c r="A9240" s="35" t="s">
        <v>41057</v>
      </c>
    </row>
    <row r="9241" spans="1:1">
      <c r="A9241" s="35" t="s">
        <v>41057</v>
      </c>
    </row>
    <row r="9242" spans="1:1">
      <c r="A9242" s="35" t="e" cm="1">
        <f t="array" ref="A9242">------------------I--PKISAGFLNSKNYDIVKAINQINFK--DDILYKQIDSCI</f>
        <v>#NAME?</v>
      </c>
    </row>
    <row r="9243" spans="1:1">
      <c r="A9243" s="35" t="s">
        <v>55766</v>
      </c>
    </row>
    <row r="9244" spans="1:1">
      <c r="A9244" s="35" t="s">
        <v>55767</v>
      </c>
    </row>
    <row r="9245" spans="1:1">
      <c r="A9245" s="35" t="s">
        <v>55768</v>
      </c>
    </row>
    <row r="9246" spans="1:1">
      <c r="A9246" s="35" t="s">
        <v>55769</v>
      </c>
    </row>
    <row r="9247" spans="1:1">
      <c r="A9247" s="35" t="s">
        <v>55770</v>
      </c>
    </row>
    <row r="9248" spans="1:1">
      <c r="A9248" s="35" t="e" cm="1">
        <f t="array" ref="A9248">-----NNDFLPIDLHTTNDYIYPNILENSYLKFVNEEAEKMF--DNIKLQTNFLFEKYRP</f>
        <v>#NAME?</v>
      </c>
    </row>
    <row r="9249" spans="1:1">
      <c r="A9249" s="35" t="s">
        <v>55771</v>
      </c>
    </row>
    <row r="9250" spans="1:1">
      <c r="A9250" s="35" t="s">
        <v>55772</v>
      </c>
    </row>
    <row r="9251" spans="1:1">
      <c r="A9251" s="35" t="e" cm="1">
        <f t="array" ref="A9251">-IMLLKINIEYYMHEISYLLNDLYSNTSCPDISSTMTTYL-PEILK------NNLTDSNM</f>
        <v>#NAME?</v>
      </c>
    </row>
    <row r="9252" spans="1:1">
      <c r="A9252" s="35" t="s">
        <v>55773</v>
      </c>
    </row>
    <row r="9253" spans="1:1">
      <c r="A9253" s="35" t="s">
        <v>55774</v>
      </c>
    </row>
    <row r="9254" spans="1:1">
      <c r="A9254" s="35" t="s">
        <v>55775</v>
      </c>
    </row>
    <row r="9255" spans="1:1">
      <c r="A9255" s="35" t="s">
        <v>55776</v>
      </c>
    </row>
    <row r="9256" spans="1:1">
      <c r="A9256" s="35" t="s">
        <v>55777</v>
      </c>
    </row>
    <row r="9257" spans="1:1">
      <c r="A9257" s="35" t="s">
        <v>55778</v>
      </c>
    </row>
    <row r="9258" spans="1:1">
      <c r="A9258" s="35" t="e" cm="1">
        <f t="array" ref="A9258">-----DNCSKYQLFDID--------YY-------------------------------RI</f>
        <v>#NAME?</v>
      </c>
    </row>
    <row r="9259" spans="1:1">
      <c r="A9259" s="35" t="s">
        <v>55779</v>
      </c>
    </row>
    <row r="9260" spans="1:1">
      <c r="A9260" s="35" t="s">
        <v>55780</v>
      </c>
    </row>
    <row r="9261" spans="1:1">
      <c r="A9261" s="35" t="s">
        <v>55781</v>
      </c>
    </row>
    <row r="9262" spans="1:1">
      <c r="A9262" s="35" t="s">
        <v>55782</v>
      </c>
    </row>
    <row r="9263" spans="1:1">
      <c r="A9263" s="35" t="s">
        <v>55783</v>
      </c>
    </row>
    <row r="9264" spans="1:1">
      <c r="A9264" s="35" t="s">
        <v>55784</v>
      </c>
    </row>
    <row r="9265" spans="1:1">
      <c r="A9265" s="35" t="e" cm="1">
        <f t="array" ref="A9265">-----DMQKYILEKYHNYLLQ-------DSITLLTQKDICD-------TINTIFVSCNSI</f>
        <v>#NAME?</v>
      </c>
    </row>
    <row r="9266" spans="1:1">
      <c r="A9266" s="35" t="s">
        <v>55785</v>
      </c>
    </row>
    <row r="9267" spans="1:1">
      <c r="A9267" s="35" t="e" cm="1">
        <f t="array" ref="A9267">-----------------------------SKGINYED---YYNYITKIIIPKYNSQITKS</f>
        <v>#NAME?</v>
      </c>
    </row>
    <row r="9268" spans="1:1">
      <c r="A9268" s="35" t="e" cm="1">
        <f t="array" ref="A9268">-----------------------------------------------AKLLIINVNISRD</f>
        <v>#NAME?</v>
      </c>
    </row>
    <row r="9269" spans="1:1">
      <c r="A9269" s="35" t="s">
        <v>55786</v>
      </c>
    </row>
    <row r="9270" spans="1:1">
      <c r="A9270" s="35" t="s">
        <v>55787</v>
      </c>
    </row>
    <row r="9271" spans="1:1">
      <c r="A9271" s="35" t="s">
        <v>55788</v>
      </c>
    </row>
    <row r="9272" spans="1:1">
      <c r="A9272" s="35" t="s">
        <v>55789</v>
      </c>
    </row>
    <row r="9273" spans="1:1">
      <c r="A9273" s="35" t="s">
        <v>55790</v>
      </c>
    </row>
    <row r="9274" spans="1:1">
      <c r="A9274" s="35" t="s">
        <v>55791</v>
      </c>
    </row>
    <row r="9275" spans="1:1">
      <c r="A9275" s="35" t="e" cm="1">
        <f t="array" ref="A9275">-----------------------------------KLQNIYYRNRNAKLAWIHKL---AH</f>
        <v>#NAME?</v>
      </c>
    </row>
    <row r="9276" spans="1:1">
      <c r="A9276" s="35" t="s">
        <v>55792</v>
      </c>
    </row>
    <row r="9277" spans="1:1">
      <c r="A9277" s="35" t="e" cm="1">
        <f t="array" ref="A9277">---------------SDWYETNSQISL---------NNSE------------------LD</f>
        <v>#NAME?</v>
      </c>
    </row>
    <row r="9278" spans="1:1">
      <c r="A9278" s="35" t="s">
        <v>55793</v>
      </c>
    </row>
    <row r="9279" spans="1:1">
      <c r="A9279" s="35" t="e" cm="1">
        <f t="array" ref="A9279">----------------------------------------------------------TP</f>
        <v>#NAME?</v>
      </c>
    </row>
    <row r="9280" spans="1:1">
      <c r="A9280" s="35" t="s">
        <v>55683</v>
      </c>
    </row>
    <row r="9281" spans="1:1">
      <c r="A9281" s="35" t="s">
        <v>55794</v>
      </c>
    </row>
    <row r="9282" spans="1:1">
      <c r="A9282" s="35" t="s">
        <v>41057</v>
      </c>
    </row>
    <row r="9283" spans="1:1">
      <c r="A9283" s="35" t="s">
        <v>54262</v>
      </c>
    </row>
    <row r="9284" spans="1:1">
      <c r="A9284" s="35" t="s">
        <v>55795</v>
      </c>
    </row>
    <row r="9285" spans="1:1">
      <c r="A9285" s="35" t="s">
        <v>55796</v>
      </c>
    </row>
    <row r="9286" spans="1:1">
      <c r="A9286" s="35" t="s">
        <v>41057</v>
      </c>
    </row>
    <row r="9287" spans="1:1">
      <c r="A9287" s="35" t="s">
        <v>41057</v>
      </c>
    </row>
    <row r="9288" spans="1:1">
      <c r="A9288" s="35" t="s">
        <v>41057</v>
      </c>
    </row>
    <row r="9289" spans="1:1">
      <c r="A9289" s="35" t="s">
        <v>55797</v>
      </c>
    </row>
    <row r="9290" spans="1:1">
      <c r="A9290" s="35" t="s">
        <v>41057</v>
      </c>
    </row>
    <row r="9291" spans="1:1">
      <c r="A9291" s="35" t="s">
        <v>41057</v>
      </c>
    </row>
    <row r="9292" spans="1:1">
      <c r="A9292" s="35" t="s">
        <v>55798</v>
      </c>
    </row>
    <row r="9293" spans="1:1">
      <c r="A9293" s="35" t="s">
        <v>55799</v>
      </c>
    </row>
    <row r="9294" spans="1:1">
      <c r="A9294" s="35" t="s">
        <v>55800</v>
      </c>
    </row>
    <row r="9295" spans="1:1">
      <c r="A9295" s="35" t="e" cm="1">
        <f t="array" ref="A9295">-----QY--------------------I-------MDE--------------LQFDT--I</f>
        <v>#NAME?</v>
      </c>
    </row>
    <row r="9296" spans="1:1">
      <c r="A9296" s="35" t="s">
        <v>55801</v>
      </c>
    </row>
    <row r="9297" spans="1:1">
      <c r="A9297" s="35" t="s">
        <v>55802</v>
      </c>
    </row>
    <row r="9298" spans="1:1">
      <c r="A9298" s="35" t="s">
        <v>55803</v>
      </c>
    </row>
    <row r="9299" spans="1:1">
      <c r="A9299" s="35" t="e" cm="1">
        <f t="array" ref="A9299">-------------------------------------------------TNYIHFNRYII</f>
        <v>#NAME?</v>
      </c>
    </row>
    <row r="9300" spans="1:1">
      <c r="A9300" s="35" t="s">
        <v>41057</v>
      </c>
    </row>
    <row r="9301" spans="1:1">
      <c r="A9301" s="35" t="s">
        <v>55804</v>
      </c>
    </row>
    <row r="9302" spans="1:1">
      <c r="A9302" s="35" t="e" cm="1">
        <f t="array" ref="A9302">--PNLRNINS-----------------------NYFYGERQWDNFGLYSRYDLSMIHQIK</f>
        <v>#NAME?</v>
      </c>
    </row>
    <row r="9303" spans="1:1">
      <c r="A9303" s="35" t="s">
        <v>55805</v>
      </c>
    </row>
    <row r="9304" spans="1:1">
      <c r="A9304" s="35" t="e" cm="1">
        <f t="array" ref="A9304">-----EYFLQMLQTIKDRYMNYCDVIVDKSHIIKLRQNILSLNIDYPIVDWDILQEMIAY</f>
        <v>#NAME?</v>
      </c>
    </row>
    <row r="9305" spans="1:1">
      <c r="A9305" s="35" t="s">
        <v>55806</v>
      </c>
    </row>
    <row r="9306" spans="1:1">
      <c r="A9306" s="35" t="s">
        <v>55807</v>
      </c>
    </row>
    <row r="9307" spans="1:1">
      <c r="A9307" s="35" t="e" cm="1">
        <f t="array" ref="A9307">-LVKYHVMNDPNIDFDNIINNTYNIYNQLQINLLLEEIDKLLELQDLNYDFINIIDMVRN</f>
        <v>#NAME?</v>
      </c>
    </row>
    <row r="9308" spans="1:1">
      <c r="A9308" s="35" t="s">
        <v>55808</v>
      </c>
    </row>
    <row r="9309" spans="1:1">
      <c r="A9309" s="35" t="e" cm="1">
        <f t="array" ref="A9309">-------------------------------DK-SIKYELYHDVIYQIGDLE-STNYSEI</f>
        <v>#NAME?</v>
      </c>
    </row>
    <row r="9310" spans="1:1">
      <c r="A9310" s="35" t="s">
        <v>55809</v>
      </c>
    </row>
    <row r="9311" spans="1:1">
      <c r="A9311" s="35" t="s">
        <v>55810</v>
      </c>
    </row>
    <row r="9312" spans="1:1">
      <c r="A9312" s="35" t="s">
        <v>55811</v>
      </c>
    </row>
    <row r="9313" spans="1:1">
      <c r="A9313" s="35" t="s">
        <v>55812</v>
      </c>
    </row>
    <row r="9314" spans="1:1">
      <c r="A9314" s="35" t="s">
        <v>55813</v>
      </c>
    </row>
    <row r="9315" spans="1:1">
      <c r="A9315" s="35" t="s">
        <v>55814</v>
      </c>
    </row>
    <row r="9316" spans="1:1">
      <c r="A9316" s="35" t="s">
        <v>55815</v>
      </c>
    </row>
    <row r="9317" spans="1:1">
      <c r="A9317" s="35" t="s">
        <v>41057</v>
      </c>
    </row>
    <row r="9318" spans="1:1">
      <c r="A9318" s="35" t="s">
        <v>55816</v>
      </c>
    </row>
    <row r="9319" spans="1:1">
      <c r="A9319" s="35" t="s">
        <v>55817</v>
      </c>
    </row>
    <row r="9320" spans="1:1">
      <c r="A9320" s="35" t="s">
        <v>55818</v>
      </c>
    </row>
    <row r="9321" spans="1:1">
      <c r="A9321" s="35" t="s">
        <v>41057</v>
      </c>
    </row>
    <row r="9322" spans="1:1">
      <c r="A9322" s="35" t="s">
        <v>53545</v>
      </c>
    </row>
    <row r="9323" spans="1:1">
      <c r="A9323" s="35" t="s">
        <v>52126</v>
      </c>
    </row>
    <row r="9324" spans="1:1">
      <c r="A9324" s="35" t="s">
        <v>41057</v>
      </c>
    </row>
    <row r="9325" spans="1:1">
      <c r="A9325" s="35" t="s">
        <v>41057</v>
      </c>
    </row>
    <row r="9326" spans="1:1">
      <c r="A9326" s="35" t="s">
        <v>41057</v>
      </c>
    </row>
    <row r="9327" spans="1:1">
      <c r="A9327" s="35" t="s">
        <v>41057</v>
      </c>
    </row>
    <row r="9328" spans="1:1">
      <c r="A9328" s="35" t="s">
        <v>41057</v>
      </c>
    </row>
    <row r="9329" spans="1:1">
      <c r="A9329" s="35" t="s">
        <v>41057</v>
      </c>
    </row>
    <row r="9330" spans="1:1">
      <c r="A9330" s="35" t="s">
        <v>41057</v>
      </c>
    </row>
    <row r="9331" spans="1:1">
      <c r="A9331" s="35" t="s">
        <v>41057</v>
      </c>
    </row>
    <row r="9332" spans="1:1">
      <c r="A9332" s="35" t="s">
        <v>41057</v>
      </c>
    </row>
    <row r="9333" spans="1:1">
      <c r="A9333" s="35" t="s">
        <v>41057</v>
      </c>
    </row>
    <row r="9334" spans="1:1">
      <c r="A9334" s="35" t="s">
        <v>41057</v>
      </c>
    </row>
    <row r="9335" spans="1:1">
      <c r="A9335" s="35" t="s">
        <v>41057</v>
      </c>
    </row>
    <row r="9336" spans="1:1">
      <c r="A9336" s="35" t="s">
        <v>41057</v>
      </c>
    </row>
    <row r="9337" spans="1:1">
      <c r="A9337" s="35" t="s">
        <v>41057</v>
      </c>
    </row>
    <row r="9338" spans="1:1">
      <c r="A9338" s="35" t="s">
        <v>41057</v>
      </c>
    </row>
    <row r="9339" spans="1:1">
      <c r="A9339" s="35" t="s">
        <v>41057</v>
      </c>
    </row>
    <row r="9340" spans="1:1">
      <c r="A9340" s="35" t="s">
        <v>41057</v>
      </c>
    </row>
    <row r="9341" spans="1:1">
      <c r="A9341" s="35" t="s">
        <v>41057</v>
      </c>
    </row>
    <row r="9342" spans="1:1">
      <c r="A9342" s="35" t="s">
        <v>41057</v>
      </c>
    </row>
    <row r="9343" spans="1:1">
      <c r="A9343" s="35" t="s">
        <v>41057</v>
      </c>
    </row>
    <row r="9344" spans="1:1">
      <c r="A9344" s="35" t="s">
        <v>41057</v>
      </c>
    </row>
    <row r="9345" spans="1:1">
      <c r="A9345" s="35" t="s">
        <v>41057</v>
      </c>
    </row>
    <row r="9346" spans="1:1">
      <c r="A9346" s="35" t="s">
        <v>41057</v>
      </c>
    </row>
    <row r="9347" spans="1:1">
      <c r="A9347" s="35" t="s">
        <v>41057</v>
      </c>
    </row>
    <row r="9348" spans="1:1">
      <c r="A9348" s="35" t="s">
        <v>41057</v>
      </c>
    </row>
    <row r="9349" spans="1:1">
      <c r="A9349" s="35" t="s">
        <v>41057</v>
      </c>
    </row>
    <row r="9350" spans="1:1">
      <c r="A9350" s="35" t="s">
        <v>41057</v>
      </c>
    </row>
    <row r="9351" spans="1:1">
      <c r="A9351" s="35" t="s">
        <v>41057</v>
      </c>
    </row>
    <row r="9352" spans="1:1">
      <c r="A9352" s="35" t="s">
        <v>41057</v>
      </c>
    </row>
    <row r="9353" spans="1:1">
      <c r="A9353" s="35" t="s">
        <v>41057</v>
      </c>
    </row>
    <row r="9354" spans="1:1">
      <c r="A9354" s="35" t="s">
        <v>41057</v>
      </c>
    </row>
    <row r="9355" spans="1:1">
      <c r="A9355" s="35" t="s">
        <v>41057</v>
      </c>
    </row>
    <row r="9356" spans="1:1">
      <c r="A9356" s="35" t="s">
        <v>41057</v>
      </c>
    </row>
    <row r="9357" spans="1:1">
      <c r="A9357" s="35" t="s">
        <v>41057</v>
      </c>
    </row>
    <row r="9358" spans="1:1">
      <c r="A9358" s="35" t="s">
        <v>41057</v>
      </c>
    </row>
    <row r="9359" spans="1:1">
      <c r="A9359" s="35" t="s">
        <v>41057</v>
      </c>
    </row>
    <row r="9360" spans="1:1">
      <c r="A9360" s="35" t="s">
        <v>41057</v>
      </c>
    </row>
    <row r="9361" spans="1:1">
      <c r="A9361" s="35" t="s">
        <v>41057</v>
      </c>
    </row>
    <row r="9362" spans="1:1">
      <c r="A9362" s="35" t="s">
        <v>41057</v>
      </c>
    </row>
    <row r="9363" spans="1:1">
      <c r="A9363" s="35" t="s">
        <v>41057</v>
      </c>
    </row>
    <row r="9364" spans="1:1">
      <c r="A9364" s="35" t="s">
        <v>41057</v>
      </c>
    </row>
    <row r="9365" spans="1:1">
      <c r="A9365" s="35" t="e" cm="1">
        <f t="array" ref="A9365">--------------------------------------------------------MNSS</f>
        <v>#NAME?</v>
      </c>
    </row>
    <row r="9366" spans="1:1">
      <c r="A9366" s="35" t="s">
        <v>55819</v>
      </c>
    </row>
    <row r="9367" spans="1:1">
      <c r="A9367" s="35" t="s">
        <v>55820</v>
      </c>
    </row>
    <row r="9368" spans="1:1">
      <c r="A9368" s="35" t="s">
        <v>55821</v>
      </c>
    </row>
    <row r="9369" spans="1:1">
      <c r="A9369" s="35" t="e" cm="1">
        <f t="array" ref="A9369">-IILLKINLDYYMHEISYLLNDLYSSSPSTNISQKLTDYV-PVITN------N----PDT</f>
        <v>#NAME?</v>
      </c>
    </row>
    <row r="9370" spans="1:1">
      <c r="A9370" s="35" t="s">
        <v>55822</v>
      </c>
    </row>
    <row r="9371" spans="1:1">
      <c r="A9371" s="35" t="s">
        <v>55823</v>
      </c>
    </row>
    <row r="9372" spans="1:1">
      <c r="A9372" s="35" t="s">
        <v>55824</v>
      </c>
    </row>
    <row r="9373" spans="1:1">
      <c r="A9373" s="35" t="s">
        <v>55825</v>
      </c>
    </row>
    <row r="9374" spans="1:1">
      <c r="A9374" s="35" t="s">
        <v>55826</v>
      </c>
    </row>
    <row r="9375" spans="1:1">
      <c r="A9375" s="35" t="s">
        <v>55827</v>
      </c>
    </row>
    <row r="9376" spans="1:1">
      <c r="A9376" s="35" t="e" cm="1">
        <f t="array" ref="A9376">-----DNMEEFQLYEID--------FF-------------------------------RL</f>
        <v>#NAME?</v>
      </c>
    </row>
    <row r="9377" spans="1:1">
      <c r="A9377" s="35" t="s">
        <v>55828</v>
      </c>
    </row>
    <row r="9378" spans="1:1">
      <c r="A9378" s="35" t="s">
        <v>55829</v>
      </c>
    </row>
    <row r="9379" spans="1:1">
      <c r="A9379" s="35" t="s">
        <v>55830</v>
      </c>
    </row>
    <row r="9380" spans="1:1">
      <c r="A9380" s="35" t="s">
        <v>55831</v>
      </c>
    </row>
    <row r="9381" spans="1:1">
      <c r="A9381" s="35" t="s">
        <v>55832</v>
      </c>
    </row>
    <row r="9382" spans="1:1">
      <c r="A9382" s="35" t="s">
        <v>55833</v>
      </c>
    </row>
    <row r="9383" spans="1:1">
      <c r="A9383" s="35" t="e" cm="1">
        <f t="array" ref="A9383">-----DLQKKIINHYEKFMTE-------DTINLLTDRDIFN-------IINTTFTSCISF</f>
        <v>#NAME?</v>
      </c>
    </row>
    <row r="9384" spans="1:1">
      <c r="A9384" s="35" t="s">
        <v>55834</v>
      </c>
    </row>
    <row r="9385" spans="1:1">
      <c r="A9385" s="35" t="s">
        <v>55835</v>
      </c>
    </row>
    <row r="9386" spans="1:1">
      <c r="A9386" s="35" t="s">
        <v>55836</v>
      </c>
    </row>
    <row r="9387" spans="1:1">
      <c r="A9387" s="35" t="s">
        <v>55837</v>
      </c>
    </row>
    <row r="9388" spans="1:1">
      <c r="A9388" s="35" t="s">
        <v>55838</v>
      </c>
    </row>
    <row r="9389" spans="1:1">
      <c r="A9389" s="35" t="s">
        <v>55839</v>
      </c>
    </row>
    <row r="9390" spans="1:1">
      <c r="A9390" s="35" t="s">
        <v>55840</v>
      </c>
    </row>
    <row r="9391" spans="1:1">
      <c r="A9391" s="35" t="e" cm="1">
        <f t="array" ref="A9391">------------ILNIIEALKT---DTQQISIEKYIQEL----SQDNVTLNLENINKKNN</f>
        <v>#NAME?</v>
      </c>
    </row>
    <row r="9392" spans="1:1">
      <c r="A9392" s="35" t="s">
        <v>55841</v>
      </c>
    </row>
    <row r="9393" spans="1:1">
      <c r="A9393" s="35" t="e" cm="1">
        <f t="array" ref="A9393">-----------------------------------KITSILYRNKRAKTAWIRKL---AH</f>
        <v>#NAME?</v>
      </c>
    </row>
    <row r="9394" spans="1:1">
      <c r="A9394" s="35" t="s">
        <v>55842</v>
      </c>
    </row>
    <row r="9395" spans="1:1">
      <c r="A9395" s="35" t="e" cm="1">
        <f t="array" ref="A9395">---------------SDWFEVYNNISQ---------SENH------------------KD</f>
        <v>#NAME?</v>
      </c>
    </row>
    <row r="9396" spans="1:1">
      <c r="A9396" s="35" t="s">
        <v>55843</v>
      </c>
    </row>
    <row r="9397" spans="1:1">
      <c r="A9397" s="35" t="e" cm="1">
        <f t="array" ref="A9397">----------------------------------------------------------NV</f>
        <v>#NAME?</v>
      </c>
    </row>
    <row r="9398" spans="1:1">
      <c r="A9398" s="35" t="s">
        <v>55844</v>
      </c>
    </row>
    <row r="9399" spans="1:1">
      <c r="A9399" s="35" t="s">
        <v>55845</v>
      </c>
    </row>
    <row r="9400" spans="1:1">
      <c r="A9400" s="35" t="s">
        <v>41057</v>
      </c>
    </row>
    <row r="9401" spans="1:1">
      <c r="A9401" s="35" t="s">
        <v>53997</v>
      </c>
    </row>
    <row r="9402" spans="1:1">
      <c r="A9402" s="35" t="s">
        <v>55846</v>
      </c>
    </row>
    <row r="9403" spans="1:1">
      <c r="A9403" s="35" t="s">
        <v>55847</v>
      </c>
    </row>
    <row r="9404" spans="1:1">
      <c r="A9404" s="35" t="s">
        <v>41057</v>
      </c>
    </row>
    <row r="9405" spans="1:1">
      <c r="A9405" s="35" t="s">
        <v>41057</v>
      </c>
    </row>
    <row r="9406" spans="1:1">
      <c r="A9406" s="35" t="s">
        <v>41057</v>
      </c>
    </row>
    <row r="9407" spans="1:1">
      <c r="A9407" s="35" t="s">
        <v>55848</v>
      </c>
    </row>
    <row r="9408" spans="1:1">
      <c r="A9408" s="35" t="s">
        <v>41057</v>
      </c>
    </row>
    <row r="9409" spans="1:1">
      <c r="A9409" s="35" t="s">
        <v>41057</v>
      </c>
    </row>
    <row r="9410" spans="1:1">
      <c r="A9410" s="35" t="s">
        <v>55849</v>
      </c>
    </row>
    <row r="9411" spans="1:1">
      <c r="A9411" s="35" t="s">
        <v>54969</v>
      </c>
    </row>
    <row r="9412" spans="1:1">
      <c r="A9412" s="35" t="s">
        <v>55850</v>
      </c>
    </row>
    <row r="9413" spans="1:1">
      <c r="A9413" s="35" t="e" cm="1">
        <f t="array" ref="A9413">-----QY--------------------L-------MDE--------------LQYNT--I</f>
        <v>#NAME?</v>
      </c>
    </row>
    <row r="9414" spans="1:1">
      <c r="A9414" s="35" t="s">
        <v>55851</v>
      </c>
    </row>
    <row r="9415" spans="1:1">
      <c r="A9415" s="35" t="s">
        <v>55852</v>
      </c>
    </row>
    <row r="9416" spans="1:1">
      <c r="A9416" s="35" t="s">
        <v>55853</v>
      </c>
    </row>
    <row r="9417" spans="1:1">
      <c r="A9417" s="35" t="e" cm="1">
        <f t="array" ref="A9417">--------------------------------------------------TYIHSRQVIV</f>
        <v>#NAME?</v>
      </c>
    </row>
    <row r="9418" spans="1:1">
      <c r="A9418" s="35" t="s">
        <v>41057</v>
      </c>
    </row>
    <row r="9419" spans="1:1">
      <c r="A9419" s="35" t="s">
        <v>55854</v>
      </c>
    </row>
    <row r="9420" spans="1:1">
      <c r="A9420" s="35" t="e" cm="1">
        <f t="array" ref="A9420">--PEYRLHNS-----------------------NYFYGERQWDNYGLNSYYDLSKIYEIK</f>
        <v>#NAME?</v>
      </c>
    </row>
    <row r="9421" spans="1:1">
      <c r="A9421" s="35" t="s">
        <v>55855</v>
      </c>
    </row>
    <row r="9422" spans="1:1">
      <c r="A9422" s="35" t="s">
        <v>55856</v>
      </c>
    </row>
    <row r="9423" spans="1:1">
      <c r="A9423" s="35" t="s">
        <v>55857</v>
      </c>
    </row>
    <row r="9424" spans="1:1">
      <c r="A9424" s="35" t="s">
        <v>55858</v>
      </c>
    </row>
    <row r="9425" spans="1:1">
      <c r="A9425" s="35" t="e" cm="1">
        <f t="array" ref="A9425">-LLKYQILNDKNIDFEKLINFAYNQYNEYQINLLLLDLEDIIDLNDLNYNIVNIINTIYD</f>
        <v>#NAME?</v>
      </c>
    </row>
    <row r="9426" spans="1:1">
      <c r="A9426" s="35" t="s">
        <v>55859</v>
      </c>
    </row>
    <row r="9427" spans="1:1">
      <c r="A9427" s="35" t="e" cm="1">
        <f t="array" ref="A9427">-------------------------------NNLVVKYEVFKDVIHQISNPDLLMNYSEM</f>
        <v>#NAME?</v>
      </c>
    </row>
    <row r="9428" spans="1:1">
      <c r="A9428" s="35" t="s">
        <v>55860</v>
      </c>
    </row>
    <row r="9429" spans="1:1">
      <c r="A9429" s="35" t="s">
        <v>55861</v>
      </c>
    </row>
    <row r="9430" spans="1:1">
      <c r="A9430" s="35" t="s">
        <v>55862</v>
      </c>
    </row>
    <row r="9431" spans="1:1">
      <c r="A9431" s="35" t="s">
        <v>55863</v>
      </c>
    </row>
    <row r="9432" spans="1:1">
      <c r="A9432" s="35" t="s">
        <v>55864</v>
      </c>
    </row>
    <row r="9433" spans="1:1">
      <c r="A9433" s="35" t="s">
        <v>55865</v>
      </c>
    </row>
    <row r="9434" spans="1:1">
      <c r="A9434" s="35" t="s">
        <v>55866</v>
      </c>
    </row>
    <row r="9435" spans="1:1">
      <c r="A9435" s="35" t="s">
        <v>41057</v>
      </c>
    </row>
    <row r="9436" spans="1:1">
      <c r="A9436" s="35" t="s">
        <v>55867</v>
      </c>
    </row>
    <row r="9437" spans="1:1">
      <c r="A9437" s="35" t="s">
        <v>55868</v>
      </c>
    </row>
    <row r="9438" spans="1:1">
      <c r="A9438" s="35" t="s">
        <v>55869</v>
      </c>
    </row>
    <row r="9439" spans="1:1">
      <c r="A9439" s="35" t="s">
        <v>41057</v>
      </c>
    </row>
    <row r="9440" spans="1:1">
      <c r="A9440" s="35" t="s">
        <v>53545</v>
      </c>
    </row>
    <row r="9441" spans="1:1">
      <c r="A9441" s="35" t="s">
        <v>52800</v>
      </c>
    </row>
    <row r="9442" spans="1:1">
      <c r="A9442" s="35" t="s">
        <v>41057</v>
      </c>
    </row>
    <row r="9443" spans="1:1">
      <c r="A9443" s="35" t="e" cm="1">
        <f t="array" ref="A9443">---------------------------------------------------------TEE</f>
        <v>#NAME?</v>
      </c>
    </row>
    <row r="9444" spans="1:1">
      <c r="A9444" s="35" t="s">
        <v>55870</v>
      </c>
    </row>
    <row r="9445" spans="1:1">
      <c r="A9445" s="35" t="s">
        <v>55871</v>
      </c>
    </row>
    <row r="9446" spans="1:1">
      <c r="A9446" s="35" t="s">
        <v>41057</v>
      </c>
    </row>
    <row r="9447" spans="1:1">
      <c r="A9447" s="35" t="s">
        <v>54653</v>
      </c>
    </row>
    <row r="9448" spans="1:1">
      <c r="A9448" s="35" t="s">
        <v>41057</v>
      </c>
    </row>
    <row r="9449" spans="1:1">
      <c r="A9449" s="35" t="s">
        <v>41057</v>
      </c>
    </row>
    <row r="9450" spans="1:1">
      <c r="A9450" s="35" t="s">
        <v>41057</v>
      </c>
    </row>
    <row r="9451" spans="1:1">
      <c r="A9451" s="35" t="s">
        <v>55872</v>
      </c>
    </row>
    <row r="9452" spans="1:1">
      <c r="A9452" s="35" t="s">
        <v>55873</v>
      </c>
    </row>
    <row r="9453" spans="1:1">
      <c r="A9453" s="35" t="s">
        <v>55874</v>
      </c>
    </row>
    <row r="9454" spans="1:1">
      <c r="A9454" s="35" t="s">
        <v>55875</v>
      </c>
    </row>
    <row r="9455" spans="1:1">
      <c r="A9455" s="35" t="s">
        <v>41057</v>
      </c>
    </row>
    <row r="9456" spans="1:1">
      <c r="A9456" s="35" t="s">
        <v>41057</v>
      </c>
    </row>
    <row r="9457" spans="1:1">
      <c r="A9457" s="35" t="e" cm="1">
        <f t="array" ref="A9457">---------------NINI------------------FKH-------------------V</f>
        <v>#NAME?</v>
      </c>
    </row>
    <row r="9458" spans="1:1">
      <c r="A9458" s="35" t="s">
        <v>55876</v>
      </c>
    </row>
    <row r="9459" spans="1:1">
      <c r="A9459" s="35" t="s">
        <v>55877</v>
      </c>
    </row>
    <row r="9460" spans="1:1">
      <c r="A9460" s="35" t="s">
        <v>41057</v>
      </c>
    </row>
    <row r="9461" spans="1:1">
      <c r="A9461" s="35" t="s">
        <v>55878</v>
      </c>
    </row>
    <row r="9462" spans="1:1">
      <c r="A9462" s="35" t="s">
        <v>41057</v>
      </c>
    </row>
    <row r="9463" spans="1:1">
      <c r="A9463" s="35" t="s">
        <v>41057</v>
      </c>
    </row>
    <row r="9464" spans="1:1">
      <c r="A9464" s="35" t="s">
        <v>55879</v>
      </c>
    </row>
    <row r="9465" spans="1:1">
      <c r="A9465" s="35" t="s">
        <v>41057</v>
      </c>
    </row>
    <row r="9466" spans="1:1">
      <c r="A9466" s="35" t="s">
        <v>41057</v>
      </c>
    </row>
    <row r="9467" spans="1:1">
      <c r="A9467" s="35" t="s">
        <v>53500</v>
      </c>
    </row>
    <row r="9468" spans="1:1">
      <c r="A9468" s="35" t="s">
        <v>41057</v>
      </c>
    </row>
    <row r="9469" spans="1:1">
      <c r="A9469" s="35" t="s">
        <v>41057</v>
      </c>
    </row>
    <row r="9470" spans="1:1">
      <c r="A9470" s="35" t="s">
        <v>55880</v>
      </c>
    </row>
    <row r="9471" spans="1:1">
      <c r="A9471" s="35" t="s">
        <v>41057</v>
      </c>
    </row>
    <row r="9472" spans="1:1">
      <c r="A9472" s="35" t="s">
        <v>55881</v>
      </c>
    </row>
    <row r="9473" spans="1:1">
      <c r="A9473" s="35" t="s">
        <v>41057</v>
      </c>
    </row>
    <row r="9474" spans="1:1">
      <c r="A9474" s="35" t="s">
        <v>55882</v>
      </c>
    </row>
    <row r="9475" spans="1:1">
      <c r="A9475" s="35" t="s">
        <v>55883</v>
      </c>
    </row>
    <row r="9476" spans="1:1">
      <c r="A9476" s="35" t="s">
        <v>41057</v>
      </c>
    </row>
    <row r="9477" spans="1:1">
      <c r="A9477" s="35" t="s">
        <v>41057</v>
      </c>
    </row>
    <row r="9478" spans="1:1">
      <c r="A9478" s="35" t="s">
        <v>55884</v>
      </c>
    </row>
    <row r="9479" spans="1:1">
      <c r="A9479" s="35" t="s">
        <v>41057</v>
      </c>
    </row>
    <row r="9480" spans="1:1">
      <c r="A9480" s="35" t="s">
        <v>41057</v>
      </c>
    </row>
    <row r="9481" spans="1:1">
      <c r="A9481" s="35" t="s">
        <v>41057</v>
      </c>
    </row>
    <row r="9482" spans="1:1">
      <c r="A9482" s="35" t="s">
        <v>41057</v>
      </c>
    </row>
    <row r="9483" spans="1:1">
      <c r="A9483" s="35" t="s">
        <v>41057</v>
      </c>
    </row>
    <row r="9484" spans="1:1">
      <c r="A9484" s="35" t="s">
        <v>54878</v>
      </c>
    </row>
    <row r="9485" spans="1:1">
      <c r="A9485" s="35" t="s">
        <v>41057</v>
      </c>
    </row>
    <row r="9486" spans="1:1">
      <c r="A9486" s="35" t="s">
        <v>41057</v>
      </c>
    </row>
    <row r="9487" spans="1:1">
      <c r="A9487" s="35" t="s">
        <v>41057</v>
      </c>
    </row>
    <row r="9488" spans="1:1">
      <c r="A9488" s="35" t="s">
        <v>41057</v>
      </c>
    </row>
    <row r="9489" spans="1:1">
      <c r="A9489" s="35" t="s">
        <v>41057</v>
      </c>
    </row>
    <row r="9490" spans="1:1">
      <c r="A9490" s="35" t="s">
        <v>41057</v>
      </c>
    </row>
    <row r="9491" spans="1:1">
      <c r="A9491" s="35" t="s">
        <v>41057</v>
      </c>
    </row>
    <row r="9492" spans="1:1">
      <c r="A9492" s="35" t="s">
        <v>41057</v>
      </c>
    </row>
    <row r="9493" spans="1:1">
      <c r="A9493" s="35" t="s">
        <v>41057</v>
      </c>
    </row>
    <row r="9494" spans="1:1">
      <c r="A9494" s="35" t="s">
        <v>41057</v>
      </c>
    </row>
    <row r="9495" spans="1:1">
      <c r="A9495" s="35" t="s">
        <v>41057</v>
      </c>
    </row>
    <row r="9496" spans="1:1">
      <c r="A9496" s="35" t="s">
        <v>41057</v>
      </c>
    </row>
    <row r="9497" spans="1:1">
      <c r="A9497" s="35" t="s">
        <v>41057</v>
      </c>
    </row>
    <row r="9498" spans="1:1">
      <c r="A9498" s="35" t="s">
        <v>41057</v>
      </c>
    </row>
    <row r="9499" spans="1:1">
      <c r="A9499" s="35" t="s">
        <v>41057</v>
      </c>
    </row>
    <row r="9500" spans="1:1">
      <c r="A9500" s="35" t="s">
        <v>55885</v>
      </c>
    </row>
    <row r="9501" spans="1:1">
      <c r="A9501" s="35" t="s">
        <v>41057</v>
      </c>
    </row>
    <row r="9502" spans="1:1">
      <c r="A9502" s="35" t="s">
        <v>41057</v>
      </c>
    </row>
    <row r="9503" spans="1:1">
      <c r="A9503" s="35" t="s">
        <v>55886</v>
      </c>
    </row>
    <row r="9504" spans="1:1">
      <c r="A9504" s="35" t="s">
        <v>41057</v>
      </c>
    </row>
    <row r="9505" spans="1:1">
      <c r="A9505" s="35" t="s">
        <v>41057</v>
      </c>
    </row>
    <row r="9506" spans="1:1">
      <c r="A9506" s="35" t="s">
        <v>41057</v>
      </c>
    </row>
    <row r="9507" spans="1:1">
      <c r="A9507" s="35" t="s">
        <v>41057</v>
      </c>
    </row>
    <row r="9508" spans="1:1">
      <c r="A9508" s="35" t="s">
        <v>41057</v>
      </c>
    </row>
    <row r="9509" spans="1:1">
      <c r="A9509" s="35" t="s">
        <v>41057</v>
      </c>
    </row>
    <row r="9510" spans="1:1">
      <c r="A9510" s="35" t="s">
        <v>41057</v>
      </c>
    </row>
    <row r="9511" spans="1:1">
      <c r="A9511" s="35" t="e" cm="1">
        <f t="array" ref="A9511">------------------------------------------------ASWTNAL---GL</f>
        <v>#NAME?</v>
      </c>
    </row>
    <row r="9512" spans="1:1">
      <c r="A9512" s="35" t="s">
        <v>55887</v>
      </c>
    </row>
    <row r="9513" spans="1:1">
      <c r="A9513" s="35" t="s">
        <v>55888</v>
      </c>
    </row>
    <row r="9514" spans="1:1">
      <c r="A9514" s="35" t="s">
        <v>55889</v>
      </c>
    </row>
    <row r="9515" spans="1:1">
      <c r="A9515" s="35" t="s">
        <v>41057</v>
      </c>
    </row>
    <row r="9516" spans="1:1">
      <c r="A9516" s="35" t="s">
        <v>41057</v>
      </c>
    </row>
    <row r="9517" spans="1:1">
      <c r="A9517" s="35" t="s">
        <v>55890</v>
      </c>
    </row>
    <row r="9518" spans="1:1">
      <c r="A9518" s="35" t="s">
        <v>41057</v>
      </c>
    </row>
    <row r="9519" spans="1:1">
      <c r="A9519" s="35" t="s">
        <v>55484</v>
      </c>
    </row>
    <row r="9520" spans="1:1">
      <c r="A9520" s="35" t="s">
        <v>55891</v>
      </c>
    </row>
    <row r="9521" spans="1:1">
      <c r="A9521" s="35" t="s">
        <v>55892</v>
      </c>
    </row>
    <row r="9522" spans="1:1">
      <c r="A9522" s="35" t="s">
        <v>41057</v>
      </c>
    </row>
    <row r="9523" spans="1:1">
      <c r="A9523" s="35" t="s">
        <v>41057</v>
      </c>
    </row>
    <row r="9524" spans="1:1">
      <c r="A9524" s="35" t="s">
        <v>41057</v>
      </c>
    </row>
    <row r="9525" spans="1:1">
      <c r="A9525" s="35" t="s">
        <v>55893</v>
      </c>
    </row>
    <row r="9526" spans="1:1">
      <c r="A9526" s="35" t="s">
        <v>41057</v>
      </c>
    </row>
    <row r="9527" spans="1:1">
      <c r="A9527" s="35" t="s">
        <v>41057</v>
      </c>
    </row>
    <row r="9528" spans="1:1">
      <c r="A9528" s="35" t="s">
        <v>55894</v>
      </c>
    </row>
    <row r="9529" spans="1:1">
      <c r="A9529" s="35" t="s">
        <v>54456</v>
      </c>
    </row>
    <row r="9530" spans="1:1">
      <c r="A9530" s="35" t="s">
        <v>55895</v>
      </c>
    </row>
    <row r="9531" spans="1:1">
      <c r="A9531" s="35" t="s">
        <v>55896</v>
      </c>
    </row>
    <row r="9532" spans="1:1">
      <c r="A9532" s="35" t="e" cm="1">
        <f t="array" ref="A9532">----------------------------------------------------------FH</f>
        <v>#NAME?</v>
      </c>
    </row>
    <row r="9533" spans="1:1">
      <c r="A9533" s="35" t="s">
        <v>55897</v>
      </c>
    </row>
    <row r="9534" spans="1:1">
      <c r="A9534" s="35" t="s">
        <v>55898</v>
      </c>
    </row>
    <row r="9535" spans="1:1">
      <c r="A9535" s="35" t="s">
        <v>41057</v>
      </c>
    </row>
    <row r="9536" spans="1:1">
      <c r="A9536" s="35" t="s">
        <v>41057</v>
      </c>
    </row>
    <row r="9537" spans="1:1">
      <c r="A9537" s="35" t="s">
        <v>55899</v>
      </c>
    </row>
    <row r="9538" spans="1:1">
      <c r="A9538" s="35" t="s">
        <v>41057</v>
      </c>
    </row>
    <row r="9539" spans="1:1">
      <c r="A9539" s="35" t="s">
        <v>55900</v>
      </c>
    </row>
    <row r="9540" spans="1:1">
      <c r="A9540" s="35" t="s">
        <v>41057</v>
      </c>
    </row>
    <row r="9541" spans="1:1">
      <c r="A9541" s="35" t="s">
        <v>55901</v>
      </c>
    </row>
    <row r="9542" spans="1:1">
      <c r="A9542" s="35" t="s">
        <v>41057</v>
      </c>
    </row>
    <row r="9543" spans="1:1">
      <c r="A9543" s="35" t="s">
        <v>55902</v>
      </c>
    </row>
    <row r="9544" spans="1:1">
      <c r="A9544" s="35" t="s">
        <v>41057</v>
      </c>
    </row>
    <row r="9545" spans="1:1">
      <c r="A9545" s="35" t="s">
        <v>41057</v>
      </c>
    </row>
    <row r="9546" spans="1:1">
      <c r="A9546" s="35" t="e" cm="1">
        <f t="array" ref="A9546">------------------------------------------------------DALVQN</f>
        <v>#NAME?</v>
      </c>
    </row>
    <row r="9547" spans="1:1">
      <c r="A9547" s="35" t="s">
        <v>55903</v>
      </c>
    </row>
    <row r="9548" spans="1:1">
      <c r="A9548" s="35" t="s">
        <v>55904</v>
      </c>
    </row>
    <row r="9549" spans="1:1">
      <c r="A9549" s="35" t="s">
        <v>55905</v>
      </c>
    </row>
    <row r="9550" spans="1:1">
      <c r="A9550" s="35" t="s">
        <v>55906</v>
      </c>
    </row>
    <row r="9551" spans="1:1">
      <c r="A9551" s="35" t="s">
        <v>55907</v>
      </c>
    </row>
    <row r="9552" spans="1:1">
      <c r="A9552" s="35" t="s">
        <v>55908</v>
      </c>
    </row>
    <row r="9553" spans="1:1">
      <c r="A9553" s="35" t="s">
        <v>41057</v>
      </c>
    </row>
    <row r="9554" spans="1:1">
      <c r="A9554" s="35" t="s">
        <v>55909</v>
      </c>
    </row>
    <row r="9555" spans="1:1">
      <c r="A9555" s="35" t="s">
        <v>55910</v>
      </c>
    </row>
    <row r="9556" spans="1:1">
      <c r="A9556" s="35" t="s">
        <v>55911</v>
      </c>
    </row>
    <row r="9557" spans="1:1">
      <c r="A9557" s="35" t="s">
        <v>41057</v>
      </c>
    </row>
    <row r="9558" spans="1:1">
      <c r="A9558" s="35" t="s">
        <v>53545</v>
      </c>
    </row>
    <row r="9559" spans="1:1">
      <c r="A9559" s="35" t="s">
        <v>53128</v>
      </c>
    </row>
    <row r="9560" spans="1:1">
      <c r="A9560" s="35" t="s">
        <v>41057</v>
      </c>
    </row>
    <row r="9561" spans="1:1">
      <c r="A9561" s="35" t="s">
        <v>41057</v>
      </c>
    </row>
    <row r="9562" spans="1:1">
      <c r="A9562" s="35" t="s">
        <v>41057</v>
      </c>
    </row>
    <row r="9563" spans="1:1">
      <c r="A9563" s="35" t="s">
        <v>55912</v>
      </c>
    </row>
    <row r="9564" spans="1:1">
      <c r="A9564" s="35" t="s">
        <v>55913</v>
      </c>
    </row>
    <row r="9565" spans="1:1">
      <c r="A9565" s="35" t="s">
        <v>54343</v>
      </c>
    </row>
    <row r="9566" spans="1:1">
      <c r="A9566" s="35" t="s">
        <v>41057</v>
      </c>
    </row>
    <row r="9567" spans="1:1">
      <c r="A9567" s="35" t="s">
        <v>41057</v>
      </c>
    </row>
    <row r="9568" spans="1:1">
      <c r="A9568" s="35" t="s">
        <v>41057</v>
      </c>
    </row>
    <row r="9569" spans="1:1">
      <c r="A9569" s="35" t="s">
        <v>55914</v>
      </c>
    </row>
    <row r="9570" spans="1:1">
      <c r="A9570" s="35" t="s">
        <v>55915</v>
      </c>
    </row>
    <row r="9571" spans="1:1">
      <c r="A9571" s="35" t="s">
        <v>55916</v>
      </c>
    </row>
    <row r="9572" spans="1:1">
      <c r="A9572" s="35" t="s">
        <v>55917</v>
      </c>
    </row>
    <row r="9573" spans="1:1">
      <c r="A9573" s="35" t="s">
        <v>41057</v>
      </c>
    </row>
    <row r="9574" spans="1:1">
      <c r="A9574" s="35" t="s">
        <v>41057</v>
      </c>
    </row>
    <row r="9575" spans="1:1">
      <c r="A9575" s="35" t="e" cm="1">
        <f t="array" ref="A9575">---------------TLDI------------------LKY-------------------N</f>
        <v>#NAME?</v>
      </c>
    </row>
    <row r="9576" spans="1:1">
      <c r="A9576" s="35" t="s">
        <v>55918</v>
      </c>
    </row>
    <row r="9577" spans="1:1">
      <c r="A9577" s="35" t="s">
        <v>55919</v>
      </c>
    </row>
    <row r="9578" spans="1:1">
      <c r="A9578" s="35" t="s">
        <v>41057</v>
      </c>
    </row>
    <row r="9579" spans="1:1">
      <c r="A9579" s="35" t="s">
        <v>55920</v>
      </c>
    </row>
    <row r="9580" spans="1:1">
      <c r="A9580" s="35" t="s">
        <v>41057</v>
      </c>
    </row>
    <row r="9581" spans="1:1">
      <c r="A9581" s="35" t="s">
        <v>41057</v>
      </c>
    </row>
    <row r="9582" spans="1:1">
      <c r="A9582" s="35" t="s">
        <v>55921</v>
      </c>
    </row>
    <row r="9583" spans="1:1">
      <c r="A9583" s="35" t="s">
        <v>41057</v>
      </c>
    </row>
    <row r="9584" spans="1:1">
      <c r="A9584" s="35" t="s">
        <v>41057</v>
      </c>
    </row>
    <row r="9585" spans="1:1">
      <c r="A9585" s="35" t="s">
        <v>53500</v>
      </c>
    </row>
    <row r="9586" spans="1:1">
      <c r="A9586" s="35" t="s">
        <v>41057</v>
      </c>
    </row>
    <row r="9587" spans="1:1">
      <c r="A9587" s="35" t="s">
        <v>41057</v>
      </c>
    </row>
    <row r="9588" spans="1:1">
      <c r="A9588" s="35" t="s">
        <v>55922</v>
      </c>
    </row>
    <row r="9589" spans="1:1">
      <c r="A9589" s="35" t="s">
        <v>41057</v>
      </c>
    </row>
    <row r="9590" spans="1:1">
      <c r="A9590" s="35" t="s">
        <v>55923</v>
      </c>
    </row>
    <row r="9591" spans="1:1">
      <c r="A9591" s="35" t="s">
        <v>41057</v>
      </c>
    </row>
    <row r="9592" spans="1:1">
      <c r="A9592" s="35" t="s">
        <v>55924</v>
      </c>
    </row>
    <row r="9593" spans="1:1">
      <c r="A9593" s="35" t="s">
        <v>55925</v>
      </c>
    </row>
    <row r="9594" spans="1:1">
      <c r="A9594" s="35" t="s">
        <v>41057</v>
      </c>
    </row>
    <row r="9595" spans="1:1">
      <c r="A9595" s="35" t="s">
        <v>41057</v>
      </c>
    </row>
    <row r="9596" spans="1:1">
      <c r="A9596" s="35" t="s">
        <v>54623</v>
      </c>
    </row>
    <row r="9597" spans="1:1">
      <c r="A9597" s="35" t="s">
        <v>41057</v>
      </c>
    </row>
    <row r="9598" spans="1:1">
      <c r="A9598" s="35" t="s">
        <v>41057</v>
      </c>
    </row>
    <row r="9599" spans="1:1">
      <c r="A9599" s="35" t="s">
        <v>41057</v>
      </c>
    </row>
    <row r="9600" spans="1:1">
      <c r="A9600" s="35" t="s">
        <v>41057</v>
      </c>
    </row>
    <row r="9601" spans="1:1">
      <c r="A9601" s="35" t="s">
        <v>41057</v>
      </c>
    </row>
    <row r="9602" spans="1:1">
      <c r="A9602" s="35" t="s">
        <v>55926</v>
      </c>
    </row>
    <row r="9603" spans="1:1">
      <c r="A9603" s="35" t="s">
        <v>41057</v>
      </c>
    </row>
    <row r="9604" spans="1:1">
      <c r="A9604" s="35" t="s">
        <v>41057</v>
      </c>
    </row>
    <row r="9605" spans="1:1">
      <c r="A9605" s="35" t="s">
        <v>41057</v>
      </c>
    </row>
    <row r="9606" spans="1:1">
      <c r="A9606" s="35" t="s">
        <v>41057</v>
      </c>
    </row>
    <row r="9607" spans="1:1">
      <c r="A9607" s="35" t="s">
        <v>41057</v>
      </c>
    </row>
    <row r="9608" spans="1:1">
      <c r="A9608" s="35" t="s">
        <v>41057</v>
      </c>
    </row>
    <row r="9609" spans="1:1">
      <c r="A9609" s="35" t="s">
        <v>41057</v>
      </c>
    </row>
    <row r="9610" spans="1:1">
      <c r="A9610" s="35" t="s">
        <v>41057</v>
      </c>
    </row>
    <row r="9611" spans="1:1">
      <c r="A9611" s="35" t="s">
        <v>41057</v>
      </c>
    </row>
    <row r="9612" spans="1:1">
      <c r="A9612" s="35" t="s">
        <v>41057</v>
      </c>
    </row>
    <row r="9613" spans="1:1">
      <c r="A9613" s="35" t="s">
        <v>41057</v>
      </c>
    </row>
    <row r="9614" spans="1:1">
      <c r="A9614" s="35" t="s">
        <v>41057</v>
      </c>
    </row>
    <row r="9615" spans="1:1">
      <c r="A9615" s="35" t="s">
        <v>41057</v>
      </c>
    </row>
    <row r="9616" spans="1:1">
      <c r="A9616" s="35" t="s">
        <v>41057</v>
      </c>
    </row>
    <row r="9617" spans="1:1">
      <c r="A9617" s="35" t="s">
        <v>41057</v>
      </c>
    </row>
    <row r="9618" spans="1:1">
      <c r="A9618" s="35" t="s">
        <v>55927</v>
      </c>
    </row>
    <row r="9619" spans="1:1">
      <c r="A9619" s="35" t="s">
        <v>41057</v>
      </c>
    </row>
    <row r="9620" spans="1:1">
      <c r="A9620" s="35" t="s">
        <v>41057</v>
      </c>
    </row>
    <row r="9621" spans="1:1">
      <c r="A9621" s="35" t="s">
        <v>53513</v>
      </c>
    </row>
    <row r="9622" spans="1:1">
      <c r="A9622" s="35" t="s">
        <v>41057</v>
      </c>
    </row>
    <row r="9623" spans="1:1">
      <c r="A9623" s="35" t="s">
        <v>41057</v>
      </c>
    </row>
    <row r="9624" spans="1:1">
      <c r="A9624" s="35" t="s">
        <v>41057</v>
      </c>
    </row>
    <row r="9625" spans="1:1">
      <c r="A9625" s="35" t="s">
        <v>41057</v>
      </c>
    </row>
    <row r="9626" spans="1:1">
      <c r="A9626" s="35" t="s">
        <v>41057</v>
      </c>
    </row>
    <row r="9627" spans="1:1">
      <c r="A9627" s="35" t="s">
        <v>41057</v>
      </c>
    </row>
    <row r="9628" spans="1:1">
      <c r="A9628" s="35" t="s">
        <v>41057</v>
      </c>
    </row>
    <row r="9629" spans="1:1">
      <c r="A9629" s="35" t="e" cm="1">
        <f t="array" ref="A9629">------------------------------------------------ASWCDAL---GY</f>
        <v>#NAME?</v>
      </c>
    </row>
    <row r="9630" spans="1:1">
      <c r="A9630" s="35" t="s">
        <v>55928</v>
      </c>
    </row>
    <row r="9631" spans="1:1">
      <c r="A9631" s="35" t="e" cm="1">
        <f t="array" ref="A9631">---------------PRFMEMWDELSN---------S-DK------------------RL</f>
        <v>#NAME?</v>
      </c>
    </row>
    <row r="9632" spans="1:1">
      <c r="A9632" s="35" t="s">
        <v>55929</v>
      </c>
    </row>
    <row r="9633" spans="1:1">
      <c r="A9633" s="35" t="s">
        <v>41057</v>
      </c>
    </row>
    <row r="9634" spans="1:1">
      <c r="A9634" s="35" t="s">
        <v>41057</v>
      </c>
    </row>
    <row r="9635" spans="1:1">
      <c r="A9635" s="35" t="s">
        <v>55930</v>
      </c>
    </row>
    <row r="9636" spans="1:1">
      <c r="A9636" s="35" t="s">
        <v>41057</v>
      </c>
    </row>
    <row r="9637" spans="1:1">
      <c r="A9637" s="35" t="s">
        <v>53520</v>
      </c>
    </row>
    <row r="9638" spans="1:1">
      <c r="A9638" s="35" t="s">
        <v>55931</v>
      </c>
    </row>
    <row r="9639" spans="1:1">
      <c r="A9639" s="35" t="s">
        <v>55932</v>
      </c>
    </row>
    <row r="9640" spans="1:1">
      <c r="A9640" s="35" t="s">
        <v>41057</v>
      </c>
    </row>
    <row r="9641" spans="1:1">
      <c r="A9641" s="35" t="s">
        <v>41057</v>
      </c>
    </row>
    <row r="9642" spans="1:1">
      <c r="A9642" s="35" t="s">
        <v>41057</v>
      </c>
    </row>
    <row r="9643" spans="1:1">
      <c r="A9643" s="35" t="s">
        <v>55933</v>
      </c>
    </row>
    <row r="9644" spans="1:1">
      <c r="A9644" s="35" t="s">
        <v>41057</v>
      </c>
    </row>
    <row r="9645" spans="1:1">
      <c r="A9645" s="35" t="s">
        <v>41057</v>
      </c>
    </row>
    <row r="9646" spans="1:1">
      <c r="A9646" s="35" t="s">
        <v>55934</v>
      </c>
    </row>
    <row r="9647" spans="1:1">
      <c r="A9647" s="35" t="s">
        <v>55935</v>
      </c>
    </row>
    <row r="9648" spans="1:1">
      <c r="A9648" s="35" t="s">
        <v>55936</v>
      </c>
    </row>
    <row r="9649" spans="1:1">
      <c r="A9649" s="35" t="s">
        <v>55937</v>
      </c>
    </row>
    <row r="9650" spans="1:1">
      <c r="A9650" s="35" t="e" cm="1">
        <f t="array" ref="A9650">----------------------------------------------------------EN</f>
        <v>#NAME?</v>
      </c>
    </row>
    <row r="9651" spans="1:1">
      <c r="A9651" s="35" t="s">
        <v>55938</v>
      </c>
    </row>
    <row r="9652" spans="1:1">
      <c r="A9652" s="35" t="s">
        <v>55939</v>
      </c>
    </row>
    <row r="9653" spans="1:1">
      <c r="A9653" s="35" t="s">
        <v>41057</v>
      </c>
    </row>
    <row r="9654" spans="1:1">
      <c r="A9654" s="35" t="s">
        <v>41057</v>
      </c>
    </row>
    <row r="9655" spans="1:1">
      <c r="A9655" s="35" t="s">
        <v>55940</v>
      </c>
    </row>
    <row r="9656" spans="1:1">
      <c r="A9656" s="35" t="s">
        <v>41057</v>
      </c>
    </row>
    <row r="9657" spans="1:1">
      <c r="A9657" s="35" t="s">
        <v>55941</v>
      </c>
    </row>
    <row r="9658" spans="1:1">
      <c r="A9658" s="35" t="s">
        <v>41057</v>
      </c>
    </row>
    <row r="9659" spans="1:1">
      <c r="A9659" s="35" t="s">
        <v>55942</v>
      </c>
    </row>
    <row r="9660" spans="1:1">
      <c r="A9660" s="35" t="s">
        <v>41057</v>
      </c>
    </row>
    <row r="9661" spans="1:1">
      <c r="A9661" s="35" t="s">
        <v>55943</v>
      </c>
    </row>
    <row r="9662" spans="1:1">
      <c r="A9662" s="35" t="s">
        <v>41057</v>
      </c>
    </row>
    <row r="9663" spans="1:1">
      <c r="A9663" s="35" t="s">
        <v>41057</v>
      </c>
    </row>
    <row r="9664" spans="1:1">
      <c r="A9664" s="35" t="e" cm="1">
        <f t="array" ref="A9664">------------------------------------------------------PVL-KE</f>
        <v>#NAME?</v>
      </c>
    </row>
    <row r="9665" spans="1:1">
      <c r="A9665" s="35" t="s">
        <v>55944</v>
      </c>
    </row>
    <row r="9666" spans="1:1">
      <c r="A9666" s="35" t="s">
        <v>55945</v>
      </c>
    </row>
    <row r="9667" spans="1:1">
      <c r="A9667" s="35" t="s">
        <v>55946</v>
      </c>
    </row>
    <row r="9668" spans="1:1">
      <c r="A9668" s="35" t="s">
        <v>55947</v>
      </c>
    </row>
    <row r="9669" spans="1:1">
      <c r="A9669" s="35" t="s">
        <v>55948</v>
      </c>
    </row>
    <row r="9670" spans="1:1">
      <c r="A9670" s="35" t="s">
        <v>55949</v>
      </c>
    </row>
    <row r="9671" spans="1:1">
      <c r="A9671" s="35" t="s">
        <v>41057</v>
      </c>
    </row>
    <row r="9672" spans="1:1">
      <c r="A9672" s="35" t="s">
        <v>41057</v>
      </c>
    </row>
    <row r="9673" spans="1:1">
      <c r="A9673" s="35" t="s">
        <v>41057</v>
      </c>
    </row>
    <row r="9674" spans="1:1">
      <c r="A9674" s="35" t="s">
        <v>41057</v>
      </c>
    </row>
    <row r="9675" spans="1:1">
      <c r="A9675" s="35" t="s">
        <v>41057</v>
      </c>
    </row>
    <row r="9676" spans="1:1">
      <c r="A9676" s="35" t="s">
        <v>53545</v>
      </c>
    </row>
    <row r="9677" spans="1:1">
      <c r="A9677" s="35" t="s">
        <v>53181</v>
      </c>
    </row>
    <row r="9678" spans="1:1">
      <c r="A9678" s="35" t="s">
        <v>41057</v>
      </c>
    </row>
    <row r="9679" spans="1:1">
      <c r="A9679" s="35" t="s">
        <v>41057</v>
      </c>
    </row>
    <row r="9680" spans="1:1">
      <c r="A9680" s="35" t="s">
        <v>41057</v>
      </c>
    </row>
    <row r="9681" spans="1:1">
      <c r="A9681" s="35" t="s">
        <v>55950</v>
      </c>
    </row>
    <row r="9682" spans="1:1">
      <c r="A9682" s="35" t="s">
        <v>55951</v>
      </c>
    </row>
    <row r="9683" spans="1:1">
      <c r="A9683" s="35" t="s">
        <v>54343</v>
      </c>
    </row>
    <row r="9684" spans="1:1">
      <c r="A9684" s="35" t="s">
        <v>41057</v>
      </c>
    </row>
    <row r="9685" spans="1:1">
      <c r="A9685" s="35" t="s">
        <v>41057</v>
      </c>
    </row>
    <row r="9686" spans="1:1">
      <c r="A9686" s="35" t="s">
        <v>41057</v>
      </c>
    </row>
    <row r="9687" spans="1:1">
      <c r="A9687" s="35" t="s">
        <v>55914</v>
      </c>
    </row>
    <row r="9688" spans="1:1">
      <c r="A9688" s="35" t="s">
        <v>55915</v>
      </c>
    </row>
    <row r="9689" spans="1:1">
      <c r="A9689" s="35" t="s">
        <v>55916</v>
      </c>
    </row>
    <row r="9690" spans="1:1">
      <c r="A9690" s="35" t="s">
        <v>55917</v>
      </c>
    </row>
    <row r="9691" spans="1:1">
      <c r="A9691" s="35" t="s">
        <v>41057</v>
      </c>
    </row>
    <row r="9692" spans="1:1">
      <c r="A9692" s="35" t="s">
        <v>41057</v>
      </c>
    </row>
    <row r="9693" spans="1:1">
      <c r="A9693" s="35" t="e" cm="1">
        <f t="array" ref="A9693">---------------TLDI------------------LKY-------------------N</f>
        <v>#NAME?</v>
      </c>
    </row>
    <row r="9694" spans="1:1">
      <c r="A9694" s="35" t="s">
        <v>55918</v>
      </c>
    </row>
    <row r="9695" spans="1:1">
      <c r="A9695" s="35" t="s">
        <v>55919</v>
      </c>
    </row>
    <row r="9696" spans="1:1">
      <c r="A9696" s="35" t="s">
        <v>41057</v>
      </c>
    </row>
    <row r="9697" spans="1:1">
      <c r="A9697" s="35" t="s">
        <v>55920</v>
      </c>
    </row>
    <row r="9698" spans="1:1">
      <c r="A9698" s="35" t="s">
        <v>41057</v>
      </c>
    </row>
    <row r="9699" spans="1:1">
      <c r="A9699" s="35" t="s">
        <v>41057</v>
      </c>
    </row>
    <row r="9700" spans="1:1">
      <c r="A9700" s="35" t="s">
        <v>55921</v>
      </c>
    </row>
    <row r="9701" spans="1:1">
      <c r="A9701" s="35" t="s">
        <v>41057</v>
      </c>
    </row>
    <row r="9702" spans="1:1">
      <c r="A9702" s="35" t="s">
        <v>41057</v>
      </c>
    </row>
    <row r="9703" spans="1:1">
      <c r="A9703" s="35" t="s">
        <v>53500</v>
      </c>
    </row>
    <row r="9704" spans="1:1">
      <c r="A9704" s="35" t="s">
        <v>41057</v>
      </c>
    </row>
    <row r="9705" spans="1:1">
      <c r="A9705" s="35" t="s">
        <v>41057</v>
      </c>
    </row>
    <row r="9706" spans="1:1">
      <c r="A9706" s="35" t="s">
        <v>55952</v>
      </c>
    </row>
    <row r="9707" spans="1:1">
      <c r="A9707" s="35" t="s">
        <v>41057</v>
      </c>
    </row>
    <row r="9708" spans="1:1">
      <c r="A9708" s="35" t="s">
        <v>55923</v>
      </c>
    </row>
    <row r="9709" spans="1:1">
      <c r="A9709" s="35" t="s">
        <v>41057</v>
      </c>
    </row>
    <row r="9710" spans="1:1">
      <c r="A9710" s="35" t="s">
        <v>55924</v>
      </c>
    </row>
    <row r="9711" spans="1:1">
      <c r="A9711" s="35" t="s">
        <v>55925</v>
      </c>
    </row>
    <row r="9712" spans="1:1">
      <c r="A9712" s="35" t="s">
        <v>41057</v>
      </c>
    </row>
    <row r="9713" spans="1:1">
      <c r="A9713" s="35" t="s">
        <v>41057</v>
      </c>
    </row>
    <row r="9714" spans="1:1">
      <c r="A9714" s="35" t="s">
        <v>54623</v>
      </c>
    </row>
    <row r="9715" spans="1:1">
      <c r="A9715" s="35" t="s">
        <v>41057</v>
      </c>
    </row>
    <row r="9716" spans="1:1">
      <c r="A9716" s="35" t="s">
        <v>41057</v>
      </c>
    </row>
    <row r="9717" spans="1:1">
      <c r="A9717" s="35" t="s">
        <v>41057</v>
      </c>
    </row>
    <row r="9718" spans="1:1">
      <c r="A9718" s="35" t="s">
        <v>41057</v>
      </c>
    </row>
    <row r="9719" spans="1:1">
      <c r="A9719" s="35" t="s">
        <v>41057</v>
      </c>
    </row>
    <row r="9720" spans="1:1">
      <c r="A9720" s="35" t="s">
        <v>55926</v>
      </c>
    </row>
    <row r="9721" spans="1:1">
      <c r="A9721" s="35" t="s">
        <v>41057</v>
      </c>
    </row>
    <row r="9722" spans="1:1">
      <c r="A9722" s="35" t="s">
        <v>41057</v>
      </c>
    </row>
    <row r="9723" spans="1:1">
      <c r="A9723" s="35" t="s">
        <v>41057</v>
      </c>
    </row>
    <row r="9724" spans="1:1">
      <c r="A9724" s="35" t="s">
        <v>41057</v>
      </c>
    </row>
    <row r="9725" spans="1:1">
      <c r="A9725" s="35" t="s">
        <v>41057</v>
      </c>
    </row>
    <row r="9726" spans="1:1">
      <c r="A9726" s="35" t="s">
        <v>41057</v>
      </c>
    </row>
    <row r="9727" spans="1:1">
      <c r="A9727" s="35" t="s">
        <v>41057</v>
      </c>
    </row>
    <row r="9728" spans="1:1">
      <c r="A9728" s="35" t="s">
        <v>41057</v>
      </c>
    </row>
    <row r="9729" spans="1:1">
      <c r="A9729" s="35" t="s">
        <v>41057</v>
      </c>
    </row>
    <row r="9730" spans="1:1">
      <c r="A9730" s="35" t="s">
        <v>41057</v>
      </c>
    </row>
    <row r="9731" spans="1:1">
      <c r="A9731" s="35" t="s">
        <v>41057</v>
      </c>
    </row>
    <row r="9732" spans="1:1">
      <c r="A9732" s="35" t="s">
        <v>41057</v>
      </c>
    </row>
    <row r="9733" spans="1:1">
      <c r="A9733" s="35" t="s">
        <v>41057</v>
      </c>
    </row>
    <row r="9734" spans="1:1">
      <c r="A9734" s="35" t="s">
        <v>41057</v>
      </c>
    </row>
    <row r="9735" spans="1:1">
      <c r="A9735" s="35" t="s">
        <v>41057</v>
      </c>
    </row>
    <row r="9736" spans="1:1">
      <c r="A9736" s="35" t="s">
        <v>55927</v>
      </c>
    </row>
    <row r="9737" spans="1:1">
      <c r="A9737" s="35" t="s">
        <v>41057</v>
      </c>
    </row>
    <row r="9738" spans="1:1">
      <c r="A9738" s="35" t="s">
        <v>41057</v>
      </c>
    </row>
    <row r="9739" spans="1:1">
      <c r="A9739" s="35" t="s">
        <v>53513</v>
      </c>
    </row>
    <row r="9740" spans="1:1">
      <c r="A9740" s="35" t="s">
        <v>41057</v>
      </c>
    </row>
    <row r="9741" spans="1:1">
      <c r="A9741" s="35" t="s">
        <v>41057</v>
      </c>
    </row>
    <row r="9742" spans="1:1">
      <c r="A9742" s="35" t="s">
        <v>41057</v>
      </c>
    </row>
    <row r="9743" spans="1:1">
      <c r="A9743" s="35" t="s">
        <v>41057</v>
      </c>
    </row>
    <row r="9744" spans="1:1">
      <c r="A9744" s="35" t="s">
        <v>41057</v>
      </c>
    </row>
    <row r="9745" spans="1:1">
      <c r="A9745" s="35" t="s">
        <v>41057</v>
      </c>
    </row>
    <row r="9746" spans="1:1">
      <c r="A9746" s="35" t="s">
        <v>41057</v>
      </c>
    </row>
    <row r="9747" spans="1:1">
      <c r="A9747" s="35" t="e" cm="1">
        <f t="array" ref="A9747">------------------------------------------------ASWCDAL---GY</f>
        <v>#NAME?</v>
      </c>
    </row>
    <row r="9748" spans="1:1">
      <c r="A9748" s="35" t="s">
        <v>55953</v>
      </c>
    </row>
    <row r="9749" spans="1:1">
      <c r="A9749" s="35" t="e" cm="1">
        <f t="array" ref="A9749">---------------PRFMEMWDELSN---------S-DK------------------RL</f>
        <v>#NAME?</v>
      </c>
    </row>
    <row r="9750" spans="1:1">
      <c r="A9750" s="35" t="s">
        <v>55954</v>
      </c>
    </row>
    <row r="9751" spans="1:1">
      <c r="A9751" s="35" t="s">
        <v>41057</v>
      </c>
    </row>
    <row r="9752" spans="1:1">
      <c r="A9752" s="35" t="s">
        <v>41057</v>
      </c>
    </row>
    <row r="9753" spans="1:1">
      <c r="A9753" s="35" t="s">
        <v>55955</v>
      </c>
    </row>
    <row r="9754" spans="1:1">
      <c r="A9754" s="35" t="s">
        <v>41057</v>
      </c>
    </row>
    <row r="9755" spans="1:1">
      <c r="A9755" s="35" t="s">
        <v>53520</v>
      </c>
    </row>
    <row r="9756" spans="1:1">
      <c r="A9756" s="35" t="s">
        <v>55956</v>
      </c>
    </row>
    <row r="9757" spans="1:1">
      <c r="A9757" s="35" t="s">
        <v>55957</v>
      </c>
    </row>
    <row r="9758" spans="1:1">
      <c r="A9758" s="35" t="s">
        <v>41057</v>
      </c>
    </row>
    <row r="9759" spans="1:1">
      <c r="A9759" s="35" t="s">
        <v>41057</v>
      </c>
    </row>
    <row r="9760" spans="1:1">
      <c r="A9760" s="35" t="s">
        <v>41057</v>
      </c>
    </row>
    <row r="9761" spans="1:1">
      <c r="A9761" s="35" t="s">
        <v>55958</v>
      </c>
    </row>
    <row r="9762" spans="1:1">
      <c r="A9762" s="35" t="s">
        <v>41057</v>
      </c>
    </row>
    <row r="9763" spans="1:1">
      <c r="A9763" s="35" t="s">
        <v>41057</v>
      </c>
    </row>
    <row r="9764" spans="1:1">
      <c r="A9764" s="35" t="s">
        <v>55959</v>
      </c>
    </row>
    <row r="9765" spans="1:1">
      <c r="A9765" s="35" t="s">
        <v>55064</v>
      </c>
    </row>
    <row r="9766" spans="1:1">
      <c r="A9766" s="35" t="s">
        <v>55960</v>
      </c>
    </row>
    <row r="9767" spans="1:1">
      <c r="A9767" s="35" t="s">
        <v>55937</v>
      </c>
    </row>
    <row r="9768" spans="1:1">
      <c r="A9768" s="35" t="e" cm="1">
        <f t="array" ref="A9768">----------------------------------------------------------EN</f>
        <v>#NAME?</v>
      </c>
    </row>
    <row r="9769" spans="1:1">
      <c r="A9769" s="35" t="s">
        <v>55961</v>
      </c>
    </row>
    <row r="9770" spans="1:1">
      <c r="A9770" s="35" t="s">
        <v>55962</v>
      </c>
    </row>
    <row r="9771" spans="1:1">
      <c r="A9771" s="35" t="s">
        <v>41057</v>
      </c>
    </row>
    <row r="9772" spans="1:1">
      <c r="A9772" s="35" t="s">
        <v>41057</v>
      </c>
    </row>
    <row r="9773" spans="1:1">
      <c r="A9773" s="35" t="s">
        <v>55963</v>
      </c>
    </row>
    <row r="9774" spans="1:1">
      <c r="A9774" s="35" t="s">
        <v>41057</v>
      </c>
    </row>
    <row r="9775" spans="1:1">
      <c r="A9775" s="35" t="s">
        <v>55964</v>
      </c>
    </row>
    <row r="9776" spans="1:1">
      <c r="A9776" s="35" t="s">
        <v>41057</v>
      </c>
    </row>
    <row r="9777" spans="1:1">
      <c r="A9777" s="35" t="s">
        <v>55942</v>
      </c>
    </row>
    <row r="9778" spans="1:1">
      <c r="A9778" s="35" t="s">
        <v>41057</v>
      </c>
    </row>
    <row r="9779" spans="1:1">
      <c r="A9779" s="35" t="s">
        <v>55965</v>
      </c>
    </row>
    <row r="9780" spans="1:1">
      <c r="A9780" s="35" t="s">
        <v>41057</v>
      </c>
    </row>
    <row r="9781" spans="1:1">
      <c r="A9781" s="35" t="s">
        <v>41057</v>
      </c>
    </row>
    <row r="9782" spans="1:1">
      <c r="A9782" s="35" t="e" cm="1">
        <f t="array" ref="A9782">------------------------------------------------------PIL-KE</f>
        <v>#NAME?</v>
      </c>
    </row>
    <row r="9783" spans="1:1">
      <c r="A9783" s="35" t="s">
        <v>55944</v>
      </c>
    </row>
    <row r="9784" spans="1:1">
      <c r="A9784" s="35" t="s">
        <v>55966</v>
      </c>
    </row>
    <row r="9785" spans="1:1">
      <c r="A9785" s="35" t="s">
        <v>55967</v>
      </c>
    </row>
    <row r="9786" spans="1:1">
      <c r="A9786" s="35" t="s">
        <v>55968</v>
      </c>
    </row>
    <row r="9787" spans="1:1">
      <c r="A9787" s="35" t="s">
        <v>55969</v>
      </c>
    </row>
    <row r="9788" spans="1:1">
      <c r="A9788" s="35" t="s">
        <v>55970</v>
      </c>
    </row>
    <row r="9789" spans="1:1">
      <c r="A9789" s="35" t="s">
        <v>41057</v>
      </c>
    </row>
    <row r="9790" spans="1:1">
      <c r="A9790" s="35" t="s">
        <v>55971</v>
      </c>
    </row>
    <row r="9791" spans="1:1">
      <c r="A9791" s="35" t="s">
        <v>55972</v>
      </c>
    </row>
    <row r="9792" spans="1:1">
      <c r="A9792" s="35" t="s">
        <v>55973</v>
      </c>
    </row>
    <row r="9793" spans="1:1">
      <c r="A9793" s="35" t="s">
        <v>41057</v>
      </c>
    </row>
    <row r="9794" spans="1:1">
      <c r="A9794" s="35" t="s">
        <v>53545</v>
      </c>
    </row>
    <row r="9795" spans="1:1">
      <c r="A9795" s="35" t="s">
        <v>52267</v>
      </c>
    </row>
    <row r="9796" spans="1:1">
      <c r="A9796" s="35" t="s">
        <v>41057</v>
      </c>
    </row>
    <row r="9797" spans="1:1">
      <c r="A9797" s="35" t="s">
        <v>41057</v>
      </c>
    </row>
    <row r="9798" spans="1:1">
      <c r="A9798" s="35" t="s">
        <v>41057</v>
      </c>
    </row>
    <row r="9799" spans="1:1">
      <c r="A9799" s="35" t="s">
        <v>41057</v>
      </c>
    </row>
    <row r="9800" spans="1:1">
      <c r="A9800" s="35" t="s">
        <v>41057</v>
      </c>
    </row>
    <row r="9801" spans="1:1">
      <c r="A9801" s="35" t="s">
        <v>53706</v>
      </c>
    </row>
    <row r="9802" spans="1:1">
      <c r="A9802" s="35" t="s">
        <v>41057</v>
      </c>
    </row>
    <row r="9803" spans="1:1">
      <c r="A9803" s="35" t="s">
        <v>41057</v>
      </c>
    </row>
    <row r="9804" spans="1:1">
      <c r="A9804" s="35" t="s">
        <v>41057</v>
      </c>
    </row>
    <row r="9805" spans="1:1">
      <c r="A9805" s="35" t="s">
        <v>55974</v>
      </c>
    </row>
    <row r="9806" spans="1:1">
      <c r="A9806" s="35" t="s">
        <v>55975</v>
      </c>
    </row>
    <row r="9807" spans="1:1">
      <c r="A9807" s="35" t="s">
        <v>55976</v>
      </c>
    </row>
    <row r="9808" spans="1:1">
      <c r="A9808" s="35" t="s">
        <v>55977</v>
      </c>
    </row>
    <row r="9809" spans="1:1">
      <c r="A9809" s="35" t="s">
        <v>41057</v>
      </c>
    </row>
    <row r="9810" spans="1:1">
      <c r="A9810" s="35" t="s">
        <v>41057</v>
      </c>
    </row>
    <row r="9811" spans="1:1">
      <c r="A9811" s="35" t="e" cm="1">
        <f t="array" ref="A9811">---------------EITF------------------FKK-------------------V</f>
        <v>#NAME?</v>
      </c>
    </row>
    <row r="9812" spans="1:1">
      <c r="A9812" s="35" t="s">
        <v>54101</v>
      </c>
    </row>
    <row r="9813" spans="1:1">
      <c r="A9813" s="35" t="s">
        <v>55978</v>
      </c>
    </row>
    <row r="9814" spans="1:1">
      <c r="A9814" s="35" t="s">
        <v>41057</v>
      </c>
    </row>
    <row r="9815" spans="1:1">
      <c r="A9815" s="35" t="s">
        <v>55979</v>
      </c>
    </row>
    <row r="9816" spans="1:1">
      <c r="A9816" s="35" t="s">
        <v>41057</v>
      </c>
    </row>
    <row r="9817" spans="1:1">
      <c r="A9817" s="35" t="s">
        <v>41057</v>
      </c>
    </row>
    <row r="9818" spans="1:1">
      <c r="A9818" s="35" t="s">
        <v>55980</v>
      </c>
    </row>
    <row r="9819" spans="1:1">
      <c r="A9819" s="35" t="s">
        <v>41057</v>
      </c>
    </row>
    <row r="9820" spans="1:1">
      <c r="A9820" s="35" t="s">
        <v>41057</v>
      </c>
    </row>
    <row r="9821" spans="1:1">
      <c r="A9821" s="35" t="s">
        <v>53500</v>
      </c>
    </row>
    <row r="9822" spans="1:1">
      <c r="A9822" s="35" t="s">
        <v>41057</v>
      </c>
    </row>
    <row r="9823" spans="1:1">
      <c r="A9823" s="35" t="s">
        <v>41057</v>
      </c>
    </row>
    <row r="9824" spans="1:1">
      <c r="A9824" s="35" t="s">
        <v>55981</v>
      </c>
    </row>
    <row r="9825" spans="1:1">
      <c r="A9825" s="35" t="s">
        <v>41057</v>
      </c>
    </row>
    <row r="9826" spans="1:1">
      <c r="A9826" s="35" t="s">
        <v>55982</v>
      </c>
    </row>
    <row r="9827" spans="1:1">
      <c r="A9827" s="35" t="s">
        <v>41057</v>
      </c>
    </row>
    <row r="9828" spans="1:1">
      <c r="A9828" s="35" t="s">
        <v>55983</v>
      </c>
    </row>
    <row r="9829" spans="1:1">
      <c r="A9829" s="35" t="s">
        <v>55984</v>
      </c>
    </row>
    <row r="9830" spans="1:1">
      <c r="A9830" s="35" t="s">
        <v>41057</v>
      </c>
    </row>
    <row r="9831" spans="1:1">
      <c r="A9831" s="35" t="s">
        <v>41057</v>
      </c>
    </row>
    <row r="9832" spans="1:1">
      <c r="A9832" s="35" t="s">
        <v>55884</v>
      </c>
    </row>
    <row r="9833" spans="1:1">
      <c r="A9833" s="35" t="s">
        <v>41057</v>
      </c>
    </row>
    <row r="9834" spans="1:1">
      <c r="A9834" s="35" t="s">
        <v>41057</v>
      </c>
    </row>
    <row r="9835" spans="1:1">
      <c r="A9835" s="35" t="s">
        <v>41057</v>
      </c>
    </row>
    <row r="9836" spans="1:1">
      <c r="A9836" s="35" t="s">
        <v>41057</v>
      </c>
    </row>
    <row r="9837" spans="1:1">
      <c r="A9837" s="35" t="s">
        <v>41057</v>
      </c>
    </row>
    <row r="9838" spans="1:1">
      <c r="A9838" s="35" t="s">
        <v>55985</v>
      </c>
    </row>
    <row r="9839" spans="1:1">
      <c r="A9839" s="35" t="s">
        <v>41057</v>
      </c>
    </row>
    <row r="9840" spans="1:1">
      <c r="A9840" s="35" t="s">
        <v>41057</v>
      </c>
    </row>
    <row r="9841" spans="1:1">
      <c r="A9841" s="35" t="s">
        <v>41057</v>
      </c>
    </row>
    <row r="9842" spans="1:1">
      <c r="A9842" s="35" t="s">
        <v>41057</v>
      </c>
    </row>
    <row r="9843" spans="1:1">
      <c r="A9843" s="35" t="s">
        <v>41057</v>
      </c>
    </row>
    <row r="9844" spans="1:1">
      <c r="A9844" s="35" t="s">
        <v>41057</v>
      </c>
    </row>
    <row r="9845" spans="1:1">
      <c r="A9845" s="35" t="s">
        <v>41057</v>
      </c>
    </row>
    <row r="9846" spans="1:1">
      <c r="A9846" s="35" t="s">
        <v>41057</v>
      </c>
    </row>
    <row r="9847" spans="1:1">
      <c r="A9847" s="35" t="s">
        <v>41057</v>
      </c>
    </row>
    <row r="9848" spans="1:1">
      <c r="A9848" s="35" t="s">
        <v>41057</v>
      </c>
    </row>
    <row r="9849" spans="1:1">
      <c r="A9849" s="35" t="s">
        <v>41057</v>
      </c>
    </row>
    <row r="9850" spans="1:1">
      <c r="A9850" s="35" t="s">
        <v>41057</v>
      </c>
    </row>
    <row r="9851" spans="1:1">
      <c r="A9851" s="35" t="s">
        <v>41057</v>
      </c>
    </row>
    <row r="9852" spans="1:1">
      <c r="A9852" s="35" t="s">
        <v>41057</v>
      </c>
    </row>
    <row r="9853" spans="1:1">
      <c r="A9853" s="35" t="s">
        <v>41057</v>
      </c>
    </row>
    <row r="9854" spans="1:1">
      <c r="A9854" s="35" t="s">
        <v>55986</v>
      </c>
    </row>
    <row r="9855" spans="1:1">
      <c r="A9855" s="35" t="s">
        <v>41057</v>
      </c>
    </row>
    <row r="9856" spans="1:1">
      <c r="A9856" s="35" t="s">
        <v>41057</v>
      </c>
    </row>
    <row r="9857" spans="1:1">
      <c r="A9857" s="35" t="s">
        <v>55987</v>
      </c>
    </row>
    <row r="9858" spans="1:1">
      <c r="A9858" s="35" t="s">
        <v>41057</v>
      </c>
    </row>
    <row r="9859" spans="1:1">
      <c r="A9859" s="35" t="s">
        <v>41057</v>
      </c>
    </row>
    <row r="9860" spans="1:1">
      <c r="A9860" s="35" t="s">
        <v>41057</v>
      </c>
    </row>
    <row r="9861" spans="1:1">
      <c r="A9861" s="35" t="s">
        <v>41057</v>
      </c>
    </row>
    <row r="9862" spans="1:1">
      <c r="A9862" s="35" t="s">
        <v>41057</v>
      </c>
    </row>
    <row r="9863" spans="1:1">
      <c r="A9863" s="35" t="s">
        <v>41057</v>
      </c>
    </row>
    <row r="9864" spans="1:1">
      <c r="A9864" s="35" t="s">
        <v>41057</v>
      </c>
    </row>
    <row r="9865" spans="1:1">
      <c r="A9865" s="35" t="e" cm="1">
        <f t="array" ref="A9865">---------------------------------------------NFKIQYVKNL---GY</f>
        <v>#NAME?</v>
      </c>
    </row>
    <row r="9866" spans="1:1">
      <c r="A9866" s="35" t="s">
        <v>55988</v>
      </c>
    </row>
    <row r="9867" spans="1:1">
      <c r="A9867" s="35" t="e" cm="1">
        <f t="array" ref="A9867">---------------GEWLYIWNELTT---------PLQQ------------------KR</f>
        <v>#NAME?</v>
      </c>
    </row>
    <row r="9868" spans="1:1">
      <c r="A9868" s="35" t="s">
        <v>55989</v>
      </c>
    </row>
    <row r="9869" spans="1:1">
      <c r="A9869" s="35" t="s">
        <v>41057</v>
      </c>
    </row>
    <row r="9870" spans="1:1">
      <c r="A9870" s="35" t="s">
        <v>41057</v>
      </c>
    </row>
    <row r="9871" spans="1:1">
      <c r="A9871" s="35" t="s">
        <v>55990</v>
      </c>
    </row>
    <row r="9872" spans="1:1">
      <c r="A9872" s="35" t="s">
        <v>41057</v>
      </c>
    </row>
    <row r="9873" spans="1:1">
      <c r="A9873" s="35" t="s">
        <v>55991</v>
      </c>
    </row>
    <row r="9874" spans="1:1">
      <c r="A9874" s="35" t="e" cm="1">
        <f t="array" ref="A9874">---GTCNSL-------PLVSL-----SKDDIKIHIELRKLSEVIKQTPEKQIKIIQNFCS</f>
        <v>#NAME?</v>
      </c>
    </row>
    <row r="9875" spans="1:1">
      <c r="A9875" s="35" t="s">
        <v>55992</v>
      </c>
    </row>
    <row r="9876" spans="1:1">
      <c r="A9876" s="35" t="s">
        <v>41057</v>
      </c>
    </row>
    <row r="9877" spans="1:1">
      <c r="A9877" s="35" t="s">
        <v>55993</v>
      </c>
    </row>
    <row r="9878" spans="1:1">
      <c r="A9878" s="35" t="s">
        <v>55994</v>
      </c>
    </row>
    <row r="9879" spans="1:1">
      <c r="A9879" s="35" t="s">
        <v>55995</v>
      </c>
    </row>
    <row r="9880" spans="1:1">
      <c r="A9880" s="35" t="s">
        <v>41057</v>
      </c>
    </row>
    <row r="9881" spans="1:1">
      <c r="A9881" s="35" t="s">
        <v>41057</v>
      </c>
    </row>
    <row r="9882" spans="1:1">
      <c r="A9882" s="35" t="s">
        <v>55996</v>
      </c>
    </row>
    <row r="9883" spans="1:1">
      <c r="A9883" s="35" t="s">
        <v>55997</v>
      </c>
    </row>
    <row r="9884" spans="1:1">
      <c r="A9884" s="35" t="s">
        <v>55998</v>
      </c>
    </row>
    <row r="9885" spans="1:1">
      <c r="A9885" s="35" t="s">
        <v>55999</v>
      </c>
    </row>
    <row r="9886" spans="1:1">
      <c r="A9886" s="35" t="e" cm="1">
        <f t="array" ref="A9886">----------------------------------------------------------NL</f>
        <v>#NAME?</v>
      </c>
    </row>
    <row r="9887" spans="1:1">
      <c r="A9887" s="35" t="s">
        <v>56000</v>
      </c>
    </row>
    <row r="9888" spans="1:1">
      <c r="A9888" s="35" t="s">
        <v>56001</v>
      </c>
    </row>
    <row r="9889" spans="1:1">
      <c r="A9889" s="35" t="s">
        <v>41057</v>
      </c>
    </row>
    <row r="9890" spans="1:1">
      <c r="A9890" s="35" t="s">
        <v>41057</v>
      </c>
    </row>
    <row r="9891" spans="1:1">
      <c r="A9891" s="35" t="s">
        <v>56002</v>
      </c>
    </row>
    <row r="9892" spans="1:1">
      <c r="A9892" s="35" t="s">
        <v>41057</v>
      </c>
    </row>
    <row r="9893" spans="1:1">
      <c r="A9893" s="35" t="s">
        <v>56003</v>
      </c>
    </row>
    <row r="9894" spans="1:1">
      <c r="A9894" s="35" t="s">
        <v>41057</v>
      </c>
    </row>
    <row r="9895" spans="1:1">
      <c r="A9895" s="35" t="s">
        <v>56004</v>
      </c>
    </row>
    <row r="9896" spans="1:1">
      <c r="A9896" s="35" t="s">
        <v>56005</v>
      </c>
    </row>
    <row r="9897" spans="1:1">
      <c r="A9897" s="35" t="s">
        <v>56006</v>
      </c>
    </row>
    <row r="9898" spans="1:1">
      <c r="A9898" s="35" t="s">
        <v>41057</v>
      </c>
    </row>
    <row r="9899" spans="1:1">
      <c r="A9899" s="35" t="s">
        <v>41057</v>
      </c>
    </row>
    <row r="9900" spans="1:1">
      <c r="A9900" s="35" t="e" cm="1">
        <f t="array" ref="A9900">----------------------------------------------------KTDSLIKK</f>
        <v>#NAME?</v>
      </c>
    </row>
    <row r="9901" spans="1:1">
      <c r="A9901" s="35" t="s">
        <v>56007</v>
      </c>
    </row>
    <row r="9902" spans="1:1">
      <c r="A9902" s="35" t="s">
        <v>56008</v>
      </c>
    </row>
    <row r="9903" spans="1:1">
      <c r="A9903" s="35" t="s">
        <v>56009</v>
      </c>
    </row>
    <row r="9904" spans="1:1">
      <c r="A9904" s="35" t="s">
        <v>56010</v>
      </c>
    </row>
    <row r="9905" spans="1:1">
      <c r="A9905" s="35" t="s">
        <v>56011</v>
      </c>
    </row>
    <row r="9906" spans="1:1">
      <c r="A9906" s="35" t="s">
        <v>56012</v>
      </c>
    </row>
    <row r="9907" spans="1:1">
      <c r="A9907" s="35" t="s">
        <v>41057</v>
      </c>
    </row>
    <row r="9908" spans="1:1">
      <c r="A9908" s="35" t="s">
        <v>56013</v>
      </c>
    </row>
    <row r="9909" spans="1:1">
      <c r="A9909" s="35" t="s">
        <v>56014</v>
      </c>
    </row>
    <row r="9910" spans="1:1">
      <c r="A9910" s="35" t="s">
        <v>56015</v>
      </c>
    </row>
    <row r="9911" spans="1:1">
      <c r="A9911" s="35" t="s">
        <v>41057</v>
      </c>
    </row>
    <row r="9912" spans="1:1">
      <c r="A9912" s="35" t="s">
        <v>53545</v>
      </c>
    </row>
    <row r="9913" spans="1:1">
      <c r="A9913" s="35" t="s">
        <v>53060</v>
      </c>
    </row>
    <row r="9914" spans="1:1">
      <c r="A9914" s="35" t="s">
        <v>41057</v>
      </c>
    </row>
    <row r="9915" spans="1:1">
      <c r="A9915" s="35" t="s">
        <v>41057</v>
      </c>
    </row>
    <row r="9916" spans="1:1">
      <c r="A9916" s="35" t="s">
        <v>41057</v>
      </c>
    </row>
    <row r="9917" spans="1:1">
      <c r="A9917" s="35" t="s">
        <v>41057</v>
      </c>
    </row>
    <row r="9918" spans="1:1">
      <c r="A9918" s="35" t="s">
        <v>41057</v>
      </c>
    </row>
    <row r="9919" spans="1:1">
      <c r="A9919" s="35" t="s">
        <v>41057</v>
      </c>
    </row>
    <row r="9920" spans="1:1">
      <c r="A9920" s="35" t="s">
        <v>41057</v>
      </c>
    </row>
    <row r="9921" spans="1:1">
      <c r="A9921" s="35" t="s">
        <v>41057</v>
      </c>
    </row>
    <row r="9922" spans="1:1">
      <c r="A9922" s="35" t="s">
        <v>41057</v>
      </c>
    </row>
    <row r="9923" spans="1:1">
      <c r="A9923" s="35" t="s">
        <v>41057</v>
      </c>
    </row>
    <row r="9924" spans="1:1">
      <c r="A9924" s="35" t="s">
        <v>41057</v>
      </c>
    </row>
    <row r="9925" spans="1:1">
      <c r="A9925" s="35" t="s">
        <v>56016</v>
      </c>
    </row>
    <row r="9926" spans="1:1">
      <c r="A9926" s="35" t="s">
        <v>56017</v>
      </c>
    </row>
    <row r="9927" spans="1:1">
      <c r="A9927" s="35" t="s">
        <v>41057</v>
      </c>
    </row>
    <row r="9928" spans="1:1">
      <c r="A9928" s="35" t="s">
        <v>41057</v>
      </c>
    </row>
    <row r="9929" spans="1:1">
      <c r="A9929" s="35" t="s">
        <v>56018</v>
      </c>
    </row>
    <row r="9930" spans="1:1">
      <c r="A9930" s="35" t="s">
        <v>41057</v>
      </c>
    </row>
    <row r="9931" spans="1:1">
      <c r="A9931" s="35" t="s">
        <v>41057</v>
      </c>
    </row>
    <row r="9932" spans="1:1">
      <c r="A9932" s="35" t="s">
        <v>41057</v>
      </c>
    </row>
    <row r="9933" spans="1:1">
      <c r="A9933" s="35" t="s">
        <v>41057</v>
      </c>
    </row>
    <row r="9934" spans="1:1">
      <c r="A9934" s="35" t="s">
        <v>41057</v>
      </c>
    </row>
    <row r="9935" spans="1:1">
      <c r="A9935" s="35" t="s">
        <v>41057</v>
      </c>
    </row>
    <row r="9936" spans="1:1">
      <c r="A9936" s="35" t="s">
        <v>41057</v>
      </c>
    </row>
    <row r="9937" spans="1:1">
      <c r="A9937" s="35" t="s">
        <v>41057</v>
      </c>
    </row>
    <row r="9938" spans="1:1">
      <c r="A9938" s="35" t="s">
        <v>41057</v>
      </c>
    </row>
    <row r="9939" spans="1:1">
      <c r="A9939" s="35" t="s">
        <v>41057</v>
      </c>
    </row>
    <row r="9940" spans="1:1">
      <c r="A9940" s="35" t="s">
        <v>41057</v>
      </c>
    </row>
    <row r="9941" spans="1:1">
      <c r="A9941" s="35" t="s">
        <v>41057</v>
      </c>
    </row>
    <row r="9942" spans="1:1">
      <c r="A9942" s="35" t="s">
        <v>56019</v>
      </c>
    </row>
    <row r="9943" spans="1:1">
      <c r="A9943" s="35" t="s">
        <v>41057</v>
      </c>
    </row>
    <row r="9944" spans="1:1">
      <c r="A9944" s="35" t="s">
        <v>56020</v>
      </c>
    </row>
    <row r="9945" spans="1:1">
      <c r="A9945" s="35" t="s">
        <v>41057</v>
      </c>
    </row>
    <row r="9946" spans="1:1">
      <c r="A9946" s="35" t="s">
        <v>41057</v>
      </c>
    </row>
    <row r="9947" spans="1:1">
      <c r="A9947" s="35" t="s">
        <v>41057</v>
      </c>
    </row>
    <row r="9948" spans="1:1">
      <c r="A9948" s="35" t="s">
        <v>41057</v>
      </c>
    </row>
    <row r="9949" spans="1:1">
      <c r="A9949" s="35" t="s">
        <v>41057</v>
      </c>
    </row>
    <row r="9950" spans="1:1">
      <c r="A9950" s="35" t="s">
        <v>41057</v>
      </c>
    </row>
    <row r="9951" spans="1:1">
      <c r="A9951" s="35" t="s">
        <v>41057</v>
      </c>
    </row>
    <row r="9952" spans="1:1">
      <c r="A9952" s="35" t="s">
        <v>41057</v>
      </c>
    </row>
    <row r="9953" spans="1:1">
      <c r="A9953" s="35" t="s">
        <v>41057</v>
      </c>
    </row>
    <row r="9954" spans="1:1">
      <c r="A9954" s="35" t="s">
        <v>41057</v>
      </c>
    </row>
    <row r="9955" spans="1:1">
      <c r="A9955" s="35" t="s">
        <v>41057</v>
      </c>
    </row>
    <row r="9956" spans="1:1">
      <c r="A9956" s="35" t="s">
        <v>41057</v>
      </c>
    </row>
    <row r="9957" spans="1:1">
      <c r="A9957" s="35" t="s">
        <v>41057</v>
      </c>
    </row>
    <row r="9958" spans="1:1">
      <c r="A9958" s="35" t="s">
        <v>41057</v>
      </c>
    </row>
    <row r="9959" spans="1:1">
      <c r="A9959" s="35" t="s">
        <v>41057</v>
      </c>
    </row>
    <row r="9960" spans="1:1">
      <c r="A9960" s="35" t="s">
        <v>41057</v>
      </c>
    </row>
    <row r="9961" spans="1:1">
      <c r="A9961" s="35" t="s">
        <v>41057</v>
      </c>
    </row>
    <row r="9962" spans="1:1">
      <c r="A9962" s="35" t="s">
        <v>41057</v>
      </c>
    </row>
    <row r="9963" spans="1:1">
      <c r="A9963" s="35" t="s">
        <v>41057</v>
      </c>
    </row>
    <row r="9964" spans="1:1">
      <c r="A9964" s="35" t="s">
        <v>41057</v>
      </c>
    </row>
    <row r="9965" spans="1:1">
      <c r="A9965" s="35" t="s">
        <v>41057</v>
      </c>
    </row>
    <row r="9966" spans="1:1">
      <c r="A9966" s="35" t="s">
        <v>41057</v>
      </c>
    </row>
    <row r="9967" spans="1:1">
      <c r="A9967" s="35" t="s">
        <v>41057</v>
      </c>
    </row>
    <row r="9968" spans="1:1">
      <c r="A9968" s="35" t="s">
        <v>41057</v>
      </c>
    </row>
    <row r="9969" spans="1:1">
      <c r="A9969" s="35" t="s">
        <v>41057</v>
      </c>
    </row>
    <row r="9970" spans="1:1">
      <c r="A9970" s="35" t="s">
        <v>41057</v>
      </c>
    </row>
    <row r="9971" spans="1:1">
      <c r="A9971" s="35" t="s">
        <v>41057</v>
      </c>
    </row>
    <row r="9972" spans="1:1">
      <c r="A9972" s="35" t="s">
        <v>56021</v>
      </c>
    </row>
    <row r="9973" spans="1:1">
      <c r="A9973" s="35" t="s">
        <v>41057</v>
      </c>
    </row>
    <row r="9974" spans="1:1">
      <c r="A9974" s="35" t="s">
        <v>41057</v>
      </c>
    </row>
    <row r="9975" spans="1:1">
      <c r="A9975" s="35" t="s">
        <v>41057</v>
      </c>
    </row>
    <row r="9976" spans="1:1">
      <c r="A9976" s="35" t="s">
        <v>41057</v>
      </c>
    </row>
    <row r="9977" spans="1:1">
      <c r="A9977" s="35" t="s">
        <v>41057</v>
      </c>
    </row>
    <row r="9978" spans="1:1">
      <c r="A9978" s="35" t="s">
        <v>41057</v>
      </c>
    </row>
    <row r="9979" spans="1:1">
      <c r="A9979" s="35" t="s">
        <v>41057</v>
      </c>
    </row>
    <row r="9980" spans="1:1">
      <c r="A9980" s="35" t="s">
        <v>41057</v>
      </c>
    </row>
    <row r="9981" spans="1:1">
      <c r="A9981" s="35" t="s">
        <v>41057</v>
      </c>
    </row>
    <row r="9982" spans="1:1">
      <c r="A9982" s="35" t="s">
        <v>41057</v>
      </c>
    </row>
    <row r="9983" spans="1:1">
      <c r="A9983" s="35" t="e" cm="1">
        <f t="array" ref="A9983">---------------------------------------------NVTFRWVPFP---GE</f>
        <v>#NAME?</v>
      </c>
    </row>
    <row r="9984" spans="1:1">
      <c r="A9984" s="35" t="s">
        <v>56022</v>
      </c>
    </row>
    <row r="9985" spans="1:1">
      <c r="A9985" s="35" t="e" cm="1">
        <f t="array" ref="A9985">---------------GLWMHLWSQLTL---------HNSK------------------YD</f>
        <v>#NAME?</v>
      </c>
    </row>
    <row r="9986" spans="1:1">
      <c r="A9986" s="35" t="s">
        <v>56023</v>
      </c>
    </row>
    <row r="9987" spans="1:1">
      <c r="A9987" s="35" t="e" cm="1">
        <f t="array" ref="A9987">-------------------------------------------VTYETIT--------TG</f>
        <v>#NAME?</v>
      </c>
    </row>
    <row r="9988" spans="1:1">
      <c r="A9988" s="35" t="s">
        <v>56024</v>
      </c>
    </row>
    <row r="9989" spans="1:1">
      <c r="A9989" s="35" t="s">
        <v>56025</v>
      </c>
    </row>
    <row r="9990" spans="1:1">
      <c r="A9990" s="35" t="s">
        <v>41057</v>
      </c>
    </row>
    <row r="9991" spans="1:1">
      <c r="A9991" s="35" t="s">
        <v>56026</v>
      </c>
    </row>
    <row r="9992" spans="1:1">
      <c r="A9992" s="35" t="s">
        <v>56027</v>
      </c>
    </row>
    <row r="9993" spans="1:1">
      <c r="A9993" s="35" t="s">
        <v>56028</v>
      </c>
    </row>
    <row r="9994" spans="1:1">
      <c r="A9994" s="35" t="s">
        <v>41057</v>
      </c>
    </row>
    <row r="9995" spans="1:1">
      <c r="A9995" s="35" t="s">
        <v>41057</v>
      </c>
    </row>
    <row r="9996" spans="1:1">
      <c r="A9996" s="35" t="s">
        <v>41057</v>
      </c>
    </row>
    <row r="9997" spans="1:1">
      <c r="A9997" s="35" t="s">
        <v>56029</v>
      </c>
    </row>
    <row r="9998" spans="1:1">
      <c r="A9998" s="35" t="s">
        <v>41057</v>
      </c>
    </row>
    <row r="9999" spans="1:1">
      <c r="A9999" s="35" t="s">
        <v>41057</v>
      </c>
    </row>
    <row r="10000" spans="1:1">
      <c r="A10000" s="35" t="s">
        <v>56030</v>
      </c>
    </row>
    <row r="10001" spans="1:1">
      <c r="A10001" s="35" t="s">
        <v>56031</v>
      </c>
    </row>
    <row r="10002" spans="1:1">
      <c r="A10002" s="35" t="s">
        <v>56032</v>
      </c>
    </row>
    <row r="10003" spans="1:1">
      <c r="A10003" s="35" t="s">
        <v>56033</v>
      </c>
    </row>
    <row r="10004" spans="1:1">
      <c r="A10004" s="35" t="s">
        <v>41057</v>
      </c>
    </row>
    <row r="10005" spans="1:1">
      <c r="A10005" s="35" t="s">
        <v>41057</v>
      </c>
    </row>
    <row r="10006" spans="1:1">
      <c r="A10006" s="35" t="s">
        <v>41057</v>
      </c>
    </row>
    <row r="10007" spans="1:1">
      <c r="A10007" s="35" t="s">
        <v>41057</v>
      </c>
    </row>
    <row r="10008" spans="1:1">
      <c r="A10008" s="35" t="s">
        <v>41057</v>
      </c>
    </row>
    <row r="10009" spans="1:1">
      <c r="A10009" s="35" t="s">
        <v>41057</v>
      </c>
    </row>
    <row r="10010" spans="1:1">
      <c r="A10010" s="35" t="s">
        <v>41057</v>
      </c>
    </row>
    <row r="10011" spans="1:1">
      <c r="A10011" s="35" t="s">
        <v>41057</v>
      </c>
    </row>
    <row r="10012" spans="1:1">
      <c r="A10012" s="35" t="s">
        <v>41057</v>
      </c>
    </row>
    <row r="10013" spans="1:1">
      <c r="A10013" s="35" t="s">
        <v>41057</v>
      </c>
    </row>
    <row r="10014" spans="1:1">
      <c r="A10014" s="35" t="s">
        <v>41057</v>
      </c>
    </row>
    <row r="10015" spans="1:1">
      <c r="A10015" s="35" t="s">
        <v>41057</v>
      </c>
    </row>
    <row r="10016" spans="1:1">
      <c r="A10016" s="35" t="s">
        <v>41057</v>
      </c>
    </row>
    <row r="10017" spans="1:1">
      <c r="A10017" s="35" t="s">
        <v>41057</v>
      </c>
    </row>
    <row r="10018" spans="1:1">
      <c r="A10018" s="35" t="s">
        <v>41057</v>
      </c>
    </row>
    <row r="10019" spans="1:1">
      <c r="A10019" s="35" t="s">
        <v>41057</v>
      </c>
    </row>
    <row r="10020" spans="1:1">
      <c r="A10020" s="35" t="s">
        <v>41057</v>
      </c>
    </row>
    <row r="10021" spans="1:1">
      <c r="A10021" s="35" t="s">
        <v>56034</v>
      </c>
    </row>
    <row r="10022" spans="1:1">
      <c r="A10022" s="35" t="s">
        <v>41057</v>
      </c>
    </row>
    <row r="10023" spans="1:1">
      <c r="A10023" s="35" t="s">
        <v>41057</v>
      </c>
    </row>
    <row r="10024" spans="1:1">
      <c r="A10024" s="35" t="s">
        <v>41057</v>
      </c>
    </row>
    <row r="10025" spans="1:1">
      <c r="A10025" s="35" t="s">
        <v>41057</v>
      </c>
    </row>
    <row r="10026" spans="1:1">
      <c r="A10026" s="35" t="s">
        <v>41057</v>
      </c>
    </row>
    <row r="10027" spans="1:1">
      <c r="A10027" s="35" t="s">
        <v>41057</v>
      </c>
    </row>
    <row r="10028" spans="1:1">
      <c r="A10028" s="35" t="s">
        <v>41057</v>
      </c>
    </row>
    <row r="10029" spans="1:1">
      <c r="A10029" s="35" t="s">
        <v>41057</v>
      </c>
    </row>
    <row r="10030" spans="1:1">
      <c r="A10030" s="35" t="s">
        <v>53545</v>
      </c>
    </row>
    <row r="10031" spans="1:1">
      <c r="A10031" s="35" t="s">
        <v>52251</v>
      </c>
    </row>
    <row r="10032" spans="1:1">
      <c r="A10032" s="35" t="s">
        <v>41057</v>
      </c>
    </row>
    <row r="10033" spans="1:1">
      <c r="A10033" s="35" t="s">
        <v>41057</v>
      </c>
    </row>
    <row r="10034" spans="1:1">
      <c r="A10034" s="35" t="s">
        <v>41057</v>
      </c>
    </row>
    <row r="10035" spans="1:1">
      <c r="A10035" s="35" t="s">
        <v>41057</v>
      </c>
    </row>
    <row r="10036" spans="1:1">
      <c r="A10036" s="35" t="s">
        <v>41057</v>
      </c>
    </row>
    <row r="10037" spans="1:1">
      <c r="A10037" s="35" t="s">
        <v>53706</v>
      </c>
    </row>
    <row r="10038" spans="1:1">
      <c r="A10038" s="35" t="s">
        <v>41057</v>
      </c>
    </row>
    <row r="10039" spans="1:1">
      <c r="A10039" s="35" t="s">
        <v>41057</v>
      </c>
    </row>
    <row r="10040" spans="1:1">
      <c r="A10040" s="35" t="s">
        <v>41057</v>
      </c>
    </row>
    <row r="10041" spans="1:1">
      <c r="A10041" s="35" t="s">
        <v>56035</v>
      </c>
    </row>
    <row r="10042" spans="1:1">
      <c r="A10042" s="35" t="s">
        <v>56036</v>
      </c>
    </row>
    <row r="10043" spans="1:1">
      <c r="A10043" s="35" t="s">
        <v>56037</v>
      </c>
    </row>
    <row r="10044" spans="1:1">
      <c r="A10044" s="35" t="s">
        <v>54100</v>
      </c>
    </row>
    <row r="10045" spans="1:1">
      <c r="A10045" s="35" t="s">
        <v>41057</v>
      </c>
    </row>
    <row r="10046" spans="1:1">
      <c r="A10046" s="35" t="s">
        <v>41057</v>
      </c>
    </row>
    <row r="10047" spans="1:1">
      <c r="A10047" s="35" t="e" cm="1">
        <f t="array" ref="A10047">---------------QVSL------------------FRS-------------------V</f>
        <v>#NAME?</v>
      </c>
    </row>
    <row r="10048" spans="1:1">
      <c r="A10048" s="35" t="s">
        <v>55366</v>
      </c>
    </row>
    <row r="10049" spans="1:1">
      <c r="A10049" s="35" t="s">
        <v>56038</v>
      </c>
    </row>
    <row r="10050" spans="1:1">
      <c r="A10050" s="35" t="s">
        <v>41057</v>
      </c>
    </row>
    <row r="10051" spans="1:1">
      <c r="A10051" s="35" t="s">
        <v>56039</v>
      </c>
    </row>
    <row r="10052" spans="1:1">
      <c r="A10052" s="35" t="s">
        <v>41057</v>
      </c>
    </row>
    <row r="10053" spans="1:1">
      <c r="A10053" s="35" t="s">
        <v>41057</v>
      </c>
    </row>
    <row r="10054" spans="1:1">
      <c r="A10054" s="35" t="s">
        <v>56040</v>
      </c>
    </row>
    <row r="10055" spans="1:1">
      <c r="A10055" s="35" t="s">
        <v>41057</v>
      </c>
    </row>
    <row r="10056" spans="1:1">
      <c r="A10056" s="35" t="s">
        <v>41057</v>
      </c>
    </row>
    <row r="10057" spans="1:1">
      <c r="A10057" s="35" t="s">
        <v>53500</v>
      </c>
    </row>
    <row r="10058" spans="1:1">
      <c r="A10058" s="35" t="s">
        <v>41057</v>
      </c>
    </row>
    <row r="10059" spans="1:1">
      <c r="A10059" s="35" t="s">
        <v>41057</v>
      </c>
    </row>
    <row r="10060" spans="1:1">
      <c r="A10060" s="35" t="s">
        <v>56041</v>
      </c>
    </row>
    <row r="10061" spans="1:1">
      <c r="A10061" s="35" t="s">
        <v>41057</v>
      </c>
    </row>
    <row r="10062" spans="1:1">
      <c r="A10062" s="35" t="s">
        <v>56042</v>
      </c>
    </row>
    <row r="10063" spans="1:1">
      <c r="A10063" s="35" t="s">
        <v>41057</v>
      </c>
    </row>
    <row r="10064" spans="1:1">
      <c r="A10064" s="35" t="s">
        <v>56043</v>
      </c>
    </row>
    <row r="10065" spans="1:1">
      <c r="A10065" s="35" t="s">
        <v>56044</v>
      </c>
    </row>
    <row r="10066" spans="1:1">
      <c r="A10066" s="35" t="s">
        <v>41057</v>
      </c>
    </row>
    <row r="10067" spans="1:1">
      <c r="A10067" s="35" t="s">
        <v>41057</v>
      </c>
    </row>
    <row r="10068" spans="1:1">
      <c r="A10068" s="35" t="s">
        <v>41057</v>
      </c>
    </row>
    <row r="10069" spans="1:1">
      <c r="A10069" s="35" t="s">
        <v>41057</v>
      </c>
    </row>
    <row r="10070" spans="1:1">
      <c r="A10070" s="35" t="s">
        <v>41057</v>
      </c>
    </row>
    <row r="10071" spans="1:1">
      <c r="A10071" s="35" t="s">
        <v>41057</v>
      </c>
    </row>
    <row r="10072" spans="1:1">
      <c r="A10072" s="35" t="s">
        <v>41057</v>
      </c>
    </row>
    <row r="10073" spans="1:1">
      <c r="A10073" s="35" t="s">
        <v>41057</v>
      </c>
    </row>
    <row r="10074" spans="1:1">
      <c r="A10074" s="35" t="s">
        <v>41057</v>
      </c>
    </row>
    <row r="10075" spans="1:1">
      <c r="A10075" s="35" t="s">
        <v>41057</v>
      </c>
    </row>
    <row r="10076" spans="1:1">
      <c r="A10076" s="35" t="s">
        <v>41057</v>
      </c>
    </row>
    <row r="10077" spans="1:1">
      <c r="A10077" s="35" t="s">
        <v>41057</v>
      </c>
    </row>
    <row r="10078" spans="1:1">
      <c r="A10078" s="35" t="s">
        <v>41057</v>
      </c>
    </row>
    <row r="10079" spans="1:1">
      <c r="A10079" s="35" t="s">
        <v>41057</v>
      </c>
    </row>
    <row r="10080" spans="1:1">
      <c r="A10080" s="35" t="s">
        <v>41057</v>
      </c>
    </row>
    <row r="10081" spans="1:1">
      <c r="A10081" s="35" t="s">
        <v>41057</v>
      </c>
    </row>
    <row r="10082" spans="1:1">
      <c r="A10082" s="35" t="s">
        <v>41057</v>
      </c>
    </row>
    <row r="10083" spans="1:1">
      <c r="A10083" s="35" t="s">
        <v>41057</v>
      </c>
    </row>
    <row r="10084" spans="1:1">
      <c r="A10084" s="35" t="s">
        <v>41057</v>
      </c>
    </row>
    <row r="10085" spans="1:1">
      <c r="A10085" s="35" t="s">
        <v>41057</v>
      </c>
    </row>
    <row r="10086" spans="1:1">
      <c r="A10086" s="35" t="s">
        <v>41057</v>
      </c>
    </row>
    <row r="10087" spans="1:1">
      <c r="A10087" s="35" t="s">
        <v>41057</v>
      </c>
    </row>
    <row r="10088" spans="1:1">
      <c r="A10088" s="35" t="s">
        <v>41057</v>
      </c>
    </row>
    <row r="10089" spans="1:1">
      <c r="A10089" s="35" t="s">
        <v>41057</v>
      </c>
    </row>
    <row r="10090" spans="1:1">
      <c r="A10090" s="35" t="s">
        <v>56045</v>
      </c>
    </row>
    <row r="10091" spans="1:1">
      <c r="A10091" s="35" t="s">
        <v>41057</v>
      </c>
    </row>
    <row r="10092" spans="1:1">
      <c r="A10092" s="35" t="s">
        <v>41057</v>
      </c>
    </row>
    <row r="10093" spans="1:1">
      <c r="A10093" s="35" t="s">
        <v>56046</v>
      </c>
    </row>
    <row r="10094" spans="1:1">
      <c r="A10094" s="35" t="s">
        <v>41057</v>
      </c>
    </row>
    <row r="10095" spans="1:1">
      <c r="A10095" s="35" t="s">
        <v>41057</v>
      </c>
    </row>
    <row r="10096" spans="1:1">
      <c r="A10096" s="35" t="s">
        <v>41057</v>
      </c>
    </row>
    <row r="10097" spans="1:1">
      <c r="A10097" s="35" t="s">
        <v>41057</v>
      </c>
    </row>
    <row r="10098" spans="1:1">
      <c r="A10098" s="35" t="s">
        <v>41057</v>
      </c>
    </row>
    <row r="10099" spans="1:1">
      <c r="A10099" s="35" t="s">
        <v>41057</v>
      </c>
    </row>
    <row r="10100" spans="1:1">
      <c r="A10100" s="35" t="s">
        <v>41057</v>
      </c>
    </row>
    <row r="10101" spans="1:1">
      <c r="A10101" s="35" t="e" cm="1">
        <f t="array" ref="A10101">---------------------------------------------VNNLDW--------S</f>
        <v>#NAME?</v>
      </c>
    </row>
    <row r="10102" spans="1:1">
      <c r="A10102" s="35" t="s">
        <v>56047</v>
      </c>
    </row>
    <row r="10103" spans="1:1">
      <c r="A10103" s="35" t="e" cm="1">
        <f t="array" ref="A10103">---------------FEFMTDVEPVVG---------AQTFS-----------------QR</f>
        <v>#NAME?</v>
      </c>
    </row>
    <row r="10104" spans="1:1">
      <c r="A10104" s="35" t="s">
        <v>56048</v>
      </c>
    </row>
    <row r="10105" spans="1:1">
      <c r="A10105" s="35" t="s">
        <v>41057</v>
      </c>
    </row>
    <row r="10106" spans="1:1">
      <c r="A10106" s="35" t="s">
        <v>41057</v>
      </c>
    </row>
    <row r="10107" spans="1:1">
      <c r="A10107" s="35" t="s">
        <v>56049</v>
      </c>
    </row>
    <row r="10108" spans="1:1">
      <c r="A10108" s="35" t="s">
        <v>41057</v>
      </c>
    </row>
    <row r="10109" spans="1:1">
      <c r="A10109" s="35" t="s">
        <v>53520</v>
      </c>
    </row>
    <row r="10110" spans="1:1">
      <c r="A10110" s="35" t="s">
        <v>56050</v>
      </c>
    </row>
    <row r="10111" spans="1:1">
      <c r="A10111" s="35" t="s">
        <v>56051</v>
      </c>
    </row>
    <row r="10112" spans="1:1">
      <c r="A10112" s="35" t="s">
        <v>41057</v>
      </c>
    </row>
    <row r="10113" spans="1:1">
      <c r="A10113" s="35" t="s">
        <v>41057</v>
      </c>
    </row>
    <row r="10114" spans="1:1">
      <c r="A10114" s="35" t="s">
        <v>41057</v>
      </c>
    </row>
    <row r="10115" spans="1:1">
      <c r="A10115" s="35" t="s">
        <v>56052</v>
      </c>
    </row>
    <row r="10116" spans="1:1">
      <c r="A10116" s="35" t="s">
        <v>41057</v>
      </c>
    </row>
    <row r="10117" spans="1:1">
      <c r="A10117" s="35" t="s">
        <v>41057</v>
      </c>
    </row>
    <row r="10118" spans="1:1">
      <c r="A10118" s="35" t="s">
        <v>41057</v>
      </c>
    </row>
    <row r="10119" spans="1:1">
      <c r="A10119" s="35" t="s">
        <v>56053</v>
      </c>
    </row>
    <row r="10120" spans="1:1">
      <c r="A10120" s="35" t="s">
        <v>56054</v>
      </c>
    </row>
    <row r="10121" spans="1:1">
      <c r="A10121" s="35" t="s">
        <v>56055</v>
      </c>
    </row>
    <row r="10122" spans="1:1">
      <c r="A10122" s="35" t="s">
        <v>41057</v>
      </c>
    </row>
    <row r="10123" spans="1:1">
      <c r="A10123" s="35" t="s">
        <v>41057</v>
      </c>
    </row>
    <row r="10124" spans="1:1">
      <c r="A10124" s="35" t="s">
        <v>56056</v>
      </c>
    </row>
    <row r="10125" spans="1:1">
      <c r="A10125" s="35" t="s">
        <v>41057</v>
      </c>
    </row>
    <row r="10126" spans="1:1">
      <c r="A10126" s="35" t="s">
        <v>41057</v>
      </c>
    </row>
    <row r="10127" spans="1:1">
      <c r="A10127" s="35" t="s">
        <v>56057</v>
      </c>
    </row>
    <row r="10128" spans="1:1">
      <c r="A10128" s="35" t="s">
        <v>56058</v>
      </c>
    </row>
    <row r="10129" spans="1:1">
      <c r="A10129" s="35" t="s">
        <v>56059</v>
      </c>
    </row>
    <row r="10130" spans="1:1">
      <c r="A10130" s="35" t="s">
        <v>41057</v>
      </c>
    </row>
    <row r="10131" spans="1:1">
      <c r="A10131" s="35" t="s">
        <v>41057</v>
      </c>
    </row>
    <row r="10132" spans="1:1">
      <c r="A10132" s="35" t="s">
        <v>41057</v>
      </c>
    </row>
    <row r="10133" spans="1:1">
      <c r="A10133" s="35" t="s">
        <v>41057</v>
      </c>
    </row>
    <row r="10134" spans="1:1">
      <c r="A10134" s="35" t="s">
        <v>41057</v>
      </c>
    </row>
    <row r="10135" spans="1:1">
      <c r="A10135" s="35" t="s">
        <v>41057</v>
      </c>
    </row>
    <row r="10136" spans="1:1">
      <c r="A10136" s="35" t="s">
        <v>41057</v>
      </c>
    </row>
    <row r="10137" spans="1:1">
      <c r="A10137" s="35" t="s">
        <v>56060</v>
      </c>
    </row>
    <row r="10138" spans="1:1">
      <c r="A10138" s="35" t="s">
        <v>56061</v>
      </c>
    </row>
    <row r="10139" spans="1:1">
      <c r="A10139" s="35" t="s">
        <v>56062</v>
      </c>
    </row>
    <row r="10140" spans="1:1">
      <c r="A10140" s="35" t="s">
        <v>56063</v>
      </c>
    </row>
    <row r="10141" spans="1:1">
      <c r="A10141" s="35" t="s">
        <v>56064</v>
      </c>
    </row>
    <row r="10142" spans="1:1">
      <c r="A10142" s="35" t="s">
        <v>56065</v>
      </c>
    </row>
    <row r="10143" spans="1:1">
      <c r="A10143" s="35" t="s">
        <v>41057</v>
      </c>
    </row>
    <row r="10144" spans="1:1">
      <c r="A10144" s="35" t="s">
        <v>56066</v>
      </c>
    </row>
    <row r="10145" spans="1:1">
      <c r="A10145" s="35" t="s">
        <v>56067</v>
      </c>
    </row>
    <row r="10146" spans="1:1">
      <c r="A10146" s="35" t="s">
        <v>56068</v>
      </c>
    </row>
    <row r="10147" spans="1:1">
      <c r="A10147" s="35" t="s">
        <v>41057</v>
      </c>
    </row>
    <row r="10148" spans="1:1">
      <c r="A10148" s="35" t="s">
        <v>53545</v>
      </c>
    </row>
    <row r="10149" spans="1:1">
      <c r="A10149" s="35" t="s">
        <v>52409</v>
      </c>
    </row>
    <row r="10150" spans="1:1">
      <c r="A10150" s="35" t="s">
        <v>41057</v>
      </c>
    </row>
    <row r="10151" spans="1:1">
      <c r="A10151" s="35" t="s">
        <v>41057</v>
      </c>
    </row>
    <row r="10152" spans="1:1">
      <c r="A10152" s="35" t="s">
        <v>41057</v>
      </c>
    </row>
    <row r="10153" spans="1:1">
      <c r="A10153" s="35" t="s">
        <v>41057</v>
      </c>
    </row>
    <row r="10154" spans="1:1">
      <c r="A10154" s="35" t="s">
        <v>41057</v>
      </c>
    </row>
    <row r="10155" spans="1:1">
      <c r="A10155" s="35" t="s">
        <v>53706</v>
      </c>
    </row>
    <row r="10156" spans="1:1">
      <c r="A10156" s="35" t="s">
        <v>41057</v>
      </c>
    </row>
    <row r="10157" spans="1:1">
      <c r="A10157" s="35" t="s">
        <v>41057</v>
      </c>
    </row>
    <row r="10158" spans="1:1">
      <c r="A10158" s="35" t="s">
        <v>41057</v>
      </c>
    </row>
    <row r="10159" spans="1:1">
      <c r="A10159" s="35" t="s">
        <v>54344</v>
      </c>
    </row>
    <row r="10160" spans="1:1">
      <c r="A10160" s="35" t="s">
        <v>56036</v>
      </c>
    </row>
    <row r="10161" spans="1:1">
      <c r="A10161" s="35" t="s">
        <v>56069</v>
      </c>
    </row>
    <row r="10162" spans="1:1">
      <c r="A10162" s="35" t="s">
        <v>53770</v>
      </c>
    </row>
    <row r="10163" spans="1:1">
      <c r="A10163" s="35" t="s">
        <v>41057</v>
      </c>
    </row>
    <row r="10164" spans="1:1">
      <c r="A10164" s="35" t="s">
        <v>41057</v>
      </c>
    </row>
    <row r="10165" spans="1:1">
      <c r="A10165" s="35" t="e" cm="1">
        <f t="array" ref="A10165">---------------EVSF------------------FRS-------------------N</f>
        <v>#NAME?</v>
      </c>
    </row>
    <row r="10166" spans="1:1">
      <c r="A10166" s="35" t="s">
        <v>55241</v>
      </c>
    </row>
    <row r="10167" spans="1:1">
      <c r="A10167" s="35" t="s">
        <v>56070</v>
      </c>
    </row>
    <row r="10168" spans="1:1">
      <c r="A10168" s="35" t="s">
        <v>41057</v>
      </c>
    </row>
    <row r="10169" spans="1:1">
      <c r="A10169" s="35" t="s">
        <v>56039</v>
      </c>
    </row>
    <row r="10170" spans="1:1">
      <c r="A10170" s="35" t="s">
        <v>41057</v>
      </c>
    </row>
    <row r="10171" spans="1:1">
      <c r="A10171" s="35" t="s">
        <v>41057</v>
      </c>
    </row>
    <row r="10172" spans="1:1">
      <c r="A10172" s="35" t="s">
        <v>56071</v>
      </c>
    </row>
    <row r="10173" spans="1:1">
      <c r="A10173" s="35" t="s">
        <v>41057</v>
      </c>
    </row>
    <row r="10174" spans="1:1">
      <c r="A10174" s="35" t="s">
        <v>41057</v>
      </c>
    </row>
    <row r="10175" spans="1:1">
      <c r="A10175" s="35" t="s">
        <v>53500</v>
      </c>
    </row>
    <row r="10176" spans="1:1">
      <c r="A10176" s="35" t="s">
        <v>41057</v>
      </c>
    </row>
    <row r="10177" spans="1:1">
      <c r="A10177" s="35" t="s">
        <v>41057</v>
      </c>
    </row>
    <row r="10178" spans="1:1">
      <c r="A10178" s="35" t="s">
        <v>56072</v>
      </c>
    </row>
    <row r="10179" spans="1:1">
      <c r="A10179" s="35" t="s">
        <v>41057</v>
      </c>
    </row>
    <row r="10180" spans="1:1">
      <c r="A10180" s="35" t="s">
        <v>56073</v>
      </c>
    </row>
    <row r="10181" spans="1:1">
      <c r="A10181" s="35" t="s">
        <v>41057</v>
      </c>
    </row>
    <row r="10182" spans="1:1">
      <c r="A10182" s="35" t="s">
        <v>56074</v>
      </c>
    </row>
    <row r="10183" spans="1:1">
      <c r="A10183" s="35" t="s">
        <v>56075</v>
      </c>
    </row>
    <row r="10184" spans="1:1">
      <c r="A10184" s="35" t="s">
        <v>41057</v>
      </c>
    </row>
    <row r="10185" spans="1:1">
      <c r="A10185" s="35" t="s">
        <v>41057</v>
      </c>
    </row>
    <row r="10186" spans="1:1">
      <c r="A10186" s="35" t="s">
        <v>41057</v>
      </c>
    </row>
    <row r="10187" spans="1:1">
      <c r="A10187" s="35" t="s">
        <v>41057</v>
      </c>
    </row>
    <row r="10188" spans="1:1">
      <c r="A10188" s="35" t="s">
        <v>41057</v>
      </c>
    </row>
    <row r="10189" spans="1:1">
      <c r="A10189" s="35" t="s">
        <v>41057</v>
      </c>
    </row>
    <row r="10190" spans="1:1">
      <c r="A10190" s="35" t="s">
        <v>41057</v>
      </c>
    </row>
    <row r="10191" spans="1:1">
      <c r="A10191" s="35" t="s">
        <v>41057</v>
      </c>
    </row>
    <row r="10192" spans="1:1">
      <c r="A10192" s="35" t="s">
        <v>41057</v>
      </c>
    </row>
    <row r="10193" spans="1:1">
      <c r="A10193" s="35" t="s">
        <v>41057</v>
      </c>
    </row>
    <row r="10194" spans="1:1">
      <c r="A10194" s="35" t="s">
        <v>41057</v>
      </c>
    </row>
    <row r="10195" spans="1:1">
      <c r="A10195" s="35" t="s">
        <v>41057</v>
      </c>
    </row>
    <row r="10196" spans="1:1">
      <c r="A10196" s="35" t="s">
        <v>41057</v>
      </c>
    </row>
    <row r="10197" spans="1:1">
      <c r="A10197" s="35" t="s">
        <v>41057</v>
      </c>
    </row>
    <row r="10198" spans="1:1">
      <c r="A10198" s="35" t="s">
        <v>41057</v>
      </c>
    </row>
    <row r="10199" spans="1:1">
      <c r="A10199" s="35" t="s">
        <v>41057</v>
      </c>
    </row>
    <row r="10200" spans="1:1">
      <c r="A10200" s="35" t="s">
        <v>41057</v>
      </c>
    </row>
    <row r="10201" spans="1:1">
      <c r="A10201" s="35" t="s">
        <v>41057</v>
      </c>
    </row>
    <row r="10202" spans="1:1">
      <c r="A10202" s="35" t="s">
        <v>41057</v>
      </c>
    </row>
    <row r="10203" spans="1:1">
      <c r="A10203" s="35" t="s">
        <v>41057</v>
      </c>
    </row>
    <row r="10204" spans="1:1">
      <c r="A10204" s="35" t="s">
        <v>41057</v>
      </c>
    </row>
    <row r="10205" spans="1:1">
      <c r="A10205" s="35" t="s">
        <v>41057</v>
      </c>
    </row>
    <row r="10206" spans="1:1">
      <c r="A10206" s="35" t="s">
        <v>41057</v>
      </c>
    </row>
    <row r="10207" spans="1:1">
      <c r="A10207" s="35" t="s">
        <v>41057</v>
      </c>
    </row>
    <row r="10208" spans="1:1">
      <c r="A10208" s="35" t="s">
        <v>56076</v>
      </c>
    </row>
    <row r="10209" spans="1:1">
      <c r="A10209" s="35" t="s">
        <v>41057</v>
      </c>
    </row>
    <row r="10210" spans="1:1">
      <c r="A10210" s="35" t="s">
        <v>41057</v>
      </c>
    </row>
    <row r="10211" spans="1:1">
      <c r="A10211" s="35" t="s">
        <v>41057</v>
      </c>
    </row>
    <row r="10212" spans="1:1">
      <c r="A10212" s="35" t="s">
        <v>41057</v>
      </c>
    </row>
    <row r="10213" spans="1:1">
      <c r="A10213" s="35" t="s">
        <v>41057</v>
      </c>
    </row>
    <row r="10214" spans="1:1">
      <c r="A10214" s="35" t="s">
        <v>41057</v>
      </c>
    </row>
    <row r="10215" spans="1:1">
      <c r="A10215" s="35" t="s">
        <v>41057</v>
      </c>
    </row>
    <row r="10216" spans="1:1">
      <c r="A10216" s="35" t="s">
        <v>41057</v>
      </c>
    </row>
    <row r="10217" spans="1:1">
      <c r="A10217" s="35" t="s">
        <v>41057</v>
      </c>
    </row>
    <row r="10218" spans="1:1">
      <c r="A10218" s="35" t="s">
        <v>41057</v>
      </c>
    </row>
    <row r="10219" spans="1:1">
      <c r="A10219" s="35" t="e" cm="1">
        <f t="array" ref="A10219">-------------------------------------------AGVSGLDW--------S</f>
        <v>#NAME?</v>
      </c>
    </row>
    <row r="10220" spans="1:1">
      <c r="A10220" s="35" t="s">
        <v>56077</v>
      </c>
    </row>
    <row r="10221" spans="1:1">
      <c r="A10221" s="35" t="e" cm="1">
        <f t="array" ref="A10221">---------------FQYMTDIEPVVG---------AQNFS-----------------QR</f>
        <v>#NAME?</v>
      </c>
    </row>
    <row r="10222" spans="1:1">
      <c r="A10222" s="35" t="s">
        <v>56078</v>
      </c>
    </row>
    <row r="10223" spans="1:1">
      <c r="A10223" s="35" t="s">
        <v>41057</v>
      </c>
    </row>
    <row r="10224" spans="1:1">
      <c r="A10224" s="35" t="s">
        <v>41057</v>
      </c>
    </row>
    <row r="10225" spans="1:1">
      <c r="A10225" s="35" t="s">
        <v>56079</v>
      </c>
    </row>
    <row r="10226" spans="1:1">
      <c r="A10226" s="35" t="s">
        <v>41057</v>
      </c>
    </row>
    <row r="10227" spans="1:1">
      <c r="A10227" s="35" t="s">
        <v>53520</v>
      </c>
    </row>
    <row r="10228" spans="1:1">
      <c r="A10228" s="35" t="s">
        <v>56080</v>
      </c>
    </row>
    <row r="10229" spans="1:1">
      <c r="A10229" s="35" t="s">
        <v>56081</v>
      </c>
    </row>
    <row r="10230" spans="1:1">
      <c r="A10230" s="35" t="s">
        <v>56082</v>
      </c>
    </row>
    <row r="10231" spans="1:1">
      <c r="A10231" s="35" t="s">
        <v>56083</v>
      </c>
    </row>
    <row r="10232" spans="1:1">
      <c r="A10232" s="35" t="s">
        <v>56084</v>
      </c>
    </row>
    <row r="10233" spans="1:1">
      <c r="A10233" s="35" t="s">
        <v>56085</v>
      </c>
    </row>
    <row r="10234" spans="1:1">
      <c r="A10234" s="35" t="s">
        <v>56086</v>
      </c>
    </row>
    <row r="10235" spans="1:1">
      <c r="A10235" s="35" t="s">
        <v>56087</v>
      </c>
    </row>
    <row r="10236" spans="1:1">
      <c r="A10236" s="35" t="s">
        <v>56088</v>
      </c>
    </row>
    <row r="10237" spans="1:1">
      <c r="A10237" s="35" t="e" cm="1">
        <f t="array" ref="A10237">---------------------------TQL---------------GFFTGTATTTTTYAN</f>
        <v>#NAME?</v>
      </c>
    </row>
    <row r="10238" spans="1:1">
      <c r="A10238" s="35" t="s">
        <v>56089</v>
      </c>
    </row>
    <row r="10239" spans="1:1">
      <c r="A10239" s="35" t="s">
        <v>56090</v>
      </c>
    </row>
    <row r="10240" spans="1:1">
      <c r="A10240" s="35" t="s">
        <v>41057</v>
      </c>
    </row>
    <row r="10241" spans="1:1">
      <c r="A10241" s="35" t="s">
        <v>41057</v>
      </c>
    </row>
    <row r="10242" spans="1:1">
      <c r="A10242" s="35" t="s">
        <v>56091</v>
      </c>
    </row>
    <row r="10243" spans="1:1">
      <c r="A10243" s="35" t="s">
        <v>41057</v>
      </c>
    </row>
    <row r="10244" spans="1:1">
      <c r="A10244" s="35" t="s">
        <v>41057</v>
      </c>
    </row>
    <row r="10245" spans="1:1">
      <c r="A10245" s="35" t="s">
        <v>56092</v>
      </c>
    </row>
    <row r="10246" spans="1:1">
      <c r="A10246" s="35" t="s">
        <v>41057</v>
      </c>
    </row>
    <row r="10247" spans="1:1">
      <c r="A10247" s="35" t="s">
        <v>56093</v>
      </c>
    </row>
    <row r="10248" spans="1:1">
      <c r="A10248" s="35" t="s">
        <v>41057</v>
      </c>
    </row>
    <row r="10249" spans="1:1">
      <c r="A10249" s="35" t="s">
        <v>56094</v>
      </c>
    </row>
    <row r="10250" spans="1:1">
      <c r="A10250" s="35" t="s">
        <v>41057</v>
      </c>
    </row>
    <row r="10251" spans="1:1">
      <c r="A10251" s="35" t="s">
        <v>41057</v>
      </c>
    </row>
    <row r="10252" spans="1:1">
      <c r="A10252" s="35" t="s">
        <v>41057</v>
      </c>
    </row>
    <row r="10253" spans="1:1">
      <c r="A10253" s="35" t="s">
        <v>41057</v>
      </c>
    </row>
    <row r="10254" spans="1:1">
      <c r="A10254" s="35" t="s">
        <v>41057</v>
      </c>
    </row>
    <row r="10255" spans="1:1">
      <c r="A10255" s="35" t="s">
        <v>56095</v>
      </c>
    </row>
    <row r="10256" spans="1:1">
      <c r="A10256" s="35" t="s">
        <v>56096</v>
      </c>
    </row>
    <row r="10257" spans="1:1">
      <c r="A10257" s="35" t="s">
        <v>56097</v>
      </c>
    </row>
    <row r="10258" spans="1:1">
      <c r="A10258" s="35" t="s">
        <v>56098</v>
      </c>
    </row>
    <row r="10259" spans="1:1">
      <c r="A10259" s="35" t="s">
        <v>56099</v>
      </c>
    </row>
    <row r="10260" spans="1:1">
      <c r="A10260" s="35" t="s">
        <v>56100</v>
      </c>
    </row>
    <row r="10261" spans="1:1">
      <c r="A10261" s="35" t="s">
        <v>41057</v>
      </c>
    </row>
    <row r="10262" spans="1:1">
      <c r="A10262" s="35" t="s">
        <v>56101</v>
      </c>
    </row>
    <row r="10263" spans="1:1">
      <c r="A10263" s="35" t="s">
        <v>56102</v>
      </c>
    </row>
    <row r="10264" spans="1:1">
      <c r="A10264" s="35" t="s">
        <v>56103</v>
      </c>
    </row>
    <row r="10265" spans="1:1">
      <c r="A10265" s="35" t="s">
        <v>41057</v>
      </c>
    </row>
    <row r="10266" spans="1:1">
      <c r="A10266" s="35" t="s">
        <v>53545</v>
      </c>
    </row>
    <row r="10267" spans="1:1">
      <c r="A10267" s="35" t="s">
        <v>52277</v>
      </c>
    </row>
    <row r="10268" spans="1:1">
      <c r="A10268" s="35" t="s">
        <v>41057</v>
      </c>
    </row>
    <row r="10269" spans="1:1">
      <c r="A10269" s="35" t="s">
        <v>41057</v>
      </c>
    </row>
    <row r="10270" spans="1:1">
      <c r="A10270" s="35" t="s">
        <v>41057</v>
      </c>
    </row>
    <row r="10271" spans="1:1">
      <c r="A10271" s="35" t="s">
        <v>41057</v>
      </c>
    </row>
    <row r="10272" spans="1:1">
      <c r="A10272" s="35" t="s">
        <v>41057</v>
      </c>
    </row>
    <row r="10273" spans="1:1">
      <c r="A10273" s="35" t="s">
        <v>53706</v>
      </c>
    </row>
    <row r="10274" spans="1:1">
      <c r="A10274" s="35" t="s">
        <v>41057</v>
      </c>
    </row>
    <row r="10275" spans="1:1">
      <c r="A10275" s="35" t="s">
        <v>41057</v>
      </c>
    </row>
    <row r="10276" spans="1:1">
      <c r="A10276" s="35" t="s">
        <v>41057</v>
      </c>
    </row>
    <row r="10277" spans="1:1">
      <c r="A10277" s="35" t="s">
        <v>54344</v>
      </c>
    </row>
    <row r="10278" spans="1:1">
      <c r="A10278" s="35" t="s">
        <v>56104</v>
      </c>
    </row>
    <row r="10279" spans="1:1">
      <c r="A10279" s="35" t="s">
        <v>56105</v>
      </c>
    </row>
    <row r="10280" spans="1:1">
      <c r="A10280" s="35" t="s">
        <v>53710</v>
      </c>
    </row>
    <row r="10281" spans="1:1">
      <c r="A10281" s="35" t="s">
        <v>41057</v>
      </c>
    </row>
    <row r="10282" spans="1:1">
      <c r="A10282" s="35" t="s">
        <v>41057</v>
      </c>
    </row>
    <row r="10283" spans="1:1">
      <c r="A10283" s="35" t="e" cm="1">
        <f t="array" ref="A10283">---------------EISF------------------FRS-------------------T</f>
        <v>#NAME?</v>
      </c>
    </row>
    <row r="10284" spans="1:1">
      <c r="A10284" s="35" t="s">
        <v>54101</v>
      </c>
    </row>
    <row r="10285" spans="1:1">
      <c r="A10285" s="35" t="s">
        <v>56106</v>
      </c>
    </row>
    <row r="10286" spans="1:1">
      <c r="A10286" s="35" t="s">
        <v>41057</v>
      </c>
    </row>
    <row r="10287" spans="1:1">
      <c r="A10287" s="35" t="s">
        <v>56039</v>
      </c>
    </row>
    <row r="10288" spans="1:1">
      <c r="A10288" s="35" t="s">
        <v>41057</v>
      </c>
    </row>
    <row r="10289" spans="1:1">
      <c r="A10289" s="35" t="s">
        <v>41057</v>
      </c>
    </row>
    <row r="10290" spans="1:1">
      <c r="A10290" s="35" t="s">
        <v>56107</v>
      </c>
    </row>
    <row r="10291" spans="1:1">
      <c r="A10291" s="35" t="s">
        <v>41057</v>
      </c>
    </row>
    <row r="10292" spans="1:1">
      <c r="A10292" s="35" t="s">
        <v>41057</v>
      </c>
    </row>
    <row r="10293" spans="1:1">
      <c r="A10293" s="35" t="s">
        <v>53500</v>
      </c>
    </row>
    <row r="10294" spans="1:1">
      <c r="A10294" s="35" t="s">
        <v>41057</v>
      </c>
    </row>
    <row r="10295" spans="1:1">
      <c r="A10295" s="35" t="s">
        <v>41057</v>
      </c>
    </row>
    <row r="10296" spans="1:1">
      <c r="A10296" s="35" t="s">
        <v>56108</v>
      </c>
    </row>
    <row r="10297" spans="1:1">
      <c r="A10297" s="35" t="s">
        <v>41057</v>
      </c>
    </row>
    <row r="10298" spans="1:1">
      <c r="A10298" s="35" t="s">
        <v>56109</v>
      </c>
    </row>
    <row r="10299" spans="1:1">
      <c r="A10299" s="35" t="s">
        <v>41057</v>
      </c>
    </row>
    <row r="10300" spans="1:1">
      <c r="A10300" s="35" t="s">
        <v>56074</v>
      </c>
    </row>
    <row r="10301" spans="1:1">
      <c r="A10301" s="35" t="s">
        <v>56110</v>
      </c>
    </row>
    <row r="10302" spans="1:1">
      <c r="A10302" s="35" t="s">
        <v>41057</v>
      </c>
    </row>
    <row r="10303" spans="1:1">
      <c r="A10303" s="35" t="s">
        <v>41057</v>
      </c>
    </row>
    <row r="10304" spans="1:1">
      <c r="A10304" s="35" t="s">
        <v>41057</v>
      </c>
    </row>
    <row r="10305" spans="1:1">
      <c r="A10305" s="35" t="s">
        <v>41057</v>
      </c>
    </row>
    <row r="10306" spans="1:1">
      <c r="A10306" s="35" t="s">
        <v>41057</v>
      </c>
    </row>
    <row r="10307" spans="1:1">
      <c r="A10307" s="35" t="s">
        <v>41057</v>
      </c>
    </row>
    <row r="10308" spans="1:1">
      <c r="A10308" s="35" t="s">
        <v>41057</v>
      </c>
    </row>
    <row r="10309" spans="1:1">
      <c r="A10309" s="35" t="s">
        <v>41057</v>
      </c>
    </row>
    <row r="10310" spans="1:1">
      <c r="A10310" s="35" t="s">
        <v>41057</v>
      </c>
    </row>
    <row r="10311" spans="1:1">
      <c r="A10311" s="35" t="s">
        <v>41057</v>
      </c>
    </row>
    <row r="10312" spans="1:1">
      <c r="A10312" s="35" t="s">
        <v>41057</v>
      </c>
    </row>
    <row r="10313" spans="1:1">
      <c r="A10313" s="35" t="s">
        <v>41057</v>
      </c>
    </row>
    <row r="10314" spans="1:1">
      <c r="A10314" s="35" t="s">
        <v>41057</v>
      </c>
    </row>
    <row r="10315" spans="1:1">
      <c r="A10315" s="35" t="s">
        <v>41057</v>
      </c>
    </row>
    <row r="10316" spans="1:1">
      <c r="A10316" s="35" t="s">
        <v>41057</v>
      </c>
    </row>
    <row r="10317" spans="1:1">
      <c r="A10317" s="35" t="s">
        <v>41057</v>
      </c>
    </row>
    <row r="10318" spans="1:1">
      <c r="A10318" s="35" t="s">
        <v>41057</v>
      </c>
    </row>
    <row r="10319" spans="1:1">
      <c r="A10319" s="35" t="s">
        <v>41057</v>
      </c>
    </row>
    <row r="10320" spans="1:1">
      <c r="A10320" s="35" t="s">
        <v>41057</v>
      </c>
    </row>
    <row r="10321" spans="1:1">
      <c r="A10321" s="35" t="s">
        <v>41057</v>
      </c>
    </row>
    <row r="10322" spans="1:1">
      <c r="A10322" s="35" t="s">
        <v>41057</v>
      </c>
    </row>
    <row r="10323" spans="1:1">
      <c r="A10323" s="35" t="s">
        <v>41057</v>
      </c>
    </row>
    <row r="10324" spans="1:1">
      <c r="A10324" s="35" t="s">
        <v>41057</v>
      </c>
    </row>
    <row r="10325" spans="1:1">
      <c r="A10325" s="35" t="s">
        <v>41057</v>
      </c>
    </row>
    <row r="10326" spans="1:1">
      <c r="A10326" s="35" t="s">
        <v>56111</v>
      </c>
    </row>
    <row r="10327" spans="1:1">
      <c r="A10327" s="35" t="s">
        <v>41057</v>
      </c>
    </row>
    <row r="10328" spans="1:1">
      <c r="A10328" s="35" t="s">
        <v>41057</v>
      </c>
    </row>
    <row r="10329" spans="1:1">
      <c r="A10329" s="35" t="s">
        <v>56112</v>
      </c>
    </row>
    <row r="10330" spans="1:1">
      <c r="A10330" s="35" t="s">
        <v>41057</v>
      </c>
    </row>
    <row r="10331" spans="1:1">
      <c r="A10331" s="35" t="s">
        <v>41057</v>
      </c>
    </row>
    <row r="10332" spans="1:1">
      <c r="A10332" s="35" t="s">
        <v>41057</v>
      </c>
    </row>
    <row r="10333" spans="1:1">
      <c r="A10333" s="35" t="s">
        <v>41057</v>
      </c>
    </row>
    <row r="10334" spans="1:1">
      <c r="A10334" s="35" t="s">
        <v>41057</v>
      </c>
    </row>
    <row r="10335" spans="1:1">
      <c r="A10335" s="35" t="s">
        <v>41057</v>
      </c>
    </row>
    <row r="10336" spans="1:1">
      <c r="A10336" s="35" t="s">
        <v>41057</v>
      </c>
    </row>
    <row r="10337" spans="1:1">
      <c r="A10337" s="35" t="s">
        <v>56113</v>
      </c>
    </row>
    <row r="10338" spans="1:1">
      <c r="A10338" s="35" t="s">
        <v>56114</v>
      </c>
    </row>
    <row r="10339" spans="1:1">
      <c r="A10339" s="35" t="s">
        <v>56115</v>
      </c>
    </row>
    <row r="10340" spans="1:1">
      <c r="A10340" s="35" t="s">
        <v>56116</v>
      </c>
    </row>
    <row r="10341" spans="1:1">
      <c r="A10341" s="35" t="s">
        <v>41057</v>
      </c>
    </row>
    <row r="10342" spans="1:1">
      <c r="A10342" s="35" t="s">
        <v>41057</v>
      </c>
    </row>
    <row r="10343" spans="1:1">
      <c r="A10343" s="35" t="s">
        <v>56117</v>
      </c>
    </row>
    <row r="10344" spans="1:1">
      <c r="A10344" s="35" t="s">
        <v>41057</v>
      </c>
    </row>
    <row r="10345" spans="1:1">
      <c r="A10345" s="35" t="s">
        <v>56118</v>
      </c>
    </row>
    <row r="10346" spans="1:1">
      <c r="A10346" s="35" t="s">
        <v>56119</v>
      </c>
    </row>
    <row r="10347" spans="1:1">
      <c r="A10347" s="35" t="s">
        <v>56120</v>
      </c>
    </row>
    <row r="10348" spans="1:1">
      <c r="A10348" s="35" t="s">
        <v>41057</v>
      </c>
    </row>
    <row r="10349" spans="1:1">
      <c r="A10349" s="35" t="s">
        <v>41057</v>
      </c>
    </row>
    <row r="10350" spans="1:1">
      <c r="A10350" s="35" t="s">
        <v>41057</v>
      </c>
    </row>
    <row r="10351" spans="1:1">
      <c r="A10351" s="35" t="s">
        <v>41057</v>
      </c>
    </row>
    <row r="10352" spans="1:1">
      <c r="A10352" s="35" t="s">
        <v>41057</v>
      </c>
    </row>
    <row r="10353" spans="1:1">
      <c r="A10353" s="35" t="s">
        <v>41057</v>
      </c>
    </row>
    <row r="10354" spans="1:1">
      <c r="A10354" s="35" t="s">
        <v>41057</v>
      </c>
    </row>
    <row r="10355" spans="1:1">
      <c r="A10355" s="35" t="s">
        <v>56121</v>
      </c>
    </row>
    <row r="10356" spans="1:1">
      <c r="A10356" s="35" t="s">
        <v>56122</v>
      </c>
    </row>
    <row r="10357" spans="1:1">
      <c r="A10357" s="35" t="s">
        <v>56123</v>
      </c>
    </row>
    <row r="10358" spans="1:1">
      <c r="A10358" s="35" t="s">
        <v>41057</v>
      </c>
    </row>
    <row r="10359" spans="1:1">
      <c r="A10359" s="35" t="s">
        <v>41057</v>
      </c>
    </row>
    <row r="10360" spans="1:1">
      <c r="A10360" s="35" t="s">
        <v>56124</v>
      </c>
    </row>
    <row r="10361" spans="1:1">
      <c r="A10361" s="35" t="s">
        <v>41057</v>
      </c>
    </row>
    <row r="10362" spans="1:1">
      <c r="A10362" s="35" t="s">
        <v>41057</v>
      </c>
    </row>
    <row r="10363" spans="1:1">
      <c r="A10363" s="35" t="s">
        <v>56125</v>
      </c>
    </row>
    <row r="10364" spans="1:1">
      <c r="A10364" s="35" t="s">
        <v>41057</v>
      </c>
    </row>
    <row r="10365" spans="1:1">
      <c r="A10365" s="35" t="s">
        <v>56126</v>
      </c>
    </row>
    <row r="10366" spans="1:1">
      <c r="A10366" s="35" t="s">
        <v>41057</v>
      </c>
    </row>
    <row r="10367" spans="1:1">
      <c r="A10367" s="35" t="s">
        <v>41057</v>
      </c>
    </row>
    <row r="10368" spans="1:1">
      <c r="A10368" s="35" t="s">
        <v>41057</v>
      </c>
    </row>
    <row r="10369" spans="1:1">
      <c r="A10369" s="35" t="s">
        <v>41057</v>
      </c>
    </row>
    <row r="10370" spans="1:1">
      <c r="A10370" s="35" t="s">
        <v>41057</v>
      </c>
    </row>
    <row r="10371" spans="1:1">
      <c r="A10371" s="35" t="s">
        <v>41057</v>
      </c>
    </row>
    <row r="10372" spans="1:1">
      <c r="A10372" s="35" t="s">
        <v>41057</v>
      </c>
    </row>
    <row r="10373" spans="1:1">
      <c r="A10373" s="35" t="s">
        <v>56127</v>
      </c>
    </row>
    <row r="10374" spans="1:1">
      <c r="A10374" s="35" t="s">
        <v>56128</v>
      </c>
    </row>
    <row r="10375" spans="1:1">
      <c r="A10375" s="35" t="s">
        <v>56129</v>
      </c>
    </row>
    <row r="10376" spans="1:1">
      <c r="A10376" s="35" t="s">
        <v>56130</v>
      </c>
    </row>
    <row r="10377" spans="1:1">
      <c r="A10377" s="35" t="s">
        <v>56131</v>
      </c>
    </row>
    <row r="10378" spans="1:1">
      <c r="A10378" s="35" t="s">
        <v>56132</v>
      </c>
    </row>
    <row r="10379" spans="1:1">
      <c r="A10379" s="35" t="s">
        <v>41057</v>
      </c>
    </row>
    <row r="10380" spans="1:1">
      <c r="A10380" s="35" t="s">
        <v>56133</v>
      </c>
    </row>
    <row r="10381" spans="1:1">
      <c r="A10381" s="35" t="s">
        <v>56134</v>
      </c>
    </row>
    <row r="10382" spans="1:1">
      <c r="A10382" s="35" t="s">
        <v>56135</v>
      </c>
    </row>
    <row r="10383" spans="1:1">
      <c r="A10383" s="35" t="s">
        <v>41057</v>
      </c>
    </row>
    <row r="10384" spans="1:1">
      <c r="A10384" s="35" t="s">
        <v>53545</v>
      </c>
    </row>
    <row r="10385" spans="1:1">
      <c r="A10385" s="35" t="s">
        <v>52451</v>
      </c>
    </row>
    <row r="10386" spans="1:1">
      <c r="A10386" s="35" t="s">
        <v>41057</v>
      </c>
    </row>
    <row r="10387" spans="1:1">
      <c r="A10387" s="35" t="s">
        <v>41057</v>
      </c>
    </row>
    <row r="10388" spans="1:1">
      <c r="A10388" s="35" t="s">
        <v>41057</v>
      </c>
    </row>
    <row r="10389" spans="1:1">
      <c r="A10389" s="35" t="s">
        <v>41057</v>
      </c>
    </row>
    <row r="10390" spans="1:1">
      <c r="A10390" s="35" t="s">
        <v>41057</v>
      </c>
    </row>
    <row r="10391" spans="1:1">
      <c r="A10391" s="35" t="s">
        <v>53706</v>
      </c>
    </row>
    <row r="10392" spans="1:1">
      <c r="A10392" s="35" t="s">
        <v>41057</v>
      </c>
    </row>
    <row r="10393" spans="1:1">
      <c r="A10393" s="35" t="s">
        <v>41057</v>
      </c>
    </row>
    <row r="10394" spans="1:1">
      <c r="A10394" s="35" t="s">
        <v>41057</v>
      </c>
    </row>
    <row r="10395" spans="1:1">
      <c r="A10395" s="35" t="s">
        <v>56136</v>
      </c>
    </row>
    <row r="10396" spans="1:1">
      <c r="A10396" s="35" t="s">
        <v>56137</v>
      </c>
    </row>
    <row r="10397" spans="1:1">
      <c r="A10397" s="35" t="s">
        <v>56138</v>
      </c>
    </row>
    <row r="10398" spans="1:1">
      <c r="A10398" s="35" t="s">
        <v>54618</v>
      </c>
    </row>
    <row r="10399" spans="1:1">
      <c r="A10399" s="35" t="s">
        <v>41057</v>
      </c>
    </row>
    <row r="10400" spans="1:1">
      <c r="A10400" s="35" t="s">
        <v>41057</v>
      </c>
    </row>
    <row r="10401" spans="1:1">
      <c r="A10401" s="35" t="e" cm="1">
        <f t="array" ref="A10401">---------------QVSF------------------FRQ-------------------N</f>
        <v>#NAME?</v>
      </c>
    </row>
    <row r="10402" spans="1:1">
      <c r="A10402" s="35" t="s">
        <v>54101</v>
      </c>
    </row>
    <row r="10403" spans="1:1">
      <c r="A10403" s="35" t="s">
        <v>56139</v>
      </c>
    </row>
    <row r="10404" spans="1:1">
      <c r="A10404" s="35" t="s">
        <v>41057</v>
      </c>
    </row>
    <row r="10405" spans="1:1">
      <c r="A10405" s="35" t="s">
        <v>56140</v>
      </c>
    </row>
    <row r="10406" spans="1:1">
      <c r="A10406" s="35" t="s">
        <v>41057</v>
      </c>
    </row>
    <row r="10407" spans="1:1">
      <c r="A10407" s="35" t="s">
        <v>41057</v>
      </c>
    </row>
    <row r="10408" spans="1:1">
      <c r="A10408" s="35" t="s">
        <v>56141</v>
      </c>
    </row>
    <row r="10409" spans="1:1">
      <c r="A10409" s="35" t="s">
        <v>41057</v>
      </c>
    </row>
    <row r="10410" spans="1:1">
      <c r="A10410" s="35" t="s">
        <v>41057</v>
      </c>
    </row>
    <row r="10411" spans="1:1">
      <c r="A10411" s="35" t="s">
        <v>53500</v>
      </c>
    </row>
    <row r="10412" spans="1:1">
      <c r="A10412" s="35" t="s">
        <v>41057</v>
      </c>
    </row>
    <row r="10413" spans="1:1">
      <c r="A10413" s="35" t="s">
        <v>41057</v>
      </c>
    </row>
    <row r="10414" spans="1:1">
      <c r="A10414" s="35" t="s">
        <v>56142</v>
      </c>
    </row>
    <row r="10415" spans="1:1">
      <c r="A10415" s="35" t="s">
        <v>41057</v>
      </c>
    </row>
    <row r="10416" spans="1:1">
      <c r="A10416" s="35" t="s">
        <v>56143</v>
      </c>
    </row>
    <row r="10417" spans="1:1">
      <c r="A10417" s="35" t="s">
        <v>41057</v>
      </c>
    </row>
    <row r="10418" spans="1:1">
      <c r="A10418" s="35" t="s">
        <v>56074</v>
      </c>
    </row>
    <row r="10419" spans="1:1">
      <c r="A10419" s="35" t="s">
        <v>56144</v>
      </c>
    </row>
    <row r="10420" spans="1:1">
      <c r="A10420" s="35" t="s">
        <v>41057</v>
      </c>
    </row>
    <row r="10421" spans="1:1">
      <c r="A10421" s="35" t="s">
        <v>41057</v>
      </c>
    </row>
    <row r="10422" spans="1:1">
      <c r="A10422" s="35" t="s">
        <v>56145</v>
      </c>
    </row>
    <row r="10423" spans="1:1">
      <c r="A10423" s="35" t="s">
        <v>41057</v>
      </c>
    </row>
    <row r="10424" spans="1:1">
      <c r="A10424" s="35" t="s">
        <v>41057</v>
      </c>
    </row>
    <row r="10425" spans="1:1">
      <c r="A10425" s="35" t="s">
        <v>41057</v>
      </c>
    </row>
    <row r="10426" spans="1:1">
      <c r="A10426" s="35" t="s">
        <v>41057</v>
      </c>
    </row>
    <row r="10427" spans="1:1">
      <c r="A10427" s="35" t="s">
        <v>41057</v>
      </c>
    </row>
    <row r="10428" spans="1:1">
      <c r="A10428" s="35" t="s">
        <v>56146</v>
      </c>
    </row>
    <row r="10429" spans="1:1">
      <c r="A10429" s="35" t="s">
        <v>41057</v>
      </c>
    </row>
    <row r="10430" spans="1:1">
      <c r="A10430" s="35" t="s">
        <v>41057</v>
      </c>
    </row>
    <row r="10431" spans="1:1">
      <c r="A10431" s="35" t="s">
        <v>56147</v>
      </c>
    </row>
    <row r="10432" spans="1:1">
      <c r="A10432" s="35" t="s">
        <v>41057</v>
      </c>
    </row>
    <row r="10433" spans="1:1">
      <c r="A10433" s="35" t="s">
        <v>41057</v>
      </c>
    </row>
    <row r="10434" spans="1:1">
      <c r="A10434" s="35" t="s">
        <v>41057</v>
      </c>
    </row>
    <row r="10435" spans="1:1">
      <c r="A10435" s="35" t="s">
        <v>41057</v>
      </c>
    </row>
    <row r="10436" spans="1:1">
      <c r="A10436" s="35" t="s">
        <v>41057</v>
      </c>
    </row>
    <row r="10437" spans="1:1">
      <c r="A10437" s="35" t="s">
        <v>41057</v>
      </c>
    </row>
    <row r="10438" spans="1:1">
      <c r="A10438" s="35" t="s">
        <v>41057</v>
      </c>
    </row>
    <row r="10439" spans="1:1">
      <c r="A10439" s="35" t="s">
        <v>41057</v>
      </c>
    </row>
    <row r="10440" spans="1:1">
      <c r="A10440" s="35" t="s">
        <v>41057</v>
      </c>
    </row>
    <row r="10441" spans="1:1">
      <c r="A10441" s="35" t="s">
        <v>41057</v>
      </c>
    </row>
    <row r="10442" spans="1:1">
      <c r="A10442" s="35" t="s">
        <v>41057</v>
      </c>
    </row>
    <row r="10443" spans="1:1">
      <c r="A10443" s="35" t="s">
        <v>41057</v>
      </c>
    </row>
    <row r="10444" spans="1:1">
      <c r="A10444" s="35" t="s">
        <v>56148</v>
      </c>
    </row>
    <row r="10445" spans="1:1">
      <c r="A10445" s="35" t="s">
        <v>41057</v>
      </c>
    </row>
    <row r="10446" spans="1:1">
      <c r="A10446" s="35" t="s">
        <v>41057</v>
      </c>
    </row>
    <row r="10447" spans="1:1">
      <c r="A10447" s="35" t="s">
        <v>56149</v>
      </c>
    </row>
    <row r="10448" spans="1:1">
      <c r="A10448" s="35" t="s">
        <v>41057</v>
      </c>
    </row>
    <row r="10449" spans="1:1">
      <c r="A10449" s="35" t="s">
        <v>41057</v>
      </c>
    </row>
    <row r="10450" spans="1:1">
      <c r="A10450" s="35" t="s">
        <v>41057</v>
      </c>
    </row>
    <row r="10451" spans="1:1">
      <c r="A10451" s="35" t="s">
        <v>41057</v>
      </c>
    </row>
    <row r="10452" spans="1:1">
      <c r="A10452" s="35" t="s">
        <v>41057</v>
      </c>
    </row>
    <row r="10453" spans="1:1">
      <c r="A10453" s="35" t="s">
        <v>41057</v>
      </c>
    </row>
    <row r="10454" spans="1:1">
      <c r="A10454" s="35" t="s">
        <v>41057</v>
      </c>
    </row>
    <row r="10455" spans="1:1">
      <c r="A10455" s="35" t="e" cm="1">
        <f t="array" ref="A10455">-----------------------------------------------------------E</f>
        <v>#NAME?</v>
      </c>
    </row>
    <row r="10456" spans="1:1">
      <c r="A10456" s="35" t="s">
        <v>56150</v>
      </c>
    </row>
    <row r="10457" spans="1:1">
      <c r="A10457" s="35" t="e" cm="1">
        <f t="array" ref="A10457">---------------SLFINTVHNTLY---------NESSA-----------------KA</f>
        <v>#NAME?</v>
      </c>
    </row>
    <row r="10458" spans="1:1">
      <c r="A10458" s="35" t="s">
        <v>56151</v>
      </c>
    </row>
    <row r="10459" spans="1:1">
      <c r="A10459" s="35" t="e" cm="1">
        <f t="array" ref="A10459">-----------------------------------------------------------G</f>
        <v>#NAME?</v>
      </c>
    </row>
    <row r="10460" spans="1:1">
      <c r="A10460" s="35" t="s">
        <v>53915</v>
      </c>
    </row>
    <row r="10461" spans="1:1">
      <c r="A10461" s="35" t="s">
        <v>56152</v>
      </c>
    </row>
    <row r="10462" spans="1:1">
      <c r="A10462" s="35" t="s">
        <v>41057</v>
      </c>
    </row>
    <row r="10463" spans="1:1">
      <c r="A10463" s="35" t="s">
        <v>56153</v>
      </c>
    </row>
    <row r="10464" spans="1:1">
      <c r="A10464" s="35" t="s">
        <v>56154</v>
      </c>
    </row>
    <row r="10465" spans="1:1">
      <c r="A10465" s="35" t="s">
        <v>53939</v>
      </c>
    </row>
    <row r="10466" spans="1:1">
      <c r="A10466" s="35" t="s">
        <v>56155</v>
      </c>
    </row>
    <row r="10467" spans="1:1">
      <c r="A10467" s="35" t="s">
        <v>56156</v>
      </c>
    </row>
    <row r="10468" spans="1:1">
      <c r="A10468" s="35" t="s">
        <v>41057</v>
      </c>
    </row>
    <row r="10469" spans="1:1">
      <c r="A10469" s="35" t="s">
        <v>41057</v>
      </c>
    </row>
    <row r="10470" spans="1:1">
      <c r="A10470" s="35" t="s">
        <v>41057</v>
      </c>
    </row>
    <row r="10471" spans="1:1">
      <c r="A10471" s="35" t="s">
        <v>41057</v>
      </c>
    </row>
    <row r="10472" spans="1:1">
      <c r="A10472" s="35" t="s">
        <v>56157</v>
      </c>
    </row>
    <row r="10473" spans="1:1">
      <c r="A10473" s="35" t="s">
        <v>56158</v>
      </c>
    </row>
    <row r="10474" spans="1:1">
      <c r="A10474" s="35" t="s">
        <v>56159</v>
      </c>
    </row>
    <row r="10475" spans="1:1">
      <c r="A10475" s="35" t="s">
        <v>56160</v>
      </c>
    </row>
    <row r="10476" spans="1:1">
      <c r="A10476" s="35" t="s">
        <v>41057</v>
      </c>
    </row>
    <row r="10477" spans="1:1">
      <c r="A10477" s="35" t="s">
        <v>41057</v>
      </c>
    </row>
    <row r="10478" spans="1:1">
      <c r="A10478" s="35" t="s">
        <v>56161</v>
      </c>
    </row>
    <row r="10479" spans="1:1">
      <c r="A10479" s="35" t="s">
        <v>56162</v>
      </c>
    </row>
    <row r="10480" spans="1:1">
      <c r="A10480" s="35" t="s">
        <v>41057</v>
      </c>
    </row>
    <row r="10481" spans="1:1">
      <c r="A10481" s="35" t="s">
        <v>56163</v>
      </c>
    </row>
    <row r="10482" spans="1:1">
      <c r="A10482" s="35" t="s">
        <v>41057</v>
      </c>
    </row>
    <row r="10483" spans="1:1">
      <c r="A10483" s="35" t="s">
        <v>41057</v>
      </c>
    </row>
    <row r="10484" spans="1:1">
      <c r="A10484" s="35" t="s">
        <v>41057</v>
      </c>
    </row>
    <row r="10485" spans="1:1">
      <c r="A10485" s="35" t="s">
        <v>41057</v>
      </c>
    </row>
    <row r="10486" spans="1:1">
      <c r="A10486" s="35" t="s">
        <v>41057</v>
      </c>
    </row>
    <row r="10487" spans="1:1">
      <c r="A10487" s="35" t="s">
        <v>56164</v>
      </c>
    </row>
    <row r="10488" spans="1:1">
      <c r="A10488" s="35" t="s">
        <v>41057</v>
      </c>
    </row>
    <row r="10489" spans="1:1">
      <c r="A10489" s="35" t="s">
        <v>41057</v>
      </c>
    </row>
    <row r="10490" spans="1:1">
      <c r="A10490" s="35" t="e" cm="1">
        <f t="array" ref="A10490">----------------------------------------------------TSYTLTDA</f>
        <v>#NAME?</v>
      </c>
    </row>
    <row r="10491" spans="1:1">
      <c r="A10491" s="35" t="s">
        <v>56165</v>
      </c>
    </row>
    <row r="10492" spans="1:1">
      <c r="A10492" s="35" t="s">
        <v>56166</v>
      </c>
    </row>
    <row r="10493" spans="1:1">
      <c r="A10493" s="35" t="s">
        <v>56167</v>
      </c>
    </row>
    <row r="10494" spans="1:1">
      <c r="A10494" s="35" t="s">
        <v>56168</v>
      </c>
    </row>
    <row r="10495" spans="1:1">
      <c r="A10495" s="35" t="s">
        <v>56169</v>
      </c>
    </row>
    <row r="10496" spans="1:1">
      <c r="A10496" s="35" t="s">
        <v>56170</v>
      </c>
    </row>
    <row r="10497" spans="1:1">
      <c r="A10497" s="35" t="s">
        <v>41057</v>
      </c>
    </row>
    <row r="10498" spans="1:1">
      <c r="A10498" s="35" t="s">
        <v>56171</v>
      </c>
    </row>
    <row r="10499" spans="1:1">
      <c r="A10499" s="35" t="s">
        <v>56172</v>
      </c>
    </row>
    <row r="10500" spans="1:1">
      <c r="A10500" s="35" t="s">
        <v>56173</v>
      </c>
    </row>
    <row r="10501" spans="1:1">
      <c r="A10501" s="35" t="s">
        <v>41057</v>
      </c>
    </row>
    <row r="10502" spans="1:1">
      <c r="A10502" s="35" t="s">
        <v>53545</v>
      </c>
    </row>
    <row r="10503" spans="1:1">
      <c r="A10503" s="35" t="s">
        <v>52503</v>
      </c>
    </row>
    <row r="10504" spans="1:1">
      <c r="A10504" s="35" t="s">
        <v>41057</v>
      </c>
    </row>
    <row r="10505" spans="1:1">
      <c r="A10505" s="35" t="s">
        <v>41057</v>
      </c>
    </row>
    <row r="10506" spans="1:1">
      <c r="A10506" s="35" t="s">
        <v>41057</v>
      </c>
    </row>
    <row r="10507" spans="1:1">
      <c r="A10507" s="35" t="s">
        <v>41057</v>
      </c>
    </row>
    <row r="10508" spans="1:1">
      <c r="A10508" s="35" t="s">
        <v>41057</v>
      </c>
    </row>
    <row r="10509" spans="1:1">
      <c r="A10509" s="35" t="s">
        <v>53706</v>
      </c>
    </row>
    <row r="10510" spans="1:1">
      <c r="A10510" s="35" t="s">
        <v>41057</v>
      </c>
    </row>
    <row r="10511" spans="1:1">
      <c r="A10511" s="35" t="s">
        <v>41057</v>
      </c>
    </row>
    <row r="10512" spans="1:1">
      <c r="A10512" s="35" t="s">
        <v>41057</v>
      </c>
    </row>
    <row r="10513" spans="1:1">
      <c r="A10513" s="35" t="s">
        <v>56136</v>
      </c>
    </row>
    <row r="10514" spans="1:1">
      <c r="A10514" s="35" t="s">
        <v>56174</v>
      </c>
    </row>
    <row r="10515" spans="1:1">
      <c r="A10515" s="35" t="s">
        <v>56175</v>
      </c>
    </row>
    <row r="10516" spans="1:1">
      <c r="A10516" s="35" t="s">
        <v>56176</v>
      </c>
    </row>
    <row r="10517" spans="1:1">
      <c r="A10517" s="35" t="s">
        <v>41057</v>
      </c>
    </row>
    <row r="10518" spans="1:1">
      <c r="A10518" s="35" t="s">
        <v>41057</v>
      </c>
    </row>
    <row r="10519" spans="1:1">
      <c r="A10519" s="35" t="e" cm="1">
        <f t="array" ref="A10519">---------------EISY------------------WRQ-------------------V</f>
        <v>#NAME?</v>
      </c>
    </row>
    <row r="10520" spans="1:1">
      <c r="A10520" s="35" t="s">
        <v>55366</v>
      </c>
    </row>
    <row r="10521" spans="1:1">
      <c r="A10521" s="35" t="s">
        <v>56177</v>
      </c>
    </row>
    <row r="10522" spans="1:1">
      <c r="A10522" s="35" t="s">
        <v>41057</v>
      </c>
    </row>
    <row r="10523" spans="1:1">
      <c r="A10523" s="35" t="s">
        <v>56178</v>
      </c>
    </row>
    <row r="10524" spans="1:1">
      <c r="A10524" s="35" t="s">
        <v>41057</v>
      </c>
    </row>
    <row r="10525" spans="1:1">
      <c r="A10525" s="35" t="s">
        <v>41057</v>
      </c>
    </row>
    <row r="10526" spans="1:1">
      <c r="A10526" s="35" t="s">
        <v>56179</v>
      </c>
    </row>
    <row r="10527" spans="1:1">
      <c r="A10527" s="35" t="s">
        <v>41057</v>
      </c>
    </row>
    <row r="10528" spans="1:1">
      <c r="A10528" s="35" t="s">
        <v>41057</v>
      </c>
    </row>
    <row r="10529" spans="1:1">
      <c r="A10529" s="35" t="s">
        <v>54434</v>
      </c>
    </row>
    <row r="10530" spans="1:1">
      <c r="A10530" s="35" t="s">
        <v>41057</v>
      </c>
    </row>
    <row r="10531" spans="1:1">
      <c r="A10531" s="35" t="s">
        <v>41057</v>
      </c>
    </row>
    <row r="10532" spans="1:1">
      <c r="A10532" s="35" t="s">
        <v>56180</v>
      </c>
    </row>
    <row r="10533" spans="1:1">
      <c r="A10533" s="35" t="s">
        <v>41057</v>
      </c>
    </row>
    <row r="10534" spans="1:1">
      <c r="A10534" s="35" t="s">
        <v>56181</v>
      </c>
    </row>
    <row r="10535" spans="1:1">
      <c r="A10535" s="35" t="s">
        <v>41057</v>
      </c>
    </row>
    <row r="10536" spans="1:1">
      <c r="A10536" s="35" t="s">
        <v>56182</v>
      </c>
    </row>
    <row r="10537" spans="1:1">
      <c r="A10537" s="35" t="s">
        <v>56183</v>
      </c>
    </row>
    <row r="10538" spans="1:1">
      <c r="A10538" s="35" t="s">
        <v>41057</v>
      </c>
    </row>
    <row r="10539" spans="1:1">
      <c r="A10539" s="35" t="s">
        <v>41057</v>
      </c>
    </row>
    <row r="10540" spans="1:1">
      <c r="A10540" s="35" t="s">
        <v>56184</v>
      </c>
    </row>
    <row r="10541" spans="1:1">
      <c r="A10541" s="35" t="s">
        <v>41057</v>
      </c>
    </row>
    <row r="10542" spans="1:1">
      <c r="A10542" s="35" t="s">
        <v>41057</v>
      </c>
    </row>
    <row r="10543" spans="1:1">
      <c r="A10543" s="35" t="s">
        <v>41057</v>
      </c>
    </row>
    <row r="10544" spans="1:1">
      <c r="A10544" s="35" t="s">
        <v>41057</v>
      </c>
    </row>
    <row r="10545" spans="1:1">
      <c r="A10545" s="35" t="s">
        <v>41057</v>
      </c>
    </row>
    <row r="10546" spans="1:1">
      <c r="A10546" s="35" t="s">
        <v>56185</v>
      </c>
    </row>
    <row r="10547" spans="1:1">
      <c r="A10547" s="35" t="s">
        <v>41057</v>
      </c>
    </row>
    <row r="10548" spans="1:1">
      <c r="A10548" s="35" t="s">
        <v>41057</v>
      </c>
    </row>
    <row r="10549" spans="1:1">
      <c r="A10549" s="35" t="s">
        <v>56186</v>
      </c>
    </row>
    <row r="10550" spans="1:1">
      <c r="A10550" s="35" t="s">
        <v>41057</v>
      </c>
    </row>
    <row r="10551" spans="1:1">
      <c r="A10551" s="35" t="s">
        <v>41057</v>
      </c>
    </row>
    <row r="10552" spans="1:1">
      <c r="A10552" s="35" t="s">
        <v>41057</v>
      </c>
    </row>
    <row r="10553" spans="1:1">
      <c r="A10553" s="35" t="s">
        <v>41057</v>
      </c>
    </row>
    <row r="10554" spans="1:1">
      <c r="A10554" s="35" t="s">
        <v>41057</v>
      </c>
    </row>
    <row r="10555" spans="1:1">
      <c r="A10555" s="35" t="s">
        <v>41057</v>
      </c>
    </row>
    <row r="10556" spans="1:1">
      <c r="A10556" s="35" t="s">
        <v>41057</v>
      </c>
    </row>
    <row r="10557" spans="1:1">
      <c r="A10557" s="35" t="s">
        <v>41057</v>
      </c>
    </row>
    <row r="10558" spans="1:1">
      <c r="A10558" s="35" t="s">
        <v>41057</v>
      </c>
    </row>
    <row r="10559" spans="1:1">
      <c r="A10559" s="35" t="s">
        <v>41057</v>
      </c>
    </row>
    <row r="10560" spans="1:1">
      <c r="A10560" s="35" t="s">
        <v>41057</v>
      </c>
    </row>
    <row r="10561" spans="1:1">
      <c r="A10561" s="35" t="s">
        <v>41057</v>
      </c>
    </row>
    <row r="10562" spans="1:1">
      <c r="A10562" s="35" t="s">
        <v>56187</v>
      </c>
    </row>
    <row r="10563" spans="1:1">
      <c r="A10563" s="35" t="s">
        <v>41057</v>
      </c>
    </row>
    <row r="10564" spans="1:1">
      <c r="A10564" s="35" t="s">
        <v>41057</v>
      </c>
    </row>
    <row r="10565" spans="1:1">
      <c r="A10565" s="35" t="s">
        <v>56188</v>
      </c>
    </row>
    <row r="10566" spans="1:1">
      <c r="A10566" s="35" t="s">
        <v>41057</v>
      </c>
    </row>
    <row r="10567" spans="1:1">
      <c r="A10567" s="35" t="s">
        <v>41057</v>
      </c>
    </row>
    <row r="10568" spans="1:1">
      <c r="A10568" s="35" t="s">
        <v>41057</v>
      </c>
    </row>
    <row r="10569" spans="1:1">
      <c r="A10569" s="35" t="s">
        <v>41057</v>
      </c>
    </row>
    <row r="10570" spans="1:1">
      <c r="A10570" s="35" t="s">
        <v>41057</v>
      </c>
    </row>
    <row r="10571" spans="1:1">
      <c r="A10571" s="35" t="s">
        <v>41057</v>
      </c>
    </row>
    <row r="10572" spans="1:1">
      <c r="A10572" s="35" t="s">
        <v>41057</v>
      </c>
    </row>
    <row r="10573" spans="1:1">
      <c r="A10573" s="35" t="s">
        <v>41057</v>
      </c>
    </row>
    <row r="10574" spans="1:1">
      <c r="A10574" s="35" t="s">
        <v>56189</v>
      </c>
    </row>
    <row r="10575" spans="1:1">
      <c r="A10575" s="35" t="e" cm="1">
        <f t="array" ref="A10575">---------------SLYINGVHNLLY---------NGTQA-----------------KA</f>
        <v>#NAME?</v>
      </c>
    </row>
    <row r="10576" spans="1:1">
      <c r="A10576" s="35" t="s">
        <v>56190</v>
      </c>
    </row>
    <row r="10577" spans="1:1">
      <c r="A10577" s="35" t="e" cm="1">
        <f t="array" ref="A10577">----------------------------------------------------------YG</f>
        <v>#NAME?</v>
      </c>
    </row>
    <row r="10578" spans="1:1">
      <c r="A10578" s="35" t="s">
        <v>56191</v>
      </c>
    </row>
    <row r="10579" spans="1:1">
      <c r="A10579" s="35" t="s">
        <v>56192</v>
      </c>
    </row>
    <row r="10580" spans="1:1">
      <c r="A10580" s="35" t="s">
        <v>41057</v>
      </c>
    </row>
    <row r="10581" spans="1:1">
      <c r="A10581" s="35" t="s">
        <v>56193</v>
      </c>
    </row>
    <row r="10582" spans="1:1">
      <c r="A10582" s="35" t="s">
        <v>56194</v>
      </c>
    </row>
    <row r="10583" spans="1:1">
      <c r="A10583" s="35" t="s">
        <v>55218</v>
      </c>
    </row>
    <row r="10584" spans="1:1">
      <c r="A10584" s="35" t="s">
        <v>56155</v>
      </c>
    </row>
    <row r="10585" spans="1:1">
      <c r="A10585" s="35" t="s">
        <v>55309</v>
      </c>
    </row>
    <row r="10586" spans="1:1">
      <c r="A10586" s="35" t="s">
        <v>41057</v>
      </c>
    </row>
    <row r="10587" spans="1:1">
      <c r="A10587" s="35" t="s">
        <v>41057</v>
      </c>
    </row>
    <row r="10588" spans="1:1">
      <c r="A10588" s="35" t="s">
        <v>41057</v>
      </c>
    </row>
    <row r="10589" spans="1:1">
      <c r="A10589" s="35" t="s">
        <v>41057</v>
      </c>
    </row>
    <row r="10590" spans="1:1">
      <c r="A10590" s="35" t="s">
        <v>56195</v>
      </c>
    </row>
    <row r="10591" spans="1:1">
      <c r="A10591" s="35" t="s">
        <v>56196</v>
      </c>
    </row>
    <row r="10592" spans="1:1">
      <c r="A10592" s="35" t="s">
        <v>56197</v>
      </c>
    </row>
    <row r="10593" spans="1:1">
      <c r="A10593" s="35" t="s">
        <v>56198</v>
      </c>
    </row>
    <row r="10594" spans="1:1">
      <c r="A10594" s="35" t="s">
        <v>41057</v>
      </c>
    </row>
    <row r="10595" spans="1:1">
      <c r="A10595" s="35" t="s">
        <v>41057</v>
      </c>
    </row>
    <row r="10596" spans="1:1">
      <c r="A10596" s="35" t="s">
        <v>56199</v>
      </c>
    </row>
    <row r="10597" spans="1:1">
      <c r="A10597" s="35" t="s">
        <v>56200</v>
      </c>
    </row>
    <row r="10598" spans="1:1">
      <c r="A10598" s="35" t="s">
        <v>41057</v>
      </c>
    </row>
    <row r="10599" spans="1:1">
      <c r="A10599" s="35" t="s">
        <v>56201</v>
      </c>
    </row>
    <row r="10600" spans="1:1">
      <c r="A10600" s="35" t="s">
        <v>41057</v>
      </c>
    </row>
    <row r="10601" spans="1:1">
      <c r="A10601" s="35" t="s">
        <v>41057</v>
      </c>
    </row>
    <row r="10602" spans="1:1">
      <c r="A10602" s="35" t="s">
        <v>41057</v>
      </c>
    </row>
    <row r="10603" spans="1:1">
      <c r="A10603" s="35" t="s">
        <v>41057</v>
      </c>
    </row>
    <row r="10604" spans="1:1">
      <c r="A10604" s="35" t="s">
        <v>41057</v>
      </c>
    </row>
    <row r="10605" spans="1:1">
      <c r="A10605" s="35" t="s">
        <v>56202</v>
      </c>
    </row>
    <row r="10606" spans="1:1">
      <c r="A10606" s="35" t="s">
        <v>41057</v>
      </c>
    </row>
    <row r="10607" spans="1:1">
      <c r="A10607" s="35" t="s">
        <v>41057</v>
      </c>
    </row>
    <row r="10608" spans="1:1">
      <c r="A10608" s="35" t="e" cm="1">
        <f t="array" ref="A10608">----------------------------------------------------TQYSFDKA</f>
        <v>#NAME?</v>
      </c>
    </row>
    <row r="10609" spans="1:1">
      <c r="A10609" s="35" t="s">
        <v>56203</v>
      </c>
    </row>
    <row r="10610" spans="1:1">
      <c r="A10610" s="35" t="s">
        <v>56204</v>
      </c>
    </row>
    <row r="10611" spans="1:1">
      <c r="A10611" s="35" t="s">
        <v>56205</v>
      </c>
    </row>
    <row r="10612" spans="1:1">
      <c r="A10612" s="35" t="s">
        <v>56206</v>
      </c>
    </row>
    <row r="10613" spans="1:1">
      <c r="A10613" s="35" t="s">
        <v>56207</v>
      </c>
    </row>
    <row r="10614" spans="1:1">
      <c r="A10614" s="35" t="s">
        <v>56208</v>
      </c>
    </row>
    <row r="10615" spans="1:1">
      <c r="A10615" s="35" t="s">
        <v>41057</v>
      </c>
    </row>
    <row r="10616" spans="1:1">
      <c r="A10616" s="35" t="s">
        <v>56209</v>
      </c>
    </row>
    <row r="10617" spans="1:1">
      <c r="A10617" s="35" t="s">
        <v>56210</v>
      </c>
    </row>
    <row r="10618" spans="1:1">
      <c r="A10618" s="35" t="s">
        <v>56211</v>
      </c>
    </row>
    <row r="10619" spans="1:1">
      <c r="A10619" s="35" t="s">
        <v>41057</v>
      </c>
    </row>
    <row r="10620" spans="1:1">
      <c r="A10620" s="35" t="s">
        <v>53545</v>
      </c>
    </row>
    <row r="10621" spans="1:1">
      <c r="A10621" s="35" t="s">
        <v>52809</v>
      </c>
    </row>
    <row r="10622" spans="1:1">
      <c r="A10622" s="35" t="s">
        <v>56212</v>
      </c>
    </row>
    <row r="10623" spans="1:1">
      <c r="A10623" s="35" t="s">
        <v>41057</v>
      </c>
    </row>
    <row r="10624" spans="1:1">
      <c r="A10624" s="35" t="s">
        <v>41057</v>
      </c>
    </row>
    <row r="10625" spans="1:1">
      <c r="A10625" s="35" t="s">
        <v>41057</v>
      </c>
    </row>
    <row r="10626" spans="1:1">
      <c r="A10626" s="35" t="s">
        <v>56213</v>
      </c>
    </row>
    <row r="10627" spans="1:1">
      <c r="A10627" s="35" t="s">
        <v>56214</v>
      </c>
    </row>
    <row r="10628" spans="1:1">
      <c r="A10628" s="35" t="s">
        <v>41057</v>
      </c>
    </row>
    <row r="10629" spans="1:1">
      <c r="A10629" s="35" t="s">
        <v>41057</v>
      </c>
    </row>
    <row r="10630" spans="1:1">
      <c r="A10630" s="35" t="s">
        <v>41057</v>
      </c>
    </row>
    <row r="10631" spans="1:1">
      <c r="A10631" s="35" t="s">
        <v>56215</v>
      </c>
    </row>
    <row r="10632" spans="1:1">
      <c r="A10632" s="35" t="s">
        <v>56216</v>
      </c>
    </row>
    <row r="10633" spans="1:1">
      <c r="A10633" s="35" t="s">
        <v>56217</v>
      </c>
    </row>
    <row r="10634" spans="1:1">
      <c r="A10634" s="35" t="s">
        <v>54100</v>
      </c>
    </row>
    <row r="10635" spans="1:1">
      <c r="A10635" s="35" t="s">
        <v>41057</v>
      </c>
    </row>
    <row r="10636" spans="1:1">
      <c r="A10636" s="35" t="s">
        <v>41057</v>
      </c>
    </row>
    <row r="10637" spans="1:1">
      <c r="A10637" s="35" t="e" cm="1">
        <f t="array" ref="A10637">---------------QISH------------------FRS-------------------A</f>
        <v>#NAME?</v>
      </c>
    </row>
    <row r="10638" spans="1:1">
      <c r="A10638" s="35" t="s">
        <v>56218</v>
      </c>
    </row>
    <row r="10639" spans="1:1">
      <c r="A10639" s="35" t="s">
        <v>56219</v>
      </c>
    </row>
    <row r="10640" spans="1:1">
      <c r="A10640" s="35" t="s">
        <v>41057</v>
      </c>
    </row>
    <row r="10641" spans="1:1">
      <c r="A10641" s="35" t="s">
        <v>56220</v>
      </c>
    </row>
    <row r="10642" spans="1:1">
      <c r="A10642" s="35" t="s">
        <v>41057</v>
      </c>
    </row>
    <row r="10643" spans="1:1">
      <c r="A10643" s="35" t="s">
        <v>41057</v>
      </c>
    </row>
    <row r="10644" spans="1:1">
      <c r="A10644" s="35" t="s">
        <v>56221</v>
      </c>
    </row>
    <row r="10645" spans="1:1">
      <c r="A10645" s="35" t="s">
        <v>41057</v>
      </c>
    </row>
    <row r="10646" spans="1:1">
      <c r="A10646" s="35" t="s">
        <v>41057</v>
      </c>
    </row>
    <row r="10647" spans="1:1">
      <c r="A10647" s="35" t="s">
        <v>56222</v>
      </c>
    </row>
    <row r="10648" spans="1:1">
      <c r="A10648" s="35" t="s">
        <v>41057</v>
      </c>
    </row>
    <row r="10649" spans="1:1">
      <c r="A10649" s="35" t="s">
        <v>41057</v>
      </c>
    </row>
    <row r="10650" spans="1:1">
      <c r="A10650" s="35" t="s">
        <v>56223</v>
      </c>
    </row>
    <row r="10651" spans="1:1">
      <c r="A10651" s="35" t="s">
        <v>41057</v>
      </c>
    </row>
    <row r="10652" spans="1:1">
      <c r="A10652" s="35" t="s">
        <v>56224</v>
      </c>
    </row>
    <row r="10653" spans="1:1">
      <c r="A10653" s="35" t="s">
        <v>41057</v>
      </c>
    </row>
    <row r="10654" spans="1:1">
      <c r="A10654" s="35" t="s">
        <v>55210</v>
      </c>
    </row>
    <row r="10655" spans="1:1">
      <c r="A10655" s="35" t="s">
        <v>56225</v>
      </c>
    </row>
    <row r="10656" spans="1:1">
      <c r="A10656" s="35" t="s">
        <v>41057</v>
      </c>
    </row>
    <row r="10657" spans="1:1">
      <c r="A10657" s="35" t="s">
        <v>41057</v>
      </c>
    </row>
    <row r="10658" spans="1:1">
      <c r="A10658" s="35" t="s">
        <v>56226</v>
      </c>
    </row>
    <row r="10659" spans="1:1">
      <c r="A10659" s="35" t="s">
        <v>41057</v>
      </c>
    </row>
    <row r="10660" spans="1:1">
      <c r="A10660" s="35" t="s">
        <v>41057</v>
      </c>
    </row>
    <row r="10661" spans="1:1">
      <c r="A10661" s="35" t="s">
        <v>41057</v>
      </c>
    </row>
    <row r="10662" spans="1:1">
      <c r="A10662" s="35" t="s">
        <v>41057</v>
      </c>
    </row>
    <row r="10663" spans="1:1">
      <c r="A10663" s="35" t="s">
        <v>41057</v>
      </c>
    </row>
    <row r="10664" spans="1:1">
      <c r="A10664" s="35" t="s">
        <v>41057</v>
      </c>
    </row>
    <row r="10665" spans="1:1">
      <c r="A10665" s="35" t="s">
        <v>41057</v>
      </c>
    </row>
    <row r="10666" spans="1:1">
      <c r="A10666" s="35" t="s">
        <v>41057</v>
      </c>
    </row>
    <row r="10667" spans="1:1">
      <c r="A10667" s="35" t="s">
        <v>56227</v>
      </c>
    </row>
    <row r="10668" spans="1:1">
      <c r="A10668" s="35" t="s">
        <v>41057</v>
      </c>
    </row>
    <row r="10669" spans="1:1">
      <c r="A10669" s="35" t="s">
        <v>56228</v>
      </c>
    </row>
    <row r="10670" spans="1:1">
      <c r="A10670" s="35" t="s">
        <v>41057</v>
      </c>
    </row>
    <row r="10671" spans="1:1">
      <c r="A10671" s="35" t="s">
        <v>41057</v>
      </c>
    </row>
    <row r="10672" spans="1:1">
      <c r="A10672" s="35" t="s">
        <v>41057</v>
      </c>
    </row>
    <row r="10673" spans="1:1">
      <c r="A10673" s="35" t="s">
        <v>41057</v>
      </c>
    </row>
    <row r="10674" spans="1:1">
      <c r="A10674" s="35" t="s">
        <v>41057</v>
      </c>
    </row>
    <row r="10675" spans="1:1">
      <c r="A10675" s="35" t="s">
        <v>41057</v>
      </c>
    </row>
    <row r="10676" spans="1:1">
      <c r="A10676" s="35" t="s">
        <v>41057</v>
      </c>
    </row>
    <row r="10677" spans="1:1">
      <c r="A10677" s="35" t="s">
        <v>41057</v>
      </c>
    </row>
    <row r="10678" spans="1:1">
      <c r="A10678" s="35" t="s">
        <v>41057</v>
      </c>
    </row>
    <row r="10679" spans="1:1">
      <c r="A10679" s="35" t="s">
        <v>41057</v>
      </c>
    </row>
    <row r="10680" spans="1:1">
      <c r="A10680" s="35" t="s">
        <v>41057</v>
      </c>
    </row>
    <row r="10681" spans="1:1">
      <c r="A10681" s="35" t="s">
        <v>41057</v>
      </c>
    </row>
    <row r="10682" spans="1:1">
      <c r="A10682" s="35" t="s">
        <v>41057</v>
      </c>
    </row>
    <row r="10683" spans="1:1">
      <c r="A10683" s="35" t="s">
        <v>56229</v>
      </c>
    </row>
    <row r="10684" spans="1:1">
      <c r="A10684" s="35" t="s">
        <v>41057</v>
      </c>
    </row>
    <row r="10685" spans="1:1">
      <c r="A10685" s="35" t="s">
        <v>41057</v>
      </c>
    </row>
    <row r="10686" spans="1:1">
      <c r="A10686" s="35" t="s">
        <v>41057</v>
      </c>
    </row>
    <row r="10687" spans="1:1">
      <c r="A10687" s="35" t="s">
        <v>41057</v>
      </c>
    </row>
    <row r="10688" spans="1:1">
      <c r="A10688" s="35" t="s">
        <v>41057</v>
      </c>
    </row>
    <row r="10689" spans="1:1">
      <c r="A10689" s="35" t="s">
        <v>41057</v>
      </c>
    </row>
    <row r="10690" spans="1:1">
      <c r="A10690" s="35" t="s">
        <v>41057</v>
      </c>
    </row>
    <row r="10691" spans="1:1">
      <c r="A10691" s="35" t="e" cm="1">
        <f t="array" ref="A10691">-------------------------------------------------SWTNSL---GY</f>
        <v>#NAME?</v>
      </c>
    </row>
    <row r="10692" spans="1:1">
      <c r="A10692" s="35" t="s">
        <v>56230</v>
      </c>
    </row>
    <row r="10693" spans="1:1">
      <c r="A10693" s="35" t="e" cm="1">
        <f t="array" ref="A10693">---------------GEWMNTWGTLTT---------PVSK------------------QA</f>
        <v>#NAME?</v>
      </c>
    </row>
    <row r="10694" spans="1:1">
      <c r="A10694" s="35" t="s">
        <v>56231</v>
      </c>
    </row>
    <row r="10695" spans="1:1">
      <c r="A10695" s="35" t="s">
        <v>41057</v>
      </c>
    </row>
    <row r="10696" spans="1:1">
      <c r="A10696" s="35" t="s">
        <v>41057</v>
      </c>
    </row>
    <row r="10697" spans="1:1">
      <c r="A10697" s="35" t="s">
        <v>56232</v>
      </c>
    </row>
    <row r="10698" spans="1:1">
      <c r="A10698" s="35" t="s">
        <v>41057</v>
      </c>
    </row>
    <row r="10699" spans="1:1">
      <c r="A10699" s="35" t="s">
        <v>54451</v>
      </c>
    </row>
    <row r="10700" spans="1:1">
      <c r="A10700" s="35" t="s">
        <v>56233</v>
      </c>
    </row>
    <row r="10701" spans="1:1">
      <c r="A10701" s="35" t="s">
        <v>56234</v>
      </c>
    </row>
    <row r="10702" spans="1:1">
      <c r="A10702" s="35" t="s">
        <v>41057</v>
      </c>
    </row>
    <row r="10703" spans="1:1">
      <c r="A10703" s="35" t="s">
        <v>41057</v>
      </c>
    </row>
    <row r="10704" spans="1:1">
      <c r="A10704" s="35" t="s">
        <v>41057</v>
      </c>
    </row>
    <row r="10705" spans="1:1">
      <c r="A10705" s="35" t="s">
        <v>41057</v>
      </c>
    </row>
    <row r="10706" spans="1:1">
      <c r="A10706" s="35" t="s">
        <v>41057</v>
      </c>
    </row>
    <row r="10707" spans="1:1">
      <c r="A10707" s="35" t="s">
        <v>41057</v>
      </c>
    </row>
    <row r="10708" spans="1:1">
      <c r="A10708" s="35" t="s">
        <v>56235</v>
      </c>
    </row>
    <row r="10709" spans="1:1">
      <c r="A10709" s="35" t="s">
        <v>56236</v>
      </c>
    </row>
    <row r="10710" spans="1:1">
      <c r="A10710" s="35" t="s">
        <v>56237</v>
      </c>
    </row>
    <row r="10711" spans="1:1">
      <c r="A10711" s="35" t="s">
        <v>56238</v>
      </c>
    </row>
    <row r="10712" spans="1:1">
      <c r="A10712" s="35" t="s">
        <v>41057</v>
      </c>
    </row>
    <row r="10713" spans="1:1">
      <c r="A10713" s="35" t="s">
        <v>41057</v>
      </c>
    </row>
    <row r="10714" spans="1:1">
      <c r="A10714" s="35" t="s">
        <v>41057</v>
      </c>
    </row>
    <row r="10715" spans="1:1">
      <c r="A10715" s="35" t="s">
        <v>56239</v>
      </c>
    </row>
    <row r="10716" spans="1:1">
      <c r="A10716" s="35" t="s">
        <v>41057</v>
      </c>
    </row>
    <row r="10717" spans="1:1">
      <c r="A10717" s="35" t="s">
        <v>56240</v>
      </c>
    </row>
    <row r="10718" spans="1:1">
      <c r="A10718" s="35" t="s">
        <v>41057</v>
      </c>
    </row>
    <row r="10719" spans="1:1">
      <c r="A10719" s="35" t="s">
        <v>56241</v>
      </c>
    </row>
    <row r="10720" spans="1:1">
      <c r="A10720" s="35" t="s">
        <v>41057</v>
      </c>
    </row>
    <row r="10721" spans="1:1">
      <c r="A10721" s="35" t="s">
        <v>56242</v>
      </c>
    </row>
    <row r="10722" spans="1:1">
      <c r="A10722" s="35" t="s">
        <v>56243</v>
      </c>
    </row>
    <row r="10723" spans="1:1">
      <c r="A10723" s="35" t="s">
        <v>41057</v>
      </c>
    </row>
    <row r="10724" spans="1:1">
      <c r="A10724" s="35" t="s">
        <v>41057</v>
      </c>
    </row>
    <row r="10725" spans="1:1">
      <c r="A10725" s="35" t="s">
        <v>41057</v>
      </c>
    </row>
    <row r="10726" spans="1:1">
      <c r="A10726" s="35" t="e" cm="1">
        <f t="array" ref="A10726">---------------------------------------------------RHGDIIKSA</f>
        <v>#NAME?</v>
      </c>
    </row>
    <row r="10727" spans="1:1">
      <c r="A10727" s="35" t="s">
        <v>56244</v>
      </c>
    </row>
    <row r="10728" spans="1:1">
      <c r="A10728" s="35" t="s">
        <v>56245</v>
      </c>
    </row>
    <row r="10729" spans="1:1">
      <c r="A10729" s="35" t="s">
        <v>56246</v>
      </c>
    </row>
    <row r="10730" spans="1:1">
      <c r="A10730" s="35" t="s">
        <v>56247</v>
      </c>
    </row>
    <row r="10731" spans="1:1">
      <c r="A10731" s="35" t="s">
        <v>56248</v>
      </c>
    </row>
    <row r="10732" spans="1:1">
      <c r="A10732" s="35" t="s">
        <v>56249</v>
      </c>
    </row>
    <row r="10733" spans="1:1">
      <c r="A10733" s="35" t="s">
        <v>56250</v>
      </c>
    </row>
    <row r="10734" spans="1:1">
      <c r="A10734" s="35" t="s">
        <v>56251</v>
      </c>
    </row>
    <row r="10735" spans="1:1">
      <c r="A10735" s="35" t="s">
        <v>56252</v>
      </c>
    </row>
    <row r="10736" spans="1:1">
      <c r="A10736" s="35" t="s">
        <v>56253</v>
      </c>
    </row>
    <row r="10737" spans="1:1">
      <c r="A10737" s="35" t="s">
        <v>41057</v>
      </c>
    </row>
    <row r="10738" spans="1:1">
      <c r="A10738" s="35" t="s">
        <v>53545</v>
      </c>
    </row>
    <row r="10739" spans="1:1">
      <c r="A10739" s="35" t="s">
        <v>53257</v>
      </c>
    </row>
    <row r="10740" spans="1:1">
      <c r="A10740" s="35" t="s">
        <v>41057</v>
      </c>
    </row>
    <row r="10741" spans="1:1">
      <c r="A10741" s="35" t="s">
        <v>41057</v>
      </c>
    </row>
    <row r="10742" spans="1:1">
      <c r="A10742" s="35" t="s">
        <v>41057</v>
      </c>
    </row>
    <row r="10743" spans="1:1">
      <c r="A10743" s="35" t="s">
        <v>41057</v>
      </c>
    </row>
    <row r="10744" spans="1:1">
      <c r="A10744" s="35" t="s">
        <v>41057</v>
      </c>
    </row>
    <row r="10745" spans="1:1">
      <c r="A10745" s="35" t="s">
        <v>56254</v>
      </c>
    </row>
    <row r="10746" spans="1:1">
      <c r="A10746" s="35" t="s">
        <v>41057</v>
      </c>
    </row>
    <row r="10747" spans="1:1">
      <c r="A10747" s="35" t="s">
        <v>41057</v>
      </c>
    </row>
    <row r="10748" spans="1:1">
      <c r="A10748" s="35" t="s">
        <v>41057</v>
      </c>
    </row>
    <row r="10749" spans="1:1">
      <c r="A10749" s="35" t="s">
        <v>56255</v>
      </c>
    </row>
    <row r="10750" spans="1:1">
      <c r="A10750" s="35" t="s">
        <v>56256</v>
      </c>
    </row>
    <row r="10751" spans="1:1">
      <c r="A10751" s="35" t="s">
        <v>56257</v>
      </c>
    </row>
    <row r="10752" spans="1:1">
      <c r="A10752" s="35" t="s">
        <v>54100</v>
      </c>
    </row>
    <row r="10753" spans="1:1">
      <c r="A10753" s="35" t="s">
        <v>41057</v>
      </c>
    </row>
    <row r="10754" spans="1:1">
      <c r="A10754" s="35" t="s">
        <v>41057</v>
      </c>
    </row>
    <row r="10755" spans="1:1">
      <c r="A10755" s="35" t="e" cm="1">
        <f t="array" ref="A10755">---------------QTTF------------------FKK-------------------G</f>
        <v>#NAME?</v>
      </c>
    </row>
    <row r="10756" spans="1:1">
      <c r="A10756" s="35" t="s">
        <v>55701</v>
      </c>
    </row>
    <row r="10757" spans="1:1">
      <c r="A10757" s="35" t="s">
        <v>56258</v>
      </c>
    </row>
    <row r="10758" spans="1:1">
      <c r="A10758" s="35" t="s">
        <v>41057</v>
      </c>
    </row>
    <row r="10759" spans="1:1">
      <c r="A10759" s="35" t="s">
        <v>56259</v>
      </c>
    </row>
    <row r="10760" spans="1:1">
      <c r="A10760" s="35" t="s">
        <v>41057</v>
      </c>
    </row>
    <row r="10761" spans="1:1">
      <c r="A10761" s="35" t="s">
        <v>41057</v>
      </c>
    </row>
    <row r="10762" spans="1:1">
      <c r="A10762" s="35" t="s">
        <v>56260</v>
      </c>
    </row>
    <row r="10763" spans="1:1">
      <c r="A10763" s="35" t="s">
        <v>41057</v>
      </c>
    </row>
    <row r="10764" spans="1:1">
      <c r="A10764" s="35" t="s">
        <v>41057</v>
      </c>
    </row>
    <row r="10765" spans="1:1">
      <c r="A10765" s="35" t="s">
        <v>56222</v>
      </c>
    </row>
    <row r="10766" spans="1:1">
      <c r="A10766" s="35" t="s">
        <v>41057</v>
      </c>
    </row>
    <row r="10767" spans="1:1">
      <c r="A10767" s="35" t="s">
        <v>41057</v>
      </c>
    </row>
    <row r="10768" spans="1:1">
      <c r="A10768" s="35" t="s">
        <v>56261</v>
      </c>
    </row>
    <row r="10769" spans="1:1">
      <c r="A10769" s="35" t="s">
        <v>41057</v>
      </c>
    </row>
    <row r="10770" spans="1:1">
      <c r="A10770" s="35" t="s">
        <v>56262</v>
      </c>
    </row>
    <row r="10771" spans="1:1">
      <c r="A10771" s="35" t="s">
        <v>41057</v>
      </c>
    </row>
    <row r="10772" spans="1:1">
      <c r="A10772" s="35" t="s">
        <v>56263</v>
      </c>
    </row>
    <row r="10773" spans="1:1">
      <c r="A10773" s="35" t="s">
        <v>56264</v>
      </c>
    </row>
    <row r="10774" spans="1:1">
      <c r="A10774" s="35" t="s">
        <v>41057</v>
      </c>
    </row>
    <row r="10775" spans="1:1">
      <c r="A10775" s="35" t="s">
        <v>41057</v>
      </c>
    </row>
    <row r="10776" spans="1:1">
      <c r="A10776" s="35" t="s">
        <v>54623</v>
      </c>
    </row>
    <row r="10777" spans="1:1">
      <c r="A10777" s="35" t="s">
        <v>41057</v>
      </c>
    </row>
    <row r="10778" spans="1:1">
      <c r="A10778" s="35" t="s">
        <v>41057</v>
      </c>
    </row>
    <row r="10779" spans="1:1">
      <c r="A10779" s="35" t="s">
        <v>41057</v>
      </c>
    </row>
    <row r="10780" spans="1:1">
      <c r="A10780" s="35" t="s">
        <v>41057</v>
      </c>
    </row>
    <row r="10781" spans="1:1">
      <c r="A10781" s="35" t="s">
        <v>41057</v>
      </c>
    </row>
    <row r="10782" spans="1:1">
      <c r="A10782" s="35" t="s">
        <v>56265</v>
      </c>
    </row>
    <row r="10783" spans="1:1">
      <c r="A10783" s="35" t="s">
        <v>41057</v>
      </c>
    </row>
    <row r="10784" spans="1:1">
      <c r="A10784" s="35" t="s">
        <v>41057</v>
      </c>
    </row>
    <row r="10785" spans="1:1">
      <c r="A10785" s="35" t="s">
        <v>41057</v>
      </c>
    </row>
    <row r="10786" spans="1:1">
      <c r="A10786" s="35" t="s">
        <v>41057</v>
      </c>
    </row>
    <row r="10787" spans="1:1">
      <c r="A10787" s="35" t="s">
        <v>41057</v>
      </c>
    </row>
    <row r="10788" spans="1:1">
      <c r="A10788" s="35" t="s">
        <v>41057</v>
      </c>
    </row>
    <row r="10789" spans="1:1">
      <c r="A10789" s="35" t="s">
        <v>41057</v>
      </c>
    </row>
    <row r="10790" spans="1:1">
      <c r="A10790" s="35" t="s">
        <v>41057</v>
      </c>
    </row>
    <row r="10791" spans="1:1">
      <c r="A10791" s="35" t="s">
        <v>41057</v>
      </c>
    </row>
    <row r="10792" spans="1:1">
      <c r="A10792" s="35" t="s">
        <v>41057</v>
      </c>
    </row>
    <row r="10793" spans="1:1">
      <c r="A10793" s="35" t="s">
        <v>41057</v>
      </c>
    </row>
    <row r="10794" spans="1:1">
      <c r="A10794" s="35" t="s">
        <v>41057</v>
      </c>
    </row>
    <row r="10795" spans="1:1">
      <c r="A10795" s="35" t="s">
        <v>41057</v>
      </c>
    </row>
    <row r="10796" spans="1:1">
      <c r="A10796" s="35" t="s">
        <v>41057</v>
      </c>
    </row>
    <row r="10797" spans="1:1">
      <c r="A10797" s="35" t="s">
        <v>41057</v>
      </c>
    </row>
    <row r="10798" spans="1:1">
      <c r="A10798" s="35" t="s">
        <v>56266</v>
      </c>
    </row>
    <row r="10799" spans="1:1">
      <c r="A10799" s="35" t="s">
        <v>41057</v>
      </c>
    </row>
    <row r="10800" spans="1:1">
      <c r="A10800" s="35" t="s">
        <v>41057</v>
      </c>
    </row>
    <row r="10801" spans="1:1">
      <c r="A10801" s="35" t="s">
        <v>56267</v>
      </c>
    </row>
    <row r="10802" spans="1:1">
      <c r="A10802" s="35" t="s">
        <v>41057</v>
      </c>
    </row>
    <row r="10803" spans="1:1">
      <c r="A10803" s="35" t="s">
        <v>41057</v>
      </c>
    </row>
    <row r="10804" spans="1:1">
      <c r="A10804" s="35" t="s">
        <v>41057</v>
      </c>
    </row>
    <row r="10805" spans="1:1">
      <c r="A10805" s="35" t="s">
        <v>41057</v>
      </c>
    </row>
    <row r="10806" spans="1:1">
      <c r="A10806" s="35" t="s">
        <v>41057</v>
      </c>
    </row>
    <row r="10807" spans="1:1">
      <c r="A10807" s="35" t="s">
        <v>41057</v>
      </c>
    </row>
    <row r="10808" spans="1:1">
      <c r="A10808" s="35" t="s">
        <v>41057</v>
      </c>
    </row>
    <row r="10809" spans="1:1">
      <c r="A10809" s="35" t="e" cm="1">
        <f t="array" ref="A10809">--------------------------------------------------YTEAT---GH</f>
        <v>#NAME?</v>
      </c>
    </row>
    <row r="10810" spans="1:1">
      <c r="A10810" s="35" t="s">
        <v>56268</v>
      </c>
    </row>
    <row r="10811" spans="1:1">
      <c r="A10811" s="35" t="e" cm="1">
        <f t="array" ref="A10811">---------------GEYMELYNELNQ---------TFSK------------------RT</f>
        <v>#NAME?</v>
      </c>
    </row>
    <row r="10812" spans="1:1">
      <c r="A10812" s="35" t="s">
        <v>56269</v>
      </c>
    </row>
    <row r="10813" spans="1:1">
      <c r="A10813" s="35" t="e" cm="1">
        <f t="array" ref="A10813">-------------------------------------------------D--------AI</f>
        <v>#NAME?</v>
      </c>
    </row>
    <row r="10814" spans="1:1">
      <c r="A10814" s="35" t="s">
        <v>56270</v>
      </c>
    </row>
    <row r="10815" spans="1:1">
      <c r="A10815" s="35" t="s">
        <v>56271</v>
      </c>
    </row>
    <row r="10816" spans="1:1">
      <c r="A10816" s="35" t="s">
        <v>41057</v>
      </c>
    </row>
    <row r="10817" spans="1:1">
      <c r="A10817" s="35" t="s">
        <v>55484</v>
      </c>
    </row>
    <row r="10818" spans="1:1">
      <c r="A10818" s="35" t="s">
        <v>56272</v>
      </c>
    </row>
    <row r="10819" spans="1:1">
      <c r="A10819" s="35" t="s">
        <v>56273</v>
      </c>
    </row>
    <row r="10820" spans="1:1">
      <c r="A10820" s="35" t="s">
        <v>41057</v>
      </c>
    </row>
    <row r="10821" spans="1:1">
      <c r="A10821" s="35" t="s">
        <v>41057</v>
      </c>
    </row>
    <row r="10822" spans="1:1">
      <c r="A10822" s="35" t="s">
        <v>56274</v>
      </c>
    </row>
    <row r="10823" spans="1:1">
      <c r="A10823" s="35" t="s">
        <v>41057</v>
      </c>
    </row>
    <row r="10824" spans="1:1">
      <c r="A10824" s="35" t="s">
        <v>41057</v>
      </c>
    </row>
    <row r="10825" spans="1:1">
      <c r="A10825" s="35" t="s">
        <v>41057</v>
      </c>
    </row>
    <row r="10826" spans="1:1">
      <c r="A10826" s="35" t="s">
        <v>56275</v>
      </c>
    </row>
    <row r="10827" spans="1:1">
      <c r="A10827" s="35" t="s">
        <v>56276</v>
      </c>
    </row>
    <row r="10828" spans="1:1">
      <c r="A10828" s="35" t="s">
        <v>56277</v>
      </c>
    </row>
    <row r="10829" spans="1:1">
      <c r="A10829" s="35" t="s">
        <v>56278</v>
      </c>
    </row>
    <row r="10830" spans="1:1">
      <c r="A10830" s="35" t="e" cm="1">
        <f t="array" ref="A10830">------------------------------------------------------DNQNIN</f>
        <v>#NAME?</v>
      </c>
    </row>
    <row r="10831" spans="1:1">
      <c r="A10831" s="35" t="s">
        <v>56279</v>
      </c>
    </row>
    <row r="10832" spans="1:1">
      <c r="A10832" s="35" t="s">
        <v>56280</v>
      </c>
    </row>
    <row r="10833" spans="1:1">
      <c r="A10833" s="35" t="s">
        <v>56281</v>
      </c>
    </row>
    <row r="10834" spans="1:1">
      <c r="A10834" s="35" t="s">
        <v>41057</v>
      </c>
    </row>
    <row r="10835" spans="1:1">
      <c r="A10835" s="35" t="s">
        <v>56282</v>
      </c>
    </row>
    <row r="10836" spans="1:1">
      <c r="A10836" s="35" t="s">
        <v>41057</v>
      </c>
    </row>
    <row r="10837" spans="1:1">
      <c r="A10837" s="35" t="s">
        <v>56283</v>
      </c>
    </row>
    <row r="10838" spans="1:1">
      <c r="A10838" s="35" t="s">
        <v>41057</v>
      </c>
    </row>
    <row r="10839" spans="1:1">
      <c r="A10839" s="35" t="s">
        <v>56284</v>
      </c>
    </row>
    <row r="10840" spans="1:1">
      <c r="A10840" s="35" t="s">
        <v>56285</v>
      </c>
    </row>
    <row r="10841" spans="1:1">
      <c r="A10841" s="35" t="s">
        <v>41057</v>
      </c>
    </row>
    <row r="10842" spans="1:1">
      <c r="A10842" s="35" t="s">
        <v>41057</v>
      </c>
    </row>
    <row r="10843" spans="1:1">
      <c r="A10843" s="35" t="s">
        <v>41057</v>
      </c>
    </row>
    <row r="10844" spans="1:1">
      <c r="A10844" s="35" t="e" cm="1">
        <f t="array" ref="A10844">------------------------------------------------------EIFRRG</f>
        <v>#NAME?</v>
      </c>
    </row>
    <row r="10845" spans="1:1">
      <c r="A10845" s="35" t="s">
        <v>56286</v>
      </c>
    </row>
    <row r="10846" spans="1:1">
      <c r="A10846" s="35" t="s">
        <v>56287</v>
      </c>
    </row>
    <row r="10847" spans="1:1">
      <c r="A10847" s="35" t="s">
        <v>56288</v>
      </c>
    </row>
    <row r="10848" spans="1:1">
      <c r="A10848" s="35" t="s">
        <v>56289</v>
      </c>
    </row>
    <row r="10849" spans="1:1">
      <c r="A10849" s="35" t="s">
        <v>56290</v>
      </c>
    </row>
    <row r="10850" spans="1:1">
      <c r="A10850" s="35" t="s">
        <v>56291</v>
      </c>
    </row>
    <row r="10851" spans="1:1">
      <c r="A10851" s="35" t="s">
        <v>41057</v>
      </c>
    </row>
    <row r="10852" spans="1:1">
      <c r="A10852" s="35" t="s">
        <v>56292</v>
      </c>
    </row>
    <row r="10853" spans="1:1">
      <c r="A10853" s="35" t="s">
        <v>56293</v>
      </c>
    </row>
    <row r="10854" spans="1:1">
      <c r="A10854" s="35" t="s">
        <v>56294</v>
      </c>
    </row>
    <row r="10855" spans="1:1">
      <c r="A10855" s="35" t="s">
        <v>41057</v>
      </c>
    </row>
    <row r="10856" spans="1:1">
      <c r="A10856" s="35" t="s">
        <v>53545</v>
      </c>
    </row>
    <row r="10857" spans="1:1">
      <c r="A10857" s="35" t="s">
        <v>52188</v>
      </c>
    </row>
    <row r="10858" spans="1:1">
      <c r="A10858" s="35" t="s">
        <v>41057</v>
      </c>
    </row>
    <row r="10859" spans="1:1">
      <c r="A10859" s="35" t="s">
        <v>41057</v>
      </c>
    </row>
    <row r="10860" spans="1:1">
      <c r="A10860" s="35" t="s">
        <v>41057</v>
      </c>
    </row>
    <row r="10861" spans="1:1">
      <c r="A10861" s="35" t="s">
        <v>41057</v>
      </c>
    </row>
    <row r="10862" spans="1:1">
      <c r="A10862" s="35" t="s">
        <v>41057</v>
      </c>
    </row>
    <row r="10863" spans="1:1">
      <c r="A10863" s="35" t="s">
        <v>56295</v>
      </c>
    </row>
    <row r="10864" spans="1:1">
      <c r="A10864" s="35" t="s">
        <v>41057</v>
      </c>
    </row>
    <row r="10865" spans="1:1">
      <c r="A10865" s="35" t="s">
        <v>41057</v>
      </c>
    </row>
    <row r="10866" spans="1:1">
      <c r="A10866" s="35" t="s">
        <v>41057</v>
      </c>
    </row>
    <row r="10867" spans="1:1">
      <c r="A10867" s="35" t="s">
        <v>56296</v>
      </c>
    </row>
    <row r="10868" spans="1:1">
      <c r="A10868" s="35" t="s">
        <v>56297</v>
      </c>
    </row>
    <row r="10869" spans="1:1">
      <c r="A10869" s="35" t="s">
        <v>56298</v>
      </c>
    </row>
    <row r="10870" spans="1:1">
      <c r="A10870" s="35" t="s">
        <v>56299</v>
      </c>
    </row>
    <row r="10871" spans="1:1">
      <c r="A10871" s="35" t="s">
        <v>41057</v>
      </c>
    </row>
    <row r="10872" spans="1:1">
      <c r="A10872" s="35" t="s">
        <v>41057</v>
      </c>
    </row>
    <row r="10873" spans="1:1">
      <c r="A10873" s="35" t="e" cm="1">
        <f t="array" ref="A10873">---------------DKSL------------------FVN-------------------N</f>
        <v>#NAME?</v>
      </c>
    </row>
    <row r="10874" spans="1:1">
      <c r="A10874" s="35" t="s">
        <v>56300</v>
      </c>
    </row>
    <row r="10875" spans="1:1">
      <c r="A10875" s="35" t="s">
        <v>56301</v>
      </c>
    </row>
    <row r="10876" spans="1:1">
      <c r="A10876" s="35" t="s">
        <v>41057</v>
      </c>
    </row>
    <row r="10877" spans="1:1">
      <c r="A10877" s="35" t="s">
        <v>56302</v>
      </c>
    </row>
    <row r="10878" spans="1:1">
      <c r="A10878" s="35" t="s">
        <v>41057</v>
      </c>
    </row>
    <row r="10879" spans="1:1">
      <c r="A10879" s="35" t="s">
        <v>41057</v>
      </c>
    </row>
    <row r="10880" spans="1:1">
      <c r="A10880" s="35" t="s">
        <v>56303</v>
      </c>
    </row>
    <row r="10881" spans="1:1">
      <c r="A10881" s="35" t="s">
        <v>41057</v>
      </c>
    </row>
    <row r="10882" spans="1:1">
      <c r="A10882" s="35" t="s">
        <v>41057</v>
      </c>
    </row>
    <row r="10883" spans="1:1">
      <c r="A10883" s="35" t="s">
        <v>56304</v>
      </c>
    </row>
    <row r="10884" spans="1:1">
      <c r="A10884" s="35" t="s">
        <v>41057</v>
      </c>
    </row>
    <row r="10885" spans="1:1">
      <c r="A10885" s="35" t="s">
        <v>41057</v>
      </c>
    </row>
    <row r="10886" spans="1:1">
      <c r="A10886" s="35" t="s">
        <v>56305</v>
      </c>
    </row>
    <row r="10887" spans="1:1">
      <c r="A10887" s="35" t="s">
        <v>41057</v>
      </c>
    </row>
    <row r="10888" spans="1:1">
      <c r="A10888" s="35" t="s">
        <v>56306</v>
      </c>
    </row>
    <row r="10889" spans="1:1">
      <c r="A10889" s="35" t="s">
        <v>41057</v>
      </c>
    </row>
    <row r="10890" spans="1:1">
      <c r="A10890" s="35" t="s">
        <v>56307</v>
      </c>
    </row>
    <row r="10891" spans="1:1">
      <c r="A10891" s="35" t="s">
        <v>56308</v>
      </c>
    </row>
    <row r="10892" spans="1:1">
      <c r="A10892" s="35" t="s">
        <v>41057</v>
      </c>
    </row>
    <row r="10893" spans="1:1">
      <c r="A10893" s="35" t="s">
        <v>41057</v>
      </c>
    </row>
    <row r="10894" spans="1:1">
      <c r="A10894" s="35" t="s">
        <v>54545</v>
      </c>
    </row>
    <row r="10895" spans="1:1">
      <c r="A10895" s="35" t="s">
        <v>41057</v>
      </c>
    </row>
    <row r="10896" spans="1:1">
      <c r="A10896" s="35" t="s">
        <v>41057</v>
      </c>
    </row>
    <row r="10897" spans="1:1">
      <c r="A10897" s="35" t="s">
        <v>41057</v>
      </c>
    </row>
    <row r="10898" spans="1:1">
      <c r="A10898" s="35" t="s">
        <v>41057</v>
      </c>
    </row>
    <row r="10899" spans="1:1">
      <c r="A10899" s="35" t="s">
        <v>41057</v>
      </c>
    </row>
    <row r="10900" spans="1:1">
      <c r="A10900" s="35" t="s">
        <v>56309</v>
      </c>
    </row>
    <row r="10901" spans="1:1">
      <c r="A10901" s="35" t="s">
        <v>41057</v>
      </c>
    </row>
    <row r="10902" spans="1:1">
      <c r="A10902" s="35" t="s">
        <v>41057</v>
      </c>
    </row>
    <row r="10903" spans="1:1">
      <c r="A10903" s="35" t="s">
        <v>41057</v>
      </c>
    </row>
    <row r="10904" spans="1:1">
      <c r="A10904" s="35" t="s">
        <v>41057</v>
      </c>
    </row>
    <row r="10905" spans="1:1">
      <c r="A10905" s="35" t="s">
        <v>41057</v>
      </c>
    </row>
    <row r="10906" spans="1:1">
      <c r="A10906" s="35" t="s">
        <v>41057</v>
      </c>
    </row>
    <row r="10907" spans="1:1">
      <c r="A10907" s="35" t="s">
        <v>41057</v>
      </c>
    </row>
    <row r="10908" spans="1:1">
      <c r="A10908" s="35" t="s">
        <v>41057</v>
      </c>
    </row>
    <row r="10909" spans="1:1">
      <c r="A10909" s="35" t="s">
        <v>41057</v>
      </c>
    </row>
    <row r="10910" spans="1:1">
      <c r="A10910" s="35" t="s">
        <v>41057</v>
      </c>
    </row>
    <row r="10911" spans="1:1">
      <c r="A10911" s="35" t="s">
        <v>41057</v>
      </c>
    </row>
    <row r="10912" spans="1:1">
      <c r="A10912" s="35" t="s">
        <v>41057</v>
      </c>
    </row>
    <row r="10913" spans="1:1">
      <c r="A10913" s="35" t="s">
        <v>41057</v>
      </c>
    </row>
    <row r="10914" spans="1:1">
      <c r="A10914" s="35" t="s">
        <v>56310</v>
      </c>
    </row>
    <row r="10915" spans="1:1">
      <c r="A10915" s="35" t="s">
        <v>41057</v>
      </c>
    </row>
    <row r="10916" spans="1:1">
      <c r="A10916" s="35" t="s">
        <v>56311</v>
      </c>
    </row>
    <row r="10917" spans="1:1">
      <c r="A10917" s="35" t="s">
        <v>41057</v>
      </c>
    </row>
    <row r="10918" spans="1:1">
      <c r="A10918" s="35" t="s">
        <v>41057</v>
      </c>
    </row>
    <row r="10919" spans="1:1">
      <c r="A10919" s="35" t="s">
        <v>56312</v>
      </c>
    </row>
    <row r="10920" spans="1:1">
      <c r="A10920" s="35" t="s">
        <v>41057</v>
      </c>
    </row>
    <row r="10921" spans="1:1">
      <c r="A10921" s="35" t="s">
        <v>41057</v>
      </c>
    </row>
    <row r="10922" spans="1:1">
      <c r="A10922" s="35" t="s">
        <v>41057</v>
      </c>
    </row>
    <row r="10923" spans="1:1">
      <c r="A10923" s="35" t="s">
        <v>41057</v>
      </c>
    </row>
    <row r="10924" spans="1:1">
      <c r="A10924" s="35" t="s">
        <v>41057</v>
      </c>
    </row>
    <row r="10925" spans="1:1">
      <c r="A10925" s="35" t="s">
        <v>41057</v>
      </c>
    </row>
    <row r="10926" spans="1:1">
      <c r="A10926" s="35" t="s">
        <v>41057</v>
      </c>
    </row>
    <row r="10927" spans="1:1">
      <c r="A10927" s="35" t="e" cm="1">
        <f t="array" ref="A10927">-----------------------------------------------RIRWANYI---GN</f>
        <v>#NAME?</v>
      </c>
    </row>
    <row r="10928" spans="1:1">
      <c r="A10928" s="35" t="s">
        <v>56313</v>
      </c>
    </row>
    <row r="10929" spans="1:1">
      <c r="A10929" s="35" t="s">
        <v>56314</v>
      </c>
    </row>
    <row r="10930" spans="1:1">
      <c r="A10930" s="35" t="s">
        <v>56315</v>
      </c>
    </row>
    <row r="10931" spans="1:1">
      <c r="A10931" s="35" t="e" cm="1">
        <f t="array" ref="A10931">--------------------------------------------GHDGNL--------NL</f>
        <v>#NAME?</v>
      </c>
    </row>
    <row r="10932" spans="1:1">
      <c r="A10932" s="35" t="s">
        <v>56316</v>
      </c>
    </row>
    <row r="10933" spans="1:1">
      <c r="A10933" s="35" t="s">
        <v>56317</v>
      </c>
    </row>
    <row r="10934" spans="1:1">
      <c r="A10934" s="35" t="s">
        <v>41057</v>
      </c>
    </row>
    <row r="10935" spans="1:1">
      <c r="A10935" s="35" t="s">
        <v>56193</v>
      </c>
    </row>
    <row r="10936" spans="1:1">
      <c r="A10936" s="35" t="s">
        <v>56318</v>
      </c>
    </row>
    <row r="10937" spans="1:1">
      <c r="A10937" s="35" t="s">
        <v>56319</v>
      </c>
    </row>
    <row r="10938" spans="1:1">
      <c r="A10938" s="35" t="s">
        <v>41057</v>
      </c>
    </row>
    <row r="10939" spans="1:1">
      <c r="A10939" s="35" t="s">
        <v>41057</v>
      </c>
    </row>
    <row r="10940" spans="1:1">
      <c r="A10940" s="35" t="s">
        <v>41057</v>
      </c>
    </row>
    <row r="10941" spans="1:1">
      <c r="A10941" s="35" t="s">
        <v>56320</v>
      </c>
    </row>
    <row r="10942" spans="1:1">
      <c r="A10942" s="35" t="s">
        <v>41057</v>
      </c>
    </row>
    <row r="10943" spans="1:1">
      <c r="A10943" s="35" t="s">
        <v>41057</v>
      </c>
    </row>
    <row r="10944" spans="1:1">
      <c r="A10944" s="35" t="s">
        <v>56321</v>
      </c>
    </row>
    <row r="10945" spans="1:1">
      <c r="A10945" s="35" t="s">
        <v>56322</v>
      </c>
    </row>
    <row r="10946" spans="1:1">
      <c r="A10946" s="35" t="s">
        <v>56323</v>
      </c>
    </row>
    <row r="10947" spans="1:1">
      <c r="A10947" s="35" t="s">
        <v>56324</v>
      </c>
    </row>
    <row r="10948" spans="1:1">
      <c r="A10948" s="35" t="s">
        <v>41057</v>
      </c>
    </row>
    <row r="10949" spans="1:1">
      <c r="A10949" s="35" t="s">
        <v>56325</v>
      </c>
    </row>
    <row r="10950" spans="1:1">
      <c r="A10950" s="35" t="s">
        <v>56326</v>
      </c>
    </row>
    <row r="10951" spans="1:1">
      <c r="A10951" s="35" t="s">
        <v>56327</v>
      </c>
    </row>
    <row r="10952" spans="1:1">
      <c r="A10952" s="35" t="s">
        <v>41057</v>
      </c>
    </row>
    <row r="10953" spans="1:1">
      <c r="A10953" s="35" t="s">
        <v>56328</v>
      </c>
    </row>
    <row r="10954" spans="1:1">
      <c r="A10954" s="35" t="s">
        <v>41057</v>
      </c>
    </row>
    <row r="10955" spans="1:1">
      <c r="A10955" s="35" t="s">
        <v>56329</v>
      </c>
    </row>
    <row r="10956" spans="1:1">
      <c r="A10956" s="35" t="s">
        <v>41057</v>
      </c>
    </row>
    <row r="10957" spans="1:1">
      <c r="A10957" s="35" t="s">
        <v>56330</v>
      </c>
    </row>
    <row r="10958" spans="1:1">
      <c r="A10958" s="35" t="s">
        <v>56331</v>
      </c>
    </row>
    <row r="10959" spans="1:1">
      <c r="A10959" s="35" t="s">
        <v>56332</v>
      </c>
    </row>
    <row r="10960" spans="1:1">
      <c r="A10960" s="35" t="e" cm="1">
        <f t="array" ref="A10960">-------------------------P--------------------------------YR</f>
        <v>#NAME?</v>
      </c>
    </row>
    <row r="10961" spans="1:1">
      <c r="A10961" s="35" t="s">
        <v>56333</v>
      </c>
    </row>
    <row r="10962" spans="1:1">
      <c r="A10962" s="35" t="e" cm="1">
        <f t="array" ref="A10962">----------------------------------------------------KYHLLDQA</f>
        <v>#NAME?</v>
      </c>
    </row>
    <row r="10963" spans="1:1">
      <c r="A10963" s="35" t="s">
        <v>56334</v>
      </c>
    </row>
    <row r="10964" spans="1:1">
      <c r="A10964" s="35" t="s">
        <v>56335</v>
      </c>
    </row>
    <row r="10965" spans="1:1">
      <c r="A10965" s="35" t="s">
        <v>56336</v>
      </c>
    </row>
    <row r="10966" spans="1:1">
      <c r="A10966" s="35" t="s">
        <v>56337</v>
      </c>
    </row>
    <row r="10967" spans="1:1">
      <c r="A10967" s="35" t="s">
        <v>56338</v>
      </c>
    </row>
    <row r="10968" spans="1:1">
      <c r="A10968" s="35" t="s">
        <v>56339</v>
      </c>
    </row>
    <row r="10969" spans="1:1">
      <c r="A10969" s="35" t="e" cm="1">
        <f t="array" ref="A10969">-------------------------------------------------------NNVEV</f>
        <v>#NAME?</v>
      </c>
    </row>
    <row r="10970" spans="1:1">
      <c r="A10970" s="35" t="s">
        <v>56340</v>
      </c>
    </row>
    <row r="10971" spans="1:1">
      <c r="A10971" s="35" t="s">
        <v>56341</v>
      </c>
    </row>
    <row r="10972" spans="1:1">
      <c r="A10972" s="35" t="s">
        <v>56342</v>
      </c>
    </row>
    <row r="10973" spans="1:1">
      <c r="A10973" s="35" t="s">
        <v>41057</v>
      </c>
    </row>
    <row r="10974" spans="1:1">
      <c r="A10974" s="35" t="s">
        <v>53545</v>
      </c>
    </row>
    <row r="10975" spans="1:1">
      <c r="A10975" s="35" t="s">
        <v>52543</v>
      </c>
    </row>
    <row r="10976" spans="1:1">
      <c r="A10976" s="35" t="s">
        <v>41057</v>
      </c>
    </row>
    <row r="10977" spans="1:1">
      <c r="A10977" s="35" t="s">
        <v>41057</v>
      </c>
    </row>
    <row r="10978" spans="1:1">
      <c r="A10978" s="35" t="s">
        <v>41057</v>
      </c>
    </row>
    <row r="10979" spans="1:1">
      <c r="A10979" s="35" t="s">
        <v>41057</v>
      </c>
    </row>
    <row r="10980" spans="1:1">
      <c r="A10980" s="35" t="s">
        <v>41057</v>
      </c>
    </row>
    <row r="10981" spans="1:1">
      <c r="A10981" s="35" t="s">
        <v>53706</v>
      </c>
    </row>
    <row r="10982" spans="1:1">
      <c r="A10982" s="35" t="s">
        <v>41057</v>
      </c>
    </row>
    <row r="10983" spans="1:1">
      <c r="A10983" s="35" t="s">
        <v>41057</v>
      </c>
    </row>
    <row r="10984" spans="1:1">
      <c r="A10984" s="35" t="s">
        <v>41057</v>
      </c>
    </row>
    <row r="10985" spans="1:1">
      <c r="A10985" s="35" t="s">
        <v>53492</v>
      </c>
    </row>
    <row r="10986" spans="1:1">
      <c r="A10986" s="35" t="s">
        <v>56343</v>
      </c>
    </row>
    <row r="10987" spans="1:1">
      <c r="A10987" s="35" t="s">
        <v>56344</v>
      </c>
    </row>
    <row r="10988" spans="1:1">
      <c r="A10988" s="35" t="s">
        <v>56345</v>
      </c>
    </row>
    <row r="10989" spans="1:1">
      <c r="A10989" s="35" t="s">
        <v>41057</v>
      </c>
    </row>
    <row r="10990" spans="1:1">
      <c r="A10990" s="35" t="s">
        <v>41057</v>
      </c>
    </row>
    <row r="10991" spans="1:1">
      <c r="A10991" s="35" t="e" cm="1">
        <f t="array" ref="A10991">---------------GMSL------------------FTS-------------------K</f>
        <v>#NAME?</v>
      </c>
    </row>
    <row r="10992" spans="1:1">
      <c r="A10992" s="35" t="s">
        <v>56346</v>
      </c>
    </row>
    <row r="10993" spans="1:1">
      <c r="A10993" s="35" t="s">
        <v>56347</v>
      </c>
    </row>
    <row r="10994" spans="1:1">
      <c r="A10994" s="35" t="s">
        <v>41057</v>
      </c>
    </row>
    <row r="10995" spans="1:1">
      <c r="A10995" s="35" t="s">
        <v>41057</v>
      </c>
    </row>
    <row r="10996" spans="1:1">
      <c r="A10996" s="35" t="s">
        <v>41057</v>
      </c>
    </row>
    <row r="10997" spans="1:1">
      <c r="A10997" s="35" t="s">
        <v>41057</v>
      </c>
    </row>
    <row r="10998" spans="1:1">
      <c r="A10998" s="35" t="s">
        <v>41057</v>
      </c>
    </row>
    <row r="10999" spans="1:1">
      <c r="A10999" s="35" t="s">
        <v>41057</v>
      </c>
    </row>
    <row r="11000" spans="1:1">
      <c r="A11000" s="35" t="s">
        <v>41057</v>
      </c>
    </row>
    <row r="11001" spans="1:1">
      <c r="A11001" s="35" t="s">
        <v>56348</v>
      </c>
    </row>
    <row r="11002" spans="1:1">
      <c r="A11002" s="35" t="s">
        <v>41057</v>
      </c>
    </row>
    <row r="11003" spans="1:1">
      <c r="A11003" s="35" t="s">
        <v>41057</v>
      </c>
    </row>
    <row r="11004" spans="1:1">
      <c r="A11004" s="35" t="s">
        <v>56349</v>
      </c>
    </row>
    <row r="11005" spans="1:1">
      <c r="A11005" s="35" t="s">
        <v>41057</v>
      </c>
    </row>
    <row r="11006" spans="1:1">
      <c r="A11006" s="35" t="s">
        <v>56350</v>
      </c>
    </row>
    <row r="11007" spans="1:1">
      <c r="A11007" s="35" t="s">
        <v>41057</v>
      </c>
    </row>
    <row r="11008" spans="1:1">
      <c r="A11008" s="35" t="s">
        <v>56351</v>
      </c>
    </row>
    <row r="11009" spans="1:1">
      <c r="A11009" s="35" t="s">
        <v>56352</v>
      </c>
    </row>
    <row r="11010" spans="1:1">
      <c r="A11010" s="35" t="s">
        <v>41057</v>
      </c>
    </row>
    <row r="11011" spans="1:1">
      <c r="A11011" s="35" t="s">
        <v>41057</v>
      </c>
    </row>
    <row r="11012" spans="1:1">
      <c r="A11012" s="35" t="s">
        <v>41057</v>
      </c>
    </row>
    <row r="11013" spans="1:1">
      <c r="A11013" s="35" t="s">
        <v>41057</v>
      </c>
    </row>
    <row r="11014" spans="1:1">
      <c r="A11014" s="35" t="s">
        <v>41057</v>
      </c>
    </row>
    <row r="11015" spans="1:1">
      <c r="A11015" s="35" t="s">
        <v>41057</v>
      </c>
    </row>
    <row r="11016" spans="1:1">
      <c r="A11016" s="35" t="s">
        <v>41057</v>
      </c>
    </row>
    <row r="11017" spans="1:1">
      <c r="A11017" s="35" t="s">
        <v>41057</v>
      </c>
    </row>
    <row r="11018" spans="1:1">
      <c r="A11018" s="35" t="s">
        <v>41057</v>
      </c>
    </row>
    <row r="11019" spans="1:1">
      <c r="A11019" s="35" t="s">
        <v>41057</v>
      </c>
    </row>
    <row r="11020" spans="1:1">
      <c r="A11020" s="35" t="s">
        <v>41057</v>
      </c>
    </row>
    <row r="11021" spans="1:1">
      <c r="A11021" s="35" t="s">
        <v>41057</v>
      </c>
    </row>
    <row r="11022" spans="1:1">
      <c r="A11022" s="35" t="s">
        <v>41057</v>
      </c>
    </row>
    <row r="11023" spans="1:1">
      <c r="A11023" s="35" t="s">
        <v>41057</v>
      </c>
    </row>
    <row r="11024" spans="1:1">
      <c r="A11024" s="35" t="s">
        <v>41057</v>
      </c>
    </row>
    <row r="11025" spans="1:1">
      <c r="A11025" s="35" t="s">
        <v>41057</v>
      </c>
    </row>
    <row r="11026" spans="1:1">
      <c r="A11026" s="35" t="s">
        <v>41057</v>
      </c>
    </row>
    <row r="11027" spans="1:1">
      <c r="A11027" s="35" t="s">
        <v>41057</v>
      </c>
    </row>
    <row r="11028" spans="1:1">
      <c r="A11028" s="35" t="s">
        <v>41057</v>
      </c>
    </row>
    <row r="11029" spans="1:1">
      <c r="A11029" s="35" t="s">
        <v>41057</v>
      </c>
    </row>
    <row r="11030" spans="1:1">
      <c r="A11030" s="35" t="s">
        <v>41057</v>
      </c>
    </row>
    <row r="11031" spans="1:1">
      <c r="A11031" s="35" t="s">
        <v>41057</v>
      </c>
    </row>
    <row r="11032" spans="1:1">
      <c r="A11032" s="35" t="s">
        <v>41057</v>
      </c>
    </row>
    <row r="11033" spans="1:1">
      <c r="A11033" s="35" t="s">
        <v>41057</v>
      </c>
    </row>
    <row r="11034" spans="1:1">
      <c r="A11034" s="35" t="s">
        <v>56353</v>
      </c>
    </row>
    <row r="11035" spans="1:1">
      <c r="A11035" s="35" t="s">
        <v>41057</v>
      </c>
    </row>
    <row r="11036" spans="1:1">
      <c r="A11036" s="35" t="s">
        <v>41057</v>
      </c>
    </row>
    <row r="11037" spans="1:1">
      <c r="A11037" s="35" t="s">
        <v>41057</v>
      </c>
    </row>
    <row r="11038" spans="1:1">
      <c r="A11038" s="35" t="s">
        <v>41057</v>
      </c>
    </row>
    <row r="11039" spans="1:1">
      <c r="A11039" s="35" t="s">
        <v>41057</v>
      </c>
    </row>
    <row r="11040" spans="1:1">
      <c r="A11040" s="35" t="s">
        <v>41057</v>
      </c>
    </row>
    <row r="11041" spans="1:1">
      <c r="A11041" s="35" t="s">
        <v>41057</v>
      </c>
    </row>
    <row r="11042" spans="1:1">
      <c r="A11042" s="35" t="s">
        <v>41057</v>
      </c>
    </row>
    <row r="11043" spans="1:1">
      <c r="A11043" s="35" t="s">
        <v>41057</v>
      </c>
    </row>
    <row r="11044" spans="1:1">
      <c r="A11044" s="35" t="s">
        <v>41057</v>
      </c>
    </row>
    <row r="11045" spans="1:1">
      <c r="A11045" s="35" t="e" cm="1">
        <f t="array" ref="A11045">---------------------------------------------------TNLIEGFQD</f>
        <v>#NAME?</v>
      </c>
    </row>
    <row r="11046" spans="1:1">
      <c r="A11046" s="35" t="s">
        <v>56354</v>
      </c>
    </row>
    <row r="11047" spans="1:1">
      <c r="A11047" s="35" t="s">
        <v>56355</v>
      </c>
    </row>
    <row r="11048" spans="1:1">
      <c r="A11048" s="35" t="s">
        <v>56356</v>
      </c>
    </row>
    <row r="11049" spans="1:1">
      <c r="A11049" s="35" t="e" cm="1">
        <f t="array" ref="A11049">--------------------------------------------TYTKSQ--------EI</f>
        <v>#NAME?</v>
      </c>
    </row>
    <row r="11050" spans="1:1">
      <c r="A11050" s="35" t="s">
        <v>56357</v>
      </c>
    </row>
    <row r="11051" spans="1:1">
      <c r="A11051" s="35" t="s">
        <v>56358</v>
      </c>
    </row>
    <row r="11052" spans="1:1">
      <c r="A11052" s="35" t="s">
        <v>41057</v>
      </c>
    </row>
    <row r="11053" spans="1:1">
      <c r="A11053" s="35" t="s">
        <v>56359</v>
      </c>
    </row>
    <row r="11054" spans="1:1">
      <c r="A11054" s="35" t="s">
        <v>56360</v>
      </c>
    </row>
    <row r="11055" spans="1:1">
      <c r="A11055" s="35" t="s">
        <v>56361</v>
      </c>
    </row>
    <row r="11056" spans="1:1">
      <c r="A11056" s="35" t="s">
        <v>41057</v>
      </c>
    </row>
    <row r="11057" spans="1:1">
      <c r="A11057" s="35" t="s">
        <v>41057</v>
      </c>
    </row>
    <row r="11058" spans="1:1">
      <c r="A11058" s="35" t="s">
        <v>41057</v>
      </c>
    </row>
    <row r="11059" spans="1:1">
      <c r="A11059" s="35" t="s">
        <v>56362</v>
      </c>
    </row>
    <row r="11060" spans="1:1">
      <c r="A11060" s="35" t="s">
        <v>41057</v>
      </c>
    </row>
    <row r="11061" spans="1:1">
      <c r="A11061" s="35" t="s">
        <v>41057</v>
      </c>
    </row>
    <row r="11062" spans="1:1">
      <c r="A11062" s="35" t="s">
        <v>41057</v>
      </c>
    </row>
    <row r="11063" spans="1:1">
      <c r="A11063" s="35" t="s">
        <v>56363</v>
      </c>
    </row>
    <row r="11064" spans="1:1">
      <c r="A11064" s="35" t="s">
        <v>56364</v>
      </c>
    </row>
    <row r="11065" spans="1:1">
      <c r="A11065" s="35" t="s">
        <v>56365</v>
      </c>
    </row>
    <row r="11066" spans="1:1">
      <c r="A11066" s="35" t="s">
        <v>41057</v>
      </c>
    </row>
    <row r="11067" spans="1:1">
      <c r="A11067" s="35" t="s">
        <v>56366</v>
      </c>
    </row>
    <row r="11068" spans="1:1">
      <c r="A11068" s="35" t="s">
        <v>56367</v>
      </c>
    </row>
    <row r="11069" spans="1:1">
      <c r="A11069" s="35" t="s">
        <v>55109</v>
      </c>
    </row>
    <row r="11070" spans="1:1">
      <c r="A11070" s="35" t="s">
        <v>41057</v>
      </c>
    </row>
    <row r="11071" spans="1:1">
      <c r="A11071" s="35" t="s">
        <v>56368</v>
      </c>
    </row>
    <row r="11072" spans="1:1">
      <c r="A11072" s="35" t="s">
        <v>41057</v>
      </c>
    </row>
    <row r="11073" spans="1:1">
      <c r="A11073" s="35" t="s">
        <v>56369</v>
      </c>
    </row>
    <row r="11074" spans="1:1">
      <c r="A11074" s="35" t="s">
        <v>41057</v>
      </c>
    </row>
    <row r="11075" spans="1:1">
      <c r="A11075" s="35" t="s">
        <v>56370</v>
      </c>
    </row>
    <row r="11076" spans="1:1">
      <c r="A11076" s="35" t="s">
        <v>41057</v>
      </c>
    </row>
    <row r="11077" spans="1:1">
      <c r="A11077" s="35" t="s">
        <v>41057</v>
      </c>
    </row>
    <row r="11078" spans="1:1">
      <c r="A11078" s="35" t="s">
        <v>41057</v>
      </c>
    </row>
    <row r="11079" spans="1:1">
      <c r="A11079" s="35" t="s">
        <v>41057</v>
      </c>
    </row>
    <row r="11080" spans="1:1">
      <c r="A11080" s="35" t="e" cm="1">
        <f t="array" ref="A11080">---------------------------------------------------------DTA</f>
        <v>#NAME?</v>
      </c>
    </row>
    <row r="11081" spans="1:1">
      <c r="A11081" s="35" t="s">
        <v>56371</v>
      </c>
    </row>
    <row r="11082" spans="1:1">
      <c r="A11082" s="35" t="s">
        <v>56372</v>
      </c>
    </row>
    <row r="11083" spans="1:1">
      <c r="A11083" s="35" t="e" cm="1">
        <f t="array" ref="A11083">----SPT----Y-----------FHSVQN-Y---------YKS-------E---YGVSGF</f>
        <v>#NAME?</v>
      </c>
    </row>
    <row r="11084" spans="1:1">
      <c r="A11084" s="35" t="s">
        <v>56373</v>
      </c>
    </row>
    <row r="11085" spans="1:1">
      <c r="A11085" s="35" t="s">
        <v>56374</v>
      </c>
    </row>
    <row r="11086" spans="1:1">
      <c r="A11086" s="35" t="s">
        <v>56375</v>
      </c>
    </row>
    <row r="11087" spans="1:1">
      <c r="A11087" s="35" t="s">
        <v>41057</v>
      </c>
    </row>
    <row r="11088" spans="1:1">
      <c r="A11088" s="35" t="s">
        <v>56376</v>
      </c>
    </row>
    <row r="11089" spans="1:1">
      <c r="A11089" s="35" t="s">
        <v>56377</v>
      </c>
    </row>
    <row r="11090" spans="1:1">
      <c r="A11090" s="35" t="s">
        <v>56378</v>
      </c>
    </row>
    <row r="11091" spans="1:1">
      <c r="A11091" s="35" t="s">
        <v>41057</v>
      </c>
    </row>
    <row r="11092" spans="1:1">
      <c r="A11092" s="35" t="s">
        <v>53545</v>
      </c>
    </row>
    <row r="11093" spans="1:1">
      <c r="A11093" s="35" t="s">
        <v>52586</v>
      </c>
    </row>
    <row r="11094" spans="1:1">
      <c r="A11094" s="35" t="s">
        <v>41057</v>
      </c>
    </row>
    <row r="11095" spans="1:1">
      <c r="A11095" s="35" t="s">
        <v>41057</v>
      </c>
    </row>
    <row r="11096" spans="1:1">
      <c r="A11096" s="35" t="s">
        <v>41057</v>
      </c>
    </row>
    <row r="11097" spans="1:1">
      <c r="A11097" s="35" t="s">
        <v>41057</v>
      </c>
    </row>
    <row r="11098" spans="1:1">
      <c r="A11098" s="35" t="s">
        <v>41057</v>
      </c>
    </row>
    <row r="11099" spans="1:1">
      <c r="A11099" s="35" t="s">
        <v>53706</v>
      </c>
    </row>
    <row r="11100" spans="1:1">
      <c r="A11100" s="35" t="s">
        <v>41057</v>
      </c>
    </row>
    <row r="11101" spans="1:1">
      <c r="A11101" s="35" t="s">
        <v>41057</v>
      </c>
    </row>
    <row r="11102" spans="1:1">
      <c r="A11102" s="35" t="s">
        <v>41057</v>
      </c>
    </row>
    <row r="11103" spans="1:1">
      <c r="A11103" s="35" t="s">
        <v>53492</v>
      </c>
    </row>
    <row r="11104" spans="1:1">
      <c r="A11104" s="35" t="s">
        <v>54912</v>
      </c>
    </row>
    <row r="11105" spans="1:1">
      <c r="A11105" s="35" t="s">
        <v>56379</v>
      </c>
    </row>
    <row r="11106" spans="1:1">
      <c r="A11106" s="35" t="s">
        <v>56380</v>
      </c>
    </row>
    <row r="11107" spans="1:1">
      <c r="A11107" s="35" t="s">
        <v>41057</v>
      </c>
    </row>
    <row r="11108" spans="1:1">
      <c r="A11108" s="35" t="s">
        <v>41057</v>
      </c>
    </row>
    <row r="11109" spans="1:1">
      <c r="A11109" s="35" t="e" cm="1">
        <f t="array" ref="A11109">---------------GHSF------------------FRM-------------------K</f>
        <v>#NAME?</v>
      </c>
    </row>
    <row r="11110" spans="1:1">
      <c r="A11110" s="35" t="s">
        <v>56381</v>
      </c>
    </row>
    <row r="11111" spans="1:1">
      <c r="A11111" s="35" t="s">
        <v>56382</v>
      </c>
    </row>
    <row r="11112" spans="1:1">
      <c r="A11112" s="35" t="s">
        <v>41057</v>
      </c>
    </row>
    <row r="11113" spans="1:1">
      <c r="A11113" s="35" t="s">
        <v>41057</v>
      </c>
    </row>
    <row r="11114" spans="1:1">
      <c r="A11114" s="35" t="s">
        <v>41057</v>
      </c>
    </row>
    <row r="11115" spans="1:1">
      <c r="A11115" s="35" t="s">
        <v>41057</v>
      </c>
    </row>
    <row r="11116" spans="1:1">
      <c r="A11116" s="35" t="s">
        <v>41057</v>
      </c>
    </row>
    <row r="11117" spans="1:1">
      <c r="A11117" s="35" t="s">
        <v>41057</v>
      </c>
    </row>
    <row r="11118" spans="1:1">
      <c r="A11118" s="35" t="s">
        <v>41057</v>
      </c>
    </row>
    <row r="11119" spans="1:1">
      <c r="A11119" s="35" t="s">
        <v>56348</v>
      </c>
    </row>
    <row r="11120" spans="1:1">
      <c r="A11120" s="35" t="s">
        <v>41057</v>
      </c>
    </row>
    <row r="11121" spans="1:1">
      <c r="A11121" s="35" t="s">
        <v>41057</v>
      </c>
    </row>
    <row r="11122" spans="1:1">
      <c r="A11122" s="35" t="s">
        <v>56383</v>
      </c>
    </row>
    <row r="11123" spans="1:1">
      <c r="A11123" s="35" t="s">
        <v>41057</v>
      </c>
    </row>
    <row r="11124" spans="1:1">
      <c r="A11124" s="35" t="s">
        <v>56384</v>
      </c>
    </row>
    <row r="11125" spans="1:1">
      <c r="A11125" s="35" t="s">
        <v>41057</v>
      </c>
    </row>
    <row r="11126" spans="1:1">
      <c r="A11126" s="35" t="s">
        <v>56385</v>
      </c>
    </row>
    <row r="11127" spans="1:1">
      <c r="A11127" s="35" t="s">
        <v>56352</v>
      </c>
    </row>
    <row r="11128" spans="1:1">
      <c r="A11128" s="35" t="s">
        <v>41057</v>
      </c>
    </row>
    <row r="11129" spans="1:1">
      <c r="A11129" s="35" t="s">
        <v>41057</v>
      </c>
    </row>
    <row r="11130" spans="1:1">
      <c r="A11130" s="35" t="s">
        <v>41057</v>
      </c>
    </row>
    <row r="11131" spans="1:1">
      <c r="A11131" s="35" t="s">
        <v>41057</v>
      </c>
    </row>
    <row r="11132" spans="1:1">
      <c r="A11132" s="35" t="s">
        <v>41057</v>
      </c>
    </row>
    <row r="11133" spans="1:1">
      <c r="A11133" s="35" t="s">
        <v>41057</v>
      </c>
    </row>
    <row r="11134" spans="1:1">
      <c r="A11134" s="35" t="s">
        <v>41057</v>
      </c>
    </row>
    <row r="11135" spans="1:1">
      <c r="A11135" s="35" t="s">
        <v>41057</v>
      </c>
    </row>
    <row r="11136" spans="1:1">
      <c r="A11136" s="35" t="s">
        <v>41057</v>
      </c>
    </row>
    <row r="11137" spans="1:1">
      <c r="A11137" s="35" t="s">
        <v>41057</v>
      </c>
    </row>
    <row r="11138" spans="1:1">
      <c r="A11138" s="35" t="s">
        <v>41057</v>
      </c>
    </row>
    <row r="11139" spans="1:1">
      <c r="A11139" s="35" t="s">
        <v>41057</v>
      </c>
    </row>
    <row r="11140" spans="1:1">
      <c r="A11140" s="35" t="s">
        <v>41057</v>
      </c>
    </row>
    <row r="11141" spans="1:1">
      <c r="A11141" s="35" t="s">
        <v>41057</v>
      </c>
    </row>
    <row r="11142" spans="1:1">
      <c r="A11142" s="35" t="s">
        <v>41057</v>
      </c>
    </row>
    <row r="11143" spans="1:1">
      <c r="A11143" s="35" t="s">
        <v>41057</v>
      </c>
    </row>
    <row r="11144" spans="1:1">
      <c r="A11144" s="35" t="s">
        <v>41057</v>
      </c>
    </row>
    <row r="11145" spans="1:1">
      <c r="A11145" s="35" t="s">
        <v>41057</v>
      </c>
    </row>
    <row r="11146" spans="1:1">
      <c r="A11146" s="35" t="s">
        <v>41057</v>
      </c>
    </row>
    <row r="11147" spans="1:1">
      <c r="A11147" s="35" t="s">
        <v>41057</v>
      </c>
    </row>
    <row r="11148" spans="1:1">
      <c r="A11148" s="35" t="s">
        <v>41057</v>
      </c>
    </row>
    <row r="11149" spans="1:1">
      <c r="A11149" s="35" t="s">
        <v>41057</v>
      </c>
    </row>
    <row r="11150" spans="1:1">
      <c r="A11150" s="35" t="s">
        <v>41057</v>
      </c>
    </row>
    <row r="11151" spans="1:1">
      <c r="A11151" s="35" t="s">
        <v>41057</v>
      </c>
    </row>
    <row r="11152" spans="1:1">
      <c r="A11152" s="35" t="s">
        <v>56386</v>
      </c>
    </row>
    <row r="11153" spans="1:1">
      <c r="A11153" s="35" t="s">
        <v>41057</v>
      </c>
    </row>
    <row r="11154" spans="1:1">
      <c r="A11154" s="35" t="s">
        <v>41057</v>
      </c>
    </row>
    <row r="11155" spans="1:1">
      <c r="A11155" s="35" t="s">
        <v>41057</v>
      </c>
    </row>
    <row r="11156" spans="1:1">
      <c r="A11156" s="35" t="s">
        <v>41057</v>
      </c>
    </row>
    <row r="11157" spans="1:1">
      <c r="A11157" s="35" t="s">
        <v>41057</v>
      </c>
    </row>
    <row r="11158" spans="1:1">
      <c r="A11158" s="35" t="s">
        <v>41057</v>
      </c>
    </row>
    <row r="11159" spans="1:1">
      <c r="A11159" s="35" t="s">
        <v>41057</v>
      </c>
    </row>
    <row r="11160" spans="1:1">
      <c r="A11160" s="35" t="s">
        <v>41057</v>
      </c>
    </row>
    <row r="11161" spans="1:1">
      <c r="A11161" s="35" t="s">
        <v>41057</v>
      </c>
    </row>
    <row r="11162" spans="1:1">
      <c r="A11162" s="35" t="s">
        <v>41057</v>
      </c>
    </row>
    <row r="11163" spans="1:1">
      <c r="A11163" s="35" t="e" cm="1">
        <f t="array" ref="A11163">-------------------------------------------------VSSNLL---YN</f>
        <v>#NAME?</v>
      </c>
    </row>
    <row r="11164" spans="1:1">
      <c r="A11164" s="35" t="s">
        <v>56387</v>
      </c>
    </row>
    <row r="11165" spans="1:1">
      <c r="A11165" s="35" t="s">
        <v>56388</v>
      </c>
    </row>
    <row r="11166" spans="1:1">
      <c r="A11166" s="35" t="s">
        <v>56389</v>
      </c>
    </row>
    <row r="11167" spans="1:1">
      <c r="A11167" s="35" t="e" cm="1">
        <f t="array" ref="A11167">--------------------------------------------TWTKQD--------EL</f>
        <v>#NAME?</v>
      </c>
    </row>
    <row r="11168" spans="1:1">
      <c r="A11168" s="35" t="s">
        <v>56390</v>
      </c>
    </row>
    <row r="11169" spans="1:1">
      <c r="A11169" s="35" t="s">
        <v>56391</v>
      </c>
    </row>
    <row r="11170" spans="1:1">
      <c r="A11170" s="35" t="s">
        <v>41057</v>
      </c>
    </row>
    <row r="11171" spans="1:1">
      <c r="A11171" s="35" t="s">
        <v>56392</v>
      </c>
    </row>
    <row r="11172" spans="1:1">
      <c r="A11172" s="35" t="s">
        <v>56393</v>
      </c>
    </row>
    <row r="11173" spans="1:1">
      <c r="A11173" s="35" t="s">
        <v>55531</v>
      </c>
    </row>
    <row r="11174" spans="1:1">
      <c r="A11174" s="35" t="s">
        <v>41057</v>
      </c>
    </row>
    <row r="11175" spans="1:1">
      <c r="A11175" s="35" t="s">
        <v>41057</v>
      </c>
    </row>
    <row r="11176" spans="1:1">
      <c r="A11176" s="35" t="s">
        <v>41057</v>
      </c>
    </row>
    <row r="11177" spans="1:1">
      <c r="A11177" s="35" t="s">
        <v>56394</v>
      </c>
    </row>
    <row r="11178" spans="1:1">
      <c r="A11178" s="35" t="s">
        <v>41057</v>
      </c>
    </row>
    <row r="11179" spans="1:1">
      <c r="A11179" s="35" t="s">
        <v>41057</v>
      </c>
    </row>
    <row r="11180" spans="1:1">
      <c r="A11180" s="35" t="s">
        <v>56395</v>
      </c>
    </row>
    <row r="11181" spans="1:1">
      <c r="A11181" s="35" t="s">
        <v>56396</v>
      </c>
    </row>
    <row r="11182" spans="1:1">
      <c r="A11182" s="35" t="s">
        <v>56397</v>
      </c>
    </row>
    <row r="11183" spans="1:1">
      <c r="A11183" s="35" t="s">
        <v>56398</v>
      </c>
    </row>
    <row r="11184" spans="1:1">
      <c r="A11184" s="35" t="s">
        <v>41057</v>
      </c>
    </row>
    <row r="11185" spans="1:1">
      <c r="A11185" s="35" t="s">
        <v>56399</v>
      </c>
    </row>
    <row r="11186" spans="1:1">
      <c r="A11186" s="35" t="s">
        <v>56400</v>
      </c>
    </row>
    <row r="11187" spans="1:1">
      <c r="A11187" s="35" t="s">
        <v>56401</v>
      </c>
    </row>
    <row r="11188" spans="1:1">
      <c r="A11188" s="35" t="s">
        <v>41057</v>
      </c>
    </row>
    <row r="11189" spans="1:1">
      <c r="A11189" s="35" t="s">
        <v>56402</v>
      </c>
    </row>
    <row r="11190" spans="1:1">
      <c r="A11190" s="35" t="s">
        <v>41057</v>
      </c>
    </row>
    <row r="11191" spans="1:1">
      <c r="A11191" s="35" t="s">
        <v>56403</v>
      </c>
    </row>
    <row r="11192" spans="1:1">
      <c r="A11192" s="35" t="s">
        <v>41057</v>
      </c>
    </row>
    <row r="11193" spans="1:1">
      <c r="A11193" s="35" t="s">
        <v>56370</v>
      </c>
    </row>
    <row r="11194" spans="1:1">
      <c r="A11194" s="35" t="s">
        <v>41057</v>
      </c>
    </row>
    <row r="11195" spans="1:1">
      <c r="A11195" s="35" t="s">
        <v>41057</v>
      </c>
    </row>
    <row r="11196" spans="1:1">
      <c r="A11196" s="35" t="s">
        <v>41057</v>
      </c>
    </row>
    <row r="11197" spans="1:1">
      <c r="A11197" s="35" t="s">
        <v>41057</v>
      </c>
    </row>
    <row r="11198" spans="1:1">
      <c r="A11198" s="35" t="e" cm="1">
        <f t="array" ref="A11198">---------------------------------------------------------KNG</f>
        <v>#NAME?</v>
      </c>
    </row>
    <row r="11199" spans="1:1">
      <c r="A11199" s="35" t="s">
        <v>56404</v>
      </c>
    </row>
    <row r="11200" spans="1:1">
      <c r="A11200" s="35" t="s">
        <v>56405</v>
      </c>
    </row>
    <row r="11201" spans="1:1">
      <c r="A11201" s="35" t="e" cm="1">
        <f t="array" ref="A11201">----SPT----Y-----------FHTIQN-Y---------YKS-------K---YGKIDF</f>
        <v>#NAME?</v>
      </c>
    </row>
    <row r="11202" spans="1:1">
      <c r="A11202" s="35" t="s">
        <v>56406</v>
      </c>
    </row>
    <row r="11203" spans="1:1">
      <c r="A11203" s="35" t="s">
        <v>56407</v>
      </c>
    </row>
    <row r="11204" spans="1:1">
      <c r="A11204" s="35" t="s">
        <v>56408</v>
      </c>
    </row>
    <row r="11205" spans="1:1">
      <c r="A11205" s="35" t="s">
        <v>41057</v>
      </c>
    </row>
    <row r="11206" spans="1:1">
      <c r="A11206" s="35" t="s">
        <v>56409</v>
      </c>
    </row>
    <row r="11207" spans="1:1">
      <c r="A11207" s="35" t="s">
        <v>56210</v>
      </c>
    </row>
    <row r="11208" spans="1:1">
      <c r="A11208" s="35" t="s">
        <v>56378</v>
      </c>
    </row>
    <row r="11209" spans="1:1">
      <c r="A11209" s="35" t="s">
        <v>41057</v>
      </c>
    </row>
    <row r="11210" spans="1:1">
      <c r="A11210" s="35" t="s">
        <v>53545</v>
      </c>
    </row>
    <row r="11211" spans="1:1">
      <c r="A11211" s="35" t="s">
        <v>52692</v>
      </c>
    </row>
    <row r="11212" spans="1:1">
      <c r="A11212" s="35" t="s">
        <v>41057</v>
      </c>
    </row>
    <row r="11213" spans="1:1">
      <c r="A11213" s="35" t="s">
        <v>41057</v>
      </c>
    </row>
    <row r="11214" spans="1:1">
      <c r="A11214" s="35" t="s">
        <v>41057</v>
      </c>
    </row>
    <row r="11215" spans="1:1">
      <c r="A11215" s="35" t="s">
        <v>41057</v>
      </c>
    </row>
    <row r="11216" spans="1:1">
      <c r="A11216" s="35" t="s">
        <v>55197</v>
      </c>
    </row>
    <row r="11217" spans="1:1">
      <c r="A11217" s="35" t="s">
        <v>56410</v>
      </c>
    </row>
    <row r="11218" spans="1:1">
      <c r="A11218" s="35" t="s">
        <v>41057</v>
      </c>
    </row>
    <row r="11219" spans="1:1">
      <c r="A11219" s="35" t="s">
        <v>41057</v>
      </c>
    </row>
    <row r="11220" spans="1:1">
      <c r="A11220" s="35" t="s">
        <v>41057</v>
      </c>
    </row>
    <row r="11221" spans="1:1">
      <c r="A11221" s="35" t="s">
        <v>56411</v>
      </c>
    </row>
    <row r="11222" spans="1:1">
      <c r="A11222" s="35" t="s">
        <v>56412</v>
      </c>
    </row>
    <row r="11223" spans="1:1">
      <c r="A11223" s="35" t="s">
        <v>56413</v>
      </c>
    </row>
    <row r="11224" spans="1:1">
      <c r="A11224" s="35" t="s">
        <v>56414</v>
      </c>
    </row>
    <row r="11225" spans="1:1">
      <c r="A11225" s="35" t="s">
        <v>41057</v>
      </c>
    </row>
    <row r="11226" spans="1:1">
      <c r="A11226" s="35" t="s">
        <v>41057</v>
      </c>
    </row>
    <row r="11227" spans="1:1">
      <c r="A11227" s="35" t="e" cm="1">
        <f t="array" ref="A11227">--------------------------------------SS-------------------A</f>
        <v>#NAME?</v>
      </c>
    </row>
    <row r="11228" spans="1:1">
      <c r="A11228" s="35" t="s">
        <v>56415</v>
      </c>
    </row>
    <row r="11229" spans="1:1">
      <c r="A11229" s="35" t="s">
        <v>56416</v>
      </c>
    </row>
    <row r="11230" spans="1:1">
      <c r="A11230" s="35" t="s">
        <v>41057</v>
      </c>
    </row>
    <row r="11231" spans="1:1">
      <c r="A11231" s="35" t="s">
        <v>56417</v>
      </c>
    </row>
    <row r="11232" spans="1:1">
      <c r="A11232" s="35" t="s">
        <v>41057</v>
      </c>
    </row>
    <row r="11233" spans="1:1">
      <c r="A11233" s="35" t="s">
        <v>41057</v>
      </c>
    </row>
    <row r="11234" spans="1:1">
      <c r="A11234" s="35" t="s">
        <v>56418</v>
      </c>
    </row>
    <row r="11235" spans="1:1">
      <c r="A11235" s="35" t="s">
        <v>41057</v>
      </c>
    </row>
    <row r="11236" spans="1:1">
      <c r="A11236" s="35" t="s">
        <v>41057</v>
      </c>
    </row>
    <row r="11237" spans="1:1">
      <c r="A11237" s="35" t="s">
        <v>56419</v>
      </c>
    </row>
    <row r="11238" spans="1:1">
      <c r="A11238" s="35" t="s">
        <v>41057</v>
      </c>
    </row>
    <row r="11239" spans="1:1">
      <c r="A11239" s="35" t="s">
        <v>41057</v>
      </c>
    </row>
    <row r="11240" spans="1:1">
      <c r="A11240" s="35" t="s">
        <v>56420</v>
      </c>
    </row>
    <row r="11241" spans="1:1">
      <c r="A11241" s="35" t="s">
        <v>41057</v>
      </c>
    </row>
    <row r="11242" spans="1:1">
      <c r="A11242" s="35" t="s">
        <v>56421</v>
      </c>
    </row>
    <row r="11243" spans="1:1">
      <c r="A11243" s="35" t="s">
        <v>56422</v>
      </c>
    </row>
    <row r="11244" spans="1:1">
      <c r="A11244" s="35" t="s">
        <v>56423</v>
      </c>
    </row>
    <row r="11245" spans="1:1">
      <c r="A11245" s="35" t="s">
        <v>56424</v>
      </c>
    </row>
    <row r="11246" spans="1:1">
      <c r="A11246" s="35" t="s">
        <v>41057</v>
      </c>
    </row>
    <row r="11247" spans="1:1">
      <c r="A11247" s="35" t="s">
        <v>41057</v>
      </c>
    </row>
    <row r="11248" spans="1:1">
      <c r="A11248" s="35" t="s">
        <v>54545</v>
      </c>
    </row>
    <row r="11249" spans="1:1">
      <c r="A11249" s="35" t="s">
        <v>41057</v>
      </c>
    </row>
    <row r="11250" spans="1:1">
      <c r="A11250" s="35" t="s">
        <v>41057</v>
      </c>
    </row>
    <row r="11251" spans="1:1">
      <c r="A11251" s="35" t="s">
        <v>41057</v>
      </c>
    </row>
    <row r="11252" spans="1:1">
      <c r="A11252" s="35" t="s">
        <v>41057</v>
      </c>
    </row>
    <row r="11253" spans="1:1">
      <c r="A11253" s="35" t="s">
        <v>41057</v>
      </c>
    </row>
    <row r="11254" spans="1:1">
      <c r="A11254" s="35" t="s">
        <v>56425</v>
      </c>
    </row>
    <row r="11255" spans="1:1">
      <c r="A11255" s="35" t="s">
        <v>41057</v>
      </c>
    </row>
    <row r="11256" spans="1:1">
      <c r="A11256" s="35" t="s">
        <v>41057</v>
      </c>
    </row>
    <row r="11257" spans="1:1">
      <c r="A11257" s="35" t="s">
        <v>41057</v>
      </c>
    </row>
    <row r="11258" spans="1:1">
      <c r="A11258" s="35" t="s">
        <v>41057</v>
      </c>
    </row>
    <row r="11259" spans="1:1">
      <c r="A11259" s="35" t="s">
        <v>41057</v>
      </c>
    </row>
    <row r="11260" spans="1:1">
      <c r="A11260" s="35" t="s">
        <v>41057</v>
      </c>
    </row>
    <row r="11261" spans="1:1">
      <c r="A11261" s="35" t="s">
        <v>41057</v>
      </c>
    </row>
    <row r="11262" spans="1:1">
      <c r="A11262" s="35" t="s">
        <v>41057</v>
      </c>
    </row>
    <row r="11263" spans="1:1">
      <c r="A11263" s="35" t="s">
        <v>41057</v>
      </c>
    </row>
    <row r="11264" spans="1:1">
      <c r="A11264" s="35" t="s">
        <v>41057</v>
      </c>
    </row>
    <row r="11265" spans="1:1">
      <c r="A11265" s="35" t="s">
        <v>41057</v>
      </c>
    </row>
    <row r="11266" spans="1:1">
      <c r="A11266" s="35" t="s">
        <v>41057</v>
      </c>
    </row>
    <row r="11267" spans="1:1">
      <c r="A11267" s="35" t="s">
        <v>41057</v>
      </c>
    </row>
    <row r="11268" spans="1:1">
      <c r="A11268" s="35" t="s">
        <v>41057</v>
      </c>
    </row>
    <row r="11269" spans="1:1">
      <c r="A11269" s="35" t="s">
        <v>41057</v>
      </c>
    </row>
    <row r="11270" spans="1:1">
      <c r="A11270" s="35" t="s">
        <v>56426</v>
      </c>
    </row>
    <row r="11271" spans="1:1">
      <c r="A11271" s="35" t="s">
        <v>41057</v>
      </c>
    </row>
    <row r="11272" spans="1:1">
      <c r="A11272" s="35" t="s">
        <v>41057</v>
      </c>
    </row>
    <row r="11273" spans="1:1">
      <c r="A11273" s="35" t="s">
        <v>56427</v>
      </c>
    </row>
    <row r="11274" spans="1:1">
      <c r="A11274" s="35" t="s">
        <v>41057</v>
      </c>
    </row>
    <row r="11275" spans="1:1">
      <c r="A11275" s="35" t="s">
        <v>41057</v>
      </c>
    </row>
    <row r="11276" spans="1:1">
      <c r="A11276" s="35" t="s">
        <v>41057</v>
      </c>
    </row>
    <row r="11277" spans="1:1">
      <c r="A11277" s="35" t="s">
        <v>41057</v>
      </c>
    </row>
    <row r="11278" spans="1:1">
      <c r="A11278" s="35" t="s">
        <v>41057</v>
      </c>
    </row>
    <row r="11279" spans="1:1">
      <c r="A11279" s="35" t="s">
        <v>41057</v>
      </c>
    </row>
    <row r="11280" spans="1:1">
      <c r="A11280" s="35" t="s">
        <v>41057</v>
      </c>
    </row>
    <row r="11281" spans="1:1">
      <c r="A11281" s="35" t="e" cm="1">
        <f t="array" ref="A11281">---------------------------------------------KGTIRWTKNL---FH</f>
        <v>#NAME?</v>
      </c>
    </row>
    <row r="11282" spans="1:1">
      <c r="A11282" s="35" t="s">
        <v>56428</v>
      </c>
    </row>
    <row r="11283" spans="1:1">
      <c r="A11283" s="35" t="e" cm="1">
        <f t="array" ref="A11283">---------------SCILDFISEFSV---------DESK------------------YS</f>
        <v>#NAME?</v>
      </c>
    </row>
    <row r="11284" spans="1:1">
      <c r="A11284" s="35" t="s">
        <v>56429</v>
      </c>
    </row>
    <row r="11285" spans="1:1">
      <c r="A11285" s="35" t="e" cm="1">
        <f t="array" ref="A11285">--------------------------------------------LLQPAT--------VI</f>
        <v>#NAME?</v>
      </c>
    </row>
    <row r="11286" spans="1:1">
      <c r="A11286" s="35" t="s">
        <v>56430</v>
      </c>
    </row>
    <row r="11287" spans="1:1">
      <c r="A11287" s="35" t="s">
        <v>56431</v>
      </c>
    </row>
    <row r="11288" spans="1:1">
      <c r="A11288" s="35" t="s">
        <v>41057</v>
      </c>
    </row>
    <row r="11289" spans="1:1">
      <c r="A11289" s="35" t="s">
        <v>56432</v>
      </c>
    </row>
    <row r="11290" spans="1:1">
      <c r="A11290" s="35" t="s">
        <v>56433</v>
      </c>
    </row>
    <row r="11291" spans="1:1">
      <c r="A11291" s="35" t="s">
        <v>56434</v>
      </c>
    </row>
    <row r="11292" spans="1:1">
      <c r="A11292" s="35" t="s">
        <v>41057</v>
      </c>
    </row>
    <row r="11293" spans="1:1">
      <c r="A11293" s="35" t="s">
        <v>41057</v>
      </c>
    </row>
    <row r="11294" spans="1:1">
      <c r="A11294" s="35" t="s">
        <v>56435</v>
      </c>
    </row>
    <row r="11295" spans="1:1">
      <c r="A11295" s="35" t="s">
        <v>41057</v>
      </c>
    </row>
    <row r="11296" spans="1:1">
      <c r="A11296" s="35" t="s">
        <v>41057</v>
      </c>
    </row>
    <row r="11297" spans="1:1">
      <c r="A11297" s="35" t="s">
        <v>41057</v>
      </c>
    </row>
    <row r="11298" spans="1:1">
      <c r="A11298" s="35" t="s">
        <v>56436</v>
      </c>
    </row>
    <row r="11299" spans="1:1">
      <c r="A11299" s="35" t="s">
        <v>56437</v>
      </c>
    </row>
    <row r="11300" spans="1:1">
      <c r="A11300" s="35" t="s">
        <v>56438</v>
      </c>
    </row>
    <row r="11301" spans="1:1">
      <c r="A11301" s="35" t="s">
        <v>56439</v>
      </c>
    </row>
    <row r="11302" spans="1:1">
      <c r="A11302" s="35" t="e" cm="1">
        <f t="array" ref="A11302">------------------------------------------------------PRQKVT</f>
        <v>#NAME?</v>
      </c>
    </row>
    <row r="11303" spans="1:1">
      <c r="A11303" s="35" t="s">
        <v>56440</v>
      </c>
    </row>
    <row r="11304" spans="1:1">
      <c r="A11304" s="35" t="s">
        <v>41057</v>
      </c>
    </row>
    <row r="11305" spans="1:1">
      <c r="A11305" s="35" t="s">
        <v>56441</v>
      </c>
    </row>
    <row r="11306" spans="1:1">
      <c r="A11306" s="35" t="s">
        <v>41057</v>
      </c>
    </row>
    <row r="11307" spans="1:1">
      <c r="A11307" s="35" t="s">
        <v>56442</v>
      </c>
    </row>
    <row r="11308" spans="1:1">
      <c r="A11308" s="35" t="s">
        <v>41057</v>
      </c>
    </row>
    <row r="11309" spans="1:1">
      <c r="A11309" s="35" t="s">
        <v>56443</v>
      </c>
    </row>
    <row r="11310" spans="1:1">
      <c r="A11310" s="35" t="s">
        <v>41057</v>
      </c>
    </row>
    <row r="11311" spans="1:1">
      <c r="A11311" s="35" t="s">
        <v>56444</v>
      </c>
    </row>
    <row r="11312" spans="1:1">
      <c r="A11312" s="35" t="s">
        <v>56445</v>
      </c>
    </row>
    <row r="11313" spans="1:1">
      <c r="A11313" s="35" t="s">
        <v>41057</v>
      </c>
    </row>
    <row r="11314" spans="1:1">
      <c r="A11314" s="35" t="s">
        <v>41057</v>
      </c>
    </row>
    <row r="11315" spans="1:1">
      <c r="A11315" s="35" t="s">
        <v>41057</v>
      </c>
    </row>
    <row r="11316" spans="1:1">
      <c r="A11316" s="35" t="e" cm="1">
        <f t="array" ref="A11316">--------------------------------------------NQIVSESKSESILKSA</f>
        <v>#NAME?</v>
      </c>
    </row>
    <row r="11317" spans="1:1">
      <c r="A11317" s="35" t="s">
        <v>56446</v>
      </c>
    </row>
    <row r="11318" spans="1:1">
      <c r="A11318" s="35" t="s">
        <v>56447</v>
      </c>
    </row>
    <row r="11319" spans="1:1">
      <c r="A11319" s="35" t="s">
        <v>56448</v>
      </c>
    </row>
    <row r="11320" spans="1:1">
      <c r="A11320" s="35" t="s">
        <v>56449</v>
      </c>
    </row>
    <row r="11321" spans="1:1">
      <c r="A11321" s="35" t="s">
        <v>56450</v>
      </c>
    </row>
    <row r="11322" spans="1:1">
      <c r="A11322" s="35" t="s">
        <v>56451</v>
      </c>
    </row>
    <row r="11323" spans="1:1">
      <c r="A11323" s="35" t="s">
        <v>41057</v>
      </c>
    </row>
    <row r="11324" spans="1:1">
      <c r="A11324" s="35" t="s">
        <v>56452</v>
      </c>
    </row>
    <row r="11325" spans="1:1">
      <c r="A11325" s="35" t="s">
        <v>56453</v>
      </c>
    </row>
    <row r="11326" spans="1:1">
      <c r="A11326" s="35" t="s">
        <v>56454</v>
      </c>
    </row>
    <row r="11327" spans="1:1">
      <c r="A11327" s="35" t="s">
        <v>41057</v>
      </c>
    </row>
    <row r="11328" spans="1:1">
      <c r="A11328" s="35" t="s">
        <v>53545</v>
      </c>
    </row>
    <row r="11329" spans="1:1">
      <c r="A11329" s="35" t="s">
        <v>52197</v>
      </c>
    </row>
    <row r="11330" spans="1:1">
      <c r="A11330" s="35" t="s">
        <v>41057</v>
      </c>
    </row>
    <row r="11331" spans="1:1">
      <c r="A11331" s="35" t="s">
        <v>41057</v>
      </c>
    </row>
    <row r="11332" spans="1:1">
      <c r="A11332" s="35" t="s">
        <v>41057</v>
      </c>
    </row>
    <row r="11333" spans="1:1">
      <c r="A11333" s="35" t="s">
        <v>41057</v>
      </c>
    </row>
    <row r="11334" spans="1:1">
      <c r="A11334" s="35" t="s">
        <v>41057</v>
      </c>
    </row>
    <row r="11335" spans="1:1">
      <c r="A11335" s="35" t="s">
        <v>41057</v>
      </c>
    </row>
    <row r="11336" spans="1:1">
      <c r="A11336" s="35" t="s">
        <v>41057</v>
      </c>
    </row>
    <row r="11337" spans="1:1">
      <c r="A11337" s="35" t="s">
        <v>41057</v>
      </c>
    </row>
    <row r="11338" spans="1:1">
      <c r="A11338" s="35" t="s">
        <v>41057</v>
      </c>
    </row>
    <row r="11339" spans="1:1">
      <c r="A11339" s="35" t="s">
        <v>41057</v>
      </c>
    </row>
    <row r="11340" spans="1:1">
      <c r="A11340" s="35" t="s">
        <v>41057</v>
      </c>
    </row>
    <row r="11341" spans="1:1">
      <c r="A11341" s="35" t="s">
        <v>41057</v>
      </c>
    </row>
    <row r="11342" spans="1:1">
      <c r="A11342" s="35" t="s">
        <v>41057</v>
      </c>
    </row>
    <row r="11343" spans="1:1">
      <c r="A11343" s="35" t="s">
        <v>41057</v>
      </c>
    </row>
    <row r="11344" spans="1:1">
      <c r="A11344" s="35" t="s">
        <v>41057</v>
      </c>
    </row>
    <row r="11345" spans="1:1">
      <c r="A11345" s="35" t="e" cm="1">
        <f t="array" ref="A11345">----------------MTL------------------FKS-------------------Q</f>
        <v>#NAME?</v>
      </c>
    </row>
    <row r="11346" spans="1:1">
      <c r="A11346" s="35" t="s">
        <v>56455</v>
      </c>
    </row>
    <row r="11347" spans="1:1">
      <c r="A11347" s="35" t="s">
        <v>56456</v>
      </c>
    </row>
    <row r="11348" spans="1:1">
      <c r="A11348" s="35" t="s">
        <v>41057</v>
      </c>
    </row>
    <row r="11349" spans="1:1">
      <c r="A11349" s="35" t="s">
        <v>56457</v>
      </c>
    </row>
    <row r="11350" spans="1:1">
      <c r="A11350" s="35" t="s">
        <v>41057</v>
      </c>
    </row>
    <row r="11351" spans="1:1">
      <c r="A11351" s="35" t="s">
        <v>41057</v>
      </c>
    </row>
    <row r="11352" spans="1:1">
      <c r="A11352" s="35" t="s">
        <v>53904</v>
      </c>
    </row>
    <row r="11353" spans="1:1">
      <c r="A11353" s="35" t="s">
        <v>41057</v>
      </c>
    </row>
    <row r="11354" spans="1:1">
      <c r="A11354" s="35" t="s">
        <v>41057</v>
      </c>
    </row>
    <row r="11355" spans="1:1">
      <c r="A11355" s="35" t="s">
        <v>53500</v>
      </c>
    </row>
    <row r="11356" spans="1:1">
      <c r="A11356" s="35" t="s">
        <v>41057</v>
      </c>
    </row>
    <row r="11357" spans="1:1">
      <c r="A11357" s="35" t="s">
        <v>41057</v>
      </c>
    </row>
    <row r="11358" spans="1:1">
      <c r="A11358" s="35" t="s">
        <v>56458</v>
      </c>
    </row>
    <row r="11359" spans="1:1">
      <c r="A11359" s="35" t="s">
        <v>41057</v>
      </c>
    </row>
    <row r="11360" spans="1:1">
      <c r="A11360" s="35" t="s">
        <v>56459</v>
      </c>
    </row>
    <row r="11361" spans="1:1">
      <c r="A11361" s="35" t="s">
        <v>41057</v>
      </c>
    </row>
    <row r="11362" spans="1:1">
      <c r="A11362" s="35" t="s">
        <v>56460</v>
      </c>
    </row>
    <row r="11363" spans="1:1">
      <c r="A11363" s="35" t="s">
        <v>56461</v>
      </c>
    </row>
    <row r="11364" spans="1:1">
      <c r="A11364" s="35" t="s">
        <v>41057</v>
      </c>
    </row>
    <row r="11365" spans="1:1">
      <c r="A11365" s="35" t="s">
        <v>41057</v>
      </c>
    </row>
    <row r="11366" spans="1:1">
      <c r="A11366" s="35" t="s">
        <v>56462</v>
      </c>
    </row>
    <row r="11367" spans="1:1">
      <c r="A11367" s="35" t="s">
        <v>41057</v>
      </c>
    </row>
    <row r="11368" spans="1:1">
      <c r="A11368" s="35" t="s">
        <v>41057</v>
      </c>
    </row>
    <row r="11369" spans="1:1">
      <c r="A11369" s="35" t="s">
        <v>41057</v>
      </c>
    </row>
    <row r="11370" spans="1:1">
      <c r="A11370" s="35" t="s">
        <v>41057</v>
      </c>
    </row>
    <row r="11371" spans="1:1">
      <c r="A11371" s="35" t="s">
        <v>41057</v>
      </c>
    </row>
    <row r="11372" spans="1:1">
      <c r="A11372" s="35" t="s">
        <v>41057</v>
      </c>
    </row>
    <row r="11373" spans="1:1">
      <c r="A11373" s="35" t="s">
        <v>41057</v>
      </c>
    </row>
    <row r="11374" spans="1:1">
      <c r="A11374" s="35" t="s">
        <v>41057</v>
      </c>
    </row>
    <row r="11375" spans="1:1">
      <c r="A11375" s="35" t="s">
        <v>56463</v>
      </c>
    </row>
    <row r="11376" spans="1:1">
      <c r="A11376" s="35" t="s">
        <v>41057</v>
      </c>
    </row>
    <row r="11377" spans="1:1">
      <c r="A11377" s="35" t="s">
        <v>41057</v>
      </c>
    </row>
    <row r="11378" spans="1:1">
      <c r="A11378" s="35" t="s">
        <v>41057</v>
      </c>
    </row>
    <row r="11379" spans="1:1">
      <c r="A11379" s="35" t="s">
        <v>41057</v>
      </c>
    </row>
    <row r="11380" spans="1:1">
      <c r="A11380" s="35" t="s">
        <v>41057</v>
      </c>
    </row>
    <row r="11381" spans="1:1">
      <c r="A11381" s="35" t="s">
        <v>41057</v>
      </c>
    </row>
    <row r="11382" spans="1:1">
      <c r="A11382" s="35" t="s">
        <v>41057</v>
      </c>
    </row>
    <row r="11383" spans="1:1">
      <c r="A11383" s="35" t="s">
        <v>41057</v>
      </c>
    </row>
    <row r="11384" spans="1:1">
      <c r="A11384" s="35" t="s">
        <v>41057</v>
      </c>
    </row>
    <row r="11385" spans="1:1">
      <c r="A11385" s="35" t="s">
        <v>41057</v>
      </c>
    </row>
    <row r="11386" spans="1:1">
      <c r="A11386" s="35" t="s">
        <v>56464</v>
      </c>
    </row>
    <row r="11387" spans="1:1">
      <c r="A11387" s="35" t="s">
        <v>41057</v>
      </c>
    </row>
    <row r="11388" spans="1:1">
      <c r="A11388" s="35" t="s">
        <v>56465</v>
      </c>
    </row>
    <row r="11389" spans="1:1">
      <c r="A11389" s="35" t="s">
        <v>41057</v>
      </c>
    </row>
    <row r="11390" spans="1:1">
      <c r="A11390" s="35" t="s">
        <v>41057</v>
      </c>
    </row>
    <row r="11391" spans="1:1">
      <c r="A11391" s="35" t="s">
        <v>51169</v>
      </c>
    </row>
    <row r="11392" spans="1:1">
      <c r="A11392" s="35" t="s">
        <v>41057</v>
      </c>
    </row>
    <row r="11393" spans="1:1">
      <c r="A11393" s="35" t="s">
        <v>41057</v>
      </c>
    </row>
    <row r="11394" spans="1:1">
      <c r="A11394" s="35" t="s">
        <v>41057</v>
      </c>
    </row>
    <row r="11395" spans="1:1">
      <c r="A11395" s="35" t="s">
        <v>41057</v>
      </c>
    </row>
    <row r="11396" spans="1:1">
      <c r="A11396" s="35" t="s">
        <v>41057</v>
      </c>
    </row>
    <row r="11397" spans="1:1">
      <c r="A11397" s="35" t="s">
        <v>41057</v>
      </c>
    </row>
    <row r="11398" spans="1:1">
      <c r="A11398" s="35" t="s">
        <v>41057</v>
      </c>
    </row>
    <row r="11399" spans="1:1">
      <c r="A11399" s="35" t="e" cm="1">
        <f t="array" ref="A11399">------------------------------------------------AYWVNAI---GY</f>
        <v>#NAME?</v>
      </c>
    </row>
    <row r="11400" spans="1:1">
      <c r="A11400" s="35" t="s">
        <v>56466</v>
      </c>
    </row>
    <row r="11401" spans="1:1">
      <c r="A11401" s="35" t="s">
        <v>56467</v>
      </c>
    </row>
    <row r="11402" spans="1:1">
      <c r="A11402" s="35" t="s">
        <v>56468</v>
      </c>
    </row>
    <row r="11403" spans="1:1">
      <c r="A11403" s="35" t="e" cm="1">
        <f t="array" ref="A11403">--------------------------------------------EEDMIE--------FA</f>
        <v>#NAME?</v>
      </c>
    </row>
    <row r="11404" spans="1:1">
      <c r="A11404" s="35" t="s">
        <v>56469</v>
      </c>
    </row>
    <row r="11405" spans="1:1">
      <c r="A11405" s="35" t="s">
        <v>56470</v>
      </c>
    </row>
    <row r="11406" spans="1:1">
      <c r="A11406" s="35" t="s">
        <v>41057</v>
      </c>
    </row>
    <row r="11407" spans="1:1">
      <c r="A11407" s="35" t="s">
        <v>56471</v>
      </c>
    </row>
    <row r="11408" spans="1:1">
      <c r="A11408" s="35" t="s">
        <v>56472</v>
      </c>
    </row>
    <row r="11409" spans="1:1">
      <c r="A11409" s="35" t="s">
        <v>56473</v>
      </c>
    </row>
    <row r="11410" spans="1:1">
      <c r="A11410" s="35" t="s">
        <v>41057</v>
      </c>
    </row>
    <row r="11411" spans="1:1">
      <c r="A11411" s="35" t="s">
        <v>56474</v>
      </c>
    </row>
    <row r="11412" spans="1:1">
      <c r="A11412" s="35" t="s">
        <v>56475</v>
      </c>
    </row>
    <row r="11413" spans="1:1">
      <c r="A11413" s="35" t="s">
        <v>56476</v>
      </c>
    </row>
    <row r="11414" spans="1:1">
      <c r="A11414" s="35" t="s">
        <v>41057</v>
      </c>
    </row>
    <row r="11415" spans="1:1">
      <c r="A11415" s="35" t="s">
        <v>41057</v>
      </c>
    </row>
    <row r="11416" spans="1:1">
      <c r="A11416" s="35" t="s">
        <v>41057</v>
      </c>
    </row>
    <row r="11417" spans="1:1">
      <c r="A11417" s="35" t="s">
        <v>56477</v>
      </c>
    </row>
    <row r="11418" spans="1:1">
      <c r="A11418" s="35" t="s">
        <v>56478</v>
      </c>
    </row>
    <row r="11419" spans="1:1">
      <c r="A11419" s="35" t="s">
        <v>56479</v>
      </c>
    </row>
    <row r="11420" spans="1:1">
      <c r="A11420" s="35" t="s">
        <v>41057</v>
      </c>
    </row>
    <row r="11421" spans="1:1">
      <c r="A11421" s="35" t="s">
        <v>41057</v>
      </c>
    </row>
    <row r="11422" spans="1:1">
      <c r="A11422" s="35" t="s">
        <v>56480</v>
      </c>
    </row>
    <row r="11423" spans="1:1">
      <c r="A11423" s="35" t="s">
        <v>56481</v>
      </c>
    </row>
    <row r="11424" spans="1:1">
      <c r="A11424" s="35" t="s">
        <v>41057</v>
      </c>
    </row>
    <row r="11425" spans="1:1">
      <c r="A11425" s="35" t="s">
        <v>56482</v>
      </c>
    </row>
    <row r="11426" spans="1:1">
      <c r="A11426" s="35" t="s">
        <v>56483</v>
      </c>
    </row>
    <row r="11427" spans="1:1">
      <c r="A11427" s="35" t="s">
        <v>56484</v>
      </c>
    </row>
    <row r="11428" spans="1:1">
      <c r="A11428" s="35" t="s">
        <v>41057</v>
      </c>
    </row>
    <row r="11429" spans="1:1">
      <c r="A11429" s="35" t="s">
        <v>56485</v>
      </c>
    </row>
    <row r="11430" spans="1:1">
      <c r="A11430" s="35" t="s">
        <v>56486</v>
      </c>
    </row>
    <row r="11431" spans="1:1">
      <c r="A11431" s="35" t="s">
        <v>41057</v>
      </c>
    </row>
    <row r="11432" spans="1:1">
      <c r="A11432" s="35" t="s">
        <v>41057</v>
      </c>
    </row>
    <row r="11433" spans="1:1">
      <c r="A11433" s="35" t="s">
        <v>41057</v>
      </c>
    </row>
    <row r="11434" spans="1:1">
      <c r="A11434" s="35" t="e" cm="1">
        <f t="array" ref="A11434">------------------------------------------------MWGDVTDSVASA</f>
        <v>#NAME?</v>
      </c>
    </row>
    <row r="11435" spans="1:1">
      <c r="A11435" s="35" t="s">
        <v>56487</v>
      </c>
    </row>
    <row r="11436" spans="1:1">
      <c r="A11436" s="35" t="s">
        <v>56488</v>
      </c>
    </row>
    <row r="11437" spans="1:1">
      <c r="A11437" s="35" t="s">
        <v>56489</v>
      </c>
    </row>
    <row r="11438" spans="1:1">
      <c r="A11438" s="35" t="s">
        <v>56490</v>
      </c>
    </row>
    <row r="11439" spans="1:1">
      <c r="A11439" s="35" t="s">
        <v>56491</v>
      </c>
    </row>
    <row r="11440" spans="1:1">
      <c r="A11440" s="35" t="s">
        <v>56492</v>
      </c>
    </row>
    <row r="11441" spans="1:1">
      <c r="A11441" s="35" t="s">
        <v>41057</v>
      </c>
    </row>
    <row r="11442" spans="1:1">
      <c r="A11442" s="35" t="s">
        <v>56493</v>
      </c>
    </row>
    <row r="11443" spans="1:1">
      <c r="A11443" s="35" t="e" cm="1">
        <f t="array" ref="A11443">----------------KEGMG-----------------------------GEV--KDPVV</f>
        <v>#NAME?</v>
      </c>
    </row>
    <row r="11444" spans="1:1">
      <c r="A11444" s="35" t="s">
        <v>56494</v>
      </c>
    </row>
    <row r="11445" spans="1:1">
      <c r="A11445" s="35" t="s">
        <v>56495</v>
      </c>
    </row>
    <row r="11446" spans="1:1">
      <c r="A11446" s="35" t="s">
        <v>53545</v>
      </c>
    </row>
    <row r="11447" spans="1:1">
      <c r="A11447" s="35" t="s">
        <v>52241</v>
      </c>
    </row>
    <row r="11448" spans="1:1">
      <c r="A11448" s="35" t="s">
        <v>41057</v>
      </c>
    </row>
    <row r="11449" spans="1:1">
      <c r="A11449" s="35" t="s">
        <v>41057</v>
      </c>
    </row>
    <row r="11450" spans="1:1">
      <c r="A11450" s="35" t="s">
        <v>41057</v>
      </c>
    </row>
    <row r="11451" spans="1:1">
      <c r="A11451" s="35" t="s">
        <v>41057</v>
      </c>
    </row>
    <row r="11452" spans="1:1">
      <c r="A11452" s="35" t="s">
        <v>41057</v>
      </c>
    </row>
    <row r="11453" spans="1:1">
      <c r="A11453" s="35" t="s">
        <v>56496</v>
      </c>
    </row>
    <row r="11454" spans="1:1">
      <c r="A11454" s="35" t="s">
        <v>41057</v>
      </c>
    </row>
    <row r="11455" spans="1:1">
      <c r="A11455" s="35" t="s">
        <v>41057</v>
      </c>
    </row>
    <row r="11456" spans="1:1">
      <c r="A11456" s="35" t="s">
        <v>41057</v>
      </c>
    </row>
    <row r="11457" spans="1:1">
      <c r="A11457" s="35" t="s">
        <v>56497</v>
      </c>
    </row>
    <row r="11458" spans="1:1">
      <c r="A11458" s="35" t="s">
        <v>56498</v>
      </c>
    </row>
    <row r="11459" spans="1:1">
      <c r="A11459" s="35" t="s">
        <v>56499</v>
      </c>
    </row>
    <row r="11460" spans="1:1">
      <c r="A11460" s="35" t="s">
        <v>56500</v>
      </c>
    </row>
    <row r="11461" spans="1:1">
      <c r="A11461" s="35" t="s">
        <v>41057</v>
      </c>
    </row>
    <row r="11462" spans="1:1">
      <c r="A11462" s="35" t="s">
        <v>41057</v>
      </c>
    </row>
    <row r="11463" spans="1:1">
      <c r="A11463" s="35" t="e" cm="1">
        <f t="array" ref="A11463">---------------TRTF------------------WKS-------------------S</f>
        <v>#NAME?</v>
      </c>
    </row>
    <row r="11464" spans="1:1">
      <c r="A11464" s="35" t="s">
        <v>56501</v>
      </c>
    </row>
    <row r="11465" spans="1:1">
      <c r="A11465" s="35" t="s">
        <v>56502</v>
      </c>
    </row>
    <row r="11466" spans="1:1">
      <c r="A11466" s="35" t="s">
        <v>41057</v>
      </c>
    </row>
    <row r="11467" spans="1:1">
      <c r="A11467" s="35" t="s">
        <v>56503</v>
      </c>
    </row>
    <row r="11468" spans="1:1">
      <c r="A11468" s="35" t="s">
        <v>41057</v>
      </c>
    </row>
    <row r="11469" spans="1:1">
      <c r="A11469" s="35" t="s">
        <v>41057</v>
      </c>
    </row>
    <row r="11470" spans="1:1">
      <c r="A11470" s="35" t="s">
        <v>56504</v>
      </c>
    </row>
    <row r="11471" spans="1:1">
      <c r="A11471" s="35" t="s">
        <v>41057</v>
      </c>
    </row>
    <row r="11472" spans="1:1">
      <c r="A11472" s="35" t="s">
        <v>41057</v>
      </c>
    </row>
    <row r="11473" spans="1:1">
      <c r="A11473" s="35" t="s">
        <v>53500</v>
      </c>
    </row>
    <row r="11474" spans="1:1">
      <c r="A11474" s="35" t="s">
        <v>41057</v>
      </c>
    </row>
    <row r="11475" spans="1:1">
      <c r="A11475" s="35" t="s">
        <v>41057</v>
      </c>
    </row>
    <row r="11476" spans="1:1">
      <c r="A11476" s="35" t="s">
        <v>56505</v>
      </c>
    </row>
    <row r="11477" spans="1:1">
      <c r="A11477" s="35" t="s">
        <v>41057</v>
      </c>
    </row>
    <row r="11478" spans="1:1">
      <c r="A11478" s="35" t="s">
        <v>56506</v>
      </c>
    </row>
    <row r="11479" spans="1:1">
      <c r="A11479" s="35" t="s">
        <v>41057</v>
      </c>
    </row>
    <row r="11480" spans="1:1">
      <c r="A11480" s="35" t="s">
        <v>56507</v>
      </c>
    </row>
    <row r="11481" spans="1:1">
      <c r="A11481" s="35" t="s">
        <v>56508</v>
      </c>
    </row>
    <row r="11482" spans="1:1">
      <c r="A11482" s="35" t="s">
        <v>41057</v>
      </c>
    </row>
    <row r="11483" spans="1:1">
      <c r="A11483" s="35" t="s">
        <v>41057</v>
      </c>
    </row>
    <row r="11484" spans="1:1">
      <c r="A11484" s="35" t="s">
        <v>56509</v>
      </c>
    </row>
    <row r="11485" spans="1:1">
      <c r="A11485" s="35" t="s">
        <v>41057</v>
      </c>
    </row>
    <row r="11486" spans="1:1">
      <c r="A11486" s="35" t="s">
        <v>41057</v>
      </c>
    </row>
    <row r="11487" spans="1:1">
      <c r="A11487" s="35" t="s">
        <v>41057</v>
      </c>
    </row>
    <row r="11488" spans="1:1">
      <c r="A11488" s="35" t="s">
        <v>41057</v>
      </c>
    </row>
    <row r="11489" spans="1:1">
      <c r="A11489" s="35" t="s">
        <v>41057</v>
      </c>
    </row>
    <row r="11490" spans="1:1">
      <c r="A11490" s="35" t="s">
        <v>56510</v>
      </c>
    </row>
    <row r="11491" spans="1:1">
      <c r="A11491" s="35" t="s">
        <v>56511</v>
      </c>
    </row>
    <row r="11492" spans="1:1">
      <c r="A11492" s="35" t="s">
        <v>41057</v>
      </c>
    </row>
    <row r="11493" spans="1:1">
      <c r="A11493" s="35" t="s">
        <v>56512</v>
      </c>
    </row>
    <row r="11494" spans="1:1">
      <c r="A11494" s="35" t="s">
        <v>41057</v>
      </c>
    </row>
    <row r="11495" spans="1:1">
      <c r="A11495" s="35" t="s">
        <v>41057</v>
      </c>
    </row>
    <row r="11496" spans="1:1">
      <c r="A11496" s="35" t="s">
        <v>41057</v>
      </c>
    </row>
    <row r="11497" spans="1:1">
      <c r="A11497" s="35" t="s">
        <v>41057</v>
      </c>
    </row>
    <row r="11498" spans="1:1">
      <c r="A11498" s="35" t="s">
        <v>56513</v>
      </c>
    </row>
    <row r="11499" spans="1:1">
      <c r="A11499" s="35" t="s">
        <v>41057</v>
      </c>
    </row>
    <row r="11500" spans="1:1">
      <c r="A11500" s="35" t="s">
        <v>41057</v>
      </c>
    </row>
    <row r="11501" spans="1:1">
      <c r="A11501" s="35" t="s">
        <v>41057</v>
      </c>
    </row>
    <row r="11502" spans="1:1">
      <c r="A11502" s="35" t="s">
        <v>41057</v>
      </c>
    </row>
    <row r="11503" spans="1:1">
      <c r="A11503" s="35" t="s">
        <v>41057</v>
      </c>
    </row>
    <row r="11504" spans="1:1">
      <c r="A11504" s="35" t="s">
        <v>41057</v>
      </c>
    </row>
    <row r="11505" spans="1:1">
      <c r="A11505" s="35" t="s">
        <v>41057</v>
      </c>
    </row>
    <row r="11506" spans="1:1">
      <c r="A11506" s="35" t="s">
        <v>56514</v>
      </c>
    </row>
    <row r="11507" spans="1:1">
      <c r="A11507" s="35" t="s">
        <v>41057</v>
      </c>
    </row>
    <row r="11508" spans="1:1">
      <c r="A11508" s="35" t="e" cm="1">
        <f t="array" ref="A11508">-----------------------------------------------------LIAEAKN</f>
        <v>#NAME?</v>
      </c>
    </row>
    <row r="11509" spans="1:1">
      <c r="A11509" s="35" t="e" cm="1">
        <f t="array" ref="A11509">---------------------------------------------------SYEAAKYNA</f>
        <v>#NAME?</v>
      </c>
    </row>
    <row r="11510" spans="1:1">
      <c r="A11510" s="35" t="s">
        <v>56515</v>
      </c>
    </row>
    <row r="11511" spans="1:1">
      <c r="A11511" s="35" t="s">
        <v>56516</v>
      </c>
    </row>
    <row r="11512" spans="1:1">
      <c r="A11512" s="35" t="s">
        <v>41057</v>
      </c>
    </row>
    <row r="11513" spans="1:1">
      <c r="A11513" s="35" t="s">
        <v>41057</v>
      </c>
    </row>
    <row r="11514" spans="1:1">
      <c r="A11514" s="35" t="s">
        <v>41057</v>
      </c>
    </row>
    <row r="11515" spans="1:1">
      <c r="A11515" s="35" t="s">
        <v>41057</v>
      </c>
    </row>
    <row r="11516" spans="1:1">
      <c r="A11516" s="35" t="s">
        <v>53647</v>
      </c>
    </row>
    <row r="11517" spans="1:1">
      <c r="A11517" s="35" t="e" cm="1">
        <f t="array" ref="A11517">--------------------------------------------DFDYAYWTEAI---GF</f>
        <v>#NAME?</v>
      </c>
    </row>
    <row r="11518" spans="1:1">
      <c r="A11518" s="35" t="s">
        <v>56517</v>
      </c>
    </row>
    <row r="11519" spans="1:1">
      <c r="A11519" s="35" t="e" cm="1">
        <f t="array" ref="A11519">---------------SELLFAMEELMG-------------------------------RA</f>
        <v>#NAME?</v>
      </c>
    </row>
    <row r="11520" spans="1:1">
      <c r="A11520" s="35" t="s">
        <v>56518</v>
      </c>
    </row>
    <row r="11521" spans="1:1">
      <c r="A11521" s="35" t="s">
        <v>56519</v>
      </c>
    </row>
    <row r="11522" spans="1:1">
      <c r="A11522" s="35" t="s">
        <v>41057</v>
      </c>
    </row>
    <row r="11523" spans="1:1">
      <c r="A11523" s="35" t="s">
        <v>56520</v>
      </c>
    </row>
    <row r="11524" spans="1:1">
      <c r="A11524" s="35" t="s">
        <v>41057</v>
      </c>
    </row>
    <row r="11525" spans="1:1">
      <c r="A11525" s="35" t="s">
        <v>54075</v>
      </c>
    </row>
    <row r="11526" spans="1:1">
      <c r="A11526" s="35" t="s">
        <v>56521</v>
      </c>
    </row>
    <row r="11527" spans="1:1">
      <c r="A11527" s="35" t="s">
        <v>56522</v>
      </c>
    </row>
    <row r="11528" spans="1:1">
      <c r="A11528" s="35" t="s">
        <v>41057</v>
      </c>
    </row>
    <row r="11529" spans="1:1">
      <c r="A11529" s="35" t="s">
        <v>41057</v>
      </c>
    </row>
    <row r="11530" spans="1:1">
      <c r="A11530" s="35" t="s">
        <v>41057</v>
      </c>
    </row>
    <row r="11531" spans="1:1">
      <c r="A11531" s="35" t="s">
        <v>41057</v>
      </c>
    </row>
    <row r="11532" spans="1:1">
      <c r="A11532" s="35" t="s">
        <v>41057</v>
      </c>
    </row>
    <row r="11533" spans="1:1">
      <c r="A11533" s="35" t="s">
        <v>41057</v>
      </c>
    </row>
    <row r="11534" spans="1:1">
      <c r="A11534" s="35" t="s">
        <v>56523</v>
      </c>
    </row>
    <row r="11535" spans="1:1">
      <c r="A11535" s="35" t="s">
        <v>54456</v>
      </c>
    </row>
    <row r="11536" spans="1:1">
      <c r="A11536" s="35" t="s">
        <v>56524</v>
      </c>
    </row>
    <row r="11537" spans="1:1">
      <c r="A11537" s="35" t="s">
        <v>56525</v>
      </c>
    </row>
    <row r="11538" spans="1:1">
      <c r="A11538" s="35" t="s">
        <v>41057</v>
      </c>
    </row>
    <row r="11539" spans="1:1">
      <c r="A11539" s="35" t="s">
        <v>41057</v>
      </c>
    </row>
    <row r="11540" spans="1:1">
      <c r="A11540" s="35" t="s">
        <v>41057</v>
      </c>
    </row>
    <row r="11541" spans="1:1">
      <c r="A11541" s="35" t="s">
        <v>56526</v>
      </c>
    </row>
    <row r="11542" spans="1:1">
      <c r="A11542" s="35" t="s">
        <v>41057</v>
      </c>
    </row>
    <row r="11543" spans="1:1">
      <c r="A11543" s="35" t="s">
        <v>56527</v>
      </c>
    </row>
    <row r="11544" spans="1:1">
      <c r="A11544" s="35" t="s">
        <v>41057</v>
      </c>
    </row>
    <row r="11545" spans="1:1">
      <c r="A11545" s="35" t="s">
        <v>56528</v>
      </c>
    </row>
    <row r="11546" spans="1:1">
      <c r="A11546" s="35" t="s">
        <v>41057</v>
      </c>
    </row>
    <row r="11547" spans="1:1">
      <c r="A11547" s="35" t="s">
        <v>56529</v>
      </c>
    </row>
    <row r="11548" spans="1:1">
      <c r="A11548" s="35" t="s">
        <v>41057</v>
      </c>
    </row>
    <row r="11549" spans="1:1">
      <c r="A11549" s="35" t="s">
        <v>41057</v>
      </c>
    </row>
    <row r="11550" spans="1:1">
      <c r="A11550" s="35" t="s">
        <v>41057</v>
      </c>
    </row>
    <row r="11551" spans="1:1">
      <c r="A11551" s="35" t="s">
        <v>41057</v>
      </c>
    </row>
    <row r="11552" spans="1:1">
      <c r="A11552" s="35" t="e" cm="1">
        <f t="array" ref="A11552">---------------------------------------------------GGRDPVVSA</f>
        <v>#NAME?</v>
      </c>
    </row>
    <row r="11553" spans="1:1">
      <c r="A11553" s="35" t="s">
        <v>56530</v>
      </c>
    </row>
    <row r="11554" spans="1:1">
      <c r="A11554" s="35" t="s">
        <v>56531</v>
      </c>
    </row>
    <row r="11555" spans="1:1">
      <c r="A11555" s="35" t="s">
        <v>56532</v>
      </c>
    </row>
    <row r="11556" spans="1:1">
      <c r="A11556" s="35" t="s">
        <v>56533</v>
      </c>
    </row>
    <row r="11557" spans="1:1">
      <c r="A11557" s="35" t="s">
        <v>56534</v>
      </c>
    </row>
    <row r="11558" spans="1:1">
      <c r="A11558" s="35" t="s">
        <v>56535</v>
      </c>
    </row>
    <row r="11559" spans="1:1">
      <c r="A11559" s="35" t="s">
        <v>41057</v>
      </c>
    </row>
    <row r="11560" spans="1:1">
      <c r="A11560" s="35" t="s">
        <v>56536</v>
      </c>
    </row>
    <row r="11561" spans="1:1">
      <c r="A11561" s="35" t="s">
        <v>56537</v>
      </c>
    </row>
    <row r="11562" spans="1:1">
      <c r="A11562" s="35" t="s">
        <v>56135</v>
      </c>
    </row>
    <row r="11563" spans="1:1">
      <c r="A11563" s="35" t="s">
        <v>41057</v>
      </c>
    </row>
    <row r="11564" spans="1:1">
      <c r="A11564" s="35" t="s">
        <v>53545</v>
      </c>
    </row>
    <row r="11565" spans="1:1">
      <c r="A11565" s="35" t="s">
        <v>56538</v>
      </c>
    </row>
    <row r="11566" spans="1:1">
      <c r="A11566" s="35" t="s">
        <v>41057</v>
      </c>
    </row>
    <row r="11567" spans="1:1">
      <c r="A11567" s="35" t="s">
        <v>41057</v>
      </c>
    </row>
    <row r="11568" spans="1:1">
      <c r="A11568" s="35" t="s">
        <v>41057</v>
      </c>
    </row>
    <row r="11569" spans="1:1">
      <c r="A11569" s="35" t="s">
        <v>41057</v>
      </c>
    </row>
    <row r="11570" spans="1:1">
      <c r="A11570" s="35" t="s">
        <v>41057</v>
      </c>
    </row>
    <row r="11571" spans="1:1">
      <c r="A11571" s="35" t="s">
        <v>41057</v>
      </c>
    </row>
    <row r="11572" spans="1:1">
      <c r="A11572" s="35" t="s">
        <v>41057</v>
      </c>
    </row>
    <row r="11573" spans="1:1">
      <c r="A11573" s="35" t="s">
        <v>41057</v>
      </c>
    </row>
    <row r="11574" spans="1:1">
      <c r="A11574" s="35" t="s">
        <v>41057</v>
      </c>
    </row>
    <row r="11575" spans="1:1">
      <c r="A11575" s="35" t="s">
        <v>56539</v>
      </c>
    </row>
    <row r="11576" spans="1:1">
      <c r="A11576" s="35" t="s">
        <v>56540</v>
      </c>
    </row>
    <row r="11577" spans="1:1">
      <c r="A11577" s="35" t="s">
        <v>56541</v>
      </c>
    </row>
    <row r="11578" spans="1:1">
      <c r="A11578" s="35" t="s">
        <v>56542</v>
      </c>
    </row>
    <row r="11579" spans="1:1">
      <c r="A11579" s="35" t="s">
        <v>41057</v>
      </c>
    </row>
    <row r="11580" spans="1:1">
      <c r="A11580" s="35" t="s">
        <v>41057</v>
      </c>
    </row>
    <row r="11581" spans="1:1">
      <c r="A11581" s="35" t="s">
        <v>41057</v>
      </c>
    </row>
    <row r="11582" spans="1:1">
      <c r="A11582" s="35" t="s">
        <v>41057</v>
      </c>
    </row>
    <row r="11583" spans="1:1">
      <c r="A11583" s="35" t="s">
        <v>41057</v>
      </c>
    </row>
    <row r="11584" spans="1:1">
      <c r="A11584" s="35" t="s">
        <v>41057</v>
      </c>
    </row>
    <row r="11585" spans="1:1">
      <c r="A11585" s="35" t="s">
        <v>41057</v>
      </c>
    </row>
    <row r="11586" spans="1:1">
      <c r="A11586" s="35" t="s">
        <v>41057</v>
      </c>
    </row>
    <row r="11587" spans="1:1">
      <c r="A11587" s="35" t="s">
        <v>41057</v>
      </c>
    </row>
    <row r="11588" spans="1:1">
      <c r="A11588" s="35" t="s">
        <v>56543</v>
      </c>
    </row>
    <row r="11589" spans="1:1">
      <c r="A11589" s="35" t="s">
        <v>41057</v>
      </c>
    </row>
    <row r="11590" spans="1:1">
      <c r="A11590" s="35" t="s">
        <v>41057</v>
      </c>
    </row>
    <row r="11591" spans="1:1">
      <c r="A11591" s="35" t="s">
        <v>56544</v>
      </c>
    </row>
    <row r="11592" spans="1:1">
      <c r="A11592" s="35" t="s">
        <v>41057</v>
      </c>
    </row>
    <row r="11593" spans="1:1">
      <c r="A11593" s="35" t="s">
        <v>41057</v>
      </c>
    </row>
    <row r="11594" spans="1:1">
      <c r="A11594" s="35" t="s">
        <v>41057</v>
      </c>
    </row>
    <row r="11595" spans="1:1">
      <c r="A11595" s="35" t="s">
        <v>41057</v>
      </c>
    </row>
    <row r="11596" spans="1:1">
      <c r="A11596" s="35" t="s">
        <v>56545</v>
      </c>
    </row>
    <row r="11597" spans="1:1">
      <c r="A11597" s="35" t="s">
        <v>41057</v>
      </c>
    </row>
    <row r="11598" spans="1:1">
      <c r="A11598" s="35" t="s">
        <v>41057</v>
      </c>
    </row>
    <row r="11599" spans="1:1">
      <c r="A11599" s="35" t="s">
        <v>41057</v>
      </c>
    </row>
    <row r="11600" spans="1:1">
      <c r="A11600" s="35" t="s">
        <v>41057</v>
      </c>
    </row>
    <row r="11601" spans="1:1">
      <c r="A11601" s="35" t="s">
        <v>41057</v>
      </c>
    </row>
    <row r="11602" spans="1:1">
      <c r="A11602" s="35" t="s">
        <v>41057</v>
      </c>
    </row>
    <row r="11603" spans="1:1">
      <c r="A11603" s="35" t="s">
        <v>41057</v>
      </c>
    </row>
    <row r="11604" spans="1:1">
      <c r="A11604" s="35" t="s">
        <v>41057</v>
      </c>
    </row>
    <row r="11605" spans="1:1">
      <c r="A11605" s="35" t="s">
        <v>41057</v>
      </c>
    </row>
    <row r="11606" spans="1:1">
      <c r="A11606" s="35" t="s">
        <v>41057</v>
      </c>
    </row>
    <row r="11607" spans="1:1">
      <c r="A11607" s="35" t="s">
        <v>41057</v>
      </c>
    </row>
    <row r="11608" spans="1:1">
      <c r="A11608" s="35" t="s">
        <v>41057</v>
      </c>
    </row>
    <row r="11609" spans="1:1">
      <c r="A11609" s="35" t="s">
        <v>41057</v>
      </c>
    </row>
    <row r="11610" spans="1:1">
      <c r="A11610" s="35" t="s">
        <v>41057</v>
      </c>
    </row>
    <row r="11611" spans="1:1">
      <c r="A11611" s="35" t="s">
        <v>41057</v>
      </c>
    </row>
    <row r="11612" spans="1:1">
      <c r="A11612" s="35" t="s">
        <v>41057</v>
      </c>
    </row>
    <row r="11613" spans="1:1">
      <c r="A11613" s="35" t="s">
        <v>41057</v>
      </c>
    </row>
    <row r="11614" spans="1:1">
      <c r="A11614" s="35" t="s">
        <v>41057</v>
      </c>
    </row>
    <row r="11615" spans="1:1">
      <c r="A11615" s="35" t="s">
        <v>41057</v>
      </c>
    </row>
    <row r="11616" spans="1:1">
      <c r="A11616" s="35" t="s">
        <v>41057</v>
      </c>
    </row>
    <row r="11617" spans="1:1">
      <c r="A11617" s="35" t="s">
        <v>41057</v>
      </c>
    </row>
    <row r="11618" spans="1:1">
      <c r="A11618" s="35" t="s">
        <v>41057</v>
      </c>
    </row>
    <row r="11619" spans="1:1">
      <c r="A11619" s="35" t="s">
        <v>41057</v>
      </c>
    </row>
    <row r="11620" spans="1:1">
      <c r="A11620" s="35" t="s">
        <v>41057</v>
      </c>
    </row>
    <row r="11621" spans="1:1">
      <c r="A11621" s="35" t="s">
        <v>41057</v>
      </c>
    </row>
    <row r="11622" spans="1:1">
      <c r="A11622" s="35" t="s">
        <v>41057</v>
      </c>
    </row>
    <row r="11623" spans="1:1">
      <c r="A11623" s="35" t="s">
        <v>41057</v>
      </c>
    </row>
    <row r="11624" spans="1:1">
      <c r="A11624" s="35" t="s">
        <v>41057</v>
      </c>
    </row>
    <row r="11625" spans="1:1">
      <c r="A11625" s="35" t="s">
        <v>41057</v>
      </c>
    </row>
    <row r="11626" spans="1:1">
      <c r="A11626" s="35" t="s">
        <v>41057</v>
      </c>
    </row>
    <row r="11627" spans="1:1">
      <c r="A11627" s="35" t="s">
        <v>41057</v>
      </c>
    </row>
    <row r="11628" spans="1:1">
      <c r="A11628" s="35" t="s">
        <v>41057</v>
      </c>
    </row>
    <row r="11629" spans="1:1">
      <c r="A11629" s="35" t="s">
        <v>41057</v>
      </c>
    </row>
    <row r="11630" spans="1:1">
      <c r="A11630" s="35" t="s">
        <v>41057</v>
      </c>
    </row>
    <row r="11631" spans="1:1">
      <c r="A11631" s="35" t="s">
        <v>41057</v>
      </c>
    </row>
    <row r="11632" spans="1:1">
      <c r="A11632" s="35" t="s">
        <v>41057</v>
      </c>
    </row>
    <row r="11633" spans="1:1">
      <c r="A11633" s="35" t="s">
        <v>41057</v>
      </c>
    </row>
    <row r="11634" spans="1:1">
      <c r="A11634" s="35" t="s">
        <v>53647</v>
      </c>
    </row>
    <row r="11635" spans="1:1">
      <c r="A11635" s="35" t="e" cm="1">
        <f t="array" ref="A11635">----------------------------------------------------------GN</f>
        <v>#NAME?</v>
      </c>
    </row>
    <row r="11636" spans="1:1">
      <c r="A11636" s="35" t="s">
        <v>56546</v>
      </c>
    </row>
    <row r="11637" spans="1:1">
      <c r="A11637" s="35" t="s">
        <v>41057</v>
      </c>
    </row>
    <row r="11638" spans="1:1">
      <c r="A11638" s="35" t="s">
        <v>41057</v>
      </c>
    </row>
    <row r="11639" spans="1:1">
      <c r="A11639" s="35" t="s">
        <v>41057</v>
      </c>
    </row>
    <row r="11640" spans="1:1">
      <c r="A11640" s="35" t="s">
        <v>41057</v>
      </c>
    </row>
    <row r="11641" spans="1:1">
      <c r="A11641" s="35" t="s">
        <v>56547</v>
      </c>
    </row>
    <row r="11642" spans="1:1">
      <c r="A11642" s="35" t="s">
        <v>41057</v>
      </c>
    </row>
    <row r="11643" spans="1:1">
      <c r="A11643" s="35" t="s">
        <v>56548</v>
      </c>
    </row>
    <row r="11644" spans="1:1">
      <c r="A11644" s="35" t="s">
        <v>41057</v>
      </c>
    </row>
    <row r="11645" spans="1:1">
      <c r="A11645" s="35" t="s">
        <v>53939</v>
      </c>
    </row>
    <row r="11646" spans="1:1">
      <c r="A11646" s="35" t="s">
        <v>41057</v>
      </c>
    </row>
    <row r="11647" spans="1:1">
      <c r="A11647" s="35" t="s">
        <v>41057</v>
      </c>
    </row>
    <row r="11648" spans="1:1">
      <c r="A11648" s="35" t="s">
        <v>41057</v>
      </c>
    </row>
    <row r="11649" spans="1:1">
      <c r="A11649" s="35" t="s">
        <v>41057</v>
      </c>
    </row>
    <row r="11650" spans="1:1">
      <c r="A11650" s="35" t="s">
        <v>41057</v>
      </c>
    </row>
    <row r="11651" spans="1:1">
      <c r="A11651" s="35" t="s">
        <v>41057</v>
      </c>
    </row>
    <row r="11652" spans="1:1">
      <c r="A11652" s="35" t="s">
        <v>41057</v>
      </c>
    </row>
    <row r="11653" spans="1:1">
      <c r="A11653" s="35" t="s">
        <v>56549</v>
      </c>
    </row>
    <row r="11654" spans="1:1">
      <c r="A11654" s="35" t="s">
        <v>56550</v>
      </c>
    </row>
    <row r="11655" spans="1:1">
      <c r="A11655" s="35" t="s">
        <v>41057</v>
      </c>
    </row>
    <row r="11656" spans="1:1">
      <c r="A11656" s="35" t="s">
        <v>41057</v>
      </c>
    </row>
    <row r="11657" spans="1:1">
      <c r="A11657" s="35" t="s">
        <v>41057</v>
      </c>
    </row>
    <row r="11658" spans="1:1">
      <c r="A11658" s="35" t="s">
        <v>41057</v>
      </c>
    </row>
    <row r="11659" spans="1:1">
      <c r="A11659" s="35" t="s">
        <v>41057</v>
      </c>
    </row>
    <row r="11660" spans="1:1">
      <c r="A11660" s="35" t="s">
        <v>41057</v>
      </c>
    </row>
    <row r="11661" spans="1:1">
      <c r="A11661" s="35" t="s">
        <v>41057</v>
      </c>
    </row>
    <row r="11662" spans="1:1">
      <c r="A11662" s="35" t="s">
        <v>41057</v>
      </c>
    </row>
    <row r="11663" spans="1:1">
      <c r="A11663" s="35" t="s">
        <v>41057</v>
      </c>
    </row>
    <row r="11664" spans="1:1">
      <c r="A11664" s="35" t="s">
        <v>41057</v>
      </c>
    </row>
    <row r="11665" spans="1:1">
      <c r="A11665" s="35" t="s">
        <v>41057</v>
      </c>
    </row>
    <row r="11666" spans="1:1">
      <c r="A11666" s="35" t="s">
        <v>41057</v>
      </c>
    </row>
    <row r="11667" spans="1:1">
      <c r="A11667" s="35" t="s">
        <v>41057</v>
      </c>
    </row>
    <row r="11668" spans="1:1">
      <c r="A11668" s="35" t="s">
        <v>41057</v>
      </c>
    </row>
    <row r="11669" spans="1:1">
      <c r="A11669" s="35" t="s">
        <v>41057</v>
      </c>
    </row>
    <row r="11670" spans="1:1">
      <c r="A11670" s="35" t="e" cm="1">
        <f t="array" ref="A11670">----------------------------------------------------TGQTIKTA</f>
        <v>#NAME?</v>
      </c>
    </row>
    <row r="11671" spans="1:1">
      <c r="A11671" s="35" t="s">
        <v>56551</v>
      </c>
    </row>
    <row r="11672" spans="1:1">
      <c r="A11672" s="35" t="s">
        <v>56552</v>
      </c>
    </row>
    <row r="11673" spans="1:1">
      <c r="A11673" s="35" t="s">
        <v>56553</v>
      </c>
    </row>
    <row r="11674" spans="1:1">
      <c r="A11674" s="35" t="s">
        <v>56554</v>
      </c>
    </row>
    <row r="11675" spans="1:1">
      <c r="A11675" s="35" t="s">
        <v>56555</v>
      </c>
    </row>
    <row r="11676" spans="1:1">
      <c r="A11676" s="35" t="s">
        <v>56556</v>
      </c>
    </row>
    <row r="11677" spans="1:1">
      <c r="A11677" s="35" t="s">
        <v>41057</v>
      </c>
    </row>
    <row r="11678" spans="1:1">
      <c r="A11678" s="35" t="s">
        <v>56557</v>
      </c>
    </row>
    <row r="11679" spans="1:1">
      <c r="A11679" s="35" t="s">
        <v>56558</v>
      </c>
    </row>
    <row r="11680" spans="1:1">
      <c r="A11680" s="35" t="s">
        <v>56559</v>
      </c>
    </row>
    <row r="11681" spans="1:1">
      <c r="A11681" s="35" t="s">
        <v>41057</v>
      </c>
    </row>
    <row r="11682" spans="1:1">
      <c r="A11682" s="35" t="s">
        <v>53545</v>
      </c>
    </row>
    <row r="11683" spans="1:1">
      <c r="A11683" s="35" t="s">
        <v>52851</v>
      </c>
    </row>
    <row r="11684" spans="1:1">
      <c r="A11684" s="35" t="s">
        <v>41057</v>
      </c>
    </row>
    <row r="11685" spans="1:1">
      <c r="A11685" s="35" t="s">
        <v>41057</v>
      </c>
    </row>
    <row r="11686" spans="1:1">
      <c r="A11686" s="35" t="s">
        <v>41057</v>
      </c>
    </row>
    <row r="11687" spans="1:1">
      <c r="A11687" s="35" t="s">
        <v>41057</v>
      </c>
    </row>
    <row r="11688" spans="1:1">
      <c r="A11688" s="35" t="s">
        <v>41057</v>
      </c>
    </row>
    <row r="11689" spans="1:1">
      <c r="A11689" s="35" t="s">
        <v>41057</v>
      </c>
    </row>
    <row r="11690" spans="1:1">
      <c r="A11690" s="35" t="s">
        <v>41057</v>
      </c>
    </row>
    <row r="11691" spans="1:1">
      <c r="A11691" s="35" t="s">
        <v>41057</v>
      </c>
    </row>
    <row r="11692" spans="1:1">
      <c r="A11692" s="35" t="s">
        <v>41057</v>
      </c>
    </row>
    <row r="11693" spans="1:1">
      <c r="A11693" s="35" t="s">
        <v>41057</v>
      </c>
    </row>
    <row r="11694" spans="1:1">
      <c r="A11694" s="35" t="s">
        <v>41057</v>
      </c>
    </row>
    <row r="11695" spans="1:1">
      <c r="A11695" s="35" t="s">
        <v>41057</v>
      </c>
    </row>
    <row r="11696" spans="1:1">
      <c r="A11696" s="35" t="s">
        <v>41057</v>
      </c>
    </row>
    <row r="11697" spans="1:1">
      <c r="A11697" s="35" t="s">
        <v>41057</v>
      </c>
    </row>
    <row r="11698" spans="1:1">
      <c r="A11698" s="35" t="s">
        <v>41057</v>
      </c>
    </row>
    <row r="11699" spans="1:1">
      <c r="A11699" s="35" t="s">
        <v>41057</v>
      </c>
    </row>
    <row r="11700" spans="1:1">
      <c r="A11700" s="35" t="s">
        <v>41057</v>
      </c>
    </row>
    <row r="11701" spans="1:1">
      <c r="A11701" s="35" t="s">
        <v>56560</v>
      </c>
    </row>
    <row r="11702" spans="1:1">
      <c r="A11702" s="35" t="s">
        <v>41057</v>
      </c>
    </row>
    <row r="11703" spans="1:1">
      <c r="A11703" s="35" t="s">
        <v>56561</v>
      </c>
    </row>
    <row r="11704" spans="1:1">
      <c r="A11704" s="35" t="s">
        <v>41057</v>
      </c>
    </row>
    <row r="11705" spans="1:1">
      <c r="A11705" s="35" t="s">
        <v>41057</v>
      </c>
    </row>
    <row r="11706" spans="1:1">
      <c r="A11706" s="35" t="s">
        <v>56562</v>
      </c>
    </row>
    <row r="11707" spans="1:1">
      <c r="A11707" s="35" t="s">
        <v>41057</v>
      </c>
    </row>
    <row r="11708" spans="1:1">
      <c r="A11708" s="35" t="s">
        <v>41057</v>
      </c>
    </row>
    <row r="11709" spans="1:1">
      <c r="A11709" s="35" t="s">
        <v>53500</v>
      </c>
    </row>
    <row r="11710" spans="1:1">
      <c r="A11710" s="35" t="s">
        <v>41057</v>
      </c>
    </row>
    <row r="11711" spans="1:1">
      <c r="A11711" s="35" t="s">
        <v>41057</v>
      </c>
    </row>
    <row r="11712" spans="1:1">
      <c r="A11712" s="35" t="s">
        <v>56563</v>
      </c>
    </row>
    <row r="11713" spans="1:1">
      <c r="A11713" s="35" t="s">
        <v>41057</v>
      </c>
    </row>
    <row r="11714" spans="1:1">
      <c r="A11714" s="35" t="s">
        <v>56564</v>
      </c>
    </row>
    <row r="11715" spans="1:1">
      <c r="A11715" s="35" t="s">
        <v>41057</v>
      </c>
    </row>
    <row r="11716" spans="1:1">
      <c r="A11716" s="35" t="s">
        <v>53907</v>
      </c>
    </row>
    <row r="11717" spans="1:1">
      <c r="A11717" s="35" t="s">
        <v>56565</v>
      </c>
    </row>
    <row r="11718" spans="1:1">
      <c r="A11718" s="35" t="s">
        <v>41057</v>
      </c>
    </row>
    <row r="11719" spans="1:1">
      <c r="A11719" s="35" t="s">
        <v>41057</v>
      </c>
    </row>
    <row r="11720" spans="1:1">
      <c r="A11720" s="35" t="s">
        <v>56566</v>
      </c>
    </row>
    <row r="11721" spans="1:1">
      <c r="A11721" s="35" t="s">
        <v>41057</v>
      </c>
    </row>
    <row r="11722" spans="1:1">
      <c r="A11722" s="35" t="s">
        <v>41057</v>
      </c>
    </row>
    <row r="11723" spans="1:1">
      <c r="A11723" s="35" t="s">
        <v>41057</v>
      </c>
    </row>
    <row r="11724" spans="1:1">
      <c r="A11724" s="35" t="s">
        <v>41057</v>
      </c>
    </row>
    <row r="11725" spans="1:1">
      <c r="A11725" s="35" t="s">
        <v>41057</v>
      </c>
    </row>
    <row r="11726" spans="1:1">
      <c r="A11726" s="35" t="s">
        <v>55096</v>
      </c>
    </row>
    <row r="11727" spans="1:1">
      <c r="A11727" s="35" t="s">
        <v>41057</v>
      </c>
    </row>
    <row r="11728" spans="1:1">
      <c r="A11728" s="35" t="s">
        <v>41057</v>
      </c>
    </row>
    <row r="11729" spans="1:1">
      <c r="A11729" s="35" t="s">
        <v>41057</v>
      </c>
    </row>
    <row r="11730" spans="1:1">
      <c r="A11730" s="35" t="s">
        <v>41057</v>
      </c>
    </row>
    <row r="11731" spans="1:1">
      <c r="A11731" s="35" t="s">
        <v>41057</v>
      </c>
    </row>
    <row r="11732" spans="1:1">
      <c r="A11732" s="35" t="s">
        <v>41057</v>
      </c>
    </row>
    <row r="11733" spans="1:1">
      <c r="A11733" s="35" t="s">
        <v>41057</v>
      </c>
    </row>
    <row r="11734" spans="1:1">
      <c r="A11734" s="35" t="s">
        <v>41057</v>
      </c>
    </row>
    <row r="11735" spans="1:1">
      <c r="A11735" s="35" t="s">
        <v>41057</v>
      </c>
    </row>
    <row r="11736" spans="1:1">
      <c r="A11736" s="35" t="s">
        <v>41057</v>
      </c>
    </row>
    <row r="11737" spans="1:1">
      <c r="A11737" s="35" t="s">
        <v>41057</v>
      </c>
    </row>
    <row r="11738" spans="1:1">
      <c r="A11738" s="35" t="s">
        <v>41057</v>
      </c>
    </row>
    <row r="11739" spans="1:1">
      <c r="A11739" s="35" t="s">
        <v>41057</v>
      </c>
    </row>
    <row r="11740" spans="1:1">
      <c r="A11740" s="35" t="s">
        <v>41057</v>
      </c>
    </row>
    <row r="11741" spans="1:1">
      <c r="A11741" s="35" t="s">
        <v>41057</v>
      </c>
    </row>
    <row r="11742" spans="1:1">
      <c r="A11742" s="35" t="s">
        <v>56567</v>
      </c>
    </row>
    <row r="11743" spans="1:1">
      <c r="A11743" s="35" t="s">
        <v>41057</v>
      </c>
    </row>
    <row r="11744" spans="1:1">
      <c r="A11744" s="35" t="s">
        <v>41057</v>
      </c>
    </row>
    <row r="11745" spans="1:1">
      <c r="A11745" s="35" t="s">
        <v>56568</v>
      </c>
    </row>
    <row r="11746" spans="1:1">
      <c r="A11746" s="35" t="s">
        <v>41057</v>
      </c>
    </row>
    <row r="11747" spans="1:1">
      <c r="A11747" s="35" t="s">
        <v>41057</v>
      </c>
    </row>
    <row r="11748" spans="1:1">
      <c r="A11748" s="35" t="s">
        <v>41057</v>
      </c>
    </row>
    <row r="11749" spans="1:1">
      <c r="A11749" s="35" t="s">
        <v>41057</v>
      </c>
    </row>
    <row r="11750" spans="1:1">
      <c r="A11750" s="35" t="s">
        <v>41057</v>
      </c>
    </row>
    <row r="11751" spans="1:1">
      <c r="A11751" s="35" t="s">
        <v>41057</v>
      </c>
    </row>
    <row r="11752" spans="1:1">
      <c r="A11752" s="35" t="s">
        <v>41057</v>
      </c>
    </row>
    <row r="11753" spans="1:1">
      <c r="A11753" s="35" t="e" cm="1">
        <f t="array" ref="A11753">-----------------------------------------------------YP---AE</f>
        <v>#NAME?</v>
      </c>
    </row>
    <row r="11754" spans="1:1">
      <c r="A11754" s="35" t="s">
        <v>56569</v>
      </c>
    </row>
    <row r="11755" spans="1:1">
      <c r="A11755" s="35" t="e" cm="1">
        <f t="array" ref="A11755">---------------GEYIRIHNAIMD---------TPDR------------------RD</f>
        <v>#NAME?</v>
      </c>
    </row>
    <row r="11756" spans="1:1">
      <c r="A11756" s="35" t="s">
        <v>56570</v>
      </c>
    </row>
    <row r="11757" spans="1:1">
      <c r="A11757" s="35" t="e" cm="1">
        <f t="array" ref="A11757">---------------------------------------------FEVSD--------DQ</f>
        <v>#NAME?</v>
      </c>
    </row>
    <row r="11758" spans="1:1">
      <c r="A11758" s="35" t="s">
        <v>54298</v>
      </c>
    </row>
    <row r="11759" spans="1:1">
      <c r="A11759" s="35" t="s">
        <v>56571</v>
      </c>
    </row>
    <row r="11760" spans="1:1">
      <c r="A11760" s="35" t="s">
        <v>41057</v>
      </c>
    </row>
    <row r="11761" spans="1:1">
      <c r="A11761" s="35" t="s">
        <v>56572</v>
      </c>
    </row>
    <row r="11762" spans="1:1">
      <c r="A11762" s="35" t="s">
        <v>56573</v>
      </c>
    </row>
    <row r="11763" spans="1:1">
      <c r="A11763" s="35" t="s">
        <v>41057</v>
      </c>
    </row>
    <row r="11764" spans="1:1">
      <c r="A11764" s="35" t="s">
        <v>41057</v>
      </c>
    </row>
    <row r="11765" spans="1:1">
      <c r="A11765" s="35" t="s">
        <v>41057</v>
      </c>
    </row>
    <row r="11766" spans="1:1">
      <c r="A11766" s="35" t="s">
        <v>41057</v>
      </c>
    </row>
    <row r="11767" spans="1:1">
      <c r="A11767" s="35" t="s">
        <v>56574</v>
      </c>
    </row>
    <row r="11768" spans="1:1">
      <c r="A11768" s="35" t="s">
        <v>41057</v>
      </c>
    </row>
    <row r="11769" spans="1:1">
      <c r="A11769" s="35" t="s">
        <v>41057</v>
      </c>
    </row>
    <row r="11770" spans="1:1">
      <c r="A11770" s="35" t="s">
        <v>41057</v>
      </c>
    </row>
    <row r="11771" spans="1:1">
      <c r="A11771" s="35" t="s">
        <v>56575</v>
      </c>
    </row>
    <row r="11772" spans="1:1">
      <c r="A11772" s="35" t="s">
        <v>56576</v>
      </c>
    </row>
    <row r="11773" spans="1:1">
      <c r="A11773" s="35" t="e" cm="1">
        <f t="array" ref="A11773">-----DM--------------------L-------FPY--------------VQMVEDRV</f>
        <v>#NAME?</v>
      </c>
    </row>
    <row r="11774" spans="1:1">
      <c r="A11774" s="35" t="s">
        <v>56577</v>
      </c>
    </row>
    <row r="11775" spans="1:1">
      <c r="A11775" s="35" t="s">
        <v>56578</v>
      </c>
    </row>
    <row r="11776" spans="1:1">
      <c r="A11776" s="35" t="s">
        <v>56579</v>
      </c>
    </row>
    <row r="11777" spans="1:1">
      <c r="A11777" s="35" t="e" cm="1">
        <f t="array" ref="A11777">-TQGSDYEIWVDIDITHNLEDFSRMTVAYTIGLYEASGGG------RLNNEQPSSTKD-K</f>
        <v>#NAME?</v>
      </c>
    </row>
    <row r="11778" spans="1:1">
      <c r="A11778" s="35" t="s">
        <v>56580</v>
      </c>
    </row>
    <row r="11779" spans="1:1">
      <c r="A11779" s="35" t="s">
        <v>56581</v>
      </c>
    </row>
    <row r="11780" spans="1:1">
      <c r="A11780" s="35" t="s">
        <v>41057</v>
      </c>
    </row>
    <row r="11781" spans="1:1">
      <c r="A11781" s="35" t="s">
        <v>56582</v>
      </c>
    </row>
    <row r="11782" spans="1:1">
      <c r="A11782" s="35" t="s">
        <v>41057</v>
      </c>
    </row>
    <row r="11783" spans="1:1">
      <c r="A11783" s="35" t="s">
        <v>56583</v>
      </c>
    </row>
    <row r="11784" spans="1:1">
      <c r="A11784" s="35" t="s">
        <v>56584</v>
      </c>
    </row>
    <row r="11785" spans="1:1">
      <c r="A11785" s="35" t="s">
        <v>41057</v>
      </c>
    </row>
    <row r="11786" spans="1:1">
      <c r="A11786" s="35" t="s">
        <v>41057</v>
      </c>
    </row>
    <row r="11787" spans="1:1">
      <c r="A11787" s="35" t="s">
        <v>41057</v>
      </c>
    </row>
    <row r="11788" spans="1:1">
      <c r="A11788" s="35" t="e" cm="1">
        <f t="array" ref="A11788">---------------------------------------------------TRFDPLDSA</f>
        <v>#NAME?</v>
      </c>
    </row>
    <row r="11789" spans="1:1">
      <c r="A11789" s="35" t="s">
        <v>56585</v>
      </c>
    </row>
    <row r="11790" spans="1:1">
      <c r="A11790" s="35" t="s">
        <v>56586</v>
      </c>
    </row>
    <row r="11791" spans="1:1">
      <c r="A11791" s="35" t="s">
        <v>56587</v>
      </c>
    </row>
    <row r="11792" spans="1:1">
      <c r="A11792" s="35" t="s">
        <v>56588</v>
      </c>
    </row>
    <row r="11793" spans="1:1">
      <c r="A11793" s="35" t="s">
        <v>56589</v>
      </c>
    </row>
    <row r="11794" spans="1:1">
      <c r="A11794" s="35" t="s">
        <v>56590</v>
      </c>
    </row>
    <row r="11795" spans="1:1">
      <c r="A11795" s="35" t="e" cm="1">
        <f t="array" ref="A11795">-----------------------------------------------------------L</f>
        <v>#NAME?</v>
      </c>
    </row>
    <row r="11796" spans="1:1">
      <c r="A11796" s="35" t="s">
        <v>56591</v>
      </c>
    </row>
    <row r="11797" spans="1:1">
      <c r="A11797" s="35" t="s">
        <v>56592</v>
      </c>
    </row>
    <row r="11798" spans="1:1">
      <c r="A11798" s="35" t="s">
        <v>56593</v>
      </c>
    </row>
    <row r="11799" spans="1:1">
      <c r="A11799" s="35" t="s">
        <v>41057</v>
      </c>
    </row>
    <row r="11800" spans="1:1">
      <c r="A11800" s="35" t="s">
        <v>53545</v>
      </c>
    </row>
    <row r="11801" spans="1:1">
      <c r="A11801" s="35" t="s">
        <v>53376</v>
      </c>
    </row>
    <row r="11802" spans="1:1">
      <c r="A11802" s="35" t="s">
        <v>41057</v>
      </c>
    </row>
    <row r="11803" spans="1:1">
      <c r="A11803" s="35" t="s">
        <v>41057</v>
      </c>
    </row>
    <row r="11804" spans="1:1">
      <c r="A11804" s="35" t="s">
        <v>41057</v>
      </c>
    </row>
    <row r="11805" spans="1:1">
      <c r="A11805" s="35" t="s">
        <v>41057</v>
      </c>
    </row>
    <row r="11806" spans="1:1">
      <c r="A11806" s="35" t="s">
        <v>56594</v>
      </c>
    </row>
    <row r="11807" spans="1:1">
      <c r="A11807" s="35" t="s">
        <v>56595</v>
      </c>
    </row>
    <row r="11808" spans="1:1">
      <c r="A11808" s="35" t="s">
        <v>41057</v>
      </c>
    </row>
    <row r="11809" spans="1:1">
      <c r="A11809" s="35" t="s">
        <v>41057</v>
      </c>
    </row>
    <row r="11810" spans="1:1">
      <c r="A11810" s="35" t="s">
        <v>41057</v>
      </c>
    </row>
    <row r="11811" spans="1:1">
      <c r="A11811" s="35" t="s">
        <v>56596</v>
      </c>
    </row>
    <row r="11812" spans="1:1">
      <c r="A11812" s="35" t="s">
        <v>56597</v>
      </c>
    </row>
    <row r="11813" spans="1:1">
      <c r="A11813" s="35" t="s">
        <v>56598</v>
      </c>
    </row>
    <row r="11814" spans="1:1">
      <c r="A11814" s="35" t="s">
        <v>56599</v>
      </c>
    </row>
    <row r="11815" spans="1:1">
      <c r="A11815" s="35" t="s">
        <v>41057</v>
      </c>
    </row>
    <row r="11816" spans="1:1">
      <c r="A11816" s="35" t="s">
        <v>41057</v>
      </c>
    </row>
    <row r="11817" spans="1:1">
      <c r="A11817" s="35" t="e" cm="1">
        <f t="array" ref="A11817">---------------FLALKP----------------FRQ-------------------V</f>
        <v>#NAME?</v>
      </c>
    </row>
    <row r="11818" spans="1:1">
      <c r="A11818" s="35" t="s">
        <v>56600</v>
      </c>
    </row>
    <row r="11819" spans="1:1">
      <c r="A11819" s="35" t="s">
        <v>56601</v>
      </c>
    </row>
    <row r="11820" spans="1:1">
      <c r="A11820" s="35" t="s">
        <v>41057</v>
      </c>
    </row>
    <row r="11821" spans="1:1">
      <c r="A11821" s="35" t="s">
        <v>56561</v>
      </c>
    </row>
    <row r="11822" spans="1:1">
      <c r="A11822" s="35" t="s">
        <v>41057</v>
      </c>
    </row>
    <row r="11823" spans="1:1">
      <c r="A11823" s="35" t="s">
        <v>41057</v>
      </c>
    </row>
    <row r="11824" spans="1:1">
      <c r="A11824" s="35" t="s">
        <v>56562</v>
      </c>
    </row>
    <row r="11825" spans="1:1">
      <c r="A11825" s="35" t="s">
        <v>41057</v>
      </c>
    </row>
    <row r="11826" spans="1:1">
      <c r="A11826" s="35" t="s">
        <v>41057</v>
      </c>
    </row>
    <row r="11827" spans="1:1">
      <c r="A11827" s="35" t="s">
        <v>53500</v>
      </c>
    </row>
    <row r="11828" spans="1:1">
      <c r="A11828" s="35" t="s">
        <v>41057</v>
      </c>
    </row>
    <row r="11829" spans="1:1">
      <c r="A11829" s="35" t="s">
        <v>41057</v>
      </c>
    </row>
    <row r="11830" spans="1:1">
      <c r="A11830" s="35" t="s">
        <v>56563</v>
      </c>
    </row>
    <row r="11831" spans="1:1">
      <c r="A11831" s="35" t="s">
        <v>41057</v>
      </c>
    </row>
    <row r="11832" spans="1:1">
      <c r="A11832" s="35" t="s">
        <v>56564</v>
      </c>
    </row>
    <row r="11833" spans="1:1">
      <c r="A11833" s="35" t="s">
        <v>41057</v>
      </c>
    </row>
    <row r="11834" spans="1:1">
      <c r="A11834" s="35" t="s">
        <v>53966</v>
      </c>
    </row>
    <row r="11835" spans="1:1">
      <c r="A11835" s="35" t="s">
        <v>56565</v>
      </c>
    </row>
    <row r="11836" spans="1:1">
      <c r="A11836" s="35" t="s">
        <v>41057</v>
      </c>
    </row>
    <row r="11837" spans="1:1">
      <c r="A11837" s="35" t="s">
        <v>41057</v>
      </c>
    </row>
    <row r="11838" spans="1:1">
      <c r="A11838" s="35" t="s">
        <v>56566</v>
      </c>
    </row>
    <row r="11839" spans="1:1">
      <c r="A11839" s="35" t="s">
        <v>41057</v>
      </c>
    </row>
    <row r="11840" spans="1:1">
      <c r="A11840" s="35" t="s">
        <v>41057</v>
      </c>
    </row>
    <row r="11841" spans="1:1">
      <c r="A11841" s="35" t="s">
        <v>41057</v>
      </c>
    </row>
    <row r="11842" spans="1:1">
      <c r="A11842" s="35" t="s">
        <v>41057</v>
      </c>
    </row>
    <row r="11843" spans="1:1">
      <c r="A11843" s="35" t="s">
        <v>41057</v>
      </c>
    </row>
    <row r="11844" spans="1:1">
      <c r="A11844" s="35" t="s">
        <v>55096</v>
      </c>
    </row>
    <row r="11845" spans="1:1">
      <c r="A11845" s="35" t="s">
        <v>41057</v>
      </c>
    </row>
    <row r="11846" spans="1:1">
      <c r="A11846" s="35" t="s">
        <v>41057</v>
      </c>
    </row>
    <row r="11847" spans="1:1">
      <c r="A11847" s="35" t="s">
        <v>41057</v>
      </c>
    </row>
    <row r="11848" spans="1:1">
      <c r="A11848" s="35" t="s">
        <v>41057</v>
      </c>
    </row>
    <row r="11849" spans="1:1">
      <c r="A11849" s="35" t="s">
        <v>41057</v>
      </c>
    </row>
    <row r="11850" spans="1:1">
      <c r="A11850" s="35" t="s">
        <v>41057</v>
      </c>
    </row>
    <row r="11851" spans="1:1">
      <c r="A11851" s="35" t="s">
        <v>41057</v>
      </c>
    </row>
    <row r="11852" spans="1:1">
      <c r="A11852" s="35" t="s">
        <v>41057</v>
      </c>
    </row>
    <row r="11853" spans="1:1">
      <c r="A11853" s="35" t="s">
        <v>41057</v>
      </c>
    </row>
    <row r="11854" spans="1:1">
      <c r="A11854" s="35" t="s">
        <v>41057</v>
      </c>
    </row>
    <row r="11855" spans="1:1">
      <c r="A11855" s="35" t="s">
        <v>41057</v>
      </c>
    </row>
    <row r="11856" spans="1:1">
      <c r="A11856" s="35" t="s">
        <v>41057</v>
      </c>
    </row>
    <row r="11857" spans="1:1">
      <c r="A11857" s="35" t="s">
        <v>41057</v>
      </c>
    </row>
    <row r="11858" spans="1:1">
      <c r="A11858" s="35" t="s">
        <v>41057</v>
      </c>
    </row>
    <row r="11859" spans="1:1">
      <c r="A11859" s="35" t="s">
        <v>41057</v>
      </c>
    </row>
    <row r="11860" spans="1:1">
      <c r="A11860" s="35" t="s">
        <v>56602</v>
      </c>
    </row>
    <row r="11861" spans="1:1">
      <c r="A11861" s="35" t="s">
        <v>41057</v>
      </c>
    </row>
    <row r="11862" spans="1:1">
      <c r="A11862" s="35" t="s">
        <v>41057</v>
      </c>
    </row>
    <row r="11863" spans="1:1">
      <c r="A11863" s="35" t="s">
        <v>56568</v>
      </c>
    </row>
    <row r="11864" spans="1:1">
      <c r="A11864" s="35" t="s">
        <v>41057</v>
      </c>
    </row>
    <row r="11865" spans="1:1">
      <c r="A11865" s="35" t="s">
        <v>41057</v>
      </c>
    </row>
    <row r="11866" spans="1:1">
      <c r="A11866" s="35" t="s">
        <v>41057</v>
      </c>
    </row>
    <row r="11867" spans="1:1">
      <c r="A11867" s="35" t="s">
        <v>41057</v>
      </c>
    </row>
    <row r="11868" spans="1:1">
      <c r="A11868" s="35" t="s">
        <v>41057</v>
      </c>
    </row>
    <row r="11869" spans="1:1">
      <c r="A11869" s="35" t="s">
        <v>41057</v>
      </c>
    </row>
    <row r="11870" spans="1:1">
      <c r="A11870" s="35" t="s">
        <v>41057</v>
      </c>
    </row>
    <row r="11871" spans="1:1">
      <c r="A11871" s="35" t="e" cm="1">
        <f t="array" ref="A11871">-----------------------------------------------------YP---AE</f>
        <v>#NAME?</v>
      </c>
    </row>
    <row r="11872" spans="1:1">
      <c r="A11872" s="35" t="s">
        <v>56569</v>
      </c>
    </row>
    <row r="11873" spans="1:1">
      <c r="A11873" s="35" t="e" cm="1">
        <f t="array" ref="A11873">---------------GEYIRIHNAIMD---------TPDR------------------RD</f>
        <v>#NAME?</v>
      </c>
    </row>
    <row r="11874" spans="1:1">
      <c r="A11874" s="35" t="s">
        <v>56570</v>
      </c>
    </row>
    <row r="11875" spans="1:1">
      <c r="A11875" s="35" t="e" cm="1">
        <f t="array" ref="A11875">---------------------------------------------FEVSD--------DQ</f>
        <v>#NAME?</v>
      </c>
    </row>
    <row r="11876" spans="1:1">
      <c r="A11876" s="35" t="s">
        <v>54298</v>
      </c>
    </row>
    <row r="11877" spans="1:1">
      <c r="A11877" s="35" t="s">
        <v>56571</v>
      </c>
    </row>
    <row r="11878" spans="1:1">
      <c r="A11878" s="35" t="s">
        <v>41057</v>
      </c>
    </row>
    <row r="11879" spans="1:1">
      <c r="A11879" s="35" t="s">
        <v>56572</v>
      </c>
    </row>
    <row r="11880" spans="1:1">
      <c r="A11880" s="35" t="s">
        <v>56573</v>
      </c>
    </row>
    <row r="11881" spans="1:1">
      <c r="A11881" s="35" t="s">
        <v>41057</v>
      </c>
    </row>
    <row r="11882" spans="1:1">
      <c r="A11882" s="35" t="s">
        <v>41057</v>
      </c>
    </row>
    <row r="11883" spans="1:1">
      <c r="A11883" s="35" t="s">
        <v>41057</v>
      </c>
    </row>
    <row r="11884" spans="1:1">
      <c r="A11884" s="35" t="s">
        <v>41057</v>
      </c>
    </row>
    <row r="11885" spans="1:1">
      <c r="A11885" s="35" t="s">
        <v>56603</v>
      </c>
    </row>
    <row r="11886" spans="1:1">
      <c r="A11886" s="35" t="s">
        <v>41057</v>
      </c>
    </row>
    <row r="11887" spans="1:1">
      <c r="A11887" s="35" t="s">
        <v>41057</v>
      </c>
    </row>
    <row r="11888" spans="1:1">
      <c r="A11888" s="35" t="s">
        <v>41057</v>
      </c>
    </row>
    <row r="11889" spans="1:1">
      <c r="A11889" s="35" t="s">
        <v>56575</v>
      </c>
    </row>
    <row r="11890" spans="1:1">
      <c r="A11890" s="35" t="s">
        <v>56576</v>
      </c>
    </row>
    <row r="11891" spans="1:1">
      <c r="A11891" s="35" t="e" cm="1">
        <f t="array" ref="A11891">-----DM--------------------L-------FPY--------------VQMVEDRV</f>
        <v>#NAME?</v>
      </c>
    </row>
    <row r="11892" spans="1:1">
      <c r="A11892" s="35" t="s">
        <v>56604</v>
      </c>
    </row>
    <row r="11893" spans="1:1">
      <c r="A11893" s="35" t="s">
        <v>56605</v>
      </c>
    </row>
    <row r="11894" spans="1:1">
      <c r="A11894" s="35" t="s">
        <v>56579</v>
      </c>
    </row>
    <row r="11895" spans="1:1">
      <c r="A11895" s="35" t="s">
        <v>56606</v>
      </c>
    </row>
    <row r="11896" spans="1:1">
      <c r="A11896" s="35" t="s">
        <v>56607</v>
      </c>
    </row>
    <row r="11897" spans="1:1">
      <c r="A11897" s="35" t="s">
        <v>41057</v>
      </c>
    </row>
    <row r="11898" spans="1:1">
      <c r="A11898" s="35" t="s">
        <v>41057</v>
      </c>
    </row>
    <row r="11899" spans="1:1">
      <c r="A11899" s="35" t="s">
        <v>41057</v>
      </c>
    </row>
    <row r="11900" spans="1:1">
      <c r="A11900" s="35" t="s">
        <v>41057</v>
      </c>
    </row>
    <row r="11901" spans="1:1">
      <c r="A11901" s="35" t="s">
        <v>41057</v>
      </c>
    </row>
    <row r="11902" spans="1:1">
      <c r="A11902" s="35" t="s">
        <v>56608</v>
      </c>
    </row>
    <row r="11903" spans="1:1">
      <c r="A11903" s="35" t="s">
        <v>41057</v>
      </c>
    </row>
    <row r="11904" spans="1:1">
      <c r="A11904" s="35" t="s">
        <v>41057</v>
      </c>
    </row>
    <row r="11905" spans="1:1">
      <c r="A11905" s="35" t="s">
        <v>41057</v>
      </c>
    </row>
    <row r="11906" spans="1:1">
      <c r="A11906" s="35" t="s">
        <v>41057</v>
      </c>
    </row>
    <row r="11907" spans="1:1">
      <c r="A11907" s="35" t="s">
        <v>51207</v>
      </c>
    </row>
    <row r="11908" spans="1:1">
      <c r="A11908" s="35" t="s">
        <v>56609</v>
      </c>
    </row>
    <row r="11909" spans="1:1">
      <c r="A11909" s="35" t="s">
        <v>56610</v>
      </c>
    </row>
    <row r="11910" spans="1:1">
      <c r="A11910" s="35" t="s">
        <v>41057</v>
      </c>
    </row>
    <row r="11911" spans="1:1">
      <c r="A11911" s="35" t="s">
        <v>41057</v>
      </c>
    </row>
    <row r="11912" spans="1:1">
      <c r="A11912" s="35" t="s">
        <v>41057</v>
      </c>
    </row>
    <row r="11913" spans="1:1">
      <c r="A11913" s="35" t="s">
        <v>41057</v>
      </c>
    </row>
    <row r="11914" spans="1:1">
      <c r="A11914" s="35" t="s">
        <v>41057</v>
      </c>
    </row>
    <row r="11915" spans="1:1">
      <c r="A11915" s="35" t="s">
        <v>41057</v>
      </c>
    </row>
    <row r="11916" spans="1:1">
      <c r="A11916" s="35" t="s">
        <v>41057</v>
      </c>
    </row>
    <row r="11917" spans="1:1">
      <c r="A11917" s="35" t="s">
        <v>41057</v>
      </c>
    </row>
    <row r="11918" spans="1:1">
      <c r="A11918" s="35" t="s">
        <v>53545</v>
      </c>
    </row>
    <row r="11919" spans="1:1">
      <c r="A11919" s="35" t="s">
        <v>53065</v>
      </c>
    </row>
    <row r="11920" spans="1:1">
      <c r="A11920" s="35" t="s">
        <v>41057</v>
      </c>
    </row>
    <row r="11921" spans="1:1">
      <c r="A11921" s="35" t="s">
        <v>41057</v>
      </c>
    </row>
    <row r="11922" spans="1:1">
      <c r="A11922" s="35" t="s">
        <v>41057</v>
      </c>
    </row>
    <row r="11923" spans="1:1">
      <c r="A11923" s="35" t="s">
        <v>50617</v>
      </c>
    </row>
    <row r="11924" spans="1:1">
      <c r="A11924" s="35" t="s">
        <v>56611</v>
      </c>
    </row>
    <row r="11925" spans="1:1">
      <c r="A11925" s="35" t="s">
        <v>56612</v>
      </c>
    </row>
    <row r="11926" spans="1:1">
      <c r="A11926" s="35" t="s">
        <v>41057</v>
      </c>
    </row>
    <row r="11927" spans="1:1">
      <c r="A11927" s="35" t="s">
        <v>41057</v>
      </c>
    </row>
    <row r="11928" spans="1:1">
      <c r="A11928" s="35" t="s">
        <v>41057</v>
      </c>
    </row>
    <row r="11929" spans="1:1">
      <c r="A11929" s="35" t="s">
        <v>53492</v>
      </c>
    </row>
    <row r="11930" spans="1:1">
      <c r="A11930" s="35" t="s">
        <v>56597</v>
      </c>
    </row>
    <row r="11931" spans="1:1">
      <c r="A11931" s="35" t="s">
        <v>56613</v>
      </c>
    </row>
    <row r="11932" spans="1:1">
      <c r="A11932" s="35" t="s">
        <v>56599</v>
      </c>
    </row>
    <row r="11933" spans="1:1">
      <c r="A11933" s="35" t="s">
        <v>41057</v>
      </c>
    </row>
    <row r="11934" spans="1:1">
      <c r="A11934" s="35" t="s">
        <v>41057</v>
      </c>
    </row>
    <row r="11935" spans="1:1">
      <c r="A11935" s="35" t="e" cm="1">
        <f t="array" ref="A11935">---------------FLAEKP----------------FRQ-------------------L</f>
        <v>#NAME?</v>
      </c>
    </row>
    <row r="11936" spans="1:1">
      <c r="A11936" s="35" t="s">
        <v>56600</v>
      </c>
    </row>
    <row r="11937" spans="1:1">
      <c r="A11937" s="35" t="s">
        <v>56614</v>
      </c>
    </row>
    <row r="11938" spans="1:1">
      <c r="A11938" s="35" t="s">
        <v>41057</v>
      </c>
    </row>
    <row r="11939" spans="1:1">
      <c r="A11939" s="35" t="s">
        <v>56615</v>
      </c>
    </row>
    <row r="11940" spans="1:1">
      <c r="A11940" s="35" t="s">
        <v>41057</v>
      </c>
    </row>
    <row r="11941" spans="1:1">
      <c r="A11941" s="35" t="s">
        <v>41057</v>
      </c>
    </row>
    <row r="11942" spans="1:1">
      <c r="A11942" s="35" t="s">
        <v>56616</v>
      </c>
    </row>
    <row r="11943" spans="1:1">
      <c r="A11943" s="35" t="s">
        <v>41057</v>
      </c>
    </row>
    <row r="11944" spans="1:1">
      <c r="A11944" s="35" t="s">
        <v>41057</v>
      </c>
    </row>
    <row r="11945" spans="1:1">
      <c r="A11945" s="35" t="s">
        <v>53500</v>
      </c>
    </row>
    <row r="11946" spans="1:1">
      <c r="A11946" s="35" t="s">
        <v>41057</v>
      </c>
    </row>
    <row r="11947" spans="1:1">
      <c r="A11947" s="35" t="s">
        <v>41057</v>
      </c>
    </row>
    <row r="11948" spans="1:1">
      <c r="A11948" s="35" t="s">
        <v>56563</v>
      </c>
    </row>
    <row r="11949" spans="1:1">
      <c r="A11949" s="35" t="s">
        <v>41057</v>
      </c>
    </row>
    <row r="11950" spans="1:1">
      <c r="A11950" s="35" t="s">
        <v>56617</v>
      </c>
    </row>
    <row r="11951" spans="1:1">
      <c r="A11951" s="35" t="s">
        <v>41057</v>
      </c>
    </row>
    <row r="11952" spans="1:1">
      <c r="A11952" s="35" t="s">
        <v>56618</v>
      </c>
    </row>
    <row r="11953" spans="1:1">
      <c r="A11953" s="35" t="s">
        <v>56619</v>
      </c>
    </row>
    <row r="11954" spans="1:1">
      <c r="A11954" s="35" t="s">
        <v>41057</v>
      </c>
    </row>
    <row r="11955" spans="1:1">
      <c r="A11955" s="35" t="s">
        <v>41057</v>
      </c>
    </row>
    <row r="11956" spans="1:1">
      <c r="A11956" s="35" t="s">
        <v>56620</v>
      </c>
    </row>
    <row r="11957" spans="1:1">
      <c r="A11957" s="35" t="s">
        <v>41057</v>
      </c>
    </row>
    <row r="11958" spans="1:1">
      <c r="A11958" s="35" t="s">
        <v>41057</v>
      </c>
    </row>
    <row r="11959" spans="1:1">
      <c r="A11959" s="35" t="s">
        <v>41057</v>
      </c>
    </row>
    <row r="11960" spans="1:1">
      <c r="A11960" s="35" t="s">
        <v>41057</v>
      </c>
    </row>
    <row r="11961" spans="1:1">
      <c r="A11961" s="35" t="s">
        <v>41057</v>
      </c>
    </row>
    <row r="11962" spans="1:1">
      <c r="A11962" s="35" t="s">
        <v>55096</v>
      </c>
    </row>
    <row r="11963" spans="1:1">
      <c r="A11963" s="35" t="s">
        <v>41057</v>
      </c>
    </row>
    <row r="11964" spans="1:1">
      <c r="A11964" s="35" t="s">
        <v>41057</v>
      </c>
    </row>
    <row r="11965" spans="1:1">
      <c r="A11965" s="35" t="s">
        <v>41057</v>
      </c>
    </row>
    <row r="11966" spans="1:1">
      <c r="A11966" s="35" t="s">
        <v>41057</v>
      </c>
    </row>
    <row r="11967" spans="1:1">
      <c r="A11967" s="35" t="s">
        <v>41057</v>
      </c>
    </row>
    <row r="11968" spans="1:1">
      <c r="A11968" s="35" t="s">
        <v>41057</v>
      </c>
    </row>
    <row r="11969" spans="1:1">
      <c r="A11969" s="35" t="s">
        <v>41057</v>
      </c>
    </row>
    <row r="11970" spans="1:1">
      <c r="A11970" s="35" t="s">
        <v>41057</v>
      </c>
    </row>
    <row r="11971" spans="1:1">
      <c r="A11971" s="35" t="s">
        <v>41057</v>
      </c>
    </row>
    <row r="11972" spans="1:1">
      <c r="A11972" s="35" t="s">
        <v>41057</v>
      </c>
    </row>
    <row r="11973" spans="1:1">
      <c r="A11973" s="35" t="s">
        <v>41057</v>
      </c>
    </row>
    <row r="11974" spans="1:1">
      <c r="A11974" s="35" t="s">
        <v>41057</v>
      </c>
    </row>
    <row r="11975" spans="1:1">
      <c r="A11975" s="35" t="s">
        <v>41057</v>
      </c>
    </row>
    <row r="11976" spans="1:1">
      <c r="A11976" s="35" t="s">
        <v>41057</v>
      </c>
    </row>
    <row r="11977" spans="1:1">
      <c r="A11977" s="35" t="s">
        <v>41057</v>
      </c>
    </row>
    <row r="11978" spans="1:1">
      <c r="A11978" s="35" t="s">
        <v>56621</v>
      </c>
    </row>
    <row r="11979" spans="1:1">
      <c r="A11979" s="35" t="s">
        <v>41057</v>
      </c>
    </row>
    <row r="11980" spans="1:1">
      <c r="A11980" s="35" t="s">
        <v>41057</v>
      </c>
    </row>
    <row r="11981" spans="1:1">
      <c r="A11981" s="35" t="s">
        <v>56229</v>
      </c>
    </row>
    <row r="11982" spans="1:1">
      <c r="A11982" s="35" t="s">
        <v>41057</v>
      </c>
    </row>
    <row r="11983" spans="1:1">
      <c r="A11983" s="35" t="s">
        <v>41057</v>
      </c>
    </row>
    <row r="11984" spans="1:1">
      <c r="A11984" s="35" t="s">
        <v>41057</v>
      </c>
    </row>
    <row r="11985" spans="1:1">
      <c r="A11985" s="35" t="s">
        <v>41057</v>
      </c>
    </row>
    <row r="11986" spans="1:1">
      <c r="A11986" s="35" t="s">
        <v>41057</v>
      </c>
    </row>
    <row r="11987" spans="1:1">
      <c r="A11987" s="35" t="s">
        <v>41057</v>
      </c>
    </row>
    <row r="11988" spans="1:1">
      <c r="A11988" s="35" t="s">
        <v>41057</v>
      </c>
    </row>
    <row r="11989" spans="1:1">
      <c r="A11989" s="35" t="e" cm="1">
        <f t="array" ref="A11989">-----------------------------------------------------YP---AE</f>
        <v>#NAME?</v>
      </c>
    </row>
    <row r="11990" spans="1:1">
      <c r="A11990" s="35" t="s">
        <v>56622</v>
      </c>
    </row>
    <row r="11991" spans="1:1">
      <c r="A11991" s="35" t="e" cm="1">
        <f t="array" ref="A11991">---------------GEYIRIHNTIMD---------DQDK------------------RD</f>
        <v>#NAME?</v>
      </c>
    </row>
    <row r="11992" spans="1:1">
      <c r="A11992" s="35" t="s">
        <v>56623</v>
      </c>
    </row>
    <row r="11993" spans="1:1">
      <c r="A11993" s="35" t="e" cm="1">
        <f t="array" ref="A11993">---------------------------------------------FEIAE--------EQ</f>
        <v>#NAME?</v>
      </c>
    </row>
    <row r="11994" spans="1:1">
      <c r="A11994" s="35" t="s">
        <v>54298</v>
      </c>
    </row>
    <row r="11995" spans="1:1">
      <c r="A11995" s="35" t="s">
        <v>56624</v>
      </c>
    </row>
    <row r="11996" spans="1:1">
      <c r="A11996" s="35" t="s">
        <v>41057</v>
      </c>
    </row>
    <row r="11997" spans="1:1">
      <c r="A11997" s="35" t="s">
        <v>56625</v>
      </c>
    </row>
    <row r="11998" spans="1:1">
      <c r="A11998" s="35" t="s">
        <v>56626</v>
      </c>
    </row>
    <row r="11999" spans="1:1">
      <c r="A11999" s="35" t="s">
        <v>41057</v>
      </c>
    </row>
    <row r="12000" spans="1:1">
      <c r="A12000" s="35" t="s">
        <v>41057</v>
      </c>
    </row>
    <row r="12001" spans="1:1">
      <c r="A12001" s="35" t="s">
        <v>41057</v>
      </c>
    </row>
    <row r="12002" spans="1:1">
      <c r="A12002" s="35" t="s">
        <v>41057</v>
      </c>
    </row>
    <row r="12003" spans="1:1">
      <c r="A12003" s="35" t="s">
        <v>56627</v>
      </c>
    </row>
    <row r="12004" spans="1:1">
      <c r="A12004" s="35" t="s">
        <v>41057</v>
      </c>
    </row>
    <row r="12005" spans="1:1">
      <c r="A12005" s="35" t="s">
        <v>41057</v>
      </c>
    </row>
    <row r="12006" spans="1:1">
      <c r="A12006" s="35" t="s">
        <v>41057</v>
      </c>
    </row>
    <row r="12007" spans="1:1">
      <c r="A12007" s="35" t="s">
        <v>56628</v>
      </c>
    </row>
    <row r="12008" spans="1:1">
      <c r="A12008" s="35" t="s">
        <v>56629</v>
      </c>
    </row>
    <row r="12009" spans="1:1">
      <c r="A12009" s="35" t="e" cm="1">
        <f t="array" ref="A12009">-----DM--------------------L-------FPY--------------VQMVEDRV</f>
        <v>#NAME?</v>
      </c>
    </row>
    <row r="12010" spans="1:1">
      <c r="A12010" s="35" t="s">
        <v>56630</v>
      </c>
    </row>
    <row r="12011" spans="1:1">
      <c r="A12011" s="35" t="s">
        <v>56631</v>
      </c>
    </row>
    <row r="12012" spans="1:1">
      <c r="A12012" s="35" t="s">
        <v>56632</v>
      </c>
    </row>
    <row r="12013" spans="1:1">
      <c r="A12013" s="35" t="s">
        <v>56633</v>
      </c>
    </row>
    <row r="12014" spans="1:1">
      <c r="A12014" s="35" t="s">
        <v>56634</v>
      </c>
    </row>
    <row r="12015" spans="1:1">
      <c r="A12015" s="35" t="s">
        <v>56635</v>
      </c>
    </row>
    <row r="12016" spans="1:1">
      <c r="A12016" s="35" t="s">
        <v>41057</v>
      </c>
    </row>
    <row r="12017" spans="1:1">
      <c r="A12017" s="35" t="s">
        <v>56636</v>
      </c>
    </row>
    <row r="12018" spans="1:1">
      <c r="A12018" s="35" t="s">
        <v>41057</v>
      </c>
    </row>
    <row r="12019" spans="1:1">
      <c r="A12019" s="35" t="s">
        <v>56637</v>
      </c>
    </row>
    <row r="12020" spans="1:1">
      <c r="A12020" s="35" t="s">
        <v>56638</v>
      </c>
    </row>
    <row r="12021" spans="1:1">
      <c r="A12021" s="35" t="s">
        <v>41057</v>
      </c>
    </row>
    <row r="12022" spans="1:1">
      <c r="A12022" s="35" t="s">
        <v>41057</v>
      </c>
    </row>
    <row r="12023" spans="1:1">
      <c r="A12023" s="35" t="s">
        <v>41057</v>
      </c>
    </row>
    <row r="12024" spans="1:1">
      <c r="A12024" s="35" t="e" cm="1">
        <f t="array" ref="A12024">---------------------------------------------------TRHDPLDSA</f>
        <v>#NAME?</v>
      </c>
    </row>
    <row r="12025" spans="1:1">
      <c r="A12025" s="35" t="s">
        <v>56639</v>
      </c>
    </row>
    <row r="12026" spans="1:1">
      <c r="A12026" s="35" t="s">
        <v>56640</v>
      </c>
    </row>
    <row r="12027" spans="1:1">
      <c r="A12027" s="35" t="s">
        <v>56641</v>
      </c>
    </row>
    <row r="12028" spans="1:1">
      <c r="A12028" s="35" t="s">
        <v>56642</v>
      </c>
    </row>
    <row r="12029" spans="1:1">
      <c r="A12029" s="35" t="s">
        <v>56643</v>
      </c>
    </row>
    <row r="12030" spans="1:1">
      <c r="A12030" s="35" t="s">
        <v>56644</v>
      </c>
    </row>
    <row r="12031" spans="1:1">
      <c r="A12031" s="35" t="e" cm="1">
        <f t="array" ref="A12031">-----------------------------------------------------------L</f>
        <v>#NAME?</v>
      </c>
    </row>
    <row r="12032" spans="1:1">
      <c r="A12032" s="35" t="s">
        <v>56645</v>
      </c>
    </row>
    <row r="12033" spans="1:1">
      <c r="A12033" s="35" t="s">
        <v>56646</v>
      </c>
    </row>
    <row r="12034" spans="1:1">
      <c r="A12034" s="35" t="s">
        <v>56593</v>
      </c>
    </row>
    <row r="12035" spans="1:1">
      <c r="A12035" s="35" t="s">
        <v>41057</v>
      </c>
    </row>
    <row r="12036" spans="1:1">
      <c r="A12036" s="35" t="s">
        <v>53545</v>
      </c>
    </row>
    <row r="12037" spans="1:1">
      <c r="A12037" s="35" t="s">
        <v>52902</v>
      </c>
    </row>
    <row r="12038" spans="1:1">
      <c r="A12038" s="35" t="s">
        <v>41057</v>
      </c>
    </row>
    <row r="12039" spans="1:1">
      <c r="A12039" s="35" t="s">
        <v>41057</v>
      </c>
    </row>
    <row r="12040" spans="1:1">
      <c r="A12040" s="35" t="s">
        <v>41057</v>
      </c>
    </row>
    <row r="12041" spans="1:1">
      <c r="A12041" s="35" t="s">
        <v>56647</v>
      </c>
    </row>
    <row r="12042" spans="1:1">
      <c r="A12042" s="35" t="s">
        <v>56648</v>
      </c>
    </row>
    <row r="12043" spans="1:1">
      <c r="A12043" s="35" t="s">
        <v>56612</v>
      </c>
    </row>
    <row r="12044" spans="1:1">
      <c r="A12044" s="35" t="s">
        <v>41057</v>
      </c>
    </row>
    <row r="12045" spans="1:1">
      <c r="A12045" s="35" t="s">
        <v>41057</v>
      </c>
    </row>
    <row r="12046" spans="1:1">
      <c r="A12046" s="35" t="s">
        <v>41057</v>
      </c>
    </row>
    <row r="12047" spans="1:1">
      <c r="A12047" s="35" t="s">
        <v>53492</v>
      </c>
    </row>
    <row r="12048" spans="1:1">
      <c r="A12048" s="35" t="s">
        <v>56649</v>
      </c>
    </row>
    <row r="12049" spans="1:1">
      <c r="A12049" s="35" t="s">
        <v>56650</v>
      </c>
    </row>
    <row r="12050" spans="1:1">
      <c r="A12050" s="35" t="s">
        <v>56651</v>
      </c>
    </row>
    <row r="12051" spans="1:1">
      <c r="A12051" s="35" t="s">
        <v>41057</v>
      </c>
    </row>
    <row r="12052" spans="1:1">
      <c r="A12052" s="35" t="s">
        <v>41057</v>
      </c>
    </row>
    <row r="12053" spans="1:1">
      <c r="A12053" s="35" t="e" cm="1">
        <f t="array" ref="A12053">---------------FLATKP----------------FRQ-------------------V</f>
        <v>#NAME?</v>
      </c>
    </row>
    <row r="12054" spans="1:1">
      <c r="A12054" s="35" t="s">
        <v>56652</v>
      </c>
    </row>
    <row r="12055" spans="1:1">
      <c r="A12055" s="35" t="s">
        <v>56653</v>
      </c>
    </row>
    <row r="12056" spans="1:1">
      <c r="A12056" s="35" t="s">
        <v>41057</v>
      </c>
    </row>
    <row r="12057" spans="1:1">
      <c r="A12057" s="35" t="s">
        <v>56654</v>
      </c>
    </row>
    <row r="12058" spans="1:1">
      <c r="A12058" s="35" t="s">
        <v>41057</v>
      </c>
    </row>
    <row r="12059" spans="1:1">
      <c r="A12059" s="35" t="s">
        <v>41057</v>
      </c>
    </row>
    <row r="12060" spans="1:1">
      <c r="A12060" s="35" t="s">
        <v>56655</v>
      </c>
    </row>
    <row r="12061" spans="1:1">
      <c r="A12061" s="35" t="s">
        <v>41057</v>
      </c>
    </row>
    <row r="12062" spans="1:1">
      <c r="A12062" s="35" t="s">
        <v>41057</v>
      </c>
    </row>
    <row r="12063" spans="1:1">
      <c r="A12063" s="35" t="s">
        <v>53500</v>
      </c>
    </row>
    <row r="12064" spans="1:1">
      <c r="A12064" s="35" t="s">
        <v>41057</v>
      </c>
    </row>
    <row r="12065" spans="1:1">
      <c r="A12065" s="35" t="s">
        <v>41057</v>
      </c>
    </row>
    <row r="12066" spans="1:1">
      <c r="A12066" s="35" t="s">
        <v>56563</v>
      </c>
    </row>
    <row r="12067" spans="1:1">
      <c r="A12067" s="35" t="s">
        <v>41057</v>
      </c>
    </row>
    <row r="12068" spans="1:1">
      <c r="A12068" s="35" t="s">
        <v>56656</v>
      </c>
    </row>
    <row r="12069" spans="1:1">
      <c r="A12069" s="35" t="s">
        <v>41057</v>
      </c>
    </row>
    <row r="12070" spans="1:1">
      <c r="A12070" s="35" t="s">
        <v>53966</v>
      </c>
    </row>
    <row r="12071" spans="1:1">
      <c r="A12071" s="35" t="s">
        <v>56657</v>
      </c>
    </row>
    <row r="12072" spans="1:1">
      <c r="A12072" s="35" t="s">
        <v>41057</v>
      </c>
    </row>
    <row r="12073" spans="1:1">
      <c r="A12073" s="35" t="s">
        <v>41057</v>
      </c>
    </row>
    <row r="12074" spans="1:1">
      <c r="A12074" s="35" t="s">
        <v>56658</v>
      </c>
    </row>
    <row r="12075" spans="1:1">
      <c r="A12075" s="35" t="s">
        <v>41057</v>
      </c>
    </row>
    <row r="12076" spans="1:1">
      <c r="A12076" s="35" t="s">
        <v>41057</v>
      </c>
    </row>
    <row r="12077" spans="1:1">
      <c r="A12077" s="35" t="s">
        <v>41057</v>
      </c>
    </row>
    <row r="12078" spans="1:1">
      <c r="A12078" s="35" t="s">
        <v>41057</v>
      </c>
    </row>
    <row r="12079" spans="1:1">
      <c r="A12079" s="35" t="s">
        <v>41057</v>
      </c>
    </row>
    <row r="12080" spans="1:1">
      <c r="A12080" s="35" t="s">
        <v>55096</v>
      </c>
    </row>
    <row r="12081" spans="1:1">
      <c r="A12081" s="35" t="s">
        <v>41057</v>
      </c>
    </row>
    <row r="12082" spans="1:1">
      <c r="A12082" s="35" t="s">
        <v>41057</v>
      </c>
    </row>
    <row r="12083" spans="1:1">
      <c r="A12083" s="35" t="s">
        <v>41057</v>
      </c>
    </row>
    <row r="12084" spans="1:1">
      <c r="A12084" s="35" t="s">
        <v>41057</v>
      </c>
    </row>
    <row r="12085" spans="1:1">
      <c r="A12085" s="35" t="s">
        <v>41057</v>
      </c>
    </row>
    <row r="12086" spans="1:1">
      <c r="A12086" s="35" t="s">
        <v>41057</v>
      </c>
    </row>
    <row r="12087" spans="1:1">
      <c r="A12087" s="35" t="s">
        <v>41057</v>
      </c>
    </row>
    <row r="12088" spans="1:1">
      <c r="A12088" s="35" t="s">
        <v>41057</v>
      </c>
    </row>
    <row r="12089" spans="1:1">
      <c r="A12089" s="35" t="s">
        <v>41057</v>
      </c>
    </row>
    <row r="12090" spans="1:1">
      <c r="A12090" s="35" t="s">
        <v>41057</v>
      </c>
    </row>
    <row r="12091" spans="1:1">
      <c r="A12091" s="35" t="s">
        <v>41057</v>
      </c>
    </row>
    <row r="12092" spans="1:1">
      <c r="A12092" s="35" t="s">
        <v>41057</v>
      </c>
    </row>
    <row r="12093" spans="1:1">
      <c r="A12093" s="35" t="s">
        <v>41057</v>
      </c>
    </row>
    <row r="12094" spans="1:1">
      <c r="A12094" s="35" t="s">
        <v>41057</v>
      </c>
    </row>
    <row r="12095" spans="1:1">
      <c r="A12095" s="35" t="s">
        <v>41057</v>
      </c>
    </row>
    <row r="12096" spans="1:1">
      <c r="A12096" s="35" t="s">
        <v>56602</v>
      </c>
    </row>
    <row r="12097" spans="1:1">
      <c r="A12097" s="35" t="s">
        <v>41057</v>
      </c>
    </row>
    <row r="12098" spans="1:1">
      <c r="A12098" s="35" t="s">
        <v>41057</v>
      </c>
    </row>
    <row r="12099" spans="1:1">
      <c r="A12099" s="35" t="s">
        <v>56229</v>
      </c>
    </row>
    <row r="12100" spans="1:1">
      <c r="A12100" s="35" t="s">
        <v>41057</v>
      </c>
    </row>
    <row r="12101" spans="1:1">
      <c r="A12101" s="35" t="s">
        <v>41057</v>
      </c>
    </row>
    <row r="12102" spans="1:1">
      <c r="A12102" s="35" t="s">
        <v>41057</v>
      </c>
    </row>
    <row r="12103" spans="1:1">
      <c r="A12103" s="35" t="s">
        <v>41057</v>
      </c>
    </row>
    <row r="12104" spans="1:1">
      <c r="A12104" s="35" t="s">
        <v>41057</v>
      </c>
    </row>
    <row r="12105" spans="1:1">
      <c r="A12105" s="35" t="s">
        <v>41057</v>
      </c>
    </row>
    <row r="12106" spans="1:1">
      <c r="A12106" s="35" t="s">
        <v>41057</v>
      </c>
    </row>
    <row r="12107" spans="1:1">
      <c r="A12107" s="35" t="e" cm="1">
        <f t="array" ref="A12107">-----------------------------------------------------YP---AE</f>
        <v>#NAME?</v>
      </c>
    </row>
    <row r="12108" spans="1:1">
      <c r="A12108" s="35" t="s">
        <v>56659</v>
      </c>
    </row>
    <row r="12109" spans="1:1">
      <c r="A12109" s="35" t="e" cm="1">
        <f t="array" ref="A12109">---------------GEYIRIHHTLMD---------SSDH------------------RD</f>
        <v>#NAME?</v>
      </c>
    </row>
    <row r="12110" spans="1:1">
      <c r="A12110" s="35" t="s">
        <v>56570</v>
      </c>
    </row>
    <row r="12111" spans="1:1">
      <c r="A12111" s="35" t="e" cm="1">
        <f t="array" ref="A12111">---------------------------------------------FNAAD--------VQ</f>
        <v>#NAME?</v>
      </c>
    </row>
    <row r="12112" spans="1:1">
      <c r="A12112" s="35" t="s">
        <v>54298</v>
      </c>
    </row>
    <row r="12113" spans="1:1">
      <c r="A12113" s="35" t="s">
        <v>56660</v>
      </c>
    </row>
    <row r="12114" spans="1:1">
      <c r="A12114" s="35" t="s">
        <v>41057</v>
      </c>
    </row>
    <row r="12115" spans="1:1">
      <c r="A12115" s="35" t="s">
        <v>56661</v>
      </c>
    </row>
    <row r="12116" spans="1:1">
      <c r="A12116" s="35" t="s">
        <v>56662</v>
      </c>
    </row>
    <row r="12117" spans="1:1">
      <c r="A12117" s="35" t="s">
        <v>41057</v>
      </c>
    </row>
    <row r="12118" spans="1:1">
      <c r="A12118" s="35" t="s">
        <v>41057</v>
      </c>
    </row>
    <row r="12119" spans="1:1">
      <c r="A12119" s="35" t="s">
        <v>41057</v>
      </c>
    </row>
    <row r="12120" spans="1:1">
      <c r="A12120" s="35" t="s">
        <v>41057</v>
      </c>
    </row>
    <row r="12121" spans="1:1">
      <c r="A12121" s="35" t="s">
        <v>56663</v>
      </c>
    </row>
    <row r="12122" spans="1:1">
      <c r="A12122" s="35" t="s">
        <v>41057</v>
      </c>
    </row>
    <row r="12123" spans="1:1">
      <c r="A12123" s="35" t="s">
        <v>41057</v>
      </c>
    </row>
    <row r="12124" spans="1:1">
      <c r="A12124" s="35" t="s">
        <v>41057</v>
      </c>
    </row>
    <row r="12125" spans="1:1">
      <c r="A12125" s="35" t="s">
        <v>56664</v>
      </c>
    </row>
    <row r="12126" spans="1:1">
      <c r="A12126" s="35" t="s">
        <v>56665</v>
      </c>
    </row>
    <row r="12127" spans="1:1">
      <c r="A12127" s="35" t="e" cm="1">
        <f t="array" ref="A12127">-----DI--------------------L-------FPY--------------LQTVEDRV</f>
        <v>#NAME?</v>
      </c>
    </row>
    <row r="12128" spans="1:1">
      <c r="A12128" s="35" t="s">
        <v>56666</v>
      </c>
    </row>
    <row r="12129" spans="1:1">
      <c r="A12129" s="35" t="s">
        <v>56667</v>
      </c>
    </row>
    <row r="12130" spans="1:1">
      <c r="A12130" s="35" t="s">
        <v>56668</v>
      </c>
    </row>
    <row r="12131" spans="1:1">
      <c r="A12131" s="35" t="e" cm="1">
        <f t="array" ref="A12131">-TTGPEYEVWINVDIIHNLEGISTMTMTYEFQIFEIGSGGG-----KLDNQPALSTRE-K</f>
        <v>#NAME?</v>
      </c>
    </row>
    <row r="12132" spans="1:1">
      <c r="A12132" s="35" t="s">
        <v>56669</v>
      </c>
    </row>
    <row r="12133" spans="1:1">
      <c r="A12133" s="35" t="s">
        <v>56670</v>
      </c>
    </row>
    <row r="12134" spans="1:1">
      <c r="A12134" s="35" t="s">
        <v>41057</v>
      </c>
    </row>
    <row r="12135" spans="1:1">
      <c r="A12135" s="35" t="s">
        <v>56671</v>
      </c>
    </row>
    <row r="12136" spans="1:1">
      <c r="A12136" s="35" t="s">
        <v>41057</v>
      </c>
    </row>
    <row r="12137" spans="1:1">
      <c r="A12137" s="35" t="s">
        <v>56672</v>
      </c>
    </row>
    <row r="12138" spans="1:1">
      <c r="A12138" s="35" t="s">
        <v>56673</v>
      </c>
    </row>
    <row r="12139" spans="1:1">
      <c r="A12139" s="35" t="s">
        <v>41057</v>
      </c>
    </row>
    <row r="12140" spans="1:1">
      <c r="A12140" s="35" t="s">
        <v>41057</v>
      </c>
    </row>
    <row r="12141" spans="1:1">
      <c r="A12141" s="35" t="s">
        <v>41057</v>
      </c>
    </row>
    <row r="12142" spans="1:1">
      <c r="A12142" s="35" t="e" cm="1">
        <f t="array" ref="A12142">---------------------------------------------------TRYDPLDSA</f>
        <v>#NAME?</v>
      </c>
    </row>
    <row r="12143" spans="1:1">
      <c r="A12143" s="35" t="s">
        <v>56585</v>
      </c>
    </row>
    <row r="12144" spans="1:1">
      <c r="A12144" s="35" t="s">
        <v>56586</v>
      </c>
    </row>
    <row r="12145" spans="1:1">
      <c r="A12145" s="35" t="s">
        <v>56674</v>
      </c>
    </row>
    <row r="12146" spans="1:1">
      <c r="A12146" s="35" t="s">
        <v>56675</v>
      </c>
    </row>
    <row r="12147" spans="1:1">
      <c r="A12147" s="35" t="s">
        <v>56676</v>
      </c>
    </row>
    <row r="12148" spans="1:1">
      <c r="A12148" s="35" t="s">
        <v>56677</v>
      </c>
    </row>
    <row r="12149" spans="1:1">
      <c r="A12149" s="35" t="e" cm="1">
        <f t="array" ref="A12149">-----------------------------------------------------------T</f>
        <v>#NAME?</v>
      </c>
    </row>
    <row r="12150" spans="1:1">
      <c r="A12150" s="35" t="s">
        <v>56678</v>
      </c>
    </row>
    <row r="12151" spans="1:1">
      <c r="A12151" s="35" t="s">
        <v>56679</v>
      </c>
    </row>
    <row r="12152" spans="1:1">
      <c r="A12152" s="35" t="s">
        <v>56680</v>
      </c>
    </row>
    <row r="12153" spans="1:1">
      <c r="A12153" s="35" t="s">
        <v>41057</v>
      </c>
    </row>
    <row r="12154" spans="1:1">
      <c r="A12154" s="35" t="s">
        <v>53545</v>
      </c>
    </row>
    <row r="12155" spans="1:1">
      <c r="A12155" s="35" t="s">
        <v>53189</v>
      </c>
    </row>
    <row r="12156" spans="1:1">
      <c r="A12156" s="35" t="s">
        <v>41057</v>
      </c>
    </row>
    <row r="12157" spans="1:1">
      <c r="A12157" s="35" t="e" cm="1">
        <f t="array" ref="A12157">-----------------------------------------------------------S</f>
        <v>#NAME?</v>
      </c>
    </row>
    <row r="12158" spans="1:1">
      <c r="A12158" s="35" t="s">
        <v>56681</v>
      </c>
    </row>
    <row r="12159" spans="1:1">
      <c r="A12159" s="35" t="s">
        <v>56682</v>
      </c>
    </row>
    <row r="12160" spans="1:1">
      <c r="A12160" s="35" t="s">
        <v>56683</v>
      </c>
    </row>
    <row r="12161" spans="1:1">
      <c r="A12161" s="35" t="s">
        <v>56612</v>
      </c>
    </row>
    <row r="12162" spans="1:1">
      <c r="A12162" s="35" t="s">
        <v>41057</v>
      </c>
    </row>
    <row r="12163" spans="1:1">
      <c r="A12163" s="35" t="s">
        <v>41057</v>
      </c>
    </row>
    <row r="12164" spans="1:1">
      <c r="A12164" s="35" t="s">
        <v>41057</v>
      </c>
    </row>
    <row r="12165" spans="1:1">
      <c r="A12165" s="35" t="s">
        <v>53492</v>
      </c>
    </row>
    <row r="12166" spans="1:1">
      <c r="A12166" s="35" t="s">
        <v>56649</v>
      </c>
    </row>
    <row r="12167" spans="1:1">
      <c r="A12167" s="35" t="s">
        <v>56650</v>
      </c>
    </row>
    <row r="12168" spans="1:1">
      <c r="A12168" s="35" t="s">
        <v>56651</v>
      </c>
    </row>
    <row r="12169" spans="1:1">
      <c r="A12169" s="35" t="s">
        <v>41057</v>
      </c>
    </row>
    <row r="12170" spans="1:1">
      <c r="A12170" s="35" t="s">
        <v>41057</v>
      </c>
    </row>
    <row r="12171" spans="1:1">
      <c r="A12171" s="35" t="e" cm="1">
        <f t="array" ref="A12171">---------------FLATKP----------------FRQ-------------------I</f>
        <v>#NAME?</v>
      </c>
    </row>
    <row r="12172" spans="1:1">
      <c r="A12172" s="35" t="s">
        <v>56652</v>
      </c>
    </row>
    <row r="12173" spans="1:1">
      <c r="A12173" s="35" t="s">
        <v>56653</v>
      </c>
    </row>
    <row r="12174" spans="1:1">
      <c r="A12174" s="35" t="s">
        <v>41057</v>
      </c>
    </row>
    <row r="12175" spans="1:1">
      <c r="A12175" s="35" t="s">
        <v>56654</v>
      </c>
    </row>
    <row r="12176" spans="1:1">
      <c r="A12176" s="35" t="s">
        <v>41057</v>
      </c>
    </row>
    <row r="12177" spans="1:1">
      <c r="A12177" s="35" t="s">
        <v>41057</v>
      </c>
    </row>
    <row r="12178" spans="1:1">
      <c r="A12178" s="35" t="s">
        <v>56655</v>
      </c>
    </row>
    <row r="12179" spans="1:1">
      <c r="A12179" s="35" t="s">
        <v>41057</v>
      </c>
    </row>
    <row r="12180" spans="1:1">
      <c r="A12180" s="35" t="s">
        <v>41057</v>
      </c>
    </row>
    <row r="12181" spans="1:1">
      <c r="A12181" s="35" t="s">
        <v>53500</v>
      </c>
    </row>
    <row r="12182" spans="1:1">
      <c r="A12182" s="35" t="s">
        <v>41057</v>
      </c>
    </row>
    <row r="12183" spans="1:1">
      <c r="A12183" s="35" t="s">
        <v>41057</v>
      </c>
    </row>
    <row r="12184" spans="1:1">
      <c r="A12184" s="35" t="s">
        <v>56563</v>
      </c>
    </row>
    <row r="12185" spans="1:1">
      <c r="A12185" s="35" t="s">
        <v>41057</v>
      </c>
    </row>
    <row r="12186" spans="1:1">
      <c r="A12186" s="35" t="s">
        <v>56656</v>
      </c>
    </row>
    <row r="12187" spans="1:1">
      <c r="A12187" s="35" t="s">
        <v>41057</v>
      </c>
    </row>
    <row r="12188" spans="1:1">
      <c r="A12188" s="35" t="s">
        <v>53966</v>
      </c>
    </row>
    <row r="12189" spans="1:1">
      <c r="A12189" s="35" t="s">
        <v>56657</v>
      </c>
    </row>
    <row r="12190" spans="1:1">
      <c r="A12190" s="35" t="s">
        <v>41057</v>
      </c>
    </row>
    <row r="12191" spans="1:1">
      <c r="A12191" s="35" t="s">
        <v>41057</v>
      </c>
    </row>
    <row r="12192" spans="1:1">
      <c r="A12192" s="35" t="s">
        <v>56658</v>
      </c>
    </row>
    <row r="12193" spans="1:1">
      <c r="A12193" s="35" t="s">
        <v>41057</v>
      </c>
    </row>
    <row r="12194" spans="1:1">
      <c r="A12194" s="35" t="s">
        <v>41057</v>
      </c>
    </row>
    <row r="12195" spans="1:1">
      <c r="A12195" s="35" t="s">
        <v>41057</v>
      </c>
    </row>
    <row r="12196" spans="1:1">
      <c r="A12196" s="35" t="s">
        <v>41057</v>
      </c>
    </row>
    <row r="12197" spans="1:1">
      <c r="A12197" s="35" t="s">
        <v>41057</v>
      </c>
    </row>
    <row r="12198" spans="1:1">
      <c r="A12198" s="35" t="s">
        <v>55096</v>
      </c>
    </row>
    <row r="12199" spans="1:1">
      <c r="A12199" s="35" t="s">
        <v>41057</v>
      </c>
    </row>
    <row r="12200" spans="1:1">
      <c r="A12200" s="35" t="s">
        <v>41057</v>
      </c>
    </row>
    <row r="12201" spans="1:1">
      <c r="A12201" s="35" t="s">
        <v>41057</v>
      </c>
    </row>
    <row r="12202" spans="1:1">
      <c r="A12202" s="35" t="s">
        <v>41057</v>
      </c>
    </row>
    <row r="12203" spans="1:1">
      <c r="A12203" s="35" t="s">
        <v>41057</v>
      </c>
    </row>
    <row r="12204" spans="1:1">
      <c r="A12204" s="35" t="s">
        <v>41057</v>
      </c>
    </row>
    <row r="12205" spans="1:1">
      <c r="A12205" s="35" t="s">
        <v>41057</v>
      </c>
    </row>
    <row r="12206" spans="1:1">
      <c r="A12206" s="35" t="s">
        <v>41057</v>
      </c>
    </row>
    <row r="12207" spans="1:1">
      <c r="A12207" s="35" t="s">
        <v>41057</v>
      </c>
    </row>
    <row r="12208" spans="1:1">
      <c r="A12208" s="35" t="s">
        <v>41057</v>
      </c>
    </row>
    <row r="12209" spans="1:1">
      <c r="A12209" s="35" t="s">
        <v>41057</v>
      </c>
    </row>
    <row r="12210" spans="1:1">
      <c r="A12210" s="35" t="s">
        <v>41057</v>
      </c>
    </row>
    <row r="12211" spans="1:1">
      <c r="A12211" s="35" t="s">
        <v>41057</v>
      </c>
    </row>
    <row r="12212" spans="1:1">
      <c r="A12212" s="35" t="s">
        <v>41057</v>
      </c>
    </row>
    <row r="12213" spans="1:1">
      <c r="A12213" s="35" t="s">
        <v>41057</v>
      </c>
    </row>
    <row r="12214" spans="1:1">
      <c r="A12214" s="35" t="s">
        <v>56602</v>
      </c>
    </row>
    <row r="12215" spans="1:1">
      <c r="A12215" s="35" t="s">
        <v>41057</v>
      </c>
    </row>
    <row r="12216" spans="1:1">
      <c r="A12216" s="35" t="s">
        <v>41057</v>
      </c>
    </row>
    <row r="12217" spans="1:1">
      <c r="A12217" s="35" t="s">
        <v>56229</v>
      </c>
    </row>
    <row r="12218" spans="1:1">
      <c r="A12218" s="35" t="s">
        <v>41057</v>
      </c>
    </row>
    <row r="12219" spans="1:1">
      <c r="A12219" s="35" t="s">
        <v>41057</v>
      </c>
    </row>
    <row r="12220" spans="1:1">
      <c r="A12220" s="35" t="s">
        <v>41057</v>
      </c>
    </row>
    <row r="12221" spans="1:1">
      <c r="A12221" s="35" t="s">
        <v>41057</v>
      </c>
    </row>
    <row r="12222" spans="1:1">
      <c r="A12222" s="35" t="s">
        <v>41057</v>
      </c>
    </row>
    <row r="12223" spans="1:1">
      <c r="A12223" s="35" t="s">
        <v>41057</v>
      </c>
    </row>
    <row r="12224" spans="1:1">
      <c r="A12224" s="35" t="s">
        <v>41057</v>
      </c>
    </row>
    <row r="12225" spans="1:1">
      <c r="A12225" s="35" t="e" cm="1">
        <f t="array" ref="A12225">-----------------------------------------------------YP---AE</f>
        <v>#NAME?</v>
      </c>
    </row>
    <row r="12226" spans="1:1">
      <c r="A12226" s="35" t="s">
        <v>56684</v>
      </c>
    </row>
    <row r="12227" spans="1:1">
      <c r="A12227" s="35" t="e" cm="1">
        <f t="array" ref="A12227">---------------GEYIRIHHTLMD---------TPDH------------------RD</f>
        <v>#NAME?</v>
      </c>
    </row>
    <row r="12228" spans="1:1">
      <c r="A12228" s="35" t="s">
        <v>56570</v>
      </c>
    </row>
    <row r="12229" spans="1:1">
      <c r="A12229" s="35" t="e" cm="1">
        <f t="array" ref="A12229">---------------------------------------------FNVAD--------TQ</f>
        <v>#NAME?</v>
      </c>
    </row>
    <row r="12230" spans="1:1">
      <c r="A12230" s="35" t="s">
        <v>54298</v>
      </c>
    </row>
    <row r="12231" spans="1:1">
      <c r="A12231" s="35" t="s">
        <v>56685</v>
      </c>
    </row>
    <row r="12232" spans="1:1">
      <c r="A12232" s="35" t="s">
        <v>41057</v>
      </c>
    </row>
    <row r="12233" spans="1:1">
      <c r="A12233" s="35" t="s">
        <v>56661</v>
      </c>
    </row>
    <row r="12234" spans="1:1">
      <c r="A12234" s="35" t="s">
        <v>56686</v>
      </c>
    </row>
    <row r="12235" spans="1:1">
      <c r="A12235" s="35" t="s">
        <v>41057</v>
      </c>
    </row>
    <row r="12236" spans="1:1">
      <c r="A12236" s="35" t="s">
        <v>41057</v>
      </c>
    </row>
    <row r="12237" spans="1:1">
      <c r="A12237" s="35" t="s">
        <v>41057</v>
      </c>
    </row>
    <row r="12238" spans="1:1">
      <c r="A12238" s="35" t="s">
        <v>41057</v>
      </c>
    </row>
    <row r="12239" spans="1:1">
      <c r="A12239" s="35" t="s">
        <v>56663</v>
      </c>
    </row>
    <row r="12240" spans="1:1">
      <c r="A12240" s="35" t="s">
        <v>41057</v>
      </c>
    </row>
    <row r="12241" spans="1:1">
      <c r="A12241" s="35" t="s">
        <v>41057</v>
      </c>
    </row>
    <row r="12242" spans="1:1">
      <c r="A12242" s="35" t="s">
        <v>41057</v>
      </c>
    </row>
    <row r="12243" spans="1:1">
      <c r="A12243" s="35" t="s">
        <v>56664</v>
      </c>
    </row>
    <row r="12244" spans="1:1">
      <c r="A12244" s="35" t="s">
        <v>56665</v>
      </c>
    </row>
    <row r="12245" spans="1:1">
      <c r="A12245" s="35" t="e" cm="1">
        <f t="array" ref="A12245">-----DM--------------------L-------FPY--------------LQTVEDRV</f>
        <v>#NAME?</v>
      </c>
    </row>
    <row r="12246" spans="1:1">
      <c r="A12246" s="35" t="s">
        <v>56687</v>
      </c>
    </row>
    <row r="12247" spans="1:1">
      <c r="A12247" s="35" t="s">
        <v>56688</v>
      </c>
    </row>
    <row r="12248" spans="1:1">
      <c r="A12248" s="35" t="s">
        <v>56689</v>
      </c>
    </row>
    <row r="12249" spans="1:1">
      <c r="A12249" s="35" t="e" cm="1">
        <f t="array" ref="A12249">-ATGPEYEVWINVDINHNLEGIPTMTMTYEFEIYEIGSGGG-----KLDNQPALSTQQ-K</f>
        <v>#NAME?</v>
      </c>
    </row>
    <row r="12250" spans="1:1">
      <c r="A12250" s="35" t="s">
        <v>56690</v>
      </c>
    </row>
    <row r="12251" spans="1:1">
      <c r="A12251" s="35" t="s">
        <v>56691</v>
      </c>
    </row>
    <row r="12252" spans="1:1">
      <c r="A12252" s="35" t="s">
        <v>41057</v>
      </c>
    </row>
    <row r="12253" spans="1:1">
      <c r="A12253" s="35" t="s">
        <v>56671</v>
      </c>
    </row>
    <row r="12254" spans="1:1">
      <c r="A12254" s="35" t="s">
        <v>41057</v>
      </c>
    </row>
    <row r="12255" spans="1:1">
      <c r="A12255" s="35" t="s">
        <v>56672</v>
      </c>
    </row>
    <row r="12256" spans="1:1">
      <c r="A12256" s="35" t="s">
        <v>56673</v>
      </c>
    </row>
    <row r="12257" spans="1:1">
      <c r="A12257" s="35" t="s">
        <v>41057</v>
      </c>
    </row>
    <row r="12258" spans="1:1">
      <c r="A12258" s="35" t="s">
        <v>41057</v>
      </c>
    </row>
    <row r="12259" spans="1:1">
      <c r="A12259" s="35" t="s">
        <v>41057</v>
      </c>
    </row>
    <row r="12260" spans="1:1">
      <c r="A12260" s="35" t="e" cm="1">
        <f t="array" ref="A12260">---------------------------------------------------TRYDPLDSA</f>
        <v>#NAME?</v>
      </c>
    </row>
    <row r="12261" spans="1:1">
      <c r="A12261" s="35" t="s">
        <v>56585</v>
      </c>
    </row>
    <row r="12262" spans="1:1">
      <c r="A12262" s="35" t="s">
        <v>56586</v>
      </c>
    </row>
    <row r="12263" spans="1:1">
      <c r="A12263" s="35" t="s">
        <v>56674</v>
      </c>
    </row>
    <row r="12264" spans="1:1">
      <c r="A12264" s="35" t="s">
        <v>56692</v>
      </c>
    </row>
    <row r="12265" spans="1:1">
      <c r="A12265" s="35" t="s">
        <v>56676</v>
      </c>
    </row>
    <row r="12266" spans="1:1">
      <c r="A12266" s="35" t="s">
        <v>56677</v>
      </c>
    </row>
    <row r="12267" spans="1:1">
      <c r="A12267" s="35" t="e" cm="1">
        <f t="array" ref="A12267">-----------------------------------------------------------I</f>
        <v>#NAME?</v>
      </c>
    </row>
    <row r="12268" spans="1:1">
      <c r="A12268" s="35" t="s">
        <v>56693</v>
      </c>
    </row>
    <row r="12269" spans="1:1">
      <c r="A12269" s="35" t="s">
        <v>56679</v>
      </c>
    </row>
    <row r="12270" spans="1:1">
      <c r="A12270" s="35" t="s">
        <v>56680</v>
      </c>
    </row>
    <row r="12271" spans="1:1">
      <c r="A12271" s="35" t="s">
        <v>41057</v>
      </c>
    </row>
    <row r="12272" spans="1:1">
      <c r="A12272" s="35" t="s">
        <v>53545</v>
      </c>
    </row>
    <row r="12273" spans="1:1">
      <c r="A12273" s="35" t="s">
        <v>53032</v>
      </c>
    </row>
    <row r="12274" spans="1:1">
      <c r="A12274" s="35" t="s">
        <v>41057</v>
      </c>
    </row>
    <row r="12275" spans="1:1">
      <c r="A12275" s="35" t="s">
        <v>41057</v>
      </c>
    </row>
    <row r="12276" spans="1:1">
      <c r="A12276" s="35" t="s">
        <v>41057</v>
      </c>
    </row>
    <row r="12277" spans="1:1">
      <c r="A12277" s="35" t="s">
        <v>56694</v>
      </c>
    </row>
    <row r="12278" spans="1:1">
      <c r="A12278" s="35" t="s">
        <v>55197</v>
      </c>
    </row>
    <row r="12279" spans="1:1">
      <c r="A12279" s="35" t="s">
        <v>56612</v>
      </c>
    </row>
    <row r="12280" spans="1:1">
      <c r="A12280" s="35" t="s">
        <v>41057</v>
      </c>
    </row>
    <row r="12281" spans="1:1">
      <c r="A12281" s="35" t="s">
        <v>41057</v>
      </c>
    </row>
    <row r="12282" spans="1:1">
      <c r="A12282" s="35" t="s">
        <v>41057</v>
      </c>
    </row>
    <row r="12283" spans="1:1">
      <c r="A12283" s="35" t="s">
        <v>53492</v>
      </c>
    </row>
    <row r="12284" spans="1:1">
      <c r="A12284" s="35" t="s">
        <v>56649</v>
      </c>
    </row>
    <row r="12285" spans="1:1">
      <c r="A12285" s="35" t="s">
        <v>56650</v>
      </c>
    </row>
    <row r="12286" spans="1:1">
      <c r="A12286" s="35" t="s">
        <v>56651</v>
      </c>
    </row>
    <row r="12287" spans="1:1">
      <c r="A12287" s="35" t="s">
        <v>41057</v>
      </c>
    </row>
    <row r="12288" spans="1:1">
      <c r="A12288" s="35" t="s">
        <v>41057</v>
      </c>
    </row>
    <row r="12289" spans="1:1">
      <c r="A12289" s="35" t="e" cm="1">
        <f t="array" ref="A12289">---------------FLATKP----------------FRQ-------------------V</f>
        <v>#NAME?</v>
      </c>
    </row>
    <row r="12290" spans="1:1">
      <c r="A12290" s="35" t="s">
        <v>56695</v>
      </c>
    </row>
    <row r="12291" spans="1:1">
      <c r="A12291" s="35" t="s">
        <v>56653</v>
      </c>
    </row>
    <row r="12292" spans="1:1">
      <c r="A12292" s="35" t="s">
        <v>41057</v>
      </c>
    </row>
    <row r="12293" spans="1:1">
      <c r="A12293" s="35" t="s">
        <v>56654</v>
      </c>
    </row>
    <row r="12294" spans="1:1">
      <c r="A12294" s="35" t="s">
        <v>41057</v>
      </c>
    </row>
    <row r="12295" spans="1:1">
      <c r="A12295" s="35" t="s">
        <v>41057</v>
      </c>
    </row>
    <row r="12296" spans="1:1">
      <c r="A12296" s="35" t="s">
        <v>56696</v>
      </c>
    </row>
    <row r="12297" spans="1:1">
      <c r="A12297" s="35" t="s">
        <v>41057</v>
      </c>
    </row>
    <row r="12298" spans="1:1">
      <c r="A12298" s="35" t="s">
        <v>41057</v>
      </c>
    </row>
    <row r="12299" spans="1:1">
      <c r="A12299" s="35" t="s">
        <v>53500</v>
      </c>
    </row>
    <row r="12300" spans="1:1">
      <c r="A12300" s="35" t="s">
        <v>41057</v>
      </c>
    </row>
    <row r="12301" spans="1:1">
      <c r="A12301" s="35" t="s">
        <v>41057</v>
      </c>
    </row>
    <row r="12302" spans="1:1">
      <c r="A12302" s="35" t="s">
        <v>56563</v>
      </c>
    </row>
    <row r="12303" spans="1:1">
      <c r="A12303" s="35" t="s">
        <v>41057</v>
      </c>
    </row>
    <row r="12304" spans="1:1">
      <c r="A12304" s="35" t="s">
        <v>56697</v>
      </c>
    </row>
    <row r="12305" spans="1:1">
      <c r="A12305" s="35" t="s">
        <v>41057</v>
      </c>
    </row>
    <row r="12306" spans="1:1">
      <c r="A12306" s="35" t="s">
        <v>53966</v>
      </c>
    </row>
    <row r="12307" spans="1:1">
      <c r="A12307" s="35" t="s">
        <v>56657</v>
      </c>
    </row>
    <row r="12308" spans="1:1">
      <c r="A12308" s="35" t="s">
        <v>41057</v>
      </c>
    </row>
    <row r="12309" spans="1:1">
      <c r="A12309" s="35" t="s">
        <v>41057</v>
      </c>
    </row>
    <row r="12310" spans="1:1">
      <c r="A12310" s="35" t="s">
        <v>56658</v>
      </c>
    </row>
    <row r="12311" spans="1:1">
      <c r="A12311" s="35" t="s">
        <v>41057</v>
      </c>
    </row>
    <row r="12312" spans="1:1">
      <c r="A12312" s="35" t="s">
        <v>41057</v>
      </c>
    </row>
    <row r="12313" spans="1:1">
      <c r="A12313" s="35" t="s">
        <v>41057</v>
      </c>
    </row>
    <row r="12314" spans="1:1">
      <c r="A12314" s="35" t="s">
        <v>41057</v>
      </c>
    </row>
    <row r="12315" spans="1:1">
      <c r="A12315" s="35" t="s">
        <v>41057</v>
      </c>
    </row>
    <row r="12316" spans="1:1">
      <c r="A12316" s="35" t="s">
        <v>55096</v>
      </c>
    </row>
    <row r="12317" spans="1:1">
      <c r="A12317" s="35" t="s">
        <v>41057</v>
      </c>
    </row>
    <row r="12318" spans="1:1">
      <c r="A12318" s="35" t="s">
        <v>41057</v>
      </c>
    </row>
    <row r="12319" spans="1:1">
      <c r="A12319" s="35" t="s">
        <v>41057</v>
      </c>
    </row>
    <row r="12320" spans="1:1">
      <c r="A12320" s="35" t="s">
        <v>41057</v>
      </c>
    </row>
    <row r="12321" spans="1:1">
      <c r="A12321" s="35" t="s">
        <v>41057</v>
      </c>
    </row>
    <row r="12322" spans="1:1">
      <c r="A12322" s="35" t="s">
        <v>41057</v>
      </c>
    </row>
    <row r="12323" spans="1:1">
      <c r="A12323" s="35" t="s">
        <v>41057</v>
      </c>
    </row>
    <row r="12324" spans="1:1">
      <c r="A12324" s="35" t="s">
        <v>41057</v>
      </c>
    </row>
    <row r="12325" spans="1:1">
      <c r="A12325" s="35" t="s">
        <v>41057</v>
      </c>
    </row>
    <row r="12326" spans="1:1">
      <c r="A12326" s="35" t="s">
        <v>41057</v>
      </c>
    </row>
    <row r="12327" spans="1:1">
      <c r="A12327" s="35" t="s">
        <v>41057</v>
      </c>
    </row>
    <row r="12328" spans="1:1">
      <c r="A12328" s="35" t="s">
        <v>41057</v>
      </c>
    </row>
    <row r="12329" spans="1:1">
      <c r="A12329" s="35" t="s">
        <v>41057</v>
      </c>
    </row>
    <row r="12330" spans="1:1">
      <c r="A12330" s="35" t="s">
        <v>41057</v>
      </c>
    </row>
    <row r="12331" spans="1:1">
      <c r="A12331" s="35" t="s">
        <v>41057</v>
      </c>
    </row>
    <row r="12332" spans="1:1">
      <c r="A12332" s="35" t="s">
        <v>56602</v>
      </c>
    </row>
    <row r="12333" spans="1:1">
      <c r="A12333" s="35" t="s">
        <v>41057</v>
      </c>
    </row>
    <row r="12334" spans="1:1">
      <c r="A12334" s="35" t="s">
        <v>41057</v>
      </c>
    </row>
    <row r="12335" spans="1:1">
      <c r="A12335" s="35" t="s">
        <v>56229</v>
      </c>
    </row>
    <row r="12336" spans="1:1">
      <c r="A12336" s="35" t="s">
        <v>41057</v>
      </c>
    </row>
    <row r="12337" spans="1:1">
      <c r="A12337" s="35" t="s">
        <v>41057</v>
      </c>
    </row>
    <row r="12338" spans="1:1">
      <c r="A12338" s="35" t="s">
        <v>41057</v>
      </c>
    </row>
    <row r="12339" spans="1:1">
      <c r="A12339" s="35" t="s">
        <v>41057</v>
      </c>
    </row>
    <row r="12340" spans="1:1">
      <c r="A12340" s="35" t="s">
        <v>41057</v>
      </c>
    </row>
    <row r="12341" spans="1:1">
      <c r="A12341" s="35" t="s">
        <v>41057</v>
      </c>
    </row>
    <row r="12342" spans="1:1">
      <c r="A12342" s="35" t="s">
        <v>41057</v>
      </c>
    </row>
    <row r="12343" spans="1:1">
      <c r="A12343" s="35" t="e" cm="1">
        <f t="array" ref="A12343">-----------------------------------------------------YP---AE</f>
        <v>#NAME?</v>
      </c>
    </row>
    <row r="12344" spans="1:1">
      <c r="A12344" s="35" t="s">
        <v>56698</v>
      </c>
    </row>
    <row r="12345" spans="1:1">
      <c r="A12345" s="35" t="e" cm="1">
        <f t="array" ref="A12345">---------------GEYIRIHHTLMD---------TPDH------------------RD</f>
        <v>#NAME?</v>
      </c>
    </row>
    <row r="12346" spans="1:1">
      <c r="A12346" s="35" t="s">
        <v>56699</v>
      </c>
    </row>
    <row r="12347" spans="1:1">
      <c r="A12347" s="35" t="e" cm="1">
        <f t="array" ref="A12347">---------------------------------------------FAVAD--------TQ</f>
        <v>#NAME?</v>
      </c>
    </row>
    <row r="12348" spans="1:1">
      <c r="A12348" s="35" t="s">
        <v>54298</v>
      </c>
    </row>
    <row r="12349" spans="1:1">
      <c r="A12349" s="35" t="s">
        <v>56685</v>
      </c>
    </row>
    <row r="12350" spans="1:1">
      <c r="A12350" s="35" t="s">
        <v>41057</v>
      </c>
    </row>
    <row r="12351" spans="1:1">
      <c r="A12351" s="35" t="s">
        <v>56661</v>
      </c>
    </row>
    <row r="12352" spans="1:1">
      <c r="A12352" s="35" t="s">
        <v>56686</v>
      </c>
    </row>
    <row r="12353" spans="1:1">
      <c r="A12353" s="35" t="s">
        <v>41057</v>
      </c>
    </row>
    <row r="12354" spans="1:1">
      <c r="A12354" s="35" t="s">
        <v>41057</v>
      </c>
    </row>
    <row r="12355" spans="1:1">
      <c r="A12355" s="35" t="s">
        <v>41057</v>
      </c>
    </row>
    <row r="12356" spans="1:1">
      <c r="A12356" s="35" t="s">
        <v>41057</v>
      </c>
    </row>
    <row r="12357" spans="1:1">
      <c r="A12357" s="35" t="s">
        <v>56663</v>
      </c>
    </row>
    <row r="12358" spans="1:1">
      <c r="A12358" s="35" t="s">
        <v>41057</v>
      </c>
    </row>
    <row r="12359" spans="1:1">
      <c r="A12359" s="35" t="s">
        <v>41057</v>
      </c>
    </row>
    <row r="12360" spans="1:1">
      <c r="A12360" s="35" t="s">
        <v>41057</v>
      </c>
    </row>
    <row r="12361" spans="1:1">
      <c r="A12361" s="35" t="s">
        <v>56664</v>
      </c>
    </row>
    <row r="12362" spans="1:1">
      <c r="A12362" s="35" t="s">
        <v>56700</v>
      </c>
    </row>
    <row r="12363" spans="1:1">
      <c r="A12363" s="35" t="e" cm="1">
        <f t="array" ref="A12363">-----DM--------------------L-------FPY--------------LQTVEDRV</f>
        <v>#NAME?</v>
      </c>
    </row>
    <row r="12364" spans="1:1">
      <c r="A12364" s="35" t="s">
        <v>56701</v>
      </c>
    </row>
    <row r="12365" spans="1:1">
      <c r="A12365" s="35" t="s">
        <v>56702</v>
      </c>
    </row>
    <row r="12366" spans="1:1">
      <c r="A12366" s="35" t="s">
        <v>56703</v>
      </c>
    </row>
    <row r="12367" spans="1:1">
      <c r="A12367" s="35" t="e" cm="1">
        <f t="array" ref="A12367">-TTGPEYEVWVNVDISHNLEGIPTMTMTYEFEIYEIGSGGG-----KLDNQPALSTRA-K</f>
        <v>#NAME?</v>
      </c>
    </row>
    <row r="12368" spans="1:1">
      <c r="A12368" s="35" t="s">
        <v>56704</v>
      </c>
    </row>
    <row r="12369" spans="1:1">
      <c r="A12369" s="35" t="s">
        <v>56691</v>
      </c>
    </row>
    <row r="12370" spans="1:1">
      <c r="A12370" s="35" t="s">
        <v>41057</v>
      </c>
    </row>
    <row r="12371" spans="1:1">
      <c r="A12371" s="35" t="s">
        <v>56671</v>
      </c>
    </row>
    <row r="12372" spans="1:1">
      <c r="A12372" s="35" t="s">
        <v>41057</v>
      </c>
    </row>
    <row r="12373" spans="1:1">
      <c r="A12373" s="35" t="s">
        <v>56672</v>
      </c>
    </row>
    <row r="12374" spans="1:1">
      <c r="A12374" s="35" t="s">
        <v>56673</v>
      </c>
    </row>
    <row r="12375" spans="1:1">
      <c r="A12375" s="35" t="s">
        <v>41057</v>
      </c>
    </row>
    <row r="12376" spans="1:1">
      <c r="A12376" s="35" t="s">
        <v>41057</v>
      </c>
    </row>
    <row r="12377" spans="1:1">
      <c r="A12377" s="35" t="s">
        <v>41057</v>
      </c>
    </row>
    <row r="12378" spans="1:1">
      <c r="A12378" s="35" t="e" cm="1">
        <f t="array" ref="A12378">---------------------------------------------------TRYDPLDSA</f>
        <v>#NAME?</v>
      </c>
    </row>
    <row r="12379" spans="1:1">
      <c r="A12379" s="35" t="s">
        <v>56585</v>
      </c>
    </row>
    <row r="12380" spans="1:1">
      <c r="A12380" s="35" t="s">
        <v>56586</v>
      </c>
    </row>
    <row r="12381" spans="1:1">
      <c r="A12381" s="35" t="s">
        <v>56705</v>
      </c>
    </row>
    <row r="12382" spans="1:1">
      <c r="A12382" s="35" t="s">
        <v>56706</v>
      </c>
    </row>
    <row r="12383" spans="1:1">
      <c r="A12383" s="35" t="s">
        <v>56676</v>
      </c>
    </row>
    <row r="12384" spans="1:1">
      <c r="A12384" s="35" t="s">
        <v>56707</v>
      </c>
    </row>
    <row r="12385" spans="1:1">
      <c r="A12385" s="35" t="e" cm="1">
        <f t="array" ref="A12385">-----------------------------------------------------------T</f>
        <v>#NAME?</v>
      </c>
    </row>
    <row r="12386" spans="1:1">
      <c r="A12386" s="35" t="s">
        <v>56708</v>
      </c>
    </row>
    <row r="12387" spans="1:1">
      <c r="A12387" s="35" t="s">
        <v>56709</v>
      </c>
    </row>
    <row r="12388" spans="1:1">
      <c r="A12388" s="35" t="s">
        <v>56680</v>
      </c>
    </row>
    <row r="12389" spans="1:1">
      <c r="A12389" s="35" t="s">
        <v>41057</v>
      </c>
    </row>
    <row r="12390" spans="1:1">
      <c r="A12390" s="35" t="s">
        <v>53545</v>
      </c>
    </row>
    <row r="12391" spans="1:1">
      <c r="A12391" s="35" t="s">
        <v>53274</v>
      </c>
    </row>
    <row r="12392" spans="1:1">
      <c r="A12392" s="35" t="s">
        <v>41057</v>
      </c>
    </row>
    <row r="12393" spans="1:1">
      <c r="A12393" s="35" t="s">
        <v>41057</v>
      </c>
    </row>
    <row r="12394" spans="1:1">
      <c r="A12394" s="35" t="s">
        <v>41057</v>
      </c>
    </row>
    <row r="12395" spans="1:1">
      <c r="A12395" s="35" t="s">
        <v>41057</v>
      </c>
    </row>
    <row r="12396" spans="1:1">
      <c r="A12396" s="35" t="s">
        <v>41057</v>
      </c>
    </row>
    <row r="12397" spans="1:1">
      <c r="A12397" s="35" t="s">
        <v>41057</v>
      </c>
    </row>
    <row r="12398" spans="1:1">
      <c r="A12398" s="35" t="s">
        <v>41057</v>
      </c>
    </row>
    <row r="12399" spans="1:1">
      <c r="A12399" s="35" t="s">
        <v>41057</v>
      </c>
    </row>
    <row r="12400" spans="1:1">
      <c r="A12400" s="35" t="s">
        <v>41057</v>
      </c>
    </row>
    <row r="12401" spans="1:1">
      <c r="A12401" s="35" t="s">
        <v>41057</v>
      </c>
    </row>
    <row r="12402" spans="1:1">
      <c r="A12402" s="35" t="s">
        <v>41057</v>
      </c>
    </row>
    <row r="12403" spans="1:1">
      <c r="A12403" s="35" t="s">
        <v>41057</v>
      </c>
    </row>
    <row r="12404" spans="1:1">
      <c r="A12404" s="35" t="s">
        <v>41057</v>
      </c>
    </row>
    <row r="12405" spans="1:1">
      <c r="A12405" s="35" t="s">
        <v>41057</v>
      </c>
    </row>
    <row r="12406" spans="1:1">
      <c r="A12406" s="35" t="s">
        <v>41057</v>
      </c>
    </row>
    <row r="12407" spans="1:1">
      <c r="A12407" s="35" t="s">
        <v>41057</v>
      </c>
    </row>
    <row r="12408" spans="1:1">
      <c r="A12408" s="35" t="s">
        <v>41057</v>
      </c>
    </row>
    <row r="12409" spans="1:1">
      <c r="A12409" s="35" t="s">
        <v>56710</v>
      </c>
    </row>
    <row r="12410" spans="1:1">
      <c r="A12410" s="35" t="s">
        <v>41057</v>
      </c>
    </row>
    <row r="12411" spans="1:1">
      <c r="A12411" s="35" t="s">
        <v>56711</v>
      </c>
    </row>
    <row r="12412" spans="1:1">
      <c r="A12412" s="35" t="s">
        <v>41057</v>
      </c>
    </row>
    <row r="12413" spans="1:1">
      <c r="A12413" s="35" t="s">
        <v>41057</v>
      </c>
    </row>
    <row r="12414" spans="1:1">
      <c r="A12414" s="35" t="s">
        <v>56562</v>
      </c>
    </row>
    <row r="12415" spans="1:1">
      <c r="A12415" s="35" t="s">
        <v>41057</v>
      </c>
    </row>
    <row r="12416" spans="1:1">
      <c r="A12416" s="35" t="s">
        <v>41057</v>
      </c>
    </row>
    <row r="12417" spans="1:1">
      <c r="A12417" s="35" t="s">
        <v>53500</v>
      </c>
    </row>
    <row r="12418" spans="1:1">
      <c r="A12418" s="35" t="s">
        <v>41057</v>
      </c>
    </row>
    <row r="12419" spans="1:1">
      <c r="A12419" s="35" t="s">
        <v>41057</v>
      </c>
    </row>
    <row r="12420" spans="1:1">
      <c r="A12420" s="35" t="s">
        <v>56563</v>
      </c>
    </row>
    <row r="12421" spans="1:1">
      <c r="A12421" s="35" t="s">
        <v>41057</v>
      </c>
    </row>
    <row r="12422" spans="1:1">
      <c r="A12422" s="35" t="s">
        <v>56712</v>
      </c>
    </row>
    <row r="12423" spans="1:1">
      <c r="A12423" s="35" t="s">
        <v>41057</v>
      </c>
    </row>
    <row r="12424" spans="1:1">
      <c r="A12424" s="35" t="s">
        <v>53966</v>
      </c>
    </row>
    <row r="12425" spans="1:1">
      <c r="A12425" s="35" t="s">
        <v>56565</v>
      </c>
    </row>
    <row r="12426" spans="1:1">
      <c r="A12426" s="35" t="s">
        <v>41057</v>
      </c>
    </row>
    <row r="12427" spans="1:1">
      <c r="A12427" s="35" t="s">
        <v>41057</v>
      </c>
    </row>
    <row r="12428" spans="1:1">
      <c r="A12428" s="35" t="s">
        <v>56566</v>
      </c>
    </row>
    <row r="12429" spans="1:1">
      <c r="A12429" s="35" t="s">
        <v>41057</v>
      </c>
    </row>
    <row r="12430" spans="1:1">
      <c r="A12430" s="35" t="s">
        <v>41057</v>
      </c>
    </row>
    <row r="12431" spans="1:1">
      <c r="A12431" s="35" t="s">
        <v>41057</v>
      </c>
    </row>
    <row r="12432" spans="1:1">
      <c r="A12432" s="35" t="s">
        <v>41057</v>
      </c>
    </row>
    <row r="12433" spans="1:1">
      <c r="A12433" s="35" t="s">
        <v>41057</v>
      </c>
    </row>
    <row r="12434" spans="1:1">
      <c r="A12434" s="35" t="s">
        <v>56713</v>
      </c>
    </row>
    <row r="12435" spans="1:1">
      <c r="A12435" s="35" t="s">
        <v>41057</v>
      </c>
    </row>
    <row r="12436" spans="1:1">
      <c r="A12436" s="35" t="s">
        <v>41057</v>
      </c>
    </row>
    <row r="12437" spans="1:1">
      <c r="A12437" s="35" t="s">
        <v>41057</v>
      </c>
    </row>
    <row r="12438" spans="1:1">
      <c r="A12438" s="35" t="s">
        <v>41057</v>
      </c>
    </row>
    <row r="12439" spans="1:1">
      <c r="A12439" s="35" t="s">
        <v>41057</v>
      </c>
    </row>
    <row r="12440" spans="1:1">
      <c r="A12440" s="35" t="s">
        <v>41057</v>
      </c>
    </row>
    <row r="12441" spans="1:1">
      <c r="A12441" s="35" t="s">
        <v>41057</v>
      </c>
    </row>
    <row r="12442" spans="1:1">
      <c r="A12442" s="35" t="s">
        <v>41057</v>
      </c>
    </row>
    <row r="12443" spans="1:1">
      <c r="A12443" s="35" t="s">
        <v>41057</v>
      </c>
    </row>
    <row r="12444" spans="1:1">
      <c r="A12444" s="35" t="s">
        <v>41057</v>
      </c>
    </row>
    <row r="12445" spans="1:1">
      <c r="A12445" s="35" t="s">
        <v>41057</v>
      </c>
    </row>
    <row r="12446" spans="1:1">
      <c r="A12446" s="35" t="s">
        <v>41057</v>
      </c>
    </row>
    <row r="12447" spans="1:1">
      <c r="A12447" s="35" t="s">
        <v>41057</v>
      </c>
    </row>
    <row r="12448" spans="1:1">
      <c r="A12448" s="35" t="s">
        <v>41057</v>
      </c>
    </row>
    <row r="12449" spans="1:1">
      <c r="A12449" s="35" t="s">
        <v>41057</v>
      </c>
    </row>
    <row r="12450" spans="1:1">
      <c r="A12450" s="35" t="s">
        <v>56714</v>
      </c>
    </row>
    <row r="12451" spans="1:1">
      <c r="A12451" s="35" t="s">
        <v>41057</v>
      </c>
    </row>
    <row r="12452" spans="1:1">
      <c r="A12452" s="35" t="s">
        <v>41057</v>
      </c>
    </row>
    <row r="12453" spans="1:1">
      <c r="A12453" s="35" t="s">
        <v>56568</v>
      </c>
    </row>
    <row r="12454" spans="1:1">
      <c r="A12454" s="35" t="s">
        <v>41057</v>
      </c>
    </row>
    <row r="12455" spans="1:1">
      <c r="A12455" s="35" t="s">
        <v>41057</v>
      </c>
    </row>
    <row r="12456" spans="1:1">
      <c r="A12456" s="35" t="s">
        <v>41057</v>
      </c>
    </row>
    <row r="12457" spans="1:1">
      <c r="A12457" s="35" t="s">
        <v>41057</v>
      </c>
    </row>
    <row r="12458" spans="1:1">
      <c r="A12458" s="35" t="s">
        <v>41057</v>
      </c>
    </row>
    <row r="12459" spans="1:1">
      <c r="A12459" s="35" t="s">
        <v>41057</v>
      </c>
    </row>
    <row r="12460" spans="1:1">
      <c r="A12460" s="35" t="s">
        <v>41057</v>
      </c>
    </row>
    <row r="12461" spans="1:1">
      <c r="A12461" s="35" t="e" cm="1">
        <f t="array" ref="A12461">-----------------------------------------------------FP---AE</f>
        <v>#NAME?</v>
      </c>
    </row>
    <row r="12462" spans="1:1">
      <c r="A12462" s="35" t="s">
        <v>56569</v>
      </c>
    </row>
    <row r="12463" spans="1:1">
      <c r="A12463" s="35" t="e" cm="1">
        <f t="array" ref="A12463">---------------GEYIRIHNAIMD---------TPDK------------------RD</f>
        <v>#NAME?</v>
      </c>
    </row>
    <row r="12464" spans="1:1">
      <c r="A12464" s="35" t="s">
        <v>56715</v>
      </c>
    </row>
    <row r="12465" spans="1:1">
      <c r="A12465" s="35" t="e" cm="1">
        <f t="array" ref="A12465">---------------------------------------------FEITD--------TQ</f>
        <v>#NAME?</v>
      </c>
    </row>
    <row r="12466" spans="1:1">
      <c r="A12466" s="35" t="s">
        <v>54298</v>
      </c>
    </row>
    <row r="12467" spans="1:1">
      <c r="A12467" s="35" t="s">
        <v>56716</v>
      </c>
    </row>
    <row r="12468" spans="1:1">
      <c r="A12468" s="35" t="s">
        <v>41057</v>
      </c>
    </row>
    <row r="12469" spans="1:1">
      <c r="A12469" s="35" t="s">
        <v>56661</v>
      </c>
    </row>
    <row r="12470" spans="1:1">
      <c r="A12470" s="35" t="s">
        <v>56717</v>
      </c>
    </row>
    <row r="12471" spans="1:1">
      <c r="A12471" s="35" t="s">
        <v>41057</v>
      </c>
    </row>
    <row r="12472" spans="1:1">
      <c r="A12472" s="35" t="s">
        <v>41057</v>
      </c>
    </row>
    <row r="12473" spans="1:1">
      <c r="A12473" s="35" t="s">
        <v>41057</v>
      </c>
    </row>
    <row r="12474" spans="1:1">
      <c r="A12474" s="35" t="s">
        <v>41057</v>
      </c>
    </row>
    <row r="12475" spans="1:1">
      <c r="A12475" s="35" t="s">
        <v>56718</v>
      </c>
    </row>
    <row r="12476" spans="1:1">
      <c r="A12476" s="35" t="s">
        <v>41057</v>
      </c>
    </row>
    <row r="12477" spans="1:1">
      <c r="A12477" s="35" t="s">
        <v>41057</v>
      </c>
    </row>
    <row r="12478" spans="1:1">
      <c r="A12478" s="35" t="s">
        <v>41057</v>
      </c>
    </row>
    <row r="12479" spans="1:1">
      <c r="A12479" s="35" t="s">
        <v>56664</v>
      </c>
    </row>
    <row r="12480" spans="1:1">
      <c r="A12480" s="35" t="s">
        <v>56719</v>
      </c>
    </row>
    <row r="12481" spans="1:1">
      <c r="A12481" s="35" t="e" cm="1">
        <f t="array" ref="A12481">-----EM--------------------L-------FPY--------------VQTVEDRV</f>
        <v>#NAME?</v>
      </c>
    </row>
    <row r="12482" spans="1:1">
      <c r="A12482" s="35" t="s">
        <v>56720</v>
      </c>
    </row>
    <row r="12483" spans="1:1">
      <c r="A12483" s="35" t="s">
        <v>56721</v>
      </c>
    </row>
    <row r="12484" spans="1:1">
      <c r="A12484" s="35" t="s">
        <v>56722</v>
      </c>
    </row>
    <row r="12485" spans="1:1">
      <c r="A12485" s="35" t="e" cm="1">
        <f t="array" ref="A12485">-TTGPEYELWIDIDLSHDLETYSVLNVAYTFEIYEIGGSGG-----KLNNEPILSSKE-K</f>
        <v>#NAME?</v>
      </c>
    </row>
    <row r="12486" spans="1:1">
      <c r="A12486" s="35" t="s">
        <v>56723</v>
      </c>
    </row>
    <row r="12487" spans="1:1">
      <c r="A12487" s="35" t="s">
        <v>56724</v>
      </c>
    </row>
    <row r="12488" spans="1:1">
      <c r="A12488" s="35" t="s">
        <v>41057</v>
      </c>
    </row>
    <row r="12489" spans="1:1">
      <c r="A12489" s="35" t="s">
        <v>56725</v>
      </c>
    </row>
    <row r="12490" spans="1:1">
      <c r="A12490" s="35" t="s">
        <v>41057</v>
      </c>
    </row>
    <row r="12491" spans="1:1">
      <c r="A12491" s="35" t="s">
        <v>56583</v>
      </c>
    </row>
    <row r="12492" spans="1:1">
      <c r="A12492" s="35" t="s">
        <v>56726</v>
      </c>
    </row>
    <row r="12493" spans="1:1">
      <c r="A12493" s="35" t="s">
        <v>41057</v>
      </c>
    </row>
    <row r="12494" spans="1:1">
      <c r="A12494" s="35" t="s">
        <v>41057</v>
      </c>
    </row>
    <row r="12495" spans="1:1">
      <c r="A12495" s="35" t="s">
        <v>41057</v>
      </c>
    </row>
    <row r="12496" spans="1:1">
      <c r="A12496" s="35" t="e" cm="1">
        <f t="array" ref="A12496">---------------------------------------------------TRYDPLDSA</f>
        <v>#NAME?</v>
      </c>
    </row>
    <row r="12497" spans="1:1">
      <c r="A12497" s="35" t="s">
        <v>56727</v>
      </c>
    </row>
    <row r="12498" spans="1:1">
      <c r="A12498" s="35" t="s">
        <v>56586</v>
      </c>
    </row>
    <row r="12499" spans="1:1">
      <c r="A12499" s="35" t="s">
        <v>56728</v>
      </c>
    </row>
    <row r="12500" spans="1:1">
      <c r="A12500" s="35" t="s">
        <v>56729</v>
      </c>
    </row>
    <row r="12501" spans="1:1">
      <c r="A12501" s="35" t="s">
        <v>56676</v>
      </c>
    </row>
    <row r="12502" spans="1:1">
      <c r="A12502" s="35" t="s">
        <v>56730</v>
      </c>
    </row>
    <row r="12503" spans="1:1">
      <c r="A12503" s="35" t="e" cm="1">
        <f t="array" ref="A12503">-----------------------------------------------------------L</f>
        <v>#NAME?</v>
      </c>
    </row>
    <row r="12504" spans="1:1">
      <c r="A12504" s="35" t="s">
        <v>56731</v>
      </c>
    </row>
    <row r="12505" spans="1:1">
      <c r="A12505" s="35" t="s">
        <v>56732</v>
      </c>
    </row>
    <row r="12506" spans="1:1">
      <c r="A12506" s="35" t="s">
        <v>56733</v>
      </c>
    </row>
    <row r="12507" spans="1:1">
      <c r="A12507" s="35" t="s">
        <v>41057</v>
      </c>
    </row>
    <row r="12508" spans="1:1">
      <c r="A12508" s="35" t="s">
        <v>53545</v>
      </c>
    </row>
    <row r="12509" spans="1:1">
      <c r="A12509" s="35" t="s">
        <v>52890</v>
      </c>
    </row>
    <row r="12510" spans="1:1">
      <c r="A12510" s="35" t="s">
        <v>41057</v>
      </c>
    </row>
    <row r="12511" spans="1:1">
      <c r="A12511" s="35" t="e" cm="1">
        <f t="array" ref="A12511">-----------------------------------------------------------N</f>
        <v>#NAME?</v>
      </c>
    </row>
    <row r="12512" spans="1:1">
      <c r="A12512" s="35" t="s">
        <v>56734</v>
      </c>
    </row>
    <row r="12513" spans="1:1">
      <c r="A12513" s="35" t="s">
        <v>41057</v>
      </c>
    </row>
    <row r="12514" spans="1:1">
      <c r="A12514" s="35" t="s">
        <v>56735</v>
      </c>
    </row>
    <row r="12515" spans="1:1">
      <c r="A12515" s="35" t="s">
        <v>56736</v>
      </c>
    </row>
    <row r="12516" spans="1:1">
      <c r="A12516" s="35" t="s">
        <v>41057</v>
      </c>
    </row>
    <row r="12517" spans="1:1">
      <c r="A12517" s="35" t="s">
        <v>41057</v>
      </c>
    </row>
    <row r="12518" spans="1:1">
      <c r="A12518" s="35" t="s">
        <v>41057</v>
      </c>
    </row>
    <row r="12519" spans="1:1">
      <c r="A12519" s="35" t="s">
        <v>54911</v>
      </c>
    </row>
    <row r="12520" spans="1:1">
      <c r="A12520" s="35" t="s">
        <v>56737</v>
      </c>
    </row>
    <row r="12521" spans="1:1">
      <c r="A12521" s="35" t="s">
        <v>56738</v>
      </c>
    </row>
    <row r="12522" spans="1:1">
      <c r="A12522" s="35" t="s">
        <v>56739</v>
      </c>
    </row>
    <row r="12523" spans="1:1">
      <c r="A12523" s="35" t="s">
        <v>41057</v>
      </c>
    </row>
    <row r="12524" spans="1:1">
      <c r="A12524" s="35" t="s">
        <v>41057</v>
      </c>
    </row>
    <row r="12525" spans="1:1">
      <c r="A12525" s="35" t="e" cm="1">
        <f t="array" ref="A12525">---------------AEAYKP----------------FRQ-------------------V</f>
        <v>#NAME?</v>
      </c>
    </row>
    <row r="12526" spans="1:1">
      <c r="A12526" s="35" t="s">
        <v>56740</v>
      </c>
    </row>
    <row r="12527" spans="1:1">
      <c r="A12527" s="35" t="s">
        <v>56741</v>
      </c>
    </row>
    <row r="12528" spans="1:1">
      <c r="A12528" s="35" t="s">
        <v>41057</v>
      </c>
    </row>
    <row r="12529" spans="1:1">
      <c r="A12529" s="35" t="s">
        <v>56742</v>
      </c>
    </row>
    <row r="12530" spans="1:1">
      <c r="A12530" s="35" t="s">
        <v>41057</v>
      </c>
    </row>
    <row r="12531" spans="1:1">
      <c r="A12531" s="35" t="s">
        <v>41057</v>
      </c>
    </row>
    <row r="12532" spans="1:1">
      <c r="A12532" s="35" t="s">
        <v>56743</v>
      </c>
    </row>
    <row r="12533" spans="1:1">
      <c r="A12533" s="35" t="s">
        <v>41057</v>
      </c>
    </row>
    <row r="12534" spans="1:1">
      <c r="A12534" s="35" t="s">
        <v>41057</v>
      </c>
    </row>
    <row r="12535" spans="1:1">
      <c r="A12535" s="35" t="s">
        <v>53500</v>
      </c>
    </row>
    <row r="12536" spans="1:1">
      <c r="A12536" s="35" t="s">
        <v>41057</v>
      </c>
    </row>
    <row r="12537" spans="1:1">
      <c r="A12537" s="35" t="s">
        <v>41057</v>
      </c>
    </row>
    <row r="12538" spans="1:1">
      <c r="A12538" s="35" t="s">
        <v>56744</v>
      </c>
    </row>
    <row r="12539" spans="1:1">
      <c r="A12539" s="35" t="s">
        <v>41057</v>
      </c>
    </row>
    <row r="12540" spans="1:1">
      <c r="A12540" s="35" t="s">
        <v>56564</v>
      </c>
    </row>
    <row r="12541" spans="1:1">
      <c r="A12541" s="35" t="s">
        <v>41057</v>
      </c>
    </row>
    <row r="12542" spans="1:1">
      <c r="A12542" s="35" t="s">
        <v>56745</v>
      </c>
    </row>
    <row r="12543" spans="1:1">
      <c r="A12543" s="35" t="s">
        <v>56746</v>
      </c>
    </row>
    <row r="12544" spans="1:1">
      <c r="A12544" s="35" t="s">
        <v>41057</v>
      </c>
    </row>
    <row r="12545" spans="1:1">
      <c r="A12545" s="35" t="s">
        <v>41057</v>
      </c>
    </row>
    <row r="12546" spans="1:1">
      <c r="A12546" s="35" t="s">
        <v>56747</v>
      </c>
    </row>
    <row r="12547" spans="1:1">
      <c r="A12547" s="35" t="s">
        <v>41057</v>
      </c>
    </row>
    <row r="12548" spans="1:1">
      <c r="A12548" s="35" t="s">
        <v>41057</v>
      </c>
    </row>
    <row r="12549" spans="1:1">
      <c r="A12549" s="35" t="s">
        <v>41057</v>
      </c>
    </row>
    <row r="12550" spans="1:1">
      <c r="A12550" s="35" t="s">
        <v>41057</v>
      </c>
    </row>
    <row r="12551" spans="1:1">
      <c r="A12551" s="35" t="s">
        <v>41057</v>
      </c>
    </row>
    <row r="12552" spans="1:1">
      <c r="A12552" s="35" t="s">
        <v>56748</v>
      </c>
    </row>
    <row r="12553" spans="1:1">
      <c r="A12553" s="35" t="s">
        <v>41057</v>
      </c>
    </row>
    <row r="12554" spans="1:1">
      <c r="A12554" s="35" t="s">
        <v>41057</v>
      </c>
    </row>
    <row r="12555" spans="1:1">
      <c r="A12555" s="35" t="s">
        <v>41057</v>
      </c>
    </row>
    <row r="12556" spans="1:1">
      <c r="A12556" s="35" t="s">
        <v>41057</v>
      </c>
    </row>
    <row r="12557" spans="1:1">
      <c r="A12557" s="35" t="s">
        <v>41057</v>
      </c>
    </row>
    <row r="12558" spans="1:1">
      <c r="A12558" s="35" t="s">
        <v>41057</v>
      </c>
    </row>
    <row r="12559" spans="1:1">
      <c r="A12559" s="35" t="s">
        <v>41057</v>
      </c>
    </row>
    <row r="12560" spans="1:1">
      <c r="A12560" s="35" t="s">
        <v>41057</v>
      </c>
    </row>
    <row r="12561" spans="1:1">
      <c r="A12561" s="35" t="s">
        <v>41057</v>
      </c>
    </row>
    <row r="12562" spans="1:1">
      <c r="A12562" s="35" t="s">
        <v>41057</v>
      </c>
    </row>
    <row r="12563" spans="1:1">
      <c r="A12563" s="35" t="s">
        <v>41057</v>
      </c>
    </row>
    <row r="12564" spans="1:1">
      <c r="A12564" s="35" t="s">
        <v>41057</v>
      </c>
    </row>
    <row r="12565" spans="1:1">
      <c r="A12565" s="35" t="s">
        <v>41057</v>
      </c>
    </row>
    <row r="12566" spans="1:1">
      <c r="A12566" s="35" t="s">
        <v>41057</v>
      </c>
    </row>
    <row r="12567" spans="1:1">
      <c r="A12567" s="35" t="s">
        <v>41057</v>
      </c>
    </row>
    <row r="12568" spans="1:1">
      <c r="A12568" s="35" t="s">
        <v>56749</v>
      </c>
    </row>
    <row r="12569" spans="1:1">
      <c r="A12569" s="35" t="s">
        <v>41057</v>
      </c>
    </row>
    <row r="12570" spans="1:1">
      <c r="A12570" s="35" t="s">
        <v>41057</v>
      </c>
    </row>
    <row r="12571" spans="1:1">
      <c r="A12571" s="35" t="s">
        <v>55479</v>
      </c>
    </row>
    <row r="12572" spans="1:1">
      <c r="A12572" s="35" t="s">
        <v>41057</v>
      </c>
    </row>
    <row r="12573" spans="1:1">
      <c r="A12573" s="35" t="s">
        <v>41057</v>
      </c>
    </row>
    <row r="12574" spans="1:1">
      <c r="A12574" s="35" t="s">
        <v>41057</v>
      </c>
    </row>
    <row r="12575" spans="1:1">
      <c r="A12575" s="35" t="s">
        <v>41057</v>
      </c>
    </row>
    <row r="12576" spans="1:1">
      <c r="A12576" s="35" t="s">
        <v>41057</v>
      </c>
    </row>
    <row r="12577" spans="1:1">
      <c r="A12577" s="35" t="s">
        <v>41057</v>
      </c>
    </row>
    <row r="12578" spans="1:1">
      <c r="A12578" s="35" t="s">
        <v>41057</v>
      </c>
    </row>
    <row r="12579" spans="1:1">
      <c r="A12579" s="35" t="e" cm="1">
        <f t="array" ref="A12579">-----------------------------------------------------LP---GE</f>
        <v>#NAME?</v>
      </c>
    </row>
    <row r="12580" spans="1:1">
      <c r="A12580" s="35" t="s">
        <v>56750</v>
      </c>
    </row>
    <row r="12581" spans="1:1">
      <c r="A12581" s="35" t="e" cm="1">
        <f t="array" ref="A12581">---------------GEYIRLYNTLHD---------DADA------------------RA</f>
        <v>#NAME?</v>
      </c>
    </row>
    <row r="12582" spans="1:1">
      <c r="A12582" s="35" t="s">
        <v>56751</v>
      </c>
    </row>
    <row r="12583" spans="1:1">
      <c r="A12583" s="35" t="e" cm="1">
        <f t="array" ref="A12583">---------------------------------------------FDS-T--------EI</f>
        <v>#NAME?</v>
      </c>
    </row>
    <row r="12584" spans="1:1">
      <c r="A12584" s="35" t="s">
        <v>56752</v>
      </c>
    </row>
    <row r="12585" spans="1:1">
      <c r="A12585" s="35" t="s">
        <v>56753</v>
      </c>
    </row>
    <row r="12586" spans="1:1">
      <c r="A12586" s="35" t="s">
        <v>41057</v>
      </c>
    </row>
    <row r="12587" spans="1:1">
      <c r="A12587" s="35" t="s">
        <v>56754</v>
      </c>
    </row>
    <row r="12588" spans="1:1">
      <c r="A12588" s="35" t="s">
        <v>56755</v>
      </c>
    </row>
    <row r="12589" spans="1:1">
      <c r="A12589" s="35" t="s">
        <v>55258</v>
      </c>
    </row>
    <row r="12590" spans="1:1">
      <c r="A12590" s="35" t="s">
        <v>41057</v>
      </c>
    </row>
    <row r="12591" spans="1:1">
      <c r="A12591" s="35" t="s">
        <v>41057</v>
      </c>
    </row>
    <row r="12592" spans="1:1">
      <c r="A12592" s="35" t="s">
        <v>41057</v>
      </c>
    </row>
    <row r="12593" spans="1:1">
      <c r="A12593" s="35" t="s">
        <v>56756</v>
      </c>
    </row>
    <row r="12594" spans="1:1">
      <c r="A12594" s="35" t="s">
        <v>41057</v>
      </c>
    </row>
    <row r="12595" spans="1:1">
      <c r="A12595" s="35" t="s">
        <v>41057</v>
      </c>
    </row>
    <row r="12596" spans="1:1">
      <c r="A12596" s="35" t="s">
        <v>41057</v>
      </c>
    </row>
    <row r="12597" spans="1:1">
      <c r="A12597" s="35" t="s">
        <v>56664</v>
      </c>
    </row>
    <row r="12598" spans="1:1">
      <c r="A12598" s="35" t="s">
        <v>56757</v>
      </c>
    </row>
    <row r="12599" spans="1:1">
      <c r="A12599" s="35" t="e" cm="1">
        <f t="array" ref="A12599">-----SV--------------------L-------IEH--------------VHIDEDRV</f>
        <v>#NAME?</v>
      </c>
    </row>
    <row r="12600" spans="1:1">
      <c r="A12600" s="35" t="s">
        <v>56758</v>
      </c>
    </row>
    <row r="12601" spans="1:1">
      <c r="A12601" s="35" t="s">
        <v>56759</v>
      </c>
    </row>
    <row r="12602" spans="1:1">
      <c r="A12602" s="35" t="s">
        <v>56760</v>
      </c>
    </row>
    <row r="12603" spans="1:1">
      <c r="A12603" s="35" t="e" cm="1">
        <f t="array" ref="A12603">-APG---ETWVDVELQHDLEGTTGMVVNYSIEGYVPGG--------KLAGVSPVSSQTGL</f>
        <v>#NAME?</v>
      </c>
    </row>
    <row r="12604" spans="1:1">
      <c r="A12604" s="35" t="s">
        <v>56761</v>
      </c>
    </row>
    <row r="12605" spans="1:1">
      <c r="A12605" s="35" t="s">
        <v>56762</v>
      </c>
    </row>
    <row r="12606" spans="1:1">
      <c r="A12606" s="35" t="s">
        <v>41057</v>
      </c>
    </row>
    <row r="12607" spans="1:1">
      <c r="A12607" s="35" t="s">
        <v>56763</v>
      </c>
    </row>
    <row r="12608" spans="1:1">
      <c r="A12608" s="35" t="s">
        <v>41057</v>
      </c>
    </row>
    <row r="12609" spans="1:1">
      <c r="A12609" s="35" t="s">
        <v>56764</v>
      </c>
    </row>
    <row r="12610" spans="1:1">
      <c r="A12610" s="35" t="s">
        <v>56765</v>
      </c>
    </row>
    <row r="12611" spans="1:1">
      <c r="A12611" s="35" t="s">
        <v>41057</v>
      </c>
    </row>
    <row r="12612" spans="1:1">
      <c r="A12612" s="35" t="s">
        <v>41057</v>
      </c>
    </row>
    <row r="12613" spans="1:1">
      <c r="A12613" s="35" t="s">
        <v>41057</v>
      </c>
    </row>
    <row r="12614" spans="1:1">
      <c r="A12614" s="35" t="e" cm="1">
        <f t="array" ref="A12614">-----------------------------------------------------YDPLSAA</f>
        <v>#NAME?</v>
      </c>
    </row>
    <row r="12615" spans="1:1">
      <c r="A12615" s="35" t="s">
        <v>56766</v>
      </c>
    </row>
    <row r="12616" spans="1:1">
      <c r="A12616" s="35" t="s">
        <v>56767</v>
      </c>
    </row>
    <row r="12617" spans="1:1">
      <c r="A12617" s="35" t="s">
        <v>56768</v>
      </c>
    </row>
    <row r="12618" spans="1:1">
      <c r="A12618" s="35" t="s">
        <v>56769</v>
      </c>
    </row>
    <row r="12619" spans="1:1">
      <c r="A12619" s="35" t="s">
        <v>56770</v>
      </c>
    </row>
    <row r="12620" spans="1:1">
      <c r="A12620" s="35" t="s">
        <v>56771</v>
      </c>
    </row>
    <row r="12621" spans="1:1">
      <c r="A12621" s="35" t="e" cm="1">
        <f t="array" ref="A12621">-----------------------------------------------------------T</f>
        <v>#NAME?</v>
      </c>
    </row>
    <row r="12622" spans="1:1">
      <c r="A12622" s="35" t="s">
        <v>56772</v>
      </c>
    </row>
    <row r="12623" spans="1:1">
      <c r="A12623" s="35" t="s">
        <v>56773</v>
      </c>
    </row>
    <row r="12624" spans="1:1">
      <c r="A12624" s="35" t="s">
        <v>56774</v>
      </c>
    </row>
    <row r="12625" spans="1:1">
      <c r="A12625" s="35" t="s">
        <v>41057</v>
      </c>
    </row>
    <row r="12626" spans="1:1">
      <c r="A12626" s="35" t="s">
        <v>53545</v>
      </c>
    </row>
    <row r="12627" spans="1:1">
      <c r="A12627" s="35" t="s">
        <v>52915</v>
      </c>
    </row>
    <row r="12628" spans="1:1">
      <c r="A12628" s="35" t="s">
        <v>56775</v>
      </c>
    </row>
    <row r="12629" spans="1:1">
      <c r="A12629" s="35" t="e" cm="1">
        <f t="array" ref="A12629">-----------------------------------------AQG--HP----------GD</f>
        <v>#NAME?</v>
      </c>
    </row>
    <row r="12630" spans="1:1">
      <c r="A12630" s="35" t="s">
        <v>56776</v>
      </c>
    </row>
    <row r="12631" spans="1:1">
      <c r="A12631" s="35" t="e" cm="1">
        <f t="array" ref="A12631">--------GAQAPLRPRRGSALRQGPDQYHARPRGDA--SIRTHGLLRHGHDASHRGVWR</f>
        <v>#NAME?</v>
      </c>
    </row>
    <row r="12632" spans="1:1">
      <c r="A12632" s="35" t="s">
        <v>56777</v>
      </c>
    </row>
    <row r="12633" spans="1:1">
      <c r="A12633" s="35" t="s">
        <v>56736</v>
      </c>
    </row>
    <row r="12634" spans="1:1">
      <c r="A12634" s="35" t="s">
        <v>41057</v>
      </c>
    </row>
    <row r="12635" spans="1:1">
      <c r="A12635" s="35" t="s">
        <v>41057</v>
      </c>
    </row>
    <row r="12636" spans="1:1">
      <c r="A12636" s="35" t="s">
        <v>41057</v>
      </c>
    </row>
    <row r="12637" spans="1:1">
      <c r="A12637" s="35" t="s">
        <v>53492</v>
      </c>
    </row>
    <row r="12638" spans="1:1">
      <c r="A12638" s="35" t="s">
        <v>56778</v>
      </c>
    </row>
    <row r="12639" spans="1:1">
      <c r="A12639" s="35" t="s">
        <v>56779</v>
      </c>
    </row>
    <row r="12640" spans="1:1">
      <c r="A12640" s="35" t="s">
        <v>56780</v>
      </c>
    </row>
    <row r="12641" spans="1:1">
      <c r="A12641" s="35" t="s">
        <v>41057</v>
      </c>
    </row>
    <row r="12642" spans="1:1">
      <c r="A12642" s="35" t="s">
        <v>41057</v>
      </c>
    </row>
    <row r="12643" spans="1:1">
      <c r="A12643" s="35" t="e" cm="1">
        <f t="array" ref="A12643">---------------DDAYKP----------------FRQ-------------------H</f>
        <v>#NAME?</v>
      </c>
    </row>
    <row r="12644" spans="1:1">
      <c r="A12644" s="35" t="s">
        <v>56781</v>
      </c>
    </row>
    <row r="12645" spans="1:1">
      <c r="A12645" s="35" t="s">
        <v>56782</v>
      </c>
    </row>
    <row r="12646" spans="1:1">
      <c r="A12646" s="35" t="s">
        <v>41057</v>
      </c>
    </row>
    <row r="12647" spans="1:1">
      <c r="A12647" s="35" t="s">
        <v>56783</v>
      </c>
    </row>
    <row r="12648" spans="1:1">
      <c r="A12648" s="35" t="s">
        <v>41057</v>
      </c>
    </row>
    <row r="12649" spans="1:1">
      <c r="A12649" s="35" t="s">
        <v>41057</v>
      </c>
    </row>
    <row r="12650" spans="1:1">
      <c r="A12650" s="35" t="s">
        <v>56784</v>
      </c>
    </row>
    <row r="12651" spans="1:1">
      <c r="A12651" s="35" t="s">
        <v>41057</v>
      </c>
    </row>
    <row r="12652" spans="1:1">
      <c r="A12652" s="35" t="s">
        <v>41057</v>
      </c>
    </row>
    <row r="12653" spans="1:1">
      <c r="A12653" s="35" t="s">
        <v>53500</v>
      </c>
    </row>
    <row r="12654" spans="1:1">
      <c r="A12654" s="35" t="s">
        <v>41057</v>
      </c>
    </row>
    <row r="12655" spans="1:1">
      <c r="A12655" s="35" t="s">
        <v>41057</v>
      </c>
    </row>
    <row r="12656" spans="1:1">
      <c r="A12656" s="35" t="s">
        <v>56563</v>
      </c>
    </row>
    <row r="12657" spans="1:1">
      <c r="A12657" s="35" t="s">
        <v>41057</v>
      </c>
    </row>
    <row r="12658" spans="1:1">
      <c r="A12658" s="35" t="s">
        <v>56712</v>
      </c>
    </row>
    <row r="12659" spans="1:1">
      <c r="A12659" s="35" t="s">
        <v>41057</v>
      </c>
    </row>
    <row r="12660" spans="1:1">
      <c r="A12660" s="35" t="s">
        <v>56785</v>
      </c>
    </row>
    <row r="12661" spans="1:1">
      <c r="A12661" s="35" t="s">
        <v>56786</v>
      </c>
    </row>
    <row r="12662" spans="1:1">
      <c r="A12662" s="35" t="s">
        <v>41057</v>
      </c>
    </row>
    <row r="12663" spans="1:1">
      <c r="A12663" s="35" t="s">
        <v>41057</v>
      </c>
    </row>
    <row r="12664" spans="1:1">
      <c r="A12664" s="35" t="s">
        <v>56747</v>
      </c>
    </row>
    <row r="12665" spans="1:1">
      <c r="A12665" s="35" t="s">
        <v>41057</v>
      </c>
    </row>
    <row r="12666" spans="1:1">
      <c r="A12666" s="35" t="s">
        <v>41057</v>
      </c>
    </row>
    <row r="12667" spans="1:1">
      <c r="A12667" s="35" t="s">
        <v>41057</v>
      </c>
    </row>
    <row r="12668" spans="1:1">
      <c r="A12668" s="35" t="s">
        <v>41057</v>
      </c>
    </row>
    <row r="12669" spans="1:1">
      <c r="A12669" s="35" t="s">
        <v>41057</v>
      </c>
    </row>
    <row r="12670" spans="1:1">
      <c r="A12670" s="35" t="s">
        <v>56748</v>
      </c>
    </row>
    <row r="12671" spans="1:1">
      <c r="A12671" s="35" t="s">
        <v>41057</v>
      </c>
    </row>
    <row r="12672" spans="1:1">
      <c r="A12672" s="35" t="s">
        <v>41057</v>
      </c>
    </row>
    <row r="12673" spans="1:1">
      <c r="A12673" s="35" t="s">
        <v>41057</v>
      </c>
    </row>
    <row r="12674" spans="1:1">
      <c r="A12674" s="35" t="s">
        <v>41057</v>
      </c>
    </row>
    <row r="12675" spans="1:1">
      <c r="A12675" s="35" t="s">
        <v>41057</v>
      </c>
    </row>
    <row r="12676" spans="1:1">
      <c r="A12676" s="35" t="s">
        <v>41057</v>
      </c>
    </row>
    <row r="12677" spans="1:1">
      <c r="A12677" s="35" t="s">
        <v>41057</v>
      </c>
    </row>
    <row r="12678" spans="1:1">
      <c r="A12678" s="35" t="s">
        <v>41057</v>
      </c>
    </row>
    <row r="12679" spans="1:1">
      <c r="A12679" s="35" t="s">
        <v>41057</v>
      </c>
    </row>
    <row r="12680" spans="1:1">
      <c r="A12680" s="35" t="s">
        <v>41057</v>
      </c>
    </row>
    <row r="12681" spans="1:1">
      <c r="A12681" s="35" t="s">
        <v>41057</v>
      </c>
    </row>
    <row r="12682" spans="1:1">
      <c r="A12682" s="35" t="s">
        <v>41057</v>
      </c>
    </row>
    <row r="12683" spans="1:1">
      <c r="A12683" s="35" t="s">
        <v>41057</v>
      </c>
    </row>
    <row r="12684" spans="1:1">
      <c r="A12684" s="35" t="s">
        <v>41057</v>
      </c>
    </row>
    <row r="12685" spans="1:1">
      <c r="A12685" s="35" t="s">
        <v>41057</v>
      </c>
    </row>
    <row r="12686" spans="1:1">
      <c r="A12686" s="35" t="s">
        <v>56787</v>
      </c>
    </row>
    <row r="12687" spans="1:1">
      <c r="A12687" s="35" t="s">
        <v>41057</v>
      </c>
    </row>
    <row r="12688" spans="1:1">
      <c r="A12688" s="35" t="s">
        <v>41057</v>
      </c>
    </row>
    <row r="12689" spans="1:1">
      <c r="A12689" s="35" t="s">
        <v>55479</v>
      </c>
    </row>
    <row r="12690" spans="1:1">
      <c r="A12690" s="35" t="s">
        <v>41057</v>
      </c>
    </row>
    <row r="12691" spans="1:1">
      <c r="A12691" s="35" t="s">
        <v>41057</v>
      </c>
    </row>
    <row r="12692" spans="1:1">
      <c r="A12692" s="35" t="s">
        <v>41057</v>
      </c>
    </row>
    <row r="12693" spans="1:1">
      <c r="A12693" s="35" t="s">
        <v>41057</v>
      </c>
    </row>
    <row r="12694" spans="1:1">
      <c r="A12694" s="35" t="s">
        <v>41057</v>
      </c>
    </row>
    <row r="12695" spans="1:1">
      <c r="A12695" s="35" t="s">
        <v>41057</v>
      </c>
    </row>
    <row r="12696" spans="1:1">
      <c r="A12696" s="35" t="s">
        <v>41057</v>
      </c>
    </row>
    <row r="12697" spans="1:1">
      <c r="A12697" s="35" t="e" cm="1">
        <f t="array" ref="A12697">-----------------------------------------------------LP---GE</f>
        <v>#NAME?</v>
      </c>
    </row>
    <row r="12698" spans="1:1">
      <c r="A12698" s="35" t="s">
        <v>56788</v>
      </c>
    </row>
    <row r="12699" spans="1:1">
      <c r="A12699" s="35" t="e" cm="1">
        <f t="array" ref="A12699">---------------GEYIRIYNTIHD---------DADA------------------RA</f>
        <v>#NAME?</v>
      </c>
    </row>
    <row r="12700" spans="1:1">
      <c r="A12700" s="35" t="s">
        <v>56789</v>
      </c>
    </row>
    <row r="12701" spans="1:1">
      <c r="A12701" s="35" t="e" cm="1">
        <f t="array" ref="A12701">---------------------------------------------FDSTT--------EV</f>
        <v>#NAME?</v>
      </c>
    </row>
    <row r="12702" spans="1:1">
      <c r="A12702" s="35" t="s">
        <v>56752</v>
      </c>
    </row>
    <row r="12703" spans="1:1">
      <c r="A12703" s="35" t="s">
        <v>56790</v>
      </c>
    </row>
    <row r="12704" spans="1:1">
      <c r="A12704" s="35" t="s">
        <v>41057</v>
      </c>
    </row>
    <row r="12705" spans="1:1">
      <c r="A12705" s="35" t="s">
        <v>56754</v>
      </c>
    </row>
    <row r="12706" spans="1:1">
      <c r="A12706" s="35" t="s">
        <v>56791</v>
      </c>
    </row>
    <row r="12707" spans="1:1">
      <c r="A12707" s="35" t="s">
        <v>55258</v>
      </c>
    </row>
    <row r="12708" spans="1:1">
      <c r="A12708" s="35" t="s">
        <v>41057</v>
      </c>
    </row>
    <row r="12709" spans="1:1">
      <c r="A12709" s="35" t="s">
        <v>41057</v>
      </c>
    </row>
    <row r="12710" spans="1:1">
      <c r="A12710" s="35" t="s">
        <v>41057</v>
      </c>
    </row>
    <row r="12711" spans="1:1">
      <c r="A12711" s="35" t="s">
        <v>56792</v>
      </c>
    </row>
    <row r="12712" spans="1:1">
      <c r="A12712" s="35" t="s">
        <v>41057</v>
      </c>
    </row>
    <row r="12713" spans="1:1">
      <c r="A12713" s="35" t="s">
        <v>41057</v>
      </c>
    </row>
    <row r="12714" spans="1:1">
      <c r="A12714" s="35" t="s">
        <v>41057</v>
      </c>
    </row>
    <row r="12715" spans="1:1">
      <c r="A12715" s="35" t="s">
        <v>56793</v>
      </c>
    </row>
    <row r="12716" spans="1:1">
      <c r="A12716" s="35" t="s">
        <v>56794</v>
      </c>
    </row>
    <row r="12717" spans="1:1">
      <c r="A12717" s="35" t="e" cm="1">
        <f t="array" ref="A12717">-----NM--------------------L-------IEH--------------VHIDEDRV</f>
        <v>#NAME?</v>
      </c>
    </row>
    <row r="12718" spans="1:1">
      <c r="A12718" s="35" t="s">
        <v>56795</v>
      </c>
    </row>
    <row r="12719" spans="1:1">
      <c r="A12719" s="35" t="s">
        <v>56796</v>
      </c>
    </row>
    <row r="12720" spans="1:1">
      <c r="A12720" s="35" t="s">
        <v>56797</v>
      </c>
    </row>
    <row r="12721" spans="1:1">
      <c r="A12721" s="35" t="e" cm="1">
        <f t="array" ref="A12721">-APG---ETWVDFEIQHDLEGTAGMVVNYTIEGYVPGG--------KLAGVSPVSSQT-L</f>
        <v>#NAME?</v>
      </c>
    </row>
    <row r="12722" spans="1:1">
      <c r="A12722" s="35" t="s">
        <v>56798</v>
      </c>
    </row>
    <row r="12723" spans="1:1">
      <c r="A12723" s="35" t="s">
        <v>56799</v>
      </c>
    </row>
    <row r="12724" spans="1:1">
      <c r="A12724" s="35" t="s">
        <v>41057</v>
      </c>
    </row>
    <row r="12725" spans="1:1">
      <c r="A12725" s="35" t="s">
        <v>56800</v>
      </c>
    </row>
    <row r="12726" spans="1:1">
      <c r="A12726" s="35" t="s">
        <v>41057</v>
      </c>
    </row>
    <row r="12727" spans="1:1">
      <c r="A12727" s="35" t="s">
        <v>56801</v>
      </c>
    </row>
    <row r="12728" spans="1:1">
      <c r="A12728" s="35" t="s">
        <v>56802</v>
      </c>
    </row>
    <row r="12729" spans="1:1">
      <c r="A12729" s="35" t="s">
        <v>41057</v>
      </c>
    </row>
    <row r="12730" spans="1:1">
      <c r="A12730" s="35" t="s">
        <v>41057</v>
      </c>
    </row>
    <row r="12731" spans="1:1">
      <c r="A12731" s="35" t="s">
        <v>41057</v>
      </c>
    </row>
    <row r="12732" spans="1:1">
      <c r="A12732" s="35" t="e" cm="1">
        <f t="array" ref="A12732">-----------------------------------------------------YDPLSAA</f>
        <v>#NAME?</v>
      </c>
    </row>
    <row r="12733" spans="1:1">
      <c r="A12733" s="35" t="s">
        <v>56803</v>
      </c>
    </row>
    <row r="12734" spans="1:1">
      <c r="A12734" s="35" t="s">
        <v>56804</v>
      </c>
    </row>
    <row r="12735" spans="1:1">
      <c r="A12735" s="35" t="s">
        <v>56805</v>
      </c>
    </row>
    <row r="12736" spans="1:1">
      <c r="A12736" s="35" t="s">
        <v>56806</v>
      </c>
    </row>
    <row r="12737" spans="1:1">
      <c r="A12737" s="35" t="s">
        <v>56807</v>
      </c>
    </row>
    <row r="12738" spans="1:1">
      <c r="A12738" s="35" t="s">
        <v>56808</v>
      </c>
    </row>
    <row r="12739" spans="1:1">
      <c r="A12739" s="35" t="e" cm="1">
        <f t="array" ref="A12739">-----------------------------------------------------------T</f>
        <v>#NAME?</v>
      </c>
    </row>
    <row r="12740" spans="1:1">
      <c r="A12740" s="35" t="s">
        <v>56809</v>
      </c>
    </row>
    <row r="12741" spans="1:1">
      <c r="A12741" s="35" t="s">
        <v>56810</v>
      </c>
    </row>
    <row r="12742" spans="1:1">
      <c r="A12742" s="35" t="s">
        <v>56811</v>
      </c>
    </row>
    <row r="12743" spans="1:1">
      <c r="A12743" s="35" t="s">
        <v>41057</v>
      </c>
    </row>
    <row r="12744" spans="1:1">
      <c r="A12744" s="35" t="s">
        <v>53545</v>
      </c>
    </row>
    <row r="12745" spans="1:1">
      <c r="A12745" s="35" t="s">
        <v>53244</v>
      </c>
    </row>
    <row r="12746" spans="1:1">
      <c r="A12746" s="35" t="s">
        <v>41057</v>
      </c>
    </row>
    <row r="12747" spans="1:1">
      <c r="A12747" s="35" t="s">
        <v>41057</v>
      </c>
    </row>
    <row r="12748" spans="1:1">
      <c r="A12748" s="35" t="s">
        <v>41057</v>
      </c>
    </row>
    <row r="12749" spans="1:1">
      <c r="A12749" s="35" t="e" cm="1">
        <f t="array" ref="A12749">--------------------------------------------------------NVCI</f>
        <v>#NAME?</v>
      </c>
    </row>
    <row r="12750" spans="1:1">
      <c r="A12750" s="35" t="s">
        <v>56812</v>
      </c>
    </row>
    <row r="12751" spans="1:1">
      <c r="A12751" s="35" t="s">
        <v>56736</v>
      </c>
    </row>
    <row r="12752" spans="1:1">
      <c r="A12752" s="35" t="s">
        <v>41057</v>
      </c>
    </row>
    <row r="12753" spans="1:1">
      <c r="A12753" s="35" t="s">
        <v>41057</v>
      </c>
    </row>
    <row r="12754" spans="1:1">
      <c r="A12754" s="35" t="s">
        <v>41057</v>
      </c>
    </row>
    <row r="12755" spans="1:1">
      <c r="A12755" s="35" t="s">
        <v>54911</v>
      </c>
    </row>
    <row r="12756" spans="1:1">
      <c r="A12756" s="35" t="s">
        <v>56737</v>
      </c>
    </row>
    <row r="12757" spans="1:1">
      <c r="A12757" s="35" t="s">
        <v>56813</v>
      </c>
    </row>
    <row r="12758" spans="1:1">
      <c r="A12758" s="35" t="s">
        <v>56814</v>
      </c>
    </row>
    <row r="12759" spans="1:1">
      <c r="A12759" s="35" t="s">
        <v>41057</v>
      </c>
    </row>
    <row r="12760" spans="1:1">
      <c r="A12760" s="35" t="s">
        <v>41057</v>
      </c>
    </row>
    <row r="12761" spans="1:1">
      <c r="A12761" s="35" t="e" cm="1">
        <f t="array" ref="A12761">---------------EDAYKP----------------FRQ-------------------V</f>
        <v>#NAME?</v>
      </c>
    </row>
    <row r="12762" spans="1:1">
      <c r="A12762" s="35" t="s">
        <v>56815</v>
      </c>
    </row>
    <row r="12763" spans="1:1">
      <c r="A12763" s="35" t="s">
        <v>56816</v>
      </c>
    </row>
    <row r="12764" spans="1:1">
      <c r="A12764" s="35" t="s">
        <v>41057</v>
      </c>
    </row>
    <row r="12765" spans="1:1">
      <c r="A12765" s="35" t="s">
        <v>56817</v>
      </c>
    </row>
    <row r="12766" spans="1:1">
      <c r="A12766" s="35" t="s">
        <v>41057</v>
      </c>
    </row>
    <row r="12767" spans="1:1">
      <c r="A12767" s="35" t="s">
        <v>41057</v>
      </c>
    </row>
    <row r="12768" spans="1:1">
      <c r="A12768" s="35" t="s">
        <v>56784</v>
      </c>
    </row>
    <row r="12769" spans="1:1">
      <c r="A12769" s="35" t="s">
        <v>41057</v>
      </c>
    </row>
    <row r="12770" spans="1:1">
      <c r="A12770" s="35" t="s">
        <v>41057</v>
      </c>
    </row>
    <row r="12771" spans="1:1">
      <c r="A12771" s="35" t="s">
        <v>53500</v>
      </c>
    </row>
    <row r="12772" spans="1:1">
      <c r="A12772" s="35" t="s">
        <v>41057</v>
      </c>
    </row>
    <row r="12773" spans="1:1">
      <c r="A12773" s="35" t="s">
        <v>41057</v>
      </c>
    </row>
    <row r="12774" spans="1:1">
      <c r="A12774" s="35" t="s">
        <v>56818</v>
      </c>
    </row>
    <row r="12775" spans="1:1">
      <c r="A12775" s="35" t="s">
        <v>41057</v>
      </c>
    </row>
    <row r="12776" spans="1:1">
      <c r="A12776" s="35" t="s">
        <v>56712</v>
      </c>
    </row>
    <row r="12777" spans="1:1">
      <c r="A12777" s="35" t="s">
        <v>41057</v>
      </c>
    </row>
    <row r="12778" spans="1:1">
      <c r="A12778" s="35" t="s">
        <v>56819</v>
      </c>
    </row>
    <row r="12779" spans="1:1">
      <c r="A12779" s="35" t="s">
        <v>56820</v>
      </c>
    </row>
    <row r="12780" spans="1:1">
      <c r="A12780" s="35" t="s">
        <v>41057</v>
      </c>
    </row>
    <row r="12781" spans="1:1">
      <c r="A12781" s="35" t="s">
        <v>41057</v>
      </c>
    </row>
    <row r="12782" spans="1:1">
      <c r="A12782" s="35" t="s">
        <v>56747</v>
      </c>
    </row>
    <row r="12783" spans="1:1">
      <c r="A12783" s="35" t="s">
        <v>41057</v>
      </c>
    </row>
    <row r="12784" spans="1:1">
      <c r="A12784" s="35" t="s">
        <v>41057</v>
      </c>
    </row>
    <row r="12785" spans="1:1">
      <c r="A12785" s="35" t="s">
        <v>41057</v>
      </c>
    </row>
    <row r="12786" spans="1:1">
      <c r="A12786" s="35" t="s">
        <v>41057</v>
      </c>
    </row>
    <row r="12787" spans="1:1">
      <c r="A12787" s="35" t="s">
        <v>41057</v>
      </c>
    </row>
    <row r="12788" spans="1:1">
      <c r="A12788" s="35" t="s">
        <v>56748</v>
      </c>
    </row>
    <row r="12789" spans="1:1">
      <c r="A12789" s="35" t="s">
        <v>41057</v>
      </c>
    </row>
    <row r="12790" spans="1:1">
      <c r="A12790" s="35" t="s">
        <v>41057</v>
      </c>
    </row>
    <row r="12791" spans="1:1">
      <c r="A12791" s="35" t="s">
        <v>41057</v>
      </c>
    </row>
    <row r="12792" spans="1:1">
      <c r="A12792" s="35" t="s">
        <v>41057</v>
      </c>
    </row>
    <row r="12793" spans="1:1">
      <c r="A12793" s="35" t="s">
        <v>41057</v>
      </c>
    </row>
    <row r="12794" spans="1:1">
      <c r="A12794" s="35" t="s">
        <v>41057</v>
      </c>
    </row>
    <row r="12795" spans="1:1">
      <c r="A12795" s="35" t="s">
        <v>41057</v>
      </c>
    </row>
    <row r="12796" spans="1:1">
      <c r="A12796" s="35" t="s">
        <v>41057</v>
      </c>
    </row>
    <row r="12797" spans="1:1">
      <c r="A12797" s="35" t="s">
        <v>41057</v>
      </c>
    </row>
    <row r="12798" spans="1:1">
      <c r="A12798" s="35" t="s">
        <v>41057</v>
      </c>
    </row>
    <row r="12799" spans="1:1">
      <c r="A12799" s="35" t="s">
        <v>41057</v>
      </c>
    </row>
    <row r="12800" spans="1:1">
      <c r="A12800" s="35" t="s">
        <v>41057</v>
      </c>
    </row>
    <row r="12801" spans="1:1">
      <c r="A12801" s="35" t="s">
        <v>41057</v>
      </c>
    </row>
    <row r="12802" spans="1:1">
      <c r="A12802" s="35" t="s">
        <v>41057</v>
      </c>
    </row>
    <row r="12803" spans="1:1">
      <c r="A12803" s="35" t="s">
        <v>41057</v>
      </c>
    </row>
    <row r="12804" spans="1:1">
      <c r="A12804" s="35" t="s">
        <v>56787</v>
      </c>
    </row>
    <row r="12805" spans="1:1">
      <c r="A12805" s="35" t="s">
        <v>41057</v>
      </c>
    </row>
    <row r="12806" spans="1:1">
      <c r="A12806" s="35" t="s">
        <v>41057</v>
      </c>
    </row>
    <row r="12807" spans="1:1">
      <c r="A12807" s="35" t="s">
        <v>55479</v>
      </c>
    </row>
    <row r="12808" spans="1:1">
      <c r="A12808" s="35" t="s">
        <v>41057</v>
      </c>
    </row>
    <row r="12809" spans="1:1">
      <c r="A12809" s="35" t="s">
        <v>41057</v>
      </c>
    </row>
    <row r="12810" spans="1:1">
      <c r="A12810" s="35" t="s">
        <v>41057</v>
      </c>
    </row>
    <row r="12811" spans="1:1">
      <c r="A12811" s="35" t="s">
        <v>41057</v>
      </c>
    </row>
    <row r="12812" spans="1:1">
      <c r="A12812" s="35" t="s">
        <v>41057</v>
      </c>
    </row>
    <row r="12813" spans="1:1">
      <c r="A12813" s="35" t="s">
        <v>41057</v>
      </c>
    </row>
    <row r="12814" spans="1:1">
      <c r="A12814" s="35" t="s">
        <v>41057</v>
      </c>
    </row>
    <row r="12815" spans="1:1">
      <c r="A12815" s="35" t="e" cm="1">
        <f t="array" ref="A12815">-----------------------------------------------------LP---AE</f>
        <v>#NAME?</v>
      </c>
    </row>
    <row r="12816" spans="1:1">
      <c r="A12816" s="35" t="s">
        <v>56821</v>
      </c>
    </row>
    <row r="12817" spans="1:1">
      <c r="A12817" s="35" t="e" cm="1">
        <f t="array" ref="A12817">---------------GQYIRIHNTLKD---------DADA------------------RT</f>
        <v>#NAME?</v>
      </c>
    </row>
    <row r="12818" spans="1:1">
      <c r="A12818" s="35" t="s">
        <v>56822</v>
      </c>
    </row>
    <row r="12819" spans="1:1">
      <c r="A12819" s="35" t="e" cm="1">
        <f t="array" ref="A12819">---------------------------------------------FDS-T--------EQ</f>
        <v>#NAME?</v>
      </c>
    </row>
    <row r="12820" spans="1:1">
      <c r="A12820" s="35" t="s">
        <v>56752</v>
      </c>
    </row>
    <row r="12821" spans="1:1">
      <c r="A12821" s="35" t="s">
        <v>56790</v>
      </c>
    </row>
    <row r="12822" spans="1:1">
      <c r="A12822" s="35" t="s">
        <v>41057</v>
      </c>
    </row>
    <row r="12823" spans="1:1">
      <c r="A12823" s="35" t="s">
        <v>56823</v>
      </c>
    </row>
    <row r="12824" spans="1:1">
      <c r="A12824" s="35" t="s">
        <v>56824</v>
      </c>
    </row>
    <row r="12825" spans="1:1">
      <c r="A12825" s="35" t="s">
        <v>55258</v>
      </c>
    </row>
    <row r="12826" spans="1:1">
      <c r="A12826" s="35" t="s">
        <v>41057</v>
      </c>
    </row>
    <row r="12827" spans="1:1">
      <c r="A12827" s="35" t="s">
        <v>41057</v>
      </c>
    </row>
    <row r="12828" spans="1:1">
      <c r="A12828" s="35" t="s">
        <v>41057</v>
      </c>
    </row>
    <row r="12829" spans="1:1">
      <c r="A12829" s="35" t="s">
        <v>56825</v>
      </c>
    </row>
    <row r="12830" spans="1:1">
      <c r="A12830" s="35" t="s">
        <v>41057</v>
      </c>
    </row>
    <row r="12831" spans="1:1">
      <c r="A12831" s="35" t="s">
        <v>41057</v>
      </c>
    </row>
    <row r="12832" spans="1:1">
      <c r="A12832" s="35" t="s">
        <v>41057</v>
      </c>
    </row>
    <row r="12833" spans="1:1">
      <c r="A12833" s="35" t="s">
        <v>56575</v>
      </c>
    </row>
    <row r="12834" spans="1:1">
      <c r="A12834" s="35" t="s">
        <v>56826</v>
      </c>
    </row>
    <row r="12835" spans="1:1">
      <c r="A12835" s="35" t="e" cm="1">
        <f t="array" ref="A12835">-----NL--------------------L-------IEH--------------VHIDEDRV</f>
        <v>#NAME?</v>
      </c>
    </row>
    <row r="12836" spans="1:1">
      <c r="A12836" s="35" t="s">
        <v>56827</v>
      </c>
    </row>
    <row r="12837" spans="1:1">
      <c r="A12837" s="35" t="s">
        <v>56828</v>
      </c>
    </row>
    <row r="12838" spans="1:1">
      <c r="A12838" s="35" t="s">
        <v>56829</v>
      </c>
    </row>
    <row r="12839" spans="1:1">
      <c r="A12839" s="35" t="e" cm="1">
        <f t="array" ref="A12839">-TPG---ETWVDFEIQHDLEGTTGMVVNYTIEGYVAGG--------KLAGVSAVSSQT-L</f>
        <v>#NAME?</v>
      </c>
    </row>
    <row r="12840" spans="1:1">
      <c r="A12840" s="35" t="s">
        <v>56830</v>
      </c>
    </row>
    <row r="12841" spans="1:1">
      <c r="A12841" s="35" t="s">
        <v>56831</v>
      </c>
    </row>
    <row r="12842" spans="1:1">
      <c r="A12842" s="35" t="s">
        <v>41057</v>
      </c>
    </row>
    <row r="12843" spans="1:1">
      <c r="A12843" s="35" t="s">
        <v>56832</v>
      </c>
    </row>
    <row r="12844" spans="1:1">
      <c r="A12844" s="35" t="s">
        <v>41057</v>
      </c>
    </row>
    <row r="12845" spans="1:1">
      <c r="A12845" s="35" t="s">
        <v>56764</v>
      </c>
    </row>
    <row r="12846" spans="1:1">
      <c r="A12846" s="35" t="s">
        <v>56833</v>
      </c>
    </row>
    <row r="12847" spans="1:1">
      <c r="A12847" s="35" t="s">
        <v>41057</v>
      </c>
    </row>
    <row r="12848" spans="1:1">
      <c r="A12848" s="35" t="s">
        <v>41057</v>
      </c>
    </row>
    <row r="12849" spans="1:1">
      <c r="A12849" s="35" t="s">
        <v>41057</v>
      </c>
    </row>
    <row r="12850" spans="1:1">
      <c r="A12850" s="35" t="e" cm="1">
        <f t="array" ref="A12850">-----------------------------------------------------YDPLSAA</f>
        <v>#NAME?</v>
      </c>
    </row>
    <row r="12851" spans="1:1">
      <c r="A12851" s="35" t="s">
        <v>56834</v>
      </c>
    </row>
    <row r="12852" spans="1:1">
      <c r="A12852" s="35" t="s">
        <v>56804</v>
      </c>
    </row>
    <row r="12853" spans="1:1">
      <c r="A12853" s="35" t="s">
        <v>56835</v>
      </c>
    </row>
    <row r="12854" spans="1:1">
      <c r="A12854" s="35" t="s">
        <v>56836</v>
      </c>
    </row>
    <row r="12855" spans="1:1">
      <c r="A12855" s="35" t="s">
        <v>56837</v>
      </c>
    </row>
    <row r="12856" spans="1:1">
      <c r="A12856" s="35" t="e" cm="1">
        <f t="array" ref="A12856">-----QRFRRYS-------------------------SSVT---------DEASTADLYE</f>
        <v>#NAME?</v>
      </c>
    </row>
    <row r="12857" spans="1:1">
      <c r="A12857" s="35" t="s">
        <v>56838</v>
      </c>
    </row>
    <row r="12858" spans="1:1">
      <c r="A12858" s="35" t="s">
        <v>56839</v>
      </c>
    </row>
    <row r="12859" spans="1:1">
      <c r="A12859" s="35" t="s">
        <v>56773</v>
      </c>
    </row>
    <row r="12860" spans="1:1">
      <c r="A12860" s="35" t="s">
        <v>56811</v>
      </c>
    </row>
    <row r="12861" spans="1:1">
      <c r="A12861" s="35" t="s">
        <v>41057</v>
      </c>
    </row>
    <row r="12862" spans="1:1">
      <c r="A12862" s="35" t="s">
        <v>53545</v>
      </c>
    </row>
    <row r="12863" spans="1:1">
      <c r="A12863" s="35" t="s">
        <v>52967</v>
      </c>
    </row>
    <row r="12864" spans="1:1">
      <c r="A12864" s="35" t="s">
        <v>41057</v>
      </c>
    </row>
    <row r="12865" spans="1:1">
      <c r="A12865" s="35" t="s">
        <v>41057</v>
      </c>
    </row>
    <row r="12866" spans="1:1">
      <c r="A12866" s="35" t="s">
        <v>56840</v>
      </c>
    </row>
    <row r="12867" spans="1:1">
      <c r="A12867" s="35" t="s">
        <v>56841</v>
      </c>
    </row>
    <row r="12868" spans="1:1">
      <c r="A12868" s="35" t="s">
        <v>41057</v>
      </c>
    </row>
    <row r="12869" spans="1:1">
      <c r="A12869" s="35" t="s">
        <v>53706</v>
      </c>
    </row>
    <row r="12870" spans="1:1">
      <c r="A12870" s="35" t="s">
        <v>41057</v>
      </c>
    </row>
    <row r="12871" spans="1:1">
      <c r="A12871" s="35" t="s">
        <v>41057</v>
      </c>
    </row>
    <row r="12872" spans="1:1">
      <c r="A12872" s="35" t="s">
        <v>41057</v>
      </c>
    </row>
    <row r="12873" spans="1:1">
      <c r="A12873" s="35" t="s">
        <v>54991</v>
      </c>
    </row>
    <row r="12874" spans="1:1">
      <c r="A12874" s="35" t="s">
        <v>56842</v>
      </c>
    </row>
    <row r="12875" spans="1:1">
      <c r="A12875" s="35" t="s">
        <v>56843</v>
      </c>
    </row>
    <row r="12876" spans="1:1">
      <c r="A12876" s="35" t="s">
        <v>56844</v>
      </c>
    </row>
    <row r="12877" spans="1:1">
      <c r="A12877" s="35" t="s">
        <v>41057</v>
      </c>
    </row>
    <row r="12878" spans="1:1">
      <c r="A12878" s="35" t="s">
        <v>41057</v>
      </c>
    </row>
    <row r="12879" spans="1:1">
      <c r="A12879" s="35" t="e" cm="1">
        <f t="array" ref="A12879">---------------FDAYRP----------------FRQ-------------------V</f>
        <v>#NAME?</v>
      </c>
    </row>
    <row r="12880" spans="1:1">
      <c r="A12880" s="35" t="s">
        <v>56845</v>
      </c>
    </row>
    <row r="12881" spans="1:1">
      <c r="A12881" s="35" t="s">
        <v>56846</v>
      </c>
    </row>
    <row r="12882" spans="1:1">
      <c r="A12882" s="35" t="s">
        <v>41057</v>
      </c>
    </row>
    <row r="12883" spans="1:1">
      <c r="A12883" s="35" t="s">
        <v>56847</v>
      </c>
    </row>
    <row r="12884" spans="1:1">
      <c r="A12884" s="35" t="s">
        <v>41057</v>
      </c>
    </row>
    <row r="12885" spans="1:1">
      <c r="A12885" s="35" t="s">
        <v>41057</v>
      </c>
    </row>
    <row r="12886" spans="1:1">
      <c r="A12886" s="35" t="s">
        <v>56848</v>
      </c>
    </row>
    <row r="12887" spans="1:1">
      <c r="A12887" s="35" t="s">
        <v>41057</v>
      </c>
    </row>
    <row r="12888" spans="1:1">
      <c r="A12888" s="35" t="s">
        <v>41057</v>
      </c>
    </row>
    <row r="12889" spans="1:1">
      <c r="A12889" s="35" t="s">
        <v>53500</v>
      </c>
    </row>
    <row r="12890" spans="1:1">
      <c r="A12890" s="35" t="s">
        <v>41057</v>
      </c>
    </row>
    <row r="12891" spans="1:1">
      <c r="A12891" s="35" t="s">
        <v>41057</v>
      </c>
    </row>
    <row r="12892" spans="1:1">
      <c r="A12892" s="35" t="s">
        <v>56849</v>
      </c>
    </row>
    <row r="12893" spans="1:1">
      <c r="A12893" s="35" t="s">
        <v>41057</v>
      </c>
    </row>
    <row r="12894" spans="1:1">
      <c r="A12894" s="35" t="s">
        <v>56850</v>
      </c>
    </row>
    <row r="12895" spans="1:1">
      <c r="A12895" s="35" t="s">
        <v>41057</v>
      </c>
    </row>
    <row r="12896" spans="1:1">
      <c r="A12896" s="35" t="s">
        <v>56851</v>
      </c>
    </row>
    <row r="12897" spans="1:1">
      <c r="A12897" s="35" t="s">
        <v>56852</v>
      </c>
    </row>
    <row r="12898" spans="1:1">
      <c r="A12898" s="35" t="s">
        <v>41057</v>
      </c>
    </row>
    <row r="12899" spans="1:1">
      <c r="A12899" s="35" t="s">
        <v>41057</v>
      </c>
    </row>
    <row r="12900" spans="1:1">
      <c r="A12900" s="35" t="s">
        <v>56853</v>
      </c>
    </row>
    <row r="12901" spans="1:1">
      <c r="A12901" s="35" t="s">
        <v>41057</v>
      </c>
    </row>
    <row r="12902" spans="1:1">
      <c r="A12902" s="35" t="s">
        <v>41057</v>
      </c>
    </row>
    <row r="12903" spans="1:1">
      <c r="A12903" s="35" t="s">
        <v>41057</v>
      </c>
    </row>
    <row r="12904" spans="1:1">
      <c r="A12904" s="35" t="s">
        <v>41057</v>
      </c>
    </row>
    <row r="12905" spans="1:1">
      <c r="A12905" s="35" t="s">
        <v>41057</v>
      </c>
    </row>
    <row r="12906" spans="1:1">
      <c r="A12906" s="35" t="s">
        <v>56854</v>
      </c>
    </row>
    <row r="12907" spans="1:1">
      <c r="A12907" s="35" t="s">
        <v>41057</v>
      </c>
    </row>
    <row r="12908" spans="1:1">
      <c r="A12908" s="35" t="s">
        <v>41057</v>
      </c>
    </row>
    <row r="12909" spans="1:1">
      <c r="A12909" s="35" t="s">
        <v>41057</v>
      </c>
    </row>
    <row r="12910" spans="1:1">
      <c r="A12910" s="35" t="s">
        <v>41057</v>
      </c>
    </row>
    <row r="12911" spans="1:1">
      <c r="A12911" s="35" t="s">
        <v>41057</v>
      </c>
    </row>
    <row r="12912" spans="1:1">
      <c r="A12912" s="35" t="s">
        <v>41057</v>
      </c>
    </row>
    <row r="12913" spans="1:1">
      <c r="A12913" s="35" t="s">
        <v>41057</v>
      </c>
    </row>
    <row r="12914" spans="1:1">
      <c r="A12914" s="35" t="s">
        <v>41057</v>
      </c>
    </row>
    <row r="12915" spans="1:1">
      <c r="A12915" s="35" t="s">
        <v>41057</v>
      </c>
    </row>
    <row r="12916" spans="1:1">
      <c r="A12916" s="35" t="s">
        <v>41057</v>
      </c>
    </row>
    <row r="12917" spans="1:1">
      <c r="A12917" s="35" t="s">
        <v>41057</v>
      </c>
    </row>
    <row r="12918" spans="1:1">
      <c r="A12918" s="35" t="s">
        <v>41057</v>
      </c>
    </row>
    <row r="12919" spans="1:1">
      <c r="A12919" s="35" t="s">
        <v>41057</v>
      </c>
    </row>
    <row r="12920" spans="1:1">
      <c r="A12920" s="35" t="s">
        <v>41057</v>
      </c>
    </row>
    <row r="12921" spans="1:1">
      <c r="A12921" s="35" t="s">
        <v>41057</v>
      </c>
    </row>
    <row r="12922" spans="1:1">
      <c r="A12922" s="35" t="s">
        <v>56855</v>
      </c>
    </row>
    <row r="12923" spans="1:1">
      <c r="A12923" s="35" t="s">
        <v>41057</v>
      </c>
    </row>
    <row r="12924" spans="1:1">
      <c r="A12924" s="35" t="s">
        <v>41057</v>
      </c>
    </row>
    <row r="12925" spans="1:1">
      <c r="A12925" s="35" t="s">
        <v>53912</v>
      </c>
    </row>
    <row r="12926" spans="1:1">
      <c r="A12926" s="35" t="s">
        <v>41057</v>
      </c>
    </row>
    <row r="12927" spans="1:1">
      <c r="A12927" s="35" t="s">
        <v>41057</v>
      </c>
    </row>
    <row r="12928" spans="1:1">
      <c r="A12928" s="35" t="s">
        <v>41057</v>
      </c>
    </row>
    <row r="12929" spans="1:1">
      <c r="A12929" s="35" t="s">
        <v>41057</v>
      </c>
    </row>
    <row r="12930" spans="1:1">
      <c r="A12930" s="35" t="s">
        <v>41057</v>
      </c>
    </row>
    <row r="12931" spans="1:1">
      <c r="A12931" s="35" t="s">
        <v>41057</v>
      </c>
    </row>
    <row r="12932" spans="1:1">
      <c r="A12932" s="35" t="s">
        <v>41057</v>
      </c>
    </row>
    <row r="12933" spans="1:1">
      <c r="A12933" s="35" t="e" cm="1">
        <f t="array" ref="A12933">-----------------------------------------------------FP---GL</f>
        <v>#NAME?</v>
      </c>
    </row>
    <row r="12934" spans="1:1">
      <c r="A12934" s="35" t="s">
        <v>56856</v>
      </c>
    </row>
    <row r="12935" spans="1:1">
      <c r="A12935" s="35" t="e" cm="1">
        <f t="array" ref="A12935">---------------SEYMLLRHYTQE---------DTDE------------------AA</f>
        <v>#NAME?</v>
      </c>
    </row>
    <row r="12936" spans="1:1">
      <c r="A12936" s="35" t="s">
        <v>56857</v>
      </c>
    </row>
    <row r="12937" spans="1:1">
      <c r="A12937" s="35" t="e" cm="1">
        <f t="array" ref="A12937">---------------------------------------------FQAEE--------TQ</f>
        <v>#NAME?</v>
      </c>
    </row>
    <row r="12938" spans="1:1">
      <c r="A12938" s="35" t="s">
        <v>55336</v>
      </c>
    </row>
    <row r="12939" spans="1:1">
      <c r="A12939" s="35" t="s">
        <v>56858</v>
      </c>
    </row>
    <row r="12940" spans="1:1">
      <c r="A12940" s="35" t="s">
        <v>41057</v>
      </c>
    </row>
    <row r="12941" spans="1:1">
      <c r="A12941" s="35" t="s">
        <v>56859</v>
      </c>
    </row>
    <row r="12942" spans="1:1">
      <c r="A12942" s="35" t="s">
        <v>56860</v>
      </c>
    </row>
    <row r="12943" spans="1:1">
      <c r="A12943" s="35" t="s">
        <v>41057</v>
      </c>
    </row>
    <row r="12944" spans="1:1">
      <c r="A12944" s="35" t="s">
        <v>41057</v>
      </c>
    </row>
    <row r="12945" spans="1:1">
      <c r="A12945" s="35" t="s">
        <v>41057</v>
      </c>
    </row>
    <row r="12946" spans="1:1">
      <c r="A12946" s="35" t="s">
        <v>41057</v>
      </c>
    </row>
    <row r="12947" spans="1:1">
      <c r="A12947" s="35" t="s">
        <v>56861</v>
      </c>
    </row>
    <row r="12948" spans="1:1">
      <c r="A12948" s="35" t="s">
        <v>41057</v>
      </c>
    </row>
    <row r="12949" spans="1:1">
      <c r="A12949" s="35" t="s">
        <v>41057</v>
      </c>
    </row>
    <row r="12950" spans="1:1">
      <c r="A12950" s="35" t="s">
        <v>41057</v>
      </c>
    </row>
    <row r="12951" spans="1:1">
      <c r="A12951" s="35" t="s">
        <v>56862</v>
      </c>
    </row>
    <row r="12952" spans="1:1">
      <c r="A12952" s="35" t="s">
        <v>56863</v>
      </c>
    </row>
    <row r="12953" spans="1:1">
      <c r="A12953" s="35" t="e" cm="1">
        <f t="array" ref="A12953">-----TL--------------------L-------IER--------------LQTQDEQF</f>
        <v>#NAME?</v>
      </c>
    </row>
    <row r="12954" spans="1:1">
      <c r="A12954" s="35" t="s">
        <v>56864</v>
      </c>
    </row>
    <row r="12955" spans="1:1">
      <c r="A12955" s="35" t="s">
        <v>56865</v>
      </c>
    </row>
    <row r="12956" spans="1:1">
      <c r="A12956" s="35" t="s">
        <v>56866</v>
      </c>
    </row>
    <row r="12957" spans="1:1">
      <c r="A12957" s="35" t="e" cm="1">
        <f t="array" ref="A12957">-AAG---EAWMVFHLVHDLDTFNGIQLSLQVEGYDEGG--------YFGDIDPVNNSVDY</f>
        <v>#NAME?</v>
      </c>
    </row>
    <row r="12958" spans="1:1">
      <c r="A12958" s="35" t="s">
        <v>56867</v>
      </c>
    </row>
    <row r="12959" spans="1:1">
      <c r="A12959" s="35" t="s">
        <v>56868</v>
      </c>
    </row>
    <row r="12960" spans="1:1">
      <c r="A12960" s="35" t="s">
        <v>41057</v>
      </c>
    </row>
    <row r="12961" spans="1:1">
      <c r="A12961" s="35" t="s">
        <v>56869</v>
      </c>
    </row>
    <row r="12962" spans="1:1">
      <c r="A12962" s="35" t="s">
        <v>41057</v>
      </c>
    </row>
    <row r="12963" spans="1:1">
      <c r="A12963" s="35" t="s">
        <v>56870</v>
      </c>
    </row>
    <row r="12964" spans="1:1">
      <c r="A12964" s="35" t="s">
        <v>56871</v>
      </c>
    </row>
    <row r="12965" spans="1:1">
      <c r="A12965" s="35" t="s">
        <v>41057</v>
      </c>
    </row>
    <row r="12966" spans="1:1">
      <c r="A12966" s="35" t="s">
        <v>41057</v>
      </c>
    </row>
    <row r="12967" spans="1:1">
      <c r="A12967" s="35" t="s">
        <v>41057</v>
      </c>
    </row>
    <row r="12968" spans="1:1">
      <c r="A12968" s="35" t="e" cm="1">
        <f t="array" ref="A12968">----------------------------------------------------RHNILHSA</f>
        <v>#NAME?</v>
      </c>
    </row>
    <row r="12969" spans="1:1">
      <c r="A12969" s="35" t="s">
        <v>56872</v>
      </c>
    </row>
    <row r="12970" spans="1:1">
      <c r="A12970" s="35" t="s">
        <v>56873</v>
      </c>
    </row>
    <row r="12971" spans="1:1">
      <c r="A12971" s="35" t="s">
        <v>56874</v>
      </c>
    </row>
    <row r="12972" spans="1:1">
      <c r="A12972" s="35" t="s">
        <v>56875</v>
      </c>
    </row>
    <row r="12973" spans="1:1">
      <c r="A12973" s="35" t="s">
        <v>56876</v>
      </c>
    </row>
    <row r="12974" spans="1:1">
      <c r="A12974" s="35" t="s">
        <v>56877</v>
      </c>
    </row>
    <row r="12975" spans="1:1">
      <c r="A12975" s="35" t="e" cm="1">
        <f t="array" ref="A12975">-----------------------------------------------------------L</f>
        <v>#NAME?</v>
      </c>
    </row>
    <row r="12976" spans="1:1">
      <c r="A12976" s="35" t="s">
        <v>56878</v>
      </c>
    </row>
    <row r="12977" spans="1:1">
      <c r="A12977" s="35" t="s">
        <v>56879</v>
      </c>
    </row>
    <row r="12978" spans="1:1">
      <c r="A12978" s="35" t="s">
        <v>56880</v>
      </c>
    </row>
    <row r="12979" spans="1:1">
      <c r="A12979" s="35" t="s">
        <v>41057</v>
      </c>
    </row>
    <row r="12980" spans="1:1">
      <c r="A12980" s="35" t="s">
        <v>53545</v>
      </c>
    </row>
    <row r="12981" spans="1:1">
      <c r="A12981" s="35" t="s">
        <v>52929</v>
      </c>
    </row>
    <row r="12982" spans="1:1">
      <c r="A12982" s="35" t="s">
        <v>56881</v>
      </c>
    </row>
    <row r="12983" spans="1:1">
      <c r="A12983" s="35" t="s">
        <v>56882</v>
      </c>
    </row>
    <row r="12984" spans="1:1">
      <c r="A12984" s="35" t="s">
        <v>41057</v>
      </c>
    </row>
    <row r="12985" spans="1:1">
      <c r="A12985" s="35" t="s">
        <v>56883</v>
      </c>
    </row>
    <row r="12986" spans="1:1">
      <c r="A12986" s="35" t="s">
        <v>56884</v>
      </c>
    </row>
    <row r="12987" spans="1:1">
      <c r="A12987" s="35" t="s">
        <v>56885</v>
      </c>
    </row>
    <row r="12988" spans="1:1">
      <c r="A12988" s="35" t="s">
        <v>41057</v>
      </c>
    </row>
    <row r="12989" spans="1:1">
      <c r="A12989" s="35" t="s">
        <v>41057</v>
      </c>
    </row>
    <row r="12990" spans="1:1">
      <c r="A12990" s="35" t="s">
        <v>41057</v>
      </c>
    </row>
    <row r="12991" spans="1:1">
      <c r="A12991" s="35" t="s">
        <v>56886</v>
      </c>
    </row>
    <row r="12992" spans="1:1">
      <c r="A12992" s="35" t="s">
        <v>56887</v>
      </c>
    </row>
    <row r="12993" spans="1:1">
      <c r="A12993" s="35" t="s">
        <v>56888</v>
      </c>
    </row>
    <row r="12994" spans="1:1">
      <c r="A12994" s="35" t="s">
        <v>56889</v>
      </c>
    </row>
    <row r="12995" spans="1:1">
      <c r="A12995" s="35" t="s">
        <v>41057</v>
      </c>
    </row>
    <row r="12996" spans="1:1">
      <c r="A12996" s="35" t="s">
        <v>41057</v>
      </c>
    </row>
    <row r="12997" spans="1:1">
      <c r="A12997" s="35" t="e" cm="1">
        <f t="array" ref="A12997">---------------DTTL------------------FKT-------------------K</f>
        <v>#NAME?</v>
      </c>
    </row>
    <row r="12998" spans="1:1">
      <c r="A12998" s="35" t="s">
        <v>56890</v>
      </c>
    </row>
    <row r="12999" spans="1:1">
      <c r="A12999" s="35" t="s">
        <v>56891</v>
      </c>
    </row>
    <row r="13000" spans="1:1">
      <c r="A13000" s="35" t="s">
        <v>41057</v>
      </c>
    </row>
    <row r="13001" spans="1:1">
      <c r="A13001" s="35" t="s">
        <v>56892</v>
      </c>
    </row>
    <row r="13002" spans="1:1">
      <c r="A13002" s="35" t="s">
        <v>41057</v>
      </c>
    </row>
    <row r="13003" spans="1:1">
      <c r="A13003" s="35" t="s">
        <v>41057</v>
      </c>
    </row>
    <row r="13004" spans="1:1">
      <c r="A13004" s="35" t="s">
        <v>56893</v>
      </c>
    </row>
    <row r="13005" spans="1:1">
      <c r="A13005" s="35" t="s">
        <v>41057</v>
      </c>
    </row>
    <row r="13006" spans="1:1">
      <c r="A13006" s="35" t="s">
        <v>41057</v>
      </c>
    </row>
    <row r="13007" spans="1:1">
      <c r="A13007" s="35" t="s">
        <v>53500</v>
      </c>
    </row>
    <row r="13008" spans="1:1">
      <c r="A13008" s="35" t="s">
        <v>41057</v>
      </c>
    </row>
    <row r="13009" spans="1:1">
      <c r="A13009" s="35" t="s">
        <v>41057</v>
      </c>
    </row>
    <row r="13010" spans="1:1">
      <c r="A13010" s="35" t="s">
        <v>56894</v>
      </c>
    </row>
    <row r="13011" spans="1:1">
      <c r="A13011" s="35" t="s">
        <v>41057</v>
      </c>
    </row>
    <row r="13012" spans="1:1">
      <c r="A13012" s="35" t="s">
        <v>56895</v>
      </c>
    </row>
    <row r="13013" spans="1:1">
      <c r="A13013" s="35" t="s">
        <v>41057</v>
      </c>
    </row>
    <row r="13014" spans="1:1">
      <c r="A13014" s="35" t="s">
        <v>56896</v>
      </c>
    </row>
    <row r="13015" spans="1:1">
      <c r="A13015" s="35" t="s">
        <v>56897</v>
      </c>
    </row>
    <row r="13016" spans="1:1">
      <c r="A13016" s="35" t="s">
        <v>41057</v>
      </c>
    </row>
    <row r="13017" spans="1:1">
      <c r="A13017" s="35" t="s">
        <v>41057</v>
      </c>
    </row>
    <row r="13018" spans="1:1">
      <c r="A13018" s="35" t="s">
        <v>53602</v>
      </c>
    </row>
    <row r="13019" spans="1:1">
      <c r="A13019" s="35" t="s">
        <v>41057</v>
      </c>
    </row>
    <row r="13020" spans="1:1">
      <c r="A13020" s="35" t="s">
        <v>41057</v>
      </c>
    </row>
    <row r="13021" spans="1:1">
      <c r="A13021" s="35" t="s">
        <v>41057</v>
      </c>
    </row>
    <row r="13022" spans="1:1">
      <c r="A13022" s="35" t="s">
        <v>41057</v>
      </c>
    </row>
    <row r="13023" spans="1:1">
      <c r="A13023" s="35" t="s">
        <v>41057</v>
      </c>
    </row>
    <row r="13024" spans="1:1">
      <c r="A13024" s="35" t="s">
        <v>56898</v>
      </c>
    </row>
    <row r="13025" spans="1:1">
      <c r="A13025" s="35" t="s">
        <v>41057</v>
      </c>
    </row>
    <row r="13026" spans="1:1">
      <c r="A13026" s="35" t="s">
        <v>41057</v>
      </c>
    </row>
    <row r="13027" spans="1:1">
      <c r="A13027" s="35" t="s">
        <v>41057</v>
      </c>
    </row>
    <row r="13028" spans="1:1">
      <c r="A13028" s="35" t="s">
        <v>41057</v>
      </c>
    </row>
    <row r="13029" spans="1:1">
      <c r="A13029" s="35" t="s">
        <v>41057</v>
      </c>
    </row>
    <row r="13030" spans="1:1">
      <c r="A13030" s="35" t="s">
        <v>41057</v>
      </c>
    </row>
    <row r="13031" spans="1:1">
      <c r="A13031" s="35" t="s">
        <v>41057</v>
      </c>
    </row>
    <row r="13032" spans="1:1">
      <c r="A13032" s="35" t="s">
        <v>41057</v>
      </c>
    </row>
    <row r="13033" spans="1:1">
      <c r="A13033" s="35" t="s">
        <v>41057</v>
      </c>
    </row>
    <row r="13034" spans="1:1">
      <c r="A13034" s="35" t="s">
        <v>41057</v>
      </c>
    </row>
    <row r="13035" spans="1:1">
      <c r="A13035" s="35" t="s">
        <v>41057</v>
      </c>
    </row>
    <row r="13036" spans="1:1">
      <c r="A13036" s="35" t="s">
        <v>41057</v>
      </c>
    </row>
    <row r="13037" spans="1:1">
      <c r="A13037" s="35" t="s">
        <v>41057</v>
      </c>
    </row>
    <row r="13038" spans="1:1">
      <c r="A13038" s="35" t="s">
        <v>41057</v>
      </c>
    </row>
    <row r="13039" spans="1:1">
      <c r="A13039" s="35" t="s">
        <v>41057</v>
      </c>
    </row>
    <row r="13040" spans="1:1">
      <c r="A13040" s="35" t="s">
        <v>41057</v>
      </c>
    </row>
    <row r="13041" spans="1:1">
      <c r="A13041" s="35" t="s">
        <v>41057</v>
      </c>
    </row>
    <row r="13042" spans="1:1">
      <c r="A13042" s="35" t="s">
        <v>41057</v>
      </c>
    </row>
    <row r="13043" spans="1:1">
      <c r="A13043" s="35" t="s">
        <v>41057</v>
      </c>
    </row>
    <row r="13044" spans="1:1">
      <c r="A13044" s="35" t="s">
        <v>41057</v>
      </c>
    </row>
    <row r="13045" spans="1:1">
      <c r="A13045" s="35" t="s">
        <v>41057</v>
      </c>
    </row>
    <row r="13046" spans="1:1">
      <c r="A13046" s="35" t="s">
        <v>41057</v>
      </c>
    </row>
    <row r="13047" spans="1:1">
      <c r="A13047" s="35" t="s">
        <v>41057</v>
      </c>
    </row>
    <row r="13048" spans="1:1">
      <c r="A13048" s="35" t="s">
        <v>41057</v>
      </c>
    </row>
    <row r="13049" spans="1:1">
      <c r="A13049" s="35" t="s">
        <v>41057</v>
      </c>
    </row>
    <row r="13050" spans="1:1">
      <c r="A13050" s="35" t="s">
        <v>53647</v>
      </c>
    </row>
    <row r="13051" spans="1:1">
      <c r="A13051" s="35" t="e" cm="1">
        <f t="array" ref="A13051">-----------------------------------------------ETHWVDDI---AY</f>
        <v>#NAME?</v>
      </c>
    </row>
    <row r="13052" spans="1:1">
      <c r="A13052" s="35" t="s">
        <v>56899</v>
      </c>
    </row>
    <row r="13053" spans="1:1">
      <c r="A13053" s="35" t="s">
        <v>56900</v>
      </c>
    </row>
    <row r="13054" spans="1:1">
      <c r="A13054" s="35" t="s">
        <v>56901</v>
      </c>
    </row>
    <row r="13055" spans="1:1">
      <c r="A13055" s="35" t="s">
        <v>41057</v>
      </c>
    </row>
    <row r="13056" spans="1:1">
      <c r="A13056" s="35" t="s">
        <v>41057</v>
      </c>
    </row>
    <row r="13057" spans="1:1">
      <c r="A13057" s="35" t="s">
        <v>56902</v>
      </c>
    </row>
    <row r="13058" spans="1:1">
      <c r="A13058" s="35" t="s">
        <v>41057</v>
      </c>
    </row>
    <row r="13059" spans="1:1">
      <c r="A13059" s="35" t="s">
        <v>41057</v>
      </c>
    </row>
    <row r="13060" spans="1:1">
      <c r="A13060" s="35" t="s">
        <v>56903</v>
      </c>
    </row>
    <row r="13061" spans="1:1">
      <c r="A13061" s="35" t="s">
        <v>55531</v>
      </c>
    </row>
    <row r="13062" spans="1:1">
      <c r="A13062" s="35" t="s">
        <v>41057</v>
      </c>
    </row>
    <row r="13063" spans="1:1">
      <c r="A13063" s="35" t="s">
        <v>41057</v>
      </c>
    </row>
    <row r="13064" spans="1:1">
      <c r="A13064" s="35" t="s">
        <v>41057</v>
      </c>
    </row>
    <row r="13065" spans="1:1">
      <c r="A13065" s="35" t="s">
        <v>41057</v>
      </c>
    </row>
    <row r="13066" spans="1:1">
      <c r="A13066" s="35" t="s">
        <v>41057</v>
      </c>
    </row>
    <row r="13067" spans="1:1">
      <c r="A13067" s="35" t="s">
        <v>41057</v>
      </c>
    </row>
    <row r="13068" spans="1:1">
      <c r="A13068" s="35" t="s">
        <v>56904</v>
      </c>
    </row>
    <row r="13069" spans="1:1">
      <c r="A13069" s="35" t="s">
        <v>56905</v>
      </c>
    </row>
    <row r="13070" spans="1:1">
      <c r="A13070" s="35" t="s">
        <v>56906</v>
      </c>
    </row>
    <row r="13071" spans="1:1">
      <c r="A13071" s="35" t="s">
        <v>56907</v>
      </c>
    </row>
    <row r="13072" spans="1:1">
      <c r="A13072" s="35" t="s">
        <v>41057</v>
      </c>
    </row>
    <row r="13073" spans="1:1">
      <c r="A13073" s="35" t="s">
        <v>41057</v>
      </c>
    </row>
    <row r="13074" spans="1:1">
      <c r="A13074" s="35" t="s">
        <v>41057</v>
      </c>
    </row>
    <row r="13075" spans="1:1">
      <c r="A13075" s="35" t="s">
        <v>56908</v>
      </c>
    </row>
    <row r="13076" spans="1:1">
      <c r="A13076" s="35" t="s">
        <v>41057</v>
      </c>
    </row>
    <row r="13077" spans="1:1">
      <c r="A13077" s="35" t="s">
        <v>56909</v>
      </c>
    </row>
    <row r="13078" spans="1:1">
      <c r="A13078" s="35" t="s">
        <v>41057</v>
      </c>
    </row>
    <row r="13079" spans="1:1">
      <c r="A13079" s="35" t="s">
        <v>41057</v>
      </c>
    </row>
    <row r="13080" spans="1:1">
      <c r="A13080" s="35" t="s">
        <v>41057</v>
      </c>
    </row>
    <row r="13081" spans="1:1">
      <c r="A13081" s="35" t="s">
        <v>56910</v>
      </c>
    </row>
    <row r="13082" spans="1:1">
      <c r="A13082" s="35" t="s">
        <v>41057</v>
      </c>
    </row>
    <row r="13083" spans="1:1">
      <c r="A13083" s="35" t="s">
        <v>41057</v>
      </c>
    </row>
    <row r="13084" spans="1:1">
      <c r="A13084" s="35" t="s">
        <v>41057</v>
      </c>
    </row>
    <row r="13085" spans="1:1">
      <c r="A13085" s="35" t="s">
        <v>41057</v>
      </c>
    </row>
    <row r="13086" spans="1:1">
      <c r="A13086" s="35" t="s">
        <v>56911</v>
      </c>
    </row>
    <row r="13087" spans="1:1">
      <c r="A13087" s="35" t="s">
        <v>56912</v>
      </c>
    </row>
    <row r="13088" spans="1:1">
      <c r="A13088" s="35" t="s">
        <v>56913</v>
      </c>
    </row>
    <row r="13089" spans="1:1">
      <c r="A13089" s="35" t="s">
        <v>56914</v>
      </c>
    </row>
    <row r="13090" spans="1:1">
      <c r="A13090" s="35" t="s">
        <v>56915</v>
      </c>
    </row>
    <row r="13091" spans="1:1">
      <c r="A13091" s="35" t="s">
        <v>56916</v>
      </c>
    </row>
    <row r="13092" spans="1:1">
      <c r="A13092" s="35" t="s">
        <v>56917</v>
      </c>
    </row>
    <row r="13093" spans="1:1">
      <c r="A13093" s="35" t="s">
        <v>41057</v>
      </c>
    </row>
    <row r="13094" spans="1:1">
      <c r="A13094" s="35" t="s">
        <v>56918</v>
      </c>
    </row>
    <row r="13095" spans="1:1">
      <c r="A13095" s="35" t="s">
        <v>56919</v>
      </c>
    </row>
    <row r="13096" spans="1:1">
      <c r="A13096" s="35" t="s">
        <v>56920</v>
      </c>
    </row>
    <row r="13097" spans="1:1">
      <c r="A13097" s="35" t="s">
        <v>41057</v>
      </c>
    </row>
    <row r="13098" spans="1:1">
      <c r="A13098" s="35" t="s">
        <v>53545</v>
      </c>
    </row>
    <row r="13099" spans="1:1">
      <c r="A13099" s="35" t="s">
        <v>56921</v>
      </c>
    </row>
    <row r="13100" spans="1:1">
      <c r="A13100" s="35" t="s">
        <v>56922</v>
      </c>
    </row>
    <row r="13101" spans="1:1">
      <c r="A13101" s="35" t="s">
        <v>56923</v>
      </c>
    </row>
    <row r="13102" spans="1:1">
      <c r="A13102" s="35" t="s">
        <v>56924</v>
      </c>
    </row>
    <row r="13103" spans="1:1">
      <c r="A13103" s="35" t="s">
        <v>41057</v>
      </c>
    </row>
    <row r="13104" spans="1:1">
      <c r="A13104" s="35" t="e" cm="1">
        <f t="array" ref="A13104">--------------------------------------------------KLLFILPKKF</f>
        <v>#NAME?</v>
      </c>
    </row>
    <row r="13105" spans="1:1">
      <c r="A13105" s="35" t="s">
        <v>56925</v>
      </c>
    </row>
    <row r="13106" spans="1:1">
      <c r="A13106" s="35" t="s">
        <v>41057</v>
      </c>
    </row>
    <row r="13107" spans="1:1">
      <c r="A13107" s="35" t="s">
        <v>41057</v>
      </c>
    </row>
    <row r="13108" spans="1:1">
      <c r="A13108" s="35" t="s">
        <v>41057</v>
      </c>
    </row>
    <row r="13109" spans="1:1">
      <c r="A13109" s="35" t="s">
        <v>56886</v>
      </c>
    </row>
    <row r="13110" spans="1:1">
      <c r="A13110" s="35" t="s">
        <v>56926</v>
      </c>
    </row>
    <row r="13111" spans="1:1">
      <c r="A13111" s="35" t="s">
        <v>56888</v>
      </c>
    </row>
    <row r="13112" spans="1:1">
      <c r="A13112" s="35" t="s">
        <v>56889</v>
      </c>
    </row>
    <row r="13113" spans="1:1">
      <c r="A13113" s="35" t="s">
        <v>41057</v>
      </c>
    </row>
    <row r="13114" spans="1:1">
      <c r="A13114" s="35" t="s">
        <v>41057</v>
      </c>
    </row>
    <row r="13115" spans="1:1">
      <c r="A13115" s="35" t="e" cm="1">
        <f t="array" ref="A13115">---------------DTRL------------------FKT-------------------K</f>
        <v>#NAME?</v>
      </c>
    </row>
    <row r="13116" spans="1:1">
      <c r="A13116" s="35" t="s">
        <v>56890</v>
      </c>
    </row>
    <row r="13117" spans="1:1">
      <c r="A13117" s="35" t="s">
        <v>56891</v>
      </c>
    </row>
    <row r="13118" spans="1:1">
      <c r="A13118" s="35" t="s">
        <v>41057</v>
      </c>
    </row>
    <row r="13119" spans="1:1">
      <c r="A13119" s="35" t="s">
        <v>56892</v>
      </c>
    </row>
    <row r="13120" spans="1:1">
      <c r="A13120" s="35" t="s">
        <v>41057</v>
      </c>
    </row>
    <row r="13121" spans="1:1">
      <c r="A13121" s="35" t="s">
        <v>41057</v>
      </c>
    </row>
    <row r="13122" spans="1:1">
      <c r="A13122" s="35" t="s">
        <v>56893</v>
      </c>
    </row>
    <row r="13123" spans="1:1">
      <c r="A13123" s="35" t="s">
        <v>41057</v>
      </c>
    </row>
    <row r="13124" spans="1:1">
      <c r="A13124" s="35" t="s">
        <v>41057</v>
      </c>
    </row>
    <row r="13125" spans="1:1">
      <c r="A13125" s="35" t="s">
        <v>53500</v>
      </c>
    </row>
    <row r="13126" spans="1:1">
      <c r="A13126" s="35" t="s">
        <v>41057</v>
      </c>
    </row>
    <row r="13127" spans="1:1">
      <c r="A13127" s="35" t="s">
        <v>41057</v>
      </c>
    </row>
    <row r="13128" spans="1:1">
      <c r="A13128" s="35" t="s">
        <v>56894</v>
      </c>
    </row>
    <row r="13129" spans="1:1">
      <c r="A13129" s="35" t="s">
        <v>41057</v>
      </c>
    </row>
    <row r="13130" spans="1:1">
      <c r="A13130" s="35" t="s">
        <v>56895</v>
      </c>
    </row>
    <row r="13131" spans="1:1">
      <c r="A13131" s="35" t="s">
        <v>41057</v>
      </c>
    </row>
    <row r="13132" spans="1:1">
      <c r="A13132" s="35" t="s">
        <v>56927</v>
      </c>
    </row>
    <row r="13133" spans="1:1">
      <c r="A13133" s="35" t="s">
        <v>56928</v>
      </c>
    </row>
    <row r="13134" spans="1:1">
      <c r="A13134" s="35" t="s">
        <v>41057</v>
      </c>
    </row>
    <row r="13135" spans="1:1">
      <c r="A13135" s="35" t="s">
        <v>41057</v>
      </c>
    </row>
    <row r="13136" spans="1:1">
      <c r="A13136" s="35" t="s">
        <v>53602</v>
      </c>
    </row>
    <row r="13137" spans="1:1">
      <c r="A13137" s="35" t="s">
        <v>41057</v>
      </c>
    </row>
    <row r="13138" spans="1:1">
      <c r="A13138" s="35" t="s">
        <v>41057</v>
      </c>
    </row>
    <row r="13139" spans="1:1">
      <c r="A13139" s="35" t="s">
        <v>41057</v>
      </c>
    </row>
    <row r="13140" spans="1:1">
      <c r="A13140" s="35" t="s">
        <v>41057</v>
      </c>
    </row>
    <row r="13141" spans="1:1">
      <c r="A13141" s="35" t="s">
        <v>41057</v>
      </c>
    </row>
    <row r="13142" spans="1:1">
      <c r="A13142" s="35" t="s">
        <v>56929</v>
      </c>
    </row>
    <row r="13143" spans="1:1">
      <c r="A13143" s="35" t="s">
        <v>41057</v>
      </c>
    </row>
    <row r="13144" spans="1:1">
      <c r="A13144" s="35" t="s">
        <v>41057</v>
      </c>
    </row>
    <row r="13145" spans="1:1">
      <c r="A13145" s="35" t="s">
        <v>41057</v>
      </c>
    </row>
    <row r="13146" spans="1:1">
      <c r="A13146" s="35" t="s">
        <v>41057</v>
      </c>
    </row>
    <row r="13147" spans="1:1">
      <c r="A13147" s="35" t="s">
        <v>41057</v>
      </c>
    </row>
    <row r="13148" spans="1:1">
      <c r="A13148" s="35" t="s">
        <v>41057</v>
      </c>
    </row>
    <row r="13149" spans="1:1">
      <c r="A13149" s="35" t="s">
        <v>41057</v>
      </c>
    </row>
    <row r="13150" spans="1:1">
      <c r="A13150" s="35" t="s">
        <v>41057</v>
      </c>
    </row>
    <row r="13151" spans="1:1">
      <c r="A13151" s="35" t="s">
        <v>41057</v>
      </c>
    </row>
    <row r="13152" spans="1:1">
      <c r="A13152" s="35" t="s">
        <v>41057</v>
      </c>
    </row>
    <row r="13153" spans="1:1">
      <c r="A13153" s="35" t="s">
        <v>41057</v>
      </c>
    </row>
    <row r="13154" spans="1:1">
      <c r="A13154" s="35" t="s">
        <v>41057</v>
      </c>
    </row>
    <row r="13155" spans="1:1">
      <c r="A13155" s="35" t="s">
        <v>41057</v>
      </c>
    </row>
    <row r="13156" spans="1:1">
      <c r="A13156" s="35" t="s">
        <v>41057</v>
      </c>
    </row>
    <row r="13157" spans="1:1">
      <c r="A13157" s="35" t="s">
        <v>41057</v>
      </c>
    </row>
    <row r="13158" spans="1:1">
      <c r="A13158" s="35" t="s">
        <v>41057</v>
      </c>
    </row>
    <row r="13159" spans="1:1">
      <c r="A13159" s="35" t="s">
        <v>41057</v>
      </c>
    </row>
    <row r="13160" spans="1:1">
      <c r="A13160" s="35" t="s">
        <v>41057</v>
      </c>
    </row>
    <row r="13161" spans="1:1">
      <c r="A13161" s="35" t="s">
        <v>41057</v>
      </c>
    </row>
    <row r="13162" spans="1:1">
      <c r="A13162" s="35" t="s">
        <v>41057</v>
      </c>
    </row>
    <row r="13163" spans="1:1">
      <c r="A13163" s="35" t="s">
        <v>41057</v>
      </c>
    </row>
    <row r="13164" spans="1:1">
      <c r="A13164" s="35" t="s">
        <v>41057</v>
      </c>
    </row>
    <row r="13165" spans="1:1">
      <c r="A13165" s="35" t="s">
        <v>41057</v>
      </c>
    </row>
    <row r="13166" spans="1:1">
      <c r="A13166" s="35" t="s">
        <v>41057</v>
      </c>
    </row>
    <row r="13167" spans="1:1">
      <c r="A13167" s="35" t="s">
        <v>41057</v>
      </c>
    </row>
    <row r="13168" spans="1:1">
      <c r="A13168" s="35" t="s">
        <v>41057</v>
      </c>
    </row>
    <row r="13169" spans="1:1">
      <c r="A13169" s="35" t="e" cm="1">
        <f t="array" ref="A13169">-----------------------------------------------GVHWTDDI---AY</f>
        <v>#NAME?</v>
      </c>
    </row>
    <row r="13170" spans="1:1">
      <c r="A13170" s="35" t="s">
        <v>56930</v>
      </c>
    </row>
    <row r="13171" spans="1:1">
      <c r="A13171" s="35" t="s">
        <v>56931</v>
      </c>
    </row>
    <row r="13172" spans="1:1">
      <c r="A13172" s="35" t="s">
        <v>41057</v>
      </c>
    </row>
    <row r="13173" spans="1:1">
      <c r="A13173" s="35" t="s">
        <v>41057</v>
      </c>
    </row>
    <row r="13174" spans="1:1">
      <c r="A13174" s="35" t="s">
        <v>41057</v>
      </c>
    </row>
    <row r="13175" spans="1:1">
      <c r="A13175" s="35" t="s">
        <v>41057</v>
      </c>
    </row>
    <row r="13176" spans="1:1">
      <c r="A13176" s="35" t="s">
        <v>41057</v>
      </c>
    </row>
    <row r="13177" spans="1:1">
      <c r="A13177" s="35" t="s">
        <v>41057</v>
      </c>
    </row>
    <row r="13178" spans="1:1">
      <c r="A13178" s="35" t="s">
        <v>41057</v>
      </c>
    </row>
    <row r="13179" spans="1:1">
      <c r="A13179" s="35" t="s">
        <v>41057</v>
      </c>
    </row>
    <row r="13180" spans="1:1">
      <c r="A13180" s="35" t="s">
        <v>41057</v>
      </c>
    </row>
    <row r="13181" spans="1:1">
      <c r="A13181" s="35" t="s">
        <v>41057</v>
      </c>
    </row>
    <row r="13182" spans="1:1">
      <c r="A13182" s="35" t="s">
        <v>41057</v>
      </c>
    </row>
    <row r="13183" spans="1:1">
      <c r="A13183" s="35" t="s">
        <v>41057</v>
      </c>
    </row>
    <row r="13184" spans="1:1">
      <c r="A13184" s="35" t="s">
        <v>41057</v>
      </c>
    </row>
    <row r="13185" spans="1:1">
      <c r="A13185" s="35" t="s">
        <v>41057</v>
      </c>
    </row>
    <row r="13186" spans="1:1">
      <c r="A13186" s="35" t="s">
        <v>41057</v>
      </c>
    </row>
    <row r="13187" spans="1:1">
      <c r="A13187" s="35" t="s">
        <v>41057</v>
      </c>
    </row>
    <row r="13188" spans="1:1">
      <c r="A13188" s="35" t="s">
        <v>41057</v>
      </c>
    </row>
    <row r="13189" spans="1:1">
      <c r="A13189" s="35" t="s">
        <v>56932</v>
      </c>
    </row>
    <row r="13190" spans="1:1">
      <c r="A13190" s="35" t="s">
        <v>41057</v>
      </c>
    </row>
    <row r="13191" spans="1:1">
      <c r="A13191" s="35" t="s">
        <v>41057</v>
      </c>
    </row>
    <row r="13192" spans="1:1">
      <c r="A13192" s="35" t="s">
        <v>41057</v>
      </c>
    </row>
    <row r="13193" spans="1:1">
      <c r="A13193" s="35" t="s">
        <v>41057</v>
      </c>
    </row>
    <row r="13194" spans="1:1">
      <c r="A13194" s="35" t="s">
        <v>41057</v>
      </c>
    </row>
    <row r="13195" spans="1:1">
      <c r="A13195" s="35" t="s">
        <v>56933</v>
      </c>
    </row>
    <row r="13196" spans="1:1">
      <c r="A13196" s="35" t="s">
        <v>41057</v>
      </c>
    </row>
    <row r="13197" spans="1:1">
      <c r="A13197" s="35" t="s">
        <v>41057</v>
      </c>
    </row>
    <row r="13198" spans="1:1">
      <c r="A13198" s="35" t="s">
        <v>41057</v>
      </c>
    </row>
    <row r="13199" spans="1:1">
      <c r="A13199" s="35" t="s">
        <v>41057</v>
      </c>
    </row>
    <row r="13200" spans="1:1">
      <c r="A13200" s="35" t="s">
        <v>41057</v>
      </c>
    </row>
    <row r="13201" spans="1:1">
      <c r="A13201" s="35" t="s">
        <v>41057</v>
      </c>
    </row>
    <row r="13202" spans="1:1">
      <c r="A13202" s="35" t="s">
        <v>41057</v>
      </c>
    </row>
    <row r="13203" spans="1:1">
      <c r="A13203" s="35" t="s">
        <v>41057</v>
      </c>
    </row>
    <row r="13204" spans="1:1">
      <c r="A13204" s="35" t="s">
        <v>41057</v>
      </c>
    </row>
    <row r="13205" spans="1:1">
      <c r="A13205" s="35" t="s">
        <v>41057</v>
      </c>
    </row>
    <row r="13206" spans="1:1">
      <c r="A13206" s="35" t="s">
        <v>41057</v>
      </c>
    </row>
    <row r="13207" spans="1:1">
      <c r="A13207" s="35" t="s">
        <v>41057</v>
      </c>
    </row>
    <row r="13208" spans="1:1">
      <c r="A13208" s="35" t="s">
        <v>41057</v>
      </c>
    </row>
    <row r="13209" spans="1:1">
      <c r="A13209" s="35" t="s">
        <v>41057</v>
      </c>
    </row>
    <row r="13210" spans="1:1">
      <c r="A13210" s="35" t="s">
        <v>41057</v>
      </c>
    </row>
    <row r="13211" spans="1:1">
      <c r="A13211" s="35" t="s">
        <v>41057</v>
      </c>
    </row>
    <row r="13212" spans="1:1">
      <c r="A13212" s="35" t="s">
        <v>41057</v>
      </c>
    </row>
    <row r="13213" spans="1:1">
      <c r="A13213" s="35" t="s">
        <v>41057</v>
      </c>
    </row>
    <row r="13214" spans="1:1">
      <c r="A13214" s="35" t="s">
        <v>41057</v>
      </c>
    </row>
    <row r="13215" spans="1:1">
      <c r="A13215" s="35" t="s">
        <v>41057</v>
      </c>
    </row>
    <row r="13216" spans="1:1">
      <c r="A13216" s="35" t="s">
        <v>53545</v>
      </c>
    </row>
    <row r="13217" spans="1:1">
      <c r="A13217" s="35" t="s">
        <v>53100</v>
      </c>
    </row>
    <row r="13218" spans="1:1">
      <c r="A13218" s="35" t="s">
        <v>41057</v>
      </c>
    </row>
    <row r="13219" spans="1:1">
      <c r="A13219" s="35" t="s">
        <v>41057</v>
      </c>
    </row>
    <row r="13220" spans="1:1">
      <c r="A13220" s="35" t="s">
        <v>41057</v>
      </c>
    </row>
    <row r="13221" spans="1:1">
      <c r="A13221" s="35" t="s">
        <v>41057</v>
      </c>
    </row>
    <row r="13222" spans="1:1">
      <c r="A13222" s="35" t="s">
        <v>41057</v>
      </c>
    </row>
    <row r="13223" spans="1:1">
      <c r="A13223" s="35" t="s">
        <v>56934</v>
      </c>
    </row>
    <row r="13224" spans="1:1">
      <c r="A13224" s="35" t="s">
        <v>41057</v>
      </c>
    </row>
    <row r="13225" spans="1:1">
      <c r="A13225" s="35" t="s">
        <v>41057</v>
      </c>
    </row>
    <row r="13226" spans="1:1">
      <c r="A13226" s="35" t="s">
        <v>41057</v>
      </c>
    </row>
    <row r="13227" spans="1:1">
      <c r="A13227" s="35" t="s">
        <v>56886</v>
      </c>
    </row>
    <row r="13228" spans="1:1">
      <c r="A13228" s="35" t="s">
        <v>56887</v>
      </c>
    </row>
    <row r="13229" spans="1:1">
      <c r="A13229" s="35" t="s">
        <v>56935</v>
      </c>
    </row>
    <row r="13230" spans="1:1">
      <c r="A13230" s="35" t="s">
        <v>56936</v>
      </c>
    </row>
    <row r="13231" spans="1:1">
      <c r="A13231" s="35" t="s">
        <v>41057</v>
      </c>
    </row>
    <row r="13232" spans="1:1">
      <c r="A13232" s="35" t="s">
        <v>41057</v>
      </c>
    </row>
    <row r="13233" spans="1:1">
      <c r="A13233" s="35" t="e" cm="1">
        <f t="array" ref="A13233">---------------NFSL------------------FQQ-------------------V</f>
        <v>#NAME?</v>
      </c>
    </row>
    <row r="13234" spans="1:1">
      <c r="A13234" s="35" t="s">
        <v>56937</v>
      </c>
    </row>
    <row r="13235" spans="1:1">
      <c r="A13235" s="35" t="s">
        <v>56938</v>
      </c>
    </row>
    <row r="13236" spans="1:1">
      <c r="A13236" s="35" t="s">
        <v>41057</v>
      </c>
    </row>
    <row r="13237" spans="1:1">
      <c r="A13237" s="35" t="s">
        <v>41057</v>
      </c>
    </row>
    <row r="13238" spans="1:1">
      <c r="A13238" s="35" t="s">
        <v>41057</v>
      </c>
    </row>
    <row r="13239" spans="1:1">
      <c r="A13239" s="35" t="s">
        <v>56939</v>
      </c>
    </row>
    <row r="13240" spans="1:1">
      <c r="A13240" s="35" t="s">
        <v>56940</v>
      </c>
    </row>
    <row r="13241" spans="1:1">
      <c r="A13241" s="35" t="s">
        <v>41057</v>
      </c>
    </row>
    <row r="13242" spans="1:1">
      <c r="A13242" s="35" t="s">
        <v>41057</v>
      </c>
    </row>
    <row r="13243" spans="1:1">
      <c r="A13243" s="35" t="s">
        <v>53500</v>
      </c>
    </row>
    <row r="13244" spans="1:1">
      <c r="A13244" s="35" t="s">
        <v>41057</v>
      </c>
    </row>
    <row r="13245" spans="1:1">
      <c r="A13245" s="35" t="s">
        <v>41057</v>
      </c>
    </row>
    <row r="13246" spans="1:1">
      <c r="A13246" s="35" t="s">
        <v>56941</v>
      </c>
    </row>
    <row r="13247" spans="1:1">
      <c r="A13247" s="35" t="s">
        <v>41057</v>
      </c>
    </row>
    <row r="13248" spans="1:1">
      <c r="A13248" s="35" t="s">
        <v>56942</v>
      </c>
    </row>
    <row r="13249" spans="1:1">
      <c r="A13249" s="35" t="s">
        <v>41057</v>
      </c>
    </row>
    <row r="13250" spans="1:1">
      <c r="A13250" s="35" t="s">
        <v>56943</v>
      </c>
    </row>
    <row r="13251" spans="1:1">
      <c r="A13251" s="35" t="s">
        <v>56944</v>
      </c>
    </row>
    <row r="13252" spans="1:1">
      <c r="A13252" s="35" t="s">
        <v>41057</v>
      </c>
    </row>
    <row r="13253" spans="1:1">
      <c r="A13253" s="35" t="s">
        <v>41057</v>
      </c>
    </row>
    <row r="13254" spans="1:1">
      <c r="A13254" s="35" t="s">
        <v>56945</v>
      </c>
    </row>
    <row r="13255" spans="1:1">
      <c r="A13255" s="35" t="s">
        <v>41057</v>
      </c>
    </row>
    <row r="13256" spans="1:1">
      <c r="A13256" s="35" t="s">
        <v>41057</v>
      </c>
    </row>
    <row r="13257" spans="1:1">
      <c r="A13257" s="35" t="s">
        <v>41057</v>
      </c>
    </row>
    <row r="13258" spans="1:1">
      <c r="A13258" s="35" t="s">
        <v>41057</v>
      </c>
    </row>
    <row r="13259" spans="1:1">
      <c r="A13259" s="35" t="s">
        <v>41057</v>
      </c>
    </row>
    <row r="13260" spans="1:1">
      <c r="A13260" s="35" t="s">
        <v>41057</v>
      </c>
    </row>
    <row r="13261" spans="1:1">
      <c r="A13261" s="35" t="s">
        <v>41057</v>
      </c>
    </row>
    <row r="13262" spans="1:1">
      <c r="A13262" s="35" t="s">
        <v>41057</v>
      </c>
    </row>
    <row r="13263" spans="1:1">
      <c r="A13263" s="35" t="s">
        <v>41057</v>
      </c>
    </row>
    <row r="13264" spans="1:1">
      <c r="A13264" s="35" t="s">
        <v>41057</v>
      </c>
    </row>
    <row r="13265" spans="1:1">
      <c r="A13265" s="35" t="s">
        <v>41057</v>
      </c>
    </row>
    <row r="13266" spans="1:1">
      <c r="A13266" s="35" t="s">
        <v>41057</v>
      </c>
    </row>
    <row r="13267" spans="1:1">
      <c r="A13267" s="35" t="s">
        <v>41057</v>
      </c>
    </row>
    <row r="13268" spans="1:1">
      <c r="A13268" s="35" t="s">
        <v>41057</v>
      </c>
    </row>
    <row r="13269" spans="1:1">
      <c r="A13269" s="35" t="s">
        <v>41057</v>
      </c>
    </row>
    <row r="13270" spans="1:1">
      <c r="A13270" s="35" t="s">
        <v>41057</v>
      </c>
    </row>
    <row r="13271" spans="1:1">
      <c r="A13271" s="35" t="s">
        <v>41057</v>
      </c>
    </row>
    <row r="13272" spans="1:1">
      <c r="A13272" s="35" t="s">
        <v>41057</v>
      </c>
    </row>
    <row r="13273" spans="1:1">
      <c r="A13273" s="35" t="s">
        <v>41057</v>
      </c>
    </row>
    <row r="13274" spans="1:1">
      <c r="A13274" s="35" t="s">
        <v>41057</v>
      </c>
    </row>
    <row r="13275" spans="1:1">
      <c r="A13275" s="35" t="s">
        <v>41057</v>
      </c>
    </row>
    <row r="13276" spans="1:1">
      <c r="A13276" s="35" t="s">
        <v>41057</v>
      </c>
    </row>
    <row r="13277" spans="1:1">
      <c r="A13277" s="35" t="s">
        <v>41057</v>
      </c>
    </row>
    <row r="13278" spans="1:1">
      <c r="A13278" s="35" t="s">
        <v>41057</v>
      </c>
    </row>
    <row r="13279" spans="1:1">
      <c r="A13279" s="35" t="s">
        <v>41057</v>
      </c>
    </row>
    <row r="13280" spans="1:1">
      <c r="A13280" s="35" t="s">
        <v>41057</v>
      </c>
    </row>
    <row r="13281" spans="1:1">
      <c r="A13281" s="35" t="s">
        <v>41057</v>
      </c>
    </row>
    <row r="13282" spans="1:1">
      <c r="A13282" s="35" t="s">
        <v>41057</v>
      </c>
    </row>
    <row r="13283" spans="1:1">
      <c r="A13283" s="35" t="s">
        <v>41057</v>
      </c>
    </row>
    <row r="13284" spans="1:1">
      <c r="A13284" s="35" t="s">
        <v>41057</v>
      </c>
    </row>
    <row r="13285" spans="1:1">
      <c r="A13285" s="35" t="s">
        <v>41057</v>
      </c>
    </row>
    <row r="13286" spans="1:1">
      <c r="A13286" s="35" t="s">
        <v>41057</v>
      </c>
    </row>
    <row r="13287" spans="1:1">
      <c r="A13287" s="35" t="e" cm="1">
        <f t="array" ref="A13287">--------------------------------------------AHEKDVWKPYL---PY</f>
        <v>#NAME?</v>
      </c>
    </row>
    <row r="13288" spans="1:1">
      <c r="A13288" s="35" t="s">
        <v>56946</v>
      </c>
    </row>
    <row r="13289" spans="1:1">
      <c r="A13289" s="35" t="e" cm="1">
        <f t="array" ref="A13289">---------------RVWSLIHDTLFL---------KSGH------------------ME</f>
        <v>#NAME?</v>
      </c>
    </row>
    <row r="13290" spans="1:1">
      <c r="A13290" s="35" t="s">
        <v>56947</v>
      </c>
    </row>
    <row r="13291" spans="1:1">
      <c r="A13291" s="35" t="s">
        <v>41057</v>
      </c>
    </row>
    <row r="13292" spans="1:1">
      <c r="A13292" s="35" t="s">
        <v>41057</v>
      </c>
    </row>
    <row r="13293" spans="1:1">
      <c r="A13293" s="35" t="s">
        <v>56948</v>
      </c>
    </row>
    <row r="13294" spans="1:1">
      <c r="A13294" s="35" t="s">
        <v>41057</v>
      </c>
    </row>
    <row r="13295" spans="1:1">
      <c r="A13295" s="35" t="s">
        <v>41057</v>
      </c>
    </row>
    <row r="13296" spans="1:1">
      <c r="A13296" s="35" t="s">
        <v>56949</v>
      </c>
    </row>
    <row r="13297" spans="1:1">
      <c r="A13297" s="35" t="s">
        <v>56950</v>
      </c>
    </row>
    <row r="13298" spans="1:1">
      <c r="A13298" s="35" t="s">
        <v>41057</v>
      </c>
    </row>
    <row r="13299" spans="1:1">
      <c r="A13299" s="35" t="s">
        <v>41057</v>
      </c>
    </row>
    <row r="13300" spans="1:1">
      <c r="A13300" s="35" t="s">
        <v>56951</v>
      </c>
    </row>
    <row r="13301" spans="1:1">
      <c r="A13301" s="35" t="s">
        <v>56952</v>
      </c>
    </row>
    <row r="13302" spans="1:1">
      <c r="A13302" s="35" t="s">
        <v>41057</v>
      </c>
    </row>
    <row r="13303" spans="1:1">
      <c r="A13303" s="35" t="s">
        <v>41057</v>
      </c>
    </row>
    <row r="13304" spans="1:1">
      <c r="A13304" s="35" t="s">
        <v>56953</v>
      </c>
    </row>
    <row r="13305" spans="1:1">
      <c r="A13305" s="35" t="s">
        <v>56954</v>
      </c>
    </row>
    <row r="13306" spans="1:1">
      <c r="A13306" s="35" t="s">
        <v>56955</v>
      </c>
    </row>
    <row r="13307" spans="1:1">
      <c r="A13307" s="35" t="s">
        <v>56956</v>
      </c>
    </row>
    <row r="13308" spans="1:1">
      <c r="A13308" s="35" t="s">
        <v>41057</v>
      </c>
    </row>
    <row r="13309" spans="1:1">
      <c r="A13309" s="35" t="s">
        <v>41057</v>
      </c>
    </row>
    <row r="13310" spans="1:1">
      <c r="A13310" s="35" t="s">
        <v>41057</v>
      </c>
    </row>
    <row r="13311" spans="1:1">
      <c r="A13311" s="35" t="s">
        <v>56957</v>
      </c>
    </row>
    <row r="13312" spans="1:1">
      <c r="A13312" s="35" t="s">
        <v>41057</v>
      </c>
    </row>
    <row r="13313" spans="1:1">
      <c r="A13313" s="35" t="s">
        <v>56958</v>
      </c>
    </row>
    <row r="13314" spans="1:1">
      <c r="A13314" s="35" t="s">
        <v>41057</v>
      </c>
    </row>
    <row r="13315" spans="1:1">
      <c r="A13315" s="35" t="s">
        <v>41057</v>
      </c>
    </row>
    <row r="13316" spans="1:1">
      <c r="A13316" s="35" t="s">
        <v>41057</v>
      </c>
    </row>
    <row r="13317" spans="1:1">
      <c r="A13317" s="35" t="s">
        <v>56959</v>
      </c>
    </row>
    <row r="13318" spans="1:1">
      <c r="A13318" s="35" t="s">
        <v>41057</v>
      </c>
    </row>
    <row r="13319" spans="1:1">
      <c r="A13319" s="35" t="s">
        <v>41057</v>
      </c>
    </row>
    <row r="13320" spans="1:1">
      <c r="A13320" s="35" t="s">
        <v>41057</v>
      </c>
    </row>
    <row r="13321" spans="1:1">
      <c r="A13321" s="35" t="s">
        <v>41057</v>
      </c>
    </row>
    <row r="13322" spans="1:1">
      <c r="A13322" s="35" t="e" cm="1">
        <f t="array" ref="A13322">------------------------------------------------------HPFTQA</f>
        <v>#NAME?</v>
      </c>
    </row>
    <row r="13323" spans="1:1">
      <c r="A13323" s="35" t="s">
        <v>56960</v>
      </c>
    </row>
    <row r="13324" spans="1:1">
      <c r="A13324" s="35" t="s">
        <v>56961</v>
      </c>
    </row>
    <row r="13325" spans="1:1">
      <c r="A13325" s="35" t="s">
        <v>56962</v>
      </c>
    </row>
    <row r="13326" spans="1:1">
      <c r="A13326" s="35" t="s">
        <v>56963</v>
      </c>
    </row>
    <row r="13327" spans="1:1">
      <c r="A13327" s="35" t="s">
        <v>56964</v>
      </c>
    </row>
    <row r="13328" spans="1:1">
      <c r="A13328" s="35" t="s">
        <v>56965</v>
      </c>
    </row>
    <row r="13329" spans="1:1">
      <c r="A13329" s="35" t="s">
        <v>41057</v>
      </c>
    </row>
    <row r="13330" spans="1:1">
      <c r="A13330" s="35" t="s">
        <v>56966</v>
      </c>
    </row>
    <row r="13331" spans="1:1">
      <c r="A13331" s="35" t="s">
        <v>56967</v>
      </c>
    </row>
    <row r="13332" spans="1:1">
      <c r="A13332" s="35" t="s">
        <v>41057</v>
      </c>
    </row>
    <row r="13333" spans="1:1">
      <c r="A13333" s="35" t="s">
        <v>41057</v>
      </c>
    </row>
    <row r="13334" spans="1:1">
      <c r="A13334" s="35" t="e" cm="1">
        <f t="array" ref="A13334">---------------------------------V</f>
        <v>#NAME?</v>
      </c>
    </row>
    <row r="13335" spans="1:1">
      <c r="A13335" s="35" t="s">
        <v>52958</v>
      </c>
    </row>
    <row r="13336" spans="1:1">
      <c r="A13336" s="35" t="s">
        <v>41057</v>
      </c>
    </row>
    <row r="13337" spans="1:1">
      <c r="A13337" s="35" t="e" cm="1">
        <f t="array" ref="A13337">----------------------------------------------------------KK</f>
        <v>#NAME?</v>
      </c>
    </row>
    <row r="13338" spans="1:1">
      <c r="A13338" s="35" t="s">
        <v>56968</v>
      </c>
    </row>
    <row r="13339" spans="1:1">
      <c r="A13339" s="35" t="s">
        <v>56969</v>
      </c>
    </row>
    <row r="13340" spans="1:1">
      <c r="A13340" s="35" t="s">
        <v>56970</v>
      </c>
    </row>
    <row r="13341" spans="1:1">
      <c r="A13341" s="35" t="s">
        <v>56971</v>
      </c>
    </row>
    <row r="13342" spans="1:1">
      <c r="A13342" s="35" t="s">
        <v>41057</v>
      </c>
    </row>
    <row r="13343" spans="1:1">
      <c r="A13343" s="35" t="s">
        <v>41057</v>
      </c>
    </row>
    <row r="13344" spans="1:1">
      <c r="A13344" s="35" t="s">
        <v>41057</v>
      </c>
    </row>
    <row r="13345" spans="1:1">
      <c r="A13345" s="35" t="s">
        <v>56972</v>
      </c>
    </row>
    <row r="13346" spans="1:1">
      <c r="A13346" s="35" t="s">
        <v>56973</v>
      </c>
    </row>
    <row r="13347" spans="1:1">
      <c r="A13347" s="35" t="s">
        <v>56974</v>
      </c>
    </row>
    <row r="13348" spans="1:1">
      <c r="A13348" s="35" t="s">
        <v>56975</v>
      </c>
    </row>
    <row r="13349" spans="1:1">
      <c r="A13349" s="35" t="s">
        <v>41057</v>
      </c>
    </row>
    <row r="13350" spans="1:1">
      <c r="A13350" s="35" t="s">
        <v>41057</v>
      </c>
    </row>
    <row r="13351" spans="1:1">
      <c r="A13351" s="35" t="e" cm="1">
        <f t="array" ref="A13351">---------------DHSM------------------FIQ-------------------K</f>
        <v>#NAME?</v>
      </c>
    </row>
    <row r="13352" spans="1:1">
      <c r="A13352" s="35" t="s">
        <v>56976</v>
      </c>
    </row>
    <row r="13353" spans="1:1">
      <c r="A13353" s="35" t="s">
        <v>56977</v>
      </c>
    </row>
    <row r="13354" spans="1:1">
      <c r="A13354" s="35" t="s">
        <v>41057</v>
      </c>
    </row>
    <row r="13355" spans="1:1">
      <c r="A13355" s="35" t="s">
        <v>56978</v>
      </c>
    </row>
    <row r="13356" spans="1:1">
      <c r="A13356" s="35" t="s">
        <v>41057</v>
      </c>
    </row>
    <row r="13357" spans="1:1">
      <c r="A13357" s="35" t="s">
        <v>41057</v>
      </c>
    </row>
    <row r="13358" spans="1:1">
      <c r="A13358" s="35" t="s">
        <v>56979</v>
      </c>
    </row>
    <row r="13359" spans="1:1">
      <c r="A13359" s="35" t="s">
        <v>41057</v>
      </c>
    </row>
    <row r="13360" spans="1:1">
      <c r="A13360" s="35" t="s">
        <v>41057</v>
      </c>
    </row>
    <row r="13361" spans="1:1">
      <c r="A13361" s="35" t="s">
        <v>41057</v>
      </c>
    </row>
    <row r="13362" spans="1:1">
      <c r="A13362" s="35" t="s">
        <v>41057</v>
      </c>
    </row>
    <row r="13363" spans="1:1">
      <c r="A13363" s="35" t="s">
        <v>41057</v>
      </c>
    </row>
    <row r="13364" spans="1:1">
      <c r="A13364" s="35" t="s">
        <v>56980</v>
      </c>
    </row>
    <row r="13365" spans="1:1">
      <c r="A13365" s="35" t="s">
        <v>41057</v>
      </c>
    </row>
    <row r="13366" spans="1:1">
      <c r="A13366" s="35" t="s">
        <v>56981</v>
      </c>
    </row>
    <row r="13367" spans="1:1">
      <c r="A13367" s="35" t="s">
        <v>41057</v>
      </c>
    </row>
    <row r="13368" spans="1:1">
      <c r="A13368" s="35" t="s">
        <v>56982</v>
      </c>
    </row>
    <row r="13369" spans="1:1">
      <c r="A13369" s="35" t="s">
        <v>56983</v>
      </c>
    </row>
    <row r="13370" spans="1:1">
      <c r="A13370" s="35" t="s">
        <v>41057</v>
      </c>
    </row>
    <row r="13371" spans="1:1">
      <c r="A13371" s="35" t="s">
        <v>41057</v>
      </c>
    </row>
    <row r="13372" spans="1:1">
      <c r="A13372" s="35" t="s">
        <v>56984</v>
      </c>
    </row>
    <row r="13373" spans="1:1">
      <c r="A13373" s="35" t="s">
        <v>41057</v>
      </c>
    </row>
    <row r="13374" spans="1:1">
      <c r="A13374" s="35" t="s">
        <v>41057</v>
      </c>
    </row>
    <row r="13375" spans="1:1">
      <c r="A13375" s="35" t="s">
        <v>41057</v>
      </c>
    </row>
    <row r="13376" spans="1:1">
      <c r="A13376" s="35" t="s">
        <v>41057</v>
      </c>
    </row>
    <row r="13377" spans="1:1">
      <c r="A13377" s="35" t="s">
        <v>41057</v>
      </c>
    </row>
    <row r="13378" spans="1:1">
      <c r="A13378" s="35" t="s">
        <v>56985</v>
      </c>
    </row>
    <row r="13379" spans="1:1">
      <c r="A13379" s="35" t="s">
        <v>41057</v>
      </c>
    </row>
    <row r="13380" spans="1:1">
      <c r="A13380" s="35" t="s">
        <v>41057</v>
      </c>
    </row>
    <row r="13381" spans="1:1">
      <c r="A13381" s="35" t="s">
        <v>41057</v>
      </c>
    </row>
    <row r="13382" spans="1:1">
      <c r="A13382" s="35" t="s">
        <v>41057</v>
      </c>
    </row>
    <row r="13383" spans="1:1">
      <c r="A13383" s="35" t="s">
        <v>41057</v>
      </c>
    </row>
    <row r="13384" spans="1:1">
      <c r="A13384" s="35" t="s">
        <v>41057</v>
      </c>
    </row>
    <row r="13385" spans="1:1">
      <c r="A13385" s="35" t="s">
        <v>41057</v>
      </c>
    </row>
    <row r="13386" spans="1:1">
      <c r="A13386" s="35" t="s">
        <v>41057</v>
      </c>
    </row>
    <row r="13387" spans="1:1">
      <c r="A13387" s="35" t="s">
        <v>41057</v>
      </c>
    </row>
    <row r="13388" spans="1:1">
      <c r="A13388" s="35" t="s">
        <v>41057</v>
      </c>
    </row>
    <row r="13389" spans="1:1">
      <c r="A13389" s="35" t="s">
        <v>41057</v>
      </c>
    </row>
    <row r="13390" spans="1:1">
      <c r="A13390" s="35" t="s">
        <v>41057</v>
      </c>
    </row>
    <row r="13391" spans="1:1">
      <c r="A13391" s="35" t="s">
        <v>41057</v>
      </c>
    </row>
    <row r="13392" spans="1:1">
      <c r="A13392" s="35" t="s">
        <v>41057</v>
      </c>
    </row>
    <row r="13393" spans="1:1">
      <c r="A13393" s="35" t="s">
        <v>41057</v>
      </c>
    </row>
    <row r="13394" spans="1:1">
      <c r="A13394" s="35" t="s">
        <v>41057</v>
      </c>
    </row>
    <row r="13395" spans="1:1">
      <c r="A13395" s="35" t="s">
        <v>41057</v>
      </c>
    </row>
    <row r="13396" spans="1:1">
      <c r="A13396" s="35" t="s">
        <v>41057</v>
      </c>
    </row>
    <row r="13397" spans="1:1">
      <c r="A13397" s="35" t="s">
        <v>41057</v>
      </c>
    </row>
    <row r="13398" spans="1:1">
      <c r="A13398" s="35" t="s">
        <v>41057</v>
      </c>
    </row>
    <row r="13399" spans="1:1">
      <c r="A13399" s="35" t="s">
        <v>41057</v>
      </c>
    </row>
    <row r="13400" spans="1:1">
      <c r="A13400" s="35" t="s">
        <v>41057</v>
      </c>
    </row>
    <row r="13401" spans="1:1">
      <c r="A13401" s="35" t="s">
        <v>41057</v>
      </c>
    </row>
    <row r="13402" spans="1:1">
      <c r="A13402" s="35" t="s">
        <v>41057</v>
      </c>
    </row>
    <row r="13403" spans="1:1">
      <c r="A13403" s="35" t="s">
        <v>41057</v>
      </c>
    </row>
    <row r="13404" spans="1:1">
      <c r="A13404" s="35" t="s">
        <v>41057</v>
      </c>
    </row>
    <row r="13405" spans="1:1">
      <c r="A13405" s="35" t="e" cm="1">
        <f t="array" ref="A13405">---------------------------------------------------QDEWTYPLE</f>
        <v>#NAME?</v>
      </c>
    </row>
    <row r="13406" spans="1:1">
      <c r="A13406" s="35" t="s">
        <v>56986</v>
      </c>
    </row>
    <row r="13407" spans="1:1">
      <c r="A13407" s="35" t="e" cm="1">
        <f t="array" ref="A13407">---------------GTFCRIYDEIYR---------NQMK------------------RL</f>
        <v>#NAME?</v>
      </c>
    </row>
    <row r="13408" spans="1:1">
      <c r="A13408" s="35" t="s">
        <v>56987</v>
      </c>
    </row>
    <row r="13409" spans="1:1">
      <c r="A13409" s="35" t="e" cm="1">
        <f t="array" ref="A13409">---------------------------------------------HND----------PD</f>
        <v>#NAME?</v>
      </c>
    </row>
    <row r="13410" spans="1:1">
      <c r="A13410" s="35" t="s">
        <v>54298</v>
      </c>
    </row>
    <row r="13411" spans="1:1">
      <c r="A13411" s="35" t="s">
        <v>56988</v>
      </c>
    </row>
    <row r="13412" spans="1:1">
      <c r="A13412" s="35" t="s">
        <v>41057</v>
      </c>
    </row>
    <row r="13413" spans="1:1">
      <c r="A13413" s="35" t="s">
        <v>56989</v>
      </c>
    </row>
    <row r="13414" spans="1:1">
      <c r="A13414" s="35" t="s">
        <v>56990</v>
      </c>
    </row>
    <row r="13415" spans="1:1">
      <c r="A13415" s="35" t="s">
        <v>55258</v>
      </c>
    </row>
    <row r="13416" spans="1:1">
      <c r="A13416" s="35" t="s">
        <v>41057</v>
      </c>
    </row>
    <row r="13417" spans="1:1">
      <c r="A13417" s="35" t="s">
        <v>41057</v>
      </c>
    </row>
    <row r="13418" spans="1:1">
      <c r="A13418" s="35" t="s">
        <v>56991</v>
      </c>
    </row>
    <row r="13419" spans="1:1">
      <c r="A13419" s="35" t="s">
        <v>56992</v>
      </c>
    </row>
    <row r="13420" spans="1:1">
      <c r="A13420" s="35" t="s">
        <v>41057</v>
      </c>
    </row>
    <row r="13421" spans="1:1">
      <c r="A13421" s="35" t="s">
        <v>41057</v>
      </c>
    </row>
    <row r="13422" spans="1:1">
      <c r="A13422" s="35" t="s">
        <v>41057</v>
      </c>
    </row>
    <row r="13423" spans="1:1">
      <c r="A13423" s="35" t="s">
        <v>41057</v>
      </c>
    </row>
    <row r="13424" spans="1:1">
      <c r="A13424" s="35" t="s">
        <v>56993</v>
      </c>
    </row>
    <row r="13425" spans="1:1">
      <c r="A13425" s="35" t="s">
        <v>56994</v>
      </c>
    </row>
    <row r="13426" spans="1:1">
      <c r="A13426" s="35" t="s">
        <v>41057</v>
      </c>
    </row>
    <row r="13427" spans="1:1">
      <c r="A13427" s="35" t="s">
        <v>56995</v>
      </c>
    </row>
    <row r="13428" spans="1:1">
      <c r="A13428" s="35" t="s">
        <v>56996</v>
      </c>
    </row>
    <row r="13429" spans="1:1">
      <c r="A13429" s="35" t="s">
        <v>56997</v>
      </c>
    </row>
    <row r="13430" spans="1:1">
      <c r="A13430" s="35" t="s">
        <v>41057</v>
      </c>
    </row>
    <row r="13431" spans="1:1">
      <c r="A13431" s="35" t="s">
        <v>56998</v>
      </c>
    </row>
    <row r="13432" spans="1:1">
      <c r="A13432" s="35" t="s">
        <v>41057</v>
      </c>
    </row>
    <row r="13433" spans="1:1">
      <c r="A13433" s="35" t="s">
        <v>41057</v>
      </c>
    </row>
    <row r="13434" spans="1:1">
      <c r="A13434" s="35" t="s">
        <v>41057</v>
      </c>
    </row>
    <row r="13435" spans="1:1">
      <c r="A13435" s="35" t="s">
        <v>56999</v>
      </c>
    </row>
    <row r="13436" spans="1:1">
      <c r="A13436" s="35" t="s">
        <v>57000</v>
      </c>
    </row>
    <row r="13437" spans="1:1">
      <c r="A13437" s="35" t="s">
        <v>41057</v>
      </c>
    </row>
    <row r="13438" spans="1:1">
      <c r="A13438" s="35" t="s">
        <v>41057</v>
      </c>
    </row>
    <row r="13439" spans="1:1">
      <c r="A13439" s="35" t="s">
        <v>41057</v>
      </c>
    </row>
    <row r="13440" spans="1:1">
      <c r="A13440" s="35" t="e" cm="1">
        <f t="array" ref="A13440">---------------------------------------------------EAYAPILQM</f>
        <v>#NAME?</v>
      </c>
    </row>
    <row r="13441" spans="1:1">
      <c r="A13441" s="35" t="s">
        <v>57001</v>
      </c>
    </row>
    <row r="13442" spans="1:1">
      <c r="A13442" s="35" t="s">
        <v>57002</v>
      </c>
    </row>
    <row r="13443" spans="1:1">
      <c r="A13443" s="35" t="s">
        <v>57003</v>
      </c>
    </row>
    <row r="13444" spans="1:1">
      <c r="A13444" s="35" t="s">
        <v>57004</v>
      </c>
    </row>
    <row r="13445" spans="1:1">
      <c r="A13445" s="35" t="s">
        <v>57005</v>
      </c>
    </row>
    <row r="13446" spans="1:1">
      <c r="A13446" s="35" t="s">
        <v>57006</v>
      </c>
    </row>
    <row r="13447" spans="1:1">
      <c r="A13447" s="35" t="s">
        <v>41057</v>
      </c>
    </row>
    <row r="13448" spans="1:1">
      <c r="A13448" s="35" t="s">
        <v>57007</v>
      </c>
    </row>
    <row r="13449" spans="1:1">
      <c r="A13449" s="35" t="s">
        <v>57008</v>
      </c>
    </row>
    <row r="13450" spans="1:1">
      <c r="A13450" s="35" t="s">
        <v>57009</v>
      </c>
    </row>
    <row r="13451" spans="1:1">
      <c r="A13451" s="35" t="s">
        <v>41057</v>
      </c>
    </row>
    <row r="13452" spans="1:1">
      <c r="A13452" s="35" t="s">
        <v>53545</v>
      </c>
    </row>
    <row r="13453" spans="1:1">
      <c r="A13453" s="35" t="s">
        <v>53317</v>
      </c>
    </row>
    <row r="13454" spans="1:1">
      <c r="A13454" s="35" t="s">
        <v>41057</v>
      </c>
    </row>
    <row r="13455" spans="1:1">
      <c r="A13455" s="35" t="e" cm="1">
        <f t="array" ref="A13455">-------------------------------------------------------HHYKK</f>
        <v>#NAME?</v>
      </c>
    </row>
    <row r="13456" spans="1:1">
      <c r="A13456" s="35" t="s">
        <v>57010</v>
      </c>
    </row>
    <row r="13457" spans="1:1">
      <c r="A13457" s="35" t="s">
        <v>56969</v>
      </c>
    </row>
    <row r="13458" spans="1:1">
      <c r="A13458" s="35" t="s">
        <v>57011</v>
      </c>
    </row>
    <row r="13459" spans="1:1">
      <c r="A13459" s="35" t="s">
        <v>56971</v>
      </c>
    </row>
    <row r="13460" spans="1:1">
      <c r="A13460" s="35" t="s">
        <v>41057</v>
      </c>
    </row>
    <row r="13461" spans="1:1">
      <c r="A13461" s="35" t="s">
        <v>41057</v>
      </c>
    </row>
    <row r="13462" spans="1:1">
      <c r="A13462" s="35" t="s">
        <v>41057</v>
      </c>
    </row>
    <row r="13463" spans="1:1">
      <c r="A13463" s="35" t="s">
        <v>56972</v>
      </c>
    </row>
    <row r="13464" spans="1:1">
      <c r="A13464" s="35" t="s">
        <v>56973</v>
      </c>
    </row>
    <row r="13465" spans="1:1">
      <c r="A13465" s="35" t="s">
        <v>56974</v>
      </c>
    </row>
    <row r="13466" spans="1:1">
      <c r="A13466" s="35" t="s">
        <v>56975</v>
      </c>
    </row>
    <row r="13467" spans="1:1">
      <c r="A13467" s="35" t="s">
        <v>41057</v>
      </c>
    </row>
    <row r="13468" spans="1:1">
      <c r="A13468" s="35" t="s">
        <v>41057</v>
      </c>
    </row>
    <row r="13469" spans="1:1">
      <c r="A13469" s="35" t="e" cm="1">
        <f t="array" ref="A13469">---------------DHSM------------------FVQ-------------------K</f>
        <v>#NAME?</v>
      </c>
    </row>
    <row r="13470" spans="1:1">
      <c r="A13470" s="35" t="s">
        <v>56976</v>
      </c>
    </row>
    <row r="13471" spans="1:1">
      <c r="A13471" s="35" t="s">
        <v>56977</v>
      </c>
    </row>
    <row r="13472" spans="1:1">
      <c r="A13472" s="35" t="s">
        <v>41057</v>
      </c>
    </row>
    <row r="13473" spans="1:1">
      <c r="A13473" s="35" t="s">
        <v>57012</v>
      </c>
    </row>
    <row r="13474" spans="1:1">
      <c r="A13474" s="35" t="s">
        <v>41057</v>
      </c>
    </row>
    <row r="13475" spans="1:1">
      <c r="A13475" s="35" t="s">
        <v>41057</v>
      </c>
    </row>
    <row r="13476" spans="1:1">
      <c r="A13476" s="35" t="s">
        <v>56979</v>
      </c>
    </row>
    <row r="13477" spans="1:1">
      <c r="A13477" s="35" t="s">
        <v>41057</v>
      </c>
    </row>
    <row r="13478" spans="1:1">
      <c r="A13478" s="35" t="s">
        <v>41057</v>
      </c>
    </row>
    <row r="13479" spans="1:1">
      <c r="A13479" s="35" t="s">
        <v>41057</v>
      </c>
    </row>
    <row r="13480" spans="1:1">
      <c r="A13480" s="35" t="s">
        <v>41057</v>
      </c>
    </row>
    <row r="13481" spans="1:1">
      <c r="A13481" s="35" t="s">
        <v>41057</v>
      </c>
    </row>
    <row r="13482" spans="1:1">
      <c r="A13482" s="35" t="s">
        <v>56980</v>
      </c>
    </row>
    <row r="13483" spans="1:1">
      <c r="A13483" s="35" t="s">
        <v>41057</v>
      </c>
    </row>
    <row r="13484" spans="1:1">
      <c r="A13484" s="35" t="s">
        <v>56981</v>
      </c>
    </row>
    <row r="13485" spans="1:1">
      <c r="A13485" s="35" t="s">
        <v>41057</v>
      </c>
    </row>
    <row r="13486" spans="1:1">
      <c r="A13486" s="35" t="s">
        <v>56982</v>
      </c>
    </row>
    <row r="13487" spans="1:1">
      <c r="A13487" s="35" t="s">
        <v>57013</v>
      </c>
    </row>
    <row r="13488" spans="1:1">
      <c r="A13488" s="35" t="s">
        <v>41057</v>
      </c>
    </row>
    <row r="13489" spans="1:1">
      <c r="A13489" s="35" t="s">
        <v>41057</v>
      </c>
    </row>
    <row r="13490" spans="1:1">
      <c r="A13490" s="35" t="s">
        <v>57014</v>
      </c>
    </row>
    <row r="13491" spans="1:1">
      <c r="A13491" s="35" t="s">
        <v>41057</v>
      </c>
    </row>
    <row r="13492" spans="1:1">
      <c r="A13492" s="35" t="s">
        <v>41057</v>
      </c>
    </row>
    <row r="13493" spans="1:1">
      <c r="A13493" s="35" t="s">
        <v>41057</v>
      </c>
    </row>
    <row r="13494" spans="1:1">
      <c r="A13494" s="35" t="s">
        <v>41057</v>
      </c>
    </row>
    <row r="13495" spans="1:1">
      <c r="A13495" s="35" t="s">
        <v>41057</v>
      </c>
    </row>
    <row r="13496" spans="1:1">
      <c r="A13496" s="35" t="s">
        <v>56985</v>
      </c>
    </row>
    <row r="13497" spans="1:1">
      <c r="A13497" s="35" t="s">
        <v>41057</v>
      </c>
    </row>
    <row r="13498" spans="1:1">
      <c r="A13498" s="35" t="s">
        <v>41057</v>
      </c>
    </row>
    <row r="13499" spans="1:1">
      <c r="A13499" s="35" t="s">
        <v>41057</v>
      </c>
    </row>
    <row r="13500" spans="1:1">
      <c r="A13500" s="35" t="s">
        <v>41057</v>
      </c>
    </row>
    <row r="13501" spans="1:1">
      <c r="A13501" s="35" t="s">
        <v>41057</v>
      </c>
    </row>
    <row r="13502" spans="1:1">
      <c r="A13502" s="35" t="s">
        <v>41057</v>
      </c>
    </row>
    <row r="13503" spans="1:1">
      <c r="A13503" s="35" t="s">
        <v>41057</v>
      </c>
    </row>
    <row r="13504" spans="1:1">
      <c r="A13504" s="35" t="s">
        <v>41057</v>
      </c>
    </row>
    <row r="13505" spans="1:1">
      <c r="A13505" s="35" t="s">
        <v>41057</v>
      </c>
    </row>
    <row r="13506" spans="1:1">
      <c r="A13506" s="35" t="s">
        <v>41057</v>
      </c>
    </row>
    <row r="13507" spans="1:1">
      <c r="A13507" s="35" t="s">
        <v>41057</v>
      </c>
    </row>
    <row r="13508" spans="1:1">
      <c r="A13508" s="35" t="s">
        <v>41057</v>
      </c>
    </row>
    <row r="13509" spans="1:1">
      <c r="A13509" s="35" t="s">
        <v>41057</v>
      </c>
    </row>
    <row r="13510" spans="1:1">
      <c r="A13510" s="35" t="s">
        <v>41057</v>
      </c>
    </row>
    <row r="13511" spans="1:1">
      <c r="A13511" s="35" t="s">
        <v>41057</v>
      </c>
    </row>
    <row r="13512" spans="1:1">
      <c r="A13512" s="35" t="s">
        <v>41057</v>
      </c>
    </row>
    <row r="13513" spans="1:1">
      <c r="A13513" s="35" t="s">
        <v>41057</v>
      </c>
    </row>
    <row r="13514" spans="1:1">
      <c r="A13514" s="35" t="s">
        <v>41057</v>
      </c>
    </row>
    <row r="13515" spans="1:1">
      <c r="A13515" s="35" t="s">
        <v>41057</v>
      </c>
    </row>
    <row r="13516" spans="1:1">
      <c r="A13516" s="35" t="s">
        <v>41057</v>
      </c>
    </row>
    <row r="13517" spans="1:1">
      <c r="A13517" s="35" t="s">
        <v>41057</v>
      </c>
    </row>
    <row r="13518" spans="1:1">
      <c r="A13518" s="35" t="s">
        <v>41057</v>
      </c>
    </row>
    <row r="13519" spans="1:1">
      <c r="A13519" s="35" t="s">
        <v>41057</v>
      </c>
    </row>
    <row r="13520" spans="1:1">
      <c r="A13520" s="35" t="s">
        <v>41057</v>
      </c>
    </row>
    <row r="13521" spans="1:1">
      <c r="A13521" s="35" t="s">
        <v>41057</v>
      </c>
    </row>
    <row r="13522" spans="1:1">
      <c r="A13522" s="35" t="s">
        <v>41057</v>
      </c>
    </row>
    <row r="13523" spans="1:1">
      <c r="A13523" s="35" t="e" cm="1">
        <f t="array" ref="A13523">---------------------------------------------------QDEWMYPLE</f>
        <v>#NAME?</v>
      </c>
    </row>
    <row r="13524" spans="1:1">
      <c r="A13524" s="35" t="s">
        <v>57015</v>
      </c>
    </row>
    <row r="13525" spans="1:1">
      <c r="A13525" s="35" t="e" cm="1">
        <f t="array" ref="A13525">---------------GVFCRIYDEIYR---------NQMK------------------RL</f>
        <v>#NAME?</v>
      </c>
    </row>
    <row r="13526" spans="1:1">
      <c r="A13526" s="35" t="s">
        <v>56987</v>
      </c>
    </row>
    <row r="13527" spans="1:1">
      <c r="A13527" s="35" t="e" cm="1">
        <f t="array" ref="A13527">---------------------------------------------HND----------PN</f>
        <v>#NAME?</v>
      </c>
    </row>
    <row r="13528" spans="1:1">
      <c r="A13528" s="35" t="s">
        <v>54298</v>
      </c>
    </row>
    <row r="13529" spans="1:1">
      <c r="A13529" s="35" t="s">
        <v>57016</v>
      </c>
    </row>
    <row r="13530" spans="1:1">
      <c r="A13530" s="35" t="s">
        <v>41057</v>
      </c>
    </row>
    <row r="13531" spans="1:1">
      <c r="A13531" s="35" t="s">
        <v>56989</v>
      </c>
    </row>
    <row r="13532" spans="1:1">
      <c r="A13532" s="35" t="s">
        <v>56990</v>
      </c>
    </row>
    <row r="13533" spans="1:1">
      <c r="A13533" s="35" t="s">
        <v>54697</v>
      </c>
    </row>
    <row r="13534" spans="1:1">
      <c r="A13534" s="35" t="s">
        <v>41057</v>
      </c>
    </row>
    <row r="13535" spans="1:1">
      <c r="A13535" s="35" t="s">
        <v>41057</v>
      </c>
    </row>
    <row r="13536" spans="1:1">
      <c r="A13536" s="35" t="s">
        <v>56991</v>
      </c>
    </row>
    <row r="13537" spans="1:1">
      <c r="A13537" s="35" t="s">
        <v>56992</v>
      </c>
    </row>
    <row r="13538" spans="1:1">
      <c r="A13538" s="35" t="s">
        <v>41057</v>
      </c>
    </row>
    <row r="13539" spans="1:1">
      <c r="A13539" s="35" t="s">
        <v>41057</v>
      </c>
    </row>
    <row r="13540" spans="1:1">
      <c r="A13540" s="35" t="s">
        <v>41057</v>
      </c>
    </row>
    <row r="13541" spans="1:1">
      <c r="A13541" s="35" t="s">
        <v>41057</v>
      </c>
    </row>
    <row r="13542" spans="1:1">
      <c r="A13542" s="35" t="s">
        <v>56993</v>
      </c>
    </row>
    <row r="13543" spans="1:1">
      <c r="A13543" s="35" t="s">
        <v>57017</v>
      </c>
    </row>
    <row r="13544" spans="1:1">
      <c r="A13544" s="35" t="s">
        <v>41057</v>
      </c>
    </row>
    <row r="13545" spans="1:1">
      <c r="A13545" s="35" t="s">
        <v>57018</v>
      </c>
    </row>
    <row r="13546" spans="1:1">
      <c r="A13546" s="35" t="s">
        <v>57019</v>
      </c>
    </row>
    <row r="13547" spans="1:1">
      <c r="A13547" s="35" t="s">
        <v>56997</v>
      </c>
    </row>
    <row r="13548" spans="1:1">
      <c r="A13548" s="35" t="s">
        <v>41057</v>
      </c>
    </row>
    <row r="13549" spans="1:1">
      <c r="A13549" s="35" t="s">
        <v>57020</v>
      </c>
    </row>
    <row r="13550" spans="1:1">
      <c r="A13550" s="35" t="s">
        <v>41057</v>
      </c>
    </row>
    <row r="13551" spans="1:1">
      <c r="A13551" s="35" t="s">
        <v>41057</v>
      </c>
    </row>
    <row r="13552" spans="1:1">
      <c r="A13552" s="35" t="s">
        <v>41057</v>
      </c>
    </row>
    <row r="13553" spans="1:1">
      <c r="A13553" s="35" t="s">
        <v>56999</v>
      </c>
    </row>
    <row r="13554" spans="1:1">
      <c r="A13554" s="35" t="s">
        <v>57021</v>
      </c>
    </row>
    <row r="13555" spans="1:1">
      <c r="A13555" s="35" t="s">
        <v>41057</v>
      </c>
    </row>
    <row r="13556" spans="1:1">
      <c r="A13556" s="35" t="s">
        <v>41057</v>
      </c>
    </row>
    <row r="13557" spans="1:1">
      <c r="A13557" s="35" t="s">
        <v>41057</v>
      </c>
    </row>
    <row r="13558" spans="1:1">
      <c r="A13558" s="35" t="e" cm="1">
        <f t="array" ref="A13558">---------------------------------------------------EAYAPILKM</f>
        <v>#NAME?</v>
      </c>
    </row>
    <row r="13559" spans="1:1">
      <c r="A13559" s="35" t="s">
        <v>57001</v>
      </c>
    </row>
    <row r="13560" spans="1:1">
      <c r="A13560" s="35" t="s">
        <v>57022</v>
      </c>
    </row>
    <row r="13561" spans="1:1">
      <c r="A13561" s="35" t="s">
        <v>57023</v>
      </c>
    </row>
    <row r="13562" spans="1:1">
      <c r="A13562" s="35" t="s">
        <v>57024</v>
      </c>
    </row>
    <row r="13563" spans="1:1">
      <c r="A13563" s="35" t="s">
        <v>57005</v>
      </c>
    </row>
    <row r="13564" spans="1:1">
      <c r="A13564" s="35" t="s">
        <v>57025</v>
      </c>
    </row>
    <row r="13565" spans="1:1">
      <c r="A13565" s="35" t="s">
        <v>41057</v>
      </c>
    </row>
    <row r="13566" spans="1:1">
      <c r="A13566" s="35" t="s">
        <v>57026</v>
      </c>
    </row>
    <row r="13567" spans="1:1">
      <c r="A13567" s="35" t="s">
        <v>57008</v>
      </c>
    </row>
    <row r="13568" spans="1:1">
      <c r="A13568" s="35" t="s">
        <v>57027</v>
      </c>
    </row>
    <row r="13569" spans="1:1">
      <c r="A13569" s="35" t="s">
        <v>41057</v>
      </c>
    </row>
    <row r="13570" spans="1:1">
      <c r="A13570" s="35" t="s">
        <v>53545</v>
      </c>
    </row>
    <row r="13571" spans="1:1">
      <c r="A13571" s="35" t="s">
        <v>53339</v>
      </c>
    </row>
    <row r="13572" spans="1:1">
      <c r="A13572" s="35" t="s">
        <v>41057</v>
      </c>
    </row>
    <row r="13573" spans="1:1">
      <c r="A13573" s="35" t="e" cm="1">
        <f t="array" ref="A13573">-------------------------------------------------------RHFKK</f>
        <v>#NAME?</v>
      </c>
    </row>
    <row r="13574" spans="1:1">
      <c r="A13574" s="35" t="s">
        <v>57028</v>
      </c>
    </row>
    <row r="13575" spans="1:1">
      <c r="A13575" s="35" t="s">
        <v>57029</v>
      </c>
    </row>
    <row r="13576" spans="1:1">
      <c r="A13576" s="35" t="s">
        <v>57030</v>
      </c>
    </row>
    <row r="13577" spans="1:1">
      <c r="A13577" s="35" t="s">
        <v>56971</v>
      </c>
    </row>
    <row r="13578" spans="1:1">
      <c r="A13578" s="35" t="s">
        <v>41057</v>
      </c>
    </row>
    <row r="13579" spans="1:1">
      <c r="A13579" s="35" t="s">
        <v>41057</v>
      </c>
    </row>
    <row r="13580" spans="1:1">
      <c r="A13580" s="35" t="s">
        <v>41057</v>
      </c>
    </row>
    <row r="13581" spans="1:1">
      <c r="A13581" s="35" t="s">
        <v>56972</v>
      </c>
    </row>
    <row r="13582" spans="1:1">
      <c r="A13582" s="35" t="s">
        <v>56973</v>
      </c>
    </row>
    <row r="13583" spans="1:1">
      <c r="A13583" s="35" t="s">
        <v>56974</v>
      </c>
    </row>
    <row r="13584" spans="1:1">
      <c r="A13584" s="35" t="s">
        <v>56975</v>
      </c>
    </row>
    <row r="13585" spans="1:1">
      <c r="A13585" s="35" t="s">
        <v>41057</v>
      </c>
    </row>
    <row r="13586" spans="1:1">
      <c r="A13586" s="35" t="s">
        <v>41057</v>
      </c>
    </row>
    <row r="13587" spans="1:1">
      <c r="A13587" s="35" t="e" cm="1">
        <f t="array" ref="A13587">---------------DHSM------------------FVQ-------------------K</f>
        <v>#NAME?</v>
      </c>
    </row>
    <row r="13588" spans="1:1">
      <c r="A13588" s="35" t="s">
        <v>56976</v>
      </c>
    </row>
    <row r="13589" spans="1:1">
      <c r="A13589" s="35" t="s">
        <v>56977</v>
      </c>
    </row>
    <row r="13590" spans="1:1">
      <c r="A13590" s="35" t="s">
        <v>41057</v>
      </c>
    </row>
    <row r="13591" spans="1:1">
      <c r="A13591" s="35" t="s">
        <v>57012</v>
      </c>
    </row>
    <row r="13592" spans="1:1">
      <c r="A13592" s="35" t="s">
        <v>41057</v>
      </c>
    </row>
    <row r="13593" spans="1:1">
      <c r="A13593" s="35" t="s">
        <v>41057</v>
      </c>
    </row>
    <row r="13594" spans="1:1">
      <c r="A13594" s="35" t="s">
        <v>56979</v>
      </c>
    </row>
    <row r="13595" spans="1:1">
      <c r="A13595" s="35" t="s">
        <v>41057</v>
      </c>
    </row>
    <row r="13596" spans="1:1">
      <c r="A13596" s="35" t="s">
        <v>41057</v>
      </c>
    </row>
    <row r="13597" spans="1:1">
      <c r="A13597" s="35" t="s">
        <v>41057</v>
      </c>
    </row>
    <row r="13598" spans="1:1">
      <c r="A13598" s="35" t="s">
        <v>41057</v>
      </c>
    </row>
    <row r="13599" spans="1:1">
      <c r="A13599" s="35" t="s">
        <v>41057</v>
      </c>
    </row>
    <row r="13600" spans="1:1">
      <c r="A13600" s="35" t="s">
        <v>56980</v>
      </c>
    </row>
    <row r="13601" spans="1:1">
      <c r="A13601" s="35" t="s">
        <v>41057</v>
      </c>
    </row>
    <row r="13602" spans="1:1">
      <c r="A13602" s="35" t="s">
        <v>56981</v>
      </c>
    </row>
    <row r="13603" spans="1:1">
      <c r="A13603" s="35" t="s">
        <v>41057</v>
      </c>
    </row>
    <row r="13604" spans="1:1">
      <c r="A13604" s="35" t="s">
        <v>56982</v>
      </c>
    </row>
    <row r="13605" spans="1:1">
      <c r="A13605" s="35" t="s">
        <v>56983</v>
      </c>
    </row>
    <row r="13606" spans="1:1">
      <c r="A13606" s="35" t="s">
        <v>41057</v>
      </c>
    </row>
    <row r="13607" spans="1:1">
      <c r="A13607" s="35" t="s">
        <v>41057</v>
      </c>
    </row>
    <row r="13608" spans="1:1">
      <c r="A13608" s="35" t="s">
        <v>57014</v>
      </c>
    </row>
    <row r="13609" spans="1:1">
      <c r="A13609" s="35" t="s">
        <v>41057</v>
      </c>
    </row>
    <row r="13610" spans="1:1">
      <c r="A13610" s="35" t="s">
        <v>41057</v>
      </c>
    </row>
    <row r="13611" spans="1:1">
      <c r="A13611" s="35" t="s">
        <v>41057</v>
      </c>
    </row>
    <row r="13612" spans="1:1">
      <c r="A13612" s="35" t="s">
        <v>41057</v>
      </c>
    </row>
    <row r="13613" spans="1:1">
      <c r="A13613" s="35" t="s">
        <v>41057</v>
      </c>
    </row>
    <row r="13614" spans="1:1">
      <c r="A13614" s="35" t="s">
        <v>57031</v>
      </c>
    </row>
    <row r="13615" spans="1:1">
      <c r="A13615" s="35" t="s">
        <v>41057</v>
      </c>
    </row>
    <row r="13616" spans="1:1">
      <c r="A13616" s="35" t="s">
        <v>41057</v>
      </c>
    </row>
    <row r="13617" spans="1:1">
      <c r="A13617" s="35" t="s">
        <v>41057</v>
      </c>
    </row>
    <row r="13618" spans="1:1">
      <c r="A13618" s="35" t="s">
        <v>41057</v>
      </c>
    </row>
    <row r="13619" spans="1:1">
      <c r="A13619" s="35" t="s">
        <v>41057</v>
      </c>
    </row>
    <row r="13620" spans="1:1">
      <c r="A13620" s="35" t="s">
        <v>41057</v>
      </c>
    </row>
    <row r="13621" spans="1:1">
      <c r="A13621" s="35" t="s">
        <v>41057</v>
      </c>
    </row>
    <row r="13622" spans="1:1">
      <c r="A13622" s="35" t="s">
        <v>41057</v>
      </c>
    </row>
    <row r="13623" spans="1:1">
      <c r="A13623" s="35" t="s">
        <v>41057</v>
      </c>
    </row>
    <row r="13624" spans="1:1">
      <c r="A13624" s="35" t="s">
        <v>41057</v>
      </c>
    </row>
    <row r="13625" spans="1:1">
      <c r="A13625" s="35" t="s">
        <v>41057</v>
      </c>
    </row>
    <row r="13626" spans="1:1">
      <c r="A13626" s="35" t="s">
        <v>41057</v>
      </c>
    </row>
    <row r="13627" spans="1:1">
      <c r="A13627" s="35" t="s">
        <v>41057</v>
      </c>
    </row>
    <row r="13628" spans="1:1">
      <c r="A13628" s="35" t="s">
        <v>41057</v>
      </c>
    </row>
    <row r="13629" spans="1:1">
      <c r="A13629" s="35" t="s">
        <v>41057</v>
      </c>
    </row>
    <row r="13630" spans="1:1">
      <c r="A13630" s="35" t="s">
        <v>41057</v>
      </c>
    </row>
    <row r="13631" spans="1:1">
      <c r="A13631" s="35" t="s">
        <v>41057</v>
      </c>
    </row>
    <row r="13632" spans="1:1">
      <c r="A13632" s="35" t="s">
        <v>41057</v>
      </c>
    </row>
    <row r="13633" spans="1:1">
      <c r="A13633" s="35" t="s">
        <v>41057</v>
      </c>
    </row>
    <row r="13634" spans="1:1">
      <c r="A13634" s="35" t="s">
        <v>41057</v>
      </c>
    </row>
    <row r="13635" spans="1:1">
      <c r="A13635" s="35" t="s">
        <v>41057</v>
      </c>
    </row>
    <row r="13636" spans="1:1">
      <c r="A13636" s="35" t="s">
        <v>41057</v>
      </c>
    </row>
    <row r="13637" spans="1:1">
      <c r="A13637" s="35" t="s">
        <v>41057</v>
      </c>
    </row>
    <row r="13638" spans="1:1">
      <c r="A13638" s="35" t="s">
        <v>41057</v>
      </c>
    </row>
    <row r="13639" spans="1:1">
      <c r="A13639" s="35" t="s">
        <v>41057</v>
      </c>
    </row>
    <row r="13640" spans="1:1">
      <c r="A13640" s="35" t="s">
        <v>41057</v>
      </c>
    </row>
    <row r="13641" spans="1:1">
      <c r="A13641" s="35" t="e" cm="1">
        <f t="array" ref="A13641">---------------------------------------------------EDEWMYPLE</f>
        <v>#NAME?</v>
      </c>
    </row>
    <row r="13642" spans="1:1">
      <c r="A13642" s="35" t="s">
        <v>57032</v>
      </c>
    </row>
    <row r="13643" spans="1:1">
      <c r="A13643" s="35" t="e" cm="1">
        <f t="array" ref="A13643">---------------GTFCRIYDEIYR---------NQMK------------------RL</f>
        <v>#NAME?</v>
      </c>
    </row>
    <row r="13644" spans="1:1">
      <c r="A13644" s="35" t="s">
        <v>56987</v>
      </c>
    </row>
    <row r="13645" spans="1:1">
      <c r="A13645" s="35" t="e" cm="1">
        <f t="array" ref="A13645">---------------------------------------------YND----------PI</f>
        <v>#NAME?</v>
      </c>
    </row>
    <row r="13646" spans="1:1">
      <c r="A13646" s="35" t="s">
        <v>54298</v>
      </c>
    </row>
    <row r="13647" spans="1:1">
      <c r="A13647" s="35" t="s">
        <v>56988</v>
      </c>
    </row>
    <row r="13648" spans="1:1">
      <c r="A13648" s="35" t="s">
        <v>41057</v>
      </c>
    </row>
    <row r="13649" spans="1:1">
      <c r="A13649" s="35" t="s">
        <v>56989</v>
      </c>
    </row>
    <row r="13650" spans="1:1">
      <c r="A13650" s="35" t="s">
        <v>57033</v>
      </c>
    </row>
    <row r="13651" spans="1:1">
      <c r="A13651" s="35" t="s">
        <v>54697</v>
      </c>
    </row>
    <row r="13652" spans="1:1">
      <c r="A13652" s="35" t="s">
        <v>41057</v>
      </c>
    </row>
    <row r="13653" spans="1:1">
      <c r="A13653" s="35" t="s">
        <v>41057</v>
      </c>
    </row>
    <row r="13654" spans="1:1">
      <c r="A13654" s="35" t="s">
        <v>57034</v>
      </c>
    </row>
    <row r="13655" spans="1:1">
      <c r="A13655" s="35" t="s">
        <v>57035</v>
      </c>
    </row>
    <row r="13656" spans="1:1">
      <c r="A13656" s="35" t="s">
        <v>41057</v>
      </c>
    </row>
    <row r="13657" spans="1:1">
      <c r="A13657" s="35" t="s">
        <v>41057</v>
      </c>
    </row>
    <row r="13658" spans="1:1">
      <c r="A13658" s="35" t="s">
        <v>41057</v>
      </c>
    </row>
    <row r="13659" spans="1:1">
      <c r="A13659" s="35" t="s">
        <v>41057</v>
      </c>
    </row>
    <row r="13660" spans="1:1">
      <c r="A13660" s="35" t="s">
        <v>57036</v>
      </c>
    </row>
    <row r="13661" spans="1:1">
      <c r="A13661" s="35" t="s">
        <v>57017</v>
      </c>
    </row>
    <row r="13662" spans="1:1">
      <c r="A13662" s="35" t="s">
        <v>41057</v>
      </c>
    </row>
    <row r="13663" spans="1:1">
      <c r="A13663" s="35" t="s">
        <v>57018</v>
      </c>
    </row>
    <row r="13664" spans="1:1">
      <c r="A13664" s="35" t="s">
        <v>57037</v>
      </c>
    </row>
    <row r="13665" spans="1:1">
      <c r="A13665" s="35" t="s">
        <v>56997</v>
      </c>
    </row>
    <row r="13666" spans="1:1">
      <c r="A13666" s="35" t="s">
        <v>41057</v>
      </c>
    </row>
    <row r="13667" spans="1:1">
      <c r="A13667" s="35" t="s">
        <v>57020</v>
      </c>
    </row>
    <row r="13668" spans="1:1">
      <c r="A13668" s="35" t="s">
        <v>41057</v>
      </c>
    </row>
    <row r="13669" spans="1:1">
      <c r="A13669" s="35" t="s">
        <v>41057</v>
      </c>
    </row>
    <row r="13670" spans="1:1">
      <c r="A13670" s="35" t="s">
        <v>41057</v>
      </c>
    </row>
    <row r="13671" spans="1:1">
      <c r="A13671" s="35" t="s">
        <v>56999</v>
      </c>
    </row>
    <row r="13672" spans="1:1">
      <c r="A13672" s="35" t="s">
        <v>57000</v>
      </c>
    </row>
    <row r="13673" spans="1:1">
      <c r="A13673" s="35" t="s">
        <v>41057</v>
      </c>
    </row>
    <row r="13674" spans="1:1">
      <c r="A13674" s="35" t="s">
        <v>41057</v>
      </c>
    </row>
    <row r="13675" spans="1:1">
      <c r="A13675" s="35" t="s">
        <v>41057</v>
      </c>
    </row>
    <row r="13676" spans="1:1">
      <c r="A13676" s="35" t="e" cm="1">
        <f t="array" ref="A13676">---------------------------------------------------EAYAPILKM</f>
        <v>#NAME?</v>
      </c>
    </row>
    <row r="13677" spans="1:1">
      <c r="A13677" s="35" t="s">
        <v>57038</v>
      </c>
    </row>
    <row r="13678" spans="1:1">
      <c r="A13678" s="35" t="s">
        <v>57022</v>
      </c>
    </row>
    <row r="13679" spans="1:1">
      <c r="A13679" s="35" t="s">
        <v>57039</v>
      </c>
    </row>
    <row r="13680" spans="1:1">
      <c r="A13680" s="35" t="s">
        <v>57040</v>
      </c>
    </row>
    <row r="13681" spans="1:1">
      <c r="A13681" s="35" t="s">
        <v>57041</v>
      </c>
    </row>
    <row r="13682" spans="1:1">
      <c r="A13682" s="35" t="s">
        <v>57042</v>
      </c>
    </row>
    <row r="13683" spans="1:1">
      <c r="A13683" s="35" t="s">
        <v>41057</v>
      </c>
    </row>
    <row r="13684" spans="1:1">
      <c r="A13684" s="35" t="s">
        <v>57026</v>
      </c>
    </row>
    <row r="13685" spans="1:1">
      <c r="A13685" s="35" t="s">
        <v>57008</v>
      </c>
    </row>
    <row r="13686" spans="1:1">
      <c r="A13686" s="35" t="s">
        <v>57027</v>
      </c>
    </row>
    <row r="13687" spans="1:1">
      <c r="A13687" s="35" t="s">
        <v>41057</v>
      </c>
    </row>
    <row r="13688" spans="1:1">
      <c r="A13688" s="35" t="s">
        <v>53545</v>
      </c>
    </row>
    <row r="13689" spans="1:1">
      <c r="A13689" s="35" t="s">
        <v>53173</v>
      </c>
    </row>
    <row r="13690" spans="1:1">
      <c r="A13690" s="35" t="s">
        <v>41057</v>
      </c>
    </row>
    <row r="13691" spans="1:1">
      <c r="A13691" s="35" t="s">
        <v>41057</v>
      </c>
    </row>
    <row r="13692" spans="1:1">
      <c r="A13692" s="35" t="s">
        <v>41057</v>
      </c>
    </row>
    <row r="13693" spans="1:1">
      <c r="A13693" s="35" t="s">
        <v>41057</v>
      </c>
    </row>
    <row r="13694" spans="1:1">
      <c r="A13694" s="35" t="s">
        <v>41057</v>
      </c>
    </row>
    <row r="13695" spans="1:1">
      <c r="A13695" s="35" t="s">
        <v>57043</v>
      </c>
    </row>
    <row r="13696" spans="1:1">
      <c r="A13696" s="35" t="s">
        <v>41057</v>
      </c>
    </row>
    <row r="13697" spans="1:1">
      <c r="A13697" s="35" t="s">
        <v>41057</v>
      </c>
    </row>
    <row r="13698" spans="1:1">
      <c r="A13698" s="35" t="s">
        <v>41057</v>
      </c>
    </row>
    <row r="13699" spans="1:1">
      <c r="A13699" s="35" t="s">
        <v>56972</v>
      </c>
    </row>
    <row r="13700" spans="1:1">
      <c r="A13700" s="35" t="s">
        <v>57044</v>
      </c>
    </row>
    <row r="13701" spans="1:1">
      <c r="A13701" s="35" t="s">
        <v>57045</v>
      </c>
    </row>
    <row r="13702" spans="1:1">
      <c r="A13702" s="35" t="s">
        <v>57046</v>
      </c>
    </row>
    <row r="13703" spans="1:1">
      <c r="A13703" s="35" t="s">
        <v>41057</v>
      </c>
    </row>
    <row r="13704" spans="1:1">
      <c r="A13704" s="35" t="s">
        <v>41057</v>
      </c>
    </row>
    <row r="13705" spans="1:1">
      <c r="A13705" s="35" t="s">
        <v>57047</v>
      </c>
    </row>
    <row r="13706" spans="1:1">
      <c r="A13706" s="35" t="s">
        <v>57048</v>
      </c>
    </row>
    <row r="13707" spans="1:1">
      <c r="A13707" s="35" t="s">
        <v>57049</v>
      </c>
    </row>
    <row r="13708" spans="1:1">
      <c r="A13708" s="35" t="s">
        <v>41057</v>
      </c>
    </row>
    <row r="13709" spans="1:1">
      <c r="A13709" s="35" t="s">
        <v>57050</v>
      </c>
    </row>
    <row r="13710" spans="1:1">
      <c r="A13710" s="35" t="s">
        <v>41057</v>
      </c>
    </row>
    <row r="13711" spans="1:1">
      <c r="A13711" s="35" t="s">
        <v>41057</v>
      </c>
    </row>
    <row r="13712" spans="1:1">
      <c r="A13712" s="35" t="s">
        <v>57051</v>
      </c>
    </row>
    <row r="13713" spans="1:1">
      <c r="A13713" s="35" t="s">
        <v>41057</v>
      </c>
    </row>
    <row r="13714" spans="1:1">
      <c r="A13714" s="35" t="s">
        <v>41057</v>
      </c>
    </row>
    <row r="13715" spans="1:1">
      <c r="A13715" s="35" t="s">
        <v>53500</v>
      </c>
    </row>
    <row r="13716" spans="1:1">
      <c r="A13716" s="35" t="s">
        <v>41057</v>
      </c>
    </row>
    <row r="13717" spans="1:1">
      <c r="A13717" s="35" t="s">
        <v>41057</v>
      </c>
    </row>
    <row r="13718" spans="1:1">
      <c r="A13718" s="35" t="s">
        <v>57052</v>
      </c>
    </row>
    <row r="13719" spans="1:1">
      <c r="A13719" s="35" t="s">
        <v>41057</v>
      </c>
    </row>
    <row r="13720" spans="1:1">
      <c r="A13720" s="35" t="s">
        <v>57053</v>
      </c>
    </row>
    <row r="13721" spans="1:1">
      <c r="A13721" s="35" t="s">
        <v>41057</v>
      </c>
    </row>
    <row r="13722" spans="1:1">
      <c r="A13722" s="35" t="s">
        <v>57054</v>
      </c>
    </row>
    <row r="13723" spans="1:1">
      <c r="A13723" s="35" t="s">
        <v>57055</v>
      </c>
    </row>
    <row r="13724" spans="1:1">
      <c r="A13724" s="35" t="s">
        <v>41057</v>
      </c>
    </row>
    <row r="13725" spans="1:1">
      <c r="A13725" s="35" t="s">
        <v>41057</v>
      </c>
    </row>
    <row r="13726" spans="1:1">
      <c r="A13726" s="35" t="s">
        <v>57056</v>
      </c>
    </row>
    <row r="13727" spans="1:1">
      <c r="A13727" s="35" t="s">
        <v>41057</v>
      </c>
    </row>
    <row r="13728" spans="1:1">
      <c r="A13728" s="35" t="s">
        <v>41057</v>
      </c>
    </row>
    <row r="13729" spans="1:1">
      <c r="A13729" s="35" t="s">
        <v>41057</v>
      </c>
    </row>
    <row r="13730" spans="1:1">
      <c r="A13730" s="35" t="s">
        <v>41057</v>
      </c>
    </row>
    <row r="13731" spans="1:1">
      <c r="A13731" s="35" t="s">
        <v>41057</v>
      </c>
    </row>
    <row r="13732" spans="1:1">
      <c r="A13732" s="35" t="s">
        <v>57057</v>
      </c>
    </row>
    <row r="13733" spans="1:1">
      <c r="A13733" s="35" t="s">
        <v>41057</v>
      </c>
    </row>
    <row r="13734" spans="1:1">
      <c r="A13734" s="35" t="s">
        <v>41057</v>
      </c>
    </row>
    <row r="13735" spans="1:1">
      <c r="A13735" s="35" t="s">
        <v>41057</v>
      </c>
    </row>
    <row r="13736" spans="1:1">
      <c r="A13736" s="35" t="s">
        <v>41057</v>
      </c>
    </row>
    <row r="13737" spans="1:1">
      <c r="A13737" s="35" t="s">
        <v>41057</v>
      </c>
    </row>
    <row r="13738" spans="1:1">
      <c r="A13738" s="35" t="s">
        <v>41057</v>
      </c>
    </row>
    <row r="13739" spans="1:1">
      <c r="A13739" s="35" t="s">
        <v>41057</v>
      </c>
    </row>
    <row r="13740" spans="1:1">
      <c r="A13740" s="35" t="s">
        <v>41057</v>
      </c>
    </row>
    <row r="13741" spans="1:1">
      <c r="A13741" s="35" t="s">
        <v>41057</v>
      </c>
    </row>
    <row r="13742" spans="1:1">
      <c r="A13742" s="35" t="s">
        <v>41057</v>
      </c>
    </row>
    <row r="13743" spans="1:1">
      <c r="A13743" s="35" t="s">
        <v>41057</v>
      </c>
    </row>
    <row r="13744" spans="1:1">
      <c r="A13744" s="35" t="s">
        <v>41057</v>
      </c>
    </row>
    <row r="13745" spans="1:1">
      <c r="A13745" s="35" t="s">
        <v>41057</v>
      </c>
    </row>
    <row r="13746" spans="1:1">
      <c r="A13746" s="35" t="s">
        <v>41057</v>
      </c>
    </row>
    <row r="13747" spans="1:1">
      <c r="A13747" s="35" t="s">
        <v>41057</v>
      </c>
    </row>
    <row r="13748" spans="1:1">
      <c r="A13748" s="35" t="s">
        <v>41057</v>
      </c>
    </row>
    <row r="13749" spans="1:1">
      <c r="A13749" s="35" t="s">
        <v>41057</v>
      </c>
    </row>
    <row r="13750" spans="1:1">
      <c r="A13750" s="35" t="s">
        <v>41057</v>
      </c>
    </row>
    <row r="13751" spans="1:1">
      <c r="A13751" s="35" t="s">
        <v>41057</v>
      </c>
    </row>
    <row r="13752" spans="1:1">
      <c r="A13752" s="35" t="s">
        <v>41057</v>
      </c>
    </row>
    <row r="13753" spans="1:1">
      <c r="A13753" s="35" t="s">
        <v>41057</v>
      </c>
    </row>
    <row r="13754" spans="1:1">
      <c r="A13754" s="35" t="s">
        <v>41057</v>
      </c>
    </row>
    <row r="13755" spans="1:1">
      <c r="A13755" s="35" t="s">
        <v>41057</v>
      </c>
    </row>
    <row r="13756" spans="1:1">
      <c r="A13756" s="35" t="s">
        <v>41057</v>
      </c>
    </row>
    <row r="13757" spans="1:1">
      <c r="A13757" s="35" t="s">
        <v>41057</v>
      </c>
    </row>
    <row r="13758" spans="1:1">
      <c r="A13758" s="35" t="s">
        <v>41057</v>
      </c>
    </row>
    <row r="13759" spans="1:1">
      <c r="A13759" s="35" t="e" cm="1">
        <f t="array" ref="A13759">---------------------------------------------------FDNILFPLE</f>
        <v>#NAME?</v>
      </c>
    </row>
    <row r="13760" spans="1:1">
      <c r="A13760" s="35" t="s">
        <v>57058</v>
      </c>
    </row>
    <row r="13761" spans="1:1">
      <c r="A13761" s="35" t="e" cm="1">
        <f t="array" ref="A13761">---------------GLFYRIYDETHR---------TLGQ------------------RM</f>
        <v>#NAME?</v>
      </c>
    </row>
    <row r="13762" spans="1:1">
      <c r="A13762" s="35" t="s">
        <v>57059</v>
      </c>
    </row>
    <row r="13763" spans="1:1">
      <c r="A13763" s="35" t="e" cm="1">
        <f t="array" ref="A13763">---------------------------------------------QQD----------KP</f>
        <v>#NAME?</v>
      </c>
    </row>
    <row r="13764" spans="1:1">
      <c r="A13764" s="35" t="s">
        <v>54298</v>
      </c>
    </row>
    <row r="13765" spans="1:1">
      <c r="A13765" s="35" t="s">
        <v>57060</v>
      </c>
    </row>
    <row r="13766" spans="1:1">
      <c r="A13766" s="35" t="s">
        <v>41057</v>
      </c>
    </row>
    <row r="13767" spans="1:1">
      <c r="A13767" s="35" t="s">
        <v>57061</v>
      </c>
    </row>
    <row r="13768" spans="1:1">
      <c r="A13768" s="35" t="s">
        <v>57062</v>
      </c>
    </row>
    <row r="13769" spans="1:1">
      <c r="A13769" s="35" t="s">
        <v>55531</v>
      </c>
    </row>
    <row r="13770" spans="1:1">
      <c r="A13770" s="35" t="s">
        <v>41057</v>
      </c>
    </row>
    <row r="13771" spans="1:1">
      <c r="A13771" s="35" t="s">
        <v>41057</v>
      </c>
    </row>
    <row r="13772" spans="1:1">
      <c r="A13772" s="35" t="s">
        <v>57063</v>
      </c>
    </row>
    <row r="13773" spans="1:1">
      <c r="A13773" s="35" t="s">
        <v>57064</v>
      </c>
    </row>
    <row r="13774" spans="1:1">
      <c r="A13774" s="35" t="s">
        <v>41057</v>
      </c>
    </row>
    <row r="13775" spans="1:1">
      <c r="A13775" s="35" t="s">
        <v>41057</v>
      </c>
    </row>
    <row r="13776" spans="1:1">
      <c r="A13776" s="35" t="s">
        <v>41057</v>
      </c>
    </row>
    <row r="13777" spans="1:1">
      <c r="A13777" s="35" t="s">
        <v>41057</v>
      </c>
    </row>
    <row r="13778" spans="1:1">
      <c r="A13778" s="35" t="s">
        <v>57065</v>
      </c>
    </row>
    <row r="13779" spans="1:1">
      <c r="A13779" s="35" t="s">
        <v>57066</v>
      </c>
    </row>
    <row r="13780" spans="1:1">
      <c r="A13780" s="35" t="s">
        <v>41057</v>
      </c>
    </row>
    <row r="13781" spans="1:1">
      <c r="A13781" s="35" t="s">
        <v>57067</v>
      </c>
    </row>
    <row r="13782" spans="1:1">
      <c r="A13782" s="35" t="s">
        <v>57068</v>
      </c>
    </row>
    <row r="13783" spans="1:1">
      <c r="A13783" s="35" t="s">
        <v>57069</v>
      </c>
    </row>
    <row r="13784" spans="1:1">
      <c r="A13784" s="35" t="s">
        <v>41057</v>
      </c>
    </row>
    <row r="13785" spans="1:1">
      <c r="A13785" s="35" t="s">
        <v>57070</v>
      </c>
    </row>
    <row r="13786" spans="1:1">
      <c r="A13786" s="35" t="s">
        <v>41057</v>
      </c>
    </row>
    <row r="13787" spans="1:1">
      <c r="A13787" s="35" t="s">
        <v>41057</v>
      </c>
    </row>
    <row r="13788" spans="1:1">
      <c r="A13788" s="35" t="s">
        <v>41057</v>
      </c>
    </row>
    <row r="13789" spans="1:1">
      <c r="A13789" s="35" t="s">
        <v>56999</v>
      </c>
    </row>
    <row r="13790" spans="1:1">
      <c r="A13790" s="35" t="s">
        <v>57071</v>
      </c>
    </row>
    <row r="13791" spans="1:1">
      <c r="A13791" s="35" t="s">
        <v>41057</v>
      </c>
    </row>
    <row r="13792" spans="1:1">
      <c r="A13792" s="35" t="s">
        <v>41057</v>
      </c>
    </row>
    <row r="13793" spans="1:1">
      <c r="A13793" s="35" t="s">
        <v>41057</v>
      </c>
    </row>
    <row r="13794" spans="1:1">
      <c r="A13794" s="35" t="e" cm="1">
        <f t="array" ref="A13794">---------------------------------------------------EGYAPILNM</f>
        <v>#NAME?</v>
      </c>
    </row>
    <row r="13795" spans="1:1">
      <c r="A13795" s="35" t="s">
        <v>57072</v>
      </c>
    </row>
    <row r="13796" spans="1:1">
      <c r="A13796" s="35" t="s">
        <v>57073</v>
      </c>
    </row>
    <row r="13797" spans="1:1">
      <c r="A13797" s="35" t="s">
        <v>57074</v>
      </c>
    </row>
    <row r="13798" spans="1:1">
      <c r="A13798" s="35" t="s">
        <v>57075</v>
      </c>
    </row>
    <row r="13799" spans="1:1">
      <c r="A13799" s="35" t="s">
        <v>57076</v>
      </c>
    </row>
    <row r="13800" spans="1:1">
      <c r="A13800" s="35" t="s">
        <v>57077</v>
      </c>
    </row>
    <row r="13801" spans="1:1">
      <c r="A13801" s="35" t="s">
        <v>41057</v>
      </c>
    </row>
    <row r="13802" spans="1:1">
      <c r="A13802" s="35" t="s">
        <v>57078</v>
      </c>
    </row>
    <row r="13803" spans="1:1">
      <c r="A13803" s="35" t="s">
        <v>57079</v>
      </c>
    </row>
    <row r="13804" spans="1:1">
      <c r="A13804" s="35" t="s">
        <v>57080</v>
      </c>
    </row>
    <row r="13805" spans="1:1">
      <c r="A13805" s="35" t="s">
        <v>41057</v>
      </c>
    </row>
    <row r="13806" spans="1:1">
      <c r="A13806" s="35" t="s">
        <v>53545</v>
      </c>
    </row>
    <row r="13807" spans="1:1">
      <c r="A13807" s="35" t="s">
        <v>53078</v>
      </c>
    </row>
    <row r="13808" spans="1:1">
      <c r="A13808" s="35" t="s">
        <v>41057</v>
      </c>
    </row>
    <row r="13809" spans="1:1">
      <c r="A13809" s="35" t="s">
        <v>41057</v>
      </c>
    </row>
    <row r="13810" spans="1:1">
      <c r="A13810" s="35" t="s">
        <v>41057</v>
      </c>
    </row>
    <row r="13811" spans="1:1">
      <c r="A13811" s="35" t="s">
        <v>41057</v>
      </c>
    </row>
    <row r="13812" spans="1:1">
      <c r="A13812" s="35" t="s">
        <v>57081</v>
      </c>
    </row>
    <row r="13813" spans="1:1">
      <c r="A13813" s="35" t="s">
        <v>57082</v>
      </c>
    </row>
    <row r="13814" spans="1:1">
      <c r="A13814" s="35" t="s">
        <v>41057</v>
      </c>
    </row>
    <row r="13815" spans="1:1">
      <c r="A13815" s="35" t="s">
        <v>41057</v>
      </c>
    </row>
    <row r="13816" spans="1:1">
      <c r="A13816" s="35" t="s">
        <v>41057</v>
      </c>
    </row>
    <row r="13817" spans="1:1">
      <c r="A13817" s="35" t="s">
        <v>57083</v>
      </c>
    </row>
    <row r="13818" spans="1:1">
      <c r="A13818" s="35" t="s">
        <v>57084</v>
      </c>
    </row>
    <row r="13819" spans="1:1">
      <c r="A13819" s="35" t="s">
        <v>57085</v>
      </c>
    </row>
    <row r="13820" spans="1:1">
      <c r="A13820" s="35" t="s">
        <v>57086</v>
      </c>
    </row>
    <row r="13821" spans="1:1">
      <c r="A13821" s="35" t="s">
        <v>41057</v>
      </c>
    </row>
    <row r="13822" spans="1:1">
      <c r="A13822" s="35" t="s">
        <v>41057</v>
      </c>
    </row>
    <row r="13823" spans="1:1">
      <c r="A13823" s="35" t="s">
        <v>57087</v>
      </c>
    </row>
    <row r="13824" spans="1:1">
      <c r="A13824" s="35" t="s">
        <v>57088</v>
      </c>
    </row>
    <row r="13825" spans="1:1">
      <c r="A13825" s="35" t="s">
        <v>57089</v>
      </c>
    </row>
    <row r="13826" spans="1:1">
      <c r="A13826" s="35" t="s">
        <v>41057</v>
      </c>
    </row>
    <row r="13827" spans="1:1">
      <c r="A13827" s="35" t="s">
        <v>57090</v>
      </c>
    </row>
    <row r="13828" spans="1:1">
      <c r="A13828" s="35" t="s">
        <v>41057</v>
      </c>
    </row>
    <row r="13829" spans="1:1">
      <c r="A13829" s="35" t="s">
        <v>41057</v>
      </c>
    </row>
    <row r="13830" spans="1:1">
      <c r="A13830" s="35" t="s">
        <v>57091</v>
      </c>
    </row>
    <row r="13831" spans="1:1">
      <c r="A13831" s="35" t="s">
        <v>41057</v>
      </c>
    </row>
    <row r="13832" spans="1:1">
      <c r="A13832" s="35" t="s">
        <v>41057</v>
      </c>
    </row>
    <row r="13833" spans="1:1">
      <c r="A13833" s="35" t="s">
        <v>53500</v>
      </c>
    </row>
    <row r="13834" spans="1:1">
      <c r="A13834" s="35" t="s">
        <v>41057</v>
      </c>
    </row>
    <row r="13835" spans="1:1">
      <c r="A13835" s="35" t="s">
        <v>41057</v>
      </c>
    </row>
    <row r="13836" spans="1:1">
      <c r="A13836" s="35" t="s">
        <v>57092</v>
      </c>
    </row>
    <row r="13837" spans="1:1">
      <c r="A13837" s="35" t="s">
        <v>41057</v>
      </c>
    </row>
    <row r="13838" spans="1:1">
      <c r="A13838" s="35" t="s">
        <v>57093</v>
      </c>
    </row>
    <row r="13839" spans="1:1">
      <c r="A13839" s="35" t="s">
        <v>41057</v>
      </c>
    </row>
    <row r="13840" spans="1:1">
      <c r="A13840" s="35" t="s">
        <v>57094</v>
      </c>
    </row>
    <row r="13841" spans="1:1">
      <c r="A13841" s="35" t="s">
        <v>57095</v>
      </c>
    </row>
    <row r="13842" spans="1:1">
      <c r="A13842" s="35" t="s">
        <v>41057</v>
      </c>
    </row>
    <row r="13843" spans="1:1">
      <c r="A13843" s="35" t="s">
        <v>41057</v>
      </c>
    </row>
    <row r="13844" spans="1:1">
      <c r="A13844" s="35" t="s">
        <v>54069</v>
      </c>
    </row>
    <row r="13845" spans="1:1">
      <c r="A13845" s="35" t="s">
        <v>41057</v>
      </c>
    </row>
    <row r="13846" spans="1:1">
      <c r="A13846" s="35" t="s">
        <v>41057</v>
      </c>
    </row>
    <row r="13847" spans="1:1">
      <c r="A13847" s="35" t="s">
        <v>41057</v>
      </c>
    </row>
    <row r="13848" spans="1:1">
      <c r="A13848" s="35" t="s">
        <v>41057</v>
      </c>
    </row>
    <row r="13849" spans="1:1">
      <c r="A13849" s="35" t="s">
        <v>41057</v>
      </c>
    </row>
    <row r="13850" spans="1:1">
      <c r="A13850" s="35" t="s">
        <v>57096</v>
      </c>
    </row>
    <row r="13851" spans="1:1">
      <c r="A13851" s="35" t="s">
        <v>41057</v>
      </c>
    </row>
    <row r="13852" spans="1:1">
      <c r="A13852" s="35" t="s">
        <v>41057</v>
      </c>
    </row>
    <row r="13853" spans="1:1">
      <c r="A13853" s="35" t="s">
        <v>41057</v>
      </c>
    </row>
    <row r="13854" spans="1:1">
      <c r="A13854" s="35" t="s">
        <v>41057</v>
      </c>
    </row>
    <row r="13855" spans="1:1">
      <c r="A13855" s="35" t="s">
        <v>41057</v>
      </c>
    </row>
    <row r="13856" spans="1:1">
      <c r="A13856" s="35" t="s">
        <v>41057</v>
      </c>
    </row>
    <row r="13857" spans="1:1">
      <c r="A13857" s="35" t="s">
        <v>41057</v>
      </c>
    </row>
    <row r="13858" spans="1:1">
      <c r="A13858" s="35" t="s">
        <v>41057</v>
      </c>
    </row>
    <row r="13859" spans="1:1">
      <c r="A13859" s="35" t="s">
        <v>41057</v>
      </c>
    </row>
    <row r="13860" spans="1:1">
      <c r="A13860" s="35" t="s">
        <v>41057</v>
      </c>
    </row>
    <row r="13861" spans="1:1">
      <c r="A13861" s="35" t="s">
        <v>41057</v>
      </c>
    </row>
    <row r="13862" spans="1:1">
      <c r="A13862" s="35" t="s">
        <v>41057</v>
      </c>
    </row>
    <row r="13863" spans="1:1">
      <c r="A13863" s="35" t="s">
        <v>41057</v>
      </c>
    </row>
    <row r="13864" spans="1:1">
      <c r="A13864" s="35" t="s">
        <v>41057</v>
      </c>
    </row>
    <row r="13865" spans="1:1">
      <c r="A13865" s="35" t="s">
        <v>41057</v>
      </c>
    </row>
    <row r="13866" spans="1:1">
      <c r="A13866" s="35" t="s">
        <v>41057</v>
      </c>
    </row>
    <row r="13867" spans="1:1">
      <c r="A13867" s="35" t="s">
        <v>41057</v>
      </c>
    </row>
    <row r="13868" spans="1:1">
      <c r="A13868" s="35" t="s">
        <v>41057</v>
      </c>
    </row>
    <row r="13869" spans="1:1">
      <c r="A13869" s="35" t="s">
        <v>41057</v>
      </c>
    </row>
    <row r="13870" spans="1:1">
      <c r="A13870" s="35" t="s">
        <v>41057</v>
      </c>
    </row>
    <row r="13871" spans="1:1">
      <c r="A13871" s="35" t="s">
        <v>41057</v>
      </c>
    </row>
    <row r="13872" spans="1:1">
      <c r="A13872" s="35" t="s">
        <v>41057</v>
      </c>
    </row>
    <row r="13873" spans="1:1">
      <c r="A13873" s="35" t="s">
        <v>41057</v>
      </c>
    </row>
    <row r="13874" spans="1:1">
      <c r="A13874" s="35" t="s">
        <v>41057</v>
      </c>
    </row>
    <row r="13875" spans="1:1">
      <c r="A13875" s="35" t="s">
        <v>41057</v>
      </c>
    </row>
    <row r="13876" spans="1:1">
      <c r="A13876" s="35" t="s">
        <v>41057</v>
      </c>
    </row>
    <row r="13877" spans="1:1">
      <c r="A13877" s="35" t="e" cm="1">
        <f t="array" ref="A13877">-------------------------------------------------------WYPVE</f>
        <v>#NAME?</v>
      </c>
    </row>
    <row r="13878" spans="1:1">
      <c r="A13878" s="35" t="s">
        <v>57097</v>
      </c>
    </row>
    <row r="13879" spans="1:1">
      <c r="A13879" s="35" t="e" cm="1">
        <f t="array" ref="A13879">---------------SDWFRIYDELFR---------DVEA------------------KE</f>
        <v>#NAME?</v>
      </c>
    </row>
    <row r="13880" spans="1:1">
      <c r="A13880" s="35" t="s">
        <v>57098</v>
      </c>
    </row>
    <row r="13881" spans="1:1">
      <c r="A13881" s="35" t="e" cm="1">
        <f t="array" ref="A13881">---------------------------------------------HED----------ID</f>
        <v>#NAME?</v>
      </c>
    </row>
    <row r="13882" spans="1:1">
      <c r="A13882" s="35" t="s">
        <v>54298</v>
      </c>
    </row>
    <row r="13883" spans="1:1">
      <c r="A13883" s="35" t="s">
        <v>57099</v>
      </c>
    </row>
    <row r="13884" spans="1:1">
      <c r="A13884" s="35" t="s">
        <v>41057</v>
      </c>
    </row>
    <row r="13885" spans="1:1">
      <c r="A13885" s="35" t="s">
        <v>54451</v>
      </c>
    </row>
    <row r="13886" spans="1:1">
      <c r="A13886" s="35" t="s">
        <v>57100</v>
      </c>
    </row>
    <row r="13887" spans="1:1">
      <c r="A13887" s="35" t="s">
        <v>56361</v>
      </c>
    </row>
    <row r="13888" spans="1:1">
      <c r="A13888" s="35" t="s">
        <v>41057</v>
      </c>
    </row>
    <row r="13889" spans="1:1">
      <c r="A13889" s="35" t="s">
        <v>41057</v>
      </c>
    </row>
    <row r="13890" spans="1:1">
      <c r="A13890" s="35" t="s">
        <v>57101</v>
      </c>
    </row>
    <row r="13891" spans="1:1">
      <c r="A13891" s="35" t="s">
        <v>57102</v>
      </c>
    </row>
    <row r="13892" spans="1:1">
      <c r="A13892" s="35" t="s">
        <v>41057</v>
      </c>
    </row>
    <row r="13893" spans="1:1">
      <c r="A13893" s="35" t="s">
        <v>41057</v>
      </c>
    </row>
    <row r="13894" spans="1:1">
      <c r="A13894" s="35" t="s">
        <v>41057</v>
      </c>
    </row>
    <row r="13895" spans="1:1">
      <c r="A13895" s="35" t="s">
        <v>57103</v>
      </c>
    </row>
    <row r="13896" spans="1:1">
      <c r="A13896" s="35" t="s">
        <v>57104</v>
      </c>
    </row>
    <row r="13897" spans="1:1">
      <c r="A13897" s="35" t="s">
        <v>57105</v>
      </c>
    </row>
    <row r="13898" spans="1:1">
      <c r="A13898" s="35" t="s">
        <v>41057</v>
      </c>
    </row>
    <row r="13899" spans="1:1">
      <c r="A13899" s="35" t="s">
        <v>57106</v>
      </c>
    </row>
    <row r="13900" spans="1:1">
      <c r="A13900" s="35" t="s">
        <v>57107</v>
      </c>
    </row>
    <row r="13901" spans="1:1">
      <c r="A13901" s="35" t="s">
        <v>56526</v>
      </c>
    </row>
    <row r="13902" spans="1:1">
      <c r="A13902" s="35" t="s">
        <v>41057</v>
      </c>
    </row>
    <row r="13903" spans="1:1">
      <c r="A13903" s="35" t="s">
        <v>57108</v>
      </c>
    </row>
    <row r="13904" spans="1:1">
      <c r="A13904" s="35" t="s">
        <v>41057</v>
      </c>
    </row>
    <row r="13905" spans="1:1">
      <c r="A13905" s="35" t="s">
        <v>41057</v>
      </c>
    </row>
    <row r="13906" spans="1:1">
      <c r="A13906" s="35" t="s">
        <v>41057</v>
      </c>
    </row>
    <row r="13907" spans="1:1">
      <c r="A13907" s="35" t="s">
        <v>57109</v>
      </c>
    </row>
    <row r="13908" spans="1:1">
      <c r="A13908" s="35" t="s">
        <v>57110</v>
      </c>
    </row>
    <row r="13909" spans="1:1">
      <c r="A13909" s="35" t="s">
        <v>41057</v>
      </c>
    </row>
    <row r="13910" spans="1:1">
      <c r="A13910" s="35" t="s">
        <v>41057</v>
      </c>
    </row>
    <row r="13911" spans="1:1">
      <c r="A13911" s="35" t="s">
        <v>41057</v>
      </c>
    </row>
    <row r="13912" spans="1:1">
      <c r="A13912" s="35" t="e" cm="1">
        <f t="array" ref="A13912">---------------------------------------------------EGFAPLKTC</f>
        <v>#NAME?</v>
      </c>
    </row>
    <row r="13913" spans="1:1">
      <c r="A13913" s="35" t="s">
        <v>57111</v>
      </c>
    </row>
    <row r="13914" spans="1:1">
      <c r="A13914" s="35" t="s">
        <v>57112</v>
      </c>
    </row>
    <row r="13915" spans="1:1">
      <c r="A13915" s="35" t="s">
        <v>57113</v>
      </c>
    </row>
    <row r="13916" spans="1:1">
      <c r="A13916" s="35" t="s">
        <v>57114</v>
      </c>
    </row>
    <row r="13917" spans="1:1">
      <c r="A13917" s="35" t="s">
        <v>57115</v>
      </c>
    </row>
    <row r="13918" spans="1:1">
      <c r="A13918" s="35" t="s">
        <v>57116</v>
      </c>
    </row>
    <row r="13919" spans="1:1">
      <c r="A13919" s="35" t="s">
        <v>41057</v>
      </c>
    </row>
    <row r="13920" spans="1:1">
      <c r="A13920" s="35" t="s">
        <v>57117</v>
      </c>
    </row>
    <row r="13921" spans="1:1">
      <c r="A13921" s="35" t="s">
        <v>57118</v>
      </c>
    </row>
    <row r="13922" spans="1:1">
      <c r="A13922" s="35" t="s">
        <v>57119</v>
      </c>
    </row>
    <row r="13923" spans="1:1">
      <c r="A13923" s="35" t="s">
        <v>41057</v>
      </c>
    </row>
    <row r="13924" spans="1:1">
      <c r="A13924" s="35" t="s">
        <v>53545</v>
      </c>
    </row>
    <row r="13925" spans="1:1">
      <c r="A13925" s="35" t="s">
        <v>53086</v>
      </c>
    </row>
    <row r="13926" spans="1:1">
      <c r="A13926" s="35" t="s">
        <v>41057</v>
      </c>
    </row>
    <row r="13927" spans="1:1">
      <c r="A13927" s="35" t="s">
        <v>41057</v>
      </c>
    </row>
    <row r="13928" spans="1:1">
      <c r="A13928" s="35" t="s">
        <v>41057</v>
      </c>
    </row>
    <row r="13929" spans="1:1">
      <c r="A13929" s="35" t="s">
        <v>41057</v>
      </c>
    </row>
    <row r="13930" spans="1:1">
      <c r="A13930" s="35" t="s">
        <v>41057</v>
      </c>
    </row>
    <row r="13931" spans="1:1">
      <c r="A13931" s="35" t="s">
        <v>41057</v>
      </c>
    </row>
    <row r="13932" spans="1:1">
      <c r="A13932" s="35" t="s">
        <v>41057</v>
      </c>
    </row>
    <row r="13933" spans="1:1">
      <c r="A13933" s="35" t="s">
        <v>41057</v>
      </c>
    </row>
    <row r="13934" spans="1:1">
      <c r="A13934" s="35" t="s">
        <v>41057</v>
      </c>
    </row>
    <row r="13935" spans="1:1">
      <c r="A13935" s="35" t="s">
        <v>41057</v>
      </c>
    </row>
    <row r="13936" spans="1:1">
      <c r="A13936" s="35" t="s">
        <v>41057</v>
      </c>
    </row>
    <row r="13937" spans="1:1">
      <c r="A13937" s="35" t="s">
        <v>41057</v>
      </c>
    </row>
    <row r="13938" spans="1:1">
      <c r="A13938" s="35" t="s">
        <v>41057</v>
      </c>
    </row>
    <row r="13939" spans="1:1">
      <c r="A13939" s="35" t="s">
        <v>41057</v>
      </c>
    </row>
    <row r="13940" spans="1:1">
      <c r="A13940" s="35" t="s">
        <v>41057</v>
      </c>
    </row>
    <row r="13941" spans="1:1">
      <c r="A13941" s="35" t="s">
        <v>41057</v>
      </c>
    </row>
    <row r="13942" spans="1:1">
      <c r="A13942" s="35" t="s">
        <v>41057</v>
      </c>
    </row>
    <row r="13943" spans="1:1">
      <c r="A13943" s="35" t="s">
        <v>41057</v>
      </c>
    </row>
    <row r="13944" spans="1:1">
      <c r="A13944" s="35" t="s">
        <v>41057</v>
      </c>
    </row>
    <row r="13945" spans="1:1">
      <c r="A13945" s="35" t="s">
        <v>41057</v>
      </c>
    </row>
    <row r="13946" spans="1:1">
      <c r="A13946" s="35" t="s">
        <v>41057</v>
      </c>
    </row>
    <row r="13947" spans="1:1">
      <c r="A13947" s="35" t="s">
        <v>41057</v>
      </c>
    </row>
    <row r="13948" spans="1:1">
      <c r="A13948" s="35" t="s">
        <v>41057</v>
      </c>
    </row>
    <row r="13949" spans="1:1">
      <c r="A13949" s="35" t="s">
        <v>41057</v>
      </c>
    </row>
    <row r="13950" spans="1:1">
      <c r="A13950" s="35" t="s">
        <v>41057</v>
      </c>
    </row>
    <row r="13951" spans="1:1">
      <c r="A13951" s="35" t="s">
        <v>41057</v>
      </c>
    </row>
    <row r="13952" spans="1:1">
      <c r="A13952" s="35" t="s">
        <v>41057</v>
      </c>
    </row>
    <row r="13953" spans="1:1">
      <c r="A13953" s="35" t="s">
        <v>41057</v>
      </c>
    </row>
    <row r="13954" spans="1:1">
      <c r="A13954" s="35" t="s">
        <v>41057</v>
      </c>
    </row>
    <row r="13955" spans="1:1">
      <c r="A13955" s="35" t="s">
        <v>41057</v>
      </c>
    </row>
    <row r="13956" spans="1:1">
      <c r="A13956" s="35" t="s">
        <v>41057</v>
      </c>
    </row>
    <row r="13957" spans="1:1">
      <c r="A13957" s="35" t="s">
        <v>41057</v>
      </c>
    </row>
    <row r="13958" spans="1:1">
      <c r="A13958" s="35" t="s">
        <v>41057</v>
      </c>
    </row>
    <row r="13959" spans="1:1">
      <c r="A13959" s="35" t="s">
        <v>41057</v>
      </c>
    </row>
    <row r="13960" spans="1:1">
      <c r="A13960" s="35" t="s">
        <v>41057</v>
      </c>
    </row>
    <row r="13961" spans="1:1">
      <c r="A13961" s="35" t="s">
        <v>41057</v>
      </c>
    </row>
    <row r="13962" spans="1:1">
      <c r="A13962" s="35" t="s">
        <v>41057</v>
      </c>
    </row>
    <row r="13963" spans="1:1">
      <c r="A13963" s="35" t="s">
        <v>41057</v>
      </c>
    </row>
    <row r="13964" spans="1:1">
      <c r="A13964" s="35" t="s">
        <v>41057</v>
      </c>
    </row>
    <row r="13965" spans="1:1">
      <c r="A13965" s="35" t="s">
        <v>41057</v>
      </c>
    </row>
    <row r="13966" spans="1:1">
      <c r="A13966" s="35" t="s">
        <v>41057</v>
      </c>
    </row>
    <row r="13967" spans="1:1">
      <c r="A13967" s="35" t="s">
        <v>41057</v>
      </c>
    </row>
    <row r="13968" spans="1:1">
      <c r="A13968" s="35" t="s">
        <v>41057</v>
      </c>
    </row>
    <row r="13969" spans="1:1">
      <c r="A13969" s="35" t="s">
        <v>41057</v>
      </c>
    </row>
    <row r="13970" spans="1:1">
      <c r="A13970" s="35" t="s">
        <v>41057</v>
      </c>
    </row>
    <row r="13971" spans="1:1">
      <c r="A13971" s="35" t="s">
        <v>41057</v>
      </c>
    </row>
    <row r="13972" spans="1:1">
      <c r="A13972" s="35" t="s">
        <v>41057</v>
      </c>
    </row>
    <row r="13973" spans="1:1">
      <c r="A13973" s="35" t="s">
        <v>41057</v>
      </c>
    </row>
    <row r="13974" spans="1:1">
      <c r="A13974" s="35" t="s">
        <v>41057</v>
      </c>
    </row>
    <row r="13975" spans="1:1">
      <c r="A13975" s="35" t="s">
        <v>41057</v>
      </c>
    </row>
    <row r="13976" spans="1:1">
      <c r="A13976" s="35" t="s">
        <v>41057</v>
      </c>
    </row>
    <row r="13977" spans="1:1">
      <c r="A13977" s="35" t="s">
        <v>41057</v>
      </c>
    </row>
    <row r="13978" spans="1:1">
      <c r="A13978" s="35" t="s">
        <v>41057</v>
      </c>
    </row>
    <row r="13979" spans="1:1">
      <c r="A13979" s="35" t="s">
        <v>41057</v>
      </c>
    </row>
    <row r="13980" spans="1:1">
      <c r="A13980" s="35" t="s">
        <v>41057</v>
      </c>
    </row>
    <row r="13981" spans="1:1">
      <c r="A13981" s="35" t="s">
        <v>41057</v>
      </c>
    </row>
    <row r="13982" spans="1:1">
      <c r="A13982" s="35" t="s">
        <v>41057</v>
      </c>
    </row>
    <row r="13983" spans="1:1">
      <c r="A13983" s="35" t="s">
        <v>41057</v>
      </c>
    </row>
    <row r="13984" spans="1:1">
      <c r="A13984" s="35" t="s">
        <v>41057</v>
      </c>
    </row>
    <row r="13985" spans="1:1">
      <c r="A13985" s="35" t="s">
        <v>41057</v>
      </c>
    </row>
    <row r="13986" spans="1:1">
      <c r="A13986" s="35" t="s">
        <v>41057</v>
      </c>
    </row>
    <row r="13987" spans="1:1">
      <c r="A13987" s="35" t="s">
        <v>41057</v>
      </c>
    </row>
    <row r="13988" spans="1:1">
      <c r="A13988" s="35" t="s">
        <v>41057</v>
      </c>
    </row>
    <row r="13989" spans="1:1">
      <c r="A13989" s="35" t="s">
        <v>41057</v>
      </c>
    </row>
    <row r="13990" spans="1:1">
      <c r="A13990" s="35" t="s">
        <v>41057</v>
      </c>
    </row>
    <row r="13991" spans="1:1">
      <c r="A13991" s="35" t="s">
        <v>41057</v>
      </c>
    </row>
    <row r="13992" spans="1:1">
      <c r="A13992" s="35" t="s">
        <v>41057</v>
      </c>
    </row>
    <row r="13993" spans="1:1">
      <c r="A13993" s="35" t="s">
        <v>41057</v>
      </c>
    </row>
    <row r="13994" spans="1:1">
      <c r="A13994" s="35" t="s">
        <v>41057</v>
      </c>
    </row>
    <row r="13995" spans="1:1">
      <c r="A13995" s="35" t="s">
        <v>41057</v>
      </c>
    </row>
    <row r="13996" spans="1:1">
      <c r="A13996" s="35" t="s">
        <v>41057</v>
      </c>
    </row>
    <row r="13997" spans="1:1">
      <c r="A13997" s="35" t="e" cm="1">
        <f t="array" ref="A13997">--------------------VYDELYR---------GMDE------------------RA</f>
        <v>#NAME?</v>
      </c>
    </row>
    <row r="13998" spans="1:1">
      <c r="A13998" s="35" t="s">
        <v>57120</v>
      </c>
    </row>
    <row r="13999" spans="1:1">
      <c r="A13999" s="35" t="s">
        <v>57121</v>
      </c>
    </row>
    <row r="14000" spans="1:1">
      <c r="A14000" s="35" t="s">
        <v>54298</v>
      </c>
    </row>
    <row r="14001" spans="1:1">
      <c r="A14001" s="35" t="s">
        <v>57122</v>
      </c>
    </row>
    <row r="14002" spans="1:1">
      <c r="A14002" s="35" t="s">
        <v>41057</v>
      </c>
    </row>
    <row r="14003" spans="1:1">
      <c r="A14003" s="35" t="s">
        <v>53997</v>
      </c>
    </row>
    <row r="14004" spans="1:1">
      <c r="A14004" s="35" t="s">
        <v>57123</v>
      </c>
    </row>
    <row r="14005" spans="1:1">
      <c r="A14005" s="35" t="s">
        <v>55531</v>
      </c>
    </row>
    <row r="14006" spans="1:1">
      <c r="A14006" s="35" t="s">
        <v>41057</v>
      </c>
    </row>
    <row r="14007" spans="1:1">
      <c r="A14007" s="35" t="s">
        <v>41057</v>
      </c>
    </row>
    <row r="14008" spans="1:1">
      <c r="A14008" s="35" t="s">
        <v>57124</v>
      </c>
    </row>
    <row r="14009" spans="1:1">
      <c r="A14009" s="35" t="s">
        <v>57125</v>
      </c>
    </row>
    <row r="14010" spans="1:1">
      <c r="A14010" s="35" t="s">
        <v>41057</v>
      </c>
    </row>
    <row r="14011" spans="1:1">
      <c r="A14011" s="35" t="s">
        <v>41057</v>
      </c>
    </row>
    <row r="14012" spans="1:1">
      <c r="A14012" s="35" t="s">
        <v>41057</v>
      </c>
    </row>
    <row r="14013" spans="1:1">
      <c r="A14013" s="35" t="s">
        <v>56363</v>
      </c>
    </row>
    <row r="14014" spans="1:1">
      <c r="A14014" s="35" t="s">
        <v>57126</v>
      </c>
    </row>
    <row r="14015" spans="1:1">
      <c r="A14015" s="35" t="s">
        <v>57127</v>
      </c>
    </row>
    <row r="14016" spans="1:1">
      <c r="A14016" s="35" t="s">
        <v>41057</v>
      </c>
    </row>
    <row r="14017" spans="1:1">
      <c r="A14017" s="35" t="s">
        <v>57128</v>
      </c>
    </row>
    <row r="14018" spans="1:1">
      <c r="A14018" s="35" t="s">
        <v>57129</v>
      </c>
    </row>
    <row r="14019" spans="1:1">
      <c r="A14019" s="35" t="s">
        <v>56162</v>
      </c>
    </row>
    <row r="14020" spans="1:1">
      <c r="A14020" s="35" t="s">
        <v>41057</v>
      </c>
    </row>
    <row r="14021" spans="1:1">
      <c r="A14021" s="35" t="s">
        <v>57130</v>
      </c>
    </row>
    <row r="14022" spans="1:1">
      <c r="A14022" s="35" t="s">
        <v>41057</v>
      </c>
    </row>
    <row r="14023" spans="1:1">
      <c r="A14023" s="35" t="s">
        <v>41057</v>
      </c>
    </row>
    <row r="14024" spans="1:1">
      <c r="A14024" s="35" t="s">
        <v>41057</v>
      </c>
    </row>
    <row r="14025" spans="1:1">
      <c r="A14025" s="35" t="s">
        <v>57131</v>
      </c>
    </row>
    <row r="14026" spans="1:1">
      <c r="A14026" s="35" t="s">
        <v>57132</v>
      </c>
    </row>
    <row r="14027" spans="1:1">
      <c r="A14027" s="35" t="s">
        <v>41057</v>
      </c>
    </row>
    <row r="14028" spans="1:1">
      <c r="A14028" s="35" t="s">
        <v>41057</v>
      </c>
    </row>
    <row r="14029" spans="1:1">
      <c r="A14029" s="35" t="s">
        <v>41057</v>
      </c>
    </row>
    <row r="14030" spans="1:1">
      <c r="A14030" s="35" t="e" cm="1">
        <f t="array" ref="A14030">---------------------------------------------------EIYGPLAYC</f>
        <v>#NAME?</v>
      </c>
    </row>
    <row r="14031" spans="1:1">
      <c r="A14031" s="35" t="s">
        <v>57133</v>
      </c>
    </row>
    <row r="14032" spans="1:1">
      <c r="A14032" s="35" t="s">
        <v>57134</v>
      </c>
    </row>
    <row r="14033" spans="1:1">
      <c r="A14033" s="35" t="s">
        <v>57135</v>
      </c>
    </row>
    <row r="14034" spans="1:1">
      <c r="A14034" s="35" t="s">
        <v>57136</v>
      </c>
    </row>
    <row r="14035" spans="1:1">
      <c r="A14035" s="35" t="s">
        <v>57137</v>
      </c>
    </row>
    <row r="14036" spans="1:1">
      <c r="A14036" s="35" t="s">
        <v>57138</v>
      </c>
    </row>
    <row r="14037" spans="1:1">
      <c r="A14037" s="35" t="s">
        <v>41057</v>
      </c>
    </row>
    <row r="14038" spans="1:1">
      <c r="A14038" s="35" t="s">
        <v>57139</v>
      </c>
    </row>
    <row r="14039" spans="1:1">
      <c r="A14039" s="35" t="s">
        <v>57140</v>
      </c>
    </row>
    <row r="14040" spans="1:1">
      <c r="A14040" s="35" t="s">
        <v>57141</v>
      </c>
    </row>
    <row r="14041" spans="1:1">
      <c r="A14041" s="35" t="s">
        <v>41057</v>
      </c>
    </row>
    <row r="14042" spans="1:1">
      <c r="A14042" s="35" t="s">
        <v>53545</v>
      </c>
    </row>
    <row r="14043" spans="1:1">
      <c r="A14043" s="35" t="s">
        <v>53165</v>
      </c>
    </row>
    <row r="14044" spans="1:1">
      <c r="A14044" s="35" t="s">
        <v>41057</v>
      </c>
    </row>
    <row r="14045" spans="1:1">
      <c r="A14045" s="35" t="s">
        <v>41057</v>
      </c>
    </row>
    <row r="14046" spans="1:1">
      <c r="A14046" s="35" t="s">
        <v>41057</v>
      </c>
    </row>
    <row r="14047" spans="1:1">
      <c r="A14047" s="35" t="s">
        <v>41057</v>
      </c>
    </row>
    <row r="14048" spans="1:1">
      <c r="A14048" s="35" t="s">
        <v>41057</v>
      </c>
    </row>
    <row r="14049" spans="1:1">
      <c r="A14049" s="35" t="s">
        <v>57142</v>
      </c>
    </row>
    <row r="14050" spans="1:1">
      <c r="A14050" s="35" t="s">
        <v>41057</v>
      </c>
    </row>
    <row r="14051" spans="1:1">
      <c r="A14051" s="35" t="s">
        <v>41057</v>
      </c>
    </row>
    <row r="14052" spans="1:1">
      <c r="A14052" s="35" t="s">
        <v>57143</v>
      </c>
    </row>
    <row r="14053" spans="1:1">
      <c r="A14053" s="35" t="s">
        <v>57144</v>
      </c>
    </row>
    <row r="14054" spans="1:1">
      <c r="A14054" s="35" t="s">
        <v>57145</v>
      </c>
    </row>
    <row r="14055" spans="1:1">
      <c r="A14055" s="35" t="s">
        <v>57146</v>
      </c>
    </row>
    <row r="14056" spans="1:1">
      <c r="A14056" s="35" t="s">
        <v>57147</v>
      </c>
    </row>
    <row r="14057" spans="1:1">
      <c r="A14057" s="35" t="s">
        <v>41057</v>
      </c>
    </row>
    <row r="14058" spans="1:1">
      <c r="A14058" s="35" t="s">
        <v>41057</v>
      </c>
    </row>
    <row r="14059" spans="1:1">
      <c r="A14059" s="35" t="e" cm="1">
        <f t="array" ref="A14059">---------------QYSL------------------FKQ-------------------A</f>
        <v>#NAME?</v>
      </c>
    </row>
    <row r="14060" spans="1:1">
      <c r="A14060" s="35" t="s">
        <v>57148</v>
      </c>
    </row>
    <row r="14061" spans="1:1">
      <c r="A14061" s="35" t="s">
        <v>57149</v>
      </c>
    </row>
    <row r="14062" spans="1:1">
      <c r="A14062" s="35" t="s">
        <v>41057</v>
      </c>
    </row>
    <row r="14063" spans="1:1">
      <c r="A14063" s="35" t="s">
        <v>57150</v>
      </c>
    </row>
    <row r="14064" spans="1:1">
      <c r="A14064" s="35" t="s">
        <v>41057</v>
      </c>
    </row>
    <row r="14065" spans="1:1">
      <c r="A14065" s="35" t="s">
        <v>41057</v>
      </c>
    </row>
    <row r="14066" spans="1:1">
      <c r="A14066" s="35" t="s">
        <v>57151</v>
      </c>
    </row>
    <row r="14067" spans="1:1">
      <c r="A14067" s="35" t="s">
        <v>41057</v>
      </c>
    </row>
    <row r="14068" spans="1:1">
      <c r="A14068" s="35" t="s">
        <v>41057</v>
      </c>
    </row>
    <row r="14069" spans="1:1">
      <c r="A14069" s="35" t="s">
        <v>53500</v>
      </c>
    </row>
    <row r="14070" spans="1:1">
      <c r="A14070" s="35" t="s">
        <v>41057</v>
      </c>
    </row>
    <row r="14071" spans="1:1">
      <c r="A14071" s="35" t="s">
        <v>41057</v>
      </c>
    </row>
    <row r="14072" spans="1:1">
      <c r="A14072" s="35" t="s">
        <v>57152</v>
      </c>
    </row>
    <row r="14073" spans="1:1">
      <c r="A14073" s="35" t="s">
        <v>41057</v>
      </c>
    </row>
    <row r="14074" spans="1:1">
      <c r="A14074" s="35" t="s">
        <v>57153</v>
      </c>
    </row>
    <row r="14075" spans="1:1">
      <c r="A14075" s="35" t="s">
        <v>41057</v>
      </c>
    </row>
    <row r="14076" spans="1:1">
      <c r="A14076" s="35" t="s">
        <v>57154</v>
      </c>
    </row>
    <row r="14077" spans="1:1">
      <c r="A14077" s="35" t="s">
        <v>57155</v>
      </c>
    </row>
    <row r="14078" spans="1:1">
      <c r="A14078" s="35" t="s">
        <v>41057</v>
      </c>
    </row>
    <row r="14079" spans="1:1">
      <c r="A14079" s="35" t="s">
        <v>41057</v>
      </c>
    </row>
    <row r="14080" spans="1:1">
      <c r="A14080" s="35" t="s">
        <v>54295</v>
      </c>
    </row>
    <row r="14081" spans="1:1">
      <c r="A14081" s="35" t="s">
        <v>41057</v>
      </c>
    </row>
    <row r="14082" spans="1:1">
      <c r="A14082" s="35" t="s">
        <v>41057</v>
      </c>
    </row>
    <row r="14083" spans="1:1">
      <c r="A14083" s="35" t="s">
        <v>41057</v>
      </c>
    </row>
    <row r="14084" spans="1:1">
      <c r="A14084" s="35" t="s">
        <v>41057</v>
      </c>
    </row>
    <row r="14085" spans="1:1">
      <c r="A14085" s="35" t="s">
        <v>41057</v>
      </c>
    </row>
    <row r="14086" spans="1:1">
      <c r="A14086" s="35" t="s">
        <v>57156</v>
      </c>
    </row>
    <row r="14087" spans="1:1">
      <c r="A14087" s="35" t="s">
        <v>41057</v>
      </c>
    </row>
    <row r="14088" spans="1:1">
      <c r="A14088" s="35" t="s">
        <v>41057</v>
      </c>
    </row>
    <row r="14089" spans="1:1">
      <c r="A14089" s="35" t="s">
        <v>41057</v>
      </c>
    </row>
    <row r="14090" spans="1:1">
      <c r="A14090" s="35" t="s">
        <v>41057</v>
      </c>
    </row>
    <row r="14091" spans="1:1">
      <c r="A14091" s="35" t="s">
        <v>41057</v>
      </c>
    </row>
    <row r="14092" spans="1:1">
      <c r="A14092" s="35" t="s">
        <v>41057</v>
      </c>
    </row>
    <row r="14093" spans="1:1">
      <c r="A14093" s="35" t="s">
        <v>41057</v>
      </c>
    </row>
    <row r="14094" spans="1:1">
      <c r="A14094" s="35" t="s">
        <v>41057</v>
      </c>
    </row>
    <row r="14095" spans="1:1">
      <c r="A14095" s="35" t="s">
        <v>41057</v>
      </c>
    </row>
    <row r="14096" spans="1:1">
      <c r="A14096" s="35" t="s">
        <v>41057</v>
      </c>
    </row>
    <row r="14097" spans="1:1">
      <c r="A14097" s="35" t="s">
        <v>41057</v>
      </c>
    </row>
    <row r="14098" spans="1:1">
      <c r="A14098" s="35" t="s">
        <v>41057</v>
      </c>
    </row>
    <row r="14099" spans="1:1">
      <c r="A14099" s="35" t="s">
        <v>41057</v>
      </c>
    </row>
    <row r="14100" spans="1:1">
      <c r="A14100" s="35" t="s">
        <v>41057</v>
      </c>
    </row>
    <row r="14101" spans="1:1">
      <c r="A14101" s="35" t="s">
        <v>41057</v>
      </c>
    </row>
    <row r="14102" spans="1:1">
      <c r="A14102" s="35" t="s">
        <v>41057</v>
      </c>
    </row>
    <row r="14103" spans="1:1">
      <c r="A14103" s="35" t="s">
        <v>41057</v>
      </c>
    </row>
    <row r="14104" spans="1:1">
      <c r="A14104" s="35" t="s">
        <v>41057</v>
      </c>
    </row>
    <row r="14105" spans="1:1">
      <c r="A14105" s="35" t="s">
        <v>57157</v>
      </c>
    </row>
    <row r="14106" spans="1:1">
      <c r="A14106" s="35" t="s">
        <v>41057</v>
      </c>
    </row>
    <row r="14107" spans="1:1">
      <c r="A14107" s="35" t="s">
        <v>41057</v>
      </c>
    </row>
    <row r="14108" spans="1:1">
      <c r="A14108" s="35" t="s">
        <v>41057</v>
      </c>
    </row>
    <row r="14109" spans="1:1">
      <c r="A14109" s="35" t="s">
        <v>41057</v>
      </c>
    </row>
    <row r="14110" spans="1:1">
      <c r="A14110" s="35" t="s">
        <v>41057</v>
      </c>
    </row>
    <row r="14111" spans="1:1">
      <c r="A14111" s="35" t="s">
        <v>41057</v>
      </c>
    </row>
    <row r="14112" spans="1:1">
      <c r="A14112" s="35" t="s">
        <v>41057</v>
      </c>
    </row>
    <row r="14113" spans="1:1">
      <c r="A14113" s="35" t="e" cm="1">
        <f t="array" ref="A14113">---------------------------------------------------------PME</f>
        <v>#NAME?</v>
      </c>
    </row>
    <row r="14114" spans="1:1">
      <c r="A14114" s="35" t="s">
        <v>57158</v>
      </c>
    </row>
    <row r="14115" spans="1:1">
      <c r="A14115" s="35" t="e" cm="1">
        <f t="array" ref="A14115">---------------NTWIRLYDELFR---------NLEE------------------QM</f>
        <v>#NAME?</v>
      </c>
    </row>
    <row r="14116" spans="1:1">
      <c r="A14116" s="35" t="s">
        <v>57159</v>
      </c>
    </row>
    <row r="14117" spans="1:1">
      <c r="A14117" s="35" t="s">
        <v>57160</v>
      </c>
    </row>
    <row r="14118" spans="1:1">
      <c r="A14118" s="35" t="s">
        <v>41057</v>
      </c>
    </row>
    <row r="14119" spans="1:1">
      <c r="A14119" s="35" t="s">
        <v>57161</v>
      </c>
    </row>
    <row r="14120" spans="1:1">
      <c r="A14120" s="35" t="s">
        <v>41057</v>
      </c>
    </row>
    <row r="14121" spans="1:1">
      <c r="A14121" s="35" t="s">
        <v>53997</v>
      </c>
    </row>
    <row r="14122" spans="1:1">
      <c r="A14122" s="35" t="s">
        <v>57162</v>
      </c>
    </row>
    <row r="14123" spans="1:1">
      <c r="A14123" s="35" t="s">
        <v>53973</v>
      </c>
    </row>
    <row r="14124" spans="1:1">
      <c r="A14124" s="35" t="s">
        <v>41057</v>
      </c>
    </row>
    <row r="14125" spans="1:1">
      <c r="A14125" s="35" t="s">
        <v>41057</v>
      </c>
    </row>
    <row r="14126" spans="1:1">
      <c r="A14126" s="35" t="s">
        <v>57163</v>
      </c>
    </row>
    <row r="14127" spans="1:1">
      <c r="A14127" s="35" t="s">
        <v>57164</v>
      </c>
    </row>
    <row r="14128" spans="1:1">
      <c r="A14128" s="35" t="s">
        <v>41057</v>
      </c>
    </row>
    <row r="14129" spans="1:1">
      <c r="A14129" s="35" t="s">
        <v>41057</v>
      </c>
    </row>
    <row r="14130" spans="1:1">
      <c r="A14130" s="35" t="s">
        <v>41057</v>
      </c>
    </row>
    <row r="14131" spans="1:1">
      <c r="A14131" s="35" t="s">
        <v>57165</v>
      </c>
    </row>
    <row r="14132" spans="1:1">
      <c r="A14132" s="35" t="s">
        <v>57166</v>
      </c>
    </row>
    <row r="14133" spans="1:1">
      <c r="A14133" s="35" t="s">
        <v>57167</v>
      </c>
    </row>
    <row r="14134" spans="1:1">
      <c r="A14134" s="35" t="s">
        <v>41057</v>
      </c>
    </row>
    <row r="14135" spans="1:1">
      <c r="A14135" s="35" t="s">
        <v>57168</v>
      </c>
    </row>
    <row r="14136" spans="1:1">
      <c r="A14136" s="35" t="s">
        <v>57169</v>
      </c>
    </row>
    <row r="14137" spans="1:1">
      <c r="A14137" s="35" t="s">
        <v>54460</v>
      </c>
    </row>
    <row r="14138" spans="1:1">
      <c r="A14138" s="35" t="s">
        <v>41057</v>
      </c>
    </row>
    <row r="14139" spans="1:1">
      <c r="A14139" s="35" t="s">
        <v>57170</v>
      </c>
    </row>
    <row r="14140" spans="1:1">
      <c r="A14140" s="35" t="s">
        <v>41057</v>
      </c>
    </row>
    <row r="14141" spans="1:1">
      <c r="A14141" s="35" t="s">
        <v>41057</v>
      </c>
    </row>
    <row r="14142" spans="1:1">
      <c r="A14142" s="35" t="s">
        <v>41057</v>
      </c>
    </row>
    <row r="14143" spans="1:1">
      <c r="A14143" s="35" t="s">
        <v>57171</v>
      </c>
    </row>
    <row r="14144" spans="1:1">
      <c r="A14144" s="35" t="s">
        <v>57172</v>
      </c>
    </row>
    <row r="14145" spans="1:1">
      <c r="A14145" s="35" t="s">
        <v>41057</v>
      </c>
    </row>
    <row r="14146" spans="1:1">
      <c r="A14146" s="35" t="s">
        <v>41057</v>
      </c>
    </row>
    <row r="14147" spans="1:1">
      <c r="A14147" s="35" t="s">
        <v>41057</v>
      </c>
    </row>
    <row r="14148" spans="1:1">
      <c r="A14148" s="35" t="e" cm="1">
        <f t="array" ref="A14148">---------------------------------------------------EAYGILRSA</f>
        <v>#NAME?</v>
      </c>
    </row>
    <row r="14149" spans="1:1">
      <c r="A14149" s="35" t="s">
        <v>57173</v>
      </c>
    </row>
    <row r="14150" spans="1:1">
      <c r="A14150" s="35" t="s">
        <v>57174</v>
      </c>
    </row>
    <row r="14151" spans="1:1">
      <c r="A14151" s="35" t="s">
        <v>57175</v>
      </c>
    </row>
    <row r="14152" spans="1:1">
      <c r="A14152" s="35" t="s">
        <v>57176</v>
      </c>
    </row>
    <row r="14153" spans="1:1">
      <c r="A14153" s="35" t="s">
        <v>57177</v>
      </c>
    </row>
    <row r="14154" spans="1:1">
      <c r="A14154" s="35" t="s">
        <v>57178</v>
      </c>
    </row>
    <row r="14155" spans="1:1">
      <c r="A14155" s="35" t="s">
        <v>41057</v>
      </c>
    </row>
    <row r="14156" spans="1:1">
      <c r="A14156" s="35" t="s">
        <v>57179</v>
      </c>
    </row>
    <row r="14157" spans="1:1">
      <c r="A14157" s="35" t="s">
        <v>57180</v>
      </c>
    </row>
    <row r="14158" spans="1:1">
      <c r="A14158" s="35" t="s">
        <v>57181</v>
      </c>
    </row>
    <row r="14159" spans="1:1">
      <c r="A14159" s="35" t="s">
        <v>41057</v>
      </c>
    </row>
    <row r="14160" spans="1:1">
      <c r="A14160" s="35" t="s">
        <v>53545</v>
      </c>
    </row>
    <row r="14161" spans="1:1">
      <c r="A14161" s="35" t="s">
        <v>53295</v>
      </c>
    </row>
    <row r="14162" spans="1:1">
      <c r="A14162" s="35" t="s">
        <v>41057</v>
      </c>
    </row>
    <row r="14163" spans="1:1">
      <c r="A14163" s="35" t="s">
        <v>41057</v>
      </c>
    </row>
    <row r="14164" spans="1:1">
      <c r="A14164" s="35" t="s">
        <v>41057</v>
      </c>
    </row>
    <row r="14165" spans="1:1">
      <c r="A14165" s="35" t="s">
        <v>41057</v>
      </c>
    </row>
    <row r="14166" spans="1:1">
      <c r="A14166" s="35" t="s">
        <v>41057</v>
      </c>
    </row>
    <row r="14167" spans="1:1">
      <c r="A14167" s="35" t="s">
        <v>41057</v>
      </c>
    </row>
    <row r="14168" spans="1:1">
      <c r="A14168" s="35" t="s">
        <v>41057</v>
      </c>
    </row>
    <row r="14169" spans="1:1">
      <c r="A14169" s="35" t="s">
        <v>41057</v>
      </c>
    </row>
    <row r="14170" spans="1:1">
      <c r="A14170" s="35" t="s">
        <v>41057</v>
      </c>
    </row>
    <row r="14171" spans="1:1">
      <c r="A14171" s="35" t="s">
        <v>57182</v>
      </c>
    </row>
    <row r="14172" spans="1:1">
      <c r="A14172" s="35" t="s">
        <v>57183</v>
      </c>
    </row>
    <row r="14173" spans="1:1">
      <c r="A14173" s="35" t="s">
        <v>57184</v>
      </c>
    </row>
    <row r="14174" spans="1:1">
      <c r="A14174" s="35" t="s">
        <v>57185</v>
      </c>
    </row>
    <row r="14175" spans="1:1">
      <c r="A14175" s="35" t="s">
        <v>41057</v>
      </c>
    </row>
    <row r="14176" spans="1:1">
      <c r="A14176" s="35" t="s">
        <v>41057</v>
      </c>
    </row>
    <row r="14177" spans="1:1">
      <c r="A14177" s="35" t="s">
        <v>57186</v>
      </c>
    </row>
    <row r="14178" spans="1:1">
      <c r="A14178" s="35" t="s">
        <v>57148</v>
      </c>
    </row>
    <row r="14179" spans="1:1">
      <c r="A14179" s="35" t="s">
        <v>57187</v>
      </c>
    </row>
    <row r="14180" spans="1:1">
      <c r="A14180" s="35" t="s">
        <v>41057</v>
      </c>
    </row>
    <row r="14181" spans="1:1">
      <c r="A14181" s="35" t="s">
        <v>57188</v>
      </c>
    </row>
    <row r="14182" spans="1:1">
      <c r="A14182" s="35" t="s">
        <v>41057</v>
      </c>
    </row>
    <row r="14183" spans="1:1">
      <c r="A14183" s="35" t="s">
        <v>41057</v>
      </c>
    </row>
    <row r="14184" spans="1:1">
      <c r="A14184" s="35" t="s">
        <v>57189</v>
      </c>
    </row>
    <row r="14185" spans="1:1">
      <c r="A14185" s="35" t="s">
        <v>41057</v>
      </c>
    </row>
    <row r="14186" spans="1:1">
      <c r="A14186" s="35" t="s">
        <v>41057</v>
      </c>
    </row>
    <row r="14187" spans="1:1">
      <c r="A14187" s="35" t="s">
        <v>53500</v>
      </c>
    </row>
    <row r="14188" spans="1:1">
      <c r="A14188" s="35" t="s">
        <v>41057</v>
      </c>
    </row>
    <row r="14189" spans="1:1">
      <c r="A14189" s="35" t="s">
        <v>41057</v>
      </c>
    </row>
    <row r="14190" spans="1:1">
      <c r="A14190" s="35" t="s">
        <v>57190</v>
      </c>
    </row>
    <row r="14191" spans="1:1">
      <c r="A14191" s="35" t="s">
        <v>41057</v>
      </c>
    </row>
    <row r="14192" spans="1:1">
      <c r="A14192" s="35" t="s">
        <v>57191</v>
      </c>
    </row>
    <row r="14193" spans="1:1">
      <c r="A14193" s="35" t="s">
        <v>41057</v>
      </c>
    </row>
    <row r="14194" spans="1:1">
      <c r="A14194" s="35" t="s">
        <v>57192</v>
      </c>
    </row>
    <row r="14195" spans="1:1">
      <c r="A14195" s="35" t="s">
        <v>57193</v>
      </c>
    </row>
    <row r="14196" spans="1:1">
      <c r="A14196" s="35" t="s">
        <v>41057</v>
      </c>
    </row>
    <row r="14197" spans="1:1">
      <c r="A14197" s="35" t="s">
        <v>41057</v>
      </c>
    </row>
    <row r="14198" spans="1:1">
      <c r="A14198" s="35" t="s">
        <v>53909</v>
      </c>
    </row>
    <row r="14199" spans="1:1">
      <c r="A14199" s="35" t="s">
        <v>41057</v>
      </c>
    </row>
    <row r="14200" spans="1:1">
      <c r="A14200" s="35" t="s">
        <v>41057</v>
      </c>
    </row>
    <row r="14201" spans="1:1">
      <c r="A14201" s="35" t="s">
        <v>41057</v>
      </c>
    </row>
    <row r="14202" spans="1:1">
      <c r="A14202" s="35" t="s">
        <v>41057</v>
      </c>
    </row>
    <row r="14203" spans="1:1">
      <c r="A14203" s="35" t="s">
        <v>41057</v>
      </c>
    </row>
    <row r="14204" spans="1:1">
      <c r="A14204" s="35" t="s">
        <v>57194</v>
      </c>
    </row>
    <row r="14205" spans="1:1">
      <c r="A14205" s="35" t="s">
        <v>41057</v>
      </c>
    </row>
    <row r="14206" spans="1:1">
      <c r="A14206" s="35" t="s">
        <v>41057</v>
      </c>
    </row>
    <row r="14207" spans="1:1">
      <c r="A14207" s="35" t="s">
        <v>41057</v>
      </c>
    </row>
    <row r="14208" spans="1:1">
      <c r="A14208" s="35" t="s">
        <v>41057</v>
      </c>
    </row>
    <row r="14209" spans="1:1">
      <c r="A14209" s="35" t="s">
        <v>41057</v>
      </c>
    </row>
    <row r="14210" spans="1:1">
      <c r="A14210" s="35" t="s">
        <v>41057</v>
      </c>
    </row>
    <row r="14211" spans="1:1">
      <c r="A14211" s="35" t="s">
        <v>41057</v>
      </c>
    </row>
    <row r="14212" spans="1:1">
      <c r="A14212" s="35" t="s">
        <v>41057</v>
      </c>
    </row>
    <row r="14213" spans="1:1">
      <c r="A14213" s="35" t="s">
        <v>41057</v>
      </c>
    </row>
    <row r="14214" spans="1:1">
      <c r="A14214" s="35" t="s">
        <v>41057</v>
      </c>
    </row>
    <row r="14215" spans="1:1">
      <c r="A14215" s="35" t="s">
        <v>41057</v>
      </c>
    </row>
    <row r="14216" spans="1:1">
      <c r="A14216" s="35" t="s">
        <v>41057</v>
      </c>
    </row>
    <row r="14217" spans="1:1">
      <c r="A14217" s="35" t="s">
        <v>41057</v>
      </c>
    </row>
    <row r="14218" spans="1:1">
      <c r="A14218" s="35" t="s">
        <v>41057</v>
      </c>
    </row>
    <row r="14219" spans="1:1">
      <c r="A14219" s="35" t="s">
        <v>41057</v>
      </c>
    </row>
    <row r="14220" spans="1:1">
      <c r="A14220" s="35" t="s">
        <v>41057</v>
      </c>
    </row>
    <row r="14221" spans="1:1">
      <c r="A14221" s="35" t="s">
        <v>41057</v>
      </c>
    </row>
    <row r="14222" spans="1:1">
      <c r="A14222" s="35" t="s">
        <v>41057</v>
      </c>
    </row>
    <row r="14223" spans="1:1">
      <c r="A14223" s="35" t="s">
        <v>57157</v>
      </c>
    </row>
    <row r="14224" spans="1:1">
      <c r="A14224" s="35" t="s">
        <v>41057</v>
      </c>
    </row>
    <row r="14225" spans="1:1">
      <c r="A14225" s="35" t="s">
        <v>41057</v>
      </c>
    </row>
    <row r="14226" spans="1:1">
      <c r="A14226" s="35" t="s">
        <v>41057</v>
      </c>
    </row>
    <row r="14227" spans="1:1">
      <c r="A14227" s="35" t="s">
        <v>41057</v>
      </c>
    </row>
    <row r="14228" spans="1:1">
      <c r="A14228" s="35" t="s">
        <v>41057</v>
      </c>
    </row>
    <row r="14229" spans="1:1">
      <c r="A14229" s="35" t="s">
        <v>41057</v>
      </c>
    </row>
    <row r="14230" spans="1:1">
      <c r="A14230" s="35" t="s">
        <v>41057</v>
      </c>
    </row>
    <row r="14231" spans="1:1">
      <c r="A14231" s="35" t="e" cm="1">
        <f t="array" ref="A14231">---------------------------------------------------------PME</f>
        <v>#NAME?</v>
      </c>
    </row>
    <row r="14232" spans="1:1">
      <c r="A14232" s="35" t="s">
        <v>57195</v>
      </c>
    </row>
    <row r="14233" spans="1:1">
      <c r="A14233" s="35" t="e" cm="1">
        <f t="array" ref="A14233">---------------STWIRIFDEMYR--------TTMEE------------------QL</f>
        <v>#NAME?</v>
      </c>
    </row>
    <row r="14234" spans="1:1">
      <c r="A14234" s="35" t="s">
        <v>57196</v>
      </c>
    </row>
    <row r="14235" spans="1:1">
      <c r="A14235" s="35" t="s">
        <v>57197</v>
      </c>
    </row>
    <row r="14236" spans="1:1">
      <c r="A14236" s="35" t="s">
        <v>41057</v>
      </c>
    </row>
    <row r="14237" spans="1:1">
      <c r="A14237" s="35" t="s">
        <v>57161</v>
      </c>
    </row>
    <row r="14238" spans="1:1">
      <c r="A14238" s="35" t="s">
        <v>41057</v>
      </c>
    </row>
    <row r="14239" spans="1:1">
      <c r="A14239" s="35" t="s">
        <v>54451</v>
      </c>
    </row>
    <row r="14240" spans="1:1">
      <c r="A14240" s="35" t="s">
        <v>57198</v>
      </c>
    </row>
    <row r="14241" spans="1:1">
      <c r="A14241" s="35" t="s">
        <v>53973</v>
      </c>
    </row>
    <row r="14242" spans="1:1">
      <c r="A14242" s="35" t="s">
        <v>41057</v>
      </c>
    </row>
    <row r="14243" spans="1:1">
      <c r="A14243" s="35" t="s">
        <v>41057</v>
      </c>
    </row>
    <row r="14244" spans="1:1">
      <c r="A14244" s="35" t="s">
        <v>57199</v>
      </c>
    </row>
    <row r="14245" spans="1:1">
      <c r="A14245" s="35" t="s">
        <v>57200</v>
      </c>
    </row>
    <row r="14246" spans="1:1">
      <c r="A14246" s="35" t="s">
        <v>41057</v>
      </c>
    </row>
    <row r="14247" spans="1:1">
      <c r="A14247" s="35" t="s">
        <v>41057</v>
      </c>
    </row>
    <row r="14248" spans="1:1">
      <c r="A14248" s="35" t="s">
        <v>41057</v>
      </c>
    </row>
    <row r="14249" spans="1:1">
      <c r="A14249" s="35" t="s">
        <v>57201</v>
      </c>
    </row>
    <row r="14250" spans="1:1">
      <c r="A14250" s="35" t="s">
        <v>57202</v>
      </c>
    </row>
    <row r="14251" spans="1:1">
      <c r="A14251" s="35" t="s">
        <v>57203</v>
      </c>
    </row>
    <row r="14252" spans="1:1">
      <c r="A14252" s="35" t="s">
        <v>41057</v>
      </c>
    </row>
    <row r="14253" spans="1:1">
      <c r="A14253" s="35" t="s">
        <v>57204</v>
      </c>
    </row>
    <row r="14254" spans="1:1">
      <c r="A14254" s="35" t="s">
        <v>57205</v>
      </c>
    </row>
    <row r="14255" spans="1:1">
      <c r="A14255" s="35" t="s">
        <v>57206</v>
      </c>
    </row>
    <row r="14256" spans="1:1">
      <c r="A14256" s="35" t="s">
        <v>41057</v>
      </c>
    </row>
    <row r="14257" spans="1:1">
      <c r="A14257" s="35" t="s">
        <v>57207</v>
      </c>
    </row>
    <row r="14258" spans="1:1">
      <c r="A14258" s="35" t="s">
        <v>41057</v>
      </c>
    </row>
    <row r="14259" spans="1:1">
      <c r="A14259" s="35" t="s">
        <v>41057</v>
      </c>
    </row>
    <row r="14260" spans="1:1">
      <c r="A14260" s="35" t="s">
        <v>41057</v>
      </c>
    </row>
    <row r="14261" spans="1:1">
      <c r="A14261" s="35" t="s">
        <v>57208</v>
      </c>
    </row>
    <row r="14262" spans="1:1">
      <c r="A14262" s="35" t="s">
        <v>57209</v>
      </c>
    </row>
    <row r="14263" spans="1:1">
      <c r="A14263" s="35" t="s">
        <v>41057</v>
      </c>
    </row>
    <row r="14264" spans="1:1">
      <c r="A14264" s="35" t="s">
        <v>41057</v>
      </c>
    </row>
    <row r="14265" spans="1:1">
      <c r="A14265" s="35" t="s">
        <v>41057</v>
      </c>
    </row>
    <row r="14266" spans="1:1">
      <c r="A14266" s="35" t="e" cm="1">
        <f t="array" ref="A14266">---------------------------------------------------ECFGVLRSA</f>
        <v>#NAME?</v>
      </c>
    </row>
    <row r="14267" spans="1:1">
      <c r="A14267" s="35" t="s">
        <v>57210</v>
      </c>
    </row>
    <row r="14268" spans="1:1">
      <c r="A14268" s="35" t="s">
        <v>57211</v>
      </c>
    </row>
    <row r="14269" spans="1:1">
      <c r="A14269" s="35" t="s">
        <v>57212</v>
      </c>
    </row>
    <row r="14270" spans="1:1">
      <c r="A14270" s="35" t="s">
        <v>57213</v>
      </c>
    </row>
    <row r="14271" spans="1:1">
      <c r="A14271" s="35" t="s">
        <v>57214</v>
      </c>
    </row>
    <row r="14272" spans="1:1">
      <c r="A14272" s="35" t="s">
        <v>57215</v>
      </c>
    </row>
    <row r="14273" spans="1:1">
      <c r="A14273" s="35" t="s">
        <v>41057</v>
      </c>
    </row>
    <row r="14274" spans="1:1">
      <c r="A14274" s="35" t="s">
        <v>57216</v>
      </c>
    </row>
    <row r="14275" spans="1:1">
      <c r="A14275" s="35" t="s">
        <v>57217</v>
      </c>
    </row>
    <row r="14276" spans="1:1">
      <c r="A14276" s="35" t="s">
        <v>57218</v>
      </c>
    </row>
    <row r="14277" spans="1:1">
      <c r="A14277" s="35" t="s">
        <v>41057</v>
      </c>
    </row>
    <row r="14278" spans="1:1">
      <c r="A14278" s="35" t="s">
        <v>53545</v>
      </c>
    </row>
    <row r="14279" spans="1:1">
      <c r="A14279" s="35" t="s">
        <v>53326</v>
      </c>
    </row>
    <row r="14280" spans="1:1">
      <c r="A14280" s="35" t="s">
        <v>41057</v>
      </c>
    </row>
    <row r="14281" spans="1:1">
      <c r="A14281" s="35" t="s">
        <v>41057</v>
      </c>
    </row>
    <row r="14282" spans="1:1">
      <c r="A14282" s="35" t="s">
        <v>41057</v>
      </c>
    </row>
    <row r="14283" spans="1:1">
      <c r="A14283" s="35" t="s">
        <v>41057</v>
      </c>
    </row>
    <row r="14284" spans="1:1">
      <c r="A14284" s="35" t="s">
        <v>41057</v>
      </c>
    </row>
    <row r="14285" spans="1:1">
      <c r="A14285" s="35" t="s">
        <v>41057</v>
      </c>
    </row>
    <row r="14286" spans="1:1">
      <c r="A14286" s="35" t="s">
        <v>41057</v>
      </c>
    </row>
    <row r="14287" spans="1:1">
      <c r="A14287" s="35" t="s">
        <v>41057</v>
      </c>
    </row>
    <row r="14288" spans="1:1">
      <c r="A14288" s="35" t="s">
        <v>41057</v>
      </c>
    </row>
    <row r="14289" spans="1:1">
      <c r="A14289" s="35" t="s">
        <v>57219</v>
      </c>
    </row>
    <row r="14290" spans="1:1">
      <c r="A14290" s="35" t="s">
        <v>57183</v>
      </c>
    </row>
    <row r="14291" spans="1:1">
      <c r="A14291" s="35" t="s">
        <v>57184</v>
      </c>
    </row>
    <row r="14292" spans="1:1">
      <c r="A14292" s="35" t="s">
        <v>57185</v>
      </c>
    </row>
    <row r="14293" spans="1:1">
      <c r="A14293" s="35" t="s">
        <v>41057</v>
      </c>
    </row>
    <row r="14294" spans="1:1">
      <c r="A14294" s="35" t="s">
        <v>41057</v>
      </c>
    </row>
    <row r="14295" spans="1:1">
      <c r="A14295" s="35" t="s">
        <v>57186</v>
      </c>
    </row>
    <row r="14296" spans="1:1">
      <c r="A14296" s="35" t="s">
        <v>57148</v>
      </c>
    </row>
    <row r="14297" spans="1:1">
      <c r="A14297" s="35" t="s">
        <v>57187</v>
      </c>
    </row>
    <row r="14298" spans="1:1">
      <c r="A14298" s="35" t="s">
        <v>41057</v>
      </c>
    </row>
    <row r="14299" spans="1:1">
      <c r="A14299" s="35" t="s">
        <v>57188</v>
      </c>
    </row>
    <row r="14300" spans="1:1">
      <c r="A14300" s="35" t="s">
        <v>41057</v>
      </c>
    </row>
    <row r="14301" spans="1:1">
      <c r="A14301" s="35" t="s">
        <v>41057</v>
      </c>
    </row>
    <row r="14302" spans="1:1">
      <c r="A14302" s="35" t="s">
        <v>57189</v>
      </c>
    </row>
    <row r="14303" spans="1:1">
      <c r="A14303" s="35" t="s">
        <v>41057</v>
      </c>
    </row>
    <row r="14304" spans="1:1">
      <c r="A14304" s="35" t="s">
        <v>41057</v>
      </c>
    </row>
    <row r="14305" spans="1:1">
      <c r="A14305" s="35" t="s">
        <v>53500</v>
      </c>
    </row>
    <row r="14306" spans="1:1">
      <c r="A14306" s="35" t="s">
        <v>41057</v>
      </c>
    </row>
    <row r="14307" spans="1:1">
      <c r="A14307" s="35" t="s">
        <v>41057</v>
      </c>
    </row>
    <row r="14308" spans="1:1">
      <c r="A14308" s="35" t="s">
        <v>57190</v>
      </c>
    </row>
    <row r="14309" spans="1:1">
      <c r="A14309" s="35" t="s">
        <v>41057</v>
      </c>
    </row>
    <row r="14310" spans="1:1">
      <c r="A14310" s="35" t="s">
        <v>57220</v>
      </c>
    </row>
    <row r="14311" spans="1:1">
      <c r="A14311" s="35" t="s">
        <v>41057</v>
      </c>
    </row>
    <row r="14312" spans="1:1">
      <c r="A14312" s="35" t="s">
        <v>57192</v>
      </c>
    </row>
    <row r="14313" spans="1:1">
      <c r="A14313" s="35" t="s">
        <v>57221</v>
      </c>
    </row>
    <row r="14314" spans="1:1">
      <c r="A14314" s="35" t="s">
        <v>41057</v>
      </c>
    </row>
    <row r="14315" spans="1:1">
      <c r="A14315" s="35" t="s">
        <v>41057</v>
      </c>
    </row>
    <row r="14316" spans="1:1">
      <c r="A14316" s="35" t="s">
        <v>57222</v>
      </c>
    </row>
    <row r="14317" spans="1:1">
      <c r="A14317" s="35" t="s">
        <v>41057</v>
      </c>
    </row>
    <row r="14318" spans="1:1">
      <c r="A14318" s="35" t="s">
        <v>41057</v>
      </c>
    </row>
    <row r="14319" spans="1:1">
      <c r="A14319" s="35" t="s">
        <v>41057</v>
      </c>
    </row>
    <row r="14320" spans="1:1">
      <c r="A14320" s="35" t="s">
        <v>41057</v>
      </c>
    </row>
    <row r="14321" spans="1:1">
      <c r="A14321" s="35" t="s">
        <v>41057</v>
      </c>
    </row>
    <row r="14322" spans="1:1">
      <c r="A14322" s="35" t="s">
        <v>57223</v>
      </c>
    </row>
    <row r="14323" spans="1:1">
      <c r="A14323" s="35" t="s">
        <v>41057</v>
      </c>
    </row>
    <row r="14324" spans="1:1">
      <c r="A14324" s="35" t="s">
        <v>41057</v>
      </c>
    </row>
    <row r="14325" spans="1:1">
      <c r="A14325" s="35" t="s">
        <v>41057</v>
      </c>
    </row>
    <row r="14326" spans="1:1">
      <c r="A14326" s="35" t="s">
        <v>41057</v>
      </c>
    </row>
    <row r="14327" spans="1:1">
      <c r="A14327" s="35" t="s">
        <v>41057</v>
      </c>
    </row>
    <row r="14328" spans="1:1">
      <c r="A14328" s="35" t="s">
        <v>41057</v>
      </c>
    </row>
    <row r="14329" spans="1:1">
      <c r="A14329" s="35" t="s">
        <v>41057</v>
      </c>
    </row>
    <row r="14330" spans="1:1">
      <c r="A14330" s="35" t="s">
        <v>41057</v>
      </c>
    </row>
    <row r="14331" spans="1:1">
      <c r="A14331" s="35" t="s">
        <v>41057</v>
      </c>
    </row>
    <row r="14332" spans="1:1">
      <c r="A14332" s="35" t="s">
        <v>41057</v>
      </c>
    </row>
    <row r="14333" spans="1:1">
      <c r="A14333" s="35" t="s">
        <v>41057</v>
      </c>
    </row>
    <row r="14334" spans="1:1">
      <c r="A14334" s="35" t="s">
        <v>41057</v>
      </c>
    </row>
    <row r="14335" spans="1:1">
      <c r="A14335" s="35" t="s">
        <v>41057</v>
      </c>
    </row>
    <row r="14336" spans="1:1">
      <c r="A14336" s="35" t="s">
        <v>41057</v>
      </c>
    </row>
    <row r="14337" spans="1:1">
      <c r="A14337" s="35" t="s">
        <v>41057</v>
      </c>
    </row>
    <row r="14338" spans="1:1">
      <c r="A14338" s="35" t="s">
        <v>41057</v>
      </c>
    </row>
    <row r="14339" spans="1:1">
      <c r="A14339" s="35" t="s">
        <v>41057</v>
      </c>
    </row>
    <row r="14340" spans="1:1">
      <c r="A14340" s="35" t="s">
        <v>41057</v>
      </c>
    </row>
    <row r="14341" spans="1:1">
      <c r="A14341" s="35" t="s">
        <v>57157</v>
      </c>
    </row>
    <row r="14342" spans="1:1">
      <c r="A14342" s="35" t="s">
        <v>41057</v>
      </c>
    </row>
    <row r="14343" spans="1:1">
      <c r="A14343" s="35" t="s">
        <v>41057</v>
      </c>
    </row>
    <row r="14344" spans="1:1">
      <c r="A14344" s="35" t="s">
        <v>41057</v>
      </c>
    </row>
    <row r="14345" spans="1:1">
      <c r="A14345" s="35" t="s">
        <v>41057</v>
      </c>
    </row>
    <row r="14346" spans="1:1">
      <c r="A14346" s="35" t="s">
        <v>41057</v>
      </c>
    </row>
    <row r="14347" spans="1:1">
      <c r="A14347" s="35" t="s">
        <v>41057</v>
      </c>
    </row>
    <row r="14348" spans="1:1">
      <c r="A14348" s="35" t="s">
        <v>41057</v>
      </c>
    </row>
    <row r="14349" spans="1:1">
      <c r="A14349" s="35" t="e" cm="1">
        <f t="array" ref="A14349">---------------------------------------------------------PME</f>
        <v>#NAME?</v>
      </c>
    </row>
    <row r="14350" spans="1:1">
      <c r="A14350" s="35" t="s">
        <v>57224</v>
      </c>
    </row>
    <row r="14351" spans="1:1">
      <c r="A14351" s="35" t="e" cm="1">
        <f t="array" ref="A14351">---------------STWIRIFDEMFR--------TTMEE------------------QL</f>
        <v>#NAME?</v>
      </c>
    </row>
    <row r="14352" spans="1:1">
      <c r="A14352" s="35" t="s">
        <v>57196</v>
      </c>
    </row>
    <row r="14353" spans="1:1">
      <c r="A14353" s="35" t="s">
        <v>57225</v>
      </c>
    </row>
    <row r="14354" spans="1:1">
      <c r="A14354" s="35" t="s">
        <v>41057</v>
      </c>
    </row>
    <row r="14355" spans="1:1">
      <c r="A14355" s="35" t="s">
        <v>57226</v>
      </c>
    </row>
    <row r="14356" spans="1:1">
      <c r="A14356" s="35" t="s">
        <v>41057</v>
      </c>
    </row>
    <row r="14357" spans="1:1">
      <c r="A14357" s="35" t="s">
        <v>54451</v>
      </c>
    </row>
    <row r="14358" spans="1:1">
      <c r="A14358" s="35" t="s">
        <v>57227</v>
      </c>
    </row>
    <row r="14359" spans="1:1">
      <c r="A14359" s="35" t="s">
        <v>55218</v>
      </c>
    </row>
    <row r="14360" spans="1:1">
      <c r="A14360" s="35" t="s">
        <v>41057</v>
      </c>
    </row>
    <row r="14361" spans="1:1">
      <c r="A14361" s="35" t="s">
        <v>41057</v>
      </c>
    </row>
    <row r="14362" spans="1:1">
      <c r="A14362" s="35" t="s">
        <v>57228</v>
      </c>
    </row>
    <row r="14363" spans="1:1">
      <c r="A14363" s="35" t="s">
        <v>57229</v>
      </c>
    </row>
    <row r="14364" spans="1:1">
      <c r="A14364" s="35" t="s">
        <v>41057</v>
      </c>
    </row>
    <row r="14365" spans="1:1">
      <c r="A14365" s="35" t="s">
        <v>41057</v>
      </c>
    </row>
    <row r="14366" spans="1:1">
      <c r="A14366" s="35" t="s">
        <v>41057</v>
      </c>
    </row>
    <row r="14367" spans="1:1">
      <c r="A14367" s="35" t="s">
        <v>57230</v>
      </c>
    </row>
    <row r="14368" spans="1:1">
      <c r="A14368" s="35" t="s">
        <v>57202</v>
      </c>
    </row>
    <row r="14369" spans="1:1">
      <c r="A14369" s="35" t="s">
        <v>57203</v>
      </c>
    </row>
    <row r="14370" spans="1:1">
      <c r="A14370" s="35" t="s">
        <v>41057</v>
      </c>
    </row>
    <row r="14371" spans="1:1">
      <c r="A14371" s="35" t="s">
        <v>57231</v>
      </c>
    </row>
    <row r="14372" spans="1:1">
      <c r="A14372" s="35" t="s">
        <v>57232</v>
      </c>
    </row>
    <row r="14373" spans="1:1">
      <c r="A14373" s="35" t="s">
        <v>57233</v>
      </c>
    </row>
    <row r="14374" spans="1:1">
      <c r="A14374" s="35" t="s">
        <v>41057</v>
      </c>
    </row>
    <row r="14375" spans="1:1">
      <c r="A14375" s="35" t="s">
        <v>57234</v>
      </c>
    </row>
    <row r="14376" spans="1:1">
      <c r="A14376" s="35" t="s">
        <v>41057</v>
      </c>
    </row>
    <row r="14377" spans="1:1">
      <c r="A14377" s="35" t="s">
        <v>41057</v>
      </c>
    </row>
    <row r="14378" spans="1:1">
      <c r="A14378" s="35" t="s">
        <v>41057</v>
      </c>
    </row>
    <row r="14379" spans="1:1">
      <c r="A14379" s="35" t="s">
        <v>57208</v>
      </c>
    </row>
    <row r="14380" spans="1:1">
      <c r="A14380" s="35" t="s">
        <v>57235</v>
      </c>
    </row>
    <row r="14381" spans="1:1">
      <c r="A14381" s="35" t="s">
        <v>41057</v>
      </c>
    </row>
    <row r="14382" spans="1:1">
      <c r="A14382" s="35" t="s">
        <v>41057</v>
      </c>
    </row>
    <row r="14383" spans="1:1">
      <c r="A14383" s="35" t="s">
        <v>41057</v>
      </c>
    </row>
    <row r="14384" spans="1:1">
      <c r="A14384" s="35" t="e" cm="1">
        <f t="array" ref="A14384">---------------------------------------------------ECFGILKSA</f>
        <v>#NAME?</v>
      </c>
    </row>
    <row r="14385" spans="1:1">
      <c r="A14385" s="35" t="s">
        <v>57236</v>
      </c>
    </row>
    <row r="14386" spans="1:1">
      <c r="A14386" s="35" t="s">
        <v>57211</v>
      </c>
    </row>
    <row r="14387" spans="1:1">
      <c r="A14387" s="35" t="s">
        <v>57237</v>
      </c>
    </row>
    <row r="14388" spans="1:1">
      <c r="A14388" s="35" t="s">
        <v>57238</v>
      </c>
    </row>
    <row r="14389" spans="1:1">
      <c r="A14389" s="35" t="s">
        <v>57239</v>
      </c>
    </row>
    <row r="14390" spans="1:1">
      <c r="A14390" s="35" t="s">
        <v>57240</v>
      </c>
    </row>
    <row r="14391" spans="1:1">
      <c r="A14391" s="35" t="s">
        <v>41057</v>
      </c>
    </row>
    <row r="14392" spans="1:1">
      <c r="A14392" s="35" t="s">
        <v>57241</v>
      </c>
    </row>
    <row r="14393" spans="1:1">
      <c r="A14393" s="35" t="s">
        <v>57217</v>
      </c>
    </row>
    <row r="14394" spans="1:1">
      <c r="A14394" s="35" t="s">
        <v>57218</v>
      </c>
    </row>
    <row r="14395" spans="1:1">
      <c r="A14395" s="35" t="s">
        <v>41057</v>
      </c>
    </row>
    <row r="14396" spans="1:1">
      <c r="A14396" s="35" t="s">
        <v>53545</v>
      </c>
    </row>
    <row r="14397" spans="1:1">
      <c r="A14397" s="35" t="s">
        <v>57242</v>
      </c>
    </row>
    <row r="14398" spans="1:1">
      <c r="A14398" s="35" t="s">
        <v>41057</v>
      </c>
    </row>
    <row r="14399" spans="1:1">
      <c r="A14399" s="35" t="s">
        <v>41057</v>
      </c>
    </row>
    <row r="14400" spans="1:1">
      <c r="A14400" s="35" t="s">
        <v>41057</v>
      </c>
    </row>
    <row r="14401" spans="1:1">
      <c r="A14401" s="35" t="s">
        <v>41057</v>
      </c>
    </row>
    <row r="14402" spans="1:1">
      <c r="A14402" s="35" t="s">
        <v>41057</v>
      </c>
    </row>
    <row r="14403" spans="1:1">
      <c r="A14403" s="35" t="s">
        <v>41057</v>
      </c>
    </row>
    <row r="14404" spans="1:1">
      <c r="A14404" s="35" t="s">
        <v>41057</v>
      </c>
    </row>
    <row r="14405" spans="1:1">
      <c r="A14405" s="35" t="s">
        <v>41057</v>
      </c>
    </row>
    <row r="14406" spans="1:1">
      <c r="A14406" s="35" t="s">
        <v>41057</v>
      </c>
    </row>
    <row r="14407" spans="1:1">
      <c r="A14407" s="35" t="s">
        <v>41057</v>
      </c>
    </row>
    <row r="14408" spans="1:1">
      <c r="A14408" s="35" t="s">
        <v>41057</v>
      </c>
    </row>
    <row r="14409" spans="1:1">
      <c r="A14409" s="35" t="s">
        <v>41057</v>
      </c>
    </row>
    <row r="14410" spans="1:1">
      <c r="A14410" s="35" t="s">
        <v>41057</v>
      </c>
    </row>
    <row r="14411" spans="1:1">
      <c r="A14411" s="35" t="s">
        <v>41057</v>
      </c>
    </row>
    <row r="14412" spans="1:1">
      <c r="A14412" s="35" t="s">
        <v>41057</v>
      </c>
    </row>
    <row r="14413" spans="1:1">
      <c r="A14413" s="35" t="s">
        <v>41057</v>
      </c>
    </row>
    <row r="14414" spans="1:1">
      <c r="A14414" s="35" t="s">
        <v>41057</v>
      </c>
    </row>
    <row r="14415" spans="1:1">
      <c r="A14415" s="35" t="s">
        <v>57243</v>
      </c>
    </row>
    <row r="14416" spans="1:1">
      <c r="A14416" s="35" t="s">
        <v>41057</v>
      </c>
    </row>
    <row r="14417" spans="1:1">
      <c r="A14417" s="35" t="s">
        <v>57244</v>
      </c>
    </row>
    <row r="14418" spans="1:1">
      <c r="A14418" s="35" t="s">
        <v>41057</v>
      </c>
    </row>
    <row r="14419" spans="1:1">
      <c r="A14419" s="35" t="s">
        <v>41057</v>
      </c>
    </row>
    <row r="14420" spans="1:1">
      <c r="A14420" s="35" t="s">
        <v>57245</v>
      </c>
    </row>
    <row r="14421" spans="1:1">
      <c r="A14421" s="35" t="s">
        <v>41057</v>
      </c>
    </row>
    <row r="14422" spans="1:1">
      <c r="A14422" s="35" t="s">
        <v>41057</v>
      </c>
    </row>
    <row r="14423" spans="1:1">
      <c r="A14423" s="35" t="s">
        <v>57246</v>
      </c>
    </row>
    <row r="14424" spans="1:1">
      <c r="A14424" s="35" t="s">
        <v>41057</v>
      </c>
    </row>
    <row r="14425" spans="1:1">
      <c r="A14425" s="35" t="s">
        <v>41057</v>
      </c>
    </row>
    <row r="14426" spans="1:1">
      <c r="A14426" s="35" t="s">
        <v>57247</v>
      </c>
    </row>
    <row r="14427" spans="1:1">
      <c r="A14427" s="35" t="s">
        <v>41057</v>
      </c>
    </row>
    <row r="14428" spans="1:1">
      <c r="A14428" s="35" t="s">
        <v>57248</v>
      </c>
    </row>
    <row r="14429" spans="1:1">
      <c r="A14429" s="35" t="s">
        <v>41057</v>
      </c>
    </row>
    <row r="14430" spans="1:1">
      <c r="A14430" s="35" t="s">
        <v>57249</v>
      </c>
    </row>
    <row r="14431" spans="1:1">
      <c r="A14431" s="35" t="s">
        <v>57250</v>
      </c>
    </row>
    <row r="14432" spans="1:1">
      <c r="A14432" s="35" t="s">
        <v>41057</v>
      </c>
    </row>
    <row r="14433" spans="1:1">
      <c r="A14433" s="35" t="s">
        <v>41057</v>
      </c>
    </row>
    <row r="14434" spans="1:1">
      <c r="A14434" s="35" t="s">
        <v>55095</v>
      </c>
    </row>
    <row r="14435" spans="1:1">
      <c r="A14435" s="35" t="s">
        <v>41057</v>
      </c>
    </row>
    <row r="14436" spans="1:1">
      <c r="A14436" s="35" t="s">
        <v>41057</v>
      </c>
    </row>
    <row r="14437" spans="1:1">
      <c r="A14437" s="35" t="s">
        <v>41057</v>
      </c>
    </row>
    <row r="14438" spans="1:1">
      <c r="A14438" s="35" t="s">
        <v>41057</v>
      </c>
    </row>
    <row r="14439" spans="1:1">
      <c r="A14439" s="35" t="s">
        <v>41057</v>
      </c>
    </row>
    <row r="14440" spans="1:1">
      <c r="A14440" s="35" t="s">
        <v>41057</v>
      </c>
    </row>
    <row r="14441" spans="1:1">
      <c r="A14441" s="35" t="s">
        <v>41057</v>
      </c>
    </row>
    <row r="14442" spans="1:1">
      <c r="A14442" s="35" t="s">
        <v>41057</v>
      </c>
    </row>
    <row r="14443" spans="1:1">
      <c r="A14443" s="35" t="s">
        <v>57251</v>
      </c>
    </row>
    <row r="14444" spans="1:1">
      <c r="A14444" s="35" t="s">
        <v>41057</v>
      </c>
    </row>
    <row r="14445" spans="1:1">
      <c r="A14445" s="35" t="s">
        <v>41057</v>
      </c>
    </row>
    <row r="14446" spans="1:1">
      <c r="A14446" s="35" t="s">
        <v>41057</v>
      </c>
    </row>
    <row r="14447" spans="1:1">
      <c r="A14447" s="35" t="s">
        <v>41057</v>
      </c>
    </row>
    <row r="14448" spans="1:1">
      <c r="A14448" s="35" t="s">
        <v>41057</v>
      </c>
    </row>
    <row r="14449" spans="1:1">
      <c r="A14449" s="35" t="s">
        <v>41057</v>
      </c>
    </row>
    <row r="14450" spans="1:1">
      <c r="A14450" s="35" t="s">
        <v>41057</v>
      </c>
    </row>
    <row r="14451" spans="1:1">
      <c r="A14451" s="35" t="s">
        <v>41057</v>
      </c>
    </row>
    <row r="14452" spans="1:1">
      <c r="A14452" s="35" t="s">
        <v>41057</v>
      </c>
    </row>
    <row r="14453" spans="1:1">
      <c r="A14453" s="35" t="s">
        <v>41057</v>
      </c>
    </row>
    <row r="14454" spans="1:1">
      <c r="A14454" s="35" t="s">
        <v>41057</v>
      </c>
    </row>
    <row r="14455" spans="1:1">
      <c r="A14455" s="35" t="s">
        <v>41057</v>
      </c>
    </row>
    <row r="14456" spans="1:1">
      <c r="A14456" s="35" t="s">
        <v>57252</v>
      </c>
    </row>
    <row r="14457" spans="1:1">
      <c r="A14457" s="35" t="s">
        <v>41057</v>
      </c>
    </row>
    <row r="14458" spans="1:1">
      <c r="A14458" s="35" t="s">
        <v>41057</v>
      </c>
    </row>
    <row r="14459" spans="1:1">
      <c r="A14459" s="35" t="s">
        <v>41057</v>
      </c>
    </row>
    <row r="14460" spans="1:1">
      <c r="A14460" s="35" t="s">
        <v>41057</v>
      </c>
    </row>
    <row r="14461" spans="1:1">
      <c r="A14461" s="35" t="s">
        <v>57253</v>
      </c>
    </row>
    <row r="14462" spans="1:1">
      <c r="A14462" s="35" t="s">
        <v>41057</v>
      </c>
    </row>
    <row r="14463" spans="1:1">
      <c r="A14463" s="35" t="s">
        <v>41057</v>
      </c>
    </row>
    <row r="14464" spans="1:1">
      <c r="A14464" s="35" t="s">
        <v>41057</v>
      </c>
    </row>
    <row r="14465" spans="1:1">
      <c r="A14465" s="35" t="s">
        <v>41057</v>
      </c>
    </row>
    <row r="14466" spans="1:1">
      <c r="A14466" s="35" t="s">
        <v>41057</v>
      </c>
    </row>
    <row r="14467" spans="1:1">
      <c r="A14467" s="35" t="e" cm="1">
        <f t="array" ref="A14467">-------------------------------------------------AFAKKL---GH</f>
        <v>#NAME?</v>
      </c>
    </row>
    <row r="14468" spans="1:1">
      <c r="A14468" s="35" t="s">
        <v>57254</v>
      </c>
    </row>
    <row r="14469" spans="1:1">
      <c r="A14469" s="35" t="e" cm="1">
        <f t="array" ref="A14469">---------------GEWLNIWYELNL---------DHNI------------------KT</f>
        <v>#NAME?</v>
      </c>
    </row>
    <row r="14470" spans="1:1">
      <c r="A14470" s="35" t="s">
        <v>57255</v>
      </c>
    </row>
    <row r="14471" spans="1:1">
      <c r="A14471" s="35" t="e" cm="1">
        <f t="array" ref="A14471">----------------------------------------------------------SI</f>
        <v>#NAME?</v>
      </c>
    </row>
    <row r="14472" spans="1:1">
      <c r="A14472" s="35" t="s">
        <v>57256</v>
      </c>
    </row>
    <row r="14473" spans="1:1">
      <c r="A14473" s="35" t="s">
        <v>57257</v>
      </c>
    </row>
    <row r="14474" spans="1:1">
      <c r="A14474" s="35" t="s">
        <v>41057</v>
      </c>
    </row>
    <row r="14475" spans="1:1">
      <c r="A14475" s="35" t="s">
        <v>57258</v>
      </c>
    </row>
    <row r="14476" spans="1:1">
      <c r="A14476" s="35" t="s">
        <v>57259</v>
      </c>
    </row>
    <row r="14477" spans="1:1">
      <c r="A14477" s="35" t="s">
        <v>57260</v>
      </c>
    </row>
    <row r="14478" spans="1:1">
      <c r="A14478" s="35" t="s">
        <v>41057</v>
      </c>
    </row>
    <row r="14479" spans="1:1">
      <c r="A14479" s="35" t="s">
        <v>41057</v>
      </c>
    </row>
    <row r="14480" spans="1:1">
      <c r="A14480" s="35" t="s">
        <v>41057</v>
      </c>
    </row>
    <row r="14481" spans="1:1">
      <c r="A14481" s="35" t="s">
        <v>41057</v>
      </c>
    </row>
    <row r="14482" spans="1:1">
      <c r="A14482" s="35" t="s">
        <v>41057</v>
      </c>
    </row>
    <row r="14483" spans="1:1">
      <c r="A14483" s="35" t="s">
        <v>41057</v>
      </c>
    </row>
    <row r="14484" spans="1:1">
      <c r="A14484" s="35" t="s">
        <v>57261</v>
      </c>
    </row>
    <row r="14485" spans="1:1">
      <c r="A14485" s="35" t="s">
        <v>57262</v>
      </c>
    </row>
    <row r="14486" spans="1:1">
      <c r="A14486" s="35" t="s">
        <v>57263</v>
      </c>
    </row>
    <row r="14487" spans="1:1">
      <c r="A14487" s="35" t="s">
        <v>57264</v>
      </c>
    </row>
    <row r="14488" spans="1:1">
      <c r="A14488" s="35" t="e" cm="1">
        <f t="array" ref="A14488">----------------------------------------------------------YS</f>
        <v>#NAME?</v>
      </c>
    </row>
    <row r="14489" spans="1:1">
      <c r="A14489" s="35" t="s">
        <v>57265</v>
      </c>
    </row>
    <row r="14490" spans="1:1">
      <c r="A14490" s="35" t="s">
        <v>41057</v>
      </c>
    </row>
    <row r="14491" spans="1:1">
      <c r="A14491" s="35" t="s">
        <v>57266</v>
      </c>
    </row>
    <row r="14492" spans="1:1">
      <c r="A14492" s="35" t="s">
        <v>41057</v>
      </c>
    </row>
    <row r="14493" spans="1:1">
      <c r="A14493" s="35" t="s">
        <v>57267</v>
      </c>
    </row>
    <row r="14494" spans="1:1">
      <c r="A14494" s="35" t="s">
        <v>57268</v>
      </c>
    </row>
    <row r="14495" spans="1:1">
      <c r="A14495" s="35" t="s">
        <v>57269</v>
      </c>
    </row>
    <row r="14496" spans="1:1">
      <c r="A14496" s="35" t="s">
        <v>41057</v>
      </c>
    </row>
    <row r="14497" spans="1:1">
      <c r="A14497" s="35" t="s">
        <v>57270</v>
      </c>
    </row>
    <row r="14498" spans="1:1">
      <c r="A14498" s="35" t="s">
        <v>57271</v>
      </c>
    </row>
    <row r="14499" spans="1:1">
      <c r="A14499" s="35" t="s">
        <v>57272</v>
      </c>
    </row>
    <row r="14500" spans="1:1">
      <c r="A14500" s="35" t="s">
        <v>41057</v>
      </c>
    </row>
    <row r="14501" spans="1:1">
      <c r="A14501" s="35" t="s">
        <v>41057</v>
      </c>
    </row>
    <row r="14502" spans="1:1">
      <c r="A14502" s="35" t="e" cm="1">
        <f t="array" ref="A14502">---------------------------------------------------YSKNIIETN</f>
        <v>#NAME?</v>
      </c>
    </row>
    <row r="14503" spans="1:1">
      <c r="A14503" s="35" t="s">
        <v>57273</v>
      </c>
    </row>
    <row r="14504" spans="1:1">
      <c r="A14504" s="35" t="s">
        <v>57274</v>
      </c>
    </row>
    <row r="14505" spans="1:1">
      <c r="A14505" s="35" t="s">
        <v>57275</v>
      </c>
    </row>
    <row r="14506" spans="1:1">
      <c r="A14506" s="35" t="s">
        <v>57276</v>
      </c>
    </row>
    <row r="14507" spans="1:1">
      <c r="A14507" s="35" t="s">
        <v>57277</v>
      </c>
    </row>
    <row r="14508" spans="1:1">
      <c r="A14508" s="35" t="s">
        <v>57278</v>
      </c>
    </row>
    <row r="14509" spans="1:1">
      <c r="A14509" s="35" t="s">
        <v>41057</v>
      </c>
    </row>
    <row r="14510" spans="1:1">
      <c r="A14510" s="35" t="s">
        <v>57279</v>
      </c>
    </row>
    <row r="14511" spans="1:1">
      <c r="A14511" s="35" t="s">
        <v>57280</v>
      </c>
    </row>
    <row r="14512" spans="1:1">
      <c r="A14512" s="35" t="s">
        <v>57281</v>
      </c>
    </row>
    <row r="14513" spans="1:1">
      <c r="A14513" s="35" t="s">
        <v>41057</v>
      </c>
    </row>
    <row r="14514" spans="1:1">
      <c r="A14514" s="35" t="s">
        <v>53545</v>
      </c>
    </row>
    <row r="14515" spans="1:1">
      <c r="A14515" s="35" t="s">
        <v>57282</v>
      </c>
    </row>
    <row r="14516" spans="1:1">
      <c r="A14516" s="35" t="s">
        <v>41057</v>
      </c>
    </row>
    <row r="14517" spans="1:1">
      <c r="A14517" s="35" t="s">
        <v>41057</v>
      </c>
    </row>
    <row r="14518" spans="1:1">
      <c r="A14518" s="35" t="s">
        <v>41057</v>
      </c>
    </row>
    <row r="14519" spans="1:1">
      <c r="A14519" s="35" t="s">
        <v>41057</v>
      </c>
    </row>
    <row r="14520" spans="1:1">
      <c r="A14520" s="35" t="s">
        <v>41057</v>
      </c>
    </row>
    <row r="14521" spans="1:1">
      <c r="A14521" s="35" t="s">
        <v>41057</v>
      </c>
    </row>
    <row r="14522" spans="1:1">
      <c r="A14522" s="35" t="s">
        <v>41057</v>
      </c>
    </row>
    <row r="14523" spans="1:1">
      <c r="A14523" s="35" t="s">
        <v>41057</v>
      </c>
    </row>
    <row r="14524" spans="1:1">
      <c r="A14524" s="35" t="s">
        <v>41057</v>
      </c>
    </row>
    <row r="14525" spans="1:1">
      <c r="A14525" s="35" t="s">
        <v>41057</v>
      </c>
    </row>
    <row r="14526" spans="1:1">
      <c r="A14526" s="35" t="s">
        <v>41057</v>
      </c>
    </row>
    <row r="14527" spans="1:1">
      <c r="A14527" s="35" t="s">
        <v>41057</v>
      </c>
    </row>
    <row r="14528" spans="1:1">
      <c r="A14528" s="35" t="s">
        <v>41057</v>
      </c>
    </row>
    <row r="14529" spans="1:1">
      <c r="A14529" s="35" t="s">
        <v>41057</v>
      </c>
    </row>
    <row r="14530" spans="1:1">
      <c r="A14530" s="35" t="s">
        <v>41057</v>
      </c>
    </row>
    <row r="14531" spans="1:1">
      <c r="A14531" s="35" t="s">
        <v>41057</v>
      </c>
    </row>
    <row r="14532" spans="1:1">
      <c r="A14532" s="35" t="s">
        <v>41057</v>
      </c>
    </row>
    <row r="14533" spans="1:1">
      <c r="A14533" s="35" t="s">
        <v>57283</v>
      </c>
    </row>
    <row r="14534" spans="1:1">
      <c r="A14534" s="35" t="s">
        <v>41057</v>
      </c>
    </row>
    <row r="14535" spans="1:1">
      <c r="A14535" s="35" t="s">
        <v>41057</v>
      </c>
    </row>
    <row r="14536" spans="1:1">
      <c r="A14536" s="35" t="s">
        <v>41057</v>
      </c>
    </row>
    <row r="14537" spans="1:1">
      <c r="A14537" s="35" t="s">
        <v>41057</v>
      </c>
    </row>
    <row r="14538" spans="1:1">
      <c r="A14538" s="35" t="s">
        <v>41057</v>
      </c>
    </row>
    <row r="14539" spans="1:1">
      <c r="A14539" s="35" t="s">
        <v>41057</v>
      </c>
    </row>
    <row r="14540" spans="1:1">
      <c r="A14540" s="35" t="s">
        <v>41057</v>
      </c>
    </row>
    <row r="14541" spans="1:1">
      <c r="A14541" s="35" t="s">
        <v>41057</v>
      </c>
    </row>
    <row r="14542" spans="1:1">
      <c r="A14542" s="35" t="s">
        <v>41057</v>
      </c>
    </row>
    <row r="14543" spans="1:1">
      <c r="A14543" s="35" t="s">
        <v>41057</v>
      </c>
    </row>
    <row r="14544" spans="1:1">
      <c r="A14544" s="35" t="s">
        <v>41057</v>
      </c>
    </row>
    <row r="14545" spans="1:1">
      <c r="A14545" s="35" t="s">
        <v>41057</v>
      </c>
    </row>
    <row r="14546" spans="1:1">
      <c r="A14546" s="35" t="s">
        <v>57284</v>
      </c>
    </row>
    <row r="14547" spans="1:1">
      <c r="A14547" s="35" t="s">
        <v>41057</v>
      </c>
    </row>
    <row r="14548" spans="1:1">
      <c r="A14548" s="35" t="s">
        <v>57285</v>
      </c>
    </row>
    <row r="14549" spans="1:1">
      <c r="A14549" s="35" t="s">
        <v>57286</v>
      </c>
    </row>
    <row r="14550" spans="1:1">
      <c r="A14550" s="35" t="s">
        <v>41057</v>
      </c>
    </row>
    <row r="14551" spans="1:1">
      <c r="A14551" s="35" t="s">
        <v>41057</v>
      </c>
    </row>
    <row r="14552" spans="1:1">
      <c r="A14552" s="35" t="s">
        <v>57287</v>
      </c>
    </row>
    <row r="14553" spans="1:1">
      <c r="A14553" s="35" t="s">
        <v>41057</v>
      </c>
    </row>
    <row r="14554" spans="1:1">
      <c r="A14554" s="35" t="s">
        <v>41057</v>
      </c>
    </row>
    <row r="14555" spans="1:1">
      <c r="A14555" s="35" t="s">
        <v>41057</v>
      </c>
    </row>
    <row r="14556" spans="1:1">
      <c r="A14556" s="35" t="s">
        <v>41057</v>
      </c>
    </row>
    <row r="14557" spans="1:1">
      <c r="A14557" s="35" t="s">
        <v>41057</v>
      </c>
    </row>
    <row r="14558" spans="1:1">
      <c r="A14558" s="35" t="s">
        <v>41057</v>
      </c>
    </row>
    <row r="14559" spans="1:1">
      <c r="A14559" s="35" t="s">
        <v>41057</v>
      </c>
    </row>
    <row r="14560" spans="1:1">
      <c r="A14560" s="35" t="s">
        <v>41057</v>
      </c>
    </row>
    <row r="14561" spans="1:1">
      <c r="A14561" s="35" t="s">
        <v>57288</v>
      </c>
    </row>
    <row r="14562" spans="1:1">
      <c r="A14562" s="35" t="s">
        <v>41057</v>
      </c>
    </row>
    <row r="14563" spans="1:1">
      <c r="A14563" s="35" t="s">
        <v>41057</v>
      </c>
    </row>
    <row r="14564" spans="1:1">
      <c r="A14564" s="35" t="s">
        <v>41057</v>
      </c>
    </row>
    <row r="14565" spans="1:1">
      <c r="A14565" s="35" t="s">
        <v>41057</v>
      </c>
    </row>
    <row r="14566" spans="1:1">
      <c r="A14566" s="35" t="s">
        <v>41057</v>
      </c>
    </row>
    <row r="14567" spans="1:1">
      <c r="A14567" s="35" t="s">
        <v>41057</v>
      </c>
    </row>
    <row r="14568" spans="1:1">
      <c r="A14568" s="35" t="s">
        <v>41057</v>
      </c>
    </row>
    <row r="14569" spans="1:1">
      <c r="A14569" s="35" t="s">
        <v>41057</v>
      </c>
    </row>
    <row r="14570" spans="1:1">
      <c r="A14570" s="35" t="s">
        <v>41057</v>
      </c>
    </row>
    <row r="14571" spans="1:1">
      <c r="A14571" s="35" t="s">
        <v>41057</v>
      </c>
    </row>
    <row r="14572" spans="1:1">
      <c r="A14572" s="35" t="s">
        <v>41057</v>
      </c>
    </row>
    <row r="14573" spans="1:1">
      <c r="A14573" s="35" t="s">
        <v>41057</v>
      </c>
    </row>
    <row r="14574" spans="1:1">
      <c r="A14574" s="35" t="s">
        <v>57289</v>
      </c>
    </row>
    <row r="14575" spans="1:1">
      <c r="A14575" s="35" t="s">
        <v>41057</v>
      </c>
    </row>
    <row r="14576" spans="1:1">
      <c r="A14576" s="35" t="e" cm="1">
        <f t="array" ref="A14576">--IINSSNVLGE------------------------------------------STDVPT</f>
        <v>#NAME?</v>
      </c>
    </row>
    <row r="14577" spans="1:1">
      <c r="A14577" s="35" t="e" cm="1">
        <f t="array" ref="A14577">----------------------------------------------TELVTNYNGLTSQY</f>
        <v>#NAME?</v>
      </c>
    </row>
    <row r="14578" spans="1:1">
      <c r="A14578" s="35" t="s">
        <v>57290</v>
      </c>
    </row>
    <row r="14579" spans="1:1">
      <c r="A14579" s="35" t="s">
        <v>57291</v>
      </c>
    </row>
    <row r="14580" spans="1:1">
      <c r="A14580" s="35" t="s">
        <v>41057</v>
      </c>
    </row>
    <row r="14581" spans="1:1">
      <c r="A14581" s="35" t="s">
        <v>57292</v>
      </c>
    </row>
    <row r="14582" spans="1:1">
      <c r="A14582" s="35" t="s">
        <v>41057</v>
      </c>
    </row>
    <row r="14583" spans="1:1">
      <c r="A14583" s="35" t="s">
        <v>57293</v>
      </c>
    </row>
    <row r="14584" spans="1:1">
      <c r="A14584" s="35" t="s">
        <v>41057</v>
      </c>
    </row>
    <row r="14585" spans="1:1">
      <c r="A14585" s="35" t="e" cm="1">
        <f t="array" ref="A14585">--------------------------------------------KNDEVGFVKNI---GY</f>
        <v>#NAME?</v>
      </c>
    </row>
    <row r="14586" spans="1:1">
      <c r="A14586" s="35" t="s">
        <v>57294</v>
      </c>
    </row>
    <row r="14587" spans="1:1">
      <c r="A14587" s="35" t="e" cm="1">
        <f t="array" ref="A14587">---------------GLWMTVWNELTM---------DNNN------------------KN</f>
        <v>#NAME?</v>
      </c>
    </row>
    <row r="14588" spans="1:1">
      <c r="A14588" s="35" t="s">
        <v>57295</v>
      </c>
    </row>
    <row r="14589" spans="1:1">
      <c r="A14589" s="35" t="s">
        <v>41057</v>
      </c>
    </row>
    <row r="14590" spans="1:1">
      <c r="A14590" s="35" t="s">
        <v>57296</v>
      </c>
    </row>
    <row r="14591" spans="1:1">
      <c r="A14591" s="35" t="s">
        <v>57297</v>
      </c>
    </row>
    <row r="14592" spans="1:1">
      <c r="A14592" s="35" t="s">
        <v>41057</v>
      </c>
    </row>
    <row r="14593" spans="1:1">
      <c r="A14593" s="35" t="s">
        <v>57298</v>
      </c>
    </row>
    <row r="14594" spans="1:1">
      <c r="A14594" s="35" t="s">
        <v>57299</v>
      </c>
    </row>
    <row r="14595" spans="1:1">
      <c r="A14595" s="35" t="s">
        <v>41057</v>
      </c>
    </row>
    <row r="14596" spans="1:1">
      <c r="A14596" s="35" t="s">
        <v>41057</v>
      </c>
    </row>
    <row r="14597" spans="1:1">
      <c r="A14597" s="35" t="s">
        <v>41057</v>
      </c>
    </row>
    <row r="14598" spans="1:1">
      <c r="A14598" s="35" t="s">
        <v>41057</v>
      </c>
    </row>
    <row r="14599" spans="1:1">
      <c r="A14599" s="35" t="s">
        <v>41057</v>
      </c>
    </row>
    <row r="14600" spans="1:1">
      <c r="A14600" s="35" t="s">
        <v>41057</v>
      </c>
    </row>
    <row r="14601" spans="1:1">
      <c r="A14601" s="35" t="s">
        <v>41057</v>
      </c>
    </row>
    <row r="14602" spans="1:1">
      <c r="A14602" s="35" t="s">
        <v>41057</v>
      </c>
    </row>
    <row r="14603" spans="1:1">
      <c r="A14603" s="35" t="s">
        <v>41057</v>
      </c>
    </row>
    <row r="14604" spans="1:1">
      <c r="A14604" s="35" t="s">
        <v>41057</v>
      </c>
    </row>
    <row r="14605" spans="1:1">
      <c r="A14605" s="35" t="s">
        <v>41057</v>
      </c>
    </row>
    <row r="14606" spans="1:1">
      <c r="A14606" s="35" t="s">
        <v>41057</v>
      </c>
    </row>
    <row r="14607" spans="1:1">
      <c r="A14607" s="35" t="s">
        <v>41057</v>
      </c>
    </row>
    <row r="14608" spans="1:1">
      <c r="A14608" s="35" t="s">
        <v>41057</v>
      </c>
    </row>
    <row r="14609" spans="1:1">
      <c r="A14609" s="35" t="s">
        <v>41057</v>
      </c>
    </row>
    <row r="14610" spans="1:1">
      <c r="A14610" s="35" t="s">
        <v>41057</v>
      </c>
    </row>
    <row r="14611" spans="1:1">
      <c r="A14611" s="35" t="s">
        <v>41057</v>
      </c>
    </row>
    <row r="14612" spans="1:1">
      <c r="A14612" s="35" t="s">
        <v>41057</v>
      </c>
    </row>
    <row r="14613" spans="1:1">
      <c r="A14613" s="35" t="s">
        <v>41057</v>
      </c>
    </row>
    <row r="14614" spans="1:1">
      <c r="A14614" s="35" t="s">
        <v>41057</v>
      </c>
    </row>
    <row r="14615" spans="1:1">
      <c r="A14615" s="35" t="s">
        <v>41057</v>
      </c>
    </row>
    <row r="14616" spans="1:1">
      <c r="A14616" s="35" t="s">
        <v>41057</v>
      </c>
    </row>
    <row r="14617" spans="1:1">
      <c r="A14617" s="35" t="s">
        <v>41057</v>
      </c>
    </row>
    <row r="14618" spans="1:1">
      <c r="A14618" s="35" t="s">
        <v>41057</v>
      </c>
    </row>
    <row r="14619" spans="1:1">
      <c r="A14619" s="35" t="s">
        <v>41057</v>
      </c>
    </row>
    <row r="14620" spans="1:1">
      <c r="A14620" s="35" t="s">
        <v>41057</v>
      </c>
    </row>
    <row r="14621" spans="1:1">
      <c r="A14621" s="35" t="s">
        <v>41057</v>
      </c>
    </row>
    <row r="14622" spans="1:1">
      <c r="A14622" s="35" t="s">
        <v>41057</v>
      </c>
    </row>
    <row r="14623" spans="1:1">
      <c r="A14623" s="35" t="s">
        <v>57300</v>
      </c>
    </row>
    <row r="14624" spans="1:1">
      <c r="A14624" s="35" t="s">
        <v>57301</v>
      </c>
    </row>
    <row r="14625" spans="1:1">
      <c r="A14625" s="35" t="s">
        <v>41057</v>
      </c>
    </row>
    <row r="14626" spans="1:1">
      <c r="A14626" s="35" t="s">
        <v>57302</v>
      </c>
    </row>
    <row r="14627" spans="1:1">
      <c r="A14627" s="35" t="s">
        <v>41057</v>
      </c>
    </row>
    <row r="14628" spans="1:1">
      <c r="A14628" s="35" t="s">
        <v>57303</v>
      </c>
    </row>
    <row r="14629" spans="1:1">
      <c r="A14629" s="35" t="s">
        <v>41057</v>
      </c>
    </row>
    <row r="14630" spans="1:1">
      <c r="A14630" s="35" t="s">
        <v>41057</v>
      </c>
    </row>
    <row r="14631" spans="1:1">
      <c r="A14631" s="35" t="s">
        <v>41057</v>
      </c>
    </row>
    <row r="14632" spans="1:1">
      <c r="A14632" s="35" t="s">
        <v>53545</v>
      </c>
    </row>
    <row r="14633" spans="1:1">
      <c r="A14633" s="35" t="s">
        <v>57304</v>
      </c>
    </row>
    <row r="14634" spans="1:1">
      <c r="A14634" s="35" t="s">
        <v>41057</v>
      </c>
    </row>
    <row r="14635" spans="1:1">
      <c r="A14635" s="35" t="s">
        <v>41057</v>
      </c>
    </row>
    <row r="14636" spans="1:1">
      <c r="A14636" s="35" t="s">
        <v>41057</v>
      </c>
    </row>
    <row r="14637" spans="1:1">
      <c r="A14637" s="35" t="s">
        <v>41057</v>
      </c>
    </row>
    <row r="14638" spans="1:1">
      <c r="A14638" s="35" t="s">
        <v>41057</v>
      </c>
    </row>
    <row r="14639" spans="1:1">
      <c r="A14639" s="35" t="s">
        <v>41057</v>
      </c>
    </row>
    <row r="14640" spans="1:1">
      <c r="A14640" s="35" t="s">
        <v>41057</v>
      </c>
    </row>
    <row r="14641" spans="1:1">
      <c r="A14641" s="35" t="s">
        <v>41057</v>
      </c>
    </row>
    <row r="14642" spans="1:1">
      <c r="A14642" s="35" t="s">
        <v>41057</v>
      </c>
    </row>
    <row r="14643" spans="1:1">
      <c r="A14643" s="35" t="s">
        <v>41057</v>
      </c>
    </row>
    <row r="14644" spans="1:1">
      <c r="A14644" s="35" t="s">
        <v>41057</v>
      </c>
    </row>
    <row r="14645" spans="1:1">
      <c r="A14645" s="35" t="s">
        <v>41057</v>
      </c>
    </row>
    <row r="14646" spans="1:1">
      <c r="A14646" s="35" t="s">
        <v>56545</v>
      </c>
    </row>
    <row r="14647" spans="1:1">
      <c r="A14647" s="35" t="s">
        <v>41057</v>
      </c>
    </row>
    <row r="14648" spans="1:1">
      <c r="A14648" s="35" t="s">
        <v>41057</v>
      </c>
    </row>
    <row r="14649" spans="1:1">
      <c r="A14649" s="35" t="s">
        <v>57305</v>
      </c>
    </row>
    <row r="14650" spans="1:1">
      <c r="A14650" s="35" t="s">
        <v>41057</v>
      </c>
    </row>
    <row r="14651" spans="1:1">
      <c r="A14651" s="35" t="s">
        <v>41057</v>
      </c>
    </row>
    <row r="14652" spans="1:1">
      <c r="A14652" s="35" t="s">
        <v>41057</v>
      </c>
    </row>
    <row r="14653" spans="1:1">
      <c r="A14653" s="35" t="s">
        <v>41057</v>
      </c>
    </row>
    <row r="14654" spans="1:1">
      <c r="A14654" s="35" t="s">
        <v>41057</v>
      </c>
    </row>
    <row r="14655" spans="1:1">
      <c r="A14655" s="35" t="s">
        <v>41057</v>
      </c>
    </row>
    <row r="14656" spans="1:1">
      <c r="A14656" s="35" t="s">
        <v>41057</v>
      </c>
    </row>
    <row r="14657" spans="1:1">
      <c r="A14657" s="35" t="s">
        <v>41057</v>
      </c>
    </row>
    <row r="14658" spans="1:1">
      <c r="A14658" s="35" t="s">
        <v>41057</v>
      </c>
    </row>
    <row r="14659" spans="1:1">
      <c r="A14659" s="35" t="s">
        <v>41057</v>
      </c>
    </row>
    <row r="14660" spans="1:1">
      <c r="A14660" s="35" t="s">
        <v>41057</v>
      </c>
    </row>
    <row r="14661" spans="1:1">
      <c r="A14661" s="35" t="s">
        <v>41057</v>
      </c>
    </row>
    <row r="14662" spans="1:1">
      <c r="A14662" s="35" t="s">
        <v>41057</v>
      </c>
    </row>
    <row r="14663" spans="1:1">
      <c r="A14663" s="35" t="s">
        <v>41057</v>
      </c>
    </row>
    <row r="14664" spans="1:1">
      <c r="A14664" s="35" t="s">
        <v>57306</v>
      </c>
    </row>
    <row r="14665" spans="1:1">
      <c r="A14665" s="35" t="s">
        <v>41057</v>
      </c>
    </row>
    <row r="14666" spans="1:1">
      <c r="A14666" s="35" t="s">
        <v>57307</v>
      </c>
    </row>
    <row r="14667" spans="1:1">
      <c r="A14667" s="35" t="s">
        <v>57308</v>
      </c>
    </row>
    <row r="14668" spans="1:1">
      <c r="A14668" s="35" t="s">
        <v>41057</v>
      </c>
    </row>
    <row r="14669" spans="1:1">
      <c r="A14669" s="35" t="s">
        <v>41057</v>
      </c>
    </row>
    <row r="14670" spans="1:1">
      <c r="A14670" s="35" t="s">
        <v>41057</v>
      </c>
    </row>
    <row r="14671" spans="1:1">
      <c r="A14671" s="35" t="s">
        <v>41057</v>
      </c>
    </row>
    <row r="14672" spans="1:1">
      <c r="A14672" s="35" t="s">
        <v>41057</v>
      </c>
    </row>
    <row r="14673" spans="1:1">
      <c r="A14673" s="35" t="s">
        <v>41057</v>
      </c>
    </row>
    <row r="14674" spans="1:1">
      <c r="A14674" s="35" t="s">
        <v>41057</v>
      </c>
    </row>
    <row r="14675" spans="1:1">
      <c r="A14675" s="35" t="s">
        <v>41057</v>
      </c>
    </row>
    <row r="14676" spans="1:1">
      <c r="A14676" s="35" t="s">
        <v>41057</v>
      </c>
    </row>
    <row r="14677" spans="1:1">
      <c r="A14677" s="35" t="s">
        <v>41057</v>
      </c>
    </row>
    <row r="14678" spans="1:1">
      <c r="A14678" s="35" t="s">
        <v>41057</v>
      </c>
    </row>
    <row r="14679" spans="1:1">
      <c r="A14679" s="35" t="s">
        <v>41057</v>
      </c>
    </row>
    <row r="14680" spans="1:1">
      <c r="A14680" s="35" t="s">
        <v>41057</v>
      </c>
    </row>
    <row r="14681" spans="1:1">
      <c r="A14681" s="35" t="s">
        <v>41057</v>
      </c>
    </row>
    <row r="14682" spans="1:1">
      <c r="A14682" s="35" t="s">
        <v>41057</v>
      </c>
    </row>
    <row r="14683" spans="1:1">
      <c r="A14683" s="35" t="s">
        <v>41057</v>
      </c>
    </row>
    <row r="14684" spans="1:1">
      <c r="A14684" s="35" t="s">
        <v>41057</v>
      </c>
    </row>
    <row r="14685" spans="1:1">
      <c r="A14685" s="35" t="s">
        <v>41057</v>
      </c>
    </row>
    <row r="14686" spans="1:1">
      <c r="A14686" s="35" t="s">
        <v>41057</v>
      </c>
    </row>
    <row r="14687" spans="1:1">
      <c r="A14687" s="35" t="s">
        <v>41057</v>
      </c>
    </row>
    <row r="14688" spans="1:1">
      <c r="A14688" s="35" t="s">
        <v>41057</v>
      </c>
    </row>
    <row r="14689" spans="1:1">
      <c r="A14689" s="35" t="s">
        <v>41057</v>
      </c>
    </row>
    <row r="14690" spans="1:1">
      <c r="A14690" s="35" t="s">
        <v>41057</v>
      </c>
    </row>
    <row r="14691" spans="1:1">
      <c r="A14691" s="35" t="s">
        <v>41057</v>
      </c>
    </row>
    <row r="14692" spans="1:1">
      <c r="A14692" s="35" t="s">
        <v>41057</v>
      </c>
    </row>
    <row r="14693" spans="1:1">
      <c r="A14693" s="35" t="s">
        <v>41057</v>
      </c>
    </row>
    <row r="14694" spans="1:1">
      <c r="A14694" s="35" t="s">
        <v>41057</v>
      </c>
    </row>
    <row r="14695" spans="1:1">
      <c r="A14695" s="35" t="s">
        <v>41057</v>
      </c>
    </row>
    <row r="14696" spans="1:1">
      <c r="A14696" s="35" t="s">
        <v>41057</v>
      </c>
    </row>
    <row r="14697" spans="1:1">
      <c r="A14697" s="35" t="s">
        <v>41057</v>
      </c>
    </row>
    <row r="14698" spans="1:1">
      <c r="A14698" s="35" t="s">
        <v>41057</v>
      </c>
    </row>
    <row r="14699" spans="1:1">
      <c r="A14699" s="35" t="s">
        <v>41057</v>
      </c>
    </row>
    <row r="14700" spans="1:1">
      <c r="A14700" s="35" t="s">
        <v>41057</v>
      </c>
    </row>
    <row r="14701" spans="1:1">
      <c r="A14701" s="35" t="s">
        <v>41057</v>
      </c>
    </row>
    <row r="14702" spans="1:1">
      <c r="A14702" s="35" t="s">
        <v>41057</v>
      </c>
    </row>
    <row r="14703" spans="1:1">
      <c r="A14703" s="35" t="s">
        <v>41057</v>
      </c>
    </row>
    <row r="14704" spans="1:1">
      <c r="A14704" s="35" t="s">
        <v>57309</v>
      </c>
    </row>
    <row r="14705" spans="1:1">
      <c r="A14705" s="35" t="s">
        <v>57310</v>
      </c>
    </row>
    <row r="14706" spans="1:1">
      <c r="A14706" s="35" t="s">
        <v>57311</v>
      </c>
    </row>
    <row r="14707" spans="1:1">
      <c r="A14707" s="35" t="s">
        <v>41057</v>
      </c>
    </row>
    <row r="14708" spans="1:1">
      <c r="A14708" s="35" t="s">
        <v>41057</v>
      </c>
    </row>
    <row r="14709" spans="1:1">
      <c r="A14709" s="35" t="s">
        <v>57312</v>
      </c>
    </row>
    <row r="14710" spans="1:1">
      <c r="A14710" s="35" t="s">
        <v>41057</v>
      </c>
    </row>
    <row r="14711" spans="1:1">
      <c r="A14711" s="35" t="s">
        <v>55991</v>
      </c>
    </row>
    <row r="14712" spans="1:1">
      <c r="A14712" s="35" t="s">
        <v>57313</v>
      </c>
    </row>
    <row r="14713" spans="1:1">
      <c r="A14713" s="35" t="s">
        <v>57314</v>
      </c>
    </row>
    <row r="14714" spans="1:1">
      <c r="A14714" s="35" t="s">
        <v>41057</v>
      </c>
    </row>
    <row r="14715" spans="1:1">
      <c r="A14715" s="35" t="s">
        <v>41057</v>
      </c>
    </row>
    <row r="14716" spans="1:1">
      <c r="A14716" s="35" t="s">
        <v>41057</v>
      </c>
    </row>
    <row r="14717" spans="1:1">
      <c r="A14717" s="35" t="s">
        <v>41057</v>
      </c>
    </row>
    <row r="14718" spans="1:1">
      <c r="A14718" s="35" t="s">
        <v>57315</v>
      </c>
    </row>
    <row r="14719" spans="1:1">
      <c r="A14719" s="35" t="s">
        <v>41057</v>
      </c>
    </row>
    <row r="14720" spans="1:1">
      <c r="A14720" s="35" t="s">
        <v>57316</v>
      </c>
    </row>
    <row r="14721" spans="1:1">
      <c r="A14721" s="35" t="s">
        <v>57317</v>
      </c>
    </row>
    <row r="14722" spans="1:1">
      <c r="A14722" s="35" t="s">
        <v>57318</v>
      </c>
    </row>
    <row r="14723" spans="1:1">
      <c r="A14723" s="35" t="s">
        <v>57319</v>
      </c>
    </row>
    <row r="14724" spans="1:1">
      <c r="A14724" s="35" t="s">
        <v>41057</v>
      </c>
    </row>
    <row r="14725" spans="1:1">
      <c r="A14725" s="35" t="s">
        <v>41057</v>
      </c>
    </row>
    <row r="14726" spans="1:1">
      <c r="A14726" s="35" t="s">
        <v>57320</v>
      </c>
    </row>
    <row r="14727" spans="1:1">
      <c r="A14727" s="35" t="s">
        <v>57321</v>
      </c>
    </row>
    <row r="14728" spans="1:1">
      <c r="A14728" s="35" t="s">
        <v>41057</v>
      </c>
    </row>
    <row r="14729" spans="1:1">
      <c r="A14729" s="35" t="s">
        <v>57322</v>
      </c>
    </row>
    <row r="14730" spans="1:1">
      <c r="A14730" s="35" t="s">
        <v>41057</v>
      </c>
    </row>
    <row r="14731" spans="1:1">
      <c r="A14731" s="35" t="s">
        <v>57323</v>
      </c>
    </row>
    <row r="14732" spans="1:1">
      <c r="A14732" s="35" t="s">
        <v>41057</v>
      </c>
    </row>
    <row r="14733" spans="1:1">
      <c r="A14733" s="35" t="s">
        <v>57324</v>
      </c>
    </row>
    <row r="14734" spans="1:1">
      <c r="A14734" s="35" t="s">
        <v>57325</v>
      </c>
    </row>
    <row r="14735" spans="1:1">
      <c r="A14735" s="35" t="s">
        <v>41057</v>
      </c>
    </row>
    <row r="14736" spans="1:1">
      <c r="A14736" s="35" t="s">
        <v>41057</v>
      </c>
    </row>
    <row r="14737" spans="1:1">
      <c r="A14737" s="35" t="s">
        <v>41057</v>
      </c>
    </row>
    <row r="14738" spans="1:1">
      <c r="A14738" s="35" t="e" cm="1">
        <f t="array" ref="A14738">---------------------NDL---------------------------TINNPIGTT</f>
        <v>#NAME?</v>
      </c>
    </row>
    <row r="14739" spans="1:1">
      <c r="A14739" s="35" t="s">
        <v>57326</v>
      </c>
    </row>
    <row r="14740" spans="1:1">
      <c r="A14740" s="35" t="s">
        <v>57327</v>
      </c>
    </row>
    <row r="14741" spans="1:1">
      <c r="A14741" s="35" t="s">
        <v>57328</v>
      </c>
    </row>
    <row r="14742" spans="1:1">
      <c r="A14742" s="35" t="s">
        <v>57329</v>
      </c>
    </row>
    <row r="14743" spans="1:1">
      <c r="A14743" s="35" t="s">
        <v>57330</v>
      </c>
    </row>
    <row r="14744" spans="1:1">
      <c r="A14744" s="35" t="s">
        <v>57331</v>
      </c>
    </row>
    <row r="14745" spans="1:1">
      <c r="A14745" s="35" t="s">
        <v>41057</v>
      </c>
    </row>
    <row r="14746" spans="1:1">
      <c r="A14746" s="35" t="s">
        <v>57332</v>
      </c>
    </row>
    <row r="14747" spans="1:1">
      <c r="A14747" s="35" t="s">
        <v>57333</v>
      </c>
    </row>
    <row r="14748" spans="1:1">
      <c r="A14748" s="35" t="s">
        <v>57334</v>
      </c>
    </row>
    <row r="14749" spans="1:1">
      <c r="A14749" s="35" t="s">
        <v>41057</v>
      </c>
    </row>
    <row r="14750" spans="1:1">
      <c r="A14750" s="35" t="s">
        <v>53545</v>
      </c>
    </row>
    <row r="14751" spans="1:1">
      <c r="A14751" s="35" t="s">
        <v>57335</v>
      </c>
    </row>
    <row r="14752" spans="1:1">
      <c r="A14752" s="35" t="s">
        <v>41057</v>
      </c>
    </row>
    <row r="14753" spans="1:1">
      <c r="A14753" s="35" t="s">
        <v>41057</v>
      </c>
    </row>
    <row r="14754" spans="1:1">
      <c r="A14754" s="35" t="s">
        <v>41057</v>
      </c>
    </row>
    <row r="14755" spans="1:1">
      <c r="A14755" s="35" t="s">
        <v>41057</v>
      </c>
    </row>
    <row r="14756" spans="1:1">
      <c r="A14756" s="35" t="s">
        <v>41057</v>
      </c>
    </row>
    <row r="14757" spans="1:1">
      <c r="A14757" s="35" t="s">
        <v>41057</v>
      </c>
    </row>
    <row r="14758" spans="1:1">
      <c r="A14758" s="35" t="s">
        <v>41057</v>
      </c>
    </row>
    <row r="14759" spans="1:1">
      <c r="A14759" s="35" t="s">
        <v>41057</v>
      </c>
    </row>
    <row r="14760" spans="1:1">
      <c r="A14760" s="35" t="s">
        <v>41057</v>
      </c>
    </row>
    <row r="14761" spans="1:1">
      <c r="A14761" s="35" t="s">
        <v>41057</v>
      </c>
    </row>
    <row r="14762" spans="1:1">
      <c r="A14762" s="35" t="s">
        <v>57336</v>
      </c>
    </row>
    <row r="14763" spans="1:1">
      <c r="A14763" s="35" t="s">
        <v>41057</v>
      </c>
    </row>
    <row r="14764" spans="1:1">
      <c r="A14764" s="35" t="s">
        <v>41057</v>
      </c>
    </row>
    <row r="14765" spans="1:1">
      <c r="A14765" s="35" t="s">
        <v>41057</v>
      </c>
    </row>
    <row r="14766" spans="1:1">
      <c r="A14766" s="35" t="s">
        <v>41057</v>
      </c>
    </row>
    <row r="14767" spans="1:1">
      <c r="A14767" s="35" t="s">
        <v>41057</v>
      </c>
    </row>
    <row r="14768" spans="1:1">
      <c r="A14768" s="35" t="s">
        <v>41057</v>
      </c>
    </row>
    <row r="14769" spans="1:1">
      <c r="A14769" s="35" t="s">
        <v>41057</v>
      </c>
    </row>
    <row r="14770" spans="1:1">
      <c r="A14770" s="35" t="s">
        <v>41057</v>
      </c>
    </row>
    <row r="14771" spans="1:1">
      <c r="A14771" s="35" t="s">
        <v>41057</v>
      </c>
    </row>
    <row r="14772" spans="1:1">
      <c r="A14772" s="35" t="s">
        <v>41057</v>
      </c>
    </row>
    <row r="14773" spans="1:1">
      <c r="A14773" s="35" t="s">
        <v>41057</v>
      </c>
    </row>
    <row r="14774" spans="1:1">
      <c r="A14774" s="35" t="s">
        <v>41057</v>
      </c>
    </row>
    <row r="14775" spans="1:1">
      <c r="A14775" s="35" t="s">
        <v>41057</v>
      </c>
    </row>
    <row r="14776" spans="1:1">
      <c r="A14776" s="35" t="s">
        <v>41057</v>
      </c>
    </row>
    <row r="14777" spans="1:1">
      <c r="A14777" s="35" t="s">
        <v>41057</v>
      </c>
    </row>
    <row r="14778" spans="1:1">
      <c r="A14778" s="35" t="s">
        <v>41057</v>
      </c>
    </row>
    <row r="14779" spans="1:1">
      <c r="A14779" s="35" t="s">
        <v>41057</v>
      </c>
    </row>
    <row r="14780" spans="1:1">
      <c r="A14780" s="35" t="s">
        <v>41057</v>
      </c>
    </row>
    <row r="14781" spans="1:1">
      <c r="A14781" s="35" t="s">
        <v>41057</v>
      </c>
    </row>
    <row r="14782" spans="1:1">
      <c r="A14782" s="35" t="s">
        <v>41057</v>
      </c>
    </row>
    <row r="14783" spans="1:1">
      <c r="A14783" s="35" t="s">
        <v>41057</v>
      </c>
    </row>
    <row r="14784" spans="1:1">
      <c r="A14784" s="35" t="s">
        <v>41057</v>
      </c>
    </row>
    <row r="14785" spans="1:1">
      <c r="A14785" s="35" t="s">
        <v>41057</v>
      </c>
    </row>
    <row r="14786" spans="1:1">
      <c r="A14786" s="35" t="s">
        <v>41057</v>
      </c>
    </row>
    <row r="14787" spans="1:1">
      <c r="A14787" s="35" t="s">
        <v>41057</v>
      </c>
    </row>
    <row r="14788" spans="1:1">
      <c r="A14788" s="35" t="s">
        <v>41057</v>
      </c>
    </row>
    <row r="14789" spans="1:1">
      <c r="A14789" s="35" t="s">
        <v>41057</v>
      </c>
    </row>
    <row r="14790" spans="1:1">
      <c r="A14790" s="35" t="s">
        <v>41057</v>
      </c>
    </row>
    <row r="14791" spans="1:1">
      <c r="A14791" s="35" t="s">
        <v>41057</v>
      </c>
    </row>
    <row r="14792" spans="1:1">
      <c r="A14792" s="35" t="s">
        <v>41057</v>
      </c>
    </row>
    <row r="14793" spans="1:1">
      <c r="A14793" s="35" t="s">
        <v>41057</v>
      </c>
    </row>
    <row r="14794" spans="1:1">
      <c r="A14794" s="35" t="s">
        <v>41057</v>
      </c>
    </row>
    <row r="14795" spans="1:1">
      <c r="A14795" s="35" t="s">
        <v>41057</v>
      </c>
    </row>
    <row r="14796" spans="1:1">
      <c r="A14796" s="35" t="s">
        <v>41057</v>
      </c>
    </row>
    <row r="14797" spans="1:1">
      <c r="A14797" s="35" t="s">
        <v>41057</v>
      </c>
    </row>
    <row r="14798" spans="1:1">
      <c r="A14798" s="35" t="s">
        <v>41057</v>
      </c>
    </row>
    <row r="14799" spans="1:1">
      <c r="A14799" s="35" t="s">
        <v>41057</v>
      </c>
    </row>
    <row r="14800" spans="1:1">
      <c r="A14800" s="35" t="s">
        <v>41057</v>
      </c>
    </row>
    <row r="14801" spans="1:1">
      <c r="A14801" s="35" t="s">
        <v>41057</v>
      </c>
    </row>
    <row r="14802" spans="1:1">
      <c r="A14802" s="35" t="s">
        <v>41057</v>
      </c>
    </row>
    <row r="14803" spans="1:1">
      <c r="A14803" s="35" t="s">
        <v>41057</v>
      </c>
    </row>
    <row r="14804" spans="1:1">
      <c r="A14804" s="35" t="s">
        <v>41057</v>
      </c>
    </row>
    <row r="14805" spans="1:1">
      <c r="A14805" s="35" t="s">
        <v>41057</v>
      </c>
    </row>
    <row r="14806" spans="1:1">
      <c r="A14806" s="35" t="s">
        <v>41057</v>
      </c>
    </row>
    <row r="14807" spans="1:1">
      <c r="A14807" s="35" t="s">
        <v>41057</v>
      </c>
    </row>
    <row r="14808" spans="1:1">
      <c r="A14808" s="35" t="s">
        <v>41057</v>
      </c>
    </row>
    <row r="14809" spans="1:1">
      <c r="A14809" s="35" t="s">
        <v>41057</v>
      </c>
    </row>
    <row r="14810" spans="1:1">
      <c r="A14810" s="35" t="s">
        <v>41057</v>
      </c>
    </row>
    <row r="14811" spans="1:1">
      <c r="A14811" s="35" t="s">
        <v>41057</v>
      </c>
    </row>
    <row r="14812" spans="1:1">
      <c r="A14812" s="35" t="s">
        <v>41057</v>
      </c>
    </row>
    <row r="14813" spans="1:1">
      <c r="A14813" s="35" t="s">
        <v>41057</v>
      </c>
    </row>
    <row r="14814" spans="1:1">
      <c r="A14814" s="35" t="s">
        <v>41057</v>
      </c>
    </row>
    <row r="14815" spans="1:1">
      <c r="A14815" s="35" t="s">
        <v>41057</v>
      </c>
    </row>
    <row r="14816" spans="1:1">
      <c r="A14816" s="35" t="s">
        <v>41057</v>
      </c>
    </row>
    <row r="14817" spans="1:1">
      <c r="A14817" s="35" t="s">
        <v>41057</v>
      </c>
    </row>
    <row r="14818" spans="1:1">
      <c r="A14818" s="35" t="s">
        <v>41057</v>
      </c>
    </row>
    <row r="14819" spans="1:1">
      <c r="A14819" s="35" t="s">
        <v>41057</v>
      </c>
    </row>
    <row r="14820" spans="1:1">
      <c r="A14820" s="35" t="s">
        <v>41057</v>
      </c>
    </row>
    <row r="14821" spans="1:1">
      <c r="A14821" s="35" t="s">
        <v>41057</v>
      </c>
    </row>
    <row r="14822" spans="1:1">
      <c r="A14822" s="35" t="s">
        <v>41057</v>
      </c>
    </row>
    <row r="14823" spans="1:1">
      <c r="A14823" s="35" t="s">
        <v>41057</v>
      </c>
    </row>
    <row r="14824" spans="1:1">
      <c r="A14824" s="35" t="s">
        <v>41057</v>
      </c>
    </row>
    <row r="14825" spans="1:1">
      <c r="A14825" s="35" t="s">
        <v>41057</v>
      </c>
    </row>
    <row r="14826" spans="1:1">
      <c r="A14826" s="35" t="s">
        <v>41057</v>
      </c>
    </row>
    <row r="14827" spans="1:1">
      <c r="A14827" s="35" t="s">
        <v>41057</v>
      </c>
    </row>
    <row r="14828" spans="1:1">
      <c r="A14828" s="35" t="s">
        <v>41057</v>
      </c>
    </row>
    <row r="14829" spans="1:1">
      <c r="A14829" s="35" t="s">
        <v>41057</v>
      </c>
    </row>
    <row r="14830" spans="1:1">
      <c r="A14830" s="35" t="s">
        <v>41057</v>
      </c>
    </row>
    <row r="14831" spans="1:1">
      <c r="A14831" s="35" t="s">
        <v>41057</v>
      </c>
    </row>
    <row r="14832" spans="1:1">
      <c r="A14832" s="35" t="s">
        <v>41057</v>
      </c>
    </row>
    <row r="14833" spans="1:1">
      <c r="A14833" s="35" t="s">
        <v>41057</v>
      </c>
    </row>
    <row r="14834" spans="1:1">
      <c r="A14834" s="35" t="s">
        <v>41057</v>
      </c>
    </row>
    <row r="14835" spans="1:1">
      <c r="A14835" s="35" t="s">
        <v>41057</v>
      </c>
    </row>
    <row r="14836" spans="1:1">
      <c r="A14836" s="35" t="s">
        <v>41057</v>
      </c>
    </row>
    <row r="14837" spans="1:1">
      <c r="A14837" s="35" t="s">
        <v>41057</v>
      </c>
    </row>
    <row r="14838" spans="1:1">
      <c r="A14838" s="35" t="s">
        <v>41057</v>
      </c>
    </row>
    <row r="14839" spans="1:1">
      <c r="A14839" s="35" t="s">
        <v>41057</v>
      </c>
    </row>
    <row r="14840" spans="1:1">
      <c r="A14840" s="35" t="s">
        <v>41057</v>
      </c>
    </row>
    <row r="14841" spans="1:1">
      <c r="A14841" s="35" t="s">
        <v>41057</v>
      </c>
    </row>
    <row r="14842" spans="1:1">
      <c r="A14842" s="35" t="s">
        <v>41057</v>
      </c>
    </row>
    <row r="14843" spans="1:1">
      <c r="A14843" s="35" t="s">
        <v>41057</v>
      </c>
    </row>
    <row r="14844" spans="1:1">
      <c r="A14844" s="35" t="s">
        <v>41057</v>
      </c>
    </row>
    <row r="14845" spans="1:1">
      <c r="A14845" s="35" t="s">
        <v>41057</v>
      </c>
    </row>
    <row r="14846" spans="1:1">
      <c r="A14846" s="35" t="s">
        <v>41057</v>
      </c>
    </row>
    <row r="14847" spans="1:1">
      <c r="A14847" s="35" t="s">
        <v>41057</v>
      </c>
    </row>
    <row r="14848" spans="1:1">
      <c r="A14848" s="35" t="s">
        <v>41057</v>
      </c>
    </row>
    <row r="14849" spans="1:1">
      <c r="A14849" s="35" t="s">
        <v>41057</v>
      </c>
    </row>
    <row r="14850" spans="1:1">
      <c r="A14850" s="35" t="s">
        <v>41057</v>
      </c>
    </row>
    <row r="14851" spans="1:1">
      <c r="A14851" s="35" t="s">
        <v>41057</v>
      </c>
    </row>
    <row r="14852" spans="1:1">
      <c r="A14852" s="35" t="s">
        <v>41057</v>
      </c>
    </row>
    <row r="14853" spans="1:1">
      <c r="A14853" s="35" t="s">
        <v>41057</v>
      </c>
    </row>
    <row r="14854" spans="1:1">
      <c r="A14854" s="35" t="s">
        <v>41057</v>
      </c>
    </row>
    <row r="14855" spans="1:1">
      <c r="A14855" s="35" t="s">
        <v>41057</v>
      </c>
    </row>
    <row r="14856" spans="1:1">
      <c r="A14856" s="35" t="s">
        <v>41057</v>
      </c>
    </row>
    <row r="14857" spans="1:1">
      <c r="A14857" s="35" t="s">
        <v>41057</v>
      </c>
    </row>
    <row r="14858" spans="1:1">
      <c r="A14858" s="35" t="s">
        <v>41057</v>
      </c>
    </row>
    <row r="14859" spans="1:1">
      <c r="A14859" s="35" t="s">
        <v>41057</v>
      </c>
    </row>
    <row r="14860" spans="1:1">
      <c r="A14860" s="35" t="s">
        <v>57337</v>
      </c>
    </row>
    <row r="14861" spans="1:1">
      <c r="A14861" s="35" t="s">
        <v>57338</v>
      </c>
    </row>
    <row r="14862" spans="1:1">
      <c r="A14862" s="35" t="s">
        <v>57339</v>
      </c>
    </row>
    <row r="14863" spans="1:1">
      <c r="A14863" s="35" t="e" cm="1">
        <f t="array" ref="A14863">---------------------------------------------------------GNT</f>
        <v>#NAME?</v>
      </c>
    </row>
    <row r="14864" spans="1:1">
      <c r="A14864" s="35" t="s">
        <v>57340</v>
      </c>
    </row>
    <row r="14865" spans="1:1">
      <c r="A14865" s="35" t="s">
        <v>57341</v>
      </c>
    </row>
    <row r="14866" spans="1:1">
      <c r="A14866" s="35" t="s">
        <v>57342</v>
      </c>
    </row>
    <row r="14867" spans="1:1">
      <c r="A14867" s="35" t="s">
        <v>57343</v>
      </c>
    </row>
    <row r="14868" spans="1:1">
      <c r="A14868" s="35" t="s">
        <v>53545</v>
      </c>
    </row>
    <row r="14869" spans="1:1">
      <c r="A14869" s="35" t="s">
        <v>53334</v>
      </c>
    </row>
    <row r="14870" spans="1:1">
      <c r="A14870" s="35" t="s">
        <v>41057</v>
      </c>
    </row>
    <row r="14871" spans="1:1">
      <c r="A14871" s="35" t="s">
        <v>41057</v>
      </c>
    </row>
    <row r="14872" spans="1:1">
      <c r="A14872" s="35" t="s">
        <v>41057</v>
      </c>
    </row>
    <row r="14873" spans="1:1">
      <c r="A14873" s="35" t="s">
        <v>41057</v>
      </c>
    </row>
    <row r="14874" spans="1:1">
      <c r="A14874" s="35" t="s">
        <v>41057</v>
      </c>
    </row>
    <row r="14875" spans="1:1">
      <c r="A14875" s="35" t="s">
        <v>57344</v>
      </c>
    </row>
    <row r="14876" spans="1:1">
      <c r="A14876" s="35" t="s">
        <v>41057</v>
      </c>
    </row>
    <row r="14877" spans="1:1">
      <c r="A14877" s="35" t="s">
        <v>41057</v>
      </c>
    </row>
    <row r="14878" spans="1:1">
      <c r="A14878" s="35" t="s">
        <v>41057</v>
      </c>
    </row>
    <row r="14879" spans="1:1">
      <c r="A14879" s="35" t="s">
        <v>57345</v>
      </c>
    </row>
    <row r="14880" spans="1:1">
      <c r="A14880" s="35" t="s">
        <v>57346</v>
      </c>
    </row>
    <row r="14881" spans="1:1">
      <c r="A14881" s="35" t="s">
        <v>57347</v>
      </c>
    </row>
    <row r="14882" spans="1:1">
      <c r="A14882" s="35" t="s">
        <v>57348</v>
      </c>
    </row>
    <row r="14883" spans="1:1">
      <c r="A14883" s="35" t="s">
        <v>41057</v>
      </c>
    </row>
    <row r="14884" spans="1:1">
      <c r="A14884" s="35" t="s">
        <v>41057</v>
      </c>
    </row>
    <row r="14885" spans="1:1">
      <c r="A14885" s="35" t="s">
        <v>57349</v>
      </c>
    </row>
    <row r="14886" spans="1:1">
      <c r="A14886" s="35" t="s">
        <v>41057</v>
      </c>
    </row>
    <row r="14887" spans="1:1">
      <c r="A14887" s="35" t="s">
        <v>41057</v>
      </c>
    </row>
    <row r="14888" spans="1:1">
      <c r="A14888" s="35" t="s">
        <v>41057</v>
      </c>
    </row>
    <row r="14889" spans="1:1">
      <c r="A14889" s="35" t="s">
        <v>41057</v>
      </c>
    </row>
    <row r="14890" spans="1:1">
      <c r="A14890" s="35" t="s">
        <v>41057</v>
      </c>
    </row>
    <row r="14891" spans="1:1">
      <c r="A14891" s="35" t="s">
        <v>41057</v>
      </c>
    </row>
    <row r="14892" spans="1:1">
      <c r="A14892" s="35" t="s">
        <v>41057</v>
      </c>
    </row>
    <row r="14893" spans="1:1">
      <c r="A14893" s="35" t="s">
        <v>41057</v>
      </c>
    </row>
    <row r="14894" spans="1:1">
      <c r="A14894" s="35" t="s">
        <v>41057</v>
      </c>
    </row>
    <row r="14895" spans="1:1">
      <c r="A14895" s="35" t="s">
        <v>41057</v>
      </c>
    </row>
    <row r="14896" spans="1:1">
      <c r="A14896" s="35" t="s">
        <v>41057</v>
      </c>
    </row>
    <row r="14897" spans="1:1">
      <c r="A14897" s="35" t="s">
        <v>41057</v>
      </c>
    </row>
    <row r="14898" spans="1:1">
      <c r="A14898" s="35" t="s">
        <v>41057</v>
      </c>
    </row>
    <row r="14899" spans="1:1">
      <c r="A14899" s="35" t="s">
        <v>41057</v>
      </c>
    </row>
    <row r="14900" spans="1:1">
      <c r="A14900" s="35" t="s">
        <v>41057</v>
      </c>
    </row>
    <row r="14901" spans="1:1">
      <c r="A14901" s="35" t="s">
        <v>41057</v>
      </c>
    </row>
    <row r="14902" spans="1:1">
      <c r="A14902" s="35" t="s">
        <v>41057</v>
      </c>
    </row>
    <row r="14903" spans="1:1">
      <c r="A14903" s="35" t="s">
        <v>57350</v>
      </c>
    </row>
    <row r="14904" spans="1:1">
      <c r="A14904" s="35" t="s">
        <v>41057</v>
      </c>
    </row>
    <row r="14905" spans="1:1">
      <c r="A14905" s="35" t="s">
        <v>41057</v>
      </c>
    </row>
    <row r="14906" spans="1:1">
      <c r="A14906" s="35" t="s">
        <v>41057</v>
      </c>
    </row>
    <row r="14907" spans="1:1">
      <c r="A14907" s="35" t="s">
        <v>41057</v>
      </c>
    </row>
    <row r="14908" spans="1:1">
      <c r="A14908" s="35" t="s">
        <v>41057</v>
      </c>
    </row>
    <row r="14909" spans="1:1">
      <c r="A14909" s="35" t="s">
        <v>41057</v>
      </c>
    </row>
    <row r="14910" spans="1:1">
      <c r="A14910" s="35" t="s">
        <v>41057</v>
      </c>
    </row>
    <row r="14911" spans="1:1">
      <c r="A14911" s="35" t="s">
        <v>41057</v>
      </c>
    </row>
    <row r="14912" spans="1:1">
      <c r="A14912" s="35" t="s">
        <v>41057</v>
      </c>
    </row>
    <row r="14913" spans="1:1">
      <c r="A14913" s="35" t="s">
        <v>41057</v>
      </c>
    </row>
    <row r="14914" spans="1:1">
      <c r="A14914" s="35" t="s">
        <v>41057</v>
      </c>
    </row>
    <row r="14915" spans="1:1">
      <c r="A14915" s="35" t="s">
        <v>41057</v>
      </c>
    </row>
    <row r="14916" spans="1:1">
      <c r="A14916" s="35" t="s">
        <v>41057</v>
      </c>
    </row>
    <row r="14917" spans="1:1">
      <c r="A14917" s="35" t="s">
        <v>41057</v>
      </c>
    </row>
    <row r="14918" spans="1:1">
      <c r="A14918" s="35" t="s">
        <v>41057</v>
      </c>
    </row>
    <row r="14919" spans="1:1">
      <c r="A14919" s="35" t="s">
        <v>41057</v>
      </c>
    </row>
    <row r="14920" spans="1:1">
      <c r="A14920" s="35" t="s">
        <v>41057</v>
      </c>
    </row>
    <row r="14921" spans="1:1">
      <c r="A14921" s="35" t="s">
        <v>41057</v>
      </c>
    </row>
    <row r="14922" spans="1:1">
      <c r="A14922" s="35" t="s">
        <v>41057</v>
      </c>
    </row>
    <row r="14923" spans="1:1">
      <c r="A14923" s="35" t="s">
        <v>41057</v>
      </c>
    </row>
    <row r="14924" spans="1:1">
      <c r="A14924" s="35" t="s">
        <v>41057</v>
      </c>
    </row>
    <row r="14925" spans="1:1">
      <c r="A14925" s="35" t="s">
        <v>41057</v>
      </c>
    </row>
    <row r="14926" spans="1:1">
      <c r="A14926" s="35" t="s">
        <v>41057</v>
      </c>
    </row>
    <row r="14927" spans="1:1">
      <c r="A14927" s="35" t="s">
        <v>41057</v>
      </c>
    </row>
    <row r="14928" spans="1:1">
      <c r="A14928" s="35" t="s">
        <v>41057</v>
      </c>
    </row>
    <row r="14929" spans="1:1">
      <c r="A14929" s="35" t="s">
        <v>41057</v>
      </c>
    </row>
    <row r="14930" spans="1:1">
      <c r="A14930" s="35" t="s">
        <v>41057</v>
      </c>
    </row>
    <row r="14931" spans="1:1">
      <c r="A14931" s="35" t="s">
        <v>41057</v>
      </c>
    </row>
    <row r="14932" spans="1:1">
      <c r="A14932" s="35" t="s">
        <v>41057</v>
      </c>
    </row>
    <row r="14933" spans="1:1">
      <c r="A14933" s="35" t="s">
        <v>41057</v>
      </c>
    </row>
    <row r="14934" spans="1:1">
      <c r="A14934" s="35" t="s">
        <v>41057</v>
      </c>
    </row>
    <row r="14935" spans="1:1">
      <c r="A14935" s="35" t="s">
        <v>41057</v>
      </c>
    </row>
    <row r="14936" spans="1:1">
      <c r="A14936" s="35" t="s">
        <v>41057</v>
      </c>
    </row>
    <row r="14937" spans="1:1">
      <c r="A14937" s="35" t="s">
        <v>41057</v>
      </c>
    </row>
    <row r="14938" spans="1:1">
      <c r="A14938" s="35" t="s">
        <v>41057</v>
      </c>
    </row>
    <row r="14939" spans="1:1">
      <c r="A14939" s="35" t="s">
        <v>41057</v>
      </c>
    </row>
    <row r="14940" spans="1:1">
      <c r="A14940" s="35" t="s">
        <v>57351</v>
      </c>
    </row>
    <row r="14941" spans="1:1">
      <c r="A14941" s="35" t="s">
        <v>41057</v>
      </c>
    </row>
    <row r="14942" spans="1:1">
      <c r="A14942" s="35" t="s">
        <v>41057</v>
      </c>
    </row>
    <row r="14943" spans="1:1">
      <c r="A14943" s="35" t="s">
        <v>41057</v>
      </c>
    </row>
    <row r="14944" spans="1:1">
      <c r="A14944" s="35" t="s">
        <v>41057</v>
      </c>
    </row>
    <row r="14945" spans="1:1">
      <c r="A14945" s="35" t="s">
        <v>41057</v>
      </c>
    </row>
    <row r="14946" spans="1:1">
      <c r="A14946" s="35" t="s">
        <v>41057</v>
      </c>
    </row>
    <row r="14947" spans="1:1">
      <c r="A14947" s="35" t="s">
        <v>41057</v>
      </c>
    </row>
    <row r="14948" spans="1:1">
      <c r="A14948" s="35" t="s">
        <v>41057</v>
      </c>
    </row>
    <row r="14949" spans="1:1">
      <c r="A14949" s="35" t="s">
        <v>41057</v>
      </c>
    </row>
    <row r="14950" spans="1:1">
      <c r="A14950" s="35" t="s">
        <v>41057</v>
      </c>
    </row>
    <row r="14951" spans="1:1">
      <c r="A14951" s="35" t="s">
        <v>41057</v>
      </c>
    </row>
    <row r="14952" spans="1:1">
      <c r="A14952" s="35" t="s">
        <v>41057</v>
      </c>
    </row>
    <row r="14953" spans="1:1">
      <c r="A14953" s="35" t="s">
        <v>41057</v>
      </c>
    </row>
    <row r="14954" spans="1:1">
      <c r="A14954" s="35" t="s">
        <v>41057</v>
      </c>
    </row>
    <row r="14955" spans="1:1">
      <c r="A14955" s="35" t="s">
        <v>41057</v>
      </c>
    </row>
    <row r="14956" spans="1:1">
      <c r="A14956" s="35" t="s">
        <v>41057</v>
      </c>
    </row>
    <row r="14957" spans="1:1">
      <c r="A14957" s="35" t="s">
        <v>41057</v>
      </c>
    </row>
    <row r="14958" spans="1:1">
      <c r="A14958" s="35" t="s">
        <v>57352</v>
      </c>
    </row>
    <row r="14959" spans="1:1">
      <c r="A14959" s="35" t="s">
        <v>57353</v>
      </c>
    </row>
    <row r="14960" spans="1:1">
      <c r="A14960" s="35" t="s">
        <v>41057</v>
      </c>
    </row>
    <row r="14961" spans="1:1">
      <c r="A14961" s="35" t="s">
        <v>41057</v>
      </c>
    </row>
    <row r="14962" spans="1:1">
      <c r="A14962" s="35" t="s">
        <v>57354</v>
      </c>
    </row>
    <row r="14963" spans="1:1">
      <c r="A14963" s="35" t="s">
        <v>41057</v>
      </c>
    </row>
    <row r="14964" spans="1:1">
      <c r="A14964" s="35" t="s">
        <v>41057</v>
      </c>
    </row>
    <row r="14965" spans="1:1">
      <c r="A14965" s="35" t="s">
        <v>41057</v>
      </c>
    </row>
    <row r="14966" spans="1:1">
      <c r="A14966" s="35" t="s">
        <v>41057</v>
      </c>
    </row>
    <row r="14967" spans="1:1">
      <c r="A14967" s="35" t="s">
        <v>41057</v>
      </c>
    </row>
    <row r="14968" spans="1:1">
      <c r="A14968" s="35" t="s">
        <v>41057</v>
      </c>
    </row>
    <row r="14969" spans="1:1">
      <c r="A14969" s="35" t="s">
        <v>41057</v>
      </c>
    </row>
    <row r="14970" spans="1:1">
      <c r="A14970" s="35" t="s">
        <v>41057</v>
      </c>
    </row>
    <row r="14971" spans="1:1">
      <c r="A14971" s="35" t="s">
        <v>41057</v>
      </c>
    </row>
    <row r="14972" spans="1:1">
      <c r="A14972" s="35" t="s">
        <v>41057</v>
      </c>
    </row>
    <row r="14973" spans="1:1">
      <c r="A14973" s="35" t="s">
        <v>41057</v>
      </c>
    </row>
    <row r="14974" spans="1:1">
      <c r="A14974" s="35" t="s">
        <v>41057</v>
      </c>
    </row>
    <row r="14975" spans="1:1">
      <c r="A14975" s="35" t="s">
        <v>57355</v>
      </c>
    </row>
    <row r="14976" spans="1:1">
      <c r="A14976" s="35" t="s">
        <v>57356</v>
      </c>
    </row>
    <row r="14977" spans="1:1">
      <c r="A14977" s="35" t="s">
        <v>57357</v>
      </c>
    </row>
    <row r="14978" spans="1:1">
      <c r="A14978" s="35" t="s">
        <v>57358</v>
      </c>
    </row>
    <row r="14979" spans="1:1">
      <c r="A14979" s="35" t="s">
        <v>57338</v>
      </c>
    </row>
    <row r="14980" spans="1:1">
      <c r="A14980" s="35" t="s">
        <v>57359</v>
      </c>
    </row>
    <row r="14981" spans="1:1">
      <c r="A14981" s="35" t="e" cm="1">
        <f t="array" ref="A14981">---------------------------------------------------------GNA</f>
        <v>#NAME?</v>
      </c>
    </row>
    <row r="14982" spans="1:1">
      <c r="A14982" s="35" t="s">
        <v>57340</v>
      </c>
    </row>
    <row r="14983" spans="1:1">
      <c r="A14983" s="35" t="s">
        <v>57341</v>
      </c>
    </row>
    <row r="14984" spans="1:1">
      <c r="A14984" s="35" t="s">
        <v>57342</v>
      </c>
    </row>
    <row r="14985" spans="1:1">
      <c r="A14985" s="35" t="s">
        <v>57360</v>
      </c>
    </row>
    <row r="14986" spans="1:1">
      <c r="A14986" s="35" t="s">
        <v>53545</v>
      </c>
    </row>
    <row r="14987" spans="1:1">
      <c r="A14987" s="35" t="s">
        <v>57361</v>
      </c>
    </row>
    <row r="14988" spans="1:1">
      <c r="A14988" s="35" t="s">
        <v>41057</v>
      </c>
    </row>
    <row r="14989" spans="1:1">
      <c r="A14989" s="35" t="s">
        <v>41057</v>
      </c>
    </row>
    <row r="14990" spans="1:1">
      <c r="A14990" s="35" t="s">
        <v>41057</v>
      </c>
    </row>
    <row r="14991" spans="1:1">
      <c r="A14991" s="35" t="s">
        <v>41057</v>
      </c>
    </row>
    <row r="14992" spans="1:1">
      <c r="A14992" s="35" t="s">
        <v>41057</v>
      </c>
    </row>
    <row r="14993" spans="1:1">
      <c r="A14993" s="35" t="s">
        <v>57362</v>
      </c>
    </row>
    <row r="14994" spans="1:1">
      <c r="A14994" s="35" t="s">
        <v>41057</v>
      </c>
    </row>
    <row r="14995" spans="1:1">
      <c r="A14995" s="35" t="s">
        <v>41057</v>
      </c>
    </row>
    <row r="14996" spans="1:1">
      <c r="A14996" s="35" t="s">
        <v>41057</v>
      </c>
    </row>
    <row r="14997" spans="1:1">
      <c r="A14997" s="35" t="s">
        <v>57363</v>
      </c>
    </row>
    <row r="14998" spans="1:1">
      <c r="A14998" s="35" t="s">
        <v>41057</v>
      </c>
    </row>
    <row r="14999" spans="1:1">
      <c r="A14999" s="35" t="s">
        <v>41057</v>
      </c>
    </row>
    <row r="15000" spans="1:1">
      <c r="A15000" s="35" t="s">
        <v>41057</v>
      </c>
    </row>
    <row r="15001" spans="1:1">
      <c r="A15001" s="35" t="s">
        <v>41057</v>
      </c>
    </row>
    <row r="15002" spans="1:1">
      <c r="A15002" s="35" t="s">
        <v>41057</v>
      </c>
    </row>
    <row r="15003" spans="1:1">
      <c r="A15003" s="35" t="s">
        <v>57364</v>
      </c>
    </row>
    <row r="15004" spans="1:1">
      <c r="A15004" s="35" t="s">
        <v>41057</v>
      </c>
    </row>
    <row r="15005" spans="1:1">
      <c r="A15005" s="35" t="s">
        <v>41057</v>
      </c>
    </row>
    <row r="15006" spans="1:1">
      <c r="A15006" s="35" t="s">
        <v>41057</v>
      </c>
    </row>
    <row r="15007" spans="1:1">
      <c r="A15007" s="35" t="s">
        <v>41057</v>
      </c>
    </row>
    <row r="15008" spans="1:1">
      <c r="A15008" s="35" t="s">
        <v>41057</v>
      </c>
    </row>
    <row r="15009" spans="1:1">
      <c r="A15009" s="35" t="s">
        <v>41057</v>
      </c>
    </row>
    <row r="15010" spans="1:1">
      <c r="A15010" s="35" t="s">
        <v>41057</v>
      </c>
    </row>
    <row r="15011" spans="1:1">
      <c r="A15011" s="35" t="s">
        <v>41057</v>
      </c>
    </row>
    <row r="15012" spans="1:1">
      <c r="A15012" s="35" t="s">
        <v>41057</v>
      </c>
    </row>
    <row r="15013" spans="1:1">
      <c r="A15013" s="35" t="s">
        <v>41057</v>
      </c>
    </row>
    <row r="15014" spans="1:1">
      <c r="A15014" s="35" t="s">
        <v>41057</v>
      </c>
    </row>
    <row r="15015" spans="1:1">
      <c r="A15015" s="35" t="s">
        <v>41057</v>
      </c>
    </row>
    <row r="15016" spans="1:1">
      <c r="A15016" s="35" t="s">
        <v>41057</v>
      </c>
    </row>
    <row r="15017" spans="1:1">
      <c r="A15017" s="35" t="s">
        <v>41057</v>
      </c>
    </row>
    <row r="15018" spans="1:1">
      <c r="A15018" s="35" t="s">
        <v>41057</v>
      </c>
    </row>
    <row r="15019" spans="1:1">
      <c r="A15019" s="35" t="s">
        <v>41057</v>
      </c>
    </row>
    <row r="15020" spans="1:1">
      <c r="A15020" s="35" t="s">
        <v>41057</v>
      </c>
    </row>
    <row r="15021" spans="1:1">
      <c r="A15021" s="35" t="s">
        <v>57365</v>
      </c>
    </row>
    <row r="15022" spans="1:1">
      <c r="A15022" s="35" t="s">
        <v>41057</v>
      </c>
    </row>
    <row r="15023" spans="1:1">
      <c r="A15023" s="35" t="s">
        <v>41057</v>
      </c>
    </row>
    <row r="15024" spans="1:1">
      <c r="A15024" s="35" t="s">
        <v>41057</v>
      </c>
    </row>
    <row r="15025" spans="1:1">
      <c r="A15025" s="35" t="s">
        <v>41057</v>
      </c>
    </row>
    <row r="15026" spans="1:1">
      <c r="A15026" s="35" t="s">
        <v>41057</v>
      </c>
    </row>
    <row r="15027" spans="1:1">
      <c r="A15027" s="35" t="s">
        <v>41057</v>
      </c>
    </row>
    <row r="15028" spans="1:1">
      <c r="A15028" s="35" t="s">
        <v>41057</v>
      </c>
    </row>
    <row r="15029" spans="1:1">
      <c r="A15029" s="35" t="s">
        <v>41057</v>
      </c>
    </row>
    <row r="15030" spans="1:1">
      <c r="A15030" s="35" t="s">
        <v>41057</v>
      </c>
    </row>
    <row r="15031" spans="1:1">
      <c r="A15031" s="35" t="s">
        <v>41057</v>
      </c>
    </row>
    <row r="15032" spans="1:1">
      <c r="A15032" s="35" t="s">
        <v>41057</v>
      </c>
    </row>
    <row r="15033" spans="1:1">
      <c r="A15033" s="35" t="s">
        <v>41057</v>
      </c>
    </row>
    <row r="15034" spans="1:1">
      <c r="A15034" s="35" t="s">
        <v>41057</v>
      </c>
    </row>
    <row r="15035" spans="1:1">
      <c r="A15035" s="35" t="s">
        <v>41057</v>
      </c>
    </row>
    <row r="15036" spans="1:1">
      <c r="A15036" s="35" t="s">
        <v>41057</v>
      </c>
    </row>
    <row r="15037" spans="1:1">
      <c r="A15037" s="35" t="s">
        <v>41057</v>
      </c>
    </row>
    <row r="15038" spans="1:1">
      <c r="A15038" s="35" t="s">
        <v>41057</v>
      </c>
    </row>
    <row r="15039" spans="1:1">
      <c r="A15039" s="35" t="s">
        <v>41057</v>
      </c>
    </row>
    <row r="15040" spans="1:1">
      <c r="A15040" s="35" t="s">
        <v>41057</v>
      </c>
    </row>
    <row r="15041" spans="1:1">
      <c r="A15041" s="35" t="s">
        <v>41057</v>
      </c>
    </row>
    <row r="15042" spans="1:1">
      <c r="A15042" s="35" t="s">
        <v>41057</v>
      </c>
    </row>
    <row r="15043" spans="1:1">
      <c r="A15043" s="35" t="s">
        <v>41057</v>
      </c>
    </row>
    <row r="15044" spans="1:1">
      <c r="A15044" s="35" t="s">
        <v>41057</v>
      </c>
    </row>
    <row r="15045" spans="1:1">
      <c r="A15045" s="35" t="s">
        <v>41057</v>
      </c>
    </row>
    <row r="15046" spans="1:1">
      <c r="A15046" s="35" t="s">
        <v>41057</v>
      </c>
    </row>
    <row r="15047" spans="1:1">
      <c r="A15047" s="35" t="s">
        <v>41057</v>
      </c>
    </row>
    <row r="15048" spans="1:1">
      <c r="A15048" s="35" t="s">
        <v>41057</v>
      </c>
    </row>
    <row r="15049" spans="1:1">
      <c r="A15049" s="35" t="s">
        <v>41057</v>
      </c>
    </row>
    <row r="15050" spans="1:1">
      <c r="A15050" s="35" t="s">
        <v>41057</v>
      </c>
    </row>
    <row r="15051" spans="1:1">
      <c r="A15051" s="35" t="s">
        <v>41057</v>
      </c>
    </row>
    <row r="15052" spans="1:1">
      <c r="A15052" s="35" t="s">
        <v>41057</v>
      </c>
    </row>
    <row r="15053" spans="1:1">
      <c r="A15053" s="35" t="s">
        <v>41057</v>
      </c>
    </row>
    <row r="15054" spans="1:1">
      <c r="A15054" s="35" t="s">
        <v>41057</v>
      </c>
    </row>
    <row r="15055" spans="1:1">
      <c r="A15055" s="35" t="s">
        <v>41057</v>
      </c>
    </row>
    <row r="15056" spans="1:1">
      <c r="A15056" s="35" t="s">
        <v>41057</v>
      </c>
    </row>
    <row r="15057" spans="1:1">
      <c r="A15057" s="35" t="s">
        <v>41057</v>
      </c>
    </row>
    <row r="15058" spans="1:1">
      <c r="A15058" s="35" t="s">
        <v>41057</v>
      </c>
    </row>
    <row r="15059" spans="1:1">
      <c r="A15059" s="35" t="s">
        <v>41057</v>
      </c>
    </row>
    <row r="15060" spans="1:1">
      <c r="A15060" s="35" t="s">
        <v>41057</v>
      </c>
    </row>
    <row r="15061" spans="1:1">
      <c r="A15061" s="35" t="s">
        <v>41057</v>
      </c>
    </row>
    <row r="15062" spans="1:1">
      <c r="A15062" s="35" t="s">
        <v>41057</v>
      </c>
    </row>
    <row r="15063" spans="1:1">
      <c r="A15063" s="35" t="s">
        <v>41057</v>
      </c>
    </row>
    <row r="15064" spans="1:1">
      <c r="A15064" s="35" t="s">
        <v>41057</v>
      </c>
    </row>
    <row r="15065" spans="1:1">
      <c r="A15065" s="35" t="s">
        <v>41057</v>
      </c>
    </row>
    <row r="15066" spans="1:1">
      <c r="A15066" s="35" t="s">
        <v>41057</v>
      </c>
    </row>
    <row r="15067" spans="1:1">
      <c r="A15067" s="35" t="s">
        <v>41057</v>
      </c>
    </row>
    <row r="15068" spans="1:1">
      <c r="A15068" s="35" t="s">
        <v>41057</v>
      </c>
    </row>
    <row r="15069" spans="1:1">
      <c r="A15069" s="35" t="s">
        <v>41057</v>
      </c>
    </row>
    <row r="15070" spans="1:1">
      <c r="A15070" s="35" t="s">
        <v>41057</v>
      </c>
    </row>
    <row r="15071" spans="1:1">
      <c r="A15071" s="35" t="s">
        <v>41057</v>
      </c>
    </row>
    <row r="15072" spans="1:1">
      <c r="A15072" s="35" t="s">
        <v>41057</v>
      </c>
    </row>
    <row r="15073" spans="1:1">
      <c r="A15073" s="35" t="s">
        <v>41057</v>
      </c>
    </row>
    <row r="15074" spans="1:1">
      <c r="A15074" s="35" t="s">
        <v>41057</v>
      </c>
    </row>
    <row r="15075" spans="1:1">
      <c r="A15075" s="35" t="s">
        <v>41057</v>
      </c>
    </row>
    <row r="15076" spans="1:1">
      <c r="A15076" s="35" t="s">
        <v>41057</v>
      </c>
    </row>
    <row r="15077" spans="1:1">
      <c r="A15077" s="35" t="s">
        <v>41057</v>
      </c>
    </row>
    <row r="15078" spans="1:1">
      <c r="A15078" s="35" t="s">
        <v>41057</v>
      </c>
    </row>
    <row r="15079" spans="1:1">
      <c r="A15079" s="35" t="s">
        <v>41057</v>
      </c>
    </row>
    <row r="15080" spans="1:1">
      <c r="A15080" s="35" t="s">
        <v>41057</v>
      </c>
    </row>
    <row r="15081" spans="1:1">
      <c r="A15081" s="35" t="s">
        <v>41057</v>
      </c>
    </row>
    <row r="15082" spans="1:1">
      <c r="A15082" s="35" t="s">
        <v>41057</v>
      </c>
    </row>
    <row r="15083" spans="1:1">
      <c r="A15083" s="35" t="s">
        <v>41057</v>
      </c>
    </row>
    <row r="15084" spans="1:1">
      <c r="A15084" s="35" t="s">
        <v>41057</v>
      </c>
    </row>
    <row r="15085" spans="1:1">
      <c r="A15085" s="35" t="s">
        <v>41057</v>
      </c>
    </row>
    <row r="15086" spans="1:1">
      <c r="A15086" s="35" t="s">
        <v>41057</v>
      </c>
    </row>
    <row r="15087" spans="1:1">
      <c r="A15087" s="35" t="s">
        <v>41057</v>
      </c>
    </row>
    <row r="15088" spans="1:1">
      <c r="A15088" s="35" t="s">
        <v>41057</v>
      </c>
    </row>
    <row r="15089" spans="1:1">
      <c r="A15089" s="35" t="s">
        <v>41057</v>
      </c>
    </row>
    <row r="15090" spans="1:1">
      <c r="A15090" s="35" t="s">
        <v>41057</v>
      </c>
    </row>
    <row r="15091" spans="1:1">
      <c r="A15091" s="35" t="s">
        <v>41057</v>
      </c>
    </row>
    <row r="15092" spans="1:1">
      <c r="A15092" s="35" t="s">
        <v>41057</v>
      </c>
    </row>
    <row r="15093" spans="1:1">
      <c r="A15093" s="35" t="s">
        <v>57366</v>
      </c>
    </row>
    <row r="15094" spans="1:1">
      <c r="A15094" s="35" t="s">
        <v>57367</v>
      </c>
    </row>
    <row r="15095" spans="1:1">
      <c r="A15095" s="35" t="s">
        <v>41057</v>
      </c>
    </row>
    <row r="15096" spans="1:1">
      <c r="A15096" s="35" t="s">
        <v>57368</v>
      </c>
    </row>
    <row r="15097" spans="1:1">
      <c r="A15097" s="35" t="s">
        <v>57338</v>
      </c>
    </row>
    <row r="15098" spans="1:1">
      <c r="A15098" s="35" t="s">
        <v>57359</v>
      </c>
    </row>
    <row r="15099" spans="1:1">
      <c r="A15099" s="35" t="e" cm="1">
        <f t="array" ref="A15099">---------------------------------------------------------VNA</f>
        <v>#NAME?</v>
      </c>
    </row>
    <row r="15100" spans="1:1">
      <c r="A15100" s="35" t="s">
        <v>57369</v>
      </c>
    </row>
    <row r="15101" spans="1:1">
      <c r="A15101" s="35" t="s">
        <v>57341</v>
      </c>
    </row>
    <row r="15102" spans="1:1">
      <c r="A15102" s="35" t="s">
        <v>57342</v>
      </c>
    </row>
    <row r="15103" spans="1:1">
      <c r="A15103" s="35" t="s">
        <v>57343</v>
      </c>
    </row>
    <row r="15104" spans="1:1">
      <c r="A15104" s="35" t="s">
        <v>53545</v>
      </c>
    </row>
    <row r="15105" spans="1:1">
      <c r="A15105" s="35" t="s">
        <v>57370</v>
      </c>
    </row>
    <row r="15106" spans="1:1">
      <c r="A15106" s="35" t="s">
        <v>41057</v>
      </c>
    </row>
    <row r="15107" spans="1:1">
      <c r="A15107" s="35" t="s">
        <v>41057</v>
      </c>
    </row>
    <row r="15108" spans="1:1">
      <c r="A15108" s="35" t="s">
        <v>41057</v>
      </c>
    </row>
    <row r="15109" spans="1:1">
      <c r="A15109" s="35" t="s">
        <v>41057</v>
      </c>
    </row>
    <row r="15110" spans="1:1">
      <c r="A15110" s="35" t="s">
        <v>41057</v>
      </c>
    </row>
    <row r="15111" spans="1:1">
      <c r="A15111" s="35" t="s">
        <v>41057</v>
      </c>
    </row>
    <row r="15112" spans="1:1">
      <c r="A15112" s="35" t="s">
        <v>41057</v>
      </c>
    </row>
    <row r="15113" spans="1:1">
      <c r="A15113" s="35" t="s">
        <v>41057</v>
      </c>
    </row>
    <row r="15114" spans="1:1">
      <c r="A15114" s="35" t="s">
        <v>41057</v>
      </c>
    </row>
    <row r="15115" spans="1:1">
      <c r="A15115" s="35" t="s">
        <v>57371</v>
      </c>
    </row>
    <row r="15116" spans="1:1">
      <c r="A15116" s="35" t="s">
        <v>41057</v>
      </c>
    </row>
    <row r="15117" spans="1:1">
      <c r="A15117" s="35" t="s">
        <v>41057</v>
      </c>
    </row>
    <row r="15118" spans="1:1">
      <c r="A15118" s="35" t="s">
        <v>57372</v>
      </c>
    </row>
    <row r="15119" spans="1:1">
      <c r="A15119" s="35" t="s">
        <v>41057</v>
      </c>
    </row>
    <row r="15120" spans="1:1">
      <c r="A15120" s="35" t="s">
        <v>41057</v>
      </c>
    </row>
    <row r="15121" spans="1:1">
      <c r="A15121" s="35" t="s">
        <v>57373</v>
      </c>
    </row>
    <row r="15122" spans="1:1">
      <c r="A15122" s="35" t="s">
        <v>41057</v>
      </c>
    </row>
    <row r="15123" spans="1:1">
      <c r="A15123" s="35" t="s">
        <v>41057</v>
      </c>
    </row>
    <row r="15124" spans="1:1">
      <c r="A15124" s="35" t="s">
        <v>41057</v>
      </c>
    </row>
    <row r="15125" spans="1:1">
      <c r="A15125" s="35" t="s">
        <v>41057</v>
      </c>
    </row>
    <row r="15126" spans="1:1">
      <c r="A15126" s="35" t="s">
        <v>41057</v>
      </c>
    </row>
    <row r="15127" spans="1:1">
      <c r="A15127" s="35" t="s">
        <v>41057</v>
      </c>
    </row>
    <row r="15128" spans="1:1">
      <c r="A15128" s="35" t="s">
        <v>41057</v>
      </c>
    </row>
    <row r="15129" spans="1:1">
      <c r="A15129" s="35" t="s">
        <v>41057</v>
      </c>
    </row>
    <row r="15130" spans="1:1">
      <c r="A15130" s="35" t="s">
        <v>41057</v>
      </c>
    </row>
    <row r="15131" spans="1:1">
      <c r="A15131" s="35" t="s">
        <v>41057</v>
      </c>
    </row>
    <row r="15132" spans="1:1">
      <c r="A15132" s="35" t="s">
        <v>41057</v>
      </c>
    </row>
    <row r="15133" spans="1:1">
      <c r="A15133" s="35" t="s">
        <v>41057</v>
      </c>
    </row>
    <row r="15134" spans="1:1">
      <c r="A15134" s="35" t="s">
        <v>41057</v>
      </c>
    </row>
    <row r="15135" spans="1:1">
      <c r="A15135" s="35" t="s">
        <v>41057</v>
      </c>
    </row>
    <row r="15136" spans="1:1">
      <c r="A15136" s="35" t="s">
        <v>41057</v>
      </c>
    </row>
    <row r="15137" spans="1:1">
      <c r="A15137" s="35" t="s">
        <v>41057</v>
      </c>
    </row>
    <row r="15138" spans="1:1">
      <c r="A15138" s="35" t="s">
        <v>41057</v>
      </c>
    </row>
    <row r="15139" spans="1:1">
      <c r="A15139" s="35" t="s">
        <v>57374</v>
      </c>
    </row>
    <row r="15140" spans="1:1">
      <c r="A15140" s="35" t="s">
        <v>41057</v>
      </c>
    </row>
    <row r="15141" spans="1:1">
      <c r="A15141" s="35" t="s">
        <v>41057</v>
      </c>
    </row>
    <row r="15142" spans="1:1">
      <c r="A15142" s="35" t="s">
        <v>41057</v>
      </c>
    </row>
    <row r="15143" spans="1:1">
      <c r="A15143" s="35" t="s">
        <v>41057</v>
      </c>
    </row>
    <row r="15144" spans="1:1">
      <c r="A15144" s="35" t="s">
        <v>41057</v>
      </c>
    </row>
    <row r="15145" spans="1:1">
      <c r="A15145" s="35" t="s">
        <v>41057</v>
      </c>
    </row>
    <row r="15146" spans="1:1">
      <c r="A15146" s="35" t="s">
        <v>41057</v>
      </c>
    </row>
    <row r="15147" spans="1:1">
      <c r="A15147" s="35" t="s">
        <v>41057</v>
      </c>
    </row>
    <row r="15148" spans="1:1">
      <c r="A15148" s="35" t="s">
        <v>41057</v>
      </c>
    </row>
    <row r="15149" spans="1:1">
      <c r="A15149" s="35" t="s">
        <v>41057</v>
      </c>
    </row>
    <row r="15150" spans="1:1">
      <c r="A15150" s="35" t="s">
        <v>41057</v>
      </c>
    </row>
    <row r="15151" spans="1:1">
      <c r="A15151" s="35" t="s">
        <v>41057</v>
      </c>
    </row>
    <row r="15152" spans="1:1">
      <c r="A15152" s="35" t="s">
        <v>41057</v>
      </c>
    </row>
    <row r="15153" spans="1:1">
      <c r="A15153" s="35" t="s">
        <v>41057</v>
      </c>
    </row>
    <row r="15154" spans="1:1">
      <c r="A15154" s="35" t="s">
        <v>41057</v>
      </c>
    </row>
    <row r="15155" spans="1:1">
      <c r="A15155" s="35" t="s">
        <v>41057</v>
      </c>
    </row>
    <row r="15156" spans="1:1">
      <c r="A15156" s="35" t="s">
        <v>41057</v>
      </c>
    </row>
    <row r="15157" spans="1:1">
      <c r="A15157" s="35" t="s">
        <v>41057</v>
      </c>
    </row>
    <row r="15158" spans="1:1">
      <c r="A15158" s="35" t="s">
        <v>41057</v>
      </c>
    </row>
    <row r="15159" spans="1:1">
      <c r="A15159" s="35" t="s">
        <v>41057</v>
      </c>
    </row>
    <row r="15160" spans="1:1">
      <c r="A15160" s="35" t="s">
        <v>41057</v>
      </c>
    </row>
    <row r="15161" spans="1:1">
      <c r="A15161" s="35" t="s">
        <v>41057</v>
      </c>
    </row>
    <row r="15162" spans="1:1">
      <c r="A15162" s="35" t="s">
        <v>41057</v>
      </c>
    </row>
    <row r="15163" spans="1:1">
      <c r="A15163" s="35" t="s">
        <v>41057</v>
      </c>
    </row>
    <row r="15164" spans="1:1">
      <c r="A15164" s="35" t="s">
        <v>41057</v>
      </c>
    </row>
    <row r="15165" spans="1:1">
      <c r="A15165" s="35" t="s">
        <v>41057</v>
      </c>
    </row>
    <row r="15166" spans="1:1">
      <c r="A15166" s="35" t="s">
        <v>41057</v>
      </c>
    </row>
    <row r="15167" spans="1:1">
      <c r="A15167" s="35" t="s">
        <v>41057</v>
      </c>
    </row>
    <row r="15168" spans="1:1">
      <c r="A15168" s="35" t="s">
        <v>41057</v>
      </c>
    </row>
    <row r="15169" spans="1:1">
      <c r="A15169" s="35" t="s">
        <v>41057</v>
      </c>
    </row>
    <row r="15170" spans="1:1">
      <c r="A15170" s="35" t="s">
        <v>41057</v>
      </c>
    </row>
    <row r="15171" spans="1:1">
      <c r="A15171" s="35" t="s">
        <v>41057</v>
      </c>
    </row>
    <row r="15172" spans="1:1">
      <c r="A15172" s="35" t="s">
        <v>41057</v>
      </c>
    </row>
    <row r="15173" spans="1:1">
      <c r="A15173" s="35" t="s">
        <v>41057</v>
      </c>
    </row>
    <row r="15174" spans="1:1">
      <c r="A15174" s="35" t="s">
        <v>41057</v>
      </c>
    </row>
    <row r="15175" spans="1:1">
      <c r="A15175" s="35" t="s">
        <v>41057</v>
      </c>
    </row>
    <row r="15176" spans="1:1">
      <c r="A15176" s="35" t="s">
        <v>57375</v>
      </c>
    </row>
    <row r="15177" spans="1:1">
      <c r="A15177" s="35" t="s">
        <v>41057</v>
      </c>
    </row>
    <row r="15178" spans="1:1">
      <c r="A15178" s="35" t="s">
        <v>41057</v>
      </c>
    </row>
    <row r="15179" spans="1:1">
      <c r="A15179" s="35" t="s">
        <v>41057</v>
      </c>
    </row>
    <row r="15180" spans="1:1">
      <c r="A15180" s="35" t="s">
        <v>41057</v>
      </c>
    </row>
    <row r="15181" spans="1:1">
      <c r="A15181" s="35" t="s">
        <v>41057</v>
      </c>
    </row>
    <row r="15182" spans="1:1">
      <c r="A15182" s="35" t="s">
        <v>41057</v>
      </c>
    </row>
    <row r="15183" spans="1:1">
      <c r="A15183" s="35" t="s">
        <v>41057</v>
      </c>
    </row>
    <row r="15184" spans="1:1">
      <c r="A15184" s="35" t="s">
        <v>41057</v>
      </c>
    </row>
    <row r="15185" spans="1:1">
      <c r="A15185" s="35" t="s">
        <v>41057</v>
      </c>
    </row>
    <row r="15186" spans="1:1">
      <c r="A15186" s="35" t="s">
        <v>41057</v>
      </c>
    </row>
    <row r="15187" spans="1:1">
      <c r="A15187" s="35" t="s">
        <v>41057</v>
      </c>
    </row>
    <row r="15188" spans="1:1">
      <c r="A15188" s="35" t="s">
        <v>41057</v>
      </c>
    </row>
    <row r="15189" spans="1:1">
      <c r="A15189" s="35" t="s">
        <v>41057</v>
      </c>
    </row>
    <row r="15190" spans="1:1">
      <c r="A15190" s="35" t="s">
        <v>41057</v>
      </c>
    </row>
    <row r="15191" spans="1:1">
      <c r="A15191" s="35" t="s">
        <v>41057</v>
      </c>
    </row>
    <row r="15192" spans="1:1">
      <c r="A15192" s="35" t="s">
        <v>41057</v>
      </c>
    </row>
    <row r="15193" spans="1:1">
      <c r="A15193" s="35" t="s">
        <v>41057</v>
      </c>
    </row>
    <row r="15194" spans="1:1">
      <c r="A15194" s="35" t="s">
        <v>57376</v>
      </c>
    </row>
    <row r="15195" spans="1:1">
      <c r="A15195" s="35" t="s">
        <v>57377</v>
      </c>
    </row>
    <row r="15196" spans="1:1">
      <c r="A15196" s="35" t="s">
        <v>41057</v>
      </c>
    </row>
    <row r="15197" spans="1:1">
      <c r="A15197" s="35" t="s">
        <v>41057</v>
      </c>
    </row>
    <row r="15198" spans="1:1">
      <c r="A15198" s="35" t="s">
        <v>57378</v>
      </c>
    </row>
    <row r="15199" spans="1:1">
      <c r="A15199" s="35" t="s">
        <v>41057</v>
      </c>
    </row>
    <row r="15200" spans="1:1">
      <c r="A15200" s="35" t="s">
        <v>41057</v>
      </c>
    </row>
    <row r="15201" spans="1:1">
      <c r="A15201" s="35" t="s">
        <v>41057</v>
      </c>
    </row>
    <row r="15202" spans="1:1">
      <c r="A15202" s="35" t="s">
        <v>41057</v>
      </c>
    </row>
    <row r="15203" spans="1:1">
      <c r="A15203" s="35" t="s">
        <v>41057</v>
      </c>
    </row>
    <row r="15204" spans="1:1">
      <c r="A15204" s="35" t="s">
        <v>41057</v>
      </c>
    </row>
    <row r="15205" spans="1:1">
      <c r="A15205" s="35" t="s">
        <v>41057</v>
      </c>
    </row>
    <row r="15206" spans="1:1">
      <c r="A15206" s="35" t="s">
        <v>41057</v>
      </c>
    </row>
    <row r="15207" spans="1:1">
      <c r="A15207" s="35" t="s">
        <v>41057</v>
      </c>
    </row>
    <row r="15208" spans="1:1">
      <c r="A15208" s="35" t="s">
        <v>41057</v>
      </c>
    </row>
    <row r="15209" spans="1:1">
      <c r="A15209" s="35" t="s">
        <v>41057</v>
      </c>
    </row>
    <row r="15210" spans="1:1">
      <c r="A15210" s="35" t="s">
        <v>41057</v>
      </c>
    </row>
    <row r="15211" spans="1:1">
      <c r="A15211" s="35" t="s">
        <v>57379</v>
      </c>
    </row>
    <row r="15212" spans="1:1">
      <c r="A15212" s="35" t="s">
        <v>57380</v>
      </c>
    </row>
    <row r="15213" spans="1:1">
      <c r="A15213" s="35" t="s">
        <v>57357</v>
      </c>
    </row>
    <row r="15214" spans="1:1">
      <c r="A15214" s="35" t="s">
        <v>57381</v>
      </c>
    </row>
    <row r="15215" spans="1:1">
      <c r="A15215" s="35" t="s">
        <v>57338</v>
      </c>
    </row>
    <row r="15216" spans="1:1">
      <c r="A15216" s="35" t="s">
        <v>57339</v>
      </c>
    </row>
    <row r="15217" spans="1:1">
      <c r="A15217" s="35" t="e" cm="1">
        <f t="array" ref="A15217">---------------------------------------------------------GNA</f>
        <v>#NAME?</v>
      </c>
    </row>
    <row r="15218" spans="1:1">
      <c r="A15218" s="35" t="s">
        <v>57340</v>
      </c>
    </row>
    <row r="15219" spans="1:1">
      <c r="A15219" s="35" t="s">
        <v>57341</v>
      </c>
    </row>
    <row r="15220" spans="1:1">
      <c r="A15220" s="35" t="s">
        <v>57382</v>
      </c>
    </row>
    <row r="15221" spans="1:1">
      <c r="A15221" s="35" t="s">
        <v>41057</v>
      </c>
    </row>
    <row r="15222" spans="1:1">
      <c r="A15222" s="35" t="s">
        <v>53545</v>
      </c>
    </row>
    <row r="15223" spans="1:1">
      <c r="A15223" s="35" t="s">
        <v>57383</v>
      </c>
    </row>
    <row r="15224" spans="1:1">
      <c r="A15224" s="35" t="s">
        <v>41057</v>
      </c>
    </row>
    <row r="15225" spans="1:1">
      <c r="A15225" s="35" t="s">
        <v>41057</v>
      </c>
    </row>
    <row r="15226" spans="1:1">
      <c r="A15226" s="35" t="s">
        <v>41057</v>
      </c>
    </row>
    <row r="15227" spans="1:1">
      <c r="A15227" s="35" t="s">
        <v>41057</v>
      </c>
    </row>
    <row r="15228" spans="1:1">
      <c r="A15228" s="35" t="s">
        <v>41057</v>
      </c>
    </row>
    <row r="15229" spans="1:1">
      <c r="A15229" s="35" t="s">
        <v>41057</v>
      </c>
    </row>
    <row r="15230" spans="1:1">
      <c r="A15230" s="35" t="s">
        <v>41057</v>
      </c>
    </row>
    <row r="15231" spans="1:1">
      <c r="A15231" s="35" t="s">
        <v>41057</v>
      </c>
    </row>
    <row r="15232" spans="1:1">
      <c r="A15232" s="35" t="s">
        <v>41057</v>
      </c>
    </row>
    <row r="15233" spans="1:1">
      <c r="A15233" s="35" t="s">
        <v>41057</v>
      </c>
    </row>
    <row r="15234" spans="1:1">
      <c r="A15234" s="35" t="s">
        <v>41057</v>
      </c>
    </row>
    <row r="15235" spans="1:1">
      <c r="A15235" s="35" t="s">
        <v>41057</v>
      </c>
    </row>
    <row r="15236" spans="1:1">
      <c r="A15236" s="35" t="s">
        <v>41057</v>
      </c>
    </row>
    <row r="15237" spans="1:1">
      <c r="A15237" s="35" t="s">
        <v>41057</v>
      </c>
    </row>
    <row r="15238" spans="1:1">
      <c r="A15238" s="35" t="s">
        <v>41057</v>
      </c>
    </row>
    <row r="15239" spans="1:1">
      <c r="A15239" s="35" t="s">
        <v>41057</v>
      </c>
    </row>
    <row r="15240" spans="1:1">
      <c r="A15240" s="35" t="s">
        <v>41057</v>
      </c>
    </row>
    <row r="15241" spans="1:1">
      <c r="A15241" s="35" t="s">
        <v>41057</v>
      </c>
    </row>
    <row r="15242" spans="1:1">
      <c r="A15242" s="35" t="s">
        <v>41057</v>
      </c>
    </row>
    <row r="15243" spans="1:1">
      <c r="A15243" s="35" t="s">
        <v>41057</v>
      </c>
    </row>
    <row r="15244" spans="1:1">
      <c r="A15244" s="35" t="s">
        <v>41057</v>
      </c>
    </row>
    <row r="15245" spans="1:1">
      <c r="A15245" s="35" t="s">
        <v>41057</v>
      </c>
    </row>
    <row r="15246" spans="1:1">
      <c r="A15246" s="35" t="s">
        <v>41057</v>
      </c>
    </row>
    <row r="15247" spans="1:1">
      <c r="A15247" s="35" t="s">
        <v>41057</v>
      </c>
    </row>
    <row r="15248" spans="1:1">
      <c r="A15248" s="35" t="s">
        <v>41057</v>
      </c>
    </row>
    <row r="15249" spans="1:1">
      <c r="A15249" s="35" t="s">
        <v>41057</v>
      </c>
    </row>
    <row r="15250" spans="1:1">
      <c r="A15250" s="35" t="s">
        <v>41057</v>
      </c>
    </row>
    <row r="15251" spans="1:1">
      <c r="A15251" s="35" t="s">
        <v>41057</v>
      </c>
    </row>
    <row r="15252" spans="1:1">
      <c r="A15252" s="35" t="s">
        <v>41057</v>
      </c>
    </row>
    <row r="15253" spans="1:1">
      <c r="A15253" s="35" t="s">
        <v>41057</v>
      </c>
    </row>
    <row r="15254" spans="1:1">
      <c r="A15254" s="35" t="s">
        <v>41057</v>
      </c>
    </row>
    <row r="15255" spans="1:1">
      <c r="A15255" s="35" t="s">
        <v>41057</v>
      </c>
    </row>
    <row r="15256" spans="1:1">
      <c r="A15256" s="35" t="s">
        <v>41057</v>
      </c>
    </row>
    <row r="15257" spans="1:1">
      <c r="A15257" s="35" t="s">
        <v>41057</v>
      </c>
    </row>
    <row r="15258" spans="1:1">
      <c r="A15258" s="35" t="s">
        <v>41057</v>
      </c>
    </row>
    <row r="15259" spans="1:1">
      <c r="A15259" s="35" t="s">
        <v>41057</v>
      </c>
    </row>
    <row r="15260" spans="1:1">
      <c r="A15260" s="35" t="s">
        <v>41057</v>
      </c>
    </row>
    <row r="15261" spans="1:1">
      <c r="A15261" s="35" t="s">
        <v>41057</v>
      </c>
    </row>
    <row r="15262" spans="1:1">
      <c r="A15262" s="35" t="s">
        <v>41057</v>
      </c>
    </row>
    <row r="15263" spans="1:1">
      <c r="A15263" s="35" t="s">
        <v>41057</v>
      </c>
    </row>
    <row r="15264" spans="1:1">
      <c r="A15264" s="35" t="s">
        <v>41057</v>
      </c>
    </row>
    <row r="15265" spans="1:1">
      <c r="A15265" s="35" t="s">
        <v>41057</v>
      </c>
    </row>
    <row r="15266" spans="1:1">
      <c r="A15266" s="35" t="s">
        <v>41057</v>
      </c>
    </row>
    <row r="15267" spans="1:1">
      <c r="A15267" s="35" t="s">
        <v>41057</v>
      </c>
    </row>
    <row r="15268" spans="1:1">
      <c r="A15268" s="35" t="s">
        <v>41057</v>
      </c>
    </row>
    <row r="15269" spans="1:1">
      <c r="A15269" s="35" t="s">
        <v>41057</v>
      </c>
    </row>
    <row r="15270" spans="1:1">
      <c r="A15270" s="35" t="s">
        <v>41057</v>
      </c>
    </row>
    <row r="15271" spans="1:1">
      <c r="A15271" s="35" t="s">
        <v>41057</v>
      </c>
    </row>
    <row r="15272" spans="1:1">
      <c r="A15272" s="35" t="s">
        <v>41057</v>
      </c>
    </row>
    <row r="15273" spans="1:1">
      <c r="A15273" s="35" t="s">
        <v>41057</v>
      </c>
    </row>
    <row r="15274" spans="1:1">
      <c r="A15274" s="35" t="s">
        <v>41057</v>
      </c>
    </row>
    <row r="15275" spans="1:1">
      <c r="A15275" s="35" t="s">
        <v>41057</v>
      </c>
    </row>
    <row r="15276" spans="1:1">
      <c r="A15276" s="35" t="s">
        <v>41057</v>
      </c>
    </row>
    <row r="15277" spans="1:1">
      <c r="A15277" s="35" t="s">
        <v>41057</v>
      </c>
    </row>
    <row r="15278" spans="1:1">
      <c r="A15278" s="35" t="s">
        <v>41057</v>
      </c>
    </row>
    <row r="15279" spans="1:1">
      <c r="A15279" s="35" t="s">
        <v>41057</v>
      </c>
    </row>
    <row r="15280" spans="1:1">
      <c r="A15280" s="35" t="s">
        <v>41057</v>
      </c>
    </row>
    <row r="15281" spans="1:1">
      <c r="A15281" s="35" t="s">
        <v>41057</v>
      </c>
    </row>
    <row r="15282" spans="1:1">
      <c r="A15282" s="35" t="s">
        <v>41057</v>
      </c>
    </row>
    <row r="15283" spans="1:1">
      <c r="A15283" s="35" t="s">
        <v>41057</v>
      </c>
    </row>
    <row r="15284" spans="1:1">
      <c r="A15284" s="35" t="s">
        <v>41057</v>
      </c>
    </row>
    <row r="15285" spans="1:1">
      <c r="A15285" s="35" t="s">
        <v>41057</v>
      </c>
    </row>
    <row r="15286" spans="1:1">
      <c r="A15286" s="35" t="s">
        <v>41057</v>
      </c>
    </row>
    <row r="15287" spans="1:1">
      <c r="A15287" s="35" t="s">
        <v>41057</v>
      </c>
    </row>
    <row r="15288" spans="1:1">
      <c r="A15288" s="35" t="s">
        <v>41057</v>
      </c>
    </row>
    <row r="15289" spans="1:1">
      <c r="A15289" s="35" t="s">
        <v>41057</v>
      </c>
    </row>
    <row r="15290" spans="1:1">
      <c r="A15290" s="35" t="s">
        <v>41057</v>
      </c>
    </row>
    <row r="15291" spans="1:1">
      <c r="A15291" s="35" t="s">
        <v>41057</v>
      </c>
    </row>
    <row r="15292" spans="1:1">
      <c r="A15292" s="35" t="s">
        <v>41057</v>
      </c>
    </row>
    <row r="15293" spans="1:1">
      <c r="A15293" s="35" t="s">
        <v>41057</v>
      </c>
    </row>
    <row r="15294" spans="1:1">
      <c r="A15294" s="35" t="s">
        <v>57384</v>
      </c>
    </row>
    <row r="15295" spans="1:1">
      <c r="A15295" s="35" t="s">
        <v>41057</v>
      </c>
    </row>
    <row r="15296" spans="1:1">
      <c r="A15296" s="35" t="s">
        <v>41057</v>
      </c>
    </row>
    <row r="15297" spans="1:1">
      <c r="A15297" s="35" t="s">
        <v>41057</v>
      </c>
    </row>
    <row r="15298" spans="1:1">
      <c r="A15298" s="35" t="s">
        <v>41057</v>
      </c>
    </row>
    <row r="15299" spans="1:1">
      <c r="A15299" s="35" t="s">
        <v>41057</v>
      </c>
    </row>
    <row r="15300" spans="1:1">
      <c r="A15300" s="35" t="s">
        <v>41057</v>
      </c>
    </row>
    <row r="15301" spans="1:1">
      <c r="A15301" s="35" t="s">
        <v>41057</v>
      </c>
    </row>
    <row r="15302" spans="1:1">
      <c r="A15302" s="35" t="s">
        <v>41057</v>
      </c>
    </row>
    <row r="15303" spans="1:1">
      <c r="A15303" s="35" t="s">
        <v>41057</v>
      </c>
    </row>
    <row r="15304" spans="1:1">
      <c r="A15304" s="35" t="s">
        <v>41057</v>
      </c>
    </row>
    <row r="15305" spans="1:1">
      <c r="A15305" s="35" t="s">
        <v>41057</v>
      </c>
    </row>
    <row r="15306" spans="1:1">
      <c r="A15306" s="35" t="s">
        <v>41057</v>
      </c>
    </row>
    <row r="15307" spans="1:1">
      <c r="A15307" s="35" t="s">
        <v>41057</v>
      </c>
    </row>
    <row r="15308" spans="1:1">
      <c r="A15308" s="35" t="s">
        <v>41057</v>
      </c>
    </row>
    <row r="15309" spans="1:1">
      <c r="A15309" s="35" t="s">
        <v>41057</v>
      </c>
    </row>
    <row r="15310" spans="1:1">
      <c r="A15310" s="35" t="s">
        <v>41057</v>
      </c>
    </row>
    <row r="15311" spans="1:1">
      <c r="A15311" s="35" t="s">
        <v>41057</v>
      </c>
    </row>
    <row r="15312" spans="1:1">
      <c r="A15312" s="35" t="s">
        <v>57385</v>
      </c>
    </row>
    <row r="15313" spans="1:1">
      <c r="A15313" s="35" t="s">
        <v>57386</v>
      </c>
    </row>
    <row r="15314" spans="1:1">
      <c r="A15314" s="35" t="s">
        <v>41057</v>
      </c>
    </row>
    <row r="15315" spans="1:1">
      <c r="A15315" s="35" t="s">
        <v>41057</v>
      </c>
    </row>
    <row r="15316" spans="1:1">
      <c r="A15316" s="35" t="s">
        <v>57387</v>
      </c>
    </row>
    <row r="15317" spans="1:1">
      <c r="A15317" s="35" t="s">
        <v>41057</v>
      </c>
    </row>
    <row r="15318" spans="1:1">
      <c r="A15318" s="35" t="s">
        <v>41057</v>
      </c>
    </row>
    <row r="15319" spans="1:1">
      <c r="A15319" s="35" t="s">
        <v>41057</v>
      </c>
    </row>
    <row r="15320" spans="1:1">
      <c r="A15320" s="35" t="s">
        <v>41057</v>
      </c>
    </row>
    <row r="15321" spans="1:1">
      <c r="A15321" s="35" t="s">
        <v>41057</v>
      </c>
    </row>
    <row r="15322" spans="1:1">
      <c r="A15322" s="35" t="s">
        <v>41057</v>
      </c>
    </row>
    <row r="15323" spans="1:1">
      <c r="A15323" s="35" t="s">
        <v>41057</v>
      </c>
    </row>
    <row r="15324" spans="1:1">
      <c r="A15324" s="35" t="s">
        <v>41057</v>
      </c>
    </row>
    <row r="15325" spans="1:1">
      <c r="A15325" s="35" t="s">
        <v>41057</v>
      </c>
    </row>
    <row r="15326" spans="1:1">
      <c r="A15326" s="35" t="s">
        <v>41057</v>
      </c>
    </row>
    <row r="15327" spans="1:1">
      <c r="A15327" s="35" t="s">
        <v>41057</v>
      </c>
    </row>
    <row r="15328" spans="1:1">
      <c r="A15328" s="35" t="s">
        <v>41057</v>
      </c>
    </row>
    <row r="15329" spans="1:1">
      <c r="A15329" s="35" t="s">
        <v>57388</v>
      </c>
    </row>
    <row r="15330" spans="1:1">
      <c r="A15330" s="35" t="s">
        <v>57389</v>
      </c>
    </row>
    <row r="15331" spans="1:1">
      <c r="A15331" s="35" t="s">
        <v>57390</v>
      </c>
    </row>
    <row r="15332" spans="1:1">
      <c r="A15332" s="35" t="s">
        <v>57391</v>
      </c>
    </row>
    <row r="15333" spans="1:1">
      <c r="A15333" s="35" t="s">
        <v>57338</v>
      </c>
    </row>
    <row r="15334" spans="1:1">
      <c r="A15334" s="35" t="s">
        <v>57392</v>
      </c>
    </row>
    <row r="15335" spans="1:1">
      <c r="A15335" s="35" t="e" cm="1">
        <f t="array" ref="A15335">---------------------------------------------------------ANA</f>
        <v>#NAME?</v>
      </c>
    </row>
    <row r="15336" spans="1:1">
      <c r="A15336" s="35" t="s">
        <v>57340</v>
      </c>
    </row>
    <row r="15337" spans="1:1">
      <c r="A15337" s="35" t="s">
        <v>57341</v>
      </c>
    </row>
    <row r="15338" spans="1:1">
      <c r="A15338" s="35" t="s">
        <v>57393</v>
      </c>
    </row>
    <row r="15339" spans="1:1">
      <c r="A15339" s="35" t="s">
        <v>57394</v>
      </c>
    </row>
    <row r="15340" spans="1:1">
      <c r="A15340" s="35" t="s">
        <v>57395</v>
      </c>
    </row>
    <row r="15341" spans="1:1">
      <c r="A15341" s="35" t="s">
        <v>57396</v>
      </c>
    </row>
    <row r="15342" spans="1:1">
      <c r="A15342" s="35" t="s">
        <v>41057</v>
      </c>
    </row>
    <row r="15343" spans="1:1">
      <c r="A15343" s="35" t="s">
        <v>41057</v>
      </c>
    </row>
    <row r="15344" spans="1:1">
      <c r="A15344" s="35" t="s">
        <v>41057</v>
      </c>
    </row>
    <row r="15345" spans="1:1">
      <c r="A15345" s="35" t="s">
        <v>41057</v>
      </c>
    </row>
    <row r="15346" spans="1:1">
      <c r="A15346" s="35" t="s">
        <v>41057</v>
      </c>
    </row>
    <row r="15347" spans="1:1">
      <c r="A15347" s="35" t="s">
        <v>41057</v>
      </c>
    </row>
    <row r="15348" spans="1:1">
      <c r="A15348" s="35" t="s">
        <v>41057</v>
      </c>
    </row>
    <row r="15349" spans="1:1">
      <c r="A15349" s="35" t="s">
        <v>41057</v>
      </c>
    </row>
    <row r="15350" spans="1:1">
      <c r="A15350" s="35" t="s">
        <v>41057</v>
      </c>
    </row>
    <row r="15351" spans="1:1">
      <c r="A15351" s="35" t="s">
        <v>41057</v>
      </c>
    </row>
    <row r="15352" spans="1:1">
      <c r="A15352" s="35" t="s">
        <v>41057</v>
      </c>
    </row>
    <row r="15353" spans="1:1">
      <c r="A15353" s="35" t="s">
        <v>41057</v>
      </c>
    </row>
    <row r="15354" spans="1:1">
      <c r="A15354" s="35" t="s">
        <v>41057</v>
      </c>
    </row>
    <row r="15355" spans="1:1">
      <c r="A15355" s="35" t="s">
        <v>41057</v>
      </c>
    </row>
    <row r="15356" spans="1:1">
      <c r="A15356" s="35" t="s">
        <v>41057</v>
      </c>
    </row>
    <row r="15357" spans="1:1">
      <c r="A15357" s="35" t="s">
        <v>41057</v>
      </c>
    </row>
    <row r="15358" spans="1:1">
      <c r="A15358" s="35" t="s">
        <v>41057</v>
      </c>
    </row>
    <row r="15359" spans="1:1">
      <c r="A15359" s="35" t="s">
        <v>41057</v>
      </c>
    </row>
    <row r="15360" spans="1:1">
      <c r="A15360" s="35" t="s">
        <v>41057</v>
      </c>
    </row>
    <row r="15361" spans="1:1">
      <c r="A15361" s="35" t="s">
        <v>41057</v>
      </c>
    </row>
    <row r="15362" spans="1:1">
      <c r="A15362" s="35" t="s">
        <v>41057</v>
      </c>
    </row>
    <row r="15363" spans="1:1">
      <c r="A15363" s="35" t="s">
        <v>41057</v>
      </c>
    </row>
    <row r="15364" spans="1:1">
      <c r="A15364" s="35" t="s">
        <v>41057</v>
      </c>
    </row>
    <row r="15365" spans="1:1">
      <c r="A15365" s="35" t="s">
        <v>41057</v>
      </c>
    </row>
    <row r="15366" spans="1:1">
      <c r="A15366" s="35" t="s">
        <v>41057</v>
      </c>
    </row>
    <row r="15367" spans="1:1">
      <c r="A15367" s="35" t="s">
        <v>41057</v>
      </c>
    </row>
    <row r="15368" spans="1:1">
      <c r="A15368" s="35" t="s">
        <v>41057</v>
      </c>
    </row>
    <row r="15369" spans="1:1">
      <c r="A15369" s="35" t="s">
        <v>41057</v>
      </c>
    </row>
    <row r="15370" spans="1:1">
      <c r="A15370" s="35" t="s">
        <v>41057</v>
      </c>
    </row>
    <row r="15371" spans="1:1">
      <c r="A15371" s="35" t="s">
        <v>41057</v>
      </c>
    </row>
    <row r="15372" spans="1:1">
      <c r="A15372" s="35" t="s">
        <v>41057</v>
      </c>
    </row>
    <row r="15373" spans="1:1">
      <c r="A15373" s="35" t="s">
        <v>41057</v>
      </c>
    </row>
    <row r="15374" spans="1:1">
      <c r="A15374" s="35" t="s">
        <v>41057</v>
      </c>
    </row>
    <row r="15375" spans="1:1">
      <c r="A15375" s="35" t="s">
        <v>57397</v>
      </c>
    </row>
    <row r="15376" spans="1:1">
      <c r="A15376" s="35" t="s">
        <v>41057</v>
      </c>
    </row>
    <row r="15377" spans="1:1">
      <c r="A15377" s="35" t="s">
        <v>41057</v>
      </c>
    </row>
    <row r="15378" spans="1:1">
      <c r="A15378" s="35" t="s">
        <v>41057</v>
      </c>
    </row>
    <row r="15379" spans="1:1">
      <c r="A15379" s="35" t="s">
        <v>41057</v>
      </c>
    </row>
    <row r="15380" spans="1:1">
      <c r="A15380" s="35" t="s">
        <v>41057</v>
      </c>
    </row>
    <row r="15381" spans="1:1">
      <c r="A15381" s="35" t="s">
        <v>41057</v>
      </c>
    </row>
    <row r="15382" spans="1:1">
      <c r="A15382" s="35" t="s">
        <v>41057</v>
      </c>
    </row>
    <row r="15383" spans="1:1">
      <c r="A15383" s="35" t="s">
        <v>41057</v>
      </c>
    </row>
    <row r="15384" spans="1:1">
      <c r="A15384" s="35" t="s">
        <v>41057</v>
      </c>
    </row>
    <row r="15385" spans="1:1">
      <c r="A15385" s="35" t="s">
        <v>41057</v>
      </c>
    </row>
    <row r="15386" spans="1:1">
      <c r="A15386" s="35" t="s">
        <v>41057</v>
      </c>
    </row>
    <row r="15387" spans="1:1">
      <c r="A15387" s="35" t="s">
        <v>41057</v>
      </c>
    </row>
    <row r="15388" spans="1:1">
      <c r="A15388" s="35" t="s">
        <v>41057</v>
      </c>
    </row>
    <row r="15389" spans="1:1">
      <c r="A15389" s="35" t="s">
        <v>41057</v>
      </c>
    </row>
    <row r="15390" spans="1:1">
      <c r="A15390" s="35" t="s">
        <v>41057</v>
      </c>
    </row>
    <row r="15391" spans="1:1">
      <c r="A15391" s="35" t="s">
        <v>41057</v>
      </c>
    </row>
    <row r="15392" spans="1:1">
      <c r="A15392" s="35" t="s">
        <v>41057</v>
      </c>
    </row>
    <row r="15393" spans="1:1">
      <c r="A15393" s="35" t="s">
        <v>41057</v>
      </c>
    </row>
    <row r="15394" spans="1:1">
      <c r="A15394" s="35" t="s">
        <v>41057</v>
      </c>
    </row>
    <row r="15395" spans="1:1">
      <c r="A15395" s="35" t="s">
        <v>41057</v>
      </c>
    </row>
    <row r="15396" spans="1:1">
      <c r="A15396" s="35" t="s">
        <v>41057</v>
      </c>
    </row>
    <row r="15397" spans="1:1">
      <c r="A15397" s="35" t="s">
        <v>41057</v>
      </c>
    </row>
    <row r="15398" spans="1:1">
      <c r="A15398" s="35" t="s">
        <v>41057</v>
      </c>
    </row>
    <row r="15399" spans="1:1">
      <c r="A15399" s="35" t="s">
        <v>41057</v>
      </c>
    </row>
    <row r="15400" spans="1:1">
      <c r="A15400" s="35" t="s">
        <v>41057</v>
      </c>
    </row>
    <row r="15401" spans="1:1">
      <c r="A15401" s="35" t="s">
        <v>41057</v>
      </c>
    </row>
    <row r="15402" spans="1:1">
      <c r="A15402" s="35" t="s">
        <v>41057</v>
      </c>
    </row>
    <row r="15403" spans="1:1">
      <c r="A15403" s="35" t="s">
        <v>41057</v>
      </c>
    </row>
    <row r="15404" spans="1:1">
      <c r="A15404" s="35" t="s">
        <v>41057</v>
      </c>
    </row>
    <row r="15405" spans="1:1">
      <c r="A15405" s="35" t="s">
        <v>41057</v>
      </c>
    </row>
    <row r="15406" spans="1:1">
      <c r="A15406" s="35" t="s">
        <v>41057</v>
      </c>
    </row>
    <row r="15407" spans="1:1">
      <c r="A15407" s="35" t="s">
        <v>41057</v>
      </c>
    </row>
    <row r="15408" spans="1:1">
      <c r="A15408" s="35" t="s">
        <v>41057</v>
      </c>
    </row>
    <row r="15409" spans="1:1">
      <c r="A15409" s="35" t="s">
        <v>41057</v>
      </c>
    </row>
    <row r="15410" spans="1:1">
      <c r="A15410" s="35" t="s">
        <v>41057</v>
      </c>
    </row>
    <row r="15411" spans="1:1">
      <c r="A15411" s="35" t="s">
        <v>41057</v>
      </c>
    </row>
    <row r="15412" spans="1:1">
      <c r="A15412" s="35" t="s">
        <v>41057</v>
      </c>
    </row>
    <row r="15413" spans="1:1">
      <c r="A15413" s="35" t="s">
        <v>41057</v>
      </c>
    </row>
    <row r="15414" spans="1:1">
      <c r="A15414" s="35" t="s">
        <v>41057</v>
      </c>
    </row>
    <row r="15415" spans="1:1">
      <c r="A15415" s="35" t="s">
        <v>41057</v>
      </c>
    </row>
    <row r="15416" spans="1:1">
      <c r="A15416" s="35" t="s">
        <v>41057</v>
      </c>
    </row>
    <row r="15417" spans="1:1">
      <c r="A15417" s="35" t="s">
        <v>41057</v>
      </c>
    </row>
    <row r="15418" spans="1:1">
      <c r="A15418" s="35" t="s">
        <v>41057</v>
      </c>
    </row>
    <row r="15419" spans="1:1">
      <c r="A15419" s="35" t="s">
        <v>41057</v>
      </c>
    </row>
    <row r="15420" spans="1:1">
      <c r="A15420" s="35" t="s">
        <v>41057</v>
      </c>
    </row>
    <row r="15421" spans="1:1">
      <c r="A15421" s="35" t="s">
        <v>41057</v>
      </c>
    </row>
    <row r="15422" spans="1:1">
      <c r="A15422" s="35" t="s">
        <v>41057</v>
      </c>
    </row>
    <row r="15423" spans="1:1">
      <c r="A15423" s="35" t="s">
        <v>41057</v>
      </c>
    </row>
    <row r="15424" spans="1:1">
      <c r="A15424" s="35" t="s">
        <v>41057</v>
      </c>
    </row>
    <row r="15425" spans="1:1">
      <c r="A15425" s="35" t="s">
        <v>41057</v>
      </c>
    </row>
    <row r="15426" spans="1:1">
      <c r="A15426" s="35" t="s">
        <v>41057</v>
      </c>
    </row>
    <row r="15427" spans="1:1">
      <c r="A15427" s="35" t="s">
        <v>41057</v>
      </c>
    </row>
    <row r="15428" spans="1:1">
      <c r="A15428" s="35" t="s">
        <v>41057</v>
      </c>
    </row>
    <row r="15429" spans="1:1">
      <c r="A15429" s="35" t="s">
        <v>41057</v>
      </c>
    </row>
    <row r="15430" spans="1:1">
      <c r="A15430" s="35" t="s">
        <v>41057</v>
      </c>
    </row>
    <row r="15431" spans="1:1">
      <c r="A15431" s="35" t="s">
        <v>57398</v>
      </c>
    </row>
    <row r="15432" spans="1:1">
      <c r="A15432" s="35" t="s">
        <v>41057</v>
      </c>
    </row>
    <row r="15433" spans="1:1">
      <c r="A15433" s="35" t="s">
        <v>41057</v>
      </c>
    </row>
    <row r="15434" spans="1:1">
      <c r="A15434" s="35" t="s">
        <v>57399</v>
      </c>
    </row>
    <row r="15435" spans="1:1">
      <c r="A15435" s="35" t="s">
        <v>41057</v>
      </c>
    </row>
    <row r="15436" spans="1:1">
      <c r="A15436" s="35" t="s">
        <v>41057</v>
      </c>
    </row>
    <row r="15437" spans="1:1">
      <c r="A15437" s="35" t="s">
        <v>41057</v>
      </c>
    </row>
    <row r="15438" spans="1:1">
      <c r="A15438" s="35" t="s">
        <v>41057</v>
      </c>
    </row>
    <row r="15439" spans="1:1">
      <c r="A15439" s="35" t="s">
        <v>41057</v>
      </c>
    </row>
    <row r="15440" spans="1:1">
      <c r="A15440" s="35" t="s">
        <v>41057</v>
      </c>
    </row>
    <row r="15441" spans="1:1">
      <c r="A15441" s="35" t="s">
        <v>41057</v>
      </c>
    </row>
    <row r="15442" spans="1:1">
      <c r="A15442" s="35" t="s">
        <v>41057</v>
      </c>
    </row>
    <row r="15443" spans="1:1">
      <c r="A15443" s="35" t="s">
        <v>41057</v>
      </c>
    </row>
    <row r="15444" spans="1:1">
      <c r="A15444" s="35" t="s">
        <v>41057</v>
      </c>
    </row>
    <row r="15445" spans="1:1">
      <c r="A15445" s="35" t="s">
        <v>41057</v>
      </c>
    </row>
    <row r="15446" spans="1:1">
      <c r="A15446" s="35" t="s">
        <v>41057</v>
      </c>
    </row>
    <row r="15447" spans="1:1">
      <c r="A15447" s="35" t="s">
        <v>57400</v>
      </c>
    </row>
    <row r="15448" spans="1:1">
      <c r="A15448" s="35" t="s">
        <v>57356</v>
      </c>
    </row>
    <row r="15449" spans="1:1">
      <c r="A15449" s="35" t="s">
        <v>57401</v>
      </c>
    </row>
    <row r="15450" spans="1:1">
      <c r="A15450" s="35" t="s">
        <v>57402</v>
      </c>
    </row>
    <row r="15451" spans="1:1">
      <c r="A15451" s="35" t="s">
        <v>57338</v>
      </c>
    </row>
    <row r="15452" spans="1:1">
      <c r="A15452" s="35" t="s">
        <v>57359</v>
      </c>
    </row>
    <row r="15453" spans="1:1">
      <c r="A15453" s="35" t="e" cm="1">
        <f t="array" ref="A15453">---------------------------------------------------------GNA</f>
        <v>#NAME?</v>
      </c>
    </row>
    <row r="15454" spans="1:1">
      <c r="A15454" s="35" t="s">
        <v>57403</v>
      </c>
    </row>
    <row r="15455" spans="1:1">
      <c r="A15455" s="35" t="s">
        <v>57404</v>
      </c>
    </row>
    <row r="15456" spans="1:1">
      <c r="A15456" s="35" t="s">
        <v>57405</v>
      </c>
    </row>
    <row r="15457" spans="1:1">
      <c r="A15457" s="35" t="s">
        <v>57406</v>
      </c>
    </row>
    <row r="15458" spans="1:1">
      <c r="A15458" s="35" t="s">
        <v>53545</v>
      </c>
    </row>
    <row r="15459" spans="1:1">
      <c r="A15459" s="35" t="s">
        <v>57407</v>
      </c>
    </row>
    <row r="15460" spans="1:1">
      <c r="A15460" s="35" t="s">
        <v>41057</v>
      </c>
    </row>
    <row r="15461" spans="1:1">
      <c r="A15461" s="35" t="s">
        <v>41057</v>
      </c>
    </row>
    <row r="15462" spans="1:1">
      <c r="A15462" s="35" t="s">
        <v>41057</v>
      </c>
    </row>
    <row r="15463" spans="1:1">
      <c r="A15463" s="35" t="s">
        <v>41057</v>
      </c>
    </row>
    <row r="15464" spans="1:1">
      <c r="A15464" s="35" t="s">
        <v>41057</v>
      </c>
    </row>
    <row r="15465" spans="1:1">
      <c r="A15465" s="35" t="s">
        <v>41057</v>
      </c>
    </row>
    <row r="15466" spans="1:1">
      <c r="A15466" s="35" t="s">
        <v>41057</v>
      </c>
    </row>
    <row r="15467" spans="1:1">
      <c r="A15467" s="35" t="s">
        <v>41057</v>
      </c>
    </row>
    <row r="15468" spans="1:1">
      <c r="A15468" s="35" t="s">
        <v>41057</v>
      </c>
    </row>
    <row r="15469" spans="1:1">
      <c r="A15469" s="35" t="s">
        <v>41057</v>
      </c>
    </row>
    <row r="15470" spans="1:1">
      <c r="A15470" s="35" t="s">
        <v>41057</v>
      </c>
    </row>
    <row r="15471" spans="1:1">
      <c r="A15471" s="35" t="s">
        <v>41057</v>
      </c>
    </row>
    <row r="15472" spans="1:1">
      <c r="A15472" s="35" t="s">
        <v>41057</v>
      </c>
    </row>
    <row r="15473" spans="1:1">
      <c r="A15473" s="35" t="s">
        <v>41057</v>
      </c>
    </row>
    <row r="15474" spans="1:1">
      <c r="A15474" s="35" t="s">
        <v>41057</v>
      </c>
    </row>
    <row r="15475" spans="1:1">
      <c r="A15475" s="35" t="s">
        <v>41057</v>
      </c>
    </row>
    <row r="15476" spans="1:1">
      <c r="A15476" s="35" t="s">
        <v>41057</v>
      </c>
    </row>
    <row r="15477" spans="1:1">
      <c r="A15477" s="35" t="s">
        <v>41057</v>
      </c>
    </row>
    <row r="15478" spans="1:1">
      <c r="A15478" s="35" t="s">
        <v>41057</v>
      </c>
    </row>
    <row r="15479" spans="1:1">
      <c r="A15479" s="35" t="s">
        <v>41057</v>
      </c>
    </row>
    <row r="15480" spans="1:1">
      <c r="A15480" s="35" t="s">
        <v>41057</v>
      </c>
    </row>
    <row r="15481" spans="1:1">
      <c r="A15481" s="35" t="s">
        <v>41057</v>
      </c>
    </row>
    <row r="15482" spans="1:1">
      <c r="A15482" s="35" t="s">
        <v>41057</v>
      </c>
    </row>
    <row r="15483" spans="1:1">
      <c r="A15483" s="35" t="s">
        <v>41057</v>
      </c>
    </row>
    <row r="15484" spans="1:1">
      <c r="A15484" s="35" t="s">
        <v>41057</v>
      </c>
    </row>
    <row r="15485" spans="1:1">
      <c r="A15485" s="35" t="s">
        <v>41057</v>
      </c>
    </row>
    <row r="15486" spans="1:1">
      <c r="A15486" s="35" t="s">
        <v>41057</v>
      </c>
    </row>
    <row r="15487" spans="1:1">
      <c r="A15487" s="35" t="s">
        <v>41057</v>
      </c>
    </row>
    <row r="15488" spans="1:1">
      <c r="A15488" s="35" t="s">
        <v>41057</v>
      </c>
    </row>
    <row r="15489" spans="1:1">
      <c r="A15489" s="35" t="s">
        <v>41057</v>
      </c>
    </row>
    <row r="15490" spans="1:1">
      <c r="A15490" s="35" t="s">
        <v>41057</v>
      </c>
    </row>
    <row r="15491" spans="1:1">
      <c r="A15491" s="35" t="s">
        <v>41057</v>
      </c>
    </row>
    <row r="15492" spans="1:1">
      <c r="A15492" s="35" t="s">
        <v>41057</v>
      </c>
    </row>
    <row r="15493" spans="1:1">
      <c r="A15493" s="35" t="s">
        <v>41057</v>
      </c>
    </row>
    <row r="15494" spans="1:1">
      <c r="A15494" s="35" t="s">
        <v>41057</v>
      </c>
    </row>
    <row r="15495" spans="1:1">
      <c r="A15495" s="35" t="s">
        <v>41057</v>
      </c>
    </row>
    <row r="15496" spans="1:1">
      <c r="A15496" s="35" t="s">
        <v>41057</v>
      </c>
    </row>
    <row r="15497" spans="1:1">
      <c r="A15497" s="35" t="s">
        <v>41057</v>
      </c>
    </row>
    <row r="15498" spans="1:1">
      <c r="A15498" s="35" t="s">
        <v>41057</v>
      </c>
    </row>
    <row r="15499" spans="1:1">
      <c r="A15499" s="35" t="s">
        <v>41057</v>
      </c>
    </row>
    <row r="15500" spans="1:1">
      <c r="A15500" s="35" t="s">
        <v>41057</v>
      </c>
    </row>
    <row r="15501" spans="1:1">
      <c r="A15501" s="35" t="s">
        <v>41057</v>
      </c>
    </row>
    <row r="15502" spans="1:1">
      <c r="A15502" s="35" t="s">
        <v>41057</v>
      </c>
    </row>
    <row r="15503" spans="1:1">
      <c r="A15503" s="35" t="s">
        <v>41057</v>
      </c>
    </row>
    <row r="15504" spans="1:1">
      <c r="A15504" s="35" t="s">
        <v>41057</v>
      </c>
    </row>
    <row r="15505" spans="1:1">
      <c r="A15505" s="35" t="s">
        <v>41057</v>
      </c>
    </row>
    <row r="15506" spans="1:1">
      <c r="A15506" s="35" t="s">
        <v>41057</v>
      </c>
    </row>
    <row r="15507" spans="1:1">
      <c r="A15507" s="35" t="s">
        <v>41057</v>
      </c>
    </row>
    <row r="15508" spans="1:1">
      <c r="A15508" s="35" t="s">
        <v>41057</v>
      </c>
    </row>
    <row r="15509" spans="1:1">
      <c r="A15509" s="35" t="s">
        <v>41057</v>
      </c>
    </row>
    <row r="15510" spans="1:1">
      <c r="A15510" s="35" t="s">
        <v>41057</v>
      </c>
    </row>
    <row r="15511" spans="1:1">
      <c r="A15511" s="35" t="s">
        <v>41057</v>
      </c>
    </row>
    <row r="15512" spans="1:1">
      <c r="A15512" s="35" t="s">
        <v>41057</v>
      </c>
    </row>
    <row r="15513" spans="1:1">
      <c r="A15513" s="35" t="s">
        <v>41057</v>
      </c>
    </row>
    <row r="15514" spans="1:1">
      <c r="A15514" s="35" t="s">
        <v>41057</v>
      </c>
    </row>
    <row r="15515" spans="1:1">
      <c r="A15515" s="35" t="s">
        <v>41057</v>
      </c>
    </row>
    <row r="15516" spans="1:1">
      <c r="A15516" s="35" t="s">
        <v>41057</v>
      </c>
    </row>
    <row r="15517" spans="1:1">
      <c r="A15517" s="35" t="s">
        <v>41057</v>
      </c>
    </row>
    <row r="15518" spans="1:1">
      <c r="A15518" s="35" t="s">
        <v>41057</v>
      </c>
    </row>
    <row r="15519" spans="1:1">
      <c r="A15519" s="35" t="s">
        <v>41057</v>
      </c>
    </row>
    <row r="15520" spans="1:1">
      <c r="A15520" s="35" t="s">
        <v>41057</v>
      </c>
    </row>
    <row r="15521" spans="1:1">
      <c r="A15521" s="35" t="s">
        <v>41057</v>
      </c>
    </row>
    <row r="15522" spans="1:1">
      <c r="A15522" s="35" t="s">
        <v>41057</v>
      </c>
    </row>
    <row r="15523" spans="1:1">
      <c r="A15523" s="35" t="s">
        <v>41057</v>
      </c>
    </row>
    <row r="15524" spans="1:1">
      <c r="A15524" s="35" t="s">
        <v>41057</v>
      </c>
    </row>
    <row r="15525" spans="1:1">
      <c r="A15525" s="35" t="s">
        <v>41057</v>
      </c>
    </row>
    <row r="15526" spans="1:1">
      <c r="A15526" s="35" t="s">
        <v>41057</v>
      </c>
    </row>
    <row r="15527" spans="1:1">
      <c r="A15527" s="35" t="s">
        <v>41057</v>
      </c>
    </row>
    <row r="15528" spans="1:1">
      <c r="A15528" s="35" t="s">
        <v>41057</v>
      </c>
    </row>
    <row r="15529" spans="1:1">
      <c r="A15529" s="35" t="s">
        <v>41057</v>
      </c>
    </row>
    <row r="15530" spans="1:1">
      <c r="A15530" s="35" t="s">
        <v>41057</v>
      </c>
    </row>
    <row r="15531" spans="1:1">
      <c r="A15531" s="35" t="s">
        <v>41057</v>
      </c>
    </row>
    <row r="15532" spans="1:1">
      <c r="A15532" s="35" t="s">
        <v>41057</v>
      </c>
    </row>
    <row r="15533" spans="1:1">
      <c r="A15533" s="35" t="s">
        <v>41057</v>
      </c>
    </row>
    <row r="15534" spans="1:1">
      <c r="A15534" s="35" t="s">
        <v>41057</v>
      </c>
    </row>
    <row r="15535" spans="1:1">
      <c r="A15535" s="35" t="s">
        <v>41057</v>
      </c>
    </row>
    <row r="15536" spans="1:1">
      <c r="A15536" s="35" t="s">
        <v>41057</v>
      </c>
    </row>
    <row r="15537" spans="1:1">
      <c r="A15537" s="35" t="s">
        <v>41057</v>
      </c>
    </row>
    <row r="15538" spans="1:1">
      <c r="A15538" s="35" t="s">
        <v>41057</v>
      </c>
    </row>
    <row r="15539" spans="1:1">
      <c r="A15539" s="35" t="s">
        <v>41057</v>
      </c>
    </row>
    <row r="15540" spans="1:1">
      <c r="A15540" s="35" t="s">
        <v>41057</v>
      </c>
    </row>
    <row r="15541" spans="1:1">
      <c r="A15541" s="35" t="s">
        <v>41057</v>
      </c>
    </row>
    <row r="15542" spans="1:1">
      <c r="A15542" s="35" t="s">
        <v>41057</v>
      </c>
    </row>
    <row r="15543" spans="1:1">
      <c r="A15543" s="35" t="s">
        <v>41057</v>
      </c>
    </row>
    <row r="15544" spans="1:1">
      <c r="A15544" s="35" t="s">
        <v>41057</v>
      </c>
    </row>
    <row r="15545" spans="1:1">
      <c r="A15545" s="35" t="s">
        <v>41057</v>
      </c>
    </row>
    <row r="15546" spans="1:1">
      <c r="A15546" s="35" t="s">
        <v>41057</v>
      </c>
    </row>
    <row r="15547" spans="1:1">
      <c r="A15547" s="35" t="s">
        <v>41057</v>
      </c>
    </row>
    <row r="15548" spans="1:1">
      <c r="A15548" s="35" t="s">
        <v>41057</v>
      </c>
    </row>
    <row r="15549" spans="1:1">
      <c r="A15549" s="35" t="s">
        <v>41057</v>
      </c>
    </row>
    <row r="15550" spans="1:1">
      <c r="A15550" s="35" t="s">
        <v>41057</v>
      </c>
    </row>
    <row r="15551" spans="1:1">
      <c r="A15551" s="35" t="s">
        <v>41057</v>
      </c>
    </row>
    <row r="15552" spans="1:1">
      <c r="A15552" s="35" t="s">
        <v>41057</v>
      </c>
    </row>
    <row r="15553" spans="1:1">
      <c r="A15553" s="35" t="s">
        <v>41057</v>
      </c>
    </row>
    <row r="15554" spans="1:1">
      <c r="A15554" s="35" t="s">
        <v>41057</v>
      </c>
    </row>
    <row r="15555" spans="1:1">
      <c r="A15555" s="35" t="s">
        <v>41057</v>
      </c>
    </row>
    <row r="15556" spans="1:1">
      <c r="A15556" s="35" t="s">
        <v>41057</v>
      </c>
    </row>
    <row r="15557" spans="1:1">
      <c r="A15557" s="35" t="s">
        <v>41057</v>
      </c>
    </row>
    <row r="15558" spans="1:1">
      <c r="A15558" s="35" t="s">
        <v>41057</v>
      </c>
    </row>
    <row r="15559" spans="1:1">
      <c r="A15559" s="35" t="s">
        <v>41057</v>
      </c>
    </row>
    <row r="15560" spans="1:1">
      <c r="A15560" s="35" t="s">
        <v>41057</v>
      </c>
    </row>
    <row r="15561" spans="1:1">
      <c r="A15561" s="35" t="s">
        <v>41057</v>
      </c>
    </row>
    <row r="15562" spans="1:1">
      <c r="A15562" s="35" t="s">
        <v>41057</v>
      </c>
    </row>
    <row r="15563" spans="1:1">
      <c r="A15563" s="35" t="s">
        <v>41057</v>
      </c>
    </row>
    <row r="15564" spans="1:1">
      <c r="A15564" s="35" t="s">
        <v>41057</v>
      </c>
    </row>
    <row r="15565" spans="1:1">
      <c r="A15565" s="35" t="s">
        <v>41057</v>
      </c>
    </row>
    <row r="15566" spans="1:1">
      <c r="A15566" s="35" t="s">
        <v>41057</v>
      </c>
    </row>
    <row r="15567" spans="1:1">
      <c r="A15567" s="35" t="s">
        <v>41057</v>
      </c>
    </row>
    <row r="15568" spans="1:1">
      <c r="A15568" s="35" t="s">
        <v>57408</v>
      </c>
    </row>
    <row r="15569" spans="1:1">
      <c r="A15569" s="35" t="s">
        <v>57409</v>
      </c>
    </row>
    <row r="15570" spans="1:1">
      <c r="A15570" s="35" t="s">
        <v>57410</v>
      </c>
    </row>
    <row r="15571" spans="1:1">
      <c r="A15571" s="35" t="e" cm="1">
        <f t="array" ref="A15571">---------------------------------------------------------ANA</f>
        <v>#NAME?</v>
      </c>
    </row>
    <row r="15572" spans="1:1">
      <c r="A15572" s="35" t="s">
        <v>57411</v>
      </c>
    </row>
    <row r="15573" spans="1:1">
      <c r="A15573" s="35" t="s">
        <v>57412</v>
      </c>
    </row>
    <row r="15574" spans="1:1">
      <c r="A15574" s="35" t="s">
        <v>57413</v>
      </c>
    </row>
    <row r="15575" spans="1:1">
      <c r="A15575" s="35" t="s">
        <v>57414</v>
      </c>
    </row>
    <row r="15576" spans="1:1">
      <c r="A15576" s="35" t="s">
        <v>57415</v>
      </c>
    </row>
    <row r="15577" spans="1:1">
      <c r="A15577" s="35" t="s">
        <v>57416</v>
      </c>
    </row>
    <row r="15578" spans="1:1">
      <c r="A15578" s="35" t="s">
        <v>41057</v>
      </c>
    </row>
    <row r="15579" spans="1:1">
      <c r="A15579" s="35" t="s">
        <v>41057</v>
      </c>
    </row>
    <row r="15580" spans="1:1">
      <c r="A15580" s="35" t="s">
        <v>41057</v>
      </c>
    </row>
    <row r="15581" spans="1:1">
      <c r="A15581" s="35" t="s">
        <v>41057</v>
      </c>
    </row>
    <row r="15582" spans="1:1">
      <c r="A15582" s="35" t="s">
        <v>41057</v>
      </c>
    </row>
    <row r="15583" spans="1:1">
      <c r="A15583" s="35" t="s">
        <v>41057</v>
      </c>
    </row>
    <row r="15584" spans="1:1">
      <c r="A15584" s="35" t="s">
        <v>41057</v>
      </c>
    </row>
    <row r="15585" spans="1:1">
      <c r="A15585" s="35" t="s">
        <v>41057</v>
      </c>
    </row>
    <row r="15586" spans="1:1">
      <c r="A15586" s="35" t="s">
        <v>41057</v>
      </c>
    </row>
    <row r="15587" spans="1:1">
      <c r="A15587" s="35" t="s">
        <v>41057</v>
      </c>
    </row>
    <row r="15588" spans="1:1">
      <c r="A15588" s="35" t="s">
        <v>41057</v>
      </c>
    </row>
    <row r="15589" spans="1:1">
      <c r="A15589" s="35" t="s">
        <v>41057</v>
      </c>
    </row>
    <row r="15590" spans="1:1">
      <c r="A15590" s="35" t="s">
        <v>41057</v>
      </c>
    </row>
    <row r="15591" spans="1:1">
      <c r="A15591" s="35" t="s">
        <v>41057</v>
      </c>
    </row>
    <row r="15592" spans="1:1">
      <c r="A15592" s="35" t="s">
        <v>41057</v>
      </c>
    </row>
    <row r="15593" spans="1:1">
      <c r="A15593" s="35" t="s">
        <v>41057</v>
      </c>
    </row>
    <row r="15594" spans="1:1">
      <c r="A15594" s="35" t="s">
        <v>41057</v>
      </c>
    </row>
    <row r="15595" spans="1:1">
      <c r="A15595" s="35" t="s">
        <v>41057</v>
      </c>
    </row>
    <row r="15596" spans="1:1">
      <c r="A15596" s="35" t="s">
        <v>41057</v>
      </c>
    </row>
    <row r="15597" spans="1:1">
      <c r="A15597" s="35" t="s">
        <v>41057</v>
      </c>
    </row>
    <row r="15598" spans="1:1">
      <c r="A15598" s="35" t="s">
        <v>41057</v>
      </c>
    </row>
    <row r="15599" spans="1:1">
      <c r="A15599" s="35" t="s">
        <v>41057</v>
      </c>
    </row>
    <row r="15600" spans="1:1">
      <c r="A15600" s="35" t="s">
        <v>41057</v>
      </c>
    </row>
    <row r="15601" spans="1:1">
      <c r="A15601" s="35" t="s">
        <v>41057</v>
      </c>
    </row>
    <row r="15602" spans="1:1">
      <c r="A15602" s="35" t="s">
        <v>41057</v>
      </c>
    </row>
    <row r="15603" spans="1:1">
      <c r="A15603" s="35" t="s">
        <v>41057</v>
      </c>
    </row>
    <row r="15604" spans="1:1">
      <c r="A15604" s="35" t="s">
        <v>41057</v>
      </c>
    </row>
    <row r="15605" spans="1:1">
      <c r="A15605" s="35" t="s">
        <v>41057</v>
      </c>
    </row>
    <row r="15606" spans="1:1">
      <c r="A15606" s="35" t="s">
        <v>41057</v>
      </c>
    </row>
    <row r="15607" spans="1:1">
      <c r="A15607" s="35" t="s">
        <v>41057</v>
      </c>
    </row>
    <row r="15608" spans="1:1">
      <c r="A15608" s="35" t="s">
        <v>41057</v>
      </c>
    </row>
    <row r="15609" spans="1:1">
      <c r="A15609" s="35" t="s">
        <v>41057</v>
      </c>
    </row>
    <row r="15610" spans="1:1">
      <c r="A15610" s="35" t="s">
        <v>41057</v>
      </c>
    </row>
    <row r="15611" spans="1:1">
      <c r="A15611" s="35" t="s">
        <v>57417</v>
      </c>
    </row>
    <row r="15612" spans="1:1">
      <c r="A15612" s="35" t="s">
        <v>41057</v>
      </c>
    </row>
    <row r="15613" spans="1:1">
      <c r="A15613" s="35" t="s">
        <v>41057</v>
      </c>
    </row>
    <row r="15614" spans="1:1">
      <c r="A15614" s="35" t="s">
        <v>41057</v>
      </c>
    </row>
    <row r="15615" spans="1:1">
      <c r="A15615" s="35" t="s">
        <v>41057</v>
      </c>
    </row>
    <row r="15616" spans="1:1">
      <c r="A15616" s="35" t="s">
        <v>41057</v>
      </c>
    </row>
    <row r="15617" spans="1:1">
      <c r="A15617" s="35" t="s">
        <v>41057</v>
      </c>
    </row>
    <row r="15618" spans="1:1">
      <c r="A15618" s="35" t="s">
        <v>41057</v>
      </c>
    </row>
    <row r="15619" spans="1:1">
      <c r="A15619" s="35" t="s">
        <v>41057</v>
      </c>
    </row>
    <row r="15620" spans="1:1">
      <c r="A15620" s="35" t="s">
        <v>41057</v>
      </c>
    </row>
    <row r="15621" spans="1:1">
      <c r="A15621" s="35" t="s">
        <v>41057</v>
      </c>
    </row>
    <row r="15622" spans="1:1">
      <c r="A15622" s="35" t="s">
        <v>41057</v>
      </c>
    </row>
    <row r="15623" spans="1:1">
      <c r="A15623" s="35" t="s">
        <v>41057</v>
      </c>
    </row>
    <row r="15624" spans="1:1">
      <c r="A15624" s="35" t="s">
        <v>41057</v>
      </c>
    </row>
    <row r="15625" spans="1:1">
      <c r="A15625" s="35" t="s">
        <v>41057</v>
      </c>
    </row>
    <row r="15626" spans="1:1">
      <c r="A15626" s="35" t="s">
        <v>41057</v>
      </c>
    </row>
    <row r="15627" spans="1:1">
      <c r="A15627" s="35" t="s">
        <v>41057</v>
      </c>
    </row>
    <row r="15628" spans="1:1">
      <c r="A15628" s="35" t="s">
        <v>41057</v>
      </c>
    </row>
    <row r="15629" spans="1:1">
      <c r="A15629" s="35" t="s">
        <v>41057</v>
      </c>
    </row>
    <row r="15630" spans="1:1">
      <c r="A15630" s="35" t="s">
        <v>41057</v>
      </c>
    </row>
    <row r="15631" spans="1:1">
      <c r="A15631" s="35" t="s">
        <v>41057</v>
      </c>
    </row>
    <row r="15632" spans="1:1">
      <c r="A15632" s="35" t="s">
        <v>41057</v>
      </c>
    </row>
    <row r="15633" spans="1:1">
      <c r="A15633" s="35" t="s">
        <v>41057</v>
      </c>
    </row>
    <row r="15634" spans="1:1">
      <c r="A15634" s="35" t="s">
        <v>41057</v>
      </c>
    </row>
    <row r="15635" spans="1:1">
      <c r="A15635" s="35" t="s">
        <v>41057</v>
      </c>
    </row>
    <row r="15636" spans="1:1">
      <c r="A15636" s="35" t="s">
        <v>41057</v>
      </c>
    </row>
    <row r="15637" spans="1:1">
      <c r="A15637" s="35" t="s">
        <v>41057</v>
      </c>
    </row>
    <row r="15638" spans="1:1">
      <c r="A15638" s="35" t="s">
        <v>41057</v>
      </c>
    </row>
    <row r="15639" spans="1:1">
      <c r="A15639" s="35" t="s">
        <v>41057</v>
      </c>
    </row>
    <row r="15640" spans="1:1">
      <c r="A15640" s="35" t="s">
        <v>41057</v>
      </c>
    </row>
    <row r="15641" spans="1:1">
      <c r="A15641" s="35" t="s">
        <v>41057</v>
      </c>
    </row>
    <row r="15642" spans="1:1">
      <c r="A15642" s="35" t="s">
        <v>41057</v>
      </c>
    </row>
    <row r="15643" spans="1:1">
      <c r="A15643" s="35" t="s">
        <v>41057</v>
      </c>
    </row>
    <row r="15644" spans="1:1">
      <c r="A15644" s="35" t="s">
        <v>41057</v>
      </c>
    </row>
    <row r="15645" spans="1:1">
      <c r="A15645" s="35" t="s">
        <v>41057</v>
      </c>
    </row>
    <row r="15646" spans="1:1">
      <c r="A15646" s="35" t="s">
        <v>41057</v>
      </c>
    </row>
    <row r="15647" spans="1:1">
      <c r="A15647" s="35" t="s">
        <v>41057</v>
      </c>
    </row>
    <row r="15648" spans="1:1">
      <c r="A15648" s="35" t="s">
        <v>57418</v>
      </c>
    </row>
    <row r="15649" spans="1:1">
      <c r="A15649" s="35" t="s">
        <v>41057</v>
      </c>
    </row>
    <row r="15650" spans="1:1">
      <c r="A15650" s="35" t="s">
        <v>41057</v>
      </c>
    </row>
    <row r="15651" spans="1:1">
      <c r="A15651" s="35" t="s">
        <v>41057</v>
      </c>
    </row>
    <row r="15652" spans="1:1">
      <c r="A15652" s="35" t="s">
        <v>41057</v>
      </c>
    </row>
    <row r="15653" spans="1:1">
      <c r="A15653" s="35" t="s">
        <v>41057</v>
      </c>
    </row>
    <row r="15654" spans="1:1">
      <c r="A15654" s="35" t="s">
        <v>41057</v>
      </c>
    </row>
    <row r="15655" spans="1:1">
      <c r="A15655" s="35" t="s">
        <v>41057</v>
      </c>
    </row>
    <row r="15656" spans="1:1">
      <c r="A15656" s="35" t="s">
        <v>41057</v>
      </c>
    </row>
    <row r="15657" spans="1:1">
      <c r="A15657" s="35" t="s">
        <v>41057</v>
      </c>
    </row>
    <row r="15658" spans="1:1">
      <c r="A15658" s="35" t="s">
        <v>41057</v>
      </c>
    </row>
    <row r="15659" spans="1:1">
      <c r="A15659" s="35" t="s">
        <v>41057</v>
      </c>
    </row>
    <row r="15660" spans="1:1">
      <c r="A15660" s="35" t="s">
        <v>41057</v>
      </c>
    </row>
    <row r="15661" spans="1:1">
      <c r="A15661" s="35" t="s">
        <v>41057</v>
      </c>
    </row>
    <row r="15662" spans="1:1">
      <c r="A15662" s="35" t="s">
        <v>41057</v>
      </c>
    </row>
    <row r="15663" spans="1:1">
      <c r="A15663" s="35" t="s">
        <v>41057</v>
      </c>
    </row>
    <row r="15664" spans="1:1">
      <c r="A15664" s="35" t="s">
        <v>41057</v>
      </c>
    </row>
    <row r="15665" spans="1:1">
      <c r="A15665" s="35" t="s">
        <v>41057</v>
      </c>
    </row>
    <row r="15666" spans="1:1">
      <c r="A15666" s="35" t="s">
        <v>57419</v>
      </c>
    </row>
    <row r="15667" spans="1:1">
      <c r="A15667" s="35" t="s">
        <v>57420</v>
      </c>
    </row>
    <row r="15668" spans="1:1">
      <c r="A15668" s="35" t="s">
        <v>41057</v>
      </c>
    </row>
    <row r="15669" spans="1:1">
      <c r="A15669" s="35" t="s">
        <v>41057</v>
      </c>
    </row>
    <row r="15670" spans="1:1">
      <c r="A15670" s="35" t="s">
        <v>41057</v>
      </c>
    </row>
    <row r="15671" spans="1:1">
      <c r="A15671" s="35" t="s">
        <v>41057</v>
      </c>
    </row>
    <row r="15672" spans="1:1">
      <c r="A15672" s="35" t="s">
        <v>41057</v>
      </c>
    </row>
    <row r="15673" spans="1:1">
      <c r="A15673" s="35" t="s">
        <v>41057</v>
      </c>
    </row>
    <row r="15674" spans="1:1">
      <c r="A15674" s="35" t="s">
        <v>41057</v>
      </c>
    </row>
    <row r="15675" spans="1:1">
      <c r="A15675" s="35" t="s">
        <v>41057</v>
      </c>
    </row>
    <row r="15676" spans="1:1">
      <c r="A15676" s="35" t="s">
        <v>41057</v>
      </c>
    </row>
    <row r="15677" spans="1:1">
      <c r="A15677" s="35" t="s">
        <v>41057</v>
      </c>
    </row>
    <row r="15678" spans="1:1">
      <c r="A15678" s="35" t="s">
        <v>41057</v>
      </c>
    </row>
    <row r="15679" spans="1:1">
      <c r="A15679" s="35" t="s">
        <v>41057</v>
      </c>
    </row>
    <row r="15680" spans="1:1">
      <c r="A15680" s="35" t="s">
        <v>41057</v>
      </c>
    </row>
    <row r="15681" spans="1:1">
      <c r="A15681" s="35" t="s">
        <v>41057</v>
      </c>
    </row>
    <row r="15682" spans="1:1">
      <c r="A15682" s="35" t="s">
        <v>41057</v>
      </c>
    </row>
    <row r="15683" spans="1:1">
      <c r="A15683" s="35" t="s">
        <v>57421</v>
      </c>
    </row>
    <row r="15684" spans="1:1">
      <c r="A15684" s="35" t="s">
        <v>57422</v>
      </c>
    </row>
    <row r="15685" spans="1:1">
      <c r="A15685" s="35" t="s">
        <v>57423</v>
      </c>
    </row>
    <row r="15686" spans="1:1">
      <c r="A15686" s="35" t="s">
        <v>57424</v>
      </c>
    </row>
    <row r="15687" spans="1:1">
      <c r="A15687" s="35" t="s">
        <v>57425</v>
      </c>
    </row>
    <row r="15688" spans="1:1">
      <c r="A15688" s="35" t="s">
        <v>57426</v>
      </c>
    </row>
    <row r="15689" spans="1:1">
      <c r="A15689" s="35" t="e" cm="1">
        <f t="array" ref="A15689">---------------------------------------------------------ANI</f>
        <v>#NAME?</v>
      </c>
    </row>
    <row r="15690" spans="1:1">
      <c r="A15690" s="35" t="s">
        <v>57427</v>
      </c>
    </row>
    <row r="15691" spans="1:1">
      <c r="A15691" s="35" t="s">
        <v>57428</v>
      </c>
    </row>
    <row r="15692" spans="1:1">
      <c r="A15692" s="35" t="s">
        <v>57429</v>
      </c>
    </row>
    <row r="15693" spans="1:1">
      <c r="A15693" s="35" t="s">
        <v>57430</v>
      </c>
    </row>
    <row r="15694" spans="1:1">
      <c r="A15694" s="35" t="s">
        <v>53545</v>
      </c>
    </row>
    <row r="15695" spans="1:1">
      <c r="A15695" s="35" t="s">
        <v>57431</v>
      </c>
    </row>
    <row r="15696" spans="1:1">
      <c r="A15696" s="35" t="s">
        <v>41057</v>
      </c>
    </row>
    <row r="15697" spans="1:1">
      <c r="A15697" s="35" t="s">
        <v>41057</v>
      </c>
    </row>
    <row r="15698" spans="1:1">
      <c r="A15698" s="35" t="s">
        <v>41057</v>
      </c>
    </row>
    <row r="15699" spans="1:1">
      <c r="A15699" s="35" t="s">
        <v>41057</v>
      </c>
    </row>
    <row r="15700" spans="1:1">
      <c r="A15700" s="35" t="s">
        <v>41057</v>
      </c>
    </row>
    <row r="15701" spans="1:1">
      <c r="A15701" s="35" t="s">
        <v>41057</v>
      </c>
    </row>
    <row r="15702" spans="1:1">
      <c r="A15702" s="35" t="s">
        <v>41057</v>
      </c>
    </row>
    <row r="15703" spans="1:1">
      <c r="A15703" s="35" t="s">
        <v>41057</v>
      </c>
    </row>
    <row r="15704" spans="1:1">
      <c r="A15704" s="35" t="s">
        <v>41057</v>
      </c>
    </row>
    <row r="15705" spans="1:1">
      <c r="A15705" s="35" t="s">
        <v>57432</v>
      </c>
    </row>
    <row r="15706" spans="1:1">
      <c r="A15706" s="35" t="s">
        <v>41057</v>
      </c>
    </row>
    <row r="15707" spans="1:1">
      <c r="A15707" s="35" t="s">
        <v>41057</v>
      </c>
    </row>
    <row r="15708" spans="1:1">
      <c r="A15708" s="35" t="s">
        <v>41057</v>
      </c>
    </row>
    <row r="15709" spans="1:1">
      <c r="A15709" s="35" t="s">
        <v>41057</v>
      </c>
    </row>
    <row r="15710" spans="1:1">
      <c r="A15710" s="35" t="s">
        <v>41057</v>
      </c>
    </row>
    <row r="15711" spans="1:1">
      <c r="A15711" s="35" t="s">
        <v>57433</v>
      </c>
    </row>
    <row r="15712" spans="1:1">
      <c r="A15712" s="35" t="s">
        <v>41057</v>
      </c>
    </row>
    <row r="15713" spans="1:1">
      <c r="A15713" s="35" t="s">
        <v>41057</v>
      </c>
    </row>
    <row r="15714" spans="1:1">
      <c r="A15714" s="35" t="s">
        <v>41057</v>
      </c>
    </row>
    <row r="15715" spans="1:1">
      <c r="A15715" s="35" t="s">
        <v>41057</v>
      </c>
    </row>
    <row r="15716" spans="1:1">
      <c r="A15716" s="35" t="s">
        <v>41057</v>
      </c>
    </row>
    <row r="15717" spans="1:1">
      <c r="A15717" s="35" t="s">
        <v>41057</v>
      </c>
    </row>
    <row r="15718" spans="1:1">
      <c r="A15718" s="35" t="s">
        <v>41057</v>
      </c>
    </row>
    <row r="15719" spans="1:1">
      <c r="A15719" s="35" t="s">
        <v>41057</v>
      </c>
    </row>
    <row r="15720" spans="1:1">
      <c r="A15720" s="35" t="s">
        <v>41057</v>
      </c>
    </row>
    <row r="15721" spans="1:1">
      <c r="A15721" s="35" t="s">
        <v>41057</v>
      </c>
    </row>
    <row r="15722" spans="1:1">
      <c r="A15722" s="35" t="s">
        <v>41057</v>
      </c>
    </row>
    <row r="15723" spans="1:1">
      <c r="A15723" s="35" t="s">
        <v>41057</v>
      </c>
    </row>
    <row r="15724" spans="1:1">
      <c r="A15724" s="35" t="s">
        <v>41057</v>
      </c>
    </row>
    <row r="15725" spans="1:1">
      <c r="A15725" s="35" t="s">
        <v>41057</v>
      </c>
    </row>
    <row r="15726" spans="1:1">
      <c r="A15726" s="35" t="s">
        <v>41057</v>
      </c>
    </row>
    <row r="15727" spans="1:1">
      <c r="A15727" s="35" t="s">
        <v>41057</v>
      </c>
    </row>
    <row r="15728" spans="1:1">
      <c r="A15728" s="35" t="s">
        <v>41057</v>
      </c>
    </row>
    <row r="15729" spans="1:1">
      <c r="A15729" s="35" t="s">
        <v>57434</v>
      </c>
    </row>
    <row r="15730" spans="1:1">
      <c r="A15730" s="35" t="s">
        <v>41057</v>
      </c>
    </row>
    <row r="15731" spans="1:1">
      <c r="A15731" s="35" t="s">
        <v>41057</v>
      </c>
    </row>
    <row r="15732" spans="1:1">
      <c r="A15732" s="35" t="s">
        <v>41057</v>
      </c>
    </row>
    <row r="15733" spans="1:1">
      <c r="A15733" s="35" t="s">
        <v>41057</v>
      </c>
    </row>
    <row r="15734" spans="1:1">
      <c r="A15734" s="35" t="s">
        <v>41057</v>
      </c>
    </row>
    <row r="15735" spans="1:1">
      <c r="A15735" s="35" t="s">
        <v>41057</v>
      </c>
    </row>
    <row r="15736" spans="1:1">
      <c r="A15736" s="35" t="s">
        <v>41057</v>
      </c>
    </row>
    <row r="15737" spans="1:1">
      <c r="A15737" s="35" t="s">
        <v>41057</v>
      </c>
    </row>
    <row r="15738" spans="1:1">
      <c r="A15738" s="35" t="s">
        <v>41057</v>
      </c>
    </row>
    <row r="15739" spans="1:1">
      <c r="A15739" s="35" t="s">
        <v>41057</v>
      </c>
    </row>
    <row r="15740" spans="1:1">
      <c r="A15740" s="35" t="s">
        <v>41057</v>
      </c>
    </row>
    <row r="15741" spans="1:1">
      <c r="A15741" s="35" t="s">
        <v>41057</v>
      </c>
    </row>
    <row r="15742" spans="1:1">
      <c r="A15742" s="35" t="s">
        <v>41057</v>
      </c>
    </row>
    <row r="15743" spans="1:1">
      <c r="A15743" s="35" t="s">
        <v>41057</v>
      </c>
    </row>
    <row r="15744" spans="1:1">
      <c r="A15744" s="35" t="s">
        <v>41057</v>
      </c>
    </row>
    <row r="15745" spans="1:1">
      <c r="A15745" s="35" t="s">
        <v>41057</v>
      </c>
    </row>
    <row r="15746" spans="1:1">
      <c r="A15746" s="35" t="s">
        <v>41057</v>
      </c>
    </row>
    <row r="15747" spans="1:1">
      <c r="A15747" s="35" t="s">
        <v>41057</v>
      </c>
    </row>
    <row r="15748" spans="1:1">
      <c r="A15748" s="35" t="s">
        <v>41057</v>
      </c>
    </row>
    <row r="15749" spans="1:1">
      <c r="A15749" s="35" t="s">
        <v>41057</v>
      </c>
    </row>
    <row r="15750" spans="1:1">
      <c r="A15750" s="35" t="s">
        <v>41057</v>
      </c>
    </row>
    <row r="15751" spans="1:1">
      <c r="A15751" s="35" t="s">
        <v>41057</v>
      </c>
    </row>
    <row r="15752" spans="1:1">
      <c r="A15752" s="35" t="s">
        <v>41057</v>
      </c>
    </row>
    <row r="15753" spans="1:1">
      <c r="A15753" s="35" t="s">
        <v>41057</v>
      </c>
    </row>
    <row r="15754" spans="1:1">
      <c r="A15754" s="35" t="s">
        <v>41057</v>
      </c>
    </row>
    <row r="15755" spans="1:1">
      <c r="A15755" s="35" t="s">
        <v>41057</v>
      </c>
    </row>
    <row r="15756" spans="1:1">
      <c r="A15756" s="35" t="s">
        <v>41057</v>
      </c>
    </row>
    <row r="15757" spans="1:1">
      <c r="A15757" s="35" t="s">
        <v>41057</v>
      </c>
    </row>
    <row r="15758" spans="1:1">
      <c r="A15758" s="35" t="s">
        <v>41057</v>
      </c>
    </row>
    <row r="15759" spans="1:1">
      <c r="A15759" s="35" t="s">
        <v>41057</v>
      </c>
    </row>
    <row r="15760" spans="1:1">
      <c r="A15760" s="35" t="s">
        <v>41057</v>
      </c>
    </row>
    <row r="15761" spans="1:1">
      <c r="A15761" s="35" t="s">
        <v>41057</v>
      </c>
    </row>
    <row r="15762" spans="1:1">
      <c r="A15762" s="35" t="s">
        <v>41057</v>
      </c>
    </row>
    <row r="15763" spans="1:1">
      <c r="A15763" s="35" t="s">
        <v>41057</v>
      </c>
    </row>
    <row r="15764" spans="1:1">
      <c r="A15764" s="35" t="s">
        <v>41057</v>
      </c>
    </row>
    <row r="15765" spans="1:1">
      <c r="A15765" s="35" t="s">
        <v>41057</v>
      </c>
    </row>
    <row r="15766" spans="1:1">
      <c r="A15766" s="35" t="s">
        <v>57435</v>
      </c>
    </row>
    <row r="15767" spans="1:1">
      <c r="A15767" s="35" t="s">
        <v>41057</v>
      </c>
    </row>
    <row r="15768" spans="1:1">
      <c r="A15768" s="35" t="s">
        <v>41057</v>
      </c>
    </row>
    <row r="15769" spans="1:1">
      <c r="A15769" s="35" t="s">
        <v>41057</v>
      </c>
    </row>
    <row r="15770" spans="1:1">
      <c r="A15770" s="35" t="s">
        <v>41057</v>
      </c>
    </row>
    <row r="15771" spans="1:1">
      <c r="A15771" s="35" t="s">
        <v>41057</v>
      </c>
    </row>
    <row r="15772" spans="1:1">
      <c r="A15772" s="35" t="s">
        <v>41057</v>
      </c>
    </row>
    <row r="15773" spans="1:1">
      <c r="A15773" s="35" t="s">
        <v>41057</v>
      </c>
    </row>
    <row r="15774" spans="1:1">
      <c r="A15774" s="35" t="s">
        <v>41057</v>
      </c>
    </row>
    <row r="15775" spans="1:1">
      <c r="A15775" s="35" t="s">
        <v>41057</v>
      </c>
    </row>
    <row r="15776" spans="1:1">
      <c r="A15776" s="35" t="s">
        <v>41057</v>
      </c>
    </row>
    <row r="15777" spans="1:1">
      <c r="A15777" s="35" t="s">
        <v>41057</v>
      </c>
    </row>
    <row r="15778" spans="1:1">
      <c r="A15778" s="35" t="s">
        <v>41057</v>
      </c>
    </row>
    <row r="15779" spans="1:1">
      <c r="A15779" s="35" t="s">
        <v>41057</v>
      </c>
    </row>
    <row r="15780" spans="1:1">
      <c r="A15780" s="35" t="s">
        <v>41057</v>
      </c>
    </row>
    <row r="15781" spans="1:1">
      <c r="A15781" s="35" t="s">
        <v>41057</v>
      </c>
    </row>
    <row r="15782" spans="1:1">
      <c r="A15782" s="35" t="s">
        <v>41057</v>
      </c>
    </row>
    <row r="15783" spans="1:1">
      <c r="A15783" s="35" t="s">
        <v>41057</v>
      </c>
    </row>
    <row r="15784" spans="1:1">
      <c r="A15784" s="35" t="s">
        <v>57436</v>
      </c>
    </row>
    <row r="15785" spans="1:1">
      <c r="A15785" s="35" t="s">
        <v>57437</v>
      </c>
    </row>
    <row r="15786" spans="1:1">
      <c r="A15786" s="35" t="s">
        <v>41057</v>
      </c>
    </row>
    <row r="15787" spans="1:1">
      <c r="A15787" s="35" t="s">
        <v>41057</v>
      </c>
    </row>
    <row r="15788" spans="1:1">
      <c r="A15788" s="35" t="s">
        <v>57438</v>
      </c>
    </row>
    <row r="15789" spans="1:1">
      <c r="A15789" s="35" t="s">
        <v>41057</v>
      </c>
    </row>
    <row r="15790" spans="1:1">
      <c r="A15790" s="35" t="s">
        <v>41057</v>
      </c>
    </row>
    <row r="15791" spans="1:1">
      <c r="A15791" s="35" t="s">
        <v>41057</v>
      </c>
    </row>
    <row r="15792" spans="1:1">
      <c r="A15792" s="35" t="s">
        <v>41057</v>
      </c>
    </row>
    <row r="15793" spans="1:1">
      <c r="A15793" s="35" t="s">
        <v>41057</v>
      </c>
    </row>
    <row r="15794" spans="1:1">
      <c r="A15794" s="35" t="s">
        <v>41057</v>
      </c>
    </row>
    <row r="15795" spans="1:1">
      <c r="A15795" s="35" t="s">
        <v>41057</v>
      </c>
    </row>
    <row r="15796" spans="1:1">
      <c r="A15796" s="35" t="s">
        <v>41057</v>
      </c>
    </row>
    <row r="15797" spans="1:1">
      <c r="A15797" s="35" t="s">
        <v>41057</v>
      </c>
    </row>
    <row r="15798" spans="1:1">
      <c r="A15798" s="35" t="s">
        <v>41057</v>
      </c>
    </row>
    <row r="15799" spans="1:1">
      <c r="A15799" s="35" t="s">
        <v>41057</v>
      </c>
    </row>
    <row r="15800" spans="1:1">
      <c r="A15800" s="35" t="s">
        <v>41057</v>
      </c>
    </row>
    <row r="15801" spans="1:1">
      <c r="A15801" s="35" t="s">
        <v>57439</v>
      </c>
    </row>
    <row r="15802" spans="1:1">
      <c r="A15802" s="35" t="s">
        <v>57422</v>
      </c>
    </row>
    <row r="15803" spans="1:1">
      <c r="A15803" s="35" t="s">
        <v>57440</v>
      </c>
    </row>
    <row r="15804" spans="1:1">
      <c r="A15804" s="35" t="s">
        <v>57424</v>
      </c>
    </row>
    <row r="15805" spans="1:1">
      <c r="A15805" s="35" t="s">
        <v>57425</v>
      </c>
    </row>
    <row r="15806" spans="1:1">
      <c r="A15806" s="35" t="s">
        <v>57426</v>
      </c>
    </row>
    <row r="15807" spans="1:1">
      <c r="A15807" s="35" t="e" cm="1">
        <f t="array" ref="A15807">---------------------------------------------------------ANI</f>
        <v>#NAME?</v>
      </c>
    </row>
    <row r="15808" spans="1:1">
      <c r="A15808" s="35" t="s">
        <v>57427</v>
      </c>
    </row>
    <row r="15809" spans="1:1">
      <c r="A15809" s="35" t="s">
        <v>57428</v>
      </c>
    </row>
    <row r="15810" spans="1:1">
      <c r="A15810" s="35" t="s">
        <v>57441</v>
      </c>
    </row>
    <row r="15811" spans="1:1">
      <c r="A15811" s="35" t="s">
        <v>57430</v>
      </c>
    </row>
    <row r="15812" spans="1:1">
      <c r="A15812" s="35" t="s">
        <v>53545</v>
      </c>
    </row>
    <row r="15813" spans="1:1">
      <c r="A15813" s="35" t="s">
        <v>52984</v>
      </c>
    </row>
    <row r="15814" spans="1:1">
      <c r="A15814" s="35" t="s">
        <v>41057</v>
      </c>
    </row>
    <row r="15815" spans="1:1">
      <c r="A15815" s="35" t="s">
        <v>41057</v>
      </c>
    </row>
    <row r="15816" spans="1:1">
      <c r="A15816" s="35" t="s">
        <v>41057</v>
      </c>
    </row>
    <row r="15817" spans="1:1">
      <c r="A15817" s="35" t="s">
        <v>41057</v>
      </c>
    </row>
    <row r="15818" spans="1:1">
      <c r="A15818" s="35" t="s">
        <v>41057</v>
      </c>
    </row>
    <row r="15819" spans="1:1">
      <c r="A15819" s="35" t="s">
        <v>41057</v>
      </c>
    </row>
    <row r="15820" spans="1:1">
      <c r="A15820" s="35" t="s">
        <v>41057</v>
      </c>
    </row>
    <row r="15821" spans="1:1">
      <c r="A15821" s="35" t="s">
        <v>41057</v>
      </c>
    </row>
    <row r="15822" spans="1:1">
      <c r="A15822" s="35" t="s">
        <v>41057</v>
      </c>
    </row>
    <row r="15823" spans="1:1">
      <c r="A15823" s="35" t="s">
        <v>41057</v>
      </c>
    </row>
    <row r="15824" spans="1:1">
      <c r="A15824" s="35" t="s">
        <v>41057</v>
      </c>
    </row>
    <row r="15825" spans="1:1">
      <c r="A15825" s="35" t="s">
        <v>41057</v>
      </c>
    </row>
    <row r="15826" spans="1:1">
      <c r="A15826" s="35" t="s">
        <v>41057</v>
      </c>
    </row>
    <row r="15827" spans="1:1">
      <c r="A15827" s="35" t="s">
        <v>41057</v>
      </c>
    </row>
    <row r="15828" spans="1:1">
      <c r="A15828" s="35" t="s">
        <v>41057</v>
      </c>
    </row>
    <row r="15829" spans="1:1">
      <c r="A15829" s="35" t="s">
        <v>41057</v>
      </c>
    </row>
    <row r="15830" spans="1:1">
      <c r="A15830" s="35" t="s">
        <v>41057</v>
      </c>
    </row>
    <row r="15831" spans="1:1">
      <c r="A15831" s="35" t="s">
        <v>41057</v>
      </c>
    </row>
    <row r="15832" spans="1:1">
      <c r="A15832" s="35" t="s">
        <v>41057</v>
      </c>
    </row>
    <row r="15833" spans="1:1">
      <c r="A15833" s="35" t="s">
        <v>41057</v>
      </c>
    </row>
    <row r="15834" spans="1:1">
      <c r="A15834" s="35" t="s">
        <v>41057</v>
      </c>
    </row>
    <row r="15835" spans="1:1">
      <c r="A15835" s="35" t="s">
        <v>41057</v>
      </c>
    </row>
    <row r="15836" spans="1:1">
      <c r="A15836" s="35" t="s">
        <v>41057</v>
      </c>
    </row>
    <row r="15837" spans="1:1">
      <c r="A15837" s="35" t="s">
        <v>41057</v>
      </c>
    </row>
    <row r="15838" spans="1:1">
      <c r="A15838" s="35" t="s">
        <v>41057</v>
      </c>
    </row>
    <row r="15839" spans="1:1">
      <c r="A15839" s="35" t="s">
        <v>41057</v>
      </c>
    </row>
    <row r="15840" spans="1:1">
      <c r="A15840" s="35" t="s">
        <v>41057</v>
      </c>
    </row>
    <row r="15841" spans="1:1">
      <c r="A15841" s="35" t="s">
        <v>41057</v>
      </c>
    </row>
    <row r="15842" spans="1:1">
      <c r="A15842" s="35" t="s">
        <v>41057</v>
      </c>
    </row>
    <row r="15843" spans="1:1">
      <c r="A15843" s="35" t="s">
        <v>41057</v>
      </c>
    </row>
    <row r="15844" spans="1:1">
      <c r="A15844" s="35" t="s">
        <v>41057</v>
      </c>
    </row>
    <row r="15845" spans="1:1">
      <c r="A15845" s="35" t="s">
        <v>41057</v>
      </c>
    </row>
    <row r="15846" spans="1:1">
      <c r="A15846" s="35" t="s">
        <v>41057</v>
      </c>
    </row>
    <row r="15847" spans="1:1">
      <c r="A15847" s="35" t="s">
        <v>41057</v>
      </c>
    </row>
    <row r="15848" spans="1:1">
      <c r="A15848" s="35" t="s">
        <v>41057</v>
      </c>
    </row>
    <row r="15849" spans="1:1">
      <c r="A15849" s="35" t="s">
        <v>41057</v>
      </c>
    </row>
    <row r="15850" spans="1:1">
      <c r="A15850" s="35" t="s">
        <v>41057</v>
      </c>
    </row>
    <row r="15851" spans="1:1">
      <c r="A15851" s="35" t="s">
        <v>41057</v>
      </c>
    </row>
    <row r="15852" spans="1:1">
      <c r="A15852" s="35" t="s">
        <v>41057</v>
      </c>
    </row>
    <row r="15853" spans="1:1">
      <c r="A15853" s="35" t="s">
        <v>41057</v>
      </c>
    </row>
    <row r="15854" spans="1:1">
      <c r="A15854" s="35" t="s">
        <v>41057</v>
      </c>
    </row>
    <row r="15855" spans="1:1">
      <c r="A15855" s="35" t="s">
        <v>41057</v>
      </c>
    </row>
    <row r="15856" spans="1:1">
      <c r="A15856" s="35" t="s">
        <v>41057</v>
      </c>
    </row>
    <row r="15857" spans="1:1">
      <c r="A15857" s="35" t="s">
        <v>41057</v>
      </c>
    </row>
    <row r="15858" spans="1:1">
      <c r="A15858" s="35" t="s">
        <v>41057</v>
      </c>
    </row>
    <row r="15859" spans="1:1">
      <c r="A15859" s="35" t="s">
        <v>41057</v>
      </c>
    </row>
    <row r="15860" spans="1:1">
      <c r="A15860" s="35" t="s">
        <v>41057</v>
      </c>
    </row>
    <row r="15861" spans="1:1">
      <c r="A15861" s="35" t="s">
        <v>41057</v>
      </c>
    </row>
    <row r="15862" spans="1:1">
      <c r="A15862" s="35" t="s">
        <v>41057</v>
      </c>
    </row>
    <row r="15863" spans="1:1">
      <c r="A15863" s="35" t="s">
        <v>41057</v>
      </c>
    </row>
    <row r="15864" spans="1:1">
      <c r="A15864" s="35" t="s">
        <v>41057</v>
      </c>
    </row>
    <row r="15865" spans="1:1">
      <c r="A15865" s="35" t="s">
        <v>41057</v>
      </c>
    </row>
    <row r="15866" spans="1:1">
      <c r="A15866" s="35" t="s">
        <v>41057</v>
      </c>
    </row>
    <row r="15867" spans="1:1">
      <c r="A15867" s="35" t="s">
        <v>41057</v>
      </c>
    </row>
    <row r="15868" spans="1:1">
      <c r="A15868" s="35" t="s">
        <v>41057</v>
      </c>
    </row>
    <row r="15869" spans="1:1">
      <c r="A15869" s="35" t="s">
        <v>41057</v>
      </c>
    </row>
    <row r="15870" spans="1:1">
      <c r="A15870" s="35" t="s">
        <v>41057</v>
      </c>
    </row>
    <row r="15871" spans="1:1">
      <c r="A15871" s="35" t="s">
        <v>41057</v>
      </c>
    </row>
    <row r="15872" spans="1:1">
      <c r="A15872" s="35" t="s">
        <v>41057</v>
      </c>
    </row>
    <row r="15873" spans="1:1">
      <c r="A15873" s="35" t="s">
        <v>41057</v>
      </c>
    </row>
    <row r="15874" spans="1:1">
      <c r="A15874" s="35" t="s">
        <v>41057</v>
      </c>
    </row>
    <row r="15875" spans="1:1">
      <c r="A15875" s="35" t="s">
        <v>41057</v>
      </c>
    </row>
    <row r="15876" spans="1:1">
      <c r="A15876" s="35" t="s">
        <v>41057</v>
      </c>
    </row>
    <row r="15877" spans="1:1">
      <c r="A15877" s="35" t="s">
        <v>41057</v>
      </c>
    </row>
    <row r="15878" spans="1:1">
      <c r="A15878" s="35" t="s">
        <v>41057</v>
      </c>
    </row>
    <row r="15879" spans="1:1">
      <c r="A15879" s="35" t="s">
        <v>41057</v>
      </c>
    </row>
    <row r="15880" spans="1:1">
      <c r="A15880" s="35" t="s">
        <v>41057</v>
      </c>
    </row>
    <row r="15881" spans="1:1">
      <c r="A15881" s="35" t="s">
        <v>41057</v>
      </c>
    </row>
    <row r="15882" spans="1:1">
      <c r="A15882" s="35" t="s">
        <v>41057</v>
      </c>
    </row>
    <row r="15883" spans="1:1">
      <c r="A15883" s="35" t="s">
        <v>41057</v>
      </c>
    </row>
    <row r="15884" spans="1:1">
      <c r="A15884" s="35" t="s">
        <v>41057</v>
      </c>
    </row>
    <row r="15885" spans="1:1">
      <c r="A15885" s="35" t="s">
        <v>41057</v>
      </c>
    </row>
    <row r="15886" spans="1:1">
      <c r="A15886" s="35" t="s">
        <v>41057</v>
      </c>
    </row>
    <row r="15887" spans="1:1">
      <c r="A15887" s="35" t="s">
        <v>41057</v>
      </c>
    </row>
    <row r="15888" spans="1:1">
      <c r="A15888" s="35" t="s">
        <v>41057</v>
      </c>
    </row>
    <row r="15889" spans="1:1">
      <c r="A15889" s="35" t="s">
        <v>41057</v>
      </c>
    </row>
    <row r="15890" spans="1:1">
      <c r="A15890" s="35" t="s">
        <v>41057</v>
      </c>
    </row>
    <row r="15891" spans="1:1">
      <c r="A15891" s="35" t="s">
        <v>41057</v>
      </c>
    </row>
    <row r="15892" spans="1:1">
      <c r="A15892" s="35" t="s">
        <v>57442</v>
      </c>
    </row>
    <row r="15893" spans="1:1">
      <c r="A15893" s="35" t="s">
        <v>57443</v>
      </c>
    </row>
    <row r="15894" spans="1:1">
      <c r="A15894" s="35" t="s">
        <v>41057</v>
      </c>
    </row>
    <row r="15895" spans="1:1">
      <c r="A15895" s="35" t="s">
        <v>41057</v>
      </c>
    </row>
    <row r="15896" spans="1:1">
      <c r="A15896" s="35" t="s">
        <v>41057</v>
      </c>
    </row>
    <row r="15897" spans="1:1">
      <c r="A15897" s="35" t="s">
        <v>57444</v>
      </c>
    </row>
    <row r="15898" spans="1:1">
      <c r="A15898" s="35" t="s">
        <v>41057</v>
      </c>
    </row>
    <row r="15899" spans="1:1">
      <c r="A15899" s="35" t="s">
        <v>41057</v>
      </c>
    </row>
    <row r="15900" spans="1:1">
      <c r="A15900" s="35" t="s">
        <v>57445</v>
      </c>
    </row>
    <row r="15901" spans="1:1">
      <c r="A15901" s="35" t="s">
        <v>57446</v>
      </c>
    </row>
    <row r="15902" spans="1:1">
      <c r="A15902" s="35" t="s">
        <v>57447</v>
      </c>
    </row>
    <row r="15903" spans="1:1">
      <c r="A15903" s="35" t="s">
        <v>57448</v>
      </c>
    </row>
    <row r="15904" spans="1:1">
      <c r="A15904" s="35" t="s">
        <v>41057</v>
      </c>
    </row>
    <row r="15905" spans="1:1">
      <c r="A15905" s="35" t="s">
        <v>41057</v>
      </c>
    </row>
    <row r="15906" spans="1:1">
      <c r="A15906" s="35" t="s">
        <v>57449</v>
      </c>
    </row>
    <row r="15907" spans="1:1">
      <c r="A15907" s="35" t="s">
        <v>54705</v>
      </c>
    </row>
    <row r="15908" spans="1:1">
      <c r="A15908" s="35" t="s">
        <v>41057</v>
      </c>
    </row>
    <row r="15909" spans="1:1">
      <c r="A15909" s="35" t="s">
        <v>57450</v>
      </c>
    </row>
    <row r="15910" spans="1:1">
      <c r="A15910" s="35" t="s">
        <v>41057</v>
      </c>
    </row>
    <row r="15911" spans="1:1">
      <c r="A15911" s="35" t="s">
        <v>41057</v>
      </c>
    </row>
    <row r="15912" spans="1:1">
      <c r="A15912" s="35" t="s">
        <v>41057</v>
      </c>
    </row>
    <row r="15913" spans="1:1">
      <c r="A15913" s="35" t="s">
        <v>57451</v>
      </c>
    </row>
    <row r="15914" spans="1:1">
      <c r="A15914" s="35" t="s">
        <v>57452</v>
      </c>
    </row>
    <row r="15915" spans="1:1">
      <c r="A15915" s="35" t="s">
        <v>41057</v>
      </c>
    </row>
    <row r="15916" spans="1:1">
      <c r="A15916" s="35" t="e" cm="1">
        <f t="array" ref="A15916">---------------------------------------------------------LVD</f>
        <v>#NAME?</v>
      </c>
    </row>
    <row r="15917" spans="1:1">
      <c r="A15917" s="35" t="s">
        <v>57453</v>
      </c>
    </row>
    <row r="15918" spans="1:1">
      <c r="A15918" s="35" t="e" cm="1">
        <f t="array" ref="A15918">--------------------------------------------------AGAVDPISET</f>
        <v>#NAME?</v>
      </c>
    </row>
    <row r="15919" spans="1:1">
      <c r="A15919" s="35" t="s">
        <v>57454</v>
      </c>
    </row>
    <row r="15920" spans="1:1">
      <c r="A15920" s="35" t="s">
        <v>57455</v>
      </c>
    </row>
    <row r="15921" spans="1:1">
      <c r="A15921" s="35" t="s">
        <v>57456</v>
      </c>
    </row>
    <row r="15922" spans="1:1">
      <c r="A15922" s="35" t="s">
        <v>57457</v>
      </c>
    </row>
    <row r="15923" spans="1:1">
      <c r="A15923" s="35" t="s">
        <v>57458</v>
      </c>
    </row>
    <row r="15924" spans="1:1">
      <c r="A15924" s="35" t="s">
        <v>57459</v>
      </c>
    </row>
    <row r="15925" spans="1:1">
      <c r="A15925" s="35" t="e" cm="1">
        <f t="array" ref="A15925">-----------------------------------------------------GQDYVQS</f>
        <v>#NAME?</v>
      </c>
    </row>
    <row r="15926" spans="1:1">
      <c r="A15926" s="35" t="s">
        <v>57460</v>
      </c>
    </row>
    <row r="15927" spans="1:1">
      <c r="A15927" s="35" t="s">
        <v>57461</v>
      </c>
    </row>
    <row r="15928" spans="1:1">
      <c r="A15928" s="35" t="s">
        <v>57462</v>
      </c>
    </row>
    <row r="15929" spans="1:1">
      <c r="A15929" s="35" t="s">
        <v>41057</v>
      </c>
    </row>
    <row r="15930" spans="1:1">
      <c r="A15930" s="35" t="s">
        <v>53545</v>
      </c>
    </row>
    <row r="15931" spans="1:1">
      <c r="A15931" s="35" t="s">
        <v>52664</v>
      </c>
    </row>
    <row r="15932" spans="1:1">
      <c r="A15932" s="35" t="s">
        <v>41057</v>
      </c>
    </row>
    <row r="15933" spans="1:1">
      <c r="A15933" s="35" t="s">
        <v>41057</v>
      </c>
    </row>
    <row r="15934" spans="1:1">
      <c r="A15934" s="35" t="s">
        <v>41057</v>
      </c>
    </row>
    <row r="15935" spans="1:1">
      <c r="A15935" s="35" t="s">
        <v>41057</v>
      </c>
    </row>
    <row r="15936" spans="1:1">
      <c r="A15936" s="35" t="s">
        <v>41057</v>
      </c>
    </row>
    <row r="15937" spans="1:1">
      <c r="A15937" s="35" t="s">
        <v>57463</v>
      </c>
    </row>
    <row r="15938" spans="1:1">
      <c r="A15938" s="35" t="s">
        <v>41057</v>
      </c>
    </row>
    <row r="15939" spans="1:1">
      <c r="A15939" s="35" t="s">
        <v>41057</v>
      </c>
    </row>
    <row r="15940" spans="1:1">
      <c r="A15940" s="35" t="s">
        <v>41057</v>
      </c>
    </row>
    <row r="15941" spans="1:1">
      <c r="A15941" s="35" t="s">
        <v>57464</v>
      </c>
    </row>
    <row r="15942" spans="1:1">
      <c r="A15942" s="35" t="s">
        <v>57465</v>
      </c>
    </row>
    <row r="15943" spans="1:1">
      <c r="A15943" s="35" t="s">
        <v>57466</v>
      </c>
    </row>
    <row r="15944" spans="1:1">
      <c r="A15944" s="35" t="s">
        <v>57467</v>
      </c>
    </row>
    <row r="15945" spans="1:1">
      <c r="A15945" s="35" t="s">
        <v>41057</v>
      </c>
    </row>
    <row r="15946" spans="1:1">
      <c r="A15946" s="35" t="s">
        <v>41057</v>
      </c>
    </row>
    <row r="15947" spans="1:1">
      <c r="A15947" s="35" t="e" cm="1">
        <f t="array" ref="A15947">---------------ATAY------------------FVR-------------------E</f>
        <v>#NAME?</v>
      </c>
    </row>
    <row r="15948" spans="1:1">
      <c r="A15948" s="35" t="s">
        <v>57468</v>
      </c>
    </row>
    <row r="15949" spans="1:1">
      <c r="A15949" s="35" t="s">
        <v>57469</v>
      </c>
    </row>
    <row r="15950" spans="1:1">
      <c r="A15950" s="35" t="s">
        <v>41057</v>
      </c>
    </row>
    <row r="15951" spans="1:1">
      <c r="A15951" s="35" t="s">
        <v>57470</v>
      </c>
    </row>
    <row r="15952" spans="1:1">
      <c r="A15952" s="35" t="s">
        <v>41057</v>
      </c>
    </row>
    <row r="15953" spans="1:1">
      <c r="A15953" s="35" t="s">
        <v>41057</v>
      </c>
    </row>
    <row r="15954" spans="1:1">
      <c r="A15954" s="35" t="s">
        <v>57471</v>
      </c>
    </row>
    <row r="15955" spans="1:1">
      <c r="A15955" s="35" t="s">
        <v>41057</v>
      </c>
    </row>
    <row r="15956" spans="1:1">
      <c r="A15956" s="35" t="s">
        <v>41057</v>
      </c>
    </row>
    <row r="15957" spans="1:1">
      <c r="A15957" s="35" t="s">
        <v>53500</v>
      </c>
    </row>
    <row r="15958" spans="1:1">
      <c r="A15958" s="35" t="s">
        <v>41057</v>
      </c>
    </row>
    <row r="15959" spans="1:1">
      <c r="A15959" s="35" t="s">
        <v>41057</v>
      </c>
    </row>
    <row r="15960" spans="1:1">
      <c r="A15960" s="35" t="s">
        <v>57472</v>
      </c>
    </row>
    <row r="15961" spans="1:1">
      <c r="A15961" s="35" t="s">
        <v>41057</v>
      </c>
    </row>
    <row r="15962" spans="1:1">
      <c r="A15962" s="35" t="s">
        <v>57473</v>
      </c>
    </row>
    <row r="15963" spans="1:1">
      <c r="A15963" s="35" t="s">
        <v>41057</v>
      </c>
    </row>
    <row r="15964" spans="1:1">
      <c r="A15964" s="35" t="s">
        <v>57474</v>
      </c>
    </row>
    <row r="15965" spans="1:1">
      <c r="A15965" s="35" t="s">
        <v>57475</v>
      </c>
    </row>
    <row r="15966" spans="1:1">
      <c r="A15966" s="35" t="s">
        <v>41057</v>
      </c>
    </row>
    <row r="15967" spans="1:1">
      <c r="A15967" s="35" t="s">
        <v>41057</v>
      </c>
    </row>
    <row r="15968" spans="1:1">
      <c r="A15968" s="35" t="s">
        <v>54482</v>
      </c>
    </row>
    <row r="15969" spans="1:1">
      <c r="A15969" s="35" t="s">
        <v>41057</v>
      </c>
    </row>
    <row r="15970" spans="1:1">
      <c r="A15970" s="35" t="s">
        <v>41057</v>
      </c>
    </row>
    <row r="15971" spans="1:1">
      <c r="A15971" s="35" t="s">
        <v>41057</v>
      </c>
    </row>
    <row r="15972" spans="1:1">
      <c r="A15972" s="35" t="s">
        <v>41057</v>
      </c>
    </row>
    <row r="15973" spans="1:1">
      <c r="A15973" s="35" t="s">
        <v>41057</v>
      </c>
    </row>
    <row r="15974" spans="1:1">
      <c r="A15974" s="35" t="s">
        <v>57476</v>
      </c>
    </row>
    <row r="15975" spans="1:1">
      <c r="A15975" s="35" t="s">
        <v>41057</v>
      </c>
    </row>
    <row r="15976" spans="1:1">
      <c r="A15976" s="35" t="s">
        <v>41057</v>
      </c>
    </row>
    <row r="15977" spans="1:1">
      <c r="A15977" s="35" t="s">
        <v>41057</v>
      </c>
    </row>
    <row r="15978" spans="1:1">
      <c r="A15978" s="35" t="s">
        <v>41057</v>
      </c>
    </row>
    <row r="15979" spans="1:1">
      <c r="A15979" s="35" t="s">
        <v>41057</v>
      </c>
    </row>
    <row r="15980" spans="1:1">
      <c r="A15980" s="35" t="s">
        <v>41057</v>
      </c>
    </row>
    <row r="15981" spans="1:1">
      <c r="A15981" s="35" t="s">
        <v>41057</v>
      </c>
    </row>
    <row r="15982" spans="1:1">
      <c r="A15982" s="35" t="s">
        <v>41057</v>
      </c>
    </row>
    <row r="15983" spans="1:1">
      <c r="A15983" s="35" t="s">
        <v>41057</v>
      </c>
    </row>
    <row r="15984" spans="1:1">
      <c r="A15984" s="35" t="s">
        <v>41057</v>
      </c>
    </row>
    <row r="15985" spans="1:1">
      <c r="A15985" s="35" t="s">
        <v>41057</v>
      </c>
    </row>
    <row r="15986" spans="1:1">
      <c r="A15986" s="35" t="s">
        <v>41057</v>
      </c>
    </row>
    <row r="15987" spans="1:1">
      <c r="A15987" s="35" t="s">
        <v>41057</v>
      </c>
    </row>
    <row r="15988" spans="1:1">
      <c r="A15988" s="35" t="s">
        <v>41057</v>
      </c>
    </row>
    <row r="15989" spans="1:1">
      <c r="A15989" s="35" t="s">
        <v>41057</v>
      </c>
    </row>
    <row r="15990" spans="1:1">
      <c r="A15990" s="35" t="s">
        <v>57477</v>
      </c>
    </row>
    <row r="15991" spans="1:1">
      <c r="A15991" s="35" t="s">
        <v>41057</v>
      </c>
    </row>
    <row r="15992" spans="1:1">
      <c r="A15992" s="35" t="s">
        <v>41057</v>
      </c>
    </row>
    <row r="15993" spans="1:1">
      <c r="A15993" s="35" t="s">
        <v>41057</v>
      </c>
    </row>
    <row r="15994" spans="1:1">
      <c r="A15994" s="35" t="s">
        <v>41057</v>
      </c>
    </row>
    <row r="15995" spans="1:1">
      <c r="A15995" s="35" t="s">
        <v>41057</v>
      </c>
    </row>
    <row r="15996" spans="1:1">
      <c r="A15996" s="35" t="s">
        <v>41057</v>
      </c>
    </row>
    <row r="15997" spans="1:1">
      <c r="A15997" s="35" t="s">
        <v>41057</v>
      </c>
    </row>
    <row r="15998" spans="1:1">
      <c r="A15998" s="35" t="s">
        <v>41057</v>
      </c>
    </row>
    <row r="15999" spans="1:1">
      <c r="A15999" s="35" t="s">
        <v>41057</v>
      </c>
    </row>
    <row r="16000" spans="1:1">
      <c r="A16000" s="35" t="s">
        <v>41057</v>
      </c>
    </row>
    <row r="16001" spans="1:1">
      <c r="A16001" s="35" t="e" cm="1">
        <f t="array" ref="A16001">-----------------------------------------------SLRWTRNL---MH</f>
        <v>#NAME?</v>
      </c>
    </row>
    <row r="16002" spans="1:1">
      <c r="A16002" s="35" t="s">
        <v>57478</v>
      </c>
    </row>
    <row r="16003" spans="1:1">
      <c r="A16003" s="35" t="e" cm="1">
        <f t="array" ref="A16003">---------------NYHLDFWSAFTV---------PASK------------------RT</f>
        <v>#NAME?</v>
      </c>
    </row>
    <row r="16004" spans="1:1">
      <c r="A16004" s="35" t="s">
        <v>57479</v>
      </c>
    </row>
    <row r="16005" spans="1:1">
      <c r="A16005" s="35" t="e" cm="1">
        <f t="array" ref="A16005">----------------------------------------------------------NL</f>
        <v>#NAME?</v>
      </c>
    </row>
    <row r="16006" spans="1:1">
      <c r="A16006" s="35" t="s">
        <v>57480</v>
      </c>
    </row>
    <row r="16007" spans="1:1">
      <c r="A16007" s="35" t="s">
        <v>57481</v>
      </c>
    </row>
    <row r="16008" spans="1:1">
      <c r="A16008" s="35" t="s">
        <v>41057</v>
      </c>
    </row>
    <row r="16009" spans="1:1">
      <c r="A16009" s="35" t="s">
        <v>57482</v>
      </c>
    </row>
    <row r="16010" spans="1:1">
      <c r="A16010" s="35" t="s">
        <v>57483</v>
      </c>
    </row>
    <row r="16011" spans="1:1">
      <c r="A16011" s="35" t="s">
        <v>57484</v>
      </c>
    </row>
    <row r="16012" spans="1:1">
      <c r="A16012" s="35" t="s">
        <v>41057</v>
      </c>
    </row>
    <row r="16013" spans="1:1">
      <c r="A16013" s="35" t="s">
        <v>41057</v>
      </c>
    </row>
    <row r="16014" spans="1:1">
      <c r="A16014" s="35" t="s">
        <v>41057</v>
      </c>
    </row>
    <row r="16015" spans="1:1">
      <c r="A16015" s="35" t="s">
        <v>57485</v>
      </c>
    </row>
    <row r="16016" spans="1:1">
      <c r="A16016" s="35" t="s">
        <v>41057</v>
      </c>
    </row>
    <row r="16017" spans="1:1">
      <c r="A16017" s="35" t="s">
        <v>41057</v>
      </c>
    </row>
    <row r="16018" spans="1:1">
      <c r="A16018" s="35" t="s">
        <v>57486</v>
      </c>
    </row>
    <row r="16019" spans="1:1">
      <c r="A16019" s="35" t="s">
        <v>56793</v>
      </c>
    </row>
    <row r="16020" spans="1:1">
      <c r="A16020" s="35" t="s">
        <v>57487</v>
      </c>
    </row>
    <row r="16021" spans="1:1">
      <c r="A16021" s="35" t="s">
        <v>57488</v>
      </c>
    </row>
    <row r="16022" spans="1:1">
      <c r="A16022" s="35" t="s">
        <v>41057</v>
      </c>
    </row>
    <row r="16023" spans="1:1">
      <c r="A16023" s="35" t="s">
        <v>41057</v>
      </c>
    </row>
    <row r="16024" spans="1:1">
      <c r="A16024" s="35" t="s">
        <v>57489</v>
      </c>
    </row>
    <row r="16025" spans="1:1">
      <c r="A16025" s="35" t="s">
        <v>57490</v>
      </c>
    </row>
    <row r="16026" spans="1:1">
      <c r="A16026" s="35" t="s">
        <v>41057</v>
      </c>
    </row>
    <row r="16027" spans="1:1">
      <c r="A16027" s="35" t="s">
        <v>57491</v>
      </c>
    </row>
    <row r="16028" spans="1:1">
      <c r="A16028" s="35" t="s">
        <v>41057</v>
      </c>
    </row>
    <row r="16029" spans="1:1">
      <c r="A16029" s="35" t="s">
        <v>41057</v>
      </c>
    </row>
    <row r="16030" spans="1:1">
      <c r="A16030" s="35" t="s">
        <v>41057</v>
      </c>
    </row>
    <row r="16031" spans="1:1">
      <c r="A16031" s="35" t="s">
        <v>57492</v>
      </c>
    </row>
    <row r="16032" spans="1:1">
      <c r="A16032" s="35" t="s">
        <v>57493</v>
      </c>
    </row>
    <row r="16033" spans="1:1">
      <c r="A16033" s="35" t="s">
        <v>41057</v>
      </c>
    </row>
    <row r="16034" spans="1:1">
      <c r="A16034" s="35" t="e" cm="1">
        <f t="array" ref="A16034">---------------------------------------------------------TVN</f>
        <v>#NAME?</v>
      </c>
    </row>
    <row r="16035" spans="1:1">
      <c r="A16035" s="35" t="s">
        <v>57494</v>
      </c>
    </row>
    <row r="16036" spans="1:1">
      <c r="A16036" s="35" t="e" cm="1">
        <f t="array" ref="A16036">--------------------------------------------------TGSFDPIANT</f>
        <v>#NAME?</v>
      </c>
    </row>
    <row r="16037" spans="1:1">
      <c r="A16037" s="35" t="s">
        <v>57495</v>
      </c>
    </row>
    <row r="16038" spans="1:1">
      <c r="A16038" s="35" t="s">
        <v>57496</v>
      </c>
    </row>
    <row r="16039" spans="1:1">
      <c r="A16039" s="35" t="s">
        <v>57497</v>
      </c>
    </row>
    <row r="16040" spans="1:1">
      <c r="A16040" s="35" t="s">
        <v>57498</v>
      </c>
    </row>
    <row r="16041" spans="1:1">
      <c r="A16041" s="35" t="s">
        <v>57499</v>
      </c>
    </row>
    <row r="16042" spans="1:1">
      <c r="A16042" s="35" t="s">
        <v>57500</v>
      </c>
    </row>
    <row r="16043" spans="1:1">
      <c r="A16043" s="35" t="e" cm="1">
        <f t="array" ref="A16043">-----------------------------------------------------GSDYPQS</f>
        <v>#NAME?</v>
      </c>
    </row>
    <row r="16044" spans="1:1">
      <c r="A16044" s="35" t="s">
        <v>57501</v>
      </c>
    </row>
    <row r="16045" spans="1:1">
      <c r="A16045" s="35" t="s">
        <v>57502</v>
      </c>
    </row>
    <row r="16046" spans="1:1">
      <c r="A16046" s="35" t="s">
        <v>57503</v>
      </c>
    </row>
    <row r="16047" spans="1:1">
      <c r="A16047" s="35" t="s">
        <v>41057</v>
      </c>
    </row>
    <row r="16048" spans="1:1">
      <c r="A16048" s="35" t="s">
        <v>53545</v>
      </c>
    </row>
    <row r="16049" spans="1:1">
      <c r="A16049" s="35" t="s">
        <v>52683</v>
      </c>
    </row>
    <row r="16050" spans="1:1">
      <c r="A16050" s="35" t="s">
        <v>41057</v>
      </c>
    </row>
    <row r="16051" spans="1:1">
      <c r="A16051" s="35" t="s">
        <v>41057</v>
      </c>
    </row>
    <row r="16052" spans="1:1">
      <c r="A16052" s="35" t="s">
        <v>41057</v>
      </c>
    </row>
    <row r="16053" spans="1:1">
      <c r="A16053" s="35" t="s">
        <v>41057</v>
      </c>
    </row>
    <row r="16054" spans="1:1">
      <c r="A16054" s="35" t="s">
        <v>57504</v>
      </c>
    </row>
    <row r="16055" spans="1:1">
      <c r="A16055" s="35" t="s">
        <v>57505</v>
      </c>
    </row>
    <row r="16056" spans="1:1">
      <c r="A16056" s="35" t="s">
        <v>41057</v>
      </c>
    </row>
    <row r="16057" spans="1:1">
      <c r="A16057" s="35" t="s">
        <v>41057</v>
      </c>
    </row>
    <row r="16058" spans="1:1">
      <c r="A16058" s="35" t="s">
        <v>41057</v>
      </c>
    </row>
    <row r="16059" spans="1:1">
      <c r="A16059" s="35" t="s">
        <v>57506</v>
      </c>
    </row>
    <row r="16060" spans="1:1">
      <c r="A16060" s="35" t="s">
        <v>57507</v>
      </c>
    </row>
    <row r="16061" spans="1:1">
      <c r="A16061" s="35" t="s">
        <v>57508</v>
      </c>
    </row>
    <row r="16062" spans="1:1">
      <c r="A16062" s="35" t="s">
        <v>57509</v>
      </c>
    </row>
    <row r="16063" spans="1:1">
      <c r="A16063" s="35" t="s">
        <v>41057</v>
      </c>
    </row>
    <row r="16064" spans="1:1">
      <c r="A16064" s="35" t="s">
        <v>41057</v>
      </c>
    </row>
    <row r="16065" spans="1:1">
      <c r="A16065" s="35" t="e" cm="1">
        <f t="array" ref="A16065">---------------AVTY------------------FIR-------------------E</f>
        <v>#NAME?</v>
      </c>
    </row>
    <row r="16066" spans="1:1">
      <c r="A16066" s="35" t="s">
        <v>57510</v>
      </c>
    </row>
    <row r="16067" spans="1:1">
      <c r="A16067" s="35" t="s">
        <v>57511</v>
      </c>
    </row>
    <row r="16068" spans="1:1">
      <c r="A16068" s="35" t="s">
        <v>41057</v>
      </c>
    </row>
    <row r="16069" spans="1:1">
      <c r="A16069" s="35" t="s">
        <v>57512</v>
      </c>
    </row>
    <row r="16070" spans="1:1">
      <c r="A16070" s="35" t="s">
        <v>41057</v>
      </c>
    </row>
    <row r="16071" spans="1:1">
      <c r="A16071" s="35" t="s">
        <v>41057</v>
      </c>
    </row>
    <row r="16072" spans="1:1">
      <c r="A16072" s="35" t="s">
        <v>57513</v>
      </c>
    </row>
    <row r="16073" spans="1:1">
      <c r="A16073" s="35" t="s">
        <v>41057</v>
      </c>
    </row>
    <row r="16074" spans="1:1">
      <c r="A16074" s="35" t="s">
        <v>41057</v>
      </c>
    </row>
    <row r="16075" spans="1:1">
      <c r="A16075" s="35" t="s">
        <v>53676</v>
      </c>
    </row>
    <row r="16076" spans="1:1">
      <c r="A16076" s="35" t="s">
        <v>41057</v>
      </c>
    </row>
    <row r="16077" spans="1:1">
      <c r="A16077" s="35" t="s">
        <v>41057</v>
      </c>
    </row>
    <row r="16078" spans="1:1">
      <c r="A16078" s="35" t="s">
        <v>57514</v>
      </c>
    </row>
    <row r="16079" spans="1:1">
      <c r="A16079" s="35" t="s">
        <v>41057</v>
      </c>
    </row>
    <row r="16080" spans="1:1">
      <c r="A16080" s="35" t="s">
        <v>57515</v>
      </c>
    </row>
    <row r="16081" spans="1:1">
      <c r="A16081" s="35" t="s">
        <v>41057</v>
      </c>
    </row>
    <row r="16082" spans="1:1">
      <c r="A16082" s="35" t="s">
        <v>57516</v>
      </c>
    </row>
    <row r="16083" spans="1:1">
      <c r="A16083" s="35" t="s">
        <v>57517</v>
      </c>
    </row>
    <row r="16084" spans="1:1">
      <c r="A16084" s="35" t="s">
        <v>41057</v>
      </c>
    </row>
    <row r="16085" spans="1:1">
      <c r="A16085" s="35" t="s">
        <v>41057</v>
      </c>
    </row>
    <row r="16086" spans="1:1">
      <c r="A16086" s="35" t="s">
        <v>57518</v>
      </c>
    </row>
    <row r="16087" spans="1:1">
      <c r="A16087" s="35" t="s">
        <v>41057</v>
      </c>
    </row>
    <row r="16088" spans="1:1">
      <c r="A16088" s="35" t="s">
        <v>41057</v>
      </c>
    </row>
    <row r="16089" spans="1:1">
      <c r="A16089" s="35" t="s">
        <v>41057</v>
      </c>
    </row>
    <row r="16090" spans="1:1">
      <c r="A16090" s="35" t="s">
        <v>41057</v>
      </c>
    </row>
    <row r="16091" spans="1:1">
      <c r="A16091" s="35" t="s">
        <v>41057</v>
      </c>
    </row>
    <row r="16092" spans="1:1">
      <c r="A16092" s="35" t="s">
        <v>57519</v>
      </c>
    </row>
    <row r="16093" spans="1:1">
      <c r="A16093" s="35" t="s">
        <v>41057</v>
      </c>
    </row>
    <row r="16094" spans="1:1">
      <c r="A16094" s="35" t="s">
        <v>41057</v>
      </c>
    </row>
    <row r="16095" spans="1:1">
      <c r="A16095" s="35" t="s">
        <v>41057</v>
      </c>
    </row>
    <row r="16096" spans="1:1">
      <c r="A16096" s="35" t="s">
        <v>41057</v>
      </c>
    </row>
    <row r="16097" spans="1:1">
      <c r="A16097" s="35" t="s">
        <v>41057</v>
      </c>
    </row>
    <row r="16098" spans="1:1">
      <c r="A16098" s="35" t="s">
        <v>41057</v>
      </c>
    </row>
    <row r="16099" spans="1:1">
      <c r="A16099" s="35" t="s">
        <v>41057</v>
      </c>
    </row>
    <row r="16100" spans="1:1">
      <c r="A16100" s="35" t="s">
        <v>41057</v>
      </c>
    </row>
    <row r="16101" spans="1:1">
      <c r="A16101" s="35" t="s">
        <v>41057</v>
      </c>
    </row>
    <row r="16102" spans="1:1">
      <c r="A16102" s="35" t="s">
        <v>41057</v>
      </c>
    </row>
    <row r="16103" spans="1:1">
      <c r="A16103" s="35" t="s">
        <v>41057</v>
      </c>
    </row>
    <row r="16104" spans="1:1">
      <c r="A16104" s="35" t="s">
        <v>41057</v>
      </c>
    </row>
    <row r="16105" spans="1:1">
      <c r="A16105" s="35" t="s">
        <v>41057</v>
      </c>
    </row>
    <row r="16106" spans="1:1">
      <c r="A16106" s="35" t="s">
        <v>41057</v>
      </c>
    </row>
    <row r="16107" spans="1:1">
      <c r="A16107" s="35" t="s">
        <v>41057</v>
      </c>
    </row>
    <row r="16108" spans="1:1">
      <c r="A16108" s="35" t="s">
        <v>57520</v>
      </c>
    </row>
    <row r="16109" spans="1:1">
      <c r="A16109" s="35" t="s">
        <v>41057</v>
      </c>
    </row>
    <row r="16110" spans="1:1">
      <c r="A16110" s="35" t="s">
        <v>41057</v>
      </c>
    </row>
    <row r="16111" spans="1:1">
      <c r="A16111" s="35" t="s">
        <v>41057</v>
      </c>
    </row>
    <row r="16112" spans="1:1">
      <c r="A16112" s="35" t="s">
        <v>41057</v>
      </c>
    </row>
    <row r="16113" spans="1:1">
      <c r="A16113" s="35" t="s">
        <v>41057</v>
      </c>
    </row>
    <row r="16114" spans="1:1">
      <c r="A16114" s="35" t="s">
        <v>41057</v>
      </c>
    </row>
    <row r="16115" spans="1:1">
      <c r="A16115" s="35" t="s">
        <v>41057</v>
      </c>
    </row>
    <row r="16116" spans="1:1">
      <c r="A16116" s="35" t="s">
        <v>41057</v>
      </c>
    </row>
    <row r="16117" spans="1:1">
      <c r="A16117" s="35" t="s">
        <v>41057</v>
      </c>
    </row>
    <row r="16118" spans="1:1">
      <c r="A16118" s="35" t="s">
        <v>41057</v>
      </c>
    </row>
    <row r="16119" spans="1:1">
      <c r="A16119" s="35" t="e" cm="1">
        <f t="array" ref="A16119">--------------------------------------------EHGRIRWTRNF---MH</f>
        <v>#NAME?</v>
      </c>
    </row>
    <row r="16120" spans="1:1">
      <c r="A16120" s="35" t="s">
        <v>57521</v>
      </c>
    </row>
    <row r="16121" spans="1:1">
      <c r="A16121" s="35" t="e" cm="1">
        <f t="array" ref="A16121">---------------NYFLDFWNQFTL---------SSSK------------------KD</f>
        <v>#NAME?</v>
      </c>
    </row>
    <row r="16122" spans="1:1">
      <c r="A16122" s="35" t="s">
        <v>57522</v>
      </c>
    </row>
    <row r="16123" spans="1:1">
      <c r="A16123" s="35" t="e" cm="1">
        <f t="array" ref="A16123">----------------------------------------------------------KI</f>
        <v>#NAME?</v>
      </c>
    </row>
    <row r="16124" spans="1:1">
      <c r="A16124" s="35" t="s">
        <v>57523</v>
      </c>
    </row>
    <row r="16125" spans="1:1">
      <c r="A16125" s="35" t="s">
        <v>57524</v>
      </c>
    </row>
    <row r="16126" spans="1:1">
      <c r="A16126" s="35" t="s">
        <v>41057</v>
      </c>
    </row>
    <row r="16127" spans="1:1">
      <c r="A16127" s="35" t="s">
        <v>57482</v>
      </c>
    </row>
    <row r="16128" spans="1:1">
      <c r="A16128" s="35" t="s">
        <v>57525</v>
      </c>
    </row>
    <row r="16129" spans="1:1">
      <c r="A16129" s="35" t="s">
        <v>57526</v>
      </c>
    </row>
    <row r="16130" spans="1:1">
      <c r="A16130" s="35" t="s">
        <v>41057</v>
      </c>
    </row>
    <row r="16131" spans="1:1">
      <c r="A16131" s="35" t="s">
        <v>41057</v>
      </c>
    </row>
    <row r="16132" spans="1:1">
      <c r="A16132" s="35" t="s">
        <v>41057</v>
      </c>
    </row>
    <row r="16133" spans="1:1">
      <c r="A16133" s="35" t="s">
        <v>57527</v>
      </c>
    </row>
    <row r="16134" spans="1:1">
      <c r="A16134" s="35" t="s">
        <v>41057</v>
      </c>
    </row>
    <row r="16135" spans="1:1">
      <c r="A16135" s="35" t="s">
        <v>41057</v>
      </c>
    </row>
    <row r="16136" spans="1:1">
      <c r="A16136" s="35" t="s">
        <v>57528</v>
      </c>
    </row>
    <row r="16137" spans="1:1">
      <c r="A16137" s="35" t="s">
        <v>57529</v>
      </c>
    </row>
    <row r="16138" spans="1:1">
      <c r="A16138" s="35" t="s">
        <v>57530</v>
      </c>
    </row>
    <row r="16139" spans="1:1">
      <c r="A16139" s="35" t="s">
        <v>57531</v>
      </c>
    </row>
    <row r="16140" spans="1:1">
      <c r="A16140" s="35" t="s">
        <v>41057</v>
      </c>
    </row>
    <row r="16141" spans="1:1">
      <c r="A16141" s="35" t="s">
        <v>41057</v>
      </c>
    </row>
    <row r="16142" spans="1:1">
      <c r="A16142" s="35" t="s">
        <v>57532</v>
      </c>
    </row>
    <row r="16143" spans="1:1">
      <c r="A16143" s="35" t="s">
        <v>54705</v>
      </c>
    </row>
    <row r="16144" spans="1:1">
      <c r="A16144" s="35" t="s">
        <v>41057</v>
      </c>
    </row>
    <row r="16145" spans="1:1">
      <c r="A16145" s="35" t="s">
        <v>57533</v>
      </c>
    </row>
    <row r="16146" spans="1:1">
      <c r="A16146" s="35" t="s">
        <v>41057</v>
      </c>
    </row>
    <row r="16147" spans="1:1">
      <c r="A16147" s="35" t="s">
        <v>41057</v>
      </c>
    </row>
    <row r="16148" spans="1:1">
      <c r="A16148" s="35" t="s">
        <v>41057</v>
      </c>
    </row>
    <row r="16149" spans="1:1">
      <c r="A16149" s="35" t="s">
        <v>57534</v>
      </c>
    </row>
    <row r="16150" spans="1:1">
      <c r="A16150" s="35" t="s">
        <v>57535</v>
      </c>
    </row>
    <row r="16151" spans="1:1">
      <c r="A16151" s="35" t="s">
        <v>41057</v>
      </c>
    </row>
    <row r="16152" spans="1:1">
      <c r="A16152" s="35" t="e" cm="1">
        <f t="array" ref="A16152">---------------------------------------------------------KID</f>
        <v>#NAME?</v>
      </c>
    </row>
    <row r="16153" spans="1:1">
      <c r="A16153" s="35" t="s">
        <v>57536</v>
      </c>
    </row>
    <row r="16154" spans="1:1">
      <c r="A16154" s="35" t="e" cm="1">
        <f t="array" ref="A16154">-------------------------------------------------DQSAFDPIGTA</f>
        <v>#NAME?</v>
      </c>
    </row>
    <row r="16155" spans="1:1">
      <c r="A16155" s="35" t="s">
        <v>57537</v>
      </c>
    </row>
    <row r="16156" spans="1:1">
      <c r="A16156" s="35" t="s">
        <v>57538</v>
      </c>
    </row>
    <row r="16157" spans="1:1">
      <c r="A16157" s="35" t="s">
        <v>57539</v>
      </c>
    </row>
    <row r="16158" spans="1:1">
      <c r="A16158" s="35" t="s">
        <v>57540</v>
      </c>
    </row>
    <row r="16159" spans="1:1">
      <c r="A16159" s="35" t="s">
        <v>57541</v>
      </c>
    </row>
    <row r="16160" spans="1:1">
      <c r="A16160" s="35" t="s">
        <v>57542</v>
      </c>
    </row>
    <row r="16161" spans="1:1">
      <c r="A16161" s="35" t="e" cm="1">
        <f t="array" ref="A16161">-----------------------------------------------------GTDYAQS</f>
        <v>#NAME?</v>
      </c>
    </row>
    <row r="16162" spans="1:1">
      <c r="A16162" s="35" t="s">
        <v>57543</v>
      </c>
    </row>
    <row r="16163" spans="1:1">
      <c r="A16163" s="35" t="s">
        <v>57544</v>
      </c>
    </row>
    <row r="16164" spans="1:1">
      <c r="A16164" s="35" t="s">
        <v>57545</v>
      </c>
    </row>
    <row r="16165" spans="1:1">
      <c r="A16165" s="35" t="s">
        <v>41057</v>
      </c>
    </row>
    <row r="16166" spans="1:1">
      <c r="A16166" s="35" t="s">
        <v>53545</v>
      </c>
    </row>
    <row r="16167" spans="1:1">
      <c r="A16167" s="35" t="s">
        <v>52224</v>
      </c>
    </row>
    <row r="16168" spans="1:1">
      <c r="A16168" s="35" t="s">
        <v>41057</v>
      </c>
    </row>
    <row r="16169" spans="1:1">
      <c r="A16169" s="35" t="s">
        <v>41057</v>
      </c>
    </row>
    <row r="16170" spans="1:1">
      <c r="A16170" s="35" t="s">
        <v>41057</v>
      </c>
    </row>
    <row r="16171" spans="1:1">
      <c r="A16171" s="35" t="s">
        <v>41057</v>
      </c>
    </row>
    <row r="16172" spans="1:1">
      <c r="A16172" s="35" t="s">
        <v>41057</v>
      </c>
    </row>
    <row r="16173" spans="1:1">
      <c r="A16173" s="35" t="s">
        <v>57546</v>
      </c>
    </row>
    <row r="16174" spans="1:1">
      <c r="A16174" s="35" t="s">
        <v>41057</v>
      </c>
    </row>
    <row r="16175" spans="1:1">
      <c r="A16175" s="35" t="s">
        <v>41057</v>
      </c>
    </row>
    <row r="16176" spans="1:1">
      <c r="A16176" s="35" t="s">
        <v>41057</v>
      </c>
    </row>
    <row r="16177" spans="1:1">
      <c r="A16177" s="35" t="s">
        <v>57547</v>
      </c>
    </row>
    <row r="16178" spans="1:1">
      <c r="A16178" s="35" t="s">
        <v>57548</v>
      </c>
    </row>
    <row r="16179" spans="1:1">
      <c r="A16179" s="35" t="s">
        <v>57549</v>
      </c>
    </row>
    <row r="16180" spans="1:1">
      <c r="A16180" s="35" t="s">
        <v>57550</v>
      </c>
    </row>
    <row r="16181" spans="1:1">
      <c r="A16181" s="35" t="s">
        <v>41057</v>
      </c>
    </row>
    <row r="16182" spans="1:1">
      <c r="A16182" s="35" t="s">
        <v>41057</v>
      </c>
    </row>
    <row r="16183" spans="1:1">
      <c r="A16183" s="35" t="e" cm="1">
        <f t="array" ref="A16183">---------------ATTY------------------FVK-------------------E</f>
        <v>#NAME?</v>
      </c>
    </row>
    <row r="16184" spans="1:1">
      <c r="A16184" s="35" t="s">
        <v>57551</v>
      </c>
    </row>
    <row r="16185" spans="1:1">
      <c r="A16185" s="35" t="s">
        <v>57552</v>
      </c>
    </row>
    <row r="16186" spans="1:1">
      <c r="A16186" s="35" t="s">
        <v>41057</v>
      </c>
    </row>
    <row r="16187" spans="1:1">
      <c r="A16187" s="35" t="s">
        <v>57553</v>
      </c>
    </row>
    <row r="16188" spans="1:1">
      <c r="A16188" s="35" t="s">
        <v>41057</v>
      </c>
    </row>
    <row r="16189" spans="1:1">
      <c r="A16189" s="35" t="s">
        <v>41057</v>
      </c>
    </row>
    <row r="16190" spans="1:1">
      <c r="A16190" s="35" t="s">
        <v>57554</v>
      </c>
    </row>
    <row r="16191" spans="1:1">
      <c r="A16191" s="35" t="s">
        <v>41057</v>
      </c>
    </row>
    <row r="16192" spans="1:1">
      <c r="A16192" s="35" t="s">
        <v>41057</v>
      </c>
    </row>
    <row r="16193" spans="1:1">
      <c r="A16193" s="35" t="s">
        <v>53500</v>
      </c>
    </row>
    <row r="16194" spans="1:1">
      <c r="A16194" s="35" t="s">
        <v>41057</v>
      </c>
    </row>
    <row r="16195" spans="1:1">
      <c r="A16195" s="35" t="s">
        <v>41057</v>
      </c>
    </row>
    <row r="16196" spans="1:1">
      <c r="A16196" s="35" t="s">
        <v>57555</v>
      </c>
    </row>
    <row r="16197" spans="1:1">
      <c r="A16197" s="35" t="s">
        <v>41057</v>
      </c>
    </row>
    <row r="16198" spans="1:1">
      <c r="A16198" s="35" t="s">
        <v>57556</v>
      </c>
    </row>
    <row r="16199" spans="1:1">
      <c r="A16199" s="35" t="s">
        <v>41057</v>
      </c>
    </row>
    <row r="16200" spans="1:1">
      <c r="A16200" s="35" t="s">
        <v>57557</v>
      </c>
    </row>
    <row r="16201" spans="1:1">
      <c r="A16201" s="35" t="s">
        <v>57558</v>
      </c>
    </row>
    <row r="16202" spans="1:1">
      <c r="A16202" s="35" t="s">
        <v>41057</v>
      </c>
    </row>
    <row r="16203" spans="1:1">
      <c r="A16203" s="35" t="s">
        <v>41057</v>
      </c>
    </row>
    <row r="16204" spans="1:1">
      <c r="A16204" s="35" t="s">
        <v>57559</v>
      </c>
    </row>
    <row r="16205" spans="1:1">
      <c r="A16205" s="35" t="s">
        <v>41057</v>
      </c>
    </row>
    <row r="16206" spans="1:1">
      <c r="A16206" s="35" t="s">
        <v>41057</v>
      </c>
    </row>
    <row r="16207" spans="1:1">
      <c r="A16207" s="35" t="s">
        <v>41057</v>
      </c>
    </row>
    <row r="16208" spans="1:1">
      <c r="A16208" s="35" t="s">
        <v>41057</v>
      </c>
    </row>
    <row r="16209" spans="1:1">
      <c r="A16209" s="35" t="s">
        <v>41057</v>
      </c>
    </row>
    <row r="16210" spans="1:1">
      <c r="A16210" s="35" t="s">
        <v>57519</v>
      </c>
    </row>
    <row r="16211" spans="1:1">
      <c r="A16211" s="35" t="s">
        <v>41057</v>
      </c>
    </row>
    <row r="16212" spans="1:1">
      <c r="A16212" s="35" t="s">
        <v>41057</v>
      </c>
    </row>
    <row r="16213" spans="1:1">
      <c r="A16213" s="35" t="s">
        <v>41057</v>
      </c>
    </row>
    <row r="16214" spans="1:1">
      <c r="A16214" s="35" t="s">
        <v>41057</v>
      </c>
    </row>
    <row r="16215" spans="1:1">
      <c r="A16215" s="35" t="s">
        <v>41057</v>
      </c>
    </row>
    <row r="16216" spans="1:1">
      <c r="A16216" s="35" t="s">
        <v>41057</v>
      </c>
    </row>
    <row r="16217" spans="1:1">
      <c r="A16217" s="35" t="s">
        <v>41057</v>
      </c>
    </row>
    <row r="16218" spans="1:1">
      <c r="A16218" s="35" t="s">
        <v>41057</v>
      </c>
    </row>
    <row r="16219" spans="1:1">
      <c r="A16219" s="35" t="s">
        <v>41057</v>
      </c>
    </row>
    <row r="16220" spans="1:1">
      <c r="A16220" s="35" t="s">
        <v>41057</v>
      </c>
    </row>
    <row r="16221" spans="1:1">
      <c r="A16221" s="35" t="s">
        <v>41057</v>
      </c>
    </row>
    <row r="16222" spans="1:1">
      <c r="A16222" s="35" t="s">
        <v>41057</v>
      </c>
    </row>
    <row r="16223" spans="1:1">
      <c r="A16223" s="35" t="s">
        <v>41057</v>
      </c>
    </row>
    <row r="16224" spans="1:1">
      <c r="A16224" s="35" t="s">
        <v>41057</v>
      </c>
    </row>
    <row r="16225" spans="1:1">
      <c r="A16225" s="35" t="s">
        <v>41057</v>
      </c>
    </row>
    <row r="16226" spans="1:1">
      <c r="A16226" s="35" t="s">
        <v>57560</v>
      </c>
    </row>
    <row r="16227" spans="1:1">
      <c r="A16227" s="35" t="s">
        <v>41057</v>
      </c>
    </row>
    <row r="16228" spans="1:1">
      <c r="A16228" s="35" t="s">
        <v>41057</v>
      </c>
    </row>
    <row r="16229" spans="1:1">
      <c r="A16229" s="35" t="s">
        <v>41057</v>
      </c>
    </row>
    <row r="16230" spans="1:1">
      <c r="A16230" s="35" t="s">
        <v>41057</v>
      </c>
    </row>
    <row r="16231" spans="1:1">
      <c r="A16231" s="35" t="s">
        <v>41057</v>
      </c>
    </row>
    <row r="16232" spans="1:1">
      <c r="A16232" s="35" t="s">
        <v>41057</v>
      </c>
    </row>
    <row r="16233" spans="1:1">
      <c r="A16233" s="35" t="s">
        <v>41057</v>
      </c>
    </row>
    <row r="16234" spans="1:1">
      <c r="A16234" s="35" t="s">
        <v>41057</v>
      </c>
    </row>
    <row r="16235" spans="1:1">
      <c r="A16235" s="35" t="s">
        <v>41057</v>
      </c>
    </row>
    <row r="16236" spans="1:1">
      <c r="A16236" s="35" t="s">
        <v>41057</v>
      </c>
    </row>
    <row r="16237" spans="1:1">
      <c r="A16237" s="35" t="e" cm="1">
        <f t="array" ref="A16237">--------------------------------------------ENGTIRWTKNP---MH</f>
        <v>#NAME?</v>
      </c>
    </row>
    <row r="16238" spans="1:1">
      <c r="A16238" s="35" t="s">
        <v>57561</v>
      </c>
    </row>
    <row r="16239" spans="1:1">
      <c r="A16239" s="35" t="e" cm="1">
        <f t="array" ref="A16239">---------------TAYLDAWSEYTM---------PEAK------------------RI</f>
        <v>#NAME?</v>
      </c>
    </row>
    <row r="16240" spans="1:1">
      <c r="A16240" s="35" t="s">
        <v>57562</v>
      </c>
    </row>
    <row r="16241" spans="1:1">
      <c r="A16241" s="35" t="e" cm="1">
        <f t="array" ref="A16241">----------------------------------------------------------QN</f>
        <v>#NAME?</v>
      </c>
    </row>
    <row r="16242" spans="1:1">
      <c r="A16242" s="35" t="s">
        <v>57563</v>
      </c>
    </row>
    <row r="16243" spans="1:1">
      <c r="A16243" s="35" t="s">
        <v>57564</v>
      </c>
    </row>
    <row r="16244" spans="1:1">
      <c r="A16244" s="35" t="s">
        <v>41057</v>
      </c>
    </row>
    <row r="16245" spans="1:1">
      <c r="A16245" s="35" t="s">
        <v>57482</v>
      </c>
    </row>
    <row r="16246" spans="1:1">
      <c r="A16246" s="35" t="s">
        <v>57565</v>
      </c>
    </row>
    <row r="16247" spans="1:1">
      <c r="A16247" s="35" t="s">
        <v>57566</v>
      </c>
    </row>
    <row r="16248" spans="1:1">
      <c r="A16248" s="35" t="s">
        <v>41057</v>
      </c>
    </row>
    <row r="16249" spans="1:1">
      <c r="A16249" s="35" t="s">
        <v>41057</v>
      </c>
    </row>
    <row r="16250" spans="1:1">
      <c r="A16250" s="35" t="s">
        <v>41057</v>
      </c>
    </row>
    <row r="16251" spans="1:1">
      <c r="A16251" s="35" t="s">
        <v>57567</v>
      </c>
    </row>
    <row r="16252" spans="1:1">
      <c r="A16252" s="35" t="s">
        <v>41057</v>
      </c>
    </row>
    <row r="16253" spans="1:1">
      <c r="A16253" s="35" t="s">
        <v>41057</v>
      </c>
    </row>
    <row r="16254" spans="1:1">
      <c r="A16254" s="35" t="s">
        <v>57568</v>
      </c>
    </row>
    <row r="16255" spans="1:1">
      <c r="A16255" s="35" t="s">
        <v>57569</v>
      </c>
    </row>
    <row r="16256" spans="1:1">
      <c r="A16256" s="35" t="s">
        <v>57570</v>
      </c>
    </row>
    <row r="16257" spans="1:1">
      <c r="A16257" s="35" t="s">
        <v>57571</v>
      </c>
    </row>
    <row r="16258" spans="1:1">
      <c r="A16258" s="35" t="s">
        <v>41057</v>
      </c>
    </row>
    <row r="16259" spans="1:1">
      <c r="A16259" s="35" t="s">
        <v>41057</v>
      </c>
    </row>
    <row r="16260" spans="1:1">
      <c r="A16260" s="35" t="s">
        <v>57572</v>
      </c>
    </row>
    <row r="16261" spans="1:1">
      <c r="A16261" s="35" t="s">
        <v>57573</v>
      </c>
    </row>
    <row r="16262" spans="1:1">
      <c r="A16262" s="35" t="s">
        <v>41057</v>
      </c>
    </row>
    <row r="16263" spans="1:1">
      <c r="A16263" s="35" t="s">
        <v>57574</v>
      </c>
    </row>
    <row r="16264" spans="1:1">
      <c r="A16264" s="35" t="s">
        <v>41057</v>
      </c>
    </row>
    <row r="16265" spans="1:1">
      <c r="A16265" s="35" t="s">
        <v>41057</v>
      </c>
    </row>
    <row r="16266" spans="1:1">
      <c r="A16266" s="35" t="s">
        <v>41057</v>
      </c>
    </row>
    <row r="16267" spans="1:1">
      <c r="A16267" s="35" t="s">
        <v>57575</v>
      </c>
    </row>
    <row r="16268" spans="1:1">
      <c r="A16268" s="35" t="s">
        <v>57576</v>
      </c>
    </row>
    <row r="16269" spans="1:1">
      <c r="A16269" s="35" t="s">
        <v>41057</v>
      </c>
    </row>
    <row r="16270" spans="1:1">
      <c r="A16270" s="35" t="e" cm="1">
        <f t="array" ref="A16270">---------------------------------------------------------NTV</f>
        <v>#NAME?</v>
      </c>
    </row>
    <row r="16271" spans="1:1">
      <c r="A16271" s="35" t="s">
        <v>57577</v>
      </c>
    </row>
    <row r="16272" spans="1:1">
      <c r="A16272" s="35" t="e" cm="1">
        <f t="array" ref="A16272">--------------------------------------------------ALAVDPIKSA</f>
        <v>#NAME?</v>
      </c>
    </row>
    <row r="16273" spans="1:1">
      <c r="A16273" s="35" t="s">
        <v>57578</v>
      </c>
    </row>
    <row r="16274" spans="1:1">
      <c r="A16274" s="35" t="s">
        <v>57579</v>
      </c>
    </row>
    <row r="16275" spans="1:1">
      <c r="A16275" s="35" t="s">
        <v>57580</v>
      </c>
    </row>
    <row r="16276" spans="1:1">
      <c r="A16276" s="35" t="s">
        <v>57581</v>
      </c>
    </row>
    <row r="16277" spans="1:1">
      <c r="A16277" s="35" t="s">
        <v>57582</v>
      </c>
    </row>
    <row r="16278" spans="1:1">
      <c r="A16278" s="35" t="s">
        <v>57583</v>
      </c>
    </row>
    <row r="16279" spans="1:1">
      <c r="A16279" s="35" t="e" cm="1">
        <f t="array" ref="A16279">-----------------------------------------------------GYTTAQK</f>
        <v>#NAME?</v>
      </c>
    </row>
    <row r="16280" spans="1:1">
      <c r="A16280" s="35" t="s">
        <v>57584</v>
      </c>
    </row>
    <row r="16281" spans="1:1">
      <c r="A16281" s="35" t="s">
        <v>57585</v>
      </c>
    </row>
    <row r="16282" spans="1:1">
      <c r="A16282" s="35" t="s">
        <v>57462</v>
      </c>
    </row>
    <row r="16283" spans="1:1">
      <c r="A16283" s="35" t="s">
        <v>41057</v>
      </c>
    </row>
    <row r="16284" spans="1:1">
      <c r="A16284" s="35" t="s">
        <v>53545</v>
      </c>
    </row>
    <row r="16285" spans="1:1">
      <c r="A16285" s="35" t="s">
        <v>52674</v>
      </c>
    </row>
    <row r="16286" spans="1:1">
      <c r="A16286" s="35" t="s">
        <v>41057</v>
      </c>
    </row>
    <row r="16287" spans="1:1">
      <c r="A16287" s="35" t="s">
        <v>41057</v>
      </c>
    </row>
    <row r="16288" spans="1:1">
      <c r="A16288" s="35" t="s">
        <v>41057</v>
      </c>
    </row>
    <row r="16289" spans="1:1">
      <c r="A16289" s="35" t="s">
        <v>41057</v>
      </c>
    </row>
    <row r="16290" spans="1:1">
      <c r="A16290" s="35" t="s">
        <v>41057</v>
      </c>
    </row>
    <row r="16291" spans="1:1">
      <c r="A16291" s="35" t="s">
        <v>57586</v>
      </c>
    </row>
    <row r="16292" spans="1:1">
      <c r="A16292" s="35" t="s">
        <v>41057</v>
      </c>
    </row>
    <row r="16293" spans="1:1">
      <c r="A16293" s="35" t="s">
        <v>41057</v>
      </c>
    </row>
    <row r="16294" spans="1:1">
      <c r="A16294" s="35" t="s">
        <v>41057</v>
      </c>
    </row>
    <row r="16295" spans="1:1">
      <c r="A16295" s="35" t="s">
        <v>57587</v>
      </c>
    </row>
    <row r="16296" spans="1:1">
      <c r="A16296" s="35" t="s">
        <v>57588</v>
      </c>
    </row>
    <row r="16297" spans="1:1">
      <c r="A16297" s="35" t="s">
        <v>57589</v>
      </c>
    </row>
    <row r="16298" spans="1:1">
      <c r="A16298" s="35" t="s">
        <v>57590</v>
      </c>
    </row>
    <row r="16299" spans="1:1">
      <c r="A16299" s="35" t="s">
        <v>41057</v>
      </c>
    </row>
    <row r="16300" spans="1:1">
      <c r="A16300" s="35" t="s">
        <v>41057</v>
      </c>
    </row>
    <row r="16301" spans="1:1">
      <c r="A16301" s="35" t="e" cm="1">
        <f t="array" ref="A16301">---------------SITY------------------FLR-------------------E</f>
        <v>#NAME?</v>
      </c>
    </row>
    <row r="16302" spans="1:1">
      <c r="A16302" s="35" t="s">
        <v>57591</v>
      </c>
    </row>
    <row r="16303" spans="1:1">
      <c r="A16303" s="35" t="s">
        <v>57592</v>
      </c>
    </row>
    <row r="16304" spans="1:1">
      <c r="A16304" s="35" t="s">
        <v>41057</v>
      </c>
    </row>
    <row r="16305" spans="1:1">
      <c r="A16305" s="35" t="s">
        <v>57593</v>
      </c>
    </row>
    <row r="16306" spans="1:1">
      <c r="A16306" s="35" t="s">
        <v>41057</v>
      </c>
    </row>
    <row r="16307" spans="1:1">
      <c r="A16307" s="35" t="s">
        <v>41057</v>
      </c>
    </row>
    <row r="16308" spans="1:1">
      <c r="A16308" s="35" t="s">
        <v>57594</v>
      </c>
    </row>
    <row r="16309" spans="1:1">
      <c r="A16309" s="35" t="s">
        <v>41057</v>
      </c>
    </row>
    <row r="16310" spans="1:1">
      <c r="A16310" s="35" t="s">
        <v>41057</v>
      </c>
    </row>
    <row r="16311" spans="1:1">
      <c r="A16311" s="35" t="s">
        <v>53500</v>
      </c>
    </row>
    <row r="16312" spans="1:1">
      <c r="A16312" s="35" t="s">
        <v>41057</v>
      </c>
    </row>
    <row r="16313" spans="1:1">
      <c r="A16313" s="35" t="s">
        <v>41057</v>
      </c>
    </row>
    <row r="16314" spans="1:1">
      <c r="A16314" s="35" t="s">
        <v>57595</v>
      </c>
    </row>
    <row r="16315" spans="1:1">
      <c r="A16315" s="35" t="s">
        <v>41057</v>
      </c>
    </row>
    <row r="16316" spans="1:1">
      <c r="A16316" s="35" t="s">
        <v>57596</v>
      </c>
    </row>
    <row r="16317" spans="1:1">
      <c r="A16317" s="35" t="s">
        <v>41057</v>
      </c>
    </row>
    <row r="16318" spans="1:1">
      <c r="A16318" s="35" t="s">
        <v>57597</v>
      </c>
    </row>
    <row r="16319" spans="1:1">
      <c r="A16319" s="35" t="s">
        <v>57598</v>
      </c>
    </row>
    <row r="16320" spans="1:1">
      <c r="A16320" s="35" t="s">
        <v>41057</v>
      </c>
    </row>
    <row r="16321" spans="1:1">
      <c r="A16321" s="35" t="s">
        <v>41057</v>
      </c>
    </row>
    <row r="16322" spans="1:1">
      <c r="A16322" s="35" t="s">
        <v>57599</v>
      </c>
    </row>
    <row r="16323" spans="1:1">
      <c r="A16323" s="35" t="s">
        <v>41057</v>
      </c>
    </row>
    <row r="16324" spans="1:1">
      <c r="A16324" s="35" t="s">
        <v>41057</v>
      </c>
    </row>
    <row r="16325" spans="1:1">
      <c r="A16325" s="35" t="s">
        <v>41057</v>
      </c>
    </row>
    <row r="16326" spans="1:1">
      <c r="A16326" s="35" t="s">
        <v>41057</v>
      </c>
    </row>
    <row r="16327" spans="1:1">
      <c r="A16327" s="35" t="s">
        <v>41057</v>
      </c>
    </row>
    <row r="16328" spans="1:1">
      <c r="A16328" s="35" t="s">
        <v>57600</v>
      </c>
    </row>
    <row r="16329" spans="1:1">
      <c r="A16329" s="35" t="s">
        <v>41057</v>
      </c>
    </row>
    <row r="16330" spans="1:1">
      <c r="A16330" s="35" t="s">
        <v>41057</v>
      </c>
    </row>
    <row r="16331" spans="1:1">
      <c r="A16331" s="35" t="s">
        <v>41057</v>
      </c>
    </row>
    <row r="16332" spans="1:1">
      <c r="A16332" s="35" t="s">
        <v>41057</v>
      </c>
    </row>
    <row r="16333" spans="1:1">
      <c r="A16333" s="35" t="s">
        <v>41057</v>
      </c>
    </row>
    <row r="16334" spans="1:1">
      <c r="A16334" s="35" t="s">
        <v>41057</v>
      </c>
    </row>
    <row r="16335" spans="1:1">
      <c r="A16335" s="35" t="s">
        <v>41057</v>
      </c>
    </row>
    <row r="16336" spans="1:1">
      <c r="A16336" s="35" t="s">
        <v>41057</v>
      </c>
    </row>
    <row r="16337" spans="1:1">
      <c r="A16337" s="35" t="s">
        <v>41057</v>
      </c>
    </row>
    <row r="16338" spans="1:1">
      <c r="A16338" s="35" t="s">
        <v>41057</v>
      </c>
    </row>
    <row r="16339" spans="1:1">
      <c r="A16339" s="35" t="s">
        <v>41057</v>
      </c>
    </row>
    <row r="16340" spans="1:1">
      <c r="A16340" s="35" t="s">
        <v>41057</v>
      </c>
    </row>
    <row r="16341" spans="1:1">
      <c r="A16341" s="35" t="s">
        <v>41057</v>
      </c>
    </row>
    <row r="16342" spans="1:1">
      <c r="A16342" s="35" t="s">
        <v>41057</v>
      </c>
    </row>
    <row r="16343" spans="1:1">
      <c r="A16343" s="35" t="s">
        <v>41057</v>
      </c>
    </row>
    <row r="16344" spans="1:1">
      <c r="A16344" s="35" t="s">
        <v>41057</v>
      </c>
    </row>
    <row r="16345" spans="1:1">
      <c r="A16345" s="35" t="s">
        <v>41057</v>
      </c>
    </row>
    <row r="16346" spans="1:1">
      <c r="A16346" s="35" t="s">
        <v>41057</v>
      </c>
    </row>
    <row r="16347" spans="1:1">
      <c r="A16347" s="35" t="s">
        <v>41057</v>
      </c>
    </row>
    <row r="16348" spans="1:1">
      <c r="A16348" s="35" t="s">
        <v>41057</v>
      </c>
    </row>
    <row r="16349" spans="1:1">
      <c r="A16349" s="35" t="s">
        <v>41057</v>
      </c>
    </row>
    <row r="16350" spans="1:1">
      <c r="A16350" s="35" t="s">
        <v>41057</v>
      </c>
    </row>
    <row r="16351" spans="1:1">
      <c r="A16351" s="35" t="s">
        <v>41057</v>
      </c>
    </row>
    <row r="16352" spans="1:1">
      <c r="A16352" s="35" t="s">
        <v>41057</v>
      </c>
    </row>
    <row r="16353" spans="1:1">
      <c r="A16353" s="35" t="s">
        <v>41057</v>
      </c>
    </row>
    <row r="16354" spans="1:1">
      <c r="A16354" s="35" t="s">
        <v>41057</v>
      </c>
    </row>
    <row r="16355" spans="1:1">
      <c r="A16355" s="35" t="e" cm="1">
        <f t="array" ref="A16355">-------------------------------------------KANSSIRWTDNF---MH</f>
        <v>#NAME?</v>
      </c>
    </row>
    <row r="16356" spans="1:1">
      <c r="A16356" s="35" t="s">
        <v>57601</v>
      </c>
    </row>
    <row r="16357" spans="1:1">
      <c r="A16357" s="35" t="e" cm="1">
        <f t="array" ref="A16357">---------------SEFLDFWSTCNV---------PGGK------------------SS</f>
        <v>#NAME?</v>
      </c>
    </row>
    <row r="16358" spans="1:1">
      <c r="A16358" s="35" t="s">
        <v>57602</v>
      </c>
    </row>
    <row r="16359" spans="1:1">
      <c r="A16359" s="35" t="e" cm="1">
        <f t="array" ref="A16359">---------------------------------------------------------GTV</f>
        <v>#NAME?</v>
      </c>
    </row>
    <row r="16360" spans="1:1">
      <c r="A16360" s="35" t="s">
        <v>57603</v>
      </c>
    </row>
    <row r="16361" spans="1:1">
      <c r="A16361" s="35" t="s">
        <v>57604</v>
      </c>
    </row>
    <row r="16362" spans="1:1">
      <c r="A16362" s="35" t="s">
        <v>41057</v>
      </c>
    </row>
    <row r="16363" spans="1:1">
      <c r="A16363" s="35" t="s">
        <v>55484</v>
      </c>
    </row>
    <row r="16364" spans="1:1">
      <c r="A16364" s="35" t="s">
        <v>57605</v>
      </c>
    </row>
    <row r="16365" spans="1:1">
      <c r="A16365" s="35" t="s">
        <v>57606</v>
      </c>
    </row>
    <row r="16366" spans="1:1">
      <c r="A16366" s="35" t="s">
        <v>41057</v>
      </c>
    </row>
    <row r="16367" spans="1:1">
      <c r="A16367" s="35" t="s">
        <v>41057</v>
      </c>
    </row>
    <row r="16368" spans="1:1">
      <c r="A16368" s="35" t="s">
        <v>41057</v>
      </c>
    </row>
    <row r="16369" spans="1:1">
      <c r="A16369" s="35" t="s">
        <v>57607</v>
      </c>
    </row>
    <row r="16370" spans="1:1">
      <c r="A16370" s="35" t="s">
        <v>41057</v>
      </c>
    </row>
    <row r="16371" spans="1:1">
      <c r="A16371" s="35" t="s">
        <v>41057</v>
      </c>
    </row>
    <row r="16372" spans="1:1">
      <c r="A16372" s="35" t="s">
        <v>57608</v>
      </c>
    </row>
    <row r="16373" spans="1:1">
      <c r="A16373" s="35" t="s">
        <v>57609</v>
      </c>
    </row>
    <row r="16374" spans="1:1">
      <c r="A16374" s="35" t="s">
        <v>57610</v>
      </c>
    </row>
    <row r="16375" spans="1:1">
      <c r="A16375" s="35" t="s">
        <v>57611</v>
      </c>
    </row>
    <row r="16376" spans="1:1">
      <c r="A16376" s="35" t="s">
        <v>41057</v>
      </c>
    </row>
    <row r="16377" spans="1:1">
      <c r="A16377" s="35" t="s">
        <v>41057</v>
      </c>
    </row>
    <row r="16378" spans="1:1">
      <c r="A16378" s="35" t="s">
        <v>57612</v>
      </c>
    </row>
    <row r="16379" spans="1:1">
      <c r="A16379" s="35" t="s">
        <v>56997</v>
      </c>
    </row>
    <row r="16380" spans="1:1">
      <c r="A16380" s="35" t="s">
        <v>41057</v>
      </c>
    </row>
    <row r="16381" spans="1:1">
      <c r="A16381" s="35" t="s">
        <v>57613</v>
      </c>
    </row>
    <row r="16382" spans="1:1">
      <c r="A16382" s="35" t="s">
        <v>41057</v>
      </c>
    </row>
    <row r="16383" spans="1:1">
      <c r="A16383" s="35" t="s">
        <v>41057</v>
      </c>
    </row>
    <row r="16384" spans="1:1">
      <c r="A16384" s="35" t="s">
        <v>41057</v>
      </c>
    </row>
    <row r="16385" spans="1:1">
      <c r="A16385" s="35" t="s">
        <v>57614</v>
      </c>
    </row>
    <row r="16386" spans="1:1">
      <c r="A16386" s="35" t="s">
        <v>57615</v>
      </c>
    </row>
    <row r="16387" spans="1:1">
      <c r="A16387" s="35" t="s">
        <v>41057</v>
      </c>
    </row>
    <row r="16388" spans="1:1">
      <c r="A16388" s="35" t="e" cm="1">
        <f t="array" ref="A16388">--------------------------------------------------------NKVT</f>
        <v>#NAME?</v>
      </c>
    </row>
    <row r="16389" spans="1:1">
      <c r="A16389" s="35" t="s">
        <v>57616</v>
      </c>
    </row>
    <row r="16390" spans="1:1">
      <c r="A16390" s="35" t="e" cm="1">
        <f t="array" ref="A16390">---------------------------------------------------KAQNPLSHV</f>
        <v>#NAME?</v>
      </c>
    </row>
    <row r="16391" spans="1:1">
      <c r="A16391" s="35" t="s">
        <v>57617</v>
      </c>
    </row>
    <row r="16392" spans="1:1">
      <c r="A16392" s="35" t="s">
        <v>57618</v>
      </c>
    </row>
    <row r="16393" spans="1:1">
      <c r="A16393" s="35" t="s">
        <v>57619</v>
      </c>
    </row>
    <row r="16394" spans="1:1">
      <c r="A16394" s="35" t="s">
        <v>57620</v>
      </c>
    </row>
    <row r="16395" spans="1:1">
      <c r="A16395" s="35" t="s">
        <v>57621</v>
      </c>
    </row>
    <row r="16396" spans="1:1">
      <c r="A16396" s="35" t="s">
        <v>57622</v>
      </c>
    </row>
    <row r="16397" spans="1:1">
      <c r="A16397" s="35" t="e" cm="1">
        <f t="array" ref="A16397">-----------------------------------------------------GHKVAQK</f>
        <v>#NAME?</v>
      </c>
    </row>
    <row r="16398" spans="1:1">
      <c r="A16398" s="35" t="s">
        <v>57623</v>
      </c>
    </row>
    <row r="16399" spans="1:1">
      <c r="A16399" s="35" t="s">
        <v>57624</v>
      </c>
    </row>
    <row r="16400" spans="1:1">
      <c r="A16400" s="35" t="s">
        <v>57462</v>
      </c>
    </row>
    <row r="16401" spans="1:1">
      <c r="A16401" s="35" t="s">
        <v>41057</v>
      </c>
    </row>
    <row r="16402" spans="1:1">
      <c r="A16402" s="35" t="s">
        <v>53545</v>
      </c>
    </row>
    <row r="16403" spans="1:1">
      <c r="A16403" s="35" t="s">
        <v>52654</v>
      </c>
    </row>
    <row r="16404" spans="1:1">
      <c r="A16404" s="35" t="s">
        <v>41057</v>
      </c>
    </row>
    <row r="16405" spans="1:1">
      <c r="A16405" s="35" t="s">
        <v>41057</v>
      </c>
    </row>
    <row r="16406" spans="1:1">
      <c r="A16406" s="35" t="s">
        <v>41057</v>
      </c>
    </row>
    <row r="16407" spans="1:1">
      <c r="A16407" s="35" t="s">
        <v>41057</v>
      </c>
    </row>
    <row r="16408" spans="1:1">
      <c r="A16408" s="35" t="s">
        <v>57625</v>
      </c>
    </row>
    <row r="16409" spans="1:1">
      <c r="A16409" s="35" t="s">
        <v>57626</v>
      </c>
    </row>
    <row r="16410" spans="1:1">
      <c r="A16410" s="35" t="s">
        <v>41057</v>
      </c>
    </row>
    <row r="16411" spans="1:1">
      <c r="A16411" s="35" t="s">
        <v>41057</v>
      </c>
    </row>
    <row r="16412" spans="1:1">
      <c r="A16412" s="35" t="s">
        <v>41057</v>
      </c>
    </row>
    <row r="16413" spans="1:1">
      <c r="A16413" s="35" t="s">
        <v>57627</v>
      </c>
    </row>
    <row r="16414" spans="1:1">
      <c r="A16414" s="35" t="s">
        <v>57628</v>
      </c>
    </row>
    <row r="16415" spans="1:1">
      <c r="A16415" s="35" t="s">
        <v>57629</v>
      </c>
    </row>
    <row r="16416" spans="1:1">
      <c r="A16416" s="35" t="s">
        <v>57630</v>
      </c>
    </row>
    <row r="16417" spans="1:1">
      <c r="A16417" s="35" t="s">
        <v>41057</v>
      </c>
    </row>
    <row r="16418" spans="1:1">
      <c r="A16418" s="35" t="s">
        <v>41057</v>
      </c>
    </row>
    <row r="16419" spans="1:1">
      <c r="A16419" s="35" t="e" cm="1">
        <f t="array" ref="A16419">---------------AVTY------------------FVR-------------------A</f>
        <v>#NAME?</v>
      </c>
    </row>
    <row r="16420" spans="1:1">
      <c r="A16420" s="35" t="s">
        <v>57631</v>
      </c>
    </row>
    <row r="16421" spans="1:1">
      <c r="A16421" s="35" t="s">
        <v>57632</v>
      </c>
    </row>
    <row r="16422" spans="1:1">
      <c r="A16422" s="35" t="s">
        <v>41057</v>
      </c>
    </row>
    <row r="16423" spans="1:1">
      <c r="A16423" s="35" t="s">
        <v>57633</v>
      </c>
    </row>
    <row r="16424" spans="1:1">
      <c r="A16424" s="35" t="s">
        <v>41057</v>
      </c>
    </row>
    <row r="16425" spans="1:1">
      <c r="A16425" s="35" t="s">
        <v>41057</v>
      </c>
    </row>
    <row r="16426" spans="1:1">
      <c r="A16426" s="35" t="s">
        <v>57634</v>
      </c>
    </row>
    <row r="16427" spans="1:1">
      <c r="A16427" s="35" t="s">
        <v>41057</v>
      </c>
    </row>
    <row r="16428" spans="1:1">
      <c r="A16428" s="35" t="s">
        <v>41057</v>
      </c>
    </row>
    <row r="16429" spans="1:1">
      <c r="A16429" s="35" t="s">
        <v>53500</v>
      </c>
    </row>
    <row r="16430" spans="1:1">
      <c r="A16430" s="35" t="s">
        <v>41057</v>
      </c>
    </row>
    <row r="16431" spans="1:1">
      <c r="A16431" s="35" t="s">
        <v>41057</v>
      </c>
    </row>
    <row r="16432" spans="1:1">
      <c r="A16432" s="35" t="s">
        <v>57635</v>
      </c>
    </row>
    <row r="16433" spans="1:1">
      <c r="A16433" s="35" t="s">
        <v>41057</v>
      </c>
    </row>
    <row r="16434" spans="1:1">
      <c r="A16434" s="35" t="s">
        <v>57636</v>
      </c>
    </row>
    <row r="16435" spans="1:1">
      <c r="A16435" s="35" t="s">
        <v>41057</v>
      </c>
    </row>
    <row r="16436" spans="1:1">
      <c r="A16436" s="35" t="s">
        <v>57637</v>
      </c>
    </row>
    <row r="16437" spans="1:1">
      <c r="A16437" s="35" t="s">
        <v>57638</v>
      </c>
    </row>
    <row r="16438" spans="1:1">
      <c r="A16438" s="35" t="s">
        <v>41057</v>
      </c>
    </row>
    <row r="16439" spans="1:1">
      <c r="A16439" s="35" t="s">
        <v>41057</v>
      </c>
    </row>
    <row r="16440" spans="1:1">
      <c r="A16440" s="35" t="s">
        <v>57639</v>
      </c>
    </row>
    <row r="16441" spans="1:1">
      <c r="A16441" s="35" t="s">
        <v>41057</v>
      </c>
    </row>
    <row r="16442" spans="1:1">
      <c r="A16442" s="35" t="s">
        <v>41057</v>
      </c>
    </row>
    <row r="16443" spans="1:1">
      <c r="A16443" s="35" t="s">
        <v>41057</v>
      </c>
    </row>
    <row r="16444" spans="1:1">
      <c r="A16444" s="35" t="s">
        <v>41057</v>
      </c>
    </row>
    <row r="16445" spans="1:1">
      <c r="A16445" s="35" t="s">
        <v>41057</v>
      </c>
    </row>
    <row r="16446" spans="1:1">
      <c r="A16446" s="35" t="s">
        <v>57640</v>
      </c>
    </row>
    <row r="16447" spans="1:1">
      <c r="A16447" s="35" t="s">
        <v>41057</v>
      </c>
    </row>
    <row r="16448" spans="1:1">
      <c r="A16448" s="35" t="s">
        <v>41057</v>
      </c>
    </row>
    <row r="16449" spans="1:1">
      <c r="A16449" s="35" t="s">
        <v>41057</v>
      </c>
    </row>
    <row r="16450" spans="1:1">
      <c r="A16450" s="35" t="s">
        <v>41057</v>
      </c>
    </row>
    <row r="16451" spans="1:1">
      <c r="A16451" s="35" t="s">
        <v>41057</v>
      </c>
    </row>
    <row r="16452" spans="1:1">
      <c r="A16452" s="35" t="s">
        <v>41057</v>
      </c>
    </row>
    <row r="16453" spans="1:1">
      <c r="A16453" s="35" t="s">
        <v>41057</v>
      </c>
    </row>
    <row r="16454" spans="1:1">
      <c r="A16454" s="35" t="s">
        <v>41057</v>
      </c>
    </row>
    <row r="16455" spans="1:1">
      <c r="A16455" s="35" t="s">
        <v>41057</v>
      </c>
    </row>
    <row r="16456" spans="1:1">
      <c r="A16456" s="35" t="s">
        <v>41057</v>
      </c>
    </row>
    <row r="16457" spans="1:1">
      <c r="A16457" s="35" t="s">
        <v>41057</v>
      </c>
    </row>
    <row r="16458" spans="1:1">
      <c r="A16458" s="35" t="s">
        <v>41057</v>
      </c>
    </row>
    <row r="16459" spans="1:1">
      <c r="A16459" s="35" t="s">
        <v>41057</v>
      </c>
    </row>
    <row r="16460" spans="1:1">
      <c r="A16460" s="35" t="s">
        <v>41057</v>
      </c>
    </row>
    <row r="16461" spans="1:1">
      <c r="A16461" s="35" t="s">
        <v>41057</v>
      </c>
    </row>
    <row r="16462" spans="1:1">
      <c r="A16462" s="35" t="s">
        <v>57641</v>
      </c>
    </row>
    <row r="16463" spans="1:1">
      <c r="A16463" s="35" t="s">
        <v>41057</v>
      </c>
    </row>
    <row r="16464" spans="1:1">
      <c r="A16464" s="35" t="s">
        <v>41057</v>
      </c>
    </row>
    <row r="16465" spans="1:1">
      <c r="A16465" s="35" t="s">
        <v>41057</v>
      </c>
    </row>
    <row r="16466" spans="1:1">
      <c r="A16466" s="35" t="s">
        <v>41057</v>
      </c>
    </row>
    <row r="16467" spans="1:1">
      <c r="A16467" s="35" t="s">
        <v>41057</v>
      </c>
    </row>
    <row r="16468" spans="1:1">
      <c r="A16468" s="35" t="s">
        <v>41057</v>
      </c>
    </row>
    <row r="16469" spans="1:1">
      <c r="A16469" s="35" t="s">
        <v>41057</v>
      </c>
    </row>
    <row r="16470" spans="1:1">
      <c r="A16470" s="35" t="s">
        <v>41057</v>
      </c>
    </row>
    <row r="16471" spans="1:1">
      <c r="A16471" s="35" t="s">
        <v>41057</v>
      </c>
    </row>
    <row r="16472" spans="1:1">
      <c r="A16472" s="35" t="s">
        <v>41057</v>
      </c>
    </row>
    <row r="16473" spans="1:1">
      <c r="A16473" s="35" t="e" cm="1">
        <f t="array" ref="A16473">--------------------------------------------ANATIRWTRNF---MH</f>
        <v>#NAME?</v>
      </c>
    </row>
    <row r="16474" spans="1:1">
      <c r="A16474" s="35" t="s">
        <v>57642</v>
      </c>
    </row>
    <row r="16475" spans="1:1">
      <c r="A16475" s="35" t="e" cm="1">
        <f t="array" ref="A16475">---------------NYWLDFNAQANI---------DASK------------------RI</f>
        <v>#NAME?</v>
      </c>
    </row>
    <row r="16476" spans="1:1">
      <c r="A16476" s="35" t="s">
        <v>57643</v>
      </c>
    </row>
    <row r="16477" spans="1:1">
      <c r="A16477" s="35" t="e" cm="1">
        <f t="array" ref="A16477">----------------------------------------------------------PL</f>
        <v>#NAME?</v>
      </c>
    </row>
    <row r="16478" spans="1:1">
      <c r="A16478" s="35" t="s">
        <v>57644</v>
      </c>
    </row>
    <row r="16479" spans="1:1">
      <c r="A16479" s="35" t="s">
        <v>57645</v>
      </c>
    </row>
    <row r="16480" spans="1:1">
      <c r="A16480" s="35" t="s">
        <v>41057</v>
      </c>
    </row>
    <row r="16481" spans="1:1">
      <c r="A16481" s="35" t="s">
        <v>57646</v>
      </c>
    </row>
    <row r="16482" spans="1:1">
      <c r="A16482" s="35" t="s">
        <v>57647</v>
      </c>
    </row>
    <row r="16483" spans="1:1">
      <c r="A16483" s="35" t="s">
        <v>57648</v>
      </c>
    </row>
    <row r="16484" spans="1:1">
      <c r="A16484" s="35" t="s">
        <v>41057</v>
      </c>
    </row>
    <row r="16485" spans="1:1">
      <c r="A16485" s="35" t="s">
        <v>41057</v>
      </c>
    </row>
    <row r="16486" spans="1:1">
      <c r="A16486" s="35" t="s">
        <v>41057</v>
      </c>
    </row>
    <row r="16487" spans="1:1">
      <c r="A16487" s="35" t="s">
        <v>57649</v>
      </c>
    </row>
    <row r="16488" spans="1:1">
      <c r="A16488" s="35" t="s">
        <v>41057</v>
      </c>
    </row>
    <row r="16489" spans="1:1">
      <c r="A16489" s="35" t="s">
        <v>41057</v>
      </c>
    </row>
    <row r="16490" spans="1:1">
      <c r="A16490" s="35" t="s">
        <v>57650</v>
      </c>
    </row>
    <row r="16491" spans="1:1">
      <c r="A16491" s="35" t="s">
        <v>57651</v>
      </c>
    </row>
    <row r="16492" spans="1:1">
      <c r="A16492" s="35" t="s">
        <v>57652</v>
      </c>
    </row>
    <row r="16493" spans="1:1">
      <c r="A16493" s="35" t="s">
        <v>57653</v>
      </c>
    </row>
    <row r="16494" spans="1:1">
      <c r="A16494" s="35" t="s">
        <v>41057</v>
      </c>
    </row>
    <row r="16495" spans="1:1">
      <c r="A16495" s="35" t="s">
        <v>41057</v>
      </c>
    </row>
    <row r="16496" spans="1:1">
      <c r="A16496" s="35" t="s">
        <v>57654</v>
      </c>
    </row>
    <row r="16497" spans="1:1">
      <c r="A16497" s="35" t="s">
        <v>57655</v>
      </c>
    </row>
    <row r="16498" spans="1:1">
      <c r="A16498" s="35" t="s">
        <v>41057</v>
      </c>
    </row>
    <row r="16499" spans="1:1">
      <c r="A16499" s="35" t="s">
        <v>57656</v>
      </c>
    </row>
    <row r="16500" spans="1:1">
      <c r="A16500" s="35" t="s">
        <v>41057</v>
      </c>
    </row>
    <row r="16501" spans="1:1">
      <c r="A16501" s="35" t="s">
        <v>41057</v>
      </c>
    </row>
    <row r="16502" spans="1:1">
      <c r="A16502" s="35" t="s">
        <v>41057</v>
      </c>
    </row>
    <row r="16503" spans="1:1">
      <c r="A16503" s="35" t="s">
        <v>57657</v>
      </c>
    </row>
    <row r="16504" spans="1:1">
      <c r="A16504" s="35" t="s">
        <v>57658</v>
      </c>
    </row>
    <row r="16505" spans="1:1">
      <c r="A16505" s="35" t="s">
        <v>41057</v>
      </c>
    </row>
    <row r="16506" spans="1:1">
      <c r="A16506" s="35" t="e" cm="1">
        <f t="array" ref="A16506">--------------------------------------------------------LCTS</f>
        <v>#NAME?</v>
      </c>
    </row>
    <row r="16507" spans="1:1">
      <c r="A16507" s="35" t="s">
        <v>57659</v>
      </c>
    </row>
    <row r="16508" spans="1:1">
      <c r="A16508" s="35" t="e" cm="1">
        <f t="array" ref="A16508">--------------------------------------------------VSATAPTTTA</f>
        <v>#NAME?</v>
      </c>
    </row>
    <row r="16509" spans="1:1">
      <c r="A16509" s="35" t="s">
        <v>57660</v>
      </c>
    </row>
    <row r="16510" spans="1:1">
      <c r="A16510" s="35" t="s">
        <v>57661</v>
      </c>
    </row>
    <row r="16511" spans="1:1">
      <c r="A16511" s="35" t="s">
        <v>57662</v>
      </c>
    </row>
    <row r="16512" spans="1:1">
      <c r="A16512" s="35" t="s">
        <v>57663</v>
      </c>
    </row>
    <row r="16513" spans="1:1">
      <c r="A16513" s="35" t="e" cm="1">
        <f t="array" ref="A16513">-------------NMFLL-LLP-STPLL----------------------VSPTKVFRSR</f>
        <v>#NAME?</v>
      </c>
    </row>
    <row r="16514" spans="1:1">
      <c r="A16514" s="35" t="s">
        <v>57664</v>
      </c>
    </row>
    <row r="16515" spans="1:1">
      <c r="A16515" s="35" t="e" cm="1">
        <f t="array" ref="A16515">-----------------------------------------------------GSLTSTF</f>
        <v>#NAME?</v>
      </c>
    </row>
    <row r="16516" spans="1:1">
      <c r="A16516" s="35" t="s">
        <v>57665</v>
      </c>
    </row>
    <row r="16517" spans="1:1">
      <c r="A16517" s="35" t="s">
        <v>57666</v>
      </c>
    </row>
    <row r="16518" spans="1:1">
      <c r="A16518" s="35" t="s">
        <v>57667</v>
      </c>
    </row>
    <row r="16519" spans="1:1">
      <c r="A16519" s="35" t="s">
        <v>41057</v>
      </c>
    </row>
    <row r="16520" spans="1:1">
      <c r="A16520" s="35" t="s">
        <v>53545</v>
      </c>
    </row>
    <row r="16521" spans="1:1">
      <c r="A16521" s="35" t="s">
        <v>52701</v>
      </c>
    </row>
    <row r="16522" spans="1:1">
      <c r="A16522" s="35" t="s">
        <v>41057</v>
      </c>
    </row>
    <row r="16523" spans="1:1">
      <c r="A16523" s="35" t="s">
        <v>41057</v>
      </c>
    </row>
    <row r="16524" spans="1:1">
      <c r="A16524" s="35" t="s">
        <v>41057</v>
      </c>
    </row>
    <row r="16525" spans="1:1">
      <c r="A16525" s="35" t="s">
        <v>41057</v>
      </c>
    </row>
    <row r="16526" spans="1:1">
      <c r="A16526" s="35" t="s">
        <v>57668</v>
      </c>
    </row>
    <row r="16527" spans="1:1">
      <c r="A16527" s="35" t="s">
        <v>57669</v>
      </c>
    </row>
    <row r="16528" spans="1:1">
      <c r="A16528" s="35" t="s">
        <v>41057</v>
      </c>
    </row>
    <row r="16529" spans="1:1">
      <c r="A16529" s="35" t="s">
        <v>41057</v>
      </c>
    </row>
    <row r="16530" spans="1:1">
      <c r="A16530" s="35" t="s">
        <v>41057</v>
      </c>
    </row>
    <row r="16531" spans="1:1">
      <c r="A16531" s="35" t="s">
        <v>57670</v>
      </c>
    </row>
    <row r="16532" spans="1:1">
      <c r="A16532" s="35" t="e" cm="1">
        <f t="array" ref="A16532">---------------------------------------------VDIKAMR-------Q</f>
        <v>#NAME?</v>
      </c>
    </row>
    <row r="16533" spans="1:1">
      <c r="A16533" s="35" t="s">
        <v>57671</v>
      </c>
    </row>
    <row r="16534" spans="1:1">
      <c r="A16534" s="35" t="s">
        <v>57672</v>
      </c>
    </row>
    <row r="16535" spans="1:1">
      <c r="A16535" s="35" t="s">
        <v>41057</v>
      </c>
    </row>
    <row r="16536" spans="1:1">
      <c r="A16536" s="35" t="s">
        <v>41057</v>
      </c>
    </row>
    <row r="16537" spans="1:1">
      <c r="A16537" s="35" t="e" cm="1">
        <f t="array" ref="A16537">---------------ATTY------------------FYR-------------------E</f>
        <v>#NAME?</v>
      </c>
    </row>
    <row r="16538" spans="1:1">
      <c r="A16538" s="35" t="s">
        <v>57673</v>
      </c>
    </row>
    <row r="16539" spans="1:1">
      <c r="A16539" s="35" t="s">
        <v>57674</v>
      </c>
    </row>
    <row r="16540" spans="1:1">
      <c r="A16540" s="35" t="s">
        <v>41057</v>
      </c>
    </row>
    <row r="16541" spans="1:1">
      <c r="A16541" s="35" t="s">
        <v>57675</v>
      </c>
    </row>
    <row r="16542" spans="1:1">
      <c r="A16542" s="35" t="s">
        <v>41057</v>
      </c>
    </row>
    <row r="16543" spans="1:1">
      <c r="A16543" s="35" t="s">
        <v>41057</v>
      </c>
    </row>
    <row r="16544" spans="1:1">
      <c r="A16544" s="35" t="s">
        <v>57676</v>
      </c>
    </row>
    <row r="16545" spans="1:1">
      <c r="A16545" s="35" t="s">
        <v>41057</v>
      </c>
    </row>
    <row r="16546" spans="1:1">
      <c r="A16546" s="35" t="s">
        <v>41057</v>
      </c>
    </row>
    <row r="16547" spans="1:1">
      <c r="A16547" s="35" t="s">
        <v>53500</v>
      </c>
    </row>
    <row r="16548" spans="1:1">
      <c r="A16548" s="35" t="s">
        <v>41057</v>
      </c>
    </row>
    <row r="16549" spans="1:1">
      <c r="A16549" s="35" t="s">
        <v>41057</v>
      </c>
    </row>
    <row r="16550" spans="1:1">
      <c r="A16550" s="35" t="s">
        <v>57677</v>
      </c>
    </row>
    <row r="16551" spans="1:1">
      <c r="A16551" s="35" t="s">
        <v>41057</v>
      </c>
    </row>
    <row r="16552" spans="1:1">
      <c r="A16552" s="35" t="s">
        <v>57678</v>
      </c>
    </row>
    <row r="16553" spans="1:1">
      <c r="A16553" s="35" t="s">
        <v>41057</v>
      </c>
    </row>
    <row r="16554" spans="1:1">
      <c r="A16554" s="35" t="s">
        <v>57679</v>
      </c>
    </row>
    <row r="16555" spans="1:1">
      <c r="A16555" s="35" t="s">
        <v>57680</v>
      </c>
    </row>
    <row r="16556" spans="1:1">
      <c r="A16556" s="35" t="s">
        <v>41057</v>
      </c>
    </row>
    <row r="16557" spans="1:1">
      <c r="A16557" s="35" t="s">
        <v>41057</v>
      </c>
    </row>
    <row r="16558" spans="1:1">
      <c r="A16558" s="35" t="s">
        <v>57681</v>
      </c>
    </row>
    <row r="16559" spans="1:1">
      <c r="A16559" s="35" t="s">
        <v>41057</v>
      </c>
    </row>
    <row r="16560" spans="1:1">
      <c r="A16560" s="35" t="s">
        <v>41057</v>
      </c>
    </row>
    <row r="16561" spans="1:1">
      <c r="A16561" s="35" t="s">
        <v>41057</v>
      </c>
    </row>
    <row r="16562" spans="1:1">
      <c r="A16562" s="35" t="s">
        <v>41057</v>
      </c>
    </row>
    <row r="16563" spans="1:1">
      <c r="A16563" s="35" t="s">
        <v>41057</v>
      </c>
    </row>
    <row r="16564" spans="1:1">
      <c r="A16564" s="35" t="s">
        <v>57682</v>
      </c>
    </row>
    <row r="16565" spans="1:1">
      <c r="A16565" s="35" t="s">
        <v>41057</v>
      </c>
    </row>
    <row r="16566" spans="1:1">
      <c r="A16566" s="35" t="s">
        <v>41057</v>
      </c>
    </row>
    <row r="16567" spans="1:1">
      <c r="A16567" s="35" t="s">
        <v>41057</v>
      </c>
    </row>
    <row r="16568" spans="1:1">
      <c r="A16568" s="35" t="s">
        <v>41057</v>
      </c>
    </row>
    <row r="16569" spans="1:1">
      <c r="A16569" s="35" t="s">
        <v>41057</v>
      </c>
    </row>
    <row r="16570" spans="1:1">
      <c r="A16570" s="35" t="s">
        <v>41057</v>
      </c>
    </row>
    <row r="16571" spans="1:1">
      <c r="A16571" s="35" t="s">
        <v>41057</v>
      </c>
    </row>
    <row r="16572" spans="1:1">
      <c r="A16572" s="35" t="s">
        <v>41057</v>
      </c>
    </row>
    <row r="16573" spans="1:1">
      <c r="A16573" s="35" t="s">
        <v>41057</v>
      </c>
    </row>
    <row r="16574" spans="1:1">
      <c r="A16574" s="35" t="s">
        <v>41057</v>
      </c>
    </row>
    <row r="16575" spans="1:1">
      <c r="A16575" s="35" t="s">
        <v>41057</v>
      </c>
    </row>
    <row r="16576" spans="1:1">
      <c r="A16576" s="35" t="s">
        <v>41057</v>
      </c>
    </row>
    <row r="16577" spans="1:1">
      <c r="A16577" s="35" t="s">
        <v>41057</v>
      </c>
    </row>
    <row r="16578" spans="1:1">
      <c r="A16578" s="35" t="s">
        <v>41057</v>
      </c>
    </row>
    <row r="16579" spans="1:1">
      <c r="A16579" s="35" t="s">
        <v>41057</v>
      </c>
    </row>
    <row r="16580" spans="1:1">
      <c r="A16580" s="35" t="s">
        <v>57683</v>
      </c>
    </row>
    <row r="16581" spans="1:1">
      <c r="A16581" s="35" t="s">
        <v>41057</v>
      </c>
    </row>
    <row r="16582" spans="1:1">
      <c r="A16582" s="35" t="s">
        <v>41057</v>
      </c>
    </row>
    <row r="16583" spans="1:1">
      <c r="A16583" s="35" t="s">
        <v>41057</v>
      </c>
    </row>
    <row r="16584" spans="1:1">
      <c r="A16584" s="35" t="s">
        <v>41057</v>
      </c>
    </row>
    <row r="16585" spans="1:1">
      <c r="A16585" s="35" t="s">
        <v>41057</v>
      </c>
    </row>
    <row r="16586" spans="1:1">
      <c r="A16586" s="35" t="s">
        <v>41057</v>
      </c>
    </row>
    <row r="16587" spans="1:1">
      <c r="A16587" s="35" t="s">
        <v>41057</v>
      </c>
    </row>
    <row r="16588" spans="1:1">
      <c r="A16588" s="35" t="s">
        <v>41057</v>
      </c>
    </row>
    <row r="16589" spans="1:1">
      <c r="A16589" s="35" t="s">
        <v>41057</v>
      </c>
    </row>
    <row r="16590" spans="1:1">
      <c r="A16590" s="35" t="s">
        <v>41057</v>
      </c>
    </row>
    <row r="16591" spans="1:1">
      <c r="A16591" s="35" t="e" cm="1">
        <f t="array" ref="A16591">--------------------------------------------SLHRVGWVKNL---AH</f>
        <v>#NAME?</v>
      </c>
    </row>
    <row r="16592" spans="1:1">
      <c r="A16592" s="35" t="s">
        <v>57684</v>
      </c>
    </row>
    <row r="16593" spans="1:1">
      <c r="A16593" s="35" t="e" cm="1">
        <f t="array" ref="A16593">---------------TAFLDMWSEFMT---------DNGK------------------FD</f>
        <v>#NAME?</v>
      </c>
    </row>
    <row r="16594" spans="1:1">
      <c r="A16594" s="35" t="s">
        <v>57685</v>
      </c>
    </row>
    <row r="16595" spans="1:1">
      <c r="A16595" s="35" t="e" cm="1">
        <f t="array" ref="A16595">-----------------------------------------------------------L</f>
        <v>#NAME?</v>
      </c>
    </row>
    <row r="16596" spans="1:1">
      <c r="A16596" s="35" t="s">
        <v>57686</v>
      </c>
    </row>
    <row r="16597" spans="1:1">
      <c r="A16597" s="35" t="s">
        <v>57687</v>
      </c>
    </row>
    <row r="16598" spans="1:1">
      <c r="A16598" s="35" t="s">
        <v>41057</v>
      </c>
    </row>
    <row r="16599" spans="1:1">
      <c r="A16599" s="35" t="s">
        <v>57482</v>
      </c>
    </row>
    <row r="16600" spans="1:1">
      <c r="A16600" s="35" t="s">
        <v>57688</v>
      </c>
    </row>
    <row r="16601" spans="1:1">
      <c r="A16601" s="35" t="s">
        <v>57689</v>
      </c>
    </row>
    <row r="16602" spans="1:1">
      <c r="A16602" s="35" t="s">
        <v>41057</v>
      </c>
    </row>
    <row r="16603" spans="1:1">
      <c r="A16603" s="35" t="s">
        <v>41057</v>
      </c>
    </row>
    <row r="16604" spans="1:1">
      <c r="A16604" s="35" t="s">
        <v>41057</v>
      </c>
    </row>
    <row r="16605" spans="1:1">
      <c r="A16605" s="35" t="s">
        <v>57690</v>
      </c>
    </row>
    <row r="16606" spans="1:1">
      <c r="A16606" s="35" t="s">
        <v>41057</v>
      </c>
    </row>
    <row r="16607" spans="1:1">
      <c r="A16607" s="35" t="s">
        <v>41057</v>
      </c>
    </row>
    <row r="16608" spans="1:1">
      <c r="A16608" s="35" t="s">
        <v>57691</v>
      </c>
    </row>
    <row r="16609" spans="1:1">
      <c r="A16609" s="35" t="s">
        <v>57692</v>
      </c>
    </row>
    <row r="16610" spans="1:1">
      <c r="A16610" s="35" t="s">
        <v>57693</v>
      </c>
    </row>
    <row r="16611" spans="1:1">
      <c r="A16611" s="35" t="s">
        <v>57694</v>
      </c>
    </row>
    <row r="16612" spans="1:1">
      <c r="A16612" s="35" t="s">
        <v>41057</v>
      </c>
    </row>
    <row r="16613" spans="1:1">
      <c r="A16613" s="35" t="s">
        <v>41057</v>
      </c>
    </row>
    <row r="16614" spans="1:1">
      <c r="A16614" s="35" t="s">
        <v>57695</v>
      </c>
    </row>
    <row r="16615" spans="1:1">
      <c r="A16615" s="35" t="s">
        <v>57696</v>
      </c>
    </row>
    <row r="16616" spans="1:1">
      <c r="A16616" s="35" t="s">
        <v>41057</v>
      </c>
    </row>
    <row r="16617" spans="1:1">
      <c r="A16617" s="35" t="s">
        <v>57697</v>
      </c>
    </row>
    <row r="16618" spans="1:1">
      <c r="A16618" s="35" t="s">
        <v>41057</v>
      </c>
    </row>
    <row r="16619" spans="1:1">
      <c r="A16619" s="35" t="s">
        <v>41057</v>
      </c>
    </row>
    <row r="16620" spans="1:1">
      <c r="A16620" s="35" t="s">
        <v>41057</v>
      </c>
    </row>
    <row r="16621" spans="1:1">
      <c r="A16621" s="35" t="s">
        <v>57698</v>
      </c>
    </row>
    <row r="16622" spans="1:1">
      <c r="A16622" s="35" t="s">
        <v>57699</v>
      </c>
    </row>
    <row r="16623" spans="1:1">
      <c r="A16623" s="35" t="s">
        <v>41057</v>
      </c>
    </row>
    <row r="16624" spans="1:1">
      <c r="A16624" s="35" t="s">
        <v>41057</v>
      </c>
    </row>
    <row r="16625" spans="1:1">
      <c r="A16625" s="35" t="s">
        <v>41057</v>
      </c>
    </row>
    <row r="16626" spans="1:1">
      <c r="A16626" s="35" t="e" cm="1">
        <f t="array" ref="A16626">--------------------------------------------------GGSLHALSEI</f>
        <v>#NAME?</v>
      </c>
    </row>
    <row r="16627" spans="1:1">
      <c r="A16627" s="35" t="s">
        <v>57700</v>
      </c>
    </row>
    <row r="16628" spans="1:1">
      <c r="A16628" s="35" t="s">
        <v>57701</v>
      </c>
    </row>
    <row r="16629" spans="1:1">
      <c r="A16629" s="35" t="s">
        <v>57702</v>
      </c>
    </row>
    <row r="16630" spans="1:1">
      <c r="A16630" s="35" t="s">
        <v>57703</v>
      </c>
    </row>
    <row r="16631" spans="1:1">
      <c r="A16631" s="35" t="s">
        <v>57704</v>
      </c>
    </row>
    <row r="16632" spans="1:1">
      <c r="A16632" s="35" t="s">
        <v>57705</v>
      </c>
    </row>
    <row r="16633" spans="1:1">
      <c r="A16633" s="35" t="e" cm="1">
        <f t="array" ref="A16633">----------------------------------------------------------QT</f>
        <v>#NAME?</v>
      </c>
    </row>
    <row r="16634" spans="1:1">
      <c r="A16634" s="35" t="s">
        <v>57706</v>
      </c>
    </row>
    <row r="16635" spans="1:1">
      <c r="A16635" s="35" t="s">
        <v>57707</v>
      </c>
    </row>
    <row r="16636" spans="1:1">
      <c r="A16636" s="35" t="s">
        <v>57708</v>
      </c>
    </row>
    <row r="16637" spans="1:1">
      <c r="A16637" s="35" t="s">
        <v>57709</v>
      </c>
    </row>
    <row r="16638" spans="1:1">
      <c r="A16638" s="35" t="s">
        <v>53545</v>
      </c>
    </row>
    <row r="16639" spans="1:1">
      <c r="A16639" s="35" t="s">
        <v>52710</v>
      </c>
    </row>
    <row r="16640" spans="1:1">
      <c r="A16640" s="35" t="s">
        <v>41057</v>
      </c>
    </row>
    <row r="16641" spans="1:1">
      <c r="A16641" s="35" t="s">
        <v>41057</v>
      </c>
    </row>
    <row r="16642" spans="1:1">
      <c r="A16642" s="35" t="s">
        <v>41057</v>
      </c>
    </row>
    <row r="16643" spans="1:1">
      <c r="A16643" s="35" t="s">
        <v>41057</v>
      </c>
    </row>
    <row r="16644" spans="1:1">
      <c r="A16644" s="35" t="s">
        <v>57710</v>
      </c>
    </row>
    <row r="16645" spans="1:1">
      <c r="A16645" s="35" t="s">
        <v>57711</v>
      </c>
    </row>
    <row r="16646" spans="1:1">
      <c r="A16646" s="35" t="s">
        <v>41057</v>
      </c>
    </row>
    <row r="16647" spans="1:1">
      <c r="A16647" s="35" t="s">
        <v>41057</v>
      </c>
    </row>
    <row r="16648" spans="1:1">
      <c r="A16648" s="35" t="s">
        <v>41057</v>
      </c>
    </row>
    <row r="16649" spans="1:1">
      <c r="A16649" s="35" t="s">
        <v>57712</v>
      </c>
    </row>
    <row r="16650" spans="1:1">
      <c r="A16650" s="35" t="s">
        <v>57713</v>
      </c>
    </row>
    <row r="16651" spans="1:1">
      <c r="A16651" s="35" t="s">
        <v>57714</v>
      </c>
    </row>
    <row r="16652" spans="1:1">
      <c r="A16652" s="35" t="s">
        <v>57715</v>
      </c>
    </row>
    <row r="16653" spans="1:1">
      <c r="A16653" s="35" t="s">
        <v>41057</v>
      </c>
    </row>
    <row r="16654" spans="1:1">
      <c r="A16654" s="35" t="s">
        <v>41057</v>
      </c>
    </row>
    <row r="16655" spans="1:1">
      <c r="A16655" s="35" t="e" cm="1">
        <f t="array" ref="A16655">--------------RVTTY------------------FVR-------------------E</f>
        <v>#NAME?</v>
      </c>
    </row>
    <row r="16656" spans="1:1">
      <c r="A16656" s="35" t="s">
        <v>57716</v>
      </c>
    </row>
    <row r="16657" spans="1:1">
      <c r="A16657" s="35" t="s">
        <v>57717</v>
      </c>
    </row>
    <row r="16658" spans="1:1">
      <c r="A16658" s="35" t="s">
        <v>41057</v>
      </c>
    </row>
    <row r="16659" spans="1:1">
      <c r="A16659" s="35" t="s">
        <v>57718</v>
      </c>
    </row>
    <row r="16660" spans="1:1">
      <c r="A16660" s="35" t="s">
        <v>41057</v>
      </c>
    </row>
    <row r="16661" spans="1:1">
      <c r="A16661" s="35" t="s">
        <v>41057</v>
      </c>
    </row>
    <row r="16662" spans="1:1">
      <c r="A16662" s="35" t="s">
        <v>57719</v>
      </c>
    </row>
    <row r="16663" spans="1:1">
      <c r="A16663" s="35" t="s">
        <v>41057</v>
      </c>
    </row>
    <row r="16664" spans="1:1">
      <c r="A16664" s="35" t="s">
        <v>41057</v>
      </c>
    </row>
    <row r="16665" spans="1:1">
      <c r="A16665" s="35" t="s">
        <v>53500</v>
      </c>
    </row>
    <row r="16666" spans="1:1">
      <c r="A16666" s="35" t="s">
        <v>41057</v>
      </c>
    </row>
    <row r="16667" spans="1:1">
      <c r="A16667" s="35" t="s">
        <v>41057</v>
      </c>
    </row>
    <row r="16668" spans="1:1">
      <c r="A16668" s="35" t="s">
        <v>57720</v>
      </c>
    </row>
    <row r="16669" spans="1:1">
      <c r="A16669" s="35" t="s">
        <v>41057</v>
      </c>
    </row>
    <row r="16670" spans="1:1">
      <c r="A16670" s="35" t="s">
        <v>57721</v>
      </c>
    </row>
    <row r="16671" spans="1:1">
      <c r="A16671" s="35" t="s">
        <v>41057</v>
      </c>
    </row>
    <row r="16672" spans="1:1">
      <c r="A16672" s="35" t="s">
        <v>57722</v>
      </c>
    </row>
    <row r="16673" spans="1:1">
      <c r="A16673" s="35" t="s">
        <v>57723</v>
      </c>
    </row>
    <row r="16674" spans="1:1">
      <c r="A16674" s="35" t="s">
        <v>41057</v>
      </c>
    </row>
    <row r="16675" spans="1:1">
      <c r="A16675" s="35" t="s">
        <v>41057</v>
      </c>
    </row>
    <row r="16676" spans="1:1">
      <c r="A16676" s="35" t="s">
        <v>57724</v>
      </c>
    </row>
    <row r="16677" spans="1:1">
      <c r="A16677" s="35" t="s">
        <v>41057</v>
      </c>
    </row>
    <row r="16678" spans="1:1">
      <c r="A16678" s="35" t="s">
        <v>41057</v>
      </c>
    </row>
    <row r="16679" spans="1:1">
      <c r="A16679" s="35" t="s">
        <v>41057</v>
      </c>
    </row>
    <row r="16680" spans="1:1">
      <c r="A16680" s="35" t="s">
        <v>41057</v>
      </c>
    </row>
    <row r="16681" spans="1:1">
      <c r="A16681" s="35" t="s">
        <v>41057</v>
      </c>
    </row>
    <row r="16682" spans="1:1">
      <c r="A16682" s="35" t="s">
        <v>54255</v>
      </c>
    </row>
    <row r="16683" spans="1:1">
      <c r="A16683" s="35" t="s">
        <v>41057</v>
      </c>
    </row>
    <row r="16684" spans="1:1">
      <c r="A16684" s="35" t="s">
        <v>41057</v>
      </c>
    </row>
    <row r="16685" spans="1:1">
      <c r="A16685" s="35" t="s">
        <v>41057</v>
      </c>
    </row>
    <row r="16686" spans="1:1">
      <c r="A16686" s="35" t="s">
        <v>41057</v>
      </c>
    </row>
    <row r="16687" spans="1:1">
      <c r="A16687" s="35" t="s">
        <v>41057</v>
      </c>
    </row>
    <row r="16688" spans="1:1">
      <c r="A16688" s="35" t="s">
        <v>41057</v>
      </c>
    </row>
    <row r="16689" spans="1:1">
      <c r="A16689" s="35" t="s">
        <v>41057</v>
      </c>
    </row>
    <row r="16690" spans="1:1">
      <c r="A16690" s="35" t="s">
        <v>41057</v>
      </c>
    </row>
    <row r="16691" spans="1:1">
      <c r="A16691" s="35" t="s">
        <v>41057</v>
      </c>
    </row>
    <row r="16692" spans="1:1">
      <c r="A16692" s="35" t="s">
        <v>41057</v>
      </c>
    </row>
    <row r="16693" spans="1:1">
      <c r="A16693" s="35" t="s">
        <v>41057</v>
      </c>
    </row>
    <row r="16694" spans="1:1">
      <c r="A16694" s="35" t="s">
        <v>41057</v>
      </c>
    </row>
    <row r="16695" spans="1:1">
      <c r="A16695" s="35" t="s">
        <v>41057</v>
      </c>
    </row>
    <row r="16696" spans="1:1">
      <c r="A16696" s="35" t="s">
        <v>41057</v>
      </c>
    </row>
    <row r="16697" spans="1:1">
      <c r="A16697" s="35" t="s">
        <v>41057</v>
      </c>
    </row>
    <row r="16698" spans="1:1">
      <c r="A16698" s="35" t="s">
        <v>57725</v>
      </c>
    </row>
    <row r="16699" spans="1:1">
      <c r="A16699" s="35" t="s">
        <v>41057</v>
      </c>
    </row>
    <row r="16700" spans="1:1">
      <c r="A16700" s="35" t="s">
        <v>41057</v>
      </c>
    </row>
    <row r="16701" spans="1:1">
      <c r="A16701" s="35" t="s">
        <v>41057</v>
      </c>
    </row>
    <row r="16702" spans="1:1">
      <c r="A16702" s="35" t="s">
        <v>41057</v>
      </c>
    </row>
    <row r="16703" spans="1:1">
      <c r="A16703" s="35" t="s">
        <v>41057</v>
      </c>
    </row>
    <row r="16704" spans="1:1">
      <c r="A16704" s="35" t="s">
        <v>41057</v>
      </c>
    </row>
    <row r="16705" spans="1:1">
      <c r="A16705" s="35" t="s">
        <v>41057</v>
      </c>
    </row>
    <row r="16706" spans="1:1">
      <c r="A16706" s="35" t="s">
        <v>41057</v>
      </c>
    </row>
    <row r="16707" spans="1:1">
      <c r="A16707" s="35" t="s">
        <v>41057</v>
      </c>
    </row>
    <row r="16708" spans="1:1">
      <c r="A16708" s="35" t="s">
        <v>41057</v>
      </c>
    </row>
    <row r="16709" spans="1:1">
      <c r="A16709" s="35" t="e" cm="1">
        <f t="array" ref="A16709">---------------------------------------------ASVVSWLPKL---GH</f>
        <v>#NAME?</v>
      </c>
    </row>
    <row r="16710" spans="1:1">
      <c r="A16710" s="35" t="s">
        <v>57726</v>
      </c>
    </row>
    <row r="16711" spans="1:1">
      <c r="A16711" s="35" t="e" cm="1">
        <f t="array" ref="A16711">---------------SSFMDMWSEFMI---------DSGN------------------YE</f>
        <v>#NAME?</v>
      </c>
    </row>
    <row r="16712" spans="1:1">
      <c r="A16712" s="35" t="s">
        <v>57727</v>
      </c>
    </row>
    <row r="16713" spans="1:1">
      <c r="A16713" s="35" t="s">
        <v>41057</v>
      </c>
    </row>
    <row r="16714" spans="1:1">
      <c r="A16714" s="35" t="s">
        <v>57728</v>
      </c>
    </row>
    <row r="16715" spans="1:1">
      <c r="A16715" s="35" t="s">
        <v>57729</v>
      </c>
    </row>
    <row r="16716" spans="1:1">
      <c r="A16716" s="35" t="s">
        <v>41057</v>
      </c>
    </row>
    <row r="16717" spans="1:1">
      <c r="A16717" s="35" t="s">
        <v>57482</v>
      </c>
    </row>
    <row r="16718" spans="1:1">
      <c r="A16718" s="35" t="s">
        <v>57730</v>
      </c>
    </row>
    <row r="16719" spans="1:1">
      <c r="A16719" s="35" t="s">
        <v>57731</v>
      </c>
    </row>
    <row r="16720" spans="1:1">
      <c r="A16720" s="35" t="s">
        <v>41057</v>
      </c>
    </row>
    <row r="16721" spans="1:1">
      <c r="A16721" s="35" t="s">
        <v>41057</v>
      </c>
    </row>
    <row r="16722" spans="1:1">
      <c r="A16722" s="35" t="s">
        <v>41057</v>
      </c>
    </row>
    <row r="16723" spans="1:1">
      <c r="A16723" s="35" t="s">
        <v>57732</v>
      </c>
    </row>
    <row r="16724" spans="1:1">
      <c r="A16724" s="35" t="s">
        <v>41057</v>
      </c>
    </row>
    <row r="16725" spans="1:1">
      <c r="A16725" s="35" t="s">
        <v>41057</v>
      </c>
    </row>
    <row r="16726" spans="1:1">
      <c r="A16726" s="35" t="s">
        <v>57733</v>
      </c>
    </row>
    <row r="16727" spans="1:1">
      <c r="A16727" s="35" t="s">
        <v>57734</v>
      </c>
    </row>
    <row r="16728" spans="1:1">
      <c r="A16728" s="35" t="s">
        <v>57735</v>
      </c>
    </row>
    <row r="16729" spans="1:1">
      <c r="A16729" s="35" t="s">
        <v>57736</v>
      </c>
    </row>
    <row r="16730" spans="1:1">
      <c r="A16730" s="35" t="s">
        <v>41057</v>
      </c>
    </row>
    <row r="16731" spans="1:1">
      <c r="A16731" s="35" t="s">
        <v>41057</v>
      </c>
    </row>
    <row r="16732" spans="1:1">
      <c r="A16732" s="35" t="s">
        <v>57737</v>
      </c>
    </row>
    <row r="16733" spans="1:1">
      <c r="A16733" s="35" t="s">
        <v>57738</v>
      </c>
    </row>
    <row r="16734" spans="1:1">
      <c r="A16734" s="35" t="s">
        <v>41057</v>
      </c>
    </row>
    <row r="16735" spans="1:1">
      <c r="A16735" s="35" t="s">
        <v>57739</v>
      </c>
    </row>
    <row r="16736" spans="1:1">
      <c r="A16736" s="35" t="s">
        <v>41057</v>
      </c>
    </row>
    <row r="16737" spans="1:1">
      <c r="A16737" s="35" t="s">
        <v>41057</v>
      </c>
    </row>
    <row r="16738" spans="1:1">
      <c r="A16738" s="35" t="s">
        <v>41057</v>
      </c>
    </row>
    <row r="16739" spans="1:1">
      <c r="A16739" s="35" t="s">
        <v>57740</v>
      </c>
    </row>
    <row r="16740" spans="1:1">
      <c r="A16740" s="35" t="s">
        <v>57741</v>
      </c>
    </row>
    <row r="16741" spans="1:1">
      <c r="A16741" s="35" t="s">
        <v>41057</v>
      </c>
    </row>
    <row r="16742" spans="1:1">
      <c r="A16742" s="35" t="s">
        <v>41057</v>
      </c>
    </row>
    <row r="16743" spans="1:1">
      <c r="A16743" s="35" t="s">
        <v>41057</v>
      </c>
    </row>
    <row r="16744" spans="1:1">
      <c r="A16744" s="35" t="e" cm="1">
        <f t="array" ref="A16744">----------------------------------------------------AREDVGTA</f>
        <v>#NAME?</v>
      </c>
    </row>
    <row r="16745" spans="1:1">
      <c r="A16745" s="35" t="s">
        <v>57742</v>
      </c>
    </row>
    <row r="16746" spans="1:1">
      <c r="A16746" s="35" t="s">
        <v>57743</v>
      </c>
    </row>
    <row r="16747" spans="1:1">
      <c r="A16747" s="35" t="s">
        <v>57744</v>
      </c>
    </row>
    <row r="16748" spans="1:1">
      <c r="A16748" s="35" t="s">
        <v>57745</v>
      </c>
    </row>
    <row r="16749" spans="1:1">
      <c r="A16749" s="35" t="s">
        <v>57746</v>
      </c>
    </row>
    <row r="16750" spans="1:1">
      <c r="A16750" s="35" t="s">
        <v>57747</v>
      </c>
    </row>
    <row r="16751" spans="1:1">
      <c r="A16751" s="35" t="e" cm="1">
        <f t="array" ref="A16751">----------------------------------------------------------ER</f>
        <v>#NAME?</v>
      </c>
    </row>
    <row r="16752" spans="1:1">
      <c r="A16752" s="35" t="s">
        <v>57748</v>
      </c>
    </row>
    <row r="16753" spans="1:1">
      <c r="A16753" s="35" t="s">
        <v>57749</v>
      </c>
    </row>
    <row r="16754" spans="1:1">
      <c r="A16754" s="35" t="s">
        <v>41057</v>
      </c>
    </row>
    <row r="16755" spans="1:1">
      <c r="A16755" s="35" t="s">
        <v>41057</v>
      </c>
    </row>
    <row r="16756" spans="1:1">
      <c r="A16756" s="35" t="s">
        <v>53545</v>
      </c>
    </row>
    <row r="16757" spans="1:1">
      <c r="A16757" s="35" t="s">
        <v>57750</v>
      </c>
    </row>
    <row r="16758" spans="1:1">
      <c r="A16758" s="35" t="s">
        <v>41057</v>
      </c>
    </row>
    <row r="16759" spans="1:1">
      <c r="A16759" s="35" t="s">
        <v>41057</v>
      </c>
    </row>
    <row r="16760" spans="1:1">
      <c r="A16760" s="35" t="s">
        <v>41057</v>
      </c>
    </row>
    <row r="16761" spans="1:1">
      <c r="A16761" s="35" t="s">
        <v>41057</v>
      </c>
    </row>
    <row r="16762" spans="1:1">
      <c r="A16762" s="35" t="e" cm="1">
        <f t="array" ref="A16762">---------------------------------------------------------KKL</f>
        <v>#NAME?</v>
      </c>
    </row>
    <row r="16763" spans="1:1">
      <c r="A16763" s="35" t="s">
        <v>57751</v>
      </c>
    </row>
    <row r="16764" spans="1:1">
      <c r="A16764" s="35" t="s">
        <v>41057</v>
      </c>
    </row>
    <row r="16765" spans="1:1">
      <c r="A16765" s="35" t="s">
        <v>57752</v>
      </c>
    </row>
    <row r="16766" spans="1:1">
      <c r="A16766" s="35" t="s">
        <v>41057</v>
      </c>
    </row>
    <row r="16767" spans="1:1">
      <c r="A16767" s="35" t="s">
        <v>56596</v>
      </c>
    </row>
    <row r="16768" spans="1:1">
      <c r="A16768" s="35" t="s">
        <v>57753</v>
      </c>
    </row>
    <row r="16769" spans="1:1">
      <c r="A16769" s="35" t="s">
        <v>57754</v>
      </c>
    </row>
    <row r="16770" spans="1:1">
      <c r="A16770" s="35" t="s">
        <v>57755</v>
      </c>
    </row>
    <row r="16771" spans="1:1">
      <c r="A16771" s="35" t="s">
        <v>41057</v>
      </c>
    </row>
    <row r="16772" spans="1:1">
      <c r="A16772" s="35" t="s">
        <v>41057</v>
      </c>
    </row>
    <row r="16773" spans="1:1">
      <c r="A16773" s="35" t="e" cm="1">
        <f t="array" ref="A16773">-------------------------------------FRK-------------------A</f>
        <v>#NAME?</v>
      </c>
    </row>
    <row r="16774" spans="1:1">
      <c r="A16774" s="35" t="s">
        <v>57756</v>
      </c>
    </row>
    <row r="16775" spans="1:1">
      <c r="A16775" s="35" t="s">
        <v>57757</v>
      </c>
    </row>
    <row r="16776" spans="1:1">
      <c r="A16776" s="35" t="s">
        <v>41057</v>
      </c>
    </row>
    <row r="16777" spans="1:1">
      <c r="A16777" s="35" t="s">
        <v>50522</v>
      </c>
    </row>
    <row r="16778" spans="1:1">
      <c r="A16778" s="35" t="s">
        <v>41057</v>
      </c>
    </row>
    <row r="16779" spans="1:1">
      <c r="A16779" s="35" t="s">
        <v>41057</v>
      </c>
    </row>
    <row r="16780" spans="1:1">
      <c r="A16780" s="35" t="s">
        <v>57758</v>
      </c>
    </row>
    <row r="16781" spans="1:1">
      <c r="A16781" s="35" t="s">
        <v>41057</v>
      </c>
    </row>
    <row r="16782" spans="1:1">
      <c r="A16782" s="35" t="s">
        <v>41057</v>
      </c>
    </row>
    <row r="16783" spans="1:1">
      <c r="A16783" s="35" t="s">
        <v>57759</v>
      </c>
    </row>
    <row r="16784" spans="1:1">
      <c r="A16784" s="35" t="s">
        <v>41057</v>
      </c>
    </row>
    <row r="16785" spans="1:1">
      <c r="A16785" s="35" t="s">
        <v>41057</v>
      </c>
    </row>
    <row r="16786" spans="1:1">
      <c r="A16786" s="35" t="s">
        <v>57760</v>
      </c>
    </row>
    <row r="16787" spans="1:1">
      <c r="A16787" s="35" t="s">
        <v>41057</v>
      </c>
    </row>
    <row r="16788" spans="1:1">
      <c r="A16788" s="35" t="s">
        <v>57761</v>
      </c>
    </row>
    <row r="16789" spans="1:1">
      <c r="A16789" s="35" t="s">
        <v>41057</v>
      </c>
    </row>
    <row r="16790" spans="1:1">
      <c r="A16790" s="35" t="s">
        <v>57762</v>
      </c>
    </row>
    <row r="16791" spans="1:1">
      <c r="A16791" s="35" t="s">
        <v>57763</v>
      </c>
    </row>
    <row r="16792" spans="1:1">
      <c r="A16792" s="35" t="s">
        <v>41057</v>
      </c>
    </row>
    <row r="16793" spans="1:1">
      <c r="A16793" s="35" t="s">
        <v>41057</v>
      </c>
    </row>
    <row r="16794" spans="1:1">
      <c r="A16794" s="35" t="s">
        <v>55373</v>
      </c>
    </row>
    <row r="16795" spans="1:1">
      <c r="A16795" s="35" t="s">
        <v>41057</v>
      </c>
    </row>
    <row r="16796" spans="1:1">
      <c r="A16796" s="35" t="s">
        <v>41057</v>
      </c>
    </row>
    <row r="16797" spans="1:1">
      <c r="A16797" s="35" t="s">
        <v>41057</v>
      </c>
    </row>
    <row r="16798" spans="1:1">
      <c r="A16798" s="35" t="s">
        <v>41057</v>
      </c>
    </row>
    <row r="16799" spans="1:1">
      <c r="A16799" s="35" t="s">
        <v>41057</v>
      </c>
    </row>
    <row r="16800" spans="1:1">
      <c r="A16800" s="35" t="s">
        <v>41057</v>
      </c>
    </row>
    <row r="16801" spans="1:1">
      <c r="A16801" s="35" t="s">
        <v>41057</v>
      </c>
    </row>
    <row r="16802" spans="1:1">
      <c r="A16802" s="35" t="s">
        <v>41057</v>
      </c>
    </row>
    <row r="16803" spans="1:1">
      <c r="A16803" s="35" t="s">
        <v>41057</v>
      </c>
    </row>
    <row r="16804" spans="1:1">
      <c r="A16804" s="35" t="s">
        <v>41057</v>
      </c>
    </row>
    <row r="16805" spans="1:1">
      <c r="A16805" s="35" t="s">
        <v>41057</v>
      </c>
    </row>
    <row r="16806" spans="1:1">
      <c r="A16806" s="35" t="s">
        <v>41057</v>
      </c>
    </row>
    <row r="16807" spans="1:1">
      <c r="A16807" s="35" t="s">
        <v>41057</v>
      </c>
    </row>
    <row r="16808" spans="1:1">
      <c r="A16808" s="35" t="s">
        <v>41057</v>
      </c>
    </row>
    <row r="16809" spans="1:1">
      <c r="A16809" s="35" t="s">
        <v>41057</v>
      </c>
    </row>
    <row r="16810" spans="1:1">
      <c r="A16810" s="35" t="s">
        <v>41057</v>
      </c>
    </row>
    <row r="16811" spans="1:1">
      <c r="A16811" s="35" t="s">
        <v>41057</v>
      </c>
    </row>
    <row r="16812" spans="1:1">
      <c r="A16812" s="35" t="s">
        <v>41057</v>
      </c>
    </row>
    <row r="16813" spans="1:1">
      <c r="A16813" s="35" t="s">
        <v>41057</v>
      </c>
    </row>
    <row r="16814" spans="1:1">
      <c r="A16814" s="35" t="s">
        <v>41057</v>
      </c>
    </row>
    <row r="16815" spans="1:1">
      <c r="A16815" s="35" t="s">
        <v>41057</v>
      </c>
    </row>
    <row r="16816" spans="1:1">
      <c r="A16816" s="35" t="s">
        <v>57764</v>
      </c>
    </row>
    <row r="16817" spans="1:1">
      <c r="A16817" s="35" t="s">
        <v>41057</v>
      </c>
    </row>
    <row r="16818" spans="1:1">
      <c r="A16818" s="35" t="s">
        <v>41057</v>
      </c>
    </row>
    <row r="16819" spans="1:1">
      <c r="A16819" s="35" t="s">
        <v>41057</v>
      </c>
    </row>
    <row r="16820" spans="1:1">
      <c r="A16820" s="35" t="s">
        <v>41057</v>
      </c>
    </row>
    <row r="16821" spans="1:1">
      <c r="A16821" s="35" t="s">
        <v>41057</v>
      </c>
    </row>
    <row r="16822" spans="1:1">
      <c r="A16822" s="35" t="s">
        <v>41057</v>
      </c>
    </row>
    <row r="16823" spans="1:1">
      <c r="A16823" s="35" t="s">
        <v>41057</v>
      </c>
    </row>
    <row r="16824" spans="1:1">
      <c r="A16824" s="35" t="s">
        <v>41057</v>
      </c>
    </row>
    <row r="16825" spans="1:1">
      <c r="A16825" s="35" t="s">
        <v>41057</v>
      </c>
    </row>
    <row r="16826" spans="1:1">
      <c r="A16826" s="35" t="s">
        <v>53647</v>
      </c>
    </row>
    <row r="16827" spans="1:1">
      <c r="A16827" s="35" t="e" cm="1">
        <f t="array" ref="A16827">------------------------------------------------LLWGKCL---GY</f>
        <v>#NAME?</v>
      </c>
    </row>
    <row r="16828" spans="1:1">
      <c r="A16828" s="35" t="s">
        <v>57765</v>
      </c>
    </row>
    <row r="16829" spans="1:1">
      <c r="A16829" s="35" t="e" cm="1">
        <f t="array" ref="A16829">---------------RLWYDLYDILNV---------REGH------------------RT</f>
        <v>#NAME?</v>
      </c>
    </row>
    <row r="16830" spans="1:1">
      <c r="A16830" s="35" t="s">
        <v>57766</v>
      </c>
    </row>
    <row r="16831" spans="1:1">
      <c r="A16831" s="35" t="s">
        <v>41057</v>
      </c>
    </row>
    <row r="16832" spans="1:1">
      <c r="A16832" s="35" t="s">
        <v>41057</v>
      </c>
    </row>
    <row r="16833" spans="1:1">
      <c r="A16833" s="35" t="s">
        <v>57767</v>
      </c>
    </row>
    <row r="16834" spans="1:1">
      <c r="A16834" s="35" t="s">
        <v>41057</v>
      </c>
    </row>
    <row r="16835" spans="1:1">
      <c r="A16835" s="35" t="s">
        <v>57768</v>
      </c>
    </row>
    <row r="16836" spans="1:1">
      <c r="A16836" s="35" t="s">
        <v>57769</v>
      </c>
    </row>
    <row r="16837" spans="1:1">
      <c r="A16837" s="35" t="s">
        <v>41057</v>
      </c>
    </row>
    <row r="16838" spans="1:1">
      <c r="A16838" s="35" t="s">
        <v>41057</v>
      </c>
    </row>
    <row r="16839" spans="1:1">
      <c r="A16839" s="35" t="s">
        <v>41057</v>
      </c>
    </row>
    <row r="16840" spans="1:1">
      <c r="A16840" s="35" t="s">
        <v>41057</v>
      </c>
    </row>
    <row r="16841" spans="1:1">
      <c r="A16841" s="35" t="s">
        <v>41057</v>
      </c>
    </row>
    <row r="16842" spans="1:1">
      <c r="A16842" s="35" t="s">
        <v>41057</v>
      </c>
    </row>
    <row r="16843" spans="1:1">
      <c r="A16843" s="35" t="s">
        <v>41057</v>
      </c>
    </row>
    <row r="16844" spans="1:1">
      <c r="A16844" s="35" t="s">
        <v>41057</v>
      </c>
    </row>
    <row r="16845" spans="1:1">
      <c r="A16845" s="35" t="s">
        <v>41057</v>
      </c>
    </row>
    <row r="16846" spans="1:1">
      <c r="A16846" s="35" t="s">
        <v>41057</v>
      </c>
    </row>
    <row r="16847" spans="1:1">
      <c r="A16847" s="35" t="s">
        <v>41057</v>
      </c>
    </row>
    <row r="16848" spans="1:1">
      <c r="A16848" s="35" t="s">
        <v>41057</v>
      </c>
    </row>
    <row r="16849" spans="1:1">
      <c r="A16849" s="35" t="s">
        <v>41057</v>
      </c>
    </row>
    <row r="16850" spans="1:1">
      <c r="A16850" s="35" t="s">
        <v>41057</v>
      </c>
    </row>
    <row r="16851" spans="1:1">
      <c r="A16851" s="35" t="s">
        <v>41057</v>
      </c>
    </row>
    <row r="16852" spans="1:1">
      <c r="A16852" s="35" t="s">
        <v>41057</v>
      </c>
    </row>
    <row r="16853" spans="1:1">
      <c r="A16853" s="35" t="s">
        <v>41057</v>
      </c>
    </row>
    <row r="16854" spans="1:1">
      <c r="A16854" s="35" t="s">
        <v>41057</v>
      </c>
    </row>
    <row r="16855" spans="1:1">
      <c r="A16855" s="35" t="s">
        <v>41057</v>
      </c>
    </row>
    <row r="16856" spans="1:1">
      <c r="A16856" s="35" t="s">
        <v>41057</v>
      </c>
    </row>
    <row r="16857" spans="1:1">
      <c r="A16857" s="35" t="s">
        <v>41057</v>
      </c>
    </row>
    <row r="16858" spans="1:1">
      <c r="A16858" s="35" t="s">
        <v>41057</v>
      </c>
    </row>
    <row r="16859" spans="1:1">
      <c r="A16859" s="35" t="s">
        <v>41057</v>
      </c>
    </row>
    <row r="16860" spans="1:1">
      <c r="A16860" s="35" t="s">
        <v>41057</v>
      </c>
    </row>
    <row r="16861" spans="1:1">
      <c r="A16861" s="35" t="s">
        <v>41057</v>
      </c>
    </row>
    <row r="16862" spans="1:1">
      <c r="A16862" s="35" t="s">
        <v>41057</v>
      </c>
    </row>
    <row r="16863" spans="1:1">
      <c r="A16863" s="35" t="s">
        <v>41057</v>
      </c>
    </row>
    <row r="16864" spans="1:1">
      <c r="A16864" s="35" t="s">
        <v>41057</v>
      </c>
    </row>
    <row r="16865" spans="1:1">
      <c r="A16865" s="35" t="s">
        <v>41057</v>
      </c>
    </row>
    <row r="16866" spans="1:1">
      <c r="A16866" s="35" t="s">
        <v>41057</v>
      </c>
    </row>
    <row r="16867" spans="1:1">
      <c r="A16867" s="35" t="s">
        <v>57770</v>
      </c>
    </row>
    <row r="16868" spans="1:1">
      <c r="A16868" s="35" t="s">
        <v>41057</v>
      </c>
    </row>
    <row r="16869" spans="1:1">
      <c r="A16869" s="35" t="s">
        <v>41057</v>
      </c>
    </row>
    <row r="16870" spans="1:1">
      <c r="A16870" s="35" t="s">
        <v>41057</v>
      </c>
    </row>
    <row r="16871" spans="1:1">
      <c r="A16871" s="35" t="s">
        <v>41057</v>
      </c>
    </row>
    <row r="16872" spans="1:1">
      <c r="A16872" s="35" t="s">
        <v>41057</v>
      </c>
    </row>
    <row r="16873" spans="1:1">
      <c r="A16873" s="35" t="s">
        <v>41057</v>
      </c>
    </row>
    <row r="16874" spans="1:1">
      <c r="A16874" s="35" t="s">
        <v>53545</v>
      </c>
    </row>
    <row r="16875" spans="1:1">
      <c r="A16875" s="35" t="s">
        <v>52863</v>
      </c>
    </row>
    <row r="16876" spans="1:1">
      <c r="A16876" s="35" t="s">
        <v>41057</v>
      </c>
    </row>
    <row r="16877" spans="1:1">
      <c r="A16877" s="35" t="s">
        <v>41057</v>
      </c>
    </row>
    <row r="16878" spans="1:1">
      <c r="A16878" s="35" t="s">
        <v>41057</v>
      </c>
    </row>
    <row r="16879" spans="1:1">
      <c r="A16879" s="35" t="s">
        <v>57771</v>
      </c>
    </row>
    <row r="16880" spans="1:1">
      <c r="A16880" s="35" t="s">
        <v>41057</v>
      </c>
    </row>
    <row r="16881" spans="1:1">
      <c r="A16881" s="35" t="s">
        <v>57772</v>
      </c>
    </row>
    <row r="16882" spans="1:1">
      <c r="A16882" s="35" t="s">
        <v>41057</v>
      </c>
    </row>
    <row r="16883" spans="1:1">
      <c r="A16883" s="35" t="s">
        <v>41057</v>
      </c>
    </row>
    <row r="16884" spans="1:1">
      <c r="A16884" s="35" t="s">
        <v>41057</v>
      </c>
    </row>
    <row r="16885" spans="1:1">
      <c r="A16885" s="35" t="s">
        <v>53492</v>
      </c>
    </row>
    <row r="16886" spans="1:1">
      <c r="A16886" s="35" t="s">
        <v>55873</v>
      </c>
    </row>
    <row r="16887" spans="1:1">
      <c r="A16887" s="35" t="s">
        <v>57773</v>
      </c>
    </row>
    <row r="16888" spans="1:1">
      <c r="A16888" s="35" t="s">
        <v>57774</v>
      </c>
    </row>
    <row r="16889" spans="1:1">
      <c r="A16889" s="35" t="s">
        <v>41057</v>
      </c>
    </row>
    <row r="16890" spans="1:1">
      <c r="A16890" s="35" t="s">
        <v>41057</v>
      </c>
    </row>
    <row r="16891" spans="1:1">
      <c r="A16891" s="35" t="e" cm="1">
        <f t="array" ref="A16891">-------------------------------------FTKT------------------G</f>
        <v>#NAME?</v>
      </c>
    </row>
    <row r="16892" spans="1:1">
      <c r="A16892" s="35" t="s">
        <v>57775</v>
      </c>
    </row>
    <row r="16893" spans="1:1">
      <c r="A16893" s="35" t="s">
        <v>57776</v>
      </c>
    </row>
    <row r="16894" spans="1:1">
      <c r="A16894" s="35" t="s">
        <v>41057</v>
      </c>
    </row>
    <row r="16895" spans="1:1">
      <c r="A16895" s="35" t="s">
        <v>57777</v>
      </c>
    </row>
    <row r="16896" spans="1:1">
      <c r="A16896" s="35" t="s">
        <v>41057</v>
      </c>
    </row>
    <row r="16897" spans="1:1">
      <c r="A16897" s="35" t="s">
        <v>41057</v>
      </c>
    </row>
    <row r="16898" spans="1:1">
      <c r="A16898" s="35" t="s">
        <v>57778</v>
      </c>
    </row>
    <row r="16899" spans="1:1">
      <c r="A16899" s="35" t="s">
        <v>41057</v>
      </c>
    </row>
    <row r="16900" spans="1:1">
      <c r="A16900" s="35" t="s">
        <v>41057</v>
      </c>
    </row>
    <row r="16901" spans="1:1">
      <c r="A16901" s="35" t="s">
        <v>53500</v>
      </c>
    </row>
    <row r="16902" spans="1:1">
      <c r="A16902" s="35" t="s">
        <v>41057</v>
      </c>
    </row>
    <row r="16903" spans="1:1">
      <c r="A16903" s="35" t="s">
        <v>41057</v>
      </c>
    </row>
    <row r="16904" spans="1:1">
      <c r="A16904" s="35" t="s">
        <v>57779</v>
      </c>
    </row>
    <row r="16905" spans="1:1">
      <c r="A16905" s="35" t="s">
        <v>41057</v>
      </c>
    </row>
    <row r="16906" spans="1:1">
      <c r="A16906" s="35" t="s">
        <v>57780</v>
      </c>
    </row>
    <row r="16907" spans="1:1">
      <c r="A16907" s="35" t="s">
        <v>41057</v>
      </c>
    </row>
    <row r="16908" spans="1:1">
      <c r="A16908" s="35" t="s">
        <v>57781</v>
      </c>
    </row>
    <row r="16909" spans="1:1">
      <c r="A16909" s="35" t="s">
        <v>57782</v>
      </c>
    </row>
    <row r="16910" spans="1:1">
      <c r="A16910" s="35" t="s">
        <v>41057</v>
      </c>
    </row>
    <row r="16911" spans="1:1">
      <c r="A16911" s="35" t="s">
        <v>41057</v>
      </c>
    </row>
    <row r="16912" spans="1:1">
      <c r="A16912" s="35" t="s">
        <v>54354</v>
      </c>
    </row>
    <row r="16913" spans="1:1">
      <c r="A16913" s="35" t="s">
        <v>41057</v>
      </c>
    </row>
    <row r="16914" spans="1:1">
      <c r="A16914" s="35" t="s">
        <v>41057</v>
      </c>
    </row>
    <row r="16915" spans="1:1">
      <c r="A16915" s="35" t="s">
        <v>41057</v>
      </c>
    </row>
    <row r="16916" spans="1:1">
      <c r="A16916" s="35" t="s">
        <v>41057</v>
      </c>
    </row>
    <row r="16917" spans="1:1">
      <c r="A16917" s="35" t="s">
        <v>41057</v>
      </c>
    </row>
    <row r="16918" spans="1:1">
      <c r="A16918" s="35" t="s">
        <v>54224</v>
      </c>
    </row>
    <row r="16919" spans="1:1">
      <c r="A16919" s="35" t="s">
        <v>41057</v>
      </c>
    </row>
    <row r="16920" spans="1:1">
      <c r="A16920" s="35" t="s">
        <v>41057</v>
      </c>
    </row>
    <row r="16921" spans="1:1">
      <c r="A16921" s="35" t="s">
        <v>41057</v>
      </c>
    </row>
    <row r="16922" spans="1:1">
      <c r="A16922" s="35" t="s">
        <v>41057</v>
      </c>
    </row>
    <row r="16923" spans="1:1">
      <c r="A16923" s="35" t="s">
        <v>41057</v>
      </c>
    </row>
    <row r="16924" spans="1:1">
      <c r="A16924" s="35" t="s">
        <v>41057</v>
      </c>
    </row>
    <row r="16925" spans="1:1">
      <c r="A16925" s="35" t="s">
        <v>41057</v>
      </c>
    </row>
    <row r="16926" spans="1:1">
      <c r="A16926" s="35" t="s">
        <v>41057</v>
      </c>
    </row>
    <row r="16927" spans="1:1">
      <c r="A16927" s="35" t="s">
        <v>41057</v>
      </c>
    </row>
    <row r="16928" spans="1:1">
      <c r="A16928" s="35" t="s">
        <v>41057</v>
      </c>
    </row>
    <row r="16929" spans="1:1">
      <c r="A16929" s="35" t="s">
        <v>41057</v>
      </c>
    </row>
    <row r="16930" spans="1:1">
      <c r="A16930" s="35" t="s">
        <v>41057</v>
      </c>
    </row>
    <row r="16931" spans="1:1">
      <c r="A16931" s="35" t="s">
        <v>41057</v>
      </c>
    </row>
    <row r="16932" spans="1:1">
      <c r="A16932" s="35" t="s">
        <v>41057</v>
      </c>
    </row>
    <row r="16933" spans="1:1">
      <c r="A16933" s="35" t="s">
        <v>41057</v>
      </c>
    </row>
    <row r="16934" spans="1:1">
      <c r="A16934" s="35" t="s">
        <v>57783</v>
      </c>
    </row>
    <row r="16935" spans="1:1">
      <c r="A16935" s="35" t="s">
        <v>41057</v>
      </c>
    </row>
    <row r="16936" spans="1:1">
      <c r="A16936" s="35" t="s">
        <v>41057</v>
      </c>
    </row>
    <row r="16937" spans="1:1">
      <c r="A16937" s="35" t="s">
        <v>41057</v>
      </c>
    </row>
    <row r="16938" spans="1:1">
      <c r="A16938" s="35" t="s">
        <v>41057</v>
      </c>
    </row>
    <row r="16939" spans="1:1">
      <c r="A16939" s="35" t="s">
        <v>41057</v>
      </c>
    </row>
    <row r="16940" spans="1:1">
      <c r="A16940" s="35" t="s">
        <v>41057</v>
      </c>
    </row>
    <row r="16941" spans="1:1">
      <c r="A16941" s="35" t="s">
        <v>41057</v>
      </c>
    </row>
    <row r="16942" spans="1:1">
      <c r="A16942" s="35" t="s">
        <v>41057</v>
      </c>
    </row>
    <row r="16943" spans="1:1">
      <c r="A16943" s="35" t="s">
        <v>41057</v>
      </c>
    </row>
    <row r="16944" spans="1:1">
      <c r="A16944" s="35" t="s">
        <v>41057</v>
      </c>
    </row>
    <row r="16945" spans="1:1">
      <c r="A16945" s="35" t="e" cm="1">
        <f t="array" ref="A16945">-------------------------------------------------YWLQGI---GY</f>
        <v>#NAME?</v>
      </c>
    </row>
    <row r="16946" spans="1:1">
      <c r="A16946" s="35" t="s">
        <v>57784</v>
      </c>
    </row>
    <row r="16947" spans="1:1">
      <c r="A16947" s="35" t="e" cm="1">
        <f t="array" ref="A16947">---------------RLYYDIYDQMFQ---------TENI------------------RL</f>
        <v>#NAME?</v>
      </c>
    </row>
    <row r="16948" spans="1:1">
      <c r="A16948" s="35" t="s">
        <v>57785</v>
      </c>
    </row>
    <row r="16949" spans="1:1">
      <c r="A16949" s="35" t="e" cm="1">
        <f t="array" ref="A16949">----------------------------------------------DGQQR-------RL</f>
        <v>#NAME?</v>
      </c>
    </row>
    <row r="16950" spans="1:1">
      <c r="A16950" s="35" t="s">
        <v>54884</v>
      </c>
    </row>
    <row r="16951" spans="1:1">
      <c r="A16951" s="35" t="s">
        <v>57786</v>
      </c>
    </row>
    <row r="16952" spans="1:1">
      <c r="A16952" s="35" t="s">
        <v>41057</v>
      </c>
    </row>
    <row r="16953" spans="1:1">
      <c r="A16953" s="35" t="s">
        <v>57787</v>
      </c>
    </row>
    <row r="16954" spans="1:1">
      <c r="A16954" s="35" t="s">
        <v>57788</v>
      </c>
    </row>
    <row r="16955" spans="1:1">
      <c r="A16955" s="35" t="s">
        <v>57789</v>
      </c>
    </row>
    <row r="16956" spans="1:1">
      <c r="A16956" s="35" t="s">
        <v>41057</v>
      </c>
    </row>
    <row r="16957" spans="1:1">
      <c r="A16957" s="35" t="s">
        <v>41057</v>
      </c>
    </row>
    <row r="16958" spans="1:1">
      <c r="A16958" s="35" t="s">
        <v>41057</v>
      </c>
    </row>
    <row r="16959" spans="1:1">
      <c r="A16959" s="35" t="s">
        <v>41057</v>
      </c>
    </row>
    <row r="16960" spans="1:1">
      <c r="A16960" s="35" t="s">
        <v>57790</v>
      </c>
    </row>
    <row r="16961" spans="1:1">
      <c r="A16961" s="35" t="s">
        <v>41057</v>
      </c>
    </row>
    <row r="16962" spans="1:1">
      <c r="A16962" s="35" t="s">
        <v>41057</v>
      </c>
    </row>
    <row r="16963" spans="1:1">
      <c r="A16963" s="35" t="s">
        <v>55396</v>
      </c>
    </row>
    <row r="16964" spans="1:1">
      <c r="A16964" s="35" t="s">
        <v>57791</v>
      </c>
    </row>
    <row r="16965" spans="1:1">
      <c r="A16965" s="35" t="s">
        <v>57792</v>
      </c>
    </row>
    <row r="16966" spans="1:1">
      <c r="A16966" s="35" t="s">
        <v>41057</v>
      </c>
    </row>
    <row r="16967" spans="1:1">
      <c r="A16967" s="35" t="s">
        <v>57793</v>
      </c>
    </row>
    <row r="16968" spans="1:1">
      <c r="A16968" s="35" t="s">
        <v>57794</v>
      </c>
    </row>
    <row r="16969" spans="1:1">
      <c r="A16969" s="35" t="s">
        <v>57795</v>
      </c>
    </row>
    <row r="16970" spans="1:1">
      <c r="A16970" s="35" t="s">
        <v>41057</v>
      </c>
    </row>
    <row r="16971" spans="1:1">
      <c r="A16971" s="35" t="s">
        <v>57796</v>
      </c>
    </row>
    <row r="16972" spans="1:1">
      <c r="A16972" s="35" t="s">
        <v>41057</v>
      </c>
    </row>
    <row r="16973" spans="1:1">
      <c r="A16973" s="35" t="s">
        <v>41057</v>
      </c>
    </row>
    <row r="16974" spans="1:1">
      <c r="A16974" s="35" t="s">
        <v>41057</v>
      </c>
    </row>
    <row r="16975" spans="1:1">
      <c r="A16975" s="35" t="s">
        <v>57797</v>
      </c>
    </row>
    <row r="16976" spans="1:1">
      <c r="A16976" s="35" t="s">
        <v>41057</v>
      </c>
    </row>
    <row r="16977" spans="1:1">
      <c r="A16977" s="35" t="s">
        <v>41057</v>
      </c>
    </row>
    <row r="16978" spans="1:1">
      <c r="A16978" s="35" t="s">
        <v>41057</v>
      </c>
    </row>
    <row r="16979" spans="1:1">
      <c r="A16979" s="35" t="s">
        <v>41057</v>
      </c>
    </row>
    <row r="16980" spans="1:1">
      <c r="A16980" s="35" t="e" cm="1">
        <f t="array" ref="A16980">--------------------------------------------------------IQSA</f>
        <v>#NAME?</v>
      </c>
    </row>
    <row r="16981" spans="1:1">
      <c r="A16981" s="35" t="s">
        <v>57798</v>
      </c>
    </row>
    <row r="16982" spans="1:1">
      <c r="A16982" s="35" t="s">
        <v>57799</v>
      </c>
    </row>
    <row r="16983" spans="1:1">
      <c r="A16983" s="35" t="s">
        <v>57800</v>
      </c>
    </row>
    <row r="16984" spans="1:1">
      <c r="A16984" s="35" t="s">
        <v>57801</v>
      </c>
    </row>
    <row r="16985" spans="1:1">
      <c r="A16985" s="35" t="s">
        <v>57802</v>
      </c>
    </row>
    <row r="16986" spans="1:1">
      <c r="A16986" s="35" t="s">
        <v>57803</v>
      </c>
    </row>
    <row r="16987" spans="1:1">
      <c r="A16987" s="35" t="s">
        <v>41057</v>
      </c>
    </row>
    <row r="16988" spans="1:1">
      <c r="A16988" s="35" t="s">
        <v>57804</v>
      </c>
    </row>
    <row r="16989" spans="1:1">
      <c r="A16989" s="35" t="s">
        <v>57805</v>
      </c>
    </row>
    <row r="16990" spans="1:1">
      <c r="A16990" s="35" t="s">
        <v>57806</v>
      </c>
    </row>
    <row r="16991" spans="1:1">
      <c r="A16991" s="35" t="s">
        <v>41057</v>
      </c>
    </row>
    <row r="16992" spans="1:1">
      <c r="A16992" s="35" t="s">
        <v>53545</v>
      </c>
    </row>
    <row r="16993" spans="1:1">
      <c r="A16993" s="35" t="s">
        <v>53119</v>
      </c>
    </row>
    <row r="16994" spans="1:1">
      <c r="A16994" s="35" t="s">
        <v>41057</v>
      </c>
    </row>
    <row r="16995" spans="1:1">
      <c r="A16995" s="35" t="s">
        <v>41057</v>
      </c>
    </row>
    <row r="16996" spans="1:1">
      <c r="A16996" s="35" t="s">
        <v>41057</v>
      </c>
    </row>
    <row r="16997" spans="1:1">
      <c r="A16997" s="35" t="s">
        <v>57807</v>
      </c>
    </row>
    <row r="16998" spans="1:1">
      <c r="A16998" s="35" t="s">
        <v>41057</v>
      </c>
    </row>
    <row r="16999" spans="1:1">
      <c r="A16999" s="35" t="s">
        <v>57808</v>
      </c>
    </row>
    <row r="17000" spans="1:1">
      <c r="A17000" s="35" t="s">
        <v>41057</v>
      </c>
    </row>
    <row r="17001" spans="1:1">
      <c r="A17001" s="35" t="s">
        <v>41057</v>
      </c>
    </row>
    <row r="17002" spans="1:1">
      <c r="A17002" s="35" t="s">
        <v>41057</v>
      </c>
    </row>
    <row r="17003" spans="1:1">
      <c r="A17003" s="35" t="s">
        <v>53492</v>
      </c>
    </row>
    <row r="17004" spans="1:1">
      <c r="A17004" s="35" t="s">
        <v>57809</v>
      </c>
    </row>
    <row r="17005" spans="1:1">
      <c r="A17005" s="35" t="s">
        <v>57810</v>
      </c>
    </row>
    <row r="17006" spans="1:1">
      <c r="A17006" s="35" t="s">
        <v>57811</v>
      </c>
    </row>
    <row r="17007" spans="1:1">
      <c r="A17007" s="35" t="s">
        <v>41057</v>
      </c>
    </row>
    <row r="17008" spans="1:1">
      <c r="A17008" s="35" t="s">
        <v>41057</v>
      </c>
    </row>
    <row r="17009" spans="1:1">
      <c r="A17009" s="35" t="e" cm="1">
        <f t="array" ref="A17009">-------------------------------------FTKT------------------G</f>
        <v>#NAME?</v>
      </c>
    </row>
    <row r="17010" spans="1:1">
      <c r="A17010" s="35" t="s">
        <v>57775</v>
      </c>
    </row>
    <row r="17011" spans="1:1">
      <c r="A17011" s="35" t="s">
        <v>57776</v>
      </c>
    </row>
    <row r="17012" spans="1:1">
      <c r="A17012" s="35" t="s">
        <v>41057</v>
      </c>
    </row>
    <row r="17013" spans="1:1">
      <c r="A17013" s="35" t="s">
        <v>57777</v>
      </c>
    </row>
    <row r="17014" spans="1:1">
      <c r="A17014" s="35" t="s">
        <v>41057</v>
      </c>
    </row>
    <row r="17015" spans="1:1">
      <c r="A17015" s="35" t="s">
        <v>41057</v>
      </c>
    </row>
    <row r="17016" spans="1:1">
      <c r="A17016" s="35" t="s">
        <v>57778</v>
      </c>
    </row>
    <row r="17017" spans="1:1">
      <c r="A17017" s="35" t="s">
        <v>41057</v>
      </c>
    </row>
    <row r="17018" spans="1:1">
      <c r="A17018" s="35" t="s">
        <v>41057</v>
      </c>
    </row>
    <row r="17019" spans="1:1">
      <c r="A17019" s="35" t="s">
        <v>53500</v>
      </c>
    </row>
    <row r="17020" spans="1:1">
      <c r="A17020" s="35" t="s">
        <v>41057</v>
      </c>
    </row>
    <row r="17021" spans="1:1">
      <c r="A17021" s="35" t="s">
        <v>41057</v>
      </c>
    </row>
    <row r="17022" spans="1:1">
      <c r="A17022" s="35" t="s">
        <v>57812</v>
      </c>
    </row>
    <row r="17023" spans="1:1">
      <c r="A17023" s="35" t="s">
        <v>41057</v>
      </c>
    </row>
    <row r="17024" spans="1:1">
      <c r="A17024" s="35" t="s">
        <v>57780</v>
      </c>
    </row>
    <row r="17025" spans="1:1">
      <c r="A17025" s="35" t="s">
        <v>41057</v>
      </c>
    </row>
    <row r="17026" spans="1:1">
      <c r="A17026" s="35" t="s">
        <v>57781</v>
      </c>
    </row>
    <row r="17027" spans="1:1">
      <c r="A17027" s="35" t="s">
        <v>57813</v>
      </c>
    </row>
    <row r="17028" spans="1:1">
      <c r="A17028" s="35" t="s">
        <v>41057</v>
      </c>
    </row>
    <row r="17029" spans="1:1">
      <c r="A17029" s="35" t="s">
        <v>41057</v>
      </c>
    </row>
    <row r="17030" spans="1:1">
      <c r="A17030" s="35" t="s">
        <v>54354</v>
      </c>
    </row>
    <row r="17031" spans="1:1">
      <c r="A17031" s="35" t="s">
        <v>41057</v>
      </c>
    </row>
    <row r="17032" spans="1:1">
      <c r="A17032" s="35" t="s">
        <v>41057</v>
      </c>
    </row>
    <row r="17033" spans="1:1">
      <c r="A17033" s="35" t="s">
        <v>41057</v>
      </c>
    </row>
    <row r="17034" spans="1:1">
      <c r="A17034" s="35" t="s">
        <v>41057</v>
      </c>
    </row>
    <row r="17035" spans="1:1">
      <c r="A17035" s="35" t="s">
        <v>41057</v>
      </c>
    </row>
    <row r="17036" spans="1:1">
      <c r="A17036" s="35" t="s">
        <v>54355</v>
      </c>
    </row>
    <row r="17037" spans="1:1">
      <c r="A17037" s="35" t="s">
        <v>41057</v>
      </c>
    </row>
    <row r="17038" spans="1:1">
      <c r="A17038" s="35" t="s">
        <v>41057</v>
      </c>
    </row>
    <row r="17039" spans="1:1">
      <c r="A17039" s="35" t="s">
        <v>41057</v>
      </c>
    </row>
    <row r="17040" spans="1:1">
      <c r="A17040" s="35" t="s">
        <v>41057</v>
      </c>
    </row>
    <row r="17041" spans="1:1">
      <c r="A17041" s="35" t="s">
        <v>41057</v>
      </c>
    </row>
    <row r="17042" spans="1:1">
      <c r="A17042" s="35" t="s">
        <v>41057</v>
      </c>
    </row>
    <row r="17043" spans="1:1">
      <c r="A17043" s="35" t="s">
        <v>41057</v>
      </c>
    </row>
    <row r="17044" spans="1:1">
      <c r="A17044" s="35" t="s">
        <v>41057</v>
      </c>
    </row>
    <row r="17045" spans="1:1">
      <c r="A17045" s="35" t="s">
        <v>41057</v>
      </c>
    </row>
    <row r="17046" spans="1:1">
      <c r="A17046" s="35" t="s">
        <v>41057</v>
      </c>
    </row>
    <row r="17047" spans="1:1">
      <c r="A17047" s="35" t="s">
        <v>41057</v>
      </c>
    </row>
    <row r="17048" spans="1:1">
      <c r="A17048" s="35" t="s">
        <v>41057</v>
      </c>
    </row>
    <row r="17049" spans="1:1">
      <c r="A17049" s="35" t="s">
        <v>41057</v>
      </c>
    </row>
    <row r="17050" spans="1:1">
      <c r="A17050" s="35" t="s">
        <v>41057</v>
      </c>
    </row>
    <row r="17051" spans="1:1">
      <c r="A17051" s="35" t="s">
        <v>41057</v>
      </c>
    </row>
    <row r="17052" spans="1:1">
      <c r="A17052" s="35" t="s">
        <v>57814</v>
      </c>
    </row>
    <row r="17053" spans="1:1">
      <c r="A17053" s="35" t="s">
        <v>41057</v>
      </c>
    </row>
    <row r="17054" spans="1:1">
      <c r="A17054" s="35" t="s">
        <v>41057</v>
      </c>
    </row>
    <row r="17055" spans="1:1">
      <c r="A17055" s="35" t="s">
        <v>41057</v>
      </c>
    </row>
    <row r="17056" spans="1:1">
      <c r="A17056" s="35" t="s">
        <v>41057</v>
      </c>
    </row>
    <row r="17057" spans="1:1">
      <c r="A17057" s="35" t="s">
        <v>41057</v>
      </c>
    </row>
    <row r="17058" spans="1:1">
      <c r="A17058" s="35" t="s">
        <v>41057</v>
      </c>
    </row>
    <row r="17059" spans="1:1">
      <c r="A17059" s="35" t="s">
        <v>41057</v>
      </c>
    </row>
    <row r="17060" spans="1:1">
      <c r="A17060" s="35" t="s">
        <v>41057</v>
      </c>
    </row>
    <row r="17061" spans="1:1">
      <c r="A17061" s="35" t="s">
        <v>41057</v>
      </c>
    </row>
    <row r="17062" spans="1:1">
      <c r="A17062" s="35" t="s">
        <v>41057</v>
      </c>
    </row>
    <row r="17063" spans="1:1">
      <c r="A17063" s="35" t="e" cm="1">
        <f t="array" ref="A17063">-------------------------------------------------YWLPGI---GY</f>
        <v>#NAME?</v>
      </c>
    </row>
    <row r="17064" spans="1:1">
      <c r="A17064" s="35" t="s">
        <v>57815</v>
      </c>
    </row>
    <row r="17065" spans="1:1">
      <c r="A17065" s="35" t="e" cm="1">
        <f t="array" ref="A17065">---------------RLYYDLYDRMFQ---------TENI------------------RL</f>
        <v>#NAME?</v>
      </c>
    </row>
    <row r="17066" spans="1:1">
      <c r="A17066" s="35" t="s">
        <v>57785</v>
      </c>
    </row>
    <row r="17067" spans="1:1">
      <c r="A17067" s="35" t="e" cm="1">
        <f t="array" ref="A17067">----------------------------------------------DGLQR-------RL</f>
        <v>#NAME?</v>
      </c>
    </row>
    <row r="17068" spans="1:1">
      <c r="A17068" s="35" t="s">
        <v>57816</v>
      </c>
    </row>
    <row r="17069" spans="1:1">
      <c r="A17069" s="35" t="s">
        <v>57817</v>
      </c>
    </row>
    <row r="17070" spans="1:1">
      <c r="A17070" s="35" t="s">
        <v>41057</v>
      </c>
    </row>
    <row r="17071" spans="1:1">
      <c r="A17071" s="35" t="s">
        <v>57787</v>
      </c>
    </row>
    <row r="17072" spans="1:1">
      <c r="A17072" s="35" t="s">
        <v>57818</v>
      </c>
    </row>
    <row r="17073" spans="1:1">
      <c r="A17073" s="35" t="s">
        <v>57819</v>
      </c>
    </row>
    <row r="17074" spans="1:1">
      <c r="A17074" s="35" t="s">
        <v>41057</v>
      </c>
    </row>
    <row r="17075" spans="1:1">
      <c r="A17075" s="35" t="s">
        <v>41057</v>
      </c>
    </row>
    <row r="17076" spans="1:1">
      <c r="A17076" s="35" t="s">
        <v>41057</v>
      </c>
    </row>
    <row r="17077" spans="1:1">
      <c r="A17077" s="35" t="s">
        <v>41057</v>
      </c>
    </row>
    <row r="17078" spans="1:1">
      <c r="A17078" s="35" t="s">
        <v>57790</v>
      </c>
    </row>
    <row r="17079" spans="1:1">
      <c r="A17079" s="35" t="s">
        <v>41057</v>
      </c>
    </row>
    <row r="17080" spans="1:1">
      <c r="A17080" s="35" t="s">
        <v>41057</v>
      </c>
    </row>
    <row r="17081" spans="1:1">
      <c r="A17081" s="35" t="s">
        <v>55396</v>
      </c>
    </row>
    <row r="17082" spans="1:1">
      <c r="A17082" s="35" t="s">
        <v>57820</v>
      </c>
    </row>
    <row r="17083" spans="1:1">
      <c r="A17083" s="35" t="s">
        <v>57821</v>
      </c>
    </row>
    <row r="17084" spans="1:1">
      <c r="A17084" s="35" t="s">
        <v>41057</v>
      </c>
    </row>
    <row r="17085" spans="1:1">
      <c r="A17085" s="35" t="s">
        <v>57793</v>
      </c>
    </row>
    <row r="17086" spans="1:1">
      <c r="A17086" s="35" t="s">
        <v>57822</v>
      </c>
    </row>
    <row r="17087" spans="1:1">
      <c r="A17087" s="35" t="s">
        <v>57823</v>
      </c>
    </row>
    <row r="17088" spans="1:1">
      <c r="A17088" s="35" t="s">
        <v>41057</v>
      </c>
    </row>
    <row r="17089" spans="1:1">
      <c r="A17089" s="35" t="s">
        <v>57824</v>
      </c>
    </row>
    <row r="17090" spans="1:1">
      <c r="A17090" s="35" t="s">
        <v>41057</v>
      </c>
    </row>
    <row r="17091" spans="1:1">
      <c r="A17091" s="35" t="s">
        <v>41057</v>
      </c>
    </row>
    <row r="17092" spans="1:1">
      <c r="A17092" s="35" t="s">
        <v>41057</v>
      </c>
    </row>
    <row r="17093" spans="1:1">
      <c r="A17093" s="35" t="s">
        <v>57797</v>
      </c>
    </row>
    <row r="17094" spans="1:1">
      <c r="A17094" s="35" t="s">
        <v>41057</v>
      </c>
    </row>
    <row r="17095" spans="1:1">
      <c r="A17095" s="35" t="s">
        <v>41057</v>
      </c>
    </row>
    <row r="17096" spans="1:1">
      <c r="A17096" s="35" t="s">
        <v>41057</v>
      </c>
    </row>
    <row r="17097" spans="1:1">
      <c r="A17097" s="35" t="s">
        <v>41057</v>
      </c>
    </row>
    <row r="17098" spans="1:1">
      <c r="A17098" s="35" t="e" cm="1">
        <f t="array" ref="A17098">--------------------------------------------------------IQSA</f>
        <v>#NAME?</v>
      </c>
    </row>
    <row r="17099" spans="1:1">
      <c r="A17099" s="35" t="s">
        <v>57798</v>
      </c>
    </row>
    <row r="17100" spans="1:1">
      <c r="A17100" s="35" t="s">
        <v>57825</v>
      </c>
    </row>
    <row r="17101" spans="1:1">
      <c r="A17101" s="35" t="s">
        <v>57826</v>
      </c>
    </row>
    <row r="17102" spans="1:1">
      <c r="A17102" s="35" t="s">
        <v>57801</v>
      </c>
    </row>
    <row r="17103" spans="1:1">
      <c r="A17103" s="35" t="s">
        <v>57802</v>
      </c>
    </row>
    <row r="17104" spans="1:1">
      <c r="A17104" s="35" t="s">
        <v>57827</v>
      </c>
    </row>
    <row r="17105" spans="1:1">
      <c r="A17105" s="35" t="s">
        <v>41057</v>
      </c>
    </row>
    <row r="17106" spans="1:1">
      <c r="A17106" s="35" t="s">
        <v>57828</v>
      </c>
    </row>
    <row r="17107" spans="1:1">
      <c r="A17107" s="35" t="s">
        <v>57829</v>
      </c>
    </row>
    <row r="17108" spans="1:1">
      <c r="A17108" s="35" t="s">
        <v>57806</v>
      </c>
    </row>
    <row r="17109" spans="1:1">
      <c r="A17109" s="35" t="s">
        <v>41057</v>
      </c>
    </row>
    <row r="17110" spans="1:1">
      <c r="A17110" s="35" t="s">
        <v>53545</v>
      </c>
    </row>
    <row r="17111" spans="1:1">
      <c r="A17111" s="35" t="s">
        <v>53308</v>
      </c>
    </row>
    <row r="17112" spans="1:1">
      <c r="A17112" s="35" t="s">
        <v>41057</v>
      </c>
    </row>
    <row r="17113" spans="1:1">
      <c r="A17113" s="35" t="s">
        <v>41057</v>
      </c>
    </row>
    <row r="17114" spans="1:1">
      <c r="A17114" s="35" t="s">
        <v>41057</v>
      </c>
    </row>
    <row r="17115" spans="1:1">
      <c r="A17115" s="35" t="s">
        <v>57830</v>
      </c>
    </row>
    <row r="17116" spans="1:1">
      <c r="A17116" s="35" t="s">
        <v>41057</v>
      </c>
    </row>
    <row r="17117" spans="1:1">
      <c r="A17117" s="35" t="s">
        <v>57831</v>
      </c>
    </row>
    <row r="17118" spans="1:1">
      <c r="A17118" s="35" t="s">
        <v>41057</v>
      </c>
    </row>
    <row r="17119" spans="1:1">
      <c r="A17119" s="35" t="s">
        <v>41057</v>
      </c>
    </row>
    <row r="17120" spans="1:1">
      <c r="A17120" s="35" t="s">
        <v>41057</v>
      </c>
    </row>
    <row r="17121" spans="1:1">
      <c r="A17121" s="35" t="s">
        <v>54097</v>
      </c>
    </row>
    <row r="17122" spans="1:1">
      <c r="A17122" s="35" t="s">
        <v>57809</v>
      </c>
    </row>
    <row r="17123" spans="1:1">
      <c r="A17123" s="35" t="s">
        <v>57810</v>
      </c>
    </row>
    <row r="17124" spans="1:1">
      <c r="A17124" s="35" t="s">
        <v>57832</v>
      </c>
    </row>
    <row r="17125" spans="1:1">
      <c r="A17125" s="35" t="s">
        <v>41057</v>
      </c>
    </row>
    <row r="17126" spans="1:1">
      <c r="A17126" s="35" t="s">
        <v>41057</v>
      </c>
    </row>
    <row r="17127" spans="1:1">
      <c r="A17127" s="35" t="e" cm="1">
        <f t="array" ref="A17127">-------------------------------------FTKT------------------G</f>
        <v>#NAME?</v>
      </c>
    </row>
    <row r="17128" spans="1:1">
      <c r="A17128" s="35" t="s">
        <v>57833</v>
      </c>
    </row>
    <row r="17129" spans="1:1">
      <c r="A17129" s="35" t="s">
        <v>57834</v>
      </c>
    </row>
    <row r="17130" spans="1:1">
      <c r="A17130" s="35" t="s">
        <v>41057</v>
      </c>
    </row>
    <row r="17131" spans="1:1">
      <c r="A17131" s="35" t="s">
        <v>57777</v>
      </c>
    </row>
    <row r="17132" spans="1:1">
      <c r="A17132" s="35" t="s">
        <v>41057</v>
      </c>
    </row>
    <row r="17133" spans="1:1">
      <c r="A17133" s="35" t="s">
        <v>41057</v>
      </c>
    </row>
    <row r="17134" spans="1:1">
      <c r="A17134" s="35" t="s">
        <v>57778</v>
      </c>
    </row>
    <row r="17135" spans="1:1">
      <c r="A17135" s="35" t="s">
        <v>41057</v>
      </c>
    </row>
    <row r="17136" spans="1:1">
      <c r="A17136" s="35" t="s">
        <v>41057</v>
      </c>
    </row>
    <row r="17137" spans="1:1">
      <c r="A17137" s="35" t="s">
        <v>53500</v>
      </c>
    </row>
    <row r="17138" spans="1:1">
      <c r="A17138" s="35" t="s">
        <v>41057</v>
      </c>
    </row>
    <row r="17139" spans="1:1">
      <c r="A17139" s="35" t="s">
        <v>41057</v>
      </c>
    </row>
    <row r="17140" spans="1:1">
      <c r="A17140" s="35" t="s">
        <v>57779</v>
      </c>
    </row>
    <row r="17141" spans="1:1">
      <c r="A17141" s="35" t="s">
        <v>41057</v>
      </c>
    </row>
    <row r="17142" spans="1:1">
      <c r="A17142" s="35" t="s">
        <v>57780</v>
      </c>
    </row>
    <row r="17143" spans="1:1">
      <c r="A17143" s="35" t="s">
        <v>41057</v>
      </c>
    </row>
    <row r="17144" spans="1:1">
      <c r="A17144" s="35" t="s">
        <v>57781</v>
      </c>
    </row>
    <row r="17145" spans="1:1">
      <c r="A17145" s="35" t="s">
        <v>57782</v>
      </c>
    </row>
    <row r="17146" spans="1:1">
      <c r="A17146" s="35" t="s">
        <v>41057</v>
      </c>
    </row>
    <row r="17147" spans="1:1">
      <c r="A17147" s="35" t="s">
        <v>41057</v>
      </c>
    </row>
    <row r="17148" spans="1:1">
      <c r="A17148" s="35" t="s">
        <v>54354</v>
      </c>
    </row>
    <row r="17149" spans="1:1">
      <c r="A17149" s="35" t="s">
        <v>41057</v>
      </c>
    </row>
    <row r="17150" spans="1:1">
      <c r="A17150" s="35" t="s">
        <v>41057</v>
      </c>
    </row>
    <row r="17151" spans="1:1">
      <c r="A17151" s="35" t="s">
        <v>41057</v>
      </c>
    </row>
    <row r="17152" spans="1:1">
      <c r="A17152" s="35" t="s">
        <v>41057</v>
      </c>
    </row>
    <row r="17153" spans="1:1">
      <c r="A17153" s="35" t="s">
        <v>41057</v>
      </c>
    </row>
    <row r="17154" spans="1:1">
      <c r="A17154" s="35" t="s">
        <v>54224</v>
      </c>
    </row>
    <row r="17155" spans="1:1">
      <c r="A17155" s="35" t="s">
        <v>41057</v>
      </c>
    </row>
    <row r="17156" spans="1:1">
      <c r="A17156" s="35" t="s">
        <v>41057</v>
      </c>
    </row>
    <row r="17157" spans="1:1">
      <c r="A17157" s="35" t="s">
        <v>41057</v>
      </c>
    </row>
    <row r="17158" spans="1:1">
      <c r="A17158" s="35" t="s">
        <v>41057</v>
      </c>
    </row>
    <row r="17159" spans="1:1">
      <c r="A17159" s="35" t="s">
        <v>41057</v>
      </c>
    </row>
    <row r="17160" spans="1:1">
      <c r="A17160" s="35" t="s">
        <v>41057</v>
      </c>
    </row>
    <row r="17161" spans="1:1">
      <c r="A17161" s="35" t="s">
        <v>41057</v>
      </c>
    </row>
    <row r="17162" spans="1:1">
      <c r="A17162" s="35" t="s">
        <v>41057</v>
      </c>
    </row>
    <row r="17163" spans="1:1">
      <c r="A17163" s="35" t="s">
        <v>41057</v>
      </c>
    </row>
    <row r="17164" spans="1:1">
      <c r="A17164" s="35" t="s">
        <v>41057</v>
      </c>
    </row>
    <row r="17165" spans="1:1">
      <c r="A17165" s="35" t="s">
        <v>41057</v>
      </c>
    </row>
    <row r="17166" spans="1:1">
      <c r="A17166" s="35" t="s">
        <v>41057</v>
      </c>
    </row>
    <row r="17167" spans="1:1">
      <c r="A17167" s="35" t="s">
        <v>41057</v>
      </c>
    </row>
    <row r="17168" spans="1:1">
      <c r="A17168" s="35" t="s">
        <v>41057</v>
      </c>
    </row>
    <row r="17169" spans="1:1">
      <c r="A17169" s="35" t="s">
        <v>41057</v>
      </c>
    </row>
    <row r="17170" spans="1:1">
      <c r="A17170" s="35" t="s">
        <v>57835</v>
      </c>
    </row>
    <row r="17171" spans="1:1">
      <c r="A17171" s="35" t="s">
        <v>41057</v>
      </c>
    </row>
    <row r="17172" spans="1:1">
      <c r="A17172" s="35" t="s">
        <v>41057</v>
      </c>
    </row>
    <row r="17173" spans="1:1">
      <c r="A17173" s="35" t="s">
        <v>41057</v>
      </c>
    </row>
    <row r="17174" spans="1:1">
      <c r="A17174" s="35" t="s">
        <v>41057</v>
      </c>
    </row>
    <row r="17175" spans="1:1">
      <c r="A17175" s="35" t="s">
        <v>41057</v>
      </c>
    </row>
    <row r="17176" spans="1:1">
      <c r="A17176" s="35" t="s">
        <v>41057</v>
      </c>
    </row>
    <row r="17177" spans="1:1">
      <c r="A17177" s="35" t="s">
        <v>41057</v>
      </c>
    </row>
    <row r="17178" spans="1:1">
      <c r="A17178" s="35" t="s">
        <v>41057</v>
      </c>
    </row>
    <row r="17179" spans="1:1">
      <c r="A17179" s="35" t="s">
        <v>41057</v>
      </c>
    </row>
    <row r="17180" spans="1:1">
      <c r="A17180" s="35" t="s">
        <v>41057</v>
      </c>
    </row>
    <row r="17181" spans="1:1">
      <c r="A17181" s="35" t="e" cm="1">
        <f t="array" ref="A17181">-------------------------------------------------YWLSGI---GY</f>
        <v>#NAME?</v>
      </c>
    </row>
    <row r="17182" spans="1:1">
      <c r="A17182" s="35" t="s">
        <v>57815</v>
      </c>
    </row>
    <row r="17183" spans="1:1">
      <c r="A17183" s="35" t="e" cm="1">
        <f t="array" ref="A17183">---------------RLYYDIYDRLFQ---------TENI------------------RL</f>
        <v>#NAME?</v>
      </c>
    </row>
    <row r="17184" spans="1:1">
      <c r="A17184" s="35" t="s">
        <v>57785</v>
      </c>
    </row>
    <row r="17185" spans="1:1">
      <c r="A17185" s="35" t="e" cm="1">
        <f t="array" ref="A17185">----------------------------------------------DGLQR-------RL</f>
        <v>#NAME?</v>
      </c>
    </row>
    <row r="17186" spans="1:1">
      <c r="A17186" s="35" t="s">
        <v>57816</v>
      </c>
    </row>
    <row r="17187" spans="1:1">
      <c r="A17187" s="35" t="s">
        <v>57817</v>
      </c>
    </row>
    <row r="17188" spans="1:1">
      <c r="A17188" s="35" t="s">
        <v>41057</v>
      </c>
    </row>
    <row r="17189" spans="1:1">
      <c r="A17189" s="35" t="s">
        <v>57787</v>
      </c>
    </row>
    <row r="17190" spans="1:1">
      <c r="A17190" s="35" t="s">
        <v>57788</v>
      </c>
    </row>
    <row r="17191" spans="1:1">
      <c r="A17191" s="35" t="s">
        <v>57789</v>
      </c>
    </row>
    <row r="17192" spans="1:1">
      <c r="A17192" s="35" t="s">
        <v>41057</v>
      </c>
    </row>
    <row r="17193" spans="1:1">
      <c r="A17193" s="35" t="s">
        <v>41057</v>
      </c>
    </row>
    <row r="17194" spans="1:1">
      <c r="A17194" s="35" t="s">
        <v>41057</v>
      </c>
    </row>
    <row r="17195" spans="1:1">
      <c r="A17195" s="35" t="s">
        <v>41057</v>
      </c>
    </row>
    <row r="17196" spans="1:1">
      <c r="A17196" s="35" t="s">
        <v>57790</v>
      </c>
    </row>
    <row r="17197" spans="1:1">
      <c r="A17197" s="35" t="s">
        <v>41057</v>
      </c>
    </row>
    <row r="17198" spans="1:1">
      <c r="A17198" s="35" t="s">
        <v>41057</v>
      </c>
    </row>
    <row r="17199" spans="1:1">
      <c r="A17199" s="35" t="s">
        <v>55396</v>
      </c>
    </row>
    <row r="17200" spans="1:1">
      <c r="A17200" s="35" t="s">
        <v>57836</v>
      </c>
    </row>
    <row r="17201" spans="1:1">
      <c r="A17201" s="35" t="s">
        <v>57837</v>
      </c>
    </row>
    <row r="17202" spans="1:1">
      <c r="A17202" s="35" t="s">
        <v>41057</v>
      </c>
    </row>
    <row r="17203" spans="1:1">
      <c r="A17203" s="35" t="s">
        <v>57838</v>
      </c>
    </row>
    <row r="17204" spans="1:1">
      <c r="A17204" s="35" t="s">
        <v>57839</v>
      </c>
    </row>
    <row r="17205" spans="1:1">
      <c r="A17205" s="35" t="s">
        <v>57840</v>
      </c>
    </row>
    <row r="17206" spans="1:1">
      <c r="A17206" s="35" t="s">
        <v>41057</v>
      </c>
    </row>
    <row r="17207" spans="1:1">
      <c r="A17207" s="35" t="s">
        <v>57841</v>
      </c>
    </row>
    <row r="17208" spans="1:1">
      <c r="A17208" s="35" t="s">
        <v>41057</v>
      </c>
    </row>
    <row r="17209" spans="1:1">
      <c r="A17209" s="35" t="s">
        <v>41057</v>
      </c>
    </row>
    <row r="17210" spans="1:1">
      <c r="A17210" s="35" t="s">
        <v>41057</v>
      </c>
    </row>
    <row r="17211" spans="1:1">
      <c r="A17211" s="35" t="s">
        <v>57842</v>
      </c>
    </row>
    <row r="17212" spans="1:1">
      <c r="A17212" s="35" t="s">
        <v>41057</v>
      </c>
    </row>
    <row r="17213" spans="1:1">
      <c r="A17213" s="35" t="s">
        <v>41057</v>
      </c>
    </row>
    <row r="17214" spans="1:1">
      <c r="A17214" s="35" t="s">
        <v>41057</v>
      </c>
    </row>
    <row r="17215" spans="1:1">
      <c r="A17215" s="35" t="s">
        <v>41057</v>
      </c>
    </row>
    <row r="17216" spans="1:1">
      <c r="A17216" s="35" t="e" cm="1">
        <f t="array" ref="A17216">--------------------------------------------------------IESA</f>
        <v>#NAME?</v>
      </c>
    </row>
    <row r="17217" spans="1:1">
      <c r="A17217" s="35" t="s">
        <v>57798</v>
      </c>
    </row>
    <row r="17218" spans="1:1">
      <c r="A17218" s="35" t="s">
        <v>57843</v>
      </c>
    </row>
    <row r="17219" spans="1:1">
      <c r="A17219" s="35" t="s">
        <v>57844</v>
      </c>
    </row>
    <row r="17220" spans="1:1">
      <c r="A17220" s="35" t="s">
        <v>57845</v>
      </c>
    </row>
    <row r="17221" spans="1:1">
      <c r="A17221" s="35" t="s">
        <v>57802</v>
      </c>
    </row>
    <row r="17222" spans="1:1">
      <c r="A17222" s="35" t="s">
        <v>57846</v>
      </c>
    </row>
    <row r="17223" spans="1:1">
      <c r="A17223" s="35" t="s">
        <v>41057</v>
      </c>
    </row>
    <row r="17224" spans="1:1">
      <c r="A17224" s="35" t="s">
        <v>57847</v>
      </c>
    </row>
    <row r="17225" spans="1:1">
      <c r="A17225" s="35" t="s">
        <v>57829</v>
      </c>
    </row>
    <row r="17226" spans="1:1">
      <c r="A17226" s="35" t="s">
        <v>57806</v>
      </c>
    </row>
    <row r="17227" spans="1:1">
      <c r="A17227" s="35" t="s">
        <v>41057</v>
      </c>
    </row>
    <row r="17228" spans="1:1">
      <c r="A17228" s="35" t="s">
        <v>53545</v>
      </c>
    </row>
    <row r="17229" spans="1:1">
      <c r="A17229" s="35" t="s">
        <v>52938</v>
      </c>
    </row>
    <row r="17230" spans="1:1">
      <c r="A17230" s="35" t="s">
        <v>41057</v>
      </c>
    </row>
    <row r="17231" spans="1:1">
      <c r="A17231" s="35" t="s">
        <v>41057</v>
      </c>
    </row>
    <row r="17232" spans="1:1">
      <c r="A17232" s="35" t="s">
        <v>41057</v>
      </c>
    </row>
    <row r="17233" spans="1:1">
      <c r="A17233" s="35" t="s">
        <v>57848</v>
      </c>
    </row>
    <row r="17234" spans="1:1">
      <c r="A17234" s="35" t="s">
        <v>41057</v>
      </c>
    </row>
    <row r="17235" spans="1:1">
      <c r="A17235" s="35" t="s">
        <v>57849</v>
      </c>
    </row>
    <row r="17236" spans="1:1">
      <c r="A17236" s="35" t="s">
        <v>41057</v>
      </c>
    </row>
    <row r="17237" spans="1:1">
      <c r="A17237" s="35" t="s">
        <v>41057</v>
      </c>
    </row>
    <row r="17238" spans="1:1">
      <c r="A17238" s="35" t="s">
        <v>41057</v>
      </c>
    </row>
    <row r="17239" spans="1:1">
      <c r="A17239" s="35" t="s">
        <v>54097</v>
      </c>
    </row>
    <row r="17240" spans="1:1">
      <c r="A17240" s="35" t="s">
        <v>57850</v>
      </c>
    </row>
    <row r="17241" spans="1:1">
      <c r="A17241" s="35" t="s">
        <v>57851</v>
      </c>
    </row>
    <row r="17242" spans="1:1">
      <c r="A17242" s="35" t="s">
        <v>57852</v>
      </c>
    </row>
    <row r="17243" spans="1:1">
      <c r="A17243" s="35" t="s">
        <v>41057</v>
      </c>
    </row>
    <row r="17244" spans="1:1">
      <c r="A17244" s="35" t="s">
        <v>41057</v>
      </c>
    </row>
    <row r="17245" spans="1:1">
      <c r="A17245" s="35" t="e" cm="1">
        <f t="array" ref="A17245">-------------------------------------FTHL------------------K</f>
        <v>#NAME?</v>
      </c>
    </row>
    <row r="17246" spans="1:1">
      <c r="A17246" s="35" t="s">
        <v>57853</v>
      </c>
    </row>
    <row r="17247" spans="1:1">
      <c r="A17247" s="35" t="s">
        <v>57854</v>
      </c>
    </row>
    <row r="17248" spans="1:1">
      <c r="A17248" s="35" t="s">
        <v>41057</v>
      </c>
    </row>
    <row r="17249" spans="1:1">
      <c r="A17249" s="35" t="s">
        <v>57855</v>
      </c>
    </row>
    <row r="17250" spans="1:1">
      <c r="A17250" s="35" t="s">
        <v>41057</v>
      </c>
    </row>
    <row r="17251" spans="1:1">
      <c r="A17251" s="35" t="s">
        <v>41057</v>
      </c>
    </row>
    <row r="17252" spans="1:1">
      <c r="A17252" s="35" t="s">
        <v>57856</v>
      </c>
    </row>
    <row r="17253" spans="1:1">
      <c r="A17253" s="35" t="s">
        <v>41057</v>
      </c>
    </row>
    <row r="17254" spans="1:1">
      <c r="A17254" s="35" t="s">
        <v>41057</v>
      </c>
    </row>
    <row r="17255" spans="1:1">
      <c r="A17255" s="35" t="s">
        <v>53676</v>
      </c>
    </row>
    <row r="17256" spans="1:1">
      <c r="A17256" s="35" t="s">
        <v>41057</v>
      </c>
    </row>
    <row r="17257" spans="1:1">
      <c r="A17257" s="35" t="s">
        <v>41057</v>
      </c>
    </row>
    <row r="17258" spans="1:1">
      <c r="A17258" s="35" t="s">
        <v>57857</v>
      </c>
    </row>
    <row r="17259" spans="1:1">
      <c r="A17259" s="35" t="s">
        <v>41057</v>
      </c>
    </row>
    <row r="17260" spans="1:1">
      <c r="A17260" s="35" t="s">
        <v>57858</v>
      </c>
    </row>
    <row r="17261" spans="1:1">
      <c r="A17261" s="35" t="s">
        <v>41057</v>
      </c>
    </row>
    <row r="17262" spans="1:1">
      <c r="A17262" s="35" t="s">
        <v>57859</v>
      </c>
    </row>
    <row r="17263" spans="1:1">
      <c r="A17263" s="35" t="s">
        <v>57860</v>
      </c>
    </row>
    <row r="17264" spans="1:1">
      <c r="A17264" s="35" t="s">
        <v>41057</v>
      </c>
    </row>
    <row r="17265" spans="1:1">
      <c r="A17265" s="35" t="s">
        <v>41057</v>
      </c>
    </row>
    <row r="17266" spans="1:1">
      <c r="A17266" s="35" t="s">
        <v>54623</v>
      </c>
    </row>
    <row r="17267" spans="1:1">
      <c r="A17267" s="35" t="s">
        <v>41057</v>
      </c>
    </row>
    <row r="17268" spans="1:1">
      <c r="A17268" s="35" t="s">
        <v>41057</v>
      </c>
    </row>
    <row r="17269" spans="1:1">
      <c r="A17269" s="35" t="s">
        <v>41057</v>
      </c>
    </row>
    <row r="17270" spans="1:1">
      <c r="A17270" s="35" t="s">
        <v>41057</v>
      </c>
    </row>
    <row r="17271" spans="1:1">
      <c r="A17271" s="35" t="s">
        <v>41057</v>
      </c>
    </row>
    <row r="17272" spans="1:1">
      <c r="A17272" s="35" t="s">
        <v>57861</v>
      </c>
    </row>
    <row r="17273" spans="1:1">
      <c r="A17273" s="35" t="s">
        <v>41057</v>
      </c>
    </row>
    <row r="17274" spans="1:1">
      <c r="A17274" s="35" t="s">
        <v>41057</v>
      </c>
    </row>
    <row r="17275" spans="1:1">
      <c r="A17275" s="35" t="s">
        <v>41057</v>
      </c>
    </row>
    <row r="17276" spans="1:1">
      <c r="A17276" s="35" t="s">
        <v>41057</v>
      </c>
    </row>
    <row r="17277" spans="1:1">
      <c r="A17277" s="35" t="s">
        <v>41057</v>
      </c>
    </row>
    <row r="17278" spans="1:1">
      <c r="A17278" s="35" t="s">
        <v>41057</v>
      </c>
    </row>
    <row r="17279" spans="1:1">
      <c r="A17279" s="35" t="s">
        <v>41057</v>
      </c>
    </row>
    <row r="17280" spans="1:1">
      <c r="A17280" s="35" t="s">
        <v>41057</v>
      </c>
    </row>
    <row r="17281" spans="1:1">
      <c r="A17281" s="35" t="s">
        <v>41057</v>
      </c>
    </row>
    <row r="17282" spans="1:1">
      <c r="A17282" s="35" t="s">
        <v>41057</v>
      </c>
    </row>
    <row r="17283" spans="1:1">
      <c r="A17283" s="35" t="s">
        <v>41057</v>
      </c>
    </row>
    <row r="17284" spans="1:1">
      <c r="A17284" s="35" t="s">
        <v>41057</v>
      </c>
    </row>
    <row r="17285" spans="1:1">
      <c r="A17285" s="35" t="s">
        <v>41057</v>
      </c>
    </row>
    <row r="17286" spans="1:1">
      <c r="A17286" s="35" t="s">
        <v>41057</v>
      </c>
    </row>
    <row r="17287" spans="1:1">
      <c r="A17287" s="35" t="s">
        <v>41057</v>
      </c>
    </row>
    <row r="17288" spans="1:1">
      <c r="A17288" s="35" t="s">
        <v>57862</v>
      </c>
    </row>
    <row r="17289" spans="1:1">
      <c r="A17289" s="35" t="s">
        <v>41057</v>
      </c>
    </row>
    <row r="17290" spans="1:1">
      <c r="A17290" s="35" t="s">
        <v>41057</v>
      </c>
    </row>
    <row r="17291" spans="1:1">
      <c r="A17291" s="35" t="s">
        <v>41057</v>
      </c>
    </row>
    <row r="17292" spans="1:1">
      <c r="A17292" s="35" t="s">
        <v>41057</v>
      </c>
    </row>
    <row r="17293" spans="1:1">
      <c r="A17293" s="35" t="s">
        <v>41057</v>
      </c>
    </row>
    <row r="17294" spans="1:1">
      <c r="A17294" s="35" t="s">
        <v>41057</v>
      </c>
    </row>
    <row r="17295" spans="1:1">
      <c r="A17295" s="35" t="s">
        <v>41057</v>
      </c>
    </row>
    <row r="17296" spans="1:1">
      <c r="A17296" s="35" t="s">
        <v>41057</v>
      </c>
    </row>
    <row r="17297" spans="1:1">
      <c r="A17297" s="35" t="s">
        <v>41057</v>
      </c>
    </row>
    <row r="17298" spans="1:1">
      <c r="A17298" s="35" t="s">
        <v>41057</v>
      </c>
    </row>
    <row r="17299" spans="1:1">
      <c r="A17299" s="35" t="e" cm="1">
        <f t="array" ref="A17299">-------------------------------------------------YWRANI---GY</f>
        <v>#NAME?</v>
      </c>
    </row>
    <row r="17300" spans="1:1">
      <c r="A17300" s="35" t="s">
        <v>57863</v>
      </c>
    </row>
    <row r="17301" spans="1:1">
      <c r="A17301" s="35" t="e" cm="1">
        <f t="array" ref="A17301">---------------RLYYDIHEKLYE---------TATT------------------RQ</f>
        <v>#NAME?</v>
      </c>
    </row>
    <row r="17302" spans="1:1">
      <c r="A17302" s="35" t="s">
        <v>57864</v>
      </c>
    </row>
    <row r="17303" spans="1:1">
      <c r="A17303" s="35" t="e" cm="1">
        <f t="array" ref="A17303">----------------------------------------------ETENQEG----LPL</f>
        <v>#NAME?</v>
      </c>
    </row>
    <row r="17304" spans="1:1">
      <c r="A17304" s="35" t="s">
        <v>57865</v>
      </c>
    </row>
    <row r="17305" spans="1:1">
      <c r="A17305" s="35" t="s">
        <v>57866</v>
      </c>
    </row>
    <row r="17306" spans="1:1">
      <c r="A17306" s="35" t="s">
        <v>41057</v>
      </c>
    </row>
    <row r="17307" spans="1:1">
      <c r="A17307" s="35" t="s">
        <v>57867</v>
      </c>
    </row>
    <row r="17308" spans="1:1">
      <c r="A17308" s="35" t="s">
        <v>57868</v>
      </c>
    </row>
    <row r="17309" spans="1:1">
      <c r="A17309" s="35" t="s">
        <v>57869</v>
      </c>
    </row>
    <row r="17310" spans="1:1">
      <c r="A17310" s="35" t="s">
        <v>41057</v>
      </c>
    </row>
    <row r="17311" spans="1:1">
      <c r="A17311" s="35" t="s">
        <v>41057</v>
      </c>
    </row>
    <row r="17312" spans="1:1">
      <c r="A17312" s="35" t="s">
        <v>41057</v>
      </c>
    </row>
    <row r="17313" spans="1:1">
      <c r="A17313" s="35" t="s">
        <v>41057</v>
      </c>
    </row>
    <row r="17314" spans="1:1">
      <c r="A17314" s="35" t="s">
        <v>57870</v>
      </c>
    </row>
    <row r="17315" spans="1:1">
      <c r="A17315" s="35" t="s">
        <v>41057</v>
      </c>
    </row>
    <row r="17316" spans="1:1">
      <c r="A17316" s="35" t="s">
        <v>41057</v>
      </c>
    </row>
    <row r="17317" spans="1:1">
      <c r="A17317" s="35" t="s">
        <v>55534</v>
      </c>
    </row>
    <row r="17318" spans="1:1">
      <c r="A17318" s="35" t="s">
        <v>57871</v>
      </c>
    </row>
    <row r="17319" spans="1:1">
      <c r="A17319" s="35" t="s">
        <v>57872</v>
      </c>
    </row>
    <row r="17320" spans="1:1">
      <c r="A17320" s="35" t="s">
        <v>41057</v>
      </c>
    </row>
    <row r="17321" spans="1:1">
      <c r="A17321" s="35" t="s">
        <v>57873</v>
      </c>
    </row>
    <row r="17322" spans="1:1">
      <c r="A17322" s="35" t="s">
        <v>57874</v>
      </c>
    </row>
    <row r="17323" spans="1:1">
      <c r="A17323" s="35" t="s">
        <v>57875</v>
      </c>
    </row>
    <row r="17324" spans="1:1">
      <c r="A17324" s="35" t="s">
        <v>41057</v>
      </c>
    </row>
    <row r="17325" spans="1:1">
      <c r="A17325" s="35" t="s">
        <v>57876</v>
      </c>
    </row>
    <row r="17326" spans="1:1">
      <c r="A17326" s="35" t="s">
        <v>41057</v>
      </c>
    </row>
    <row r="17327" spans="1:1">
      <c r="A17327" s="35" t="s">
        <v>41057</v>
      </c>
    </row>
    <row r="17328" spans="1:1">
      <c r="A17328" s="35" t="s">
        <v>41057</v>
      </c>
    </row>
    <row r="17329" spans="1:1">
      <c r="A17329" s="35" t="s">
        <v>57877</v>
      </c>
    </row>
    <row r="17330" spans="1:1">
      <c r="A17330" s="35" t="s">
        <v>41057</v>
      </c>
    </row>
    <row r="17331" spans="1:1">
      <c r="A17331" s="35" t="s">
        <v>41057</v>
      </c>
    </row>
    <row r="17332" spans="1:1">
      <c r="A17332" s="35" t="s">
        <v>41057</v>
      </c>
    </row>
    <row r="17333" spans="1:1">
      <c r="A17333" s="35" t="s">
        <v>41057</v>
      </c>
    </row>
    <row r="17334" spans="1:1">
      <c r="A17334" s="35" t="e" cm="1">
        <f t="array" ref="A17334">--------------------------------------------------------IDSV</f>
        <v>#NAME?</v>
      </c>
    </row>
    <row r="17335" spans="1:1">
      <c r="A17335" s="35" t="s">
        <v>57878</v>
      </c>
    </row>
    <row r="17336" spans="1:1">
      <c r="A17336" s="35" t="s">
        <v>57879</v>
      </c>
    </row>
    <row r="17337" spans="1:1">
      <c r="A17337" s="35" t="s">
        <v>57880</v>
      </c>
    </row>
    <row r="17338" spans="1:1">
      <c r="A17338" s="35" t="s">
        <v>57881</v>
      </c>
    </row>
    <row r="17339" spans="1:1">
      <c r="A17339" s="35" t="s">
        <v>57882</v>
      </c>
    </row>
    <row r="17340" spans="1:1">
      <c r="A17340" s="35" t="s">
        <v>57883</v>
      </c>
    </row>
    <row r="17341" spans="1:1">
      <c r="A17341" s="35" t="s">
        <v>41057</v>
      </c>
    </row>
    <row r="17342" spans="1:1">
      <c r="A17342" s="35" t="s">
        <v>57884</v>
      </c>
    </row>
    <row r="17343" spans="1:1">
      <c r="A17343" s="35" t="s">
        <v>57885</v>
      </c>
    </row>
    <row r="17344" spans="1:1">
      <c r="A17344" s="35" t="s">
        <v>57886</v>
      </c>
    </row>
    <row r="17345" spans="1:1">
      <c r="A17345" s="35" t="s">
        <v>41057</v>
      </c>
    </row>
    <row r="17346" spans="1:1">
      <c r="A17346" s="35" t="s">
        <v>53545</v>
      </c>
    </row>
    <row r="17347" spans="1:1">
      <c r="A17347" s="35" t="s">
        <v>57887</v>
      </c>
    </row>
    <row r="17348" spans="1:1">
      <c r="A17348" s="35" t="s">
        <v>41057</v>
      </c>
    </row>
    <row r="17349" spans="1:1">
      <c r="A17349" s="35" t="s">
        <v>41057</v>
      </c>
    </row>
    <row r="17350" spans="1:1">
      <c r="A17350" s="35" t="s">
        <v>41057</v>
      </c>
    </row>
    <row r="17351" spans="1:1">
      <c r="A17351" s="35" t="s">
        <v>57888</v>
      </c>
    </row>
    <row r="17352" spans="1:1">
      <c r="A17352" s="35" t="s">
        <v>41057</v>
      </c>
    </row>
    <row r="17353" spans="1:1">
      <c r="A17353" s="35" t="s">
        <v>57889</v>
      </c>
    </row>
    <row r="17354" spans="1:1">
      <c r="A17354" s="35" t="s">
        <v>41057</v>
      </c>
    </row>
    <row r="17355" spans="1:1">
      <c r="A17355" s="35" t="s">
        <v>41057</v>
      </c>
    </row>
    <row r="17356" spans="1:1">
      <c r="A17356" s="35" t="s">
        <v>41057</v>
      </c>
    </row>
    <row r="17357" spans="1:1">
      <c r="A17357" s="35" t="s">
        <v>54097</v>
      </c>
    </row>
    <row r="17358" spans="1:1">
      <c r="A17358" s="35" t="s">
        <v>57850</v>
      </c>
    </row>
    <row r="17359" spans="1:1">
      <c r="A17359" s="35" t="s">
        <v>57890</v>
      </c>
    </row>
    <row r="17360" spans="1:1">
      <c r="A17360" s="35" t="s">
        <v>57891</v>
      </c>
    </row>
    <row r="17361" spans="1:1">
      <c r="A17361" s="35" t="s">
        <v>41057</v>
      </c>
    </row>
    <row r="17362" spans="1:1">
      <c r="A17362" s="35" t="s">
        <v>41057</v>
      </c>
    </row>
    <row r="17363" spans="1:1">
      <c r="A17363" s="35" t="s">
        <v>41057</v>
      </c>
    </row>
    <row r="17364" spans="1:1">
      <c r="A17364" s="35" t="s">
        <v>41057</v>
      </c>
    </row>
    <row r="17365" spans="1:1">
      <c r="A17365" s="35" t="s">
        <v>41057</v>
      </c>
    </row>
    <row r="17366" spans="1:1">
      <c r="A17366" s="35" t="s">
        <v>41057</v>
      </c>
    </row>
    <row r="17367" spans="1:1">
      <c r="A17367" s="35" t="s">
        <v>41057</v>
      </c>
    </row>
    <row r="17368" spans="1:1">
      <c r="A17368" s="35" t="s">
        <v>41057</v>
      </c>
    </row>
    <row r="17369" spans="1:1">
      <c r="A17369" s="35" t="s">
        <v>41057</v>
      </c>
    </row>
    <row r="17370" spans="1:1">
      <c r="A17370" s="35" t="s">
        <v>41057</v>
      </c>
    </row>
    <row r="17371" spans="1:1">
      <c r="A17371" s="35" t="s">
        <v>41057</v>
      </c>
    </row>
    <row r="17372" spans="1:1">
      <c r="A17372" s="35" t="s">
        <v>41057</v>
      </c>
    </row>
    <row r="17373" spans="1:1">
      <c r="A17373" s="35" t="s">
        <v>41057</v>
      </c>
    </row>
    <row r="17374" spans="1:1">
      <c r="A17374" s="35" t="s">
        <v>41057</v>
      </c>
    </row>
    <row r="17375" spans="1:1">
      <c r="A17375" s="35" t="s">
        <v>41057</v>
      </c>
    </row>
    <row r="17376" spans="1:1">
      <c r="A17376" s="35" t="s">
        <v>41057</v>
      </c>
    </row>
    <row r="17377" spans="1:1">
      <c r="A17377" s="35" t="s">
        <v>41057</v>
      </c>
    </row>
    <row r="17378" spans="1:1">
      <c r="A17378" s="35" t="s">
        <v>41057</v>
      </c>
    </row>
    <row r="17379" spans="1:1">
      <c r="A17379" s="35" t="s">
        <v>41057</v>
      </c>
    </row>
    <row r="17380" spans="1:1">
      <c r="A17380" s="35" t="s">
        <v>41057</v>
      </c>
    </row>
    <row r="17381" spans="1:1">
      <c r="A17381" s="35" t="s">
        <v>41057</v>
      </c>
    </row>
    <row r="17382" spans="1:1">
      <c r="A17382" s="35" t="s">
        <v>41057</v>
      </c>
    </row>
    <row r="17383" spans="1:1">
      <c r="A17383" s="35" t="s">
        <v>41057</v>
      </c>
    </row>
    <row r="17384" spans="1:1">
      <c r="A17384" s="35" t="s">
        <v>41057</v>
      </c>
    </row>
    <row r="17385" spans="1:1">
      <c r="A17385" s="35" t="s">
        <v>41057</v>
      </c>
    </row>
    <row r="17386" spans="1:1">
      <c r="A17386" s="35" t="s">
        <v>41057</v>
      </c>
    </row>
    <row r="17387" spans="1:1">
      <c r="A17387" s="35" t="s">
        <v>41057</v>
      </c>
    </row>
    <row r="17388" spans="1:1">
      <c r="A17388" s="35" t="s">
        <v>41057</v>
      </c>
    </row>
    <row r="17389" spans="1:1">
      <c r="A17389" s="35" t="s">
        <v>41057</v>
      </c>
    </row>
    <row r="17390" spans="1:1">
      <c r="A17390" s="35" t="s">
        <v>41057</v>
      </c>
    </row>
    <row r="17391" spans="1:1">
      <c r="A17391" s="35" t="s">
        <v>41057</v>
      </c>
    </row>
    <row r="17392" spans="1:1">
      <c r="A17392" s="35" t="s">
        <v>41057</v>
      </c>
    </row>
    <row r="17393" spans="1:1">
      <c r="A17393" s="35" t="s">
        <v>41057</v>
      </c>
    </row>
    <row r="17394" spans="1:1">
      <c r="A17394" s="35" t="s">
        <v>41057</v>
      </c>
    </row>
    <row r="17395" spans="1:1">
      <c r="A17395" s="35" t="s">
        <v>41057</v>
      </c>
    </row>
    <row r="17396" spans="1:1">
      <c r="A17396" s="35" t="s">
        <v>41057</v>
      </c>
    </row>
    <row r="17397" spans="1:1">
      <c r="A17397" s="35" t="s">
        <v>41057</v>
      </c>
    </row>
    <row r="17398" spans="1:1">
      <c r="A17398" s="35" t="s">
        <v>41057</v>
      </c>
    </row>
    <row r="17399" spans="1:1">
      <c r="A17399" s="35" t="s">
        <v>41057</v>
      </c>
    </row>
    <row r="17400" spans="1:1">
      <c r="A17400" s="35" t="s">
        <v>41057</v>
      </c>
    </row>
    <row r="17401" spans="1:1">
      <c r="A17401" s="35" t="s">
        <v>41057</v>
      </c>
    </row>
    <row r="17402" spans="1:1">
      <c r="A17402" s="35" t="s">
        <v>41057</v>
      </c>
    </row>
    <row r="17403" spans="1:1">
      <c r="A17403" s="35" t="s">
        <v>41057</v>
      </c>
    </row>
    <row r="17404" spans="1:1">
      <c r="A17404" s="35" t="s">
        <v>41057</v>
      </c>
    </row>
    <row r="17405" spans="1:1">
      <c r="A17405" s="35" t="s">
        <v>41057</v>
      </c>
    </row>
    <row r="17406" spans="1:1">
      <c r="A17406" s="35" t="s">
        <v>41057</v>
      </c>
    </row>
    <row r="17407" spans="1:1">
      <c r="A17407" s="35" t="s">
        <v>41057</v>
      </c>
    </row>
    <row r="17408" spans="1:1">
      <c r="A17408" s="35" t="s">
        <v>41057</v>
      </c>
    </row>
    <row r="17409" spans="1:1">
      <c r="A17409" s="35" t="s">
        <v>41057</v>
      </c>
    </row>
    <row r="17410" spans="1:1">
      <c r="A17410" s="35" t="s">
        <v>41057</v>
      </c>
    </row>
    <row r="17411" spans="1:1">
      <c r="A17411" s="35" t="s">
        <v>41057</v>
      </c>
    </row>
    <row r="17412" spans="1:1">
      <c r="A17412" s="35" t="s">
        <v>41057</v>
      </c>
    </row>
    <row r="17413" spans="1:1">
      <c r="A17413" s="35" t="s">
        <v>41057</v>
      </c>
    </row>
    <row r="17414" spans="1:1">
      <c r="A17414" s="35" t="s">
        <v>41057</v>
      </c>
    </row>
    <row r="17415" spans="1:1">
      <c r="A17415" s="35" t="s">
        <v>41057</v>
      </c>
    </row>
    <row r="17416" spans="1:1">
      <c r="A17416" s="35" t="s">
        <v>41057</v>
      </c>
    </row>
    <row r="17417" spans="1:1">
      <c r="A17417" s="35" t="s">
        <v>41057</v>
      </c>
    </row>
    <row r="17418" spans="1:1">
      <c r="A17418" s="35" t="s">
        <v>41057</v>
      </c>
    </row>
    <row r="17419" spans="1:1">
      <c r="A17419" s="35" t="s">
        <v>41057</v>
      </c>
    </row>
    <row r="17420" spans="1:1">
      <c r="A17420" s="35" t="s">
        <v>41057</v>
      </c>
    </row>
    <row r="17421" spans="1:1">
      <c r="A17421" s="35" t="s">
        <v>41057</v>
      </c>
    </row>
    <row r="17422" spans="1:1">
      <c r="A17422" s="35" t="s">
        <v>41057</v>
      </c>
    </row>
    <row r="17423" spans="1:1">
      <c r="A17423" s="35" t="s">
        <v>41057</v>
      </c>
    </row>
    <row r="17424" spans="1:1">
      <c r="A17424" s="35" t="s">
        <v>41057</v>
      </c>
    </row>
    <row r="17425" spans="1:1">
      <c r="A17425" s="35" t="s">
        <v>41057</v>
      </c>
    </row>
    <row r="17426" spans="1:1">
      <c r="A17426" s="35" t="s">
        <v>41057</v>
      </c>
    </row>
    <row r="17427" spans="1:1">
      <c r="A17427" s="35" t="s">
        <v>41057</v>
      </c>
    </row>
    <row r="17428" spans="1:1">
      <c r="A17428" s="35" t="s">
        <v>41057</v>
      </c>
    </row>
    <row r="17429" spans="1:1">
      <c r="A17429" s="35" t="s">
        <v>41057</v>
      </c>
    </row>
    <row r="17430" spans="1:1">
      <c r="A17430" s="35" t="s">
        <v>41057</v>
      </c>
    </row>
    <row r="17431" spans="1:1">
      <c r="A17431" s="35" t="s">
        <v>41057</v>
      </c>
    </row>
    <row r="17432" spans="1:1">
      <c r="A17432" s="35" t="s">
        <v>41057</v>
      </c>
    </row>
    <row r="17433" spans="1:1">
      <c r="A17433" s="35" t="s">
        <v>41057</v>
      </c>
    </row>
    <row r="17434" spans="1:1">
      <c r="A17434" s="35" t="s">
        <v>41057</v>
      </c>
    </row>
    <row r="17435" spans="1:1">
      <c r="A17435" s="35" t="s">
        <v>41057</v>
      </c>
    </row>
    <row r="17436" spans="1:1">
      <c r="A17436" s="35" t="s">
        <v>41057</v>
      </c>
    </row>
    <row r="17437" spans="1:1">
      <c r="A17437" s="35" t="s">
        <v>41057</v>
      </c>
    </row>
    <row r="17438" spans="1:1">
      <c r="A17438" s="35" t="s">
        <v>41057</v>
      </c>
    </row>
    <row r="17439" spans="1:1">
      <c r="A17439" s="35" t="s">
        <v>41057</v>
      </c>
    </row>
    <row r="17440" spans="1:1">
      <c r="A17440" s="35" t="s">
        <v>41057</v>
      </c>
    </row>
    <row r="17441" spans="1:1">
      <c r="A17441" s="35" t="s">
        <v>41057</v>
      </c>
    </row>
    <row r="17442" spans="1:1">
      <c r="A17442" s="35" t="s">
        <v>41057</v>
      </c>
    </row>
    <row r="17443" spans="1:1">
      <c r="A17443" s="35" t="s">
        <v>57892</v>
      </c>
    </row>
    <row r="17444" spans="1:1">
      <c r="A17444" s="35" t="s">
        <v>41057</v>
      </c>
    </row>
    <row r="17445" spans="1:1">
      <c r="A17445" s="35" t="s">
        <v>41057</v>
      </c>
    </row>
    <row r="17446" spans="1:1">
      <c r="A17446" s="35" t="s">
        <v>41057</v>
      </c>
    </row>
    <row r="17447" spans="1:1">
      <c r="A17447" s="35" t="s">
        <v>57893</v>
      </c>
    </row>
    <row r="17448" spans="1:1">
      <c r="A17448" s="35" t="s">
        <v>41057</v>
      </c>
    </row>
    <row r="17449" spans="1:1">
      <c r="A17449" s="35" t="s">
        <v>41057</v>
      </c>
    </row>
    <row r="17450" spans="1:1">
      <c r="A17450" s="35" t="s">
        <v>41057</v>
      </c>
    </row>
    <row r="17451" spans="1:1">
      <c r="A17451" s="35" t="s">
        <v>41057</v>
      </c>
    </row>
    <row r="17452" spans="1:1">
      <c r="A17452" s="35" t="e" cm="1">
        <f t="array" ref="A17452">--------------------------------------------------------XXXX</f>
        <v>#NAME?</v>
      </c>
    </row>
    <row r="17453" spans="1:1">
      <c r="A17453" s="35" t="s">
        <v>57894</v>
      </c>
    </row>
    <row r="17454" spans="1:1">
      <c r="A17454" s="35" t="s">
        <v>57895</v>
      </c>
    </row>
    <row r="17455" spans="1:1">
      <c r="A17455" s="35" t="s">
        <v>57896</v>
      </c>
    </row>
    <row r="17456" spans="1:1">
      <c r="A17456" s="35" t="s">
        <v>57897</v>
      </c>
    </row>
    <row r="17457" spans="1:1">
      <c r="A17457" s="35" t="s">
        <v>57898</v>
      </c>
    </row>
    <row r="17458" spans="1:1">
      <c r="A17458" s="35" t="s">
        <v>57899</v>
      </c>
    </row>
    <row r="17459" spans="1:1">
      <c r="A17459" s="35" t="s">
        <v>41057</v>
      </c>
    </row>
    <row r="17460" spans="1:1">
      <c r="A17460" s="35" t="s">
        <v>57900</v>
      </c>
    </row>
    <row r="17461" spans="1:1">
      <c r="A17461" s="35" t="s">
        <v>57901</v>
      </c>
    </row>
    <row r="17462" spans="1:1">
      <c r="A17462" s="35" t="s">
        <v>57902</v>
      </c>
    </row>
    <row r="17463" spans="1:1">
      <c r="A17463" s="35" t="s">
        <v>41057</v>
      </c>
    </row>
    <row r="17464" spans="1:1">
      <c r="A17464" s="35" t="s">
        <v>53545</v>
      </c>
    </row>
    <row r="17465" spans="1:1">
      <c r="A17465" s="35" t="s">
        <v>53135</v>
      </c>
    </row>
    <row r="17466" spans="1:1">
      <c r="A17466" s="35" t="s">
        <v>41057</v>
      </c>
    </row>
    <row r="17467" spans="1:1">
      <c r="A17467" s="35" t="s">
        <v>41057</v>
      </c>
    </row>
    <row r="17468" spans="1:1">
      <c r="A17468" s="35" t="s">
        <v>41057</v>
      </c>
    </row>
    <row r="17469" spans="1:1">
      <c r="A17469" s="35" t="s">
        <v>41057</v>
      </c>
    </row>
    <row r="17470" spans="1:1">
      <c r="A17470" s="35" t="s">
        <v>41057</v>
      </c>
    </row>
    <row r="17471" spans="1:1">
      <c r="A17471" s="35" t="s">
        <v>41057</v>
      </c>
    </row>
    <row r="17472" spans="1:1">
      <c r="A17472" s="35" t="s">
        <v>41057</v>
      </c>
    </row>
    <row r="17473" spans="1:1">
      <c r="A17473" s="35" t="s">
        <v>41057</v>
      </c>
    </row>
    <row r="17474" spans="1:1">
      <c r="A17474" s="35" t="s">
        <v>41057</v>
      </c>
    </row>
    <row r="17475" spans="1:1">
      <c r="A17475" s="35" t="s">
        <v>41057</v>
      </c>
    </row>
    <row r="17476" spans="1:1">
      <c r="A17476" s="35" t="s">
        <v>41057</v>
      </c>
    </row>
    <row r="17477" spans="1:1">
      <c r="A17477" s="35" t="s">
        <v>41057</v>
      </c>
    </row>
    <row r="17478" spans="1:1">
      <c r="A17478" s="35" t="s">
        <v>41057</v>
      </c>
    </row>
    <row r="17479" spans="1:1">
      <c r="A17479" s="35" t="s">
        <v>41057</v>
      </c>
    </row>
    <row r="17480" spans="1:1">
      <c r="A17480" s="35" t="s">
        <v>41057</v>
      </c>
    </row>
    <row r="17481" spans="1:1">
      <c r="A17481" s="35" t="s">
        <v>41057</v>
      </c>
    </row>
    <row r="17482" spans="1:1">
      <c r="A17482" s="35" t="s">
        <v>41057</v>
      </c>
    </row>
    <row r="17483" spans="1:1">
      <c r="A17483" s="35" t="s">
        <v>41057</v>
      </c>
    </row>
    <row r="17484" spans="1:1">
      <c r="A17484" s="35" t="s">
        <v>41057</v>
      </c>
    </row>
    <row r="17485" spans="1:1">
      <c r="A17485" s="35" t="s">
        <v>41057</v>
      </c>
    </row>
    <row r="17486" spans="1:1">
      <c r="A17486" s="35" t="s">
        <v>41057</v>
      </c>
    </row>
    <row r="17487" spans="1:1">
      <c r="A17487" s="35" t="s">
        <v>41057</v>
      </c>
    </row>
    <row r="17488" spans="1:1">
      <c r="A17488" s="35" t="s">
        <v>41057</v>
      </c>
    </row>
    <row r="17489" spans="1:1">
      <c r="A17489" s="35" t="s">
        <v>41057</v>
      </c>
    </row>
    <row r="17490" spans="1:1">
      <c r="A17490" s="35" t="s">
        <v>41057</v>
      </c>
    </row>
    <row r="17491" spans="1:1">
      <c r="A17491" s="35" t="s">
        <v>41057</v>
      </c>
    </row>
    <row r="17492" spans="1:1">
      <c r="A17492" s="35" t="s">
        <v>41057</v>
      </c>
    </row>
    <row r="17493" spans="1:1">
      <c r="A17493" s="35" t="s">
        <v>41057</v>
      </c>
    </row>
    <row r="17494" spans="1:1">
      <c r="A17494" s="35" t="s">
        <v>41057</v>
      </c>
    </row>
    <row r="17495" spans="1:1">
      <c r="A17495" s="35" t="s">
        <v>41057</v>
      </c>
    </row>
    <row r="17496" spans="1:1">
      <c r="A17496" s="35" t="s">
        <v>41057</v>
      </c>
    </row>
    <row r="17497" spans="1:1">
      <c r="A17497" s="35" t="s">
        <v>41057</v>
      </c>
    </row>
    <row r="17498" spans="1:1">
      <c r="A17498" s="35" t="s">
        <v>41057</v>
      </c>
    </row>
    <row r="17499" spans="1:1">
      <c r="A17499" s="35" t="s">
        <v>41057</v>
      </c>
    </row>
    <row r="17500" spans="1:1">
      <c r="A17500" s="35" t="s">
        <v>41057</v>
      </c>
    </row>
    <row r="17501" spans="1:1">
      <c r="A17501" s="35" t="s">
        <v>41057</v>
      </c>
    </row>
    <row r="17502" spans="1:1">
      <c r="A17502" s="35" t="s">
        <v>41057</v>
      </c>
    </row>
    <row r="17503" spans="1:1">
      <c r="A17503" s="35" t="s">
        <v>41057</v>
      </c>
    </row>
    <row r="17504" spans="1:1">
      <c r="A17504" s="35" t="s">
        <v>41057</v>
      </c>
    </row>
    <row r="17505" spans="1:1">
      <c r="A17505" s="35" t="s">
        <v>41057</v>
      </c>
    </row>
    <row r="17506" spans="1:1">
      <c r="A17506" s="35" t="s">
        <v>41057</v>
      </c>
    </row>
    <row r="17507" spans="1:1">
      <c r="A17507" s="35" t="s">
        <v>41057</v>
      </c>
    </row>
    <row r="17508" spans="1:1">
      <c r="A17508" s="35" t="s">
        <v>41057</v>
      </c>
    </row>
    <row r="17509" spans="1:1">
      <c r="A17509" s="35" t="s">
        <v>41057</v>
      </c>
    </row>
    <row r="17510" spans="1:1">
      <c r="A17510" s="35" t="s">
        <v>41057</v>
      </c>
    </row>
    <row r="17511" spans="1:1">
      <c r="A17511" s="35" t="s">
        <v>41057</v>
      </c>
    </row>
    <row r="17512" spans="1:1">
      <c r="A17512" s="35" t="s">
        <v>41057</v>
      </c>
    </row>
    <row r="17513" spans="1:1">
      <c r="A17513" s="35" t="s">
        <v>41057</v>
      </c>
    </row>
    <row r="17514" spans="1:1">
      <c r="A17514" s="35" t="s">
        <v>41057</v>
      </c>
    </row>
    <row r="17515" spans="1:1">
      <c r="A17515" s="35" t="s">
        <v>41057</v>
      </c>
    </row>
    <row r="17516" spans="1:1">
      <c r="A17516" s="35" t="s">
        <v>41057</v>
      </c>
    </row>
    <row r="17517" spans="1:1">
      <c r="A17517" s="35" t="s">
        <v>41057</v>
      </c>
    </row>
    <row r="17518" spans="1:1">
      <c r="A17518" s="35" t="s">
        <v>41057</v>
      </c>
    </row>
    <row r="17519" spans="1:1">
      <c r="A17519" s="35" t="s">
        <v>41057</v>
      </c>
    </row>
    <row r="17520" spans="1:1">
      <c r="A17520" s="35" t="s">
        <v>41057</v>
      </c>
    </row>
    <row r="17521" spans="1:1">
      <c r="A17521" s="35" t="s">
        <v>41057</v>
      </c>
    </row>
    <row r="17522" spans="1:1">
      <c r="A17522" s="35" t="s">
        <v>41057</v>
      </c>
    </row>
    <row r="17523" spans="1:1">
      <c r="A17523" s="35" t="s">
        <v>41057</v>
      </c>
    </row>
    <row r="17524" spans="1:1">
      <c r="A17524" s="35" t="s">
        <v>41057</v>
      </c>
    </row>
    <row r="17525" spans="1:1">
      <c r="A17525" s="35" t="s">
        <v>41057</v>
      </c>
    </row>
    <row r="17526" spans="1:1">
      <c r="A17526" s="35" t="s">
        <v>41057</v>
      </c>
    </row>
    <row r="17527" spans="1:1">
      <c r="A17527" s="35" t="s">
        <v>41057</v>
      </c>
    </row>
    <row r="17528" spans="1:1">
      <c r="A17528" s="35" t="s">
        <v>41057</v>
      </c>
    </row>
    <row r="17529" spans="1:1">
      <c r="A17529" s="35" t="s">
        <v>41057</v>
      </c>
    </row>
    <row r="17530" spans="1:1">
      <c r="A17530" s="35" t="s">
        <v>41057</v>
      </c>
    </row>
    <row r="17531" spans="1:1">
      <c r="A17531" s="35" t="s">
        <v>41057</v>
      </c>
    </row>
    <row r="17532" spans="1:1">
      <c r="A17532" s="35" t="s">
        <v>41057</v>
      </c>
    </row>
    <row r="17533" spans="1:1">
      <c r="A17533" s="35" t="s">
        <v>41057</v>
      </c>
    </row>
    <row r="17534" spans="1:1">
      <c r="A17534" s="35" t="s">
        <v>41057</v>
      </c>
    </row>
    <row r="17535" spans="1:1">
      <c r="A17535" s="35" t="s">
        <v>41057</v>
      </c>
    </row>
    <row r="17536" spans="1:1">
      <c r="A17536" s="35" t="s">
        <v>41057</v>
      </c>
    </row>
    <row r="17537" spans="1:1">
      <c r="A17537" s="35" t="s">
        <v>41057</v>
      </c>
    </row>
    <row r="17538" spans="1:1">
      <c r="A17538" s="35" t="s">
        <v>41057</v>
      </c>
    </row>
    <row r="17539" spans="1:1">
      <c r="A17539" s="35" t="s">
        <v>41057</v>
      </c>
    </row>
    <row r="17540" spans="1:1">
      <c r="A17540" s="35" t="s">
        <v>41057</v>
      </c>
    </row>
    <row r="17541" spans="1:1">
      <c r="A17541" s="35" t="s">
        <v>57903</v>
      </c>
    </row>
    <row r="17542" spans="1:1">
      <c r="A17542" s="35" t="s">
        <v>41057</v>
      </c>
    </row>
    <row r="17543" spans="1:1">
      <c r="A17543" s="35" t="s">
        <v>57904</v>
      </c>
    </row>
    <row r="17544" spans="1:1">
      <c r="A17544" s="35" t="s">
        <v>57905</v>
      </c>
    </row>
    <row r="17545" spans="1:1">
      <c r="A17545" s="35" t="s">
        <v>57906</v>
      </c>
    </row>
    <row r="17546" spans="1:1">
      <c r="A17546" s="35" t="s">
        <v>41057</v>
      </c>
    </row>
    <row r="17547" spans="1:1">
      <c r="A17547" s="35" t="s">
        <v>41057</v>
      </c>
    </row>
    <row r="17548" spans="1:1">
      <c r="A17548" s="35" t="s">
        <v>41057</v>
      </c>
    </row>
    <row r="17549" spans="1:1">
      <c r="A17549" s="35" t="s">
        <v>41057</v>
      </c>
    </row>
    <row r="17550" spans="1:1">
      <c r="A17550" s="35" t="s">
        <v>57907</v>
      </c>
    </row>
    <row r="17551" spans="1:1">
      <c r="A17551" s="35" t="s">
        <v>41057</v>
      </c>
    </row>
    <row r="17552" spans="1:1">
      <c r="A17552" s="35" t="s">
        <v>41057</v>
      </c>
    </row>
    <row r="17553" spans="1:1">
      <c r="A17553" s="35" t="s">
        <v>55534</v>
      </c>
    </row>
    <row r="17554" spans="1:1">
      <c r="A17554" s="35" t="s">
        <v>57908</v>
      </c>
    </row>
    <row r="17555" spans="1:1">
      <c r="A17555" s="35" t="s">
        <v>57909</v>
      </c>
    </row>
    <row r="17556" spans="1:1">
      <c r="A17556" s="35" t="s">
        <v>41057</v>
      </c>
    </row>
    <row r="17557" spans="1:1">
      <c r="A17557" s="35" t="s">
        <v>57873</v>
      </c>
    </row>
    <row r="17558" spans="1:1">
      <c r="A17558" s="35" t="s">
        <v>57910</v>
      </c>
    </row>
    <row r="17559" spans="1:1">
      <c r="A17559" s="35" t="s">
        <v>57840</v>
      </c>
    </row>
    <row r="17560" spans="1:1">
      <c r="A17560" s="35" t="s">
        <v>41057</v>
      </c>
    </row>
    <row r="17561" spans="1:1">
      <c r="A17561" s="35" t="s">
        <v>57911</v>
      </c>
    </row>
    <row r="17562" spans="1:1">
      <c r="A17562" s="35" t="s">
        <v>41057</v>
      </c>
    </row>
    <row r="17563" spans="1:1">
      <c r="A17563" s="35" t="s">
        <v>41057</v>
      </c>
    </row>
    <row r="17564" spans="1:1">
      <c r="A17564" s="35" t="s">
        <v>41057</v>
      </c>
    </row>
    <row r="17565" spans="1:1">
      <c r="A17565" s="35" t="s">
        <v>57912</v>
      </c>
    </row>
    <row r="17566" spans="1:1">
      <c r="A17566" s="35" t="s">
        <v>41057</v>
      </c>
    </row>
    <row r="17567" spans="1:1">
      <c r="A17567" s="35" t="s">
        <v>41057</v>
      </c>
    </row>
    <row r="17568" spans="1:1">
      <c r="A17568" s="35" t="s">
        <v>41057</v>
      </c>
    </row>
    <row r="17569" spans="1:1">
      <c r="A17569" s="35" t="s">
        <v>41057</v>
      </c>
    </row>
    <row r="17570" spans="1:1">
      <c r="A17570" s="35" t="e" cm="1">
        <f t="array" ref="A17570">--------------------------------------------------------IESA</f>
        <v>#NAME?</v>
      </c>
    </row>
    <row r="17571" spans="1:1">
      <c r="A17571" s="35" t="s">
        <v>57913</v>
      </c>
    </row>
    <row r="17572" spans="1:1">
      <c r="A17572" s="35" t="s">
        <v>57914</v>
      </c>
    </row>
    <row r="17573" spans="1:1">
      <c r="A17573" s="35" t="s">
        <v>57915</v>
      </c>
    </row>
    <row r="17574" spans="1:1">
      <c r="A17574" s="35" t="s">
        <v>57916</v>
      </c>
    </row>
    <row r="17575" spans="1:1">
      <c r="A17575" s="35" t="s">
        <v>57917</v>
      </c>
    </row>
    <row r="17576" spans="1:1">
      <c r="A17576" s="35" t="s">
        <v>57918</v>
      </c>
    </row>
    <row r="17577" spans="1:1">
      <c r="A17577" s="35" t="s">
        <v>41057</v>
      </c>
    </row>
    <row r="17578" spans="1:1">
      <c r="A17578" s="35" t="s">
        <v>57919</v>
      </c>
    </row>
    <row r="17579" spans="1:1">
      <c r="A17579" s="35" t="s">
        <v>57920</v>
      </c>
    </row>
    <row r="17580" spans="1:1">
      <c r="A17580" s="35" t="s">
        <v>57921</v>
      </c>
    </row>
    <row r="17581" spans="1:1">
      <c r="A17581" s="35" t="s">
        <v>41057</v>
      </c>
    </row>
    <row r="17582" spans="1:1">
      <c r="A17582" s="35" t="s">
        <v>53545</v>
      </c>
    </row>
    <row r="17583" spans="1:1">
      <c r="A17583" s="35" t="s">
        <v>53265</v>
      </c>
    </row>
    <row r="17584" spans="1:1">
      <c r="A17584" s="35" t="s">
        <v>41057</v>
      </c>
    </row>
    <row r="17585" spans="1:1">
      <c r="A17585" s="35" t="s">
        <v>41057</v>
      </c>
    </row>
    <row r="17586" spans="1:1">
      <c r="A17586" s="35" t="s">
        <v>41057</v>
      </c>
    </row>
    <row r="17587" spans="1:1">
      <c r="A17587" s="35" t="s">
        <v>57922</v>
      </c>
    </row>
    <row r="17588" spans="1:1">
      <c r="A17588" s="35" t="s">
        <v>41057</v>
      </c>
    </row>
    <row r="17589" spans="1:1">
      <c r="A17589" s="35" t="s">
        <v>57923</v>
      </c>
    </row>
    <row r="17590" spans="1:1">
      <c r="A17590" s="35" t="s">
        <v>41057</v>
      </c>
    </row>
    <row r="17591" spans="1:1">
      <c r="A17591" s="35" t="s">
        <v>41057</v>
      </c>
    </row>
    <row r="17592" spans="1:1">
      <c r="A17592" s="35" t="s">
        <v>41057</v>
      </c>
    </row>
    <row r="17593" spans="1:1">
      <c r="A17593" s="35" t="s">
        <v>54097</v>
      </c>
    </row>
    <row r="17594" spans="1:1">
      <c r="A17594" s="35" t="s">
        <v>57924</v>
      </c>
    </row>
    <row r="17595" spans="1:1">
      <c r="A17595" s="35" t="s">
        <v>57925</v>
      </c>
    </row>
    <row r="17596" spans="1:1">
      <c r="A17596" s="35" t="s">
        <v>57926</v>
      </c>
    </row>
    <row r="17597" spans="1:1">
      <c r="A17597" s="35" t="s">
        <v>41057</v>
      </c>
    </row>
    <row r="17598" spans="1:1">
      <c r="A17598" s="35" t="s">
        <v>41057</v>
      </c>
    </row>
    <row r="17599" spans="1:1">
      <c r="A17599" s="35" t="e" cm="1">
        <f t="array" ref="A17599">-------------------------------------FTRF------------------S</f>
        <v>#NAME?</v>
      </c>
    </row>
    <row r="17600" spans="1:1">
      <c r="A17600" s="35" t="s">
        <v>57927</v>
      </c>
    </row>
    <row r="17601" spans="1:1">
      <c r="A17601" s="35" t="s">
        <v>57928</v>
      </c>
    </row>
    <row r="17602" spans="1:1">
      <c r="A17602" s="35" t="s">
        <v>41057</v>
      </c>
    </row>
    <row r="17603" spans="1:1">
      <c r="A17603" s="35" t="s">
        <v>57855</v>
      </c>
    </row>
    <row r="17604" spans="1:1">
      <c r="A17604" s="35" t="s">
        <v>41057</v>
      </c>
    </row>
    <row r="17605" spans="1:1">
      <c r="A17605" s="35" t="s">
        <v>41057</v>
      </c>
    </row>
    <row r="17606" spans="1:1">
      <c r="A17606" s="35" t="s">
        <v>57929</v>
      </c>
    </row>
    <row r="17607" spans="1:1">
      <c r="A17607" s="35" t="s">
        <v>41057</v>
      </c>
    </row>
    <row r="17608" spans="1:1">
      <c r="A17608" s="35" t="s">
        <v>41057</v>
      </c>
    </row>
    <row r="17609" spans="1:1">
      <c r="A17609" s="35" t="s">
        <v>53676</v>
      </c>
    </row>
    <row r="17610" spans="1:1">
      <c r="A17610" s="35" t="s">
        <v>41057</v>
      </c>
    </row>
    <row r="17611" spans="1:1">
      <c r="A17611" s="35" t="s">
        <v>41057</v>
      </c>
    </row>
    <row r="17612" spans="1:1">
      <c r="A17612" s="35" t="s">
        <v>57930</v>
      </c>
    </row>
    <row r="17613" spans="1:1">
      <c r="A17613" s="35" t="s">
        <v>41057</v>
      </c>
    </row>
    <row r="17614" spans="1:1">
      <c r="A17614" s="35" t="s">
        <v>57931</v>
      </c>
    </row>
    <row r="17615" spans="1:1">
      <c r="A17615" s="35" t="s">
        <v>41057</v>
      </c>
    </row>
    <row r="17616" spans="1:1">
      <c r="A17616" s="35" t="s">
        <v>57781</v>
      </c>
    </row>
    <row r="17617" spans="1:1">
      <c r="A17617" s="35" t="s">
        <v>57932</v>
      </c>
    </row>
    <row r="17618" spans="1:1">
      <c r="A17618" s="35" t="s">
        <v>41057</v>
      </c>
    </row>
    <row r="17619" spans="1:1">
      <c r="A17619" s="35" t="s">
        <v>41057</v>
      </c>
    </row>
    <row r="17620" spans="1:1">
      <c r="A17620" s="35" t="s">
        <v>54771</v>
      </c>
    </row>
    <row r="17621" spans="1:1">
      <c r="A17621" s="35" t="s">
        <v>41057</v>
      </c>
    </row>
    <row r="17622" spans="1:1">
      <c r="A17622" s="35" t="s">
        <v>41057</v>
      </c>
    </row>
    <row r="17623" spans="1:1">
      <c r="A17623" s="35" t="s">
        <v>41057</v>
      </c>
    </row>
    <row r="17624" spans="1:1">
      <c r="A17624" s="35" t="s">
        <v>41057</v>
      </c>
    </row>
    <row r="17625" spans="1:1">
      <c r="A17625" s="35" t="s">
        <v>41057</v>
      </c>
    </row>
    <row r="17626" spans="1:1">
      <c r="A17626" s="35" t="s">
        <v>55985</v>
      </c>
    </row>
    <row r="17627" spans="1:1">
      <c r="A17627" s="35" t="s">
        <v>41057</v>
      </c>
    </row>
    <row r="17628" spans="1:1">
      <c r="A17628" s="35" t="s">
        <v>41057</v>
      </c>
    </row>
    <row r="17629" spans="1:1">
      <c r="A17629" s="35" t="s">
        <v>41057</v>
      </c>
    </row>
    <row r="17630" spans="1:1">
      <c r="A17630" s="35" t="s">
        <v>41057</v>
      </c>
    </row>
    <row r="17631" spans="1:1">
      <c r="A17631" s="35" t="s">
        <v>41057</v>
      </c>
    </row>
    <row r="17632" spans="1:1">
      <c r="A17632" s="35" t="s">
        <v>41057</v>
      </c>
    </row>
    <row r="17633" spans="1:1">
      <c r="A17633" s="35" t="s">
        <v>41057</v>
      </c>
    </row>
    <row r="17634" spans="1:1">
      <c r="A17634" s="35" t="s">
        <v>41057</v>
      </c>
    </row>
    <row r="17635" spans="1:1">
      <c r="A17635" s="35" t="s">
        <v>41057</v>
      </c>
    </row>
    <row r="17636" spans="1:1">
      <c r="A17636" s="35" t="s">
        <v>41057</v>
      </c>
    </row>
    <row r="17637" spans="1:1">
      <c r="A17637" s="35" t="s">
        <v>41057</v>
      </c>
    </row>
    <row r="17638" spans="1:1">
      <c r="A17638" s="35" t="s">
        <v>41057</v>
      </c>
    </row>
    <row r="17639" spans="1:1">
      <c r="A17639" s="35" t="s">
        <v>41057</v>
      </c>
    </row>
    <row r="17640" spans="1:1">
      <c r="A17640" s="35" t="s">
        <v>41057</v>
      </c>
    </row>
    <row r="17641" spans="1:1">
      <c r="A17641" s="35" t="s">
        <v>41057</v>
      </c>
    </row>
    <row r="17642" spans="1:1">
      <c r="A17642" s="35" t="s">
        <v>57933</v>
      </c>
    </row>
    <row r="17643" spans="1:1">
      <c r="A17643" s="35" t="s">
        <v>41057</v>
      </c>
    </row>
    <row r="17644" spans="1:1">
      <c r="A17644" s="35" t="s">
        <v>41057</v>
      </c>
    </row>
    <row r="17645" spans="1:1">
      <c r="A17645" s="35" t="s">
        <v>41057</v>
      </c>
    </row>
    <row r="17646" spans="1:1">
      <c r="A17646" s="35" t="s">
        <v>41057</v>
      </c>
    </row>
    <row r="17647" spans="1:1">
      <c r="A17647" s="35" t="s">
        <v>41057</v>
      </c>
    </row>
    <row r="17648" spans="1:1">
      <c r="A17648" s="35" t="s">
        <v>41057</v>
      </c>
    </row>
    <row r="17649" spans="1:1">
      <c r="A17649" s="35" t="s">
        <v>41057</v>
      </c>
    </row>
    <row r="17650" spans="1:1">
      <c r="A17650" s="35" t="s">
        <v>41057</v>
      </c>
    </row>
    <row r="17651" spans="1:1">
      <c r="A17651" s="35" t="s">
        <v>41057</v>
      </c>
    </row>
    <row r="17652" spans="1:1">
      <c r="A17652" s="35" t="s">
        <v>41057</v>
      </c>
    </row>
    <row r="17653" spans="1:1">
      <c r="A17653" s="35" t="e" cm="1">
        <f t="array" ref="A17653">-------------------------------------------------YWKPNV---GY</f>
        <v>#NAME?</v>
      </c>
    </row>
    <row r="17654" spans="1:1">
      <c r="A17654" s="35" t="s">
        <v>57934</v>
      </c>
    </row>
    <row r="17655" spans="1:1">
      <c r="A17655" s="35" t="e" cm="1">
        <f t="array" ref="A17655">---------------RLFYDLYERLYE---------SDST------------------RQ</f>
        <v>#NAME?</v>
      </c>
    </row>
    <row r="17656" spans="1:1">
      <c r="A17656" s="35" t="s">
        <v>57935</v>
      </c>
    </row>
    <row r="17657" spans="1:1">
      <c r="A17657" s="35" t="e" cm="1">
        <f t="array" ref="A17657">----------------------------------------------EEENQ------LQI</f>
        <v>#NAME?</v>
      </c>
    </row>
    <row r="17658" spans="1:1">
      <c r="A17658" s="35" t="s">
        <v>57936</v>
      </c>
    </row>
    <row r="17659" spans="1:1">
      <c r="A17659" s="35" t="s">
        <v>57937</v>
      </c>
    </row>
    <row r="17660" spans="1:1">
      <c r="A17660" s="35" t="s">
        <v>41057</v>
      </c>
    </row>
    <row r="17661" spans="1:1">
      <c r="A17661" s="35" t="s">
        <v>57904</v>
      </c>
    </row>
    <row r="17662" spans="1:1">
      <c r="A17662" s="35" t="s">
        <v>57938</v>
      </c>
    </row>
    <row r="17663" spans="1:1">
      <c r="A17663" s="35" t="s">
        <v>57939</v>
      </c>
    </row>
    <row r="17664" spans="1:1">
      <c r="A17664" s="35" t="s">
        <v>41057</v>
      </c>
    </row>
    <row r="17665" spans="1:1">
      <c r="A17665" s="35" t="s">
        <v>41057</v>
      </c>
    </row>
    <row r="17666" spans="1:1">
      <c r="A17666" s="35" t="s">
        <v>41057</v>
      </c>
    </row>
    <row r="17667" spans="1:1">
      <c r="A17667" s="35" t="s">
        <v>41057</v>
      </c>
    </row>
    <row r="17668" spans="1:1">
      <c r="A17668" s="35" t="s">
        <v>57907</v>
      </c>
    </row>
    <row r="17669" spans="1:1">
      <c r="A17669" s="35" t="s">
        <v>41057</v>
      </c>
    </row>
    <row r="17670" spans="1:1">
      <c r="A17670" s="35" t="s">
        <v>41057</v>
      </c>
    </row>
    <row r="17671" spans="1:1">
      <c r="A17671" s="35" t="s">
        <v>55534</v>
      </c>
    </row>
    <row r="17672" spans="1:1">
      <c r="A17672" s="35" t="s">
        <v>57908</v>
      </c>
    </row>
    <row r="17673" spans="1:1">
      <c r="A17673" s="35" t="s">
        <v>57909</v>
      </c>
    </row>
    <row r="17674" spans="1:1">
      <c r="A17674" s="35" t="s">
        <v>41057</v>
      </c>
    </row>
    <row r="17675" spans="1:1">
      <c r="A17675" s="35" t="s">
        <v>57873</v>
      </c>
    </row>
    <row r="17676" spans="1:1">
      <c r="A17676" s="35" t="s">
        <v>57940</v>
      </c>
    </row>
    <row r="17677" spans="1:1">
      <c r="A17677" s="35" t="s">
        <v>57840</v>
      </c>
    </row>
    <row r="17678" spans="1:1">
      <c r="A17678" s="35" t="s">
        <v>41057</v>
      </c>
    </row>
    <row r="17679" spans="1:1">
      <c r="A17679" s="35" t="s">
        <v>57941</v>
      </c>
    </row>
    <row r="17680" spans="1:1">
      <c r="A17680" s="35" t="s">
        <v>41057</v>
      </c>
    </row>
    <row r="17681" spans="1:1">
      <c r="A17681" s="35" t="s">
        <v>41057</v>
      </c>
    </row>
    <row r="17682" spans="1:1">
      <c r="A17682" s="35" t="s">
        <v>41057</v>
      </c>
    </row>
    <row r="17683" spans="1:1">
      <c r="A17683" s="35" t="s">
        <v>57942</v>
      </c>
    </row>
    <row r="17684" spans="1:1">
      <c r="A17684" s="35" t="s">
        <v>41057</v>
      </c>
    </row>
    <row r="17685" spans="1:1">
      <c r="A17685" s="35" t="s">
        <v>41057</v>
      </c>
    </row>
    <row r="17686" spans="1:1">
      <c r="A17686" s="35" t="s">
        <v>41057</v>
      </c>
    </row>
    <row r="17687" spans="1:1">
      <c r="A17687" s="35" t="s">
        <v>41057</v>
      </c>
    </row>
    <row r="17688" spans="1:1">
      <c r="A17688" s="35" t="e" cm="1">
        <f t="array" ref="A17688">--------------------------------------------------------IESV</f>
        <v>#NAME?</v>
      </c>
    </row>
    <row r="17689" spans="1:1">
      <c r="A17689" s="35" t="s">
        <v>57913</v>
      </c>
    </row>
    <row r="17690" spans="1:1">
      <c r="A17690" s="35" t="s">
        <v>57914</v>
      </c>
    </row>
    <row r="17691" spans="1:1">
      <c r="A17691" s="35" t="s">
        <v>57943</v>
      </c>
    </row>
    <row r="17692" spans="1:1">
      <c r="A17692" s="35" t="s">
        <v>57944</v>
      </c>
    </row>
    <row r="17693" spans="1:1">
      <c r="A17693" s="35" t="s">
        <v>57945</v>
      </c>
    </row>
    <row r="17694" spans="1:1">
      <c r="A17694" s="35" t="s">
        <v>57946</v>
      </c>
    </row>
    <row r="17695" spans="1:1">
      <c r="A17695" s="35" t="s">
        <v>41057</v>
      </c>
    </row>
    <row r="17696" spans="1:1">
      <c r="A17696" s="35" t="s">
        <v>57947</v>
      </c>
    </row>
    <row r="17697" spans="1:1">
      <c r="A17697" s="35" t="s">
        <v>57920</v>
      </c>
    </row>
    <row r="17698" spans="1:1">
      <c r="A17698" s="35" t="s">
        <v>57921</v>
      </c>
    </row>
    <row r="17699" spans="1:1">
      <c r="A17699" s="35" t="s">
        <v>41057</v>
      </c>
    </row>
    <row r="17700" spans="1:1">
      <c r="A17700" s="35" t="s">
        <v>53545</v>
      </c>
    </row>
    <row r="17701" spans="1:1">
      <c r="A17701" s="35" t="s">
        <v>53202</v>
      </c>
    </row>
    <row r="17702" spans="1:1">
      <c r="A17702" s="35" t="s">
        <v>41057</v>
      </c>
    </row>
    <row r="17703" spans="1:1">
      <c r="A17703" s="35" t="s">
        <v>41057</v>
      </c>
    </row>
    <row r="17704" spans="1:1">
      <c r="A17704" s="35" t="s">
        <v>41057</v>
      </c>
    </row>
    <row r="17705" spans="1:1">
      <c r="A17705" s="35" t="s">
        <v>57948</v>
      </c>
    </row>
    <row r="17706" spans="1:1">
      <c r="A17706" s="35" t="s">
        <v>41057</v>
      </c>
    </row>
    <row r="17707" spans="1:1">
      <c r="A17707" s="35" t="s">
        <v>57949</v>
      </c>
    </row>
    <row r="17708" spans="1:1">
      <c r="A17708" s="35" t="s">
        <v>41057</v>
      </c>
    </row>
    <row r="17709" spans="1:1">
      <c r="A17709" s="35" t="s">
        <v>41057</v>
      </c>
    </row>
    <row r="17710" spans="1:1">
      <c r="A17710" s="35" t="s">
        <v>41057</v>
      </c>
    </row>
    <row r="17711" spans="1:1">
      <c r="A17711" s="35" t="s">
        <v>54097</v>
      </c>
    </row>
    <row r="17712" spans="1:1">
      <c r="A17712" s="35" t="s">
        <v>57924</v>
      </c>
    </row>
    <row r="17713" spans="1:1">
      <c r="A17713" s="35" t="s">
        <v>57950</v>
      </c>
    </row>
    <row r="17714" spans="1:1">
      <c r="A17714" s="35" t="s">
        <v>57951</v>
      </c>
    </row>
    <row r="17715" spans="1:1">
      <c r="A17715" s="35" t="s">
        <v>41057</v>
      </c>
    </row>
    <row r="17716" spans="1:1">
      <c r="A17716" s="35" t="s">
        <v>41057</v>
      </c>
    </row>
    <row r="17717" spans="1:1">
      <c r="A17717" s="35" t="e" cm="1">
        <f t="array" ref="A17717">-------------------------------------FTRD------------------S</f>
        <v>#NAME?</v>
      </c>
    </row>
    <row r="17718" spans="1:1">
      <c r="A17718" s="35" t="s">
        <v>57952</v>
      </c>
    </row>
    <row r="17719" spans="1:1">
      <c r="A17719" s="35" t="s">
        <v>57854</v>
      </c>
    </row>
    <row r="17720" spans="1:1">
      <c r="A17720" s="35" t="s">
        <v>41057</v>
      </c>
    </row>
    <row r="17721" spans="1:1">
      <c r="A17721" s="35" t="s">
        <v>57953</v>
      </c>
    </row>
    <row r="17722" spans="1:1">
      <c r="A17722" s="35" t="s">
        <v>41057</v>
      </c>
    </row>
    <row r="17723" spans="1:1">
      <c r="A17723" s="35" t="s">
        <v>41057</v>
      </c>
    </row>
    <row r="17724" spans="1:1">
      <c r="A17724" s="35" t="s">
        <v>57954</v>
      </c>
    </row>
    <row r="17725" spans="1:1">
      <c r="A17725" s="35" t="s">
        <v>41057</v>
      </c>
    </row>
    <row r="17726" spans="1:1">
      <c r="A17726" s="35" t="s">
        <v>41057</v>
      </c>
    </row>
    <row r="17727" spans="1:1">
      <c r="A17727" s="35" t="s">
        <v>53676</v>
      </c>
    </row>
    <row r="17728" spans="1:1">
      <c r="A17728" s="35" t="s">
        <v>41057</v>
      </c>
    </row>
    <row r="17729" spans="1:1">
      <c r="A17729" s="35" t="s">
        <v>41057</v>
      </c>
    </row>
    <row r="17730" spans="1:1">
      <c r="A17730" s="35" t="s">
        <v>57955</v>
      </c>
    </row>
    <row r="17731" spans="1:1">
      <c r="A17731" s="35" t="s">
        <v>41057</v>
      </c>
    </row>
    <row r="17732" spans="1:1">
      <c r="A17732" s="35" t="s">
        <v>57858</v>
      </c>
    </row>
    <row r="17733" spans="1:1">
      <c r="A17733" s="35" t="s">
        <v>41057</v>
      </c>
    </row>
    <row r="17734" spans="1:1">
      <c r="A17734" s="35" t="s">
        <v>54184</v>
      </c>
    </row>
    <row r="17735" spans="1:1">
      <c r="A17735" s="35" t="s">
        <v>57956</v>
      </c>
    </row>
    <row r="17736" spans="1:1">
      <c r="A17736" s="35" t="s">
        <v>41057</v>
      </c>
    </row>
    <row r="17737" spans="1:1">
      <c r="A17737" s="35" t="s">
        <v>41057</v>
      </c>
    </row>
    <row r="17738" spans="1:1">
      <c r="A17738" s="35" t="s">
        <v>54623</v>
      </c>
    </row>
    <row r="17739" spans="1:1">
      <c r="A17739" s="35" t="s">
        <v>41057</v>
      </c>
    </row>
    <row r="17740" spans="1:1">
      <c r="A17740" s="35" t="s">
        <v>41057</v>
      </c>
    </row>
    <row r="17741" spans="1:1">
      <c r="A17741" s="35" t="s">
        <v>41057</v>
      </c>
    </row>
    <row r="17742" spans="1:1">
      <c r="A17742" s="35" t="s">
        <v>41057</v>
      </c>
    </row>
    <row r="17743" spans="1:1">
      <c r="A17743" s="35" t="s">
        <v>41057</v>
      </c>
    </row>
    <row r="17744" spans="1:1">
      <c r="A17744" s="35" t="s">
        <v>57957</v>
      </c>
    </row>
    <row r="17745" spans="1:1">
      <c r="A17745" s="35" t="s">
        <v>41057</v>
      </c>
    </row>
    <row r="17746" spans="1:1">
      <c r="A17746" s="35" t="s">
        <v>41057</v>
      </c>
    </row>
    <row r="17747" spans="1:1">
      <c r="A17747" s="35" t="s">
        <v>41057</v>
      </c>
    </row>
    <row r="17748" spans="1:1">
      <c r="A17748" s="35" t="s">
        <v>41057</v>
      </c>
    </row>
    <row r="17749" spans="1:1">
      <c r="A17749" s="35" t="s">
        <v>41057</v>
      </c>
    </row>
    <row r="17750" spans="1:1">
      <c r="A17750" s="35" t="s">
        <v>41057</v>
      </c>
    </row>
    <row r="17751" spans="1:1">
      <c r="A17751" s="35" t="s">
        <v>41057</v>
      </c>
    </row>
    <row r="17752" spans="1:1">
      <c r="A17752" s="35" t="s">
        <v>41057</v>
      </c>
    </row>
    <row r="17753" spans="1:1">
      <c r="A17753" s="35" t="s">
        <v>41057</v>
      </c>
    </row>
    <row r="17754" spans="1:1">
      <c r="A17754" s="35" t="s">
        <v>41057</v>
      </c>
    </row>
    <row r="17755" spans="1:1">
      <c r="A17755" s="35" t="s">
        <v>41057</v>
      </c>
    </row>
    <row r="17756" spans="1:1">
      <c r="A17756" s="35" t="s">
        <v>41057</v>
      </c>
    </row>
    <row r="17757" spans="1:1">
      <c r="A17757" s="35" t="s">
        <v>41057</v>
      </c>
    </row>
    <row r="17758" spans="1:1">
      <c r="A17758" s="35" t="s">
        <v>41057</v>
      </c>
    </row>
    <row r="17759" spans="1:1">
      <c r="A17759" s="35" t="s">
        <v>41057</v>
      </c>
    </row>
    <row r="17760" spans="1:1">
      <c r="A17760" s="35" t="s">
        <v>57958</v>
      </c>
    </row>
    <row r="17761" spans="1:1">
      <c r="A17761" s="35" t="s">
        <v>41057</v>
      </c>
    </row>
    <row r="17762" spans="1:1">
      <c r="A17762" s="35" t="s">
        <v>41057</v>
      </c>
    </row>
    <row r="17763" spans="1:1">
      <c r="A17763" s="35" t="s">
        <v>41057</v>
      </c>
    </row>
    <row r="17764" spans="1:1">
      <c r="A17764" s="35" t="s">
        <v>41057</v>
      </c>
    </row>
    <row r="17765" spans="1:1">
      <c r="A17765" s="35" t="s">
        <v>41057</v>
      </c>
    </row>
    <row r="17766" spans="1:1">
      <c r="A17766" s="35" t="s">
        <v>41057</v>
      </c>
    </row>
    <row r="17767" spans="1:1">
      <c r="A17767" s="35" t="s">
        <v>41057</v>
      </c>
    </row>
    <row r="17768" spans="1:1">
      <c r="A17768" s="35" t="s">
        <v>41057</v>
      </c>
    </row>
    <row r="17769" spans="1:1">
      <c r="A17769" s="35" t="s">
        <v>41057</v>
      </c>
    </row>
    <row r="17770" spans="1:1">
      <c r="A17770" s="35" t="s">
        <v>41057</v>
      </c>
    </row>
    <row r="17771" spans="1:1">
      <c r="A17771" s="35" t="e" cm="1">
        <f t="array" ref="A17771">-------------------------------------------------YWRENI---GY</f>
        <v>#NAME?</v>
      </c>
    </row>
    <row r="17772" spans="1:1">
      <c r="A17772" s="35" t="s">
        <v>57959</v>
      </c>
    </row>
    <row r="17773" spans="1:1">
      <c r="A17773" s="35" t="e" cm="1">
        <f t="array" ref="A17773">---------------RLFYDLYEKLYE---------TDST------------------RR</f>
        <v>#NAME?</v>
      </c>
    </row>
    <row r="17774" spans="1:1">
      <c r="A17774" s="35" t="s">
        <v>57960</v>
      </c>
    </row>
    <row r="17775" spans="1:1">
      <c r="A17775" s="35" t="e" cm="1">
        <f t="array" ref="A17775">----------------------------------------------DQPRQ------LQI</f>
        <v>#NAME?</v>
      </c>
    </row>
    <row r="17776" spans="1:1">
      <c r="A17776" s="35" t="s">
        <v>57936</v>
      </c>
    </row>
    <row r="17777" spans="1:1">
      <c r="A17777" s="35" t="s">
        <v>57961</v>
      </c>
    </row>
    <row r="17778" spans="1:1">
      <c r="A17778" s="35" t="s">
        <v>41057</v>
      </c>
    </row>
    <row r="17779" spans="1:1">
      <c r="A17779" s="35" t="s">
        <v>57962</v>
      </c>
    </row>
    <row r="17780" spans="1:1">
      <c r="A17780" s="35" t="s">
        <v>57963</v>
      </c>
    </row>
    <row r="17781" spans="1:1">
      <c r="A17781" s="35" t="s">
        <v>57964</v>
      </c>
    </row>
    <row r="17782" spans="1:1">
      <c r="A17782" s="35" t="s">
        <v>41057</v>
      </c>
    </row>
    <row r="17783" spans="1:1">
      <c r="A17783" s="35" t="s">
        <v>41057</v>
      </c>
    </row>
    <row r="17784" spans="1:1">
      <c r="A17784" s="35" t="s">
        <v>41057</v>
      </c>
    </row>
    <row r="17785" spans="1:1">
      <c r="A17785" s="35" t="s">
        <v>41057</v>
      </c>
    </row>
    <row r="17786" spans="1:1">
      <c r="A17786" s="35" t="s">
        <v>57870</v>
      </c>
    </row>
    <row r="17787" spans="1:1">
      <c r="A17787" s="35" t="s">
        <v>41057</v>
      </c>
    </row>
    <row r="17788" spans="1:1">
      <c r="A17788" s="35" t="s">
        <v>41057</v>
      </c>
    </row>
    <row r="17789" spans="1:1">
      <c r="A17789" s="35" t="s">
        <v>55534</v>
      </c>
    </row>
    <row r="17790" spans="1:1">
      <c r="A17790" s="35" t="s">
        <v>57965</v>
      </c>
    </row>
    <row r="17791" spans="1:1">
      <c r="A17791" s="35" t="s">
        <v>57966</v>
      </c>
    </row>
    <row r="17792" spans="1:1">
      <c r="A17792" s="35" t="s">
        <v>41057</v>
      </c>
    </row>
    <row r="17793" spans="1:1">
      <c r="A17793" s="35" t="s">
        <v>57873</v>
      </c>
    </row>
    <row r="17794" spans="1:1">
      <c r="A17794" s="35" t="s">
        <v>57967</v>
      </c>
    </row>
    <row r="17795" spans="1:1">
      <c r="A17795" s="35" t="s">
        <v>57968</v>
      </c>
    </row>
    <row r="17796" spans="1:1">
      <c r="A17796" s="35" t="s">
        <v>41057</v>
      </c>
    </row>
    <row r="17797" spans="1:1">
      <c r="A17797" s="35" t="s">
        <v>57969</v>
      </c>
    </row>
    <row r="17798" spans="1:1">
      <c r="A17798" s="35" t="s">
        <v>41057</v>
      </c>
    </row>
    <row r="17799" spans="1:1">
      <c r="A17799" s="35" t="s">
        <v>41057</v>
      </c>
    </row>
    <row r="17800" spans="1:1">
      <c r="A17800" s="35" t="s">
        <v>41057</v>
      </c>
    </row>
    <row r="17801" spans="1:1">
      <c r="A17801" s="35" t="s">
        <v>57970</v>
      </c>
    </row>
    <row r="17802" spans="1:1">
      <c r="A17802" s="35" t="s">
        <v>41057</v>
      </c>
    </row>
    <row r="17803" spans="1:1">
      <c r="A17803" s="35" t="s">
        <v>41057</v>
      </c>
    </row>
    <row r="17804" spans="1:1">
      <c r="A17804" s="35" t="s">
        <v>41057</v>
      </c>
    </row>
    <row r="17805" spans="1:1">
      <c r="A17805" s="35" t="s">
        <v>41057</v>
      </c>
    </row>
    <row r="17806" spans="1:1">
      <c r="A17806" s="35" t="e" cm="1">
        <f t="array" ref="A17806">--------------------------------------------------------IDSV</f>
        <v>#NAME?</v>
      </c>
    </row>
    <row r="17807" spans="1:1">
      <c r="A17807" s="35" t="s">
        <v>57913</v>
      </c>
    </row>
    <row r="17808" spans="1:1">
      <c r="A17808" s="35" t="s">
        <v>57971</v>
      </c>
    </row>
    <row r="17809" spans="1:1">
      <c r="A17809" s="35" t="s">
        <v>57943</v>
      </c>
    </row>
    <row r="17810" spans="1:1">
      <c r="A17810" s="35" t="s">
        <v>57972</v>
      </c>
    </row>
    <row r="17811" spans="1:1">
      <c r="A17811" s="35" t="s">
        <v>57945</v>
      </c>
    </row>
    <row r="17812" spans="1:1">
      <c r="A17812" s="35" t="s">
        <v>57973</v>
      </c>
    </row>
    <row r="17813" spans="1:1">
      <c r="A17813" s="35" t="s">
        <v>41057</v>
      </c>
    </row>
    <row r="17814" spans="1:1">
      <c r="A17814" s="35" t="s">
        <v>57974</v>
      </c>
    </row>
    <row r="17815" spans="1:1">
      <c r="A17815" s="35" t="s">
        <v>57975</v>
      </c>
    </row>
    <row r="17816" spans="1:1">
      <c r="A17816" s="35" t="s">
        <v>57976</v>
      </c>
    </row>
    <row r="17817" spans="1:1">
      <c r="A17817" s="35" t="s">
        <v>41057</v>
      </c>
    </row>
    <row r="17818" spans="1:1">
      <c r="A17818" s="35" t="s">
        <v>53545</v>
      </c>
    </row>
    <row r="17819" spans="1:1">
      <c r="A17819" s="35" t="s">
        <v>53286</v>
      </c>
    </row>
    <row r="17820" spans="1:1">
      <c r="A17820" s="35" t="s">
        <v>41057</v>
      </c>
    </row>
    <row r="17821" spans="1:1">
      <c r="A17821" s="35" t="s">
        <v>41057</v>
      </c>
    </row>
    <row r="17822" spans="1:1">
      <c r="A17822" s="35" t="s">
        <v>41057</v>
      </c>
    </row>
    <row r="17823" spans="1:1">
      <c r="A17823" s="35" t="s">
        <v>57977</v>
      </c>
    </row>
    <row r="17824" spans="1:1">
      <c r="A17824" s="35" t="s">
        <v>41057</v>
      </c>
    </row>
    <row r="17825" spans="1:1">
      <c r="A17825" s="35" t="s">
        <v>57978</v>
      </c>
    </row>
    <row r="17826" spans="1:1">
      <c r="A17826" s="35" t="s">
        <v>41057</v>
      </c>
    </row>
    <row r="17827" spans="1:1">
      <c r="A17827" s="35" t="s">
        <v>41057</v>
      </c>
    </row>
    <row r="17828" spans="1:1">
      <c r="A17828" s="35" t="s">
        <v>41057</v>
      </c>
    </row>
    <row r="17829" spans="1:1">
      <c r="A17829" s="35" t="s">
        <v>57979</v>
      </c>
    </row>
    <row r="17830" spans="1:1">
      <c r="A17830" s="35" t="s">
        <v>57980</v>
      </c>
    </row>
    <row r="17831" spans="1:1">
      <c r="A17831" s="35" t="s">
        <v>57981</v>
      </c>
    </row>
    <row r="17832" spans="1:1">
      <c r="A17832" s="35" t="s">
        <v>57982</v>
      </c>
    </row>
    <row r="17833" spans="1:1">
      <c r="A17833" s="35" t="s">
        <v>41057</v>
      </c>
    </row>
    <row r="17834" spans="1:1">
      <c r="A17834" s="35" t="s">
        <v>41057</v>
      </c>
    </row>
    <row r="17835" spans="1:1">
      <c r="A17835" s="35" t="e" cm="1">
        <f t="array" ref="A17835">------------------F------------------TAD-------------------T</f>
        <v>#NAME?</v>
      </c>
    </row>
    <row r="17836" spans="1:1">
      <c r="A17836" s="35" t="s">
        <v>57983</v>
      </c>
    </row>
    <row r="17837" spans="1:1">
      <c r="A17837" s="35" t="s">
        <v>57984</v>
      </c>
    </row>
    <row r="17838" spans="1:1">
      <c r="A17838" s="35" t="s">
        <v>41057</v>
      </c>
    </row>
    <row r="17839" spans="1:1">
      <c r="A17839" s="35" t="s">
        <v>57985</v>
      </c>
    </row>
    <row r="17840" spans="1:1">
      <c r="A17840" s="35" t="s">
        <v>41057</v>
      </c>
    </row>
    <row r="17841" spans="1:1">
      <c r="A17841" s="35" t="s">
        <v>41057</v>
      </c>
    </row>
    <row r="17842" spans="1:1">
      <c r="A17842" s="35" t="s">
        <v>57986</v>
      </c>
    </row>
    <row r="17843" spans="1:1">
      <c r="A17843" s="35" t="s">
        <v>41057</v>
      </c>
    </row>
    <row r="17844" spans="1:1">
      <c r="A17844" s="35" t="s">
        <v>41057</v>
      </c>
    </row>
    <row r="17845" spans="1:1">
      <c r="A17845" s="35" t="s">
        <v>53500</v>
      </c>
    </row>
    <row r="17846" spans="1:1">
      <c r="A17846" s="35" t="s">
        <v>41057</v>
      </c>
    </row>
    <row r="17847" spans="1:1">
      <c r="A17847" s="35" t="s">
        <v>41057</v>
      </c>
    </row>
    <row r="17848" spans="1:1">
      <c r="A17848" s="35" t="s">
        <v>57987</v>
      </c>
    </row>
    <row r="17849" spans="1:1">
      <c r="A17849" s="35" t="s">
        <v>41057</v>
      </c>
    </row>
    <row r="17850" spans="1:1">
      <c r="A17850" s="35" t="s">
        <v>57988</v>
      </c>
    </row>
    <row r="17851" spans="1:1">
      <c r="A17851" s="35" t="s">
        <v>41057</v>
      </c>
    </row>
    <row r="17852" spans="1:1">
      <c r="A17852" s="35" t="s">
        <v>57989</v>
      </c>
    </row>
    <row r="17853" spans="1:1">
      <c r="A17853" s="35" t="s">
        <v>57990</v>
      </c>
    </row>
    <row r="17854" spans="1:1">
      <c r="A17854" s="35" t="s">
        <v>41057</v>
      </c>
    </row>
    <row r="17855" spans="1:1">
      <c r="A17855" s="35" t="s">
        <v>41057</v>
      </c>
    </row>
    <row r="17856" spans="1:1">
      <c r="A17856" s="35" t="s">
        <v>54354</v>
      </c>
    </row>
    <row r="17857" spans="1:1">
      <c r="A17857" s="35" t="s">
        <v>41057</v>
      </c>
    </row>
    <row r="17858" spans="1:1">
      <c r="A17858" s="35" t="s">
        <v>41057</v>
      </c>
    </row>
    <row r="17859" spans="1:1">
      <c r="A17859" s="35" t="s">
        <v>41057</v>
      </c>
    </row>
    <row r="17860" spans="1:1">
      <c r="A17860" s="35" t="s">
        <v>41057</v>
      </c>
    </row>
    <row r="17861" spans="1:1">
      <c r="A17861" s="35" t="s">
        <v>41057</v>
      </c>
    </row>
    <row r="17862" spans="1:1">
      <c r="A17862" s="35" t="s">
        <v>53830</v>
      </c>
    </row>
    <row r="17863" spans="1:1">
      <c r="A17863" s="35" t="s">
        <v>41057</v>
      </c>
    </row>
    <row r="17864" spans="1:1">
      <c r="A17864" s="35" t="s">
        <v>41057</v>
      </c>
    </row>
    <row r="17865" spans="1:1">
      <c r="A17865" s="35" t="s">
        <v>41057</v>
      </c>
    </row>
    <row r="17866" spans="1:1">
      <c r="A17866" s="35" t="s">
        <v>41057</v>
      </c>
    </row>
    <row r="17867" spans="1:1">
      <c r="A17867" s="35" t="s">
        <v>41057</v>
      </c>
    </row>
    <row r="17868" spans="1:1">
      <c r="A17868" s="35" t="s">
        <v>41057</v>
      </c>
    </row>
    <row r="17869" spans="1:1">
      <c r="A17869" s="35" t="s">
        <v>41057</v>
      </c>
    </row>
    <row r="17870" spans="1:1">
      <c r="A17870" s="35" t="s">
        <v>41057</v>
      </c>
    </row>
    <row r="17871" spans="1:1">
      <c r="A17871" s="35" t="s">
        <v>41057</v>
      </c>
    </row>
    <row r="17872" spans="1:1">
      <c r="A17872" s="35" t="s">
        <v>41057</v>
      </c>
    </row>
    <row r="17873" spans="1:1">
      <c r="A17873" s="35" t="s">
        <v>41057</v>
      </c>
    </row>
    <row r="17874" spans="1:1">
      <c r="A17874" s="35" t="s">
        <v>41057</v>
      </c>
    </row>
    <row r="17875" spans="1:1">
      <c r="A17875" s="35" t="s">
        <v>41057</v>
      </c>
    </row>
    <row r="17876" spans="1:1">
      <c r="A17876" s="35" t="s">
        <v>41057</v>
      </c>
    </row>
    <row r="17877" spans="1:1">
      <c r="A17877" s="35" t="s">
        <v>41057</v>
      </c>
    </row>
    <row r="17878" spans="1:1">
      <c r="A17878" s="35" t="s">
        <v>57991</v>
      </c>
    </row>
    <row r="17879" spans="1:1">
      <c r="A17879" s="35" t="s">
        <v>41057</v>
      </c>
    </row>
    <row r="17880" spans="1:1">
      <c r="A17880" s="35" t="s">
        <v>41057</v>
      </c>
    </row>
    <row r="17881" spans="1:1">
      <c r="A17881" s="35" t="s">
        <v>41057</v>
      </c>
    </row>
    <row r="17882" spans="1:1">
      <c r="A17882" s="35" t="s">
        <v>41057</v>
      </c>
    </row>
    <row r="17883" spans="1:1">
      <c r="A17883" s="35" t="s">
        <v>41057</v>
      </c>
    </row>
    <row r="17884" spans="1:1">
      <c r="A17884" s="35" t="s">
        <v>41057</v>
      </c>
    </row>
    <row r="17885" spans="1:1">
      <c r="A17885" s="35" t="s">
        <v>41057</v>
      </c>
    </row>
    <row r="17886" spans="1:1">
      <c r="A17886" s="35" t="s">
        <v>41057</v>
      </c>
    </row>
    <row r="17887" spans="1:1">
      <c r="A17887" s="35" t="s">
        <v>41057</v>
      </c>
    </row>
    <row r="17888" spans="1:1">
      <c r="A17888" s="35" t="s">
        <v>41057</v>
      </c>
    </row>
    <row r="17889" spans="1:1">
      <c r="A17889" s="35" t="e" cm="1">
        <f t="array" ref="A17889">-------------------------------------------------YWKENI---GY</f>
        <v>#NAME?</v>
      </c>
    </row>
    <row r="17890" spans="1:1">
      <c r="A17890" s="35" t="s">
        <v>57992</v>
      </c>
    </row>
    <row r="17891" spans="1:1">
      <c r="A17891" s="35" t="e" cm="1">
        <f t="array" ref="A17891">---------------RLWYHIYDNLFL---------PDNI------------------RE</f>
        <v>#NAME?</v>
      </c>
    </row>
    <row r="17892" spans="1:1">
      <c r="A17892" s="35" t="s">
        <v>57993</v>
      </c>
    </row>
    <row r="17893" spans="1:1">
      <c r="A17893" s="35" t="e" cm="1">
        <f t="array" ref="A17893">----------------------------------------------NGPNT------LRL</f>
        <v>#NAME?</v>
      </c>
    </row>
    <row r="17894" spans="1:1">
      <c r="A17894" s="35" t="s">
        <v>56469</v>
      </c>
    </row>
    <row r="17895" spans="1:1">
      <c r="A17895" s="35" t="s">
        <v>57994</v>
      </c>
    </row>
    <row r="17896" spans="1:1">
      <c r="A17896" s="35" t="s">
        <v>41057</v>
      </c>
    </row>
    <row r="17897" spans="1:1">
      <c r="A17897" s="35" t="s">
        <v>57995</v>
      </c>
    </row>
    <row r="17898" spans="1:1">
      <c r="A17898" s="35" t="s">
        <v>57996</v>
      </c>
    </row>
    <row r="17899" spans="1:1">
      <c r="A17899" s="35" t="s">
        <v>57997</v>
      </c>
    </row>
    <row r="17900" spans="1:1">
      <c r="A17900" s="35" t="s">
        <v>41057</v>
      </c>
    </row>
    <row r="17901" spans="1:1">
      <c r="A17901" s="35" t="s">
        <v>41057</v>
      </c>
    </row>
    <row r="17902" spans="1:1">
      <c r="A17902" s="35" t="s">
        <v>41057</v>
      </c>
    </row>
    <row r="17903" spans="1:1">
      <c r="A17903" s="35" t="s">
        <v>41057</v>
      </c>
    </row>
    <row r="17904" spans="1:1">
      <c r="A17904" s="35" t="s">
        <v>57870</v>
      </c>
    </row>
    <row r="17905" spans="1:1">
      <c r="A17905" s="35" t="s">
        <v>41057</v>
      </c>
    </row>
    <row r="17906" spans="1:1">
      <c r="A17906" s="35" t="s">
        <v>41057</v>
      </c>
    </row>
    <row r="17907" spans="1:1">
      <c r="A17907" s="35" t="s">
        <v>57998</v>
      </c>
    </row>
    <row r="17908" spans="1:1">
      <c r="A17908" s="35" t="s">
        <v>57999</v>
      </c>
    </row>
    <row r="17909" spans="1:1">
      <c r="A17909" s="35" t="s">
        <v>58000</v>
      </c>
    </row>
    <row r="17910" spans="1:1">
      <c r="A17910" s="35" t="s">
        <v>41057</v>
      </c>
    </row>
    <row r="17911" spans="1:1">
      <c r="A17911" s="35" t="s">
        <v>58001</v>
      </c>
    </row>
    <row r="17912" spans="1:1">
      <c r="A17912" s="35" t="s">
        <v>58002</v>
      </c>
    </row>
    <row r="17913" spans="1:1">
      <c r="A17913" s="35" t="s">
        <v>58003</v>
      </c>
    </row>
    <row r="17914" spans="1:1">
      <c r="A17914" s="35" t="s">
        <v>41057</v>
      </c>
    </row>
    <row r="17915" spans="1:1">
      <c r="A17915" s="35" t="s">
        <v>58004</v>
      </c>
    </row>
    <row r="17916" spans="1:1">
      <c r="A17916" s="35" t="s">
        <v>41057</v>
      </c>
    </row>
    <row r="17917" spans="1:1">
      <c r="A17917" s="35" t="s">
        <v>41057</v>
      </c>
    </row>
    <row r="17918" spans="1:1">
      <c r="A17918" s="35" t="s">
        <v>41057</v>
      </c>
    </row>
    <row r="17919" spans="1:1">
      <c r="A17919" s="35" t="s">
        <v>58005</v>
      </c>
    </row>
    <row r="17920" spans="1:1">
      <c r="A17920" s="35" t="s">
        <v>41057</v>
      </c>
    </row>
    <row r="17921" spans="1:1">
      <c r="A17921" s="35" t="s">
        <v>41057</v>
      </c>
    </row>
    <row r="17922" spans="1:1">
      <c r="A17922" s="35" t="s">
        <v>41057</v>
      </c>
    </row>
    <row r="17923" spans="1:1">
      <c r="A17923" s="35" t="s">
        <v>41057</v>
      </c>
    </row>
    <row r="17924" spans="1:1">
      <c r="A17924" s="35" t="e" cm="1">
        <f t="array" ref="A17924">--------------------------------------------------------IDTV</f>
        <v>#NAME?</v>
      </c>
    </row>
    <row r="17925" spans="1:1">
      <c r="A17925" s="35" t="s">
        <v>58006</v>
      </c>
    </row>
    <row r="17926" spans="1:1">
      <c r="A17926" s="35" t="s">
        <v>58007</v>
      </c>
    </row>
    <row r="17927" spans="1:1">
      <c r="A17927" s="35" t="s">
        <v>58008</v>
      </c>
    </row>
    <row r="17928" spans="1:1">
      <c r="A17928" s="35" t="s">
        <v>58009</v>
      </c>
    </row>
    <row r="17929" spans="1:1">
      <c r="A17929" s="35" t="s">
        <v>58010</v>
      </c>
    </row>
    <row r="17930" spans="1:1">
      <c r="A17930" s="35" t="s">
        <v>58011</v>
      </c>
    </row>
    <row r="17931" spans="1:1">
      <c r="A17931" s="35" t="s">
        <v>41057</v>
      </c>
    </row>
    <row r="17932" spans="1:1">
      <c r="A17932" s="35" t="s">
        <v>58012</v>
      </c>
    </row>
    <row r="17933" spans="1:1">
      <c r="A17933" s="35" t="s">
        <v>58013</v>
      </c>
    </row>
    <row r="17934" spans="1:1">
      <c r="A17934" s="35" t="s">
        <v>58014</v>
      </c>
    </row>
    <row r="17935" spans="1:1">
      <c r="A17935" s="35" t="s">
        <v>41057</v>
      </c>
    </row>
    <row r="17936" spans="1:1">
      <c r="A17936" s="35" t="s">
        <v>53545</v>
      </c>
    </row>
    <row r="17937" spans="1:1">
      <c r="A17937" s="35" t="s">
        <v>52284</v>
      </c>
    </row>
    <row r="17938" spans="1:1">
      <c r="A17938" s="35" t="s">
        <v>41057</v>
      </c>
    </row>
    <row r="17939" spans="1:1">
      <c r="A17939" s="35" t="s">
        <v>58015</v>
      </c>
    </row>
    <row r="17940" spans="1:1">
      <c r="A17940" s="35" t="s">
        <v>58016</v>
      </c>
    </row>
    <row r="17941" spans="1:1">
      <c r="A17941" s="35" t="s">
        <v>58017</v>
      </c>
    </row>
    <row r="17942" spans="1:1">
      <c r="A17942" s="35" t="s">
        <v>58018</v>
      </c>
    </row>
    <row r="17943" spans="1:1">
      <c r="A17943" s="35" t="s">
        <v>58019</v>
      </c>
    </row>
    <row r="17944" spans="1:1">
      <c r="A17944" s="35" t="s">
        <v>58020</v>
      </c>
    </row>
    <row r="17945" spans="1:1">
      <c r="A17945" s="35" t="s">
        <v>58021</v>
      </c>
    </row>
    <row r="17946" spans="1:1">
      <c r="A17946" s="35" t="s">
        <v>58022</v>
      </c>
    </row>
    <row r="17947" spans="1:1">
      <c r="A17947" s="35" t="s">
        <v>58023</v>
      </c>
    </row>
    <row r="17948" spans="1:1">
      <c r="A17948" s="35" t="s">
        <v>58024</v>
      </c>
    </row>
    <row r="17949" spans="1:1">
      <c r="A17949" s="35" t="s">
        <v>58025</v>
      </c>
    </row>
    <row r="17950" spans="1:1">
      <c r="A17950" s="35" t="s">
        <v>58026</v>
      </c>
    </row>
    <row r="17951" spans="1:1">
      <c r="A17951" s="35" t="s">
        <v>41057</v>
      </c>
    </row>
    <row r="17952" spans="1:1">
      <c r="A17952" s="35" t="s">
        <v>41057</v>
      </c>
    </row>
    <row r="17953" spans="1:1">
      <c r="A17953" s="35" t="e" cm="1">
        <f t="array" ref="A17953">---------------QISF------------------FKQ-------------------A</f>
        <v>#NAME?</v>
      </c>
    </row>
    <row r="17954" spans="1:1">
      <c r="A17954" s="35" t="s">
        <v>55241</v>
      </c>
    </row>
    <row r="17955" spans="1:1">
      <c r="A17955" s="35" t="s">
        <v>58027</v>
      </c>
    </row>
    <row r="17956" spans="1:1">
      <c r="A17956" s="35" t="s">
        <v>41057</v>
      </c>
    </row>
    <row r="17957" spans="1:1">
      <c r="A17957" s="35" t="s">
        <v>58028</v>
      </c>
    </row>
    <row r="17958" spans="1:1">
      <c r="A17958" s="35" t="s">
        <v>41057</v>
      </c>
    </row>
    <row r="17959" spans="1:1">
      <c r="A17959" s="35" t="s">
        <v>41057</v>
      </c>
    </row>
    <row r="17960" spans="1:1">
      <c r="A17960" s="35" t="s">
        <v>58029</v>
      </c>
    </row>
    <row r="17961" spans="1:1">
      <c r="A17961" s="35" t="s">
        <v>41057</v>
      </c>
    </row>
    <row r="17962" spans="1:1">
      <c r="A17962" s="35" t="s">
        <v>41057</v>
      </c>
    </row>
    <row r="17963" spans="1:1">
      <c r="A17963" s="35" t="s">
        <v>53500</v>
      </c>
    </row>
    <row r="17964" spans="1:1">
      <c r="A17964" s="35" t="s">
        <v>41057</v>
      </c>
    </row>
    <row r="17965" spans="1:1">
      <c r="A17965" s="35" t="s">
        <v>41057</v>
      </c>
    </row>
    <row r="17966" spans="1:1">
      <c r="A17966" s="35" t="s">
        <v>58030</v>
      </c>
    </row>
    <row r="17967" spans="1:1">
      <c r="A17967" s="35" t="s">
        <v>41057</v>
      </c>
    </row>
    <row r="17968" spans="1:1">
      <c r="A17968" s="35" t="s">
        <v>58031</v>
      </c>
    </row>
    <row r="17969" spans="1:1">
      <c r="A17969" s="35" t="s">
        <v>41057</v>
      </c>
    </row>
    <row r="17970" spans="1:1">
      <c r="A17970" s="35" t="s">
        <v>58032</v>
      </c>
    </row>
    <row r="17971" spans="1:1">
      <c r="A17971" s="35" t="s">
        <v>58033</v>
      </c>
    </row>
    <row r="17972" spans="1:1">
      <c r="A17972" s="35" t="s">
        <v>41057</v>
      </c>
    </row>
    <row r="17973" spans="1:1">
      <c r="A17973" s="35" t="s">
        <v>41057</v>
      </c>
    </row>
    <row r="17974" spans="1:1">
      <c r="A17974" s="35" t="s">
        <v>54771</v>
      </c>
    </row>
    <row r="17975" spans="1:1">
      <c r="A17975" s="35" t="s">
        <v>41057</v>
      </c>
    </row>
    <row r="17976" spans="1:1">
      <c r="A17976" s="35" t="s">
        <v>41057</v>
      </c>
    </row>
    <row r="17977" spans="1:1">
      <c r="A17977" s="35" t="s">
        <v>41057</v>
      </c>
    </row>
    <row r="17978" spans="1:1">
      <c r="A17978" s="35" t="s">
        <v>41057</v>
      </c>
    </row>
    <row r="17979" spans="1:1">
      <c r="A17979" s="35" t="s">
        <v>41057</v>
      </c>
    </row>
    <row r="17980" spans="1:1">
      <c r="A17980" s="35" t="s">
        <v>58034</v>
      </c>
    </row>
    <row r="17981" spans="1:1">
      <c r="A17981" s="35" t="s">
        <v>41057</v>
      </c>
    </row>
    <row r="17982" spans="1:1">
      <c r="A17982" s="35" t="s">
        <v>41057</v>
      </c>
    </row>
    <row r="17983" spans="1:1">
      <c r="A17983" s="35" t="s">
        <v>41057</v>
      </c>
    </row>
    <row r="17984" spans="1:1">
      <c r="A17984" s="35" t="s">
        <v>41057</v>
      </c>
    </row>
    <row r="17985" spans="1:1">
      <c r="A17985" s="35" t="s">
        <v>41057</v>
      </c>
    </row>
    <row r="17986" spans="1:1">
      <c r="A17986" s="35" t="s">
        <v>41057</v>
      </c>
    </row>
    <row r="17987" spans="1:1">
      <c r="A17987" s="35" t="s">
        <v>41057</v>
      </c>
    </row>
    <row r="17988" spans="1:1">
      <c r="A17988" s="35" t="s">
        <v>41057</v>
      </c>
    </row>
    <row r="17989" spans="1:1">
      <c r="A17989" s="35" t="s">
        <v>41057</v>
      </c>
    </row>
    <row r="17990" spans="1:1">
      <c r="A17990" s="35" t="s">
        <v>41057</v>
      </c>
    </row>
    <row r="17991" spans="1:1">
      <c r="A17991" s="35" t="s">
        <v>41057</v>
      </c>
    </row>
    <row r="17992" spans="1:1">
      <c r="A17992" s="35" t="s">
        <v>41057</v>
      </c>
    </row>
    <row r="17993" spans="1:1">
      <c r="A17993" s="35" t="s">
        <v>41057</v>
      </c>
    </row>
    <row r="17994" spans="1:1">
      <c r="A17994" s="35" t="s">
        <v>41057</v>
      </c>
    </row>
    <row r="17995" spans="1:1">
      <c r="A17995" s="35" t="s">
        <v>41057</v>
      </c>
    </row>
    <row r="17996" spans="1:1">
      <c r="A17996" s="35" t="s">
        <v>58035</v>
      </c>
    </row>
    <row r="17997" spans="1:1">
      <c r="A17997" s="35" t="s">
        <v>41057</v>
      </c>
    </row>
    <row r="17998" spans="1:1">
      <c r="A17998" s="35" t="s">
        <v>41057</v>
      </c>
    </row>
    <row r="17999" spans="1:1">
      <c r="A17999" s="35" t="s">
        <v>41057</v>
      </c>
    </row>
    <row r="18000" spans="1:1">
      <c r="A18000" s="35" t="s">
        <v>41057</v>
      </c>
    </row>
    <row r="18001" spans="1:1">
      <c r="A18001" s="35" t="s">
        <v>41057</v>
      </c>
    </row>
    <row r="18002" spans="1:1">
      <c r="A18002" s="35" t="s">
        <v>41057</v>
      </c>
    </row>
    <row r="18003" spans="1:1">
      <c r="A18003" s="35" t="s">
        <v>41057</v>
      </c>
    </row>
    <row r="18004" spans="1:1">
      <c r="A18004" s="35" t="s">
        <v>41057</v>
      </c>
    </row>
    <row r="18005" spans="1:1">
      <c r="A18005" s="35" t="s">
        <v>41057</v>
      </c>
    </row>
    <row r="18006" spans="1:1">
      <c r="A18006" s="35" t="s">
        <v>41057</v>
      </c>
    </row>
    <row r="18007" spans="1:1">
      <c r="A18007" s="35" t="e" cm="1">
        <f t="array" ref="A18007">-------------------------------------------------TWNETI---GY</f>
        <v>#NAME?</v>
      </c>
    </row>
    <row r="18008" spans="1:1">
      <c r="A18008" s="35" t="s">
        <v>58036</v>
      </c>
    </row>
    <row r="18009" spans="1:1">
      <c r="A18009" s="35" t="e" cm="1">
        <f t="array" ref="A18009">---------------GIYMDIDDKLFC---------PSEK------------------YD</f>
        <v>#NAME?</v>
      </c>
    </row>
    <row r="18010" spans="1:1">
      <c r="A18010" s="35" t="s">
        <v>58037</v>
      </c>
    </row>
    <row r="18011" spans="1:1">
      <c r="A18011" s="35" t="e" cm="1">
        <f t="array" ref="A18011">---------------------------------------------------------YPT</f>
        <v>#NAME?</v>
      </c>
    </row>
    <row r="18012" spans="1:1">
      <c r="A18012" s="35" t="s">
        <v>58038</v>
      </c>
    </row>
    <row r="18013" spans="1:1">
      <c r="A18013" s="35" t="s">
        <v>58039</v>
      </c>
    </row>
    <row r="18014" spans="1:1">
      <c r="A18014" s="35" t="s">
        <v>41057</v>
      </c>
    </row>
    <row r="18015" spans="1:1">
      <c r="A18015" s="35" t="s">
        <v>58040</v>
      </c>
    </row>
    <row r="18016" spans="1:1">
      <c r="A18016" s="35" t="s">
        <v>58041</v>
      </c>
    </row>
    <row r="18017" spans="1:1">
      <c r="A18017" s="35" t="s">
        <v>58042</v>
      </c>
    </row>
    <row r="18018" spans="1:1">
      <c r="A18018" s="35" t="s">
        <v>41057</v>
      </c>
    </row>
    <row r="18019" spans="1:1">
      <c r="A18019" s="35" t="s">
        <v>41057</v>
      </c>
    </row>
    <row r="18020" spans="1:1">
      <c r="A18020" s="35" t="s">
        <v>41057</v>
      </c>
    </row>
    <row r="18021" spans="1:1">
      <c r="A18021" s="35" t="s">
        <v>41057</v>
      </c>
    </row>
    <row r="18022" spans="1:1">
      <c r="A18022" s="35" t="s">
        <v>58043</v>
      </c>
    </row>
    <row r="18023" spans="1:1">
      <c r="A18023" s="35" t="s">
        <v>41057</v>
      </c>
    </row>
    <row r="18024" spans="1:1">
      <c r="A18024" s="35" t="s">
        <v>41057</v>
      </c>
    </row>
    <row r="18025" spans="1:1">
      <c r="A18025" s="35" t="s">
        <v>58044</v>
      </c>
    </row>
    <row r="18026" spans="1:1">
      <c r="A18026" s="35" t="s">
        <v>58045</v>
      </c>
    </row>
    <row r="18027" spans="1:1">
      <c r="A18027" s="35" t="s">
        <v>58046</v>
      </c>
    </row>
    <row r="18028" spans="1:1">
      <c r="A18028" s="35" t="s">
        <v>41057</v>
      </c>
    </row>
    <row r="18029" spans="1:1">
      <c r="A18029" s="35" t="s">
        <v>58047</v>
      </c>
    </row>
    <row r="18030" spans="1:1">
      <c r="A18030" s="35" t="s">
        <v>58048</v>
      </c>
    </row>
    <row r="18031" spans="1:1">
      <c r="A18031" s="35" t="s">
        <v>58049</v>
      </c>
    </row>
    <row r="18032" spans="1:1">
      <c r="A18032" s="35" t="s">
        <v>41057</v>
      </c>
    </row>
    <row r="18033" spans="1:1">
      <c r="A18033" s="35" t="s">
        <v>58050</v>
      </c>
    </row>
    <row r="18034" spans="1:1">
      <c r="A18034" s="35" t="s">
        <v>41057</v>
      </c>
    </row>
    <row r="18035" spans="1:1">
      <c r="A18035" s="35" t="s">
        <v>41057</v>
      </c>
    </row>
    <row r="18036" spans="1:1">
      <c r="A18036" s="35" t="s">
        <v>41057</v>
      </c>
    </row>
    <row r="18037" spans="1:1">
      <c r="A18037" s="35" t="s">
        <v>58051</v>
      </c>
    </row>
    <row r="18038" spans="1:1">
      <c r="A18038" s="35" t="s">
        <v>41057</v>
      </c>
    </row>
    <row r="18039" spans="1:1">
      <c r="A18039" s="35" t="s">
        <v>41057</v>
      </c>
    </row>
    <row r="18040" spans="1:1">
      <c r="A18040" s="35" t="s">
        <v>41057</v>
      </c>
    </row>
    <row r="18041" spans="1:1">
      <c r="A18041" s="35" t="s">
        <v>41057</v>
      </c>
    </row>
    <row r="18042" spans="1:1">
      <c r="A18042" s="35" t="e" cm="1">
        <f t="array" ref="A18042">--------------------------------------------------------IRSG</f>
        <v>#NAME?</v>
      </c>
    </row>
    <row r="18043" spans="1:1">
      <c r="A18043" s="35" t="s">
        <v>58052</v>
      </c>
    </row>
    <row r="18044" spans="1:1">
      <c r="A18044" s="35" t="s">
        <v>58053</v>
      </c>
    </row>
    <row r="18045" spans="1:1">
      <c r="A18045" s="35" t="s">
        <v>58054</v>
      </c>
    </row>
    <row r="18046" spans="1:1">
      <c r="A18046" s="35" t="s">
        <v>58055</v>
      </c>
    </row>
    <row r="18047" spans="1:1">
      <c r="A18047" s="35" t="s">
        <v>58056</v>
      </c>
    </row>
    <row r="18048" spans="1:1">
      <c r="A18048" s="35" t="s">
        <v>58057</v>
      </c>
    </row>
    <row r="18049" spans="1:1">
      <c r="A18049" s="35" t="s">
        <v>41057</v>
      </c>
    </row>
    <row r="18050" spans="1:1">
      <c r="A18050" s="35" t="s">
        <v>58058</v>
      </c>
    </row>
    <row r="18051" spans="1:1">
      <c r="A18051" s="35" t="s">
        <v>58059</v>
      </c>
    </row>
    <row r="18052" spans="1:1">
      <c r="A18052" s="35" t="s">
        <v>58060</v>
      </c>
    </row>
    <row r="18053" spans="1:1">
      <c r="A18053" s="35" t="s">
        <v>41057</v>
      </c>
    </row>
    <row r="18054" spans="1:1">
      <c r="A18054" s="35" t="s">
        <v>53545</v>
      </c>
    </row>
    <row r="18055" spans="1:1">
      <c r="A18055" s="35" t="s">
        <v>52442</v>
      </c>
    </row>
    <row r="18056" spans="1:1">
      <c r="A18056" s="35" t="s">
        <v>41057</v>
      </c>
    </row>
    <row r="18057" spans="1:1">
      <c r="A18057" s="35" t="s">
        <v>41057</v>
      </c>
    </row>
    <row r="18058" spans="1:1">
      <c r="A18058" s="35" t="s">
        <v>58061</v>
      </c>
    </row>
    <row r="18059" spans="1:1">
      <c r="A18059" s="35" t="s">
        <v>58062</v>
      </c>
    </row>
    <row r="18060" spans="1:1">
      <c r="A18060" s="35" t="s">
        <v>58063</v>
      </c>
    </row>
    <row r="18061" spans="1:1">
      <c r="A18061" s="35" t="s">
        <v>58064</v>
      </c>
    </row>
    <row r="18062" spans="1:1">
      <c r="A18062" s="35" t="s">
        <v>41057</v>
      </c>
    </row>
    <row r="18063" spans="1:1">
      <c r="A18063" s="35" t="s">
        <v>58065</v>
      </c>
    </row>
    <row r="18064" spans="1:1">
      <c r="A18064" s="35" t="s">
        <v>58066</v>
      </c>
    </row>
    <row r="18065" spans="1:1">
      <c r="A18065" s="35" t="s">
        <v>58067</v>
      </c>
    </row>
    <row r="18066" spans="1:1">
      <c r="A18066" s="35" t="s">
        <v>58068</v>
      </c>
    </row>
    <row r="18067" spans="1:1">
      <c r="A18067" s="35" t="s">
        <v>58069</v>
      </c>
    </row>
    <row r="18068" spans="1:1">
      <c r="A18068" s="35" t="s">
        <v>58026</v>
      </c>
    </row>
    <row r="18069" spans="1:1">
      <c r="A18069" s="35" t="s">
        <v>41057</v>
      </c>
    </row>
    <row r="18070" spans="1:1">
      <c r="A18070" s="35" t="s">
        <v>41057</v>
      </c>
    </row>
    <row r="18071" spans="1:1">
      <c r="A18071" s="35" t="e" cm="1">
        <f t="array" ref="A18071">---------------QISL------------------FKR-------------------K</f>
        <v>#NAME?</v>
      </c>
    </row>
    <row r="18072" spans="1:1">
      <c r="A18072" s="35" t="s">
        <v>55241</v>
      </c>
    </row>
    <row r="18073" spans="1:1">
      <c r="A18073" s="35" t="s">
        <v>58070</v>
      </c>
    </row>
    <row r="18074" spans="1:1">
      <c r="A18074" s="35" t="s">
        <v>41057</v>
      </c>
    </row>
    <row r="18075" spans="1:1">
      <c r="A18075" s="35" t="s">
        <v>58028</v>
      </c>
    </row>
    <row r="18076" spans="1:1">
      <c r="A18076" s="35" t="s">
        <v>41057</v>
      </c>
    </row>
    <row r="18077" spans="1:1">
      <c r="A18077" s="35" t="s">
        <v>41057</v>
      </c>
    </row>
    <row r="18078" spans="1:1">
      <c r="A18078" s="35" t="s">
        <v>58071</v>
      </c>
    </row>
    <row r="18079" spans="1:1">
      <c r="A18079" s="35" t="s">
        <v>41057</v>
      </c>
    </row>
    <row r="18080" spans="1:1">
      <c r="A18080" s="35" t="s">
        <v>41057</v>
      </c>
    </row>
    <row r="18081" spans="1:1">
      <c r="A18081" s="35" t="s">
        <v>53500</v>
      </c>
    </row>
    <row r="18082" spans="1:1">
      <c r="A18082" s="35" t="s">
        <v>41057</v>
      </c>
    </row>
    <row r="18083" spans="1:1">
      <c r="A18083" s="35" t="s">
        <v>41057</v>
      </c>
    </row>
    <row r="18084" spans="1:1">
      <c r="A18084" s="35" t="s">
        <v>58072</v>
      </c>
    </row>
    <row r="18085" spans="1:1">
      <c r="A18085" s="35" t="s">
        <v>41057</v>
      </c>
    </row>
    <row r="18086" spans="1:1">
      <c r="A18086" s="35" t="s">
        <v>58073</v>
      </c>
    </row>
    <row r="18087" spans="1:1">
      <c r="A18087" s="35" t="s">
        <v>41057</v>
      </c>
    </row>
    <row r="18088" spans="1:1">
      <c r="A18088" s="35" t="s">
        <v>58074</v>
      </c>
    </row>
    <row r="18089" spans="1:1">
      <c r="A18089" s="35" t="s">
        <v>58075</v>
      </c>
    </row>
    <row r="18090" spans="1:1">
      <c r="A18090" s="35" t="s">
        <v>41057</v>
      </c>
    </row>
    <row r="18091" spans="1:1">
      <c r="A18091" s="35" t="s">
        <v>41057</v>
      </c>
    </row>
    <row r="18092" spans="1:1">
      <c r="A18092" s="35" t="s">
        <v>54771</v>
      </c>
    </row>
    <row r="18093" spans="1:1">
      <c r="A18093" s="35" t="s">
        <v>41057</v>
      </c>
    </row>
    <row r="18094" spans="1:1">
      <c r="A18094" s="35" t="s">
        <v>41057</v>
      </c>
    </row>
    <row r="18095" spans="1:1">
      <c r="A18095" s="35" t="s">
        <v>41057</v>
      </c>
    </row>
    <row r="18096" spans="1:1">
      <c r="A18096" s="35" t="s">
        <v>41057</v>
      </c>
    </row>
    <row r="18097" spans="1:1">
      <c r="A18097" s="35" t="s">
        <v>41057</v>
      </c>
    </row>
    <row r="18098" spans="1:1">
      <c r="A18098" s="35" t="s">
        <v>58034</v>
      </c>
    </row>
    <row r="18099" spans="1:1">
      <c r="A18099" s="35" t="s">
        <v>41057</v>
      </c>
    </row>
    <row r="18100" spans="1:1">
      <c r="A18100" s="35" t="s">
        <v>41057</v>
      </c>
    </row>
    <row r="18101" spans="1:1">
      <c r="A18101" s="35" t="s">
        <v>41057</v>
      </c>
    </row>
    <row r="18102" spans="1:1">
      <c r="A18102" s="35" t="s">
        <v>41057</v>
      </c>
    </row>
    <row r="18103" spans="1:1">
      <c r="A18103" s="35" t="s">
        <v>41057</v>
      </c>
    </row>
    <row r="18104" spans="1:1">
      <c r="A18104" s="35" t="s">
        <v>41057</v>
      </c>
    </row>
    <row r="18105" spans="1:1">
      <c r="A18105" s="35" t="s">
        <v>41057</v>
      </c>
    </row>
    <row r="18106" spans="1:1">
      <c r="A18106" s="35" t="s">
        <v>41057</v>
      </c>
    </row>
    <row r="18107" spans="1:1">
      <c r="A18107" s="35" t="s">
        <v>41057</v>
      </c>
    </row>
    <row r="18108" spans="1:1">
      <c r="A18108" s="35" t="s">
        <v>41057</v>
      </c>
    </row>
    <row r="18109" spans="1:1">
      <c r="A18109" s="35" t="s">
        <v>41057</v>
      </c>
    </row>
    <row r="18110" spans="1:1">
      <c r="A18110" s="35" t="s">
        <v>41057</v>
      </c>
    </row>
    <row r="18111" spans="1:1">
      <c r="A18111" s="35" t="s">
        <v>41057</v>
      </c>
    </row>
    <row r="18112" spans="1:1">
      <c r="A18112" s="35" t="s">
        <v>41057</v>
      </c>
    </row>
    <row r="18113" spans="1:1">
      <c r="A18113" s="35" t="s">
        <v>41057</v>
      </c>
    </row>
    <row r="18114" spans="1:1">
      <c r="A18114" s="35" t="s">
        <v>58076</v>
      </c>
    </row>
    <row r="18115" spans="1:1">
      <c r="A18115" s="35" t="s">
        <v>41057</v>
      </c>
    </row>
    <row r="18116" spans="1:1">
      <c r="A18116" s="35" t="s">
        <v>41057</v>
      </c>
    </row>
    <row r="18117" spans="1:1">
      <c r="A18117" s="35" t="s">
        <v>41057</v>
      </c>
    </row>
    <row r="18118" spans="1:1">
      <c r="A18118" s="35" t="s">
        <v>41057</v>
      </c>
    </row>
    <row r="18119" spans="1:1">
      <c r="A18119" s="35" t="s">
        <v>41057</v>
      </c>
    </row>
    <row r="18120" spans="1:1">
      <c r="A18120" s="35" t="s">
        <v>41057</v>
      </c>
    </row>
    <row r="18121" spans="1:1">
      <c r="A18121" s="35" t="s">
        <v>41057</v>
      </c>
    </row>
    <row r="18122" spans="1:1">
      <c r="A18122" s="35" t="s">
        <v>41057</v>
      </c>
    </row>
    <row r="18123" spans="1:1">
      <c r="A18123" s="35" t="s">
        <v>41057</v>
      </c>
    </row>
    <row r="18124" spans="1:1">
      <c r="A18124" s="35" t="s">
        <v>41057</v>
      </c>
    </row>
    <row r="18125" spans="1:1">
      <c r="A18125" s="35" t="e" cm="1">
        <f t="array" ref="A18125">-------------------------------------------------TWAPTM---GY</f>
        <v>#NAME?</v>
      </c>
    </row>
    <row r="18126" spans="1:1">
      <c r="A18126" s="35" t="s">
        <v>58077</v>
      </c>
    </row>
    <row r="18127" spans="1:1">
      <c r="A18127" s="35" t="e" cm="1">
        <f t="array" ref="A18127">---------------RVWYDIDDKMFC---------DSTK------------------IQ</f>
        <v>#NAME?</v>
      </c>
    </row>
    <row r="18128" spans="1:1">
      <c r="A18128" s="35" t="s">
        <v>58078</v>
      </c>
    </row>
    <row r="18129" spans="1:1">
      <c r="A18129" s="35" t="e" cm="1">
        <f t="array" ref="A18129">---------------------------------------------------------LTT</f>
        <v>#NAME?</v>
      </c>
    </row>
    <row r="18130" spans="1:1">
      <c r="A18130" s="35" t="s">
        <v>58079</v>
      </c>
    </row>
    <row r="18131" spans="1:1">
      <c r="A18131" s="35" t="s">
        <v>58080</v>
      </c>
    </row>
    <row r="18132" spans="1:1">
      <c r="A18132" s="35" t="s">
        <v>41057</v>
      </c>
    </row>
    <row r="18133" spans="1:1">
      <c r="A18133" s="35" t="s">
        <v>58081</v>
      </c>
    </row>
    <row r="18134" spans="1:1">
      <c r="A18134" s="35" t="s">
        <v>58082</v>
      </c>
    </row>
    <row r="18135" spans="1:1">
      <c r="A18135" s="35" t="s">
        <v>58083</v>
      </c>
    </row>
    <row r="18136" spans="1:1">
      <c r="A18136" s="35" t="s">
        <v>41057</v>
      </c>
    </row>
    <row r="18137" spans="1:1">
      <c r="A18137" s="35" t="s">
        <v>41057</v>
      </c>
    </row>
    <row r="18138" spans="1:1">
      <c r="A18138" s="35" t="s">
        <v>41057</v>
      </c>
    </row>
    <row r="18139" spans="1:1">
      <c r="A18139" s="35" t="s">
        <v>41057</v>
      </c>
    </row>
    <row r="18140" spans="1:1">
      <c r="A18140" s="35" t="s">
        <v>58084</v>
      </c>
    </row>
    <row r="18141" spans="1:1">
      <c r="A18141" s="35" t="s">
        <v>41057</v>
      </c>
    </row>
    <row r="18142" spans="1:1">
      <c r="A18142" s="35" t="s">
        <v>41057</v>
      </c>
    </row>
    <row r="18143" spans="1:1">
      <c r="A18143" s="35" t="s">
        <v>58044</v>
      </c>
    </row>
    <row r="18144" spans="1:1">
      <c r="A18144" s="35" t="s">
        <v>58085</v>
      </c>
    </row>
    <row r="18145" spans="1:1">
      <c r="A18145" s="35" t="s">
        <v>58086</v>
      </c>
    </row>
    <row r="18146" spans="1:1">
      <c r="A18146" s="35" t="s">
        <v>41057</v>
      </c>
    </row>
    <row r="18147" spans="1:1">
      <c r="A18147" s="35" t="s">
        <v>58087</v>
      </c>
    </row>
    <row r="18148" spans="1:1">
      <c r="A18148" s="35" t="s">
        <v>58088</v>
      </c>
    </row>
    <row r="18149" spans="1:1">
      <c r="A18149" s="35" t="s">
        <v>58089</v>
      </c>
    </row>
    <row r="18150" spans="1:1">
      <c r="A18150" s="35" t="s">
        <v>41057</v>
      </c>
    </row>
    <row r="18151" spans="1:1">
      <c r="A18151" s="35" t="s">
        <v>58090</v>
      </c>
    </row>
    <row r="18152" spans="1:1">
      <c r="A18152" s="35" t="s">
        <v>41057</v>
      </c>
    </row>
    <row r="18153" spans="1:1">
      <c r="A18153" s="35" t="s">
        <v>41057</v>
      </c>
    </row>
    <row r="18154" spans="1:1">
      <c r="A18154" s="35" t="s">
        <v>41057</v>
      </c>
    </row>
    <row r="18155" spans="1:1">
      <c r="A18155" s="35" t="s">
        <v>58091</v>
      </c>
    </row>
    <row r="18156" spans="1:1">
      <c r="A18156" s="35" t="s">
        <v>41057</v>
      </c>
    </row>
    <row r="18157" spans="1:1">
      <c r="A18157" s="35" t="s">
        <v>41057</v>
      </c>
    </row>
    <row r="18158" spans="1:1">
      <c r="A18158" s="35" t="s">
        <v>41057</v>
      </c>
    </row>
    <row r="18159" spans="1:1">
      <c r="A18159" s="35" t="s">
        <v>41057</v>
      </c>
    </row>
    <row r="18160" spans="1:1">
      <c r="A18160" s="35" t="e" cm="1">
        <f t="array" ref="A18160">--------------------------------------------------------IESA</f>
        <v>#NAME?</v>
      </c>
    </row>
    <row r="18161" spans="1:1">
      <c r="A18161" s="35" t="s">
        <v>58092</v>
      </c>
    </row>
    <row r="18162" spans="1:1">
      <c r="A18162" s="35" t="s">
        <v>58093</v>
      </c>
    </row>
    <row r="18163" spans="1:1">
      <c r="A18163" s="35" t="s">
        <v>58094</v>
      </c>
    </row>
    <row r="18164" spans="1:1">
      <c r="A18164" s="35" t="s">
        <v>58095</v>
      </c>
    </row>
    <row r="18165" spans="1:1">
      <c r="A18165" s="35" t="s">
        <v>58096</v>
      </c>
    </row>
    <row r="18166" spans="1:1">
      <c r="A18166" s="35" t="s">
        <v>58097</v>
      </c>
    </row>
    <row r="18167" spans="1:1">
      <c r="A18167" s="35" t="s">
        <v>41057</v>
      </c>
    </row>
    <row r="18168" spans="1:1">
      <c r="A18168" s="35" t="s">
        <v>58098</v>
      </c>
    </row>
    <row r="18169" spans="1:1">
      <c r="A18169" s="35" t="s">
        <v>58099</v>
      </c>
    </row>
    <row r="18170" spans="1:1">
      <c r="A18170" s="35" t="s">
        <v>58100</v>
      </c>
    </row>
    <row r="18171" spans="1:1">
      <c r="A18171" s="35" t="s">
        <v>41057</v>
      </c>
    </row>
    <row r="18172" spans="1:1">
      <c r="A18172" s="35" t="s">
        <v>53545</v>
      </c>
    </row>
    <row r="18173" spans="1:1">
      <c r="A18173" s="35" t="s">
        <v>53466</v>
      </c>
    </row>
    <row r="18174" spans="1:1">
      <c r="A18174" s="35" t="s">
        <v>41057</v>
      </c>
    </row>
    <row r="18175" spans="1:1">
      <c r="A18175" s="35" t="s">
        <v>58101</v>
      </c>
    </row>
    <row r="18176" spans="1:1">
      <c r="A18176" s="35" t="s">
        <v>41057</v>
      </c>
    </row>
    <row r="18177" spans="1:1">
      <c r="A18177" s="35" t="s">
        <v>41057</v>
      </c>
    </row>
    <row r="18178" spans="1:1">
      <c r="A18178" s="35" t="s">
        <v>41057</v>
      </c>
    </row>
    <row r="18179" spans="1:1">
      <c r="A18179" s="35" t="s">
        <v>54343</v>
      </c>
    </row>
    <row r="18180" spans="1:1">
      <c r="A18180" s="35" t="s">
        <v>41057</v>
      </c>
    </row>
    <row r="18181" spans="1:1">
      <c r="A18181" s="35" t="s">
        <v>41057</v>
      </c>
    </row>
    <row r="18182" spans="1:1">
      <c r="A18182" s="35" t="s">
        <v>41057</v>
      </c>
    </row>
    <row r="18183" spans="1:1">
      <c r="A18183" s="35" t="s">
        <v>54097</v>
      </c>
    </row>
    <row r="18184" spans="1:1">
      <c r="A18184" s="35" t="s">
        <v>58102</v>
      </c>
    </row>
    <row r="18185" spans="1:1">
      <c r="A18185" s="35" t="s">
        <v>58103</v>
      </c>
    </row>
    <row r="18186" spans="1:1">
      <c r="A18186" s="35" t="s">
        <v>54100</v>
      </c>
    </row>
    <row r="18187" spans="1:1">
      <c r="A18187" s="35" t="s">
        <v>41057</v>
      </c>
    </row>
    <row r="18188" spans="1:1">
      <c r="A18188" s="35" t="s">
        <v>41057</v>
      </c>
    </row>
    <row r="18189" spans="1:1">
      <c r="A18189" s="35" t="e" cm="1">
        <f t="array" ref="A18189">---------------QTTF------------------FSK-------------------T</f>
        <v>#NAME?</v>
      </c>
    </row>
    <row r="18190" spans="1:1">
      <c r="A18190" s="35" t="s">
        <v>53901</v>
      </c>
    </row>
    <row r="18191" spans="1:1">
      <c r="A18191" s="35" t="s">
        <v>58104</v>
      </c>
    </row>
    <row r="18192" spans="1:1">
      <c r="A18192" s="35" t="s">
        <v>41057</v>
      </c>
    </row>
    <row r="18193" spans="1:1">
      <c r="A18193" s="35" t="s">
        <v>58105</v>
      </c>
    </row>
    <row r="18194" spans="1:1">
      <c r="A18194" s="35" t="s">
        <v>41057</v>
      </c>
    </row>
    <row r="18195" spans="1:1">
      <c r="A18195" s="35" t="s">
        <v>41057</v>
      </c>
    </row>
    <row r="18196" spans="1:1">
      <c r="A18196" s="35" t="s">
        <v>58106</v>
      </c>
    </row>
    <row r="18197" spans="1:1">
      <c r="A18197" s="35" t="s">
        <v>41057</v>
      </c>
    </row>
    <row r="18198" spans="1:1">
      <c r="A18198" s="35" t="s">
        <v>41057</v>
      </c>
    </row>
    <row r="18199" spans="1:1">
      <c r="A18199" s="35" t="s">
        <v>41057</v>
      </c>
    </row>
    <row r="18200" spans="1:1">
      <c r="A18200" s="35" t="s">
        <v>41057</v>
      </c>
    </row>
    <row r="18201" spans="1:1">
      <c r="A18201" s="35" t="s">
        <v>41057</v>
      </c>
    </row>
    <row r="18202" spans="1:1">
      <c r="A18202" s="35" t="s">
        <v>58107</v>
      </c>
    </row>
    <row r="18203" spans="1:1">
      <c r="A18203" s="35" t="s">
        <v>41057</v>
      </c>
    </row>
    <row r="18204" spans="1:1">
      <c r="A18204" s="35" t="s">
        <v>58108</v>
      </c>
    </row>
    <row r="18205" spans="1:1">
      <c r="A18205" s="35" t="s">
        <v>41057</v>
      </c>
    </row>
    <row r="18206" spans="1:1">
      <c r="A18206" s="35" t="s">
        <v>56618</v>
      </c>
    </row>
    <row r="18207" spans="1:1">
      <c r="A18207" s="35" t="s">
        <v>58109</v>
      </c>
    </row>
    <row r="18208" spans="1:1">
      <c r="A18208" s="35" t="s">
        <v>41057</v>
      </c>
    </row>
    <row r="18209" spans="1:1">
      <c r="A18209" s="35" t="s">
        <v>41057</v>
      </c>
    </row>
    <row r="18210" spans="1:1">
      <c r="A18210" s="35" t="s">
        <v>58110</v>
      </c>
    </row>
    <row r="18211" spans="1:1">
      <c r="A18211" s="35" t="s">
        <v>41057</v>
      </c>
    </row>
    <row r="18212" spans="1:1">
      <c r="A18212" s="35" t="s">
        <v>41057</v>
      </c>
    </row>
    <row r="18213" spans="1:1">
      <c r="A18213" s="35" t="s">
        <v>41057</v>
      </c>
    </row>
    <row r="18214" spans="1:1">
      <c r="A18214" s="35" t="s">
        <v>41057</v>
      </c>
    </row>
    <row r="18215" spans="1:1">
      <c r="A18215" s="35" t="s">
        <v>41057</v>
      </c>
    </row>
    <row r="18216" spans="1:1">
      <c r="A18216" s="35" t="s">
        <v>58111</v>
      </c>
    </row>
    <row r="18217" spans="1:1">
      <c r="A18217" s="35" t="s">
        <v>41057</v>
      </c>
    </row>
    <row r="18218" spans="1:1">
      <c r="A18218" s="35" t="s">
        <v>41057</v>
      </c>
    </row>
    <row r="18219" spans="1:1">
      <c r="A18219" s="35" t="s">
        <v>41057</v>
      </c>
    </row>
    <row r="18220" spans="1:1">
      <c r="A18220" s="35" t="s">
        <v>41057</v>
      </c>
    </row>
    <row r="18221" spans="1:1">
      <c r="A18221" s="35" t="s">
        <v>56228</v>
      </c>
    </row>
    <row r="18222" spans="1:1">
      <c r="A18222" s="35" t="s">
        <v>41057</v>
      </c>
    </row>
    <row r="18223" spans="1:1">
      <c r="A18223" s="35" t="s">
        <v>41057</v>
      </c>
    </row>
    <row r="18224" spans="1:1">
      <c r="A18224" s="35" t="s">
        <v>41057</v>
      </c>
    </row>
    <row r="18225" spans="1:1">
      <c r="A18225" s="35" t="s">
        <v>41057</v>
      </c>
    </row>
    <row r="18226" spans="1:1">
      <c r="A18226" s="35" t="s">
        <v>41057</v>
      </c>
    </row>
    <row r="18227" spans="1:1">
      <c r="A18227" s="35" t="s">
        <v>41057</v>
      </c>
    </row>
    <row r="18228" spans="1:1">
      <c r="A18228" s="35" t="s">
        <v>41057</v>
      </c>
    </row>
    <row r="18229" spans="1:1">
      <c r="A18229" s="35" t="s">
        <v>41057</v>
      </c>
    </row>
    <row r="18230" spans="1:1">
      <c r="A18230" s="35" t="s">
        <v>41057</v>
      </c>
    </row>
    <row r="18231" spans="1:1">
      <c r="A18231" s="35" t="s">
        <v>41057</v>
      </c>
    </row>
    <row r="18232" spans="1:1">
      <c r="A18232" s="35" t="s">
        <v>41057</v>
      </c>
    </row>
    <row r="18233" spans="1:1">
      <c r="A18233" s="35" t="s">
        <v>41057</v>
      </c>
    </row>
    <row r="18234" spans="1:1">
      <c r="A18234" s="35" t="s">
        <v>41057</v>
      </c>
    </row>
    <row r="18235" spans="1:1">
      <c r="A18235" s="35" t="s">
        <v>56229</v>
      </c>
    </row>
    <row r="18236" spans="1:1">
      <c r="A18236" s="35" t="s">
        <v>41057</v>
      </c>
    </row>
    <row r="18237" spans="1:1">
      <c r="A18237" s="35" t="s">
        <v>41057</v>
      </c>
    </row>
    <row r="18238" spans="1:1">
      <c r="A18238" s="35" t="s">
        <v>41057</v>
      </c>
    </row>
    <row r="18239" spans="1:1">
      <c r="A18239" s="35" t="s">
        <v>41057</v>
      </c>
    </row>
    <row r="18240" spans="1:1">
      <c r="A18240" s="35" t="s">
        <v>41057</v>
      </c>
    </row>
    <row r="18241" spans="1:1">
      <c r="A18241" s="35" t="s">
        <v>41057</v>
      </c>
    </row>
    <row r="18242" spans="1:1">
      <c r="A18242" s="35" t="s">
        <v>41057</v>
      </c>
    </row>
    <row r="18243" spans="1:1">
      <c r="A18243" s="35" t="e" cm="1">
        <f t="array" ref="A18243">-----------------------------------------------AFRWVPNM---AN</f>
        <v>#NAME?</v>
      </c>
    </row>
    <row r="18244" spans="1:1">
      <c r="A18244" s="35" t="s">
        <v>58112</v>
      </c>
    </row>
    <row r="18245" spans="1:1">
      <c r="A18245" s="35" t="s">
        <v>58113</v>
      </c>
    </row>
    <row r="18246" spans="1:1">
      <c r="A18246" s="35" t="s">
        <v>58114</v>
      </c>
    </row>
    <row r="18247" spans="1:1">
      <c r="A18247" s="35" t="e" cm="1">
        <f t="array" ref="A18247">------------------------------------------GPLGNSSSEYPYV-VRDL</f>
        <v>#NAME?</v>
      </c>
    </row>
    <row r="18248" spans="1:1">
      <c r="A18248" s="35" t="s">
        <v>58115</v>
      </c>
    </row>
    <row r="18249" spans="1:1">
      <c r="A18249" s="35" t="s">
        <v>58116</v>
      </c>
    </row>
    <row r="18250" spans="1:1">
      <c r="A18250" s="35" t="s">
        <v>41057</v>
      </c>
    </row>
    <row r="18251" spans="1:1">
      <c r="A18251" s="35" t="s">
        <v>58117</v>
      </c>
    </row>
    <row r="18252" spans="1:1">
      <c r="A18252" s="35" t="s">
        <v>58118</v>
      </c>
    </row>
    <row r="18253" spans="1:1">
      <c r="A18253" s="35" t="s">
        <v>58119</v>
      </c>
    </row>
    <row r="18254" spans="1:1">
      <c r="A18254" s="35" t="s">
        <v>41057</v>
      </c>
    </row>
    <row r="18255" spans="1:1">
      <c r="A18255" s="35" t="s">
        <v>41057</v>
      </c>
    </row>
    <row r="18256" spans="1:1">
      <c r="A18256" s="35" t="s">
        <v>41057</v>
      </c>
    </row>
    <row r="18257" spans="1:1">
      <c r="A18257" s="35" t="s">
        <v>58120</v>
      </c>
    </row>
    <row r="18258" spans="1:1">
      <c r="A18258" s="35" t="s">
        <v>41057</v>
      </c>
    </row>
    <row r="18259" spans="1:1">
      <c r="A18259" s="35" t="s">
        <v>41057</v>
      </c>
    </row>
    <row r="18260" spans="1:1">
      <c r="A18260" s="35" t="s">
        <v>58121</v>
      </c>
    </row>
    <row r="18261" spans="1:1">
      <c r="A18261" s="35" t="s">
        <v>58122</v>
      </c>
    </row>
    <row r="18262" spans="1:1">
      <c r="A18262" s="35" t="s">
        <v>58123</v>
      </c>
    </row>
    <row r="18263" spans="1:1">
      <c r="A18263" s="35" t="s">
        <v>58124</v>
      </c>
    </row>
    <row r="18264" spans="1:1">
      <c r="A18264" s="35" t="s">
        <v>41057</v>
      </c>
    </row>
    <row r="18265" spans="1:1">
      <c r="A18265" s="35" t="s">
        <v>41057</v>
      </c>
    </row>
    <row r="18266" spans="1:1">
      <c r="A18266" s="35" t="s">
        <v>41057</v>
      </c>
    </row>
    <row r="18267" spans="1:1">
      <c r="A18267" s="35" t="s">
        <v>41057</v>
      </c>
    </row>
    <row r="18268" spans="1:1">
      <c r="A18268" s="35" t="s">
        <v>41057</v>
      </c>
    </row>
    <row r="18269" spans="1:1">
      <c r="A18269" s="35" t="s">
        <v>58125</v>
      </c>
    </row>
    <row r="18270" spans="1:1">
      <c r="A18270" s="35" t="s">
        <v>41057</v>
      </c>
    </row>
    <row r="18271" spans="1:1">
      <c r="A18271" s="35" t="s">
        <v>58126</v>
      </c>
    </row>
    <row r="18272" spans="1:1">
      <c r="A18272" s="35" t="s">
        <v>41057</v>
      </c>
    </row>
    <row r="18273" spans="1:1">
      <c r="A18273" s="35" t="s">
        <v>58127</v>
      </c>
    </row>
    <row r="18274" spans="1:1">
      <c r="A18274" s="35" t="s">
        <v>58128</v>
      </c>
    </row>
    <row r="18275" spans="1:1">
      <c r="A18275" s="35" t="s">
        <v>41057</v>
      </c>
    </row>
    <row r="18276" spans="1:1">
      <c r="A18276" s="35" t="s">
        <v>41057</v>
      </c>
    </row>
    <row r="18277" spans="1:1">
      <c r="A18277" s="35" t="s">
        <v>58129</v>
      </c>
    </row>
    <row r="18278" spans="1:1">
      <c r="A18278" s="35" t="e" cm="1">
        <f t="array" ref="A18278">---------------------SGIE-----------------------TVNYSKDILQEM</f>
        <v>#NAME?</v>
      </c>
    </row>
    <row r="18279" spans="1:1">
      <c r="A18279" s="35" t="s">
        <v>58130</v>
      </c>
    </row>
    <row r="18280" spans="1:1">
      <c r="A18280" s="35" t="s">
        <v>58131</v>
      </c>
    </row>
    <row r="18281" spans="1:1">
      <c r="A18281" s="35" t="s">
        <v>58132</v>
      </c>
    </row>
    <row r="18282" spans="1:1">
      <c r="A18282" s="35" t="s">
        <v>58133</v>
      </c>
    </row>
    <row r="18283" spans="1:1">
      <c r="A18283" s="35" t="s">
        <v>58134</v>
      </c>
    </row>
    <row r="18284" spans="1:1">
      <c r="A18284" s="35" t="s">
        <v>58135</v>
      </c>
    </row>
    <row r="18285" spans="1:1">
      <c r="A18285" s="35" t="s">
        <v>41057</v>
      </c>
    </row>
    <row r="18286" spans="1:1">
      <c r="A18286" s="35" t="s">
        <v>58136</v>
      </c>
    </row>
    <row r="18287" spans="1:1">
      <c r="A18287" s="35" t="s">
        <v>58137</v>
      </c>
    </row>
    <row r="18288" spans="1:1">
      <c r="A18288" s="35" t="s">
        <v>58138</v>
      </c>
    </row>
    <row r="18289" spans="1:1">
      <c r="A18289" s="35" t="s">
        <v>41057</v>
      </c>
    </row>
    <row r="18290" spans="1:1">
      <c r="A18290" s="35" t="s">
        <v>53545</v>
      </c>
    </row>
    <row r="18291" spans="1:1">
      <c r="A18291" s="35" t="s">
        <v>52602</v>
      </c>
    </row>
    <row r="18292" spans="1:1">
      <c r="A18292" s="35" t="s">
        <v>41057</v>
      </c>
    </row>
    <row r="18293" spans="1:1">
      <c r="A18293" s="35" t="e" cm="1">
        <f t="array" ref="A18293">-------------------------------------------------MANQAFDKVLD</f>
        <v>#NAME?</v>
      </c>
    </row>
    <row r="18294" spans="1:1">
      <c r="A18294" s="35" t="s">
        <v>58139</v>
      </c>
    </row>
    <row r="18295" spans="1:1">
      <c r="A18295" s="35" t="e" cm="1">
        <f t="array" ref="A18295">----------VLDFFKNKVPQAFENVLNFERKIQKDVVNFF---------------KKEI</f>
        <v>#NAME?</v>
      </c>
    </row>
    <row r="18296" spans="1:1">
      <c r="A18296" s="35" t="s">
        <v>58140</v>
      </c>
    </row>
    <row r="18297" spans="1:1">
      <c r="A18297" s="35" t="s">
        <v>58141</v>
      </c>
    </row>
    <row r="18298" spans="1:1">
      <c r="A18298" s="35" t="s">
        <v>58142</v>
      </c>
    </row>
    <row r="18299" spans="1:1">
      <c r="A18299" s="35" t="s">
        <v>58143</v>
      </c>
    </row>
    <row r="18300" spans="1:1">
      <c r="A18300" s="35" t="s">
        <v>58144</v>
      </c>
    </row>
    <row r="18301" spans="1:1">
      <c r="A18301" s="35" t="s">
        <v>58145</v>
      </c>
    </row>
    <row r="18302" spans="1:1">
      <c r="A18302" s="35" t="s">
        <v>58146</v>
      </c>
    </row>
    <row r="18303" spans="1:1">
      <c r="A18303" s="35" t="s">
        <v>58147</v>
      </c>
    </row>
    <row r="18304" spans="1:1">
      <c r="A18304" s="35" t="s">
        <v>58148</v>
      </c>
    </row>
    <row r="18305" spans="1:1">
      <c r="A18305" s="35" t="s">
        <v>41057</v>
      </c>
    </row>
    <row r="18306" spans="1:1">
      <c r="A18306" s="35" t="s">
        <v>41057</v>
      </c>
    </row>
    <row r="18307" spans="1:1">
      <c r="A18307" s="35" t="e" cm="1">
        <f t="array" ref="A18307">-------------------------------------FTKSQWNP--------------D</f>
        <v>#NAME?</v>
      </c>
    </row>
    <row r="18308" spans="1:1">
      <c r="A18308" s="35" t="s">
        <v>53638</v>
      </c>
    </row>
    <row r="18309" spans="1:1">
      <c r="A18309" s="35" t="s">
        <v>58149</v>
      </c>
    </row>
    <row r="18310" spans="1:1">
      <c r="A18310" s="35" t="s">
        <v>41057</v>
      </c>
    </row>
    <row r="18311" spans="1:1">
      <c r="A18311" s="35" t="s">
        <v>58150</v>
      </c>
    </row>
    <row r="18312" spans="1:1">
      <c r="A18312" s="35" t="s">
        <v>41057</v>
      </c>
    </row>
    <row r="18313" spans="1:1">
      <c r="A18313" s="35" t="s">
        <v>41057</v>
      </c>
    </row>
    <row r="18314" spans="1:1">
      <c r="A18314" s="35" t="s">
        <v>58151</v>
      </c>
    </row>
    <row r="18315" spans="1:1">
      <c r="A18315" s="35" t="s">
        <v>41057</v>
      </c>
    </row>
    <row r="18316" spans="1:1">
      <c r="A18316" s="35" t="s">
        <v>41057</v>
      </c>
    </row>
    <row r="18317" spans="1:1">
      <c r="A18317" s="35" t="s">
        <v>58152</v>
      </c>
    </row>
    <row r="18318" spans="1:1">
      <c r="A18318" s="35" t="s">
        <v>41057</v>
      </c>
    </row>
    <row r="18319" spans="1:1">
      <c r="A18319" s="35" t="s">
        <v>41057</v>
      </c>
    </row>
    <row r="18320" spans="1:1">
      <c r="A18320" s="35" t="s">
        <v>58153</v>
      </c>
    </row>
    <row r="18321" spans="1:1">
      <c r="A18321" s="35" t="s">
        <v>41057</v>
      </c>
    </row>
    <row r="18322" spans="1:1">
      <c r="A18322" s="35" t="s">
        <v>58154</v>
      </c>
    </row>
    <row r="18323" spans="1:1">
      <c r="A18323" s="35" t="s">
        <v>41057</v>
      </c>
    </row>
    <row r="18324" spans="1:1">
      <c r="A18324" s="35" t="s">
        <v>58155</v>
      </c>
    </row>
    <row r="18325" spans="1:1">
      <c r="A18325" s="35" t="s">
        <v>58156</v>
      </c>
    </row>
    <row r="18326" spans="1:1">
      <c r="A18326" s="35" t="s">
        <v>41057</v>
      </c>
    </row>
    <row r="18327" spans="1:1">
      <c r="A18327" s="35" t="s">
        <v>41057</v>
      </c>
    </row>
    <row r="18328" spans="1:1">
      <c r="A18328" s="35" t="s">
        <v>58157</v>
      </c>
    </row>
    <row r="18329" spans="1:1">
      <c r="A18329" s="35" t="s">
        <v>41057</v>
      </c>
    </row>
    <row r="18330" spans="1:1">
      <c r="A18330" s="35" t="s">
        <v>41057</v>
      </c>
    </row>
    <row r="18331" spans="1:1">
      <c r="A18331" s="35" t="s">
        <v>41057</v>
      </c>
    </row>
    <row r="18332" spans="1:1">
      <c r="A18332" s="35" t="s">
        <v>41057</v>
      </c>
    </row>
    <row r="18333" spans="1:1">
      <c r="A18333" s="35" t="s">
        <v>41057</v>
      </c>
    </row>
    <row r="18334" spans="1:1">
      <c r="A18334" s="35" t="s">
        <v>41057</v>
      </c>
    </row>
    <row r="18335" spans="1:1">
      <c r="A18335" s="35" t="s">
        <v>41057</v>
      </c>
    </row>
    <row r="18336" spans="1:1">
      <c r="A18336" s="35" t="s">
        <v>41057</v>
      </c>
    </row>
    <row r="18337" spans="1:1">
      <c r="A18337" s="35" t="s">
        <v>41057</v>
      </c>
    </row>
    <row r="18338" spans="1:1">
      <c r="A18338" s="35" t="s">
        <v>41057</v>
      </c>
    </row>
    <row r="18339" spans="1:1">
      <c r="A18339" s="35" t="s">
        <v>41057</v>
      </c>
    </row>
    <row r="18340" spans="1:1">
      <c r="A18340" s="35" t="s">
        <v>41057</v>
      </c>
    </row>
    <row r="18341" spans="1:1">
      <c r="A18341" s="35" t="s">
        <v>41057</v>
      </c>
    </row>
    <row r="18342" spans="1:1">
      <c r="A18342" s="35" t="s">
        <v>41057</v>
      </c>
    </row>
    <row r="18343" spans="1:1">
      <c r="A18343" s="35" t="s">
        <v>41057</v>
      </c>
    </row>
    <row r="18344" spans="1:1">
      <c r="A18344" s="35" t="s">
        <v>41057</v>
      </c>
    </row>
    <row r="18345" spans="1:1">
      <c r="A18345" s="35" t="s">
        <v>41057</v>
      </c>
    </row>
    <row r="18346" spans="1:1">
      <c r="A18346" s="35" t="s">
        <v>41057</v>
      </c>
    </row>
    <row r="18347" spans="1:1">
      <c r="A18347" s="35" t="s">
        <v>41057</v>
      </c>
    </row>
    <row r="18348" spans="1:1">
      <c r="A18348" s="35" t="s">
        <v>41057</v>
      </c>
    </row>
    <row r="18349" spans="1:1">
      <c r="A18349" s="35" t="s">
        <v>41057</v>
      </c>
    </row>
    <row r="18350" spans="1:1">
      <c r="A18350" s="35" t="s">
        <v>41057</v>
      </c>
    </row>
    <row r="18351" spans="1:1">
      <c r="A18351" s="35" t="s">
        <v>41057</v>
      </c>
    </row>
    <row r="18352" spans="1:1">
      <c r="A18352" s="35" t="s">
        <v>41057</v>
      </c>
    </row>
    <row r="18353" spans="1:1">
      <c r="A18353" s="35" t="s">
        <v>41057</v>
      </c>
    </row>
    <row r="18354" spans="1:1">
      <c r="A18354" s="35" t="s">
        <v>41057</v>
      </c>
    </row>
    <row r="18355" spans="1:1">
      <c r="A18355" s="35" t="s">
        <v>41057</v>
      </c>
    </row>
    <row r="18356" spans="1:1">
      <c r="A18356" s="35" t="s">
        <v>41057</v>
      </c>
    </row>
    <row r="18357" spans="1:1">
      <c r="A18357" s="35" t="s">
        <v>41057</v>
      </c>
    </row>
    <row r="18358" spans="1:1">
      <c r="A18358" s="35" t="s">
        <v>41057</v>
      </c>
    </row>
    <row r="18359" spans="1:1">
      <c r="A18359" s="35" t="s">
        <v>41057</v>
      </c>
    </row>
    <row r="18360" spans="1:1">
      <c r="A18360" s="35" t="s">
        <v>53647</v>
      </c>
    </row>
    <row r="18361" spans="1:1">
      <c r="A18361" s="35" t="e" cm="1">
        <f t="array" ref="A18361">----------------------------------------------GGAQYSSQI---GR</f>
        <v>#NAME?</v>
      </c>
    </row>
    <row r="18362" spans="1:1">
      <c r="A18362" s="35" t="s">
        <v>58158</v>
      </c>
    </row>
    <row r="18363" spans="1:1">
      <c r="A18363" s="35" t="e" cm="1">
        <f t="array" ref="A18363">---------------DDWYIIRDQLFL---------DADE------------------QT</f>
        <v>#NAME?</v>
      </c>
    </row>
    <row r="18364" spans="1:1">
      <c r="A18364" s="35" t="s">
        <v>58159</v>
      </c>
    </row>
    <row r="18365" spans="1:1">
      <c r="A18365" s="35" t="s">
        <v>41057</v>
      </c>
    </row>
    <row r="18366" spans="1:1">
      <c r="A18366" s="35" t="s">
        <v>41057</v>
      </c>
    </row>
    <row r="18367" spans="1:1">
      <c r="A18367" s="35" t="s">
        <v>58160</v>
      </c>
    </row>
    <row r="18368" spans="1:1">
      <c r="A18368" s="35" t="s">
        <v>41057</v>
      </c>
    </row>
    <row r="18369" spans="1:1">
      <c r="A18369" s="35" t="s">
        <v>58161</v>
      </c>
    </row>
    <row r="18370" spans="1:1">
      <c r="A18370" s="35" t="s">
        <v>58162</v>
      </c>
    </row>
    <row r="18371" spans="1:1">
      <c r="A18371" s="35" t="s">
        <v>58163</v>
      </c>
    </row>
    <row r="18372" spans="1:1">
      <c r="A18372" s="35" t="s">
        <v>41057</v>
      </c>
    </row>
    <row r="18373" spans="1:1">
      <c r="A18373" s="35" t="s">
        <v>41057</v>
      </c>
    </row>
    <row r="18374" spans="1:1">
      <c r="A18374" s="35" t="s">
        <v>41057</v>
      </c>
    </row>
    <row r="18375" spans="1:1">
      <c r="A18375" s="35" t="s">
        <v>41057</v>
      </c>
    </row>
    <row r="18376" spans="1:1">
      <c r="A18376" s="35" t="s">
        <v>41057</v>
      </c>
    </row>
    <row r="18377" spans="1:1">
      <c r="A18377" s="35" t="s">
        <v>41057</v>
      </c>
    </row>
    <row r="18378" spans="1:1">
      <c r="A18378" s="35" t="s">
        <v>58164</v>
      </c>
    </row>
    <row r="18379" spans="1:1">
      <c r="A18379" s="35" t="s">
        <v>56031</v>
      </c>
    </row>
    <row r="18380" spans="1:1">
      <c r="A18380" s="35" t="s">
        <v>58165</v>
      </c>
    </row>
    <row r="18381" spans="1:1">
      <c r="A18381" s="35" t="s">
        <v>58166</v>
      </c>
    </row>
    <row r="18382" spans="1:1">
      <c r="A18382" s="35" t="s">
        <v>41057</v>
      </c>
    </row>
    <row r="18383" spans="1:1">
      <c r="A18383" s="35" t="s">
        <v>58167</v>
      </c>
    </row>
    <row r="18384" spans="1:1">
      <c r="A18384" s="35" t="s">
        <v>41057</v>
      </c>
    </row>
    <row r="18385" spans="1:1">
      <c r="A18385" s="35" t="s">
        <v>41057</v>
      </c>
    </row>
    <row r="18386" spans="1:1">
      <c r="A18386" s="35" t="s">
        <v>41057</v>
      </c>
    </row>
    <row r="18387" spans="1:1">
      <c r="A18387" s="35" t="s">
        <v>58168</v>
      </c>
    </row>
    <row r="18388" spans="1:1">
      <c r="A18388" s="35" t="s">
        <v>41057</v>
      </c>
    </row>
    <row r="18389" spans="1:1">
      <c r="A18389" s="35" t="s">
        <v>41057</v>
      </c>
    </row>
    <row r="18390" spans="1:1">
      <c r="A18390" s="35" t="s">
        <v>41057</v>
      </c>
    </row>
    <row r="18391" spans="1:1">
      <c r="A18391" s="35" t="s">
        <v>58169</v>
      </c>
    </row>
    <row r="18392" spans="1:1">
      <c r="A18392" s="35" t="s">
        <v>58170</v>
      </c>
    </row>
    <row r="18393" spans="1:1">
      <c r="A18393" s="35" t="s">
        <v>41057</v>
      </c>
    </row>
    <row r="18394" spans="1:1">
      <c r="A18394" s="35" t="s">
        <v>41057</v>
      </c>
    </row>
    <row r="18395" spans="1:1">
      <c r="A18395" s="35" t="s">
        <v>58171</v>
      </c>
    </row>
    <row r="18396" spans="1:1">
      <c r="A18396" s="35" t="e" cm="1">
        <f t="array" ref="A18396">------------------------------------------------GVSNYVDVIDTA</f>
        <v>#NAME?</v>
      </c>
    </row>
    <row r="18397" spans="1:1">
      <c r="A18397" s="35" t="s">
        <v>58172</v>
      </c>
    </row>
    <row r="18398" spans="1:1">
      <c r="A18398" s="35" t="s">
        <v>58173</v>
      </c>
    </row>
    <row r="18399" spans="1:1">
      <c r="A18399" s="35" t="s">
        <v>58174</v>
      </c>
    </row>
    <row r="18400" spans="1:1">
      <c r="A18400" s="35" t="s">
        <v>58175</v>
      </c>
    </row>
    <row r="18401" spans="1:1">
      <c r="A18401" s="35" t="s">
        <v>58176</v>
      </c>
    </row>
    <row r="18402" spans="1:1">
      <c r="A18402" s="35" t="s">
        <v>58177</v>
      </c>
    </row>
    <row r="18403" spans="1:1">
      <c r="A18403" s="35" t="s">
        <v>41057</v>
      </c>
    </row>
    <row r="18404" spans="1:1">
      <c r="A18404" s="35" t="s">
        <v>58178</v>
      </c>
    </row>
    <row r="18405" spans="1:1">
      <c r="A18405" s="35" t="s">
        <v>58179</v>
      </c>
    </row>
    <row r="18406" spans="1:1">
      <c r="A18406" s="35" t="s">
        <v>58180</v>
      </c>
    </row>
    <row r="18407" spans="1:1">
      <c r="A18407" s="35" t="s">
        <v>41057</v>
      </c>
    </row>
    <row r="18408" spans="1:1">
      <c r="A18408" s="35" t="s">
        <v>53545</v>
      </c>
    </row>
    <row r="18409" spans="1:1">
      <c r="A18409" s="35" t="s">
        <v>52616</v>
      </c>
    </row>
    <row r="18410" spans="1:1">
      <c r="A18410" s="35" t="s">
        <v>41057</v>
      </c>
    </row>
    <row r="18411" spans="1:1">
      <c r="A18411" s="35" t="e" cm="1">
        <f t="array" ref="A18411">-------------------------------------------------MS-EFFTDLKP</f>
        <v>#NAME?</v>
      </c>
    </row>
    <row r="18412" spans="1:1">
      <c r="A18412" s="35" t="s">
        <v>58181</v>
      </c>
    </row>
    <row r="18413" spans="1:1">
      <c r="A18413" s="35" t="e" cm="1">
        <f t="array" ref="A18413">------------QALKTRLSSVFQKTLNLERKIQARVLG------------------TIV</f>
        <v>#NAME?</v>
      </c>
    </row>
    <row r="18414" spans="1:1">
      <c r="A18414" s="35" t="s">
        <v>58182</v>
      </c>
    </row>
    <row r="18415" spans="1:1">
      <c r="A18415" s="35" t="e" cm="1">
        <f t="array" ref="A18415">-MTSWPMLPGGALVPLGPGWRAIGVTNLVGNIIVTKVKNEAGAVETNPG----------T</f>
        <v>#NAME?</v>
      </c>
    </row>
    <row r="18416" spans="1:1">
      <c r="A18416" s="35" t="s">
        <v>58183</v>
      </c>
    </row>
    <row r="18417" spans="1:1">
      <c r="A18417" s="35" t="s">
        <v>58184</v>
      </c>
    </row>
    <row r="18418" spans="1:1">
      <c r="A18418" s="35" t="s">
        <v>58185</v>
      </c>
    </row>
    <row r="18419" spans="1:1">
      <c r="A18419" s="35" t="s">
        <v>58186</v>
      </c>
    </row>
    <row r="18420" spans="1:1">
      <c r="A18420" s="35" t="s">
        <v>58187</v>
      </c>
    </row>
    <row r="18421" spans="1:1">
      <c r="A18421" s="35" t="s">
        <v>58188</v>
      </c>
    </row>
    <row r="18422" spans="1:1">
      <c r="A18422" s="35" t="s">
        <v>58189</v>
      </c>
    </row>
    <row r="18423" spans="1:1">
      <c r="A18423" s="35" t="s">
        <v>41057</v>
      </c>
    </row>
    <row r="18424" spans="1:1">
      <c r="A18424" s="35" t="s">
        <v>41057</v>
      </c>
    </row>
    <row r="18425" spans="1:1">
      <c r="A18425" s="35" t="e" cm="1">
        <f t="array" ref="A18425">---------------DDTI------------------WNT-------------------D</f>
        <v>#NAME?</v>
      </c>
    </row>
    <row r="18426" spans="1:1">
      <c r="A18426" s="35" t="s">
        <v>58190</v>
      </c>
    </row>
    <row r="18427" spans="1:1">
      <c r="A18427" s="35" t="s">
        <v>58191</v>
      </c>
    </row>
    <row r="18428" spans="1:1">
      <c r="A18428" s="35" t="s">
        <v>58192</v>
      </c>
    </row>
    <row r="18429" spans="1:1">
      <c r="A18429" s="35" t="s">
        <v>41057</v>
      </c>
    </row>
    <row r="18430" spans="1:1">
      <c r="A18430" s="35" t="s">
        <v>41057</v>
      </c>
    </row>
    <row r="18431" spans="1:1">
      <c r="A18431" s="35" t="s">
        <v>41057</v>
      </c>
    </row>
    <row r="18432" spans="1:1">
      <c r="A18432" s="35" t="s">
        <v>58193</v>
      </c>
    </row>
    <row r="18433" spans="1:1">
      <c r="A18433" s="35" t="s">
        <v>41057</v>
      </c>
    </row>
    <row r="18434" spans="1:1">
      <c r="A18434" s="35" t="s">
        <v>41057</v>
      </c>
    </row>
    <row r="18435" spans="1:1">
      <c r="A18435" s="35" t="s">
        <v>53500</v>
      </c>
    </row>
    <row r="18436" spans="1:1">
      <c r="A18436" s="35" t="s">
        <v>41057</v>
      </c>
    </row>
    <row r="18437" spans="1:1">
      <c r="A18437" s="35" t="s">
        <v>41057</v>
      </c>
    </row>
    <row r="18438" spans="1:1">
      <c r="A18438" s="35" t="s">
        <v>58194</v>
      </c>
    </row>
    <row r="18439" spans="1:1">
      <c r="A18439" s="35" t="s">
        <v>41057</v>
      </c>
    </row>
    <row r="18440" spans="1:1">
      <c r="A18440" s="35" t="s">
        <v>58195</v>
      </c>
    </row>
    <row r="18441" spans="1:1">
      <c r="A18441" s="35" t="s">
        <v>41057</v>
      </c>
    </row>
    <row r="18442" spans="1:1">
      <c r="A18442" s="35" t="s">
        <v>58196</v>
      </c>
    </row>
    <row r="18443" spans="1:1">
      <c r="A18443" s="35" t="s">
        <v>58197</v>
      </c>
    </row>
    <row r="18444" spans="1:1">
      <c r="A18444" s="35" t="s">
        <v>41057</v>
      </c>
    </row>
    <row r="18445" spans="1:1">
      <c r="A18445" s="35" t="s">
        <v>41057</v>
      </c>
    </row>
    <row r="18446" spans="1:1">
      <c r="A18446" s="35" t="s">
        <v>58198</v>
      </c>
    </row>
    <row r="18447" spans="1:1">
      <c r="A18447" s="35" t="s">
        <v>41057</v>
      </c>
    </row>
    <row r="18448" spans="1:1">
      <c r="A18448" s="35" t="s">
        <v>41057</v>
      </c>
    </row>
    <row r="18449" spans="1:1">
      <c r="A18449" s="35" t="s">
        <v>41057</v>
      </c>
    </row>
    <row r="18450" spans="1:1">
      <c r="A18450" s="35" t="s">
        <v>41057</v>
      </c>
    </row>
    <row r="18451" spans="1:1">
      <c r="A18451" s="35" t="s">
        <v>41057</v>
      </c>
    </row>
    <row r="18452" spans="1:1">
      <c r="A18452" s="35" t="s">
        <v>58199</v>
      </c>
    </row>
    <row r="18453" spans="1:1">
      <c r="A18453" s="35" t="s">
        <v>41057</v>
      </c>
    </row>
    <row r="18454" spans="1:1">
      <c r="A18454" s="35" t="s">
        <v>41057</v>
      </c>
    </row>
    <row r="18455" spans="1:1">
      <c r="A18455" s="35" t="s">
        <v>41057</v>
      </c>
    </row>
    <row r="18456" spans="1:1">
      <c r="A18456" s="35" t="s">
        <v>41057</v>
      </c>
    </row>
    <row r="18457" spans="1:1">
      <c r="A18457" s="35" t="s">
        <v>41057</v>
      </c>
    </row>
    <row r="18458" spans="1:1">
      <c r="A18458" s="35" t="s">
        <v>41057</v>
      </c>
    </row>
    <row r="18459" spans="1:1">
      <c r="A18459" s="35" t="s">
        <v>41057</v>
      </c>
    </row>
    <row r="18460" spans="1:1">
      <c r="A18460" s="35" t="s">
        <v>41057</v>
      </c>
    </row>
    <row r="18461" spans="1:1">
      <c r="A18461" s="35" t="s">
        <v>41057</v>
      </c>
    </row>
    <row r="18462" spans="1:1">
      <c r="A18462" s="35" t="s">
        <v>41057</v>
      </c>
    </row>
    <row r="18463" spans="1:1">
      <c r="A18463" s="35" t="s">
        <v>41057</v>
      </c>
    </row>
    <row r="18464" spans="1:1">
      <c r="A18464" s="35" t="s">
        <v>41057</v>
      </c>
    </row>
    <row r="18465" spans="1:1">
      <c r="A18465" s="35" t="s">
        <v>41057</v>
      </c>
    </row>
    <row r="18466" spans="1:1">
      <c r="A18466" s="35" t="s">
        <v>41057</v>
      </c>
    </row>
    <row r="18467" spans="1:1">
      <c r="A18467" s="35" t="s">
        <v>41057</v>
      </c>
    </row>
    <row r="18468" spans="1:1">
      <c r="A18468" s="35" t="s">
        <v>41057</v>
      </c>
    </row>
    <row r="18469" spans="1:1">
      <c r="A18469" s="35" t="s">
        <v>41057</v>
      </c>
    </row>
    <row r="18470" spans="1:1">
      <c r="A18470" s="35" t="s">
        <v>41057</v>
      </c>
    </row>
    <row r="18471" spans="1:1">
      <c r="A18471" s="35" t="s">
        <v>41057</v>
      </c>
    </row>
    <row r="18472" spans="1:1">
      <c r="A18472" s="35" t="s">
        <v>41057</v>
      </c>
    </row>
    <row r="18473" spans="1:1">
      <c r="A18473" s="35" t="s">
        <v>41057</v>
      </c>
    </row>
    <row r="18474" spans="1:1">
      <c r="A18474" s="35" t="s">
        <v>41057</v>
      </c>
    </row>
    <row r="18475" spans="1:1">
      <c r="A18475" s="35" t="s">
        <v>41057</v>
      </c>
    </row>
    <row r="18476" spans="1:1">
      <c r="A18476" s="35" t="s">
        <v>41057</v>
      </c>
    </row>
    <row r="18477" spans="1:1">
      <c r="A18477" s="35" t="s">
        <v>41057</v>
      </c>
    </row>
    <row r="18478" spans="1:1">
      <c r="A18478" s="35" t="s">
        <v>41057</v>
      </c>
    </row>
    <row r="18479" spans="1:1">
      <c r="A18479" s="35" t="e" cm="1">
        <f t="array" ref="A18479">--------------------------------------------------YVNQV---GR</f>
        <v>#NAME?</v>
      </c>
    </row>
    <row r="18480" spans="1:1">
      <c r="A18480" s="35" t="s">
        <v>58200</v>
      </c>
    </row>
    <row r="18481" spans="1:1">
      <c r="A18481" s="35" t="e" cm="1">
        <f t="array" ref="A18481">---------------DDWFFIKDQVFL---------DSDE------------------QT</f>
        <v>#NAME?</v>
      </c>
    </row>
    <row r="18482" spans="1:1">
      <c r="A18482" s="35" t="s">
        <v>58201</v>
      </c>
    </row>
    <row r="18483" spans="1:1">
      <c r="A18483" s="35" t="s">
        <v>41057</v>
      </c>
    </row>
    <row r="18484" spans="1:1">
      <c r="A18484" s="35" t="s">
        <v>41057</v>
      </c>
    </row>
    <row r="18485" spans="1:1">
      <c r="A18485" s="35" t="s">
        <v>58202</v>
      </c>
    </row>
    <row r="18486" spans="1:1">
      <c r="A18486" s="35" t="s">
        <v>41057</v>
      </c>
    </row>
    <row r="18487" spans="1:1">
      <c r="A18487" s="35" t="s">
        <v>58203</v>
      </c>
    </row>
    <row r="18488" spans="1:1">
      <c r="A18488" s="35" t="s">
        <v>58204</v>
      </c>
    </row>
    <row r="18489" spans="1:1">
      <c r="A18489" s="35" t="s">
        <v>58205</v>
      </c>
    </row>
    <row r="18490" spans="1:1">
      <c r="A18490" s="35" t="s">
        <v>41057</v>
      </c>
    </row>
    <row r="18491" spans="1:1">
      <c r="A18491" s="35" t="s">
        <v>41057</v>
      </c>
    </row>
    <row r="18492" spans="1:1">
      <c r="A18492" s="35" t="s">
        <v>41057</v>
      </c>
    </row>
    <row r="18493" spans="1:1">
      <c r="A18493" s="35" t="s">
        <v>41057</v>
      </c>
    </row>
    <row r="18494" spans="1:1">
      <c r="A18494" s="35" t="s">
        <v>41057</v>
      </c>
    </row>
    <row r="18495" spans="1:1">
      <c r="A18495" s="35" t="s">
        <v>41057</v>
      </c>
    </row>
    <row r="18496" spans="1:1">
      <c r="A18496" s="35" t="s">
        <v>58206</v>
      </c>
    </row>
    <row r="18497" spans="1:1">
      <c r="A18497" s="35" t="s">
        <v>58207</v>
      </c>
    </row>
    <row r="18498" spans="1:1">
      <c r="A18498" s="35" t="s">
        <v>58208</v>
      </c>
    </row>
    <row r="18499" spans="1:1">
      <c r="A18499" s="35" t="s">
        <v>58209</v>
      </c>
    </row>
    <row r="18500" spans="1:1">
      <c r="A18500" s="35" t="s">
        <v>41057</v>
      </c>
    </row>
    <row r="18501" spans="1:1">
      <c r="A18501" s="35" t="s">
        <v>41057</v>
      </c>
    </row>
    <row r="18502" spans="1:1">
      <c r="A18502" s="35" t="s">
        <v>41057</v>
      </c>
    </row>
    <row r="18503" spans="1:1">
      <c r="A18503" s="35" t="s">
        <v>41057</v>
      </c>
    </row>
    <row r="18504" spans="1:1">
      <c r="A18504" s="35" t="s">
        <v>41057</v>
      </c>
    </row>
    <row r="18505" spans="1:1">
      <c r="A18505" s="35" t="s">
        <v>58210</v>
      </c>
    </row>
    <row r="18506" spans="1:1">
      <c r="A18506" s="35" t="s">
        <v>41057</v>
      </c>
    </row>
    <row r="18507" spans="1:1">
      <c r="A18507" s="35" t="s">
        <v>41057</v>
      </c>
    </row>
    <row r="18508" spans="1:1">
      <c r="A18508" s="35" t="s">
        <v>41057</v>
      </c>
    </row>
    <row r="18509" spans="1:1">
      <c r="A18509" s="35" t="s">
        <v>58211</v>
      </c>
    </row>
    <row r="18510" spans="1:1">
      <c r="A18510" s="35" t="s">
        <v>58212</v>
      </c>
    </row>
    <row r="18511" spans="1:1">
      <c r="A18511" s="35" t="s">
        <v>41057</v>
      </c>
    </row>
    <row r="18512" spans="1:1">
      <c r="A18512" s="35" t="s">
        <v>41057</v>
      </c>
    </row>
    <row r="18513" spans="1:1">
      <c r="A18513" s="35" t="s">
        <v>41057</v>
      </c>
    </row>
    <row r="18514" spans="1:1">
      <c r="A18514" s="35" t="e" cm="1">
        <f t="array" ref="A18514">---------------------TS-------------------------GTSYFVDPIETA</f>
        <v>#NAME?</v>
      </c>
    </row>
    <row r="18515" spans="1:1">
      <c r="A18515" s="35" t="s">
        <v>58213</v>
      </c>
    </row>
    <row r="18516" spans="1:1">
      <c r="A18516" s="35" t="s">
        <v>58214</v>
      </c>
    </row>
    <row r="18517" spans="1:1">
      <c r="A18517" s="35" t="s">
        <v>58215</v>
      </c>
    </row>
    <row r="18518" spans="1:1">
      <c r="A18518" s="35" t="s">
        <v>58216</v>
      </c>
    </row>
    <row r="18519" spans="1:1">
      <c r="A18519" s="35" t="s">
        <v>58217</v>
      </c>
    </row>
    <row r="18520" spans="1:1">
      <c r="A18520" s="35" t="s">
        <v>58218</v>
      </c>
    </row>
    <row r="18521" spans="1:1">
      <c r="A18521" s="35" t="s">
        <v>41057</v>
      </c>
    </row>
    <row r="18522" spans="1:1">
      <c r="A18522" s="35" t="s">
        <v>58219</v>
      </c>
    </row>
    <row r="18523" spans="1:1">
      <c r="A18523" s="35" t="s">
        <v>58220</v>
      </c>
    </row>
    <row r="18524" spans="1:1">
      <c r="A18524" s="35" t="s">
        <v>58221</v>
      </c>
    </row>
    <row r="18525" spans="1:1">
      <c r="A18525" s="35" t="s">
        <v>41057</v>
      </c>
    </row>
    <row r="18526" spans="1:1">
      <c r="A18526" s="35" t="s">
        <v>53545</v>
      </c>
    </row>
    <row r="18527" spans="1:1">
      <c r="A18527" s="35" t="s">
        <v>52630</v>
      </c>
    </row>
    <row r="18528" spans="1:1">
      <c r="A18528" s="35" t="s">
        <v>41057</v>
      </c>
    </row>
    <row r="18529" spans="1:1">
      <c r="A18529" s="35" t="s">
        <v>41057</v>
      </c>
    </row>
    <row r="18530" spans="1:1">
      <c r="A18530" s="35" t="s">
        <v>41057</v>
      </c>
    </row>
    <row r="18531" spans="1:1">
      <c r="A18531" s="35" t="s">
        <v>41057</v>
      </c>
    </row>
    <row r="18532" spans="1:1">
      <c r="A18532" s="35" t="s">
        <v>41057</v>
      </c>
    </row>
    <row r="18533" spans="1:1">
      <c r="A18533" s="35" t="s">
        <v>58222</v>
      </c>
    </row>
    <row r="18534" spans="1:1">
      <c r="A18534" s="35" t="s">
        <v>41057</v>
      </c>
    </row>
    <row r="18535" spans="1:1">
      <c r="A18535" s="35" t="s">
        <v>41057</v>
      </c>
    </row>
    <row r="18536" spans="1:1">
      <c r="A18536" s="35" t="s">
        <v>41057</v>
      </c>
    </row>
    <row r="18537" spans="1:1">
      <c r="A18537" s="35" t="s">
        <v>58223</v>
      </c>
    </row>
    <row r="18538" spans="1:1">
      <c r="A18538" s="35" t="s">
        <v>58224</v>
      </c>
    </row>
    <row r="18539" spans="1:1">
      <c r="A18539" s="35" t="s">
        <v>58225</v>
      </c>
    </row>
    <row r="18540" spans="1:1">
      <c r="A18540" s="35" t="s">
        <v>58226</v>
      </c>
    </row>
    <row r="18541" spans="1:1">
      <c r="A18541" s="35" t="s">
        <v>41057</v>
      </c>
    </row>
    <row r="18542" spans="1:1">
      <c r="A18542" s="35" t="s">
        <v>58227</v>
      </c>
    </row>
    <row r="18543" spans="1:1">
      <c r="A18543" s="35" t="e" cm="1">
        <f t="array" ref="A18543">---------------DQSI------------------FNY-------------------N</f>
        <v>#NAME?</v>
      </c>
    </row>
    <row r="18544" spans="1:1">
      <c r="A18544" s="35" t="s">
        <v>58228</v>
      </c>
    </row>
    <row r="18545" spans="1:1">
      <c r="A18545" s="35" t="s">
        <v>58229</v>
      </c>
    </row>
    <row r="18546" spans="1:1">
      <c r="A18546" s="35" t="s">
        <v>41057</v>
      </c>
    </row>
    <row r="18547" spans="1:1">
      <c r="A18547" s="35" t="s">
        <v>58230</v>
      </c>
    </row>
    <row r="18548" spans="1:1">
      <c r="A18548" s="35" t="s">
        <v>41057</v>
      </c>
    </row>
    <row r="18549" spans="1:1">
      <c r="A18549" s="35" t="s">
        <v>41057</v>
      </c>
    </row>
    <row r="18550" spans="1:1">
      <c r="A18550" s="35" t="s">
        <v>58231</v>
      </c>
    </row>
    <row r="18551" spans="1:1">
      <c r="A18551" s="35" t="s">
        <v>41057</v>
      </c>
    </row>
    <row r="18552" spans="1:1">
      <c r="A18552" s="35" t="s">
        <v>41057</v>
      </c>
    </row>
    <row r="18553" spans="1:1">
      <c r="A18553" s="35" t="s">
        <v>55207</v>
      </c>
    </row>
    <row r="18554" spans="1:1">
      <c r="A18554" s="35" t="s">
        <v>41057</v>
      </c>
    </row>
    <row r="18555" spans="1:1">
      <c r="A18555" s="35" t="s">
        <v>41057</v>
      </c>
    </row>
    <row r="18556" spans="1:1">
      <c r="A18556" s="35" t="s">
        <v>58232</v>
      </c>
    </row>
    <row r="18557" spans="1:1">
      <c r="A18557" s="35" t="s">
        <v>41057</v>
      </c>
    </row>
    <row r="18558" spans="1:1">
      <c r="A18558" s="35" t="s">
        <v>58233</v>
      </c>
    </row>
    <row r="18559" spans="1:1">
      <c r="A18559" s="35" t="s">
        <v>41057</v>
      </c>
    </row>
    <row r="18560" spans="1:1">
      <c r="A18560" s="35" t="s">
        <v>58234</v>
      </c>
    </row>
    <row r="18561" spans="1:1">
      <c r="A18561" s="35" t="s">
        <v>58235</v>
      </c>
    </row>
    <row r="18562" spans="1:1">
      <c r="A18562" s="35" t="s">
        <v>41057</v>
      </c>
    </row>
    <row r="18563" spans="1:1">
      <c r="A18563" s="35" t="s">
        <v>41057</v>
      </c>
    </row>
    <row r="18564" spans="1:1">
      <c r="A18564" s="35" t="s">
        <v>56509</v>
      </c>
    </row>
    <row r="18565" spans="1:1">
      <c r="A18565" s="35" t="s">
        <v>41057</v>
      </c>
    </row>
    <row r="18566" spans="1:1">
      <c r="A18566" s="35" t="s">
        <v>41057</v>
      </c>
    </row>
    <row r="18567" spans="1:1">
      <c r="A18567" s="35" t="s">
        <v>41057</v>
      </c>
    </row>
    <row r="18568" spans="1:1">
      <c r="A18568" s="35" t="s">
        <v>41057</v>
      </c>
    </row>
    <row r="18569" spans="1:1">
      <c r="A18569" s="35" t="s">
        <v>41057</v>
      </c>
    </row>
    <row r="18570" spans="1:1">
      <c r="A18570" s="35" t="s">
        <v>58236</v>
      </c>
    </row>
    <row r="18571" spans="1:1">
      <c r="A18571" s="35" t="s">
        <v>41057</v>
      </c>
    </row>
    <row r="18572" spans="1:1">
      <c r="A18572" s="35" t="s">
        <v>41057</v>
      </c>
    </row>
    <row r="18573" spans="1:1">
      <c r="A18573" s="35" t="s">
        <v>41057</v>
      </c>
    </row>
    <row r="18574" spans="1:1">
      <c r="A18574" s="35" t="s">
        <v>41057</v>
      </c>
    </row>
    <row r="18575" spans="1:1">
      <c r="A18575" s="35" t="s">
        <v>41057</v>
      </c>
    </row>
    <row r="18576" spans="1:1">
      <c r="A18576" s="35" t="s">
        <v>41057</v>
      </c>
    </row>
    <row r="18577" spans="1:1">
      <c r="A18577" s="35" t="s">
        <v>41057</v>
      </c>
    </row>
    <row r="18578" spans="1:1">
      <c r="A18578" s="35" t="s">
        <v>41057</v>
      </c>
    </row>
    <row r="18579" spans="1:1">
      <c r="A18579" s="35" t="s">
        <v>41057</v>
      </c>
    </row>
    <row r="18580" spans="1:1">
      <c r="A18580" s="35" t="s">
        <v>41057</v>
      </c>
    </row>
    <row r="18581" spans="1:1">
      <c r="A18581" s="35" t="s">
        <v>41057</v>
      </c>
    </row>
    <row r="18582" spans="1:1">
      <c r="A18582" s="35" t="s">
        <v>41057</v>
      </c>
    </row>
    <row r="18583" spans="1:1">
      <c r="A18583" s="35" t="s">
        <v>41057</v>
      </c>
    </row>
    <row r="18584" spans="1:1">
      <c r="A18584" s="35" t="s">
        <v>41057</v>
      </c>
    </row>
    <row r="18585" spans="1:1">
      <c r="A18585" s="35" t="s">
        <v>41057</v>
      </c>
    </row>
    <row r="18586" spans="1:1">
      <c r="A18586" s="35" t="s">
        <v>41057</v>
      </c>
    </row>
    <row r="18587" spans="1:1">
      <c r="A18587" s="35" t="s">
        <v>41057</v>
      </c>
    </row>
    <row r="18588" spans="1:1">
      <c r="A18588" s="35" t="s">
        <v>41057</v>
      </c>
    </row>
    <row r="18589" spans="1:1">
      <c r="A18589" s="35" t="s">
        <v>41057</v>
      </c>
    </row>
    <row r="18590" spans="1:1">
      <c r="A18590" s="35" t="s">
        <v>41057</v>
      </c>
    </row>
    <row r="18591" spans="1:1">
      <c r="A18591" s="35" t="s">
        <v>41057</v>
      </c>
    </row>
    <row r="18592" spans="1:1">
      <c r="A18592" s="35" t="s">
        <v>41057</v>
      </c>
    </row>
    <row r="18593" spans="1:1">
      <c r="A18593" s="35" t="s">
        <v>41057</v>
      </c>
    </row>
    <row r="18594" spans="1:1">
      <c r="A18594" s="35" t="s">
        <v>41057</v>
      </c>
    </row>
    <row r="18595" spans="1:1">
      <c r="A18595" s="35" t="s">
        <v>41057</v>
      </c>
    </row>
    <row r="18596" spans="1:1">
      <c r="A18596" s="35" t="s">
        <v>41057</v>
      </c>
    </row>
    <row r="18597" spans="1:1">
      <c r="A18597" s="35" t="e" cm="1">
        <f t="array" ref="A18597">--------------------------------------------------YSDQV---GR</f>
        <v>#NAME?</v>
      </c>
    </row>
    <row r="18598" spans="1:1">
      <c r="A18598" s="35" t="s">
        <v>58237</v>
      </c>
    </row>
    <row r="18599" spans="1:1">
      <c r="A18599" s="35" t="e" cm="1">
        <f t="array" ref="A18599">---------------DDWMVIHDELYL---------EVSE------------------KV</f>
        <v>#NAME?</v>
      </c>
    </row>
    <row r="18600" spans="1:1">
      <c r="A18600" s="35" t="s">
        <v>58238</v>
      </c>
    </row>
    <row r="18601" spans="1:1">
      <c r="A18601" s="35" t="s">
        <v>41057</v>
      </c>
    </row>
    <row r="18602" spans="1:1">
      <c r="A18602" s="35" t="s">
        <v>41057</v>
      </c>
    </row>
    <row r="18603" spans="1:1">
      <c r="A18603" s="35" t="s">
        <v>58239</v>
      </c>
    </row>
    <row r="18604" spans="1:1">
      <c r="A18604" s="35" t="s">
        <v>41057</v>
      </c>
    </row>
    <row r="18605" spans="1:1">
      <c r="A18605" s="35" t="s">
        <v>58240</v>
      </c>
    </row>
    <row r="18606" spans="1:1">
      <c r="A18606" s="35" t="s">
        <v>58241</v>
      </c>
    </row>
    <row r="18607" spans="1:1">
      <c r="A18607" s="35" t="s">
        <v>58242</v>
      </c>
    </row>
    <row r="18608" spans="1:1">
      <c r="A18608" s="35" t="s">
        <v>41057</v>
      </c>
    </row>
    <row r="18609" spans="1:1">
      <c r="A18609" s="35" t="s">
        <v>41057</v>
      </c>
    </row>
    <row r="18610" spans="1:1">
      <c r="A18610" s="35" t="s">
        <v>41057</v>
      </c>
    </row>
    <row r="18611" spans="1:1">
      <c r="A18611" s="35" t="s">
        <v>41057</v>
      </c>
    </row>
    <row r="18612" spans="1:1">
      <c r="A18612" s="35" t="s">
        <v>41057</v>
      </c>
    </row>
    <row r="18613" spans="1:1">
      <c r="A18613" s="35" t="s">
        <v>41057</v>
      </c>
    </row>
    <row r="18614" spans="1:1">
      <c r="A18614" s="35" t="s">
        <v>58243</v>
      </c>
    </row>
    <row r="18615" spans="1:1">
      <c r="A18615" s="35" t="s">
        <v>58244</v>
      </c>
    </row>
    <row r="18616" spans="1:1">
      <c r="A18616" s="35" t="s">
        <v>58245</v>
      </c>
    </row>
    <row r="18617" spans="1:1">
      <c r="A18617" s="35" t="s">
        <v>58246</v>
      </c>
    </row>
    <row r="18618" spans="1:1">
      <c r="A18618" s="35" t="s">
        <v>58247</v>
      </c>
    </row>
    <row r="18619" spans="1:1">
      <c r="A18619" s="35" t="s">
        <v>41057</v>
      </c>
    </row>
    <row r="18620" spans="1:1">
      <c r="A18620" s="35" t="s">
        <v>41057</v>
      </c>
    </row>
    <row r="18621" spans="1:1">
      <c r="A18621" s="35" t="s">
        <v>55184</v>
      </c>
    </row>
    <row r="18622" spans="1:1">
      <c r="A18622" s="35" t="s">
        <v>41057</v>
      </c>
    </row>
    <row r="18623" spans="1:1">
      <c r="A18623" s="35" t="e" cm="1">
        <f t="array" ref="A18623">---QTNLVPNSR----VKSIHWFLRNSRFEDTSVSALPVEFDTYKIYVRDIASGTGVNQF</f>
        <v>#NAME?</v>
      </c>
    </row>
    <row r="18624" spans="1:1">
      <c r="A18624" s="35" t="s">
        <v>58248</v>
      </c>
    </row>
    <row r="18625" spans="1:1">
      <c r="A18625" s="35" t="e" cm="1">
        <f t="array" ref="A18625">---------------DP----FSTEYNIVPWTNLTPS---TADGSEIITVKIPANSFIEK</f>
        <v>#NAME?</v>
      </c>
    </row>
    <row r="18626" spans="1:1">
      <c r="A18626" s="35" t="s">
        <v>58249</v>
      </c>
    </row>
    <row r="18627" spans="1:1">
      <c r="A18627" s="35" t="e" cm="1">
        <f t="array" ref="A18627">------------YTTDSSRVISGKRYTNI-------PGFD-IVKNDEKTPILLTTNPISD</f>
        <v>#NAME?</v>
      </c>
    </row>
    <row r="18628" spans="1:1">
      <c r="A18628" s="35" t="s">
        <v>58250</v>
      </c>
    </row>
    <row r="18629" spans="1:1">
      <c r="A18629" s="35" t="s">
        <v>41057</v>
      </c>
    </row>
    <row r="18630" spans="1:1">
      <c r="A18630" s="35" t="s">
        <v>41057</v>
      </c>
    </row>
    <row r="18631" spans="1:1">
      <c r="A18631" s="35" t="s">
        <v>58251</v>
      </c>
    </row>
    <row r="18632" spans="1:1">
      <c r="A18632" s="35" t="e" cm="1">
        <f t="array" ref="A18632">------------------------------------------------AFSFFNPVMKKA</f>
        <v>#NAME?</v>
      </c>
    </row>
    <row r="18633" spans="1:1">
      <c r="A18633" s="35" t="s">
        <v>58252</v>
      </c>
    </row>
    <row r="18634" spans="1:1">
      <c r="A18634" s="35" t="s">
        <v>58253</v>
      </c>
    </row>
    <row r="18635" spans="1:1">
      <c r="A18635" s="35" t="s">
        <v>58254</v>
      </c>
    </row>
    <row r="18636" spans="1:1">
      <c r="A18636" s="35" t="s">
        <v>58255</v>
      </c>
    </row>
    <row r="18637" spans="1:1">
      <c r="A18637" s="35" t="s">
        <v>58256</v>
      </c>
    </row>
    <row r="18638" spans="1:1">
      <c r="A18638" s="35" t="s">
        <v>58257</v>
      </c>
    </row>
    <row r="18639" spans="1:1">
      <c r="A18639" s="35" t="s">
        <v>41057</v>
      </c>
    </row>
    <row r="18640" spans="1:1">
      <c r="A18640" s="35" t="s">
        <v>58258</v>
      </c>
    </row>
    <row r="18641" spans="1:1">
      <c r="A18641" s="35" t="s">
        <v>58259</v>
      </c>
    </row>
    <row r="18642" spans="1:1">
      <c r="A18642" s="35" t="s">
        <v>58260</v>
      </c>
    </row>
    <row r="18643" spans="1:1">
      <c r="A18643" s="35" t="s">
        <v>41057</v>
      </c>
    </row>
    <row r="18644" spans="1:1">
      <c r="A18644" s="35" t="s">
        <v>53545</v>
      </c>
    </row>
    <row r="18645" spans="1:1">
      <c r="A18645" s="35" t="s">
        <v>52642</v>
      </c>
    </row>
    <row r="18646" spans="1:1">
      <c r="A18646" s="35" t="s">
        <v>41057</v>
      </c>
    </row>
    <row r="18647" spans="1:1">
      <c r="A18647" s="35" t="s">
        <v>41057</v>
      </c>
    </row>
    <row r="18648" spans="1:1">
      <c r="A18648" s="35" t="s">
        <v>41057</v>
      </c>
    </row>
    <row r="18649" spans="1:1">
      <c r="A18649" s="35" t="s">
        <v>41057</v>
      </c>
    </row>
    <row r="18650" spans="1:1">
      <c r="A18650" s="35" t="s">
        <v>41057</v>
      </c>
    </row>
    <row r="18651" spans="1:1">
      <c r="A18651" s="35" t="s">
        <v>54478</v>
      </c>
    </row>
    <row r="18652" spans="1:1">
      <c r="A18652" s="35" t="s">
        <v>41057</v>
      </c>
    </row>
    <row r="18653" spans="1:1">
      <c r="A18653" s="35" t="s">
        <v>41057</v>
      </c>
    </row>
    <row r="18654" spans="1:1">
      <c r="A18654" s="35" t="s">
        <v>41057</v>
      </c>
    </row>
    <row r="18655" spans="1:1">
      <c r="A18655" s="35" t="s">
        <v>58261</v>
      </c>
    </row>
    <row r="18656" spans="1:1">
      <c r="A18656" s="35" t="s">
        <v>58262</v>
      </c>
    </row>
    <row r="18657" spans="1:1">
      <c r="A18657" s="35" t="s">
        <v>58263</v>
      </c>
    </row>
    <row r="18658" spans="1:1">
      <c r="A18658" s="35" t="s">
        <v>58264</v>
      </c>
    </row>
    <row r="18659" spans="1:1">
      <c r="A18659" s="35" t="s">
        <v>41057</v>
      </c>
    </row>
    <row r="18660" spans="1:1">
      <c r="A18660" s="35" t="s">
        <v>41057</v>
      </c>
    </row>
    <row r="18661" spans="1:1">
      <c r="A18661" s="35" t="e" cm="1">
        <f t="array" ref="A18661">---------------DESF------------------FNYT------------------T</f>
        <v>#NAME?</v>
      </c>
    </row>
    <row r="18662" spans="1:1">
      <c r="A18662" s="35" t="s">
        <v>58265</v>
      </c>
    </row>
    <row r="18663" spans="1:1">
      <c r="A18663" s="35" t="s">
        <v>58266</v>
      </c>
    </row>
    <row r="18664" spans="1:1">
      <c r="A18664" s="35" t="s">
        <v>41057</v>
      </c>
    </row>
    <row r="18665" spans="1:1">
      <c r="A18665" s="35" t="s">
        <v>58267</v>
      </c>
    </row>
    <row r="18666" spans="1:1">
      <c r="A18666" s="35" t="s">
        <v>41057</v>
      </c>
    </row>
    <row r="18667" spans="1:1">
      <c r="A18667" s="35" t="s">
        <v>41057</v>
      </c>
    </row>
    <row r="18668" spans="1:1">
      <c r="A18668" s="35" t="s">
        <v>58268</v>
      </c>
    </row>
    <row r="18669" spans="1:1">
      <c r="A18669" s="35" t="s">
        <v>41057</v>
      </c>
    </row>
    <row r="18670" spans="1:1">
      <c r="A18670" s="35" t="s">
        <v>41057</v>
      </c>
    </row>
    <row r="18671" spans="1:1">
      <c r="A18671" s="35" t="s">
        <v>53500</v>
      </c>
    </row>
    <row r="18672" spans="1:1">
      <c r="A18672" s="35" t="s">
        <v>41057</v>
      </c>
    </row>
    <row r="18673" spans="1:1">
      <c r="A18673" s="35" t="s">
        <v>41057</v>
      </c>
    </row>
    <row r="18674" spans="1:1">
      <c r="A18674" s="35" t="s">
        <v>58269</v>
      </c>
    </row>
    <row r="18675" spans="1:1">
      <c r="A18675" s="35" t="s">
        <v>41057</v>
      </c>
    </row>
    <row r="18676" spans="1:1">
      <c r="A18676" s="35" t="s">
        <v>58270</v>
      </c>
    </row>
    <row r="18677" spans="1:1">
      <c r="A18677" s="35" t="s">
        <v>41057</v>
      </c>
    </row>
    <row r="18678" spans="1:1">
      <c r="A18678" s="35" t="s">
        <v>58234</v>
      </c>
    </row>
    <row r="18679" spans="1:1">
      <c r="A18679" s="35" t="s">
        <v>58271</v>
      </c>
    </row>
    <row r="18680" spans="1:1">
      <c r="A18680" s="35" t="s">
        <v>41057</v>
      </c>
    </row>
    <row r="18681" spans="1:1">
      <c r="A18681" s="35" t="s">
        <v>41057</v>
      </c>
    </row>
    <row r="18682" spans="1:1">
      <c r="A18682" s="35" t="s">
        <v>53719</v>
      </c>
    </row>
    <row r="18683" spans="1:1">
      <c r="A18683" s="35" t="s">
        <v>41057</v>
      </c>
    </row>
    <row r="18684" spans="1:1">
      <c r="A18684" s="35" t="s">
        <v>41057</v>
      </c>
    </row>
    <row r="18685" spans="1:1">
      <c r="A18685" s="35" t="s">
        <v>41057</v>
      </c>
    </row>
    <row r="18686" spans="1:1">
      <c r="A18686" s="35" t="s">
        <v>41057</v>
      </c>
    </row>
    <row r="18687" spans="1:1">
      <c r="A18687" s="35" t="s">
        <v>41057</v>
      </c>
    </row>
    <row r="18688" spans="1:1">
      <c r="A18688" s="35" t="s">
        <v>58272</v>
      </c>
    </row>
    <row r="18689" spans="1:1">
      <c r="A18689" s="35" t="s">
        <v>41057</v>
      </c>
    </row>
    <row r="18690" spans="1:1">
      <c r="A18690" s="35" t="s">
        <v>41057</v>
      </c>
    </row>
    <row r="18691" spans="1:1">
      <c r="A18691" s="35" t="s">
        <v>41057</v>
      </c>
    </row>
    <row r="18692" spans="1:1">
      <c r="A18692" s="35" t="s">
        <v>41057</v>
      </c>
    </row>
    <row r="18693" spans="1:1">
      <c r="A18693" s="35" t="s">
        <v>41057</v>
      </c>
    </row>
    <row r="18694" spans="1:1">
      <c r="A18694" s="35" t="s">
        <v>41057</v>
      </c>
    </row>
    <row r="18695" spans="1:1">
      <c r="A18695" s="35" t="s">
        <v>41057</v>
      </c>
    </row>
    <row r="18696" spans="1:1">
      <c r="A18696" s="35" t="s">
        <v>41057</v>
      </c>
    </row>
    <row r="18697" spans="1:1">
      <c r="A18697" s="35" t="s">
        <v>41057</v>
      </c>
    </row>
    <row r="18698" spans="1:1">
      <c r="A18698" s="35" t="s">
        <v>41057</v>
      </c>
    </row>
    <row r="18699" spans="1:1">
      <c r="A18699" s="35" t="s">
        <v>41057</v>
      </c>
    </row>
    <row r="18700" spans="1:1">
      <c r="A18700" s="35" t="s">
        <v>41057</v>
      </c>
    </row>
    <row r="18701" spans="1:1">
      <c r="A18701" s="35" t="s">
        <v>41057</v>
      </c>
    </row>
    <row r="18702" spans="1:1">
      <c r="A18702" s="35" t="s">
        <v>41057</v>
      </c>
    </row>
    <row r="18703" spans="1:1">
      <c r="A18703" s="35" t="s">
        <v>41057</v>
      </c>
    </row>
    <row r="18704" spans="1:1">
      <c r="A18704" s="35" t="s">
        <v>41057</v>
      </c>
    </row>
    <row r="18705" spans="1:1">
      <c r="A18705" s="35" t="s">
        <v>41057</v>
      </c>
    </row>
    <row r="18706" spans="1:1">
      <c r="A18706" s="35" t="s">
        <v>41057</v>
      </c>
    </row>
    <row r="18707" spans="1:1">
      <c r="A18707" s="35" t="s">
        <v>41057</v>
      </c>
    </row>
    <row r="18708" spans="1:1">
      <c r="A18708" s="35" t="s">
        <v>41057</v>
      </c>
    </row>
    <row r="18709" spans="1:1">
      <c r="A18709" s="35" t="s">
        <v>41057</v>
      </c>
    </row>
    <row r="18710" spans="1:1">
      <c r="A18710" s="35" t="s">
        <v>41057</v>
      </c>
    </row>
    <row r="18711" spans="1:1">
      <c r="A18711" s="35" t="s">
        <v>41057</v>
      </c>
    </row>
    <row r="18712" spans="1:1">
      <c r="A18712" s="35" t="s">
        <v>41057</v>
      </c>
    </row>
    <row r="18713" spans="1:1">
      <c r="A18713" s="35" t="s">
        <v>41057</v>
      </c>
    </row>
    <row r="18714" spans="1:1">
      <c r="A18714" s="35" t="s">
        <v>41057</v>
      </c>
    </row>
    <row r="18715" spans="1:1">
      <c r="A18715" s="35" t="e" cm="1">
        <f t="array" ref="A18715">-------------------------------------------------NYADQL---GR</f>
        <v>#NAME?</v>
      </c>
    </row>
    <row r="18716" spans="1:1">
      <c r="A18716" s="35" t="s">
        <v>58273</v>
      </c>
    </row>
    <row r="18717" spans="1:1">
      <c r="A18717" s="35" t="e" cm="1">
        <f t="array" ref="A18717">---------------DDWGIIYDDLYL---------ETSE------------------KV</f>
        <v>#NAME?</v>
      </c>
    </row>
    <row r="18718" spans="1:1">
      <c r="A18718" s="35" t="s">
        <v>58274</v>
      </c>
    </row>
    <row r="18719" spans="1:1">
      <c r="A18719" s="35" t="s">
        <v>58275</v>
      </c>
    </row>
    <row r="18720" spans="1:1">
      <c r="A18720" s="35" t="s">
        <v>41057</v>
      </c>
    </row>
    <row r="18721" spans="1:1">
      <c r="A18721" s="35" t="s">
        <v>58276</v>
      </c>
    </row>
    <row r="18722" spans="1:1">
      <c r="A18722" s="35" t="s">
        <v>41057</v>
      </c>
    </row>
    <row r="18723" spans="1:1">
      <c r="A18723" s="35" t="s">
        <v>58277</v>
      </c>
    </row>
    <row r="18724" spans="1:1">
      <c r="A18724" s="35" t="s">
        <v>58278</v>
      </c>
    </row>
    <row r="18725" spans="1:1">
      <c r="A18725" s="35" t="s">
        <v>58279</v>
      </c>
    </row>
    <row r="18726" spans="1:1">
      <c r="A18726" s="35" t="s">
        <v>41057</v>
      </c>
    </row>
    <row r="18727" spans="1:1">
      <c r="A18727" s="35" t="s">
        <v>41057</v>
      </c>
    </row>
    <row r="18728" spans="1:1">
      <c r="A18728" s="35" t="s">
        <v>41057</v>
      </c>
    </row>
    <row r="18729" spans="1:1">
      <c r="A18729" s="35" t="s">
        <v>41057</v>
      </c>
    </row>
    <row r="18730" spans="1:1">
      <c r="A18730" s="35" t="s">
        <v>58280</v>
      </c>
    </row>
    <row r="18731" spans="1:1">
      <c r="A18731" s="35" t="s">
        <v>41057</v>
      </c>
    </row>
    <row r="18732" spans="1:1">
      <c r="A18732" s="35" t="s">
        <v>58281</v>
      </c>
    </row>
    <row r="18733" spans="1:1">
      <c r="A18733" s="35" t="s">
        <v>58282</v>
      </c>
    </row>
    <row r="18734" spans="1:1">
      <c r="A18734" s="35" t="s">
        <v>58283</v>
      </c>
    </row>
    <row r="18735" spans="1:1">
      <c r="A18735" s="35" t="s">
        <v>58284</v>
      </c>
    </row>
    <row r="18736" spans="1:1">
      <c r="A18736" s="35" t="s">
        <v>41057</v>
      </c>
    </row>
    <row r="18737" spans="1:1">
      <c r="A18737" s="35" t="s">
        <v>41057</v>
      </c>
    </row>
    <row r="18738" spans="1:1">
      <c r="A18738" s="35" t="s">
        <v>41057</v>
      </c>
    </row>
    <row r="18739" spans="1:1">
      <c r="A18739" s="35" t="s">
        <v>54786</v>
      </c>
    </row>
    <row r="18740" spans="1:1">
      <c r="A18740" s="35" t="s">
        <v>41057</v>
      </c>
    </row>
    <row r="18741" spans="1:1">
      <c r="A18741" s="35" t="s">
        <v>58285</v>
      </c>
    </row>
    <row r="18742" spans="1:1">
      <c r="A18742" s="35" t="s">
        <v>58286</v>
      </c>
    </row>
    <row r="18743" spans="1:1">
      <c r="A18743" s="35" t="s">
        <v>58287</v>
      </c>
    </row>
    <row r="18744" spans="1:1">
      <c r="A18744" s="35" t="s">
        <v>58288</v>
      </c>
    </row>
    <row r="18745" spans="1:1">
      <c r="A18745" s="35" t="s">
        <v>58289</v>
      </c>
    </row>
    <row r="18746" spans="1:1">
      <c r="A18746" s="35" t="s">
        <v>41057</v>
      </c>
    </row>
    <row r="18747" spans="1:1">
      <c r="A18747" s="35" t="s">
        <v>41057</v>
      </c>
    </row>
    <row r="18748" spans="1:1">
      <c r="A18748" s="35" t="s">
        <v>58290</v>
      </c>
    </row>
    <row r="18749" spans="1:1">
      <c r="A18749" s="35" t="s">
        <v>41057</v>
      </c>
    </row>
    <row r="18750" spans="1:1">
      <c r="A18750" s="35" t="e" cm="1">
        <f t="array" ref="A18750">------------------------------------------------ENTFFYPLMSEA</f>
        <v>#NAME?</v>
      </c>
    </row>
    <row r="18751" spans="1:1">
      <c r="A18751" s="35" t="s">
        <v>58291</v>
      </c>
    </row>
    <row r="18752" spans="1:1">
      <c r="A18752" s="35" t="s">
        <v>58292</v>
      </c>
    </row>
    <row r="18753" spans="1:1">
      <c r="A18753" s="35" t="s">
        <v>58293</v>
      </c>
    </row>
    <row r="18754" spans="1:1">
      <c r="A18754" s="35" t="s">
        <v>58294</v>
      </c>
    </row>
    <row r="18755" spans="1:1">
      <c r="A18755" s="35" t="s">
        <v>58295</v>
      </c>
    </row>
    <row r="18756" spans="1:1">
      <c r="A18756" s="35" t="s">
        <v>58296</v>
      </c>
    </row>
    <row r="18757" spans="1:1">
      <c r="A18757" s="35" t="s">
        <v>41057</v>
      </c>
    </row>
    <row r="18758" spans="1:1">
      <c r="A18758" s="35" t="s">
        <v>58297</v>
      </c>
    </row>
    <row r="18759" spans="1:1">
      <c r="A18759" s="35" t="s">
        <v>58298</v>
      </c>
    </row>
    <row r="18760" spans="1:1">
      <c r="A18760" s="35" t="s">
        <v>58299</v>
      </c>
    </row>
    <row r="18761" spans="1:1">
      <c r="A18761" s="35" t="s">
        <v>41057</v>
      </c>
    </row>
    <row r="18762" spans="1:1">
      <c r="A18762" s="35" t="s">
        <v>53545</v>
      </c>
    </row>
    <row r="18763" spans="1:1">
      <c r="A18763" s="35" t="s">
        <v>58300</v>
      </c>
    </row>
    <row r="18764" spans="1:1">
      <c r="A18764" s="35" t="s">
        <v>41057</v>
      </c>
    </row>
    <row r="18765" spans="1:1">
      <c r="A18765" s="35" t="s">
        <v>41057</v>
      </c>
    </row>
    <row r="18766" spans="1:1">
      <c r="A18766" s="35" t="s">
        <v>41057</v>
      </c>
    </row>
    <row r="18767" spans="1:1">
      <c r="A18767" s="35" t="s">
        <v>41057</v>
      </c>
    </row>
    <row r="18768" spans="1:1">
      <c r="A18768" s="35" t="s">
        <v>41057</v>
      </c>
    </row>
    <row r="18769" spans="1:1">
      <c r="A18769" s="35" t="s">
        <v>54343</v>
      </c>
    </row>
    <row r="18770" spans="1:1">
      <c r="A18770" s="35" t="s">
        <v>41057</v>
      </c>
    </row>
    <row r="18771" spans="1:1">
      <c r="A18771" s="35" t="s">
        <v>41057</v>
      </c>
    </row>
    <row r="18772" spans="1:1">
      <c r="A18772" s="35" t="s">
        <v>41057</v>
      </c>
    </row>
    <row r="18773" spans="1:1">
      <c r="A18773" s="35" t="s">
        <v>54097</v>
      </c>
    </row>
    <row r="18774" spans="1:1">
      <c r="A18774" s="35" t="s">
        <v>58301</v>
      </c>
    </row>
    <row r="18775" spans="1:1">
      <c r="A18775" s="35" t="s">
        <v>58302</v>
      </c>
    </row>
    <row r="18776" spans="1:1">
      <c r="A18776" s="35" t="s">
        <v>55875</v>
      </c>
    </row>
    <row r="18777" spans="1:1">
      <c r="A18777" s="35" t="s">
        <v>41057</v>
      </c>
    </row>
    <row r="18778" spans="1:1">
      <c r="A18778" s="35" t="s">
        <v>41057</v>
      </c>
    </row>
    <row r="18779" spans="1:1">
      <c r="A18779" s="35" t="e" cm="1">
        <f t="array" ref="A18779">---------------EITY------------------FKT-------------------V</f>
        <v>#NAME?</v>
      </c>
    </row>
    <row r="18780" spans="1:1">
      <c r="A18780" s="35" t="s">
        <v>58303</v>
      </c>
    </row>
    <row r="18781" spans="1:1">
      <c r="A18781" s="35" t="s">
        <v>58304</v>
      </c>
    </row>
    <row r="18782" spans="1:1">
      <c r="A18782" s="35" t="s">
        <v>41057</v>
      </c>
    </row>
    <row r="18783" spans="1:1">
      <c r="A18783" s="35" t="s">
        <v>41057</v>
      </c>
    </row>
    <row r="18784" spans="1:1">
      <c r="A18784" s="35" t="s">
        <v>41057</v>
      </c>
    </row>
    <row r="18785" spans="1:1">
      <c r="A18785" s="35" t="s">
        <v>41057</v>
      </c>
    </row>
    <row r="18786" spans="1:1">
      <c r="A18786" s="35" t="s">
        <v>58305</v>
      </c>
    </row>
    <row r="18787" spans="1:1">
      <c r="A18787" s="35" t="s">
        <v>41057</v>
      </c>
    </row>
    <row r="18788" spans="1:1">
      <c r="A18788" s="35" t="s">
        <v>41057</v>
      </c>
    </row>
    <row r="18789" spans="1:1">
      <c r="A18789" s="35" t="s">
        <v>58306</v>
      </c>
    </row>
    <row r="18790" spans="1:1">
      <c r="A18790" s="35" t="s">
        <v>41057</v>
      </c>
    </row>
    <row r="18791" spans="1:1">
      <c r="A18791" s="35" t="s">
        <v>41057</v>
      </c>
    </row>
    <row r="18792" spans="1:1">
      <c r="A18792" s="35" t="s">
        <v>58307</v>
      </c>
    </row>
    <row r="18793" spans="1:1">
      <c r="A18793" s="35" t="s">
        <v>41057</v>
      </c>
    </row>
    <row r="18794" spans="1:1">
      <c r="A18794" s="35" t="s">
        <v>58308</v>
      </c>
    </row>
    <row r="18795" spans="1:1">
      <c r="A18795" s="35" t="s">
        <v>58309</v>
      </c>
    </row>
    <row r="18796" spans="1:1">
      <c r="A18796" s="35" t="s">
        <v>58310</v>
      </c>
    </row>
    <row r="18797" spans="1:1">
      <c r="A18797" s="35" t="s">
        <v>58311</v>
      </c>
    </row>
    <row r="18798" spans="1:1">
      <c r="A18798" s="35" t="s">
        <v>41057</v>
      </c>
    </row>
    <row r="18799" spans="1:1">
      <c r="A18799" s="35" t="s">
        <v>41057</v>
      </c>
    </row>
    <row r="18800" spans="1:1">
      <c r="A18800" s="35" t="s">
        <v>58312</v>
      </c>
    </row>
    <row r="18801" spans="1:1">
      <c r="A18801" s="35" t="s">
        <v>41057</v>
      </c>
    </row>
    <row r="18802" spans="1:1">
      <c r="A18802" s="35" t="s">
        <v>41057</v>
      </c>
    </row>
    <row r="18803" spans="1:1">
      <c r="A18803" s="35" t="s">
        <v>41057</v>
      </c>
    </row>
    <row r="18804" spans="1:1">
      <c r="A18804" s="35" t="s">
        <v>41057</v>
      </c>
    </row>
    <row r="18805" spans="1:1">
      <c r="A18805" s="35" t="s">
        <v>41057</v>
      </c>
    </row>
    <row r="18806" spans="1:1">
      <c r="A18806" s="35" t="s">
        <v>41057</v>
      </c>
    </row>
    <row r="18807" spans="1:1">
      <c r="A18807" s="35" t="s">
        <v>41057</v>
      </c>
    </row>
    <row r="18808" spans="1:1">
      <c r="A18808" s="35" t="s">
        <v>41057</v>
      </c>
    </row>
    <row r="18809" spans="1:1">
      <c r="A18809" s="35" t="s">
        <v>41057</v>
      </c>
    </row>
    <row r="18810" spans="1:1">
      <c r="A18810" s="35" t="s">
        <v>41057</v>
      </c>
    </row>
    <row r="18811" spans="1:1">
      <c r="A18811" s="35" t="s">
        <v>41057</v>
      </c>
    </row>
    <row r="18812" spans="1:1">
      <c r="A18812" s="35" t="s">
        <v>41057</v>
      </c>
    </row>
    <row r="18813" spans="1:1">
      <c r="A18813" s="35" t="s">
        <v>41057</v>
      </c>
    </row>
    <row r="18814" spans="1:1">
      <c r="A18814" s="35" t="s">
        <v>41057</v>
      </c>
    </row>
    <row r="18815" spans="1:1">
      <c r="A18815" s="35" t="s">
        <v>41057</v>
      </c>
    </row>
    <row r="18816" spans="1:1">
      <c r="A18816" s="35" t="s">
        <v>41057</v>
      </c>
    </row>
    <row r="18817" spans="1:1">
      <c r="A18817" s="35" t="s">
        <v>41057</v>
      </c>
    </row>
    <row r="18818" spans="1:1">
      <c r="A18818" s="35" t="s">
        <v>41057</v>
      </c>
    </row>
    <row r="18819" spans="1:1">
      <c r="A18819" s="35" t="s">
        <v>41057</v>
      </c>
    </row>
    <row r="18820" spans="1:1">
      <c r="A18820" s="35" t="s">
        <v>41057</v>
      </c>
    </row>
    <row r="18821" spans="1:1">
      <c r="A18821" s="35" t="s">
        <v>41057</v>
      </c>
    </row>
    <row r="18822" spans="1:1">
      <c r="A18822" s="35" t="s">
        <v>41057</v>
      </c>
    </row>
    <row r="18823" spans="1:1">
      <c r="A18823" s="35" t="s">
        <v>41057</v>
      </c>
    </row>
    <row r="18824" spans="1:1">
      <c r="A18824" s="35" t="s">
        <v>41057</v>
      </c>
    </row>
    <row r="18825" spans="1:1">
      <c r="A18825" s="35" t="s">
        <v>41057</v>
      </c>
    </row>
    <row r="18826" spans="1:1">
      <c r="A18826" s="35" t="s">
        <v>41057</v>
      </c>
    </row>
    <row r="18827" spans="1:1">
      <c r="A18827" s="35" t="s">
        <v>41057</v>
      </c>
    </row>
    <row r="18828" spans="1:1">
      <c r="A18828" s="35" t="s">
        <v>41057</v>
      </c>
    </row>
    <row r="18829" spans="1:1">
      <c r="A18829" s="35" t="s">
        <v>41057</v>
      </c>
    </row>
    <row r="18830" spans="1:1">
      <c r="A18830" s="35" t="s">
        <v>41057</v>
      </c>
    </row>
    <row r="18831" spans="1:1">
      <c r="A18831" s="35" t="s">
        <v>41057</v>
      </c>
    </row>
    <row r="18832" spans="1:1">
      <c r="A18832" s="35" t="s">
        <v>41057</v>
      </c>
    </row>
    <row r="18833" spans="1:1">
      <c r="A18833" s="35" t="s">
        <v>41057</v>
      </c>
    </row>
    <row r="18834" spans="1:1">
      <c r="A18834" s="35" t="s">
        <v>41057</v>
      </c>
    </row>
    <row r="18835" spans="1:1">
      <c r="A18835" s="35" t="s">
        <v>41057</v>
      </c>
    </row>
    <row r="18836" spans="1:1">
      <c r="A18836" s="35" t="s">
        <v>41057</v>
      </c>
    </row>
    <row r="18837" spans="1:1">
      <c r="A18837" s="35" t="s">
        <v>58313</v>
      </c>
    </row>
    <row r="18838" spans="1:1">
      <c r="A18838" s="35" t="s">
        <v>41057</v>
      </c>
    </row>
    <row r="18839" spans="1:1">
      <c r="A18839" s="35" t="s">
        <v>58314</v>
      </c>
    </row>
    <row r="18840" spans="1:1">
      <c r="A18840" s="35" t="s">
        <v>41057</v>
      </c>
    </row>
    <row r="18841" spans="1:1">
      <c r="A18841" s="35" t="s">
        <v>41057</v>
      </c>
    </row>
    <row r="18842" spans="1:1">
      <c r="A18842" s="35" t="s">
        <v>41057</v>
      </c>
    </row>
    <row r="18843" spans="1:1">
      <c r="A18843" s="35" t="s">
        <v>58315</v>
      </c>
    </row>
    <row r="18844" spans="1:1">
      <c r="A18844" s="35" t="s">
        <v>41057</v>
      </c>
    </row>
    <row r="18845" spans="1:1">
      <c r="A18845" s="35" t="s">
        <v>41057</v>
      </c>
    </row>
    <row r="18846" spans="1:1">
      <c r="A18846" s="35" t="s">
        <v>41057</v>
      </c>
    </row>
    <row r="18847" spans="1:1">
      <c r="A18847" s="35" t="s">
        <v>41057</v>
      </c>
    </row>
    <row r="18848" spans="1:1">
      <c r="A18848" s="35" t="s">
        <v>41057</v>
      </c>
    </row>
    <row r="18849" spans="1:1">
      <c r="A18849" s="35" t="s">
        <v>41057</v>
      </c>
    </row>
    <row r="18850" spans="1:1">
      <c r="A18850" s="35" t="s">
        <v>58316</v>
      </c>
    </row>
    <row r="18851" spans="1:1">
      <c r="A18851" s="35" t="s">
        <v>41057</v>
      </c>
    </row>
    <row r="18852" spans="1:1">
      <c r="A18852" s="35" t="s">
        <v>58317</v>
      </c>
    </row>
    <row r="18853" spans="1:1">
      <c r="A18853" s="35" t="s">
        <v>58318</v>
      </c>
    </row>
    <row r="18854" spans="1:1">
      <c r="A18854" s="35" t="s">
        <v>41057</v>
      </c>
    </row>
    <row r="18855" spans="1:1">
      <c r="A18855" s="35" t="s">
        <v>41057</v>
      </c>
    </row>
    <row r="18856" spans="1:1">
      <c r="A18856" s="35" t="s">
        <v>41057</v>
      </c>
    </row>
    <row r="18857" spans="1:1">
      <c r="A18857" s="35" t="s">
        <v>41057</v>
      </c>
    </row>
    <row r="18858" spans="1:1">
      <c r="A18858" s="35" t="s">
        <v>41057</v>
      </c>
    </row>
    <row r="18859" spans="1:1">
      <c r="A18859" s="35" t="s">
        <v>41057</v>
      </c>
    </row>
    <row r="18860" spans="1:1">
      <c r="A18860" s="35" t="s">
        <v>41057</v>
      </c>
    </row>
    <row r="18861" spans="1:1">
      <c r="A18861" s="35" t="s">
        <v>41057</v>
      </c>
    </row>
    <row r="18862" spans="1:1">
      <c r="A18862" s="35" t="s">
        <v>41057</v>
      </c>
    </row>
    <row r="18863" spans="1:1">
      <c r="A18863" s="35" t="s">
        <v>41057</v>
      </c>
    </row>
    <row r="18864" spans="1:1">
      <c r="A18864" s="35" t="s">
        <v>41057</v>
      </c>
    </row>
    <row r="18865" spans="1:1">
      <c r="A18865" s="35" t="s">
        <v>41057</v>
      </c>
    </row>
    <row r="18866" spans="1:1">
      <c r="A18866" s="35" t="s">
        <v>41057</v>
      </c>
    </row>
    <row r="18867" spans="1:1">
      <c r="A18867" s="35" t="s">
        <v>41057</v>
      </c>
    </row>
    <row r="18868" spans="1:1">
      <c r="A18868" s="35" t="e" cm="1">
        <f t="array" ref="A18868">--------------------------------------------------------LKTI</f>
        <v>#NAME?</v>
      </c>
    </row>
    <row r="18869" spans="1:1">
      <c r="A18869" s="35" t="s">
        <v>58319</v>
      </c>
    </row>
    <row r="18870" spans="1:1">
      <c r="A18870" s="35" t="s">
        <v>41057</v>
      </c>
    </row>
    <row r="18871" spans="1:1">
      <c r="A18871" s="35" t="s">
        <v>58320</v>
      </c>
    </row>
    <row r="18872" spans="1:1">
      <c r="A18872" s="35" t="s">
        <v>58321</v>
      </c>
    </row>
    <row r="18873" spans="1:1">
      <c r="A18873" s="35" t="s">
        <v>58322</v>
      </c>
    </row>
    <row r="18874" spans="1:1">
      <c r="A18874" s="35" t="s">
        <v>58323</v>
      </c>
    </row>
    <row r="18875" spans="1:1">
      <c r="A18875" s="35" t="s">
        <v>41057</v>
      </c>
    </row>
    <row r="18876" spans="1:1">
      <c r="A18876" s="35" t="s">
        <v>58324</v>
      </c>
    </row>
    <row r="18877" spans="1:1">
      <c r="A18877" s="35" t="s">
        <v>58325</v>
      </c>
    </row>
    <row r="18878" spans="1:1">
      <c r="A18878" s="35" t="s">
        <v>41057</v>
      </c>
    </row>
    <row r="18879" spans="1:1">
      <c r="A18879" s="35" t="s">
        <v>41057</v>
      </c>
    </row>
    <row r="18880" spans="1:1">
      <c r="A18880" s="35" t="s">
        <v>53545</v>
      </c>
    </row>
    <row r="18881" spans="1:1">
      <c r="A18881" s="35" t="s">
        <v>58326</v>
      </c>
    </row>
    <row r="18882" spans="1:1">
      <c r="A18882" s="35" t="s">
        <v>41057</v>
      </c>
    </row>
    <row r="18883" spans="1:1">
      <c r="A18883" s="35" t="s">
        <v>41057</v>
      </c>
    </row>
    <row r="18884" spans="1:1">
      <c r="A18884" s="35" t="s">
        <v>41057</v>
      </c>
    </row>
    <row r="18885" spans="1:1">
      <c r="A18885" s="35" t="s">
        <v>41057</v>
      </c>
    </row>
    <row r="18886" spans="1:1">
      <c r="A18886" s="35" t="e" cm="1">
        <f t="array" ref="A18886">--------------------------------------------------------NINV</f>
        <v>#NAME?</v>
      </c>
    </row>
    <row r="18887" spans="1:1">
      <c r="A18887" s="35" t="s">
        <v>58327</v>
      </c>
    </row>
    <row r="18888" spans="1:1">
      <c r="A18888" s="35" t="s">
        <v>41057</v>
      </c>
    </row>
    <row r="18889" spans="1:1">
      <c r="A18889" s="35" t="s">
        <v>41057</v>
      </c>
    </row>
    <row r="18890" spans="1:1">
      <c r="A18890" s="35" t="s">
        <v>41057</v>
      </c>
    </row>
    <row r="18891" spans="1:1">
      <c r="A18891" s="35" t="s">
        <v>54097</v>
      </c>
    </row>
    <row r="18892" spans="1:1">
      <c r="A18892" s="35" t="s">
        <v>58328</v>
      </c>
    </row>
    <row r="18893" spans="1:1">
      <c r="A18893" s="35" t="s">
        <v>58329</v>
      </c>
    </row>
    <row r="18894" spans="1:1">
      <c r="A18894" s="35" t="s">
        <v>54346</v>
      </c>
    </row>
    <row r="18895" spans="1:1">
      <c r="A18895" s="35" t="s">
        <v>41057</v>
      </c>
    </row>
    <row r="18896" spans="1:1">
      <c r="A18896" s="35" t="s">
        <v>41057</v>
      </c>
    </row>
    <row r="18897" spans="1:1">
      <c r="A18897" s="35" t="e" cm="1">
        <f t="array" ref="A18897">---------------SKTF------------------FIS-------------------V</f>
        <v>#NAME?</v>
      </c>
    </row>
    <row r="18898" spans="1:1">
      <c r="A18898" s="35" t="s">
        <v>58330</v>
      </c>
    </row>
    <row r="18899" spans="1:1">
      <c r="A18899" s="35" t="s">
        <v>58331</v>
      </c>
    </row>
    <row r="18900" spans="1:1">
      <c r="A18900" s="35" t="s">
        <v>41057</v>
      </c>
    </row>
    <row r="18901" spans="1:1">
      <c r="A18901" s="35" t="s">
        <v>58332</v>
      </c>
    </row>
    <row r="18902" spans="1:1">
      <c r="A18902" s="35" t="s">
        <v>41057</v>
      </c>
    </row>
    <row r="18903" spans="1:1">
      <c r="A18903" s="35" t="s">
        <v>41057</v>
      </c>
    </row>
    <row r="18904" spans="1:1">
      <c r="A18904" s="35" t="s">
        <v>58333</v>
      </c>
    </row>
    <row r="18905" spans="1:1">
      <c r="A18905" s="35" t="s">
        <v>41057</v>
      </c>
    </row>
    <row r="18906" spans="1:1">
      <c r="A18906" s="35" t="s">
        <v>41057</v>
      </c>
    </row>
    <row r="18907" spans="1:1">
      <c r="A18907" s="35" t="s">
        <v>41057</v>
      </c>
    </row>
    <row r="18908" spans="1:1">
      <c r="A18908" s="35" t="s">
        <v>41057</v>
      </c>
    </row>
    <row r="18909" spans="1:1">
      <c r="A18909" s="35" t="s">
        <v>41057</v>
      </c>
    </row>
    <row r="18910" spans="1:1">
      <c r="A18910" s="35" t="s">
        <v>58334</v>
      </c>
    </row>
    <row r="18911" spans="1:1">
      <c r="A18911" s="35" t="s">
        <v>41057</v>
      </c>
    </row>
    <row r="18912" spans="1:1">
      <c r="A18912" s="35" t="s">
        <v>58335</v>
      </c>
    </row>
    <row r="18913" spans="1:1">
      <c r="A18913" s="35" t="s">
        <v>58309</v>
      </c>
    </row>
    <row r="18914" spans="1:1">
      <c r="A18914" s="35" t="s">
        <v>58336</v>
      </c>
    </row>
    <row r="18915" spans="1:1">
      <c r="A18915" s="35" t="s">
        <v>58337</v>
      </c>
    </row>
    <row r="18916" spans="1:1">
      <c r="A18916" s="35" t="s">
        <v>41057</v>
      </c>
    </row>
    <row r="18917" spans="1:1">
      <c r="A18917" s="35" t="s">
        <v>41057</v>
      </c>
    </row>
    <row r="18918" spans="1:1">
      <c r="A18918" s="35" t="s">
        <v>58338</v>
      </c>
    </row>
    <row r="18919" spans="1:1">
      <c r="A18919" s="35" t="s">
        <v>41057</v>
      </c>
    </row>
    <row r="18920" spans="1:1">
      <c r="A18920" s="35" t="s">
        <v>41057</v>
      </c>
    </row>
    <row r="18921" spans="1:1">
      <c r="A18921" s="35" t="s">
        <v>41057</v>
      </c>
    </row>
    <row r="18922" spans="1:1">
      <c r="A18922" s="35" t="s">
        <v>41057</v>
      </c>
    </row>
    <row r="18923" spans="1:1">
      <c r="A18923" s="35" t="s">
        <v>41057</v>
      </c>
    </row>
    <row r="18924" spans="1:1">
      <c r="A18924" s="35" t="s">
        <v>58339</v>
      </c>
    </row>
    <row r="18925" spans="1:1">
      <c r="A18925" s="35" t="s">
        <v>41057</v>
      </c>
    </row>
    <row r="18926" spans="1:1">
      <c r="A18926" s="35" t="s">
        <v>41057</v>
      </c>
    </row>
    <row r="18927" spans="1:1">
      <c r="A18927" s="35" t="s">
        <v>41057</v>
      </c>
    </row>
    <row r="18928" spans="1:1">
      <c r="A18928" s="35" t="s">
        <v>41057</v>
      </c>
    </row>
    <row r="18929" spans="1:1">
      <c r="A18929" s="35" t="s">
        <v>41057</v>
      </c>
    </row>
    <row r="18930" spans="1:1">
      <c r="A18930" s="35" t="s">
        <v>41057</v>
      </c>
    </row>
    <row r="18931" spans="1:1">
      <c r="A18931" s="35" t="s">
        <v>41057</v>
      </c>
    </row>
    <row r="18932" spans="1:1">
      <c r="A18932" s="35" t="s">
        <v>41057</v>
      </c>
    </row>
    <row r="18933" spans="1:1">
      <c r="A18933" s="35" t="s">
        <v>41057</v>
      </c>
    </row>
    <row r="18934" spans="1:1">
      <c r="A18934" s="35" t="s">
        <v>41057</v>
      </c>
    </row>
    <row r="18935" spans="1:1">
      <c r="A18935" s="35" t="s">
        <v>41057</v>
      </c>
    </row>
    <row r="18936" spans="1:1">
      <c r="A18936" s="35" t="s">
        <v>41057</v>
      </c>
    </row>
    <row r="18937" spans="1:1">
      <c r="A18937" s="35" t="s">
        <v>41057</v>
      </c>
    </row>
    <row r="18938" spans="1:1">
      <c r="A18938" s="35" t="s">
        <v>58340</v>
      </c>
    </row>
    <row r="18939" spans="1:1">
      <c r="A18939" s="35" t="s">
        <v>41057</v>
      </c>
    </row>
    <row r="18940" spans="1:1">
      <c r="A18940" s="35" t="s">
        <v>58341</v>
      </c>
    </row>
    <row r="18941" spans="1:1">
      <c r="A18941" s="35" t="s">
        <v>41057</v>
      </c>
    </row>
    <row r="18942" spans="1:1">
      <c r="A18942" s="35" t="s">
        <v>41057</v>
      </c>
    </row>
    <row r="18943" spans="1:1">
      <c r="A18943" s="35" t="s">
        <v>58342</v>
      </c>
    </row>
    <row r="18944" spans="1:1">
      <c r="A18944" s="35" t="s">
        <v>41057</v>
      </c>
    </row>
    <row r="18945" spans="1:1">
      <c r="A18945" s="35" t="s">
        <v>41057</v>
      </c>
    </row>
    <row r="18946" spans="1:1">
      <c r="A18946" s="35" t="s">
        <v>41057</v>
      </c>
    </row>
    <row r="18947" spans="1:1">
      <c r="A18947" s="35" t="s">
        <v>41057</v>
      </c>
    </row>
    <row r="18948" spans="1:1">
      <c r="A18948" s="35" t="s">
        <v>41057</v>
      </c>
    </row>
    <row r="18949" spans="1:1">
      <c r="A18949" s="35" t="s">
        <v>41057</v>
      </c>
    </row>
    <row r="18950" spans="1:1">
      <c r="A18950" s="35" t="s">
        <v>41057</v>
      </c>
    </row>
    <row r="18951" spans="1:1">
      <c r="A18951" s="35" t="e" cm="1">
        <f t="array" ref="A18951">-----------------------------------------------GFKWIKNI---GS</f>
        <v>#NAME?</v>
      </c>
    </row>
    <row r="18952" spans="1:1">
      <c r="A18952" s="35" t="s">
        <v>58343</v>
      </c>
    </row>
    <row r="18953" spans="1:1">
      <c r="A18953" s="35" t="e" cm="1">
        <f t="array" ref="A18953">---------------GQYLYNIVERDF---------DQVK------------------KE</f>
        <v>#NAME?</v>
      </c>
    </row>
    <row r="18954" spans="1:1">
      <c r="A18954" s="35" t="s">
        <v>58344</v>
      </c>
    </row>
    <row r="18955" spans="1:1">
      <c r="A18955" s="35" t="s">
        <v>58345</v>
      </c>
    </row>
    <row r="18956" spans="1:1">
      <c r="A18956" s="35" t="s">
        <v>58346</v>
      </c>
    </row>
    <row r="18957" spans="1:1">
      <c r="A18957" s="35" t="s">
        <v>58347</v>
      </c>
    </row>
    <row r="18958" spans="1:1">
      <c r="A18958" s="35" t="s">
        <v>41057</v>
      </c>
    </row>
    <row r="18959" spans="1:1">
      <c r="A18959" s="35" t="s">
        <v>58348</v>
      </c>
    </row>
    <row r="18960" spans="1:1">
      <c r="A18960" s="35" t="s">
        <v>58349</v>
      </c>
    </row>
    <row r="18961" spans="1:1">
      <c r="A18961" s="35" t="s">
        <v>58350</v>
      </c>
    </row>
    <row r="18962" spans="1:1">
      <c r="A18962" s="35" t="s">
        <v>41057</v>
      </c>
    </row>
    <row r="18963" spans="1:1">
      <c r="A18963" s="35" t="s">
        <v>41057</v>
      </c>
    </row>
    <row r="18964" spans="1:1">
      <c r="A18964" s="35" t="s">
        <v>41057</v>
      </c>
    </row>
    <row r="18965" spans="1:1">
      <c r="A18965" s="35" t="s">
        <v>58351</v>
      </c>
    </row>
    <row r="18966" spans="1:1">
      <c r="A18966" s="35" t="s">
        <v>58352</v>
      </c>
    </row>
    <row r="18967" spans="1:1">
      <c r="A18967" s="35" t="s">
        <v>58353</v>
      </c>
    </row>
    <row r="18968" spans="1:1">
      <c r="A18968" s="35" t="s">
        <v>58354</v>
      </c>
    </row>
    <row r="18969" spans="1:1">
      <c r="A18969" s="35" t="s">
        <v>58355</v>
      </c>
    </row>
    <row r="18970" spans="1:1">
      <c r="A18970" s="35" t="s">
        <v>58356</v>
      </c>
    </row>
    <row r="18971" spans="1:1">
      <c r="A18971" s="35" t="s">
        <v>58357</v>
      </c>
    </row>
    <row r="18972" spans="1:1">
      <c r="A18972" s="35" t="s">
        <v>41057</v>
      </c>
    </row>
    <row r="18973" spans="1:1">
      <c r="A18973" s="35" t="s">
        <v>58358</v>
      </c>
    </row>
    <row r="18974" spans="1:1">
      <c r="A18974" s="35" t="s">
        <v>41057</v>
      </c>
    </row>
    <row r="18975" spans="1:1">
      <c r="A18975" s="35" t="s">
        <v>58359</v>
      </c>
    </row>
    <row r="18976" spans="1:1">
      <c r="A18976" s="35" t="s">
        <v>41057</v>
      </c>
    </row>
    <row r="18977" spans="1:1">
      <c r="A18977" s="35" t="s">
        <v>58360</v>
      </c>
    </row>
    <row r="18978" spans="1:1">
      <c r="A18978" s="35" t="s">
        <v>41057</v>
      </c>
    </row>
    <row r="18979" spans="1:1">
      <c r="A18979" s="35" t="s">
        <v>58361</v>
      </c>
    </row>
    <row r="18980" spans="1:1">
      <c r="A18980" s="35" t="s">
        <v>41057</v>
      </c>
    </row>
    <row r="18981" spans="1:1">
      <c r="A18981" s="35" t="s">
        <v>58362</v>
      </c>
    </row>
    <row r="18982" spans="1:1">
      <c r="A18982" s="35" t="s">
        <v>58363</v>
      </c>
    </row>
    <row r="18983" spans="1:1">
      <c r="A18983" s="35" t="s">
        <v>58364</v>
      </c>
    </row>
    <row r="18984" spans="1:1">
      <c r="A18984" s="35" t="s">
        <v>58365</v>
      </c>
    </row>
    <row r="18985" spans="1:1">
      <c r="A18985" s="35" t="s">
        <v>58366</v>
      </c>
    </row>
    <row r="18986" spans="1:1">
      <c r="A18986" s="35" t="e" cm="1">
        <f t="array" ref="A18986">------------------NSNTGL------------LITPLY--N----VQNTKDILINM</f>
        <v>#NAME?</v>
      </c>
    </row>
    <row r="18987" spans="1:1">
      <c r="A18987" s="35" t="s">
        <v>58367</v>
      </c>
    </row>
    <row r="18988" spans="1:1">
      <c r="A18988" s="35" t="s">
        <v>58368</v>
      </c>
    </row>
    <row r="18989" spans="1:1">
      <c r="A18989" s="35" t="s">
        <v>58369</v>
      </c>
    </row>
    <row r="18990" spans="1:1">
      <c r="A18990" s="35" t="s">
        <v>58370</v>
      </c>
    </row>
    <row r="18991" spans="1:1">
      <c r="A18991" s="35" t="s">
        <v>58371</v>
      </c>
    </row>
    <row r="18992" spans="1:1">
      <c r="A18992" s="35" t="s">
        <v>58372</v>
      </c>
    </row>
    <row r="18993" spans="1:1">
      <c r="A18993" s="35" t="e" cm="1">
        <f t="array" ref="A18993">---------------------------------------------------GVNKSSWQI</f>
        <v>#NAME?</v>
      </c>
    </row>
    <row r="18994" spans="1:1">
      <c r="A18994" s="35" t="s">
        <v>58373</v>
      </c>
    </row>
    <row r="18995" spans="1:1">
      <c r="A18995" s="35" t="s">
        <v>58374</v>
      </c>
    </row>
    <row r="18996" spans="1:1">
      <c r="A18996" s="35" t="s">
        <v>58375</v>
      </c>
    </row>
    <row r="18997" spans="1:1">
      <c r="A18997" s="35" t="s">
        <v>41057</v>
      </c>
    </row>
    <row r="18998" spans="1:1">
      <c r="A18998" s="35" t="s">
        <v>53545</v>
      </c>
    </row>
    <row r="18999" spans="1:1">
      <c r="A18999" s="35" t="s">
        <v>53385</v>
      </c>
    </row>
    <row r="19000" spans="1:1">
      <c r="A19000" s="35" t="s">
        <v>41057</v>
      </c>
    </row>
    <row r="19001" spans="1:1">
      <c r="A19001" s="35" t="s">
        <v>41057</v>
      </c>
    </row>
    <row r="19002" spans="1:1">
      <c r="A19002" s="35" t="s">
        <v>41057</v>
      </c>
    </row>
    <row r="19003" spans="1:1">
      <c r="A19003" s="35" t="s">
        <v>41057</v>
      </c>
    </row>
    <row r="19004" spans="1:1">
      <c r="A19004" s="35" t="s">
        <v>41057</v>
      </c>
    </row>
    <row r="19005" spans="1:1">
      <c r="A19005" s="35" t="s">
        <v>58376</v>
      </c>
    </row>
    <row r="19006" spans="1:1">
      <c r="A19006" s="35" t="s">
        <v>41057</v>
      </c>
    </row>
    <row r="19007" spans="1:1">
      <c r="A19007" s="35" t="s">
        <v>41057</v>
      </c>
    </row>
    <row r="19008" spans="1:1">
      <c r="A19008" s="35" t="s">
        <v>41057</v>
      </c>
    </row>
    <row r="19009" spans="1:1">
      <c r="A19009" s="35" t="s">
        <v>54097</v>
      </c>
    </row>
    <row r="19010" spans="1:1">
      <c r="A19010" s="35" t="s">
        <v>58377</v>
      </c>
    </row>
    <row r="19011" spans="1:1">
      <c r="A19011" s="35" t="s">
        <v>58378</v>
      </c>
    </row>
    <row r="19012" spans="1:1">
      <c r="A19012" s="35" t="s">
        <v>54100</v>
      </c>
    </row>
    <row r="19013" spans="1:1">
      <c r="A19013" s="35" t="s">
        <v>41057</v>
      </c>
    </row>
    <row r="19014" spans="1:1">
      <c r="A19014" s="35" t="s">
        <v>41057</v>
      </c>
    </row>
    <row r="19015" spans="1:1">
      <c r="A19015" s="35" t="e" cm="1">
        <f t="array" ref="A19015">---------------SKTF------------------FTS-------------------T</f>
        <v>#NAME?</v>
      </c>
    </row>
    <row r="19016" spans="1:1">
      <c r="A19016" s="35" t="s">
        <v>58379</v>
      </c>
    </row>
    <row r="19017" spans="1:1">
      <c r="A19017" s="35" t="s">
        <v>58380</v>
      </c>
    </row>
    <row r="19018" spans="1:1">
      <c r="A19018" s="35" t="s">
        <v>41057</v>
      </c>
    </row>
    <row r="19019" spans="1:1">
      <c r="A19019" s="35" t="s">
        <v>58381</v>
      </c>
    </row>
    <row r="19020" spans="1:1">
      <c r="A19020" s="35" t="s">
        <v>41057</v>
      </c>
    </row>
    <row r="19021" spans="1:1">
      <c r="A19021" s="35" t="s">
        <v>41057</v>
      </c>
    </row>
    <row r="19022" spans="1:1">
      <c r="A19022" s="35" t="s">
        <v>58382</v>
      </c>
    </row>
    <row r="19023" spans="1:1">
      <c r="A19023" s="35" t="s">
        <v>41057</v>
      </c>
    </row>
    <row r="19024" spans="1:1">
      <c r="A19024" s="35" t="s">
        <v>41057</v>
      </c>
    </row>
    <row r="19025" spans="1:1">
      <c r="A19025" s="35" t="s">
        <v>41057</v>
      </c>
    </row>
    <row r="19026" spans="1:1">
      <c r="A19026" s="35" t="s">
        <v>41057</v>
      </c>
    </row>
    <row r="19027" spans="1:1">
      <c r="A19027" s="35" t="s">
        <v>41057</v>
      </c>
    </row>
    <row r="19028" spans="1:1">
      <c r="A19028" s="35" t="s">
        <v>58383</v>
      </c>
    </row>
    <row r="19029" spans="1:1">
      <c r="A19029" s="35" t="s">
        <v>41057</v>
      </c>
    </row>
    <row r="19030" spans="1:1">
      <c r="A19030" s="35" t="s">
        <v>58384</v>
      </c>
    </row>
    <row r="19031" spans="1:1">
      <c r="A19031" s="35" t="s">
        <v>58309</v>
      </c>
    </row>
    <row r="19032" spans="1:1">
      <c r="A19032" s="35" t="s">
        <v>58336</v>
      </c>
    </row>
    <row r="19033" spans="1:1">
      <c r="A19033" s="35" t="s">
        <v>58385</v>
      </c>
    </row>
    <row r="19034" spans="1:1">
      <c r="A19034" s="35" t="s">
        <v>41057</v>
      </c>
    </row>
    <row r="19035" spans="1:1">
      <c r="A19035" s="35" t="s">
        <v>41057</v>
      </c>
    </row>
    <row r="19036" spans="1:1">
      <c r="A19036" s="35" t="s">
        <v>58338</v>
      </c>
    </row>
    <row r="19037" spans="1:1">
      <c r="A19037" s="35" t="s">
        <v>41057</v>
      </c>
    </row>
    <row r="19038" spans="1:1">
      <c r="A19038" s="35" t="s">
        <v>41057</v>
      </c>
    </row>
    <row r="19039" spans="1:1">
      <c r="A19039" s="35" t="s">
        <v>41057</v>
      </c>
    </row>
    <row r="19040" spans="1:1">
      <c r="A19040" s="35" t="s">
        <v>41057</v>
      </c>
    </row>
    <row r="19041" spans="1:1">
      <c r="A19041" s="35" t="s">
        <v>41057</v>
      </c>
    </row>
    <row r="19042" spans="1:1">
      <c r="A19042" s="35" t="s">
        <v>58386</v>
      </c>
    </row>
    <row r="19043" spans="1:1">
      <c r="A19043" s="35" t="s">
        <v>41057</v>
      </c>
    </row>
    <row r="19044" spans="1:1">
      <c r="A19044" s="35" t="s">
        <v>41057</v>
      </c>
    </row>
    <row r="19045" spans="1:1">
      <c r="A19045" s="35" t="s">
        <v>41057</v>
      </c>
    </row>
    <row r="19046" spans="1:1">
      <c r="A19046" s="35" t="s">
        <v>41057</v>
      </c>
    </row>
    <row r="19047" spans="1:1">
      <c r="A19047" s="35" t="s">
        <v>41057</v>
      </c>
    </row>
    <row r="19048" spans="1:1">
      <c r="A19048" s="35" t="s">
        <v>41057</v>
      </c>
    </row>
    <row r="19049" spans="1:1">
      <c r="A19049" s="35" t="s">
        <v>41057</v>
      </c>
    </row>
    <row r="19050" spans="1:1">
      <c r="A19050" s="35" t="s">
        <v>41057</v>
      </c>
    </row>
    <row r="19051" spans="1:1">
      <c r="A19051" s="35" t="s">
        <v>41057</v>
      </c>
    </row>
    <row r="19052" spans="1:1">
      <c r="A19052" s="35" t="s">
        <v>41057</v>
      </c>
    </row>
    <row r="19053" spans="1:1">
      <c r="A19053" s="35" t="s">
        <v>41057</v>
      </c>
    </row>
    <row r="19054" spans="1:1">
      <c r="A19054" s="35" t="s">
        <v>41057</v>
      </c>
    </row>
    <row r="19055" spans="1:1">
      <c r="A19055" s="35" t="s">
        <v>41057</v>
      </c>
    </row>
    <row r="19056" spans="1:1">
      <c r="A19056" s="35" t="s">
        <v>58340</v>
      </c>
    </row>
    <row r="19057" spans="1:1">
      <c r="A19057" s="35" t="s">
        <v>41057</v>
      </c>
    </row>
    <row r="19058" spans="1:1">
      <c r="A19058" s="35" t="s">
        <v>58387</v>
      </c>
    </row>
    <row r="19059" spans="1:1">
      <c r="A19059" s="35" t="s">
        <v>41057</v>
      </c>
    </row>
    <row r="19060" spans="1:1">
      <c r="A19060" s="35" t="s">
        <v>41057</v>
      </c>
    </row>
    <row r="19061" spans="1:1">
      <c r="A19061" s="35" t="s">
        <v>58388</v>
      </c>
    </row>
    <row r="19062" spans="1:1">
      <c r="A19062" s="35" t="s">
        <v>41057</v>
      </c>
    </row>
    <row r="19063" spans="1:1">
      <c r="A19063" s="35" t="s">
        <v>41057</v>
      </c>
    </row>
    <row r="19064" spans="1:1">
      <c r="A19064" s="35" t="s">
        <v>41057</v>
      </c>
    </row>
    <row r="19065" spans="1:1">
      <c r="A19065" s="35" t="s">
        <v>41057</v>
      </c>
    </row>
    <row r="19066" spans="1:1">
      <c r="A19066" s="35" t="s">
        <v>41057</v>
      </c>
    </row>
    <row r="19067" spans="1:1">
      <c r="A19067" s="35" t="s">
        <v>41057</v>
      </c>
    </row>
    <row r="19068" spans="1:1">
      <c r="A19068" s="35" t="s">
        <v>41057</v>
      </c>
    </row>
    <row r="19069" spans="1:1">
      <c r="A19069" s="35" t="e" cm="1">
        <f t="array" ref="A19069">-----------------------------------------------EFKWIRNL---GT</f>
        <v>#NAME?</v>
      </c>
    </row>
    <row r="19070" spans="1:1">
      <c r="A19070" s="35" t="s">
        <v>58389</v>
      </c>
    </row>
    <row r="19071" spans="1:1">
      <c r="A19071" s="35" t="e" cm="1">
        <f t="array" ref="A19071">---------------GQYLYNMVERDF---------SGTK------------------KE</f>
        <v>#NAME?</v>
      </c>
    </row>
    <row r="19072" spans="1:1">
      <c r="A19072" s="35" t="s">
        <v>58390</v>
      </c>
    </row>
    <row r="19073" spans="1:1">
      <c r="A19073" s="35" t="e" cm="1">
        <f t="array" ref="A19073">---------VYPSAMIG---------------------------------------VDNN</f>
        <v>#NAME?</v>
      </c>
    </row>
    <row r="19074" spans="1:1">
      <c r="A19074" s="35" t="s">
        <v>58391</v>
      </c>
    </row>
    <row r="19075" spans="1:1">
      <c r="A19075" s="35" t="s">
        <v>58392</v>
      </c>
    </row>
    <row r="19076" spans="1:1">
      <c r="A19076" s="35" t="s">
        <v>41057</v>
      </c>
    </row>
    <row r="19077" spans="1:1">
      <c r="A19077" s="35" t="s">
        <v>58348</v>
      </c>
    </row>
    <row r="19078" spans="1:1">
      <c r="A19078" s="35" t="s">
        <v>58393</v>
      </c>
    </row>
    <row r="19079" spans="1:1">
      <c r="A19079" s="35" t="s">
        <v>58394</v>
      </c>
    </row>
    <row r="19080" spans="1:1">
      <c r="A19080" s="35" t="s">
        <v>41057</v>
      </c>
    </row>
    <row r="19081" spans="1:1">
      <c r="A19081" s="35" t="s">
        <v>41057</v>
      </c>
    </row>
    <row r="19082" spans="1:1">
      <c r="A19082" s="35" t="s">
        <v>41057</v>
      </c>
    </row>
    <row r="19083" spans="1:1">
      <c r="A19083" s="35" t="s">
        <v>58395</v>
      </c>
    </row>
    <row r="19084" spans="1:1">
      <c r="A19084" s="35" t="s">
        <v>58396</v>
      </c>
    </row>
    <row r="19085" spans="1:1">
      <c r="A19085" s="35" t="s">
        <v>58397</v>
      </c>
    </row>
    <row r="19086" spans="1:1">
      <c r="A19086" s="35" t="s">
        <v>58398</v>
      </c>
    </row>
    <row r="19087" spans="1:1">
      <c r="A19087" s="35" t="s">
        <v>58399</v>
      </c>
    </row>
    <row r="19088" spans="1:1">
      <c r="A19088" s="35" t="s">
        <v>58400</v>
      </c>
    </row>
    <row r="19089" spans="1:1">
      <c r="A19089" s="35" t="s">
        <v>58401</v>
      </c>
    </row>
    <row r="19090" spans="1:1">
      <c r="A19090" s="35" t="s">
        <v>41057</v>
      </c>
    </row>
    <row r="19091" spans="1:1">
      <c r="A19091" s="35" t="s">
        <v>58402</v>
      </c>
    </row>
    <row r="19092" spans="1:1">
      <c r="A19092" s="35" t="s">
        <v>41057</v>
      </c>
    </row>
    <row r="19093" spans="1:1">
      <c r="A19093" s="35" t="s">
        <v>58403</v>
      </c>
    </row>
    <row r="19094" spans="1:1">
      <c r="A19094" s="35" t="s">
        <v>41057</v>
      </c>
    </row>
    <row r="19095" spans="1:1">
      <c r="A19095" s="35" t="s">
        <v>58404</v>
      </c>
    </row>
    <row r="19096" spans="1:1">
      <c r="A19096" s="35" t="s">
        <v>41057</v>
      </c>
    </row>
    <row r="19097" spans="1:1">
      <c r="A19097" s="35" t="s">
        <v>58361</v>
      </c>
    </row>
    <row r="19098" spans="1:1">
      <c r="A19098" s="35" t="s">
        <v>41057</v>
      </c>
    </row>
    <row r="19099" spans="1:1">
      <c r="A19099" s="35" t="s">
        <v>58362</v>
      </c>
    </row>
    <row r="19100" spans="1:1">
      <c r="A19100" s="35" t="s">
        <v>58405</v>
      </c>
    </row>
    <row r="19101" spans="1:1">
      <c r="A19101" s="35" t="s">
        <v>58406</v>
      </c>
    </row>
    <row r="19102" spans="1:1">
      <c r="A19102" s="35" t="s">
        <v>58407</v>
      </c>
    </row>
    <row r="19103" spans="1:1">
      <c r="A19103" s="35" t="s">
        <v>58408</v>
      </c>
    </row>
    <row r="19104" spans="1:1">
      <c r="A19104" s="35" t="e" cm="1">
        <f t="array" ref="A19104">------------------NNNTGI------------LITGNH--N----PSNQKNILLTW</f>
        <v>#NAME?</v>
      </c>
    </row>
    <row r="19105" spans="1:1">
      <c r="A19105" s="35" t="s">
        <v>58409</v>
      </c>
    </row>
    <row r="19106" spans="1:1">
      <c r="A19106" s="35" t="s">
        <v>58410</v>
      </c>
    </row>
    <row r="19107" spans="1:1">
      <c r="A19107" s="35" t="s">
        <v>58411</v>
      </c>
    </row>
    <row r="19108" spans="1:1">
      <c r="A19108" s="35" t="s">
        <v>58412</v>
      </c>
    </row>
    <row r="19109" spans="1:1">
      <c r="A19109" s="35" t="s">
        <v>58413</v>
      </c>
    </row>
    <row r="19110" spans="1:1">
      <c r="A19110" s="35" t="s">
        <v>58414</v>
      </c>
    </row>
    <row r="19111" spans="1:1">
      <c r="A19111" s="35" t="e" cm="1">
        <f t="array" ref="A19111">---------------------------------------------------GINKSYWNI</f>
        <v>#NAME?</v>
      </c>
    </row>
    <row r="19112" spans="1:1">
      <c r="A19112" s="35" t="s">
        <v>58415</v>
      </c>
    </row>
    <row r="19113" spans="1:1">
      <c r="A19113" s="35" t="s">
        <v>58416</v>
      </c>
    </row>
    <row r="19114" spans="1:1">
      <c r="A19114" s="35" t="s">
        <v>58417</v>
      </c>
    </row>
    <row r="19115" spans="1:1">
      <c r="A19115" s="35" t="s">
        <v>41057</v>
      </c>
    </row>
    <row r="19116" spans="1:1">
      <c r="A19116" s="35" t="s">
        <v>53545</v>
      </c>
    </row>
    <row r="19117" spans="1:1">
      <c r="A19117" s="35" t="s">
        <v>52492</v>
      </c>
    </row>
    <row r="19118" spans="1:1">
      <c r="A19118" s="35" t="s">
        <v>41057</v>
      </c>
    </row>
    <row r="19119" spans="1:1">
      <c r="A19119" s="35" t="s">
        <v>41057</v>
      </c>
    </row>
    <row r="19120" spans="1:1">
      <c r="A19120" s="35" t="s">
        <v>41057</v>
      </c>
    </row>
    <row r="19121" spans="1:1">
      <c r="A19121" s="35" t="s">
        <v>41057</v>
      </c>
    </row>
    <row r="19122" spans="1:1">
      <c r="A19122" s="35" t="s">
        <v>41057</v>
      </c>
    </row>
    <row r="19123" spans="1:1">
      <c r="A19123" s="35" t="s">
        <v>54478</v>
      </c>
    </row>
    <row r="19124" spans="1:1">
      <c r="A19124" s="35" t="s">
        <v>41057</v>
      </c>
    </row>
    <row r="19125" spans="1:1">
      <c r="A19125" s="35" t="s">
        <v>41057</v>
      </c>
    </row>
    <row r="19126" spans="1:1">
      <c r="A19126" s="35" t="s">
        <v>41057</v>
      </c>
    </row>
    <row r="19127" spans="1:1">
      <c r="A19127" s="35" t="s">
        <v>54097</v>
      </c>
    </row>
    <row r="19128" spans="1:1">
      <c r="A19128" s="35" t="s">
        <v>58418</v>
      </c>
    </row>
    <row r="19129" spans="1:1">
      <c r="A19129" s="35" t="s">
        <v>58419</v>
      </c>
    </row>
    <row r="19130" spans="1:1">
      <c r="A19130" s="35" t="s">
        <v>54100</v>
      </c>
    </row>
    <row r="19131" spans="1:1">
      <c r="A19131" s="35" t="s">
        <v>41057</v>
      </c>
    </row>
    <row r="19132" spans="1:1">
      <c r="A19132" s="35" t="s">
        <v>41057</v>
      </c>
    </row>
    <row r="19133" spans="1:1">
      <c r="A19133" s="35" t="e" cm="1">
        <f t="array" ref="A19133">---------------SKTF------------------FKT-------------------T</f>
        <v>#NAME?</v>
      </c>
    </row>
    <row r="19134" spans="1:1">
      <c r="A19134" s="35" t="s">
        <v>58420</v>
      </c>
    </row>
    <row r="19135" spans="1:1">
      <c r="A19135" s="35" t="s">
        <v>58380</v>
      </c>
    </row>
    <row r="19136" spans="1:1">
      <c r="A19136" s="35" t="s">
        <v>41057</v>
      </c>
    </row>
    <row r="19137" spans="1:1">
      <c r="A19137" s="35" t="s">
        <v>58421</v>
      </c>
    </row>
    <row r="19138" spans="1:1">
      <c r="A19138" s="35" t="s">
        <v>41057</v>
      </c>
    </row>
    <row r="19139" spans="1:1">
      <c r="A19139" s="35" t="s">
        <v>41057</v>
      </c>
    </row>
    <row r="19140" spans="1:1">
      <c r="A19140" s="35" t="s">
        <v>58422</v>
      </c>
    </row>
    <row r="19141" spans="1:1">
      <c r="A19141" s="35" t="s">
        <v>41057</v>
      </c>
    </row>
    <row r="19142" spans="1:1">
      <c r="A19142" s="35" t="s">
        <v>41057</v>
      </c>
    </row>
    <row r="19143" spans="1:1">
      <c r="A19143" s="35" t="s">
        <v>41057</v>
      </c>
    </row>
    <row r="19144" spans="1:1">
      <c r="A19144" s="35" t="s">
        <v>41057</v>
      </c>
    </row>
    <row r="19145" spans="1:1">
      <c r="A19145" s="35" t="s">
        <v>41057</v>
      </c>
    </row>
    <row r="19146" spans="1:1">
      <c r="A19146" s="35" t="s">
        <v>58423</v>
      </c>
    </row>
    <row r="19147" spans="1:1">
      <c r="A19147" s="35" t="s">
        <v>41057</v>
      </c>
    </row>
    <row r="19148" spans="1:1">
      <c r="A19148" s="35" t="s">
        <v>58424</v>
      </c>
    </row>
    <row r="19149" spans="1:1">
      <c r="A19149" s="35" t="s">
        <v>58309</v>
      </c>
    </row>
    <row r="19150" spans="1:1">
      <c r="A19150" s="35" t="s">
        <v>58336</v>
      </c>
    </row>
    <row r="19151" spans="1:1">
      <c r="A19151" s="35" t="s">
        <v>58425</v>
      </c>
    </row>
    <row r="19152" spans="1:1">
      <c r="A19152" s="35" t="s">
        <v>41057</v>
      </c>
    </row>
    <row r="19153" spans="1:1">
      <c r="A19153" s="35" t="s">
        <v>41057</v>
      </c>
    </row>
    <row r="19154" spans="1:1">
      <c r="A19154" s="35" t="s">
        <v>58426</v>
      </c>
    </row>
    <row r="19155" spans="1:1">
      <c r="A19155" s="35" t="s">
        <v>41057</v>
      </c>
    </row>
    <row r="19156" spans="1:1">
      <c r="A19156" s="35" t="s">
        <v>41057</v>
      </c>
    </row>
    <row r="19157" spans="1:1">
      <c r="A19157" s="35" t="s">
        <v>41057</v>
      </c>
    </row>
    <row r="19158" spans="1:1">
      <c r="A19158" s="35" t="s">
        <v>41057</v>
      </c>
    </row>
    <row r="19159" spans="1:1">
      <c r="A19159" s="35" t="s">
        <v>41057</v>
      </c>
    </row>
    <row r="19160" spans="1:1">
      <c r="A19160" s="35" t="s">
        <v>58339</v>
      </c>
    </row>
    <row r="19161" spans="1:1">
      <c r="A19161" s="35" t="s">
        <v>41057</v>
      </c>
    </row>
    <row r="19162" spans="1:1">
      <c r="A19162" s="35" t="s">
        <v>41057</v>
      </c>
    </row>
    <row r="19163" spans="1:1">
      <c r="A19163" s="35" t="s">
        <v>41057</v>
      </c>
    </row>
    <row r="19164" spans="1:1">
      <c r="A19164" s="35" t="s">
        <v>41057</v>
      </c>
    </row>
    <row r="19165" spans="1:1">
      <c r="A19165" s="35" t="s">
        <v>41057</v>
      </c>
    </row>
    <row r="19166" spans="1:1">
      <c r="A19166" s="35" t="s">
        <v>41057</v>
      </c>
    </row>
    <row r="19167" spans="1:1">
      <c r="A19167" s="35" t="s">
        <v>41057</v>
      </c>
    </row>
    <row r="19168" spans="1:1">
      <c r="A19168" s="35" t="s">
        <v>41057</v>
      </c>
    </row>
    <row r="19169" spans="1:1">
      <c r="A19169" s="35" t="s">
        <v>41057</v>
      </c>
    </row>
    <row r="19170" spans="1:1">
      <c r="A19170" s="35" t="s">
        <v>41057</v>
      </c>
    </row>
    <row r="19171" spans="1:1">
      <c r="A19171" s="35" t="s">
        <v>41057</v>
      </c>
    </row>
    <row r="19172" spans="1:1">
      <c r="A19172" s="35" t="s">
        <v>41057</v>
      </c>
    </row>
    <row r="19173" spans="1:1">
      <c r="A19173" s="35" t="s">
        <v>41057</v>
      </c>
    </row>
    <row r="19174" spans="1:1">
      <c r="A19174" s="35" t="s">
        <v>58340</v>
      </c>
    </row>
    <row r="19175" spans="1:1">
      <c r="A19175" s="35" t="s">
        <v>41057</v>
      </c>
    </row>
    <row r="19176" spans="1:1">
      <c r="A19176" s="35" t="s">
        <v>58427</v>
      </c>
    </row>
    <row r="19177" spans="1:1">
      <c r="A19177" s="35" t="s">
        <v>41057</v>
      </c>
    </row>
    <row r="19178" spans="1:1">
      <c r="A19178" s="35" t="s">
        <v>41057</v>
      </c>
    </row>
    <row r="19179" spans="1:1">
      <c r="A19179" s="35" t="s">
        <v>58428</v>
      </c>
    </row>
    <row r="19180" spans="1:1">
      <c r="A19180" s="35" t="s">
        <v>41057</v>
      </c>
    </row>
    <row r="19181" spans="1:1">
      <c r="A19181" s="35" t="s">
        <v>41057</v>
      </c>
    </row>
    <row r="19182" spans="1:1">
      <c r="A19182" s="35" t="s">
        <v>41057</v>
      </c>
    </row>
    <row r="19183" spans="1:1">
      <c r="A19183" s="35" t="s">
        <v>41057</v>
      </c>
    </row>
    <row r="19184" spans="1:1">
      <c r="A19184" s="35" t="s">
        <v>41057</v>
      </c>
    </row>
    <row r="19185" spans="1:1">
      <c r="A19185" s="35" t="s">
        <v>41057</v>
      </c>
    </row>
    <row r="19186" spans="1:1">
      <c r="A19186" s="35" t="s">
        <v>41057</v>
      </c>
    </row>
    <row r="19187" spans="1:1">
      <c r="A19187" s="35" t="e" cm="1">
        <f t="array" ref="A19187">-----------------------------------------------EFQWIENI---GA</f>
        <v>#NAME?</v>
      </c>
    </row>
    <row r="19188" spans="1:1">
      <c r="A19188" s="35" t="s">
        <v>58429</v>
      </c>
    </row>
    <row r="19189" spans="1:1">
      <c r="A19189" s="35" t="e" cm="1">
        <f t="array" ref="A19189">---------------GAYLLSMVQRDY---------SGAK------------------KE</f>
        <v>#NAME?</v>
      </c>
    </row>
    <row r="19190" spans="1:1">
      <c r="A19190" s="35" t="s">
        <v>58430</v>
      </c>
    </row>
    <row r="19191" spans="1:1">
      <c r="A19191" s="35" t="s">
        <v>58431</v>
      </c>
    </row>
    <row r="19192" spans="1:1">
      <c r="A19192" s="35" t="s">
        <v>58432</v>
      </c>
    </row>
    <row r="19193" spans="1:1">
      <c r="A19193" s="35" t="s">
        <v>58433</v>
      </c>
    </row>
    <row r="19194" spans="1:1">
      <c r="A19194" s="35" t="s">
        <v>41057</v>
      </c>
    </row>
    <row r="19195" spans="1:1">
      <c r="A19195" s="35" t="s">
        <v>58434</v>
      </c>
    </row>
    <row r="19196" spans="1:1">
      <c r="A19196" s="35" t="s">
        <v>58435</v>
      </c>
    </row>
    <row r="19197" spans="1:1">
      <c r="A19197" s="35" t="s">
        <v>58436</v>
      </c>
    </row>
    <row r="19198" spans="1:1">
      <c r="A19198" s="35" t="s">
        <v>41057</v>
      </c>
    </row>
    <row r="19199" spans="1:1">
      <c r="A19199" s="35" t="s">
        <v>41057</v>
      </c>
    </row>
    <row r="19200" spans="1:1">
      <c r="A19200" s="35" t="s">
        <v>41057</v>
      </c>
    </row>
    <row r="19201" spans="1:1">
      <c r="A19201" s="35" t="s">
        <v>58437</v>
      </c>
    </row>
    <row r="19202" spans="1:1">
      <c r="A19202" s="35" t="s">
        <v>58438</v>
      </c>
    </row>
    <row r="19203" spans="1:1">
      <c r="A19203" s="35" t="s">
        <v>58353</v>
      </c>
    </row>
    <row r="19204" spans="1:1">
      <c r="A19204" s="35" t="s">
        <v>58439</v>
      </c>
    </row>
    <row r="19205" spans="1:1">
      <c r="A19205" s="35" t="s">
        <v>58440</v>
      </c>
    </row>
    <row r="19206" spans="1:1">
      <c r="A19206" s="35" t="s">
        <v>58441</v>
      </c>
    </row>
    <row r="19207" spans="1:1">
      <c r="A19207" s="35" t="s">
        <v>58442</v>
      </c>
    </row>
    <row r="19208" spans="1:1">
      <c r="A19208" s="35" t="s">
        <v>41057</v>
      </c>
    </row>
    <row r="19209" spans="1:1">
      <c r="A19209" s="35" t="s">
        <v>58443</v>
      </c>
    </row>
    <row r="19210" spans="1:1">
      <c r="A19210" s="35" t="s">
        <v>41057</v>
      </c>
    </row>
    <row r="19211" spans="1:1">
      <c r="A19211" s="35" t="s">
        <v>58444</v>
      </c>
    </row>
    <row r="19212" spans="1:1">
      <c r="A19212" s="35" t="s">
        <v>41057</v>
      </c>
    </row>
    <row r="19213" spans="1:1">
      <c r="A19213" s="35" t="s">
        <v>58445</v>
      </c>
    </row>
    <row r="19214" spans="1:1">
      <c r="A19214" s="35" t="s">
        <v>41057</v>
      </c>
    </row>
    <row r="19215" spans="1:1">
      <c r="A19215" s="35" t="s">
        <v>58446</v>
      </c>
    </row>
    <row r="19216" spans="1:1">
      <c r="A19216" s="35" t="s">
        <v>41057</v>
      </c>
    </row>
    <row r="19217" spans="1:1">
      <c r="A19217" s="35" t="s">
        <v>58447</v>
      </c>
    </row>
    <row r="19218" spans="1:1">
      <c r="A19218" s="35" t="s">
        <v>58448</v>
      </c>
    </row>
    <row r="19219" spans="1:1">
      <c r="A19219" s="35" t="s">
        <v>58449</v>
      </c>
    </row>
    <row r="19220" spans="1:1">
      <c r="A19220" s="35" t="s">
        <v>58450</v>
      </c>
    </row>
    <row r="19221" spans="1:1">
      <c r="A19221" s="35" t="s">
        <v>58451</v>
      </c>
    </row>
    <row r="19222" spans="1:1">
      <c r="A19222" s="35" t="e" cm="1">
        <f t="array" ref="A19222">------------------GTLTGL------------MITPVY--T----IDNIQAILVEL</f>
        <v>#NAME?</v>
      </c>
    </row>
    <row r="19223" spans="1:1">
      <c r="A19223" s="35" t="s">
        <v>58452</v>
      </c>
    </row>
    <row r="19224" spans="1:1">
      <c r="A19224" s="35" t="s">
        <v>58453</v>
      </c>
    </row>
    <row r="19225" spans="1:1">
      <c r="A19225" s="35" t="s">
        <v>58454</v>
      </c>
    </row>
    <row r="19226" spans="1:1">
      <c r="A19226" s="35" t="s">
        <v>58455</v>
      </c>
    </row>
    <row r="19227" spans="1:1">
      <c r="A19227" s="35" t="s">
        <v>58456</v>
      </c>
    </row>
    <row r="19228" spans="1:1">
      <c r="A19228" s="35" t="s">
        <v>58457</v>
      </c>
    </row>
    <row r="19229" spans="1:1">
      <c r="A19229" s="35" t="e" cm="1">
        <f t="array" ref="A19229">---------------------------------------------------GINKPTWRI</f>
        <v>#NAME?</v>
      </c>
    </row>
    <row r="19230" spans="1:1">
      <c r="A19230" s="35" t="s">
        <v>58458</v>
      </c>
    </row>
    <row r="19231" spans="1:1">
      <c r="A19231" s="35" t="s">
        <v>58459</v>
      </c>
    </row>
    <row r="19232" spans="1:1">
      <c r="A19232" s="35" t="s">
        <v>58460</v>
      </c>
    </row>
    <row r="19233" spans="1:1">
      <c r="A19233" s="35" t="s">
        <v>41057</v>
      </c>
    </row>
    <row r="19234" spans="1:1">
      <c r="A19234" s="35" t="s">
        <v>53545</v>
      </c>
    </row>
    <row r="19235" spans="1:1">
      <c r="A19235" s="35" t="s">
        <v>52481</v>
      </c>
    </row>
    <row r="19236" spans="1:1">
      <c r="A19236" s="35" t="s">
        <v>41057</v>
      </c>
    </row>
    <row r="19237" spans="1:1">
      <c r="A19237" s="35" t="s">
        <v>41057</v>
      </c>
    </row>
    <row r="19238" spans="1:1">
      <c r="A19238" s="35" t="s">
        <v>41057</v>
      </c>
    </row>
    <row r="19239" spans="1:1">
      <c r="A19239" s="35" t="s">
        <v>41057</v>
      </c>
    </row>
    <row r="19240" spans="1:1">
      <c r="A19240" s="35" t="s">
        <v>41057</v>
      </c>
    </row>
    <row r="19241" spans="1:1">
      <c r="A19241" s="35" t="s">
        <v>54096</v>
      </c>
    </row>
    <row r="19242" spans="1:1">
      <c r="A19242" s="35" t="s">
        <v>41057</v>
      </c>
    </row>
    <row r="19243" spans="1:1">
      <c r="A19243" s="35" t="s">
        <v>41057</v>
      </c>
    </row>
    <row r="19244" spans="1:1">
      <c r="A19244" s="35" t="s">
        <v>41057</v>
      </c>
    </row>
    <row r="19245" spans="1:1">
      <c r="A19245" s="35" t="s">
        <v>54097</v>
      </c>
    </row>
    <row r="19246" spans="1:1">
      <c r="A19246" s="35" t="s">
        <v>58461</v>
      </c>
    </row>
    <row r="19247" spans="1:1">
      <c r="A19247" s="35" t="s">
        <v>58378</v>
      </c>
    </row>
    <row r="19248" spans="1:1">
      <c r="A19248" s="35" t="s">
        <v>54100</v>
      </c>
    </row>
    <row r="19249" spans="1:1">
      <c r="A19249" s="35" t="s">
        <v>41057</v>
      </c>
    </row>
    <row r="19250" spans="1:1">
      <c r="A19250" s="35" t="s">
        <v>41057</v>
      </c>
    </row>
    <row r="19251" spans="1:1">
      <c r="A19251" s="35" t="e" cm="1">
        <f t="array" ref="A19251">---------------SKSF------------------FKA-------------------K</f>
        <v>#NAME?</v>
      </c>
    </row>
    <row r="19252" spans="1:1">
      <c r="A19252" s="35" t="s">
        <v>58379</v>
      </c>
    </row>
    <row r="19253" spans="1:1">
      <c r="A19253" s="35" t="s">
        <v>58462</v>
      </c>
    </row>
    <row r="19254" spans="1:1">
      <c r="A19254" s="35" t="s">
        <v>41057</v>
      </c>
    </row>
    <row r="19255" spans="1:1">
      <c r="A19255" s="35" t="s">
        <v>58463</v>
      </c>
    </row>
    <row r="19256" spans="1:1">
      <c r="A19256" s="35" t="s">
        <v>41057</v>
      </c>
    </row>
    <row r="19257" spans="1:1">
      <c r="A19257" s="35" t="s">
        <v>41057</v>
      </c>
    </row>
    <row r="19258" spans="1:1">
      <c r="A19258" s="35" t="s">
        <v>58464</v>
      </c>
    </row>
    <row r="19259" spans="1:1">
      <c r="A19259" s="35" t="s">
        <v>41057</v>
      </c>
    </row>
    <row r="19260" spans="1:1">
      <c r="A19260" s="35" t="s">
        <v>41057</v>
      </c>
    </row>
    <row r="19261" spans="1:1">
      <c r="A19261" s="35" t="s">
        <v>41057</v>
      </c>
    </row>
    <row r="19262" spans="1:1">
      <c r="A19262" s="35" t="s">
        <v>41057</v>
      </c>
    </row>
    <row r="19263" spans="1:1">
      <c r="A19263" s="35" t="s">
        <v>41057</v>
      </c>
    </row>
    <row r="19264" spans="1:1">
      <c r="A19264" s="35" t="s">
        <v>58465</v>
      </c>
    </row>
    <row r="19265" spans="1:1">
      <c r="A19265" s="35" t="s">
        <v>41057</v>
      </c>
    </row>
    <row r="19266" spans="1:1">
      <c r="A19266" s="35" t="s">
        <v>58466</v>
      </c>
    </row>
    <row r="19267" spans="1:1">
      <c r="A19267" s="35" t="s">
        <v>58309</v>
      </c>
    </row>
    <row r="19268" spans="1:1">
      <c r="A19268" s="35" t="s">
        <v>58467</v>
      </c>
    </row>
    <row r="19269" spans="1:1">
      <c r="A19269" s="35" t="s">
        <v>58468</v>
      </c>
    </row>
    <row r="19270" spans="1:1">
      <c r="A19270" s="35" t="s">
        <v>41057</v>
      </c>
    </row>
    <row r="19271" spans="1:1">
      <c r="A19271" s="35" t="s">
        <v>41057</v>
      </c>
    </row>
    <row r="19272" spans="1:1">
      <c r="A19272" s="35" t="s">
        <v>58469</v>
      </c>
    </row>
    <row r="19273" spans="1:1">
      <c r="A19273" s="35" t="s">
        <v>41057</v>
      </c>
    </row>
    <row r="19274" spans="1:1">
      <c r="A19274" s="35" t="s">
        <v>41057</v>
      </c>
    </row>
    <row r="19275" spans="1:1">
      <c r="A19275" s="35" t="s">
        <v>41057</v>
      </c>
    </row>
    <row r="19276" spans="1:1">
      <c r="A19276" s="35" t="s">
        <v>41057</v>
      </c>
    </row>
    <row r="19277" spans="1:1">
      <c r="A19277" s="35" t="s">
        <v>41057</v>
      </c>
    </row>
    <row r="19278" spans="1:1">
      <c r="A19278" s="35" t="s">
        <v>58470</v>
      </c>
    </row>
    <row r="19279" spans="1:1">
      <c r="A19279" s="35" t="s">
        <v>41057</v>
      </c>
    </row>
    <row r="19280" spans="1:1">
      <c r="A19280" s="35" t="s">
        <v>41057</v>
      </c>
    </row>
    <row r="19281" spans="1:1">
      <c r="A19281" s="35" t="s">
        <v>41057</v>
      </c>
    </row>
    <row r="19282" spans="1:1">
      <c r="A19282" s="35" t="s">
        <v>41057</v>
      </c>
    </row>
    <row r="19283" spans="1:1">
      <c r="A19283" s="35" t="s">
        <v>41057</v>
      </c>
    </row>
    <row r="19284" spans="1:1">
      <c r="A19284" s="35" t="s">
        <v>41057</v>
      </c>
    </row>
    <row r="19285" spans="1:1">
      <c r="A19285" s="35" t="s">
        <v>41057</v>
      </c>
    </row>
    <row r="19286" spans="1:1">
      <c r="A19286" s="35" t="s">
        <v>41057</v>
      </c>
    </row>
    <row r="19287" spans="1:1">
      <c r="A19287" s="35" t="s">
        <v>41057</v>
      </c>
    </row>
    <row r="19288" spans="1:1">
      <c r="A19288" s="35" t="s">
        <v>41057</v>
      </c>
    </row>
    <row r="19289" spans="1:1">
      <c r="A19289" s="35" t="s">
        <v>41057</v>
      </c>
    </row>
    <row r="19290" spans="1:1">
      <c r="A19290" s="35" t="s">
        <v>41057</v>
      </c>
    </row>
    <row r="19291" spans="1:1">
      <c r="A19291" s="35" t="s">
        <v>41057</v>
      </c>
    </row>
    <row r="19292" spans="1:1">
      <c r="A19292" s="35" t="s">
        <v>58471</v>
      </c>
    </row>
    <row r="19293" spans="1:1">
      <c r="A19293" s="35" t="s">
        <v>41057</v>
      </c>
    </row>
    <row r="19294" spans="1:1">
      <c r="A19294" s="35" t="s">
        <v>58472</v>
      </c>
    </row>
    <row r="19295" spans="1:1">
      <c r="A19295" s="35" t="s">
        <v>41057</v>
      </c>
    </row>
    <row r="19296" spans="1:1">
      <c r="A19296" s="35" t="s">
        <v>41057</v>
      </c>
    </row>
    <row r="19297" spans="1:1">
      <c r="A19297" s="35" t="s">
        <v>58473</v>
      </c>
    </row>
    <row r="19298" spans="1:1">
      <c r="A19298" s="35" t="s">
        <v>41057</v>
      </c>
    </row>
    <row r="19299" spans="1:1">
      <c r="A19299" s="35" t="s">
        <v>41057</v>
      </c>
    </row>
    <row r="19300" spans="1:1">
      <c r="A19300" s="35" t="s">
        <v>41057</v>
      </c>
    </row>
    <row r="19301" spans="1:1">
      <c r="A19301" s="35" t="s">
        <v>41057</v>
      </c>
    </row>
    <row r="19302" spans="1:1">
      <c r="A19302" s="35" t="s">
        <v>41057</v>
      </c>
    </row>
    <row r="19303" spans="1:1">
      <c r="A19303" s="35" t="s">
        <v>41057</v>
      </c>
    </row>
    <row r="19304" spans="1:1">
      <c r="A19304" s="35" t="s">
        <v>41057</v>
      </c>
    </row>
    <row r="19305" spans="1:1">
      <c r="A19305" s="35" t="e" cm="1">
        <f t="array" ref="A19305">-----------------------------------------------EFQWIKNI---GS</f>
        <v>#NAME?</v>
      </c>
    </row>
    <row r="19306" spans="1:1">
      <c r="A19306" s="35" t="s">
        <v>58474</v>
      </c>
    </row>
    <row r="19307" spans="1:1">
      <c r="A19307" s="35" t="e" cm="1">
        <f t="array" ref="A19307">---------------GNYLRNAVERDF---------DNAK------------------KE</f>
        <v>#NAME?</v>
      </c>
    </row>
    <row r="19308" spans="1:1">
      <c r="A19308" s="35" t="s">
        <v>58475</v>
      </c>
    </row>
    <row r="19309" spans="1:1">
      <c r="A19309" s="35" t="e" cm="1">
        <f t="array" ref="A19309">---------NYPNAFR------------------------------------------MD</f>
        <v>#NAME?</v>
      </c>
    </row>
    <row r="19310" spans="1:1">
      <c r="A19310" s="35" t="s">
        <v>58476</v>
      </c>
    </row>
    <row r="19311" spans="1:1">
      <c r="A19311" s="35" t="s">
        <v>58477</v>
      </c>
    </row>
    <row r="19312" spans="1:1">
      <c r="A19312" s="35" t="s">
        <v>41057</v>
      </c>
    </row>
    <row r="19313" spans="1:1">
      <c r="A19313" s="35" t="s">
        <v>58348</v>
      </c>
    </row>
    <row r="19314" spans="1:1">
      <c r="A19314" s="35" t="s">
        <v>58478</v>
      </c>
    </row>
    <row r="19315" spans="1:1">
      <c r="A19315" s="35" t="s">
        <v>58479</v>
      </c>
    </row>
    <row r="19316" spans="1:1">
      <c r="A19316" s="35" t="s">
        <v>41057</v>
      </c>
    </row>
    <row r="19317" spans="1:1">
      <c r="A19317" s="35" t="s">
        <v>41057</v>
      </c>
    </row>
    <row r="19318" spans="1:1">
      <c r="A19318" s="35" t="s">
        <v>41057</v>
      </c>
    </row>
    <row r="19319" spans="1:1">
      <c r="A19319" s="35" t="s">
        <v>58480</v>
      </c>
    </row>
    <row r="19320" spans="1:1">
      <c r="A19320" s="35" t="s">
        <v>58481</v>
      </c>
    </row>
    <row r="19321" spans="1:1">
      <c r="A19321" s="35" t="s">
        <v>58482</v>
      </c>
    </row>
    <row r="19322" spans="1:1">
      <c r="A19322" s="35" t="s">
        <v>58483</v>
      </c>
    </row>
    <row r="19323" spans="1:1">
      <c r="A19323" s="35" t="s">
        <v>58484</v>
      </c>
    </row>
    <row r="19324" spans="1:1">
      <c r="A19324" s="35" t="s">
        <v>58485</v>
      </c>
    </row>
    <row r="19325" spans="1:1">
      <c r="A19325" s="35" t="s">
        <v>58486</v>
      </c>
    </row>
    <row r="19326" spans="1:1">
      <c r="A19326" s="35" t="s">
        <v>41057</v>
      </c>
    </row>
    <row r="19327" spans="1:1">
      <c r="A19327" s="35" t="s">
        <v>58487</v>
      </c>
    </row>
    <row r="19328" spans="1:1">
      <c r="A19328" s="35" t="s">
        <v>41057</v>
      </c>
    </row>
    <row r="19329" spans="1:1">
      <c r="A19329" s="35" t="s">
        <v>58488</v>
      </c>
    </row>
    <row r="19330" spans="1:1">
      <c r="A19330" s="35" t="s">
        <v>41057</v>
      </c>
    </row>
    <row r="19331" spans="1:1">
      <c r="A19331" s="35" t="s">
        <v>58489</v>
      </c>
    </row>
    <row r="19332" spans="1:1">
      <c r="A19332" s="35" t="s">
        <v>41057</v>
      </c>
    </row>
    <row r="19333" spans="1:1">
      <c r="A19333" s="35" t="s">
        <v>58361</v>
      </c>
    </row>
    <row r="19334" spans="1:1">
      <c r="A19334" s="35" t="s">
        <v>41057</v>
      </c>
    </row>
    <row r="19335" spans="1:1">
      <c r="A19335" s="35" t="s">
        <v>58490</v>
      </c>
    </row>
    <row r="19336" spans="1:1">
      <c r="A19336" s="35" t="s">
        <v>58491</v>
      </c>
    </row>
    <row r="19337" spans="1:1">
      <c r="A19337" s="35" t="s">
        <v>58492</v>
      </c>
    </row>
    <row r="19338" spans="1:1">
      <c r="A19338" s="35" t="s">
        <v>58493</v>
      </c>
    </row>
    <row r="19339" spans="1:1">
      <c r="A19339" s="35" t="s">
        <v>41057</v>
      </c>
    </row>
    <row r="19340" spans="1:1">
      <c r="A19340" s="35" t="e" cm="1">
        <f t="array" ref="A19340">-------------------TSKNI------------FITGYQ--PSIYEQTNKKEIMKEF</f>
        <v>#NAME?</v>
      </c>
    </row>
    <row r="19341" spans="1:1">
      <c r="A19341" s="35" t="s">
        <v>58494</v>
      </c>
    </row>
    <row r="19342" spans="1:1">
      <c r="A19342" s="35" t="s">
        <v>58495</v>
      </c>
    </row>
    <row r="19343" spans="1:1">
      <c r="A19343" s="35" t="s">
        <v>58496</v>
      </c>
    </row>
    <row r="19344" spans="1:1">
      <c r="A19344" s="35" t="s">
        <v>58497</v>
      </c>
    </row>
    <row r="19345" spans="1:1">
      <c r="A19345" s="35" t="s">
        <v>58498</v>
      </c>
    </row>
    <row r="19346" spans="1:1">
      <c r="A19346" s="35" t="s">
        <v>58499</v>
      </c>
    </row>
    <row r="19347" spans="1:1">
      <c r="A19347" s="35" t="e" cm="1">
        <f t="array" ref="A19347">---------------------------------------------------ATSKEPTSI</f>
        <v>#NAME?</v>
      </c>
    </row>
    <row r="19348" spans="1:1">
      <c r="A19348" s="35" t="s">
        <v>58500</v>
      </c>
    </row>
    <row r="19349" spans="1:1">
      <c r="A19349" s="35" t="s">
        <v>58501</v>
      </c>
    </row>
    <row r="19350" spans="1:1">
      <c r="A19350" s="35" t="s">
        <v>58502</v>
      </c>
    </row>
    <row r="19351" spans="1:1">
      <c r="A19351" s="35" t="s">
        <v>41057</v>
      </c>
    </row>
    <row r="19352" spans="1:1">
      <c r="A19352" s="35" t="s">
        <v>53545</v>
      </c>
    </row>
    <row r="19353" spans="1:1">
      <c r="A19353" s="35" t="s">
        <v>53211</v>
      </c>
    </row>
    <row r="19354" spans="1:1">
      <c r="A19354" s="35" t="s">
        <v>41057</v>
      </c>
    </row>
    <row r="19355" spans="1:1">
      <c r="A19355" s="35" t="s">
        <v>58503</v>
      </c>
    </row>
    <row r="19356" spans="1:1">
      <c r="A19356" s="35" t="s">
        <v>41057</v>
      </c>
    </row>
    <row r="19357" spans="1:1">
      <c r="A19357" s="35" t="s">
        <v>41057</v>
      </c>
    </row>
    <row r="19358" spans="1:1">
      <c r="A19358" s="35" t="e" cm="1">
        <f t="array" ref="A19358">--------------------------RI-CIRKKLINYHILLNNIC-------FYNNKKI</f>
        <v>#NAME?</v>
      </c>
    </row>
    <row r="19359" spans="1:1">
      <c r="A19359" s="35" t="s">
        <v>58504</v>
      </c>
    </row>
    <row r="19360" spans="1:1">
      <c r="A19360" s="35" t="s">
        <v>41057</v>
      </c>
    </row>
    <row r="19361" spans="1:1">
      <c r="A19361" s="35" t="s">
        <v>41057</v>
      </c>
    </row>
    <row r="19362" spans="1:1">
      <c r="A19362" s="35" t="s">
        <v>41057</v>
      </c>
    </row>
    <row r="19363" spans="1:1">
      <c r="A19363" s="35" t="s">
        <v>54097</v>
      </c>
    </row>
    <row r="19364" spans="1:1">
      <c r="A19364" s="35" t="s">
        <v>58505</v>
      </c>
    </row>
    <row r="19365" spans="1:1">
      <c r="A19365" s="35" t="s">
        <v>58506</v>
      </c>
    </row>
    <row r="19366" spans="1:1">
      <c r="A19366" s="35" t="s">
        <v>54100</v>
      </c>
    </row>
    <row r="19367" spans="1:1">
      <c r="A19367" s="35" t="s">
        <v>41057</v>
      </c>
    </row>
    <row r="19368" spans="1:1">
      <c r="A19368" s="35" t="s">
        <v>41057</v>
      </c>
    </row>
    <row r="19369" spans="1:1">
      <c r="A19369" s="35" t="e" cm="1">
        <f t="array" ref="A19369">---------------QKTY------------------FKS-------------------T</f>
        <v>#NAME?</v>
      </c>
    </row>
    <row r="19370" spans="1:1">
      <c r="A19370" s="35" t="s">
        <v>58507</v>
      </c>
    </row>
    <row r="19371" spans="1:1">
      <c r="A19371" s="35" t="s">
        <v>58380</v>
      </c>
    </row>
    <row r="19372" spans="1:1">
      <c r="A19372" s="35" t="s">
        <v>41057</v>
      </c>
    </row>
    <row r="19373" spans="1:1">
      <c r="A19373" s="35" t="s">
        <v>58508</v>
      </c>
    </row>
    <row r="19374" spans="1:1">
      <c r="A19374" s="35" t="s">
        <v>41057</v>
      </c>
    </row>
    <row r="19375" spans="1:1">
      <c r="A19375" s="35" t="s">
        <v>41057</v>
      </c>
    </row>
    <row r="19376" spans="1:1">
      <c r="A19376" s="35" t="s">
        <v>58509</v>
      </c>
    </row>
    <row r="19377" spans="1:1">
      <c r="A19377" s="35" t="s">
        <v>41057</v>
      </c>
    </row>
    <row r="19378" spans="1:1">
      <c r="A19378" s="35" t="s">
        <v>41057</v>
      </c>
    </row>
    <row r="19379" spans="1:1">
      <c r="A19379" s="35" t="s">
        <v>41057</v>
      </c>
    </row>
    <row r="19380" spans="1:1">
      <c r="A19380" s="35" t="s">
        <v>41057</v>
      </c>
    </row>
    <row r="19381" spans="1:1">
      <c r="A19381" s="35" t="s">
        <v>41057</v>
      </c>
    </row>
    <row r="19382" spans="1:1">
      <c r="A19382" s="35" t="s">
        <v>58510</v>
      </c>
    </row>
    <row r="19383" spans="1:1">
      <c r="A19383" s="35" t="s">
        <v>41057</v>
      </c>
    </row>
    <row r="19384" spans="1:1">
      <c r="A19384" s="35" t="s">
        <v>58424</v>
      </c>
    </row>
    <row r="19385" spans="1:1">
      <c r="A19385" s="35" t="s">
        <v>58309</v>
      </c>
    </row>
    <row r="19386" spans="1:1">
      <c r="A19386" s="35" t="s">
        <v>58511</v>
      </c>
    </row>
    <row r="19387" spans="1:1">
      <c r="A19387" s="35" t="s">
        <v>58512</v>
      </c>
    </row>
    <row r="19388" spans="1:1">
      <c r="A19388" s="35" t="s">
        <v>41057</v>
      </c>
    </row>
    <row r="19389" spans="1:1">
      <c r="A19389" s="35" t="s">
        <v>41057</v>
      </c>
    </row>
    <row r="19390" spans="1:1">
      <c r="A19390" s="35" t="s">
        <v>58513</v>
      </c>
    </row>
    <row r="19391" spans="1:1">
      <c r="A19391" s="35" t="s">
        <v>41057</v>
      </c>
    </row>
    <row r="19392" spans="1:1">
      <c r="A19392" s="35" t="s">
        <v>41057</v>
      </c>
    </row>
    <row r="19393" spans="1:1">
      <c r="A19393" s="35" t="s">
        <v>41057</v>
      </c>
    </row>
    <row r="19394" spans="1:1">
      <c r="A19394" s="35" t="s">
        <v>41057</v>
      </c>
    </row>
    <row r="19395" spans="1:1">
      <c r="A19395" s="35" t="s">
        <v>41057</v>
      </c>
    </row>
    <row r="19396" spans="1:1">
      <c r="A19396" s="35" t="s">
        <v>58514</v>
      </c>
    </row>
    <row r="19397" spans="1:1">
      <c r="A19397" s="35" t="s">
        <v>41057</v>
      </c>
    </row>
    <row r="19398" spans="1:1">
      <c r="A19398" s="35" t="s">
        <v>41057</v>
      </c>
    </row>
    <row r="19399" spans="1:1">
      <c r="A19399" s="35" t="s">
        <v>41057</v>
      </c>
    </row>
    <row r="19400" spans="1:1">
      <c r="A19400" s="35" t="s">
        <v>41057</v>
      </c>
    </row>
    <row r="19401" spans="1:1">
      <c r="A19401" s="35" t="s">
        <v>41057</v>
      </c>
    </row>
    <row r="19402" spans="1:1">
      <c r="A19402" s="35" t="s">
        <v>41057</v>
      </c>
    </row>
    <row r="19403" spans="1:1">
      <c r="A19403" s="35" t="s">
        <v>41057</v>
      </c>
    </row>
    <row r="19404" spans="1:1">
      <c r="A19404" s="35" t="s">
        <v>41057</v>
      </c>
    </row>
    <row r="19405" spans="1:1">
      <c r="A19405" s="35" t="s">
        <v>41057</v>
      </c>
    </row>
    <row r="19406" spans="1:1">
      <c r="A19406" s="35" t="s">
        <v>41057</v>
      </c>
    </row>
    <row r="19407" spans="1:1">
      <c r="A19407" s="35" t="s">
        <v>41057</v>
      </c>
    </row>
    <row r="19408" spans="1:1">
      <c r="A19408" s="35" t="s">
        <v>41057</v>
      </c>
    </row>
    <row r="19409" spans="1:1">
      <c r="A19409" s="35" t="s">
        <v>41057</v>
      </c>
    </row>
    <row r="19410" spans="1:1">
      <c r="A19410" s="35" t="s">
        <v>58515</v>
      </c>
    </row>
    <row r="19411" spans="1:1">
      <c r="A19411" s="35" t="s">
        <v>41057</v>
      </c>
    </row>
    <row r="19412" spans="1:1">
      <c r="A19412" s="35" t="s">
        <v>58516</v>
      </c>
    </row>
    <row r="19413" spans="1:1">
      <c r="A19413" s="35" t="s">
        <v>41057</v>
      </c>
    </row>
    <row r="19414" spans="1:1">
      <c r="A19414" s="35" t="s">
        <v>41057</v>
      </c>
    </row>
    <row r="19415" spans="1:1">
      <c r="A19415" s="35" t="s">
        <v>58517</v>
      </c>
    </row>
    <row r="19416" spans="1:1">
      <c r="A19416" s="35" t="s">
        <v>41057</v>
      </c>
    </row>
    <row r="19417" spans="1:1">
      <c r="A19417" s="35" t="s">
        <v>41057</v>
      </c>
    </row>
    <row r="19418" spans="1:1">
      <c r="A19418" s="35" t="s">
        <v>41057</v>
      </c>
    </row>
    <row r="19419" spans="1:1">
      <c r="A19419" s="35" t="s">
        <v>41057</v>
      </c>
    </row>
    <row r="19420" spans="1:1">
      <c r="A19420" s="35" t="s">
        <v>41057</v>
      </c>
    </row>
    <row r="19421" spans="1:1">
      <c r="A19421" s="35" t="s">
        <v>41057</v>
      </c>
    </row>
    <row r="19422" spans="1:1">
      <c r="A19422" s="35" t="s">
        <v>41057</v>
      </c>
    </row>
    <row r="19423" spans="1:1">
      <c r="A19423" s="35" t="e" cm="1">
        <f t="array" ref="A19423">-----------------------------------------------GFKWIEEI---GS</f>
        <v>#NAME?</v>
      </c>
    </row>
    <row r="19424" spans="1:1">
      <c r="A19424" s="35" t="s">
        <v>58518</v>
      </c>
    </row>
    <row r="19425" spans="1:1">
      <c r="A19425" s="35" t="e" cm="1">
        <f t="array" ref="A19425">---------------GEYFSNLIKRDK---------NNAK------------------IE</f>
        <v>#NAME?</v>
      </c>
    </row>
    <row r="19426" spans="1:1">
      <c r="A19426" s="35" t="s">
        <v>58519</v>
      </c>
    </row>
    <row r="19427" spans="1:1">
      <c r="A19427" s="35" t="e" cm="1">
        <f t="array" ref="A19427">---------TYPNAYY------------------------------------------NG</f>
        <v>#NAME?</v>
      </c>
    </row>
    <row r="19428" spans="1:1">
      <c r="A19428" s="35" t="s">
        <v>58520</v>
      </c>
    </row>
    <row r="19429" spans="1:1">
      <c r="A19429" s="35" t="s">
        <v>58521</v>
      </c>
    </row>
    <row r="19430" spans="1:1">
      <c r="A19430" s="35" t="s">
        <v>41057</v>
      </c>
    </row>
    <row r="19431" spans="1:1">
      <c r="A19431" s="35" t="s">
        <v>58522</v>
      </c>
    </row>
    <row r="19432" spans="1:1">
      <c r="A19432" s="35" t="s">
        <v>58523</v>
      </c>
    </row>
    <row r="19433" spans="1:1">
      <c r="A19433" s="35" t="s">
        <v>58524</v>
      </c>
    </row>
    <row r="19434" spans="1:1">
      <c r="A19434" s="35" t="s">
        <v>41057</v>
      </c>
    </row>
    <row r="19435" spans="1:1">
      <c r="A19435" s="35" t="s">
        <v>41057</v>
      </c>
    </row>
    <row r="19436" spans="1:1">
      <c r="A19436" s="35" t="s">
        <v>41057</v>
      </c>
    </row>
    <row r="19437" spans="1:1">
      <c r="A19437" s="35" t="s">
        <v>58525</v>
      </c>
    </row>
    <row r="19438" spans="1:1">
      <c r="A19438" s="35" t="s">
        <v>58526</v>
      </c>
    </row>
    <row r="19439" spans="1:1">
      <c r="A19439" s="35" t="s">
        <v>58527</v>
      </c>
    </row>
    <row r="19440" spans="1:1">
      <c r="A19440" s="35" t="s">
        <v>58528</v>
      </c>
    </row>
    <row r="19441" spans="1:1">
      <c r="A19441" s="35" t="s">
        <v>58529</v>
      </c>
    </row>
    <row r="19442" spans="1:1">
      <c r="A19442" s="35" t="s">
        <v>58530</v>
      </c>
    </row>
    <row r="19443" spans="1:1">
      <c r="A19443" s="35" t="s">
        <v>58531</v>
      </c>
    </row>
    <row r="19444" spans="1:1">
      <c r="A19444" s="35" t="s">
        <v>41057</v>
      </c>
    </row>
    <row r="19445" spans="1:1">
      <c r="A19445" s="35" t="s">
        <v>58532</v>
      </c>
    </row>
    <row r="19446" spans="1:1">
      <c r="A19446" s="35" t="s">
        <v>41057</v>
      </c>
    </row>
    <row r="19447" spans="1:1">
      <c r="A19447" s="35" t="s">
        <v>58533</v>
      </c>
    </row>
    <row r="19448" spans="1:1">
      <c r="A19448" s="35" t="s">
        <v>41057</v>
      </c>
    </row>
    <row r="19449" spans="1:1">
      <c r="A19449" s="35" t="s">
        <v>58534</v>
      </c>
    </row>
    <row r="19450" spans="1:1">
      <c r="A19450" s="35" t="s">
        <v>41057</v>
      </c>
    </row>
    <row r="19451" spans="1:1">
      <c r="A19451" s="35" t="s">
        <v>58535</v>
      </c>
    </row>
    <row r="19452" spans="1:1">
      <c r="A19452" s="35" t="s">
        <v>41057</v>
      </c>
    </row>
    <row r="19453" spans="1:1">
      <c r="A19453" s="35" t="s">
        <v>58536</v>
      </c>
    </row>
    <row r="19454" spans="1:1">
      <c r="A19454" s="35" t="s">
        <v>58537</v>
      </c>
    </row>
    <row r="19455" spans="1:1">
      <c r="A19455" s="35" t="s">
        <v>41057</v>
      </c>
    </row>
    <row r="19456" spans="1:1">
      <c r="A19456" s="35" t="s">
        <v>58538</v>
      </c>
    </row>
    <row r="19457" spans="1:1">
      <c r="A19457" s="35" t="s">
        <v>58539</v>
      </c>
    </row>
    <row r="19458" spans="1:1">
      <c r="A19458" s="35" t="e" cm="1">
        <f t="array" ref="A19458">-----------------------L------------FITGNY--TSDNFLQNDYNILLNM</f>
        <v>#NAME?</v>
      </c>
    </row>
    <row r="19459" spans="1:1">
      <c r="A19459" s="35" t="s">
        <v>58540</v>
      </c>
    </row>
    <row r="19460" spans="1:1">
      <c r="A19460" s="35" t="s">
        <v>58541</v>
      </c>
    </row>
    <row r="19461" spans="1:1">
      <c r="A19461" s="35" t="s">
        <v>58542</v>
      </c>
    </row>
    <row r="19462" spans="1:1">
      <c r="A19462" s="35" t="s">
        <v>58543</v>
      </c>
    </row>
    <row r="19463" spans="1:1">
      <c r="A19463" s="35" t="s">
        <v>58544</v>
      </c>
    </row>
    <row r="19464" spans="1:1">
      <c r="A19464" s="35" t="s">
        <v>58545</v>
      </c>
    </row>
    <row r="19465" spans="1:1">
      <c r="A19465" s="35" t="e" cm="1">
        <f t="array" ref="A19465">---------------------------------------------------GTRKNIWNL</f>
        <v>#NAME?</v>
      </c>
    </row>
    <row r="19466" spans="1:1">
      <c r="A19466" s="35" t="s">
        <v>58546</v>
      </c>
    </row>
    <row r="19467" spans="1:1">
      <c r="A19467" s="35" t="s">
        <v>58547</v>
      </c>
    </row>
    <row r="19468" spans="1:1">
      <c r="A19468" s="35" t="s">
        <v>58548</v>
      </c>
    </row>
    <row r="19469" spans="1:1">
      <c r="A19469" s="35" t="s">
        <v>41057</v>
      </c>
    </row>
    <row r="19470" spans="1:1">
      <c r="A19470" s="35" t="s">
        <v>53545</v>
      </c>
    </row>
    <row r="19471" spans="1:1">
      <c r="A19471" s="35" t="s">
        <v>53451</v>
      </c>
    </row>
    <row r="19472" spans="1:1">
      <c r="A19472" s="35" t="s">
        <v>41057</v>
      </c>
    </row>
    <row r="19473" spans="1:1">
      <c r="A19473" s="35" t="s">
        <v>41057</v>
      </c>
    </row>
    <row r="19474" spans="1:1">
      <c r="A19474" s="35" t="s">
        <v>41057</v>
      </c>
    </row>
    <row r="19475" spans="1:1">
      <c r="A19475" s="35" t="s">
        <v>41057</v>
      </c>
    </row>
    <row r="19476" spans="1:1">
      <c r="A19476" s="35" t="e" cm="1">
        <f t="array" ref="A19476">----------------------------------------------------------IL</f>
        <v>#NAME?</v>
      </c>
    </row>
    <row r="19477" spans="1:1">
      <c r="A19477" s="35" t="s">
        <v>58549</v>
      </c>
    </row>
    <row r="19478" spans="1:1">
      <c r="A19478" s="35" t="s">
        <v>41057</v>
      </c>
    </row>
    <row r="19479" spans="1:1">
      <c r="A19479" s="35" t="s">
        <v>41057</v>
      </c>
    </row>
    <row r="19480" spans="1:1">
      <c r="A19480" s="35" t="s">
        <v>41057</v>
      </c>
    </row>
    <row r="19481" spans="1:1">
      <c r="A19481" s="35" t="s">
        <v>54097</v>
      </c>
    </row>
    <row r="19482" spans="1:1">
      <c r="A19482" s="35" t="s">
        <v>58550</v>
      </c>
    </row>
    <row r="19483" spans="1:1">
      <c r="A19483" s="35" t="s">
        <v>58551</v>
      </c>
    </row>
    <row r="19484" spans="1:1">
      <c r="A19484" s="35" t="s">
        <v>54100</v>
      </c>
    </row>
    <row r="19485" spans="1:1">
      <c r="A19485" s="35" t="s">
        <v>41057</v>
      </c>
    </row>
    <row r="19486" spans="1:1">
      <c r="A19486" s="35" t="s">
        <v>41057</v>
      </c>
    </row>
    <row r="19487" spans="1:1">
      <c r="A19487" s="35" t="e" cm="1">
        <f t="array" ref="A19487">---------------KRSF------------------FMA-------------------S</f>
        <v>#NAME?</v>
      </c>
    </row>
    <row r="19488" spans="1:1">
      <c r="A19488" s="35" t="s">
        <v>58330</v>
      </c>
    </row>
    <row r="19489" spans="1:1">
      <c r="A19489" s="35" t="s">
        <v>58380</v>
      </c>
    </row>
    <row r="19490" spans="1:1">
      <c r="A19490" s="35" t="s">
        <v>41057</v>
      </c>
    </row>
    <row r="19491" spans="1:1">
      <c r="A19491" s="35" t="s">
        <v>58552</v>
      </c>
    </row>
    <row r="19492" spans="1:1">
      <c r="A19492" s="35" t="s">
        <v>41057</v>
      </c>
    </row>
    <row r="19493" spans="1:1">
      <c r="A19493" s="35" t="s">
        <v>41057</v>
      </c>
    </row>
    <row r="19494" spans="1:1">
      <c r="A19494" s="35" t="s">
        <v>58553</v>
      </c>
    </row>
    <row r="19495" spans="1:1">
      <c r="A19495" s="35" t="s">
        <v>41057</v>
      </c>
    </row>
    <row r="19496" spans="1:1">
      <c r="A19496" s="35" t="s">
        <v>41057</v>
      </c>
    </row>
    <row r="19497" spans="1:1">
      <c r="A19497" s="35" t="s">
        <v>41057</v>
      </c>
    </row>
    <row r="19498" spans="1:1">
      <c r="A19498" s="35" t="s">
        <v>41057</v>
      </c>
    </row>
    <row r="19499" spans="1:1">
      <c r="A19499" s="35" t="s">
        <v>41057</v>
      </c>
    </row>
    <row r="19500" spans="1:1">
      <c r="A19500" s="35" t="s">
        <v>58554</v>
      </c>
    </row>
    <row r="19501" spans="1:1">
      <c r="A19501" s="35" t="s">
        <v>41057</v>
      </c>
    </row>
    <row r="19502" spans="1:1">
      <c r="A19502" s="35" t="s">
        <v>58466</v>
      </c>
    </row>
    <row r="19503" spans="1:1">
      <c r="A19503" s="35" t="s">
        <v>58309</v>
      </c>
    </row>
    <row r="19504" spans="1:1">
      <c r="A19504" s="35" t="s">
        <v>58555</v>
      </c>
    </row>
    <row r="19505" spans="1:1">
      <c r="A19505" s="35" t="s">
        <v>58556</v>
      </c>
    </row>
    <row r="19506" spans="1:1">
      <c r="A19506" s="35" t="s">
        <v>41057</v>
      </c>
    </row>
    <row r="19507" spans="1:1">
      <c r="A19507" s="35" t="s">
        <v>41057</v>
      </c>
    </row>
    <row r="19508" spans="1:1">
      <c r="A19508" s="35" t="s">
        <v>58469</v>
      </c>
    </row>
    <row r="19509" spans="1:1">
      <c r="A19509" s="35" t="s">
        <v>41057</v>
      </c>
    </row>
    <row r="19510" spans="1:1">
      <c r="A19510" s="35" t="s">
        <v>41057</v>
      </c>
    </row>
    <row r="19511" spans="1:1">
      <c r="A19511" s="35" t="s">
        <v>41057</v>
      </c>
    </row>
    <row r="19512" spans="1:1">
      <c r="A19512" s="35" t="s">
        <v>41057</v>
      </c>
    </row>
    <row r="19513" spans="1:1">
      <c r="A19513" s="35" t="s">
        <v>41057</v>
      </c>
    </row>
    <row r="19514" spans="1:1">
      <c r="A19514" s="35" t="s">
        <v>58470</v>
      </c>
    </row>
    <row r="19515" spans="1:1">
      <c r="A19515" s="35" t="s">
        <v>41057</v>
      </c>
    </row>
    <row r="19516" spans="1:1">
      <c r="A19516" s="35" t="s">
        <v>41057</v>
      </c>
    </row>
    <row r="19517" spans="1:1">
      <c r="A19517" s="35" t="s">
        <v>41057</v>
      </c>
    </row>
    <row r="19518" spans="1:1">
      <c r="A19518" s="35" t="s">
        <v>41057</v>
      </c>
    </row>
    <row r="19519" spans="1:1">
      <c r="A19519" s="35" t="s">
        <v>41057</v>
      </c>
    </row>
    <row r="19520" spans="1:1">
      <c r="A19520" s="35" t="s">
        <v>41057</v>
      </c>
    </row>
    <row r="19521" spans="1:1">
      <c r="A19521" s="35" t="s">
        <v>41057</v>
      </c>
    </row>
    <row r="19522" spans="1:1">
      <c r="A19522" s="35" t="s">
        <v>41057</v>
      </c>
    </row>
    <row r="19523" spans="1:1">
      <c r="A19523" s="35" t="s">
        <v>41057</v>
      </c>
    </row>
    <row r="19524" spans="1:1">
      <c r="A19524" s="35" t="s">
        <v>41057</v>
      </c>
    </row>
    <row r="19525" spans="1:1">
      <c r="A19525" s="35" t="s">
        <v>41057</v>
      </c>
    </row>
    <row r="19526" spans="1:1">
      <c r="A19526" s="35" t="s">
        <v>41057</v>
      </c>
    </row>
    <row r="19527" spans="1:1">
      <c r="A19527" s="35" t="s">
        <v>41057</v>
      </c>
    </row>
    <row r="19528" spans="1:1">
      <c r="A19528" s="35" t="s">
        <v>58471</v>
      </c>
    </row>
    <row r="19529" spans="1:1">
      <c r="A19529" s="35" t="s">
        <v>41057</v>
      </c>
    </row>
    <row r="19530" spans="1:1">
      <c r="A19530" s="35" t="s">
        <v>58557</v>
      </c>
    </row>
    <row r="19531" spans="1:1">
      <c r="A19531" s="35" t="s">
        <v>41057</v>
      </c>
    </row>
    <row r="19532" spans="1:1">
      <c r="A19532" s="35" t="s">
        <v>41057</v>
      </c>
    </row>
    <row r="19533" spans="1:1">
      <c r="A19533" s="35" t="s">
        <v>58558</v>
      </c>
    </row>
    <row r="19534" spans="1:1">
      <c r="A19534" s="35" t="s">
        <v>41057</v>
      </c>
    </row>
    <row r="19535" spans="1:1">
      <c r="A19535" s="35" t="s">
        <v>41057</v>
      </c>
    </row>
    <row r="19536" spans="1:1">
      <c r="A19536" s="35" t="s">
        <v>41057</v>
      </c>
    </row>
    <row r="19537" spans="1:1">
      <c r="A19537" s="35" t="s">
        <v>41057</v>
      </c>
    </row>
    <row r="19538" spans="1:1">
      <c r="A19538" s="35" t="s">
        <v>41057</v>
      </c>
    </row>
    <row r="19539" spans="1:1">
      <c r="A19539" s="35" t="s">
        <v>41057</v>
      </c>
    </row>
    <row r="19540" spans="1:1">
      <c r="A19540" s="35" t="s">
        <v>41057</v>
      </c>
    </row>
    <row r="19541" spans="1:1">
      <c r="A19541" s="35" t="e" cm="1">
        <f t="array" ref="A19541">-----------------------------------------------EFKWIEEI---GT</f>
        <v>#NAME?</v>
      </c>
    </row>
    <row r="19542" spans="1:1">
      <c r="A19542" s="35" t="s">
        <v>58559</v>
      </c>
    </row>
    <row r="19543" spans="1:1">
      <c r="A19543" s="35" t="e" cm="1">
        <f t="array" ref="A19543">---------------GEYISIVAKRDY---------SGQK------------------LN</f>
        <v>#NAME?</v>
      </c>
    </row>
    <row r="19544" spans="1:1">
      <c r="A19544" s="35" t="s">
        <v>58560</v>
      </c>
    </row>
    <row r="19545" spans="1:1">
      <c r="A19545" s="35" t="e" cm="1">
        <f t="array" ref="A19545">------VIVGYPSAFF-----------------------------------------DKT</f>
        <v>#NAME?</v>
      </c>
    </row>
    <row r="19546" spans="1:1">
      <c r="A19546" s="35" t="s">
        <v>58561</v>
      </c>
    </row>
    <row r="19547" spans="1:1">
      <c r="A19547" s="35" t="s">
        <v>58562</v>
      </c>
    </row>
    <row r="19548" spans="1:1">
      <c r="A19548" s="35" t="s">
        <v>41057</v>
      </c>
    </row>
    <row r="19549" spans="1:1">
      <c r="A19549" s="35" t="s">
        <v>54929</v>
      </c>
    </row>
    <row r="19550" spans="1:1">
      <c r="A19550" s="35" t="s">
        <v>58563</v>
      </c>
    </row>
    <row r="19551" spans="1:1">
      <c r="A19551" s="35" t="s">
        <v>58564</v>
      </c>
    </row>
    <row r="19552" spans="1:1">
      <c r="A19552" s="35" t="s">
        <v>58565</v>
      </c>
    </row>
    <row r="19553" spans="1:1">
      <c r="A19553" s="35" t="s">
        <v>58566</v>
      </c>
    </row>
    <row r="19554" spans="1:1">
      <c r="A19554" s="35" t="s">
        <v>58567</v>
      </c>
    </row>
    <row r="19555" spans="1:1">
      <c r="A19555" s="35" t="s">
        <v>58568</v>
      </c>
    </row>
    <row r="19556" spans="1:1">
      <c r="A19556" s="35" t="s">
        <v>58569</v>
      </c>
    </row>
    <row r="19557" spans="1:1">
      <c r="A19557" s="35" t="s">
        <v>58570</v>
      </c>
    </row>
    <row r="19558" spans="1:1">
      <c r="A19558" s="35" t="s">
        <v>58571</v>
      </c>
    </row>
    <row r="19559" spans="1:1">
      <c r="A19559" s="35" t="s">
        <v>58572</v>
      </c>
    </row>
    <row r="19560" spans="1:1">
      <c r="A19560" s="35" t="s">
        <v>58573</v>
      </c>
    </row>
    <row r="19561" spans="1:1">
      <c r="A19561" s="35" t="s">
        <v>58574</v>
      </c>
    </row>
    <row r="19562" spans="1:1">
      <c r="A19562" s="35" t="s">
        <v>41057</v>
      </c>
    </row>
    <row r="19563" spans="1:1">
      <c r="A19563" s="35" t="s">
        <v>58575</v>
      </c>
    </row>
    <row r="19564" spans="1:1">
      <c r="A19564" s="35" t="s">
        <v>41057</v>
      </c>
    </row>
    <row r="19565" spans="1:1">
      <c r="A19565" s="35" t="s">
        <v>58576</v>
      </c>
    </row>
    <row r="19566" spans="1:1">
      <c r="A19566" s="35" t="s">
        <v>41057</v>
      </c>
    </row>
    <row r="19567" spans="1:1">
      <c r="A19567" s="35" t="s">
        <v>58577</v>
      </c>
    </row>
    <row r="19568" spans="1:1">
      <c r="A19568" s="35" t="s">
        <v>41057</v>
      </c>
    </row>
    <row r="19569" spans="1:1">
      <c r="A19569" s="35" t="s">
        <v>58361</v>
      </c>
    </row>
    <row r="19570" spans="1:1">
      <c r="A19570" s="35" t="s">
        <v>41057</v>
      </c>
    </row>
    <row r="19571" spans="1:1">
      <c r="A19571" s="35" t="s">
        <v>58578</v>
      </c>
    </row>
    <row r="19572" spans="1:1">
      <c r="A19572" s="35" t="s">
        <v>58579</v>
      </c>
    </row>
    <row r="19573" spans="1:1">
      <c r="A19573" s="35" t="s">
        <v>58580</v>
      </c>
    </row>
    <row r="19574" spans="1:1">
      <c r="A19574" s="35" t="s">
        <v>58581</v>
      </c>
    </row>
    <row r="19575" spans="1:1">
      <c r="A19575" s="35" t="s">
        <v>58582</v>
      </c>
    </row>
    <row r="19576" spans="1:1">
      <c r="A19576" s="35" t="e" cm="1">
        <f t="array" ref="A19576">-----------------------Y------------FSSGPF--N----IENDKSILKSL</f>
        <v>#NAME?</v>
      </c>
    </row>
    <row r="19577" spans="1:1">
      <c r="A19577" s="35" t="s">
        <v>58583</v>
      </c>
    </row>
    <row r="19578" spans="1:1">
      <c r="A19578" s="35" t="s">
        <v>58584</v>
      </c>
    </row>
    <row r="19579" spans="1:1">
      <c r="A19579" s="35" t="s">
        <v>58585</v>
      </c>
    </row>
    <row r="19580" spans="1:1">
      <c r="A19580" s="35" t="s">
        <v>58586</v>
      </c>
    </row>
    <row r="19581" spans="1:1">
      <c r="A19581" s="35" t="s">
        <v>58587</v>
      </c>
    </row>
    <row r="19582" spans="1:1">
      <c r="A19582" s="35" t="s">
        <v>58588</v>
      </c>
    </row>
    <row r="19583" spans="1:1">
      <c r="A19583" s="35" t="e" cm="1">
        <f t="array" ref="A19583">---------------------------------------------------GVNKEEFRL</f>
        <v>#NAME?</v>
      </c>
    </row>
    <row r="19584" spans="1:1">
      <c r="A19584" s="35" t="s">
        <v>58589</v>
      </c>
    </row>
    <row r="19585" spans="1:1">
      <c r="A19585" s="35" t="s">
        <v>58590</v>
      </c>
    </row>
    <row r="19586" spans="1:1">
      <c r="A19586" s="35" t="s">
        <v>58591</v>
      </c>
    </row>
    <row r="19587" spans="1:1">
      <c r="A19587" s="35" t="s">
        <v>41057</v>
      </c>
    </row>
    <row r="19588" spans="1:1">
      <c r="A19588" s="35" t="s">
        <v>53545</v>
      </c>
    </row>
    <row r="19589" spans="1:1">
      <c r="A19589" s="35" t="s">
        <v>52511</v>
      </c>
    </row>
    <row r="19590" spans="1:1">
      <c r="A19590" s="35" t="s">
        <v>41057</v>
      </c>
    </row>
    <row r="19591" spans="1:1">
      <c r="A19591" s="35" t="s">
        <v>41057</v>
      </c>
    </row>
    <row r="19592" spans="1:1">
      <c r="A19592" s="35" t="s">
        <v>41057</v>
      </c>
    </row>
    <row r="19593" spans="1:1">
      <c r="A19593" s="35" t="s">
        <v>41057</v>
      </c>
    </row>
    <row r="19594" spans="1:1">
      <c r="A19594" s="35" t="s">
        <v>41057</v>
      </c>
    </row>
    <row r="19595" spans="1:1">
      <c r="A19595" s="35" t="s">
        <v>54478</v>
      </c>
    </row>
    <row r="19596" spans="1:1">
      <c r="A19596" s="35" t="s">
        <v>41057</v>
      </c>
    </row>
    <row r="19597" spans="1:1">
      <c r="A19597" s="35" t="s">
        <v>41057</v>
      </c>
    </row>
    <row r="19598" spans="1:1">
      <c r="A19598" s="35" t="s">
        <v>41057</v>
      </c>
    </row>
    <row r="19599" spans="1:1">
      <c r="A19599" s="35" t="s">
        <v>54097</v>
      </c>
    </row>
    <row r="19600" spans="1:1">
      <c r="A19600" s="35" t="s">
        <v>58592</v>
      </c>
    </row>
    <row r="19601" spans="1:1">
      <c r="A19601" s="35" t="s">
        <v>58593</v>
      </c>
    </row>
    <row r="19602" spans="1:1">
      <c r="A19602" s="35" t="s">
        <v>54100</v>
      </c>
    </row>
    <row r="19603" spans="1:1">
      <c r="A19603" s="35" t="s">
        <v>41057</v>
      </c>
    </row>
    <row r="19604" spans="1:1">
      <c r="A19604" s="35" t="s">
        <v>41057</v>
      </c>
    </row>
    <row r="19605" spans="1:1">
      <c r="A19605" s="35" t="e" cm="1">
        <f t="array" ref="A19605">---------------KKSF------------------FVA-------------------T</f>
        <v>#NAME?</v>
      </c>
    </row>
    <row r="19606" spans="1:1">
      <c r="A19606" s="35" t="s">
        <v>58330</v>
      </c>
    </row>
    <row r="19607" spans="1:1">
      <c r="A19607" s="35" t="s">
        <v>58594</v>
      </c>
    </row>
    <row r="19608" spans="1:1">
      <c r="A19608" s="35" t="s">
        <v>41057</v>
      </c>
    </row>
    <row r="19609" spans="1:1">
      <c r="A19609" s="35" t="s">
        <v>58595</v>
      </c>
    </row>
    <row r="19610" spans="1:1">
      <c r="A19610" s="35" t="s">
        <v>41057</v>
      </c>
    </row>
    <row r="19611" spans="1:1">
      <c r="A19611" s="35" t="s">
        <v>41057</v>
      </c>
    </row>
    <row r="19612" spans="1:1">
      <c r="A19612" s="35" t="s">
        <v>58596</v>
      </c>
    </row>
    <row r="19613" spans="1:1">
      <c r="A19613" s="35" t="s">
        <v>41057</v>
      </c>
    </row>
    <row r="19614" spans="1:1">
      <c r="A19614" s="35" t="s">
        <v>41057</v>
      </c>
    </row>
    <row r="19615" spans="1:1">
      <c r="A19615" s="35" t="s">
        <v>41057</v>
      </c>
    </row>
    <row r="19616" spans="1:1">
      <c r="A19616" s="35" t="s">
        <v>41057</v>
      </c>
    </row>
    <row r="19617" spans="1:1">
      <c r="A19617" s="35" t="s">
        <v>41057</v>
      </c>
    </row>
    <row r="19618" spans="1:1">
      <c r="A19618" s="35" t="s">
        <v>58597</v>
      </c>
    </row>
    <row r="19619" spans="1:1">
      <c r="A19619" s="35" t="s">
        <v>41057</v>
      </c>
    </row>
    <row r="19620" spans="1:1">
      <c r="A19620" s="35" t="s">
        <v>58598</v>
      </c>
    </row>
    <row r="19621" spans="1:1">
      <c r="A19621" s="35" t="s">
        <v>58599</v>
      </c>
    </row>
    <row r="19622" spans="1:1">
      <c r="A19622" s="35" t="s">
        <v>58467</v>
      </c>
    </row>
    <row r="19623" spans="1:1">
      <c r="A19623" s="35" t="s">
        <v>58600</v>
      </c>
    </row>
    <row r="19624" spans="1:1">
      <c r="A19624" s="35" t="s">
        <v>41057</v>
      </c>
    </row>
    <row r="19625" spans="1:1">
      <c r="A19625" s="35" t="s">
        <v>41057</v>
      </c>
    </row>
    <row r="19626" spans="1:1">
      <c r="A19626" s="35" t="s">
        <v>58601</v>
      </c>
    </row>
    <row r="19627" spans="1:1">
      <c r="A19627" s="35" t="s">
        <v>41057</v>
      </c>
    </row>
    <row r="19628" spans="1:1">
      <c r="A19628" s="35" t="s">
        <v>41057</v>
      </c>
    </row>
    <row r="19629" spans="1:1">
      <c r="A19629" s="35" t="s">
        <v>41057</v>
      </c>
    </row>
    <row r="19630" spans="1:1">
      <c r="A19630" s="35" t="s">
        <v>41057</v>
      </c>
    </row>
    <row r="19631" spans="1:1">
      <c r="A19631" s="35" t="s">
        <v>41057</v>
      </c>
    </row>
    <row r="19632" spans="1:1">
      <c r="A19632" s="35" t="s">
        <v>58602</v>
      </c>
    </row>
    <row r="19633" spans="1:1">
      <c r="A19633" s="35" t="s">
        <v>41057</v>
      </c>
    </row>
    <row r="19634" spans="1:1">
      <c r="A19634" s="35" t="s">
        <v>41057</v>
      </c>
    </row>
    <row r="19635" spans="1:1">
      <c r="A19635" s="35" t="s">
        <v>41057</v>
      </c>
    </row>
    <row r="19636" spans="1:1">
      <c r="A19636" s="35" t="s">
        <v>41057</v>
      </c>
    </row>
    <row r="19637" spans="1:1">
      <c r="A19637" s="35" t="s">
        <v>41057</v>
      </c>
    </row>
    <row r="19638" spans="1:1">
      <c r="A19638" s="35" t="s">
        <v>41057</v>
      </c>
    </row>
    <row r="19639" spans="1:1">
      <c r="A19639" s="35" t="s">
        <v>41057</v>
      </c>
    </row>
    <row r="19640" spans="1:1">
      <c r="A19640" s="35" t="s">
        <v>41057</v>
      </c>
    </row>
    <row r="19641" spans="1:1">
      <c r="A19641" s="35" t="s">
        <v>41057</v>
      </c>
    </row>
    <row r="19642" spans="1:1">
      <c r="A19642" s="35" t="s">
        <v>41057</v>
      </c>
    </row>
    <row r="19643" spans="1:1">
      <c r="A19643" s="35" t="s">
        <v>41057</v>
      </c>
    </row>
    <row r="19644" spans="1:1">
      <c r="A19644" s="35" t="s">
        <v>41057</v>
      </c>
    </row>
    <row r="19645" spans="1:1">
      <c r="A19645" s="35" t="s">
        <v>41057</v>
      </c>
    </row>
    <row r="19646" spans="1:1">
      <c r="A19646" s="35" t="s">
        <v>58603</v>
      </c>
    </row>
    <row r="19647" spans="1:1">
      <c r="A19647" s="35" t="s">
        <v>41057</v>
      </c>
    </row>
    <row r="19648" spans="1:1">
      <c r="A19648" s="35" t="s">
        <v>58604</v>
      </c>
    </row>
    <row r="19649" spans="1:1">
      <c r="A19649" s="35" t="s">
        <v>41057</v>
      </c>
    </row>
    <row r="19650" spans="1:1">
      <c r="A19650" s="35" t="e" cm="1">
        <f t="array" ref="A19650">---PDPSNLLQNC-----DAIENEPSSSPINSELNTGI--------------YKIQDLSN</f>
        <v>#NAME?</v>
      </c>
    </row>
    <row r="19651" spans="1:1">
      <c r="A19651" s="35" t="s">
        <v>58605</v>
      </c>
    </row>
    <row r="19652" spans="1:1">
      <c r="A19652" s="35" t="s">
        <v>41057</v>
      </c>
    </row>
    <row r="19653" spans="1:1">
      <c r="A19653" s="35" t="s">
        <v>41057</v>
      </c>
    </row>
    <row r="19654" spans="1:1">
      <c r="A19654" s="35" t="s">
        <v>41057</v>
      </c>
    </row>
    <row r="19655" spans="1:1">
      <c r="A19655" s="35" t="s">
        <v>41057</v>
      </c>
    </row>
    <row r="19656" spans="1:1">
      <c r="A19656" s="35" t="s">
        <v>41057</v>
      </c>
    </row>
    <row r="19657" spans="1:1">
      <c r="A19657" s="35" t="s">
        <v>41057</v>
      </c>
    </row>
    <row r="19658" spans="1:1">
      <c r="A19658" s="35" t="s">
        <v>41057</v>
      </c>
    </row>
    <row r="19659" spans="1:1">
      <c r="A19659" s="35" t="e" cm="1">
        <f t="array" ref="A19659">-----------------------------------------------EFKWIENL---GS</f>
        <v>#NAME?</v>
      </c>
    </row>
    <row r="19660" spans="1:1">
      <c r="A19660" s="35" t="s">
        <v>58606</v>
      </c>
    </row>
    <row r="19661" spans="1:1">
      <c r="A19661" s="35" t="e" cm="1">
        <f t="array" ref="A19661">---------------GEYLTNLVQREY---------TKEK------------------KD</f>
        <v>#NAME?</v>
      </c>
    </row>
    <row r="19662" spans="1:1">
      <c r="A19662" s="35" t="s">
        <v>58607</v>
      </c>
    </row>
    <row r="19663" spans="1:1">
      <c r="A19663" s="35" t="e" cm="1">
        <f t="array" ref="A19663">---------LYPNCIYAAP------------GRYKDLSANVYWALHNNLDEIRNSKIPNI</f>
        <v>#NAME?</v>
      </c>
    </row>
    <row r="19664" spans="1:1">
      <c r="A19664" s="35" t="s">
        <v>58608</v>
      </c>
    </row>
    <row r="19665" spans="1:1">
      <c r="A19665" s="35" t="s">
        <v>58609</v>
      </c>
    </row>
    <row r="19666" spans="1:1">
      <c r="A19666" s="35" t="s">
        <v>41057</v>
      </c>
    </row>
    <row r="19667" spans="1:1">
      <c r="A19667" s="35" t="s">
        <v>58610</v>
      </c>
    </row>
    <row r="19668" spans="1:1">
      <c r="A19668" s="35" t="s">
        <v>58611</v>
      </c>
    </row>
    <row r="19669" spans="1:1">
      <c r="A19669" s="35" t="s">
        <v>58612</v>
      </c>
    </row>
    <row r="19670" spans="1:1">
      <c r="A19670" s="35" t="s">
        <v>58613</v>
      </c>
    </row>
    <row r="19671" spans="1:1">
      <c r="A19671" s="35" t="s">
        <v>58614</v>
      </c>
    </row>
    <row r="19672" spans="1:1">
      <c r="A19672" s="35" t="s">
        <v>58615</v>
      </c>
    </row>
    <row r="19673" spans="1:1">
      <c r="A19673" s="35" t="e" cm="1">
        <f t="array" ref="A19673">-----------------------------------------------DDCSQCPLAPSCW</f>
        <v>#NAME?</v>
      </c>
    </row>
    <row r="19674" spans="1:1">
      <c r="A19674" s="35" t="s">
        <v>58616</v>
      </c>
    </row>
    <row r="19675" spans="1:1">
      <c r="A19675" s="35" t="s">
        <v>58617</v>
      </c>
    </row>
    <row r="19676" spans="1:1">
      <c r="A19676" s="35" t="s">
        <v>58618</v>
      </c>
    </row>
    <row r="19677" spans="1:1">
      <c r="A19677" s="35" t="s">
        <v>58619</v>
      </c>
    </row>
    <row r="19678" spans="1:1">
      <c r="A19678" s="35" t="s">
        <v>58620</v>
      </c>
    </row>
    <row r="19679" spans="1:1">
      <c r="A19679" s="35" t="s">
        <v>58621</v>
      </c>
    </row>
    <row r="19680" spans="1:1">
      <c r="A19680" s="35" t="s">
        <v>41057</v>
      </c>
    </row>
    <row r="19681" spans="1:1">
      <c r="A19681" s="35" t="s">
        <v>58622</v>
      </c>
    </row>
    <row r="19682" spans="1:1">
      <c r="A19682" s="35" t="s">
        <v>41057</v>
      </c>
    </row>
    <row r="19683" spans="1:1">
      <c r="A19683" s="35" t="s">
        <v>58623</v>
      </c>
    </row>
    <row r="19684" spans="1:1">
      <c r="A19684" s="35" t="s">
        <v>41057</v>
      </c>
    </row>
    <row r="19685" spans="1:1">
      <c r="A19685" s="35" t="s">
        <v>58624</v>
      </c>
    </row>
    <row r="19686" spans="1:1">
      <c r="A19686" s="35" t="s">
        <v>41057</v>
      </c>
    </row>
    <row r="19687" spans="1:1">
      <c r="A19687" s="35" t="s">
        <v>58361</v>
      </c>
    </row>
    <row r="19688" spans="1:1">
      <c r="A19688" s="35" t="s">
        <v>41057</v>
      </c>
    </row>
    <row r="19689" spans="1:1">
      <c r="A19689" s="35" t="s">
        <v>58625</v>
      </c>
    </row>
    <row r="19690" spans="1:1">
      <c r="A19690" s="35" t="e" cm="1">
        <f t="array" ref="A19690">--------NEQVYTLQSLY-----------YTKLKETNTNSNFSLDFHLQPTQYANPNSN</f>
        <v>#NAME?</v>
      </c>
    </row>
    <row r="19691" spans="1:1">
      <c r="A19691" s="35" t="s">
        <v>58626</v>
      </c>
    </row>
    <row r="19692" spans="1:1">
      <c r="A19692" s="35" t="s">
        <v>58627</v>
      </c>
    </row>
    <row r="19693" spans="1:1">
      <c r="A19693" s="35" t="s">
        <v>58628</v>
      </c>
    </row>
    <row r="19694" spans="1:1">
      <c r="A19694" s="35" t="e" cm="1">
        <f t="array" ref="A19694">----------------KFNDISGVI----------PYITGPY--RGL-----DKTILKTW</f>
        <v>#NAME?</v>
      </c>
    </row>
    <row r="19695" spans="1:1">
      <c r="A19695" s="35" t="s">
        <v>58629</v>
      </c>
    </row>
    <row r="19696" spans="1:1">
      <c r="A19696" s="35" t="s">
        <v>58630</v>
      </c>
    </row>
    <row r="19697" spans="1:1">
      <c r="A19697" s="35" t="s">
        <v>58631</v>
      </c>
    </row>
    <row r="19698" spans="1:1">
      <c r="A19698" s="35" t="s">
        <v>58632</v>
      </c>
    </row>
    <row r="19699" spans="1:1">
      <c r="A19699" s="35" t="s">
        <v>58633</v>
      </c>
    </row>
    <row r="19700" spans="1:1">
      <c r="A19700" s="35" t="s">
        <v>58634</v>
      </c>
    </row>
    <row r="19701" spans="1:1">
      <c r="A19701" s="35" t="e" cm="1">
        <f t="array" ref="A19701">---------------------------------------------------GYNKTDWQI</f>
        <v>#NAME?</v>
      </c>
    </row>
    <row r="19702" spans="1:1">
      <c r="A19702" s="35" t="s">
        <v>58635</v>
      </c>
    </row>
    <row r="19703" spans="1:1">
      <c r="A19703" s="35" t="s">
        <v>58636</v>
      </c>
    </row>
    <row r="19704" spans="1:1">
      <c r="A19704" s="35" t="s">
        <v>58637</v>
      </c>
    </row>
    <row r="19705" spans="1:1">
      <c r="A19705" s="35" t="s">
        <v>41057</v>
      </c>
    </row>
    <row r="19706" spans="1:1">
      <c r="A19706" s="35" t="s">
        <v>53545</v>
      </c>
    </row>
    <row r="19707" spans="1:1">
      <c r="A19707" s="35" t="s">
        <v>52467</v>
      </c>
    </row>
    <row r="19708" spans="1:1">
      <c r="A19708" s="35" t="s">
        <v>41057</v>
      </c>
    </row>
    <row r="19709" spans="1:1">
      <c r="A19709" s="35" t="s">
        <v>41057</v>
      </c>
    </row>
    <row r="19710" spans="1:1">
      <c r="A19710" s="35" t="s">
        <v>41057</v>
      </c>
    </row>
    <row r="19711" spans="1:1">
      <c r="A19711" s="35" t="s">
        <v>41057</v>
      </c>
    </row>
    <row r="19712" spans="1:1">
      <c r="A19712" s="35" t="s">
        <v>41057</v>
      </c>
    </row>
    <row r="19713" spans="1:1">
      <c r="A19713" s="35" t="s">
        <v>54424</v>
      </c>
    </row>
    <row r="19714" spans="1:1">
      <c r="A19714" s="35" t="s">
        <v>41057</v>
      </c>
    </row>
    <row r="19715" spans="1:1">
      <c r="A19715" s="35" t="s">
        <v>41057</v>
      </c>
    </row>
    <row r="19716" spans="1:1">
      <c r="A19716" s="35" t="s">
        <v>41057</v>
      </c>
    </row>
    <row r="19717" spans="1:1">
      <c r="A19717" s="35" t="s">
        <v>54097</v>
      </c>
    </row>
    <row r="19718" spans="1:1">
      <c r="A19718" s="35" t="s">
        <v>58638</v>
      </c>
    </row>
    <row r="19719" spans="1:1">
      <c r="A19719" s="35" t="s">
        <v>58639</v>
      </c>
    </row>
    <row r="19720" spans="1:1">
      <c r="A19720" s="35" t="s">
        <v>54144</v>
      </c>
    </row>
    <row r="19721" spans="1:1">
      <c r="A19721" s="35" t="s">
        <v>41057</v>
      </c>
    </row>
    <row r="19722" spans="1:1">
      <c r="A19722" s="35" t="s">
        <v>41057</v>
      </c>
    </row>
    <row r="19723" spans="1:1">
      <c r="A19723" s="35" t="e" cm="1">
        <f t="array" ref="A19723">---------------TRSF------------------FKK-------------------A</f>
        <v>#NAME?</v>
      </c>
    </row>
    <row r="19724" spans="1:1">
      <c r="A19724" s="35" t="s">
        <v>58640</v>
      </c>
    </row>
    <row r="19725" spans="1:1">
      <c r="A19725" s="35" t="s">
        <v>58641</v>
      </c>
    </row>
    <row r="19726" spans="1:1">
      <c r="A19726" s="35" t="s">
        <v>41057</v>
      </c>
    </row>
    <row r="19727" spans="1:1">
      <c r="A19727" s="35" t="s">
        <v>58642</v>
      </c>
    </row>
    <row r="19728" spans="1:1">
      <c r="A19728" s="35" t="s">
        <v>41057</v>
      </c>
    </row>
    <row r="19729" spans="1:1">
      <c r="A19729" s="35" t="s">
        <v>41057</v>
      </c>
    </row>
    <row r="19730" spans="1:1">
      <c r="A19730" s="35" t="s">
        <v>58643</v>
      </c>
    </row>
    <row r="19731" spans="1:1">
      <c r="A19731" s="35" t="s">
        <v>41057</v>
      </c>
    </row>
    <row r="19732" spans="1:1">
      <c r="A19732" s="35" t="s">
        <v>41057</v>
      </c>
    </row>
    <row r="19733" spans="1:1">
      <c r="A19733" s="35" t="s">
        <v>41057</v>
      </c>
    </row>
    <row r="19734" spans="1:1">
      <c r="A19734" s="35" t="s">
        <v>41057</v>
      </c>
    </row>
    <row r="19735" spans="1:1">
      <c r="A19735" s="35" t="s">
        <v>41057</v>
      </c>
    </row>
    <row r="19736" spans="1:1">
      <c r="A19736" s="35" t="s">
        <v>58644</v>
      </c>
    </row>
    <row r="19737" spans="1:1">
      <c r="A19737" s="35" t="s">
        <v>41057</v>
      </c>
    </row>
    <row r="19738" spans="1:1">
      <c r="A19738" s="35" t="s">
        <v>58424</v>
      </c>
    </row>
    <row r="19739" spans="1:1">
      <c r="A19739" s="35" t="s">
        <v>58309</v>
      </c>
    </row>
    <row r="19740" spans="1:1">
      <c r="A19740" s="35" t="s">
        <v>58645</v>
      </c>
    </row>
    <row r="19741" spans="1:1">
      <c r="A19741" s="35" t="s">
        <v>58646</v>
      </c>
    </row>
    <row r="19742" spans="1:1">
      <c r="A19742" s="35" t="s">
        <v>41057</v>
      </c>
    </row>
    <row r="19743" spans="1:1">
      <c r="A19743" s="35" t="s">
        <v>41057</v>
      </c>
    </row>
    <row r="19744" spans="1:1">
      <c r="A19744" s="35" t="s">
        <v>58469</v>
      </c>
    </row>
    <row r="19745" spans="1:1">
      <c r="A19745" s="35" t="s">
        <v>41057</v>
      </c>
    </row>
    <row r="19746" spans="1:1">
      <c r="A19746" s="35" t="s">
        <v>41057</v>
      </c>
    </row>
    <row r="19747" spans="1:1">
      <c r="A19747" s="35" t="s">
        <v>41057</v>
      </c>
    </row>
    <row r="19748" spans="1:1">
      <c r="A19748" s="35" t="s">
        <v>41057</v>
      </c>
    </row>
    <row r="19749" spans="1:1">
      <c r="A19749" s="35" t="s">
        <v>41057</v>
      </c>
    </row>
    <row r="19750" spans="1:1">
      <c r="A19750" s="35" t="s">
        <v>58647</v>
      </c>
    </row>
    <row r="19751" spans="1:1">
      <c r="A19751" s="35" t="s">
        <v>58648</v>
      </c>
    </row>
    <row r="19752" spans="1:1">
      <c r="A19752" s="35" t="s">
        <v>41057</v>
      </c>
    </row>
    <row r="19753" spans="1:1">
      <c r="A19753" s="35" t="s">
        <v>58649</v>
      </c>
    </row>
    <row r="19754" spans="1:1">
      <c r="A19754" s="35" t="s">
        <v>41057</v>
      </c>
    </row>
    <row r="19755" spans="1:1">
      <c r="A19755" s="35" t="s">
        <v>41057</v>
      </c>
    </row>
    <row r="19756" spans="1:1">
      <c r="A19756" s="35" t="s">
        <v>41057</v>
      </c>
    </row>
    <row r="19757" spans="1:1">
      <c r="A19757" s="35" t="s">
        <v>41057</v>
      </c>
    </row>
    <row r="19758" spans="1:1">
      <c r="A19758" s="35" t="s">
        <v>41057</v>
      </c>
    </row>
    <row r="19759" spans="1:1">
      <c r="A19759" s="35" t="s">
        <v>41057</v>
      </c>
    </row>
    <row r="19760" spans="1:1">
      <c r="A19760" s="35" t="s">
        <v>41057</v>
      </c>
    </row>
    <row r="19761" spans="1:1">
      <c r="A19761" s="35" t="s">
        <v>48153</v>
      </c>
    </row>
    <row r="19762" spans="1:1">
      <c r="A19762" s="35" t="s">
        <v>41057</v>
      </c>
    </row>
    <row r="19763" spans="1:1">
      <c r="A19763" s="35" t="s">
        <v>41057</v>
      </c>
    </row>
    <row r="19764" spans="1:1">
      <c r="A19764" s="35" t="s">
        <v>58650</v>
      </c>
    </row>
    <row r="19765" spans="1:1">
      <c r="A19765" s="35" t="s">
        <v>41057</v>
      </c>
    </row>
    <row r="19766" spans="1:1">
      <c r="A19766" s="35" t="e" cm="1">
        <f t="array" ref="A19766">---------------------------------------ASQNCSACGCECTTQFGFTNV</f>
        <v>#NAME?</v>
      </c>
    </row>
    <row r="19767" spans="1:1">
      <c r="A19767" s="35" t="s">
        <v>41057</v>
      </c>
    </row>
    <row r="19768" spans="1:1">
      <c r="A19768" s="35" t="e" cm="1">
        <f t="array" ref="A19768">--FVDPTKKLQP-------------------------------------------RDLDK</f>
        <v>#NAME?</v>
      </c>
    </row>
    <row r="19769" spans="1:1">
      <c r="A19769" s="35" t="s">
        <v>58651</v>
      </c>
    </row>
    <row r="19770" spans="1:1">
      <c r="A19770" s="35" t="s">
        <v>41057</v>
      </c>
    </row>
    <row r="19771" spans="1:1">
      <c r="A19771" s="35" t="s">
        <v>41057</v>
      </c>
    </row>
    <row r="19772" spans="1:1">
      <c r="A19772" s="35" t="s">
        <v>41057</v>
      </c>
    </row>
    <row r="19773" spans="1:1">
      <c r="A19773" s="35" t="s">
        <v>41057</v>
      </c>
    </row>
    <row r="19774" spans="1:1">
      <c r="A19774" s="35" t="s">
        <v>41057</v>
      </c>
    </row>
    <row r="19775" spans="1:1">
      <c r="A19775" s="35" t="s">
        <v>41057</v>
      </c>
    </row>
    <row r="19776" spans="1:1">
      <c r="A19776" s="35" t="s">
        <v>41057</v>
      </c>
    </row>
    <row r="19777" spans="1:1">
      <c r="A19777" s="35" t="e" cm="1">
        <f t="array" ref="A19777">-----------------------------------------------EFKWIENL---GV</f>
        <v>#NAME?</v>
      </c>
    </row>
    <row r="19778" spans="1:1">
      <c r="A19778" s="35" t="s">
        <v>58652</v>
      </c>
    </row>
    <row r="19779" spans="1:1">
      <c r="A19779" s="35" t="e" cm="1">
        <f t="array" ref="A19779">---------------GQYLLNMVHRDF---------TDDQ------------------KN</f>
        <v>#NAME?</v>
      </c>
    </row>
    <row r="19780" spans="1:1">
      <c r="A19780" s="35" t="s">
        <v>58653</v>
      </c>
    </row>
    <row r="19781" spans="1:1">
      <c r="A19781" s="35" t="s">
        <v>58654</v>
      </c>
    </row>
    <row r="19782" spans="1:1">
      <c r="A19782" s="35" t="s">
        <v>58655</v>
      </c>
    </row>
    <row r="19783" spans="1:1">
      <c r="A19783" s="35" t="s">
        <v>58656</v>
      </c>
    </row>
    <row r="19784" spans="1:1">
      <c r="A19784" s="35" t="s">
        <v>41057</v>
      </c>
    </row>
    <row r="19785" spans="1:1">
      <c r="A19785" s="35" t="s">
        <v>58657</v>
      </c>
    </row>
    <row r="19786" spans="1:1">
      <c r="A19786" s="35" t="s">
        <v>58658</v>
      </c>
    </row>
    <row r="19787" spans="1:1">
      <c r="A19787" s="35" t="s">
        <v>58659</v>
      </c>
    </row>
    <row r="19788" spans="1:1">
      <c r="A19788" s="35" t="s">
        <v>41057</v>
      </c>
    </row>
    <row r="19789" spans="1:1">
      <c r="A19789" s="35" t="s">
        <v>58660</v>
      </c>
    </row>
    <row r="19790" spans="1:1">
      <c r="A19790" s="35" t="s">
        <v>58661</v>
      </c>
    </row>
    <row r="19791" spans="1:1">
      <c r="A19791" s="35" t="e" cm="1">
        <f t="array" ref="A19791">-----------------------SGI---------------------EPVGPAPDISNCW</f>
        <v>#NAME?</v>
      </c>
    </row>
    <row r="19792" spans="1:1">
      <c r="A19792" s="35" t="s">
        <v>58662</v>
      </c>
    </row>
    <row r="19793" spans="1:1">
      <c r="A19793" s="35" t="s">
        <v>58663</v>
      </c>
    </row>
    <row r="19794" spans="1:1">
      <c r="A19794" s="35" t="e" cm="1">
        <f t="array" ref="A19794">-----------------------PKV-IVDKDFD----------P--KGASIPEVGAIPY</f>
        <v>#NAME?</v>
      </c>
    </row>
    <row r="19795" spans="1:1">
      <c r="A19795" s="35" t="s">
        <v>58664</v>
      </c>
    </row>
    <row r="19796" spans="1:1">
      <c r="A19796" s="35" t="s">
        <v>58665</v>
      </c>
    </row>
    <row r="19797" spans="1:1">
      <c r="A19797" s="35" t="s">
        <v>58666</v>
      </c>
    </row>
    <row r="19798" spans="1:1">
      <c r="A19798" s="35" t="s">
        <v>41057</v>
      </c>
    </row>
    <row r="19799" spans="1:1">
      <c r="A19799" s="35" t="s">
        <v>58667</v>
      </c>
    </row>
    <row r="19800" spans="1:1">
      <c r="A19800" s="35" t="s">
        <v>41057</v>
      </c>
    </row>
    <row r="19801" spans="1:1">
      <c r="A19801" s="35" t="s">
        <v>58668</v>
      </c>
    </row>
    <row r="19802" spans="1:1">
      <c r="A19802" s="35" t="s">
        <v>41057</v>
      </c>
    </row>
    <row r="19803" spans="1:1">
      <c r="A19803" s="35" t="s">
        <v>58669</v>
      </c>
    </row>
    <row r="19804" spans="1:1">
      <c r="A19804" s="35" t="s">
        <v>41057</v>
      </c>
    </row>
    <row r="19805" spans="1:1">
      <c r="A19805" s="35" t="s">
        <v>58361</v>
      </c>
    </row>
    <row r="19806" spans="1:1">
      <c r="A19806" s="35" t="s">
        <v>41057</v>
      </c>
    </row>
    <row r="19807" spans="1:1">
      <c r="A19807" s="35" t="s">
        <v>58670</v>
      </c>
    </row>
    <row r="19808" spans="1:1">
      <c r="A19808" s="35" t="s">
        <v>58671</v>
      </c>
    </row>
    <row r="19809" spans="1:1">
      <c r="A19809" s="35" t="s">
        <v>58672</v>
      </c>
    </row>
    <row r="19810" spans="1:1">
      <c r="A19810" s="35" t="s">
        <v>41057</v>
      </c>
    </row>
    <row r="19811" spans="1:1">
      <c r="A19811" s="35" t="s">
        <v>58673</v>
      </c>
    </row>
    <row r="19812" spans="1:1">
      <c r="A19812" s="35" t="e" cm="1">
        <f t="array" ref="A19812">------------------GIITEI------------VWQPPY--D----AQNIREILLEW</f>
        <v>#NAME?</v>
      </c>
    </row>
    <row r="19813" spans="1:1">
      <c r="A19813" s="35" t="s">
        <v>58674</v>
      </c>
    </row>
    <row r="19814" spans="1:1">
      <c r="A19814" s="35" t="s">
        <v>58675</v>
      </c>
    </row>
    <row r="19815" spans="1:1">
      <c r="A19815" s="35" t="s">
        <v>58676</v>
      </c>
    </row>
    <row r="19816" spans="1:1">
      <c r="A19816" s="35" t="s">
        <v>58677</v>
      </c>
    </row>
    <row r="19817" spans="1:1">
      <c r="A19817" s="35" t="s">
        <v>58678</v>
      </c>
    </row>
    <row r="19818" spans="1:1">
      <c r="A19818" s="35" t="s">
        <v>58679</v>
      </c>
    </row>
    <row r="19819" spans="1:1">
      <c r="A19819" s="35" t="e" cm="1">
        <f t="array" ref="A19819">---------------------------------------------------TTSIDKTQI</f>
        <v>#NAME?</v>
      </c>
    </row>
    <row r="19820" spans="1:1">
      <c r="A19820" s="35" t="s">
        <v>58680</v>
      </c>
    </row>
    <row r="19821" spans="1:1">
      <c r="A19821" s="35" t="s">
        <v>58681</v>
      </c>
    </row>
    <row r="19822" spans="1:1">
      <c r="A19822" s="35" t="s">
        <v>58682</v>
      </c>
    </row>
    <row r="19823" spans="1:1">
      <c r="A19823" s="35" t="s">
        <v>41057</v>
      </c>
    </row>
    <row r="19824" spans="1:1">
      <c r="A19824" s="35" t="s">
        <v>53545</v>
      </c>
    </row>
    <row r="19825" spans="1:1">
      <c r="A19825" s="35" t="s">
        <v>52818</v>
      </c>
    </row>
    <row r="19826" spans="1:1">
      <c r="A19826" s="35" t="s">
        <v>41057</v>
      </c>
    </row>
    <row r="19827" spans="1:1">
      <c r="A19827" s="35" t="s">
        <v>41057</v>
      </c>
    </row>
    <row r="19828" spans="1:1">
      <c r="A19828" s="35" t="s">
        <v>41057</v>
      </c>
    </row>
    <row r="19829" spans="1:1">
      <c r="A19829" s="35" t="s">
        <v>41057</v>
      </c>
    </row>
    <row r="19830" spans="1:1">
      <c r="A19830" s="35" t="s">
        <v>41057</v>
      </c>
    </row>
    <row r="19831" spans="1:1">
      <c r="A19831" s="35" t="s">
        <v>58683</v>
      </c>
    </row>
    <row r="19832" spans="1:1">
      <c r="A19832" s="35" t="s">
        <v>41057</v>
      </c>
    </row>
    <row r="19833" spans="1:1">
      <c r="A19833" s="35" t="s">
        <v>41057</v>
      </c>
    </row>
    <row r="19834" spans="1:1">
      <c r="A19834" s="35" t="s">
        <v>41057</v>
      </c>
    </row>
    <row r="19835" spans="1:1">
      <c r="A19835" s="35" t="s">
        <v>58684</v>
      </c>
    </row>
    <row r="19836" spans="1:1">
      <c r="A19836" s="35" t="s">
        <v>58685</v>
      </c>
    </row>
    <row r="19837" spans="1:1">
      <c r="A19837" s="35" t="s">
        <v>58686</v>
      </c>
    </row>
    <row r="19838" spans="1:1">
      <c r="A19838" s="35" t="s">
        <v>58687</v>
      </c>
    </row>
    <row r="19839" spans="1:1">
      <c r="A19839" s="35" t="s">
        <v>41057</v>
      </c>
    </row>
    <row r="19840" spans="1:1">
      <c r="A19840" s="35" t="s">
        <v>41057</v>
      </c>
    </row>
    <row r="19841" spans="1:1">
      <c r="A19841" s="35" t="e" cm="1">
        <f t="array" ref="A19841">-------------DIEKTH---------------ILFTNA-------------------H</f>
        <v>#NAME?</v>
      </c>
    </row>
    <row r="19842" spans="1:1">
      <c r="A19842" s="35" t="s">
        <v>58688</v>
      </c>
    </row>
    <row r="19843" spans="1:1">
      <c r="A19843" s="35" t="s">
        <v>58689</v>
      </c>
    </row>
    <row r="19844" spans="1:1">
      <c r="A19844" s="35" t="s">
        <v>41057</v>
      </c>
    </row>
    <row r="19845" spans="1:1">
      <c r="A19845" s="35" t="s">
        <v>58690</v>
      </c>
    </row>
    <row r="19846" spans="1:1">
      <c r="A19846" s="35" t="s">
        <v>41057</v>
      </c>
    </row>
    <row r="19847" spans="1:1">
      <c r="A19847" s="35" t="s">
        <v>41057</v>
      </c>
    </row>
    <row r="19848" spans="1:1">
      <c r="A19848" s="35" t="s">
        <v>58691</v>
      </c>
    </row>
    <row r="19849" spans="1:1">
      <c r="A19849" s="35" t="s">
        <v>41057</v>
      </c>
    </row>
    <row r="19850" spans="1:1">
      <c r="A19850" s="35" t="s">
        <v>41057</v>
      </c>
    </row>
    <row r="19851" spans="1:1">
      <c r="A19851" s="35" t="s">
        <v>53500</v>
      </c>
    </row>
    <row r="19852" spans="1:1">
      <c r="A19852" s="35" t="s">
        <v>41057</v>
      </c>
    </row>
    <row r="19853" spans="1:1">
      <c r="A19853" s="35" t="s">
        <v>41057</v>
      </c>
    </row>
    <row r="19854" spans="1:1">
      <c r="A19854" s="35" t="s">
        <v>58692</v>
      </c>
    </row>
    <row r="19855" spans="1:1">
      <c r="A19855" s="35" t="s">
        <v>41057</v>
      </c>
    </row>
    <row r="19856" spans="1:1">
      <c r="A19856" s="35" t="s">
        <v>58693</v>
      </c>
    </row>
    <row r="19857" spans="1:1">
      <c r="A19857" s="35" t="s">
        <v>58694</v>
      </c>
    </row>
    <row r="19858" spans="1:1">
      <c r="A19858" s="35" t="s">
        <v>58695</v>
      </c>
    </row>
    <row r="19859" spans="1:1">
      <c r="A19859" s="35" t="s">
        <v>58696</v>
      </c>
    </row>
    <row r="19860" spans="1:1">
      <c r="A19860" s="35" t="s">
        <v>41057</v>
      </c>
    </row>
    <row r="19861" spans="1:1">
      <c r="A19861" s="35" t="s">
        <v>41057</v>
      </c>
    </row>
    <row r="19862" spans="1:1">
      <c r="A19862" s="35" t="s">
        <v>53559</v>
      </c>
    </row>
    <row r="19863" spans="1:1">
      <c r="A19863" s="35" t="s">
        <v>41057</v>
      </c>
    </row>
    <row r="19864" spans="1:1">
      <c r="A19864" s="35" t="s">
        <v>41057</v>
      </c>
    </row>
    <row r="19865" spans="1:1">
      <c r="A19865" s="35" t="s">
        <v>41057</v>
      </c>
    </row>
    <row r="19866" spans="1:1">
      <c r="A19866" s="35" t="s">
        <v>41057</v>
      </c>
    </row>
    <row r="19867" spans="1:1">
      <c r="A19867" s="35" t="s">
        <v>41057</v>
      </c>
    </row>
    <row r="19868" spans="1:1">
      <c r="A19868" s="35" t="s">
        <v>58697</v>
      </c>
    </row>
    <row r="19869" spans="1:1">
      <c r="A19869" s="35" t="s">
        <v>58698</v>
      </c>
    </row>
    <row r="19870" spans="1:1">
      <c r="A19870" s="35" t="s">
        <v>41057</v>
      </c>
    </row>
    <row r="19871" spans="1:1">
      <c r="A19871" s="35" t="s">
        <v>58699</v>
      </c>
    </row>
    <row r="19872" spans="1:1">
      <c r="A19872" s="35" t="s">
        <v>41057</v>
      </c>
    </row>
    <row r="19873" spans="1:1">
      <c r="A19873" s="35" t="s">
        <v>41057</v>
      </c>
    </row>
    <row r="19874" spans="1:1">
      <c r="A19874" s="35" t="s">
        <v>41057</v>
      </c>
    </row>
    <row r="19875" spans="1:1">
      <c r="A19875" s="35" t="s">
        <v>41057</v>
      </c>
    </row>
    <row r="19876" spans="1:1">
      <c r="A19876" s="35" t="s">
        <v>41057</v>
      </c>
    </row>
    <row r="19877" spans="1:1">
      <c r="A19877" s="35" t="s">
        <v>41057</v>
      </c>
    </row>
    <row r="19878" spans="1:1">
      <c r="A19878" s="35" t="s">
        <v>41057</v>
      </c>
    </row>
    <row r="19879" spans="1:1">
      <c r="A19879" s="35" t="s">
        <v>41057</v>
      </c>
    </row>
    <row r="19880" spans="1:1">
      <c r="A19880" s="35" t="s">
        <v>41057</v>
      </c>
    </row>
    <row r="19881" spans="1:1">
      <c r="A19881" s="35" t="s">
        <v>41057</v>
      </c>
    </row>
    <row r="19882" spans="1:1">
      <c r="A19882" s="35" t="s">
        <v>41057</v>
      </c>
    </row>
    <row r="19883" spans="1:1">
      <c r="A19883" s="35" t="s">
        <v>41057</v>
      </c>
    </row>
    <row r="19884" spans="1:1">
      <c r="A19884" s="35" t="s">
        <v>58700</v>
      </c>
    </row>
    <row r="19885" spans="1:1">
      <c r="A19885" s="35" t="s">
        <v>41057</v>
      </c>
    </row>
    <row r="19886" spans="1:1">
      <c r="A19886" s="35" t="s">
        <v>41057</v>
      </c>
    </row>
    <row r="19887" spans="1:1">
      <c r="A19887" s="35" t="s">
        <v>58701</v>
      </c>
    </row>
    <row r="19888" spans="1:1">
      <c r="A19888" s="35" t="e" cm="1">
        <f t="array" ref="A19888">-----------------------------------------------VTSIADAGGNAAV</f>
        <v>#NAME?</v>
      </c>
    </row>
    <row r="19889" spans="1:1">
      <c r="A19889" s="35" t="s">
        <v>58702</v>
      </c>
    </row>
    <row r="19890" spans="1:1">
      <c r="A19890" s="35" t="s">
        <v>41057</v>
      </c>
    </row>
    <row r="19891" spans="1:1">
      <c r="A19891" s="35" t="s">
        <v>41057</v>
      </c>
    </row>
    <row r="19892" spans="1:1">
      <c r="A19892" s="35" t="s">
        <v>41057</v>
      </c>
    </row>
    <row r="19893" spans="1:1">
      <c r="A19893" s="35" t="s">
        <v>41057</v>
      </c>
    </row>
    <row r="19894" spans="1:1">
      <c r="A19894" s="35" t="s">
        <v>41057</v>
      </c>
    </row>
    <row r="19895" spans="1:1">
      <c r="A19895" s="35" t="e" cm="1">
        <f t="array" ref="A19895">-------------------------------------------YYRNFVRYVEFP---GE</f>
        <v>#NAME?</v>
      </c>
    </row>
    <row r="19896" spans="1:1">
      <c r="A19896" s="35" t="s">
        <v>58703</v>
      </c>
    </row>
    <row r="19897" spans="1:1">
      <c r="A19897" s="35" t="e" cm="1">
        <f t="array" ref="A19897">---------------DSATVLLRKFKV---------GADK------------------MT</f>
        <v>#NAME?</v>
      </c>
    </row>
    <row r="19898" spans="1:1">
      <c r="A19898" s="35" t="s">
        <v>58704</v>
      </c>
    </row>
    <row r="19899" spans="1:1">
      <c r="A19899" s="35" t="e" cm="1">
        <f t="array" ref="A19899">---------TQTT-------------------------------LISDVAG------EVT</f>
        <v>#NAME?</v>
      </c>
    </row>
    <row r="19900" spans="1:1">
      <c r="A19900" s="35" t="s">
        <v>58705</v>
      </c>
    </row>
    <row r="19901" spans="1:1">
      <c r="A19901" s="35" t="s">
        <v>58706</v>
      </c>
    </row>
    <row r="19902" spans="1:1">
      <c r="A19902" s="35" t="s">
        <v>41057</v>
      </c>
    </row>
    <row r="19903" spans="1:1">
      <c r="A19903" s="35" t="s">
        <v>56118</v>
      </c>
    </row>
    <row r="19904" spans="1:1">
      <c r="A19904" s="35" t="s">
        <v>58707</v>
      </c>
    </row>
    <row r="19905" spans="1:1">
      <c r="A19905" s="35" t="s">
        <v>58708</v>
      </c>
    </row>
    <row r="19906" spans="1:1">
      <c r="A19906" s="35" t="s">
        <v>41057</v>
      </c>
    </row>
    <row r="19907" spans="1:1">
      <c r="A19907" s="35" t="s">
        <v>58709</v>
      </c>
    </row>
    <row r="19908" spans="1:1">
      <c r="A19908" s="35" t="s">
        <v>41057</v>
      </c>
    </row>
    <row r="19909" spans="1:1">
      <c r="A19909" s="35" t="s">
        <v>58710</v>
      </c>
    </row>
    <row r="19910" spans="1:1">
      <c r="A19910" s="35" t="s">
        <v>58711</v>
      </c>
    </row>
    <row r="19911" spans="1:1">
      <c r="A19911" s="35" t="s">
        <v>41057</v>
      </c>
    </row>
    <row r="19912" spans="1:1">
      <c r="A19912" s="35" t="s">
        <v>58712</v>
      </c>
    </row>
    <row r="19913" spans="1:1">
      <c r="A19913" s="35" t="s">
        <v>57317</v>
      </c>
    </row>
    <row r="19914" spans="1:1">
      <c r="A19914" s="35" t="s">
        <v>58713</v>
      </c>
    </row>
    <row r="19915" spans="1:1">
      <c r="A19915" s="35" t="s">
        <v>58714</v>
      </c>
    </row>
    <row r="19916" spans="1:1">
      <c r="A19916" s="35" t="s">
        <v>41057</v>
      </c>
    </row>
    <row r="19917" spans="1:1">
      <c r="A19917" s="35" t="s">
        <v>41057</v>
      </c>
    </row>
    <row r="19918" spans="1:1">
      <c r="A19918" s="35" t="s">
        <v>58715</v>
      </c>
    </row>
    <row r="19919" spans="1:1">
      <c r="A19919" s="35" t="s">
        <v>41057</v>
      </c>
    </row>
    <row r="19920" spans="1:1">
      <c r="A19920" s="35" t="s">
        <v>41057</v>
      </c>
    </row>
    <row r="19921" spans="1:1">
      <c r="A19921" s="35" t="s">
        <v>58716</v>
      </c>
    </row>
    <row r="19922" spans="1:1">
      <c r="A19922" s="35" t="s">
        <v>41057</v>
      </c>
    </row>
    <row r="19923" spans="1:1">
      <c r="A19923" s="35" t="s">
        <v>58717</v>
      </c>
    </row>
    <row r="19924" spans="1:1">
      <c r="A19924" s="35" t="s">
        <v>41057</v>
      </c>
    </row>
    <row r="19925" spans="1:1">
      <c r="A19925" s="35" t="s">
        <v>58718</v>
      </c>
    </row>
    <row r="19926" spans="1:1">
      <c r="A19926" s="35" t="s">
        <v>58719</v>
      </c>
    </row>
    <row r="19927" spans="1:1">
      <c r="A19927" s="35" t="e" cm="1">
        <f t="array" ref="A19927">---------SADGDVAALETTGAT------------------------------SHVFQG</f>
        <v>#NAME?</v>
      </c>
    </row>
    <row r="19928" spans="1:1">
      <c r="A19928" s="35" t="e" cm="1">
        <f t="array" ref="A19928">----------------------------------------------------------RD</f>
        <v>#NAME?</v>
      </c>
    </row>
    <row r="19929" spans="1:1">
      <c r="A19929" s="35" t="s">
        <v>58720</v>
      </c>
    </row>
    <row r="19930" spans="1:1">
      <c r="A19930" s="35" t="e" cm="1">
        <f t="array" ref="A19930">--------------------------------------------------ARECKTVNSL</f>
        <v>#NAME?</v>
      </c>
    </row>
    <row r="19931" spans="1:1">
      <c r="A19931" s="35" t="s">
        <v>58721</v>
      </c>
    </row>
    <row r="19932" spans="1:1">
      <c r="A19932" s="35" t="s">
        <v>58722</v>
      </c>
    </row>
    <row r="19933" spans="1:1">
      <c r="A19933" s="35" t="s">
        <v>58723</v>
      </c>
    </row>
    <row r="19934" spans="1:1">
      <c r="A19934" s="35" t="s">
        <v>58724</v>
      </c>
    </row>
    <row r="19935" spans="1:1">
      <c r="A19935" s="35" t="s">
        <v>58725</v>
      </c>
    </row>
    <row r="19936" spans="1:1">
      <c r="A19936" s="35" t="s">
        <v>58726</v>
      </c>
    </row>
    <row r="19937" spans="1:1">
      <c r="A19937" s="35" t="s">
        <v>41057</v>
      </c>
    </row>
    <row r="19938" spans="1:1">
      <c r="A19938" s="35" t="s">
        <v>58727</v>
      </c>
    </row>
    <row r="19939" spans="1:1">
      <c r="A19939" s="35" t="s">
        <v>58728</v>
      </c>
    </row>
    <row r="19940" spans="1:1">
      <c r="A19940" s="35" t="s">
        <v>58729</v>
      </c>
    </row>
    <row r="19941" spans="1:1">
      <c r="A19941" s="35" t="s">
        <v>41057</v>
      </c>
    </row>
    <row r="19942" spans="1:1">
      <c r="A19942" s="35" t="s">
        <v>53545</v>
      </c>
    </row>
    <row r="19943" spans="1:1">
      <c r="A19943" s="35" t="s">
        <v>51948</v>
      </c>
    </row>
    <row r="19944" spans="1:1">
      <c r="A19944" s="35" t="s">
        <v>41057</v>
      </c>
    </row>
    <row r="19945" spans="1:1">
      <c r="A19945" s="35" t="s">
        <v>41057</v>
      </c>
    </row>
    <row r="19946" spans="1:1">
      <c r="A19946" s="35" t="s">
        <v>41057</v>
      </c>
    </row>
    <row r="19947" spans="1:1">
      <c r="A19947" s="35" t="s">
        <v>41057</v>
      </c>
    </row>
    <row r="19948" spans="1:1">
      <c r="A19948" s="35" t="s">
        <v>41057</v>
      </c>
    </row>
    <row r="19949" spans="1:1">
      <c r="A19949" s="35" t="s">
        <v>54096</v>
      </c>
    </row>
    <row r="19950" spans="1:1">
      <c r="A19950" s="35" t="s">
        <v>41057</v>
      </c>
    </row>
    <row r="19951" spans="1:1">
      <c r="A19951" s="35" t="s">
        <v>41057</v>
      </c>
    </row>
    <row r="19952" spans="1:1">
      <c r="A19952" s="35" t="s">
        <v>41057</v>
      </c>
    </row>
    <row r="19953" spans="1:1">
      <c r="A19953" s="35" t="s">
        <v>58730</v>
      </c>
    </row>
    <row r="19954" spans="1:1">
      <c r="A19954" s="35" t="s">
        <v>58731</v>
      </c>
    </row>
    <row r="19955" spans="1:1">
      <c r="A19955" s="35" t="s">
        <v>58732</v>
      </c>
    </row>
    <row r="19956" spans="1:1">
      <c r="A19956" s="35" t="s">
        <v>58733</v>
      </c>
    </row>
    <row r="19957" spans="1:1">
      <c r="A19957" s="35" t="s">
        <v>41057</v>
      </c>
    </row>
    <row r="19958" spans="1:1">
      <c r="A19958" s="35" t="s">
        <v>41057</v>
      </c>
    </row>
    <row r="19959" spans="1:1">
      <c r="A19959" s="35" t="e" cm="1">
        <f t="array" ref="A19959">-------------QIEETH---------------LVHFNA-------------------H</f>
        <v>#NAME?</v>
      </c>
    </row>
    <row r="19960" spans="1:1">
      <c r="A19960" s="35" t="s">
        <v>58734</v>
      </c>
    </row>
    <row r="19961" spans="1:1">
      <c r="A19961" s="35" t="s">
        <v>58735</v>
      </c>
    </row>
    <row r="19962" spans="1:1">
      <c r="A19962" s="35" t="s">
        <v>41057</v>
      </c>
    </row>
    <row r="19963" spans="1:1">
      <c r="A19963" s="35" t="s">
        <v>58736</v>
      </c>
    </row>
    <row r="19964" spans="1:1">
      <c r="A19964" s="35" t="s">
        <v>41057</v>
      </c>
    </row>
    <row r="19965" spans="1:1">
      <c r="A19965" s="35" t="s">
        <v>41057</v>
      </c>
    </row>
    <row r="19966" spans="1:1">
      <c r="A19966" s="35" t="s">
        <v>58737</v>
      </c>
    </row>
    <row r="19967" spans="1:1">
      <c r="A19967" s="35" t="s">
        <v>41057</v>
      </c>
    </row>
    <row r="19968" spans="1:1">
      <c r="A19968" s="35" t="s">
        <v>41057</v>
      </c>
    </row>
    <row r="19969" spans="1:1">
      <c r="A19969" s="35" t="s">
        <v>53500</v>
      </c>
    </row>
    <row r="19970" spans="1:1">
      <c r="A19970" s="35" t="s">
        <v>41057</v>
      </c>
    </row>
    <row r="19971" spans="1:1">
      <c r="A19971" s="35" t="s">
        <v>41057</v>
      </c>
    </row>
    <row r="19972" spans="1:1">
      <c r="A19972" s="35" t="s">
        <v>58738</v>
      </c>
    </row>
    <row r="19973" spans="1:1">
      <c r="A19973" s="35" t="s">
        <v>41057</v>
      </c>
    </row>
    <row r="19974" spans="1:1">
      <c r="A19974" s="35" t="s">
        <v>58739</v>
      </c>
    </row>
    <row r="19975" spans="1:1">
      <c r="A19975" s="35" t="s">
        <v>58309</v>
      </c>
    </row>
    <row r="19976" spans="1:1">
      <c r="A19976" s="35" t="s">
        <v>58695</v>
      </c>
    </row>
    <row r="19977" spans="1:1">
      <c r="A19977" s="35" t="s">
        <v>58740</v>
      </c>
    </row>
    <row r="19978" spans="1:1">
      <c r="A19978" s="35" t="s">
        <v>41057</v>
      </c>
    </row>
    <row r="19979" spans="1:1">
      <c r="A19979" s="35" t="s">
        <v>41057</v>
      </c>
    </row>
    <row r="19980" spans="1:1">
      <c r="A19980" s="35" t="s">
        <v>58741</v>
      </c>
    </row>
    <row r="19981" spans="1:1">
      <c r="A19981" s="35" t="s">
        <v>41057</v>
      </c>
    </row>
    <row r="19982" spans="1:1">
      <c r="A19982" s="35" t="s">
        <v>41057</v>
      </c>
    </row>
    <row r="19983" spans="1:1">
      <c r="A19983" s="35" t="s">
        <v>41057</v>
      </c>
    </row>
    <row r="19984" spans="1:1">
      <c r="A19984" s="35" t="s">
        <v>41057</v>
      </c>
    </row>
    <row r="19985" spans="1:1">
      <c r="A19985" s="35" t="s">
        <v>41057</v>
      </c>
    </row>
    <row r="19986" spans="1:1">
      <c r="A19986" s="35" t="s">
        <v>58742</v>
      </c>
    </row>
    <row r="19987" spans="1:1">
      <c r="A19987" s="35" t="s">
        <v>58743</v>
      </c>
    </row>
    <row r="19988" spans="1:1">
      <c r="A19988" s="35" t="s">
        <v>41057</v>
      </c>
    </row>
    <row r="19989" spans="1:1">
      <c r="A19989" s="35" t="s">
        <v>58744</v>
      </c>
    </row>
    <row r="19990" spans="1:1">
      <c r="A19990" s="35" t="s">
        <v>41057</v>
      </c>
    </row>
    <row r="19991" spans="1:1">
      <c r="A19991" s="35" t="s">
        <v>41057</v>
      </c>
    </row>
    <row r="19992" spans="1:1">
      <c r="A19992" s="35" t="s">
        <v>41057</v>
      </c>
    </row>
    <row r="19993" spans="1:1">
      <c r="A19993" s="35" t="s">
        <v>41057</v>
      </c>
    </row>
    <row r="19994" spans="1:1">
      <c r="A19994" s="35" t="s">
        <v>41057</v>
      </c>
    </row>
    <row r="19995" spans="1:1">
      <c r="A19995" s="35" t="s">
        <v>41057</v>
      </c>
    </row>
    <row r="19996" spans="1:1">
      <c r="A19996" s="35" t="s">
        <v>41057</v>
      </c>
    </row>
    <row r="19997" spans="1:1">
      <c r="A19997" s="35" t="s">
        <v>41057</v>
      </c>
    </row>
    <row r="19998" spans="1:1">
      <c r="A19998" s="35" t="s">
        <v>41057</v>
      </c>
    </row>
    <row r="19999" spans="1:1">
      <c r="A19999" s="35" t="s">
        <v>41057</v>
      </c>
    </row>
    <row r="20000" spans="1:1">
      <c r="A20000" s="35" t="s">
        <v>41057</v>
      </c>
    </row>
    <row r="20001" spans="1:1">
      <c r="A20001" s="35" t="s">
        <v>41057</v>
      </c>
    </row>
    <row r="20002" spans="1:1">
      <c r="A20002" s="35" t="s">
        <v>58745</v>
      </c>
    </row>
    <row r="20003" spans="1:1">
      <c r="A20003" s="35" t="s">
        <v>41057</v>
      </c>
    </row>
    <row r="20004" spans="1:1">
      <c r="A20004" s="35" t="s">
        <v>41057</v>
      </c>
    </row>
    <row r="20005" spans="1:1">
      <c r="A20005" s="35" t="s">
        <v>58746</v>
      </c>
    </row>
    <row r="20006" spans="1:1">
      <c r="A20006" s="35" t="s">
        <v>58747</v>
      </c>
    </row>
    <row r="20007" spans="1:1">
      <c r="A20007" s="35" t="s">
        <v>58748</v>
      </c>
    </row>
    <row r="20008" spans="1:1">
      <c r="A20008" s="35" t="s">
        <v>41057</v>
      </c>
    </row>
    <row r="20009" spans="1:1">
      <c r="A20009" s="35" t="s">
        <v>41057</v>
      </c>
    </row>
    <row r="20010" spans="1:1">
      <c r="A20010" s="35" t="s">
        <v>41057</v>
      </c>
    </row>
    <row r="20011" spans="1:1">
      <c r="A20011" s="35" t="s">
        <v>41057</v>
      </c>
    </row>
    <row r="20012" spans="1:1">
      <c r="A20012" s="35" t="s">
        <v>41057</v>
      </c>
    </row>
    <row r="20013" spans="1:1">
      <c r="A20013" s="35" t="e" cm="1">
        <f t="array" ref="A20013">--------------------------------------------YRNLVYYCEYP---GE</f>
        <v>#NAME?</v>
      </c>
    </row>
    <row r="20014" spans="1:1">
      <c r="A20014" s="35" t="s">
        <v>58749</v>
      </c>
    </row>
    <row r="20015" spans="1:1">
      <c r="A20015" s="35" t="e" cm="1">
        <f t="array" ref="A20015">---------------SDVTTLVRKFCI---------PGDK------------------MT</f>
        <v>#NAME?</v>
      </c>
    </row>
    <row r="20016" spans="1:1">
      <c r="A20016" s="35" t="s">
        <v>58750</v>
      </c>
    </row>
    <row r="20017" spans="1:1">
      <c r="A20017" s="35" t="e" cm="1">
        <f t="array" ref="A20017">---------SKPI-------------------------------LTDENDT------QRT</f>
        <v>#NAME?</v>
      </c>
    </row>
    <row r="20018" spans="1:1">
      <c r="A20018" s="35" t="s">
        <v>58751</v>
      </c>
    </row>
    <row r="20019" spans="1:1">
      <c r="A20019" s="35" t="s">
        <v>58752</v>
      </c>
    </row>
    <row r="20020" spans="1:1">
      <c r="A20020" s="35" t="s">
        <v>41057</v>
      </c>
    </row>
    <row r="20021" spans="1:1">
      <c r="A20021" s="35" t="s">
        <v>56432</v>
      </c>
    </row>
    <row r="20022" spans="1:1">
      <c r="A20022" s="35" t="s">
        <v>58753</v>
      </c>
    </row>
    <row r="20023" spans="1:1">
      <c r="A20023" s="35" t="s">
        <v>58754</v>
      </c>
    </row>
    <row r="20024" spans="1:1">
      <c r="A20024" s="35" t="s">
        <v>41057</v>
      </c>
    </row>
    <row r="20025" spans="1:1">
      <c r="A20025" s="35" t="s">
        <v>58755</v>
      </c>
    </row>
    <row r="20026" spans="1:1">
      <c r="A20026" s="35" t="s">
        <v>41057</v>
      </c>
    </row>
    <row r="20027" spans="1:1">
      <c r="A20027" s="35" t="s">
        <v>58756</v>
      </c>
    </row>
    <row r="20028" spans="1:1">
      <c r="A20028" s="35" t="s">
        <v>58757</v>
      </c>
    </row>
    <row r="20029" spans="1:1">
      <c r="A20029" s="35" t="s">
        <v>41057</v>
      </c>
    </row>
    <row r="20030" spans="1:1">
      <c r="A20030" s="35" t="s">
        <v>58758</v>
      </c>
    </row>
    <row r="20031" spans="1:1">
      <c r="A20031" s="35" t="s">
        <v>58759</v>
      </c>
    </row>
    <row r="20032" spans="1:1">
      <c r="A20032" s="35" t="s">
        <v>58760</v>
      </c>
    </row>
    <row r="20033" spans="1:1">
      <c r="A20033" s="35" t="s">
        <v>58761</v>
      </c>
    </row>
    <row r="20034" spans="1:1">
      <c r="A20034" s="35" t="s">
        <v>41057</v>
      </c>
    </row>
    <row r="20035" spans="1:1">
      <c r="A20035" s="35" t="s">
        <v>41057</v>
      </c>
    </row>
    <row r="20036" spans="1:1">
      <c r="A20036" s="35" t="s">
        <v>58762</v>
      </c>
    </row>
    <row r="20037" spans="1:1">
      <c r="A20037" s="35" t="s">
        <v>41057</v>
      </c>
    </row>
    <row r="20038" spans="1:1">
      <c r="A20038" s="35" t="s">
        <v>41057</v>
      </c>
    </row>
    <row r="20039" spans="1:1">
      <c r="A20039" s="35" t="s">
        <v>58763</v>
      </c>
    </row>
    <row r="20040" spans="1:1">
      <c r="A20040" s="35" t="s">
        <v>41057</v>
      </c>
    </row>
    <row r="20041" spans="1:1">
      <c r="A20041" s="35" t="s">
        <v>58764</v>
      </c>
    </row>
    <row r="20042" spans="1:1">
      <c r="A20042" s="35" t="s">
        <v>41057</v>
      </c>
    </row>
    <row r="20043" spans="1:1">
      <c r="A20043" s="35" t="s">
        <v>58765</v>
      </c>
    </row>
    <row r="20044" spans="1:1">
      <c r="A20044" s="35" t="s">
        <v>58766</v>
      </c>
    </row>
    <row r="20045" spans="1:1">
      <c r="A20045" s="35" t="s">
        <v>58767</v>
      </c>
    </row>
    <row r="20046" spans="1:1">
      <c r="A20046" s="35" t="e" cm="1">
        <f t="array" ref="A20046">-----------------------------------------------------------D</f>
        <v>#NAME?</v>
      </c>
    </row>
    <row r="20047" spans="1:1">
      <c r="A20047" s="35" t="s">
        <v>58768</v>
      </c>
    </row>
    <row r="20048" spans="1:1">
      <c r="A20048" s="35" t="e" cm="1">
        <f t="array" ref="A20048">--------------------------------------------------PITLPIIKNI</f>
        <v>#NAME?</v>
      </c>
    </row>
    <row r="20049" spans="1:1">
      <c r="A20049" s="35" t="s">
        <v>58769</v>
      </c>
    </row>
    <row r="20050" spans="1:1">
      <c r="A20050" s="35" t="s">
        <v>58770</v>
      </c>
    </row>
    <row r="20051" spans="1:1">
      <c r="A20051" s="35" t="s">
        <v>58771</v>
      </c>
    </row>
    <row r="20052" spans="1:1">
      <c r="A20052" s="35" t="s">
        <v>58772</v>
      </c>
    </row>
    <row r="20053" spans="1:1">
      <c r="A20053" s="35" t="s">
        <v>58725</v>
      </c>
    </row>
    <row r="20054" spans="1:1">
      <c r="A20054" s="35" t="s">
        <v>58773</v>
      </c>
    </row>
    <row r="20055" spans="1:1">
      <c r="A20055" s="35" t="s">
        <v>41057</v>
      </c>
    </row>
    <row r="20056" spans="1:1">
      <c r="A20056" s="35" t="s">
        <v>58774</v>
      </c>
    </row>
    <row r="20057" spans="1:1">
      <c r="A20057" s="35" t="s">
        <v>58775</v>
      </c>
    </row>
    <row r="20058" spans="1:1">
      <c r="A20058" s="35" t="s">
        <v>58776</v>
      </c>
    </row>
    <row r="20059" spans="1:1">
      <c r="A20059" s="35" t="s">
        <v>41057</v>
      </c>
    </row>
    <row r="20060" spans="1:1">
      <c r="A20060" s="35" t="s">
        <v>53545</v>
      </c>
    </row>
    <row r="20061" spans="1:1">
      <c r="A20061" s="35" t="s">
        <v>51933</v>
      </c>
    </row>
    <row r="20062" spans="1:1">
      <c r="A20062" s="35" t="s">
        <v>41057</v>
      </c>
    </row>
    <row r="20063" spans="1:1">
      <c r="A20063" s="35" t="s">
        <v>41057</v>
      </c>
    </row>
    <row r="20064" spans="1:1">
      <c r="A20064" s="35" t="s">
        <v>41057</v>
      </c>
    </row>
    <row r="20065" spans="1:1">
      <c r="A20065" s="35" t="s">
        <v>41057</v>
      </c>
    </row>
    <row r="20066" spans="1:1">
      <c r="A20066" s="35" t="s">
        <v>41057</v>
      </c>
    </row>
    <row r="20067" spans="1:1">
      <c r="A20067" s="35" t="s">
        <v>53706</v>
      </c>
    </row>
    <row r="20068" spans="1:1">
      <c r="A20068" s="35" t="s">
        <v>41057</v>
      </c>
    </row>
    <row r="20069" spans="1:1">
      <c r="A20069" s="35" t="s">
        <v>41057</v>
      </c>
    </row>
    <row r="20070" spans="1:1">
      <c r="A20070" s="35" t="s">
        <v>41057</v>
      </c>
    </row>
    <row r="20071" spans="1:1">
      <c r="A20071" s="35" t="s">
        <v>58777</v>
      </c>
    </row>
    <row r="20072" spans="1:1">
      <c r="A20072" s="35" t="s">
        <v>58778</v>
      </c>
    </row>
    <row r="20073" spans="1:1">
      <c r="A20073" s="35" t="s">
        <v>58779</v>
      </c>
    </row>
    <row r="20074" spans="1:1">
      <c r="A20074" s="35" t="s">
        <v>58780</v>
      </c>
    </row>
    <row r="20075" spans="1:1">
      <c r="A20075" s="35" t="s">
        <v>41057</v>
      </c>
    </row>
    <row r="20076" spans="1:1">
      <c r="A20076" s="35" t="s">
        <v>41057</v>
      </c>
    </row>
    <row r="20077" spans="1:1">
      <c r="A20077" s="35" t="e" cm="1">
        <f t="array" ref="A20077">-------------DIERTH---------------ILFVNA-------------------H</f>
        <v>#NAME?</v>
      </c>
    </row>
    <row r="20078" spans="1:1">
      <c r="A20078" s="35" t="s">
        <v>58688</v>
      </c>
    </row>
    <row r="20079" spans="1:1">
      <c r="A20079" s="35" t="s">
        <v>58781</v>
      </c>
    </row>
    <row r="20080" spans="1:1">
      <c r="A20080" s="35" t="s">
        <v>41057</v>
      </c>
    </row>
    <row r="20081" spans="1:1">
      <c r="A20081" s="35" t="s">
        <v>58782</v>
      </c>
    </row>
    <row r="20082" spans="1:1">
      <c r="A20082" s="35" t="s">
        <v>41057</v>
      </c>
    </row>
    <row r="20083" spans="1:1">
      <c r="A20083" s="35" t="s">
        <v>41057</v>
      </c>
    </row>
    <row r="20084" spans="1:1">
      <c r="A20084" s="35" t="s">
        <v>58783</v>
      </c>
    </row>
    <row r="20085" spans="1:1">
      <c r="A20085" s="35" t="s">
        <v>41057</v>
      </c>
    </row>
    <row r="20086" spans="1:1">
      <c r="A20086" s="35" t="s">
        <v>41057</v>
      </c>
    </row>
    <row r="20087" spans="1:1">
      <c r="A20087" s="35" t="s">
        <v>53500</v>
      </c>
    </row>
    <row r="20088" spans="1:1">
      <c r="A20088" s="35" t="s">
        <v>41057</v>
      </c>
    </row>
    <row r="20089" spans="1:1">
      <c r="A20089" s="35" t="s">
        <v>41057</v>
      </c>
    </row>
    <row r="20090" spans="1:1">
      <c r="A20090" s="35" t="s">
        <v>58784</v>
      </c>
    </row>
    <row r="20091" spans="1:1">
      <c r="A20091" s="35" t="s">
        <v>41057</v>
      </c>
    </row>
    <row r="20092" spans="1:1">
      <c r="A20092" s="35" t="s">
        <v>58785</v>
      </c>
    </row>
    <row r="20093" spans="1:1">
      <c r="A20093" s="35" t="s">
        <v>58694</v>
      </c>
    </row>
    <row r="20094" spans="1:1">
      <c r="A20094" s="35" t="s">
        <v>58786</v>
      </c>
    </row>
    <row r="20095" spans="1:1">
      <c r="A20095" s="35" t="s">
        <v>58787</v>
      </c>
    </row>
    <row r="20096" spans="1:1">
      <c r="A20096" s="35" t="s">
        <v>41057</v>
      </c>
    </row>
    <row r="20097" spans="1:1">
      <c r="A20097" s="35" t="s">
        <v>41057</v>
      </c>
    </row>
    <row r="20098" spans="1:1">
      <c r="A20098" s="35" t="s">
        <v>58788</v>
      </c>
    </row>
    <row r="20099" spans="1:1">
      <c r="A20099" s="35" t="s">
        <v>41057</v>
      </c>
    </row>
    <row r="20100" spans="1:1">
      <c r="A20100" s="35" t="s">
        <v>41057</v>
      </c>
    </row>
    <row r="20101" spans="1:1">
      <c r="A20101" s="35" t="s">
        <v>41057</v>
      </c>
    </row>
    <row r="20102" spans="1:1">
      <c r="A20102" s="35" t="s">
        <v>41057</v>
      </c>
    </row>
    <row r="20103" spans="1:1">
      <c r="A20103" s="35" t="s">
        <v>41057</v>
      </c>
    </row>
    <row r="20104" spans="1:1">
      <c r="A20104" s="35" t="s">
        <v>58789</v>
      </c>
    </row>
    <row r="20105" spans="1:1">
      <c r="A20105" s="35" t="s">
        <v>58790</v>
      </c>
    </row>
    <row r="20106" spans="1:1">
      <c r="A20106" s="35" t="s">
        <v>41057</v>
      </c>
    </row>
    <row r="20107" spans="1:1">
      <c r="A20107" s="35" t="s">
        <v>58791</v>
      </c>
    </row>
    <row r="20108" spans="1:1">
      <c r="A20108" s="35" t="s">
        <v>41057</v>
      </c>
    </row>
    <row r="20109" spans="1:1">
      <c r="A20109" s="35" t="s">
        <v>41057</v>
      </c>
    </row>
    <row r="20110" spans="1:1">
      <c r="A20110" s="35" t="s">
        <v>41057</v>
      </c>
    </row>
    <row r="20111" spans="1:1">
      <c r="A20111" s="35" t="s">
        <v>41057</v>
      </c>
    </row>
    <row r="20112" spans="1:1">
      <c r="A20112" s="35" t="s">
        <v>41057</v>
      </c>
    </row>
    <row r="20113" spans="1:1">
      <c r="A20113" s="35" t="s">
        <v>41057</v>
      </c>
    </row>
    <row r="20114" spans="1:1">
      <c r="A20114" s="35" t="s">
        <v>41057</v>
      </c>
    </row>
    <row r="20115" spans="1:1">
      <c r="A20115" s="35" t="s">
        <v>41057</v>
      </c>
    </row>
    <row r="20116" spans="1:1">
      <c r="A20116" s="35" t="s">
        <v>41057</v>
      </c>
    </row>
    <row r="20117" spans="1:1">
      <c r="A20117" s="35" t="s">
        <v>41057</v>
      </c>
    </row>
    <row r="20118" spans="1:1">
      <c r="A20118" s="35" t="s">
        <v>41057</v>
      </c>
    </row>
    <row r="20119" spans="1:1">
      <c r="A20119" s="35" t="s">
        <v>41057</v>
      </c>
    </row>
    <row r="20120" spans="1:1">
      <c r="A20120" s="35" t="s">
        <v>58792</v>
      </c>
    </row>
    <row r="20121" spans="1:1">
      <c r="A20121" s="35" t="s">
        <v>41057</v>
      </c>
    </row>
    <row r="20122" spans="1:1">
      <c r="A20122" s="35" t="s">
        <v>41057</v>
      </c>
    </row>
    <row r="20123" spans="1:1">
      <c r="A20123" s="35" t="s">
        <v>58793</v>
      </c>
    </row>
    <row r="20124" spans="1:1">
      <c r="A20124" s="35" t="s">
        <v>41057</v>
      </c>
    </row>
    <row r="20125" spans="1:1">
      <c r="A20125" s="35" t="s">
        <v>58794</v>
      </c>
    </row>
    <row r="20126" spans="1:1">
      <c r="A20126" s="35" t="s">
        <v>41057</v>
      </c>
    </row>
    <row r="20127" spans="1:1">
      <c r="A20127" s="35" t="s">
        <v>41057</v>
      </c>
    </row>
    <row r="20128" spans="1:1">
      <c r="A20128" s="35" t="s">
        <v>41057</v>
      </c>
    </row>
    <row r="20129" spans="1:1">
      <c r="A20129" s="35" t="s">
        <v>41057</v>
      </c>
    </row>
    <row r="20130" spans="1:1">
      <c r="A20130" s="35" t="s">
        <v>41057</v>
      </c>
    </row>
    <row r="20131" spans="1:1">
      <c r="A20131" s="35" t="e" cm="1">
        <f t="array" ref="A20131">--------------------------------------------ASNFVRYAEYP---GQ</f>
        <v>#NAME?</v>
      </c>
    </row>
    <row r="20132" spans="1:1">
      <c r="A20132" s="35" t="s">
        <v>58795</v>
      </c>
    </row>
    <row r="20133" spans="1:1">
      <c r="A20133" s="35" t="e" cm="1">
        <f t="array" ref="A20133">---------------AEAYMYHQKFCV---------QPGK------------------MT</f>
        <v>#NAME?</v>
      </c>
    </row>
    <row r="20134" spans="1:1">
      <c r="A20134" s="35" t="s">
        <v>58796</v>
      </c>
    </row>
    <row r="20135" spans="1:1">
      <c r="A20135" s="35" t="e" cm="1">
        <f t="array" ref="A20135">---------PAAVA-----------------------------GLEDVNGD------AAQ</f>
        <v>#NAME?</v>
      </c>
    </row>
    <row r="20136" spans="1:1">
      <c r="A20136" s="35" t="s">
        <v>58797</v>
      </c>
    </row>
    <row r="20137" spans="1:1">
      <c r="A20137" s="35" t="s">
        <v>58798</v>
      </c>
    </row>
    <row r="20138" spans="1:1">
      <c r="A20138" s="35" t="s">
        <v>41057</v>
      </c>
    </row>
    <row r="20139" spans="1:1">
      <c r="A20139" s="35" t="s">
        <v>54262</v>
      </c>
    </row>
    <row r="20140" spans="1:1">
      <c r="A20140" s="35" t="s">
        <v>58799</v>
      </c>
    </row>
    <row r="20141" spans="1:1">
      <c r="A20141" s="35" t="s">
        <v>58800</v>
      </c>
    </row>
    <row r="20142" spans="1:1">
      <c r="A20142" s="35" t="s">
        <v>41057</v>
      </c>
    </row>
    <row r="20143" spans="1:1">
      <c r="A20143" s="35" t="s">
        <v>58801</v>
      </c>
    </row>
    <row r="20144" spans="1:1">
      <c r="A20144" s="35" t="s">
        <v>41057</v>
      </c>
    </row>
    <row r="20145" spans="1:1">
      <c r="A20145" s="35" t="s">
        <v>58802</v>
      </c>
    </row>
    <row r="20146" spans="1:1">
      <c r="A20146" s="35" t="s">
        <v>57315</v>
      </c>
    </row>
    <row r="20147" spans="1:1">
      <c r="A20147" s="35" t="s">
        <v>41057</v>
      </c>
    </row>
    <row r="20148" spans="1:1">
      <c r="A20148" s="35" t="s">
        <v>58803</v>
      </c>
    </row>
    <row r="20149" spans="1:1">
      <c r="A20149" s="35" t="s">
        <v>58804</v>
      </c>
    </row>
    <row r="20150" spans="1:1">
      <c r="A20150" s="35" t="s">
        <v>58805</v>
      </c>
    </row>
    <row r="20151" spans="1:1">
      <c r="A20151" s="35" t="s">
        <v>58806</v>
      </c>
    </row>
    <row r="20152" spans="1:1">
      <c r="A20152" s="35" t="s">
        <v>41057</v>
      </c>
    </row>
    <row r="20153" spans="1:1">
      <c r="A20153" s="35" t="s">
        <v>41057</v>
      </c>
    </row>
    <row r="20154" spans="1:1">
      <c r="A20154" s="35" t="s">
        <v>58807</v>
      </c>
    </row>
    <row r="20155" spans="1:1">
      <c r="A20155" s="35" t="s">
        <v>41057</v>
      </c>
    </row>
    <row r="20156" spans="1:1">
      <c r="A20156" s="35" t="s">
        <v>41057</v>
      </c>
    </row>
    <row r="20157" spans="1:1">
      <c r="A20157" s="35" t="s">
        <v>58808</v>
      </c>
    </row>
    <row r="20158" spans="1:1">
      <c r="A20158" s="35" t="s">
        <v>41057</v>
      </c>
    </row>
    <row r="20159" spans="1:1">
      <c r="A20159" s="35" t="s">
        <v>58809</v>
      </c>
    </row>
    <row r="20160" spans="1:1">
      <c r="A20160" s="35" t="s">
        <v>41057</v>
      </c>
    </row>
    <row r="20161" spans="1:1">
      <c r="A20161" s="35" t="s">
        <v>58810</v>
      </c>
    </row>
    <row r="20162" spans="1:1">
      <c r="A20162" s="35" t="s">
        <v>58811</v>
      </c>
    </row>
    <row r="20163" spans="1:1">
      <c r="A20163" s="35" t="e" cm="1">
        <f t="array" ref="A20163">------------DDTVAFNADSAK------------------------------HKTSYS</f>
        <v>#NAME?</v>
      </c>
    </row>
    <row r="20164" spans="1:1">
      <c r="A20164" s="35" t="s">
        <v>41057</v>
      </c>
    </row>
    <row r="20165" spans="1:1">
      <c r="A20165" s="35" t="s">
        <v>41057</v>
      </c>
    </row>
    <row r="20166" spans="1:1">
      <c r="A20166" s="35" t="e" cm="1">
        <f t="array" ref="A20166">------------------------M----------ESAERL-------VFPSFTETIDTL</f>
        <v>#NAME?</v>
      </c>
    </row>
    <row r="20167" spans="1:1">
      <c r="A20167" s="35" t="s">
        <v>58812</v>
      </c>
    </row>
    <row r="20168" spans="1:1">
      <c r="A20168" s="35" t="s">
        <v>58813</v>
      </c>
    </row>
    <row r="20169" spans="1:1">
      <c r="A20169" s="35" t="s">
        <v>58814</v>
      </c>
    </row>
    <row r="20170" spans="1:1">
      <c r="A20170" s="35" t="s">
        <v>58815</v>
      </c>
    </row>
    <row r="20171" spans="1:1">
      <c r="A20171" s="35" t="s">
        <v>58725</v>
      </c>
    </row>
    <row r="20172" spans="1:1">
      <c r="A20172" s="35" t="s">
        <v>58816</v>
      </c>
    </row>
    <row r="20173" spans="1:1">
      <c r="A20173" s="35" t="s">
        <v>41057</v>
      </c>
    </row>
    <row r="20174" spans="1:1">
      <c r="A20174" s="35" t="e" cm="1">
        <f t="array" ref="A20174">-------------------CDLLV--------LAKAINFLLILTKIWDETVSCLHSCQIT</f>
        <v>#NAME?</v>
      </c>
    </row>
    <row r="20175" spans="1:1">
      <c r="A20175" s="35" t="s">
        <v>58817</v>
      </c>
    </row>
    <row r="20176" spans="1:1">
      <c r="A20176" s="35" t="s">
        <v>58818</v>
      </c>
    </row>
    <row r="20177" spans="1:1">
      <c r="A20177" s="35" t="s">
        <v>54498</v>
      </c>
    </row>
    <row r="20178" spans="1:1">
      <c r="A20178" s="35" t="s">
        <v>53545</v>
      </c>
    </row>
    <row r="20179" spans="1:1">
      <c r="A20179" s="35" t="s">
        <v>51946</v>
      </c>
    </row>
    <row r="20180" spans="1:1">
      <c r="A20180" s="35" t="s">
        <v>41057</v>
      </c>
    </row>
    <row r="20181" spans="1:1">
      <c r="A20181" s="35" t="s">
        <v>41057</v>
      </c>
    </row>
    <row r="20182" spans="1:1">
      <c r="A20182" s="35" t="s">
        <v>41057</v>
      </c>
    </row>
    <row r="20183" spans="1:1">
      <c r="A20183" s="35" t="s">
        <v>41057</v>
      </c>
    </row>
    <row r="20184" spans="1:1">
      <c r="A20184" s="35" t="s">
        <v>41057</v>
      </c>
    </row>
    <row r="20185" spans="1:1">
      <c r="A20185" s="35" t="s">
        <v>53706</v>
      </c>
    </row>
    <row r="20186" spans="1:1">
      <c r="A20186" s="35" t="s">
        <v>41057</v>
      </c>
    </row>
    <row r="20187" spans="1:1">
      <c r="A20187" s="35" t="s">
        <v>41057</v>
      </c>
    </row>
    <row r="20188" spans="1:1">
      <c r="A20188" s="35" t="s">
        <v>41057</v>
      </c>
    </row>
    <row r="20189" spans="1:1">
      <c r="A20189" s="35" t="s">
        <v>58777</v>
      </c>
    </row>
    <row r="20190" spans="1:1">
      <c r="A20190" s="35" t="s">
        <v>58778</v>
      </c>
    </row>
    <row r="20191" spans="1:1">
      <c r="A20191" s="35" t="s">
        <v>58819</v>
      </c>
    </row>
    <row r="20192" spans="1:1">
      <c r="A20192" s="35" t="s">
        <v>58820</v>
      </c>
    </row>
    <row r="20193" spans="1:1">
      <c r="A20193" s="35" t="s">
        <v>41057</v>
      </c>
    </row>
    <row r="20194" spans="1:1">
      <c r="A20194" s="35" t="s">
        <v>41057</v>
      </c>
    </row>
    <row r="20195" spans="1:1">
      <c r="A20195" s="35" t="e" cm="1">
        <f t="array" ref="A20195">-------------DIERTH---------------ILLINS-------------------H</f>
        <v>#NAME?</v>
      </c>
    </row>
    <row r="20196" spans="1:1">
      <c r="A20196" s="35" t="s">
        <v>58821</v>
      </c>
    </row>
    <row r="20197" spans="1:1">
      <c r="A20197" s="35" t="s">
        <v>58822</v>
      </c>
    </row>
    <row r="20198" spans="1:1">
      <c r="A20198" s="35" t="s">
        <v>41057</v>
      </c>
    </row>
    <row r="20199" spans="1:1">
      <c r="A20199" s="35" t="s">
        <v>58823</v>
      </c>
    </row>
    <row r="20200" spans="1:1">
      <c r="A20200" s="35" t="s">
        <v>41057</v>
      </c>
    </row>
    <row r="20201" spans="1:1">
      <c r="A20201" s="35" t="s">
        <v>41057</v>
      </c>
    </row>
    <row r="20202" spans="1:1">
      <c r="A20202" s="35" t="s">
        <v>58824</v>
      </c>
    </row>
    <row r="20203" spans="1:1">
      <c r="A20203" s="35" t="s">
        <v>41057</v>
      </c>
    </row>
    <row r="20204" spans="1:1">
      <c r="A20204" s="35" t="s">
        <v>41057</v>
      </c>
    </row>
    <row r="20205" spans="1:1">
      <c r="A20205" s="35" t="s">
        <v>55207</v>
      </c>
    </row>
    <row r="20206" spans="1:1">
      <c r="A20206" s="35" t="s">
        <v>41057</v>
      </c>
    </row>
    <row r="20207" spans="1:1">
      <c r="A20207" s="35" t="s">
        <v>41057</v>
      </c>
    </row>
    <row r="20208" spans="1:1">
      <c r="A20208" s="35" t="s">
        <v>58825</v>
      </c>
    </row>
    <row r="20209" spans="1:1">
      <c r="A20209" s="35" t="s">
        <v>41057</v>
      </c>
    </row>
    <row r="20210" spans="1:1">
      <c r="A20210" s="35" t="s">
        <v>58785</v>
      </c>
    </row>
    <row r="20211" spans="1:1">
      <c r="A20211" s="35" t="s">
        <v>58694</v>
      </c>
    </row>
    <row r="20212" spans="1:1">
      <c r="A20212" s="35" t="s">
        <v>58826</v>
      </c>
    </row>
    <row r="20213" spans="1:1">
      <c r="A20213" s="35" t="s">
        <v>58787</v>
      </c>
    </row>
    <row r="20214" spans="1:1">
      <c r="A20214" s="35" t="s">
        <v>41057</v>
      </c>
    </row>
    <row r="20215" spans="1:1">
      <c r="A20215" s="35" t="s">
        <v>41057</v>
      </c>
    </row>
    <row r="20216" spans="1:1">
      <c r="A20216" s="35" t="s">
        <v>58788</v>
      </c>
    </row>
    <row r="20217" spans="1:1">
      <c r="A20217" s="35" t="s">
        <v>41057</v>
      </c>
    </row>
    <row r="20218" spans="1:1">
      <c r="A20218" s="35" t="s">
        <v>41057</v>
      </c>
    </row>
    <row r="20219" spans="1:1">
      <c r="A20219" s="35" t="s">
        <v>41057</v>
      </c>
    </row>
    <row r="20220" spans="1:1">
      <c r="A20220" s="35" t="s">
        <v>41057</v>
      </c>
    </row>
    <row r="20221" spans="1:1">
      <c r="A20221" s="35" t="s">
        <v>41057</v>
      </c>
    </row>
    <row r="20222" spans="1:1">
      <c r="A20222" s="35" t="s">
        <v>58827</v>
      </c>
    </row>
    <row r="20223" spans="1:1">
      <c r="A20223" s="35" t="s">
        <v>58790</v>
      </c>
    </row>
    <row r="20224" spans="1:1">
      <c r="A20224" s="35" t="s">
        <v>41057</v>
      </c>
    </row>
    <row r="20225" spans="1:1">
      <c r="A20225" s="35" t="s">
        <v>58828</v>
      </c>
    </row>
    <row r="20226" spans="1:1">
      <c r="A20226" s="35" t="s">
        <v>41057</v>
      </c>
    </row>
    <row r="20227" spans="1:1">
      <c r="A20227" s="35" t="s">
        <v>41057</v>
      </c>
    </row>
    <row r="20228" spans="1:1">
      <c r="A20228" s="35" t="s">
        <v>41057</v>
      </c>
    </row>
    <row r="20229" spans="1:1">
      <c r="A20229" s="35" t="s">
        <v>41057</v>
      </c>
    </row>
    <row r="20230" spans="1:1">
      <c r="A20230" s="35" t="s">
        <v>41057</v>
      </c>
    </row>
    <row r="20231" spans="1:1">
      <c r="A20231" s="35" t="s">
        <v>41057</v>
      </c>
    </row>
    <row r="20232" spans="1:1">
      <c r="A20232" s="35" t="s">
        <v>41057</v>
      </c>
    </row>
    <row r="20233" spans="1:1">
      <c r="A20233" s="35" t="s">
        <v>41057</v>
      </c>
    </row>
    <row r="20234" spans="1:1">
      <c r="A20234" s="35" t="s">
        <v>41057</v>
      </c>
    </row>
    <row r="20235" spans="1:1">
      <c r="A20235" s="35" t="s">
        <v>41057</v>
      </c>
    </row>
    <row r="20236" spans="1:1">
      <c r="A20236" s="35" t="s">
        <v>41057</v>
      </c>
    </row>
    <row r="20237" spans="1:1">
      <c r="A20237" s="35" t="s">
        <v>41057</v>
      </c>
    </row>
    <row r="20238" spans="1:1">
      <c r="A20238" s="35" t="s">
        <v>58829</v>
      </c>
    </row>
    <row r="20239" spans="1:1">
      <c r="A20239" s="35" t="s">
        <v>41057</v>
      </c>
    </row>
    <row r="20240" spans="1:1">
      <c r="A20240" s="35" t="s">
        <v>41057</v>
      </c>
    </row>
    <row r="20241" spans="1:1">
      <c r="A20241" s="35" t="s">
        <v>58830</v>
      </c>
    </row>
    <row r="20242" spans="1:1">
      <c r="A20242" s="35" t="s">
        <v>41057</v>
      </c>
    </row>
    <row r="20243" spans="1:1">
      <c r="A20243" s="35" t="s">
        <v>58831</v>
      </c>
    </row>
    <row r="20244" spans="1:1">
      <c r="A20244" s="35" t="s">
        <v>41057</v>
      </c>
    </row>
    <row r="20245" spans="1:1">
      <c r="A20245" s="35" t="s">
        <v>41057</v>
      </c>
    </row>
    <row r="20246" spans="1:1">
      <c r="A20246" s="35" t="s">
        <v>41057</v>
      </c>
    </row>
    <row r="20247" spans="1:1">
      <c r="A20247" s="35" t="s">
        <v>41057</v>
      </c>
    </row>
    <row r="20248" spans="1:1">
      <c r="A20248" s="35" t="s">
        <v>41057</v>
      </c>
    </row>
    <row r="20249" spans="1:1">
      <c r="A20249" s="35" t="e" cm="1">
        <f t="array" ref="A20249">--------------------------------------------ATNFVRYCEYP---GL</f>
        <v>#NAME?</v>
      </c>
    </row>
    <row r="20250" spans="1:1">
      <c r="A20250" s="35" t="s">
        <v>58832</v>
      </c>
    </row>
    <row r="20251" spans="1:1">
      <c r="A20251" s="35" t="e" cm="1">
        <f t="array" ref="A20251">---------------ALAAIMYNKFHV---------PDFK------------------LT</f>
        <v>#NAME?</v>
      </c>
    </row>
    <row r="20252" spans="1:1">
      <c r="A20252" s="35" t="s">
        <v>58833</v>
      </c>
    </row>
    <row r="20253" spans="1:1">
      <c r="A20253" s="35" t="e" cm="1">
        <f t="array" ref="A20253">---------GSPIV-----------------------------ALSDVNGT------AVT</f>
        <v>#NAME?</v>
      </c>
    </row>
    <row r="20254" spans="1:1">
      <c r="A20254" s="35" t="s">
        <v>58834</v>
      </c>
    </row>
    <row r="20255" spans="1:1">
      <c r="A20255" s="35" t="s">
        <v>58835</v>
      </c>
    </row>
    <row r="20256" spans="1:1">
      <c r="A20256" s="35" t="s">
        <v>41057</v>
      </c>
    </row>
    <row r="20257" spans="1:1">
      <c r="A20257" s="35" t="s">
        <v>58836</v>
      </c>
    </row>
    <row r="20258" spans="1:1">
      <c r="A20258" s="35" t="s">
        <v>58837</v>
      </c>
    </row>
    <row r="20259" spans="1:1">
      <c r="A20259" s="35" t="s">
        <v>58838</v>
      </c>
    </row>
    <row r="20260" spans="1:1">
      <c r="A20260" s="35" t="s">
        <v>41057</v>
      </c>
    </row>
    <row r="20261" spans="1:1">
      <c r="A20261" s="35" t="s">
        <v>58839</v>
      </c>
    </row>
    <row r="20262" spans="1:1">
      <c r="A20262" s="35" t="s">
        <v>41057</v>
      </c>
    </row>
    <row r="20263" spans="1:1">
      <c r="A20263" s="35" t="s">
        <v>58840</v>
      </c>
    </row>
    <row r="20264" spans="1:1">
      <c r="A20264" s="35" t="s">
        <v>58711</v>
      </c>
    </row>
    <row r="20265" spans="1:1">
      <c r="A20265" s="35" t="s">
        <v>41057</v>
      </c>
    </row>
    <row r="20266" spans="1:1">
      <c r="A20266" s="35" t="s">
        <v>58841</v>
      </c>
    </row>
    <row r="20267" spans="1:1">
      <c r="A20267" s="35" t="s">
        <v>58842</v>
      </c>
    </row>
    <row r="20268" spans="1:1">
      <c r="A20268" s="35" t="s">
        <v>58843</v>
      </c>
    </row>
    <row r="20269" spans="1:1">
      <c r="A20269" s="35" t="s">
        <v>58844</v>
      </c>
    </row>
    <row r="20270" spans="1:1">
      <c r="A20270" s="35" t="s">
        <v>41057</v>
      </c>
    </row>
    <row r="20271" spans="1:1">
      <c r="A20271" s="35" t="s">
        <v>41057</v>
      </c>
    </row>
    <row r="20272" spans="1:1">
      <c r="A20272" s="35" t="s">
        <v>58845</v>
      </c>
    </row>
    <row r="20273" spans="1:1">
      <c r="A20273" s="35" t="s">
        <v>41057</v>
      </c>
    </row>
    <row r="20274" spans="1:1">
      <c r="A20274" s="35" t="s">
        <v>41057</v>
      </c>
    </row>
    <row r="20275" spans="1:1">
      <c r="A20275" s="35" t="s">
        <v>58846</v>
      </c>
    </row>
    <row r="20276" spans="1:1">
      <c r="A20276" s="35" t="s">
        <v>41057</v>
      </c>
    </row>
    <row r="20277" spans="1:1">
      <c r="A20277" s="35" t="s">
        <v>58847</v>
      </c>
    </row>
    <row r="20278" spans="1:1">
      <c r="A20278" s="35" t="s">
        <v>41057</v>
      </c>
    </row>
    <row r="20279" spans="1:1">
      <c r="A20279" s="35" t="s">
        <v>58848</v>
      </c>
    </row>
    <row r="20280" spans="1:1">
      <c r="A20280" s="35" t="s">
        <v>58849</v>
      </c>
    </row>
    <row r="20281" spans="1:1">
      <c r="A20281" s="35" t="e" cm="1">
        <f t="array" ref="A20281">------------DDTVA-PVGSTT------------------------------FKQSAS</f>
        <v>#NAME?</v>
      </c>
    </row>
    <row r="20282" spans="1:1">
      <c r="A20282" s="35" t="e" cm="1">
        <f t="array" ref="A20282">-----------------------------------------------------------Q</f>
        <v>#NAME?</v>
      </c>
    </row>
    <row r="20283" spans="1:1">
      <c r="A20283" s="35" t="s">
        <v>58850</v>
      </c>
    </row>
    <row r="20284" spans="1:1">
      <c r="A20284" s="35" t="e" cm="1">
        <f t="array" ref="A20284">------------------------------------------------IVPVETETLDTV</f>
        <v>#NAME?</v>
      </c>
    </row>
    <row r="20285" spans="1:1">
      <c r="A20285" s="35" t="s">
        <v>58851</v>
      </c>
    </row>
    <row r="20286" spans="1:1">
      <c r="A20286" s="35" t="s">
        <v>58852</v>
      </c>
    </row>
    <row r="20287" spans="1:1">
      <c r="A20287" s="35" t="s">
        <v>58853</v>
      </c>
    </row>
    <row r="20288" spans="1:1">
      <c r="A20288" s="35" t="s">
        <v>58854</v>
      </c>
    </row>
    <row r="20289" spans="1:1">
      <c r="A20289" s="35" t="s">
        <v>58855</v>
      </c>
    </row>
    <row r="20290" spans="1:1">
      <c r="A20290" s="35" t="s">
        <v>58856</v>
      </c>
    </row>
    <row r="20291" spans="1:1">
      <c r="A20291" s="35" t="s">
        <v>41057</v>
      </c>
    </row>
    <row r="20292" spans="1:1">
      <c r="A20292" s="35" t="s">
        <v>58857</v>
      </c>
    </row>
    <row r="20293" spans="1:1">
      <c r="A20293" s="35" t="s">
        <v>58858</v>
      </c>
    </row>
    <row r="20294" spans="1:1">
      <c r="A20294" s="35" t="s">
        <v>58776</v>
      </c>
    </row>
    <row r="20295" spans="1:1">
      <c r="A20295" s="35" t="s">
        <v>41057</v>
      </c>
    </row>
    <row r="20296" spans="1:1">
      <c r="A20296" s="35" t="s">
        <v>53545</v>
      </c>
    </row>
    <row r="20297" spans="1:1">
      <c r="A20297" s="35" t="s">
        <v>51944</v>
      </c>
    </row>
    <row r="20298" spans="1:1">
      <c r="A20298" s="35" t="s">
        <v>41057</v>
      </c>
    </row>
    <row r="20299" spans="1:1">
      <c r="A20299" s="35" t="s">
        <v>41057</v>
      </c>
    </row>
    <row r="20300" spans="1:1">
      <c r="A20300" s="35" t="s">
        <v>41057</v>
      </c>
    </row>
    <row r="20301" spans="1:1">
      <c r="A20301" s="35" t="s">
        <v>41057</v>
      </c>
    </row>
    <row r="20302" spans="1:1">
      <c r="A20302" s="35" t="s">
        <v>41057</v>
      </c>
    </row>
    <row r="20303" spans="1:1">
      <c r="A20303" s="35" t="s">
        <v>54424</v>
      </c>
    </row>
    <row r="20304" spans="1:1">
      <c r="A20304" s="35" t="s">
        <v>41057</v>
      </c>
    </row>
    <row r="20305" spans="1:1">
      <c r="A20305" s="35" t="s">
        <v>41057</v>
      </c>
    </row>
    <row r="20306" spans="1:1">
      <c r="A20306" s="35" t="s">
        <v>41057</v>
      </c>
    </row>
    <row r="20307" spans="1:1">
      <c r="A20307" s="35" t="s">
        <v>58859</v>
      </c>
    </row>
    <row r="20308" spans="1:1">
      <c r="A20308" s="35" t="s">
        <v>58860</v>
      </c>
    </row>
    <row r="20309" spans="1:1">
      <c r="A20309" s="35" t="s">
        <v>58861</v>
      </c>
    </row>
    <row r="20310" spans="1:1">
      <c r="A20310" s="35" t="s">
        <v>58862</v>
      </c>
    </row>
    <row r="20311" spans="1:1">
      <c r="A20311" s="35" t="s">
        <v>41057</v>
      </c>
    </row>
    <row r="20312" spans="1:1">
      <c r="A20312" s="35" t="s">
        <v>41057</v>
      </c>
    </row>
    <row r="20313" spans="1:1">
      <c r="A20313" s="35" t="e" cm="1">
        <f t="array" ref="A20313">-------------DIERTH---------------ILFTNA-------------------H</f>
        <v>#NAME?</v>
      </c>
    </row>
    <row r="20314" spans="1:1">
      <c r="A20314" s="35" t="s">
        <v>58688</v>
      </c>
    </row>
    <row r="20315" spans="1:1">
      <c r="A20315" s="35" t="s">
        <v>58863</v>
      </c>
    </row>
    <row r="20316" spans="1:1">
      <c r="A20316" s="35" t="s">
        <v>41057</v>
      </c>
    </row>
    <row r="20317" spans="1:1">
      <c r="A20317" s="35" t="s">
        <v>41057</v>
      </c>
    </row>
    <row r="20318" spans="1:1">
      <c r="A20318" s="35" t="s">
        <v>41057</v>
      </c>
    </row>
    <row r="20319" spans="1:1">
      <c r="A20319" s="35" t="s">
        <v>41057</v>
      </c>
    </row>
    <row r="20320" spans="1:1">
      <c r="A20320" s="35" t="s">
        <v>58864</v>
      </c>
    </row>
    <row r="20321" spans="1:1">
      <c r="A20321" s="35" t="s">
        <v>41057</v>
      </c>
    </row>
    <row r="20322" spans="1:1">
      <c r="A20322" s="35" t="s">
        <v>41057</v>
      </c>
    </row>
    <row r="20323" spans="1:1">
      <c r="A20323" s="35" t="s">
        <v>41057</v>
      </c>
    </row>
    <row r="20324" spans="1:1">
      <c r="A20324" s="35" t="s">
        <v>41057</v>
      </c>
    </row>
    <row r="20325" spans="1:1">
      <c r="A20325" s="35" t="s">
        <v>41057</v>
      </c>
    </row>
    <row r="20326" spans="1:1">
      <c r="A20326" s="35" t="s">
        <v>41057</v>
      </c>
    </row>
    <row r="20327" spans="1:1">
      <c r="A20327" s="35" t="s">
        <v>41057</v>
      </c>
    </row>
    <row r="20328" spans="1:1">
      <c r="A20328" s="35" t="s">
        <v>58865</v>
      </c>
    </row>
    <row r="20329" spans="1:1">
      <c r="A20329" s="35" t="s">
        <v>58694</v>
      </c>
    </row>
    <row r="20330" spans="1:1">
      <c r="A20330" s="35" t="s">
        <v>58826</v>
      </c>
    </row>
    <row r="20331" spans="1:1">
      <c r="A20331" s="35" t="s">
        <v>58866</v>
      </c>
    </row>
    <row r="20332" spans="1:1">
      <c r="A20332" s="35" t="s">
        <v>41057</v>
      </c>
    </row>
    <row r="20333" spans="1:1">
      <c r="A20333" s="35" t="s">
        <v>41057</v>
      </c>
    </row>
    <row r="20334" spans="1:1">
      <c r="A20334" s="35" t="s">
        <v>58867</v>
      </c>
    </row>
    <row r="20335" spans="1:1">
      <c r="A20335" s="35" t="s">
        <v>41057</v>
      </c>
    </row>
    <row r="20336" spans="1:1">
      <c r="A20336" s="35" t="s">
        <v>41057</v>
      </c>
    </row>
    <row r="20337" spans="1:1">
      <c r="A20337" s="35" t="s">
        <v>41057</v>
      </c>
    </row>
    <row r="20338" spans="1:1">
      <c r="A20338" s="35" t="s">
        <v>41057</v>
      </c>
    </row>
    <row r="20339" spans="1:1">
      <c r="A20339" s="35" t="s">
        <v>41057</v>
      </c>
    </row>
    <row r="20340" spans="1:1">
      <c r="A20340" s="35" t="s">
        <v>58868</v>
      </c>
    </row>
    <row r="20341" spans="1:1">
      <c r="A20341" s="35" t="s">
        <v>41057</v>
      </c>
    </row>
    <row r="20342" spans="1:1">
      <c r="A20342" s="35" t="s">
        <v>41057</v>
      </c>
    </row>
    <row r="20343" spans="1:1">
      <c r="A20343" s="35" t="s">
        <v>41057</v>
      </c>
    </row>
    <row r="20344" spans="1:1">
      <c r="A20344" s="35" t="s">
        <v>41057</v>
      </c>
    </row>
    <row r="20345" spans="1:1">
      <c r="A20345" s="35" t="s">
        <v>41057</v>
      </c>
    </row>
    <row r="20346" spans="1:1">
      <c r="A20346" s="35" t="s">
        <v>41057</v>
      </c>
    </row>
    <row r="20347" spans="1:1">
      <c r="A20347" s="35" t="s">
        <v>41057</v>
      </c>
    </row>
    <row r="20348" spans="1:1">
      <c r="A20348" s="35" t="s">
        <v>41057</v>
      </c>
    </row>
    <row r="20349" spans="1:1">
      <c r="A20349" s="35" t="s">
        <v>41057</v>
      </c>
    </row>
    <row r="20350" spans="1:1">
      <c r="A20350" s="35" t="s">
        <v>41057</v>
      </c>
    </row>
    <row r="20351" spans="1:1">
      <c r="A20351" s="35" t="s">
        <v>41057</v>
      </c>
    </row>
    <row r="20352" spans="1:1">
      <c r="A20352" s="35" t="s">
        <v>41057</v>
      </c>
    </row>
    <row r="20353" spans="1:1">
      <c r="A20353" s="35" t="s">
        <v>41057</v>
      </c>
    </row>
    <row r="20354" spans="1:1">
      <c r="A20354" s="35" t="s">
        <v>41057</v>
      </c>
    </row>
    <row r="20355" spans="1:1">
      <c r="A20355" s="35" t="s">
        <v>41057</v>
      </c>
    </row>
    <row r="20356" spans="1:1">
      <c r="A20356" s="35" t="s">
        <v>41057</v>
      </c>
    </row>
    <row r="20357" spans="1:1">
      <c r="A20357" s="35" t="s">
        <v>41057</v>
      </c>
    </row>
    <row r="20358" spans="1:1">
      <c r="A20358" s="35" t="s">
        <v>41057</v>
      </c>
    </row>
    <row r="20359" spans="1:1">
      <c r="A20359" s="35" t="s">
        <v>41057</v>
      </c>
    </row>
    <row r="20360" spans="1:1">
      <c r="A20360" s="35" t="s">
        <v>41057</v>
      </c>
    </row>
    <row r="20361" spans="1:1">
      <c r="A20361" s="35" t="s">
        <v>41057</v>
      </c>
    </row>
    <row r="20362" spans="1:1">
      <c r="A20362" s="35" t="s">
        <v>41057</v>
      </c>
    </row>
    <row r="20363" spans="1:1">
      <c r="A20363" s="35" t="s">
        <v>41057</v>
      </c>
    </row>
    <row r="20364" spans="1:1">
      <c r="A20364" s="35" t="s">
        <v>41057</v>
      </c>
    </row>
    <row r="20365" spans="1:1">
      <c r="A20365" s="35" t="s">
        <v>41057</v>
      </c>
    </row>
    <row r="20366" spans="1:1">
      <c r="A20366" s="35" t="s">
        <v>41057</v>
      </c>
    </row>
    <row r="20367" spans="1:1">
      <c r="A20367" s="35" t="e" cm="1">
        <f t="array" ref="A20367">----------------------------------------------DQARYAEWL---GH</f>
        <v>#NAME?</v>
      </c>
    </row>
    <row r="20368" spans="1:1">
      <c r="A20368" s="35" t="s">
        <v>58869</v>
      </c>
    </row>
    <row r="20369" spans="1:1">
      <c r="A20369" s="35" t="e" cm="1">
        <f t="array" ref="A20369">---------------ADTYNFHYQFCV---------PKSK------------------QT</f>
        <v>#NAME?</v>
      </c>
    </row>
    <row r="20370" spans="1:1">
      <c r="A20370" s="35" t="s">
        <v>58870</v>
      </c>
    </row>
    <row r="20371" spans="1:1">
      <c r="A20371" s="35" t="s">
        <v>58871</v>
      </c>
    </row>
    <row r="20372" spans="1:1">
      <c r="A20372" s="35" t="e" cm="1">
        <f t="array" ref="A20372">-------------------------------------------------DTYRELKQYVD</f>
        <v>#NAME?</v>
      </c>
    </row>
    <row r="20373" spans="1:1">
      <c r="A20373" s="35" t="s">
        <v>58872</v>
      </c>
    </row>
    <row r="20374" spans="1:1">
      <c r="A20374" s="35" t="s">
        <v>41057</v>
      </c>
    </row>
    <row r="20375" spans="1:1">
      <c r="A20375" s="35" t="s">
        <v>54229</v>
      </c>
    </row>
    <row r="20376" spans="1:1">
      <c r="A20376" s="35" t="s">
        <v>58873</v>
      </c>
    </row>
    <row r="20377" spans="1:1">
      <c r="A20377" s="35" t="s">
        <v>58874</v>
      </c>
    </row>
    <row r="20378" spans="1:1">
      <c r="A20378" s="35" t="s">
        <v>41057</v>
      </c>
    </row>
    <row r="20379" spans="1:1">
      <c r="A20379" s="35" t="s">
        <v>41057</v>
      </c>
    </row>
    <row r="20380" spans="1:1">
      <c r="A20380" s="35" t="s">
        <v>41057</v>
      </c>
    </row>
    <row r="20381" spans="1:1">
      <c r="A20381" s="35" t="s">
        <v>41057</v>
      </c>
    </row>
    <row r="20382" spans="1:1">
      <c r="A20382" s="35" t="s">
        <v>58757</v>
      </c>
    </row>
    <row r="20383" spans="1:1">
      <c r="A20383" s="35" t="s">
        <v>41057</v>
      </c>
    </row>
    <row r="20384" spans="1:1">
      <c r="A20384" s="35" t="s">
        <v>58875</v>
      </c>
    </row>
    <row r="20385" spans="1:1">
      <c r="A20385" s="35" t="s">
        <v>56276</v>
      </c>
    </row>
    <row r="20386" spans="1:1">
      <c r="A20386" s="35" t="s">
        <v>58876</v>
      </c>
    </row>
    <row r="20387" spans="1:1">
      <c r="A20387" s="35" t="e" cm="1">
        <f t="array" ref="A20387">-----FT--------------------L-------IRV--------------HRRQSIRL</f>
        <v>#NAME?</v>
      </c>
    </row>
    <row r="20388" spans="1:1">
      <c r="A20388" s="35" t="s">
        <v>42211</v>
      </c>
    </row>
    <row r="20389" spans="1:1">
      <c r="A20389" s="35" t="s">
        <v>41057</v>
      </c>
    </row>
    <row r="20390" spans="1:1">
      <c r="A20390" s="35" t="s">
        <v>58877</v>
      </c>
    </row>
    <row r="20391" spans="1:1">
      <c r="A20391" s="35" t="s">
        <v>41057</v>
      </c>
    </row>
    <row r="20392" spans="1:1">
      <c r="A20392" s="35" t="s">
        <v>41057</v>
      </c>
    </row>
    <row r="20393" spans="1:1">
      <c r="A20393" s="35" t="s">
        <v>58878</v>
      </c>
    </row>
    <row r="20394" spans="1:1">
      <c r="A20394" s="35" t="s">
        <v>41057</v>
      </c>
    </row>
    <row r="20395" spans="1:1">
      <c r="A20395" s="35" t="s">
        <v>58879</v>
      </c>
    </row>
    <row r="20396" spans="1:1">
      <c r="A20396" s="35" t="s">
        <v>41057</v>
      </c>
    </row>
    <row r="20397" spans="1:1">
      <c r="A20397" s="35" t="s">
        <v>58880</v>
      </c>
    </row>
    <row r="20398" spans="1:1">
      <c r="A20398" s="35" t="s">
        <v>58881</v>
      </c>
    </row>
    <row r="20399" spans="1:1">
      <c r="A20399" s="35" t="s">
        <v>41057</v>
      </c>
    </row>
    <row r="20400" spans="1:1">
      <c r="A20400" s="35" t="s">
        <v>41057</v>
      </c>
    </row>
    <row r="20401" spans="1:1">
      <c r="A20401" s="35" t="s">
        <v>41057</v>
      </c>
    </row>
    <row r="20402" spans="1:1">
      <c r="A20402" s="35" t="e" cm="1">
        <f t="array" ref="A20402">------------------------------------------------QYQTHTPTLQTV</f>
        <v>#NAME?</v>
      </c>
    </row>
    <row r="20403" spans="1:1">
      <c r="A20403" s="35" t="s">
        <v>58882</v>
      </c>
    </row>
    <row r="20404" spans="1:1">
      <c r="A20404" s="35" t="s">
        <v>58883</v>
      </c>
    </row>
    <row r="20405" spans="1:1">
      <c r="A20405" s="35" t="s">
        <v>58884</v>
      </c>
    </row>
    <row r="20406" spans="1:1">
      <c r="A20406" s="35" t="s">
        <v>58885</v>
      </c>
    </row>
    <row r="20407" spans="1:1">
      <c r="A20407" s="35" t="s">
        <v>58886</v>
      </c>
    </row>
    <row r="20408" spans="1:1">
      <c r="A20408" s="35" t="s">
        <v>58887</v>
      </c>
    </row>
    <row r="20409" spans="1:1">
      <c r="A20409" s="35" t="s">
        <v>41057</v>
      </c>
    </row>
    <row r="20410" spans="1:1">
      <c r="A20410" s="35" t="s">
        <v>58888</v>
      </c>
    </row>
    <row r="20411" spans="1:1">
      <c r="A20411" s="35" t="s">
        <v>58858</v>
      </c>
    </row>
    <row r="20412" spans="1:1">
      <c r="A20412" s="35" t="s">
        <v>58889</v>
      </c>
    </row>
    <row r="20413" spans="1:1">
      <c r="A20413" s="35" t="s">
        <v>41057</v>
      </c>
    </row>
    <row r="20414" spans="1:1">
      <c r="A20414" s="35" t="s">
        <v>53545</v>
      </c>
    </row>
    <row r="20415" spans="1:1">
      <c r="A20415" s="35" t="s">
        <v>52294</v>
      </c>
    </row>
    <row r="20416" spans="1:1">
      <c r="A20416" s="35" t="s">
        <v>41057</v>
      </c>
    </row>
    <row r="20417" spans="1:1">
      <c r="A20417" s="35" t="s">
        <v>41057</v>
      </c>
    </row>
    <row r="20418" spans="1:1">
      <c r="A20418" s="35" t="s">
        <v>41057</v>
      </c>
    </row>
    <row r="20419" spans="1:1">
      <c r="A20419" s="35" t="s">
        <v>41057</v>
      </c>
    </row>
    <row r="20420" spans="1:1">
      <c r="A20420" s="35" t="s">
        <v>41057</v>
      </c>
    </row>
    <row r="20421" spans="1:1">
      <c r="A20421" s="35" t="s">
        <v>53706</v>
      </c>
    </row>
    <row r="20422" spans="1:1">
      <c r="A20422" s="35" t="s">
        <v>41057</v>
      </c>
    </row>
    <row r="20423" spans="1:1">
      <c r="A20423" s="35" t="s">
        <v>41057</v>
      </c>
    </row>
    <row r="20424" spans="1:1">
      <c r="A20424" s="35" t="s">
        <v>41057</v>
      </c>
    </row>
    <row r="20425" spans="1:1">
      <c r="A20425" s="35" t="s">
        <v>53707</v>
      </c>
    </row>
    <row r="20426" spans="1:1">
      <c r="A20426" s="35" t="s">
        <v>53708</v>
      </c>
    </row>
    <row r="20427" spans="1:1">
      <c r="A20427" s="35" t="s">
        <v>58890</v>
      </c>
    </row>
    <row r="20428" spans="1:1">
      <c r="A20428" s="35" t="s">
        <v>53770</v>
      </c>
    </row>
    <row r="20429" spans="1:1">
      <c r="A20429" s="35" t="s">
        <v>41057</v>
      </c>
    </row>
    <row r="20430" spans="1:1">
      <c r="A20430" s="35" t="s">
        <v>41057</v>
      </c>
    </row>
    <row r="20431" spans="1:1">
      <c r="A20431" s="35" t="e" cm="1">
        <f t="array" ref="A20431">---------------EVTY------------------FSG-------------------V</f>
        <v>#NAME?</v>
      </c>
    </row>
    <row r="20432" spans="1:1">
      <c r="A20432" s="35" t="s">
        <v>54101</v>
      </c>
    </row>
    <row r="20433" spans="1:1">
      <c r="A20433" s="35" t="s">
        <v>53712</v>
      </c>
    </row>
    <row r="20434" spans="1:1">
      <c r="A20434" s="35" t="s">
        <v>41057</v>
      </c>
    </row>
    <row r="20435" spans="1:1">
      <c r="A20435" s="35" t="s">
        <v>58891</v>
      </c>
    </row>
    <row r="20436" spans="1:1">
      <c r="A20436" s="35" t="s">
        <v>41057</v>
      </c>
    </row>
    <row r="20437" spans="1:1">
      <c r="A20437" s="35" t="s">
        <v>41057</v>
      </c>
    </row>
    <row r="20438" spans="1:1">
      <c r="A20438" s="35" t="s">
        <v>58892</v>
      </c>
    </row>
    <row r="20439" spans="1:1">
      <c r="A20439" s="35" t="s">
        <v>41057</v>
      </c>
    </row>
    <row r="20440" spans="1:1">
      <c r="A20440" s="35" t="s">
        <v>41057</v>
      </c>
    </row>
    <row r="20441" spans="1:1">
      <c r="A20441" s="35" t="s">
        <v>53500</v>
      </c>
    </row>
    <row r="20442" spans="1:1">
      <c r="A20442" s="35" t="s">
        <v>41057</v>
      </c>
    </row>
    <row r="20443" spans="1:1">
      <c r="A20443" s="35" t="s">
        <v>41057</v>
      </c>
    </row>
    <row r="20444" spans="1:1">
      <c r="A20444" s="35" t="s">
        <v>58893</v>
      </c>
    </row>
    <row r="20445" spans="1:1">
      <c r="A20445" s="35" t="s">
        <v>41057</v>
      </c>
    </row>
    <row r="20446" spans="1:1">
      <c r="A20446" s="35" t="s">
        <v>58894</v>
      </c>
    </row>
    <row r="20447" spans="1:1">
      <c r="A20447" s="35" t="s">
        <v>41057</v>
      </c>
    </row>
    <row r="20448" spans="1:1">
      <c r="A20448" s="35" t="s">
        <v>58895</v>
      </c>
    </row>
    <row r="20449" spans="1:1">
      <c r="A20449" s="35" t="s">
        <v>58896</v>
      </c>
    </row>
    <row r="20450" spans="1:1">
      <c r="A20450" s="35" t="s">
        <v>41057</v>
      </c>
    </row>
    <row r="20451" spans="1:1">
      <c r="A20451" s="35" t="s">
        <v>41057</v>
      </c>
    </row>
    <row r="20452" spans="1:1">
      <c r="A20452" s="35" t="s">
        <v>54354</v>
      </c>
    </row>
    <row r="20453" spans="1:1">
      <c r="A20453" s="35" t="s">
        <v>41057</v>
      </c>
    </row>
    <row r="20454" spans="1:1">
      <c r="A20454" s="35" t="s">
        <v>41057</v>
      </c>
    </row>
    <row r="20455" spans="1:1">
      <c r="A20455" s="35" t="s">
        <v>41057</v>
      </c>
    </row>
    <row r="20456" spans="1:1">
      <c r="A20456" s="35" t="s">
        <v>41057</v>
      </c>
    </row>
    <row r="20457" spans="1:1">
      <c r="A20457" s="35" t="s">
        <v>41057</v>
      </c>
    </row>
    <row r="20458" spans="1:1">
      <c r="A20458" s="35" t="e" cm="1">
        <f t="array" ref="A20458">-----------LSNPGNN-WTWPLPSA-------------------IS---------YLP</f>
        <v>#NAME?</v>
      </c>
    </row>
    <row r="20459" spans="1:1">
      <c r="A20459" s="35" t="s">
        <v>58897</v>
      </c>
    </row>
    <row r="20460" spans="1:1">
      <c r="A20460" s="35" t="s">
        <v>58898</v>
      </c>
    </row>
    <row r="20461" spans="1:1">
      <c r="A20461" s="35" t="s">
        <v>58899</v>
      </c>
    </row>
    <row r="20462" spans="1:1">
      <c r="A20462" s="35" t="s">
        <v>41057</v>
      </c>
    </row>
    <row r="20463" spans="1:1">
      <c r="A20463" s="35" t="s">
        <v>41057</v>
      </c>
    </row>
    <row r="20464" spans="1:1">
      <c r="A20464" s="35" t="e" cm="1">
        <f t="array" ref="A20464">----------FWGLDPK--------------------------VGTSNVSNLVYTVSGSR</f>
        <v>#NAME?</v>
      </c>
    </row>
    <row r="20465" spans="1:1">
      <c r="A20465" s="35" t="s">
        <v>58900</v>
      </c>
    </row>
    <row r="20466" spans="1:1">
      <c r="A20466" s="35" t="s">
        <v>58901</v>
      </c>
    </row>
    <row r="20467" spans="1:1">
      <c r="A20467" s="35" t="s">
        <v>58902</v>
      </c>
    </row>
    <row r="20468" spans="1:1">
      <c r="A20468" s="35" t="s">
        <v>58903</v>
      </c>
    </row>
    <row r="20469" spans="1:1">
      <c r="A20469" s="35" t="e" cm="1">
        <f t="array" ref="A20469">---MALDVGSLATISYGTTSV--DSGT-PSSFTYTYTFPV------------------SP</f>
        <v>#NAME?</v>
      </c>
    </row>
    <row r="20470" spans="1:1">
      <c r="A20470" s="35" t="s">
        <v>58904</v>
      </c>
    </row>
    <row r="20471" spans="1:1">
      <c r="A20471" s="35" t="s">
        <v>58905</v>
      </c>
    </row>
    <row r="20472" spans="1:1">
      <c r="A20472" s="35" t="s">
        <v>58906</v>
      </c>
    </row>
    <row r="20473" spans="1:1">
      <c r="A20473" s="35" t="s">
        <v>41057</v>
      </c>
    </row>
    <row r="20474" spans="1:1">
      <c r="A20474" s="35" t="s">
        <v>58907</v>
      </c>
    </row>
    <row r="20475" spans="1:1">
      <c r="A20475" s="35" t="s">
        <v>41057</v>
      </c>
    </row>
    <row r="20476" spans="1:1">
      <c r="A20476" s="35" t="e" cm="1">
        <f t="array" ref="A20476">----YVSNVSIS-----------------------------------------NVNSISN</f>
        <v>#NAME?</v>
      </c>
    </row>
    <row r="20477" spans="1:1">
      <c r="A20477" s="35" t="e" cm="1">
        <f t="array" ref="A20477">------------------------------------------------VLFTYDMSS-QG</f>
        <v>#NAME?</v>
      </c>
    </row>
    <row r="20478" spans="1:1">
      <c r="A20478" s="35" t="s">
        <v>58908</v>
      </c>
    </row>
    <row r="20479" spans="1:1">
      <c r="A20479" s="35" t="s">
        <v>58909</v>
      </c>
    </row>
    <row r="20480" spans="1:1">
      <c r="A20480" s="35" t="s">
        <v>58910</v>
      </c>
    </row>
    <row r="20481" spans="1:1">
      <c r="A20481" s="35" t="e" cm="1">
        <f t="array" ref="A20481">---FNAPAPQ-----------VLNGNVNLTNY-------------TSTGNSYIISTPAQG</f>
        <v>#NAME?</v>
      </c>
    </row>
    <row r="20482" spans="1:1">
      <c r="A20482" s="35" t="s">
        <v>58911</v>
      </c>
    </row>
    <row r="20483" spans="1:1">
      <c r="A20483" s="35" t="s">
        <v>58912</v>
      </c>
    </row>
    <row r="20484" spans="1:1">
      <c r="A20484" s="35" t="e" cm="1">
        <f t="array" ref="A20484">--VSRVSFG-------------------------STVYNVGVGLLP-----PYTFTLPLN</f>
        <v>#NAME?</v>
      </c>
    </row>
    <row r="20485" spans="1:1">
      <c r="A20485" s="35" t="s">
        <v>58913</v>
      </c>
    </row>
    <row r="20486" spans="1:1">
      <c r="A20486" s="35" t="s">
        <v>41057</v>
      </c>
    </row>
    <row r="20487" spans="1:1">
      <c r="A20487" s="35" t="e" cm="1">
        <f t="array" ref="A20487">-----------------------------------------------------------A</f>
        <v>#NAME?</v>
      </c>
    </row>
    <row r="20488" spans="1:1">
      <c r="A20488" s="35" t="s">
        <v>58914</v>
      </c>
    </row>
    <row r="20489" spans="1:1">
      <c r="A20489" s="35" t="s">
        <v>41057</v>
      </c>
    </row>
    <row r="20490" spans="1:1">
      <c r="A20490" s="35" t="s">
        <v>58915</v>
      </c>
    </row>
    <row r="20491" spans="1:1">
      <c r="A20491" s="35" t="s">
        <v>58916</v>
      </c>
    </row>
    <row r="20492" spans="1:1">
      <c r="A20492" s="35" t="s">
        <v>41057</v>
      </c>
    </row>
    <row r="20493" spans="1:1">
      <c r="A20493" s="35" t="s">
        <v>41057</v>
      </c>
    </row>
    <row r="20494" spans="1:1">
      <c r="A20494" s="35" t="s">
        <v>58917</v>
      </c>
    </row>
    <row r="20495" spans="1:1">
      <c r="A20495" s="35" t="s">
        <v>41057</v>
      </c>
    </row>
    <row r="20496" spans="1:1">
      <c r="A20496" s="35" t="s">
        <v>41057</v>
      </c>
    </row>
    <row r="20497" spans="1:1">
      <c r="A20497" s="35" t="s">
        <v>41057</v>
      </c>
    </row>
    <row r="20498" spans="1:1">
      <c r="A20498" s="35" t="s">
        <v>41057</v>
      </c>
    </row>
    <row r="20499" spans="1:1">
      <c r="A20499" s="35" t="s">
        <v>41057</v>
      </c>
    </row>
    <row r="20500" spans="1:1">
      <c r="A20500" s="35" t="s">
        <v>41057</v>
      </c>
    </row>
    <row r="20501" spans="1:1">
      <c r="A20501" s="35" t="s">
        <v>41057</v>
      </c>
    </row>
    <row r="20502" spans="1:1">
      <c r="A20502" s="35" t="s">
        <v>41057</v>
      </c>
    </row>
    <row r="20503" spans="1:1">
      <c r="A20503" s="35" t="s">
        <v>41057</v>
      </c>
    </row>
    <row r="20504" spans="1:1">
      <c r="A20504" s="35" t="s">
        <v>58918</v>
      </c>
    </row>
    <row r="20505" spans="1:1">
      <c r="A20505" s="35" t="s">
        <v>41057</v>
      </c>
    </row>
    <row r="20506" spans="1:1">
      <c r="A20506" s="35" t="s">
        <v>41057</v>
      </c>
    </row>
    <row r="20507" spans="1:1">
      <c r="A20507" s="35" t="s">
        <v>41057</v>
      </c>
    </row>
    <row r="20508" spans="1:1">
      <c r="A20508" s="35" t="s">
        <v>41057</v>
      </c>
    </row>
    <row r="20509" spans="1:1">
      <c r="A20509" s="35" t="s">
        <v>58919</v>
      </c>
    </row>
    <row r="20510" spans="1:1">
      <c r="A20510" s="35" t="s">
        <v>41057</v>
      </c>
    </row>
    <row r="20511" spans="1:1">
      <c r="A20511" s="35" t="s">
        <v>58920</v>
      </c>
    </row>
    <row r="20512" spans="1:1">
      <c r="A20512" s="35" t="s">
        <v>41057</v>
      </c>
    </row>
    <row r="20513" spans="1:1">
      <c r="A20513" s="35" t="s">
        <v>41057</v>
      </c>
    </row>
    <row r="20514" spans="1:1">
      <c r="A20514" s="35" t="s">
        <v>41057</v>
      </c>
    </row>
    <row r="20515" spans="1:1">
      <c r="A20515" s="35" t="s">
        <v>41057</v>
      </c>
    </row>
    <row r="20516" spans="1:1">
      <c r="A20516" s="35" t="s">
        <v>41057</v>
      </c>
    </row>
    <row r="20517" spans="1:1">
      <c r="A20517" s="35" t="s">
        <v>41057</v>
      </c>
    </row>
    <row r="20518" spans="1:1">
      <c r="A20518" s="35" t="s">
        <v>41057</v>
      </c>
    </row>
    <row r="20519" spans="1:1">
      <c r="A20519" s="35" t="s">
        <v>41057</v>
      </c>
    </row>
    <row r="20520" spans="1:1">
      <c r="A20520" s="35" t="s">
        <v>41057</v>
      </c>
    </row>
    <row r="20521" spans="1:1">
      <c r="A20521" s="35" t="s">
        <v>58921</v>
      </c>
    </row>
    <row r="20522" spans="1:1">
      <c r="A20522" s="35" t="s">
        <v>58922</v>
      </c>
    </row>
    <row r="20523" spans="1:1">
      <c r="A20523" s="35" t="s">
        <v>58923</v>
      </c>
    </row>
    <row r="20524" spans="1:1">
      <c r="A20524" s="35" t="s">
        <v>41057</v>
      </c>
    </row>
    <row r="20525" spans="1:1">
      <c r="A20525" s="35" t="s">
        <v>41057</v>
      </c>
    </row>
    <row r="20526" spans="1:1">
      <c r="A20526" s="35" t="s">
        <v>41057</v>
      </c>
    </row>
    <row r="20527" spans="1:1">
      <c r="A20527" s="35" t="s">
        <v>41057</v>
      </c>
    </row>
    <row r="20528" spans="1:1">
      <c r="A20528" s="35" t="s">
        <v>41057</v>
      </c>
    </row>
    <row r="20529" spans="1:1">
      <c r="A20529" s="35" t="s">
        <v>58924</v>
      </c>
    </row>
    <row r="20530" spans="1:1">
      <c r="A20530" s="35" t="s">
        <v>41057</v>
      </c>
    </row>
    <row r="20531" spans="1:1">
      <c r="A20531" s="35" t="s">
        <v>41057</v>
      </c>
    </row>
    <row r="20532" spans="1:1">
      <c r="A20532" s="35" t="s">
        <v>53545</v>
      </c>
    </row>
    <row r="20533" spans="1:1">
      <c r="A20533" s="35" t="s">
        <v>58925</v>
      </c>
    </row>
    <row r="20534" spans="1:1">
      <c r="A20534" s="35" t="s">
        <v>41057</v>
      </c>
    </row>
    <row r="20535" spans="1:1">
      <c r="A20535" s="35" t="s">
        <v>41057</v>
      </c>
    </row>
    <row r="20536" spans="1:1">
      <c r="A20536" s="35" t="s">
        <v>41057</v>
      </c>
    </row>
    <row r="20537" spans="1:1">
      <c r="A20537" s="35" t="s">
        <v>41057</v>
      </c>
    </row>
    <row r="20538" spans="1:1">
      <c r="A20538" s="35" t="s">
        <v>58926</v>
      </c>
    </row>
    <row r="20539" spans="1:1">
      <c r="A20539" s="35" t="s">
        <v>58927</v>
      </c>
    </row>
    <row r="20540" spans="1:1">
      <c r="A20540" s="35" t="s">
        <v>41057</v>
      </c>
    </row>
    <row r="20541" spans="1:1">
      <c r="A20541" s="35" t="s">
        <v>41057</v>
      </c>
    </row>
    <row r="20542" spans="1:1">
      <c r="A20542" s="35" t="s">
        <v>41057</v>
      </c>
    </row>
    <row r="20543" spans="1:1">
      <c r="A20543" s="35" t="s">
        <v>53492</v>
      </c>
    </row>
    <row r="20544" spans="1:1">
      <c r="A20544" s="35" t="s">
        <v>58928</v>
      </c>
    </row>
    <row r="20545" spans="1:1">
      <c r="A20545" s="35" t="s">
        <v>58929</v>
      </c>
    </row>
    <row r="20546" spans="1:1">
      <c r="A20546" s="35" t="s">
        <v>41057</v>
      </c>
    </row>
    <row r="20547" spans="1:1">
      <c r="A20547" s="35" t="s">
        <v>41057</v>
      </c>
    </row>
    <row r="20548" spans="1:1">
      <c r="A20548" s="35" t="s">
        <v>41057</v>
      </c>
    </row>
    <row r="20549" spans="1:1">
      <c r="A20549" s="35" t="e" cm="1">
        <f t="array" ref="A20549">-------------------------------------MRHR----------------DQQ</f>
        <v>#NAME?</v>
      </c>
    </row>
    <row r="20550" spans="1:1">
      <c r="A20550" s="35" t="s">
        <v>58930</v>
      </c>
    </row>
    <row r="20551" spans="1:1">
      <c r="A20551" s="35" t="s">
        <v>58931</v>
      </c>
    </row>
    <row r="20552" spans="1:1">
      <c r="A20552" s="35" t="s">
        <v>41057</v>
      </c>
    </row>
    <row r="20553" spans="1:1">
      <c r="A20553" s="35" t="s">
        <v>58932</v>
      </c>
    </row>
    <row r="20554" spans="1:1">
      <c r="A20554" s="35" t="s">
        <v>41057</v>
      </c>
    </row>
    <row r="20555" spans="1:1">
      <c r="A20555" s="35" t="s">
        <v>41057</v>
      </c>
    </row>
    <row r="20556" spans="1:1">
      <c r="A20556" s="35" t="s">
        <v>41057</v>
      </c>
    </row>
    <row r="20557" spans="1:1">
      <c r="A20557" s="35" t="s">
        <v>41057</v>
      </c>
    </row>
    <row r="20558" spans="1:1">
      <c r="A20558" s="35" t="s">
        <v>41057</v>
      </c>
    </row>
    <row r="20559" spans="1:1">
      <c r="A20559" s="35" t="s">
        <v>58933</v>
      </c>
    </row>
    <row r="20560" spans="1:1">
      <c r="A20560" s="35" t="s">
        <v>41057</v>
      </c>
    </row>
    <row r="20561" spans="1:1">
      <c r="A20561" s="35" t="s">
        <v>41057</v>
      </c>
    </row>
    <row r="20562" spans="1:1">
      <c r="A20562" s="35" t="s">
        <v>58934</v>
      </c>
    </row>
    <row r="20563" spans="1:1">
      <c r="A20563" s="35" t="s">
        <v>41057</v>
      </c>
    </row>
    <row r="20564" spans="1:1">
      <c r="A20564" s="35" t="s">
        <v>58935</v>
      </c>
    </row>
    <row r="20565" spans="1:1">
      <c r="A20565" s="35" t="s">
        <v>41057</v>
      </c>
    </row>
    <row r="20566" spans="1:1">
      <c r="A20566" s="35" t="s">
        <v>58936</v>
      </c>
    </row>
    <row r="20567" spans="1:1">
      <c r="A20567" s="35" t="s">
        <v>58937</v>
      </c>
    </row>
    <row r="20568" spans="1:1">
      <c r="A20568" s="35" t="s">
        <v>41057</v>
      </c>
    </row>
    <row r="20569" spans="1:1">
      <c r="A20569" s="35" t="s">
        <v>41057</v>
      </c>
    </row>
    <row r="20570" spans="1:1">
      <c r="A20570" s="35" t="s">
        <v>41057</v>
      </c>
    </row>
    <row r="20571" spans="1:1">
      <c r="A20571" s="35" t="s">
        <v>41057</v>
      </c>
    </row>
    <row r="20572" spans="1:1">
      <c r="A20572" s="35" t="s">
        <v>41057</v>
      </c>
    </row>
    <row r="20573" spans="1:1">
      <c r="A20573" s="35" t="s">
        <v>41057</v>
      </c>
    </row>
    <row r="20574" spans="1:1">
      <c r="A20574" s="35" t="s">
        <v>41057</v>
      </c>
    </row>
    <row r="20575" spans="1:1">
      <c r="A20575" s="35" t="s">
        <v>41057</v>
      </c>
    </row>
    <row r="20576" spans="1:1">
      <c r="A20576" s="35" t="s">
        <v>41057</v>
      </c>
    </row>
    <row r="20577" spans="1:1">
      <c r="A20577" s="35" t="s">
        <v>41057</v>
      </c>
    </row>
    <row r="20578" spans="1:1">
      <c r="A20578" s="35" t="s">
        <v>41057</v>
      </c>
    </row>
    <row r="20579" spans="1:1">
      <c r="A20579" s="35" t="s">
        <v>41057</v>
      </c>
    </row>
    <row r="20580" spans="1:1">
      <c r="A20580" s="35" t="s">
        <v>41057</v>
      </c>
    </row>
    <row r="20581" spans="1:1">
      <c r="A20581" s="35" t="s">
        <v>41057</v>
      </c>
    </row>
    <row r="20582" spans="1:1">
      <c r="A20582" s="35" t="s">
        <v>41057</v>
      </c>
    </row>
    <row r="20583" spans="1:1">
      <c r="A20583" s="35" t="s">
        <v>41057</v>
      </c>
    </row>
    <row r="20584" spans="1:1">
      <c r="A20584" s="35" t="s">
        <v>41057</v>
      </c>
    </row>
    <row r="20585" spans="1:1">
      <c r="A20585" s="35" t="s">
        <v>41057</v>
      </c>
    </row>
    <row r="20586" spans="1:1">
      <c r="A20586" s="35" t="s">
        <v>41057</v>
      </c>
    </row>
    <row r="20587" spans="1:1">
      <c r="A20587" s="35" t="s">
        <v>41057</v>
      </c>
    </row>
    <row r="20588" spans="1:1">
      <c r="A20588" s="35" t="s">
        <v>41057</v>
      </c>
    </row>
    <row r="20589" spans="1:1">
      <c r="A20589" s="35" t="s">
        <v>41057</v>
      </c>
    </row>
    <row r="20590" spans="1:1">
      <c r="A20590" s="35" t="s">
        <v>41057</v>
      </c>
    </row>
    <row r="20591" spans="1:1">
      <c r="A20591" s="35" t="s">
        <v>41057</v>
      </c>
    </row>
    <row r="20592" spans="1:1">
      <c r="A20592" s="35" t="s">
        <v>41057</v>
      </c>
    </row>
    <row r="20593" spans="1:1">
      <c r="A20593" s="35" t="s">
        <v>41057</v>
      </c>
    </row>
    <row r="20594" spans="1:1">
      <c r="A20594" s="35" t="s">
        <v>41057</v>
      </c>
    </row>
    <row r="20595" spans="1:1">
      <c r="A20595" s="35" t="s">
        <v>41057</v>
      </c>
    </row>
    <row r="20596" spans="1:1">
      <c r="A20596" s="35" t="s">
        <v>41057</v>
      </c>
    </row>
    <row r="20597" spans="1:1">
      <c r="A20597" s="35" t="s">
        <v>41057</v>
      </c>
    </row>
    <row r="20598" spans="1:1">
      <c r="A20598" s="35" t="s">
        <v>41057</v>
      </c>
    </row>
    <row r="20599" spans="1:1">
      <c r="A20599" s="35" t="s">
        <v>41057</v>
      </c>
    </row>
    <row r="20600" spans="1:1">
      <c r="A20600" s="35" t="s">
        <v>41057</v>
      </c>
    </row>
    <row r="20601" spans="1:1">
      <c r="A20601" s="35" t="s">
        <v>41057</v>
      </c>
    </row>
    <row r="20602" spans="1:1">
      <c r="A20602" s="35" t="s">
        <v>41057</v>
      </c>
    </row>
    <row r="20603" spans="1:1">
      <c r="A20603" s="35" t="s">
        <v>41057</v>
      </c>
    </row>
    <row r="20604" spans="1:1">
      <c r="A20604" s="35" t="s">
        <v>58938</v>
      </c>
    </row>
    <row r="20605" spans="1:1">
      <c r="A20605" s="35" t="s">
        <v>58939</v>
      </c>
    </row>
    <row r="20606" spans="1:1">
      <c r="A20606" s="35" t="s">
        <v>41057</v>
      </c>
    </row>
    <row r="20607" spans="1:1">
      <c r="A20607" s="35" t="s">
        <v>41057</v>
      </c>
    </row>
    <row r="20608" spans="1:1">
      <c r="A20608" s="35" t="s">
        <v>41057</v>
      </c>
    </row>
    <row r="20609" spans="1:1">
      <c r="A20609" s="35" t="s">
        <v>58940</v>
      </c>
    </row>
    <row r="20610" spans="1:1">
      <c r="A20610" s="35" t="s">
        <v>41057</v>
      </c>
    </row>
    <row r="20611" spans="1:1">
      <c r="A20611" s="35" t="s">
        <v>58941</v>
      </c>
    </row>
    <row r="20612" spans="1:1">
      <c r="A20612" s="35" t="s">
        <v>58942</v>
      </c>
    </row>
    <row r="20613" spans="1:1">
      <c r="A20613" s="35" t="s">
        <v>58943</v>
      </c>
    </row>
    <row r="20614" spans="1:1">
      <c r="A20614" s="35" t="s">
        <v>41057</v>
      </c>
    </row>
    <row r="20615" spans="1:1">
      <c r="A20615" s="35" t="s">
        <v>41057</v>
      </c>
    </row>
    <row r="20616" spans="1:1">
      <c r="A20616" s="35" t="s">
        <v>53705</v>
      </c>
    </row>
    <row r="20617" spans="1:1">
      <c r="A20617" s="35" t="s">
        <v>41057</v>
      </c>
    </row>
    <row r="20618" spans="1:1">
      <c r="A20618" s="35" t="s">
        <v>41057</v>
      </c>
    </row>
    <row r="20619" spans="1:1">
      <c r="A20619" s="35" t="s">
        <v>41057</v>
      </c>
    </row>
    <row r="20620" spans="1:1">
      <c r="A20620" s="35" t="s">
        <v>41057</v>
      </c>
    </row>
    <row r="20621" spans="1:1">
      <c r="A20621" s="35" t="s">
        <v>54849</v>
      </c>
    </row>
    <row r="20622" spans="1:1">
      <c r="A20622" s="35" t="s">
        <v>58944</v>
      </c>
    </row>
    <row r="20623" spans="1:1">
      <c r="A20623" s="35" t="s">
        <v>41057</v>
      </c>
    </row>
    <row r="20624" spans="1:1">
      <c r="A20624" s="35" t="s">
        <v>41057</v>
      </c>
    </row>
    <row r="20625" spans="1:1">
      <c r="A20625" s="35" t="s">
        <v>41057</v>
      </c>
    </row>
    <row r="20626" spans="1:1">
      <c r="A20626" s="35" t="s">
        <v>41057</v>
      </c>
    </row>
    <row r="20627" spans="1:1">
      <c r="A20627" s="35" t="s">
        <v>41057</v>
      </c>
    </row>
    <row r="20628" spans="1:1">
      <c r="A20628" s="35" t="s">
        <v>41057</v>
      </c>
    </row>
    <row r="20629" spans="1:1">
      <c r="A20629" s="35" t="s">
        <v>58945</v>
      </c>
    </row>
    <row r="20630" spans="1:1">
      <c r="A20630" s="35" t="s">
        <v>41057</v>
      </c>
    </row>
    <row r="20631" spans="1:1">
      <c r="A20631" s="35" t="s">
        <v>41057</v>
      </c>
    </row>
    <row r="20632" spans="1:1">
      <c r="A20632" s="35" t="s">
        <v>41057</v>
      </c>
    </row>
    <row r="20633" spans="1:1">
      <c r="A20633" s="35" t="s">
        <v>41057</v>
      </c>
    </row>
    <row r="20634" spans="1:1">
      <c r="A20634" s="35" t="s">
        <v>41057</v>
      </c>
    </row>
    <row r="20635" spans="1:1">
      <c r="A20635" s="35" t="s">
        <v>41057</v>
      </c>
    </row>
    <row r="20636" spans="1:1">
      <c r="A20636" s="35" t="s">
        <v>41057</v>
      </c>
    </row>
    <row r="20637" spans="1:1">
      <c r="A20637" s="35" t="s">
        <v>41057</v>
      </c>
    </row>
    <row r="20638" spans="1:1">
      <c r="A20638" s="35" t="s">
        <v>41057</v>
      </c>
    </row>
    <row r="20639" spans="1:1">
      <c r="A20639" s="35" t="s">
        <v>41057</v>
      </c>
    </row>
    <row r="20640" spans="1:1">
      <c r="A20640" s="35" t="s">
        <v>41057</v>
      </c>
    </row>
    <row r="20641" spans="1:1">
      <c r="A20641" s="35" t="s">
        <v>41057</v>
      </c>
    </row>
    <row r="20642" spans="1:1">
      <c r="A20642" s="35" t="s">
        <v>41057</v>
      </c>
    </row>
    <row r="20643" spans="1:1">
      <c r="A20643" s="35" t="s">
        <v>41057</v>
      </c>
    </row>
    <row r="20644" spans="1:1">
      <c r="A20644" s="35" t="s">
        <v>41057</v>
      </c>
    </row>
    <row r="20645" spans="1:1">
      <c r="A20645" s="35" t="s">
        <v>41057</v>
      </c>
    </row>
    <row r="20646" spans="1:1">
      <c r="A20646" s="35" t="s">
        <v>41057</v>
      </c>
    </row>
    <row r="20647" spans="1:1">
      <c r="A20647" s="35" t="s">
        <v>41057</v>
      </c>
    </row>
    <row r="20648" spans="1:1">
      <c r="A20648" s="35" t="s">
        <v>41057</v>
      </c>
    </row>
    <row r="20649" spans="1:1">
      <c r="A20649" s="35" t="s">
        <v>41057</v>
      </c>
    </row>
    <row r="20650" spans="1:1">
      <c r="A20650" s="35" t="s">
        <v>53545</v>
      </c>
    </row>
    <row r="20651" spans="1:1">
      <c r="A20651" s="35" t="s">
        <v>58946</v>
      </c>
    </row>
    <row r="20652" spans="1:1">
      <c r="A20652" s="35" t="s">
        <v>41057</v>
      </c>
    </row>
    <row r="20653" spans="1:1">
      <c r="A20653" s="35" t="s">
        <v>41057</v>
      </c>
    </row>
    <row r="20654" spans="1:1">
      <c r="A20654" s="35" t="s">
        <v>41057</v>
      </c>
    </row>
    <row r="20655" spans="1:1">
      <c r="A20655" s="35" t="s">
        <v>41057</v>
      </c>
    </row>
    <row r="20656" spans="1:1">
      <c r="A20656" s="35" t="s">
        <v>58947</v>
      </c>
    </row>
    <row r="20657" spans="1:1">
      <c r="A20657" s="35" t="s">
        <v>58948</v>
      </c>
    </row>
    <row r="20658" spans="1:1">
      <c r="A20658" s="35" t="s">
        <v>41057</v>
      </c>
    </row>
    <row r="20659" spans="1:1">
      <c r="A20659" s="35" t="s">
        <v>41057</v>
      </c>
    </row>
    <row r="20660" spans="1:1">
      <c r="A20660" s="35" t="s">
        <v>41057</v>
      </c>
    </row>
    <row r="20661" spans="1:1">
      <c r="A20661" s="35" t="s">
        <v>58949</v>
      </c>
    </row>
    <row r="20662" spans="1:1">
      <c r="A20662" s="35" t="s">
        <v>58950</v>
      </c>
    </row>
    <row r="20663" spans="1:1">
      <c r="A20663" s="35" t="s">
        <v>58951</v>
      </c>
    </row>
    <row r="20664" spans="1:1">
      <c r="A20664" s="35" t="s">
        <v>58952</v>
      </c>
    </row>
    <row r="20665" spans="1:1">
      <c r="A20665" s="35" t="s">
        <v>41057</v>
      </c>
    </row>
    <row r="20666" spans="1:1">
      <c r="A20666" s="35" t="s">
        <v>41057</v>
      </c>
    </row>
    <row r="20667" spans="1:1">
      <c r="A20667" s="35" t="e" cm="1">
        <f t="array" ref="A20667">---------------EITF------------------FKF-------------------V</f>
        <v>#NAME?</v>
      </c>
    </row>
    <row r="20668" spans="1:1">
      <c r="A20668" s="35" t="s">
        <v>58953</v>
      </c>
    </row>
    <row r="20669" spans="1:1">
      <c r="A20669" s="35" t="s">
        <v>58954</v>
      </c>
    </row>
    <row r="20670" spans="1:1">
      <c r="A20670" s="35" t="s">
        <v>41057</v>
      </c>
    </row>
    <row r="20671" spans="1:1">
      <c r="A20671" s="35" t="s">
        <v>58955</v>
      </c>
    </row>
    <row r="20672" spans="1:1">
      <c r="A20672" s="35" t="s">
        <v>41057</v>
      </c>
    </row>
    <row r="20673" spans="1:1">
      <c r="A20673" s="35" t="s">
        <v>41057</v>
      </c>
    </row>
    <row r="20674" spans="1:1">
      <c r="A20674" s="35" t="s">
        <v>58956</v>
      </c>
    </row>
    <row r="20675" spans="1:1">
      <c r="A20675" s="35" t="s">
        <v>41057</v>
      </c>
    </row>
    <row r="20676" spans="1:1">
      <c r="A20676" s="35" t="s">
        <v>41057</v>
      </c>
    </row>
    <row r="20677" spans="1:1">
      <c r="A20677" s="35" t="s">
        <v>41057</v>
      </c>
    </row>
    <row r="20678" spans="1:1">
      <c r="A20678" s="35" t="s">
        <v>41057</v>
      </c>
    </row>
    <row r="20679" spans="1:1">
      <c r="A20679" s="35" t="s">
        <v>41057</v>
      </c>
    </row>
    <row r="20680" spans="1:1">
      <c r="A20680" s="35" t="s">
        <v>58957</v>
      </c>
    </row>
    <row r="20681" spans="1:1">
      <c r="A20681" s="35" t="s">
        <v>41057</v>
      </c>
    </row>
    <row r="20682" spans="1:1">
      <c r="A20682" s="35" t="s">
        <v>58958</v>
      </c>
    </row>
    <row r="20683" spans="1:1">
      <c r="A20683" s="35" t="s">
        <v>41057</v>
      </c>
    </row>
    <row r="20684" spans="1:1">
      <c r="A20684" s="35" t="s">
        <v>58959</v>
      </c>
    </row>
    <row r="20685" spans="1:1">
      <c r="A20685" s="35" t="s">
        <v>58960</v>
      </c>
    </row>
    <row r="20686" spans="1:1">
      <c r="A20686" s="35" t="s">
        <v>41057</v>
      </c>
    </row>
    <row r="20687" spans="1:1">
      <c r="A20687" s="35" t="s">
        <v>41057</v>
      </c>
    </row>
    <row r="20688" spans="1:1">
      <c r="A20688" s="35" t="s">
        <v>54623</v>
      </c>
    </row>
    <row r="20689" spans="1:1">
      <c r="A20689" s="35" t="s">
        <v>41057</v>
      </c>
    </row>
    <row r="20690" spans="1:1">
      <c r="A20690" s="35" t="s">
        <v>41057</v>
      </c>
    </row>
    <row r="20691" spans="1:1">
      <c r="A20691" s="35" t="s">
        <v>41057</v>
      </c>
    </row>
    <row r="20692" spans="1:1">
      <c r="A20692" s="35" t="s">
        <v>41057</v>
      </c>
    </row>
    <row r="20693" spans="1:1">
      <c r="A20693" s="35" t="s">
        <v>41057</v>
      </c>
    </row>
    <row r="20694" spans="1:1">
      <c r="A20694" s="35" t="s">
        <v>41057</v>
      </c>
    </row>
    <row r="20695" spans="1:1">
      <c r="A20695" s="35" t="s">
        <v>41057</v>
      </c>
    </row>
    <row r="20696" spans="1:1">
      <c r="A20696" s="35" t="s">
        <v>41057</v>
      </c>
    </row>
    <row r="20697" spans="1:1">
      <c r="A20697" s="35" t="s">
        <v>41057</v>
      </c>
    </row>
    <row r="20698" spans="1:1">
      <c r="A20698" s="35" t="s">
        <v>41057</v>
      </c>
    </row>
    <row r="20699" spans="1:1">
      <c r="A20699" s="35" t="s">
        <v>41057</v>
      </c>
    </row>
    <row r="20700" spans="1:1">
      <c r="A20700" s="35" t="s">
        <v>41057</v>
      </c>
    </row>
    <row r="20701" spans="1:1">
      <c r="A20701" s="35" t="s">
        <v>41057</v>
      </c>
    </row>
    <row r="20702" spans="1:1">
      <c r="A20702" s="35" t="s">
        <v>41057</v>
      </c>
    </row>
    <row r="20703" spans="1:1">
      <c r="A20703" s="35" t="s">
        <v>41057</v>
      </c>
    </row>
    <row r="20704" spans="1:1">
      <c r="A20704" s="35" t="s">
        <v>41057</v>
      </c>
    </row>
    <row r="20705" spans="1:1">
      <c r="A20705" s="35" t="s">
        <v>41057</v>
      </c>
    </row>
    <row r="20706" spans="1:1">
      <c r="A20706" s="35" t="s">
        <v>41057</v>
      </c>
    </row>
    <row r="20707" spans="1:1">
      <c r="A20707" s="35" t="s">
        <v>41057</v>
      </c>
    </row>
    <row r="20708" spans="1:1">
      <c r="A20708" s="35" t="s">
        <v>41057</v>
      </c>
    </row>
    <row r="20709" spans="1:1">
      <c r="A20709" s="35" t="s">
        <v>41057</v>
      </c>
    </row>
    <row r="20710" spans="1:1">
      <c r="A20710" s="35" t="s">
        <v>58961</v>
      </c>
    </row>
    <row r="20711" spans="1:1">
      <c r="A20711" s="35" t="s">
        <v>41057</v>
      </c>
    </row>
    <row r="20712" spans="1:1">
      <c r="A20712" s="35" t="s">
        <v>41057</v>
      </c>
    </row>
    <row r="20713" spans="1:1">
      <c r="A20713" s="35" t="s">
        <v>41057</v>
      </c>
    </row>
    <row r="20714" spans="1:1">
      <c r="A20714" s="35" t="s">
        <v>41057</v>
      </c>
    </row>
    <row r="20715" spans="1:1">
      <c r="A20715" s="35" t="s">
        <v>41057</v>
      </c>
    </row>
    <row r="20716" spans="1:1">
      <c r="A20716" s="35" t="s">
        <v>41057</v>
      </c>
    </row>
    <row r="20717" spans="1:1">
      <c r="A20717" s="35" t="s">
        <v>41057</v>
      </c>
    </row>
    <row r="20718" spans="1:1">
      <c r="A20718" s="35" t="s">
        <v>41057</v>
      </c>
    </row>
    <row r="20719" spans="1:1">
      <c r="A20719" s="35" t="s">
        <v>41057</v>
      </c>
    </row>
    <row r="20720" spans="1:1">
      <c r="A20720" s="35" t="s">
        <v>41057</v>
      </c>
    </row>
    <row r="20721" spans="1:1">
      <c r="A20721" s="35" t="e" cm="1">
        <f t="array" ref="A20721">----------------------------------------------------------TV</f>
        <v>#NAME?</v>
      </c>
    </row>
    <row r="20722" spans="1:1">
      <c r="A20722" s="35" t="s">
        <v>58962</v>
      </c>
    </row>
    <row r="20723" spans="1:1">
      <c r="A20723" s="35" t="s">
        <v>41057</v>
      </c>
    </row>
    <row r="20724" spans="1:1">
      <c r="A20724" s="35" t="s">
        <v>41057</v>
      </c>
    </row>
    <row r="20725" spans="1:1">
      <c r="A20725" s="35" t="s">
        <v>41057</v>
      </c>
    </row>
    <row r="20726" spans="1:1">
      <c r="A20726" s="35" t="s">
        <v>41057</v>
      </c>
    </row>
    <row r="20727" spans="1:1">
      <c r="A20727" s="35" t="s">
        <v>58963</v>
      </c>
    </row>
    <row r="20728" spans="1:1">
      <c r="A20728" s="35" t="s">
        <v>41057</v>
      </c>
    </row>
    <row r="20729" spans="1:1">
      <c r="A20729" s="35" t="s">
        <v>41057</v>
      </c>
    </row>
    <row r="20730" spans="1:1">
      <c r="A20730" s="35" t="s">
        <v>58964</v>
      </c>
    </row>
    <row r="20731" spans="1:1">
      <c r="A20731" s="35" t="s">
        <v>58965</v>
      </c>
    </row>
    <row r="20732" spans="1:1">
      <c r="A20732" s="35" t="s">
        <v>41057</v>
      </c>
    </row>
    <row r="20733" spans="1:1">
      <c r="A20733" s="35" t="s">
        <v>41057</v>
      </c>
    </row>
    <row r="20734" spans="1:1">
      <c r="A20734" s="35" t="s">
        <v>41057</v>
      </c>
    </row>
    <row r="20735" spans="1:1">
      <c r="A20735" s="35" t="s">
        <v>41057</v>
      </c>
    </row>
    <row r="20736" spans="1:1">
      <c r="A20736" s="35" t="s">
        <v>41057</v>
      </c>
    </row>
    <row r="20737" spans="1:1">
      <c r="A20737" s="35" t="s">
        <v>41057</v>
      </c>
    </row>
    <row r="20738" spans="1:1">
      <c r="A20738" s="35" t="s">
        <v>41057</v>
      </c>
    </row>
    <row r="20739" spans="1:1">
      <c r="A20739" s="35" t="s">
        <v>41057</v>
      </c>
    </row>
    <row r="20740" spans="1:1">
      <c r="A20740" s="35" t="s">
        <v>41057</v>
      </c>
    </row>
    <row r="20741" spans="1:1">
      <c r="A20741" s="35" t="s">
        <v>58966</v>
      </c>
    </row>
    <row r="20742" spans="1:1">
      <c r="A20742" s="35" t="s">
        <v>41057</v>
      </c>
    </row>
    <row r="20743" spans="1:1">
      <c r="A20743" s="35" t="s">
        <v>41057</v>
      </c>
    </row>
    <row r="20744" spans="1:1">
      <c r="A20744" s="35" t="s">
        <v>41057</v>
      </c>
    </row>
    <row r="20745" spans="1:1">
      <c r="A20745" s="35" t="s">
        <v>41057</v>
      </c>
    </row>
    <row r="20746" spans="1:1">
      <c r="A20746" s="35" t="s">
        <v>41057</v>
      </c>
    </row>
    <row r="20747" spans="1:1">
      <c r="A20747" s="35" t="s">
        <v>58967</v>
      </c>
    </row>
    <row r="20748" spans="1:1">
      <c r="A20748" s="35" t="s">
        <v>41057</v>
      </c>
    </row>
    <row r="20749" spans="1:1">
      <c r="A20749" s="35" t="s">
        <v>41057</v>
      </c>
    </row>
    <row r="20750" spans="1:1">
      <c r="A20750" s="35" t="s">
        <v>41057</v>
      </c>
    </row>
    <row r="20751" spans="1:1">
      <c r="A20751" s="35" t="s">
        <v>58968</v>
      </c>
    </row>
    <row r="20752" spans="1:1">
      <c r="A20752" s="35" t="s">
        <v>41057</v>
      </c>
    </row>
    <row r="20753" spans="1:1">
      <c r="A20753" s="35" t="s">
        <v>41057</v>
      </c>
    </row>
    <row r="20754" spans="1:1">
      <c r="A20754" s="35" t="s">
        <v>41057</v>
      </c>
    </row>
    <row r="20755" spans="1:1">
      <c r="A20755" s="35" t="s">
        <v>41057</v>
      </c>
    </row>
    <row r="20756" spans="1:1">
      <c r="A20756" s="35" t="e" cm="1">
        <f t="array" ref="A20756">------------------------------------------------AKNTQTSTIQNI</f>
        <v>#NAME?</v>
      </c>
    </row>
    <row r="20757" spans="1:1">
      <c r="A20757" s="35" t="s">
        <v>58969</v>
      </c>
    </row>
    <row r="20758" spans="1:1">
      <c r="A20758" s="35" t="s">
        <v>58970</v>
      </c>
    </row>
    <row r="20759" spans="1:1">
      <c r="A20759" s="35" t="s">
        <v>58971</v>
      </c>
    </row>
    <row r="20760" spans="1:1">
      <c r="A20760" s="35" t="s">
        <v>58972</v>
      </c>
    </row>
    <row r="20761" spans="1:1">
      <c r="A20761" s="35" t="s">
        <v>58973</v>
      </c>
    </row>
    <row r="20762" spans="1:1">
      <c r="A20762" s="35" t="s">
        <v>41057</v>
      </c>
    </row>
    <row r="20763" spans="1:1">
      <c r="A20763" s="35" t="s">
        <v>41057</v>
      </c>
    </row>
    <row r="20764" spans="1:1">
      <c r="A20764" s="35" t="s">
        <v>58974</v>
      </c>
    </row>
    <row r="20765" spans="1:1">
      <c r="A20765" s="35" t="e" cm="1">
        <f t="array" ref="A20765">-----------IY---IGGIR---------------------IDQQY---GEW---LYIW</f>
        <v>#NAME?</v>
      </c>
    </row>
    <row r="20766" spans="1:1">
      <c r="A20766" s="35" t="s">
        <v>58975</v>
      </c>
    </row>
    <row r="20767" spans="1:1">
      <c r="A20767" s="35" t="s">
        <v>41057</v>
      </c>
    </row>
    <row r="20768" spans="1:1">
      <c r="A20768" s="35" t="s">
        <v>53545</v>
      </c>
    </row>
    <row r="20769" spans="1:1">
      <c r="A20769" s="35" t="s">
        <v>53348</v>
      </c>
    </row>
    <row r="20770" spans="1:1">
      <c r="A20770" s="35" t="s">
        <v>41057</v>
      </c>
    </row>
    <row r="20771" spans="1:1">
      <c r="A20771" s="35" t="s">
        <v>41057</v>
      </c>
    </row>
    <row r="20772" spans="1:1">
      <c r="A20772" s="35" t="s">
        <v>41057</v>
      </c>
    </row>
    <row r="20773" spans="1:1">
      <c r="A20773" s="35" t="s">
        <v>41057</v>
      </c>
    </row>
    <row r="20774" spans="1:1">
      <c r="A20774" s="35" t="s">
        <v>41057</v>
      </c>
    </row>
    <row r="20775" spans="1:1">
      <c r="A20775" s="35" t="s">
        <v>58976</v>
      </c>
    </row>
    <row r="20776" spans="1:1">
      <c r="A20776" s="35" t="s">
        <v>41057</v>
      </c>
    </row>
    <row r="20777" spans="1:1">
      <c r="A20777" s="35" t="s">
        <v>41057</v>
      </c>
    </row>
    <row r="20778" spans="1:1">
      <c r="A20778" s="35" t="s">
        <v>41057</v>
      </c>
    </row>
    <row r="20779" spans="1:1">
      <c r="A20779" s="35" t="s">
        <v>58977</v>
      </c>
    </row>
    <row r="20780" spans="1:1">
      <c r="A20780" s="35" t="s">
        <v>41057</v>
      </c>
    </row>
    <row r="20781" spans="1:1">
      <c r="A20781" s="35" t="s">
        <v>58978</v>
      </c>
    </row>
    <row r="20782" spans="1:1">
      <c r="A20782" s="35" t="s">
        <v>58979</v>
      </c>
    </row>
    <row r="20783" spans="1:1">
      <c r="A20783" s="35" t="s">
        <v>41057</v>
      </c>
    </row>
    <row r="20784" spans="1:1">
      <c r="A20784" s="35" t="s">
        <v>41057</v>
      </c>
    </row>
    <row r="20785" spans="1:1">
      <c r="A20785" s="35" t="e" cm="1">
        <f t="array" ref="A20785">---------------EITF------------------LSE-------------------K</f>
        <v>#NAME?</v>
      </c>
    </row>
    <row r="20786" spans="1:1">
      <c r="A20786" s="35" t="s">
        <v>58980</v>
      </c>
    </row>
    <row r="20787" spans="1:1">
      <c r="A20787" s="35" t="s">
        <v>58981</v>
      </c>
    </row>
    <row r="20788" spans="1:1">
      <c r="A20788" s="35" t="s">
        <v>41057</v>
      </c>
    </row>
    <row r="20789" spans="1:1">
      <c r="A20789" s="35" t="s">
        <v>58982</v>
      </c>
    </row>
    <row r="20790" spans="1:1">
      <c r="A20790" s="35" t="s">
        <v>41057</v>
      </c>
    </row>
    <row r="20791" spans="1:1">
      <c r="A20791" s="35" t="s">
        <v>41057</v>
      </c>
    </row>
    <row r="20792" spans="1:1">
      <c r="A20792" s="35" t="s">
        <v>58983</v>
      </c>
    </row>
    <row r="20793" spans="1:1">
      <c r="A20793" s="35" t="s">
        <v>41057</v>
      </c>
    </row>
    <row r="20794" spans="1:1">
      <c r="A20794" s="35" t="s">
        <v>41057</v>
      </c>
    </row>
    <row r="20795" spans="1:1">
      <c r="A20795" s="35" t="s">
        <v>54105</v>
      </c>
    </row>
    <row r="20796" spans="1:1">
      <c r="A20796" s="35" t="s">
        <v>41057</v>
      </c>
    </row>
    <row r="20797" spans="1:1">
      <c r="A20797" s="35" t="s">
        <v>41057</v>
      </c>
    </row>
    <row r="20798" spans="1:1">
      <c r="A20798" s="35" t="s">
        <v>58984</v>
      </c>
    </row>
    <row r="20799" spans="1:1">
      <c r="A20799" s="35" t="s">
        <v>41057</v>
      </c>
    </row>
    <row r="20800" spans="1:1">
      <c r="A20800" s="35" t="s">
        <v>58985</v>
      </c>
    </row>
    <row r="20801" spans="1:1">
      <c r="A20801" s="35" t="s">
        <v>41057</v>
      </c>
    </row>
    <row r="20802" spans="1:1">
      <c r="A20802" s="35" t="s">
        <v>58986</v>
      </c>
    </row>
    <row r="20803" spans="1:1">
      <c r="A20803" s="35" t="s">
        <v>58987</v>
      </c>
    </row>
    <row r="20804" spans="1:1">
      <c r="A20804" s="35" t="s">
        <v>41057</v>
      </c>
    </row>
    <row r="20805" spans="1:1">
      <c r="A20805" s="35" t="s">
        <v>41057</v>
      </c>
    </row>
    <row r="20806" spans="1:1">
      <c r="A20806" s="35" t="s">
        <v>54623</v>
      </c>
    </row>
    <row r="20807" spans="1:1">
      <c r="A20807" s="35" t="s">
        <v>41057</v>
      </c>
    </row>
    <row r="20808" spans="1:1">
      <c r="A20808" s="35" t="s">
        <v>41057</v>
      </c>
    </row>
    <row r="20809" spans="1:1">
      <c r="A20809" s="35" t="s">
        <v>41057</v>
      </c>
    </row>
    <row r="20810" spans="1:1">
      <c r="A20810" s="35" t="s">
        <v>41057</v>
      </c>
    </row>
    <row r="20811" spans="1:1">
      <c r="A20811" s="35" t="s">
        <v>41057</v>
      </c>
    </row>
    <row r="20812" spans="1:1">
      <c r="A20812" s="35" t="s">
        <v>58988</v>
      </c>
    </row>
    <row r="20813" spans="1:1">
      <c r="A20813" s="35" t="s">
        <v>41057</v>
      </c>
    </row>
    <row r="20814" spans="1:1">
      <c r="A20814" s="35" t="s">
        <v>41057</v>
      </c>
    </row>
    <row r="20815" spans="1:1">
      <c r="A20815" s="35" t="s">
        <v>41057</v>
      </c>
    </row>
    <row r="20816" spans="1:1">
      <c r="A20816" s="35" t="s">
        <v>41057</v>
      </c>
    </row>
    <row r="20817" spans="1:1">
      <c r="A20817" s="35" t="s">
        <v>41057</v>
      </c>
    </row>
    <row r="20818" spans="1:1">
      <c r="A20818" s="35" t="s">
        <v>41057</v>
      </c>
    </row>
    <row r="20819" spans="1:1">
      <c r="A20819" s="35" t="s">
        <v>41057</v>
      </c>
    </row>
    <row r="20820" spans="1:1">
      <c r="A20820" s="35" t="s">
        <v>41057</v>
      </c>
    </row>
    <row r="20821" spans="1:1">
      <c r="A20821" s="35" t="s">
        <v>41057</v>
      </c>
    </row>
    <row r="20822" spans="1:1">
      <c r="A20822" s="35" t="s">
        <v>41057</v>
      </c>
    </row>
    <row r="20823" spans="1:1">
      <c r="A20823" s="35" t="s">
        <v>41057</v>
      </c>
    </row>
    <row r="20824" spans="1:1">
      <c r="A20824" s="35" t="s">
        <v>41057</v>
      </c>
    </row>
    <row r="20825" spans="1:1">
      <c r="A20825" s="35" t="s">
        <v>41057</v>
      </c>
    </row>
    <row r="20826" spans="1:1">
      <c r="A20826" s="35" t="s">
        <v>41057</v>
      </c>
    </row>
    <row r="20827" spans="1:1">
      <c r="A20827" s="35" t="s">
        <v>41057</v>
      </c>
    </row>
    <row r="20828" spans="1:1">
      <c r="A20828" s="35" t="s">
        <v>58989</v>
      </c>
    </row>
    <row r="20829" spans="1:1">
      <c r="A20829" s="35" t="s">
        <v>41057</v>
      </c>
    </row>
    <row r="20830" spans="1:1">
      <c r="A20830" s="35" t="s">
        <v>41057</v>
      </c>
    </row>
    <row r="20831" spans="1:1">
      <c r="A20831" s="35" t="s">
        <v>58990</v>
      </c>
    </row>
    <row r="20832" spans="1:1">
      <c r="A20832" s="35" t="s">
        <v>41057</v>
      </c>
    </row>
    <row r="20833" spans="1:1">
      <c r="A20833" s="35" t="s">
        <v>41057</v>
      </c>
    </row>
    <row r="20834" spans="1:1">
      <c r="A20834" s="35" t="s">
        <v>41057</v>
      </c>
    </row>
    <row r="20835" spans="1:1">
      <c r="A20835" s="35" t="s">
        <v>41057</v>
      </c>
    </row>
    <row r="20836" spans="1:1">
      <c r="A20836" s="35" t="s">
        <v>41057</v>
      </c>
    </row>
    <row r="20837" spans="1:1">
      <c r="A20837" s="35" t="s">
        <v>41057</v>
      </c>
    </row>
    <row r="20838" spans="1:1">
      <c r="A20838" s="35" t="s">
        <v>41057</v>
      </c>
    </row>
    <row r="20839" spans="1:1">
      <c r="A20839" s="35" t="e" cm="1">
        <f t="array" ref="A20839">------------------------------------------TDNTQRYEYINGI---GY</f>
        <v>#NAME?</v>
      </c>
    </row>
    <row r="20840" spans="1:1">
      <c r="A20840" s="35" t="s">
        <v>58991</v>
      </c>
    </row>
    <row r="20841" spans="1:1">
      <c r="A20841" s="35" t="e" cm="1">
        <f t="array" ref="A20841">---------------PEQLHLYHLLNNDE----YL-TYTR------------------RS</f>
        <v>#NAME?</v>
      </c>
    </row>
    <row r="20842" spans="1:1">
      <c r="A20842" s="35" t="s">
        <v>58992</v>
      </c>
    </row>
    <row r="20843" spans="1:1">
      <c r="A20843" s="35" t="s">
        <v>58993</v>
      </c>
    </row>
    <row r="20844" spans="1:1">
      <c r="A20844" s="35" t="s">
        <v>58994</v>
      </c>
    </row>
    <row r="20845" spans="1:1">
      <c r="A20845" s="35" t="s">
        <v>58995</v>
      </c>
    </row>
    <row r="20846" spans="1:1">
      <c r="A20846" s="35" t="s">
        <v>41057</v>
      </c>
    </row>
    <row r="20847" spans="1:1">
      <c r="A20847" s="35" t="s">
        <v>58996</v>
      </c>
    </row>
    <row r="20848" spans="1:1">
      <c r="A20848" s="35" t="s">
        <v>58997</v>
      </c>
    </row>
    <row r="20849" spans="1:1">
      <c r="A20849" s="35" t="s">
        <v>58998</v>
      </c>
    </row>
    <row r="20850" spans="1:1">
      <c r="A20850" s="35" t="s">
        <v>41057</v>
      </c>
    </row>
    <row r="20851" spans="1:1">
      <c r="A20851" s="35" t="s">
        <v>41057</v>
      </c>
    </row>
    <row r="20852" spans="1:1">
      <c r="A20852" s="35" t="s">
        <v>41057</v>
      </c>
    </row>
    <row r="20853" spans="1:1">
      <c r="A20853" s="35" t="s">
        <v>58999</v>
      </c>
    </row>
    <row r="20854" spans="1:1">
      <c r="A20854" s="35" t="s">
        <v>41057</v>
      </c>
    </row>
    <row r="20855" spans="1:1">
      <c r="A20855" s="35" t="s">
        <v>41057</v>
      </c>
    </row>
    <row r="20856" spans="1:1">
      <c r="A20856" s="35" t="s">
        <v>59000</v>
      </c>
    </row>
    <row r="20857" spans="1:1">
      <c r="A20857" s="35" t="s">
        <v>59001</v>
      </c>
    </row>
    <row r="20858" spans="1:1">
      <c r="A20858" s="35" t="s">
        <v>59002</v>
      </c>
    </row>
    <row r="20859" spans="1:1">
      <c r="A20859" s="35" t="s">
        <v>59003</v>
      </c>
    </row>
    <row r="20860" spans="1:1">
      <c r="A20860" s="35" t="e" cm="1">
        <f t="array" ref="A20860">----------------------------------------------------------FN</f>
        <v>#NAME?</v>
      </c>
    </row>
    <row r="20861" spans="1:1">
      <c r="A20861" s="35" t="s">
        <v>59004</v>
      </c>
    </row>
    <row r="20862" spans="1:1">
      <c r="A20862" s="35" t="s">
        <v>41057</v>
      </c>
    </row>
    <row r="20863" spans="1:1">
      <c r="A20863" s="35" t="s">
        <v>41057</v>
      </c>
    </row>
    <row r="20864" spans="1:1">
      <c r="A20864" s="35" t="s">
        <v>41057</v>
      </c>
    </row>
    <row r="20865" spans="1:1">
      <c r="A20865" s="35" t="s">
        <v>59005</v>
      </c>
    </row>
    <row r="20866" spans="1:1">
      <c r="A20866" s="35" t="s">
        <v>59006</v>
      </c>
    </row>
    <row r="20867" spans="1:1">
      <c r="A20867" s="35" t="s">
        <v>59007</v>
      </c>
    </row>
    <row r="20868" spans="1:1">
      <c r="A20868" s="35" t="s">
        <v>41057</v>
      </c>
    </row>
    <row r="20869" spans="1:1">
      <c r="A20869" s="35" t="s">
        <v>59008</v>
      </c>
    </row>
    <row r="20870" spans="1:1">
      <c r="A20870" s="35" t="s">
        <v>41057</v>
      </c>
    </row>
    <row r="20871" spans="1:1">
      <c r="A20871" s="35" t="s">
        <v>41057</v>
      </c>
    </row>
    <row r="20872" spans="1:1">
      <c r="A20872" s="35" t="s">
        <v>41057</v>
      </c>
    </row>
    <row r="20873" spans="1:1">
      <c r="A20873" s="35" t="s">
        <v>54858</v>
      </c>
    </row>
    <row r="20874" spans="1:1">
      <c r="A20874" s="35" t="e" cm="1">
        <f t="array" ref="A20874">--------------------------------------------SN--PDRNLKKIIKNA</f>
        <v>#NAME?</v>
      </c>
    </row>
    <row r="20875" spans="1:1">
      <c r="A20875" s="35" t="s">
        <v>59009</v>
      </c>
    </row>
    <row r="20876" spans="1:1">
      <c r="A20876" s="35" t="s">
        <v>59010</v>
      </c>
    </row>
    <row r="20877" spans="1:1">
      <c r="A20877" s="35" t="s">
        <v>59011</v>
      </c>
    </row>
    <row r="20878" spans="1:1">
      <c r="A20878" s="35" t="s">
        <v>59012</v>
      </c>
    </row>
    <row r="20879" spans="1:1">
      <c r="A20879" s="35" t="s">
        <v>59013</v>
      </c>
    </row>
    <row r="20880" spans="1:1">
      <c r="A20880" s="35" t="s">
        <v>59014</v>
      </c>
    </row>
    <row r="20881" spans="1:1">
      <c r="A20881" s="35" t="s">
        <v>41057</v>
      </c>
    </row>
    <row r="20882" spans="1:1">
      <c r="A20882" s="35" t="s">
        <v>59015</v>
      </c>
    </row>
    <row r="20883" spans="1:1">
      <c r="A20883" s="35" t="s">
        <v>59016</v>
      </c>
    </row>
    <row r="20884" spans="1:1">
      <c r="A20884" s="35" t="s">
        <v>59017</v>
      </c>
    </row>
    <row r="20885" spans="1:1">
      <c r="A20885" s="35" t="s">
        <v>41057</v>
      </c>
    </row>
    <row r="20886" spans="1:1">
      <c r="A20886" s="35" t="s">
        <v>53545</v>
      </c>
    </row>
    <row r="20887" spans="1:1">
      <c r="A20887" s="35" t="s">
        <v>52340</v>
      </c>
    </row>
    <row r="20888" spans="1:1">
      <c r="A20888" s="35" t="s">
        <v>41057</v>
      </c>
    </row>
    <row r="20889" spans="1:1">
      <c r="A20889" s="35" t="s">
        <v>41057</v>
      </c>
    </row>
    <row r="20890" spans="1:1">
      <c r="A20890" s="35" t="s">
        <v>41057</v>
      </c>
    </row>
    <row r="20891" spans="1:1">
      <c r="A20891" s="35" t="s">
        <v>41057</v>
      </c>
    </row>
    <row r="20892" spans="1:1">
      <c r="A20892" s="35" t="s">
        <v>41057</v>
      </c>
    </row>
    <row r="20893" spans="1:1">
      <c r="A20893" s="35" t="s">
        <v>59018</v>
      </c>
    </row>
    <row r="20894" spans="1:1">
      <c r="A20894" s="35" t="s">
        <v>41057</v>
      </c>
    </row>
    <row r="20895" spans="1:1">
      <c r="A20895" s="35" t="s">
        <v>41057</v>
      </c>
    </row>
    <row r="20896" spans="1:1">
      <c r="A20896" s="35" t="s">
        <v>41057</v>
      </c>
    </row>
    <row r="20897" spans="1:1">
      <c r="A20897" s="35" t="s">
        <v>54097</v>
      </c>
    </row>
    <row r="20898" spans="1:1">
      <c r="A20898" s="35" t="s">
        <v>59019</v>
      </c>
    </row>
    <row r="20899" spans="1:1">
      <c r="A20899" s="35" t="s">
        <v>59020</v>
      </c>
    </row>
    <row r="20900" spans="1:1">
      <c r="A20900" s="35" t="s">
        <v>55977</v>
      </c>
    </row>
    <row r="20901" spans="1:1">
      <c r="A20901" s="35" t="s">
        <v>41057</v>
      </c>
    </row>
    <row r="20902" spans="1:1">
      <c r="A20902" s="35" t="s">
        <v>41057</v>
      </c>
    </row>
    <row r="20903" spans="1:1">
      <c r="A20903" s="35" t="e" cm="1">
        <f t="array" ref="A20903">---------------EITH------------------FKK-------------------I</f>
        <v>#NAME?</v>
      </c>
    </row>
    <row r="20904" spans="1:1">
      <c r="A20904" s="35" t="s">
        <v>59021</v>
      </c>
    </row>
    <row r="20905" spans="1:1">
      <c r="A20905" s="35" t="s">
        <v>59022</v>
      </c>
    </row>
    <row r="20906" spans="1:1">
      <c r="A20906" s="35" t="s">
        <v>59023</v>
      </c>
    </row>
    <row r="20907" spans="1:1">
      <c r="A20907" s="35" t="s">
        <v>59024</v>
      </c>
    </row>
    <row r="20908" spans="1:1">
      <c r="A20908" s="35" t="s">
        <v>59025</v>
      </c>
    </row>
    <row r="20909" spans="1:1">
      <c r="A20909" s="35" t="s">
        <v>59026</v>
      </c>
    </row>
    <row r="20910" spans="1:1">
      <c r="A20910" s="35" t="e" cm="1">
        <f t="array" ref="A20910">--------------------LGNNPEEILSILIAITEIW-KWKSYDFDKKTEWQLIPGLE</f>
        <v>#NAME?</v>
      </c>
    </row>
    <row r="20911" spans="1:1">
      <c r="A20911" s="35" t="s">
        <v>59027</v>
      </c>
    </row>
    <row r="20912" spans="1:1">
      <c r="A20912" s="35" t="s">
        <v>59028</v>
      </c>
    </row>
    <row r="20913" spans="1:1">
      <c r="A20913" s="35" t="s">
        <v>59029</v>
      </c>
    </row>
    <row r="20914" spans="1:1">
      <c r="A20914" s="35" t="s">
        <v>59030</v>
      </c>
    </row>
    <row r="20915" spans="1:1">
      <c r="A20915" s="35" t="s">
        <v>59031</v>
      </c>
    </row>
    <row r="20916" spans="1:1">
      <c r="A20916" s="35" t="s">
        <v>59032</v>
      </c>
    </row>
    <row r="20917" spans="1:1">
      <c r="A20917" s="35" t="s">
        <v>59033</v>
      </c>
    </row>
    <row r="20918" spans="1:1">
      <c r="A20918" s="35" t="s">
        <v>59034</v>
      </c>
    </row>
    <row r="20919" spans="1:1">
      <c r="A20919" s="35" t="s">
        <v>41057</v>
      </c>
    </row>
    <row r="20920" spans="1:1">
      <c r="A20920" s="35" t="e" cm="1">
        <f t="array" ref="A20920">------GDSNTSSEDKYRYNSHLHQDSFILGNG-------IDADNLYIYHLPYKINSQIY</f>
        <v>#NAME?</v>
      </c>
    </row>
    <row r="20921" spans="1:1">
      <c r="A20921" s="35" t="s">
        <v>59035</v>
      </c>
    </row>
    <row r="20922" spans="1:1">
      <c r="A20922" s="35" t="s">
        <v>59036</v>
      </c>
    </row>
    <row r="20923" spans="1:1">
      <c r="A20923" s="35" t="s">
        <v>59037</v>
      </c>
    </row>
    <row r="20924" spans="1:1">
      <c r="A20924" s="35" t="s">
        <v>59038</v>
      </c>
    </row>
    <row r="20925" spans="1:1">
      <c r="A20925" s="35" t="s">
        <v>41057</v>
      </c>
    </row>
    <row r="20926" spans="1:1">
      <c r="A20926" s="35" t="s">
        <v>59039</v>
      </c>
    </row>
    <row r="20927" spans="1:1">
      <c r="A20927" s="35" t="s">
        <v>41057</v>
      </c>
    </row>
    <row r="20928" spans="1:1">
      <c r="A20928" s="35" t="e" cm="1">
        <f t="array" ref="A20928">-------LSY---------------------------------FNKYNKSILLQIENLEN</f>
        <v>#NAME?</v>
      </c>
    </row>
    <row r="20929" spans="1:1">
      <c r="A20929" s="35" t="s">
        <v>59040</v>
      </c>
    </row>
    <row r="20930" spans="1:1">
      <c r="A20930" s="35" t="s">
        <v>59041</v>
      </c>
    </row>
    <row r="20931" spans="1:1">
      <c r="A20931" s="35" t="s">
        <v>59042</v>
      </c>
    </row>
    <row r="20932" spans="1:1">
      <c r="A20932" s="35" t="s">
        <v>59043</v>
      </c>
    </row>
    <row r="20933" spans="1:1">
      <c r="A20933" s="35" t="s">
        <v>59044</v>
      </c>
    </row>
    <row r="20934" spans="1:1">
      <c r="A20934" s="35" t="s">
        <v>59045</v>
      </c>
    </row>
    <row r="20935" spans="1:1">
      <c r="A20935" s="35" t="s">
        <v>59046</v>
      </c>
    </row>
    <row r="20936" spans="1:1">
      <c r="A20936" s="35" t="s">
        <v>59047</v>
      </c>
    </row>
    <row r="20937" spans="1:1">
      <c r="A20937" s="35" t="s">
        <v>59048</v>
      </c>
    </row>
    <row r="20938" spans="1:1">
      <c r="A20938" s="35" t="s">
        <v>59049</v>
      </c>
    </row>
    <row r="20939" spans="1:1">
      <c r="A20939" s="35" t="e" cm="1">
        <f t="array" ref="A20939">------SFTISN---------------NTFNLSTTLKINKFDFIYIIETGKWYMFDENIE</f>
        <v>#NAME?</v>
      </c>
    </row>
    <row r="20940" spans="1:1">
      <c r="A20940" s="35" t="s">
        <v>59050</v>
      </c>
    </row>
    <row r="20941" spans="1:1">
      <c r="A20941" s="35" t="s">
        <v>59051</v>
      </c>
    </row>
    <row r="20942" spans="1:1">
      <c r="A20942" s="35" t="s">
        <v>59052</v>
      </c>
    </row>
    <row r="20943" spans="1:1">
      <c r="A20943" s="35" t="s">
        <v>59053</v>
      </c>
    </row>
    <row r="20944" spans="1:1">
      <c r="A20944" s="35" t="e" cm="1">
        <f t="array" ref="A20944">-----------------L--ELQQNSLITLEGWIYK--SRDMWVTFTKSANNWYCINTQN</f>
        <v>#NAME?</v>
      </c>
    </row>
    <row r="20945" spans="1:1">
      <c r="A20945" s="35" t="s">
        <v>59054</v>
      </c>
    </row>
    <row r="20946" spans="1:1">
      <c r="A20946" s="35" t="s">
        <v>59055</v>
      </c>
    </row>
    <row r="20947" spans="1:1">
      <c r="A20947" s="35" t="s">
        <v>59056</v>
      </c>
    </row>
    <row r="20948" spans="1:1">
      <c r="A20948" s="35" t="s">
        <v>59057</v>
      </c>
    </row>
    <row r="20949" spans="1:1">
      <c r="A20949" s="35" t="s">
        <v>59058</v>
      </c>
    </row>
    <row r="20950" spans="1:1">
      <c r="A20950" s="35" t="s">
        <v>59059</v>
      </c>
    </row>
    <row r="20951" spans="1:1">
      <c r="A20951" s="35" t="s">
        <v>59060</v>
      </c>
    </row>
    <row r="20952" spans="1:1">
      <c r="A20952" s="35" t="s">
        <v>59061</v>
      </c>
    </row>
    <row r="20953" spans="1:1">
      <c r="A20953" s="35" t="s">
        <v>59062</v>
      </c>
    </row>
    <row r="20954" spans="1:1">
      <c r="A20954" s="35" t="s">
        <v>59063</v>
      </c>
    </row>
    <row r="20955" spans="1:1">
      <c r="A20955" s="35" t="e" cm="1">
        <f t="array" ref="A20955">-TPES-----YYTKNILNNNIKHYLNNKTLPISQY----------SDGILAFEGPDPNDP</f>
        <v>#NAME?</v>
      </c>
    </row>
    <row r="20956" spans="1:1">
      <c r="A20956" s="35" t="s">
        <v>59064</v>
      </c>
    </row>
    <row r="20957" spans="1:1">
      <c r="A20957" s="35" t="e" cm="1">
        <f t="array" ref="A20957">--------------------------------------------ILYEPLIKNELDLQKN</f>
        <v>#NAME?</v>
      </c>
    </row>
    <row r="20958" spans="1:1">
      <c r="A20958" s="35" t="s">
        <v>59065</v>
      </c>
    </row>
    <row r="20959" spans="1:1">
      <c r="A20959" s="35" t="s">
        <v>59066</v>
      </c>
    </row>
    <row r="20960" spans="1:1">
      <c r="A20960" s="35" t="s">
        <v>59067</v>
      </c>
    </row>
    <row r="20961" spans="1:1">
      <c r="A20961" s="35" t="e" cm="1">
        <f t="array" ref="A20961">------LYLEY---------------------------------LIKKEN--------VL</f>
        <v>#NAME?</v>
      </c>
    </row>
    <row r="20962" spans="1:1">
      <c r="A20962" s="35" t="s">
        <v>59068</v>
      </c>
    </row>
    <row r="20963" spans="1:1">
      <c r="A20963" s="35" t="e" cm="1">
        <f t="array" ref="A20963">-----------NYSIFKE---LILQKPSHKLGLKLVKTVDFYNFWDKLKTGILSNYQENE</f>
        <v>#NAME?</v>
      </c>
    </row>
    <row r="20964" spans="1:1">
      <c r="A20964" s="35" t="s">
        <v>59069</v>
      </c>
    </row>
    <row r="20965" spans="1:1">
      <c r="A20965" s="35" t="s">
        <v>59070</v>
      </c>
    </row>
    <row r="20966" spans="1:1">
      <c r="A20966" s="35" t="s">
        <v>59071</v>
      </c>
    </row>
    <row r="20967" spans="1:1">
      <c r="A20967" s="35" t="e" cm="1">
        <f t="array" ref="A20967">-----SV------------E-IEDI-----------KIIDQTNLIIPYIDLNNINYINIL</f>
        <v>#NAME?</v>
      </c>
    </row>
    <row r="20968" spans="1:1">
      <c r="A20968" s="35" t="s">
        <v>59072</v>
      </c>
    </row>
    <row r="20969" spans="1:1">
      <c r="A20969" s="35" t="s">
        <v>59073</v>
      </c>
    </row>
    <row r="20970" spans="1:1">
      <c r="A20970" s="35" t="s">
        <v>59074</v>
      </c>
    </row>
    <row r="20971" spans="1:1">
      <c r="A20971" s="35" t="e" cm="1">
        <f t="array" ref="A20971">----------------------PSDLSINSFTCQNYTFVNNLLYVSFDKELQLQDMKNLV</f>
        <v>#NAME?</v>
      </c>
    </row>
    <row r="20972" spans="1:1">
      <c r="A20972" s="35" t="s">
        <v>59075</v>
      </c>
    </row>
    <row r="20973" spans="1:1">
      <c r="A20973" s="35" t="s">
        <v>59076</v>
      </c>
    </row>
    <row r="20974" spans="1:1">
      <c r="A20974" s="35" t="s">
        <v>59077</v>
      </c>
    </row>
    <row r="20975" spans="1:1">
      <c r="A20975" s="35" t="e" cm="1">
        <f t="array" ref="A20975">---------------------------IDLTKFNLNLEEELVEEDIKNSIIIKCENLLED</f>
        <v>#NAME?</v>
      </c>
    </row>
    <row r="20976" spans="1:1">
      <c r="A20976" s="35" t="s">
        <v>59078</v>
      </c>
    </row>
    <row r="20977" spans="1:1">
      <c r="A20977" s="35" t="s">
        <v>59079</v>
      </c>
    </row>
    <row r="20978" spans="1:1">
      <c r="A20978" s="35" t="s">
        <v>41534</v>
      </c>
    </row>
    <row r="20979" spans="1:1">
      <c r="A20979" s="35" t="s">
        <v>59080</v>
      </c>
    </row>
    <row r="20980" spans="1:1">
      <c r="A20980" s="35" t="s">
        <v>59081</v>
      </c>
    </row>
    <row r="20981" spans="1:1">
      <c r="A20981" s="35" t="s">
        <v>59082</v>
      </c>
    </row>
    <row r="20982" spans="1:1">
      <c r="A20982" s="35" t="s">
        <v>41057</v>
      </c>
    </row>
    <row r="20983" spans="1:1">
      <c r="A20983" s="35" t="s">
        <v>59083</v>
      </c>
    </row>
    <row r="20984" spans="1:1">
      <c r="A20984" s="35" t="s">
        <v>59084</v>
      </c>
    </row>
    <row r="20985" spans="1:1">
      <c r="A20985" s="35" t="e" cm="1">
        <f t="array" ref="A20985">--------------E----------------------------FNFNKLSNILKSETNDK</f>
        <v>#NAME?</v>
      </c>
    </row>
    <row r="20986" spans="1:1">
      <c r="A20986" s="35" t="s">
        <v>59085</v>
      </c>
    </row>
    <row r="20987" spans="1:1">
      <c r="A20987" s="35" t="e" cm="1">
        <f t="array" ref="A20987">------------PKIKGK-----LVYQSI-------WLGD----EEK---MLIGKHKQDY</f>
        <v>#NAME?</v>
      </c>
    </row>
    <row r="20988" spans="1:1">
      <c r="A20988" s="35" t="s">
        <v>59086</v>
      </c>
    </row>
    <row r="20989" spans="1:1">
      <c r="A20989" s="35" t="s">
        <v>41057</v>
      </c>
    </row>
    <row r="20990" spans="1:1">
      <c r="A20990" s="35" t="s">
        <v>41057</v>
      </c>
    </row>
    <row r="20991" spans="1:1">
      <c r="A20991" s="35" t="s">
        <v>41057</v>
      </c>
    </row>
    <row r="20992" spans="1:1">
      <c r="A20992" s="35" t="e" cm="1">
        <f t="array" ref="A20992">------------------GSVKDF------------FFS-------FYLDDKLINYIEDK</f>
        <v>#NAME?</v>
      </c>
    </row>
    <row r="20993" spans="1:1">
      <c r="A20993" s="35" t="s">
        <v>59087</v>
      </c>
    </row>
    <row r="20994" spans="1:1">
      <c r="A20994" s="35" t="e" cm="1">
        <f t="array" ref="A20994">----------------------YFKDKYYVGFIILNYLEKFPLSSKNKLVLFICYYWKDV</f>
        <v>#NAME?</v>
      </c>
    </row>
    <row r="20995" spans="1:1">
      <c r="A20995" s="35" t="s">
        <v>59088</v>
      </c>
    </row>
    <row r="20996" spans="1:1">
      <c r="A20996" s="35" t="s">
        <v>59089</v>
      </c>
    </row>
    <row r="20997" spans="1:1">
      <c r="A20997" s="35" t="s">
        <v>59090</v>
      </c>
    </row>
    <row r="20998" spans="1:1">
      <c r="A20998" s="35" t="s">
        <v>59091</v>
      </c>
    </row>
    <row r="20999" spans="1:1">
      <c r="A20999" s="35" t="s">
        <v>41057</v>
      </c>
    </row>
    <row r="21000" spans="1:1">
      <c r="A21000" s="35" t="s">
        <v>59092</v>
      </c>
    </row>
    <row r="21001" spans="1:1">
      <c r="A21001" s="35" t="s">
        <v>59093</v>
      </c>
    </row>
    <row r="21002" spans="1:1">
      <c r="A21002" s="35" t="s">
        <v>59094</v>
      </c>
    </row>
    <row r="21003" spans="1:1">
      <c r="A21003" s="35" t="s">
        <v>41057</v>
      </c>
    </row>
    <row r="21004" spans="1:1">
      <c r="A21004" s="35" t="s">
        <v>53545</v>
      </c>
    </row>
    <row r="21005" spans="1:1">
      <c r="A21005" s="35" t="s">
        <v>52397</v>
      </c>
    </row>
    <row r="21006" spans="1:1">
      <c r="A21006" s="35" t="s">
        <v>41057</v>
      </c>
    </row>
    <row r="21007" spans="1:1">
      <c r="A21007" s="35" t="s">
        <v>41057</v>
      </c>
    </row>
    <row r="21008" spans="1:1">
      <c r="A21008" s="35" t="s">
        <v>41057</v>
      </c>
    </row>
    <row r="21009" spans="1:1">
      <c r="A21009" s="35" t="s">
        <v>41057</v>
      </c>
    </row>
    <row r="21010" spans="1:1">
      <c r="A21010" s="35" t="s">
        <v>41057</v>
      </c>
    </row>
    <row r="21011" spans="1:1">
      <c r="A21011" s="35" t="s">
        <v>54096</v>
      </c>
    </row>
    <row r="21012" spans="1:1">
      <c r="A21012" s="35" t="s">
        <v>41057</v>
      </c>
    </row>
    <row r="21013" spans="1:1">
      <c r="A21013" s="35" t="s">
        <v>41057</v>
      </c>
    </row>
    <row r="21014" spans="1:1">
      <c r="A21014" s="35" t="s">
        <v>41057</v>
      </c>
    </row>
    <row r="21015" spans="1:1">
      <c r="A21015" s="35" t="s">
        <v>54097</v>
      </c>
    </row>
    <row r="21016" spans="1:1">
      <c r="A21016" s="35" t="s">
        <v>59095</v>
      </c>
    </row>
    <row r="21017" spans="1:1">
      <c r="A21017" s="35" t="s">
        <v>59096</v>
      </c>
    </row>
    <row r="21018" spans="1:1">
      <c r="A21018" s="35" t="s">
        <v>59097</v>
      </c>
    </row>
    <row r="21019" spans="1:1">
      <c r="A21019" s="35" t="s">
        <v>41057</v>
      </c>
    </row>
    <row r="21020" spans="1:1">
      <c r="A21020" s="35" t="s">
        <v>41057</v>
      </c>
    </row>
    <row r="21021" spans="1:1">
      <c r="A21021" s="35" t="e" cm="1">
        <f t="array" ref="A21021">---------------EITF------------------FKI-------------------A</f>
        <v>#NAME?</v>
      </c>
    </row>
    <row r="21022" spans="1:1">
      <c r="A21022" s="35" t="s">
        <v>59098</v>
      </c>
    </row>
    <row r="21023" spans="1:1">
      <c r="A21023" s="35" t="s">
        <v>59099</v>
      </c>
    </row>
    <row r="21024" spans="1:1">
      <c r="A21024" s="35" t="s">
        <v>41057</v>
      </c>
    </row>
    <row r="21025" spans="1:1">
      <c r="A21025" s="35" t="s">
        <v>41057</v>
      </c>
    </row>
    <row r="21026" spans="1:1">
      <c r="A21026" s="35" t="s">
        <v>59100</v>
      </c>
    </row>
    <row r="21027" spans="1:1">
      <c r="A21027" s="35" t="s">
        <v>41057</v>
      </c>
    </row>
    <row r="21028" spans="1:1">
      <c r="A21028" s="35" t="s">
        <v>59101</v>
      </c>
    </row>
    <row r="21029" spans="1:1">
      <c r="A21029" s="35" t="s">
        <v>41057</v>
      </c>
    </row>
    <row r="21030" spans="1:1">
      <c r="A21030" s="35" t="s">
        <v>41057</v>
      </c>
    </row>
    <row r="21031" spans="1:1">
      <c r="A21031" s="35" t="s">
        <v>41057</v>
      </c>
    </row>
    <row r="21032" spans="1:1">
      <c r="A21032" s="35" t="s">
        <v>41057</v>
      </c>
    </row>
    <row r="21033" spans="1:1">
      <c r="A21033" s="35" t="s">
        <v>41057</v>
      </c>
    </row>
    <row r="21034" spans="1:1">
      <c r="A21034" s="35" t="s">
        <v>59102</v>
      </c>
    </row>
    <row r="21035" spans="1:1">
      <c r="A21035" s="35" t="s">
        <v>41057</v>
      </c>
    </row>
    <row r="21036" spans="1:1">
      <c r="A21036" s="35" t="s">
        <v>59103</v>
      </c>
    </row>
    <row r="21037" spans="1:1">
      <c r="A21037" s="35" t="s">
        <v>41057</v>
      </c>
    </row>
    <row r="21038" spans="1:1">
      <c r="A21038" s="35" t="s">
        <v>59104</v>
      </c>
    </row>
    <row r="21039" spans="1:1">
      <c r="A21039" s="35" t="s">
        <v>59105</v>
      </c>
    </row>
    <row r="21040" spans="1:1">
      <c r="A21040" s="35" t="s">
        <v>41057</v>
      </c>
    </row>
    <row r="21041" spans="1:1">
      <c r="A21041" s="35" t="s">
        <v>41057</v>
      </c>
    </row>
    <row r="21042" spans="1:1">
      <c r="A21042" s="35" t="s">
        <v>59106</v>
      </c>
    </row>
    <row r="21043" spans="1:1">
      <c r="A21043" s="35" t="s">
        <v>41057</v>
      </c>
    </row>
    <row r="21044" spans="1:1">
      <c r="A21044" s="35" t="s">
        <v>59107</v>
      </c>
    </row>
    <row r="21045" spans="1:1">
      <c r="A21045" s="35" t="s">
        <v>41057</v>
      </c>
    </row>
    <row r="21046" spans="1:1">
      <c r="A21046" s="35" t="s">
        <v>41057</v>
      </c>
    </row>
    <row r="21047" spans="1:1">
      <c r="A21047" s="35" t="s">
        <v>59108</v>
      </c>
    </row>
    <row r="21048" spans="1:1">
      <c r="A21048" s="35" t="s">
        <v>59109</v>
      </c>
    </row>
    <row r="21049" spans="1:1">
      <c r="A21049" s="35" t="s">
        <v>41057</v>
      </c>
    </row>
    <row r="21050" spans="1:1">
      <c r="A21050" s="35" t="s">
        <v>41057</v>
      </c>
    </row>
    <row r="21051" spans="1:1">
      <c r="A21051" s="35" t="s">
        <v>41057</v>
      </c>
    </row>
    <row r="21052" spans="1:1">
      <c r="A21052" s="35" t="s">
        <v>59110</v>
      </c>
    </row>
    <row r="21053" spans="1:1">
      <c r="A21053" s="35" t="s">
        <v>41057</v>
      </c>
    </row>
    <row r="21054" spans="1:1">
      <c r="A21054" s="35" t="s">
        <v>59111</v>
      </c>
    </row>
    <row r="21055" spans="1:1">
      <c r="A21055" s="35" t="s">
        <v>59112</v>
      </c>
    </row>
    <row r="21056" spans="1:1">
      <c r="A21056" s="35" t="s">
        <v>59113</v>
      </c>
    </row>
    <row r="21057" spans="1:1">
      <c r="A21057" s="35" t="s">
        <v>59114</v>
      </c>
    </row>
    <row r="21058" spans="1:1">
      <c r="A21058" s="35" t="s">
        <v>41057</v>
      </c>
    </row>
    <row r="21059" spans="1:1">
      <c r="A21059" s="35" t="s">
        <v>59115</v>
      </c>
    </row>
    <row r="21060" spans="1:1">
      <c r="A21060" s="35" t="s">
        <v>59116</v>
      </c>
    </row>
    <row r="21061" spans="1:1">
      <c r="A21061" s="35" t="s">
        <v>41057</v>
      </c>
    </row>
    <row r="21062" spans="1:1">
      <c r="A21062" s="35" t="s">
        <v>41057</v>
      </c>
    </row>
    <row r="21063" spans="1:1">
      <c r="A21063" s="35" t="s">
        <v>41057</v>
      </c>
    </row>
    <row r="21064" spans="1:1">
      <c r="A21064" s="35" t="s">
        <v>59117</v>
      </c>
    </row>
    <row r="21065" spans="1:1">
      <c r="A21065" s="35" t="s">
        <v>59118</v>
      </c>
    </row>
    <row r="21066" spans="1:1">
      <c r="A21066" s="35" t="e" cm="1">
        <f t="array" ref="A21066">--FVLEDNIFQTI------------------------------------DDLIIKKNEIK</f>
        <v>#NAME?</v>
      </c>
    </row>
    <row r="21067" spans="1:1">
      <c r="A21067" s="35" t="e" cm="1">
        <f t="array" ref="A21067">---------------------------------------------------KYLITRTQV</f>
        <v>#NAME?</v>
      </c>
    </row>
    <row r="21068" spans="1:1">
      <c r="A21068" s="35" t="s">
        <v>59119</v>
      </c>
    </row>
    <row r="21069" spans="1:1">
      <c r="A21069" s="35" t="e" cm="1">
        <f t="array" ref="A21069">---------------------------------------------------------RIL</f>
        <v>#NAME?</v>
      </c>
    </row>
    <row r="21070" spans="1:1">
      <c r="A21070" s="35" t="s">
        <v>59120</v>
      </c>
    </row>
    <row r="21071" spans="1:1">
      <c r="A21071" s="35" t="s">
        <v>59121</v>
      </c>
    </row>
    <row r="21072" spans="1:1">
      <c r="A21072" s="35" t="s">
        <v>41057</v>
      </c>
    </row>
    <row r="21073" spans="1:1">
      <c r="A21073" s="35" t="s">
        <v>41057</v>
      </c>
    </row>
    <row r="21074" spans="1:1">
      <c r="A21074" s="35" t="s">
        <v>59122</v>
      </c>
    </row>
    <row r="21075" spans="1:1">
      <c r="A21075" s="35" t="e" cm="1">
        <f t="array" ref="A21075">-----------------------------------------------LYKWKNRL---AN</f>
        <v>#NAME?</v>
      </c>
    </row>
    <row r="21076" spans="1:1">
      <c r="A21076" s="35" t="s">
        <v>59123</v>
      </c>
    </row>
    <row r="21077" spans="1:1">
      <c r="A21077" s="35" t="e" cm="1">
        <f t="array" ref="A21077">---------------SEEIDIYYQCHY---------SNDE------------------KN</f>
        <v>#NAME?</v>
      </c>
    </row>
    <row r="21078" spans="1:1">
      <c r="A21078" s="35" t="s">
        <v>59124</v>
      </c>
    </row>
    <row r="21079" spans="1:1">
      <c r="A21079" s="35" t="s">
        <v>41057</v>
      </c>
    </row>
    <row r="21080" spans="1:1">
      <c r="A21080" s="35" t="s">
        <v>59125</v>
      </c>
    </row>
    <row r="21081" spans="1:1">
      <c r="A21081" s="35" t="s">
        <v>59126</v>
      </c>
    </row>
    <row r="21082" spans="1:1">
      <c r="A21082" s="35" t="s">
        <v>41057</v>
      </c>
    </row>
    <row r="21083" spans="1:1">
      <c r="A21083" s="35" t="s">
        <v>59127</v>
      </c>
    </row>
    <row r="21084" spans="1:1">
      <c r="A21084" s="35" t="s">
        <v>59128</v>
      </c>
    </row>
    <row r="21085" spans="1:1">
      <c r="A21085" s="35" t="s">
        <v>59129</v>
      </c>
    </row>
    <row r="21086" spans="1:1">
      <c r="A21086" s="35" t="s">
        <v>59130</v>
      </c>
    </row>
    <row r="21087" spans="1:1">
      <c r="A21087" s="35" t="s">
        <v>59131</v>
      </c>
    </row>
    <row r="21088" spans="1:1">
      <c r="A21088" s="35" t="s">
        <v>59132</v>
      </c>
    </row>
    <row r="21089" spans="1:1">
      <c r="A21089" s="35" t="s">
        <v>59133</v>
      </c>
    </row>
    <row r="21090" spans="1:1">
      <c r="A21090" s="35" t="s">
        <v>59134</v>
      </c>
    </row>
    <row r="21091" spans="1:1">
      <c r="A21091" s="35" t="s">
        <v>41057</v>
      </c>
    </row>
    <row r="21092" spans="1:1">
      <c r="A21092" s="35" t="s">
        <v>59135</v>
      </c>
    </row>
    <row r="21093" spans="1:1">
      <c r="A21093" s="35" t="e" cm="1">
        <f t="array" ref="A21093">---------------------------LELTT-NYNLENA-------------------D</f>
        <v>#NAME?</v>
      </c>
    </row>
    <row r="21094" spans="1:1">
      <c r="A21094" s="35" t="s">
        <v>59136</v>
      </c>
    </row>
    <row r="21095" spans="1:1">
      <c r="A21095" s="35" t="s">
        <v>59137</v>
      </c>
    </row>
    <row r="21096" spans="1:1">
      <c r="A21096" s="35" t="s">
        <v>41057</v>
      </c>
    </row>
    <row r="21097" spans="1:1">
      <c r="A21097" s="35" t="s">
        <v>41057</v>
      </c>
    </row>
    <row r="21098" spans="1:1">
      <c r="A21098" s="35" t="s">
        <v>41057</v>
      </c>
    </row>
    <row r="21099" spans="1:1">
      <c r="A21099" s="35" t="s">
        <v>59138</v>
      </c>
    </row>
    <row r="21100" spans="1:1">
      <c r="A21100" s="35" t="s">
        <v>41057</v>
      </c>
    </row>
    <row r="21101" spans="1:1">
      <c r="A21101" s="35" t="s">
        <v>59139</v>
      </c>
    </row>
    <row r="21102" spans="1:1">
      <c r="A21102" s="35" t="s">
        <v>41128</v>
      </c>
    </row>
    <row r="21103" spans="1:1">
      <c r="A21103" s="35" t="s">
        <v>41057</v>
      </c>
    </row>
    <row r="21104" spans="1:1">
      <c r="A21104" s="35" t="s">
        <v>41057</v>
      </c>
    </row>
    <row r="21105" spans="1:1">
      <c r="A21105" s="35" t="s">
        <v>59140</v>
      </c>
    </row>
    <row r="21106" spans="1:1">
      <c r="A21106" s="35" t="s">
        <v>41057</v>
      </c>
    </row>
    <row r="21107" spans="1:1">
      <c r="A21107" s="35" t="s">
        <v>41057</v>
      </c>
    </row>
    <row r="21108" spans="1:1">
      <c r="A21108" s="35" t="s">
        <v>41057</v>
      </c>
    </row>
    <row r="21109" spans="1:1">
      <c r="A21109" s="35" t="s">
        <v>54858</v>
      </c>
    </row>
    <row r="21110" spans="1:1">
      <c r="A21110" s="35" t="e" cm="1">
        <f t="array" ref="A21110">----------------------------------------------QYQNLLGKNNIENF</f>
        <v>#NAME?</v>
      </c>
    </row>
    <row r="21111" spans="1:1">
      <c r="A21111" s="35" t="s">
        <v>59141</v>
      </c>
    </row>
    <row r="21112" spans="1:1">
      <c r="A21112" s="35" t="s">
        <v>59142</v>
      </c>
    </row>
    <row r="21113" spans="1:1">
      <c r="A21113" s="35" t="s">
        <v>59143</v>
      </c>
    </row>
    <row r="21114" spans="1:1">
      <c r="A21114" s="35" t="s">
        <v>59144</v>
      </c>
    </row>
    <row r="21115" spans="1:1">
      <c r="A21115" s="35" t="s">
        <v>59145</v>
      </c>
    </row>
    <row r="21116" spans="1:1">
      <c r="A21116" s="35" t="s">
        <v>59146</v>
      </c>
    </row>
    <row r="21117" spans="1:1">
      <c r="A21117" s="35" t="s">
        <v>41057</v>
      </c>
    </row>
    <row r="21118" spans="1:1">
      <c r="A21118" s="35" t="s">
        <v>59147</v>
      </c>
    </row>
    <row r="21119" spans="1:1">
      <c r="A21119" s="35" t="s">
        <v>59148</v>
      </c>
    </row>
    <row r="21120" spans="1:1">
      <c r="A21120" s="35" t="s">
        <v>59149</v>
      </c>
    </row>
    <row r="21121" spans="1:1">
      <c r="A21121" s="35" t="s">
        <v>41057</v>
      </c>
    </row>
    <row r="21122" spans="1:1">
      <c r="A21122" s="35" t="s">
        <v>53545</v>
      </c>
    </row>
    <row r="21123" spans="1:1">
      <c r="A21123" s="35" t="s">
        <v>59150</v>
      </c>
    </row>
    <row r="21124" spans="1:1">
      <c r="A21124" s="35" t="s">
        <v>41057</v>
      </c>
    </row>
    <row r="21125" spans="1:1">
      <c r="A21125" s="35" t="s">
        <v>41057</v>
      </c>
    </row>
    <row r="21126" spans="1:1">
      <c r="A21126" s="35" t="s">
        <v>41057</v>
      </c>
    </row>
    <row r="21127" spans="1:1">
      <c r="A21127" s="35" t="s">
        <v>41057</v>
      </c>
    </row>
    <row r="21128" spans="1:1">
      <c r="A21128" s="35" t="s">
        <v>59151</v>
      </c>
    </row>
    <row r="21129" spans="1:1">
      <c r="A21129" s="35" t="s">
        <v>59152</v>
      </c>
    </row>
    <row r="21130" spans="1:1">
      <c r="A21130" s="35" t="s">
        <v>59153</v>
      </c>
    </row>
    <row r="21131" spans="1:1">
      <c r="A21131" s="35" t="s">
        <v>41057</v>
      </c>
    </row>
    <row r="21132" spans="1:1">
      <c r="A21132" s="35" t="s">
        <v>41057</v>
      </c>
    </row>
    <row r="21133" spans="1:1">
      <c r="A21133" s="35" t="s">
        <v>59154</v>
      </c>
    </row>
    <row r="21134" spans="1:1">
      <c r="A21134" s="35" t="s">
        <v>59155</v>
      </c>
    </row>
    <row r="21135" spans="1:1">
      <c r="A21135" s="35" t="s">
        <v>41057</v>
      </c>
    </row>
    <row r="21136" spans="1:1">
      <c r="A21136" s="35" t="s">
        <v>41057</v>
      </c>
    </row>
    <row r="21137" spans="1:1">
      <c r="A21137" s="35" t="s">
        <v>41057</v>
      </c>
    </row>
    <row r="21138" spans="1:1">
      <c r="A21138" s="35" t="s">
        <v>41057</v>
      </c>
    </row>
    <row r="21139" spans="1:1">
      <c r="A21139" s="35" t="s">
        <v>41057</v>
      </c>
    </row>
    <row r="21140" spans="1:1">
      <c r="A21140" s="35" t="s">
        <v>41057</v>
      </c>
    </row>
    <row r="21141" spans="1:1">
      <c r="A21141" s="35" t="s">
        <v>59156</v>
      </c>
    </row>
    <row r="21142" spans="1:1">
      <c r="A21142" s="35" t="s">
        <v>41057</v>
      </c>
    </row>
    <row r="21143" spans="1:1">
      <c r="A21143" s="35" t="s">
        <v>53903</v>
      </c>
    </row>
    <row r="21144" spans="1:1">
      <c r="A21144" s="35" t="s">
        <v>41057</v>
      </c>
    </row>
    <row r="21145" spans="1:1">
      <c r="A21145" s="35" t="s">
        <v>41057</v>
      </c>
    </row>
    <row r="21146" spans="1:1">
      <c r="A21146" s="35" t="s">
        <v>59157</v>
      </c>
    </row>
    <row r="21147" spans="1:1">
      <c r="A21147" s="35" t="s">
        <v>41057</v>
      </c>
    </row>
    <row r="21148" spans="1:1">
      <c r="A21148" s="35" t="s">
        <v>41057</v>
      </c>
    </row>
    <row r="21149" spans="1:1">
      <c r="A21149" s="35" t="s">
        <v>55207</v>
      </c>
    </row>
    <row r="21150" spans="1:1">
      <c r="A21150" s="35" t="s">
        <v>41057</v>
      </c>
    </row>
    <row r="21151" spans="1:1">
      <c r="A21151" s="35" t="s">
        <v>41057</v>
      </c>
    </row>
    <row r="21152" spans="1:1">
      <c r="A21152" s="35" t="s">
        <v>53905</v>
      </c>
    </row>
    <row r="21153" spans="1:1">
      <c r="A21153" s="35" t="s">
        <v>41057</v>
      </c>
    </row>
    <row r="21154" spans="1:1">
      <c r="A21154" s="35" t="s">
        <v>53906</v>
      </c>
    </row>
    <row r="21155" spans="1:1">
      <c r="A21155" s="35" t="s">
        <v>41057</v>
      </c>
    </row>
    <row r="21156" spans="1:1">
      <c r="A21156" s="35" t="s">
        <v>59158</v>
      </c>
    </row>
    <row r="21157" spans="1:1">
      <c r="A21157" s="35" t="s">
        <v>59159</v>
      </c>
    </row>
    <row r="21158" spans="1:1">
      <c r="A21158" s="35" t="s">
        <v>41057</v>
      </c>
    </row>
    <row r="21159" spans="1:1">
      <c r="A21159" s="35" t="s">
        <v>41057</v>
      </c>
    </row>
    <row r="21160" spans="1:1">
      <c r="A21160" s="35" t="s">
        <v>41057</v>
      </c>
    </row>
    <row r="21161" spans="1:1">
      <c r="A21161" s="35" t="s">
        <v>41057</v>
      </c>
    </row>
    <row r="21162" spans="1:1">
      <c r="A21162" s="35" t="s">
        <v>41057</v>
      </c>
    </row>
    <row r="21163" spans="1:1">
      <c r="A21163" s="35" t="s">
        <v>41057</v>
      </c>
    </row>
    <row r="21164" spans="1:1">
      <c r="A21164" s="35" t="s">
        <v>41057</v>
      </c>
    </row>
    <row r="21165" spans="1:1">
      <c r="A21165" s="35" t="s">
        <v>41057</v>
      </c>
    </row>
    <row r="21166" spans="1:1">
      <c r="A21166" s="35" t="s">
        <v>41057</v>
      </c>
    </row>
    <row r="21167" spans="1:1">
      <c r="A21167" s="35" t="s">
        <v>41057</v>
      </c>
    </row>
    <row r="21168" spans="1:1">
      <c r="A21168" s="35" t="s">
        <v>41057</v>
      </c>
    </row>
    <row r="21169" spans="1:1">
      <c r="A21169" s="35" t="s">
        <v>41057</v>
      </c>
    </row>
    <row r="21170" spans="1:1">
      <c r="A21170" s="35" t="s">
        <v>41057</v>
      </c>
    </row>
    <row r="21171" spans="1:1">
      <c r="A21171" s="35" t="s">
        <v>41057</v>
      </c>
    </row>
    <row r="21172" spans="1:1">
      <c r="A21172" s="35" t="s">
        <v>41057</v>
      </c>
    </row>
    <row r="21173" spans="1:1">
      <c r="A21173" s="35" t="s">
        <v>41057</v>
      </c>
    </row>
    <row r="21174" spans="1:1">
      <c r="A21174" s="35" t="s">
        <v>41057</v>
      </c>
    </row>
    <row r="21175" spans="1:1">
      <c r="A21175" s="35" t="s">
        <v>41057</v>
      </c>
    </row>
    <row r="21176" spans="1:1">
      <c r="A21176" s="35" t="s">
        <v>41057</v>
      </c>
    </row>
    <row r="21177" spans="1:1">
      <c r="A21177" s="35" t="s">
        <v>41057</v>
      </c>
    </row>
    <row r="21178" spans="1:1">
      <c r="A21178" s="35" t="s">
        <v>41057</v>
      </c>
    </row>
    <row r="21179" spans="1:1">
      <c r="A21179" s="35" t="s">
        <v>41057</v>
      </c>
    </row>
    <row r="21180" spans="1:1">
      <c r="A21180" s="35" t="s">
        <v>41057</v>
      </c>
    </row>
    <row r="21181" spans="1:1">
      <c r="A21181" s="35" t="s">
        <v>41057</v>
      </c>
    </row>
    <row r="21182" spans="1:1">
      <c r="A21182" s="35" t="s">
        <v>41057</v>
      </c>
    </row>
    <row r="21183" spans="1:1">
      <c r="A21183" s="35" t="s">
        <v>41057</v>
      </c>
    </row>
    <row r="21184" spans="1:1">
      <c r="A21184" s="35" t="s">
        <v>41057</v>
      </c>
    </row>
    <row r="21185" spans="1:1">
      <c r="A21185" s="35" t="s">
        <v>41057</v>
      </c>
    </row>
    <row r="21186" spans="1:1">
      <c r="A21186" s="35" t="s">
        <v>41057</v>
      </c>
    </row>
    <row r="21187" spans="1:1">
      <c r="A21187" s="35" t="s">
        <v>41057</v>
      </c>
    </row>
    <row r="21188" spans="1:1">
      <c r="A21188" s="35" t="s">
        <v>41057</v>
      </c>
    </row>
    <row r="21189" spans="1:1">
      <c r="A21189" s="35" t="s">
        <v>41057</v>
      </c>
    </row>
    <row r="21190" spans="1:1">
      <c r="A21190" s="35" t="s">
        <v>41057</v>
      </c>
    </row>
    <row r="21191" spans="1:1">
      <c r="A21191" s="35" t="s">
        <v>41057</v>
      </c>
    </row>
    <row r="21192" spans="1:1">
      <c r="A21192" s="35" t="s">
        <v>41057</v>
      </c>
    </row>
    <row r="21193" spans="1:1">
      <c r="A21193" s="35" t="s">
        <v>41057</v>
      </c>
    </row>
    <row r="21194" spans="1:1">
      <c r="A21194" s="35" t="s">
        <v>41057</v>
      </c>
    </row>
    <row r="21195" spans="1:1">
      <c r="A21195" s="35" t="s">
        <v>41057</v>
      </c>
    </row>
    <row r="21196" spans="1:1">
      <c r="A21196" s="35" t="s">
        <v>41057</v>
      </c>
    </row>
    <row r="21197" spans="1:1">
      <c r="A21197" s="35" t="s">
        <v>41057</v>
      </c>
    </row>
    <row r="21198" spans="1:1">
      <c r="A21198" s="35" t="s">
        <v>41057</v>
      </c>
    </row>
    <row r="21199" spans="1:1">
      <c r="A21199" s="35" t="s">
        <v>59160</v>
      </c>
    </row>
    <row r="21200" spans="1:1">
      <c r="A21200" s="35" t="s">
        <v>41057</v>
      </c>
    </row>
    <row r="21201" spans="1:1">
      <c r="A21201" s="35" t="s">
        <v>41057</v>
      </c>
    </row>
    <row r="21202" spans="1:1">
      <c r="A21202" s="35" t="s">
        <v>41057</v>
      </c>
    </row>
    <row r="21203" spans="1:1">
      <c r="A21203" s="35" t="s">
        <v>41057</v>
      </c>
    </row>
    <row r="21204" spans="1:1">
      <c r="A21204" s="35" t="s">
        <v>41057</v>
      </c>
    </row>
    <row r="21205" spans="1:1">
      <c r="A21205" s="35" t="s">
        <v>41057</v>
      </c>
    </row>
    <row r="21206" spans="1:1">
      <c r="A21206" s="35" t="s">
        <v>41057</v>
      </c>
    </row>
    <row r="21207" spans="1:1">
      <c r="A21207" s="35" t="s">
        <v>41057</v>
      </c>
    </row>
    <row r="21208" spans="1:1">
      <c r="A21208" s="35" t="s">
        <v>41057</v>
      </c>
    </row>
    <row r="21209" spans="1:1">
      <c r="A21209" s="35" t="s">
        <v>41057</v>
      </c>
    </row>
    <row r="21210" spans="1:1">
      <c r="A21210" s="35" t="s">
        <v>41057</v>
      </c>
    </row>
    <row r="21211" spans="1:1">
      <c r="A21211" s="35" t="s">
        <v>41057</v>
      </c>
    </row>
    <row r="21212" spans="1:1">
      <c r="A21212" s="35" t="s">
        <v>41057</v>
      </c>
    </row>
    <row r="21213" spans="1:1">
      <c r="A21213" s="35" t="s">
        <v>41057</v>
      </c>
    </row>
    <row r="21214" spans="1:1">
      <c r="A21214" s="35" t="s">
        <v>41057</v>
      </c>
    </row>
    <row r="21215" spans="1:1">
      <c r="A21215" s="35" t="s">
        <v>41057</v>
      </c>
    </row>
    <row r="21216" spans="1:1">
      <c r="A21216" s="35" t="s">
        <v>41057</v>
      </c>
    </row>
    <row r="21217" spans="1:1">
      <c r="A21217" s="35" t="s">
        <v>41057</v>
      </c>
    </row>
    <row r="21218" spans="1:1">
      <c r="A21218" s="35" t="s">
        <v>41057</v>
      </c>
    </row>
    <row r="21219" spans="1:1">
      <c r="A21219" s="35" t="s">
        <v>41057</v>
      </c>
    </row>
    <row r="21220" spans="1:1">
      <c r="A21220" s="35" t="s">
        <v>41057</v>
      </c>
    </row>
    <row r="21221" spans="1:1">
      <c r="A21221" s="35" t="s">
        <v>41057</v>
      </c>
    </row>
    <row r="21222" spans="1:1">
      <c r="A21222" s="35" t="s">
        <v>41057</v>
      </c>
    </row>
    <row r="21223" spans="1:1">
      <c r="A21223" s="35" t="s">
        <v>41057</v>
      </c>
    </row>
    <row r="21224" spans="1:1">
      <c r="A21224" s="35" t="s">
        <v>41057</v>
      </c>
    </row>
    <row r="21225" spans="1:1">
      <c r="A21225" s="35" t="s">
        <v>41057</v>
      </c>
    </row>
    <row r="21226" spans="1:1">
      <c r="A21226" s="35" t="s">
        <v>41057</v>
      </c>
    </row>
    <row r="21227" spans="1:1">
      <c r="A21227" s="35" t="s">
        <v>41057</v>
      </c>
    </row>
    <row r="21228" spans="1:1">
      <c r="A21228" s="35" t="s">
        <v>41057</v>
      </c>
    </row>
    <row r="21229" spans="1:1">
      <c r="A21229" s="35" t="s">
        <v>59161</v>
      </c>
    </row>
    <row r="21230" spans="1:1">
      <c r="A21230" s="35" t="s">
        <v>41057</v>
      </c>
    </row>
    <row r="21231" spans="1:1">
      <c r="A21231" s="35" t="s">
        <v>41057</v>
      </c>
    </row>
    <row r="21232" spans="1:1">
      <c r="A21232" s="35" t="s">
        <v>59162</v>
      </c>
    </row>
    <row r="21233" spans="1:1">
      <c r="A21233" s="35" t="s">
        <v>59163</v>
      </c>
    </row>
    <row r="21234" spans="1:1">
      <c r="A21234" s="35" t="s">
        <v>41057</v>
      </c>
    </row>
    <row r="21235" spans="1:1">
      <c r="A21235" s="35" t="s">
        <v>41057</v>
      </c>
    </row>
    <row r="21236" spans="1:1">
      <c r="A21236" s="35" t="s">
        <v>41057</v>
      </c>
    </row>
    <row r="21237" spans="1:1">
      <c r="A21237" s="35" t="s">
        <v>41057</v>
      </c>
    </row>
    <row r="21238" spans="1:1">
      <c r="A21238" s="35" t="s">
        <v>41057</v>
      </c>
    </row>
    <row r="21239" spans="1:1">
      <c r="A21239" s="35" t="s">
        <v>41057</v>
      </c>
    </row>
    <row r="21240" spans="1:1">
      <c r="A21240" s="35" t="s">
        <v>53545</v>
      </c>
    </row>
    <row r="21241" spans="1:1">
      <c r="A21241" s="35" t="s">
        <v>59164</v>
      </c>
    </row>
    <row r="21242" spans="1:1">
      <c r="A21242" s="35" t="s">
        <v>41057</v>
      </c>
    </row>
    <row r="21243" spans="1:1">
      <c r="A21243" s="35" t="s">
        <v>41057</v>
      </c>
    </row>
    <row r="21244" spans="1:1">
      <c r="A21244" s="35" t="s">
        <v>41057</v>
      </c>
    </row>
    <row r="21245" spans="1:1">
      <c r="A21245" s="35" t="s">
        <v>41057</v>
      </c>
    </row>
    <row r="21246" spans="1:1">
      <c r="A21246" s="35" t="s">
        <v>59165</v>
      </c>
    </row>
    <row r="21247" spans="1:1">
      <c r="A21247" s="35" t="s">
        <v>41057</v>
      </c>
    </row>
    <row r="21248" spans="1:1">
      <c r="A21248" s="35" t="s">
        <v>59166</v>
      </c>
    </row>
    <row r="21249" spans="1:1">
      <c r="A21249" s="35" t="s">
        <v>41057</v>
      </c>
    </row>
    <row r="21250" spans="1:1">
      <c r="A21250" s="35" t="s">
        <v>41057</v>
      </c>
    </row>
    <row r="21251" spans="1:1">
      <c r="A21251" s="35" t="s">
        <v>59167</v>
      </c>
    </row>
    <row r="21252" spans="1:1">
      <c r="A21252" s="35" t="s">
        <v>59168</v>
      </c>
    </row>
    <row r="21253" spans="1:1">
      <c r="A21253" s="35" t="s">
        <v>59169</v>
      </c>
    </row>
    <row r="21254" spans="1:1">
      <c r="A21254" s="35" t="s">
        <v>59170</v>
      </c>
    </row>
    <row r="21255" spans="1:1">
      <c r="A21255" s="35" t="s">
        <v>41057</v>
      </c>
    </row>
    <row r="21256" spans="1:1">
      <c r="A21256" s="35" t="s">
        <v>41057</v>
      </c>
    </row>
    <row r="21257" spans="1:1">
      <c r="A21257" s="35" t="e" cm="1">
        <f t="array" ref="A21257">-------------------------------------FKV-------------------V</f>
        <v>#NAME?</v>
      </c>
    </row>
    <row r="21258" spans="1:1">
      <c r="A21258" s="35" t="s">
        <v>54288</v>
      </c>
    </row>
    <row r="21259" spans="1:1">
      <c r="A21259" s="35" t="s">
        <v>59171</v>
      </c>
    </row>
    <row r="21260" spans="1:1">
      <c r="A21260" s="35" t="s">
        <v>41057</v>
      </c>
    </row>
    <row r="21261" spans="1:1">
      <c r="A21261" s="35" t="s">
        <v>59172</v>
      </c>
    </row>
    <row r="21262" spans="1:1">
      <c r="A21262" s="35" t="s">
        <v>41057</v>
      </c>
    </row>
    <row r="21263" spans="1:1">
      <c r="A21263" s="35" t="s">
        <v>41057</v>
      </c>
    </row>
    <row r="21264" spans="1:1">
      <c r="A21264" s="35" t="s">
        <v>59173</v>
      </c>
    </row>
    <row r="21265" spans="1:1">
      <c r="A21265" s="35" t="s">
        <v>41057</v>
      </c>
    </row>
    <row r="21266" spans="1:1">
      <c r="A21266" s="35" t="s">
        <v>41057</v>
      </c>
    </row>
    <row r="21267" spans="1:1">
      <c r="A21267" s="35" t="s">
        <v>53500</v>
      </c>
    </row>
    <row r="21268" spans="1:1">
      <c r="A21268" s="35" t="s">
        <v>41057</v>
      </c>
    </row>
    <row r="21269" spans="1:1">
      <c r="A21269" s="35" t="s">
        <v>41057</v>
      </c>
    </row>
    <row r="21270" spans="1:1">
      <c r="A21270" s="35" t="s">
        <v>59174</v>
      </c>
    </row>
    <row r="21271" spans="1:1">
      <c r="A21271" s="35" t="s">
        <v>41057</v>
      </c>
    </row>
    <row r="21272" spans="1:1">
      <c r="A21272" s="35" t="s">
        <v>59175</v>
      </c>
    </row>
    <row r="21273" spans="1:1">
      <c r="A21273" s="35" t="s">
        <v>41057</v>
      </c>
    </row>
    <row r="21274" spans="1:1">
      <c r="A21274" s="35" t="s">
        <v>59176</v>
      </c>
    </row>
    <row r="21275" spans="1:1">
      <c r="A21275" s="35" t="s">
        <v>59177</v>
      </c>
    </row>
    <row r="21276" spans="1:1">
      <c r="A21276" s="35" t="s">
        <v>41057</v>
      </c>
    </row>
    <row r="21277" spans="1:1">
      <c r="A21277" s="35" t="s">
        <v>41057</v>
      </c>
    </row>
    <row r="21278" spans="1:1">
      <c r="A21278" s="35" t="s">
        <v>41057</v>
      </c>
    </row>
    <row r="21279" spans="1:1">
      <c r="A21279" s="35" t="s">
        <v>41057</v>
      </c>
    </row>
    <row r="21280" spans="1:1">
      <c r="A21280" s="35" t="s">
        <v>41057</v>
      </c>
    </row>
    <row r="21281" spans="1:1">
      <c r="A21281" s="35" t="s">
        <v>41057</v>
      </c>
    </row>
    <row r="21282" spans="1:1">
      <c r="A21282" s="35" t="s">
        <v>41057</v>
      </c>
    </row>
    <row r="21283" spans="1:1">
      <c r="A21283" s="35" t="s">
        <v>41057</v>
      </c>
    </row>
    <row r="21284" spans="1:1">
      <c r="A21284" s="35" t="s">
        <v>41057</v>
      </c>
    </row>
    <row r="21285" spans="1:1">
      <c r="A21285" s="35" t="s">
        <v>41057</v>
      </c>
    </row>
    <row r="21286" spans="1:1">
      <c r="A21286" s="35" t="s">
        <v>41057</v>
      </c>
    </row>
    <row r="21287" spans="1:1">
      <c r="A21287" s="35" t="s">
        <v>41057</v>
      </c>
    </row>
    <row r="21288" spans="1:1">
      <c r="A21288" s="35" t="s">
        <v>41057</v>
      </c>
    </row>
    <row r="21289" spans="1:1">
      <c r="A21289" s="35" t="s">
        <v>41057</v>
      </c>
    </row>
    <row r="21290" spans="1:1">
      <c r="A21290" s="35" t="s">
        <v>41057</v>
      </c>
    </row>
    <row r="21291" spans="1:1">
      <c r="A21291" s="35" t="s">
        <v>41057</v>
      </c>
    </row>
    <row r="21292" spans="1:1">
      <c r="A21292" s="35" t="s">
        <v>41057</v>
      </c>
    </row>
    <row r="21293" spans="1:1">
      <c r="A21293" s="35" t="s">
        <v>41057</v>
      </c>
    </row>
    <row r="21294" spans="1:1">
      <c r="A21294" s="35" t="s">
        <v>41057</v>
      </c>
    </row>
    <row r="21295" spans="1:1">
      <c r="A21295" s="35" t="s">
        <v>41057</v>
      </c>
    </row>
    <row r="21296" spans="1:1">
      <c r="A21296" s="35" t="s">
        <v>41057</v>
      </c>
    </row>
    <row r="21297" spans="1:1">
      <c r="A21297" s="35" t="s">
        <v>41057</v>
      </c>
    </row>
    <row r="21298" spans="1:1">
      <c r="A21298" s="35" t="s">
        <v>41057</v>
      </c>
    </row>
    <row r="21299" spans="1:1">
      <c r="A21299" s="35" t="s">
        <v>41057</v>
      </c>
    </row>
    <row r="21300" spans="1:1">
      <c r="A21300" s="35" t="s">
        <v>41057</v>
      </c>
    </row>
    <row r="21301" spans="1:1">
      <c r="A21301" s="35" t="s">
        <v>41057</v>
      </c>
    </row>
    <row r="21302" spans="1:1">
      <c r="A21302" s="35" t="s">
        <v>41057</v>
      </c>
    </row>
    <row r="21303" spans="1:1">
      <c r="A21303" s="35" t="s">
        <v>41057</v>
      </c>
    </row>
    <row r="21304" spans="1:1">
      <c r="A21304" s="35" t="s">
        <v>41057</v>
      </c>
    </row>
    <row r="21305" spans="1:1">
      <c r="A21305" s="35" t="s">
        <v>41057</v>
      </c>
    </row>
    <row r="21306" spans="1:1">
      <c r="A21306" s="35" t="s">
        <v>41057</v>
      </c>
    </row>
    <row r="21307" spans="1:1">
      <c r="A21307" s="35" t="s">
        <v>41057</v>
      </c>
    </row>
    <row r="21308" spans="1:1">
      <c r="A21308" s="35" t="s">
        <v>41057</v>
      </c>
    </row>
    <row r="21309" spans="1:1">
      <c r="A21309" s="35" t="s">
        <v>41057</v>
      </c>
    </row>
    <row r="21310" spans="1:1">
      <c r="A21310" s="35" t="s">
        <v>41057</v>
      </c>
    </row>
    <row r="21311" spans="1:1">
      <c r="A21311" s="35" t="s">
        <v>41057</v>
      </c>
    </row>
    <row r="21312" spans="1:1">
      <c r="A21312" s="35" t="s">
        <v>41057</v>
      </c>
    </row>
    <row r="21313" spans="1:1">
      <c r="A21313" s="35" t="s">
        <v>41057</v>
      </c>
    </row>
    <row r="21314" spans="1:1">
      <c r="A21314" s="35" t="s">
        <v>41057</v>
      </c>
    </row>
    <row r="21315" spans="1:1">
      <c r="A21315" s="35" t="s">
        <v>41057</v>
      </c>
    </row>
    <row r="21316" spans="1:1">
      <c r="A21316" s="35" t="s">
        <v>41057</v>
      </c>
    </row>
    <row r="21317" spans="1:1">
      <c r="A21317" s="35" t="s">
        <v>50574</v>
      </c>
    </row>
    <row r="21318" spans="1:1">
      <c r="A21318" s="35" t="s">
        <v>41057</v>
      </c>
    </row>
    <row r="21319" spans="1:1">
      <c r="A21319" s="35" t="s">
        <v>41057</v>
      </c>
    </row>
    <row r="21320" spans="1:1">
      <c r="A21320" s="35" t="s">
        <v>41057</v>
      </c>
    </row>
    <row r="21321" spans="1:1">
      <c r="A21321" s="35" t="s">
        <v>53939</v>
      </c>
    </row>
    <row r="21322" spans="1:1">
      <c r="A21322" s="35" t="s">
        <v>41057</v>
      </c>
    </row>
    <row r="21323" spans="1:1">
      <c r="A21323" s="35" t="s">
        <v>41057</v>
      </c>
    </row>
    <row r="21324" spans="1:1">
      <c r="A21324" s="35" t="s">
        <v>41057</v>
      </c>
    </row>
    <row r="21325" spans="1:1">
      <c r="A21325" s="35" t="s">
        <v>41057</v>
      </c>
    </row>
    <row r="21326" spans="1:1">
      <c r="A21326" s="35" t="s">
        <v>41057</v>
      </c>
    </row>
    <row r="21327" spans="1:1">
      <c r="A21327" s="35" t="s">
        <v>41057</v>
      </c>
    </row>
    <row r="21328" spans="1:1">
      <c r="A21328" s="35" t="s">
        <v>41057</v>
      </c>
    </row>
    <row r="21329" spans="1:1">
      <c r="A21329" s="35" t="s">
        <v>41057</v>
      </c>
    </row>
    <row r="21330" spans="1:1">
      <c r="A21330" s="35" t="s">
        <v>41057</v>
      </c>
    </row>
    <row r="21331" spans="1:1">
      <c r="A21331" s="35" t="s">
        <v>41057</v>
      </c>
    </row>
    <row r="21332" spans="1:1">
      <c r="A21332" s="35" t="s">
        <v>41057</v>
      </c>
    </row>
    <row r="21333" spans="1:1">
      <c r="A21333" s="35" t="s">
        <v>41057</v>
      </c>
    </row>
    <row r="21334" spans="1:1">
      <c r="A21334" s="35" t="s">
        <v>41057</v>
      </c>
    </row>
    <row r="21335" spans="1:1">
      <c r="A21335" s="35" t="s">
        <v>41057</v>
      </c>
    </row>
    <row r="21336" spans="1:1">
      <c r="A21336" s="35" t="s">
        <v>41057</v>
      </c>
    </row>
    <row r="21337" spans="1:1">
      <c r="A21337" s="35" t="s">
        <v>41057</v>
      </c>
    </row>
    <row r="21338" spans="1:1">
      <c r="A21338" s="35" t="s">
        <v>41057</v>
      </c>
    </row>
    <row r="21339" spans="1:1">
      <c r="A21339" s="35" t="s">
        <v>41057</v>
      </c>
    </row>
    <row r="21340" spans="1:1">
      <c r="A21340" s="35" t="s">
        <v>41057</v>
      </c>
    </row>
    <row r="21341" spans="1:1">
      <c r="A21341" s="35" t="s">
        <v>41057</v>
      </c>
    </row>
    <row r="21342" spans="1:1">
      <c r="A21342" s="35" t="s">
        <v>41057</v>
      </c>
    </row>
    <row r="21343" spans="1:1">
      <c r="A21343" s="35" t="s">
        <v>41057</v>
      </c>
    </row>
    <row r="21344" spans="1:1">
      <c r="A21344" s="35" t="s">
        <v>41057</v>
      </c>
    </row>
    <row r="21345" spans="1:1">
      <c r="A21345" s="35" t="s">
        <v>41057</v>
      </c>
    </row>
    <row r="21346" spans="1:1">
      <c r="A21346" s="35" t="s">
        <v>41057</v>
      </c>
    </row>
    <row r="21347" spans="1:1">
      <c r="A21347" s="35" t="s">
        <v>59178</v>
      </c>
    </row>
    <row r="21348" spans="1:1">
      <c r="A21348" s="35" t="s">
        <v>41057</v>
      </c>
    </row>
    <row r="21349" spans="1:1">
      <c r="A21349" s="35" t="s">
        <v>41057</v>
      </c>
    </row>
    <row r="21350" spans="1:1">
      <c r="A21350" s="35" t="s">
        <v>59179</v>
      </c>
    </row>
    <row r="21351" spans="1:1">
      <c r="A21351" s="35" t="s">
        <v>59180</v>
      </c>
    </row>
    <row r="21352" spans="1:1">
      <c r="A21352" s="35" t="s">
        <v>41057</v>
      </c>
    </row>
    <row r="21353" spans="1:1">
      <c r="A21353" s="35" t="s">
        <v>41057</v>
      </c>
    </row>
    <row r="21354" spans="1:1">
      <c r="A21354" s="35" t="s">
        <v>41057</v>
      </c>
    </row>
    <row r="21355" spans="1:1">
      <c r="A21355" s="35" t="s">
        <v>59181</v>
      </c>
    </row>
    <row r="21356" spans="1:1">
      <c r="A21356" s="35" t="s">
        <v>59182</v>
      </c>
    </row>
    <row r="21357" spans="1:1">
      <c r="A21357" s="35" t="s">
        <v>41057</v>
      </c>
    </row>
    <row r="21358" spans="1:1">
      <c r="A21358" s="35" t="s">
        <v>53545</v>
      </c>
    </row>
    <row r="21359" spans="1:1">
      <c r="A21359" s="35" t="s">
        <v>52550</v>
      </c>
    </row>
    <row r="21360" spans="1:1">
      <c r="A21360" s="35" t="s">
        <v>41057</v>
      </c>
    </row>
    <row r="21361" spans="1:1">
      <c r="A21361" s="35" t="s">
        <v>41057</v>
      </c>
    </row>
    <row r="21362" spans="1:1">
      <c r="A21362" s="35" t="s">
        <v>41057</v>
      </c>
    </row>
    <row r="21363" spans="1:1">
      <c r="A21363" s="35" t="s">
        <v>41057</v>
      </c>
    </row>
    <row r="21364" spans="1:1">
      <c r="A21364" s="35" t="s">
        <v>41057</v>
      </c>
    </row>
    <row r="21365" spans="1:1">
      <c r="A21365" s="35" t="s">
        <v>59183</v>
      </c>
    </row>
    <row r="21366" spans="1:1">
      <c r="A21366" s="35" t="s">
        <v>59184</v>
      </c>
    </row>
    <row r="21367" spans="1:1">
      <c r="A21367" s="35" t="s">
        <v>41057</v>
      </c>
    </row>
    <row r="21368" spans="1:1">
      <c r="A21368" s="35" t="s">
        <v>41057</v>
      </c>
    </row>
    <row r="21369" spans="1:1">
      <c r="A21369" s="35" t="s">
        <v>59185</v>
      </c>
    </row>
    <row r="21370" spans="1:1">
      <c r="A21370" s="35" t="e" cm="1">
        <f t="array" ref="A21370">-----------------------------NDTA------------VSLADISPALPLQQQ</f>
        <v>#NAME?</v>
      </c>
    </row>
    <row r="21371" spans="1:1">
      <c r="A21371" s="35" t="s">
        <v>59186</v>
      </c>
    </row>
    <row r="21372" spans="1:1">
      <c r="A21372" s="35" t="s">
        <v>59187</v>
      </c>
    </row>
    <row r="21373" spans="1:1">
      <c r="A21373" s="35" t="s">
        <v>41057</v>
      </c>
    </row>
    <row r="21374" spans="1:1">
      <c r="A21374" s="35" t="s">
        <v>41057</v>
      </c>
    </row>
    <row r="21375" spans="1:1">
      <c r="A21375" s="35" t="s">
        <v>59188</v>
      </c>
    </row>
    <row r="21376" spans="1:1">
      <c r="A21376" s="35" t="s">
        <v>59189</v>
      </c>
    </row>
    <row r="21377" spans="1:1">
      <c r="A21377" s="35" t="s">
        <v>59190</v>
      </c>
    </row>
    <row r="21378" spans="1:1">
      <c r="A21378" s="35" t="s">
        <v>41057</v>
      </c>
    </row>
    <row r="21379" spans="1:1">
      <c r="A21379" s="35" t="s">
        <v>59191</v>
      </c>
    </row>
    <row r="21380" spans="1:1">
      <c r="A21380" s="35" t="s">
        <v>41057</v>
      </c>
    </row>
    <row r="21381" spans="1:1">
      <c r="A21381" s="35" t="s">
        <v>41057</v>
      </c>
    </row>
    <row r="21382" spans="1:1">
      <c r="A21382" s="35" t="s">
        <v>59192</v>
      </c>
    </row>
    <row r="21383" spans="1:1">
      <c r="A21383" s="35" t="s">
        <v>41057</v>
      </c>
    </row>
    <row r="21384" spans="1:1">
      <c r="A21384" s="35" t="s">
        <v>41057</v>
      </c>
    </row>
    <row r="21385" spans="1:1">
      <c r="A21385" s="35" t="s">
        <v>53500</v>
      </c>
    </row>
    <row r="21386" spans="1:1">
      <c r="A21386" s="35" t="s">
        <v>41057</v>
      </c>
    </row>
    <row r="21387" spans="1:1">
      <c r="A21387" s="35" t="s">
        <v>41057</v>
      </c>
    </row>
    <row r="21388" spans="1:1">
      <c r="A21388" s="35" t="s">
        <v>59193</v>
      </c>
    </row>
    <row r="21389" spans="1:1">
      <c r="A21389" s="35" t="s">
        <v>41057</v>
      </c>
    </row>
    <row r="21390" spans="1:1">
      <c r="A21390" s="35" t="s">
        <v>59194</v>
      </c>
    </row>
    <row r="21391" spans="1:1">
      <c r="A21391" s="35" t="s">
        <v>41057</v>
      </c>
    </row>
    <row r="21392" spans="1:1">
      <c r="A21392" s="35" t="s">
        <v>59195</v>
      </c>
    </row>
    <row r="21393" spans="1:1">
      <c r="A21393" s="35" t="s">
        <v>59196</v>
      </c>
    </row>
    <row r="21394" spans="1:1">
      <c r="A21394" s="35" t="s">
        <v>41057</v>
      </c>
    </row>
    <row r="21395" spans="1:1">
      <c r="A21395" s="35" t="s">
        <v>41057</v>
      </c>
    </row>
    <row r="21396" spans="1:1">
      <c r="A21396" s="35" t="s">
        <v>59197</v>
      </c>
    </row>
    <row r="21397" spans="1:1">
      <c r="A21397" s="35" t="s">
        <v>41057</v>
      </c>
    </row>
    <row r="21398" spans="1:1">
      <c r="A21398" s="35" t="s">
        <v>59198</v>
      </c>
    </row>
    <row r="21399" spans="1:1">
      <c r="A21399" s="35" t="s">
        <v>41057</v>
      </c>
    </row>
    <row r="21400" spans="1:1">
      <c r="A21400" s="35" t="s">
        <v>59199</v>
      </c>
    </row>
    <row r="21401" spans="1:1">
      <c r="A21401" s="35" t="s">
        <v>59200</v>
      </c>
    </row>
    <row r="21402" spans="1:1">
      <c r="A21402" s="35" t="s">
        <v>59201</v>
      </c>
    </row>
    <row r="21403" spans="1:1">
      <c r="A21403" s="35" t="s">
        <v>59202</v>
      </c>
    </row>
    <row r="21404" spans="1:1">
      <c r="A21404" s="35" t="s">
        <v>41057</v>
      </c>
    </row>
    <row r="21405" spans="1:1">
      <c r="A21405" s="35" t="s">
        <v>59203</v>
      </c>
    </row>
    <row r="21406" spans="1:1">
      <c r="A21406" s="35" t="s">
        <v>41057</v>
      </c>
    </row>
    <row r="21407" spans="1:1">
      <c r="A21407" s="35" t="s">
        <v>41057</v>
      </c>
    </row>
    <row r="21408" spans="1:1">
      <c r="A21408" s="35" t="s">
        <v>41057</v>
      </c>
    </row>
    <row r="21409" spans="1:1">
      <c r="A21409" s="35" t="s">
        <v>41057</v>
      </c>
    </row>
    <row r="21410" spans="1:1">
      <c r="A21410" s="35" t="s">
        <v>59204</v>
      </c>
    </row>
    <row r="21411" spans="1:1">
      <c r="A21411" s="35" t="s">
        <v>59205</v>
      </c>
    </row>
    <row r="21412" spans="1:1">
      <c r="A21412" s="35" t="s">
        <v>41057</v>
      </c>
    </row>
    <row r="21413" spans="1:1">
      <c r="A21413" s="35" t="s">
        <v>41057</v>
      </c>
    </row>
    <row r="21414" spans="1:1">
      <c r="A21414" s="35" t="s">
        <v>41057</v>
      </c>
    </row>
    <row r="21415" spans="1:1">
      <c r="A21415" s="35" t="s">
        <v>41057</v>
      </c>
    </row>
    <row r="21416" spans="1:1">
      <c r="A21416" s="35" t="s">
        <v>41057</v>
      </c>
    </row>
    <row r="21417" spans="1:1">
      <c r="A21417" s="35" t="s">
        <v>41057</v>
      </c>
    </row>
    <row r="21418" spans="1:1">
      <c r="A21418" s="35" t="s">
        <v>59206</v>
      </c>
    </row>
    <row r="21419" spans="1:1">
      <c r="A21419" s="35" t="s">
        <v>41057</v>
      </c>
    </row>
    <row r="21420" spans="1:1">
      <c r="A21420" s="35" t="s">
        <v>41057</v>
      </c>
    </row>
    <row r="21421" spans="1:1">
      <c r="A21421" s="35" t="s">
        <v>59207</v>
      </c>
    </row>
    <row r="21422" spans="1:1">
      <c r="A21422" s="35" t="e" cm="1">
        <f t="array" ref="A21422">---MALDRSIN--------------------------------CSAKGDSKKASRSASKK</f>
        <v>#NAME?</v>
      </c>
    </row>
    <row r="21423" spans="1:1">
      <c r="A21423" s="35" t="s">
        <v>48721</v>
      </c>
    </row>
    <row r="21424" spans="1:1">
      <c r="A21424" s="35" t="s">
        <v>41057</v>
      </c>
    </row>
    <row r="21425" spans="1:1">
      <c r="A21425" s="35" t="s">
        <v>41057</v>
      </c>
    </row>
    <row r="21426" spans="1:1">
      <c r="A21426" s="35" t="s">
        <v>41057</v>
      </c>
    </row>
    <row r="21427" spans="1:1">
      <c r="A21427" s="35" t="s">
        <v>41057</v>
      </c>
    </row>
    <row r="21428" spans="1:1">
      <c r="A21428" s="35" t="s">
        <v>53647</v>
      </c>
    </row>
    <row r="21429" spans="1:1">
      <c r="A21429" s="35" t="s">
        <v>59208</v>
      </c>
    </row>
    <row r="21430" spans="1:1">
      <c r="A21430" s="35" t="s">
        <v>59209</v>
      </c>
    </row>
    <row r="21431" spans="1:1">
      <c r="A21431" s="35" t="s">
        <v>59210</v>
      </c>
    </row>
    <row r="21432" spans="1:1">
      <c r="A21432" s="35" t="s">
        <v>59211</v>
      </c>
    </row>
    <row r="21433" spans="1:1">
      <c r="A21433" s="35" t="s">
        <v>59212</v>
      </c>
    </row>
    <row r="21434" spans="1:1">
      <c r="A21434" s="35" t="s">
        <v>41057</v>
      </c>
    </row>
    <row r="21435" spans="1:1">
      <c r="A21435" s="35" t="s">
        <v>59213</v>
      </c>
    </row>
    <row r="21436" spans="1:1">
      <c r="A21436" s="35" t="s">
        <v>41057</v>
      </c>
    </row>
    <row r="21437" spans="1:1">
      <c r="A21437" s="35" t="s">
        <v>59214</v>
      </c>
    </row>
    <row r="21438" spans="1:1">
      <c r="A21438" s="35" t="s">
        <v>59215</v>
      </c>
    </row>
    <row r="21439" spans="1:1">
      <c r="A21439" s="35" t="s">
        <v>59216</v>
      </c>
    </row>
    <row r="21440" spans="1:1">
      <c r="A21440" s="35" t="s">
        <v>41057</v>
      </c>
    </row>
    <row r="21441" spans="1:1">
      <c r="A21441" s="35" t="s">
        <v>41057</v>
      </c>
    </row>
    <row r="21442" spans="1:1">
      <c r="A21442" s="35" t="s">
        <v>41057</v>
      </c>
    </row>
    <row r="21443" spans="1:1">
      <c r="A21443" s="35" t="s">
        <v>41057</v>
      </c>
    </row>
    <row r="21444" spans="1:1">
      <c r="A21444" s="35" t="s">
        <v>41057</v>
      </c>
    </row>
    <row r="21445" spans="1:1">
      <c r="A21445" s="35" t="s">
        <v>41057</v>
      </c>
    </row>
    <row r="21446" spans="1:1">
      <c r="A21446" s="35" t="s">
        <v>59217</v>
      </c>
    </row>
    <row r="21447" spans="1:1">
      <c r="A21447" s="35" t="s">
        <v>59218</v>
      </c>
    </row>
    <row r="21448" spans="1:1">
      <c r="A21448" s="35" t="s">
        <v>59219</v>
      </c>
    </row>
    <row r="21449" spans="1:1">
      <c r="A21449" s="35" t="s">
        <v>59220</v>
      </c>
    </row>
    <row r="21450" spans="1:1">
      <c r="A21450" s="35" t="s">
        <v>41057</v>
      </c>
    </row>
    <row r="21451" spans="1:1">
      <c r="A21451" s="35" t="s">
        <v>41057</v>
      </c>
    </row>
    <row r="21452" spans="1:1">
      <c r="A21452" s="35" t="s">
        <v>41057</v>
      </c>
    </row>
    <row r="21453" spans="1:1">
      <c r="A21453" s="35" t="s">
        <v>59221</v>
      </c>
    </row>
    <row r="21454" spans="1:1">
      <c r="A21454" s="35" t="s">
        <v>59222</v>
      </c>
    </row>
    <row r="21455" spans="1:1">
      <c r="A21455" s="35" t="s">
        <v>59223</v>
      </c>
    </row>
    <row r="21456" spans="1:1">
      <c r="A21456" s="35" t="s">
        <v>41057</v>
      </c>
    </row>
    <row r="21457" spans="1:1">
      <c r="A21457" s="35" t="s">
        <v>59224</v>
      </c>
    </row>
    <row r="21458" spans="1:1">
      <c r="A21458" s="35" t="s">
        <v>41057</v>
      </c>
    </row>
    <row r="21459" spans="1:1">
      <c r="A21459" s="35" t="s">
        <v>59225</v>
      </c>
    </row>
    <row r="21460" spans="1:1">
      <c r="A21460" s="35" t="s">
        <v>41057</v>
      </c>
    </row>
    <row r="21461" spans="1:1">
      <c r="A21461" s="35" t="s">
        <v>41057</v>
      </c>
    </row>
    <row r="21462" spans="1:1">
      <c r="A21462" s="35" t="s">
        <v>41057</v>
      </c>
    </row>
    <row r="21463" spans="1:1">
      <c r="A21463" s="35" t="s">
        <v>41057</v>
      </c>
    </row>
    <row r="21464" spans="1:1">
      <c r="A21464" s="35" t="e" cm="1">
        <f t="array" ref="A21464">---------------------------------------------------NGREPLLSN</f>
        <v>#NAME?</v>
      </c>
    </row>
    <row r="21465" spans="1:1">
      <c r="A21465" s="35" t="s">
        <v>59226</v>
      </c>
    </row>
    <row r="21466" spans="1:1">
      <c r="A21466" s="35" t="s">
        <v>41057</v>
      </c>
    </row>
    <row r="21467" spans="1:1">
      <c r="A21467" s="35" t="s">
        <v>59227</v>
      </c>
    </row>
    <row r="21468" spans="1:1">
      <c r="A21468" s="35" t="s">
        <v>59228</v>
      </c>
    </row>
    <row r="21469" spans="1:1">
      <c r="A21469" s="35" t="s">
        <v>59229</v>
      </c>
    </row>
    <row r="21470" spans="1:1">
      <c r="A21470" s="35" t="s">
        <v>59230</v>
      </c>
    </row>
    <row r="21471" spans="1:1">
      <c r="A21471" s="35" t="s">
        <v>41057</v>
      </c>
    </row>
    <row r="21472" spans="1:1">
      <c r="A21472" s="35" t="s">
        <v>59231</v>
      </c>
    </row>
    <row r="21473" spans="1:1">
      <c r="A21473" s="35" t="s">
        <v>59232</v>
      </c>
    </row>
    <row r="21474" spans="1:1">
      <c r="A21474" s="35" t="s">
        <v>59233</v>
      </c>
    </row>
    <row r="21475" spans="1:1">
      <c r="A21475" s="35" t="s">
        <v>59234</v>
      </c>
    </row>
    <row r="21476" spans="1:1">
      <c r="A21476" s="35" t="s">
        <v>53545</v>
      </c>
    </row>
    <row r="21477" spans="1:1">
      <c r="A21477" s="35" t="s">
        <v>59235</v>
      </c>
    </row>
    <row r="21478" spans="1:1">
      <c r="A21478" s="35" t="s">
        <v>41057</v>
      </c>
    </row>
    <row r="21479" spans="1:1">
      <c r="A21479" s="35" t="s">
        <v>41057</v>
      </c>
    </row>
    <row r="21480" spans="1:1">
      <c r="A21480" s="35" t="s">
        <v>41057</v>
      </c>
    </row>
    <row r="21481" spans="1:1">
      <c r="A21481" s="35" t="s">
        <v>41057</v>
      </c>
    </row>
    <row r="21482" spans="1:1">
      <c r="A21482" s="35" t="s">
        <v>41057</v>
      </c>
    </row>
    <row r="21483" spans="1:1">
      <c r="A21483" s="35" t="s">
        <v>41057</v>
      </c>
    </row>
    <row r="21484" spans="1:1">
      <c r="A21484" s="35" t="s">
        <v>41057</v>
      </c>
    </row>
    <row r="21485" spans="1:1">
      <c r="A21485" s="35" t="s">
        <v>41057</v>
      </c>
    </row>
    <row r="21486" spans="1:1">
      <c r="A21486" s="35" t="s">
        <v>41057</v>
      </c>
    </row>
    <row r="21487" spans="1:1">
      <c r="A21487" s="35" t="s">
        <v>41057</v>
      </c>
    </row>
    <row r="21488" spans="1:1">
      <c r="A21488" s="35" t="s">
        <v>41057</v>
      </c>
    </row>
    <row r="21489" spans="1:1">
      <c r="A21489" s="35" t="s">
        <v>59236</v>
      </c>
    </row>
    <row r="21490" spans="1:1">
      <c r="A21490" s="35" t="s">
        <v>59237</v>
      </c>
    </row>
    <row r="21491" spans="1:1">
      <c r="A21491" s="35" t="s">
        <v>41057</v>
      </c>
    </row>
    <row r="21492" spans="1:1">
      <c r="A21492" s="35" t="s">
        <v>41057</v>
      </c>
    </row>
    <row r="21493" spans="1:1">
      <c r="A21493" s="35" t="s">
        <v>59238</v>
      </c>
    </row>
    <row r="21494" spans="1:1">
      <c r="A21494" s="35" t="s">
        <v>41057</v>
      </c>
    </row>
    <row r="21495" spans="1:1">
      <c r="A21495" s="35" t="s">
        <v>41057</v>
      </c>
    </row>
    <row r="21496" spans="1:1">
      <c r="A21496" s="35" t="s">
        <v>41057</v>
      </c>
    </row>
    <row r="21497" spans="1:1">
      <c r="A21497" s="35" t="s">
        <v>41057</v>
      </c>
    </row>
    <row r="21498" spans="1:1">
      <c r="A21498" s="35" t="s">
        <v>41057</v>
      </c>
    </row>
    <row r="21499" spans="1:1">
      <c r="A21499" s="35" t="s">
        <v>41057</v>
      </c>
    </row>
    <row r="21500" spans="1:1">
      <c r="A21500" s="35" t="s">
        <v>41057</v>
      </c>
    </row>
    <row r="21501" spans="1:1">
      <c r="A21501" s="35" t="s">
        <v>41057</v>
      </c>
    </row>
    <row r="21502" spans="1:1">
      <c r="A21502" s="35" t="s">
        <v>41057</v>
      </c>
    </row>
    <row r="21503" spans="1:1">
      <c r="A21503" s="35" t="s">
        <v>53500</v>
      </c>
    </row>
    <row r="21504" spans="1:1">
      <c r="A21504" s="35" t="s">
        <v>41057</v>
      </c>
    </row>
    <row r="21505" spans="1:1">
      <c r="A21505" s="35" t="s">
        <v>41057</v>
      </c>
    </row>
    <row r="21506" spans="1:1">
      <c r="A21506" s="35" t="s">
        <v>41057</v>
      </c>
    </row>
    <row r="21507" spans="1:1">
      <c r="A21507" s="35" t="s">
        <v>41057</v>
      </c>
    </row>
    <row r="21508" spans="1:1">
      <c r="A21508" s="35" t="s">
        <v>41057</v>
      </c>
    </row>
    <row r="21509" spans="1:1">
      <c r="A21509" s="35" t="s">
        <v>41057</v>
      </c>
    </row>
    <row r="21510" spans="1:1">
      <c r="A21510" s="35" t="s">
        <v>59239</v>
      </c>
    </row>
    <row r="21511" spans="1:1">
      <c r="A21511" s="35" t="s">
        <v>41057</v>
      </c>
    </row>
    <row r="21512" spans="1:1">
      <c r="A21512" s="35" t="s">
        <v>41057</v>
      </c>
    </row>
    <row r="21513" spans="1:1">
      <c r="A21513" s="35" t="s">
        <v>41057</v>
      </c>
    </row>
    <row r="21514" spans="1:1">
      <c r="A21514" s="35" t="s">
        <v>59240</v>
      </c>
    </row>
    <row r="21515" spans="1:1">
      <c r="A21515" s="35" t="s">
        <v>41057</v>
      </c>
    </row>
    <row r="21516" spans="1:1">
      <c r="A21516" s="35" t="s">
        <v>41057</v>
      </c>
    </row>
    <row r="21517" spans="1:1">
      <c r="A21517" s="35" t="s">
        <v>41057</v>
      </c>
    </row>
    <row r="21518" spans="1:1">
      <c r="A21518" s="35" t="s">
        <v>41057</v>
      </c>
    </row>
    <row r="21519" spans="1:1">
      <c r="A21519" s="35" t="s">
        <v>41057</v>
      </c>
    </row>
    <row r="21520" spans="1:1">
      <c r="A21520" s="35" t="s">
        <v>59241</v>
      </c>
    </row>
    <row r="21521" spans="1:1">
      <c r="A21521" s="35" t="s">
        <v>41057</v>
      </c>
    </row>
    <row r="21522" spans="1:1">
      <c r="A21522" s="35" t="s">
        <v>41057</v>
      </c>
    </row>
    <row r="21523" spans="1:1">
      <c r="A21523" s="35" t="s">
        <v>41057</v>
      </c>
    </row>
    <row r="21524" spans="1:1">
      <c r="A21524" s="35" t="s">
        <v>41057</v>
      </c>
    </row>
    <row r="21525" spans="1:1">
      <c r="A21525" s="35" t="s">
        <v>41057</v>
      </c>
    </row>
    <row r="21526" spans="1:1">
      <c r="A21526" s="35" t="s">
        <v>41057</v>
      </c>
    </row>
    <row r="21527" spans="1:1">
      <c r="A21527" s="35" t="s">
        <v>41057</v>
      </c>
    </row>
    <row r="21528" spans="1:1">
      <c r="A21528" s="35" t="s">
        <v>41057</v>
      </c>
    </row>
    <row r="21529" spans="1:1">
      <c r="A21529" s="35" t="s">
        <v>41057</v>
      </c>
    </row>
    <row r="21530" spans="1:1">
      <c r="A21530" s="35" t="s">
        <v>41057</v>
      </c>
    </row>
    <row r="21531" spans="1:1">
      <c r="A21531" s="35" t="s">
        <v>41057</v>
      </c>
    </row>
    <row r="21532" spans="1:1">
      <c r="A21532" s="35" t="s">
        <v>41057</v>
      </c>
    </row>
    <row r="21533" spans="1:1">
      <c r="A21533" s="35" t="s">
        <v>41057</v>
      </c>
    </row>
    <row r="21534" spans="1:1">
      <c r="A21534" s="35" t="s">
        <v>41057</v>
      </c>
    </row>
    <row r="21535" spans="1:1">
      <c r="A21535" s="35" t="s">
        <v>41057</v>
      </c>
    </row>
    <row r="21536" spans="1:1">
      <c r="A21536" s="35" t="s">
        <v>41057</v>
      </c>
    </row>
    <row r="21537" spans="1:1">
      <c r="A21537" s="35" t="s">
        <v>41057</v>
      </c>
    </row>
    <row r="21538" spans="1:1">
      <c r="A21538" s="35" t="s">
        <v>41057</v>
      </c>
    </row>
    <row r="21539" spans="1:1">
      <c r="A21539" s="35" t="s">
        <v>41057</v>
      </c>
    </row>
    <row r="21540" spans="1:1">
      <c r="A21540" s="35" t="s">
        <v>41057</v>
      </c>
    </row>
    <row r="21541" spans="1:1">
      <c r="A21541" s="35" t="s">
        <v>41057</v>
      </c>
    </row>
    <row r="21542" spans="1:1">
      <c r="A21542" s="35" t="s">
        <v>41057</v>
      </c>
    </row>
    <row r="21543" spans="1:1">
      <c r="A21543" s="35" t="s">
        <v>41057</v>
      </c>
    </row>
    <row r="21544" spans="1:1">
      <c r="A21544" s="35" t="s">
        <v>41057</v>
      </c>
    </row>
    <row r="21545" spans="1:1">
      <c r="A21545" s="35" t="s">
        <v>41057</v>
      </c>
    </row>
    <row r="21546" spans="1:1">
      <c r="A21546" s="35" t="s">
        <v>41057</v>
      </c>
    </row>
    <row r="21547" spans="1:1">
      <c r="A21547" s="35" t="s">
        <v>41057</v>
      </c>
    </row>
    <row r="21548" spans="1:1">
      <c r="A21548" s="35" t="s">
        <v>59242</v>
      </c>
    </row>
    <row r="21549" spans="1:1">
      <c r="A21549" s="35" t="s">
        <v>41057</v>
      </c>
    </row>
    <row r="21550" spans="1:1">
      <c r="A21550" s="35" t="s">
        <v>41057</v>
      </c>
    </row>
    <row r="21551" spans="1:1">
      <c r="A21551" s="35" t="s">
        <v>41057</v>
      </c>
    </row>
    <row r="21552" spans="1:1">
      <c r="A21552" s="35" t="s">
        <v>41057</v>
      </c>
    </row>
    <row r="21553" spans="1:1">
      <c r="A21553" s="35" t="s">
        <v>59243</v>
      </c>
    </row>
    <row r="21554" spans="1:1">
      <c r="A21554" s="35" t="s">
        <v>41057</v>
      </c>
    </row>
    <row r="21555" spans="1:1">
      <c r="A21555" s="35" t="s">
        <v>53520</v>
      </c>
    </row>
    <row r="21556" spans="1:1">
      <c r="A21556" s="35" t="s">
        <v>59244</v>
      </c>
    </row>
    <row r="21557" spans="1:1">
      <c r="A21557" s="35" t="s">
        <v>59245</v>
      </c>
    </row>
    <row r="21558" spans="1:1">
      <c r="A21558" s="35" t="s">
        <v>41057</v>
      </c>
    </row>
    <row r="21559" spans="1:1">
      <c r="A21559" s="35" t="s">
        <v>41057</v>
      </c>
    </row>
    <row r="21560" spans="1:1">
      <c r="A21560" s="35" t="s">
        <v>41057</v>
      </c>
    </row>
    <row r="21561" spans="1:1">
      <c r="A21561" s="35" t="s">
        <v>59246</v>
      </c>
    </row>
    <row r="21562" spans="1:1">
      <c r="A21562" s="35" t="s">
        <v>59247</v>
      </c>
    </row>
    <row r="21563" spans="1:1">
      <c r="A21563" s="35" t="s">
        <v>59248</v>
      </c>
    </row>
    <row r="21564" spans="1:1">
      <c r="A21564" s="35" t="s">
        <v>41057</v>
      </c>
    </row>
    <row r="21565" spans="1:1">
      <c r="A21565" s="35" t="s">
        <v>59249</v>
      </c>
    </row>
    <row r="21566" spans="1:1">
      <c r="A21566" s="35" t="s">
        <v>59250</v>
      </c>
    </row>
    <row r="21567" spans="1:1">
      <c r="A21567" s="35" t="s">
        <v>59251</v>
      </c>
    </row>
    <row r="21568" spans="1:1">
      <c r="A21568" s="35" t="s">
        <v>41057</v>
      </c>
    </row>
    <row r="21569" spans="1:1">
      <c r="A21569" s="35" t="s">
        <v>41057</v>
      </c>
    </row>
    <row r="21570" spans="1:1">
      <c r="A21570" s="35" t="s">
        <v>41057</v>
      </c>
    </row>
    <row r="21571" spans="1:1">
      <c r="A21571" s="35" t="s">
        <v>59252</v>
      </c>
    </row>
    <row r="21572" spans="1:1">
      <c r="A21572" s="35" t="s">
        <v>59253</v>
      </c>
    </row>
    <row r="21573" spans="1:1">
      <c r="A21573" s="35" t="s">
        <v>59254</v>
      </c>
    </row>
    <row r="21574" spans="1:1">
      <c r="A21574" s="35" t="s">
        <v>41057</v>
      </c>
    </row>
    <row r="21575" spans="1:1">
      <c r="A21575" s="35" t="s">
        <v>59255</v>
      </c>
    </row>
    <row r="21576" spans="1:1">
      <c r="A21576" s="35" t="s">
        <v>41057</v>
      </c>
    </row>
    <row r="21577" spans="1:1">
      <c r="A21577" s="35" t="e" cm="1">
        <f t="array" ref="A21577">-----------------------TNYTNISNI----KDYNKVIKRTDATFNNIEHEPDDD</f>
        <v>#NAME?</v>
      </c>
    </row>
    <row r="21578" spans="1:1">
      <c r="A21578" s="35" t="s">
        <v>59256</v>
      </c>
    </row>
    <row r="21579" spans="1:1">
      <c r="A21579" s="35" t="s">
        <v>41057</v>
      </c>
    </row>
    <row r="21580" spans="1:1">
      <c r="A21580" s="35" t="s">
        <v>41057</v>
      </c>
    </row>
    <row r="21581" spans="1:1">
      <c r="A21581" s="35" t="s">
        <v>41057</v>
      </c>
    </row>
    <row r="21582" spans="1:1">
      <c r="A21582" s="35" t="e" cm="1">
        <f t="array" ref="A21582">------------------GNTSDL------------CAGQTR------RFEGFRNVMLEA</f>
        <v>#NAME?</v>
      </c>
    </row>
    <row r="21583" spans="1:1">
      <c r="A21583" s="35" t="s">
        <v>59257</v>
      </c>
    </row>
    <row r="21584" spans="1:1">
      <c r="A21584" s="35" t="s">
        <v>59258</v>
      </c>
    </row>
    <row r="21585" spans="1:1">
      <c r="A21585" s="35" t="s">
        <v>59259</v>
      </c>
    </row>
    <row r="21586" spans="1:1">
      <c r="A21586" s="35" t="s">
        <v>59260</v>
      </c>
    </row>
    <row r="21587" spans="1:1">
      <c r="A21587" s="35" t="s">
        <v>41057</v>
      </c>
    </row>
    <row r="21588" spans="1:1">
      <c r="A21588" s="35" t="s">
        <v>41057</v>
      </c>
    </row>
    <row r="21589" spans="1:1">
      <c r="A21589" s="35" t="s">
        <v>41057</v>
      </c>
    </row>
    <row r="21590" spans="1:1">
      <c r="A21590" s="35" t="s">
        <v>41057</v>
      </c>
    </row>
    <row r="21591" spans="1:1">
      <c r="A21591" s="35" t="s">
        <v>41057</v>
      </c>
    </row>
    <row r="21592" spans="1:1">
      <c r="A21592" s="35" t="s">
        <v>41057</v>
      </c>
    </row>
    <row r="21593" spans="1:1">
      <c r="A21593" s="35" t="s">
        <v>41057</v>
      </c>
    </row>
    <row r="21594" spans="1:1">
      <c r="A21594" s="35" t="s">
        <v>53545</v>
      </c>
    </row>
    <row r="21595" spans="1:1">
      <c r="A21595" s="35" t="s">
        <v>52748</v>
      </c>
    </row>
    <row r="21596" spans="1:1">
      <c r="A21596" s="35" t="s">
        <v>41057</v>
      </c>
    </row>
    <row r="21597" spans="1:1">
      <c r="A21597" s="35" t="s">
        <v>41057</v>
      </c>
    </row>
    <row r="21598" spans="1:1">
      <c r="A21598" s="35" t="s">
        <v>41057</v>
      </c>
    </row>
    <row r="21599" spans="1:1">
      <c r="A21599" s="35" t="s">
        <v>41057</v>
      </c>
    </row>
    <row r="21600" spans="1:1">
      <c r="A21600" s="35" t="s">
        <v>41057</v>
      </c>
    </row>
    <row r="21601" spans="1:1">
      <c r="A21601" s="35" t="s">
        <v>59261</v>
      </c>
    </row>
    <row r="21602" spans="1:1">
      <c r="A21602" s="35" t="s">
        <v>59262</v>
      </c>
    </row>
    <row r="21603" spans="1:1">
      <c r="A21603" s="35" t="s">
        <v>59263</v>
      </c>
    </row>
    <row r="21604" spans="1:1">
      <c r="A21604" s="35" t="s">
        <v>59264</v>
      </c>
    </row>
    <row r="21605" spans="1:1">
      <c r="A21605" s="35" t="e" cm="1">
        <f t="array" ref="A21605">--------------------------------P-IVRAVAHSESEGSAKPDGVIQFPVPT</f>
        <v>#NAME?</v>
      </c>
    </row>
    <row r="21606" spans="1:1">
      <c r="A21606" s="35" t="s">
        <v>59265</v>
      </c>
    </row>
    <row r="21607" spans="1:1">
      <c r="A21607" s="35" t="s">
        <v>59266</v>
      </c>
    </row>
    <row r="21608" spans="1:1">
      <c r="A21608" s="35" t="s">
        <v>59267</v>
      </c>
    </row>
    <row r="21609" spans="1:1">
      <c r="A21609" s="35" t="s">
        <v>41057</v>
      </c>
    </row>
    <row r="21610" spans="1:1">
      <c r="A21610" s="35" t="s">
        <v>41057</v>
      </c>
    </row>
    <row r="21611" spans="1:1">
      <c r="A21611" s="35" t="e" cm="1">
        <f t="array" ref="A21611">------------MLVRITYTSSQNMPSTLDLRGTRIWFQGLTL-------------PPNQ</f>
        <v>#NAME?</v>
      </c>
    </row>
    <row r="21612" spans="1:1">
      <c r="A21612" s="35" t="s">
        <v>59268</v>
      </c>
    </row>
    <row r="21613" spans="1:1">
      <c r="A21613" s="35" t="e" cm="1">
        <f t="array" ref="A21613">-----ITTFTNQTR-------------------------------------------VYE</f>
        <v>#NAME?</v>
      </c>
    </row>
    <row r="21614" spans="1:1">
      <c r="A21614" s="35" t="s">
        <v>59269</v>
      </c>
    </row>
    <row r="21615" spans="1:1">
      <c r="A21615" s="35" t="s">
        <v>59270</v>
      </c>
    </row>
    <row r="21616" spans="1:1">
      <c r="A21616" s="35" t="s">
        <v>41057</v>
      </c>
    </row>
    <row r="21617" spans="1:1">
      <c r="A21617" s="35" t="s">
        <v>59271</v>
      </c>
    </row>
    <row r="21618" spans="1:1">
      <c r="A21618" s="35" t="s">
        <v>59272</v>
      </c>
    </row>
    <row r="21619" spans="1:1">
      <c r="A21619" s="35" t="s">
        <v>59273</v>
      </c>
    </row>
    <row r="21620" spans="1:1">
      <c r="A21620" s="35" t="s">
        <v>59274</v>
      </c>
    </row>
    <row r="21621" spans="1:1">
      <c r="A21621" s="35" t="s">
        <v>59275</v>
      </c>
    </row>
    <row r="21622" spans="1:1">
      <c r="A21622" s="35" t="s">
        <v>41057</v>
      </c>
    </row>
    <row r="21623" spans="1:1">
      <c r="A21623" s="35" t="s">
        <v>41057</v>
      </c>
    </row>
    <row r="21624" spans="1:1">
      <c r="A21624" s="35" t="s">
        <v>59276</v>
      </c>
    </row>
    <row r="21625" spans="1:1">
      <c r="A21625" s="35" t="s">
        <v>41057</v>
      </c>
    </row>
    <row r="21626" spans="1:1">
      <c r="A21626" s="35" t="e" cm="1">
        <f t="array" ref="A21626">-------LRFDPIDR--VPGDRDRFEVTVITQRGQRLSIKNGLIESVDSFHGDEVAGDPD</f>
        <v>#NAME?</v>
      </c>
    </row>
    <row r="21627" spans="1:1">
      <c r="A21627" s="35" t="s">
        <v>59277</v>
      </c>
    </row>
    <row r="21628" spans="1:1">
      <c r="A21628" s="35" t="s">
        <v>59278</v>
      </c>
    </row>
    <row r="21629" spans="1:1">
      <c r="A21629" s="35" t="s">
        <v>59279</v>
      </c>
    </row>
    <row r="21630" spans="1:1">
      <c r="A21630" s="35" t="s">
        <v>41057</v>
      </c>
    </row>
    <row r="21631" spans="1:1">
      <c r="A21631" s="35" t="s">
        <v>41057</v>
      </c>
    </row>
    <row r="21632" spans="1:1">
      <c r="A21632" s="35" t="s">
        <v>54545</v>
      </c>
    </row>
    <row r="21633" spans="1:1">
      <c r="A21633" s="35" t="s">
        <v>41057</v>
      </c>
    </row>
    <row r="21634" spans="1:1">
      <c r="A21634" s="35" t="s">
        <v>41057</v>
      </c>
    </row>
    <row r="21635" spans="1:1">
      <c r="A21635" s="35" t="s">
        <v>41057</v>
      </c>
    </row>
    <row r="21636" spans="1:1">
      <c r="A21636" s="35" t="s">
        <v>41057</v>
      </c>
    </row>
    <row r="21637" spans="1:1">
      <c r="A21637" s="35" t="s">
        <v>41057</v>
      </c>
    </row>
    <row r="21638" spans="1:1">
      <c r="A21638" s="35" t="s">
        <v>59280</v>
      </c>
    </row>
    <row r="21639" spans="1:1">
      <c r="A21639" s="35" t="s">
        <v>41057</v>
      </c>
    </row>
    <row r="21640" spans="1:1">
      <c r="A21640" s="35" t="s">
        <v>41057</v>
      </c>
    </row>
    <row r="21641" spans="1:1">
      <c r="A21641" s="35" t="s">
        <v>41057</v>
      </c>
    </row>
    <row r="21642" spans="1:1">
      <c r="A21642" s="35" t="s">
        <v>41057</v>
      </c>
    </row>
    <row r="21643" spans="1:1">
      <c r="A21643" s="35" t="s">
        <v>41057</v>
      </c>
    </row>
    <row r="21644" spans="1:1">
      <c r="A21644" s="35" t="s">
        <v>41057</v>
      </c>
    </row>
    <row r="21645" spans="1:1">
      <c r="A21645" s="35" t="s">
        <v>41057</v>
      </c>
    </row>
    <row r="21646" spans="1:1">
      <c r="A21646" s="35" t="s">
        <v>50522</v>
      </c>
    </row>
    <row r="21647" spans="1:1">
      <c r="A21647" s="35" t="s">
        <v>41057</v>
      </c>
    </row>
    <row r="21648" spans="1:1">
      <c r="A21648" s="35" t="s">
        <v>41057</v>
      </c>
    </row>
    <row r="21649" spans="1:1">
      <c r="A21649" s="35" t="s">
        <v>41057</v>
      </c>
    </row>
    <row r="21650" spans="1:1">
      <c r="A21650" s="35" t="s">
        <v>41057</v>
      </c>
    </row>
    <row r="21651" spans="1:1">
      <c r="A21651" s="35" t="s">
        <v>41057</v>
      </c>
    </row>
    <row r="21652" spans="1:1">
      <c r="A21652" s="35" t="s">
        <v>41057</v>
      </c>
    </row>
    <row r="21653" spans="1:1">
      <c r="A21653" s="35" t="s">
        <v>41057</v>
      </c>
    </row>
    <row r="21654" spans="1:1">
      <c r="A21654" s="35" t="s">
        <v>41057</v>
      </c>
    </row>
    <row r="21655" spans="1:1">
      <c r="A21655" s="35" t="s">
        <v>41057</v>
      </c>
    </row>
    <row r="21656" spans="1:1">
      <c r="A21656" s="35" t="s">
        <v>41057</v>
      </c>
    </row>
    <row r="21657" spans="1:1">
      <c r="A21657" s="35" t="s">
        <v>56229</v>
      </c>
    </row>
    <row r="21658" spans="1:1">
      <c r="A21658" s="35" t="s">
        <v>41057</v>
      </c>
    </row>
    <row r="21659" spans="1:1">
      <c r="A21659" s="35" t="s">
        <v>41057</v>
      </c>
    </row>
    <row r="21660" spans="1:1">
      <c r="A21660" s="35" t="s">
        <v>41057</v>
      </c>
    </row>
    <row r="21661" spans="1:1">
      <c r="A21661" s="35" t="s">
        <v>41057</v>
      </c>
    </row>
    <row r="21662" spans="1:1">
      <c r="A21662" s="35" t="s">
        <v>41057</v>
      </c>
    </row>
    <row r="21663" spans="1:1">
      <c r="A21663" s="35" t="s">
        <v>41057</v>
      </c>
    </row>
    <row r="21664" spans="1:1">
      <c r="A21664" s="35" t="s">
        <v>41057</v>
      </c>
    </row>
    <row r="21665" spans="1:1">
      <c r="A21665" s="35" t="e" cm="1">
        <f t="array" ref="A21665">-------------------------------------------------RWINGI---GY</f>
        <v>#NAME?</v>
      </c>
    </row>
    <row r="21666" spans="1:1">
      <c r="A21666" s="35" t="s">
        <v>59281</v>
      </c>
    </row>
    <row r="21667" spans="1:1">
      <c r="A21667" s="35" t="e" cm="1">
        <f t="array" ref="A21667">---------------GEALYLLNQQDN---------PLGV------------------RA</f>
        <v>#NAME?</v>
      </c>
    </row>
    <row r="21668" spans="1:1">
      <c r="A21668" s="35" t="s">
        <v>59282</v>
      </c>
    </row>
    <row r="21669" spans="1:1">
      <c r="A21669" s="35" t="e" cm="1">
        <f t="array" ref="A21669">-----------------------------------------HPNGLDTVSF------PTT</f>
        <v>#NAME?</v>
      </c>
    </row>
    <row r="21670" spans="1:1">
      <c r="A21670" s="35" t="s">
        <v>59283</v>
      </c>
    </row>
    <row r="21671" spans="1:1">
      <c r="A21671" s="35" t="s">
        <v>59284</v>
      </c>
    </row>
    <row r="21672" spans="1:1">
      <c r="A21672" s="35" t="s">
        <v>41057</v>
      </c>
    </row>
    <row r="21673" spans="1:1">
      <c r="A21673" s="35" t="s">
        <v>59285</v>
      </c>
    </row>
    <row r="21674" spans="1:1">
      <c r="A21674" s="35" t="s">
        <v>59286</v>
      </c>
    </row>
    <row r="21675" spans="1:1">
      <c r="A21675" s="35" t="s">
        <v>59287</v>
      </c>
    </row>
    <row r="21676" spans="1:1">
      <c r="A21676" s="35" t="s">
        <v>41057</v>
      </c>
    </row>
    <row r="21677" spans="1:1">
      <c r="A21677" s="35" t="s">
        <v>41057</v>
      </c>
    </row>
    <row r="21678" spans="1:1">
      <c r="A21678" s="35" t="s">
        <v>41057</v>
      </c>
    </row>
    <row r="21679" spans="1:1">
      <c r="A21679" s="35" t="s">
        <v>59288</v>
      </c>
    </row>
    <row r="21680" spans="1:1">
      <c r="A21680" s="35" t="s">
        <v>59289</v>
      </c>
    </row>
    <row r="21681" spans="1:1">
      <c r="A21681" s="35" t="s">
        <v>59290</v>
      </c>
    </row>
    <row r="21682" spans="1:1">
      <c r="A21682" s="35" t="s">
        <v>41057</v>
      </c>
    </row>
    <row r="21683" spans="1:1">
      <c r="A21683" s="35" t="s">
        <v>59291</v>
      </c>
    </row>
    <row r="21684" spans="1:1">
      <c r="A21684" s="35" t="s">
        <v>59292</v>
      </c>
    </row>
    <row r="21685" spans="1:1">
      <c r="A21685" s="35" t="s">
        <v>59293</v>
      </c>
    </row>
    <row r="21686" spans="1:1">
      <c r="A21686" s="35" t="e" cm="1">
        <f t="array" ref="A21686">---------------------------------------------------------RFD</f>
        <v>#NAME?</v>
      </c>
    </row>
    <row r="21687" spans="1:1">
      <c r="A21687" s="35" t="s">
        <v>59294</v>
      </c>
    </row>
    <row r="21688" spans="1:1">
      <c r="A21688" s="35" t="s">
        <v>41057</v>
      </c>
    </row>
    <row r="21689" spans="1:1">
      <c r="A21689" s="35" t="s">
        <v>41057</v>
      </c>
    </row>
    <row r="21690" spans="1:1">
      <c r="A21690" s="35" t="s">
        <v>41057</v>
      </c>
    </row>
    <row r="21691" spans="1:1">
      <c r="A21691" s="35" t="s">
        <v>59295</v>
      </c>
    </row>
    <row r="21692" spans="1:1">
      <c r="A21692" s="35" t="s">
        <v>59296</v>
      </c>
    </row>
    <row r="21693" spans="1:1">
      <c r="A21693" s="35" t="s">
        <v>41057</v>
      </c>
    </row>
    <row r="21694" spans="1:1">
      <c r="A21694" s="35" t="s">
        <v>41057</v>
      </c>
    </row>
    <row r="21695" spans="1:1">
      <c r="A21695" s="35" t="s">
        <v>59297</v>
      </c>
    </row>
    <row r="21696" spans="1:1">
      <c r="A21696" s="35" t="s">
        <v>41057</v>
      </c>
    </row>
    <row r="21697" spans="1:1">
      <c r="A21697" s="35" t="s">
        <v>41057</v>
      </c>
    </row>
    <row r="21698" spans="1:1">
      <c r="A21698" s="35" t="s">
        <v>41057</v>
      </c>
    </row>
    <row r="21699" spans="1:1">
      <c r="A21699" s="35" t="s">
        <v>41057</v>
      </c>
    </row>
    <row r="21700" spans="1:1">
      <c r="A21700" s="35" t="s">
        <v>41057</v>
      </c>
    </row>
    <row r="21701" spans="1:1">
      <c r="A21701" s="35" t="s">
        <v>59298</v>
      </c>
    </row>
    <row r="21702" spans="1:1">
      <c r="A21702" s="35" t="s">
        <v>41057</v>
      </c>
    </row>
    <row r="21703" spans="1:1">
      <c r="A21703" s="35" t="s">
        <v>59299</v>
      </c>
    </row>
    <row r="21704" spans="1:1">
      <c r="A21704" s="35" t="s">
        <v>59300</v>
      </c>
    </row>
    <row r="21705" spans="1:1">
      <c r="A21705" s="35" t="s">
        <v>59301</v>
      </c>
    </row>
    <row r="21706" spans="1:1">
      <c r="A21706" s="35" t="s">
        <v>41057</v>
      </c>
    </row>
    <row r="21707" spans="1:1">
      <c r="A21707" s="35" t="s">
        <v>41057</v>
      </c>
    </row>
    <row r="21708" spans="1:1">
      <c r="A21708" s="35" t="s">
        <v>59302</v>
      </c>
    </row>
    <row r="21709" spans="1:1">
      <c r="A21709" s="35" t="s">
        <v>59303</v>
      </c>
    </row>
    <row r="21710" spans="1:1">
      <c r="A21710" s="35" t="s">
        <v>59304</v>
      </c>
    </row>
    <row r="21711" spans="1:1">
      <c r="A21711" s="35" t="s">
        <v>41057</v>
      </c>
    </row>
    <row r="21712" spans="1:1">
      <c r="A21712" s="35" t="s">
        <v>53545</v>
      </c>
    </row>
    <row r="21713" spans="1:1">
      <c r="A21713" s="35" t="s">
        <v>59305</v>
      </c>
    </row>
    <row r="21714" spans="1:1">
      <c r="A21714" s="35" t="s">
        <v>41057</v>
      </c>
    </row>
    <row r="21715" spans="1:1">
      <c r="A21715" s="35" t="s">
        <v>41057</v>
      </c>
    </row>
    <row r="21716" spans="1:1">
      <c r="A21716" s="35" t="s">
        <v>41057</v>
      </c>
    </row>
    <row r="21717" spans="1:1">
      <c r="A21717" s="35" t="s">
        <v>41057</v>
      </c>
    </row>
    <row r="21718" spans="1:1">
      <c r="A21718" s="35" t="s">
        <v>41057</v>
      </c>
    </row>
    <row r="21719" spans="1:1">
      <c r="A21719" s="35" t="s">
        <v>41057</v>
      </c>
    </row>
    <row r="21720" spans="1:1">
      <c r="A21720" s="35" t="s">
        <v>41057</v>
      </c>
    </row>
    <row r="21721" spans="1:1">
      <c r="A21721" s="35" t="s">
        <v>41057</v>
      </c>
    </row>
    <row r="21722" spans="1:1">
      <c r="A21722" s="35" t="s">
        <v>41057</v>
      </c>
    </row>
    <row r="21723" spans="1:1">
      <c r="A21723" s="35" t="s">
        <v>57371</v>
      </c>
    </row>
    <row r="21724" spans="1:1">
      <c r="A21724" s="35" t="s">
        <v>59306</v>
      </c>
    </row>
    <row r="21725" spans="1:1">
      <c r="A21725" s="35" t="s">
        <v>59307</v>
      </c>
    </row>
    <row r="21726" spans="1:1">
      <c r="A21726" s="35" t="s">
        <v>59308</v>
      </c>
    </row>
    <row r="21727" spans="1:1">
      <c r="A21727" s="35" t="s">
        <v>41057</v>
      </c>
    </row>
    <row r="21728" spans="1:1">
      <c r="A21728" s="35" t="s">
        <v>41057</v>
      </c>
    </row>
    <row r="21729" spans="1:1">
      <c r="A21729" s="35" t="s">
        <v>59309</v>
      </c>
    </row>
    <row r="21730" spans="1:1">
      <c r="A21730" s="35" t="s">
        <v>59310</v>
      </c>
    </row>
    <row r="21731" spans="1:1">
      <c r="A21731" s="35" t="s">
        <v>59311</v>
      </c>
    </row>
    <row r="21732" spans="1:1">
      <c r="A21732" s="35" t="s">
        <v>41057</v>
      </c>
    </row>
    <row r="21733" spans="1:1">
      <c r="A21733" s="35" t="s">
        <v>41057</v>
      </c>
    </row>
    <row r="21734" spans="1:1">
      <c r="A21734" s="35" t="s">
        <v>41057</v>
      </c>
    </row>
    <row r="21735" spans="1:1">
      <c r="A21735" s="35" t="s">
        <v>41057</v>
      </c>
    </row>
    <row r="21736" spans="1:1">
      <c r="A21736" s="35" t="s">
        <v>41057</v>
      </c>
    </row>
    <row r="21737" spans="1:1">
      <c r="A21737" s="35" t="s">
        <v>41057</v>
      </c>
    </row>
    <row r="21738" spans="1:1">
      <c r="A21738" s="35" t="s">
        <v>41057</v>
      </c>
    </row>
    <row r="21739" spans="1:1">
      <c r="A21739" s="35" t="s">
        <v>53500</v>
      </c>
    </row>
    <row r="21740" spans="1:1">
      <c r="A21740" s="35" t="s">
        <v>41057</v>
      </c>
    </row>
    <row r="21741" spans="1:1">
      <c r="A21741" s="35" t="s">
        <v>41057</v>
      </c>
    </row>
    <row r="21742" spans="1:1">
      <c r="A21742" s="35" t="s">
        <v>59312</v>
      </c>
    </row>
    <row r="21743" spans="1:1">
      <c r="A21743" s="35" t="s">
        <v>41057</v>
      </c>
    </row>
    <row r="21744" spans="1:1">
      <c r="A21744" s="35" t="s">
        <v>59313</v>
      </c>
    </row>
    <row r="21745" spans="1:1">
      <c r="A21745" s="35" t="s">
        <v>41057</v>
      </c>
    </row>
    <row r="21746" spans="1:1">
      <c r="A21746" s="35" t="s">
        <v>59314</v>
      </c>
    </row>
    <row r="21747" spans="1:1">
      <c r="A21747" s="35" t="s">
        <v>41057</v>
      </c>
    </row>
    <row r="21748" spans="1:1">
      <c r="A21748" s="35" t="s">
        <v>41057</v>
      </c>
    </row>
    <row r="21749" spans="1:1">
      <c r="A21749" s="35" t="s">
        <v>41057</v>
      </c>
    </row>
    <row r="21750" spans="1:1">
      <c r="A21750" s="35" t="s">
        <v>59315</v>
      </c>
    </row>
    <row r="21751" spans="1:1">
      <c r="A21751" s="35" t="s">
        <v>41057</v>
      </c>
    </row>
    <row r="21752" spans="1:1">
      <c r="A21752" s="35" t="s">
        <v>41057</v>
      </c>
    </row>
    <row r="21753" spans="1:1">
      <c r="A21753" s="35" t="s">
        <v>41057</v>
      </c>
    </row>
    <row r="21754" spans="1:1">
      <c r="A21754" s="35" t="s">
        <v>41057</v>
      </c>
    </row>
    <row r="21755" spans="1:1">
      <c r="A21755" s="35" t="s">
        <v>41057</v>
      </c>
    </row>
    <row r="21756" spans="1:1">
      <c r="A21756" s="35" t="s">
        <v>41057</v>
      </c>
    </row>
    <row r="21757" spans="1:1">
      <c r="A21757" s="35" t="s">
        <v>41057</v>
      </c>
    </row>
    <row r="21758" spans="1:1">
      <c r="A21758" s="35" t="s">
        <v>41057</v>
      </c>
    </row>
    <row r="21759" spans="1:1">
      <c r="A21759" s="35" t="s">
        <v>41057</v>
      </c>
    </row>
    <row r="21760" spans="1:1">
      <c r="A21760" s="35" t="s">
        <v>41057</v>
      </c>
    </row>
    <row r="21761" spans="1:1">
      <c r="A21761" s="35" t="s">
        <v>41057</v>
      </c>
    </row>
    <row r="21762" spans="1:1">
      <c r="A21762" s="35" t="s">
        <v>41057</v>
      </c>
    </row>
    <row r="21763" spans="1:1">
      <c r="A21763" s="35" t="s">
        <v>41057</v>
      </c>
    </row>
    <row r="21764" spans="1:1">
      <c r="A21764" s="35" t="s">
        <v>41057</v>
      </c>
    </row>
    <row r="21765" spans="1:1">
      <c r="A21765" s="35" t="s">
        <v>41057</v>
      </c>
    </row>
    <row r="21766" spans="1:1">
      <c r="A21766" s="35" t="s">
        <v>41057</v>
      </c>
    </row>
    <row r="21767" spans="1:1">
      <c r="A21767" s="35" t="s">
        <v>41057</v>
      </c>
    </row>
    <row r="21768" spans="1:1">
      <c r="A21768" s="35" t="s">
        <v>41057</v>
      </c>
    </row>
    <row r="21769" spans="1:1">
      <c r="A21769" s="35" t="s">
        <v>41057</v>
      </c>
    </row>
    <row r="21770" spans="1:1">
      <c r="A21770" s="35" t="s">
        <v>41057</v>
      </c>
    </row>
    <row r="21771" spans="1:1">
      <c r="A21771" s="35" t="s">
        <v>41057</v>
      </c>
    </row>
    <row r="21772" spans="1:1">
      <c r="A21772" s="35" t="s">
        <v>41057</v>
      </c>
    </row>
    <row r="21773" spans="1:1">
      <c r="A21773" s="35" t="s">
        <v>41057</v>
      </c>
    </row>
    <row r="21774" spans="1:1">
      <c r="A21774" s="35" t="s">
        <v>41057</v>
      </c>
    </row>
    <row r="21775" spans="1:1">
      <c r="A21775" s="35" t="s">
        <v>41057</v>
      </c>
    </row>
    <row r="21776" spans="1:1">
      <c r="A21776" s="35" t="s">
        <v>41057</v>
      </c>
    </row>
    <row r="21777" spans="1:1">
      <c r="A21777" s="35" t="s">
        <v>41057</v>
      </c>
    </row>
    <row r="21778" spans="1:1">
      <c r="A21778" s="35" t="s">
        <v>41057</v>
      </c>
    </row>
    <row r="21779" spans="1:1">
      <c r="A21779" s="35" t="s">
        <v>41057</v>
      </c>
    </row>
    <row r="21780" spans="1:1">
      <c r="A21780" s="35" t="s">
        <v>41057</v>
      </c>
    </row>
    <row r="21781" spans="1:1">
      <c r="A21781" s="35" t="s">
        <v>41057</v>
      </c>
    </row>
    <row r="21782" spans="1:1">
      <c r="A21782" s="35" t="s">
        <v>41057</v>
      </c>
    </row>
    <row r="21783" spans="1:1">
      <c r="A21783" s="35" t="e" cm="1">
        <f t="array" ref="A21783">------------------------------------------------FKYVKEL---GH</f>
        <v>#NAME?</v>
      </c>
    </row>
    <row r="21784" spans="1:1">
      <c r="A21784" s="35" t="s">
        <v>59316</v>
      </c>
    </row>
    <row r="21785" spans="1:1">
      <c r="A21785" s="35" t="e" cm="1">
        <f t="array" ref="A21785">-------------------HLMSHIAR------TRVSYEQ------------------RR</f>
        <v>#NAME?</v>
      </c>
    </row>
    <row r="21786" spans="1:1">
      <c r="A21786" s="35" t="s">
        <v>59317</v>
      </c>
    </row>
    <row r="21787" spans="1:1">
      <c r="A21787" s="35" t="s">
        <v>59318</v>
      </c>
    </row>
    <row r="21788" spans="1:1">
      <c r="A21788" s="35" t="s">
        <v>41057</v>
      </c>
    </row>
    <row r="21789" spans="1:1">
      <c r="A21789" s="35" t="s">
        <v>59319</v>
      </c>
    </row>
    <row r="21790" spans="1:1">
      <c r="A21790" s="35" t="s">
        <v>41057</v>
      </c>
    </row>
    <row r="21791" spans="1:1">
      <c r="A21791" s="35" t="s">
        <v>59320</v>
      </c>
    </row>
    <row r="21792" spans="1:1">
      <c r="A21792" s="35" t="s">
        <v>59321</v>
      </c>
    </row>
    <row r="21793" spans="1:1">
      <c r="A21793" s="35" t="s">
        <v>59322</v>
      </c>
    </row>
    <row r="21794" spans="1:1">
      <c r="A21794" s="35" t="s">
        <v>41057</v>
      </c>
    </row>
    <row r="21795" spans="1:1">
      <c r="A21795" s="35" t="s">
        <v>41057</v>
      </c>
    </row>
    <row r="21796" spans="1:1">
      <c r="A21796" s="35" t="s">
        <v>41057</v>
      </c>
    </row>
    <row r="21797" spans="1:1">
      <c r="A21797" s="35" t="s">
        <v>41057</v>
      </c>
    </row>
    <row r="21798" spans="1:1">
      <c r="A21798" s="35" t="s">
        <v>41057</v>
      </c>
    </row>
    <row r="21799" spans="1:1">
      <c r="A21799" s="35" t="s">
        <v>41057</v>
      </c>
    </row>
    <row r="21800" spans="1:1">
      <c r="A21800" s="35" t="s">
        <v>41057</v>
      </c>
    </row>
    <row r="21801" spans="1:1">
      <c r="A21801" s="35" t="s">
        <v>41057</v>
      </c>
    </row>
    <row r="21802" spans="1:1">
      <c r="A21802" s="35" t="s">
        <v>59323</v>
      </c>
    </row>
    <row r="21803" spans="1:1">
      <c r="A21803" s="35" t="s">
        <v>59324</v>
      </c>
    </row>
    <row r="21804" spans="1:1">
      <c r="A21804" s="35" t="s">
        <v>41057</v>
      </c>
    </row>
    <row r="21805" spans="1:1">
      <c r="A21805" s="35" t="s">
        <v>41057</v>
      </c>
    </row>
    <row r="21806" spans="1:1">
      <c r="A21806" s="35" t="s">
        <v>41057</v>
      </c>
    </row>
    <row r="21807" spans="1:1">
      <c r="A21807" s="35" t="s">
        <v>41057</v>
      </c>
    </row>
    <row r="21808" spans="1:1">
      <c r="A21808" s="35" t="s">
        <v>41057</v>
      </c>
    </row>
    <row r="21809" spans="1:1">
      <c r="A21809" s="35" t="s">
        <v>59325</v>
      </c>
    </row>
    <row r="21810" spans="1:1">
      <c r="A21810" s="35" t="s">
        <v>41057</v>
      </c>
    </row>
    <row r="21811" spans="1:1">
      <c r="A21811" s="35" t="s">
        <v>41057</v>
      </c>
    </row>
    <row r="21812" spans="1:1">
      <c r="A21812" s="35" t="s">
        <v>41057</v>
      </c>
    </row>
    <row r="21813" spans="1:1">
      <c r="A21813" s="35" t="s">
        <v>41057</v>
      </c>
    </row>
    <row r="21814" spans="1:1">
      <c r="A21814" s="35" t="s">
        <v>41057</v>
      </c>
    </row>
    <row r="21815" spans="1:1">
      <c r="A21815" s="35" t="s">
        <v>41057</v>
      </c>
    </row>
    <row r="21816" spans="1:1">
      <c r="A21816" s="35" t="s">
        <v>41057</v>
      </c>
    </row>
    <row r="21817" spans="1:1">
      <c r="A21817" s="35" t="s">
        <v>41057</v>
      </c>
    </row>
    <row r="21818" spans="1:1">
      <c r="A21818" s="35" t="s">
        <v>41057</v>
      </c>
    </row>
    <row r="21819" spans="1:1">
      <c r="A21819" s="35" t="s">
        <v>41057</v>
      </c>
    </row>
    <row r="21820" spans="1:1">
      <c r="A21820" s="35" t="s">
        <v>59326</v>
      </c>
    </row>
    <row r="21821" spans="1:1">
      <c r="A21821" s="35" t="s">
        <v>59327</v>
      </c>
    </row>
    <row r="21822" spans="1:1">
      <c r="A21822" s="35" t="s">
        <v>59328</v>
      </c>
    </row>
    <row r="21823" spans="1:1">
      <c r="A21823" s="35" t="s">
        <v>59329</v>
      </c>
    </row>
    <row r="21824" spans="1:1">
      <c r="A21824" s="35" t="s">
        <v>41057</v>
      </c>
    </row>
    <row r="21825" spans="1:1">
      <c r="A21825" s="35" t="s">
        <v>41057</v>
      </c>
    </row>
    <row r="21826" spans="1:1">
      <c r="A21826" s="35" t="s">
        <v>41057</v>
      </c>
    </row>
    <row r="21827" spans="1:1">
      <c r="A21827" s="35" t="s">
        <v>41057</v>
      </c>
    </row>
    <row r="21828" spans="1:1">
      <c r="A21828" s="35" t="s">
        <v>41057</v>
      </c>
    </row>
    <row r="21829" spans="1:1">
      <c r="A21829" s="35" t="s">
        <v>41057</v>
      </c>
    </row>
    <row r="21830" spans="1:1">
      <c r="A21830" s="35" t="s">
        <v>53545</v>
      </c>
    </row>
    <row r="21831" spans="1:1">
      <c r="A21831" s="35" t="s">
        <v>52831</v>
      </c>
    </row>
    <row r="21832" spans="1:1">
      <c r="A21832" s="35" t="s">
        <v>41056</v>
      </c>
    </row>
    <row r="21833" spans="1:1">
      <c r="A21833" s="35" t="s">
        <v>41057</v>
      </c>
    </row>
    <row r="21834" spans="1:1">
      <c r="A21834" s="35" t="s">
        <v>41057</v>
      </c>
    </row>
    <row r="21835" spans="1:1">
      <c r="A21835" s="35" t="s">
        <v>41057</v>
      </c>
    </row>
    <row r="21836" spans="1:1">
      <c r="A21836" s="35" t="s">
        <v>41057</v>
      </c>
    </row>
    <row r="21837" spans="1:1">
      <c r="A21837" s="35" t="s">
        <v>59330</v>
      </c>
    </row>
    <row r="21838" spans="1:1">
      <c r="A21838" s="35" t="s">
        <v>41057</v>
      </c>
    </row>
    <row r="21839" spans="1:1">
      <c r="A21839" s="35" t="s">
        <v>41057</v>
      </c>
    </row>
    <row r="21840" spans="1:1">
      <c r="A21840" s="35" t="s">
        <v>41057</v>
      </c>
    </row>
    <row r="21841" spans="1:1">
      <c r="A21841" s="35" t="s">
        <v>59331</v>
      </c>
    </row>
    <row r="21842" spans="1:1">
      <c r="A21842" s="35" t="s">
        <v>59332</v>
      </c>
    </row>
    <row r="21843" spans="1:1">
      <c r="A21843" s="35" t="s">
        <v>59333</v>
      </c>
    </row>
    <row r="21844" spans="1:1">
      <c r="A21844" s="35" t="s">
        <v>59334</v>
      </c>
    </row>
    <row r="21845" spans="1:1">
      <c r="A21845" s="35" t="s">
        <v>41057</v>
      </c>
    </row>
    <row r="21846" spans="1:1">
      <c r="A21846" s="35" t="s">
        <v>41057</v>
      </c>
    </row>
    <row r="21847" spans="1:1">
      <c r="A21847" s="35" t="e" cm="1">
        <f t="array" ref="A21847">----------DISKTHINY------------------LTS-------------------S</f>
        <v>#NAME?</v>
      </c>
    </row>
    <row r="21848" spans="1:1">
      <c r="A21848" s="35" t="s">
        <v>59335</v>
      </c>
    </row>
    <row r="21849" spans="1:1">
      <c r="A21849" s="35" t="s">
        <v>59336</v>
      </c>
    </row>
    <row r="21850" spans="1:1">
      <c r="A21850" s="35" t="s">
        <v>41057</v>
      </c>
    </row>
    <row r="21851" spans="1:1">
      <c r="A21851" s="35" t="s">
        <v>41057</v>
      </c>
    </row>
    <row r="21852" spans="1:1">
      <c r="A21852" s="35" t="s">
        <v>41057</v>
      </c>
    </row>
    <row r="21853" spans="1:1">
      <c r="A21853" s="35" t="s">
        <v>41057</v>
      </c>
    </row>
    <row r="21854" spans="1:1">
      <c r="A21854" s="35" t="s">
        <v>41057</v>
      </c>
    </row>
    <row r="21855" spans="1:1">
      <c r="A21855" s="35" t="s">
        <v>41057</v>
      </c>
    </row>
    <row r="21856" spans="1:1">
      <c r="A21856" s="35" t="s">
        <v>41057</v>
      </c>
    </row>
    <row r="21857" spans="1:1">
      <c r="A21857" s="35" t="s">
        <v>59337</v>
      </c>
    </row>
    <row r="21858" spans="1:1">
      <c r="A21858" s="35" t="s">
        <v>41057</v>
      </c>
    </row>
    <row r="21859" spans="1:1">
      <c r="A21859" s="35" t="s">
        <v>41057</v>
      </c>
    </row>
    <row r="21860" spans="1:1">
      <c r="A21860" s="35" t="s">
        <v>59338</v>
      </c>
    </row>
    <row r="21861" spans="1:1">
      <c r="A21861" s="35" t="s">
        <v>41057</v>
      </c>
    </row>
    <row r="21862" spans="1:1">
      <c r="A21862" s="35" t="s">
        <v>59339</v>
      </c>
    </row>
    <row r="21863" spans="1:1">
      <c r="A21863" s="35" t="s">
        <v>41057</v>
      </c>
    </row>
    <row r="21864" spans="1:1">
      <c r="A21864" s="35" t="s">
        <v>59340</v>
      </c>
    </row>
    <row r="21865" spans="1:1">
      <c r="A21865" s="35" t="s">
        <v>59341</v>
      </c>
    </row>
    <row r="21866" spans="1:1">
      <c r="A21866" s="35" t="s">
        <v>41057</v>
      </c>
    </row>
    <row r="21867" spans="1:1">
      <c r="A21867" s="35" t="s">
        <v>41057</v>
      </c>
    </row>
    <row r="21868" spans="1:1">
      <c r="A21868" s="35" t="s">
        <v>59342</v>
      </c>
    </row>
    <row r="21869" spans="1:1">
      <c r="A21869" s="35" t="s">
        <v>41057</v>
      </c>
    </row>
    <row r="21870" spans="1:1">
      <c r="A21870" s="35" t="s">
        <v>41057</v>
      </c>
    </row>
    <row r="21871" spans="1:1">
      <c r="A21871" s="35" t="s">
        <v>41057</v>
      </c>
    </row>
    <row r="21872" spans="1:1">
      <c r="A21872" s="35" t="s">
        <v>41057</v>
      </c>
    </row>
    <row r="21873" spans="1:1">
      <c r="A21873" s="35" t="s">
        <v>41057</v>
      </c>
    </row>
    <row r="21874" spans="1:1">
      <c r="A21874" s="35" t="s">
        <v>41057</v>
      </c>
    </row>
    <row r="21875" spans="1:1">
      <c r="A21875" s="35" t="s">
        <v>41057</v>
      </c>
    </row>
    <row r="21876" spans="1:1">
      <c r="A21876" s="35" t="s">
        <v>41057</v>
      </c>
    </row>
    <row r="21877" spans="1:1">
      <c r="A21877" s="35" t="s">
        <v>41057</v>
      </c>
    </row>
    <row r="21878" spans="1:1">
      <c r="A21878" s="35" t="s">
        <v>41057</v>
      </c>
    </row>
    <row r="21879" spans="1:1">
      <c r="A21879" s="35" t="s">
        <v>41057</v>
      </c>
    </row>
    <row r="21880" spans="1:1">
      <c r="A21880" s="35" t="s">
        <v>41057</v>
      </c>
    </row>
    <row r="21881" spans="1:1">
      <c r="A21881" s="35" t="s">
        <v>41057</v>
      </c>
    </row>
    <row r="21882" spans="1:1">
      <c r="A21882" s="35" t="s">
        <v>41057</v>
      </c>
    </row>
    <row r="21883" spans="1:1">
      <c r="A21883" s="35" t="s">
        <v>41057</v>
      </c>
    </row>
    <row r="21884" spans="1:1">
      <c r="A21884" s="35" t="s">
        <v>41057</v>
      </c>
    </row>
    <row r="21885" spans="1:1">
      <c r="A21885" s="35" t="s">
        <v>41057</v>
      </c>
    </row>
    <row r="21886" spans="1:1">
      <c r="A21886" s="35" t="s">
        <v>41057</v>
      </c>
    </row>
    <row r="21887" spans="1:1">
      <c r="A21887" s="35" t="s">
        <v>41057</v>
      </c>
    </row>
    <row r="21888" spans="1:1">
      <c r="A21888" s="35" t="s">
        <v>41057</v>
      </c>
    </row>
    <row r="21889" spans="1:1">
      <c r="A21889" s="35" t="s">
        <v>41057</v>
      </c>
    </row>
    <row r="21890" spans="1:1">
      <c r="A21890" s="35" t="s">
        <v>59343</v>
      </c>
    </row>
    <row r="21891" spans="1:1">
      <c r="A21891" s="35" t="s">
        <v>41057</v>
      </c>
    </row>
    <row r="21892" spans="1:1">
      <c r="A21892" s="35" t="s">
        <v>41057</v>
      </c>
    </row>
    <row r="21893" spans="1:1">
      <c r="A21893" s="35" t="s">
        <v>55251</v>
      </c>
    </row>
    <row r="21894" spans="1:1">
      <c r="A21894" s="35" t="s">
        <v>41057</v>
      </c>
    </row>
    <row r="21895" spans="1:1">
      <c r="A21895" s="35" t="s">
        <v>41057</v>
      </c>
    </row>
    <row r="21896" spans="1:1">
      <c r="A21896" s="35" t="s">
        <v>41057</v>
      </c>
    </row>
    <row r="21897" spans="1:1">
      <c r="A21897" s="35" t="s">
        <v>41057</v>
      </c>
    </row>
    <row r="21898" spans="1:1">
      <c r="A21898" s="35" t="s">
        <v>41057</v>
      </c>
    </row>
    <row r="21899" spans="1:1">
      <c r="A21899" s="35" t="s">
        <v>41057</v>
      </c>
    </row>
    <row r="21900" spans="1:1">
      <c r="A21900" s="35" t="s">
        <v>41057</v>
      </c>
    </row>
    <row r="21901" spans="1:1">
      <c r="A21901" s="35" t="e" cm="1">
        <f t="array" ref="A21901">------------------------------------------------YRLCSKP---GI</f>
        <v>#NAME?</v>
      </c>
    </row>
    <row r="21902" spans="1:1">
      <c r="A21902" s="35" t="s">
        <v>59344</v>
      </c>
    </row>
    <row r="21903" spans="1:1">
      <c r="A21903" s="35" t="e" cm="1">
        <f t="array" ref="A21903">---------------------YAQLFKDK----CLITKDQ------------------EE</f>
        <v>#NAME?</v>
      </c>
    </row>
    <row r="21904" spans="1:1">
      <c r="A21904" s="35" t="s">
        <v>59345</v>
      </c>
    </row>
    <row r="21905" spans="1:1">
      <c r="A21905" s="35" t="s">
        <v>59346</v>
      </c>
    </row>
    <row r="21906" spans="1:1">
      <c r="A21906" s="35" t="e" cm="1">
        <f t="array" ref="A21906">----------------------------------------------EYS----------N</f>
        <v>#NAME?</v>
      </c>
    </row>
    <row r="21907" spans="1:1">
      <c r="A21907" s="35" t="s">
        <v>59347</v>
      </c>
    </row>
    <row r="21908" spans="1:1">
      <c r="A21908" s="35" t="s">
        <v>41057</v>
      </c>
    </row>
    <row r="21909" spans="1:1">
      <c r="A21909" s="35" t="s">
        <v>59348</v>
      </c>
    </row>
    <row r="21910" spans="1:1">
      <c r="A21910" s="35" t="s">
        <v>59349</v>
      </c>
    </row>
    <row r="21911" spans="1:1">
      <c r="A21911" s="35" t="s">
        <v>59350</v>
      </c>
    </row>
    <row r="21912" spans="1:1">
      <c r="A21912" s="35" t="s">
        <v>41057</v>
      </c>
    </row>
    <row r="21913" spans="1:1">
      <c r="A21913" s="35" t="s">
        <v>41057</v>
      </c>
    </row>
    <row r="21914" spans="1:1">
      <c r="A21914" s="35" t="s">
        <v>41057</v>
      </c>
    </row>
    <row r="21915" spans="1:1">
      <c r="A21915" s="35" t="s">
        <v>59351</v>
      </c>
    </row>
    <row r="21916" spans="1:1">
      <c r="A21916" s="35" t="s">
        <v>57870</v>
      </c>
    </row>
    <row r="21917" spans="1:1">
      <c r="A21917" s="35" t="s">
        <v>41057</v>
      </c>
    </row>
    <row r="21918" spans="1:1">
      <c r="A21918" s="35" t="s">
        <v>59352</v>
      </c>
    </row>
    <row r="21919" spans="1:1">
      <c r="A21919" s="35" t="s">
        <v>59353</v>
      </c>
    </row>
    <row r="21920" spans="1:1">
      <c r="A21920" s="35" t="e" cm="1">
        <f t="array" ref="A21920">---------FTNNL-------------------------YVNS-EIDDI-YASRINYRTV</f>
        <v>#NAME?</v>
      </c>
    </row>
    <row r="21921" spans="1:1">
      <c r="A21921" s="35" t="s">
        <v>59354</v>
      </c>
    </row>
    <row r="21922" spans="1:1">
      <c r="A21922" s="35" t="s">
        <v>41057</v>
      </c>
    </row>
    <row r="21923" spans="1:1">
      <c r="A21923" s="35" t="s">
        <v>41057</v>
      </c>
    </row>
    <row r="21924" spans="1:1">
      <c r="A21924" s="35" t="s">
        <v>41057</v>
      </c>
    </row>
    <row r="21925" spans="1:1">
      <c r="A21925" s="35" t="s">
        <v>59355</v>
      </c>
    </row>
    <row r="21926" spans="1:1">
      <c r="A21926" s="35" t="s">
        <v>41057</v>
      </c>
    </row>
    <row r="21927" spans="1:1">
      <c r="A21927" s="35" t="s">
        <v>59356</v>
      </c>
    </row>
    <row r="21928" spans="1:1">
      <c r="A21928" s="35" t="s">
        <v>54112</v>
      </c>
    </row>
    <row r="21929" spans="1:1">
      <c r="A21929" s="35" t="s">
        <v>59357</v>
      </c>
    </row>
    <row r="21930" spans="1:1">
      <c r="A21930" s="35" t="s">
        <v>41057</v>
      </c>
    </row>
    <row r="21931" spans="1:1">
      <c r="A21931" s="35" t="s">
        <v>59358</v>
      </c>
    </row>
    <row r="21932" spans="1:1">
      <c r="A21932" s="35" t="s">
        <v>41057</v>
      </c>
    </row>
    <row r="21933" spans="1:1">
      <c r="A21933" s="35" t="s">
        <v>41057</v>
      </c>
    </row>
    <row r="21934" spans="1:1">
      <c r="A21934" s="35" t="s">
        <v>41057</v>
      </c>
    </row>
    <row r="21935" spans="1:1">
      <c r="A21935" s="35" t="s">
        <v>41057</v>
      </c>
    </row>
    <row r="21936" spans="1:1">
      <c r="A21936" s="35" t="e" cm="1">
        <f t="array" ref="A21936">------------------------------------------------------RTLENA</f>
        <v>#NAME?</v>
      </c>
    </row>
    <row r="21937" spans="1:1">
      <c r="A21937" s="35" t="s">
        <v>59359</v>
      </c>
    </row>
    <row r="21938" spans="1:1">
      <c r="A21938" s="35" t="e" cm="1">
        <f t="array" ref="A21938">---------------------FEYTESMLSNF--------------------------DI</f>
        <v>#NAME?</v>
      </c>
    </row>
    <row r="21939" spans="1:1">
      <c r="A21939" s="35" t="s">
        <v>59360</v>
      </c>
    </row>
    <row r="21940" spans="1:1">
      <c r="A21940" s="35" t="s">
        <v>59361</v>
      </c>
    </row>
    <row r="21941" spans="1:1">
      <c r="A21941" s="35" t="s">
        <v>59362</v>
      </c>
    </row>
    <row r="21942" spans="1:1">
      <c r="A21942" s="35" t="s">
        <v>59363</v>
      </c>
    </row>
    <row r="21943" spans="1:1">
      <c r="A21943" s="35" t="s">
        <v>41057</v>
      </c>
    </row>
    <row r="21944" spans="1:1">
      <c r="A21944" s="35" t="s">
        <v>59364</v>
      </c>
    </row>
    <row r="21945" spans="1:1">
      <c r="A21945" s="35" t="s">
        <v>59365</v>
      </c>
    </row>
    <row r="21946" spans="1:1">
      <c r="A21946" s="35" t="s">
        <v>59366</v>
      </c>
    </row>
    <row r="21947" spans="1:1">
      <c r="A21947" s="35" t="s">
        <v>41057</v>
      </c>
    </row>
    <row r="21948" spans="1:1">
      <c r="A21948" s="35" t="s">
        <v>53545</v>
      </c>
    </row>
    <row r="21949" spans="1:1">
      <c r="A21949" s="35" t="s">
        <v>53357</v>
      </c>
    </row>
    <row r="21950" spans="1:1">
      <c r="A21950" s="35" t="s">
        <v>41057</v>
      </c>
    </row>
    <row r="21951" spans="1:1">
      <c r="A21951" s="35" t="s">
        <v>41057</v>
      </c>
    </row>
    <row r="21952" spans="1:1">
      <c r="A21952" s="35" t="s">
        <v>41057</v>
      </c>
    </row>
    <row r="21953" spans="1:1">
      <c r="A21953" s="35" t="s">
        <v>41057</v>
      </c>
    </row>
    <row r="21954" spans="1:1">
      <c r="A21954" s="35" t="s">
        <v>41057</v>
      </c>
    </row>
    <row r="21955" spans="1:1">
      <c r="A21955" s="35" t="s">
        <v>59367</v>
      </c>
    </row>
    <row r="21956" spans="1:1">
      <c r="A21956" s="35" t="s">
        <v>41057</v>
      </c>
    </row>
    <row r="21957" spans="1:1">
      <c r="A21957" s="35" t="s">
        <v>41057</v>
      </c>
    </row>
    <row r="21958" spans="1:1">
      <c r="A21958" s="35" t="s">
        <v>41057</v>
      </c>
    </row>
    <row r="21959" spans="1:1">
      <c r="A21959" s="35" t="s">
        <v>59368</v>
      </c>
    </row>
    <row r="21960" spans="1:1">
      <c r="A21960" s="35" t="s">
        <v>59369</v>
      </c>
    </row>
    <row r="21961" spans="1:1">
      <c r="A21961" s="35" t="s">
        <v>59370</v>
      </c>
    </row>
    <row r="21962" spans="1:1">
      <c r="A21962" s="35" t="s">
        <v>59371</v>
      </c>
    </row>
    <row r="21963" spans="1:1">
      <c r="A21963" s="35" t="s">
        <v>41057</v>
      </c>
    </row>
    <row r="21964" spans="1:1">
      <c r="A21964" s="35" t="s">
        <v>41057</v>
      </c>
    </row>
    <row r="21965" spans="1:1">
      <c r="A21965" s="35" t="e" cm="1">
        <f t="array" ref="A21965">-------------------------------------FHSI------------------D</f>
        <v>#NAME?</v>
      </c>
    </row>
    <row r="21966" spans="1:1">
      <c r="A21966" s="35" t="s">
        <v>59372</v>
      </c>
    </row>
    <row r="21967" spans="1:1">
      <c r="A21967" s="35" t="s">
        <v>59373</v>
      </c>
    </row>
    <row r="21968" spans="1:1">
      <c r="A21968" s="35" t="s">
        <v>41057</v>
      </c>
    </row>
    <row r="21969" spans="1:1">
      <c r="A21969" s="35" t="s">
        <v>59374</v>
      </c>
    </row>
    <row r="21970" spans="1:1">
      <c r="A21970" s="35" t="s">
        <v>41057</v>
      </c>
    </row>
    <row r="21971" spans="1:1">
      <c r="A21971" s="35" t="s">
        <v>41057</v>
      </c>
    </row>
    <row r="21972" spans="1:1">
      <c r="A21972" s="35" t="s">
        <v>59375</v>
      </c>
    </row>
    <row r="21973" spans="1:1">
      <c r="A21973" s="35" t="s">
        <v>41057</v>
      </c>
    </row>
    <row r="21974" spans="1:1">
      <c r="A21974" s="35" t="s">
        <v>41057</v>
      </c>
    </row>
    <row r="21975" spans="1:1">
      <c r="A21975" s="35" t="s">
        <v>53500</v>
      </c>
    </row>
    <row r="21976" spans="1:1">
      <c r="A21976" s="35" t="s">
        <v>41057</v>
      </c>
    </row>
    <row r="21977" spans="1:1">
      <c r="A21977" s="35" t="s">
        <v>41057</v>
      </c>
    </row>
    <row r="21978" spans="1:1">
      <c r="A21978" s="35" t="s">
        <v>59376</v>
      </c>
    </row>
    <row r="21979" spans="1:1">
      <c r="A21979" s="35" t="s">
        <v>41057</v>
      </c>
    </row>
    <row r="21980" spans="1:1">
      <c r="A21980" s="35" t="s">
        <v>59377</v>
      </c>
    </row>
    <row r="21981" spans="1:1">
      <c r="A21981" s="35" t="s">
        <v>41057</v>
      </c>
    </row>
    <row r="21982" spans="1:1">
      <c r="A21982" s="35" t="s">
        <v>59378</v>
      </c>
    </row>
    <row r="21983" spans="1:1">
      <c r="A21983" s="35" t="s">
        <v>59379</v>
      </c>
    </row>
    <row r="21984" spans="1:1">
      <c r="A21984" s="35" t="s">
        <v>41057</v>
      </c>
    </row>
    <row r="21985" spans="1:1">
      <c r="A21985" s="35" t="s">
        <v>41057</v>
      </c>
    </row>
    <row r="21986" spans="1:1">
      <c r="A21986" s="35" t="s">
        <v>53505</v>
      </c>
    </row>
    <row r="21987" spans="1:1">
      <c r="A21987" s="35" t="s">
        <v>41057</v>
      </c>
    </row>
    <row r="21988" spans="1:1">
      <c r="A21988" s="35" t="s">
        <v>41057</v>
      </c>
    </row>
    <row r="21989" spans="1:1">
      <c r="A21989" s="35" t="s">
        <v>41057</v>
      </c>
    </row>
    <row r="21990" spans="1:1">
      <c r="A21990" s="35" t="s">
        <v>41057</v>
      </c>
    </row>
    <row r="21991" spans="1:1">
      <c r="A21991" s="35" t="s">
        <v>41057</v>
      </c>
    </row>
    <row r="21992" spans="1:1">
      <c r="A21992" s="35" t="s">
        <v>59380</v>
      </c>
    </row>
    <row r="21993" spans="1:1">
      <c r="A21993" s="35" t="s">
        <v>41057</v>
      </c>
    </row>
    <row r="21994" spans="1:1">
      <c r="A21994" s="35" t="s">
        <v>41057</v>
      </c>
    </row>
    <row r="21995" spans="1:1">
      <c r="A21995" s="35" t="s">
        <v>41057</v>
      </c>
    </row>
    <row r="21996" spans="1:1">
      <c r="A21996" s="35" t="s">
        <v>41057</v>
      </c>
    </row>
    <row r="21997" spans="1:1">
      <c r="A21997" s="35" t="s">
        <v>41057</v>
      </c>
    </row>
    <row r="21998" spans="1:1">
      <c r="A21998" s="35" t="s">
        <v>41057</v>
      </c>
    </row>
    <row r="21999" spans="1:1">
      <c r="A21999" s="35" t="s">
        <v>41057</v>
      </c>
    </row>
    <row r="22000" spans="1:1">
      <c r="A22000" s="35" t="s">
        <v>41057</v>
      </c>
    </row>
    <row r="22001" spans="1:1">
      <c r="A22001" s="35" t="s">
        <v>41057</v>
      </c>
    </row>
    <row r="22002" spans="1:1">
      <c r="A22002" s="35" t="s">
        <v>41057</v>
      </c>
    </row>
    <row r="22003" spans="1:1">
      <c r="A22003" s="35" t="s">
        <v>41057</v>
      </c>
    </row>
    <row r="22004" spans="1:1">
      <c r="A22004" s="35" t="s">
        <v>41057</v>
      </c>
    </row>
    <row r="22005" spans="1:1">
      <c r="A22005" s="35" t="s">
        <v>41057</v>
      </c>
    </row>
    <row r="22006" spans="1:1">
      <c r="A22006" s="35" t="s">
        <v>41057</v>
      </c>
    </row>
    <row r="22007" spans="1:1">
      <c r="A22007" s="35" t="s">
        <v>41057</v>
      </c>
    </row>
    <row r="22008" spans="1:1">
      <c r="A22008" s="35" t="s">
        <v>59381</v>
      </c>
    </row>
    <row r="22009" spans="1:1">
      <c r="A22009" s="35" t="s">
        <v>41057</v>
      </c>
    </row>
    <row r="22010" spans="1:1">
      <c r="A22010" s="35" t="s">
        <v>41057</v>
      </c>
    </row>
    <row r="22011" spans="1:1">
      <c r="A22011" s="35" t="s">
        <v>55886</v>
      </c>
    </row>
    <row r="22012" spans="1:1">
      <c r="A22012" s="35" t="s">
        <v>41057</v>
      </c>
    </row>
    <row r="22013" spans="1:1">
      <c r="A22013" s="35" t="s">
        <v>41057</v>
      </c>
    </row>
    <row r="22014" spans="1:1">
      <c r="A22014" s="35" t="s">
        <v>41057</v>
      </c>
    </row>
    <row r="22015" spans="1:1">
      <c r="A22015" s="35" t="s">
        <v>41057</v>
      </c>
    </row>
    <row r="22016" spans="1:1">
      <c r="A22016" s="35" t="s">
        <v>41057</v>
      </c>
    </row>
    <row r="22017" spans="1:1">
      <c r="A22017" s="35" t="s">
        <v>41057</v>
      </c>
    </row>
    <row r="22018" spans="1:1">
      <c r="A22018" s="35" t="s">
        <v>59382</v>
      </c>
    </row>
    <row r="22019" spans="1:1">
      <c r="A22019" s="35" t="e" cm="1">
        <f t="array" ref="A22019">-----------------------------------------------QFYWVNEI---GN</f>
        <v>#NAME?</v>
      </c>
    </row>
    <row r="22020" spans="1:1">
      <c r="A22020" s="35" t="s">
        <v>59383</v>
      </c>
    </row>
    <row r="22021" spans="1:1">
      <c r="A22021" s="35" t="e" cm="1">
        <f t="array" ref="A22021">---------------NNYAMIKNQEKSNV-----------------------------KT</f>
        <v>#NAME?</v>
      </c>
    </row>
    <row r="22022" spans="1:1">
      <c r="A22022" s="35" t="s">
        <v>59384</v>
      </c>
    </row>
    <row r="22023" spans="1:1">
      <c r="A22023" s="35" t="s">
        <v>41057</v>
      </c>
    </row>
    <row r="22024" spans="1:1">
      <c r="A22024" s="35" t="s">
        <v>41057</v>
      </c>
    </row>
    <row r="22025" spans="1:1">
      <c r="A22025" s="35" t="s">
        <v>59385</v>
      </c>
    </row>
    <row r="22026" spans="1:1">
      <c r="A22026" s="35" t="s">
        <v>41057</v>
      </c>
    </row>
    <row r="22027" spans="1:1">
      <c r="A22027" s="35" t="s">
        <v>59386</v>
      </c>
    </row>
    <row r="22028" spans="1:1">
      <c r="A22028" s="35" t="s">
        <v>59387</v>
      </c>
    </row>
    <row r="22029" spans="1:1">
      <c r="A22029" s="35" t="s">
        <v>59388</v>
      </c>
    </row>
    <row r="22030" spans="1:1">
      <c r="A22030" s="35" t="s">
        <v>41057</v>
      </c>
    </row>
    <row r="22031" spans="1:1">
      <c r="A22031" s="35" t="s">
        <v>41057</v>
      </c>
    </row>
    <row r="22032" spans="1:1">
      <c r="A22032" s="35" t="s">
        <v>41057</v>
      </c>
    </row>
    <row r="22033" spans="1:1">
      <c r="A22033" s="35" t="s">
        <v>59389</v>
      </c>
    </row>
    <row r="22034" spans="1:1">
      <c r="A22034" s="35" t="s">
        <v>59390</v>
      </c>
    </row>
    <row r="22035" spans="1:1">
      <c r="A22035" s="35" t="s">
        <v>41057</v>
      </c>
    </row>
    <row r="22036" spans="1:1">
      <c r="A22036" s="35" t="s">
        <v>59391</v>
      </c>
    </row>
    <row r="22037" spans="1:1">
      <c r="A22037" s="35" t="s">
        <v>59392</v>
      </c>
    </row>
    <row r="22038" spans="1:1">
      <c r="A22038" s="35" t="s">
        <v>59393</v>
      </c>
    </row>
    <row r="22039" spans="1:1">
      <c r="A22039" s="35" t="s">
        <v>59394</v>
      </c>
    </row>
    <row r="22040" spans="1:1">
      <c r="A22040" s="35" t="s">
        <v>41057</v>
      </c>
    </row>
    <row r="22041" spans="1:1">
      <c r="A22041" s="35" t="s">
        <v>41057</v>
      </c>
    </row>
    <row r="22042" spans="1:1">
      <c r="A22042" s="35" t="s">
        <v>41057</v>
      </c>
    </row>
    <row r="22043" spans="1:1">
      <c r="A22043" s="35" t="s">
        <v>59395</v>
      </c>
    </row>
    <row r="22044" spans="1:1">
      <c r="A22044" s="35" t="s">
        <v>41057</v>
      </c>
    </row>
    <row r="22045" spans="1:1">
      <c r="A22045" s="35" t="s">
        <v>59396</v>
      </c>
    </row>
    <row r="22046" spans="1:1">
      <c r="A22046" s="35" t="s">
        <v>41057</v>
      </c>
    </row>
    <row r="22047" spans="1:1">
      <c r="A22047" s="35" t="s">
        <v>41057</v>
      </c>
    </row>
    <row r="22048" spans="1:1">
      <c r="A22048" s="35" t="s">
        <v>41057</v>
      </c>
    </row>
    <row r="22049" spans="1:1">
      <c r="A22049" s="35" t="s">
        <v>59397</v>
      </c>
    </row>
    <row r="22050" spans="1:1">
      <c r="A22050" s="35" t="s">
        <v>59398</v>
      </c>
    </row>
    <row r="22051" spans="1:1">
      <c r="A22051" s="35" t="s">
        <v>41057</v>
      </c>
    </row>
    <row r="22052" spans="1:1">
      <c r="A22052" s="35" t="s">
        <v>59399</v>
      </c>
    </row>
    <row r="22053" spans="1:1">
      <c r="A22053" s="35" t="s">
        <v>59400</v>
      </c>
    </row>
    <row r="22054" spans="1:1">
      <c r="A22054" s="35" t="e" cm="1">
        <f t="array" ref="A22054">-------------------TIGDYQY-----------------VNLPSFYNTNAELLVNA</f>
        <v>#NAME?</v>
      </c>
    </row>
    <row r="22055" spans="1:1">
      <c r="A22055" s="35" t="s">
        <v>59401</v>
      </c>
    </row>
    <row r="22056" spans="1:1">
      <c r="A22056" s="35" t="e" cm="1">
        <f t="array" ref="A22056">----------------------RQDGDA------------------------------DL</f>
        <v>#NAME?</v>
      </c>
    </row>
    <row r="22057" spans="1:1">
      <c r="A22057" s="35" t="s">
        <v>59402</v>
      </c>
    </row>
    <row r="22058" spans="1:1">
      <c r="A22058" s="35" t="s">
        <v>59403</v>
      </c>
    </row>
    <row r="22059" spans="1:1">
      <c r="A22059" s="35" t="s">
        <v>59404</v>
      </c>
    </row>
    <row r="22060" spans="1:1">
      <c r="A22060" s="35" t="s">
        <v>59405</v>
      </c>
    </row>
    <row r="22061" spans="1:1">
      <c r="A22061" s="35" t="s">
        <v>41057</v>
      </c>
    </row>
    <row r="22062" spans="1:1">
      <c r="A22062" s="35" t="s">
        <v>59406</v>
      </c>
    </row>
    <row r="22063" spans="1:1">
      <c r="A22063" s="35" t="s">
        <v>59407</v>
      </c>
    </row>
    <row r="22064" spans="1:1">
      <c r="A22064" s="35" t="s">
        <v>59408</v>
      </c>
    </row>
    <row r="22065" spans="1:1">
      <c r="A22065" s="35" t="s">
        <v>41057</v>
      </c>
    </row>
    <row r="22066" spans="1:1">
      <c r="A22066" s="35" t="s">
        <v>53545</v>
      </c>
    </row>
    <row r="22067" spans="1:1">
      <c r="A22067" s="35" t="s">
        <v>59409</v>
      </c>
    </row>
    <row r="22068" spans="1:1">
      <c r="A22068" s="35" t="s">
        <v>41057</v>
      </c>
    </row>
    <row r="22069" spans="1:1">
      <c r="A22069" s="35" t="s">
        <v>41057</v>
      </c>
    </row>
    <row r="22070" spans="1:1">
      <c r="A22070" s="35" t="s">
        <v>41057</v>
      </c>
    </row>
    <row r="22071" spans="1:1">
      <c r="A22071" s="35" t="s">
        <v>41057</v>
      </c>
    </row>
    <row r="22072" spans="1:1">
      <c r="A22072" s="35" t="s">
        <v>41057</v>
      </c>
    </row>
    <row r="22073" spans="1:1">
      <c r="A22073" s="35" t="s">
        <v>41057</v>
      </c>
    </row>
    <row r="22074" spans="1:1">
      <c r="A22074" s="35" t="s">
        <v>41057</v>
      </c>
    </row>
    <row r="22075" spans="1:1">
      <c r="A22075" s="35" t="s">
        <v>41057</v>
      </c>
    </row>
    <row r="22076" spans="1:1">
      <c r="A22076" s="35" t="s">
        <v>41057</v>
      </c>
    </row>
    <row r="22077" spans="1:1">
      <c r="A22077" s="35" t="s">
        <v>41057</v>
      </c>
    </row>
    <row r="22078" spans="1:1">
      <c r="A22078" s="35" t="s">
        <v>41057</v>
      </c>
    </row>
    <row r="22079" spans="1:1">
      <c r="A22079" s="35" t="s">
        <v>41057</v>
      </c>
    </row>
    <row r="22080" spans="1:1">
      <c r="A22080" s="35" t="s">
        <v>41057</v>
      </c>
    </row>
    <row r="22081" spans="1:1">
      <c r="A22081" s="35" t="s">
        <v>41057</v>
      </c>
    </row>
    <row r="22082" spans="1:1">
      <c r="A22082" s="35" t="s">
        <v>41057</v>
      </c>
    </row>
    <row r="22083" spans="1:1">
      <c r="A22083" s="35" t="s">
        <v>41057</v>
      </c>
    </row>
    <row r="22084" spans="1:1">
      <c r="A22084" s="35" t="s">
        <v>59410</v>
      </c>
    </row>
    <row r="22085" spans="1:1">
      <c r="A22085" s="35" t="s">
        <v>41057</v>
      </c>
    </row>
    <row r="22086" spans="1:1">
      <c r="A22086" s="35" t="s">
        <v>41057</v>
      </c>
    </row>
    <row r="22087" spans="1:1">
      <c r="A22087" s="35" t="s">
        <v>41057</v>
      </c>
    </row>
    <row r="22088" spans="1:1">
      <c r="A22088" s="35" t="s">
        <v>41057</v>
      </c>
    </row>
    <row r="22089" spans="1:1">
      <c r="A22089" s="35" t="s">
        <v>41057</v>
      </c>
    </row>
    <row r="22090" spans="1:1">
      <c r="A22090" s="35" t="s">
        <v>41057</v>
      </c>
    </row>
    <row r="22091" spans="1:1">
      <c r="A22091" s="35" t="s">
        <v>41057</v>
      </c>
    </row>
    <row r="22092" spans="1:1">
      <c r="A22092" s="35" t="s">
        <v>41057</v>
      </c>
    </row>
    <row r="22093" spans="1:1">
      <c r="A22093" s="35" t="s">
        <v>41057</v>
      </c>
    </row>
    <row r="22094" spans="1:1">
      <c r="A22094" s="35" t="s">
        <v>41057</v>
      </c>
    </row>
    <row r="22095" spans="1:1">
      <c r="A22095" s="35" t="s">
        <v>41057</v>
      </c>
    </row>
    <row r="22096" spans="1:1">
      <c r="A22096" s="35" t="s">
        <v>41057</v>
      </c>
    </row>
    <row r="22097" spans="1:1">
      <c r="A22097" s="35" t="s">
        <v>41057</v>
      </c>
    </row>
    <row r="22098" spans="1:1">
      <c r="A22098" s="35" t="s">
        <v>56545</v>
      </c>
    </row>
    <row r="22099" spans="1:1">
      <c r="A22099" s="35" t="s">
        <v>41057</v>
      </c>
    </row>
    <row r="22100" spans="1:1">
      <c r="A22100" s="35" t="s">
        <v>41057</v>
      </c>
    </row>
    <row r="22101" spans="1:1">
      <c r="A22101" s="35" t="s">
        <v>41057</v>
      </c>
    </row>
    <row r="22102" spans="1:1">
      <c r="A22102" s="35" t="s">
        <v>41057</v>
      </c>
    </row>
    <row r="22103" spans="1:1">
      <c r="A22103" s="35" t="s">
        <v>41057</v>
      </c>
    </row>
    <row r="22104" spans="1:1">
      <c r="A22104" s="35" t="s">
        <v>41057</v>
      </c>
    </row>
    <row r="22105" spans="1:1">
      <c r="A22105" s="35" t="s">
        <v>41057</v>
      </c>
    </row>
    <row r="22106" spans="1:1">
      <c r="A22106" s="35" t="s">
        <v>41057</v>
      </c>
    </row>
    <row r="22107" spans="1:1">
      <c r="A22107" s="35" t="s">
        <v>41057</v>
      </c>
    </row>
    <row r="22108" spans="1:1">
      <c r="A22108" s="35" t="s">
        <v>41057</v>
      </c>
    </row>
    <row r="22109" spans="1:1">
      <c r="A22109" s="35" t="s">
        <v>41057</v>
      </c>
    </row>
    <row r="22110" spans="1:1">
      <c r="A22110" s="35" t="s">
        <v>41057</v>
      </c>
    </row>
    <row r="22111" spans="1:1">
      <c r="A22111" s="35" t="s">
        <v>41057</v>
      </c>
    </row>
    <row r="22112" spans="1:1">
      <c r="A22112" s="35" t="s">
        <v>41057</v>
      </c>
    </row>
    <row r="22113" spans="1:1">
      <c r="A22113" s="35" t="s">
        <v>41057</v>
      </c>
    </row>
    <row r="22114" spans="1:1">
      <c r="A22114" s="35" t="s">
        <v>41057</v>
      </c>
    </row>
    <row r="22115" spans="1:1">
      <c r="A22115" s="35" t="s">
        <v>41057</v>
      </c>
    </row>
    <row r="22116" spans="1:1">
      <c r="A22116" s="35" t="s">
        <v>41057</v>
      </c>
    </row>
    <row r="22117" spans="1:1">
      <c r="A22117" s="35" t="s">
        <v>41057</v>
      </c>
    </row>
    <row r="22118" spans="1:1">
      <c r="A22118" s="35" t="s">
        <v>41057</v>
      </c>
    </row>
    <row r="22119" spans="1:1">
      <c r="A22119" s="35" t="s">
        <v>41057</v>
      </c>
    </row>
    <row r="22120" spans="1:1">
      <c r="A22120" s="35" t="s">
        <v>41057</v>
      </c>
    </row>
    <row r="22121" spans="1:1">
      <c r="A22121" s="35" t="s">
        <v>41057</v>
      </c>
    </row>
    <row r="22122" spans="1:1">
      <c r="A22122" s="35" t="s">
        <v>41057</v>
      </c>
    </row>
    <row r="22123" spans="1:1">
      <c r="A22123" s="35" t="s">
        <v>41057</v>
      </c>
    </row>
    <row r="22124" spans="1:1">
      <c r="A22124" s="35" t="s">
        <v>41057</v>
      </c>
    </row>
    <row r="22125" spans="1:1">
      <c r="A22125" s="35" t="s">
        <v>41057</v>
      </c>
    </row>
    <row r="22126" spans="1:1">
      <c r="A22126" s="35" t="s">
        <v>41057</v>
      </c>
    </row>
    <row r="22127" spans="1:1">
      <c r="A22127" s="35" t="s">
        <v>41057</v>
      </c>
    </row>
    <row r="22128" spans="1:1">
      <c r="A22128" s="35" t="s">
        <v>41057</v>
      </c>
    </row>
    <row r="22129" spans="1:1">
      <c r="A22129" s="35" t="s">
        <v>41057</v>
      </c>
    </row>
    <row r="22130" spans="1:1">
      <c r="A22130" s="35" t="s">
        <v>41057</v>
      </c>
    </row>
    <row r="22131" spans="1:1">
      <c r="A22131" s="35" t="s">
        <v>41057</v>
      </c>
    </row>
    <row r="22132" spans="1:1">
      <c r="A22132" s="35" t="s">
        <v>41057</v>
      </c>
    </row>
    <row r="22133" spans="1:1">
      <c r="A22133" s="35" t="s">
        <v>41057</v>
      </c>
    </row>
    <row r="22134" spans="1:1">
      <c r="A22134" s="35" t="s">
        <v>41057</v>
      </c>
    </row>
    <row r="22135" spans="1:1">
      <c r="A22135" s="35" t="s">
        <v>41057</v>
      </c>
    </row>
    <row r="22136" spans="1:1">
      <c r="A22136" s="35" t="s">
        <v>41057</v>
      </c>
    </row>
    <row r="22137" spans="1:1">
      <c r="A22137" s="35" t="s">
        <v>41057</v>
      </c>
    </row>
    <row r="22138" spans="1:1">
      <c r="A22138" s="35" t="s">
        <v>41057</v>
      </c>
    </row>
    <row r="22139" spans="1:1">
      <c r="A22139" s="35" t="s">
        <v>41057</v>
      </c>
    </row>
    <row r="22140" spans="1:1">
      <c r="A22140" s="35" t="s">
        <v>41057</v>
      </c>
    </row>
    <row r="22141" spans="1:1">
      <c r="A22141" s="35" t="s">
        <v>41057</v>
      </c>
    </row>
    <row r="22142" spans="1:1">
      <c r="A22142" s="35" t="s">
        <v>41057</v>
      </c>
    </row>
    <row r="22143" spans="1:1">
      <c r="A22143" s="35" t="s">
        <v>59411</v>
      </c>
    </row>
    <row r="22144" spans="1:1">
      <c r="A22144" s="35" t="s">
        <v>41057</v>
      </c>
    </row>
    <row r="22145" spans="1:1">
      <c r="A22145" s="35" t="s">
        <v>59412</v>
      </c>
    </row>
    <row r="22146" spans="1:1">
      <c r="A22146" s="35" t="s">
        <v>59413</v>
      </c>
    </row>
    <row r="22147" spans="1:1">
      <c r="A22147" s="35" t="s">
        <v>53939</v>
      </c>
    </row>
    <row r="22148" spans="1:1">
      <c r="A22148" s="35" t="s">
        <v>41057</v>
      </c>
    </row>
    <row r="22149" spans="1:1">
      <c r="A22149" s="35" t="s">
        <v>41057</v>
      </c>
    </row>
    <row r="22150" spans="1:1">
      <c r="A22150" s="35" t="s">
        <v>41057</v>
      </c>
    </row>
    <row r="22151" spans="1:1">
      <c r="A22151" s="35" t="s">
        <v>59414</v>
      </c>
    </row>
    <row r="22152" spans="1:1">
      <c r="A22152" s="35" t="s">
        <v>41057</v>
      </c>
    </row>
    <row r="22153" spans="1:1">
      <c r="A22153" s="35" t="s">
        <v>41057</v>
      </c>
    </row>
    <row r="22154" spans="1:1">
      <c r="A22154" s="35" t="s">
        <v>41057</v>
      </c>
    </row>
    <row r="22155" spans="1:1">
      <c r="A22155" s="35" t="s">
        <v>54021</v>
      </c>
    </row>
    <row r="22156" spans="1:1">
      <c r="A22156" s="35" t="s">
        <v>59415</v>
      </c>
    </row>
    <row r="22157" spans="1:1">
      <c r="A22157" s="35" t="s">
        <v>59416</v>
      </c>
    </row>
    <row r="22158" spans="1:1">
      <c r="A22158" s="35" t="s">
        <v>41057</v>
      </c>
    </row>
    <row r="22159" spans="1:1">
      <c r="A22159" s="35" t="s">
        <v>41057</v>
      </c>
    </row>
    <row r="22160" spans="1:1">
      <c r="A22160" s="35" t="s">
        <v>41057</v>
      </c>
    </row>
    <row r="22161" spans="1:1">
      <c r="A22161" s="35" t="s">
        <v>41057</v>
      </c>
    </row>
    <row r="22162" spans="1:1">
      <c r="A22162" s="35" t="s">
        <v>41057</v>
      </c>
    </row>
    <row r="22163" spans="1:1">
      <c r="A22163" s="35" t="s">
        <v>59417</v>
      </c>
    </row>
    <row r="22164" spans="1:1">
      <c r="A22164" s="35" t="s">
        <v>41057</v>
      </c>
    </row>
    <row r="22165" spans="1:1">
      <c r="A22165" s="35" t="s">
        <v>41057</v>
      </c>
    </row>
    <row r="22166" spans="1:1">
      <c r="A22166" s="35" t="s">
        <v>41057</v>
      </c>
    </row>
    <row r="22167" spans="1:1">
      <c r="A22167" s="35" t="s">
        <v>41057</v>
      </c>
    </row>
    <row r="22168" spans="1:1">
      <c r="A22168" s="35" t="s">
        <v>41057</v>
      </c>
    </row>
    <row r="22169" spans="1:1">
      <c r="A22169" s="35" t="s">
        <v>41057</v>
      </c>
    </row>
    <row r="22170" spans="1:1">
      <c r="A22170" s="35" t="s">
        <v>41057</v>
      </c>
    </row>
    <row r="22171" spans="1:1">
      <c r="A22171" s="35" t="s">
        <v>41057</v>
      </c>
    </row>
    <row r="22172" spans="1:1">
      <c r="A22172" s="35" t="s">
        <v>41057</v>
      </c>
    </row>
    <row r="22173" spans="1:1">
      <c r="A22173" s="35" t="s">
        <v>59418</v>
      </c>
    </row>
    <row r="22174" spans="1:1">
      <c r="A22174" s="35" t="s">
        <v>59419</v>
      </c>
    </row>
    <row r="22175" spans="1:1">
      <c r="A22175" s="35" t="s">
        <v>59420</v>
      </c>
    </row>
    <row r="22176" spans="1:1">
      <c r="A22176" s="35" t="s">
        <v>59421</v>
      </c>
    </row>
    <row r="22177" spans="1:1">
      <c r="A22177" s="35" t="s">
        <v>59422</v>
      </c>
    </row>
    <row r="22178" spans="1:1">
      <c r="A22178" s="35" t="s">
        <v>41057</v>
      </c>
    </row>
    <row r="22179" spans="1:1">
      <c r="A22179" s="35" t="s">
        <v>41057</v>
      </c>
    </row>
    <row r="22180" spans="1:1">
      <c r="A22180" s="35" t="s">
        <v>41057</v>
      </c>
    </row>
    <row r="22181" spans="1:1">
      <c r="A22181" s="35" t="s">
        <v>57300</v>
      </c>
    </row>
    <row r="22182" spans="1:1">
      <c r="A22182" s="35" t="s">
        <v>59423</v>
      </c>
    </row>
    <row r="22183" spans="1:1">
      <c r="A22183" s="35" t="s">
        <v>41057</v>
      </c>
    </row>
    <row r="22184" spans="1:1">
      <c r="A22184" s="35" t="s">
        <v>53545</v>
      </c>
    </row>
    <row r="22185" spans="1:1">
      <c r="A22185" s="35" t="s">
        <v>59424</v>
      </c>
    </row>
    <row r="22186" spans="1:1">
      <c r="A22186" s="35" t="s">
        <v>41057</v>
      </c>
    </row>
    <row r="22187" spans="1:1">
      <c r="A22187" s="35" t="s">
        <v>41057</v>
      </c>
    </row>
    <row r="22188" spans="1:1">
      <c r="A22188" s="35" t="s">
        <v>41057</v>
      </c>
    </row>
    <row r="22189" spans="1:1">
      <c r="A22189" s="35" t="s">
        <v>41057</v>
      </c>
    </row>
    <row r="22190" spans="1:1">
      <c r="A22190" s="35" t="s">
        <v>41057</v>
      </c>
    </row>
    <row r="22191" spans="1:1">
      <c r="A22191" s="35" t="s">
        <v>59425</v>
      </c>
    </row>
    <row r="22192" spans="1:1">
      <c r="A22192" s="35" t="s">
        <v>41057</v>
      </c>
    </row>
    <row r="22193" spans="1:1">
      <c r="A22193" s="35" t="s">
        <v>41057</v>
      </c>
    </row>
    <row r="22194" spans="1:1">
      <c r="A22194" s="35" t="s">
        <v>41057</v>
      </c>
    </row>
    <row r="22195" spans="1:1">
      <c r="A22195" s="35" t="s">
        <v>53492</v>
      </c>
    </row>
    <row r="22196" spans="1:1">
      <c r="A22196" s="35" t="s">
        <v>59426</v>
      </c>
    </row>
    <row r="22197" spans="1:1">
      <c r="A22197" s="35" t="s">
        <v>59427</v>
      </c>
    </row>
    <row r="22198" spans="1:1">
      <c r="A22198" s="35" t="s">
        <v>54618</v>
      </c>
    </row>
    <row r="22199" spans="1:1">
      <c r="A22199" s="35" t="s">
        <v>41057</v>
      </c>
    </row>
    <row r="22200" spans="1:1">
      <c r="A22200" s="35" t="s">
        <v>41057</v>
      </c>
    </row>
    <row r="22201" spans="1:1">
      <c r="A22201" s="35" t="e" cm="1">
        <f t="array" ref="A22201">---------------QITP------------------FKI-------------------V</f>
        <v>#NAME?</v>
      </c>
    </row>
    <row r="22202" spans="1:1">
      <c r="A22202" s="35" t="s">
        <v>54288</v>
      </c>
    </row>
    <row r="22203" spans="1:1">
      <c r="A22203" s="35" t="s">
        <v>59428</v>
      </c>
    </row>
    <row r="22204" spans="1:1">
      <c r="A22204" s="35" t="s">
        <v>41057</v>
      </c>
    </row>
    <row r="22205" spans="1:1">
      <c r="A22205" s="35" t="s">
        <v>41057</v>
      </c>
    </row>
    <row r="22206" spans="1:1">
      <c r="A22206" s="35" t="s">
        <v>59429</v>
      </c>
    </row>
    <row r="22207" spans="1:1">
      <c r="A22207" s="35" t="s">
        <v>41057</v>
      </c>
    </row>
    <row r="22208" spans="1:1">
      <c r="A22208" s="35" t="s">
        <v>59430</v>
      </c>
    </row>
    <row r="22209" spans="1:1">
      <c r="A22209" s="35" t="s">
        <v>41057</v>
      </c>
    </row>
    <row r="22210" spans="1:1">
      <c r="A22210" s="35" t="s">
        <v>41057</v>
      </c>
    </row>
    <row r="22211" spans="1:1">
      <c r="A22211" s="35" t="s">
        <v>53500</v>
      </c>
    </row>
    <row r="22212" spans="1:1">
      <c r="A22212" s="35" t="s">
        <v>41057</v>
      </c>
    </row>
    <row r="22213" spans="1:1">
      <c r="A22213" s="35" t="s">
        <v>41057</v>
      </c>
    </row>
    <row r="22214" spans="1:1">
      <c r="A22214" s="35" t="s">
        <v>59431</v>
      </c>
    </row>
    <row r="22215" spans="1:1">
      <c r="A22215" s="35" t="s">
        <v>41057</v>
      </c>
    </row>
    <row r="22216" spans="1:1">
      <c r="A22216" s="35" t="s">
        <v>59432</v>
      </c>
    </row>
    <row r="22217" spans="1:1">
      <c r="A22217" s="35" t="s">
        <v>41057</v>
      </c>
    </row>
    <row r="22218" spans="1:1">
      <c r="A22218" s="35" t="s">
        <v>59433</v>
      </c>
    </row>
    <row r="22219" spans="1:1">
      <c r="A22219" s="35" t="s">
        <v>59434</v>
      </c>
    </row>
    <row r="22220" spans="1:1">
      <c r="A22220" s="35" t="s">
        <v>41057</v>
      </c>
    </row>
    <row r="22221" spans="1:1">
      <c r="A22221" s="35" t="s">
        <v>41057</v>
      </c>
    </row>
    <row r="22222" spans="1:1">
      <c r="A22222" s="35" t="s">
        <v>41057</v>
      </c>
    </row>
    <row r="22223" spans="1:1">
      <c r="A22223" s="35" t="s">
        <v>41057</v>
      </c>
    </row>
    <row r="22224" spans="1:1">
      <c r="A22224" s="35" t="s">
        <v>41057</v>
      </c>
    </row>
    <row r="22225" spans="1:1">
      <c r="A22225" s="35" t="s">
        <v>41057</v>
      </c>
    </row>
    <row r="22226" spans="1:1">
      <c r="A22226" s="35" t="s">
        <v>41057</v>
      </c>
    </row>
    <row r="22227" spans="1:1">
      <c r="A22227" s="35" t="s">
        <v>41057</v>
      </c>
    </row>
    <row r="22228" spans="1:1">
      <c r="A22228" s="35" t="s">
        <v>55331</v>
      </c>
    </row>
    <row r="22229" spans="1:1">
      <c r="A22229" s="35" t="s">
        <v>41057</v>
      </c>
    </row>
    <row r="22230" spans="1:1">
      <c r="A22230" s="35" t="s">
        <v>41057</v>
      </c>
    </row>
    <row r="22231" spans="1:1">
      <c r="A22231" s="35" t="s">
        <v>41057</v>
      </c>
    </row>
    <row r="22232" spans="1:1">
      <c r="A22232" s="35" t="s">
        <v>41057</v>
      </c>
    </row>
    <row r="22233" spans="1:1">
      <c r="A22233" s="35" t="s">
        <v>41057</v>
      </c>
    </row>
    <row r="22234" spans="1:1">
      <c r="A22234" s="35" t="s">
        <v>41057</v>
      </c>
    </row>
    <row r="22235" spans="1:1">
      <c r="A22235" s="35" t="s">
        <v>41057</v>
      </c>
    </row>
    <row r="22236" spans="1:1">
      <c r="A22236" s="35" t="s">
        <v>41057</v>
      </c>
    </row>
    <row r="22237" spans="1:1">
      <c r="A22237" s="35" t="s">
        <v>41057</v>
      </c>
    </row>
    <row r="22238" spans="1:1">
      <c r="A22238" s="35" t="s">
        <v>41057</v>
      </c>
    </row>
    <row r="22239" spans="1:1">
      <c r="A22239" s="35" t="s">
        <v>41057</v>
      </c>
    </row>
    <row r="22240" spans="1:1">
      <c r="A22240" s="35" t="s">
        <v>41057</v>
      </c>
    </row>
    <row r="22241" spans="1:1">
      <c r="A22241" s="35" t="s">
        <v>41057</v>
      </c>
    </row>
    <row r="22242" spans="1:1">
      <c r="A22242" s="35" t="s">
        <v>41057</v>
      </c>
    </row>
    <row r="22243" spans="1:1">
      <c r="A22243" s="35" t="s">
        <v>41057</v>
      </c>
    </row>
    <row r="22244" spans="1:1">
      <c r="A22244" s="35" t="s">
        <v>41057</v>
      </c>
    </row>
    <row r="22245" spans="1:1">
      <c r="A22245" s="35" t="s">
        <v>41057</v>
      </c>
    </row>
    <row r="22246" spans="1:1">
      <c r="A22246" s="35" t="s">
        <v>41057</v>
      </c>
    </row>
    <row r="22247" spans="1:1">
      <c r="A22247" s="35" t="s">
        <v>41057</v>
      </c>
    </row>
    <row r="22248" spans="1:1">
      <c r="A22248" s="35" t="s">
        <v>41057</v>
      </c>
    </row>
    <row r="22249" spans="1:1">
      <c r="A22249" s="35" t="s">
        <v>41057</v>
      </c>
    </row>
    <row r="22250" spans="1:1">
      <c r="A22250" s="35" t="s">
        <v>41057</v>
      </c>
    </row>
    <row r="22251" spans="1:1">
      <c r="A22251" s="35" t="s">
        <v>41057</v>
      </c>
    </row>
    <row r="22252" spans="1:1">
      <c r="A22252" s="35" t="s">
        <v>41057</v>
      </c>
    </row>
    <row r="22253" spans="1:1">
      <c r="A22253" s="35" t="s">
        <v>41057</v>
      </c>
    </row>
    <row r="22254" spans="1:1">
      <c r="A22254" s="35" t="s">
        <v>41057</v>
      </c>
    </row>
    <row r="22255" spans="1:1">
      <c r="A22255" s="35" t="s">
        <v>41057</v>
      </c>
    </row>
    <row r="22256" spans="1:1">
      <c r="A22256" s="35" t="s">
        <v>59435</v>
      </c>
    </row>
    <row r="22257" spans="1:1">
      <c r="A22257" s="35" t="s">
        <v>59436</v>
      </c>
    </row>
    <row r="22258" spans="1:1">
      <c r="A22258" s="35" t="s">
        <v>41057</v>
      </c>
    </row>
    <row r="22259" spans="1:1">
      <c r="A22259" s="35" t="s">
        <v>41057</v>
      </c>
    </row>
    <row r="22260" spans="1:1">
      <c r="A22260" s="35" t="s">
        <v>58994</v>
      </c>
    </row>
    <row r="22261" spans="1:1">
      <c r="A22261" s="35" t="s">
        <v>59437</v>
      </c>
    </row>
    <row r="22262" spans="1:1">
      <c r="A22262" s="35" t="s">
        <v>41057</v>
      </c>
    </row>
    <row r="22263" spans="1:1">
      <c r="A22263" s="35" t="s">
        <v>59438</v>
      </c>
    </row>
    <row r="22264" spans="1:1">
      <c r="A22264" s="35" t="s">
        <v>59439</v>
      </c>
    </row>
    <row r="22265" spans="1:1">
      <c r="A22265" s="35" t="s">
        <v>59440</v>
      </c>
    </row>
    <row r="22266" spans="1:1">
      <c r="A22266" s="35" t="s">
        <v>41057</v>
      </c>
    </row>
    <row r="22267" spans="1:1">
      <c r="A22267" s="35" t="s">
        <v>41057</v>
      </c>
    </row>
    <row r="22268" spans="1:1">
      <c r="A22268" s="35" t="s">
        <v>41057</v>
      </c>
    </row>
    <row r="22269" spans="1:1">
      <c r="A22269" s="35" t="s">
        <v>41057</v>
      </c>
    </row>
    <row r="22270" spans="1:1">
      <c r="A22270" s="35" t="s">
        <v>41057</v>
      </c>
    </row>
    <row r="22271" spans="1:1">
      <c r="A22271" s="35" t="s">
        <v>41057</v>
      </c>
    </row>
    <row r="22272" spans="1:1">
      <c r="A22272" s="35" t="s">
        <v>41057</v>
      </c>
    </row>
    <row r="22273" spans="1:1">
      <c r="A22273" s="35" t="s">
        <v>41057</v>
      </c>
    </row>
    <row r="22274" spans="1:1">
      <c r="A22274" s="35" t="e" cm="1">
        <f t="array" ref="A22274">---------LTNYT------------------------YYSDVLSRMDEYYAKKLD---V</f>
        <v>#NAME?</v>
      </c>
    </row>
    <row r="22275" spans="1:1">
      <c r="A22275" s="35" t="s">
        <v>59441</v>
      </c>
    </row>
    <row r="22276" spans="1:1">
      <c r="A22276" s="35" t="s">
        <v>41057</v>
      </c>
    </row>
    <row r="22277" spans="1:1">
      <c r="A22277" s="35" t="s">
        <v>41057</v>
      </c>
    </row>
    <row r="22278" spans="1:1">
      <c r="A22278" s="35" t="s">
        <v>41057</v>
      </c>
    </row>
    <row r="22279" spans="1:1">
      <c r="A22279" s="35" t="s">
        <v>59442</v>
      </c>
    </row>
    <row r="22280" spans="1:1">
      <c r="A22280" s="35" t="s">
        <v>41057</v>
      </c>
    </row>
    <row r="22281" spans="1:1">
      <c r="A22281" s="35" t="s">
        <v>59443</v>
      </c>
    </row>
    <row r="22282" spans="1:1">
      <c r="A22282" s="35" t="s">
        <v>41057</v>
      </c>
    </row>
    <row r="22283" spans="1:1">
      <c r="A22283" s="35" t="s">
        <v>41057</v>
      </c>
    </row>
    <row r="22284" spans="1:1">
      <c r="A22284" s="35" t="s">
        <v>41057</v>
      </c>
    </row>
    <row r="22285" spans="1:1">
      <c r="A22285" s="35" t="s">
        <v>41057</v>
      </c>
    </row>
    <row r="22286" spans="1:1">
      <c r="A22286" s="35" t="s">
        <v>41057</v>
      </c>
    </row>
    <row r="22287" spans="1:1">
      <c r="A22287" s="35" t="s">
        <v>41057</v>
      </c>
    </row>
    <row r="22288" spans="1:1">
      <c r="A22288" s="35" t="s">
        <v>41057</v>
      </c>
    </row>
    <row r="22289" spans="1:1">
      <c r="A22289" s="35" t="s">
        <v>41057</v>
      </c>
    </row>
    <row r="22290" spans="1:1">
      <c r="A22290" s="35" t="s">
        <v>41057</v>
      </c>
    </row>
    <row r="22291" spans="1:1">
      <c r="A22291" s="35" t="s">
        <v>59444</v>
      </c>
    </row>
    <row r="22292" spans="1:1">
      <c r="A22292" s="35" t="s">
        <v>59445</v>
      </c>
    </row>
    <row r="22293" spans="1:1">
      <c r="A22293" s="35" t="s">
        <v>59446</v>
      </c>
    </row>
    <row r="22294" spans="1:1">
      <c r="A22294" s="35" t="e" cm="1">
        <f t="array" ref="A22294">------------A---------------------SITLT-PNDDFLKNS-SG-----TLL</f>
        <v>#NAME?</v>
      </c>
    </row>
    <row r="22295" spans="1:1">
      <c r="A22295" s="35" t="s">
        <v>59447</v>
      </c>
    </row>
    <row r="22296" spans="1:1">
      <c r="A22296" s="35" t="s">
        <v>59448</v>
      </c>
    </row>
    <row r="22297" spans="1:1">
      <c r="A22297" s="35" t="s">
        <v>41057</v>
      </c>
    </row>
    <row r="22298" spans="1:1">
      <c r="A22298" s="35" t="s">
        <v>59449</v>
      </c>
    </row>
    <row r="22299" spans="1:1">
      <c r="A22299" s="35" t="s">
        <v>59450</v>
      </c>
    </row>
    <row r="22300" spans="1:1">
      <c r="A22300" s="35" t="s">
        <v>59451</v>
      </c>
    </row>
    <row r="22301" spans="1:1">
      <c r="A22301" s="35" t="s">
        <v>41057</v>
      </c>
    </row>
    <row r="22302" spans="1:1">
      <c r="A22302" s="35" t="s">
        <v>53545</v>
      </c>
    </row>
    <row r="22303" spans="1:1">
      <c r="A22303" s="35" t="s">
        <v>59452</v>
      </c>
    </row>
    <row r="22304" spans="1:1">
      <c r="A22304" s="35" t="s">
        <v>41057</v>
      </c>
    </row>
    <row r="22305" spans="1:1">
      <c r="A22305" s="35" t="s">
        <v>41057</v>
      </c>
    </row>
    <row r="22306" spans="1:1">
      <c r="A22306" s="35" t="s">
        <v>41057</v>
      </c>
    </row>
    <row r="22307" spans="1:1">
      <c r="A22307" s="35" t="s">
        <v>41057</v>
      </c>
    </row>
    <row r="22308" spans="1:1">
      <c r="A22308" s="35" t="s">
        <v>41057</v>
      </c>
    </row>
    <row r="22309" spans="1:1">
      <c r="A22309" s="35" t="s">
        <v>41057</v>
      </c>
    </row>
    <row r="22310" spans="1:1">
      <c r="A22310" s="35" t="s">
        <v>41057</v>
      </c>
    </row>
    <row r="22311" spans="1:1">
      <c r="A22311" s="35" t="s">
        <v>41057</v>
      </c>
    </row>
    <row r="22312" spans="1:1">
      <c r="A22312" s="35" t="s">
        <v>41057</v>
      </c>
    </row>
    <row r="22313" spans="1:1">
      <c r="A22313" s="35" t="s">
        <v>41057</v>
      </c>
    </row>
    <row r="22314" spans="1:1">
      <c r="A22314" s="35" t="s">
        <v>41057</v>
      </c>
    </row>
    <row r="22315" spans="1:1">
      <c r="A22315" s="35" t="s">
        <v>59453</v>
      </c>
    </row>
    <row r="22316" spans="1:1">
      <c r="A22316" s="35" t="s">
        <v>59454</v>
      </c>
    </row>
    <row r="22317" spans="1:1">
      <c r="A22317" s="35" t="s">
        <v>41057</v>
      </c>
    </row>
    <row r="22318" spans="1:1">
      <c r="A22318" s="35" t="s">
        <v>59455</v>
      </c>
    </row>
    <row r="22319" spans="1:1">
      <c r="A22319" s="35" t="s">
        <v>59456</v>
      </c>
    </row>
    <row r="22320" spans="1:1">
      <c r="A22320" s="35" t="s">
        <v>41057</v>
      </c>
    </row>
    <row r="22321" spans="1:1">
      <c r="A22321" s="35" t="s">
        <v>41057</v>
      </c>
    </row>
    <row r="22322" spans="1:1">
      <c r="A22322" s="35" t="s">
        <v>41057</v>
      </c>
    </row>
    <row r="22323" spans="1:1">
      <c r="A22323" s="35" t="s">
        <v>41057</v>
      </c>
    </row>
    <row r="22324" spans="1:1">
      <c r="A22324" s="35" t="s">
        <v>41057</v>
      </c>
    </row>
    <row r="22325" spans="1:1">
      <c r="A22325" s="35" t="s">
        <v>41057</v>
      </c>
    </row>
    <row r="22326" spans="1:1">
      <c r="A22326" s="35" t="s">
        <v>41057</v>
      </c>
    </row>
    <row r="22327" spans="1:1">
      <c r="A22327" s="35" t="s">
        <v>41057</v>
      </c>
    </row>
    <row r="22328" spans="1:1">
      <c r="A22328" s="35" t="s">
        <v>41057</v>
      </c>
    </row>
    <row r="22329" spans="1:1">
      <c r="A22329" s="35" t="s">
        <v>41057</v>
      </c>
    </row>
    <row r="22330" spans="1:1">
      <c r="A22330" s="35" t="s">
        <v>41057</v>
      </c>
    </row>
    <row r="22331" spans="1:1">
      <c r="A22331" s="35" t="s">
        <v>41057</v>
      </c>
    </row>
    <row r="22332" spans="1:1">
      <c r="A22332" s="35" t="s">
        <v>59457</v>
      </c>
    </row>
    <row r="22333" spans="1:1">
      <c r="A22333" s="35" t="s">
        <v>41057</v>
      </c>
    </row>
    <row r="22334" spans="1:1">
      <c r="A22334" s="35" t="s">
        <v>59458</v>
      </c>
    </row>
    <row r="22335" spans="1:1">
      <c r="A22335" s="35" t="s">
        <v>41057</v>
      </c>
    </row>
    <row r="22336" spans="1:1">
      <c r="A22336" s="35" t="s">
        <v>59459</v>
      </c>
    </row>
    <row r="22337" spans="1:1">
      <c r="A22337" s="35" t="s">
        <v>41057</v>
      </c>
    </row>
    <row r="22338" spans="1:1">
      <c r="A22338" s="35" t="s">
        <v>41057</v>
      </c>
    </row>
    <row r="22339" spans="1:1">
      <c r="A22339" s="35" t="s">
        <v>41057</v>
      </c>
    </row>
    <row r="22340" spans="1:1">
      <c r="A22340" s="35" t="s">
        <v>41057</v>
      </c>
    </row>
    <row r="22341" spans="1:1">
      <c r="A22341" s="35" t="s">
        <v>41057</v>
      </c>
    </row>
    <row r="22342" spans="1:1">
      <c r="A22342" s="35" t="s">
        <v>41057</v>
      </c>
    </row>
    <row r="22343" spans="1:1">
      <c r="A22343" s="35" t="s">
        <v>41057</v>
      </c>
    </row>
    <row r="22344" spans="1:1">
      <c r="A22344" s="35" t="s">
        <v>41057</v>
      </c>
    </row>
    <row r="22345" spans="1:1">
      <c r="A22345" s="35" t="s">
        <v>41057</v>
      </c>
    </row>
    <row r="22346" spans="1:1">
      <c r="A22346" s="35" t="s">
        <v>41057</v>
      </c>
    </row>
    <row r="22347" spans="1:1">
      <c r="A22347" s="35" t="s">
        <v>41057</v>
      </c>
    </row>
    <row r="22348" spans="1:1">
      <c r="A22348" s="35" t="s">
        <v>41057</v>
      </c>
    </row>
    <row r="22349" spans="1:1">
      <c r="A22349" s="35" t="s">
        <v>41057</v>
      </c>
    </row>
    <row r="22350" spans="1:1">
      <c r="A22350" s="35" t="s">
        <v>41057</v>
      </c>
    </row>
    <row r="22351" spans="1:1">
      <c r="A22351" s="35" t="s">
        <v>41057</v>
      </c>
    </row>
    <row r="22352" spans="1:1">
      <c r="A22352" s="35" t="s">
        <v>41057</v>
      </c>
    </row>
    <row r="22353" spans="1:1">
      <c r="A22353" s="35" t="s">
        <v>41057</v>
      </c>
    </row>
    <row r="22354" spans="1:1">
      <c r="A22354" s="35" t="s">
        <v>41057</v>
      </c>
    </row>
    <row r="22355" spans="1:1">
      <c r="A22355" s="35" t="s">
        <v>41057</v>
      </c>
    </row>
    <row r="22356" spans="1:1">
      <c r="A22356" s="35" t="s">
        <v>41057</v>
      </c>
    </row>
    <row r="22357" spans="1:1">
      <c r="A22357" s="35" t="s">
        <v>41057</v>
      </c>
    </row>
    <row r="22358" spans="1:1">
      <c r="A22358" s="35" t="s">
        <v>41057</v>
      </c>
    </row>
    <row r="22359" spans="1:1">
      <c r="A22359" s="35" t="s">
        <v>41057</v>
      </c>
    </row>
    <row r="22360" spans="1:1">
      <c r="A22360" s="35" t="s">
        <v>41057</v>
      </c>
    </row>
    <row r="22361" spans="1:1">
      <c r="A22361" s="35" t="s">
        <v>41057</v>
      </c>
    </row>
    <row r="22362" spans="1:1">
      <c r="A22362" s="35" t="s">
        <v>41057</v>
      </c>
    </row>
    <row r="22363" spans="1:1">
      <c r="A22363" s="35" t="s">
        <v>41057</v>
      </c>
    </row>
    <row r="22364" spans="1:1">
      <c r="A22364" s="35" t="s">
        <v>41057</v>
      </c>
    </row>
    <row r="22365" spans="1:1">
      <c r="A22365" s="35" t="s">
        <v>41057</v>
      </c>
    </row>
    <row r="22366" spans="1:1">
      <c r="A22366" s="35" t="s">
        <v>41057</v>
      </c>
    </row>
    <row r="22367" spans="1:1">
      <c r="A22367" s="35" t="s">
        <v>41057</v>
      </c>
    </row>
    <row r="22368" spans="1:1">
      <c r="A22368" s="35" t="s">
        <v>41057</v>
      </c>
    </row>
    <row r="22369" spans="1:1">
      <c r="A22369" s="35" t="s">
        <v>41057</v>
      </c>
    </row>
    <row r="22370" spans="1:1">
      <c r="A22370" s="35" t="s">
        <v>41057</v>
      </c>
    </row>
    <row r="22371" spans="1:1">
      <c r="A22371" s="35" t="s">
        <v>41057</v>
      </c>
    </row>
    <row r="22372" spans="1:1">
      <c r="A22372" s="35" t="s">
        <v>41057</v>
      </c>
    </row>
    <row r="22373" spans="1:1">
      <c r="A22373" s="35" t="s">
        <v>41057</v>
      </c>
    </row>
    <row r="22374" spans="1:1">
      <c r="A22374" s="35" t="s">
        <v>41057</v>
      </c>
    </row>
    <row r="22375" spans="1:1">
      <c r="A22375" s="35" t="s">
        <v>41057</v>
      </c>
    </row>
    <row r="22376" spans="1:1">
      <c r="A22376" s="35" t="s">
        <v>41057</v>
      </c>
    </row>
    <row r="22377" spans="1:1">
      <c r="A22377" s="35" t="s">
        <v>41057</v>
      </c>
    </row>
    <row r="22378" spans="1:1">
      <c r="A22378" s="35" t="s">
        <v>41057</v>
      </c>
    </row>
    <row r="22379" spans="1:1">
      <c r="A22379" s="35" t="s">
        <v>41057</v>
      </c>
    </row>
    <row r="22380" spans="1:1">
      <c r="A22380" s="35" t="s">
        <v>41057</v>
      </c>
    </row>
    <row r="22381" spans="1:1">
      <c r="A22381" s="35" t="s">
        <v>41057</v>
      </c>
    </row>
    <row r="22382" spans="1:1">
      <c r="A22382" s="35" t="s">
        <v>41057</v>
      </c>
    </row>
    <row r="22383" spans="1:1">
      <c r="A22383" s="35" t="s">
        <v>41057</v>
      </c>
    </row>
    <row r="22384" spans="1:1">
      <c r="A22384" s="35" t="s">
        <v>41057</v>
      </c>
    </row>
    <row r="22385" spans="1:1">
      <c r="A22385" s="35" t="s">
        <v>41057</v>
      </c>
    </row>
    <row r="22386" spans="1:1">
      <c r="A22386" s="35" t="s">
        <v>41057</v>
      </c>
    </row>
    <row r="22387" spans="1:1">
      <c r="A22387" s="35" t="s">
        <v>41057</v>
      </c>
    </row>
    <row r="22388" spans="1:1">
      <c r="A22388" s="35" t="s">
        <v>41057</v>
      </c>
    </row>
    <row r="22389" spans="1:1">
      <c r="A22389" s="35" t="s">
        <v>41057</v>
      </c>
    </row>
    <row r="22390" spans="1:1">
      <c r="A22390" s="35" t="s">
        <v>41057</v>
      </c>
    </row>
    <row r="22391" spans="1:1">
      <c r="A22391" s="35" t="s">
        <v>41057</v>
      </c>
    </row>
    <row r="22392" spans="1:1">
      <c r="A22392" s="35" t="s">
        <v>41057</v>
      </c>
    </row>
    <row r="22393" spans="1:1">
      <c r="A22393" s="35" t="s">
        <v>59460</v>
      </c>
    </row>
    <row r="22394" spans="1:1">
      <c r="A22394" s="35" t="s">
        <v>41057</v>
      </c>
    </row>
    <row r="22395" spans="1:1">
      <c r="A22395" s="35" t="s">
        <v>59461</v>
      </c>
    </row>
    <row r="22396" spans="1:1">
      <c r="A22396" s="35" t="s">
        <v>41057</v>
      </c>
    </row>
    <row r="22397" spans="1:1">
      <c r="A22397" s="35" t="s">
        <v>59462</v>
      </c>
    </row>
    <row r="22398" spans="1:1">
      <c r="A22398" s="35" t="s">
        <v>41057</v>
      </c>
    </row>
    <row r="22399" spans="1:1">
      <c r="A22399" s="35" t="s">
        <v>59463</v>
      </c>
    </row>
    <row r="22400" spans="1:1">
      <c r="A22400" s="35" t="s">
        <v>41057</v>
      </c>
    </row>
    <row r="22401" spans="1:1">
      <c r="A22401" s="35" t="s">
        <v>41057</v>
      </c>
    </row>
    <row r="22402" spans="1:1">
      <c r="A22402" s="35" t="s">
        <v>41057</v>
      </c>
    </row>
    <row r="22403" spans="1:1">
      <c r="A22403" s="35" t="s">
        <v>59464</v>
      </c>
    </row>
    <row r="22404" spans="1:1">
      <c r="A22404" s="35" t="s">
        <v>41057</v>
      </c>
    </row>
    <row r="22405" spans="1:1">
      <c r="A22405" s="35" t="s">
        <v>41057</v>
      </c>
    </row>
    <row r="22406" spans="1:1">
      <c r="A22406" s="35" t="s">
        <v>41057</v>
      </c>
    </row>
    <row r="22407" spans="1:1">
      <c r="A22407" s="35" t="s">
        <v>41057</v>
      </c>
    </row>
    <row r="22408" spans="1:1">
      <c r="A22408" s="35" t="e" cm="1">
        <f t="array" ref="A22408">------------------------------------------------ETSDKFAPLKEA</f>
        <v>#NAME?</v>
      </c>
    </row>
    <row r="22409" spans="1:1">
      <c r="A22409" s="35" t="s">
        <v>59465</v>
      </c>
    </row>
    <row r="22410" spans="1:1">
      <c r="A22410" s="35" t="s">
        <v>59466</v>
      </c>
    </row>
    <row r="22411" spans="1:1">
      <c r="A22411" s="35" t="s">
        <v>59467</v>
      </c>
    </row>
    <row r="22412" spans="1:1">
      <c r="A22412" s="35" t="s">
        <v>59468</v>
      </c>
    </row>
    <row r="22413" spans="1:1">
      <c r="A22413" s="35" t="s">
        <v>41057</v>
      </c>
    </row>
    <row r="22414" spans="1:1">
      <c r="A22414" s="35" t="s">
        <v>41057</v>
      </c>
    </row>
    <row r="22415" spans="1:1">
      <c r="A22415" s="35" t="s">
        <v>41057</v>
      </c>
    </row>
    <row r="22416" spans="1:1">
      <c r="A22416" s="35" t="s">
        <v>41057</v>
      </c>
    </row>
    <row r="22417" spans="1:1">
      <c r="A22417" s="35" t="s">
        <v>41057</v>
      </c>
    </row>
    <row r="22418" spans="1:1">
      <c r="A22418" s="35" t="s">
        <v>41057</v>
      </c>
    </row>
    <row r="22419" spans="1:1">
      <c r="A22419" s="35" t="s">
        <v>41057</v>
      </c>
    </row>
    <row r="22420" spans="1:1">
      <c r="A22420" s="35" t="s">
        <v>53545</v>
      </c>
    </row>
    <row r="22421" spans="1:1">
      <c r="A22421" s="35" t="s">
        <v>59469</v>
      </c>
    </row>
    <row r="22422" spans="1:1">
      <c r="A22422" s="35" t="s">
        <v>41057</v>
      </c>
    </row>
    <row r="22423" spans="1:1">
      <c r="A22423" s="35" t="s">
        <v>41057</v>
      </c>
    </row>
    <row r="22424" spans="1:1">
      <c r="A22424" s="35" t="s">
        <v>41057</v>
      </c>
    </row>
    <row r="22425" spans="1:1">
      <c r="A22425" s="35" t="s">
        <v>41057</v>
      </c>
    </row>
    <row r="22426" spans="1:1">
      <c r="A22426" s="35" t="s">
        <v>41057</v>
      </c>
    </row>
    <row r="22427" spans="1:1">
      <c r="A22427" s="35" t="s">
        <v>41057</v>
      </c>
    </row>
    <row r="22428" spans="1:1">
      <c r="A22428" s="35" t="s">
        <v>41057</v>
      </c>
    </row>
    <row r="22429" spans="1:1">
      <c r="A22429" s="35" t="s">
        <v>41057</v>
      </c>
    </row>
    <row r="22430" spans="1:1">
      <c r="A22430" s="35" t="s">
        <v>41057</v>
      </c>
    </row>
    <row r="22431" spans="1:1">
      <c r="A22431" s="35" t="s">
        <v>41057</v>
      </c>
    </row>
    <row r="22432" spans="1:1">
      <c r="A22432" s="35" t="s">
        <v>41057</v>
      </c>
    </row>
    <row r="22433" spans="1:1">
      <c r="A22433" s="35" t="s">
        <v>41057</v>
      </c>
    </row>
    <row r="22434" spans="1:1">
      <c r="A22434" s="35" t="s">
        <v>59470</v>
      </c>
    </row>
    <row r="22435" spans="1:1">
      <c r="A22435" s="35" t="s">
        <v>41057</v>
      </c>
    </row>
    <row r="22436" spans="1:1">
      <c r="A22436" s="35" t="s">
        <v>59471</v>
      </c>
    </row>
    <row r="22437" spans="1:1">
      <c r="A22437" s="35" t="s">
        <v>59472</v>
      </c>
    </row>
    <row r="22438" spans="1:1">
      <c r="A22438" s="35" t="s">
        <v>41057</v>
      </c>
    </row>
    <row r="22439" spans="1:1">
      <c r="A22439" s="35" t="s">
        <v>41057</v>
      </c>
    </row>
    <row r="22440" spans="1:1">
      <c r="A22440" s="35" t="s">
        <v>41057</v>
      </c>
    </row>
    <row r="22441" spans="1:1">
      <c r="A22441" s="35" t="s">
        <v>41057</v>
      </c>
    </row>
    <row r="22442" spans="1:1">
      <c r="A22442" s="35" t="s">
        <v>41057</v>
      </c>
    </row>
    <row r="22443" spans="1:1">
      <c r="A22443" s="35" t="s">
        <v>41057</v>
      </c>
    </row>
    <row r="22444" spans="1:1">
      <c r="A22444" s="35" t="s">
        <v>41057</v>
      </c>
    </row>
    <row r="22445" spans="1:1">
      <c r="A22445" s="35" t="s">
        <v>41057</v>
      </c>
    </row>
    <row r="22446" spans="1:1">
      <c r="A22446" s="35" t="s">
        <v>41057</v>
      </c>
    </row>
    <row r="22447" spans="1:1">
      <c r="A22447" s="35" t="s">
        <v>41057</v>
      </c>
    </row>
    <row r="22448" spans="1:1">
      <c r="A22448" s="35" t="s">
        <v>41057</v>
      </c>
    </row>
    <row r="22449" spans="1:1">
      <c r="A22449" s="35" t="s">
        <v>41057</v>
      </c>
    </row>
    <row r="22450" spans="1:1">
      <c r="A22450" s="35" t="s">
        <v>59457</v>
      </c>
    </row>
    <row r="22451" spans="1:1">
      <c r="A22451" s="35" t="s">
        <v>41057</v>
      </c>
    </row>
    <row r="22452" spans="1:1">
      <c r="A22452" s="35" t="s">
        <v>59458</v>
      </c>
    </row>
    <row r="22453" spans="1:1">
      <c r="A22453" s="35" t="s">
        <v>41057</v>
      </c>
    </row>
    <row r="22454" spans="1:1">
      <c r="A22454" s="35" t="s">
        <v>59473</v>
      </c>
    </row>
    <row r="22455" spans="1:1">
      <c r="A22455" s="35" t="s">
        <v>41057</v>
      </c>
    </row>
    <row r="22456" spans="1:1">
      <c r="A22456" s="35" t="s">
        <v>41057</v>
      </c>
    </row>
    <row r="22457" spans="1:1">
      <c r="A22457" s="35" t="s">
        <v>41057</v>
      </c>
    </row>
    <row r="22458" spans="1:1">
      <c r="A22458" s="35" t="s">
        <v>59474</v>
      </c>
    </row>
    <row r="22459" spans="1:1">
      <c r="A22459" s="35" t="s">
        <v>41057</v>
      </c>
    </row>
    <row r="22460" spans="1:1">
      <c r="A22460" s="35" t="s">
        <v>41057</v>
      </c>
    </row>
    <row r="22461" spans="1:1">
      <c r="A22461" s="35" t="s">
        <v>41057</v>
      </c>
    </row>
    <row r="22462" spans="1:1">
      <c r="A22462" s="35" t="s">
        <v>41057</v>
      </c>
    </row>
    <row r="22463" spans="1:1">
      <c r="A22463" s="35" t="s">
        <v>41057</v>
      </c>
    </row>
    <row r="22464" spans="1:1">
      <c r="A22464" s="35" t="s">
        <v>41057</v>
      </c>
    </row>
    <row r="22465" spans="1:1">
      <c r="A22465" s="35" t="s">
        <v>41057</v>
      </c>
    </row>
    <row r="22466" spans="1:1">
      <c r="A22466" s="35" t="s">
        <v>41057</v>
      </c>
    </row>
    <row r="22467" spans="1:1">
      <c r="A22467" s="35" t="s">
        <v>41057</v>
      </c>
    </row>
    <row r="22468" spans="1:1">
      <c r="A22468" s="35" t="s">
        <v>41057</v>
      </c>
    </row>
    <row r="22469" spans="1:1">
      <c r="A22469" s="35" t="s">
        <v>41057</v>
      </c>
    </row>
    <row r="22470" spans="1:1">
      <c r="A22470" s="35" t="s">
        <v>41057</v>
      </c>
    </row>
    <row r="22471" spans="1:1">
      <c r="A22471" s="35" t="s">
        <v>41057</v>
      </c>
    </row>
    <row r="22472" spans="1:1">
      <c r="A22472" s="35" t="s">
        <v>41057</v>
      </c>
    </row>
    <row r="22473" spans="1:1">
      <c r="A22473" s="35" t="s">
        <v>41057</v>
      </c>
    </row>
    <row r="22474" spans="1:1">
      <c r="A22474" s="35" t="s">
        <v>41057</v>
      </c>
    </row>
    <row r="22475" spans="1:1">
      <c r="A22475" s="35" t="s">
        <v>41057</v>
      </c>
    </row>
    <row r="22476" spans="1:1">
      <c r="A22476" s="35" t="s">
        <v>41057</v>
      </c>
    </row>
    <row r="22477" spans="1:1">
      <c r="A22477" s="35" t="s">
        <v>41057</v>
      </c>
    </row>
    <row r="22478" spans="1:1">
      <c r="A22478" s="35" t="s">
        <v>41057</v>
      </c>
    </row>
    <row r="22479" spans="1:1">
      <c r="A22479" s="35" t="s">
        <v>41057</v>
      </c>
    </row>
    <row r="22480" spans="1:1">
      <c r="A22480" s="35" t="s">
        <v>41057</v>
      </c>
    </row>
    <row r="22481" spans="1:1">
      <c r="A22481" s="35" t="s">
        <v>41057</v>
      </c>
    </row>
    <row r="22482" spans="1:1">
      <c r="A22482" s="35" t="s">
        <v>41057</v>
      </c>
    </row>
    <row r="22483" spans="1:1">
      <c r="A22483" s="35" t="s">
        <v>41057</v>
      </c>
    </row>
    <row r="22484" spans="1:1">
      <c r="A22484" s="35" t="s">
        <v>41057</v>
      </c>
    </row>
    <row r="22485" spans="1:1">
      <c r="A22485" s="35" t="s">
        <v>41057</v>
      </c>
    </row>
    <row r="22486" spans="1:1">
      <c r="A22486" s="35" t="s">
        <v>41057</v>
      </c>
    </row>
    <row r="22487" spans="1:1">
      <c r="A22487" s="35" t="s">
        <v>41057</v>
      </c>
    </row>
    <row r="22488" spans="1:1">
      <c r="A22488" s="35" t="s">
        <v>41057</v>
      </c>
    </row>
    <row r="22489" spans="1:1">
      <c r="A22489" s="35" t="s">
        <v>41057</v>
      </c>
    </row>
    <row r="22490" spans="1:1">
      <c r="A22490" s="35" t="s">
        <v>41057</v>
      </c>
    </row>
    <row r="22491" spans="1:1">
      <c r="A22491" s="35" t="s">
        <v>41057</v>
      </c>
    </row>
    <row r="22492" spans="1:1">
      <c r="A22492" s="35" t="s">
        <v>59475</v>
      </c>
    </row>
    <row r="22493" spans="1:1">
      <c r="A22493" s="35" t="e" cm="1">
        <f t="array" ref="A22493">---------------------------------------------------------NAT</f>
        <v>#NAME?</v>
      </c>
    </row>
    <row r="22494" spans="1:1">
      <c r="A22494" s="35" t="s">
        <v>41534</v>
      </c>
    </row>
    <row r="22495" spans="1:1">
      <c r="A22495" s="35" t="s">
        <v>41057</v>
      </c>
    </row>
    <row r="22496" spans="1:1">
      <c r="A22496" s="35" t="s">
        <v>41057</v>
      </c>
    </row>
    <row r="22497" spans="1:1">
      <c r="A22497" s="35" t="s">
        <v>59476</v>
      </c>
    </row>
    <row r="22498" spans="1:1">
      <c r="A22498" s="35" t="s">
        <v>41057</v>
      </c>
    </row>
    <row r="22499" spans="1:1">
      <c r="A22499" s="35" t="s">
        <v>59477</v>
      </c>
    </row>
    <row r="22500" spans="1:1">
      <c r="A22500" s="35" t="s">
        <v>59478</v>
      </c>
    </row>
    <row r="22501" spans="1:1">
      <c r="A22501" s="35" t="s">
        <v>41057</v>
      </c>
    </row>
    <row r="22502" spans="1:1">
      <c r="A22502" s="35" t="s">
        <v>41057</v>
      </c>
    </row>
    <row r="22503" spans="1:1">
      <c r="A22503" s="35" t="s">
        <v>41057</v>
      </c>
    </row>
    <row r="22504" spans="1:1">
      <c r="A22504" s="35" t="s">
        <v>41057</v>
      </c>
    </row>
    <row r="22505" spans="1:1">
      <c r="A22505" s="35" t="s">
        <v>41057</v>
      </c>
    </row>
    <row r="22506" spans="1:1">
      <c r="A22506" s="35" t="s">
        <v>41057</v>
      </c>
    </row>
    <row r="22507" spans="1:1">
      <c r="A22507" s="35" t="s">
        <v>41057</v>
      </c>
    </row>
    <row r="22508" spans="1:1">
      <c r="A22508" s="35" t="s">
        <v>41057</v>
      </c>
    </row>
    <row r="22509" spans="1:1">
      <c r="A22509" s="35" t="s">
        <v>41057</v>
      </c>
    </row>
    <row r="22510" spans="1:1">
      <c r="A22510" s="35" t="s">
        <v>59479</v>
      </c>
    </row>
    <row r="22511" spans="1:1">
      <c r="A22511" s="35" t="s">
        <v>59480</v>
      </c>
    </row>
    <row r="22512" spans="1:1">
      <c r="A22512" s="35" t="s">
        <v>41057</v>
      </c>
    </row>
    <row r="22513" spans="1:1">
      <c r="A22513" s="35" t="s">
        <v>59461</v>
      </c>
    </row>
    <row r="22514" spans="1:1">
      <c r="A22514" s="35" t="s">
        <v>41057</v>
      </c>
    </row>
    <row r="22515" spans="1:1">
      <c r="A22515" s="35" t="s">
        <v>59462</v>
      </c>
    </row>
    <row r="22516" spans="1:1">
      <c r="A22516" s="35" t="s">
        <v>41057</v>
      </c>
    </row>
    <row r="22517" spans="1:1">
      <c r="A22517" s="35" t="s">
        <v>59463</v>
      </c>
    </row>
    <row r="22518" spans="1:1">
      <c r="A22518" s="35" t="s">
        <v>41057</v>
      </c>
    </row>
    <row r="22519" spans="1:1">
      <c r="A22519" s="35" t="s">
        <v>41057</v>
      </c>
    </row>
    <row r="22520" spans="1:1">
      <c r="A22520" s="35" t="s">
        <v>41057</v>
      </c>
    </row>
    <row r="22521" spans="1:1">
      <c r="A22521" s="35" t="s">
        <v>59481</v>
      </c>
    </row>
    <row r="22522" spans="1:1">
      <c r="A22522" s="35" t="s">
        <v>41057</v>
      </c>
    </row>
    <row r="22523" spans="1:1">
      <c r="A22523" s="35" t="s">
        <v>41057</v>
      </c>
    </row>
    <row r="22524" spans="1:1">
      <c r="A22524" s="35" t="s">
        <v>41057</v>
      </c>
    </row>
    <row r="22525" spans="1:1">
      <c r="A22525" s="35" t="s">
        <v>41057</v>
      </c>
    </row>
    <row r="22526" spans="1:1">
      <c r="A22526" s="35" t="e" cm="1">
        <f t="array" ref="A22526">------------------------------------------------ETSDKYAPLKEA</f>
        <v>#NAME?</v>
      </c>
    </row>
    <row r="22527" spans="1:1">
      <c r="A22527" s="35" t="s">
        <v>59482</v>
      </c>
    </row>
    <row r="22528" spans="1:1">
      <c r="A22528" s="35" t="s">
        <v>41057</v>
      </c>
    </row>
    <row r="22529" spans="1:1">
      <c r="A22529" s="35" t="s">
        <v>41057</v>
      </c>
    </row>
    <row r="22530" spans="1:1">
      <c r="A22530" s="35" t="e" cm="1">
        <f t="array" ref="A22530">---------------------------------------------------G-----TLF</f>
        <v>#NAME?</v>
      </c>
    </row>
    <row r="22531" spans="1:1">
      <c r="A22531" s="35" t="s">
        <v>59483</v>
      </c>
    </row>
    <row r="22532" spans="1:1">
      <c r="A22532" s="35" t="s">
        <v>41057</v>
      </c>
    </row>
    <row r="22533" spans="1:1">
      <c r="A22533" s="35" t="s">
        <v>41057</v>
      </c>
    </row>
    <row r="22534" spans="1:1">
      <c r="A22534" s="35" t="s">
        <v>41057</v>
      </c>
    </row>
    <row r="22535" spans="1:1">
      <c r="A22535" s="35" t="s">
        <v>41057</v>
      </c>
    </row>
    <row r="22536" spans="1:1">
      <c r="A22536" s="35" t="s">
        <v>41057</v>
      </c>
    </row>
    <row r="22537" spans="1:1">
      <c r="A22537" s="35" t="s">
        <v>41057</v>
      </c>
    </row>
    <row r="22538" spans="1:1">
      <c r="A22538" s="35" t="s">
        <v>53545</v>
      </c>
    </row>
    <row r="22539" spans="1:1">
      <c r="A22539" s="35" t="s">
        <v>59484</v>
      </c>
    </row>
    <row r="22540" spans="1:1">
      <c r="A22540" s="35" t="s">
        <v>41057</v>
      </c>
    </row>
    <row r="22541" spans="1:1">
      <c r="A22541" s="35" t="s">
        <v>41057</v>
      </c>
    </row>
    <row r="22542" spans="1:1">
      <c r="A22542" s="35" t="s">
        <v>41057</v>
      </c>
    </row>
    <row r="22543" spans="1:1">
      <c r="A22543" s="35" t="s">
        <v>41057</v>
      </c>
    </row>
    <row r="22544" spans="1:1">
      <c r="A22544" s="35" t="s">
        <v>41057</v>
      </c>
    </row>
    <row r="22545" spans="1:1">
      <c r="A22545" s="35" t="s">
        <v>41057</v>
      </c>
    </row>
    <row r="22546" spans="1:1">
      <c r="A22546" s="35" t="s">
        <v>41057</v>
      </c>
    </row>
    <row r="22547" spans="1:1">
      <c r="A22547" s="35" t="s">
        <v>41057</v>
      </c>
    </row>
    <row r="22548" spans="1:1">
      <c r="A22548" s="35" t="s">
        <v>41057</v>
      </c>
    </row>
    <row r="22549" spans="1:1">
      <c r="A22549" s="35" t="s">
        <v>41057</v>
      </c>
    </row>
    <row r="22550" spans="1:1">
      <c r="A22550" s="35" t="s">
        <v>41057</v>
      </c>
    </row>
    <row r="22551" spans="1:1">
      <c r="A22551" s="35" t="s">
        <v>59485</v>
      </c>
    </row>
    <row r="22552" spans="1:1">
      <c r="A22552" s="35" t="s">
        <v>59486</v>
      </c>
    </row>
    <row r="22553" spans="1:1">
      <c r="A22553" s="35" t="s">
        <v>41057</v>
      </c>
    </row>
    <row r="22554" spans="1:1">
      <c r="A22554" s="35" t="s">
        <v>59471</v>
      </c>
    </row>
    <row r="22555" spans="1:1">
      <c r="A22555" s="35" t="s">
        <v>59472</v>
      </c>
    </row>
    <row r="22556" spans="1:1">
      <c r="A22556" s="35" t="s">
        <v>41057</v>
      </c>
    </row>
    <row r="22557" spans="1:1">
      <c r="A22557" s="35" t="s">
        <v>41057</v>
      </c>
    </row>
    <row r="22558" spans="1:1">
      <c r="A22558" s="35" t="s">
        <v>41057</v>
      </c>
    </row>
    <row r="22559" spans="1:1">
      <c r="A22559" s="35" t="s">
        <v>41057</v>
      </c>
    </row>
    <row r="22560" spans="1:1">
      <c r="A22560" s="35" t="s">
        <v>41057</v>
      </c>
    </row>
    <row r="22561" spans="1:1">
      <c r="A22561" s="35" t="s">
        <v>41057</v>
      </c>
    </row>
    <row r="22562" spans="1:1">
      <c r="A22562" s="35" t="s">
        <v>41057</v>
      </c>
    </row>
    <row r="22563" spans="1:1">
      <c r="A22563" s="35" t="s">
        <v>41057</v>
      </c>
    </row>
    <row r="22564" spans="1:1">
      <c r="A22564" s="35" t="s">
        <v>41057</v>
      </c>
    </row>
    <row r="22565" spans="1:1">
      <c r="A22565" s="35" t="s">
        <v>41057</v>
      </c>
    </row>
    <row r="22566" spans="1:1">
      <c r="A22566" s="35" t="s">
        <v>41057</v>
      </c>
    </row>
    <row r="22567" spans="1:1">
      <c r="A22567" s="35" t="s">
        <v>41057</v>
      </c>
    </row>
    <row r="22568" spans="1:1">
      <c r="A22568" s="35" t="s">
        <v>59457</v>
      </c>
    </row>
    <row r="22569" spans="1:1">
      <c r="A22569" s="35" t="s">
        <v>41057</v>
      </c>
    </row>
    <row r="22570" spans="1:1">
      <c r="A22570" s="35" t="s">
        <v>59458</v>
      </c>
    </row>
    <row r="22571" spans="1:1">
      <c r="A22571" s="35" t="s">
        <v>41057</v>
      </c>
    </row>
    <row r="22572" spans="1:1">
      <c r="A22572" s="35" t="s">
        <v>59487</v>
      </c>
    </row>
    <row r="22573" spans="1:1">
      <c r="A22573" s="35" t="s">
        <v>41057</v>
      </c>
    </row>
    <row r="22574" spans="1:1">
      <c r="A22574" s="35" t="s">
        <v>41057</v>
      </c>
    </row>
    <row r="22575" spans="1:1">
      <c r="A22575" s="35" t="s">
        <v>41057</v>
      </c>
    </row>
    <row r="22576" spans="1:1">
      <c r="A22576" s="35" t="s">
        <v>41057</v>
      </c>
    </row>
    <row r="22577" spans="1:1">
      <c r="A22577" s="35" t="s">
        <v>41057</v>
      </c>
    </row>
    <row r="22578" spans="1:1">
      <c r="A22578" s="35" t="s">
        <v>41057</v>
      </c>
    </row>
    <row r="22579" spans="1:1">
      <c r="A22579" s="35" t="s">
        <v>41057</v>
      </c>
    </row>
    <row r="22580" spans="1:1">
      <c r="A22580" s="35" t="s">
        <v>41057</v>
      </c>
    </row>
    <row r="22581" spans="1:1">
      <c r="A22581" s="35" t="s">
        <v>41057</v>
      </c>
    </row>
    <row r="22582" spans="1:1">
      <c r="A22582" s="35" t="s">
        <v>41057</v>
      </c>
    </row>
    <row r="22583" spans="1:1">
      <c r="A22583" s="35" t="s">
        <v>41057</v>
      </c>
    </row>
    <row r="22584" spans="1:1">
      <c r="A22584" s="35" t="s">
        <v>41057</v>
      </c>
    </row>
    <row r="22585" spans="1:1">
      <c r="A22585" s="35" t="s">
        <v>41057</v>
      </c>
    </row>
    <row r="22586" spans="1:1">
      <c r="A22586" s="35" t="s">
        <v>41057</v>
      </c>
    </row>
    <row r="22587" spans="1:1">
      <c r="A22587" s="35" t="s">
        <v>41057</v>
      </c>
    </row>
    <row r="22588" spans="1:1">
      <c r="A22588" s="35" t="s">
        <v>41057</v>
      </c>
    </row>
    <row r="22589" spans="1:1">
      <c r="A22589" s="35" t="s">
        <v>41057</v>
      </c>
    </row>
    <row r="22590" spans="1:1">
      <c r="A22590" s="35" t="s">
        <v>41057</v>
      </c>
    </row>
    <row r="22591" spans="1:1">
      <c r="A22591" s="35" t="s">
        <v>41057</v>
      </c>
    </row>
    <row r="22592" spans="1:1">
      <c r="A22592" s="35" t="s">
        <v>41057</v>
      </c>
    </row>
    <row r="22593" spans="1:1">
      <c r="A22593" s="35" t="s">
        <v>41057</v>
      </c>
    </row>
    <row r="22594" spans="1:1">
      <c r="A22594" s="35" t="s">
        <v>41057</v>
      </c>
    </row>
    <row r="22595" spans="1:1">
      <c r="A22595" s="35" t="s">
        <v>41057</v>
      </c>
    </row>
    <row r="22596" spans="1:1">
      <c r="A22596" s="35" t="s">
        <v>41057</v>
      </c>
    </row>
    <row r="22597" spans="1:1">
      <c r="A22597" s="35" t="s">
        <v>41057</v>
      </c>
    </row>
    <row r="22598" spans="1:1">
      <c r="A22598" s="35" t="s">
        <v>41057</v>
      </c>
    </row>
    <row r="22599" spans="1:1">
      <c r="A22599" s="35" t="s">
        <v>41057</v>
      </c>
    </row>
    <row r="22600" spans="1:1">
      <c r="A22600" s="35" t="s">
        <v>41057</v>
      </c>
    </row>
    <row r="22601" spans="1:1">
      <c r="A22601" s="35" t="s">
        <v>41057</v>
      </c>
    </row>
    <row r="22602" spans="1:1">
      <c r="A22602" s="35" t="s">
        <v>41057</v>
      </c>
    </row>
    <row r="22603" spans="1:1">
      <c r="A22603" s="35" t="s">
        <v>41057</v>
      </c>
    </row>
    <row r="22604" spans="1:1">
      <c r="A22604" s="35" t="s">
        <v>41057</v>
      </c>
    </row>
    <row r="22605" spans="1:1">
      <c r="A22605" s="35" t="s">
        <v>41057</v>
      </c>
    </row>
    <row r="22606" spans="1:1">
      <c r="A22606" s="35" t="s">
        <v>41057</v>
      </c>
    </row>
    <row r="22607" spans="1:1">
      <c r="A22607" s="35" t="s">
        <v>41057</v>
      </c>
    </row>
    <row r="22608" spans="1:1">
      <c r="A22608" s="35" t="s">
        <v>41057</v>
      </c>
    </row>
    <row r="22609" spans="1:1">
      <c r="A22609" s="35" t="s">
        <v>41057</v>
      </c>
    </row>
    <row r="22610" spans="1:1">
      <c r="A22610" s="35" t="s">
        <v>41057</v>
      </c>
    </row>
    <row r="22611" spans="1:1">
      <c r="A22611" s="35" t="s">
        <v>41057</v>
      </c>
    </row>
    <row r="22612" spans="1:1">
      <c r="A22612" s="35" t="s">
        <v>41057</v>
      </c>
    </row>
    <row r="22613" spans="1:1">
      <c r="A22613" s="35" t="s">
        <v>41057</v>
      </c>
    </row>
    <row r="22614" spans="1:1">
      <c r="A22614" s="35" t="s">
        <v>41057</v>
      </c>
    </row>
    <row r="22615" spans="1:1">
      <c r="A22615" s="35" t="s">
        <v>41057</v>
      </c>
    </row>
    <row r="22616" spans="1:1">
      <c r="A22616" s="35" t="s">
        <v>41057</v>
      </c>
    </row>
    <row r="22617" spans="1:1">
      <c r="A22617" s="35" t="s">
        <v>41057</v>
      </c>
    </row>
    <row r="22618" spans="1:1">
      <c r="A22618" s="35" t="s">
        <v>41057</v>
      </c>
    </row>
    <row r="22619" spans="1:1">
      <c r="A22619" s="35" t="s">
        <v>41057</v>
      </c>
    </row>
    <row r="22620" spans="1:1">
      <c r="A22620" s="35" t="s">
        <v>41057</v>
      </c>
    </row>
    <row r="22621" spans="1:1">
      <c r="A22621" s="35" t="s">
        <v>41057</v>
      </c>
    </row>
    <row r="22622" spans="1:1">
      <c r="A22622" s="35" t="s">
        <v>41057</v>
      </c>
    </row>
    <row r="22623" spans="1:1">
      <c r="A22623" s="35" t="s">
        <v>41057</v>
      </c>
    </row>
    <row r="22624" spans="1:1">
      <c r="A22624" s="35" t="s">
        <v>41057</v>
      </c>
    </row>
    <row r="22625" spans="1:1">
      <c r="A22625" s="35" t="s">
        <v>41057</v>
      </c>
    </row>
    <row r="22626" spans="1:1">
      <c r="A22626" s="35" t="s">
        <v>41057</v>
      </c>
    </row>
    <row r="22627" spans="1:1">
      <c r="A22627" s="35" t="s">
        <v>41057</v>
      </c>
    </row>
    <row r="22628" spans="1:1">
      <c r="A22628" s="35" t="s">
        <v>41057</v>
      </c>
    </row>
    <row r="22629" spans="1:1">
      <c r="A22629" s="35" t="s">
        <v>59460</v>
      </c>
    </row>
    <row r="22630" spans="1:1">
      <c r="A22630" s="35" t="s">
        <v>41057</v>
      </c>
    </row>
    <row r="22631" spans="1:1">
      <c r="A22631" s="35" t="s">
        <v>59461</v>
      </c>
    </row>
    <row r="22632" spans="1:1">
      <c r="A22632" s="35" t="s">
        <v>41057</v>
      </c>
    </row>
    <row r="22633" spans="1:1">
      <c r="A22633" s="35" t="s">
        <v>59462</v>
      </c>
    </row>
    <row r="22634" spans="1:1">
      <c r="A22634" s="35" t="s">
        <v>41057</v>
      </c>
    </row>
    <row r="22635" spans="1:1">
      <c r="A22635" s="35" t="s">
        <v>59463</v>
      </c>
    </row>
    <row r="22636" spans="1:1">
      <c r="A22636" s="35" t="s">
        <v>41057</v>
      </c>
    </row>
    <row r="22637" spans="1:1">
      <c r="A22637" s="35" t="s">
        <v>41057</v>
      </c>
    </row>
    <row r="22638" spans="1:1">
      <c r="A22638" s="35" t="s">
        <v>41057</v>
      </c>
    </row>
    <row r="22639" spans="1:1">
      <c r="A22639" s="35" t="s">
        <v>59481</v>
      </c>
    </row>
    <row r="22640" spans="1:1">
      <c r="A22640" s="35" t="s">
        <v>41057</v>
      </c>
    </row>
    <row r="22641" spans="1:1">
      <c r="A22641" s="35" t="s">
        <v>41057</v>
      </c>
    </row>
    <row r="22642" spans="1:1">
      <c r="A22642" s="35" t="s">
        <v>41057</v>
      </c>
    </row>
    <row r="22643" spans="1:1">
      <c r="A22643" s="35" t="s">
        <v>41057</v>
      </c>
    </row>
    <row r="22644" spans="1:1">
      <c r="A22644" s="35" t="e" cm="1">
        <f t="array" ref="A22644">------------------------------------------------ETSDKYAPLKEA</f>
        <v>#NAME?</v>
      </c>
    </row>
    <row r="22645" spans="1:1">
      <c r="A22645" s="35" t="s">
        <v>59482</v>
      </c>
    </row>
    <row r="22646" spans="1:1">
      <c r="A22646" s="35" t="s">
        <v>41057</v>
      </c>
    </row>
    <row r="22647" spans="1:1">
      <c r="A22647" s="35" t="s">
        <v>41057</v>
      </c>
    </row>
    <row r="22648" spans="1:1">
      <c r="A22648" s="35" t="e" cm="1">
        <f t="array" ref="A22648">---------------------------------------------------G-----TLL</f>
        <v>#NAME?</v>
      </c>
    </row>
    <row r="22649" spans="1:1">
      <c r="A22649" s="35" t="s">
        <v>59483</v>
      </c>
    </row>
    <row r="22650" spans="1:1">
      <c r="A22650" s="35" t="s">
        <v>41057</v>
      </c>
    </row>
    <row r="22651" spans="1:1">
      <c r="A22651" s="35" t="s">
        <v>41057</v>
      </c>
    </row>
    <row r="22652" spans="1:1">
      <c r="A22652" s="35" t="s">
        <v>41057</v>
      </c>
    </row>
    <row r="22653" spans="1:1">
      <c r="A22653" s="35" t="s">
        <v>41057</v>
      </c>
    </row>
    <row r="22654" spans="1:1">
      <c r="A22654" s="35" t="s">
        <v>41057</v>
      </c>
    </row>
    <row r="22655" spans="1:1">
      <c r="A22655" s="35" t="s">
        <v>41057</v>
      </c>
    </row>
    <row r="22656" spans="1:1">
      <c r="A22656" s="35" t="s">
        <v>53545</v>
      </c>
    </row>
    <row r="22657" spans="1:1">
      <c r="A22657" s="35" t="s">
        <v>59488</v>
      </c>
    </row>
    <row r="22658" spans="1:1">
      <c r="A22658" s="35" t="s">
        <v>41057</v>
      </c>
    </row>
    <row r="22659" spans="1:1">
      <c r="A22659" s="35" t="s">
        <v>41057</v>
      </c>
    </row>
    <row r="22660" spans="1:1">
      <c r="A22660" s="35" t="s">
        <v>41057</v>
      </c>
    </row>
    <row r="22661" spans="1:1">
      <c r="A22661" s="35" t="s">
        <v>41057</v>
      </c>
    </row>
    <row r="22662" spans="1:1">
      <c r="A22662" s="35" t="s">
        <v>41057</v>
      </c>
    </row>
    <row r="22663" spans="1:1">
      <c r="A22663" s="35" t="s">
        <v>41057</v>
      </c>
    </row>
    <row r="22664" spans="1:1">
      <c r="A22664" s="35" t="s">
        <v>41057</v>
      </c>
    </row>
    <row r="22665" spans="1:1">
      <c r="A22665" s="35" t="s">
        <v>41057</v>
      </c>
    </row>
    <row r="22666" spans="1:1">
      <c r="A22666" s="35" t="s">
        <v>41057</v>
      </c>
    </row>
    <row r="22667" spans="1:1">
      <c r="A22667" s="35" t="s">
        <v>41057</v>
      </c>
    </row>
    <row r="22668" spans="1:1">
      <c r="A22668" s="35" t="s">
        <v>41057</v>
      </c>
    </row>
    <row r="22669" spans="1:1">
      <c r="A22669" s="35" t="s">
        <v>59489</v>
      </c>
    </row>
    <row r="22670" spans="1:1">
      <c r="A22670" s="35" t="s">
        <v>59490</v>
      </c>
    </row>
    <row r="22671" spans="1:1">
      <c r="A22671" s="35" t="s">
        <v>41057</v>
      </c>
    </row>
    <row r="22672" spans="1:1">
      <c r="A22672" s="35" t="s">
        <v>59491</v>
      </c>
    </row>
    <row r="22673" spans="1:1">
      <c r="A22673" s="35" t="s">
        <v>59492</v>
      </c>
    </row>
    <row r="22674" spans="1:1">
      <c r="A22674" s="35" t="s">
        <v>41057</v>
      </c>
    </row>
    <row r="22675" spans="1:1">
      <c r="A22675" s="35" t="s">
        <v>41057</v>
      </c>
    </row>
    <row r="22676" spans="1:1">
      <c r="A22676" s="35" t="s">
        <v>41057</v>
      </c>
    </row>
    <row r="22677" spans="1:1">
      <c r="A22677" s="35" t="s">
        <v>41057</v>
      </c>
    </row>
    <row r="22678" spans="1:1">
      <c r="A22678" s="35" t="s">
        <v>41057</v>
      </c>
    </row>
    <row r="22679" spans="1:1">
      <c r="A22679" s="35" t="s">
        <v>41057</v>
      </c>
    </row>
    <row r="22680" spans="1:1">
      <c r="A22680" s="35" t="s">
        <v>41057</v>
      </c>
    </row>
    <row r="22681" spans="1:1">
      <c r="A22681" s="35" t="s">
        <v>41057</v>
      </c>
    </row>
    <row r="22682" spans="1:1">
      <c r="A22682" s="35" t="s">
        <v>41057</v>
      </c>
    </row>
    <row r="22683" spans="1:1">
      <c r="A22683" s="35" t="s">
        <v>41057</v>
      </c>
    </row>
    <row r="22684" spans="1:1">
      <c r="A22684" s="35" t="s">
        <v>41057</v>
      </c>
    </row>
    <row r="22685" spans="1:1">
      <c r="A22685" s="35" t="s">
        <v>41057</v>
      </c>
    </row>
    <row r="22686" spans="1:1">
      <c r="A22686" s="35" t="s">
        <v>41057</v>
      </c>
    </row>
    <row r="22687" spans="1:1">
      <c r="A22687" s="35" t="s">
        <v>41057</v>
      </c>
    </row>
    <row r="22688" spans="1:1">
      <c r="A22688" s="35" t="s">
        <v>41057</v>
      </c>
    </row>
    <row r="22689" spans="1:1">
      <c r="A22689" s="35" t="s">
        <v>41057</v>
      </c>
    </row>
    <row r="22690" spans="1:1">
      <c r="A22690" s="35" t="s">
        <v>59493</v>
      </c>
    </row>
    <row r="22691" spans="1:1">
      <c r="A22691" s="35" t="s">
        <v>41057</v>
      </c>
    </row>
    <row r="22692" spans="1:1">
      <c r="A22692" s="35" t="s">
        <v>41057</v>
      </c>
    </row>
    <row r="22693" spans="1:1">
      <c r="A22693" s="35" t="s">
        <v>41057</v>
      </c>
    </row>
    <row r="22694" spans="1:1">
      <c r="A22694" s="35" t="s">
        <v>41057</v>
      </c>
    </row>
    <row r="22695" spans="1:1">
      <c r="A22695" s="35" t="s">
        <v>41057</v>
      </c>
    </row>
    <row r="22696" spans="1:1">
      <c r="A22696" s="35" t="s">
        <v>41057</v>
      </c>
    </row>
    <row r="22697" spans="1:1">
      <c r="A22697" s="35" t="s">
        <v>41057</v>
      </c>
    </row>
    <row r="22698" spans="1:1">
      <c r="A22698" s="35" t="s">
        <v>41057</v>
      </c>
    </row>
    <row r="22699" spans="1:1">
      <c r="A22699" s="35" t="s">
        <v>41057</v>
      </c>
    </row>
    <row r="22700" spans="1:1">
      <c r="A22700" s="35" t="s">
        <v>41057</v>
      </c>
    </row>
    <row r="22701" spans="1:1">
      <c r="A22701" s="35" t="s">
        <v>41057</v>
      </c>
    </row>
    <row r="22702" spans="1:1">
      <c r="A22702" s="35" t="s">
        <v>41057</v>
      </c>
    </row>
    <row r="22703" spans="1:1">
      <c r="A22703" s="35" t="s">
        <v>41057</v>
      </c>
    </row>
    <row r="22704" spans="1:1">
      <c r="A22704" s="35" t="s">
        <v>41057</v>
      </c>
    </row>
    <row r="22705" spans="1:1">
      <c r="A22705" s="35" t="s">
        <v>41057</v>
      </c>
    </row>
    <row r="22706" spans="1:1">
      <c r="A22706" s="35" t="s">
        <v>41057</v>
      </c>
    </row>
    <row r="22707" spans="1:1">
      <c r="A22707" s="35" t="s">
        <v>41057</v>
      </c>
    </row>
    <row r="22708" spans="1:1">
      <c r="A22708" s="35" t="s">
        <v>41057</v>
      </c>
    </row>
    <row r="22709" spans="1:1">
      <c r="A22709" s="35" t="s">
        <v>41057</v>
      </c>
    </row>
    <row r="22710" spans="1:1">
      <c r="A22710" s="35" t="s">
        <v>41057</v>
      </c>
    </row>
    <row r="22711" spans="1:1">
      <c r="A22711" s="35" t="s">
        <v>41057</v>
      </c>
    </row>
    <row r="22712" spans="1:1">
      <c r="A22712" s="35" t="s">
        <v>41057</v>
      </c>
    </row>
    <row r="22713" spans="1:1">
      <c r="A22713" s="35" t="s">
        <v>41057</v>
      </c>
    </row>
    <row r="22714" spans="1:1">
      <c r="A22714" s="35" t="s">
        <v>41057</v>
      </c>
    </row>
    <row r="22715" spans="1:1">
      <c r="A22715" s="35" t="s">
        <v>41057</v>
      </c>
    </row>
    <row r="22716" spans="1:1">
      <c r="A22716" s="35" t="s">
        <v>41057</v>
      </c>
    </row>
    <row r="22717" spans="1:1">
      <c r="A22717" s="35" t="s">
        <v>41057</v>
      </c>
    </row>
    <row r="22718" spans="1:1">
      <c r="A22718" s="35" t="s">
        <v>41057</v>
      </c>
    </row>
    <row r="22719" spans="1:1">
      <c r="A22719" s="35" t="s">
        <v>41057</v>
      </c>
    </row>
    <row r="22720" spans="1:1">
      <c r="A22720" s="35" t="s">
        <v>41057</v>
      </c>
    </row>
    <row r="22721" spans="1:1">
      <c r="A22721" s="35" t="s">
        <v>41057</v>
      </c>
    </row>
    <row r="22722" spans="1:1">
      <c r="A22722" s="35" t="s">
        <v>41057</v>
      </c>
    </row>
    <row r="22723" spans="1:1">
      <c r="A22723" s="35" t="s">
        <v>41057</v>
      </c>
    </row>
    <row r="22724" spans="1:1">
      <c r="A22724" s="35" t="s">
        <v>41057</v>
      </c>
    </row>
    <row r="22725" spans="1:1">
      <c r="A22725" s="35" t="s">
        <v>41057</v>
      </c>
    </row>
    <row r="22726" spans="1:1">
      <c r="A22726" s="35" t="s">
        <v>41057</v>
      </c>
    </row>
    <row r="22727" spans="1:1">
      <c r="A22727" s="35" t="s">
        <v>41057</v>
      </c>
    </row>
    <row r="22728" spans="1:1">
      <c r="A22728" s="35" t="s">
        <v>41057</v>
      </c>
    </row>
    <row r="22729" spans="1:1">
      <c r="A22729" s="35" t="s">
        <v>41057</v>
      </c>
    </row>
    <row r="22730" spans="1:1">
      <c r="A22730" s="35" t="s">
        <v>41057</v>
      </c>
    </row>
    <row r="22731" spans="1:1">
      <c r="A22731" s="35" t="s">
        <v>41057</v>
      </c>
    </row>
    <row r="22732" spans="1:1">
      <c r="A22732" s="35" t="s">
        <v>41057</v>
      </c>
    </row>
    <row r="22733" spans="1:1">
      <c r="A22733" s="35" t="s">
        <v>50574</v>
      </c>
    </row>
    <row r="22734" spans="1:1">
      <c r="A22734" s="35" t="s">
        <v>41057</v>
      </c>
    </row>
    <row r="22735" spans="1:1">
      <c r="A22735" s="35" t="s">
        <v>41057</v>
      </c>
    </row>
    <row r="22736" spans="1:1">
      <c r="A22736" s="35" t="s">
        <v>41057</v>
      </c>
    </row>
    <row r="22737" spans="1:1">
      <c r="A22737" s="35" t="s">
        <v>41057</v>
      </c>
    </row>
    <row r="22738" spans="1:1">
      <c r="A22738" s="35" t="s">
        <v>41057</v>
      </c>
    </row>
    <row r="22739" spans="1:1">
      <c r="A22739" s="35" t="s">
        <v>41057</v>
      </c>
    </row>
    <row r="22740" spans="1:1">
      <c r="A22740" s="35" t="s">
        <v>41057</v>
      </c>
    </row>
    <row r="22741" spans="1:1">
      <c r="A22741" s="35" t="s">
        <v>41057</v>
      </c>
    </row>
    <row r="22742" spans="1:1">
      <c r="A22742" s="35" t="s">
        <v>41057</v>
      </c>
    </row>
    <row r="22743" spans="1:1">
      <c r="A22743" s="35" t="s">
        <v>41057</v>
      </c>
    </row>
    <row r="22744" spans="1:1">
      <c r="A22744" s="35" t="s">
        <v>41057</v>
      </c>
    </row>
    <row r="22745" spans="1:1">
      <c r="A22745" s="35" t="s">
        <v>41057</v>
      </c>
    </row>
    <row r="22746" spans="1:1">
      <c r="A22746" s="35" t="s">
        <v>41057</v>
      </c>
    </row>
    <row r="22747" spans="1:1">
      <c r="A22747" s="35" t="s">
        <v>59494</v>
      </c>
    </row>
    <row r="22748" spans="1:1">
      <c r="A22748" s="35" t="s">
        <v>41057</v>
      </c>
    </row>
    <row r="22749" spans="1:1">
      <c r="A22749" s="35" t="s">
        <v>59495</v>
      </c>
    </row>
    <row r="22750" spans="1:1">
      <c r="A22750" s="35" t="s">
        <v>41057</v>
      </c>
    </row>
    <row r="22751" spans="1:1">
      <c r="A22751" s="35" t="s">
        <v>59496</v>
      </c>
    </row>
    <row r="22752" spans="1:1">
      <c r="A22752" s="35" t="s">
        <v>41057</v>
      </c>
    </row>
    <row r="22753" spans="1:1">
      <c r="A22753" s="35" t="s">
        <v>59497</v>
      </c>
    </row>
    <row r="22754" spans="1:1">
      <c r="A22754" s="35" t="s">
        <v>41057</v>
      </c>
    </row>
    <row r="22755" spans="1:1">
      <c r="A22755" s="35" t="s">
        <v>41057</v>
      </c>
    </row>
    <row r="22756" spans="1:1">
      <c r="A22756" s="35" t="s">
        <v>41057</v>
      </c>
    </row>
    <row r="22757" spans="1:1">
      <c r="A22757" s="35" t="s">
        <v>59498</v>
      </c>
    </row>
    <row r="22758" spans="1:1">
      <c r="A22758" s="35" t="s">
        <v>41057</v>
      </c>
    </row>
    <row r="22759" spans="1:1">
      <c r="A22759" s="35" t="s">
        <v>41057</v>
      </c>
    </row>
    <row r="22760" spans="1:1">
      <c r="A22760" s="35" t="s">
        <v>41057</v>
      </c>
    </row>
    <row r="22761" spans="1:1">
      <c r="A22761" s="35" t="s">
        <v>41057</v>
      </c>
    </row>
    <row r="22762" spans="1:1">
      <c r="A22762" s="35" t="e" cm="1">
        <f t="array" ref="A22762">------------------------------------------------ETSDKFAPLKEA</f>
        <v>#NAME?</v>
      </c>
    </row>
    <row r="22763" spans="1:1">
      <c r="A22763" s="35" t="s">
        <v>59465</v>
      </c>
    </row>
    <row r="22764" spans="1:1">
      <c r="A22764" s="35" t="s">
        <v>59499</v>
      </c>
    </row>
    <row r="22765" spans="1:1">
      <c r="A22765" s="35" t="s">
        <v>59500</v>
      </c>
    </row>
    <row r="22766" spans="1:1">
      <c r="A22766" s="35" t="s">
        <v>59501</v>
      </c>
    </row>
    <row r="22767" spans="1:1">
      <c r="A22767" s="35" t="s">
        <v>41057</v>
      </c>
    </row>
    <row r="22768" spans="1:1">
      <c r="A22768" s="35" t="s">
        <v>41057</v>
      </c>
    </row>
    <row r="22769" spans="1:1">
      <c r="A22769" s="35" t="s">
        <v>41057</v>
      </c>
    </row>
    <row r="22770" spans="1:1">
      <c r="A22770" s="35" t="s">
        <v>41057</v>
      </c>
    </row>
    <row r="22771" spans="1:1">
      <c r="A22771" s="35" t="s">
        <v>41057</v>
      </c>
    </row>
    <row r="22772" spans="1:1">
      <c r="A22772" s="35" t="s">
        <v>41057</v>
      </c>
    </row>
    <row r="22773" spans="1:1">
      <c r="A22773" s="35" t="s">
        <v>41057</v>
      </c>
    </row>
    <row r="22774" spans="1:1">
      <c r="A22774" s="35" t="s">
        <v>53545</v>
      </c>
    </row>
    <row r="22775" spans="1:1">
      <c r="A22775" s="35" t="s">
        <v>59502</v>
      </c>
    </row>
    <row r="22776" spans="1:1">
      <c r="A22776" s="35" t="s">
        <v>41057</v>
      </c>
    </row>
    <row r="22777" spans="1:1">
      <c r="A22777" s="35" t="s">
        <v>41057</v>
      </c>
    </row>
    <row r="22778" spans="1:1">
      <c r="A22778" s="35" t="s">
        <v>41057</v>
      </c>
    </row>
    <row r="22779" spans="1:1">
      <c r="A22779" s="35" t="s">
        <v>41057</v>
      </c>
    </row>
    <row r="22780" spans="1:1">
      <c r="A22780" s="35" t="s">
        <v>41057</v>
      </c>
    </row>
    <row r="22781" spans="1:1">
      <c r="A22781" s="35" t="s">
        <v>41057</v>
      </c>
    </row>
    <row r="22782" spans="1:1">
      <c r="A22782" s="35" t="s">
        <v>41057</v>
      </c>
    </row>
    <row r="22783" spans="1:1">
      <c r="A22783" s="35" t="s">
        <v>41057</v>
      </c>
    </row>
    <row r="22784" spans="1:1">
      <c r="A22784" s="35" t="s">
        <v>41057</v>
      </c>
    </row>
    <row r="22785" spans="1:1">
      <c r="A22785" s="35" t="s">
        <v>41057</v>
      </c>
    </row>
    <row r="22786" spans="1:1">
      <c r="A22786" s="35" t="s">
        <v>41057</v>
      </c>
    </row>
    <row r="22787" spans="1:1">
      <c r="A22787" s="35" t="s">
        <v>59503</v>
      </c>
    </row>
    <row r="22788" spans="1:1">
      <c r="A22788" s="35" t="s">
        <v>59504</v>
      </c>
    </row>
    <row r="22789" spans="1:1">
      <c r="A22789" s="35" t="s">
        <v>41057</v>
      </c>
    </row>
    <row r="22790" spans="1:1">
      <c r="A22790" s="35" t="s">
        <v>59505</v>
      </c>
    </row>
    <row r="22791" spans="1:1">
      <c r="A22791" s="35" t="e" cm="1">
        <f t="array" ref="A22791">-----------------TL------------------VSTQ------------------P</f>
        <v>#NAME?</v>
      </c>
    </row>
    <row r="22792" spans="1:1">
      <c r="A22792" s="35" t="s">
        <v>59506</v>
      </c>
    </row>
    <row r="22793" spans="1:1">
      <c r="A22793" s="35" t="s">
        <v>41057</v>
      </c>
    </row>
    <row r="22794" spans="1:1">
      <c r="A22794" s="35" t="s">
        <v>41057</v>
      </c>
    </row>
    <row r="22795" spans="1:1">
      <c r="A22795" s="35" t="s">
        <v>41057</v>
      </c>
    </row>
    <row r="22796" spans="1:1">
      <c r="A22796" s="35" t="s">
        <v>41057</v>
      </c>
    </row>
    <row r="22797" spans="1:1">
      <c r="A22797" s="35" t="s">
        <v>41057</v>
      </c>
    </row>
    <row r="22798" spans="1:1">
      <c r="A22798" s="35" t="s">
        <v>41057</v>
      </c>
    </row>
    <row r="22799" spans="1:1">
      <c r="A22799" s="35" t="s">
        <v>41057</v>
      </c>
    </row>
    <row r="22800" spans="1:1">
      <c r="A22800" s="35" t="s">
        <v>41057</v>
      </c>
    </row>
    <row r="22801" spans="1:1">
      <c r="A22801" s="35" t="s">
        <v>41057</v>
      </c>
    </row>
    <row r="22802" spans="1:1">
      <c r="A22802" s="35" t="s">
        <v>41057</v>
      </c>
    </row>
    <row r="22803" spans="1:1">
      <c r="A22803" s="35" t="s">
        <v>41057</v>
      </c>
    </row>
    <row r="22804" spans="1:1">
      <c r="A22804" s="35" t="s">
        <v>59507</v>
      </c>
    </row>
    <row r="22805" spans="1:1">
      <c r="A22805" s="35" t="s">
        <v>41057</v>
      </c>
    </row>
    <row r="22806" spans="1:1">
      <c r="A22806" s="35" t="s">
        <v>59508</v>
      </c>
    </row>
    <row r="22807" spans="1:1">
      <c r="A22807" s="35" t="s">
        <v>41057</v>
      </c>
    </row>
    <row r="22808" spans="1:1">
      <c r="A22808" s="35" t="s">
        <v>59509</v>
      </c>
    </row>
    <row r="22809" spans="1:1">
      <c r="A22809" s="35" t="s">
        <v>41057</v>
      </c>
    </row>
    <row r="22810" spans="1:1">
      <c r="A22810" s="35" t="s">
        <v>41057</v>
      </c>
    </row>
    <row r="22811" spans="1:1">
      <c r="A22811" s="35" t="s">
        <v>41057</v>
      </c>
    </row>
    <row r="22812" spans="1:1">
      <c r="A22812" s="35" t="s">
        <v>59510</v>
      </c>
    </row>
    <row r="22813" spans="1:1">
      <c r="A22813" s="35" t="s">
        <v>41057</v>
      </c>
    </row>
    <row r="22814" spans="1:1">
      <c r="A22814" s="35" t="s">
        <v>41057</v>
      </c>
    </row>
    <row r="22815" spans="1:1">
      <c r="A22815" s="35" t="s">
        <v>41057</v>
      </c>
    </row>
    <row r="22816" spans="1:1">
      <c r="A22816" s="35" t="s">
        <v>41057</v>
      </c>
    </row>
    <row r="22817" spans="1:1">
      <c r="A22817" s="35" t="s">
        <v>41057</v>
      </c>
    </row>
    <row r="22818" spans="1:1">
      <c r="A22818" s="35" t="s">
        <v>41057</v>
      </c>
    </row>
    <row r="22819" spans="1:1">
      <c r="A22819" s="35" t="s">
        <v>41057</v>
      </c>
    </row>
    <row r="22820" spans="1:1">
      <c r="A22820" s="35" t="s">
        <v>41057</v>
      </c>
    </row>
    <row r="22821" spans="1:1">
      <c r="A22821" s="35" t="s">
        <v>41057</v>
      </c>
    </row>
    <row r="22822" spans="1:1">
      <c r="A22822" s="35" t="s">
        <v>41057</v>
      </c>
    </row>
    <row r="22823" spans="1:1">
      <c r="A22823" s="35" t="s">
        <v>41057</v>
      </c>
    </row>
    <row r="22824" spans="1:1">
      <c r="A22824" s="35" t="s">
        <v>41057</v>
      </c>
    </row>
    <row r="22825" spans="1:1">
      <c r="A22825" s="35" t="s">
        <v>41057</v>
      </c>
    </row>
    <row r="22826" spans="1:1">
      <c r="A22826" s="35" t="s">
        <v>41057</v>
      </c>
    </row>
    <row r="22827" spans="1:1">
      <c r="A22827" s="35" t="s">
        <v>41057</v>
      </c>
    </row>
    <row r="22828" spans="1:1">
      <c r="A22828" s="35" t="s">
        <v>41057</v>
      </c>
    </row>
    <row r="22829" spans="1:1">
      <c r="A22829" s="35" t="s">
        <v>41057</v>
      </c>
    </row>
    <row r="22830" spans="1:1">
      <c r="A22830" s="35" t="s">
        <v>41057</v>
      </c>
    </row>
    <row r="22831" spans="1:1">
      <c r="A22831" s="35" t="s">
        <v>41057</v>
      </c>
    </row>
    <row r="22832" spans="1:1">
      <c r="A22832" s="35" t="s">
        <v>41057</v>
      </c>
    </row>
    <row r="22833" spans="1:1">
      <c r="A22833" s="35" t="s">
        <v>41057</v>
      </c>
    </row>
    <row r="22834" spans="1:1">
      <c r="A22834" s="35" t="s">
        <v>41057</v>
      </c>
    </row>
    <row r="22835" spans="1:1">
      <c r="A22835" s="35" t="s">
        <v>41057</v>
      </c>
    </row>
    <row r="22836" spans="1:1">
      <c r="A22836" s="35" t="s">
        <v>41057</v>
      </c>
    </row>
    <row r="22837" spans="1:1">
      <c r="A22837" s="35" t="s">
        <v>41057</v>
      </c>
    </row>
    <row r="22838" spans="1:1">
      <c r="A22838" s="35" t="s">
        <v>41057</v>
      </c>
    </row>
    <row r="22839" spans="1:1">
      <c r="A22839" s="35" t="s">
        <v>41057</v>
      </c>
    </row>
    <row r="22840" spans="1:1">
      <c r="A22840" s="35" t="s">
        <v>41057</v>
      </c>
    </row>
    <row r="22841" spans="1:1">
      <c r="A22841" s="35" t="s">
        <v>41057</v>
      </c>
    </row>
    <row r="22842" spans="1:1">
      <c r="A22842" s="35" t="s">
        <v>41057</v>
      </c>
    </row>
    <row r="22843" spans="1:1">
      <c r="A22843" s="35" t="s">
        <v>41057</v>
      </c>
    </row>
    <row r="22844" spans="1:1">
      <c r="A22844" s="35" t="s">
        <v>41057</v>
      </c>
    </row>
    <row r="22845" spans="1:1">
      <c r="A22845" s="35" t="e" cm="1">
        <f t="array" ref="A22845">----------------------------------------------------------SS</f>
        <v>#NAME?</v>
      </c>
    </row>
    <row r="22846" spans="1:1">
      <c r="A22846" s="35" t="s">
        <v>59511</v>
      </c>
    </row>
    <row r="22847" spans="1:1">
      <c r="A22847" s="35" t="e" cm="1">
        <f t="array" ref="A22847">---------------------------------------------------------YRN</f>
        <v>#NAME?</v>
      </c>
    </row>
    <row r="22848" spans="1:1">
      <c r="A22848" s="35" t="s">
        <v>42113</v>
      </c>
    </row>
    <row r="22849" spans="1:1">
      <c r="A22849" s="35" t="s">
        <v>41057</v>
      </c>
    </row>
    <row r="22850" spans="1:1">
      <c r="A22850" s="35" t="s">
        <v>41057</v>
      </c>
    </row>
    <row r="22851" spans="1:1">
      <c r="A22851" s="35" t="s">
        <v>50574</v>
      </c>
    </row>
    <row r="22852" spans="1:1">
      <c r="A22852" s="35" t="s">
        <v>41057</v>
      </c>
    </row>
    <row r="22853" spans="1:1">
      <c r="A22853" s="35" t="s">
        <v>59512</v>
      </c>
    </row>
    <row r="22854" spans="1:1">
      <c r="A22854" s="35" t="s">
        <v>59513</v>
      </c>
    </row>
    <row r="22855" spans="1:1">
      <c r="A22855" s="35" t="s">
        <v>41057</v>
      </c>
    </row>
    <row r="22856" spans="1:1">
      <c r="A22856" s="35" t="s">
        <v>41057</v>
      </c>
    </row>
    <row r="22857" spans="1:1">
      <c r="A22857" s="35" t="s">
        <v>41057</v>
      </c>
    </row>
    <row r="22858" spans="1:1">
      <c r="A22858" s="35" t="s">
        <v>41057</v>
      </c>
    </row>
    <row r="22859" spans="1:1">
      <c r="A22859" s="35" t="s">
        <v>41057</v>
      </c>
    </row>
    <row r="22860" spans="1:1">
      <c r="A22860" s="35" t="s">
        <v>41057</v>
      </c>
    </row>
    <row r="22861" spans="1:1">
      <c r="A22861" s="35" t="s">
        <v>41057</v>
      </c>
    </row>
    <row r="22862" spans="1:1">
      <c r="A22862" s="35" t="s">
        <v>41057</v>
      </c>
    </row>
    <row r="22863" spans="1:1">
      <c r="A22863" s="35" t="s">
        <v>41057</v>
      </c>
    </row>
    <row r="22864" spans="1:1">
      <c r="A22864" s="35" t="s">
        <v>59514</v>
      </c>
    </row>
    <row r="22865" spans="1:1">
      <c r="A22865" s="35" t="s">
        <v>59494</v>
      </c>
    </row>
    <row r="22866" spans="1:1">
      <c r="A22866" s="35" t="s">
        <v>41057</v>
      </c>
    </row>
    <row r="22867" spans="1:1">
      <c r="A22867" s="35" t="s">
        <v>59461</v>
      </c>
    </row>
    <row r="22868" spans="1:1">
      <c r="A22868" s="35" t="s">
        <v>41057</v>
      </c>
    </row>
    <row r="22869" spans="1:1">
      <c r="A22869" s="35" t="s">
        <v>59515</v>
      </c>
    </row>
    <row r="22870" spans="1:1">
      <c r="A22870" s="35" t="s">
        <v>41057</v>
      </c>
    </row>
    <row r="22871" spans="1:1">
      <c r="A22871" s="35" t="s">
        <v>59516</v>
      </c>
    </row>
    <row r="22872" spans="1:1">
      <c r="A22872" s="35" t="s">
        <v>41057</v>
      </c>
    </row>
    <row r="22873" spans="1:1">
      <c r="A22873" s="35" t="s">
        <v>41057</v>
      </c>
    </row>
    <row r="22874" spans="1:1">
      <c r="A22874" s="35" t="s">
        <v>41057</v>
      </c>
    </row>
    <row r="22875" spans="1:1">
      <c r="A22875" s="35" t="s">
        <v>59517</v>
      </c>
    </row>
    <row r="22876" spans="1:1">
      <c r="A22876" s="35" t="s">
        <v>41057</v>
      </c>
    </row>
    <row r="22877" spans="1:1">
      <c r="A22877" s="35" t="s">
        <v>41057</v>
      </c>
    </row>
    <row r="22878" spans="1:1">
      <c r="A22878" s="35" t="s">
        <v>41057</v>
      </c>
    </row>
    <row r="22879" spans="1:1">
      <c r="A22879" s="35" t="s">
        <v>41057</v>
      </c>
    </row>
    <row r="22880" spans="1:1">
      <c r="A22880" s="35" t="e" cm="1">
        <f t="array" ref="A22880">------------------------------------------------ETSDKFAPLKEA</f>
        <v>#NAME?</v>
      </c>
    </row>
    <row r="22881" spans="1:1">
      <c r="A22881" s="35" t="s">
        <v>59518</v>
      </c>
    </row>
    <row r="22882" spans="1:1">
      <c r="A22882" s="35" t="s">
        <v>41057</v>
      </c>
    </row>
    <row r="22883" spans="1:1">
      <c r="A22883" s="35" t="s">
        <v>41057</v>
      </c>
    </row>
    <row r="22884" spans="1:1">
      <c r="A22884" s="35" t="s">
        <v>41057</v>
      </c>
    </row>
    <row r="22885" spans="1:1">
      <c r="A22885" s="35" t="s">
        <v>59519</v>
      </c>
    </row>
    <row r="22886" spans="1:1">
      <c r="A22886" s="35" t="s">
        <v>41057</v>
      </c>
    </row>
    <row r="22887" spans="1:1">
      <c r="A22887" s="35" t="s">
        <v>41057</v>
      </c>
    </row>
    <row r="22888" spans="1:1">
      <c r="A22888" s="35" t="s">
        <v>41057</v>
      </c>
    </row>
    <row r="22889" spans="1:1">
      <c r="A22889" s="35" t="s">
        <v>59520</v>
      </c>
    </row>
    <row r="22890" spans="1:1">
      <c r="A22890" s="35" t="s">
        <v>41057</v>
      </c>
    </row>
    <row r="22891" spans="1:1">
      <c r="A22891" s="35" t="s">
        <v>41057</v>
      </c>
    </row>
    <row r="22892" spans="1:1">
      <c r="A22892" s="35" t="s">
        <v>53545</v>
      </c>
    </row>
    <row r="22893" spans="1:1">
      <c r="A22893" s="35" t="s">
        <v>59521</v>
      </c>
    </row>
    <row r="22894" spans="1:1">
      <c r="A22894" s="35" t="s">
        <v>41057</v>
      </c>
    </row>
    <row r="22895" spans="1:1">
      <c r="A22895" s="35" t="s">
        <v>41057</v>
      </c>
    </row>
    <row r="22896" spans="1:1">
      <c r="A22896" s="35" t="s">
        <v>41057</v>
      </c>
    </row>
    <row r="22897" spans="1:1">
      <c r="A22897" s="35" t="s">
        <v>41057</v>
      </c>
    </row>
    <row r="22898" spans="1:1">
      <c r="A22898" s="35" t="s">
        <v>41057</v>
      </c>
    </row>
    <row r="22899" spans="1:1">
      <c r="A22899" s="35" t="s">
        <v>41057</v>
      </c>
    </row>
    <row r="22900" spans="1:1">
      <c r="A22900" s="35" t="s">
        <v>41057</v>
      </c>
    </row>
    <row r="22901" spans="1:1">
      <c r="A22901" s="35" t="s">
        <v>41057</v>
      </c>
    </row>
    <row r="22902" spans="1:1">
      <c r="A22902" s="35" t="s">
        <v>41057</v>
      </c>
    </row>
    <row r="22903" spans="1:1">
      <c r="A22903" s="35" t="s">
        <v>41057</v>
      </c>
    </row>
    <row r="22904" spans="1:1">
      <c r="A22904" s="35" t="s">
        <v>41057</v>
      </c>
    </row>
    <row r="22905" spans="1:1">
      <c r="A22905" s="35" t="s">
        <v>59522</v>
      </c>
    </row>
    <row r="22906" spans="1:1">
      <c r="A22906" s="35" t="s">
        <v>59523</v>
      </c>
    </row>
    <row r="22907" spans="1:1">
      <c r="A22907" s="35" t="s">
        <v>41057</v>
      </c>
    </row>
    <row r="22908" spans="1:1">
      <c r="A22908" s="35" t="s">
        <v>59505</v>
      </c>
    </row>
    <row r="22909" spans="1:1">
      <c r="A22909" s="35" t="e" cm="1">
        <f t="array" ref="A22909">-------------ALELTL----------------------------------------P</f>
        <v>#NAME?</v>
      </c>
    </row>
    <row r="22910" spans="1:1">
      <c r="A22910" s="35" t="s">
        <v>59506</v>
      </c>
    </row>
    <row r="22911" spans="1:1">
      <c r="A22911" s="35" t="s">
        <v>41057</v>
      </c>
    </row>
    <row r="22912" spans="1:1">
      <c r="A22912" s="35" t="s">
        <v>41057</v>
      </c>
    </row>
    <row r="22913" spans="1:1">
      <c r="A22913" s="35" t="s">
        <v>41057</v>
      </c>
    </row>
    <row r="22914" spans="1:1">
      <c r="A22914" s="35" t="s">
        <v>41057</v>
      </c>
    </row>
    <row r="22915" spans="1:1">
      <c r="A22915" s="35" t="s">
        <v>41057</v>
      </c>
    </row>
    <row r="22916" spans="1:1">
      <c r="A22916" s="35" t="s">
        <v>41057</v>
      </c>
    </row>
    <row r="22917" spans="1:1">
      <c r="A22917" s="35" t="s">
        <v>41057</v>
      </c>
    </row>
    <row r="22918" spans="1:1">
      <c r="A22918" s="35" t="s">
        <v>41057</v>
      </c>
    </row>
    <row r="22919" spans="1:1">
      <c r="A22919" s="35" t="s">
        <v>41057</v>
      </c>
    </row>
    <row r="22920" spans="1:1">
      <c r="A22920" s="35" t="s">
        <v>41057</v>
      </c>
    </row>
    <row r="22921" spans="1:1">
      <c r="A22921" s="35" t="s">
        <v>41057</v>
      </c>
    </row>
    <row r="22922" spans="1:1">
      <c r="A22922" s="35" t="s">
        <v>59507</v>
      </c>
    </row>
    <row r="22923" spans="1:1">
      <c r="A22923" s="35" t="s">
        <v>41057</v>
      </c>
    </row>
    <row r="22924" spans="1:1">
      <c r="A22924" s="35" t="s">
        <v>59524</v>
      </c>
    </row>
    <row r="22925" spans="1:1">
      <c r="A22925" s="35" t="s">
        <v>41057</v>
      </c>
    </row>
    <row r="22926" spans="1:1">
      <c r="A22926" s="35" t="s">
        <v>59525</v>
      </c>
    </row>
    <row r="22927" spans="1:1">
      <c r="A22927" s="35" t="s">
        <v>41057</v>
      </c>
    </row>
    <row r="22928" spans="1:1">
      <c r="A22928" s="35" t="s">
        <v>41057</v>
      </c>
    </row>
    <row r="22929" spans="1:1">
      <c r="A22929" s="35" t="s">
        <v>41057</v>
      </c>
    </row>
    <row r="22930" spans="1:1">
      <c r="A22930" s="35" t="s">
        <v>59510</v>
      </c>
    </row>
    <row r="22931" spans="1:1">
      <c r="A22931" s="35" t="s">
        <v>41057</v>
      </c>
    </row>
    <row r="22932" spans="1:1">
      <c r="A22932" s="35" t="s">
        <v>41057</v>
      </c>
    </row>
    <row r="22933" spans="1:1">
      <c r="A22933" s="35" t="s">
        <v>41057</v>
      </c>
    </row>
    <row r="22934" spans="1:1">
      <c r="A22934" s="35" t="s">
        <v>41057</v>
      </c>
    </row>
    <row r="22935" spans="1:1">
      <c r="A22935" s="35" t="s">
        <v>41057</v>
      </c>
    </row>
    <row r="22936" spans="1:1">
      <c r="A22936" s="35" t="s">
        <v>41057</v>
      </c>
    </row>
    <row r="22937" spans="1:1">
      <c r="A22937" s="35" t="s">
        <v>41057</v>
      </c>
    </row>
    <row r="22938" spans="1:1">
      <c r="A22938" s="35" t="s">
        <v>41057</v>
      </c>
    </row>
    <row r="22939" spans="1:1">
      <c r="A22939" s="35" t="s">
        <v>41057</v>
      </c>
    </row>
    <row r="22940" spans="1:1">
      <c r="A22940" s="35" t="s">
        <v>41057</v>
      </c>
    </row>
    <row r="22941" spans="1:1">
      <c r="A22941" s="35" t="s">
        <v>41057</v>
      </c>
    </row>
    <row r="22942" spans="1:1">
      <c r="A22942" s="35" t="s">
        <v>41057</v>
      </c>
    </row>
    <row r="22943" spans="1:1">
      <c r="A22943" s="35" t="s">
        <v>41057</v>
      </c>
    </row>
    <row r="22944" spans="1:1">
      <c r="A22944" s="35" t="s">
        <v>41057</v>
      </c>
    </row>
    <row r="22945" spans="1:1">
      <c r="A22945" s="35" t="s">
        <v>41057</v>
      </c>
    </row>
    <row r="22946" spans="1:1">
      <c r="A22946" s="35" t="s">
        <v>41057</v>
      </c>
    </row>
    <row r="22947" spans="1:1">
      <c r="A22947" s="35" t="s">
        <v>41057</v>
      </c>
    </row>
    <row r="22948" spans="1:1">
      <c r="A22948" s="35" t="s">
        <v>41057</v>
      </c>
    </row>
    <row r="22949" spans="1:1">
      <c r="A22949" s="35" t="s">
        <v>41057</v>
      </c>
    </row>
    <row r="22950" spans="1:1">
      <c r="A22950" s="35" t="s">
        <v>41057</v>
      </c>
    </row>
    <row r="22951" spans="1:1">
      <c r="A22951" s="35" t="s">
        <v>41057</v>
      </c>
    </row>
    <row r="22952" spans="1:1">
      <c r="A22952" s="35" t="s">
        <v>41057</v>
      </c>
    </row>
    <row r="22953" spans="1:1">
      <c r="A22953" s="35" t="s">
        <v>41057</v>
      </c>
    </row>
    <row r="22954" spans="1:1">
      <c r="A22954" s="35" t="s">
        <v>41057</v>
      </c>
    </row>
    <row r="22955" spans="1:1">
      <c r="A22955" s="35" t="s">
        <v>41057</v>
      </c>
    </row>
    <row r="22956" spans="1:1">
      <c r="A22956" s="35" t="s">
        <v>41057</v>
      </c>
    </row>
    <row r="22957" spans="1:1">
      <c r="A22957" s="35" t="s">
        <v>41057</v>
      </c>
    </row>
    <row r="22958" spans="1:1">
      <c r="A22958" s="35" t="s">
        <v>41057</v>
      </c>
    </row>
    <row r="22959" spans="1:1">
      <c r="A22959" s="35" t="s">
        <v>41057</v>
      </c>
    </row>
    <row r="22960" spans="1:1">
      <c r="A22960" s="35" t="s">
        <v>41057</v>
      </c>
    </row>
    <row r="22961" spans="1:1">
      <c r="A22961" s="35" t="s">
        <v>41057</v>
      </c>
    </row>
    <row r="22962" spans="1:1">
      <c r="A22962" s="35" t="s">
        <v>41057</v>
      </c>
    </row>
    <row r="22963" spans="1:1">
      <c r="A22963" s="35" t="e" cm="1">
        <f t="array" ref="A22963">-----------------------------------------------------------S</f>
        <v>#NAME?</v>
      </c>
    </row>
    <row r="22964" spans="1:1">
      <c r="A22964" s="35" t="s">
        <v>59526</v>
      </c>
    </row>
    <row r="22965" spans="1:1">
      <c r="A22965" s="35" t="e" cm="1">
        <f t="array" ref="A22965">-------------------------------------------------------LQNRN</f>
        <v>#NAME?</v>
      </c>
    </row>
    <row r="22966" spans="1:1">
      <c r="A22966" s="35" t="s">
        <v>41516</v>
      </c>
    </row>
    <row r="22967" spans="1:1">
      <c r="A22967" s="35" t="s">
        <v>41057</v>
      </c>
    </row>
    <row r="22968" spans="1:1">
      <c r="A22968" s="35" t="s">
        <v>59527</v>
      </c>
    </row>
    <row r="22969" spans="1:1">
      <c r="A22969" s="35" t="s">
        <v>59528</v>
      </c>
    </row>
    <row r="22970" spans="1:1">
      <c r="A22970" s="35" t="s">
        <v>41057</v>
      </c>
    </row>
    <row r="22971" spans="1:1">
      <c r="A22971" s="35" t="s">
        <v>41057</v>
      </c>
    </row>
    <row r="22972" spans="1:1">
      <c r="A22972" s="35" t="s">
        <v>59529</v>
      </c>
    </row>
    <row r="22973" spans="1:1">
      <c r="A22973" s="35" t="s">
        <v>41057</v>
      </c>
    </row>
    <row r="22974" spans="1:1">
      <c r="A22974" s="35" t="s">
        <v>41057</v>
      </c>
    </row>
    <row r="22975" spans="1:1">
      <c r="A22975" s="35" t="s">
        <v>41057</v>
      </c>
    </row>
    <row r="22976" spans="1:1">
      <c r="A22976" s="35" t="s">
        <v>41057</v>
      </c>
    </row>
    <row r="22977" spans="1:1">
      <c r="A22977" s="35" t="s">
        <v>41057</v>
      </c>
    </row>
    <row r="22978" spans="1:1">
      <c r="A22978" s="35" t="s">
        <v>41057</v>
      </c>
    </row>
    <row r="22979" spans="1:1">
      <c r="A22979" s="35" t="s">
        <v>41057</v>
      </c>
    </row>
    <row r="22980" spans="1:1">
      <c r="A22980" s="35" t="s">
        <v>41057</v>
      </c>
    </row>
    <row r="22981" spans="1:1">
      <c r="A22981" s="35" t="s">
        <v>41057</v>
      </c>
    </row>
    <row r="22982" spans="1:1">
      <c r="A22982" s="35" t="s">
        <v>41057</v>
      </c>
    </row>
    <row r="22983" spans="1:1">
      <c r="A22983" s="35" t="s">
        <v>59494</v>
      </c>
    </row>
    <row r="22984" spans="1:1">
      <c r="A22984" s="35" t="s">
        <v>41057</v>
      </c>
    </row>
    <row r="22985" spans="1:1">
      <c r="A22985" s="35" t="s">
        <v>59461</v>
      </c>
    </row>
    <row r="22986" spans="1:1">
      <c r="A22986" s="35" t="s">
        <v>41057</v>
      </c>
    </row>
    <row r="22987" spans="1:1">
      <c r="A22987" s="35" t="s">
        <v>59515</v>
      </c>
    </row>
    <row r="22988" spans="1:1">
      <c r="A22988" s="35" t="s">
        <v>41057</v>
      </c>
    </row>
    <row r="22989" spans="1:1">
      <c r="A22989" s="35" t="s">
        <v>59516</v>
      </c>
    </row>
    <row r="22990" spans="1:1">
      <c r="A22990" s="35" t="s">
        <v>41057</v>
      </c>
    </row>
    <row r="22991" spans="1:1">
      <c r="A22991" s="35" t="s">
        <v>41057</v>
      </c>
    </row>
    <row r="22992" spans="1:1">
      <c r="A22992" s="35" t="s">
        <v>41057</v>
      </c>
    </row>
    <row r="22993" spans="1:1">
      <c r="A22993" s="35" t="s">
        <v>59530</v>
      </c>
    </row>
    <row r="22994" spans="1:1">
      <c r="A22994" s="35" t="s">
        <v>41057</v>
      </c>
    </row>
    <row r="22995" spans="1:1">
      <c r="A22995" s="35" t="s">
        <v>41057</v>
      </c>
    </row>
    <row r="22996" spans="1:1">
      <c r="A22996" s="35" t="s">
        <v>41057</v>
      </c>
    </row>
    <row r="22997" spans="1:1">
      <c r="A22997" s="35" t="s">
        <v>41057</v>
      </c>
    </row>
    <row r="22998" spans="1:1">
      <c r="A22998" s="35" t="e" cm="1">
        <f t="array" ref="A22998">------------------------------------------------ETSDKFAPLKEA</f>
        <v>#NAME?</v>
      </c>
    </row>
    <row r="22999" spans="1:1">
      <c r="A22999" s="35" t="s">
        <v>59465</v>
      </c>
    </row>
    <row r="23000" spans="1:1">
      <c r="A23000" s="35" t="s">
        <v>59466</v>
      </c>
    </row>
    <row r="23001" spans="1:1">
      <c r="A23001" s="35" t="s">
        <v>59531</v>
      </c>
    </row>
    <row r="23002" spans="1:1">
      <c r="A23002" s="35" t="s">
        <v>59532</v>
      </c>
    </row>
    <row r="23003" spans="1:1">
      <c r="A23003" s="35" t="s">
        <v>59533</v>
      </c>
    </row>
    <row r="23004" spans="1:1">
      <c r="A23004" s="35" t="s">
        <v>41057</v>
      </c>
    </row>
    <row r="23005" spans="1:1">
      <c r="A23005" s="35" t="s">
        <v>41057</v>
      </c>
    </row>
    <row r="23006" spans="1:1">
      <c r="A23006" s="35" t="s">
        <v>41057</v>
      </c>
    </row>
    <row r="23007" spans="1:1">
      <c r="A23007" s="35" t="s">
        <v>59534</v>
      </c>
    </row>
    <row r="23008" spans="1:1">
      <c r="A23008" s="35" t="s">
        <v>41057</v>
      </c>
    </row>
    <row r="23009" spans="1:1">
      <c r="A23009" s="35" t="s">
        <v>41057</v>
      </c>
    </row>
    <row r="23010" spans="1:1">
      <c r="A23010" s="35" t="e" cm="1">
        <f t="array" ref="A23010">---------------------------------I</f>
        <v>#NAME?</v>
      </c>
    </row>
    <row r="23011" spans="1:1">
      <c r="A23011" s="35" t="s">
        <v>59535</v>
      </c>
    </row>
    <row r="23012" spans="1:1">
      <c r="A23012" s="35" t="s">
        <v>41075</v>
      </c>
    </row>
    <row r="23013" spans="1:1">
      <c r="A23013" s="35" t="s">
        <v>41057</v>
      </c>
    </row>
    <row r="23014" spans="1:1">
      <c r="A23014" s="35" t="s">
        <v>41057</v>
      </c>
    </row>
    <row r="23015" spans="1:1">
      <c r="A23015" s="35" t="s">
        <v>41057</v>
      </c>
    </row>
    <row r="23016" spans="1:1">
      <c r="A23016" s="35" t="s">
        <v>41057</v>
      </c>
    </row>
    <row r="23017" spans="1:1">
      <c r="A23017" s="35" t="s">
        <v>41057</v>
      </c>
    </row>
    <row r="23018" spans="1:1">
      <c r="A23018" s="35" t="s">
        <v>41057</v>
      </c>
    </row>
    <row r="23019" spans="1:1">
      <c r="A23019" s="35" t="s">
        <v>41057</v>
      </c>
    </row>
    <row r="23020" spans="1:1">
      <c r="A23020" s="35" t="s">
        <v>41057</v>
      </c>
    </row>
    <row r="23021" spans="1:1">
      <c r="A23021" s="35" t="s">
        <v>41057</v>
      </c>
    </row>
    <row r="23022" spans="1:1">
      <c r="A23022" s="35" t="s">
        <v>41057</v>
      </c>
    </row>
    <row r="23023" spans="1:1">
      <c r="A23023" s="35" t="s">
        <v>59536</v>
      </c>
    </row>
    <row r="23024" spans="1:1">
      <c r="A23024" s="35" t="s">
        <v>59537</v>
      </c>
    </row>
    <row r="23025" spans="1:1">
      <c r="A23025" s="35" t="s">
        <v>41057</v>
      </c>
    </row>
    <row r="23026" spans="1:1">
      <c r="A23026" s="35" t="s">
        <v>59505</v>
      </c>
    </row>
    <row r="23027" spans="1:1">
      <c r="A23027" s="35" t="s">
        <v>59538</v>
      </c>
    </row>
    <row r="23028" spans="1:1">
      <c r="A23028" s="35" t="s">
        <v>59539</v>
      </c>
    </row>
    <row r="23029" spans="1:1">
      <c r="A23029" s="35" t="s">
        <v>41057</v>
      </c>
    </row>
    <row r="23030" spans="1:1">
      <c r="A23030" s="35" t="s">
        <v>41057</v>
      </c>
    </row>
    <row r="23031" spans="1:1">
      <c r="A23031" s="35" t="s">
        <v>41057</v>
      </c>
    </row>
    <row r="23032" spans="1:1">
      <c r="A23032" s="35" t="s">
        <v>41057</v>
      </c>
    </row>
    <row r="23033" spans="1:1">
      <c r="A23033" s="35" t="s">
        <v>41057</v>
      </c>
    </row>
    <row r="23034" spans="1:1">
      <c r="A23034" s="35" t="s">
        <v>41057</v>
      </c>
    </row>
    <row r="23035" spans="1:1">
      <c r="A23035" s="35" t="s">
        <v>41057</v>
      </c>
    </row>
    <row r="23036" spans="1:1">
      <c r="A23036" s="35" t="s">
        <v>41057</v>
      </c>
    </row>
    <row r="23037" spans="1:1">
      <c r="A23037" s="35" t="s">
        <v>41057</v>
      </c>
    </row>
    <row r="23038" spans="1:1">
      <c r="A23038" s="35" t="s">
        <v>41057</v>
      </c>
    </row>
    <row r="23039" spans="1:1">
      <c r="A23039" s="35" t="s">
        <v>41057</v>
      </c>
    </row>
    <row r="23040" spans="1:1">
      <c r="A23040" s="35" t="s">
        <v>59540</v>
      </c>
    </row>
    <row r="23041" spans="1:1">
      <c r="A23041" s="35" t="s">
        <v>41057</v>
      </c>
    </row>
    <row r="23042" spans="1:1">
      <c r="A23042" s="35" t="s">
        <v>59541</v>
      </c>
    </row>
    <row r="23043" spans="1:1">
      <c r="A23043" s="35" t="s">
        <v>41057</v>
      </c>
    </row>
    <row r="23044" spans="1:1">
      <c r="A23044" s="35" t="s">
        <v>59542</v>
      </c>
    </row>
    <row r="23045" spans="1:1">
      <c r="A23045" s="35" t="s">
        <v>41057</v>
      </c>
    </row>
    <row r="23046" spans="1:1">
      <c r="A23046" s="35" t="s">
        <v>41057</v>
      </c>
    </row>
    <row r="23047" spans="1:1">
      <c r="A23047" s="35" t="s">
        <v>41057</v>
      </c>
    </row>
    <row r="23048" spans="1:1">
      <c r="A23048" s="35" t="s">
        <v>59543</v>
      </c>
    </row>
    <row r="23049" spans="1:1">
      <c r="A23049" s="35" t="s">
        <v>41057</v>
      </c>
    </row>
    <row r="23050" spans="1:1">
      <c r="A23050" s="35" t="s">
        <v>41057</v>
      </c>
    </row>
    <row r="23051" spans="1:1">
      <c r="A23051" s="35" t="s">
        <v>41057</v>
      </c>
    </row>
    <row r="23052" spans="1:1">
      <c r="A23052" s="35" t="s">
        <v>41057</v>
      </c>
    </row>
    <row r="23053" spans="1:1">
      <c r="A23053" s="35" t="s">
        <v>41057</v>
      </c>
    </row>
    <row r="23054" spans="1:1">
      <c r="A23054" s="35" t="s">
        <v>41057</v>
      </c>
    </row>
    <row r="23055" spans="1:1">
      <c r="A23055" s="35" t="s">
        <v>41057</v>
      </c>
    </row>
    <row r="23056" spans="1:1">
      <c r="A23056" s="35" t="s">
        <v>41057</v>
      </c>
    </row>
    <row r="23057" spans="1:1">
      <c r="A23057" s="35" t="s">
        <v>41057</v>
      </c>
    </row>
    <row r="23058" spans="1:1">
      <c r="A23058" s="35" t="s">
        <v>41057</v>
      </c>
    </row>
    <row r="23059" spans="1:1">
      <c r="A23059" s="35" t="s">
        <v>41057</v>
      </c>
    </row>
    <row r="23060" spans="1:1">
      <c r="A23060" s="35" t="s">
        <v>41057</v>
      </c>
    </row>
    <row r="23061" spans="1:1">
      <c r="A23061" s="35" t="s">
        <v>41057</v>
      </c>
    </row>
    <row r="23062" spans="1:1">
      <c r="A23062" s="35" t="s">
        <v>41057</v>
      </c>
    </row>
    <row r="23063" spans="1:1">
      <c r="A23063" s="35" t="s">
        <v>41057</v>
      </c>
    </row>
    <row r="23064" spans="1:1">
      <c r="A23064" s="35" t="s">
        <v>41057</v>
      </c>
    </row>
    <row r="23065" spans="1:1">
      <c r="A23065" s="35" t="s">
        <v>41057</v>
      </c>
    </row>
    <row r="23066" spans="1:1">
      <c r="A23066" s="35" t="s">
        <v>41057</v>
      </c>
    </row>
    <row r="23067" spans="1:1">
      <c r="A23067" s="35" t="s">
        <v>41057</v>
      </c>
    </row>
    <row r="23068" spans="1:1">
      <c r="A23068" s="35" t="s">
        <v>41057</v>
      </c>
    </row>
    <row r="23069" spans="1:1">
      <c r="A23069" s="35" t="s">
        <v>41057</v>
      </c>
    </row>
    <row r="23070" spans="1:1">
      <c r="A23070" s="35" t="s">
        <v>41057</v>
      </c>
    </row>
    <row r="23071" spans="1:1">
      <c r="A23071" s="35" t="s">
        <v>41057</v>
      </c>
    </row>
    <row r="23072" spans="1:1">
      <c r="A23072" s="35" t="s">
        <v>41057</v>
      </c>
    </row>
    <row r="23073" spans="1:1">
      <c r="A23073" s="35" t="s">
        <v>41057</v>
      </c>
    </row>
    <row r="23074" spans="1:1">
      <c r="A23074" s="35" t="s">
        <v>41057</v>
      </c>
    </row>
    <row r="23075" spans="1:1">
      <c r="A23075" s="35" t="s">
        <v>41057</v>
      </c>
    </row>
    <row r="23076" spans="1:1">
      <c r="A23076" s="35" t="s">
        <v>41057</v>
      </c>
    </row>
    <row r="23077" spans="1:1">
      <c r="A23077" s="35" t="s">
        <v>41057</v>
      </c>
    </row>
    <row r="23078" spans="1:1">
      <c r="A23078" s="35" t="s">
        <v>41057</v>
      </c>
    </row>
    <row r="23079" spans="1:1">
      <c r="A23079" s="35" t="s">
        <v>41057</v>
      </c>
    </row>
    <row r="23080" spans="1:1">
      <c r="A23080" s="35" t="s">
        <v>41057</v>
      </c>
    </row>
    <row r="23081" spans="1:1">
      <c r="A23081" s="35" t="e" cm="1">
        <f t="array" ref="A23081">----------------------------------------------------------SR</f>
        <v>#NAME?</v>
      </c>
    </row>
    <row r="23082" spans="1:1">
      <c r="A23082" s="35" t="s">
        <v>59544</v>
      </c>
    </row>
    <row r="23083" spans="1:1">
      <c r="A23083" s="35" t="s">
        <v>41057</v>
      </c>
    </row>
    <row r="23084" spans="1:1">
      <c r="A23084" s="35" t="s">
        <v>41057</v>
      </c>
    </row>
    <row r="23085" spans="1:1">
      <c r="A23085" s="35" t="s">
        <v>41057</v>
      </c>
    </row>
    <row r="23086" spans="1:1">
      <c r="A23086" s="35" t="s">
        <v>41057</v>
      </c>
    </row>
    <row r="23087" spans="1:1">
      <c r="A23087" s="35" t="s">
        <v>59545</v>
      </c>
    </row>
    <row r="23088" spans="1:1">
      <c r="A23088" s="35" t="s">
        <v>41057</v>
      </c>
    </row>
    <row r="23089" spans="1:1">
      <c r="A23089" s="35" t="s">
        <v>41057</v>
      </c>
    </row>
    <row r="23090" spans="1:1">
      <c r="A23090" s="35" t="s">
        <v>41057</v>
      </c>
    </row>
    <row r="23091" spans="1:1">
      <c r="A23091" s="35" t="s">
        <v>41057</v>
      </c>
    </row>
    <row r="23092" spans="1:1">
      <c r="A23092" s="35" t="s">
        <v>41057</v>
      </c>
    </row>
    <row r="23093" spans="1:1">
      <c r="A23093" s="35" t="s">
        <v>41057</v>
      </c>
    </row>
    <row r="23094" spans="1:1">
      <c r="A23094" s="35" t="s">
        <v>41057</v>
      </c>
    </row>
    <row r="23095" spans="1:1">
      <c r="A23095" s="35" t="s">
        <v>41057</v>
      </c>
    </row>
    <row r="23096" spans="1:1">
      <c r="A23096" s="35" t="s">
        <v>41057</v>
      </c>
    </row>
    <row r="23097" spans="1:1">
      <c r="A23097" s="35" t="s">
        <v>41057</v>
      </c>
    </row>
    <row r="23098" spans="1:1">
      <c r="A23098" s="35" t="s">
        <v>41057</v>
      </c>
    </row>
    <row r="23099" spans="1:1">
      <c r="A23099" s="35" t="s">
        <v>41057</v>
      </c>
    </row>
    <row r="23100" spans="1:1">
      <c r="A23100" s="35" t="s">
        <v>59546</v>
      </c>
    </row>
    <row r="23101" spans="1:1">
      <c r="A23101" s="35" t="s">
        <v>59547</v>
      </c>
    </row>
    <row r="23102" spans="1:1">
      <c r="A23102" s="35" t="s">
        <v>41057</v>
      </c>
    </row>
    <row r="23103" spans="1:1">
      <c r="A23103" s="35" t="s">
        <v>59548</v>
      </c>
    </row>
    <row r="23104" spans="1:1">
      <c r="A23104" s="35" t="s">
        <v>41057</v>
      </c>
    </row>
    <row r="23105" spans="1:1">
      <c r="A23105" s="35" t="s">
        <v>59549</v>
      </c>
    </row>
    <row r="23106" spans="1:1">
      <c r="A23106" s="35" t="s">
        <v>41057</v>
      </c>
    </row>
    <row r="23107" spans="1:1">
      <c r="A23107" s="35" t="s">
        <v>59550</v>
      </c>
    </row>
    <row r="23108" spans="1:1">
      <c r="A23108" s="35" t="s">
        <v>41057</v>
      </c>
    </row>
    <row r="23109" spans="1:1">
      <c r="A23109" s="35" t="s">
        <v>41057</v>
      </c>
    </row>
    <row r="23110" spans="1:1">
      <c r="A23110" s="35" t="s">
        <v>41057</v>
      </c>
    </row>
    <row r="23111" spans="1:1">
      <c r="A23111" s="35" t="s">
        <v>59551</v>
      </c>
    </row>
    <row r="23112" spans="1:1">
      <c r="A23112" s="35" t="s">
        <v>41057</v>
      </c>
    </row>
    <row r="23113" spans="1:1">
      <c r="A23113" s="35" t="s">
        <v>41057</v>
      </c>
    </row>
    <row r="23114" spans="1:1">
      <c r="A23114" s="35" t="s">
        <v>41057</v>
      </c>
    </row>
    <row r="23115" spans="1:1">
      <c r="A23115" s="35" t="s">
        <v>41057</v>
      </c>
    </row>
    <row r="23116" spans="1:1">
      <c r="A23116" s="35" t="e" cm="1">
        <f t="array" ref="A23116">------------------------------------------------ETSDKFAPIKSV</f>
        <v>#NAME?</v>
      </c>
    </row>
    <row r="23117" spans="1:1">
      <c r="A23117" s="35" t="s">
        <v>59552</v>
      </c>
    </row>
    <row r="23118" spans="1:1">
      <c r="A23118" s="35" t="s">
        <v>41057</v>
      </c>
    </row>
    <row r="23119" spans="1:1">
      <c r="A23119" s="35" t="s">
        <v>59553</v>
      </c>
    </row>
    <row r="23120" spans="1:1">
      <c r="A23120" s="35" t="s">
        <v>59554</v>
      </c>
    </row>
    <row r="23121" spans="1:1">
      <c r="A23121" s="35" t="s">
        <v>59555</v>
      </c>
    </row>
    <row r="23122" spans="1:1">
      <c r="A23122" s="35" t="s">
        <v>41057</v>
      </c>
    </row>
    <row r="23123" spans="1:1">
      <c r="A23123" s="35" t="s">
        <v>41057</v>
      </c>
    </row>
    <row r="23124" spans="1:1">
      <c r="A23124" s="35" t="s">
        <v>41057</v>
      </c>
    </row>
    <row r="23125" spans="1:1">
      <c r="A23125" s="35" t="s">
        <v>41057</v>
      </c>
    </row>
    <row r="23126" spans="1:1">
      <c r="A23126" s="35" t="s">
        <v>41057</v>
      </c>
    </row>
    <row r="23127" spans="1:1">
      <c r="A23127" s="35" t="s">
        <v>41057</v>
      </c>
    </row>
    <row r="23128" spans="1:1">
      <c r="A23128" s="35" t="s">
        <v>53545</v>
      </c>
    </row>
    <row r="23129" spans="1:1">
      <c r="A23129" s="35" t="s">
        <v>52990</v>
      </c>
    </row>
    <row r="23130" spans="1:1">
      <c r="A23130" s="35" t="s">
        <v>41057</v>
      </c>
    </row>
    <row r="23131" spans="1:1">
      <c r="A23131" s="35" t="s">
        <v>41057</v>
      </c>
    </row>
    <row r="23132" spans="1:1">
      <c r="A23132" s="35" t="s">
        <v>41057</v>
      </c>
    </row>
    <row r="23133" spans="1:1">
      <c r="A23133" s="35" t="s">
        <v>41057</v>
      </c>
    </row>
    <row r="23134" spans="1:1">
      <c r="A23134" s="35" t="s">
        <v>59556</v>
      </c>
    </row>
    <row r="23135" spans="1:1">
      <c r="A23135" s="35" t="s">
        <v>59557</v>
      </c>
    </row>
    <row r="23136" spans="1:1">
      <c r="A23136" s="35" t="s">
        <v>59558</v>
      </c>
    </row>
    <row r="23137" spans="1:1">
      <c r="A23137" s="35" t="s">
        <v>41057</v>
      </c>
    </row>
    <row r="23138" spans="1:1">
      <c r="A23138" s="35" t="s">
        <v>41057</v>
      </c>
    </row>
    <row r="23139" spans="1:1">
      <c r="A23139" s="35" t="s">
        <v>59559</v>
      </c>
    </row>
    <row r="23140" spans="1:1">
      <c r="A23140" s="35" t="e" cm="1">
        <f t="array" ref="A23140">---------------------------------------------IRVCENEP-----NT</f>
        <v>#NAME?</v>
      </c>
    </row>
    <row r="23141" spans="1:1">
      <c r="A23141" s="35" t="s">
        <v>59560</v>
      </c>
    </row>
    <row r="23142" spans="1:1">
      <c r="A23142" s="35" t="s">
        <v>59561</v>
      </c>
    </row>
    <row r="23143" spans="1:1">
      <c r="A23143" s="35" t="s">
        <v>59562</v>
      </c>
    </row>
    <row r="23144" spans="1:1">
      <c r="A23144" s="35" t="s">
        <v>59563</v>
      </c>
    </row>
    <row r="23145" spans="1:1">
      <c r="A23145" s="35" t="s">
        <v>59564</v>
      </c>
    </row>
    <row r="23146" spans="1:1">
      <c r="A23146" s="35" t="s">
        <v>59565</v>
      </c>
    </row>
    <row r="23147" spans="1:1">
      <c r="A23147" s="35" t="e" cm="1">
        <f t="array" ref="A23147">----PITNLKGEKGDKGNKGIDGEKGNKGDTGDKGIDGSKGDKGDTGNKGD------IGD</f>
        <v>#NAME?</v>
      </c>
    </row>
    <row r="23148" spans="1:1">
      <c r="A23148" s="35" t="s">
        <v>59566</v>
      </c>
    </row>
    <row r="23149" spans="1:1">
      <c r="A23149" s="35" t="e" cm="1">
        <f t="array" ref="A23149">-----------GDKGEKGIKGDKG-----DIGEKGNKGDIGDKGEK-----GDKGIDGDK</f>
        <v>#NAME?</v>
      </c>
    </row>
    <row r="23150" spans="1:1">
      <c r="A23150" s="35" t="s">
        <v>59567</v>
      </c>
    </row>
    <row r="23151" spans="1:1">
      <c r="A23151" s="35" t="s">
        <v>59568</v>
      </c>
    </row>
    <row r="23152" spans="1:1">
      <c r="A23152" s="35" t="s">
        <v>59569</v>
      </c>
    </row>
    <row r="23153" spans="1:1">
      <c r="A23153" s="35" t="s">
        <v>59570</v>
      </c>
    </row>
    <row r="23154" spans="1:1">
      <c r="A23154" s="35" t="s">
        <v>59571</v>
      </c>
    </row>
    <row r="23155" spans="1:1">
      <c r="A23155" s="35" t="s">
        <v>59572</v>
      </c>
    </row>
    <row r="23156" spans="1:1">
      <c r="A23156" s="35" t="s">
        <v>41057</v>
      </c>
    </row>
    <row r="23157" spans="1:1">
      <c r="A23157" s="35" t="s">
        <v>41057</v>
      </c>
    </row>
    <row r="23158" spans="1:1">
      <c r="A23158" s="35" t="s">
        <v>59573</v>
      </c>
    </row>
    <row r="23159" spans="1:1">
      <c r="A23159" s="35" t="e" cm="1">
        <f t="array" ref="A23159">----------------------------------------------------------TG</f>
        <v>#NAME?</v>
      </c>
    </row>
    <row r="23160" spans="1:1">
      <c r="A23160" s="35" t="e" cm="1">
        <f t="array" ref="A23160">----------QWIPLTNLKGDKGD--------------------KGINGNKGDK----GE</f>
        <v>#NAME?</v>
      </c>
    </row>
    <row r="23161" spans="1:1">
      <c r="A23161" s="35" t="s">
        <v>59574</v>
      </c>
    </row>
    <row r="23162" spans="1:1">
      <c r="A23162" s="35" t="s">
        <v>59575</v>
      </c>
    </row>
    <row r="23163" spans="1:1">
      <c r="A23163" s="35" t="s">
        <v>59576</v>
      </c>
    </row>
    <row r="23164" spans="1:1">
      <c r="A23164" s="35" t="s">
        <v>41057</v>
      </c>
    </row>
    <row r="23165" spans="1:1">
      <c r="A23165" s="35" t="s">
        <v>41057</v>
      </c>
    </row>
    <row r="23166" spans="1:1">
      <c r="A23166" s="35" t="s">
        <v>59577</v>
      </c>
    </row>
    <row r="23167" spans="1:1">
      <c r="A23167" s="35" t="s">
        <v>41057</v>
      </c>
    </row>
    <row r="23168" spans="1:1">
      <c r="A23168" s="35" t="s">
        <v>59578</v>
      </c>
    </row>
    <row r="23169" spans="1:1">
      <c r="A23169" s="35" t="s">
        <v>41057</v>
      </c>
    </row>
    <row r="23170" spans="1:1">
      <c r="A23170" s="35" t="s">
        <v>59579</v>
      </c>
    </row>
    <row r="23171" spans="1:1">
      <c r="A23171" s="35" t="s">
        <v>41057</v>
      </c>
    </row>
    <row r="23172" spans="1:1">
      <c r="A23172" s="35" t="s">
        <v>59580</v>
      </c>
    </row>
    <row r="23173" spans="1:1">
      <c r="A23173" s="35" t="s">
        <v>59581</v>
      </c>
    </row>
    <row r="23174" spans="1:1">
      <c r="A23174" s="35" t="s">
        <v>41057</v>
      </c>
    </row>
    <row r="23175" spans="1:1">
      <c r="A23175" s="35" t="s">
        <v>59582</v>
      </c>
    </row>
    <row r="23176" spans="1:1">
      <c r="A23176" s="35" t="s">
        <v>41057</v>
      </c>
    </row>
    <row r="23177" spans="1:1">
      <c r="A23177" s="35" t="s">
        <v>59583</v>
      </c>
    </row>
    <row r="23178" spans="1:1">
      <c r="A23178" s="35" t="s">
        <v>59584</v>
      </c>
    </row>
    <row r="23179" spans="1:1">
      <c r="A23179" s="35" t="s">
        <v>59585</v>
      </c>
    </row>
    <row r="23180" spans="1:1">
      <c r="A23180" s="35" t="s">
        <v>59586</v>
      </c>
    </row>
    <row r="23181" spans="1:1">
      <c r="A23181" s="35" t="s">
        <v>59587</v>
      </c>
    </row>
    <row r="23182" spans="1:1">
      <c r="A23182" s="35" t="s">
        <v>59588</v>
      </c>
    </row>
    <row r="23183" spans="1:1">
      <c r="A23183" s="35" t="s">
        <v>59589</v>
      </c>
    </row>
    <row r="23184" spans="1:1">
      <c r="A23184" s="35" t="s">
        <v>41057</v>
      </c>
    </row>
    <row r="23185" spans="1:1">
      <c r="A23185" s="35" t="s">
        <v>59590</v>
      </c>
    </row>
    <row r="23186" spans="1:1">
      <c r="A23186" s="35" t="s">
        <v>59591</v>
      </c>
    </row>
    <row r="23187" spans="1:1">
      <c r="A23187" s="35" t="s">
        <v>59592</v>
      </c>
    </row>
    <row r="23188" spans="1:1">
      <c r="A23188" s="35" t="s">
        <v>59593</v>
      </c>
    </row>
    <row r="23189" spans="1:1">
      <c r="A23189" s="35" t="s">
        <v>41057</v>
      </c>
    </row>
    <row r="23190" spans="1:1">
      <c r="A23190" s="35" t="e" cm="1">
        <f t="array" ref="A23190">-------------------------------------------------GDIGLKGDKGD</f>
        <v>#NAME?</v>
      </c>
    </row>
    <row r="23191" spans="1:1">
      <c r="A23191" s="35" t="e" cm="1">
        <f t="array" ref="A23191">--------------------------------IGEKG---IKGDKGINGSKGYKGDKGDK</f>
        <v>#NAME?</v>
      </c>
    </row>
    <row r="23192" spans="1:1">
      <c r="A23192" s="35" t="s">
        <v>59594</v>
      </c>
    </row>
    <row r="23193" spans="1:1">
      <c r="A23193" s="35" t="s">
        <v>59595</v>
      </c>
    </row>
    <row r="23194" spans="1:1">
      <c r="A23194" s="35" t="s">
        <v>59596</v>
      </c>
    </row>
    <row r="23195" spans="1:1">
      <c r="A23195" s="35" t="e" cm="1">
        <f t="array" ref="A23195">-------------------------------------------DKGSKGDKGDIGSKGDK</f>
        <v>#NAME?</v>
      </c>
    </row>
    <row r="23196" spans="1:1">
      <c r="A23196" s="35" t="s">
        <v>59597</v>
      </c>
    </row>
    <row r="23197" spans="1:1">
      <c r="A23197" s="35" t="e" cm="1">
        <f t="array" ref="A23197">-----KGDKG---------------DKGDKGIKGDKGDKGDKGDKGDKGTKGDKGDKGDK</f>
        <v>#NAME?</v>
      </c>
    </row>
    <row r="23198" spans="1:1">
      <c r="A23198" s="35" t="s">
        <v>59598</v>
      </c>
    </row>
    <row r="23199" spans="1:1">
      <c r="A23199" s="35" t="e" cm="1">
        <f t="array" ref="A23199">----GDK----------GDKGDKG-----------DKGDKGDKGDTATCEIVNTD---GQ</f>
        <v>#NAME?</v>
      </c>
    </row>
    <row r="23200" spans="1:1">
      <c r="A23200" s="35" t="s">
        <v>59599</v>
      </c>
    </row>
    <row r="23201" spans="1:1">
      <c r="A23201" s="35" t="e" cm="1">
        <f t="array" ref="A23201">-------------DPSNVSGMNTKLFG--------IQNGA-----------------FRS</f>
        <v>#NAME?</v>
      </c>
    </row>
    <row r="23202" spans="1:1">
      <c r="A23202" s="35" t="s">
        <v>59600</v>
      </c>
    </row>
    <row r="23203" spans="1:1">
      <c r="A23203" s="35" t="s">
        <v>59601</v>
      </c>
    </row>
    <row r="23204" spans="1:1">
      <c r="A23204" s="35" t="s">
        <v>59602</v>
      </c>
    </row>
    <row r="23205" spans="1:1">
      <c r="A23205" s="35" t="s">
        <v>59603</v>
      </c>
    </row>
    <row r="23206" spans="1:1">
      <c r="A23206" s="35" t="s">
        <v>59604</v>
      </c>
    </row>
    <row r="23207" spans="1:1">
      <c r="A23207" s="35" t="e" cm="1">
        <f t="array" ref="A23207">-------I-FSGSGTSTS---------------------------DIIASVTDS-STLTI</f>
        <v>#NAME?</v>
      </c>
    </row>
    <row r="23208" spans="1:1">
      <c r="A23208" s="35" t="s">
        <v>59605</v>
      </c>
    </row>
    <row r="23209" spans="1:1">
      <c r="A23209" s="35" t="s">
        <v>59606</v>
      </c>
    </row>
    <row r="23210" spans="1:1">
      <c r="A23210" s="35" t="s">
        <v>59607</v>
      </c>
    </row>
    <row r="23211" spans="1:1">
      <c r="A23211" s="35" t="s">
        <v>59608</v>
      </c>
    </row>
    <row r="23212" spans="1:1">
      <c r="A23212" s="35" t="s">
        <v>59609</v>
      </c>
    </row>
    <row r="23213" spans="1:1">
      <c r="A23213" s="35" t="s">
        <v>59610</v>
      </c>
    </row>
    <row r="23214" spans="1:1">
      <c r="A23214" s="35" t="s">
        <v>59611</v>
      </c>
    </row>
    <row r="23215" spans="1:1">
      <c r="A23215" s="35" t="s">
        <v>59612</v>
      </c>
    </row>
    <row r="23216" spans="1:1">
      <c r="A23216" s="35" t="s">
        <v>59613</v>
      </c>
    </row>
    <row r="23217" spans="1:1">
      <c r="A23217" s="35" t="s">
        <v>59614</v>
      </c>
    </row>
    <row r="23218" spans="1:1">
      <c r="A23218" s="35" t="s">
        <v>59615</v>
      </c>
    </row>
    <row r="23219" spans="1:1">
      <c r="A23219" s="35" t="e" cm="1">
        <f t="array" ref="A23219">-D-LFGYA---------------NNSGV-------IQAADQCA--GALARGVAQNNSSIV</f>
        <v>#NAME?</v>
      </c>
    </row>
    <row r="23220" spans="1:1">
      <c r="A23220" s="35" t="s">
        <v>59616</v>
      </c>
    </row>
    <row r="23221" spans="1:1">
      <c r="A23221" s="35" t="s">
        <v>59617</v>
      </c>
    </row>
    <row r="23222" spans="1:1">
      <c r="A23222" s="35" t="s">
        <v>41057</v>
      </c>
    </row>
    <row r="23223" spans="1:1">
      <c r="A23223" s="35" t="s">
        <v>59618</v>
      </c>
    </row>
    <row r="23224" spans="1:1">
      <c r="A23224" s="35" t="s">
        <v>59619</v>
      </c>
    </row>
    <row r="23225" spans="1:1">
      <c r="A23225" s="35" t="s">
        <v>59620</v>
      </c>
    </row>
    <row r="23226" spans="1:1">
      <c r="A23226" s="35" t="s">
        <v>41057</v>
      </c>
    </row>
    <row r="23227" spans="1:1">
      <c r="A23227" s="35" t="s">
        <v>41057</v>
      </c>
    </row>
    <row r="23228" spans="1:1">
      <c r="A23228" s="35" t="s">
        <v>41057</v>
      </c>
    </row>
    <row r="23229" spans="1:1">
      <c r="A23229" s="35" t="s">
        <v>59621</v>
      </c>
    </row>
    <row r="23230" spans="1:1">
      <c r="A23230" s="35" t="s">
        <v>41057</v>
      </c>
    </row>
    <row r="23231" spans="1:1">
      <c r="A23231" s="35" t="s">
        <v>41057</v>
      </c>
    </row>
    <row r="23232" spans="1:1">
      <c r="A23232" s="35" t="s">
        <v>41057</v>
      </c>
    </row>
    <row r="23233" spans="1:1">
      <c r="A23233" s="35" t="s">
        <v>41057</v>
      </c>
    </row>
    <row r="23234" spans="1:1">
      <c r="A23234" s="35" t="e" cm="1">
        <f t="array" ref="A23234">-----------------------------------------------FGYATANSTITTG</f>
        <v>#NAME?</v>
      </c>
    </row>
    <row r="23235" spans="1:1">
      <c r="A23235" s="35" t="s">
        <v>59622</v>
      </c>
    </row>
    <row r="23236" spans="1:1">
      <c r="A23236" s="35" t="s">
        <v>59623</v>
      </c>
    </row>
    <row r="23237" spans="1:1">
      <c r="A23237" s="35" t="s">
        <v>59624</v>
      </c>
    </row>
    <row r="23238" spans="1:1">
      <c r="A23238" s="35" t="s">
        <v>59625</v>
      </c>
    </row>
    <row r="23239" spans="1:1">
      <c r="A23239" s="35" t="s">
        <v>59626</v>
      </c>
    </row>
    <row r="23240" spans="1:1">
      <c r="A23240" s="35" t="s">
        <v>59627</v>
      </c>
    </row>
    <row r="23241" spans="1:1">
      <c r="A23241" s="35" t="s">
        <v>41057</v>
      </c>
    </row>
    <row r="23242" spans="1:1">
      <c r="A23242" s="35" t="s">
        <v>59628</v>
      </c>
    </row>
    <row r="23243" spans="1:1">
      <c r="A23243" s="35" t="s">
        <v>59629</v>
      </c>
    </row>
    <row r="23244" spans="1:1">
      <c r="A23244" s="35" t="s">
        <v>59630</v>
      </c>
    </row>
    <row r="23245" spans="1:1">
      <c r="A23245" s="35" t="s">
        <v>41057</v>
      </c>
    </row>
    <row r="23246" spans="1:1">
      <c r="A23246" s="35" t="s">
        <v>53545</v>
      </c>
    </row>
    <row r="23247" spans="1:1">
      <c r="A23247" s="35" t="s">
        <v>52719</v>
      </c>
    </row>
    <row r="23248" spans="1:1">
      <c r="A23248" s="35" t="s">
        <v>41057</v>
      </c>
    </row>
    <row r="23249" spans="1:1">
      <c r="A23249" s="35" t="s">
        <v>41057</v>
      </c>
    </row>
    <row r="23250" spans="1:1">
      <c r="A23250" s="35" t="s">
        <v>41057</v>
      </c>
    </row>
    <row r="23251" spans="1:1">
      <c r="A23251" s="35" t="s">
        <v>41057</v>
      </c>
    </row>
    <row r="23252" spans="1:1">
      <c r="A23252" s="35" t="s">
        <v>41057</v>
      </c>
    </row>
    <row r="23253" spans="1:1">
      <c r="A23253" s="35" t="s">
        <v>59631</v>
      </c>
    </row>
    <row r="23254" spans="1:1">
      <c r="A23254" s="35" t="s">
        <v>41057</v>
      </c>
    </row>
    <row r="23255" spans="1:1">
      <c r="A23255" s="35" t="s">
        <v>41057</v>
      </c>
    </row>
    <row r="23256" spans="1:1">
      <c r="A23256" s="35" t="s">
        <v>41057</v>
      </c>
    </row>
    <row r="23257" spans="1:1">
      <c r="A23257" s="35" t="s">
        <v>59632</v>
      </c>
    </row>
    <row r="23258" spans="1:1">
      <c r="A23258" s="35" t="s">
        <v>59633</v>
      </c>
    </row>
    <row r="23259" spans="1:1">
      <c r="A23259" s="35" t="s">
        <v>59634</v>
      </c>
    </row>
    <row r="23260" spans="1:1">
      <c r="A23260" s="35" t="s">
        <v>41057</v>
      </c>
    </row>
    <row r="23261" spans="1:1">
      <c r="A23261" s="35" t="s">
        <v>41057</v>
      </c>
    </row>
    <row r="23262" spans="1:1">
      <c r="A23262" s="35" t="s">
        <v>41057</v>
      </c>
    </row>
    <row r="23263" spans="1:1">
      <c r="A23263" s="35" t="s">
        <v>59635</v>
      </c>
    </row>
    <row r="23264" spans="1:1">
      <c r="A23264" s="35" t="s">
        <v>59636</v>
      </c>
    </row>
    <row r="23265" spans="1:1">
      <c r="A23265" s="35" t="s">
        <v>59637</v>
      </c>
    </row>
    <row r="23266" spans="1:1">
      <c r="A23266" s="35" t="s">
        <v>41057</v>
      </c>
    </row>
    <row r="23267" spans="1:1">
      <c r="A23267" s="35" t="s">
        <v>41057</v>
      </c>
    </row>
    <row r="23268" spans="1:1">
      <c r="A23268" s="35" t="s">
        <v>41057</v>
      </c>
    </row>
    <row r="23269" spans="1:1">
      <c r="A23269" s="35" t="s">
        <v>41057</v>
      </c>
    </row>
    <row r="23270" spans="1:1">
      <c r="A23270" s="35" t="s">
        <v>59638</v>
      </c>
    </row>
    <row r="23271" spans="1:1">
      <c r="A23271" s="35" t="s">
        <v>41057</v>
      </c>
    </row>
    <row r="23272" spans="1:1">
      <c r="A23272" s="35" t="s">
        <v>41057</v>
      </c>
    </row>
    <row r="23273" spans="1:1">
      <c r="A23273" s="35" t="s">
        <v>41057</v>
      </c>
    </row>
    <row r="23274" spans="1:1">
      <c r="A23274" s="35" t="s">
        <v>41057</v>
      </c>
    </row>
    <row r="23275" spans="1:1">
      <c r="A23275" s="35" t="s">
        <v>41057</v>
      </c>
    </row>
    <row r="23276" spans="1:1">
      <c r="A23276" s="35" t="s">
        <v>41057</v>
      </c>
    </row>
    <row r="23277" spans="1:1">
      <c r="A23277" s="35" t="s">
        <v>41057</v>
      </c>
    </row>
    <row r="23278" spans="1:1">
      <c r="A23278" s="35" t="s">
        <v>59639</v>
      </c>
    </row>
    <row r="23279" spans="1:1">
      <c r="A23279" s="35" t="s">
        <v>59640</v>
      </c>
    </row>
    <row r="23280" spans="1:1">
      <c r="A23280" s="35" t="s">
        <v>59641</v>
      </c>
    </row>
    <row r="23281" spans="1:1">
      <c r="A23281" s="35" t="s">
        <v>59642</v>
      </c>
    </row>
    <row r="23282" spans="1:1">
      <c r="A23282" s="35" t="s">
        <v>41057</v>
      </c>
    </row>
    <row r="23283" spans="1:1">
      <c r="A23283" s="35" t="s">
        <v>41057</v>
      </c>
    </row>
    <row r="23284" spans="1:1">
      <c r="A23284" s="35" t="s">
        <v>59643</v>
      </c>
    </row>
    <row r="23285" spans="1:1">
      <c r="A23285" s="35" t="s">
        <v>41057</v>
      </c>
    </row>
    <row r="23286" spans="1:1">
      <c r="A23286" s="35" t="s">
        <v>41057</v>
      </c>
    </row>
    <row r="23287" spans="1:1">
      <c r="A23287" s="35" t="s">
        <v>41057</v>
      </c>
    </row>
    <row r="23288" spans="1:1">
      <c r="A23288" s="35" t="s">
        <v>56361</v>
      </c>
    </row>
    <row r="23289" spans="1:1">
      <c r="A23289" s="35" t="s">
        <v>41057</v>
      </c>
    </row>
    <row r="23290" spans="1:1">
      <c r="A23290" s="35" t="s">
        <v>41057</v>
      </c>
    </row>
    <row r="23291" spans="1:1">
      <c r="A23291" s="35" t="s">
        <v>41057</v>
      </c>
    </row>
    <row r="23292" spans="1:1">
      <c r="A23292" s="35" t="s">
        <v>41057</v>
      </c>
    </row>
    <row r="23293" spans="1:1">
      <c r="A23293" s="35" t="s">
        <v>41057</v>
      </c>
    </row>
    <row r="23294" spans="1:1">
      <c r="A23294" s="35" t="s">
        <v>41057</v>
      </c>
    </row>
    <row r="23295" spans="1:1">
      <c r="A23295" s="35" t="s">
        <v>41057</v>
      </c>
    </row>
    <row r="23296" spans="1:1">
      <c r="A23296" s="35" t="s">
        <v>41057</v>
      </c>
    </row>
    <row r="23297" spans="1:1">
      <c r="A23297" s="35" t="s">
        <v>41057</v>
      </c>
    </row>
    <row r="23298" spans="1:1">
      <c r="A23298" s="35" t="s">
        <v>41057</v>
      </c>
    </row>
    <row r="23299" spans="1:1">
      <c r="A23299" s="35" t="s">
        <v>41057</v>
      </c>
    </row>
    <row r="23300" spans="1:1">
      <c r="A23300" s="35" t="s">
        <v>41057</v>
      </c>
    </row>
    <row r="23301" spans="1:1">
      <c r="A23301" s="35" t="s">
        <v>41057</v>
      </c>
    </row>
    <row r="23302" spans="1:1">
      <c r="A23302" s="35" t="s">
        <v>41057</v>
      </c>
    </row>
    <row r="23303" spans="1:1">
      <c r="A23303" s="35" t="s">
        <v>41057</v>
      </c>
    </row>
    <row r="23304" spans="1:1">
      <c r="A23304" s="35" t="s">
        <v>41057</v>
      </c>
    </row>
    <row r="23305" spans="1:1">
      <c r="A23305" s="35" t="s">
        <v>41057</v>
      </c>
    </row>
    <row r="23306" spans="1:1">
      <c r="A23306" s="35" t="s">
        <v>41057</v>
      </c>
    </row>
    <row r="23307" spans="1:1">
      <c r="A23307" s="35" t="s">
        <v>41057</v>
      </c>
    </row>
    <row r="23308" spans="1:1">
      <c r="A23308" s="35" t="s">
        <v>41057</v>
      </c>
    </row>
    <row r="23309" spans="1:1">
      <c r="A23309" s="35" t="s">
        <v>59644</v>
      </c>
    </row>
    <row r="23310" spans="1:1">
      <c r="A23310" s="35" t="s">
        <v>41057</v>
      </c>
    </row>
    <row r="23311" spans="1:1">
      <c r="A23311" s="35" t="s">
        <v>41057</v>
      </c>
    </row>
    <row r="23312" spans="1:1">
      <c r="A23312" s="35" t="s">
        <v>41057</v>
      </c>
    </row>
    <row r="23313" spans="1:1">
      <c r="A23313" s="35" t="s">
        <v>41057</v>
      </c>
    </row>
    <row r="23314" spans="1:1">
      <c r="A23314" s="35" t="s">
        <v>41057</v>
      </c>
    </row>
    <row r="23315" spans="1:1">
      <c r="A23315" s="35" t="s">
        <v>41057</v>
      </c>
    </row>
    <row r="23316" spans="1:1">
      <c r="A23316" s="35" t="s">
        <v>41057</v>
      </c>
    </row>
    <row r="23317" spans="1:1">
      <c r="A23317" s="35" t="e" cm="1">
        <f t="array" ref="A23317">-------------------------------------------RDRIEICWAHYP---GL</f>
        <v>#NAME?</v>
      </c>
    </row>
    <row r="23318" spans="1:1">
      <c r="A23318" s="35" t="s">
        <v>59645</v>
      </c>
    </row>
    <row r="23319" spans="1:1">
      <c r="A23319" s="35" t="e" cm="1">
        <f t="array" ref="A23319">---------------SKWSNIDNQFYG------------------------------NKK</f>
        <v>#NAME?</v>
      </c>
    </row>
    <row r="23320" spans="1:1">
      <c r="A23320" s="35" t="s">
        <v>59646</v>
      </c>
    </row>
    <row r="23321" spans="1:1">
      <c r="A23321" s="35" t="s">
        <v>41057</v>
      </c>
    </row>
    <row r="23322" spans="1:1">
      <c r="A23322" s="35" t="s">
        <v>41057</v>
      </c>
    </row>
    <row r="23323" spans="1:1">
      <c r="A23323" s="35" t="s">
        <v>59647</v>
      </c>
    </row>
    <row r="23324" spans="1:1">
      <c r="A23324" s="35" t="s">
        <v>41057</v>
      </c>
    </row>
    <row r="23325" spans="1:1">
      <c r="A23325" s="35" t="s">
        <v>53520</v>
      </c>
    </row>
    <row r="23326" spans="1:1">
      <c r="A23326" s="35" t="s">
        <v>59648</v>
      </c>
    </row>
    <row r="23327" spans="1:1">
      <c r="A23327" s="35" t="s">
        <v>59649</v>
      </c>
    </row>
    <row r="23328" spans="1:1">
      <c r="A23328" s="35" t="s">
        <v>41057</v>
      </c>
    </row>
    <row r="23329" spans="1:1">
      <c r="A23329" s="35" t="s">
        <v>41057</v>
      </c>
    </row>
    <row r="23330" spans="1:1">
      <c r="A23330" s="35" t="s">
        <v>41057</v>
      </c>
    </row>
    <row r="23331" spans="1:1">
      <c r="A23331" s="35" t="s">
        <v>59650</v>
      </c>
    </row>
    <row r="23332" spans="1:1">
      <c r="A23332" s="35" t="s">
        <v>59390</v>
      </c>
    </row>
    <row r="23333" spans="1:1">
      <c r="A23333" s="35" t="s">
        <v>41057</v>
      </c>
    </row>
    <row r="23334" spans="1:1">
      <c r="A23334" s="35" t="s">
        <v>41057</v>
      </c>
    </row>
    <row r="23335" spans="1:1">
      <c r="A23335" s="35" t="s">
        <v>59651</v>
      </c>
    </row>
    <row r="23336" spans="1:1">
      <c r="A23336" s="35" t="s">
        <v>59652</v>
      </c>
    </row>
    <row r="23337" spans="1:1">
      <c r="A23337" s="35" t="e" cm="1">
        <f t="array" ref="A23337">-----EYSK------------------ITHDEEMSIKGDMD---HYVV--EDIKRFSSEI</f>
        <v>#NAME?</v>
      </c>
    </row>
    <row r="23338" spans="1:1">
      <c r="A23338" s="35" t="s">
        <v>59653</v>
      </c>
    </row>
    <row r="23339" spans="1:1">
      <c r="A23339" s="35" t="s">
        <v>41057</v>
      </c>
    </row>
    <row r="23340" spans="1:1">
      <c r="A23340" s="35" t="s">
        <v>41057</v>
      </c>
    </row>
    <row r="23341" spans="1:1">
      <c r="A23341" s="35" t="s">
        <v>59654</v>
      </c>
    </row>
    <row r="23342" spans="1:1">
      <c r="A23342" s="35" t="s">
        <v>41057</v>
      </c>
    </row>
    <row r="23343" spans="1:1">
      <c r="A23343" s="35" t="s">
        <v>59655</v>
      </c>
    </row>
    <row r="23344" spans="1:1">
      <c r="A23344" s="35" t="s">
        <v>41057</v>
      </c>
    </row>
    <row r="23345" spans="1:1">
      <c r="A23345" s="35" t="s">
        <v>41057</v>
      </c>
    </row>
    <row r="23346" spans="1:1">
      <c r="A23346" s="35" t="s">
        <v>41057</v>
      </c>
    </row>
    <row r="23347" spans="1:1">
      <c r="A23347" s="35" t="s">
        <v>59656</v>
      </c>
    </row>
    <row r="23348" spans="1:1">
      <c r="A23348" s="35" t="s">
        <v>41057</v>
      </c>
    </row>
    <row r="23349" spans="1:1">
      <c r="A23349" s="35" t="s">
        <v>41057</v>
      </c>
    </row>
    <row r="23350" spans="1:1">
      <c r="A23350" s="35" t="s">
        <v>41057</v>
      </c>
    </row>
    <row r="23351" spans="1:1">
      <c r="A23351" s="35" t="s">
        <v>41057</v>
      </c>
    </row>
    <row r="23352" spans="1:1">
      <c r="A23352" s="35" t="e" cm="1">
        <f t="array" ref="A23352">------------------------------------------------EILDGDKPIKGI</f>
        <v>#NAME?</v>
      </c>
    </row>
    <row r="23353" spans="1:1">
      <c r="A23353" s="35" t="s">
        <v>59657</v>
      </c>
    </row>
    <row r="23354" spans="1:1">
      <c r="A23354" s="35" t="s">
        <v>59658</v>
      </c>
    </row>
    <row r="23355" spans="1:1">
      <c r="A23355" s="35" t="s">
        <v>59659</v>
      </c>
    </row>
    <row r="23356" spans="1:1">
      <c r="A23356" s="35" t="s">
        <v>59660</v>
      </c>
    </row>
    <row r="23357" spans="1:1">
      <c r="A23357" s="35" t="s">
        <v>59661</v>
      </c>
    </row>
    <row r="23358" spans="1:1">
      <c r="A23358" s="35" t="s">
        <v>59662</v>
      </c>
    </row>
    <row r="23359" spans="1:1">
      <c r="A23359" s="35" t="s">
        <v>59663</v>
      </c>
    </row>
    <row r="23360" spans="1:1">
      <c r="A23360" s="35" t="s">
        <v>59664</v>
      </c>
    </row>
    <row r="23361" spans="1:1">
      <c r="A23361" s="35" t="s">
        <v>59665</v>
      </c>
    </row>
    <row r="23362" spans="1:1">
      <c r="A23362" s="35" t="s">
        <v>59666</v>
      </c>
    </row>
    <row r="23363" spans="1:1">
      <c r="A23363" s="35" t="s">
        <v>41057</v>
      </c>
    </row>
    <row r="23364" spans="1:1">
      <c r="A23364" s="35" t="s">
        <v>59667</v>
      </c>
    </row>
    <row r="23365" spans="1:1">
      <c r="A23365" s="35" t="s">
        <v>52728</v>
      </c>
    </row>
    <row r="23366" spans="1:1">
      <c r="A23366" s="35" t="s">
        <v>41057</v>
      </c>
    </row>
    <row r="23367" spans="1:1">
      <c r="A23367" s="35" t="s">
        <v>41057</v>
      </c>
    </row>
    <row r="23368" spans="1:1">
      <c r="A23368" s="35" t="s">
        <v>41057</v>
      </c>
    </row>
    <row r="23369" spans="1:1">
      <c r="A23369" s="35" t="s">
        <v>41057</v>
      </c>
    </row>
    <row r="23370" spans="1:1">
      <c r="A23370" s="35" t="s">
        <v>41057</v>
      </c>
    </row>
    <row r="23371" spans="1:1">
      <c r="A23371" s="35" t="s">
        <v>59018</v>
      </c>
    </row>
    <row r="23372" spans="1:1">
      <c r="A23372" s="35" t="s">
        <v>41057</v>
      </c>
    </row>
    <row r="23373" spans="1:1">
      <c r="A23373" s="35" t="s">
        <v>41057</v>
      </c>
    </row>
    <row r="23374" spans="1:1">
      <c r="A23374" s="35" t="s">
        <v>41057</v>
      </c>
    </row>
    <row r="23375" spans="1:1">
      <c r="A23375" s="35" t="s">
        <v>59668</v>
      </c>
    </row>
    <row r="23376" spans="1:1">
      <c r="A23376" s="35" t="s">
        <v>59669</v>
      </c>
    </row>
    <row r="23377" spans="1:1">
      <c r="A23377" s="35" t="s">
        <v>59634</v>
      </c>
    </row>
    <row r="23378" spans="1:1">
      <c r="A23378" s="35" t="s">
        <v>41057</v>
      </c>
    </row>
    <row r="23379" spans="1:1">
      <c r="A23379" s="35" t="s">
        <v>41057</v>
      </c>
    </row>
    <row r="23380" spans="1:1">
      <c r="A23380" s="35" t="s">
        <v>41057</v>
      </c>
    </row>
    <row r="23381" spans="1:1">
      <c r="A23381" s="35" t="s">
        <v>59670</v>
      </c>
    </row>
    <row r="23382" spans="1:1">
      <c r="A23382" s="35" t="s">
        <v>59671</v>
      </c>
    </row>
    <row r="23383" spans="1:1">
      <c r="A23383" s="35" t="s">
        <v>59672</v>
      </c>
    </row>
    <row r="23384" spans="1:1">
      <c r="A23384" s="35" t="s">
        <v>41057</v>
      </c>
    </row>
    <row r="23385" spans="1:1">
      <c r="A23385" s="35" t="s">
        <v>41057</v>
      </c>
    </row>
    <row r="23386" spans="1:1">
      <c r="A23386" s="35" t="s">
        <v>41057</v>
      </c>
    </row>
    <row r="23387" spans="1:1">
      <c r="A23387" s="35" t="s">
        <v>41057</v>
      </c>
    </row>
    <row r="23388" spans="1:1">
      <c r="A23388" s="35" t="s">
        <v>59673</v>
      </c>
    </row>
    <row r="23389" spans="1:1">
      <c r="A23389" s="35" t="s">
        <v>41057</v>
      </c>
    </row>
    <row r="23390" spans="1:1">
      <c r="A23390" s="35" t="s">
        <v>41057</v>
      </c>
    </row>
    <row r="23391" spans="1:1">
      <c r="A23391" s="35" t="s">
        <v>41057</v>
      </c>
    </row>
    <row r="23392" spans="1:1">
      <c r="A23392" s="35" t="s">
        <v>41057</v>
      </c>
    </row>
    <row r="23393" spans="1:1">
      <c r="A23393" s="35" t="s">
        <v>41057</v>
      </c>
    </row>
    <row r="23394" spans="1:1">
      <c r="A23394" s="35" t="s">
        <v>41057</v>
      </c>
    </row>
    <row r="23395" spans="1:1">
      <c r="A23395" s="35" t="s">
        <v>41057</v>
      </c>
    </row>
    <row r="23396" spans="1:1">
      <c r="A23396" s="35" t="s">
        <v>59674</v>
      </c>
    </row>
    <row r="23397" spans="1:1">
      <c r="A23397" s="35" t="s">
        <v>59675</v>
      </c>
    </row>
    <row r="23398" spans="1:1">
      <c r="A23398" s="35" t="s">
        <v>59676</v>
      </c>
    </row>
    <row r="23399" spans="1:1">
      <c r="A23399" s="35" t="s">
        <v>59677</v>
      </c>
    </row>
    <row r="23400" spans="1:1">
      <c r="A23400" s="35" t="s">
        <v>41057</v>
      </c>
    </row>
    <row r="23401" spans="1:1">
      <c r="A23401" s="35" t="s">
        <v>41057</v>
      </c>
    </row>
    <row r="23402" spans="1:1">
      <c r="A23402" s="35" t="s">
        <v>59678</v>
      </c>
    </row>
    <row r="23403" spans="1:1">
      <c r="A23403" s="35" t="s">
        <v>41057</v>
      </c>
    </row>
    <row r="23404" spans="1:1">
      <c r="A23404" s="35" t="s">
        <v>41057</v>
      </c>
    </row>
    <row r="23405" spans="1:1">
      <c r="A23405" s="35" t="s">
        <v>41057</v>
      </c>
    </row>
    <row r="23406" spans="1:1">
      <c r="A23406" s="35" t="s">
        <v>56361</v>
      </c>
    </row>
    <row r="23407" spans="1:1">
      <c r="A23407" s="35" t="s">
        <v>41057</v>
      </c>
    </row>
    <row r="23408" spans="1:1">
      <c r="A23408" s="35" t="s">
        <v>41057</v>
      </c>
    </row>
    <row r="23409" spans="1:1">
      <c r="A23409" s="35" t="s">
        <v>41057</v>
      </c>
    </row>
    <row r="23410" spans="1:1">
      <c r="A23410" s="35" t="s">
        <v>41057</v>
      </c>
    </row>
    <row r="23411" spans="1:1">
      <c r="A23411" s="35" t="s">
        <v>41057</v>
      </c>
    </row>
    <row r="23412" spans="1:1">
      <c r="A23412" s="35" t="s">
        <v>41057</v>
      </c>
    </row>
    <row r="23413" spans="1:1">
      <c r="A23413" s="35" t="s">
        <v>41057</v>
      </c>
    </row>
    <row r="23414" spans="1:1">
      <c r="A23414" s="35" t="s">
        <v>41057</v>
      </c>
    </row>
    <row r="23415" spans="1:1">
      <c r="A23415" s="35" t="s">
        <v>41057</v>
      </c>
    </row>
    <row r="23416" spans="1:1">
      <c r="A23416" s="35" t="s">
        <v>41057</v>
      </c>
    </row>
    <row r="23417" spans="1:1">
      <c r="A23417" s="35" t="s">
        <v>41057</v>
      </c>
    </row>
    <row r="23418" spans="1:1">
      <c r="A23418" s="35" t="s">
        <v>41057</v>
      </c>
    </row>
    <row r="23419" spans="1:1">
      <c r="A23419" s="35" t="s">
        <v>41057</v>
      </c>
    </row>
    <row r="23420" spans="1:1">
      <c r="A23420" s="35" t="s">
        <v>41057</v>
      </c>
    </row>
    <row r="23421" spans="1:1">
      <c r="A23421" s="35" t="s">
        <v>41057</v>
      </c>
    </row>
    <row r="23422" spans="1:1">
      <c r="A23422" s="35" t="s">
        <v>41057</v>
      </c>
    </row>
    <row r="23423" spans="1:1">
      <c r="A23423" s="35" t="s">
        <v>41057</v>
      </c>
    </row>
    <row r="23424" spans="1:1">
      <c r="A23424" s="35" t="s">
        <v>41057</v>
      </c>
    </row>
    <row r="23425" spans="1:1">
      <c r="A23425" s="35" t="s">
        <v>41057</v>
      </c>
    </row>
    <row r="23426" spans="1:1">
      <c r="A23426" s="35" t="s">
        <v>41057</v>
      </c>
    </row>
    <row r="23427" spans="1:1">
      <c r="A23427" s="35" t="s">
        <v>59644</v>
      </c>
    </row>
    <row r="23428" spans="1:1">
      <c r="A23428" s="35" t="s">
        <v>41057</v>
      </c>
    </row>
    <row r="23429" spans="1:1">
      <c r="A23429" s="35" t="s">
        <v>41057</v>
      </c>
    </row>
    <row r="23430" spans="1:1">
      <c r="A23430" s="35" t="s">
        <v>41057</v>
      </c>
    </row>
    <row r="23431" spans="1:1">
      <c r="A23431" s="35" t="s">
        <v>41057</v>
      </c>
    </row>
    <row r="23432" spans="1:1">
      <c r="A23432" s="35" t="s">
        <v>41057</v>
      </c>
    </row>
    <row r="23433" spans="1:1">
      <c r="A23433" s="35" t="s">
        <v>41057</v>
      </c>
    </row>
    <row r="23434" spans="1:1">
      <c r="A23434" s="35" t="s">
        <v>41057</v>
      </c>
    </row>
    <row r="23435" spans="1:1">
      <c r="A23435" s="35" t="e" cm="1">
        <f t="array" ref="A23435">-------------------------------------------RDNVQIAMCSYP---GI</f>
        <v>#NAME?</v>
      </c>
    </row>
    <row r="23436" spans="1:1">
      <c r="A23436" s="35" t="s">
        <v>59679</v>
      </c>
    </row>
    <row r="23437" spans="1:1">
      <c r="A23437" s="35" t="e" cm="1">
        <f t="array" ref="A23437">---------------QTWFNIYNQFY-------------------------------NKK</f>
        <v>#NAME?</v>
      </c>
    </row>
    <row r="23438" spans="1:1">
      <c r="A23438" s="35" t="s">
        <v>59680</v>
      </c>
    </row>
    <row r="23439" spans="1:1">
      <c r="A23439" s="35" t="s">
        <v>41057</v>
      </c>
    </row>
    <row r="23440" spans="1:1">
      <c r="A23440" s="35" t="s">
        <v>41057</v>
      </c>
    </row>
    <row r="23441" spans="1:1">
      <c r="A23441" s="35" t="s">
        <v>59681</v>
      </c>
    </row>
    <row r="23442" spans="1:1">
      <c r="A23442" s="35" t="s">
        <v>41057</v>
      </c>
    </row>
    <row r="23443" spans="1:1">
      <c r="A23443" s="35" t="s">
        <v>55484</v>
      </c>
    </row>
    <row r="23444" spans="1:1">
      <c r="A23444" s="35" t="s">
        <v>59682</v>
      </c>
    </row>
    <row r="23445" spans="1:1">
      <c r="A23445" s="35" t="s">
        <v>59683</v>
      </c>
    </row>
    <row r="23446" spans="1:1">
      <c r="A23446" s="35" t="s">
        <v>41057</v>
      </c>
    </row>
    <row r="23447" spans="1:1">
      <c r="A23447" s="35" t="s">
        <v>41057</v>
      </c>
    </row>
    <row r="23448" spans="1:1">
      <c r="A23448" s="35" t="s">
        <v>41057</v>
      </c>
    </row>
    <row r="23449" spans="1:1">
      <c r="A23449" s="35" t="s">
        <v>59684</v>
      </c>
    </row>
    <row r="23450" spans="1:1">
      <c r="A23450" s="35" t="s">
        <v>59390</v>
      </c>
    </row>
    <row r="23451" spans="1:1">
      <c r="A23451" s="35" t="s">
        <v>41057</v>
      </c>
    </row>
    <row r="23452" spans="1:1">
      <c r="A23452" s="35" t="s">
        <v>41057</v>
      </c>
    </row>
    <row r="23453" spans="1:1">
      <c r="A23453" s="35" t="s">
        <v>59685</v>
      </c>
    </row>
    <row r="23454" spans="1:1">
      <c r="A23454" s="35" t="s">
        <v>59686</v>
      </c>
    </row>
    <row r="23455" spans="1:1">
      <c r="A23455" s="35" t="e" cm="1">
        <f t="array" ref="A23455">-----EYSK------------------ITIEEEQAIKNNDK---HCAV--EDILSFKTEL</f>
        <v>#NAME?</v>
      </c>
    </row>
    <row r="23456" spans="1:1">
      <c r="A23456" s="35" t="s">
        <v>59687</v>
      </c>
    </row>
    <row r="23457" spans="1:1">
      <c r="A23457" s="35" t="s">
        <v>41057</v>
      </c>
    </row>
    <row r="23458" spans="1:1">
      <c r="A23458" s="35" t="s">
        <v>41057</v>
      </c>
    </row>
    <row r="23459" spans="1:1">
      <c r="A23459" s="35" t="s">
        <v>59688</v>
      </c>
    </row>
    <row r="23460" spans="1:1">
      <c r="A23460" s="35" t="s">
        <v>41057</v>
      </c>
    </row>
    <row r="23461" spans="1:1">
      <c r="A23461" s="35" t="s">
        <v>59689</v>
      </c>
    </row>
    <row r="23462" spans="1:1">
      <c r="A23462" s="35" t="s">
        <v>41057</v>
      </c>
    </row>
    <row r="23463" spans="1:1">
      <c r="A23463" s="35" t="s">
        <v>41057</v>
      </c>
    </row>
    <row r="23464" spans="1:1">
      <c r="A23464" s="35" t="s">
        <v>41057</v>
      </c>
    </row>
    <row r="23465" spans="1:1">
      <c r="A23465" s="35" t="s">
        <v>59690</v>
      </c>
    </row>
    <row r="23466" spans="1:1">
      <c r="A23466" s="35" t="s">
        <v>41057</v>
      </c>
    </row>
    <row r="23467" spans="1:1">
      <c r="A23467" s="35" t="s">
        <v>41057</v>
      </c>
    </row>
    <row r="23468" spans="1:1">
      <c r="A23468" s="35" t="s">
        <v>41057</v>
      </c>
    </row>
    <row r="23469" spans="1:1">
      <c r="A23469" s="35" t="s">
        <v>41057</v>
      </c>
    </row>
    <row r="23470" spans="1:1">
      <c r="A23470" s="35" t="e" cm="1">
        <f t="array" ref="A23470">------------------------------------------------DMSEGVSPICSV</f>
        <v>#NAME?</v>
      </c>
    </row>
    <row r="23471" spans="1:1">
      <c r="A23471" s="35" t="s">
        <v>59691</v>
      </c>
    </row>
    <row r="23472" spans="1:1">
      <c r="A23472" s="35" t="s">
        <v>59692</v>
      </c>
    </row>
    <row r="23473" spans="1:1">
      <c r="A23473" s="35" t="s">
        <v>59693</v>
      </c>
    </row>
    <row r="23474" spans="1:1">
      <c r="A23474" s="35" t="s">
        <v>59694</v>
      </c>
    </row>
    <row r="23475" spans="1:1">
      <c r="A23475" s="35" t="s">
        <v>59695</v>
      </c>
    </row>
    <row r="23476" spans="1:1">
      <c r="A23476" s="35" t="s">
        <v>59696</v>
      </c>
    </row>
    <row r="23477" spans="1:1">
      <c r="A23477" s="35" t="s">
        <v>59697</v>
      </c>
    </row>
    <row r="23478" spans="1:1">
      <c r="A23478" s="35" t="s">
        <v>59698</v>
      </c>
    </row>
    <row r="23479" spans="1:1">
      <c r="A23479" s="35" t="s">
        <v>59699</v>
      </c>
    </row>
    <row r="23480" spans="1:1">
      <c r="A23480" s="35" t="s">
        <v>59700</v>
      </c>
    </row>
    <row r="23481" spans="1:1">
      <c r="A23481" s="35" t="s">
        <v>41057</v>
      </c>
    </row>
    <row r="23482" spans="1:1">
      <c r="A23482" s="35" t="s">
        <v>59701</v>
      </c>
    </row>
    <row r="23483" spans="1:1">
      <c r="A23483" s="35" t="s">
        <v>52737</v>
      </c>
    </row>
    <row r="23484" spans="1:1">
      <c r="A23484" s="35" t="s">
        <v>41057</v>
      </c>
    </row>
    <row r="23485" spans="1:1">
      <c r="A23485" s="35" t="s">
        <v>41057</v>
      </c>
    </row>
    <row r="23486" spans="1:1">
      <c r="A23486" s="35" t="s">
        <v>41057</v>
      </c>
    </row>
    <row r="23487" spans="1:1">
      <c r="A23487" s="35" t="s">
        <v>41057</v>
      </c>
    </row>
    <row r="23488" spans="1:1">
      <c r="A23488" s="35" t="s">
        <v>41057</v>
      </c>
    </row>
    <row r="23489" spans="1:1">
      <c r="A23489" s="35" t="s">
        <v>59702</v>
      </c>
    </row>
    <row r="23490" spans="1:1">
      <c r="A23490" s="35" t="s">
        <v>41057</v>
      </c>
    </row>
    <row r="23491" spans="1:1">
      <c r="A23491" s="35" t="s">
        <v>41057</v>
      </c>
    </row>
    <row r="23492" spans="1:1">
      <c r="A23492" s="35" t="s">
        <v>41057</v>
      </c>
    </row>
    <row r="23493" spans="1:1">
      <c r="A23493" s="35" t="s">
        <v>59703</v>
      </c>
    </row>
    <row r="23494" spans="1:1">
      <c r="A23494" s="35" t="s">
        <v>59704</v>
      </c>
    </row>
    <row r="23495" spans="1:1">
      <c r="A23495" s="35" t="s">
        <v>59705</v>
      </c>
    </row>
    <row r="23496" spans="1:1">
      <c r="A23496" s="35" t="s">
        <v>59706</v>
      </c>
    </row>
    <row r="23497" spans="1:1">
      <c r="A23497" s="35" t="s">
        <v>41057</v>
      </c>
    </row>
    <row r="23498" spans="1:1">
      <c r="A23498" s="35" t="s">
        <v>41057</v>
      </c>
    </row>
    <row r="23499" spans="1:1">
      <c r="A23499" s="35" t="e" cm="1">
        <f t="array" ref="A23499">---------------ERAIQNAL--------------FYH-------------------L</f>
        <v>#NAME?</v>
      </c>
    </row>
    <row r="23500" spans="1:1">
      <c r="A23500" s="35" t="s">
        <v>59707</v>
      </c>
    </row>
    <row r="23501" spans="1:1">
      <c r="A23501" s="35" t="s">
        <v>59708</v>
      </c>
    </row>
    <row r="23502" spans="1:1">
      <c r="A23502" s="35" t="s">
        <v>41057</v>
      </c>
    </row>
    <row r="23503" spans="1:1">
      <c r="A23503" s="35" t="s">
        <v>59709</v>
      </c>
    </row>
    <row r="23504" spans="1:1">
      <c r="A23504" s="35" t="s">
        <v>41057</v>
      </c>
    </row>
    <row r="23505" spans="1:1">
      <c r="A23505" s="35" t="s">
        <v>41057</v>
      </c>
    </row>
    <row r="23506" spans="1:1">
      <c r="A23506" s="35" t="s">
        <v>59710</v>
      </c>
    </row>
    <row r="23507" spans="1:1">
      <c r="A23507" s="35" t="s">
        <v>41057</v>
      </c>
    </row>
    <row r="23508" spans="1:1">
      <c r="A23508" s="35" t="s">
        <v>59711</v>
      </c>
    </row>
    <row r="23509" spans="1:1">
      <c r="A23509" s="35" t="s">
        <v>59712</v>
      </c>
    </row>
    <row r="23510" spans="1:1">
      <c r="A23510" s="35" t="s">
        <v>41057</v>
      </c>
    </row>
    <row r="23511" spans="1:1">
      <c r="A23511" s="35" t="s">
        <v>41057</v>
      </c>
    </row>
    <row r="23512" spans="1:1">
      <c r="A23512" s="35" t="s">
        <v>59713</v>
      </c>
    </row>
    <row r="23513" spans="1:1">
      <c r="A23513" s="35" t="s">
        <v>41057</v>
      </c>
    </row>
    <row r="23514" spans="1:1">
      <c r="A23514" s="35" t="s">
        <v>59714</v>
      </c>
    </row>
    <row r="23515" spans="1:1">
      <c r="A23515" s="35" t="s">
        <v>41057</v>
      </c>
    </row>
    <row r="23516" spans="1:1">
      <c r="A23516" s="35" t="s">
        <v>59715</v>
      </c>
    </row>
    <row r="23517" spans="1:1">
      <c r="A23517" s="35" t="s">
        <v>59716</v>
      </c>
    </row>
    <row r="23518" spans="1:1">
      <c r="A23518" s="35" t="s">
        <v>41057</v>
      </c>
    </row>
    <row r="23519" spans="1:1">
      <c r="A23519" s="35" t="s">
        <v>41057</v>
      </c>
    </row>
    <row r="23520" spans="1:1">
      <c r="A23520" s="35" t="s">
        <v>59717</v>
      </c>
    </row>
    <row r="23521" spans="1:1">
      <c r="A23521" s="35" t="s">
        <v>41057</v>
      </c>
    </row>
    <row r="23522" spans="1:1">
      <c r="A23522" s="35" t="s">
        <v>41057</v>
      </c>
    </row>
    <row r="23523" spans="1:1">
      <c r="A23523" s="35" t="s">
        <v>41057</v>
      </c>
    </row>
    <row r="23524" spans="1:1">
      <c r="A23524" s="35" t="s">
        <v>59718</v>
      </c>
    </row>
    <row r="23525" spans="1:1">
      <c r="A23525" s="35" t="s">
        <v>41057</v>
      </c>
    </row>
    <row r="23526" spans="1:1">
      <c r="A23526" s="35" t="s">
        <v>41057</v>
      </c>
    </row>
    <row r="23527" spans="1:1">
      <c r="A23527" s="35" t="s">
        <v>41057</v>
      </c>
    </row>
    <row r="23528" spans="1:1">
      <c r="A23528" s="35" t="s">
        <v>41057</v>
      </c>
    </row>
    <row r="23529" spans="1:1">
      <c r="A23529" s="35" t="s">
        <v>41057</v>
      </c>
    </row>
    <row r="23530" spans="1:1">
      <c r="A23530" s="35" t="s">
        <v>41057</v>
      </c>
    </row>
    <row r="23531" spans="1:1">
      <c r="A23531" s="35" t="s">
        <v>41057</v>
      </c>
    </row>
    <row r="23532" spans="1:1">
      <c r="A23532" s="35" t="s">
        <v>41057</v>
      </c>
    </row>
    <row r="23533" spans="1:1">
      <c r="A23533" s="35" t="s">
        <v>41057</v>
      </c>
    </row>
    <row r="23534" spans="1:1">
      <c r="A23534" s="35" t="s">
        <v>41057</v>
      </c>
    </row>
    <row r="23535" spans="1:1">
      <c r="A23535" s="35" t="s">
        <v>41057</v>
      </c>
    </row>
    <row r="23536" spans="1:1">
      <c r="A23536" s="35" t="s">
        <v>41057</v>
      </c>
    </row>
    <row r="23537" spans="1:1">
      <c r="A23537" s="35" t="s">
        <v>41057</v>
      </c>
    </row>
    <row r="23538" spans="1:1">
      <c r="A23538" s="35" t="s">
        <v>41057</v>
      </c>
    </row>
    <row r="23539" spans="1:1">
      <c r="A23539" s="35" t="s">
        <v>41057</v>
      </c>
    </row>
    <row r="23540" spans="1:1">
      <c r="A23540" s="35" t="s">
        <v>41057</v>
      </c>
    </row>
    <row r="23541" spans="1:1">
      <c r="A23541" s="35" t="s">
        <v>41057</v>
      </c>
    </row>
    <row r="23542" spans="1:1">
      <c r="A23542" s="35" t="s">
        <v>41057</v>
      </c>
    </row>
    <row r="23543" spans="1:1">
      <c r="A23543" s="35" t="s">
        <v>41057</v>
      </c>
    </row>
    <row r="23544" spans="1:1">
      <c r="A23544" s="35" t="s">
        <v>41057</v>
      </c>
    </row>
    <row r="23545" spans="1:1">
      <c r="A23545" s="35" t="s">
        <v>59644</v>
      </c>
    </row>
    <row r="23546" spans="1:1">
      <c r="A23546" s="35" t="s">
        <v>41057</v>
      </c>
    </row>
    <row r="23547" spans="1:1">
      <c r="A23547" s="35" t="s">
        <v>41057</v>
      </c>
    </row>
    <row r="23548" spans="1:1">
      <c r="A23548" s="35" t="s">
        <v>41057</v>
      </c>
    </row>
    <row r="23549" spans="1:1">
      <c r="A23549" s="35" t="s">
        <v>41057</v>
      </c>
    </row>
    <row r="23550" spans="1:1">
      <c r="A23550" s="35" t="s">
        <v>41057</v>
      </c>
    </row>
    <row r="23551" spans="1:1">
      <c r="A23551" s="35" t="s">
        <v>41057</v>
      </c>
    </row>
    <row r="23552" spans="1:1">
      <c r="A23552" s="35" t="s">
        <v>41057</v>
      </c>
    </row>
    <row r="23553" spans="1:1">
      <c r="A23553" s="35" t="e" cm="1">
        <f t="array" ref="A23553">-------------------------------------------VGMIEVCWMPNI---GN</f>
        <v>#NAME?</v>
      </c>
    </row>
    <row r="23554" spans="1:1">
      <c r="A23554" s="35" t="s">
        <v>59719</v>
      </c>
    </row>
    <row r="23555" spans="1:1">
      <c r="A23555" s="35" t="e" cm="1">
        <f t="array" ref="A23555">--------------RKDSVDMDNFLSW----------CIR------------------NK</f>
        <v>#NAME?</v>
      </c>
    </row>
    <row r="23556" spans="1:1">
      <c r="A23556" s="35" t="s">
        <v>59720</v>
      </c>
    </row>
    <row r="23557" spans="1:1">
      <c r="A23557" s="35" t="s">
        <v>41057</v>
      </c>
    </row>
    <row r="23558" spans="1:1">
      <c r="A23558" s="35" t="s">
        <v>41057</v>
      </c>
    </row>
    <row r="23559" spans="1:1">
      <c r="A23559" s="35" t="s">
        <v>59721</v>
      </c>
    </row>
    <row r="23560" spans="1:1">
      <c r="A23560" s="35" t="s">
        <v>41057</v>
      </c>
    </row>
    <row r="23561" spans="1:1">
      <c r="A23561" s="35" t="s">
        <v>56193</v>
      </c>
    </row>
    <row r="23562" spans="1:1">
      <c r="A23562" s="35" t="s">
        <v>59722</v>
      </c>
    </row>
    <row r="23563" spans="1:1">
      <c r="A23563" s="35" t="s">
        <v>59723</v>
      </c>
    </row>
    <row r="23564" spans="1:1">
      <c r="A23564" s="35" t="s">
        <v>41057</v>
      </c>
    </row>
    <row r="23565" spans="1:1">
      <c r="A23565" s="35" t="s">
        <v>41057</v>
      </c>
    </row>
    <row r="23566" spans="1:1">
      <c r="A23566" s="35" t="s">
        <v>41057</v>
      </c>
    </row>
    <row r="23567" spans="1:1">
      <c r="A23567" s="35" t="s">
        <v>59724</v>
      </c>
    </row>
    <row r="23568" spans="1:1">
      <c r="A23568" s="35" t="s">
        <v>59390</v>
      </c>
    </row>
    <row r="23569" spans="1:1">
      <c r="A23569" s="35" t="s">
        <v>41057</v>
      </c>
    </row>
    <row r="23570" spans="1:1">
      <c r="A23570" s="35" t="s">
        <v>41057</v>
      </c>
    </row>
    <row r="23571" spans="1:1">
      <c r="A23571" s="35" t="s">
        <v>59725</v>
      </c>
    </row>
    <row r="23572" spans="1:1">
      <c r="A23572" s="35" t="s">
        <v>59726</v>
      </c>
    </row>
    <row r="23573" spans="1:1">
      <c r="A23573" s="35" t="e" cm="1">
        <f t="array" ref="A23573">-----EY-----------------TTDIGGYKESILCQ-------GVL----VQYIREVI</f>
        <v>#NAME?</v>
      </c>
    </row>
    <row r="23574" spans="1:1">
      <c r="A23574" s="35" t="s">
        <v>41057</v>
      </c>
    </row>
    <row r="23575" spans="1:1">
      <c r="A23575" s="35" t="s">
        <v>59727</v>
      </c>
    </row>
    <row r="23576" spans="1:1">
      <c r="A23576" s="35" t="s">
        <v>41057</v>
      </c>
    </row>
    <row r="23577" spans="1:1">
      <c r="A23577" s="35" t="s">
        <v>59728</v>
      </c>
    </row>
    <row r="23578" spans="1:1">
      <c r="A23578" s="35" t="s">
        <v>41057</v>
      </c>
    </row>
    <row r="23579" spans="1:1">
      <c r="A23579" s="35" t="s">
        <v>59729</v>
      </c>
    </row>
    <row r="23580" spans="1:1">
      <c r="A23580" s="35" t="s">
        <v>41057</v>
      </c>
    </row>
    <row r="23581" spans="1:1">
      <c r="A23581" s="35" t="s">
        <v>59730</v>
      </c>
    </row>
    <row r="23582" spans="1:1">
      <c r="A23582" s="35" t="s">
        <v>41057</v>
      </c>
    </row>
    <row r="23583" spans="1:1">
      <c r="A23583" s="35" t="s">
        <v>59731</v>
      </c>
    </row>
    <row r="23584" spans="1:1">
      <c r="A23584" s="35" t="s">
        <v>41057</v>
      </c>
    </row>
    <row r="23585" spans="1:1">
      <c r="A23585" s="35" t="s">
        <v>41057</v>
      </c>
    </row>
    <row r="23586" spans="1:1">
      <c r="A23586" s="35" t="s">
        <v>41057</v>
      </c>
    </row>
    <row r="23587" spans="1:1">
      <c r="A23587" s="35" t="s">
        <v>41057</v>
      </c>
    </row>
    <row r="23588" spans="1:1">
      <c r="A23588" s="35" t="e" cm="1">
        <f t="array" ref="A23588">----------------------------------------------IYDVKSGYSPIEYI</f>
        <v>#NAME?</v>
      </c>
    </row>
    <row r="23589" spans="1:1">
      <c r="A23589" s="35" t="s">
        <v>59732</v>
      </c>
    </row>
    <row r="23590" spans="1:1">
      <c r="A23590" s="35" t="s">
        <v>59733</v>
      </c>
    </row>
    <row r="23591" spans="1:1">
      <c r="A23591" s="35" t="s">
        <v>59734</v>
      </c>
    </row>
    <row r="23592" spans="1:1">
      <c r="A23592" s="35" t="s">
        <v>59735</v>
      </c>
    </row>
    <row r="23593" spans="1:1">
      <c r="A23593" s="35" t="s">
        <v>59736</v>
      </c>
    </row>
    <row r="23594" spans="1:1">
      <c r="A23594" s="35" t="s">
        <v>59737</v>
      </c>
    </row>
    <row r="23595" spans="1:1">
      <c r="A23595" s="35" t="e" cm="1">
        <f t="array" ref="A23595">-------------------------------------------------------MQSKI</f>
        <v>#NAME?</v>
      </c>
    </row>
    <row r="23596" spans="1:1">
      <c r="A23596" s="35" t="s">
        <v>59738</v>
      </c>
    </row>
    <row r="23597" spans="1:1">
      <c r="A23597" s="35" t="s">
        <v>59739</v>
      </c>
    </row>
    <row r="23598" spans="1:1">
      <c r="A23598" s="35" t="s">
        <v>59740</v>
      </c>
    </row>
    <row r="23599" spans="1:1">
      <c r="A23599" s="35" t="s">
        <v>41057</v>
      </c>
    </row>
    <row r="23600" spans="1:1">
      <c r="A23600" s="35" t="s">
        <v>59741</v>
      </c>
    </row>
    <row r="23601" spans="1:1">
      <c r="A23601" s="35" t="s">
        <v>52763</v>
      </c>
    </row>
    <row r="23602" spans="1:1">
      <c r="A23602" s="35" t="s">
        <v>41057</v>
      </c>
    </row>
    <row r="23603" spans="1:1">
      <c r="A23603" s="35" t="s">
        <v>41057</v>
      </c>
    </row>
    <row r="23604" spans="1:1">
      <c r="A23604" s="35" t="s">
        <v>41057</v>
      </c>
    </row>
    <row r="23605" spans="1:1">
      <c r="A23605" s="35" t="s">
        <v>41057</v>
      </c>
    </row>
    <row r="23606" spans="1:1">
      <c r="A23606" s="35" t="s">
        <v>59742</v>
      </c>
    </row>
    <row r="23607" spans="1:1">
      <c r="A23607" s="35" t="s">
        <v>59743</v>
      </c>
    </row>
    <row r="23608" spans="1:1">
      <c r="A23608" s="35" t="s">
        <v>41057</v>
      </c>
    </row>
    <row r="23609" spans="1:1">
      <c r="A23609" s="35" t="s">
        <v>41057</v>
      </c>
    </row>
    <row r="23610" spans="1:1">
      <c r="A23610" s="35" t="s">
        <v>41057</v>
      </c>
    </row>
    <row r="23611" spans="1:1">
      <c r="A23611" s="35" t="s">
        <v>59744</v>
      </c>
    </row>
    <row r="23612" spans="1:1">
      <c r="A23612" s="35" t="s">
        <v>41057</v>
      </c>
    </row>
    <row r="23613" spans="1:1">
      <c r="A23613" s="35" t="s">
        <v>59745</v>
      </c>
    </row>
    <row r="23614" spans="1:1">
      <c r="A23614" s="35" t="s">
        <v>59746</v>
      </c>
    </row>
    <row r="23615" spans="1:1">
      <c r="A23615" s="35" t="s">
        <v>41057</v>
      </c>
    </row>
    <row r="23616" spans="1:1">
      <c r="A23616" s="35" t="s">
        <v>41057</v>
      </c>
    </row>
    <row r="23617" spans="1:1">
      <c r="A23617" s="35" t="e" cm="1">
        <f t="array" ref="A23617">---------------QITF------------------SKS-------------------V</f>
        <v>#NAME?</v>
      </c>
    </row>
    <row r="23618" spans="1:1">
      <c r="A23618" s="35" t="s">
        <v>53901</v>
      </c>
    </row>
    <row r="23619" spans="1:1">
      <c r="A23619" s="35" t="s">
        <v>59747</v>
      </c>
    </row>
    <row r="23620" spans="1:1">
      <c r="A23620" s="35" t="s">
        <v>41057</v>
      </c>
    </row>
    <row r="23621" spans="1:1">
      <c r="A23621" s="35" t="s">
        <v>59748</v>
      </c>
    </row>
    <row r="23622" spans="1:1">
      <c r="A23622" s="35" t="s">
        <v>41057</v>
      </c>
    </row>
    <row r="23623" spans="1:1">
      <c r="A23623" s="35" t="s">
        <v>41057</v>
      </c>
    </row>
    <row r="23624" spans="1:1">
      <c r="A23624" s="35" t="s">
        <v>59749</v>
      </c>
    </row>
    <row r="23625" spans="1:1">
      <c r="A23625" s="35" t="s">
        <v>41057</v>
      </c>
    </row>
    <row r="23626" spans="1:1">
      <c r="A23626" s="35" t="s">
        <v>41057</v>
      </c>
    </row>
    <row r="23627" spans="1:1">
      <c r="A23627" s="35" t="s">
        <v>41057</v>
      </c>
    </row>
    <row r="23628" spans="1:1">
      <c r="A23628" s="35" t="s">
        <v>41057</v>
      </c>
    </row>
    <row r="23629" spans="1:1">
      <c r="A23629" s="35" t="s">
        <v>41057</v>
      </c>
    </row>
    <row r="23630" spans="1:1">
      <c r="A23630" s="35" t="s">
        <v>59750</v>
      </c>
    </row>
    <row r="23631" spans="1:1">
      <c r="A23631" s="35" t="s">
        <v>59751</v>
      </c>
    </row>
    <row r="23632" spans="1:1">
      <c r="A23632" s="35" t="s">
        <v>59752</v>
      </c>
    </row>
    <row r="23633" spans="1:1">
      <c r="A23633" s="35" t="s">
        <v>41057</v>
      </c>
    </row>
    <row r="23634" spans="1:1">
      <c r="A23634" s="35" t="s">
        <v>59753</v>
      </c>
    </row>
    <row r="23635" spans="1:1">
      <c r="A23635" s="35" t="s">
        <v>59754</v>
      </c>
    </row>
    <row r="23636" spans="1:1">
      <c r="A23636" s="35" t="s">
        <v>41057</v>
      </c>
    </row>
    <row r="23637" spans="1:1">
      <c r="A23637" s="35" t="s">
        <v>41057</v>
      </c>
    </row>
    <row r="23638" spans="1:1">
      <c r="A23638" s="35" t="s">
        <v>59755</v>
      </c>
    </row>
    <row r="23639" spans="1:1">
      <c r="A23639" s="35" t="s">
        <v>41057</v>
      </c>
    </row>
    <row r="23640" spans="1:1">
      <c r="A23640" s="35" t="s">
        <v>41057</v>
      </c>
    </row>
    <row r="23641" spans="1:1">
      <c r="A23641" s="35" t="s">
        <v>41057</v>
      </c>
    </row>
    <row r="23642" spans="1:1">
      <c r="A23642" s="35" t="s">
        <v>41057</v>
      </c>
    </row>
    <row r="23643" spans="1:1">
      <c r="A23643" s="35" t="s">
        <v>41057</v>
      </c>
    </row>
    <row r="23644" spans="1:1">
      <c r="A23644" s="35" t="s">
        <v>41057</v>
      </c>
    </row>
    <row r="23645" spans="1:1">
      <c r="A23645" s="35" t="s">
        <v>41057</v>
      </c>
    </row>
    <row r="23646" spans="1:1">
      <c r="A23646" s="35" t="s">
        <v>41057</v>
      </c>
    </row>
    <row r="23647" spans="1:1">
      <c r="A23647" s="35" t="s">
        <v>41057</v>
      </c>
    </row>
    <row r="23648" spans="1:1">
      <c r="A23648" s="35" t="s">
        <v>41057</v>
      </c>
    </row>
    <row r="23649" spans="1:1">
      <c r="A23649" s="35" t="s">
        <v>41057</v>
      </c>
    </row>
    <row r="23650" spans="1:1">
      <c r="A23650" s="35" t="s">
        <v>41057</v>
      </c>
    </row>
    <row r="23651" spans="1:1">
      <c r="A23651" s="35" t="s">
        <v>41057</v>
      </c>
    </row>
    <row r="23652" spans="1:1">
      <c r="A23652" s="35" t="s">
        <v>41057</v>
      </c>
    </row>
    <row r="23653" spans="1:1">
      <c r="A23653" s="35" t="s">
        <v>41057</v>
      </c>
    </row>
    <row r="23654" spans="1:1">
      <c r="A23654" s="35" t="s">
        <v>41057</v>
      </c>
    </row>
    <row r="23655" spans="1:1">
      <c r="A23655" s="35" t="s">
        <v>41057</v>
      </c>
    </row>
    <row r="23656" spans="1:1">
      <c r="A23656" s="35" t="s">
        <v>41057</v>
      </c>
    </row>
    <row r="23657" spans="1:1">
      <c r="A23657" s="35" t="s">
        <v>41057</v>
      </c>
    </row>
    <row r="23658" spans="1:1">
      <c r="A23658" s="35" t="s">
        <v>41057</v>
      </c>
    </row>
    <row r="23659" spans="1:1">
      <c r="A23659" s="35" t="s">
        <v>41057</v>
      </c>
    </row>
    <row r="23660" spans="1:1">
      <c r="A23660" s="35" t="s">
        <v>41057</v>
      </c>
    </row>
    <row r="23661" spans="1:1">
      <c r="A23661" s="35" t="s">
        <v>41057</v>
      </c>
    </row>
    <row r="23662" spans="1:1">
      <c r="A23662" s="35" t="s">
        <v>41057</v>
      </c>
    </row>
    <row r="23663" spans="1:1">
      <c r="A23663" s="35" t="s">
        <v>55583</v>
      </c>
    </row>
    <row r="23664" spans="1:1">
      <c r="A23664" s="35" t="s">
        <v>41057</v>
      </c>
    </row>
    <row r="23665" spans="1:1">
      <c r="A23665" s="35" t="s">
        <v>41057</v>
      </c>
    </row>
    <row r="23666" spans="1:1">
      <c r="A23666" s="35" t="s">
        <v>41057</v>
      </c>
    </row>
    <row r="23667" spans="1:1">
      <c r="A23667" s="35" t="s">
        <v>41057</v>
      </c>
    </row>
    <row r="23668" spans="1:1">
      <c r="A23668" s="35" t="s">
        <v>41057</v>
      </c>
    </row>
    <row r="23669" spans="1:1">
      <c r="A23669" s="35" t="s">
        <v>41057</v>
      </c>
    </row>
    <row r="23670" spans="1:1">
      <c r="A23670" s="35" t="s">
        <v>41057</v>
      </c>
    </row>
    <row r="23671" spans="1:1">
      <c r="A23671" s="35" t="e" cm="1">
        <f t="array" ref="A23671">----------------------------------------------------------TN</f>
        <v>#NAME?</v>
      </c>
    </row>
    <row r="23672" spans="1:1">
      <c r="A23672" s="35" t="s">
        <v>59756</v>
      </c>
    </row>
    <row r="23673" spans="1:1">
      <c r="A23673" s="35" t="e" cm="1">
        <f t="array" ref="A23673">----------------------------------------------------------KA</f>
        <v>#NAME?</v>
      </c>
    </row>
    <row r="23674" spans="1:1">
      <c r="A23674" s="35" t="s">
        <v>48721</v>
      </c>
    </row>
    <row r="23675" spans="1:1">
      <c r="A23675" s="35" t="s">
        <v>41057</v>
      </c>
    </row>
    <row r="23676" spans="1:1">
      <c r="A23676" s="35" t="s">
        <v>58994</v>
      </c>
    </row>
    <row r="23677" spans="1:1">
      <c r="A23677" s="35" t="s">
        <v>59757</v>
      </c>
    </row>
    <row r="23678" spans="1:1">
      <c r="A23678" s="35" t="s">
        <v>41057</v>
      </c>
    </row>
    <row r="23679" spans="1:1">
      <c r="A23679" s="35" t="s">
        <v>59758</v>
      </c>
    </row>
    <row r="23680" spans="1:1">
      <c r="A23680" s="35" t="s">
        <v>59759</v>
      </c>
    </row>
    <row r="23681" spans="1:1">
      <c r="A23681" s="35" t="s">
        <v>59760</v>
      </c>
    </row>
    <row r="23682" spans="1:1">
      <c r="A23682" s="35" t="s">
        <v>59761</v>
      </c>
    </row>
    <row r="23683" spans="1:1">
      <c r="A23683" s="35" t="s">
        <v>41057</v>
      </c>
    </row>
    <row r="23684" spans="1:1">
      <c r="A23684" s="35" t="s">
        <v>41057</v>
      </c>
    </row>
    <row r="23685" spans="1:1">
      <c r="A23685" s="35" t="s">
        <v>41057</v>
      </c>
    </row>
    <row r="23686" spans="1:1">
      <c r="A23686" s="35" t="s">
        <v>41057</v>
      </c>
    </row>
    <row r="23687" spans="1:1">
      <c r="A23687" s="35" t="s">
        <v>41057</v>
      </c>
    </row>
    <row r="23688" spans="1:1">
      <c r="A23688" s="35" t="s">
        <v>41057</v>
      </c>
    </row>
    <row r="23689" spans="1:1">
      <c r="A23689" s="35" t="s">
        <v>59762</v>
      </c>
    </row>
    <row r="23690" spans="1:1">
      <c r="A23690" s="35" t="s">
        <v>59763</v>
      </c>
    </row>
    <row r="23691" spans="1:1">
      <c r="A23691" s="35" t="s">
        <v>59764</v>
      </c>
    </row>
    <row r="23692" spans="1:1">
      <c r="A23692" s="35" t="s">
        <v>41057</v>
      </c>
    </row>
    <row r="23693" spans="1:1">
      <c r="A23693" s="35" t="s">
        <v>41057</v>
      </c>
    </row>
    <row r="23694" spans="1:1">
      <c r="A23694" s="35" t="s">
        <v>41057</v>
      </c>
    </row>
    <row r="23695" spans="1:1">
      <c r="A23695" s="35" t="s">
        <v>59765</v>
      </c>
    </row>
    <row r="23696" spans="1:1">
      <c r="A23696" s="35" t="e" cm="1">
        <f t="array" ref="A23696">------------------------------------------------------KRGITY</f>
        <v>#NAME?</v>
      </c>
    </row>
    <row r="23697" spans="1:1">
      <c r="A23697" s="35" t="s">
        <v>59766</v>
      </c>
    </row>
    <row r="23698" spans="1:1">
      <c r="A23698" s="35" t="s">
        <v>41057</v>
      </c>
    </row>
    <row r="23699" spans="1:1">
      <c r="A23699" s="35" t="s">
        <v>41057</v>
      </c>
    </row>
    <row r="23700" spans="1:1">
      <c r="A23700" s="35" t="s">
        <v>41057</v>
      </c>
    </row>
    <row r="23701" spans="1:1">
      <c r="A23701" s="35" t="s">
        <v>41057</v>
      </c>
    </row>
    <row r="23702" spans="1:1">
      <c r="A23702" s="35" t="s">
        <v>41057</v>
      </c>
    </row>
    <row r="23703" spans="1:1">
      <c r="A23703" s="35" t="s">
        <v>41057</v>
      </c>
    </row>
    <row r="23704" spans="1:1">
      <c r="A23704" s="35" t="s">
        <v>41057</v>
      </c>
    </row>
    <row r="23705" spans="1:1">
      <c r="A23705" s="35" t="s">
        <v>41057</v>
      </c>
    </row>
    <row r="23706" spans="1:1">
      <c r="A23706" s="35" t="s">
        <v>41057</v>
      </c>
    </row>
    <row r="23707" spans="1:1">
      <c r="A23707" s="35" t="s">
        <v>59767</v>
      </c>
    </row>
    <row r="23708" spans="1:1">
      <c r="A23708" s="35" t="s">
        <v>59768</v>
      </c>
    </row>
    <row r="23709" spans="1:1">
      <c r="A23709" s="35" t="s">
        <v>59769</v>
      </c>
    </row>
    <row r="23710" spans="1:1">
      <c r="A23710" s="35" t="e" cm="1">
        <f t="array" ref="A23710">--------------THNIYLC-----------QFTMSMY-ALIQ-SYQP-YGH----KVL</f>
        <v>#NAME?</v>
      </c>
    </row>
    <row r="23711" spans="1:1">
      <c r="A23711" s="35" t="s">
        <v>59770</v>
      </c>
    </row>
    <row r="23712" spans="1:1">
      <c r="A23712" s="35" t="s">
        <v>54987</v>
      </c>
    </row>
    <row r="23713" spans="1:1">
      <c r="A23713" s="35" t="s">
        <v>41057</v>
      </c>
    </row>
    <row r="23714" spans="1:1">
      <c r="A23714" s="35" t="s">
        <v>59771</v>
      </c>
    </row>
    <row r="23715" spans="1:1">
      <c r="A23715" s="35" t="s">
        <v>59772</v>
      </c>
    </row>
    <row r="23716" spans="1:1">
      <c r="A23716" s="35" t="s">
        <v>59773</v>
      </c>
    </row>
    <row r="23717" spans="1:1">
      <c r="A23717" s="35" t="s">
        <v>59774</v>
      </c>
    </row>
    <row r="23718" spans="1:1">
      <c r="A23718" s="35" t="e" cm="1">
        <f t="array" ref="A23718">---------------------I--------D--I</f>
        <v>#NAME?</v>
      </c>
    </row>
    <row r="23719" spans="1:1">
      <c r="A23719" s="35" t="s">
        <v>59775</v>
      </c>
    </row>
    <row r="23720" spans="1:1">
      <c r="A23720" s="35" t="s">
        <v>41057</v>
      </c>
    </row>
    <row r="23721" spans="1:1">
      <c r="A23721" s="35" t="s">
        <v>41057</v>
      </c>
    </row>
    <row r="23722" spans="1:1">
      <c r="A23722" s="35" t="s">
        <v>41057</v>
      </c>
    </row>
    <row r="23723" spans="1:1">
      <c r="A23723" s="35" t="s">
        <v>41057</v>
      </c>
    </row>
    <row r="23724" spans="1:1">
      <c r="A23724" s="35" t="s">
        <v>41057</v>
      </c>
    </row>
    <row r="23725" spans="1:1">
      <c r="A23725" s="35" t="s">
        <v>41057</v>
      </c>
    </row>
    <row r="23726" spans="1:1">
      <c r="A23726" s="35" t="s">
        <v>41057</v>
      </c>
    </row>
    <row r="23727" spans="1:1">
      <c r="A23727" s="35" t="s">
        <v>41057</v>
      </c>
    </row>
    <row r="23728" spans="1:1">
      <c r="A23728" s="35" t="s">
        <v>41057</v>
      </c>
    </row>
    <row r="23729" spans="1:1">
      <c r="A23729" s="35" t="s">
        <v>41057</v>
      </c>
    </row>
    <row r="23730" spans="1:1">
      <c r="A23730" s="35" t="s">
        <v>41057</v>
      </c>
    </row>
    <row r="23731" spans="1:1">
      <c r="A23731" s="35" t="s">
        <v>59776</v>
      </c>
    </row>
    <row r="23732" spans="1:1">
      <c r="A23732" s="35" t="s">
        <v>41057</v>
      </c>
    </row>
    <row r="23733" spans="1:1">
      <c r="A23733" s="35" t="s">
        <v>41057</v>
      </c>
    </row>
    <row r="23734" spans="1:1">
      <c r="A23734" s="35" t="s">
        <v>41057</v>
      </c>
    </row>
    <row r="23735" spans="1:1">
      <c r="A23735" s="35" t="s">
        <v>41057</v>
      </c>
    </row>
    <row r="23736" spans="1:1">
      <c r="A23736" s="35" t="s">
        <v>41057</v>
      </c>
    </row>
    <row r="23737" spans="1:1">
      <c r="A23737" s="35" t="s">
        <v>41057</v>
      </c>
    </row>
    <row r="23738" spans="1:1">
      <c r="A23738" s="35" t="s">
        <v>41057</v>
      </c>
    </row>
    <row r="23739" spans="1:1">
      <c r="A23739" s="35" t="s">
        <v>41057</v>
      </c>
    </row>
    <row r="23740" spans="1:1">
      <c r="A23740" s="35" t="s">
        <v>41057</v>
      </c>
    </row>
    <row r="23741" spans="1:1">
      <c r="A23741" s="35" t="s">
        <v>41057</v>
      </c>
    </row>
    <row r="23742" spans="1:1">
      <c r="A23742" s="35" t="s">
        <v>41057</v>
      </c>
    </row>
    <row r="23743" spans="1:1">
      <c r="A23743" s="35" t="s">
        <v>41057</v>
      </c>
    </row>
    <row r="23744" spans="1:1">
      <c r="A23744" s="35" t="s">
        <v>41057</v>
      </c>
    </row>
    <row r="23745" spans="1:1">
      <c r="A23745" s="35" t="s">
        <v>41057</v>
      </c>
    </row>
    <row r="23746" spans="1:1">
      <c r="A23746" s="35" t="s">
        <v>41057</v>
      </c>
    </row>
    <row r="23747" spans="1:1">
      <c r="A23747" s="35" t="s">
        <v>41057</v>
      </c>
    </row>
    <row r="23748" spans="1:1">
      <c r="A23748" s="35" t="s">
        <v>41057</v>
      </c>
    </row>
    <row r="23749" spans="1:1">
      <c r="A23749" s="35" t="s">
        <v>41057</v>
      </c>
    </row>
    <row r="23750" spans="1:1">
      <c r="A23750" s="35" t="s">
        <v>59777</v>
      </c>
    </row>
    <row r="23751" spans="1:1">
      <c r="A23751" s="35" t="s">
        <v>41057</v>
      </c>
    </row>
    <row r="23752" spans="1:1">
      <c r="A23752" s="35" t="s">
        <v>59778</v>
      </c>
    </row>
    <row r="23753" spans="1:1">
      <c r="A23753" s="35" t="s">
        <v>41057</v>
      </c>
    </row>
    <row r="23754" spans="1:1">
      <c r="A23754" s="35" t="s">
        <v>41057</v>
      </c>
    </row>
    <row r="23755" spans="1:1">
      <c r="A23755" s="35" t="s">
        <v>41057</v>
      </c>
    </row>
    <row r="23756" spans="1:1">
      <c r="A23756" s="35" t="s">
        <v>41057</v>
      </c>
    </row>
    <row r="23757" spans="1:1">
      <c r="A23757" s="35" t="s">
        <v>41057</v>
      </c>
    </row>
    <row r="23758" spans="1:1">
      <c r="A23758" s="35" t="s">
        <v>41057</v>
      </c>
    </row>
    <row r="23759" spans="1:1">
      <c r="A23759" s="35" t="s">
        <v>41057</v>
      </c>
    </row>
    <row r="23760" spans="1:1">
      <c r="A23760" s="35" t="s">
        <v>41057</v>
      </c>
    </row>
    <row r="23761" spans="1:1">
      <c r="A23761" s="35" t="s">
        <v>41057</v>
      </c>
    </row>
    <row r="23762" spans="1:1">
      <c r="A23762" s="35" t="s">
        <v>41057</v>
      </c>
    </row>
    <row r="23763" spans="1:1">
      <c r="A23763" s="35" t="s">
        <v>41057</v>
      </c>
    </row>
    <row r="23764" spans="1:1">
      <c r="A23764" s="35" t="s">
        <v>41057</v>
      </c>
    </row>
    <row r="23765" spans="1:1">
      <c r="A23765" s="35" t="s">
        <v>41057</v>
      </c>
    </row>
    <row r="23766" spans="1:1">
      <c r="A23766" s="35" t="s">
        <v>41057</v>
      </c>
    </row>
    <row r="23767" spans="1:1">
      <c r="A23767" s="35" t="s">
        <v>41057</v>
      </c>
    </row>
    <row r="23768" spans="1:1">
      <c r="A23768" s="35" t="s">
        <v>41057</v>
      </c>
    </row>
    <row r="23769" spans="1:1">
      <c r="A23769" s="35" t="s">
        <v>41057</v>
      </c>
    </row>
    <row r="23770" spans="1:1">
      <c r="A23770" s="35" t="s">
        <v>41057</v>
      </c>
    </row>
    <row r="23771" spans="1:1">
      <c r="A23771" s="35" t="s">
        <v>41057</v>
      </c>
    </row>
    <row r="23772" spans="1:1">
      <c r="A23772" s="35" t="s">
        <v>41057</v>
      </c>
    </row>
    <row r="23773" spans="1:1">
      <c r="A23773" s="35" t="s">
        <v>41057</v>
      </c>
    </row>
    <row r="23774" spans="1:1">
      <c r="A23774" s="35" t="s">
        <v>41057</v>
      </c>
    </row>
    <row r="23775" spans="1:1">
      <c r="A23775" s="35" t="s">
        <v>41057</v>
      </c>
    </row>
    <row r="23776" spans="1:1">
      <c r="A23776" s="35" t="s">
        <v>41057</v>
      </c>
    </row>
    <row r="23777" spans="1:1">
      <c r="A23777" s="35" t="s">
        <v>41057</v>
      </c>
    </row>
    <row r="23778" spans="1:1">
      <c r="A23778" s="35" t="s">
        <v>41057</v>
      </c>
    </row>
    <row r="23779" spans="1:1">
      <c r="A23779" s="35" t="s">
        <v>41057</v>
      </c>
    </row>
    <row r="23780" spans="1:1">
      <c r="A23780" s="35" t="s">
        <v>41057</v>
      </c>
    </row>
    <row r="23781" spans="1:1">
      <c r="A23781" s="35" t="s">
        <v>41057</v>
      </c>
    </row>
    <row r="23782" spans="1:1">
      <c r="A23782" s="35" t="s">
        <v>41057</v>
      </c>
    </row>
    <row r="23783" spans="1:1">
      <c r="A23783" s="35" t="s">
        <v>41057</v>
      </c>
    </row>
    <row r="23784" spans="1:1">
      <c r="A23784" s="35" t="s">
        <v>41057</v>
      </c>
    </row>
    <row r="23785" spans="1:1">
      <c r="A23785" s="35" t="s">
        <v>41057</v>
      </c>
    </row>
    <row r="23786" spans="1:1">
      <c r="A23786" s="35" t="s">
        <v>41057</v>
      </c>
    </row>
    <row r="23787" spans="1:1">
      <c r="A23787" s="35" t="s">
        <v>41057</v>
      </c>
    </row>
    <row r="23788" spans="1:1">
      <c r="A23788" s="35" t="s">
        <v>41057</v>
      </c>
    </row>
    <row r="23789" spans="1:1">
      <c r="A23789" s="35" t="s">
        <v>41057</v>
      </c>
    </row>
    <row r="23790" spans="1:1">
      <c r="A23790" s="35" t="s">
        <v>41057</v>
      </c>
    </row>
    <row r="23791" spans="1:1">
      <c r="A23791" s="35" t="s">
        <v>41057</v>
      </c>
    </row>
    <row r="23792" spans="1:1">
      <c r="A23792" s="35" t="s">
        <v>41057</v>
      </c>
    </row>
    <row r="23793" spans="1:1">
      <c r="A23793" s="35" t="s">
        <v>41057</v>
      </c>
    </row>
    <row r="23794" spans="1:1">
      <c r="A23794" s="35" t="s">
        <v>41057</v>
      </c>
    </row>
    <row r="23795" spans="1:1">
      <c r="A23795" s="35" t="s">
        <v>59779</v>
      </c>
    </row>
    <row r="23796" spans="1:1">
      <c r="A23796" s="35" t="s">
        <v>41057</v>
      </c>
    </row>
    <row r="23797" spans="1:1">
      <c r="A23797" s="35" t="s">
        <v>41057</v>
      </c>
    </row>
    <row r="23798" spans="1:1">
      <c r="A23798" s="35" t="s">
        <v>59780</v>
      </c>
    </row>
    <row r="23799" spans="1:1">
      <c r="A23799" s="35" t="s">
        <v>59781</v>
      </c>
    </row>
    <row r="23800" spans="1:1">
      <c r="A23800" s="35" t="s">
        <v>41057</v>
      </c>
    </row>
    <row r="23801" spans="1:1">
      <c r="A23801" s="35" t="s">
        <v>41057</v>
      </c>
    </row>
    <row r="23802" spans="1:1">
      <c r="A23802" s="35" t="s">
        <v>41057</v>
      </c>
    </row>
    <row r="23803" spans="1:1">
      <c r="A23803" s="35" t="s">
        <v>41057</v>
      </c>
    </row>
    <row r="23804" spans="1:1">
      <c r="A23804" s="35" t="s">
        <v>41057</v>
      </c>
    </row>
    <row r="23805" spans="1:1">
      <c r="A23805" s="35" t="s">
        <v>41057</v>
      </c>
    </row>
    <row r="23806" spans="1:1">
      <c r="A23806" s="35" t="s">
        <v>41057</v>
      </c>
    </row>
    <row r="23807" spans="1:1">
      <c r="A23807" s="35" t="s">
        <v>41057</v>
      </c>
    </row>
    <row r="23808" spans="1:1">
      <c r="A23808" s="35" t="s">
        <v>59782</v>
      </c>
    </row>
    <row r="23809" spans="1:1">
      <c r="A23809" s="35" t="s">
        <v>59783</v>
      </c>
    </row>
    <row r="23810" spans="1:1">
      <c r="A23810" s="35" t="s">
        <v>41057</v>
      </c>
    </row>
    <row r="23811" spans="1:1">
      <c r="A23811" s="35" t="s">
        <v>41057</v>
      </c>
    </row>
    <row r="23812" spans="1:1">
      <c r="A23812" s="35" t="s">
        <v>41057</v>
      </c>
    </row>
    <row r="23813" spans="1:1">
      <c r="A23813" s="35" t="s">
        <v>59784</v>
      </c>
    </row>
    <row r="23814" spans="1:1">
      <c r="A23814" s="35" t="s">
        <v>41057</v>
      </c>
    </row>
    <row r="23815" spans="1:1">
      <c r="A23815" s="35" t="s">
        <v>59785</v>
      </c>
    </row>
    <row r="23816" spans="1:1">
      <c r="A23816" s="35" t="s">
        <v>41057</v>
      </c>
    </row>
    <row r="23817" spans="1:1">
      <c r="A23817" s="35" t="s">
        <v>41057</v>
      </c>
    </row>
    <row r="23818" spans="1:1">
      <c r="A23818" s="35" t="s">
        <v>41057</v>
      </c>
    </row>
    <row r="23819" spans="1:1">
      <c r="A23819" s="35" t="s">
        <v>41057</v>
      </c>
    </row>
    <row r="23820" spans="1:1">
      <c r="A23820" s="35" t="s">
        <v>41057</v>
      </c>
    </row>
    <row r="23821" spans="1:1">
      <c r="A23821" s="35" t="s">
        <v>41057</v>
      </c>
    </row>
    <row r="23822" spans="1:1">
      <c r="A23822" s="35" t="s">
        <v>41057</v>
      </c>
    </row>
    <row r="23823" spans="1:1">
      <c r="A23823" s="35" t="s">
        <v>41057</v>
      </c>
    </row>
    <row r="23824" spans="1:1">
      <c r="A23824" s="35" t="s">
        <v>41057</v>
      </c>
    </row>
    <row r="23825" spans="1:1">
      <c r="A23825" s="35" t="s">
        <v>41057</v>
      </c>
    </row>
    <row r="23826" spans="1:1">
      <c r="A23826" s="35" t="s">
        <v>41057</v>
      </c>
    </row>
    <row r="23827" spans="1:1">
      <c r="A23827" s="35" t="s">
        <v>59786</v>
      </c>
    </row>
    <row r="23828" spans="1:1">
      <c r="A23828" s="35" t="s">
        <v>59787</v>
      </c>
    </row>
    <row r="23829" spans="1:1">
      <c r="A23829" s="35" t="s">
        <v>59788</v>
      </c>
    </row>
    <row r="23830" spans="1:1">
      <c r="A23830" s="35" t="s">
        <v>50419</v>
      </c>
    </row>
    <row r="23831" spans="1:1">
      <c r="A23831" s="35" t="s">
        <v>41057</v>
      </c>
    </row>
    <row r="23832" spans="1:1">
      <c r="A23832" s="35" t="s">
        <v>59789</v>
      </c>
    </row>
    <row r="23833" spans="1:1">
      <c r="A23833" s="35" t="s">
        <v>41057</v>
      </c>
    </row>
    <row r="23834" spans="1:1">
      <c r="A23834" s="35" t="s">
        <v>41057</v>
      </c>
    </row>
    <row r="23835" spans="1:1">
      <c r="A23835" s="35" t="s">
        <v>41057</v>
      </c>
    </row>
    <row r="23836" spans="1:1">
      <c r="A23836" s="35" t="s">
        <v>53545</v>
      </c>
    </row>
    <row r="23837" spans="1:1">
      <c r="A23837" s="35" t="s">
        <v>59790</v>
      </c>
    </row>
    <row r="23838" spans="1:1">
      <c r="A23838" s="35" t="s">
        <v>41057</v>
      </c>
    </row>
    <row r="23839" spans="1:1">
      <c r="A23839" s="35" t="s">
        <v>41057</v>
      </c>
    </row>
    <row r="23840" spans="1:1">
      <c r="A23840" s="35" t="s">
        <v>41057</v>
      </c>
    </row>
    <row r="23841" spans="1:1">
      <c r="A23841" s="35" t="s">
        <v>41057</v>
      </c>
    </row>
    <row r="23842" spans="1:1">
      <c r="A23842" s="35" t="s">
        <v>41057</v>
      </c>
    </row>
    <row r="23843" spans="1:1">
      <c r="A23843" s="35" t="s">
        <v>41057</v>
      </c>
    </row>
    <row r="23844" spans="1:1">
      <c r="A23844" s="35" t="s">
        <v>41057</v>
      </c>
    </row>
    <row r="23845" spans="1:1">
      <c r="A23845" s="35" t="s">
        <v>41057</v>
      </c>
    </row>
    <row r="23846" spans="1:1">
      <c r="A23846" s="35" t="s">
        <v>41057</v>
      </c>
    </row>
    <row r="23847" spans="1:1">
      <c r="A23847" s="35" t="s">
        <v>57979</v>
      </c>
    </row>
    <row r="23848" spans="1:1">
      <c r="A23848" s="35" t="s">
        <v>59791</v>
      </c>
    </row>
    <row r="23849" spans="1:1">
      <c r="A23849" s="35" t="s">
        <v>59792</v>
      </c>
    </row>
    <row r="23850" spans="1:1">
      <c r="A23850" s="35" t="s">
        <v>59793</v>
      </c>
    </row>
    <row r="23851" spans="1:1">
      <c r="A23851" s="35" t="s">
        <v>41057</v>
      </c>
    </row>
    <row r="23852" spans="1:1">
      <c r="A23852" s="35" t="s">
        <v>41057</v>
      </c>
    </row>
    <row r="23853" spans="1:1">
      <c r="A23853" s="35" t="e" cm="1">
        <f t="array" ref="A23853">---------------ETEHNHIL--------------FTDSS-----------------N</f>
        <v>#NAME?</v>
      </c>
    </row>
    <row r="23854" spans="1:1">
      <c r="A23854" s="35" t="s">
        <v>59794</v>
      </c>
    </row>
    <row r="23855" spans="1:1">
      <c r="A23855" s="35" t="s">
        <v>59795</v>
      </c>
    </row>
    <row r="23856" spans="1:1">
      <c r="A23856" s="35" t="s">
        <v>41057</v>
      </c>
    </row>
    <row r="23857" spans="1:1">
      <c r="A23857" s="35" t="s">
        <v>41057</v>
      </c>
    </row>
    <row r="23858" spans="1:1">
      <c r="A23858" s="35" t="s">
        <v>41057</v>
      </c>
    </row>
    <row r="23859" spans="1:1">
      <c r="A23859" s="35" t="s">
        <v>41057</v>
      </c>
    </row>
    <row r="23860" spans="1:1">
      <c r="A23860" s="35" t="s">
        <v>41057</v>
      </c>
    </row>
    <row r="23861" spans="1:1">
      <c r="A23861" s="35" t="s">
        <v>41057</v>
      </c>
    </row>
    <row r="23862" spans="1:1">
      <c r="A23862" s="35" t="s">
        <v>41057</v>
      </c>
    </row>
    <row r="23863" spans="1:1">
      <c r="A23863" s="35" t="s">
        <v>55634</v>
      </c>
    </row>
    <row r="23864" spans="1:1">
      <c r="A23864" s="35" t="s">
        <v>41057</v>
      </c>
    </row>
    <row r="23865" spans="1:1">
      <c r="A23865" s="35" t="s">
        <v>41057</v>
      </c>
    </row>
    <row r="23866" spans="1:1">
      <c r="A23866" s="35" t="s">
        <v>41057</v>
      </c>
    </row>
    <row r="23867" spans="1:1">
      <c r="A23867" s="35" t="s">
        <v>41057</v>
      </c>
    </row>
    <row r="23868" spans="1:1">
      <c r="A23868" s="35" t="s">
        <v>59796</v>
      </c>
    </row>
    <row r="23869" spans="1:1">
      <c r="A23869" s="35" t="s">
        <v>41057</v>
      </c>
    </row>
    <row r="23870" spans="1:1">
      <c r="A23870" s="35" t="s">
        <v>59797</v>
      </c>
    </row>
    <row r="23871" spans="1:1">
      <c r="A23871" s="35" t="s">
        <v>59798</v>
      </c>
    </row>
    <row r="23872" spans="1:1">
      <c r="A23872" s="35" t="s">
        <v>41057</v>
      </c>
    </row>
    <row r="23873" spans="1:1">
      <c r="A23873" s="35" t="s">
        <v>41057</v>
      </c>
    </row>
    <row r="23874" spans="1:1">
      <c r="A23874" s="35" t="s">
        <v>41057</v>
      </c>
    </row>
    <row r="23875" spans="1:1">
      <c r="A23875" s="35" t="s">
        <v>41057</v>
      </c>
    </row>
    <row r="23876" spans="1:1">
      <c r="A23876" s="35" t="s">
        <v>41057</v>
      </c>
    </row>
    <row r="23877" spans="1:1">
      <c r="A23877" s="35" t="s">
        <v>41057</v>
      </c>
    </row>
    <row r="23878" spans="1:1">
      <c r="A23878" s="35" t="s">
        <v>41057</v>
      </c>
    </row>
    <row r="23879" spans="1:1">
      <c r="A23879" s="35" t="s">
        <v>41057</v>
      </c>
    </row>
    <row r="23880" spans="1:1">
      <c r="A23880" s="35" t="s">
        <v>41057</v>
      </c>
    </row>
    <row r="23881" spans="1:1">
      <c r="A23881" s="35" t="s">
        <v>41057</v>
      </c>
    </row>
    <row r="23882" spans="1:1">
      <c r="A23882" s="35" t="s">
        <v>41057</v>
      </c>
    </row>
    <row r="23883" spans="1:1">
      <c r="A23883" s="35" t="s">
        <v>41057</v>
      </c>
    </row>
    <row r="23884" spans="1:1">
      <c r="A23884" s="35" t="s">
        <v>41057</v>
      </c>
    </row>
    <row r="23885" spans="1:1">
      <c r="A23885" s="35" t="s">
        <v>41057</v>
      </c>
    </row>
    <row r="23886" spans="1:1">
      <c r="A23886" s="35" t="s">
        <v>41057</v>
      </c>
    </row>
    <row r="23887" spans="1:1">
      <c r="A23887" s="35" t="s">
        <v>41057</v>
      </c>
    </row>
    <row r="23888" spans="1:1">
      <c r="A23888" s="35" t="s">
        <v>41057</v>
      </c>
    </row>
    <row r="23889" spans="1:1">
      <c r="A23889" s="35" t="s">
        <v>41057</v>
      </c>
    </row>
    <row r="23890" spans="1:1">
      <c r="A23890" s="35" t="s">
        <v>41057</v>
      </c>
    </row>
    <row r="23891" spans="1:1">
      <c r="A23891" s="35" t="s">
        <v>41057</v>
      </c>
    </row>
    <row r="23892" spans="1:1">
      <c r="A23892" s="35" t="s">
        <v>41057</v>
      </c>
    </row>
    <row r="23893" spans="1:1">
      <c r="A23893" s="35" t="s">
        <v>41057</v>
      </c>
    </row>
    <row r="23894" spans="1:1">
      <c r="A23894" s="35" t="s">
        <v>41057</v>
      </c>
    </row>
    <row r="23895" spans="1:1">
      <c r="A23895" s="35" t="s">
        <v>41057</v>
      </c>
    </row>
    <row r="23896" spans="1:1">
      <c r="A23896" s="35" t="s">
        <v>41057</v>
      </c>
    </row>
    <row r="23897" spans="1:1">
      <c r="A23897" s="35" t="s">
        <v>41057</v>
      </c>
    </row>
    <row r="23898" spans="1:1">
      <c r="A23898" s="35" t="s">
        <v>41057</v>
      </c>
    </row>
    <row r="23899" spans="1:1">
      <c r="A23899" s="35" t="s">
        <v>41057</v>
      </c>
    </row>
    <row r="23900" spans="1:1">
      <c r="A23900" s="35" t="s">
        <v>41057</v>
      </c>
    </row>
    <row r="23901" spans="1:1">
      <c r="A23901" s="35" t="s">
        <v>41057</v>
      </c>
    </row>
    <row r="23902" spans="1:1">
      <c r="A23902" s="35" t="s">
        <v>41057</v>
      </c>
    </row>
    <row r="23903" spans="1:1">
      <c r="A23903" s="35" t="s">
        <v>41057</v>
      </c>
    </row>
    <row r="23904" spans="1:1">
      <c r="A23904" s="35" t="s">
        <v>41057</v>
      </c>
    </row>
    <row r="23905" spans="1:1">
      <c r="A23905" s="35" t="s">
        <v>41057</v>
      </c>
    </row>
    <row r="23906" spans="1:1">
      <c r="A23906" s="35" t="s">
        <v>41057</v>
      </c>
    </row>
    <row r="23907" spans="1:1">
      <c r="A23907" s="35" t="s">
        <v>41057</v>
      </c>
    </row>
    <row r="23908" spans="1:1">
      <c r="A23908" s="35" t="s">
        <v>59799</v>
      </c>
    </row>
    <row r="23909" spans="1:1">
      <c r="A23909" s="35" t="s">
        <v>41057</v>
      </c>
    </row>
    <row r="23910" spans="1:1">
      <c r="A23910" s="35" t="s">
        <v>41057</v>
      </c>
    </row>
    <row r="23911" spans="1:1">
      <c r="A23911" s="35" t="s">
        <v>41057</v>
      </c>
    </row>
    <row r="23912" spans="1:1">
      <c r="A23912" s="35" t="s">
        <v>41057</v>
      </c>
    </row>
    <row r="23913" spans="1:1">
      <c r="A23913" s="35" t="s">
        <v>59800</v>
      </c>
    </row>
    <row r="23914" spans="1:1">
      <c r="A23914" s="35" t="s">
        <v>41057</v>
      </c>
    </row>
    <row r="23915" spans="1:1">
      <c r="A23915" s="35" t="s">
        <v>59801</v>
      </c>
    </row>
    <row r="23916" spans="1:1">
      <c r="A23916" s="35" t="s">
        <v>59802</v>
      </c>
    </row>
    <row r="23917" spans="1:1">
      <c r="A23917" s="35" t="s">
        <v>59803</v>
      </c>
    </row>
    <row r="23918" spans="1:1">
      <c r="A23918" s="35" t="s">
        <v>41057</v>
      </c>
    </row>
    <row r="23919" spans="1:1">
      <c r="A23919" s="35" t="s">
        <v>54053</v>
      </c>
    </row>
    <row r="23920" spans="1:1">
      <c r="A23920" s="35" t="s">
        <v>41057</v>
      </c>
    </row>
    <row r="23921" spans="1:1">
      <c r="A23921" s="35" t="s">
        <v>41057</v>
      </c>
    </row>
    <row r="23922" spans="1:1">
      <c r="A23922" s="35" t="s">
        <v>41057</v>
      </c>
    </row>
    <row r="23923" spans="1:1">
      <c r="A23923" s="35" t="s">
        <v>41057</v>
      </c>
    </row>
    <row r="23924" spans="1:1">
      <c r="A23924" s="35" t="s">
        <v>41057</v>
      </c>
    </row>
    <row r="23925" spans="1:1">
      <c r="A23925" s="35" t="s">
        <v>59804</v>
      </c>
    </row>
    <row r="23926" spans="1:1">
      <c r="A23926" s="35" t="s">
        <v>59805</v>
      </c>
    </row>
    <row r="23927" spans="1:1">
      <c r="A23927" s="35" t="s">
        <v>59806</v>
      </c>
    </row>
    <row r="23928" spans="1:1">
      <c r="A23928" s="35" t="s">
        <v>41057</v>
      </c>
    </row>
    <row r="23929" spans="1:1">
      <c r="A23929" s="35" t="s">
        <v>41057</v>
      </c>
    </row>
    <row r="23930" spans="1:1">
      <c r="A23930" s="35" t="s">
        <v>41057</v>
      </c>
    </row>
    <row r="23931" spans="1:1">
      <c r="A23931" s="35" t="s">
        <v>41057</v>
      </c>
    </row>
    <row r="23932" spans="1:1">
      <c r="A23932" s="35" t="s">
        <v>41057</v>
      </c>
    </row>
    <row r="23933" spans="1:1">
      <c r="A23933" s="35" t="s">
        <v>59807</v>
      </c>
    </row>
    <row r="23934" spans="1:1">
      <c r="A23934" s="35" t="s">
        <v>41057</v>
      </c>
    </row>
    <row r="23935" spans="1:1">
      <c r="A23935" s="35" t="s">
        <v>41057</v>
      </c>
    </row>
    <row r="23936" spans="1:1">
      <c r="A23936" s="35" t="s">
        <v>41057</v>
      </c>
    </row>
    <row r="23937" spans="1:1">
      <c r="A23937" s="35" t="s">
        <v>41057</v>
      </c>
    </row>
    <row r="23938" spans="1:1">
      <c r="A23938" s="35" t="s">
        <v>41057</v>
      </c>
    </row>
    <row r="23939" spans="1:1">
      <c r="A23939" s="35" t="s">
        <v>41057</v>
      </c>
    </row>
    <row r="23940" spans="1:1">
      <c r="A23940" s="35" t="s">
        <v>41057</v>
      </c>
    </row>
    <row r="23941" spans="1:1">
      <c r="A23941" s="35" t="s">
        <v>41057</v>
      </c>
    </row>
    <row r="23942" spans="1:1">
      <c r="A23942" s="35" t="s">
        <v>41057</v>
      </c>
    </row>
    <row r="23943" spans="1:1">
      <c r="A23943" s="35" t="s">
        <v>59808</v>
      </c>
    </row>
    <row r="23944" spans="1:1">
      <c r="A23944" s="35" t="s">
        <v>41057</v>
      </c>
    </row>
    <row r="23945" spans="1:1">
      <c r="A23945" s="35" t="s">
        <v>59809</v>
      </c>
    </row>
    <row r="23946" spans="1:1">
      <c r="A23946" s="35" t="s">
        <v>59810</v>
      </c>
    </row>
    <row r="23947" spans="1:1">
      <c r="A23947" s="35" t="s">
        <v>59811</v>
      </c>
    </row>
    <row r="23948" spans="1:1">
      <c r="A23948" s="35" t="s">
        <v>59812</v>
      </c>
    </row>
    <row r="23949" spans="1:1">
      <c r="A23949" s="35" t="s">
        <v>41057</v>
      </c>
    </row>
    <row r="23950" spans="1:1">
      <c r="A23950" s="35" t="s">
        <v>59813</v>
      </c>
    </row>
    <row r="23951" spans="1:1">
      <c r="A23951" s="35" t="s">
        <v>59814</v>
      </c>
    </row>
    <row r="23952" spans="1:1">
      <c r="A23952" s="35" t="s">
        <v>41057</v>
      </c>
    </row>
    <row r="23953" spans="1:1">
      <c r="A23953" s="35" t="s">
        <v>41057</v>
      </c>
    </row>
    <row r="23954" spans="1:1">
      <c r="A23954" s="35" t="s">
        <v>53545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699B9-EDE4-E847-98A3-E805EDDB3D4F}">
  <dimension ref="A1:L1240"/>
  <sheetViews>
    <sheetView workbookViewId="0">
      <selection sqref="A1:L1240"/>
    </sheetView>
  </sheetViews>
  <sheetFormatPr baseColWidth="10" defaultRowHeight="16"/>
  <sheetData>
    <row r="1" spans="1:12" ht="51">
      <c r="A1" s="6" t="s">
        <v>34</v>
      </c>
      <c r="B1" s="6" t="s">
        <v>35</v>
      </c>
      <c r="C1" s="6" t="s">
        <v>36</v>
      </c>
      <c r="D1" s="6" t="s">
        <v>37</v>
      </c>
      <c r="E1" s="6" t="s">
        <v>38</v>
      </c>
      <c r="F1" s="6" t="s">
        <v>39</v>
      </c>
      <c r="G1" s="6" t="s">
        <v>40</v>
      </c>
      <c r="H1" s="6" t="s">
        <v>41</v>
      </c>
      <c r="I1" s="6" t="s">
        <v>1955</v>
      </c>
      <c r="J1" s="6" t="s">
        <v>42</v>
      </c>
      <c r="K1" s="6" t="s">
        <v>43</v>
      </c>
      <c r="L1" s="7" t="s">
        <v>44</v>
      </c>
    </row>
    <row r="2" spans="1:12">
      <c r="A2" t="s">
        <v>1956</v>
      </c>
      <c r="B2" s="8">
        <v>3.5539999999999998</v>
      </c>
      <c r="C2" s="9">
        <v>23</v>
      </c>
      <c r="D2">
        <v>3</v>
      </c>
      <c r="E2">
        <v>2</v>
      </c>
      <c r="F2">
        <v>3</v>
      </c>
      <c r="G2" s="10">
        <v>1</v>
      </c>
      <c r="H2" t="s">
        <v>46</v>
      </c>
      <c r="I2" t="s">
        <v>1957</v>
      </c>
      <c r="J2" t="s">
        <v>1958</v>
      </c>
      <c r="K2" t="s">
        <v>1959</v>
      </c>
      <c r="L2" s="11" t="s">
        <v>1960</v>
      </c>
    </row>
    <row r="3" spans="1:12">
      <c r="A3" t="s">
        <v>1961</v>
      </c>
      <c r="B3" s="8">
        <v>2.2799999999999998</v>
      </c>
      <c r="C3" s="9">
        <v>9.8000000000000007</v>
      </c>
      <c r="D3">
        <v>1</v>
      </c>
      <c r="E3">
        <v>1</v>
      </c>
      <c r="F3">
        <v>1</v>
      </c>
      <c r="G3" s="10">
        <v>1</v>
      </c>
      <c r="H3" t="s">
        <v>46</v>
      </c>
      <c r="I3" t="s">
        <v>1957</v>
      </c>
      <c r="J3" t="s">
        <v>65</v>
      </c>
      <c r="K3" t="s">
        <v>66</v>
      </c>
      <c r="L3" s="11" t="s">
        <v>65</v>
      </c>
    </row>
    <row r="4" spans="1:12">
      <c r="A4" t="s">
        <v>1962</v>
      </c>
      <c r="B4" s="8">
        <v>2.4430000000000001</v>
      </c>
      <c r="C4" s="9">
        <v>880</v>
      </c>
      <c r="D4">
        <v>2</v>
      </c>
      <c r="E4">
        <v>2</v>
      </c>
      <c r="F4">
        <v>2</v>
      </c>
      <c r="G4" s="10">
        <v>1</v>
      </c>
      <c r="H4" t="s">
        <v>46</v>
      </c>
      <c r="I4" t="s">
        <v>1957</v>
      </c>
      <c r="J4" t="s">
        <v>1963</v>
      </c>
      <c r="K4" t="s">
        <v>1964</v>
      </c>
      <c r="L4" s="11" t="s">
        <v>73</v>
      </c>
    </row>
    <row r="5" spans="1:12">
      <c r="A5" t="s">
        <v>1965</v>
      </c>
      <c r="B5" s="8">
        <v>2.472</v>
      </c>
      <c r="C5" s="9">
        <v>6130</v>
      </c>
      <c r="D5">
        <v>1</v>
      </c>
      <c r="E5">
        <v>1</v>
      </c>
      <c r="F5">
        <v>1</v>
      </c>
      <c r="G5" s="10">
        <v>1</v>
      </c>
      <c r="H5" t="s">
        <v>46</v>
      </c>
      <c r="I5" t="s">
        <v>1957</v>
      </c>
      <c r="J5" t="s">
        <v>75</v>
      </c>
      <c r="K5" t="s">
        <v>76</v>
      </c>
      <c r="L5" s="11" t="s">
        <v>75</v>
      </c>
    </row>
    <row r="6" spans="1:12">
      <c r="A6" t="s">
        <v>1966</v>
      </c>
      <c r="B6" s="8">
        <v>2.86</v>
      </c>
      <c r="C6" s="9">
        <v>411</v>
      </c>
      <c r="D6">
        <v>1</v>
      </c>
      <c r="E6">
        <v>1</v>
      </c>
      <c r="F6">
        <v>1</v>
      </c>
      <c r="G6" s="10">
        <v>1</v>
      </c>
      <c r="H6" t="s">
        <v>46</v>
      </c>
      <c r="I6" t="s">
        <v>1957</v>
      </c>
      <c r="J6" t="s">
        <v>75</v>
      </c>
      <c r="K6" t="s">
        <v>76</v>
      </c>
      <c r="L6" s="11" t="s">
        <v>75</v>
      </c>
    </row>
    <row r="7" spans="1:12">
      <c r="A7" t="s">
        <v>1967</v>
      </c>
      <c r="B7" s="8">
        <v>5.952</v>
      </c>
      <c r="C7" s="9">
        <v>108</v>
      </c>
      <c r="D7">
        <v>2</v>
      </c>
      <c r="E7">
        <v>1</v>
      </c>
      <c r="F7">
        <v>1</v>
      </c>
      <c r="G7" s="10">
        <v>0.5</v>
      </c>
      <c r="H7" t="s">
        <v>46</v>
      </c>
      <c r="I7" t="s">
        <v>1957</v>
      </c>
      <c r="J7" t="s">
        <v>75</v>
      </c>
      <c r="K7" t="s">
        <v>76</v>
      </c>
      <c r="L7" s="11" t="s">
        <v>75</v>
      </c>
    </row>
    <row r="8" spans="1:12">
      <c r="A8" t="s">
        <v>1968</v>
      </c>
      <c r="B8" s="8">
        <v>2.4969999999999999</v>
      </c>
      <c r="C8" s="9">
        <v>8.6999999999999993</v>
      </c>
      <c r="D8">
        <v>2</v>
      </c>
      <c r="E8">
        <v>2</v>
      </c>
      <c r="F8">
        <v>1</v>
      </c>
      <c r="G8" s="10">
        <v>0.5</v>
      </c>
      <c r="H8" t="s">
        <v>46</v>
      </c>
      <c r="I8" t="s">
        <v>1957</v>
      </c>
      <c r="J8" t="s">
        <v>1969</v>
      </c>
      <c r="K8" t="s">
        <v>1970</v>
      </c>
      <c r="L8" s="11" t="s">
        <v>75</v>
      </c>
    </row>
    <row r="9" spans="1:12">
      <c r="A9" t="s">
        <v>1971</v>
      </c>
      <c r="B9" s="8">
        <v>8.34</v>
      </c>
      <c r="C9" s="9">
        <v>15</v>
      </c>
      <c r="D9">
        <v>12</v>
      </c>
      <c r="E9">
        <v>8</v>
      </c>
      <c r="F9">
        <v>9</v>
      </c>
      <c r="G9" s="10">
        <v>0.75</v>
      </c>
      <c r="H9" t="s">
        <v>46</v>
      </c>
      <c r="I9" t="s">
        <v>1957</v>
      </c>
      <c r="J9" t="s">
        <v>1972</v>
      </c>
      <c r="K9" t="s">
        <v>1973</v>
      </c>
      <c r="L9" s="11" t="s">
        <v>1974</v>
      </c>
    </row>
    <row r="10" spans="1:12">
      <c r="A10" t="s">
        <v>1975</v>
      </c>
      <c r="B10" s="8">
        <v>4.1619999999999999</v>
      </c>
      <c r="C10" s="9">
        <v>14</v>
      </c>
      <c r="D10">
        <v>5</v>
      </c>
      <c r="E10">
        <v>5</v>
      </c>
      <c r="F10">
        <v>3</v>
      </c>
      <c r="G10" s="10">
        <v>0.6</v>
      </c>
      <c r="H10" t="s">
        <v>46</v>
      </c>
      <c r="I10" t="s">
        <v>1957</v>
      </c>
      <c r="J10" t="s">
        <v>1976</v>
      </c>
      <c r="K10" t="s">
        <v>1977</v>
      </c>
      <c r="L10" s="11" t="s">
        <v>1978</v>
      </c>
    </row>
    <row r="11" spans="1:12">
      <c r="A11" t="s">
        <v>1979</v>
      </c>
      <c r="B11" s="8">
        <v>5.6130000000000004</v>
      </c>
      <c r="C11" s="9">
        <v>17</v>
      </c>
      <c r="D11">
        <v>6</v>
      </c>
      <c r="E11">
        <v>4</v>
      </c>
      <c r="F11">
        <v>6</v>
      </c>
      <c r="G11" s="10">
        <v>1</v>
      </c>
      <c r="H11" t="s">
        <v>46</v>
      </c>
      <c r="I11" t="s">
        <v>1957</v>
      </c>
      <c r="J11" t="s">
        <v>1980</v>
      </c>
      <c r="K11" t="s">
        <v>1981</v>
      </c>
      <c r="L11" s="11" t="s">
        <v>1978</v>
      </c>
    </row>
    <row r="12" spans="1:12">
      <c r="A12" t="s">
        <v>1982</v>
      </c>
      <c r="B12" s="8">
        <v>18.244</v>
      </c>
      <c r="C12" s="9">
        <v>111</v>
      </c>
      <c r="D12">
        <v>17</v>
      </c>
      <c r="E12">
        <v>17</v>
      </c>
      <c r="F12">
        <v>16</v>
      </c>
      <c r="G12" s="10">
        <v>0.94117647058823528</v>
      </c>
      <c r="H12" t="s">
        <v>46</v>
      </c>
      <c r="I12" t="s">
        <v>1957</v>
      </c>
      <c r="J12" t="s">
        <v>1983</v>
      </c>
      <c r="K12" t="s">
        <v>1984</v>
      </c>
      <c r="L12" s="11" t="s">
        <v>1985</v>
      </c>
    </row>
    <row r="13" spans="1:12">
      <c r="A13" t="s">
        <v>1986</v>
      </c>
      <c r="B13" s="8">
        <v>5.7770000000000001</v>
      </c>
      <c r="C13" s="9">
        <v>19</v>
      </c>
      <c r="D13">
        <v>7</v>
      </c>
      <c r="E13">
        <v>7</v>
      </c>
      <c r="F13">
        <v>7</v>
      </c>
      <c r="G13" s="10">
        <v>1</v>
      </c>
      <c r="H13" t="s">
        <v>46</v>
      </c>
      <c r="I13" t="s">
        <v>1957</v>
      </c>
      <c r="J13" t="s">
        <v>1987</v>
      </c>
      <c r="K13" t="s">
        <v>1988</v>
      </c>
      <c r="L13" s="11" t="s">
        <v>1989</v>
      </c>
    </row>
    <row r="14" spans="1:12">
      <c r="A14" t="s">
        <v>1990</v>
      </c>
      <c r="B14" s="8">
        <v>6.3170000000000002</v>
      </c>
      <c r="C14" s="9">
        <v>19</v>
      </c>
      <c r="D14">
        <v>5</v>
      </c>
      <c r="E14">
        <v>2</v>
      </c>
      <c r="F14">
        <v>2</v>
      </c>
      <c r="G14" s="10">
        <v>0.4</v>
      </c>
      <c r="H14" t="s">
        <v>46</v>
      </c>
      <c r="I14" t="s">
        <v>1957</v>
      </c>
      <c r="J14" t="s">
        <v>1991</v>
      </c>
      <c r="K14" t="s">
        <v>1992</v>
      </c>
      <c r="L14" s="11" t="s">
        <v>75</v>
      </c>
    </row>
    <row r="15" spans="1:12">
      <c r="A15" t="s">
        <v>1993</v>
      </c>
      <c r="B15" s="8">
        <v>11.146000000000001</v>
      </c>
      <c r="C15" s="9">
        <v>229</v>
      </c>
      <c r="D15">
        <v>11</v>
      </c>
      <c r="E15">
        <v>10</v>
      </c>
      <c r="F15">
        <v>7</v>
      </c>
      <c r="G15" s="10">
        <v>0.63636363636363635</v>
      </c>
      <c r="H15" t="s">
        <v>46</v>
      </c>
      <c r="I15" t="s">
        <v>1957</v>
      </c>
      <c r="J15" t="s">
        <v>1994</v>
      </c>
      <c r="K15" t="s">
        <v>1995</v>
      </c>
      <c r="L15" s="11" t="s">
        <v>1996</v>
      </c>
    </row>
    <row r="16" spans="1:12">
      <c r="A16" t="s">
        <v>1997</v>
      </c>
      <c r="B16" s="8">
        <v>7.6159999999999997</v>
      </c>
      <c r="C16" s="9">
        <v>50</v>
      </c>
      <c r="D16">
        <v>5</v>
      </c>
      <c r="E16">
        <v>5</v>
      </c>
      <c r="F16">
        <v>4</v>
      </c>
      <c r="G16" s="10">
        <v>0.8</v>
      </c>
      <c r="H16" t="s">
        <v>46</v>
      </c>
      <c r="I16" t="s">
        <v>1957</v>
      </c>
      <c r="J16" t="s">
        <v>1998</v>
      </c>
      <c r="K16" t="s">
        <v>1999</v>
      </c>
      <c r="L16" s="11" t="s">
        <v>2000</v>
      </c>
    </row>
    <row r="17" spans="1:12">
      <c r="A17" t="s">
        <v>2001</v>
      </c>
      <c r="B17" s="8">
        <v>16.565999999999999</v>
      </c>
      <c r="C17" s="9">
        <v>137</v>
      </c>
      <c r="D17">
        <v>12</v>
      </c>
      <c r="E17">
        <v>12</v>
      </c>
      <c r="F17">
        <v>10</v>
      </c>
      <c r="G17" s="10">
        <v>0.83333333333333337</v>
      </c>
      <c r="H17" t="s">
        <v>46</v>
      </c>
      <c r="I17" t="s">
        <v>1957</v>
      </c>
      <c r="J17" t="s">
        <v>2002</v>
      </c>
      <c r="K17" t="s">
        <v>2003</v>
      </c>
      <c r="L17" s="11" t="s">
        <v>2004</v>
      </c>
    </row>
    <row r="18" spans="1:12">
      <c r="A18" t="s">
        <v>2005</v>
      </c>
      <c r="B18" s="8">
        <v>6.5650000000000004</v>
      </c>
      <c r="C18" s="9">
        <v>602</v>
      </c>
      <c r="D18">
        <v>5</v>
      </c>
      <c r="E18">
        <v>4</v>
      </c>
      <c r="F18">
        <v>3</v>
      </c>
      <c r="G18" s="10">
        <v>0.6</v>
      </c>
      <c r="H18" t="s">
        <v>46</v>
      </c>
      <c r="I18" t="s">
        <v>1957</v>
      </c>
      <c r="J18" t="s">
        <v>2006</v>
      </c>
      <c r="K18" t="s">
        <v>2007</v>
      </c>
      <c r="L18" s="11" t="s">
        <v>2008</v>
      </c>
    </row>
    <row r="19" spans="1:12">
      <c r="A19" t="s">
        <v>2009</v>
      </c>
      <c r="B19" s="8">
        <v>4.9939999999999998</v>
      </c>
      <c r="C19" s="9">
        <v>4646</v>
      </c>
      <c r="D19">
        <v>4</v>
      </c>
      <c r="E19">
        <v>4</v>
      </c>
      <c r="F19">
        <v>4</v>
      </c>
      <c r="G19" s="10">
        <v>1</v>
      </c>
      <c r="H19" t="s">
        <v>46</v>
      </c>
      <c r="I19" t="s">
        <v>1957</v>
      </c>
      <c r="J19" t="s">
        <v>2010</v>
      </c>
      <c r="K19" t="s">
        <v>2011</v>
      </c>
      <c r="L19" s="11" t="s">
        <v>2012</v>
      </c>
    </row>
    <row r="20" spans="1:12">
      <c r="A20" t="s">
        <v>2013</v>
      </c>
      <c r="B20" s="8">
        <v>5.7</v>
      </c>
      <c r="C20" s="9">
        <v>17</v>
      </c>
      <c r="D20">
        <v>4</v>
      </c>
      <c r="E20">
        <v>4</v>
      </c>
      <c r="F20">
        <v>2</v>
      </c>
      <c r="G20" s="10">
        <v>0.5</v>
      </c>
      <c r="H20" t="s">
        <v>46</v>
      </c>
      <c r="I20" t="s">
        <v>1957</v>
      </c>
      <c r="J20" t="s">
        <v>2014</v>
      </c>
      <c r="K20" t="s">
        <v>2015</v>
      </c>
      <c r="L20" s="11" t="s">
        <v>2016</v>
      </c>
    </row>
    <row r="21" spans="1:12">
      <c r="A21" t="s">
        <v>2017</v>
      </c>
      <c r="B21" s="8">
        <v>9.0690000000000008</v>
      </c>
      <c r="C21" s="9">
        <v>15</v>
      </c>
      <c r="D21">
        <v>6</v>
      </c>
      <c r="E21">
        <v>6</v>
      </c>
      <c r="F21">
        <v>6</v>
      </c>
      <c r="G21" s="10">
        <v>1</v>
      </c>
      <c r="H21" t="s">
        <v>46</v>
      </c>
      <c r="I21" t="s">
        <v>1957</v>
      </c>
      <c r="J21" t="s">
        <v>2018</v>
      </c>
      <c r="K21" t="s">
        <v>2019</v>
      </c>
      <c r="L21" s="11" t="s">
        <v>2020</v>
      </c>
    </row>
    <row r="22" spans="1:12">
      <c r="A22" t="s">
        <v>2021</v>
      </c>
      <c r="B22" s="8">
        <v>3.4780000000000002</v>
      </c>
      <c r="C22" s="9">
        <v>16</v>
      </c>
      <c r="D22">
        <v>4</v>
      </c>
      <c r="E22">
        <v>4</v>
      </c>
      <c r="F22">
        <v>3</v>
      </c>
      <c r="G22" s="10">
        <v>0.75</v>
      </c>
      <c r="H22" t="s">
        <v>46</v>
      </c>
      <c r="I22" t="s">
        <v>1957</v>
      </c>
      <c r="J22" t="s">
        <v>2022</v>
      </c>
      <c r="K22" t="s">
        <v>2023</v>
      </c>
      <c r="L22" s="11" t="s">
        <v>2024</v>
      </c>
    </row>
    <row r="23" spans="1:12">
      <c r="A23" t="s">
        <v>2025</v>
      </c>
      <c r="B23" s="8">
        <v>4.9619999999999997</v>
      </c>
      <c r="C23" s="9">
        <v>164</v>
      </c>
      <c r="D23">
        <v>4</v>
      </c>
      <c r="E23">
        <v>4</v>
      </c>
      <c r="F23">
        <v>3</v>
      </c>
      <c r="G23" s="10">
        <v>0.75</v>
      </c>
      <c r="H23" t="s">
        <v>46</v>
      </c>
      <c r="I23" t="s">
        <v>1957</v>
      </c>
      <c r="J23" t="s">
        <v>2026</v>
      </c>
      <c r="K23" t="s">
        <v>2027</v>
      </c>
      <c r="L23" s="11" t="s">
        <v>2028</v>
      </c>
    </row>
    <row r="24" spans="1:12">
      <c r="A24" t="s">
        <v>2029</v>
      </c>
      <c r="B24" s="8">
        <v>20.870999999999999</v>
      </c>
      <c r="C24" s="9">
        <v>258</v>
      </c>
      <c r="D24">
        <v>15</v>
      </c>
      <c r="E24">
        <v>14</v>
      </c>
      <c r="F24">
        <v>11</v>
      </c>
      <c r="G24" s="10">
        <v>0.73333333333333328</v>
      </c>
      <c r="H24" t="s">
        <v>46</v>
      </c>
      <c r="I24" t="s">
        <v>1957</v>
      </c>
      <c r="J24" t="s">
        <v>2030</v>
      </c>
      <c r="K24" t="s">
        <v>2031</v>
      </c>
      <c r="L24" s="11" t="s">
        <v>2032</v>
      </c>
    </row>
    <row r="25" spans="1:12">
      <c r="A25" t="s">
        <v>2033</v>
      </c>
      <c r="B25" s="8">
        <v>4.5590000000000002</v>
      </c>
      <c r="C25" s="9">
        <v>22</v>
      </c>
      <c r="D25">
        <v>4</v>
      </c>
      <c r="E25">
        <v>4</v>
      </c>
      <c r="F25">
        <v>4</v>
      </c>
      <c r="G25" s="10">
        <v>1</v>
      </c>
      <c r="H25" t="s">
        <v>46</v>
      </c>
      <c r="I25" t="s">
        <v>1957</v>
      </c>
      <c r="J25" t="s">
        <v>2034</v>
      </c>
      <c r="K25" t="s">
        <v>2035</v>
      </c>
      <c r="L25" s="11" t="s">
        <v>2036</v>
      </c>
    </row>
    <row r="26" spans="1:12">
      <c r="A26" t="s">
        <v>2037</v>
      </c>
      <c r="B26" s="8">
        <v>6.1769999999999996</v>
      </c>
      <c r="C26" s="9">
        <v>18</v>
      </c>
      <c r="D26">
        <v>8</v>
      </c>
      <c r="E26">
        <v>7</v>
      </c>
      <c r="F26">
        <v>8</v>
      </c>
      <c r="G26" s="10">
        <v>1</v>
      </c>
      <c r="H26" t="s">
        <v>46</v>
      </c>
      <c r="I26" t="s">
        <v>1957</v>
      </c>
      <c r="J26" t="s">
        <v>2038</v>
      </c>
      <c r="K26" t="s">
        <v>2039</v>
      </c>
      <c r="L26" s="11" t="s">
        <v>2040</v>
      </c>
    </row>
    <row r="27" spans="1:12">
      <c r="A27" t="s">
        <v>2041</v>
      </c>
      <c r="B27" s="8">
        <v>5.5650000000000004</v>
      </c>
      <c r="C27" s="9">
        <v>203</v>
      </c>
      <c r="D27">
        <v>6</v>
      </c>
      <c r="E27">
        <v>6</v>
      </c>
      <c r="F27">
        <v>5</v>
      </c>
      <c r="G27" s="10">
        <v>0.83333333333333337</v>
      </c>
      <c r="H27" t="s">
        <v>46</v>
      </c>
      <c r="I27" t="s">
        <v>1957</v>
      </c>
      <c r="J27" t="s">
        <v>2042</v>
      </c>
      <c r="K27" t="s">
        <v>2043</v>
      </c>
      <c r="L27" s="11" t="s">
        <v>2044</v>
      </c>
    </row>
    <row r="28" spans="1:12">
      <c r="A28" t="s">
        <v>2045</v>
      </c>
      <c r="B28" s="8">
        <v>4.0140000000000002</v>
      </c>
      <c r="C28" s="9">
        <v>276</v>
      </c>
      <c r="D28">
        <v>4</v>
      </c>
      <c r="E28">
        <v>4</v>
      </c>
      <c r="F28">
        <v>3</v>
      </c>
      <c r="G28" s="10">
        <v>0.75</v>
      </c>
      <c r="H28" t="s">
        <v>46</v>
      </c>
      <c r="I28" t="s">
        <v>1957</v>
      </c>
      <c r="J28" t="s">
        <v>2046</v>
      </c>
      <c r="K28" t="s">
        <v>2047</v>
      </c>
      <c r="L28" s="11" t="s">
        <v>2048</v>
      </c>
    </row>
    <row r="29" spans="1:12">
      <c r="A29" t="s">
        <v>2049</v>
      </c>
      <c r="B29" s="8">
        <v>6.0209999999999999</v>
      </c>
      <c r="C29" s="9">
        <v>220</v>
      </c>
      <c r="D29">
        <v>7</v>
      </c>
      <c r="E29">
        <v>7</v>
      </c>
      <c r="F29">
        <v>6</v>
      </c>
      <c r="G29" s="10">
        <v>0.8571428571428571</v>
      </c>
      <c r="H29" t="s">
        <v>46</v>
      </c>
      <c r="I29" t="s">
        <v>1957</v>
      </c>
      <c r="J29" t="s">
        <v>2050</v>
      </c>
      <c r="K29" t="s">
        <v>2051</v>
      </c>
      <c r="L29" s="11" t="s">
        <v>2052</v>
      </c>
    </row>
    <row r="30" spans="1:12">
      <c r="A30" t="s">
        <v>2053</v>
      </c>
      <c r="B30" s="8">
        <v>7.1929999999999996</v>
      </c>
      <c r="C30" s="9">
        <v>31</v>
      </c>
      <c r="D30">
        <v>7</v>
      </c>
      <c r="E30">
        <v>6</v>
      </c>
      <c r="F30">
        <v>4</v>
      </c>
      <c r="G30" s="10">
        <v>0.5714285714285714</v>
      </c>
      <c r="H30" t="s">
        <v>46</v>
      </c>
      <c r="I30" t="s">
        <v>1957</v>
      </c>
      <c r="J30" t="s">
        <v>2054</v>
      </c>
      <c r="K30" t="s">
        <v>2055</v>
      </c>
      <c r="L30" s="11" t="s">
        <v>2056</v>
      </c>
    </row>
    <row r="31" spans="1:12">
      <c r="A31" t="s">
        <v>2057</v>
      </c>
      <c r="B31" s="8">
        <v>5.077</v>
      </c>
      <c r="C31" s="9">
        <v>286</v>
      </c>
      <c r="D31">
        <v>5</v>
      </c>
      <c r="E31">
        <v>4</v>
      </c>
      <c r="F31">
        <v>4</v>
      </c>
      <c r="G31" s="10">
        <v>0.8</v>
      </c>
      <c r="H31" t="s">
        <v>46</v>
      </c>
      <c r="I31" t="s">
        <v>1957</v>
      </c>
      <c r="J31" t="s">
        <v>2058</v>
      </c>
      <c r="K31" t="s">
        <v>2059</v>
      </c>
      <c r="L31" s="11" t="s">
        <v>2060</v>
      </c>
    </row>
    <row r="32" spans="1:12">
      <c r="A32" t="s">
        <v>2061</v>
      </c>
      <c r="B32" s="8">
        <v>4.3289999999999997</v>
      </c>
      <c r="C32" s="9">
        <v>139</v>
      </c>
      <c r="D32">
        <v>4</v>
      </c>
      <c r="E32">
        <v>4</v>
      </c>
      <c r="F32">
        <v>4</v>
      </c>
      <c r="G32" s="10">
        <v>1</v>
      </c>
      <c r="H32" t="s">
        <v>46</v>
      </c>
      <c r="I32" t="s">
        <v>1957</v>
      </c>
      <c r="J32" t="s">
        <v>2062</v>
      </c>
      <c r="K32" t="s">
        <v>2063</v>
      </c>
      <c r="L32" s="11" t="s">
        <v>2064</v>
      </c>
    </row>
    <row r="33" spans="1:12">
      <c r="A33" t="s">
        <v>2065</v>
      </c>
      <c r="B33" s="8">
        <v>5.1870000000000003</v>
      </c>
      <c r="C33" s="9">
        <v>100</v>
      </c>
      <c r="D33">
        <v>4</v>
      </c>
      <c r="E33">
        <v>4</v>
      </c>
      <c r="F33">
        <v>3</v>
      </c>
      <c r="G33" s="10">
        <v>0.75</v>
      </c>
      <c r="H33" t="s">
        <v>46</v>
      </c>
      <c r="I33" t="s">
        <v>1957</v>
      </c>
      <c r="J33" t="s">
        <v>2066</v>
      </c>
      <c r="K33" t="s">
        <v>2067</v>
      </c>
      <c r="L33" s="11" t="s">
        <v>2068</v>
      </c>
    </row>
    <row r="34" spans="1:12">
      <c r="A34" t="s">
        <v>2069</v>
      </c>
      <c r="B34" s="8">
        <v>4.1040000000000001</v>
      </c>
      <c r="C34" s="9">
        <v>138</v>
      </c>
      <c r="D34">
        <v>4</v>
      </c>
      <c r="E34">
        <v>4</v>
      </c>
      <c r="F34">
        <v>4</v>
      </c>
      <c r="G34" s="10">
        <v>1</v>
      </c>
      <c r="H34" t="s">
        <v>46</v>
      </c>
      <c r="I34" t="s">
        <v>1957</v>
      </c>
      <c r="J34" t="s">
        <v>2070</v>
      </c>
      <c r="K34" t="s">
        <v>2071</v>
      </c>
      <c r="L34" s="11" t="s">
        <v>2072</v>
      </c>
    </row>
    <row r="35" spans="1:12">
      <c r="A35" t="s">
        <v>2073</v>
      </c>
      <c r="B35" s="8">
        <v>4.0599999999999996</v>
      </c>
      <c r="C35" s="9">
        <v>93</v>
      </c>
      <c r="D35">
        <v>6</v>
      </c>
      <c r="E35">
        <v>4</v>
      </c>
      <c r="F35">
        <v>6</v>
      </c>
      <c r="G35" s="10">
        <v>1</v>
      </c>
      <c r="H35" t="s">
        <v>46</v>
      </c>
      <c r="I35" t="s">
        <v>1957</v>
      </c>
      <c r="J35" t="s">
        <v>2074</v>
      </c>
      <c r="K35" t="s">
        <v>2075</v>
      </c>
      <c r="L35" s="11" t="s">
        <v>2076</v>
      </c>
    </row>
    <row r="36" spans="1:12">
      <c r="A36" t="s">
        <v>2077</v>
      </c>
      <c r="B36" s="8">
        <v>7.2590000000000003</v>
      </c>
      <c r="C36" s="9">
        <v>20</v>
      </c>
      <c r="D36">
        <v>4</v>
      </c>
      <c r="E36">
        <v>4</v>
      </c>
      <c r="F36">
        <v>3</v>
      </c>
      <c r="G36" s="10">
        <v>0.75</v>
      </c>
      <c r="H36" t="s">
        <v>46</v>
      </c>
      <c r="I36" t="s">
        <v>1957</v>
      </c>
      <c r="J36" t="s">
        <v>2078</v>
      </c>
      <c r="K36" t="s">
        <v>2079</v>
      </c>
      <c r="L36" s="11" t="s">
        <v>2080</v>
      </c>
    </row>
    <row r="37" spans="1:12">
      <c r="A37" t="s">
        <v>2081</v>
      </c>
      <c r="B37" s="8">
        <v>48.933999999999997</v>
      </c>
      <c r="C37" s="9">
        <v>1423</v>
      </c>
      <c r="D37">
        <v>41</v>
      </c>
      <c r="E37">
        <v>40</v>
      </c>
      <c r="F37">
        <v>31</v>
      </c>
      <c r="G37" s="10">
        <v>0.75609756097560976</v>
      </c>
      <c r="H37" t="s">
        <v>46</v>
      </c>
      <c r="I37" t="s">
        <v>1957</v>
      </c>
      <c r="J37" t="s">
        <v>2082</v>
      </c>
      <c r="K37" t="s">
        <v>2083</v>
      </c>
      <c r="L37" s="11" t="s">
        <v>2084</v>
      </c>
    </row>
    <row r="38" spans="1:12">
      <c r="A38" t="s">
        <v>2085</v>
      </c>
      <c r="B38" s="8">
        <v>6.5979999999999999</v>
      </c>
      <c r="C38" s="9">
        <v>32</v>
      </c>
      <c r="D38">
        <v>4</v>
      </c>
      <c r="E38">
        <v>4</v>
      </c>
      <c r="F38">
        <v>4</v>
      </c>
      <c r="G38" s="10">
        <v>1</v>
      </c>
      <c r="H38" t="s">
        <v>46</v>
      </c>
      <c r="I38" t="s">
        <v>1957</v>
      </c>
      <c r="J38" t="s">
        <v>2086</v>
      </c>
      <c r="K38" t="s">
        <v>2087</v>
      </c>
      <c r="L38" s="11" t="s">
        <v>2088</v>
      </c>
    </row>
    <row r="39" spans="1:12">
      <c r="A39" t="s">
        <v>2089</v>
      </c>
      <c r="B39" s="8">
        <v>7.6449999999999996</v>
      </c>
      <c r="C39" s="9">
        <v>232</v>
      </c>
      <c r="D39">
        <v>6</v>
      </c>
      <c r="E39">
        <v>6</v>
      </c>
      <c r="F39">
        <v>6</v>
      </c>
      <c r="G39" s="10">
        <v>1</v>
      </c>
      <c r="H39" t="s">
        <v>46</v>
      </c>
      <c r="I39" t="s">
        <v>1957</v>
      </c>
      <c r="J39" t="s">
        <v>2090</v>
      </c>
      <c r="K39" t="s">
        <v>2091</v>
      </c>
      <c r="L39" s="11" t="s">
        <v>2092</v>
      </c>
    </row>
    <row r="40" spans="1:12">
      <c r="A40" t="s">
        <v>2093</v>
      </c>
      <c r="B40" s="8">
        <v>38.512</v>
      </c>
      <c r="C40" s="9">
        <v>299</v>
      </c>
      <c r="D40">
        <v>36</v>
      </c>
      <c r="E40">
        <v>36</v>
      </c>
      <c r="F40">
        <v>30</v>
      </c>
      <c r="G40" s="10">
        <v>0.83333333333333337</v>
      </c>
      <c r="H40" t="s">
        <v>46</v>
      </c>
      <c r="I40" t="s">
        <v>1957</v>
      </c>
      <c r="J40" t="s">
        <v>2094</v>
      </c>
      <c r="K40" t="s">
        <v>2095</v>
      </c>
      <c r="L40" s="11" t="s">
        <v>2096</v>
      </c>
    </row>
    <row r="41" spans="1:12">
      <c r="A41" t="s">
        <v>2097</v>
      </c>
      <c r="B41" s="8">
        <v>6.4550000000000001</v>
      </c>
      <c r="C41" s="9">
        <v>14</v>
      </c>
      <c r="D41">
        <v>6</v>
      </c>
      <c r="E41">
        <v>4</v>
      </c>
      <c r="F41">
        <v>3</v>
      </c>
      <c r="G41" s="10">
        <v>0.5</v>
      </c>
      <c r="H41" t="s">
        <v>46</v>
      </c>
      <c r="I41" t="s">
        <v>1957</v>
      </c>
      <c r="J41" t="s">
        <v>2098</v>
      </c>
      <c r="K41" t="s">
        <v>2099</v>
      </c>
      <c r="L41" s="11" t="s">
        <v>2100</v>
      </c>
    </row>
    <row r="42" spans="1:12">
      <c r="A42" t="s">
        <v>2101</v>
      </c>
      <c r="B42" s="8">
        <v>13.079000000000001</v>
      </c>
      <c r="C42" s="9">
        <v>18</v>
      </c>
      <c r="D42">
        <v>9</v>
      </c>
      <c r="E42">
        <v>8</v>
      </c>
      <c r="F42">
        <v>6</v>
      </c>
      <c r="G42" s="10">
        <v>0.66666666666666663</v>
      </c>
      <c r="H42" t="s">
        <v>46</v>
      </c>
      <c r="I42" t="s">
        <v>1957</v>
      </c>
      <c r="J42" t="s">
        <v>2102</v>
      </c>
      <c r="K42" t="s">
        <v>2103</v>
      </c>
      <c r="L42" s="11" t="s">
        <v>2104</v>
      </c>
    </row>
    <row r="43" spans="1:12">
      <c r="A43" t="s">
        <v>2105</v>
      </c>
      <c r="B43" s="8">
        <v>3.7130000000000001</v>
      </c>
      <c r="C43" s="9">
        <v>11</v>
      </c>
      <c r="D43">
        <v>2</v>
      </c>
      <c r="E43">
        <v>2</v>
      </c>
      <c r="F43">
        <v>1</v>
      </c>
      <c r="G43" s="10">
        <v>0.5</v>
      </c>
      <c r="H43" t="s">
        <v>46</v>
      </c>
      <c r="I43" t="s">
        <v>1957</v>
      </c>
      <c r="J43" t="s">
        <v>2106</v>
      </c>
      <c r="K43" t="s">
        <v>2107</v>
      </c>
      <c r="L43" s="11" t="s">
        <v>2108</v>
      </c>
    </row>
    <row r="44" spans="1:12">
      <c r="A44" t="s">
        <v>2109</v>
      </c>
      <c r="B44" s="8">
        <v>5.1639999999999997</v>
      </c>
      <c r="C44" s="9">
        <v>153</v>
      </c>
      <c r="D44">
        <v>5</v>
      </c>
      <c r="E44">
        <v>5</v>
      </c>
      <c r="F44">
        <v>4</v>
      </c>
      <c r="G44" s="10">
        <v>0.8</v>
      </c>
      <c r="H44" t="s">
        <v>46</v>
      </c>
      <c r="I44" t="s">
        <v>1957</v>
      </c>
      <c r="J44" t="s">
        <v>2110</v>
      </c>
      <c r="K44" t="s">
        <v>2111</v>
      </c>
      <c r="L44" s="11" t="s">
        <v>2112</v>
      </c>
    </row>
    <row r="45" spans="1:12">
      <c r="A45" t="s">
        <v>2113</v>
      </c>
      <c r="B45" s="8">
        <v>2.4940000000000002</v>
      </c>
      <c r="C45" s="9">
        <v>35</v>
      </c>
      <c r="D45">
        <v>2</v>
      </c>
      <c r="E45">
        <v>2</v>
      </c>
      <c r="F45">
        <v>2</v>
      </c>
      <c r="G45" s="10">
        <v>1</v>
      </c>
      <c r="H45" t="s">
        <v>46</v>
      </c>
      <c r="I45" t="s">
        <v>1957</v>
      </c>
      <c r="J45" t="s">
        <v>2114</v>
      </c>
      <c r="K45" t="s">
        <v>2115</v>
      </c>
      <c r="L45" s="11" t="s">
        <v>2116</v>
      </c>
    </row>
    <row r="46" spans="1:12">
      <c r="A46" t="s">
        <v>2117</v>
      </c>
      <c r="B46" s="8">
        <v>3.7330000000000001</v>
      </c>
      <c r="C46" s="9">
        <v>19</v>
      </c>
      <c r="D46">
        <v>2</v>
      </c>
      <c r="E46">
        <v>2</v>
      </c>
      <c r="F46">
        <v>2</v>
      </c>
      <c r="G46" s="10">
        <v>1</v>
      </c>
      <c r="H46" t="s">
        <v>46</v>
      </c>
      <c r="I46" t="s">
        <v>1957</v>
      </c>
      <c r="J46" t="s">
        <v>2118</v>
      </c>
      <c r="K46" t="s">
        <v>2119</v>
      </c>
      <c r="L46" s="11" t="s">
        <v>2120</v>
      </c>
    </row>
    <row r="47" spans="1:12">
      <c r="A47" t="s">
        <v>2121</v>
      </c>
      <c r="B47" s="8">
        <v>3.016</v>
      </c>
      <c r="C47" s="9">
        <v>13</v>
      </c>
      <c r="D47">
        <v>1</v>
      </c>
      <c r="E47">
        <v>1</v>
      </c>
      <c r="F47">
        <v>1</v>
      </c>
      <c r="G47" s="10">
        <v>1</v>
      </c>
      <c r="H47" t="s">
        <v>46</v>
      </c>
      <c r="I47" t="s">
        <v>1957</v>
      </c>
      <c r="J47" t="s">
        <v>122</v>
      </c>
      <c r="K47" t="s">
        <v>123</v>
      </c>
      <c r="L47" s="11" t="s">
        <v>122</v>
      </c>
    </row>
    <row r="48" spans="1:12">
      <c r="A48" t="s">
        <v>2122</v>
      </c>
      <c r="B48" s="8">
        <v>2.3149999999999999</v>
      </c>
      <c r="C48" s="9">
        <v>7.7</v>
      </c>
      <c r="D48">
        <v>1</v>
      </c>
      <c r="E48">
        <v>1</v>
      </c>
      <c r="F48">
        <v>1</v>
      </c>
      <c r="G48" s="10">
        <v>1</v>
      </c>
      <c r="H48" t="s">
        <v>46</v>
      </c>
      <c r="I48" t="s">
        <v>1957</v>
      </c>
      <c r="J48" t="s">
        <v>2123</v>
      </c>
      <c r="K48" t="s">
        <v>2124</v>
      </c>
      <c r="L48" s="11" t="s">
        <v>2123</v>
      </c>
    </row>
    <row r="49" spans="1:12">
      <c r="A49" t="s">
        <v>2125</v>
      </c>
      <c r="B49" s="8">
        <v>4.1219999999999999</v>
      </c>
      <c r="C49" s="9">
        <v>13</v>
      </c>
      <c r="D49">
        <v>2</v>
      </c>
      <c r="E49">
        <v>1</v>
      </c>
      <c r="F49">
        <v>1</v>
      </c>
      <c r="G49" s="10">
        <v>0.5</v>
      </c>
      <c r="H49" t="s">
        <v>46</v>
      </c>
      <c r="I49" t="s">
        <v>1957</v>
      </c>
      <c r="J49" t="s">
        <v>2126</v>
      </c>
      <c r="K49" t="s">
        <v>2127</v>
      </c>
      <c r="L49" s="11" t="s">
        <v>2126</v>
      </c>
    </row>
    <row r="50" spans="1:12">
      <c r="A50" t="s">
        <v>2128</v>
      </c>
      <c r="B50" s="8">
        <v>6.3579999999999997</v>
      </c>
      <c r="C50" s="9">
        <v>16</v>
      </c>
      <c r="D50">
        <v>2</v>
      </c>
      <c r="E50">
        <v>2</v>
      </c>
      <c r="F50">
        <v>2</v>
      </c>
      <c r="G50" s="10">
        <v>1</v>
      </c>
      <c r="H50" t="s">
        <v>46</v>
      </c>
      <c r="I50" t="s">
        <v>1957</v>
      </c>
      <c r="J50" t="s">
        <v>2129</v>
      </c>
      <c r="K50" t="s">
        <v>2130</v>
      </c>
      <c r="L50" s="11" t="s">
        <v>2131</v>
      </c>
    </row>
    <row r="51" spans="1:12">
      <c r="A51" t="s">
        <v>2132</v>
      </c>
      <c r="B51" s="8">
        <v>2.0739999999999998</v>
      </c>
      <c r="C51" s="9">
        <v>10</v>
      </c>
      <c r="D51">
        <v>2</v>
      </c>
      <c r="E51">
        <v>1</v>
      </c>
      <c r="F51">
        <v>1</v>
      </c>
      <c r="G51" s="10">
        <v>0.5</v>
      </c>
      <c r="H51" t="s">
        <v>46</v>
      </c>
      <c r="I51" t="s">
        <v>1957</v>
      </c>
      <c r="J51" t="s">
        <v>2133</v>
      </c>
      <c r="K51" t="s">
        <v>2134</v>
      </c>
      <c r="L51" s="11" t="s">
        <v>2133</v>
      </c>
    </row>
    <row r="52" spans="1:12">
      <c r="A52" t="s">
        <v>2135</v>
      </c>
      <c r="B52" s="8">
        <v>2.2930000000000001</v>
      </c>
      <c r="C52" s="9">
        <v>12</v>
      </c>
      <c r="D52">
        <v>2</v>
      </c>
      <c r="E52">
        <v>2</v>
      </c>
      <c r="F52">
        <v>1</v>
      </c>
      <c r="G52" s="10">
        <v>0.5</v>
      </c>
      <c r="H52" t="s">
        <v>46</v>
      </c>
      <c r="I52" t="s">
        <v>1957</v>
      </c>
      <c r="J52" t="s">
        <v>2136</v>
      </c>
      <c r="K52" t="s">
        <v>2137</v>
      </c>
      <c r="L52" s="11" t="s">
        <v>2138</v>
      </c>
    </row>
    <row r="53" spans="1:12">
      <c r="A53" t="s">
        <v>2139</v>
      </c>
      <c r="B53" s="8">
        <v>2.3530000000000002</v>
      </c>
      <c r="C53" s="9">
        <v>70</v>
      </c>
      <c r="D53">
        <v>2</v>
      </c>
      <c r="E53">
        <v>2</v>
      </c>
      <c r="F53">
        <v>2</v>
      </c>
      <c r="G53" s="10">
        <v>1</v>
      </c>
      <c r="H53" t="s">
        <v>46</v>
      </c>
      <c r="I53" t="s">
        <v>1957</v>
      </c>
      <c r="J53" t="s">
        <v>2140</v>
      </c>
      <c r="K53" t="s">
        <v>2141</v>
      </c>
      <c r="L53" s="11" t="s">
        <v>2142</v>
      </c>
    </row>
    <row r="54" spans="1:12">
      <c r="A54" t="s">
        <v>2143</v>
      </c>
      <c r="B54" s="8">
        <v>2.242</v>
      </c>
      <c r="C54" s="9">
        <v>6.6</v>
      </c>
      <c r="D54">
        <v>3</v>
      </c>
      <c r="E54">
        <v>3</v>
      </c>
      <c r="F54">
        <v>3</v>
      </c>
      <c r="G54" s="10">
        <v>1</v>
      </c>
      <c r="H54" t="s">
        <v>46</v>
      </c>
      <c r="I54" t="s">
        <v>1957</v>
      </c>
      <c r="J54" t="s">
        <v>2144</v>
      </c>
      <c r="K54" t="s">
        <v>2145</v>
      </c>
      <c r="L54" s="11" t="s">
        <v>2144</v>
      </c>
    </row>
    <row r="55" spans="1:12">
      <c r="A55" t="s">
        <v>2146</v>
      </c>
      <c r="B55" s="8">
        <v>5.4269999999999996</v>
      </c>
      <c r="C55" s="9">
        <v>16</v>
      </c>
      <c r="D55">
        <v>7</v>
      </c>
      <c r="E55">
        <v>6</v>
      </c>
      <c r="F55">
        <v>6</v>
      </c>
      <c r="G55" s="10">
        <v>0.8571428571428571</v>
      </c>
      <c r="H55" t="s">
        <v>46</v>
      </c>
      <c r="I55" t="s">
        <v>1957</v>
      </c>
      <c r="J55" t="s">
        <v>2147</v>
      </c>
      <c r="K55" t="s">
        <v>2148</v>
      </c>
      <c r="L55" s="11" t="s">
        <v>2149</v>
      </c>
    </row>
    <row r="56" spans="1:12">
      <c r="A56" t="s">
        <v>2150</v>
      </c>
      <c r="B56" s="8">
        <v>2.847</v>
      </c>
      <c r="C56" s="9">
        <v>8.9</v>
      </c>
      <c r="D56">
        <v>2</v>
      </c>
      <c r="E56">
        <v>2</v>
      </c>
      <c r="F56">
        <v>1</v>
      </c>
      <c r="G56" s="10">
        <v>0.5</v>
      </c>
      <c r="H56" t="s">
        <v>46</v>
      </c>
      <c r="I56" t="s">
        <v>1957</v>
      </c>
      <c r="J56" t="s">
        <v>2151</v>
      </c>
      <c r="K56" t="s">
        <v>2152</v>
      </c>
      <c r="L56" s="11" t="s">
        <v>156</v>
      </c>
    </row>
    <row r="57" spans="1:12">
      <c r="A57" t="s">
        <v>2153</v>
      </c>
      <c r="B57" s="8">
        <v>3.96</v>
      </c>
      <c r="C57" s="9">
        <v>9.1999999999999993</v>
      </c>
      <c r="D57">
        <v>2</v>
      </c>
      <c r="E57">
        <v>2</v>
      </c>
      <c r="F57">
        <v>2</v>
      </c>
      <c r="G57" s="10">
        <v>1</v>
      </c>
      <c r="H57" t="s">
        <v>46</v>
      </c>
      <c r="I57" t="s">
        <v>1957</v>
      </c>
      <c r="J57" t="s">
        <v>2154</v>
      </c>
      <c r="K57" t="s">
        <v>2155</v>
      </c>
      <c r="L57" s="11" t="s">
        <v>156</v>
      </c>
    </row>
    <row r="58" spans="1:12">
      <c r="A58" t="s">
        <v>2156</v>
      </c>
      <c r="B58" s="8">
        <v>2.492</v>
      </c>
      <c r="C58" s="9">
        <v>135</v>
      </c>
      <c r="D58">
        <v>4</v>
      </c>
      <c r="E58">
        <v>4</v>
      </c>
      <c r="F58">
        <v>4</v>
      </c>
      <c r="G58" s="10">
        <v>1</v>
      </c>
      <c r="H58" t="s">
        <v>46</v>
      </c>
      <c r="I58" t="s">
        <v>1957</v>
      </c>
      <c r="J58" t="s">
        <v>2157</v>
      </c>
      <c r="K58" t="s">
        <v>2158</v>
      </c>
      <c r="L58" s="11" t="s">
        <v>2159</v>
      </c>
    </row>
    <row r="59" spans="1:12">
      <c r="A59" t="s">
        <v>2160</v>
      </c>
      <c r="B59" s="8">
        <v>2.9569999999999999</v>
      </c>
      <c r="C59" s="9">
        <v>13</v>
      </c>
      <c r="D59">
        <v>2</v>
      </c>
      <c r="E59">
        <v>2</v>
      </c>
      <c r="F59">
        <v>2</v>
      </c>
      <c r="G59" s="10">
        <v>1</v>
      </c>
      <c r="H59" t="s">
        <v>46</v>
      </c>
      <c r="I59" t="s">
        <v>1957</v>
      </c>
      <c r="J59" t="s">
        <v>2161</v>
      </c>
      <c r="K59" t="s">
        <v>2162</v>
      </c>
      <c r="L59" s="11" t="s">
        <v>2163</v>
      </c>
    </row>
    <row r="60" spans="1:12">
      <c r="A60" t="s">
        <v>2164</v>
      </c>
      <c r="B60" s="8">
        <v>2.2999999999999998</v>
      </c>
      <c r="C60" s="9">
        <v>13</v>
      </c>
      <c r="D60">
        <v>2</v>
      </c>
      <c r="E60">
        <v>1</v>
      </c>
      <c r="F60">
        <v>1</v>
      </c>
      <c r="G60" s="10">
        <v>0.5</v>
      </c>
      <c r="H60" t="s">
        <v>46</v>
      </c>
      <c r="I60" t="s">
        <v>1957</v>
      </c>
      <c r="J60" t="s">
        <v>2165</v>
      </c>
      <c r="K60" t="s">
        <v>2166</v>
      </c>
      <c r="L60" s="11" t="s">
        <v>2165</v>
      </c>
    </row>
    <row r="61" spans="1:12">
      <c r="A61" t="s">
        <v>2167</v>
      </c>
      <c r="B61" s="8">
        <v>2.0550000000000002</v>
      </c>
      <c r="C61" s="9">
        <v>8.6</v>
      </c>
      <c r="D61">
        <v>2</v>
      </c>
      <c r="E61">
        <v>2</v>
      </c>
      <c r="F61">
        <v>2</v>
      </c>
      <c r="G61" s="10">
        <v>1</v>
      </c>
      <c r="H61" t="s">
        <v>46</v>
      </c>
      <c r="I61" t="s">
        <v>1957</v>
      </c>
      <c r="J61" t="s">
        <v>2168</v>
      </c>
      <c r="K61" t="s">
        <v>2169</v>
      </c>
      <c r="L61" s="11" t="s">
        <v>2170</v>
      </c>
    </row>
    <row r="62" spans="1:12">
      <c r="A62" t="s">
        <v>2171</v>
      </c>
      <c r="B62" s="8">
        <v>2.706</v>
      </c>
      <c r="C62" s="9">
        <v>19</v>
      </c>
      <c r="D62">
        <v>1</v>
      </c>
      <c r="E62">
        <v>1</v>
      </c>
      <c r="F62">
        <v>1</v>
      </c>
      <c r="G62" s="10">
        <v>1</v>
      </c>
      <c r="H62" t="s">
        <v>46</v>
      </c>
      <c r="I62" t="s">
        <v>1957</v>
      </c>
      <c r="J62" t="s">
        <v>2172</v>
      </c>
      <c r="K62" t="s">
        <v>2173</v>
      </c>
      <c r="L62" s="11" t="s">
        <v>2172</v>
      </c>
    </row>
    <row r="63" spans="1:12">
      <c r="A63" t="s">
        <v>2174</v>
      </c>
      <c r="B63" s="8">
        <v>6.4470000000000001</v>
      </c>
      <c r="C63" s="9">
        <v>17</v>
      </c>
      <c r="D63">
        <v>2</v>
      </c>
      <c r="E63">
        <v>2</v>
      </c>
      <c r="F63">
        <v>2</v>
      </c>
      <c r="G63" s="10">
        <v>1</v>
      </c>
      <c r="H63" t="s">
        <v>46</v>
      </c>
      <c r="I63" t="s">
        <v>1957</v>
      </c>
      <c r="J63" t="s">
        <v>2175</v>
      </c>
      <c r="K63" t="s">
        <v>2176</v>
      </c>
      <c r="L63" s="11" t="s">
        <v>2177</v>
      </c>
    </row>
    <row r="64" spans="1:12">
      <c r="A64" t="s">
        <v>2178</v>
      </c>
      <c r="B64" s="8">
        <v>2.3570000000000002</v>
      </c>
      <c r="C64" s="9">
        <v>33</v>
      </c>
      <c r="D64">
        <v>1</v>
      </c>
      <c r="E64">
        <v>1</v>
      </c>
      <c r="F64">
        <v>1</v>
      </c>
      <c r="G64" s="10">
        <v>1</v>
      </c>
      <c r="H64" t="s">
        <v>46</v>
      </c>
      <c r="I64" t="s">
        <v>1957</v>
      </c>
      <c r="J64" t="s">
        <v>2179</v>
      </c>
      <c r="K64" t="s">
        <v>2176</v>
      </c>
      <c r="L64" s="11" t="s">
        <v>2179</v>
      </c>
    </row>
    <row r="65" spans="1:12">
      <c r="A65" t="s">
        <v>2180</v>
      </c>
      <c r="B65" s="8">
        <v>2.7879999999999998</v>
      </c>
      <c r="C65" s="9">
        <v>87</v>
      </c>
      <c r="D65">
        <v>1</v>
      </c>
      <c r="E65">
        <v>1</v>
      </c>
      <c r="F65">
        <v>1</v>
      </c>
      <c r="G65" s="10">
        <v>1</v>
      </c>
      <c r="H65" t="s">
        <v>46</v>
      </c>
      <c r="I65" t="s">
        <v>1957</v>
      </c>
      <c r="J65" t="s">
        <v>2179</v>
      </c>
      <c r="K65" t="s">
        <v>2176</v>
      </c>
      <c r="L65" s="11" t="s">
        <v>2179</v>
      </c>
    </row>
    <row r="66" spans="1:12">
      <c r="A66" t="s">
        <v>2181</v>
      </c>
      <c r="B66" s="8">
        <v>3.452</v>
      </c>
      <c r="C66" s="9">
        <v>31</v>
      </c>
      <c r="D66">
        <v>4</v>
      </c>
      <c r="E66">
        <v>4</v>
      </c>
      <c r="F66">
        <v>4</v>
      </c>
      <c r="G66" s="10">
        <v>1</v>
      </c>
      <c r="H66" t="s">
        <v>46</v>
      </c>
      <c r="I66" t="s">
        <v>1957</v>
      </c>
      <c r="J66" t="s">
        <v>2182</v>
      </c>
      <c r="K66" t="s">
        <v>2183</v>
      </c>
      <c r="L66" s="11" t="s">
        <v>2184</v>
      </c>
    </row>
    <row r="67" spans="1:12">
      <c r="A67" t="s">
        <v>2185</v>
      </c>
      <c r="B67" s="8">
        <v>12.47</v>
      </c>
      <c r="C67" s="9">
        <v>14</v>
      </c>
      <c r="D67">
        <v>7</v>
      </c>
      <c r="E67">
        <v>6</v>
      </c>
      <c r="F67">
        <v>6</v>
      </c>
      <c r="G67" s="10">
        <v>0.8571428571428571</v>
      </c>
      <c r="H67" t="s">
        <v>46</v>
      </c>
      <c r="I67" t="s">
        <v>1957</v>
      </c>
      <c r="J67" t="s">
        <v>2186</v>
      </c>
      <c r="K67" t="s">
        <v>2187</v>
      </c>
      <c r="L67" s="11" t="s">
        <v>2188</v>
      </c>
    </row>
    <row r="68" spans="1:12">
      <c r="A68" t="s">
        <v>2189</v>
      </c>
      <c r="B68" s="8">
        <v>7.3730000000000002</v>
      </c>
      <c r="C68" s="9">
        <v>19</v>
      </c>
      <c r="D68">
        <v>5</v>
      </c>
      <c r="E68">
        <v>5</v>
      </c>
      <c r="F68">
        <v>5</v>
      </c>
      <c r="G68" s="10">
        <v>1</v>
      </c>
      <c r="H68" t="s">
        <v>46</v>
      </c>
      <c r="I68" t="s">
        <v>1957</v>
      </c>
      <c r="J68" t="s">
        <v>2190</v>
      </c>
      <c r="K68" t="s">
        <v>2191</v>
      </c>
      <c r="L68" s="11" t="s">
        <v>2192</v>
      </c>
    </row>
    <row r="69" spans="1:12">
      <c r="A69" t="s">
        <v>2193</v>
      </c>
      <c r="B69" s="8">
        <v>4.3789999999999996</v>
      </c>
      <c r="C69" s="9">
        <v>32</v>
      </c>
      <c r="D69">
        <v>4</v>
      </c>
      <c r="E69">
        <v>4</v>
      </c>
      <c r="F69">
        <v>3</v>
      </c>
      <c r="G69" s="10">
        <v>0.75</v>
      </c>
      <c r="H69" t="s">
        <v>46</v>
      </c>
      <c r="I69" t="s">
        <v>1957</v>
      </c>
      <c r="J69" t="s">
        <v>2194</v>
      </c>
      <c r="K69" t="s">
        <v>2195</v>
      </c>
      <c r="L69" s="11" t="s">
        <v>2196</v>
      </c>
    </row>
    <row r="70" spans="1:12">
      <c r="A70" t="s">
        <v>2197</v>
      </c>
      <c r="B70" s="8">
        <v>2.9540000000000002</v>
      </c>
      <c r="C70" s="9">
        <v>15</v>
      </c>
      <c r="D70">
        <v>4</v>
      </c>
      <c r="E70">
        <v>4</v>
      </c>
      <c r="F70">
        <v>4</v>
      </c>
      <c r="G70" s="10">
        <v>1</v>
      </c>
      <c r="H70" t="s">
        <v>46</v>
      </c>
      <c r="I70" t="s">
        <v>1957</v>
      </c>
      <c r="J70" t="s">
        <v>2198</v>
      </c>
      <c r="K70" t="s">
        <v>188</v>
      </c>
      <c r="L70" s="11" t="s">
        <v>2198</v>
      </c>
    </row>
    <row r="71" spans="1:12">
      <c r="A71" t="s">
        <v>2199</v>
      </c>
      <c r="B71" s="8">
        <v>2.1269999999999998</v>
      </c>
      <c r="C71" s="9">
        <v>11</v>
      </c>
      <c r="D71">
        <v>1</v>
      </c>
      <c r="E71">
        <v>1</v>
      </c>
      <c r="F71">
        <v>1</v>
      </c>
      <c r="G71" s="10">
        <v>1</v>
      </c>
      <c r="H71" t="s">
        <v>46</v>
      </c>
      <c r="I71" t="s">
        <v>1957</v>
      </c>
      <c r="J71" t="s">
        <v>185</v>
      </c>
      <c r="K71" t="s">
        <v>188</v>
      </c>
      <c r="L71" s="11" t="s">
        <v>185</v>
      </c>
    </row>
    <row r="72" spans="1:12">
      <c r="A72" t="s">
        <v>2200</v>
      </c>
      <c r="B72" s="8">
        <v>6.3239999999999998</v>
      </c>
      <c r="C72" s="9">
        <v>16</v>
      </c>
      <c r="D72">
        <v>5</v>
      </c>
      <c r="E72">
        <v>4</v>
      </c>
      <c r="F72">
        <v>4</v>
      </c>
      <c r="G72" s="10">
        <v>0.8</v>
      </c>
      <c r="H72" t="s">
        <v>46</v>
      </c>
      <c r="I72" t="s">
        <v>1957</v>
      </c>
      <c r="J72" t="s">
        <v>2201</v>
      </c>
      <c r="K72" t="s">
        <v>188</v>
      </c>
      <c r="L72" s="11" t="s">
        <v>2201</v>
      </c>
    </row>
    <row r="73" spans="1:12">
      <c r="A73" t="s">
        <v>2202</v>
      </c>
      <c r="B73" s="8">
        <v>19.263999999999999</v>
      </c>
      <c r="C73" s="9">
        <v>18</v>
      </c>
      <c r="D73">
        <v>22</v>
      </c>
      <c r="E73">
        <v>19</v>
      </c>
      <c r="F73">
        <v>17</v>
      </c>
      <c r="G73" s="10">
        <v>0.77272727272727271</v>
      </c>
      <c r="H73" t="s">
        <v>46</v>
      </c>
      <c r="I73" t="s">
        <v>1957</v>
      </c>
      <c r="J73" t="s">
        <v>2203</v>
      </c>
      <c r="K73" t="s">
        <v>2204</v>
      </c>
      <c r="L73" s="11" t="s">
        <v>2205</v>
      </c>
    </row>
    <row r="74" spans="1:12">
      <c r="A74" t="s">
        <v>2206</v>
      </c>
      <c r="B74" s="8">
        <v>6.29</v>
      </c>
      <c r="C74" s="9">
        <v>15</v>
      </c>
      <c r="D74">
        <v>1</v>
      </c>
      <c r="E74">
        <v>1</v>
      </c>
      <c r="F74">
        <v>1</v>
      </c>
      <c r="G74" s="10">
        <v>1</v>
      </c>
      <c r="H74" t="s">
        <v>46</v>
      </c>
      <c r="I74" t="s">
        <v>1957</v>
      </c>
      <c r="J74" t="s">
        <v>196</v>
      </c>
      <c r="K74" t="s">
        <v>204</v>
      </c>
      <c r="L74" s="11" t="s">
        <v>196</v>
      </c>
    </row>
    <row r="75" spans="1:12">
      <c r="A75" t="s">
        <v>2207</v>
      </c>
      <c r="B75" s="8">
        <v>6.9630000000000001</v>
      </c>
      <c r="C75" s="9">
        <v>18</v>
      </c>
      <c r="D75">
        <v>1</v>
      </c>
      <c r="E75">
        <v>1</v>
      </c>
      <c r="F75">
        <v>1</v>
      </c>
      <c r="G75" s="10">
        <v>1</v>
      </c>
      <c r="H75" t="s">
        <v>46</v>
      </c>
      <c r="I75" t="s">
        <v>1957</v>
      </c>
      <c r="J75" t="s">
        <v>196</v>
      </c>
      <c r="K75" t="s">
        <v>204</v>
      </c>
      <c r="L75" s="11" t="s">
        <v>196</v>
      </c>
    </row>
    <row r="76" spans="1:12">
      <c r="A76" t="s">
        <v>2208</v>
      </c>
      <c r="B76" s="8">
        <v>2.9870000000000001</v>
      </c>
      <c r="C76" s="9">
        <v>14</v>
      </c>
      <c r="D76">
        <v>3</v>
      </c>
      <c r="E76">
        <v>3</v>
      </c>
      <c r="F76">
        <v>2</v>
      </c>
      <c r="G76" s="10">
        <v>0.66666666666666663</v>
      </c>
      <c r="H76" t="s">
        <v>46</v>
      </c>
      <c r="I76" t="s">
        <v>1957</v>
      </c>
      <c r="J76" t="s">
        <v>2209</v>
      </c>
      <c r="K76" t="s">
        <v>2210</v>
      </c>
      <c r="L76" s="11" t="s">
        <v>2211</v>
      </c>
    </row>
    <row r="77" spans="1:12">
      <c r="A77" t="s">
        <v>2212</v>
      </c>
      <c r="B77" s="8">
        <v>2.552</v>
      </c>
      <c r="C77" s="9">
        <v>42</v>
      </c>
      <c r="D77">
        <v>1</v>
      </c>
      <c r="E77">
        <v>1</v>
      </c>
      <c r="F77">
        <v>1</v>
      </c>
      <c r="G77" s="10">
        <v>1</v>
      </c>
      <c r="H77" t="s">
        <v>46</v>
      </c>
      <c r="I77" t="s">
        <v>1957</v>
      </c>
      <c r="J77" t="s">
        <v>219</v>
      </c>
      <c r="K77" t="s">
        <v>2213</v>
      </c>
      <c r="L77" s="11" t="s">
        <v>219</v>
      </c>
    </row>
    <row r="78" spans="1:12">
      <c r="A78" t="s">
        <v>2214</v>
      </c>
      <c r="B78" s="8">
        <v>5.7729999999999997</v>
      </c>
      <c r="C78" s="9">
        <v>16</v>
      </c>
      <c r="D78">
        <v>3</v>
      </c>
      <c r="E78">
        <v>2</v>
      </c>
      <c r="F78">
        <v>1</v>
      </c>
      <c r="G78" s="10">
        <v>0.33333333333333331</v>
      </c>
      <c r="H78" t="s">
        <v>46</v>
      </c>
      <c r="I78" t="s">
        <v>1957</v>
      </c>
      <c r="J78" t="s">
        <v>2215</v>
      </c>
      <c r="K78" t="s">
        <v>2216</v>
      </c>
      <c r="L78" s="11" t="s">
        <v>219</v>
      </c>
    </row>
    <row r="79" spans="1:12">
      <c r="A79" t="s">
        <v>2217</v>
      </c>
      <c r="B79" s="8">
        <v>3.0339999999999998</v>
      </c>
      <c r="C79" s="9">
        <v>258</v>
      </c>
      <c r="D79">
        <v>2</v>
      </c>
      <c r="E79">
        <v>2</v>
      </c>
      <c r="F79">
        <v>2</v>
      </c>
      <c r="G79" s="10">
        <v>1</v>
      </c>
      <c r="H79" t="s">
        <v>46</v>
      </c>
      <c r="I79" t="s">
        <v>1957</v>
      </c>
      <c r="J79" t="s">
        <v>229</v>
      </c>
      <c r="K79" t="s">
        <v>239</v>
      </c>
      <c r="L79" s="11" t="s">
        <v>229</v>
      </c>
    </row>
    <row r="80" spans="1:12">
      <c r="A80" t="s">
        <v>2218</v>
      </c>
      <c r="B80" s="8">
        <v>3.2010000000000001</v>
      </c>
      <c r="C80" s="9">
        <v>27</v>
      </c>
      <c r="D80">
        <v>2</v>
      </c>
      <c r="E80">
        <v>2</v>
      </c>
      <c r="F80">
        <v>2</v>
      </c>
      <c r="G80" s="10">
        <v>1</v>
      </c>
      <c r="H80" t="s">
        <v>46</v>
      </c>
      <c r="I80" t="s">
        <v>1957</v>
      </c>
      <c r="J80" t="s">
        <v>2219</v>
      </c>
      <c r="K80" t="s">
        <v>2220</v>
      </c>
      <c r="L80" s="11" t="s">
        <v>232</v>
      </c>
    </row>
    <row r="81" spans="1:12">
      <c r="A81" t="s">
        <v>2221</v>
      </c>
      <c r="B81" s="8">
        <v>11.382999999999999</v>
      </c>
      <c r="C81" s="9">
        <v>1014</v>
      </c>
      <c r="D81">
        <v>3</v>
      </c>
      <c r="E81">
        <v>3</v>
      </c>
      <c r="F81">
        <v>3</v>
      </c>
      <c r="G81" s="10">
        <v>1</v>
      </c>
      <c r="H81" t="s">
        <v>46</v>
      </c>
      <c r="I81" t="s">
        <v>1957</v>
      </c>
      <c r="J81" t="s">
        <v>2222</v>
      </c>
      <c r="K81" t="s">
        <v>2223</v>
      </c>
      <c r="L81" s="11" t="s">
        <v>2224</v>
      </c>
    </row>
    <row r="82" spans="1:12">
      <c r="A82" t="s">
        <v>2225</v>
      </c>
      <c r="B82" s="8">
        <v>2.41</v>
      </c>
      <c r="C82" s="9">
        <v>211</v>
      </c>
      <c r="D82">
        <v>2</v>
      </c>
      <c r="E82">
        <v>2</v>
      </c>
      <c r="F82">
        <v>2</v>
      </c>
      <c r="G82" s="10">
        <v>1</v>
      </c>
      <c r="H82" t="s">
        <v>46</v>
      </c>
      <c r="I82" t="s">
        <v>1957</v>
      </c>
      <c r="J82" t="s">
        <v>2226</v>
      </c>
      <c r="K82" t="s">
        <v>2227</v>
      </c>
      <c r="L82" s="11" t="s">
        <v>2228</v>
      </c>
    </row>
    <row r="83" spans="1:12">
      <c r="A83" t="s">
        <v>2229</v>
      </c>
      <c r="B83" s="8">
        <v>2.1259999999999999</v>
      </c>
      <c r="C83" s="9">
        <v>68</v>
      </c>
      <c r="D83">
        <v>1</v>
      </c>
      <c r="E83">
        <v>1</v>
      </c>
      <c r="F83">
        <v>1</v>
      </c>
      <c r="G83" s="10">
        <v>1</v>
      </c>
      <c r="H83" t="s">
        <v>46</v>
      </c>
      <c r="I83" t="s">
        <v>1957</v>
      </c>
      <c r="J83" t="s">
        <v>2230</v>
      </c>
      <c r="K83" t="s">
        <v>2231</v>
      </c>
      <c r="L83" s="11" t="s">
        <v>2230</v>
      </c>
    </row>
    <row r="84" spans="1:12">
      <c r="A84" t="s">
        <v>2232</v>
      </c>
      <c r="B84" s="8">
        <v>4.4939999999999998</v>
      </c>
      <c r="C84" s="9">
        <v>68</v>
      </c>
      <c r="D84">
        <v>1</v>
      </c>
      <c r="E84">
        <v>1</v>
      </c>
      <c r="F84">
        <v>1</v>
      </c>
      <c r="G84" s="10">
        <v>1</v>
      </c>
      <c r="H84" t="s">
        <v>46</v>
      </c>
      <c r="I84" t="s">
        <v>1957</v>
      </c>
      <c r="J84" t="s">
        <v>2230</v>
      </c>
      <c r="K84" t="s">
        <v>2231</v>
      </c>
      <c r="L84" s="11" t="s">
        <v>2230</v>
      </c>
    </row>
    <row r="85" spans="1:12">
      <c r="A85" t="s">
        <v>2233</v>
      </c>
      <c r="B85" s="8">
        <v>3.3420000000000001</v>
      </c>
      <c r="C85" s="9">
        <v>162</v>
      </c>
      <c r="D85">
        <v>2</v>
      </c>
      <c r="E85">
        <v>2</v>
      </c>
      <c r="F85">
        <v>2</v>
      </c>
      <c r="G85" s="10">
        <v>1</v>
      </c>
      <c r="H85" t="s">
        <v>46</v>
      </c>
      <c r="I85" t="s">
        <v>1957</v>
      </c>
      <c r="J85" t="s">
        <v>2234</v>
      </c>
      <c r="K85" t="s">
        <v>2235</v>
      </c>
      <c r="L85" s="11" t="s">
        <v>2236</v>
      </c>
    </row>
    <row r="86" spans="1:12">
      <c r="A86" t="s">
        <v>2237</v>
      </c>
      <c r="B86" s="8">
        <v>2.6309999999999998</v>
      </c>
      <c r="C86" s="9">
        <v>110</v>
      </c>
      <c r="D86">
        <v>2</v>
      </c>
      <c r="E86">
        <v>2</v>
      </c>
      <c r="F86">
        <v>2</v>
      </c>
      <c r="G86" s="10">
        <v>1</v>
      </c>
      <c r="H86" t="s">
        <v>46</v>
      </c>
      <c r="I86" t="s">
        <v>1957</v>
      </c>
      <c r="J86" t="s">
        <v>2238</v>
      </c>
      <c r="K86" t="s">
        <v>2239</v>
      </c>
      <c r="L86" s="11" t="s">
        <v>2240</v>
      </c>
    </row>
    <row r="87" spans="1:12">
      <c r="A87" t="s">
        <v>2241</v>
      </c>
      <c r="B87" s="8">
        <v>4.0869999999999997</v>
      </c>
      <c r="C87" s="9">
        <v>17</v>
      </c>
      <c r="D87">
        <v>3</v>
      </c>
      <c r="E87">
        <v>3</v>
      </c>
      <c r="F87">
        <v>3</v>
      </c>
      <c r="G87" s="10">
        <v>1</v>
      </c>
      <c r="H87" t="s">
        <v>46</v>
      </c>
      <c r="I87" t="s">
        <v>1957</v>
      </c>
      <c r="J87" t="s">
        <v>2242</v>
      </c>
      <c r="K87" t="s">
        <v>2243</v>
      </c>
      <c r="L87" s="11" t="s">
        <v>2244</v>
      </c>
    </row>
    <row r="88" spans="1:12">
      <c r="A88" t="s">
        <v>2245</v>
      </c>
      <c r="B88" s="8">
        <v>2.8980000000000001</v>
      </c>
      <c r="C88" s="9">
        <v>11</v>
      </c>
      <c r="D88">
        <v>2</v>
      </c>
      <c r="E88">
        <v>2</v>
      </c>
      <c r="F88">
        <v>1</v>
      </c>
      <c r="G88" s="10">
        <v>0.5</v>
      </c>
      <c r="H88" t="s">
        <v>46</v>
      </c>
      <c r="I88" t="s">
        <v>1957</v>
      </c>
      <c r="J88" t="s">
        <v>2246</v>
      </c>
      <c r="K88" t="s">
        <v>2247</v>
      </c>
      <c r="L88" s="11" t="s">
        <v>2248</v>
      </c>
    </row>
    <row r="89" spans="1:12">
      <c r="A89" t="s">
        <v>2249</v>
      </c>
      <c r="B89" s="8">
        <v>3.1379999999999999</v>
      </c>
      <c r="C89" s="9">
        <v>11</v>
      </c>
      <c r="D89">
        <v>2</v>
      </c>
      <c r="E89">
        <v>2</v>
      </c>
      <c r="F89">
        <v>2</v>
      </c>
      <c r="G89" s="10">
        <v>1</v>
      </c>
      <c r="H89" t="s">
        <v>46</v>
      </c>
      <c r="I89" t="s">
        <v>1957</v>
      </c>
      <c r="J89" t="s">
        <v>2250</v>
      </c>
      <c r="K89" t="s">
        <v>2251</v>
      </c>
      <c r="L89" s="11" t="s">
        <v>2252</v>
      </c>
    </row>
    <row r="90" spans="1:12">
      <c r="A90" t="s">
        <v>2253</v>
      </c>
      <c r="B90" s="8">
        <v>2.3740000000000001</v>
      </c>
      <c r="C90" s="9">
        <v>16</v>
      </c>
      <c r="D90">
        <v>3</v>
      </c>
      <c r="E90">
        <v>3</v>
      </c>
      <c r="F90">
        <v>3</v>
      </c>
      <c r="G90" s="10">
        <v>1</v>
      </c>
      <c r="H90" t="s">
        <v>46</v>
      </c>
      <c r="I90" t="s">
        <v>1957</v>
      </c>
      <c r="J90" t="s">
        <v>2254</v>
      </c>
      <c r="K90" t="s">
        <v>2255</v>
      </c>
      <c r="L90" s="11" t="s">
        <v>2256</v>
      </c>
    </row>
    <row r="91" spans="1:12">
      <c r="A91" t="s">
        <v>2257</v>
      </c>
      <c r="B91" s="8">
        <v>5.3079999999999998</v>
      </c>
      <c r="C91" s="9">
        <v>10</v>
      </c>
      <c r="D91">
        <v>5</v>
      </c>
      <c r="E91">
        <v>5</v>
      </c>
      <c r="F91">
        <v>4</v>
      </c>
      <c r="G91" s="10">
        <v>0.8</v>
      </c>
      <c r="H91" t="s">
        <v>46</v>
      </c>
      <c r="I91" t="s">
        <v>1957</v>
      </c>
      <c r="J91" t="s">
        <v>2258</v>
      </c>
      <c r="K91" t="s">
        <v>2259</v>
      </c>
      <c r="L91" s="11" t="s">
        <v>2260</v>
      </c>
    </row>
    <row r="92" spans="1:12">
      <c r="A92" t="s">
        <v>2261</v>
      </c>
      <c r="B92" s="8">
        <v>2.3130000000000002</v>
      </c>
      <c r="C92" s="9">
        <v>43</v>
      </c>
      <c r="D92">
        <v>1</v>
      </c>
      <c r="E92">
        <v>1</v>
      </c>
      <c r="F92">
        <v>1</v>
      </c>
      <c r="G92" s="10">
        <v>1</v>
      </c>
      <c r="H92" t="s">
        <v>46</v>
      </c>
      <c r="I92" t="s">
        <v>1957</v>
      </c>
      <c r="J92" t="s">
        <v>2262</v>
      </c>
      <c r="K92" t="s">
        <v>2263</v>
      </c>
      <c r="L92" s="11" t="s">
        <v>2262</v>
      </c>
    </row>
    <row r="93" spans="1:12">
      <c r="A93" t="s">
        <v>2264</v>
      </c>
      <c r="B93" s="8">
        <v>3.37</v>
      </c>
      <c r="C93" s="9">
        <v>39</v>
      </c>
      <c r="D93">
        <v>3</v>
      </c>
      <c r="E93">
        <v>2</v>
      </c>
      <c r="F93">
        <v>2</v>
      </c>
      <c r="G93" s="10">
        <v>0.66666666666666663</v>
      </c>
      <c r="H93" t="s">
        <v>46</v>
      </c>
      <c r="I93" t="s">
        <v>1957</v>
      </c>
      <c r="J93" t="s">
        <v>2265</v>
      </c>
      <c r="K93" t="s">
        <v>2266</v>
      </c>
      <c r="L93" s="11" t="s">
        <v>2262</v>
      </c>
    </row>
    <row r="94" spans="1:12">
      <c r="A94" t="s">
        <v>2267</v>
      </c>
      <c r="B94" s="8">
        <v>2.7589999999999999</v>
      </c>
      <c r="C94" s="9">
        <v>19</v>
      </c>
      <c r="D94">
        <v>1</v>
      </c>
      <c r="E94">
        <v>1</v>
      </c>
      <c r="F94">
        <v>1</v>
      </c>
      <c r="G94" s="10">
        <v>1</v>
      </c>
      <c r="H94" t="s">
        <v>46</v>
      </c>
      <c r="I94" t="s">
        <v>1957</v>
      </c>
      <c r="J94" t="s">
        <v>2268</v>
      </c>
      <c r="K94" t="s">
        <v>2269</v>
      </c>
      <c r="L94" s="11" t="s">
        <v>2268</v>
      </c>
    </row>
    <row r="95" spans="1:12">
      <c r="A95" t="s">
        <v>2270</v>
      </c>
      <c r="B95" s="8">
        <v>4.1719999999999997</v>
      </c>
      <c r="C95" s="9">
        <v>45</v>
      </c>
      <c r="D95">
        <v>3</v>
      </c>
      <c r="E95">
        <v>3</v>
      </c>
      <c r="F95">
        <v>3</v>
      </c>
      <c r="G95" s="10">
        <v>1</v>
      </c>
      <c r="H95" t="s">
        <v>46</v>
      </c>
      <c r="I95" t="s">
        <v>1957</v>
      </c>
      <c r="J95" t="s">
        <v>2271</v>
      </c>
      <c r="K95" t="s">
        <v>2272</v>
      </c>
      <c r="L95" s="11" t="s">
        <v>2273</v>
      </c>
    </row>
    <row r="96" spans="1:12">
      <c r="A96" t="s">
        <v>2274</v>
      </c>
      <c r="B96" s="8">
        <v>2.593</v>
      </c>
      <c r="C96" s="9">
        <v>11</v>
      </c>
      <c r="D96">
        <v>3</v>
      </c>
      <c r="E96">
        <v>3</v>
      </c>
      <c r="F96">
        <v>3</v>
      </c>
      <c r="G96" s="10">
        <v>1</v>
      </c>
      <c r="H96" t="s">
        <v>46</v>
      </c>
      <c r="I96" t="s">
        <v>1957</v>
      </c>
      <c r="J96" t="s">
        <v>2275</v>
      </c>
      <c r="K96" t="s">
        <v>2276</v>
      </c>
      <c r="L96" s="11" t="s">
        <v>2277</v>
      </c>
    </row>
    <row r="97" spans="1:12">
      <c r="A97" t="s">
        <v>2278</v>
      </c>
      <c r="B97" s="8">
        <v>3.2719999999999998</v>
      </c>
      <c r="C97" s="9">
        <v>14</v>
      </c>
      <c r="D97">
        <v>1</v>
      </c>
      <c r="E97">
        <v>1</v>
      </c>
      <c r="F97">
        <v>1</v>
      </c>
      <c r="G97" s="10">
        <v>1</v>
      </c>
      <c r="H97" t="s">
        <v>46</v>
      </c>
      <c r="I97" t="s">
        <v>1957</v>
      </c>
      <c r="J97" t="s">
        <v>2279</v>
      </c>
      <c r="K97" t="s">
        <v>2280</v>
      </c>
      <c r="L97" s="11" t="s">
        <v>2279</v>
      </c>
    </row>
    <row r="98" spans="1:12">
      <c r="A98" t="s">
        <v>2281</v>
      </c>
      <c r="B98" s="8">
        <v>8.01</v>
      </c>
      <c r="C98" s="9">
        <v>665</v>
      </c>
      <c r="D98">
        <v>6</v>
      </c>
      <c r="E98">
        <v>6</v>
      </c>
      <c r="F98">
        <v>6</v>
      </c>
      <c r="G98" s="10">
        <v>1</v>
      </c>
      <c r="H98" t="s">
        <v>46</v>
      </c>
      <c r="I98" t="s">
        <v>1957</v>
      </c>
      <c r="J98" t="s">
        <v>2282</v>
      </c>
      <c r="K98" t="s">
        <v>2283</v>
      </c>
      <c r="L98" s="11" t="s">
        <v>2282</v>
      </c>
    </row>
    <row r="99" spans="1:12">
      <c r="A99" t="s">
        <v>2284</v>
      </c>
      <c r="B99" s="8">
        <v>3.4460000000000002</v>
      </c>
      <c r="C99" s="9">
        <v>14</v>
      </c>
      <c r="D99">
        <v>3</v>
      </c>
      <c r="E99">
        <v>3</v>
      </c>
      <c r="F99">
        <v>3</v>
      </c>
      <c r="G99" s="10">
        <v>1</v>
      </c>
      <c r="H99" t="s">
        <v>46</v>
      </c>
      <c r="I99" t="s">
        <v>1957</v>
      </c>
      <c r="J99" t="s">
        <v>2285</v>
      </c>
      <c r="K99" t="s">
        <v>2286</v>
      </c>
      <c r="L99" s="11" t="s">
        <v>2287</v>
      </c>
    </row>
    <row r="100" spans="1:12">
      <c r="A100" t="s">
        <v>2288</v>
      </c>
      <c r="B100" s="8">
        <v>4.0730000000000004</v>
      </c>
      <c r="C100" s="9">
        <v>13</v>
      </c>
      <c r="D100">
        <v>3</v>
      </c>
      <c r="E100">
        <v>3</v>
      </c>
      <c r="F100">
        <v>2</v>
      </c>
      <c r="G100" s="10">
        <v>0.66666666666666663</v>
      </c>
      <c r="H100" t="s">
        <v>46</v>
      </c>
      <c r="I100" t="s">
        <v>1957</v>
      </c>
      <c r="J100" t="s">
        <v>2289</v>
      </c>
      <c r="K100" t="s">
        <v>2290</v>
      </c>
      <c r="L100" s="11" t="s">
        <v>2291</v>
      </c>
    </row>
    <row r="101" spans="1:12">
      <c r="A101" t="s">
        <v>2292</v>
      </c>
      <c r="B101" s="8">
        <v>2.3719999999999999</v>
      </c>
      <c r="C101" s="9">
        <v>17</v>
      </c>
      <c r="D101">
        <v>1</v>
      </c>
      <c r="E101">
        <v>1</v>
      </c>
      <c r="F101">
        <v>1</v>
      </c>
      <c r="G101" s="10">
        <v>1</v>
      </c>
      <c r="H101" t="s">
        <v>46</v>
      </c>
      <c r="I101" t="s">
        <v>1957</v>
      </c>
      <c r="J101" t="s">
        <v>2293</v>
      </c>
      <c r="K101" t="s">
        <v>2294</v>
      </c>
      <c r="L101" s="11" t="s">
        <v>2293</v>
      </c>
    </row>
    <row r="102" spans="1:12">
      <c r="A102" t="s">
        <v>2295</v>
      </c>
      <c r="B102" s="8">
        <v>17.617999999999999</v>
      </c>
      <c r="C102" s="9">
        <v>285</v>
      </c>
      <c r="D102">
        <v>8</v>
      </c>
      <c r="E102">
        <v>8</v>
      </c>
      <c r="F102">
        <v>8</v>
      </c>
      <c r="G102" s="10">
        <v>1</v>
      </c>
      <c r="H102" t="s">
        <v>46</v>
      </c>
      <c r="I102" t="s">
        <v>1957</v>
      </c>
      <c r="J102" t="s">
        <v>2296</v>
      </c>
      <c r="K102" t="s">
        <v>2297</v>
      </c>
      <c r="L102" s="11" t="s">
        <v>2298</v>
      </c>
    </row>
    <row r="103" spans="1:12">
      <c r="A103" t="s">
        <v>2299</v>
      </c>
      <c r="B103" s="8">
        <v>2.927</v>
      </c>
      <c r="C103" s="9">
        <v>15</v>
      </c>
      <c r="D103">
        <v>1</v>
      </c>
      <c r="E103">
        <v>1</v>
      </c>
      <c r="F103">
        <v>1</v>
      </c>
      <c r="G103" s="10">
        <v>1</v>
      </c>
      <c r="H103" t="s">
        <v>46</v>
      </c>
      <c r="I103" t="s">
        <v>1957</v>
      </c>
      <c r="J103" t="s">
        <v>2300</v>
      </c>
      <c r="K103" t="s">
        <v>2301</v>
      </c>
      <c r="L103" s="11" t="s">
        <v>2300</v>
      </c>
    </row>
    <row r="104" spans="1:12">
      <c r="A104" t="s">
        <v>2302</v>
      </c>
      <c r="B104" s="8">
        <v>2.1560000000000001</v>
      </c>
      <c r="C104" s="9">
        <v>19</v>
      </c>
      <c r="D104">
        <v>1</v>
      </c>
      <c r="E104">
        <v>1</v>
      </c>
      <c r="F104">
        <v>1</v>
      </c>
      <c r="G104" s="10">
        <v>1</v>
      </c>
      <c r="H104" t="s">
        <v>46</v>
      </c>
      <c r="I104" t="s">
        <v>1957</v>
      </c>
      <c r="J104" t="s">
        <v>285</v>
      </c>
      <c r="K104" t="s">
        <v>286</v>
      </c>
      <c r="L104" s="11" t="s">
        <v>285</v>
      </c>
    </row>
    <row r="105" spans="1:12">
      <c r="A105" t="s">
        <v>2303</v>
      </c>
      <c r="B105" s="8">
        <v>2.702</v>
      </c>
      <c r="C105" s="9">
        <v>35</v>
      </c>
      <c r="D105">
        <v>3</v>
      </c>
      <c r="E105">
        <v>3</v>
      </c>
      <c r="F105">
        <v>2</v>
      </c>
      <c r="G105" s="10">
        <v>0.66666666666666663</v>
      </c>
      <c r="H105" t="s">
        <v>46</v>
      </c>
      <c r="I105" t="s">
        <v>1957</v>
      </c>
      <c r="J105" t="s">
        <v>2304</v>
      </c>
      <c r="K105" t="s">
        <v>2305</v>
      </c>
      <c r="L105" s="11" t="s">
        <v>2306</v>
      </c>
    </row>
    <row r="106" spans="1:12">
      <c r="A106" t="s">
        <v>2307</v>
      </c>
      <c r="B106" s="8">
        <v>3.2149999999999999</v>
      </c>
      <c r="C106" s="9">
        <v>68</v>
      </c>
      <c r="D106">
        <v>2</v>
      </c>
      <c r="E106">
        <v>2</v>
      </c>
      <c r="F106">
        <v>1</v>
      </c>
      <c r="G106" s="10">
        <v>0.5</v>
      </c>
      <c r="H106" t="s">
        <v>46</v>
      </c>
      <c r="I106" t="s">
        <v>1957</v>
      </c>
      <c r="J106" t="s">
        <v>2308</v>
      </c>
      <c r="K106" t="s">
        <v>2309</v>
      </c>
      <c r="L106" s="11" t="s">
        <v>304</v>
      </c>
    </row>
    <row r="107" spans="1:12">
      <c r="A107" t="s">
        <v>2310</v>
      </c>
      <c r="B107" s="8">
        <v>5.9880000000000004</v>
      </c>
      <c r="C107" s="9">
        <v>20</v>
      </c>
      <c r="D107">
        <v>3</v>
      </c>
      <c r="E107">
        <v>2</v>
      </c>
      <c r="F107">
        <v>3</v>
      </c>
      <c r="G107" s="10">
        <v>1</v>
      </c>
      <c r="H107" t="s">
        <v>46</v>
      </c>
      <c r="I107" t="s">
        <v>1957</v>
      </c>
      <c r="J107" t="s">
        <v>2311</v>
      </c>
      <c r="K107" t="s">
        <v>2312</v>
      </c>
      <c r="L107" s="11" t="s">
        <v>2313</v>
      </c>
    </row>
    <row r="108" spans="1:12">
      <c r="A108" t="s">
        <v>2314</v>
      </c>
      <c r="B108" s="8">
        <v>4.5640000000000001</v>
      </c>
      <c r="C108" s="9">
        <v>14</v>
      </c>
      <c r="D108">
        <v>2</v>
      </c>
      <c r="E108">
        <v>1</v>
      </c>
      <c r="F108">
        <v>1</v>
      </c>
      <c r="G108" s="10">
        <v>0.5</v>
      </c>
      <c r="H108" t="s">
        <v>46</v>
      </c>
      <c r="I108" t="s">
        <v>1957</v>
      </c>
      <c r="J108" t="s">
        <v>304</v>
      </c>
      <c r="K108" t="s">
        <v>2312</v>
      </c>
      <c r="L108" s="11" t="s">
        <v>304</v>
      </c>
    </row>
    <row r="109" spans="1:12">
      <c r="A109" t="s">
        <v>2315</v>
      </c>
      <c r="B109" s="8">
        <v>24.213999999999999</v>
      </c>
      <c r="C109" s="9">
        <v>21</v>
      </c>
      <c r="D109">
        <v>21</v>
      </c>
      <c r="E109">
        <v>21</v>
      </c>
      <c r="F109">
        <v>18</v>
      </c>
      <c r="G109" s="10">
        <v>0.8571428571428571</v>
      </c>
      <c r="H109" t="s">
        <v>46</v>
      </c>
      <c r="I109" t="s">
        <v>1957</v>
      </c>
      <c r="J109" t="s">
        <v>2316</v>
      </c>
      <c r="K109" t="s">
        <v>2317</v>
      </c>
      <c r="L109" s="11" t="s">
        <v>2318</v>
      </c>
    </row>
    <row r="110" spans="1:12">
      <c r="A110" t="s">
        <v>2319</v>
      </c>
      <c r="B110" s="8">
        <v>21.361999999999998</v>
      </c>
      <c r="C110" s="9">
        <v>14</v>
      </c>
      <c r="D110">
        <v>14</v>
      </c>
      <c r="E110">
        <v>12</v>
      </c>
      <c r="F110">
        <v>11</v>
      </c>
      <c r="G110" s="10">
        <v>0.7857142857142857</v>
      </c>
      <c r="H110" t="s">
        <v>46</v>
      </c>
      <c r="I110" t="s">
        <v>1957</v>
      </c>
      <c r="J110" t="s">
        <v>2320</v>
      </c>
      <c r="K110" t="s">
        <v>2321</v>
      </c>
      <c r="L110" s="11" t="s">
        <v>2322</v>
      </c>
    </row>
    <row r="111" spans="1:12">
      <c r="A111" t="s">
        <v>2323</v>
      </c>
      <c r="B111" s="8">
        <v>2.0779999999999998</v>
      </c>
      <c r="C111" s="9">
        <v>9.4</v>
      </c>
      <c r="D111">
        <v>1</v>
      </c>
      <c r="E111">
        <v>1</v>
      </c>
      <c r="F111">
        <v>1</v>
      </c>
      <c r="G111" s="10">
        <v>1</v>
      </c>
      <c r="H111" t="s">
        <v>46</v>
      </c>
      <c r="I111" t="s">
        <v>1957</v>
      </c>
      <c r="J111" t="s">
        <v>2324</v>
      </c>
      <c r="K111" t="s">
        <v>2325</v>
      </c>
      <c r="L111" s="11" t="s">
        <v>2324</v>
      </c>
    </row>
    <row r="112" spans="1:12">
      <c r="A112" t="s">
        <v>2326</v>
      </c>
      <c r="B112" s="8">
        <v>7.9690000000000003</v>
      </c>
      <c r="C112" s="9">
        <v>16</v>
      </c>
      <c r="D112">
        <v>11</v>
      </c>
      <c r="E112">
        <v>9</v>
      </c>
      <c r="F112">
        <v>9</v>
      </c>
      <c r="G112" s="10">
        <v>0.81818181818181823</v>
      </c>
      <c r="H112" t="s">
        <v>46</v>
      </c>
      <c r="I112" t="s">
        <v>1957</v>
      </c>
      <c r="J112" t="s">
        <v>2327</v>
      </c>
      <c r="K112" t="s">
        <v>2328</v>
      </c>
      <c r="L112" s="11" t="s">
        <v>2329</v>
      </c>
    </row>
    <row r="113" spans="1:12">
      <c r="A113" t="s">
        <v>2330</v>
      </c>
      <c r="B113" s="8">
        <v>4.0060000000000002</v>
      </c>
      <c r="C113" s="9">
        <v>346</v>
      </c>
      <c r="D113">
        <v>2</v>
      </c>
      <c r="E113">
        <v>2</v>
      </c>
      <c r="F113">
        <v>1</v>
      </c>
      <c r="G113" s="10">
        <v>0.5</v>
      </c>
      <c r="H113" t="s">
        <v>46</v>
      </c>
      <c r="I113" t="s">
        <v>1957</v>
      </c>
      <c r="J113" t="s">
        <v>2331</v>
      </c>
      <c r="K113" t="s">
        <v>2332</v>
      </c>
      <c r="L113" s="11" t="s">
        <v>2333</v>
      </c>
    </row>
    <row r="114" spans="1:12">
      <c r="A114" t="s">
        <v>2334</v>
      </c>
      <c r="B114" s="8">
        <v>2.1160000000000001</v>
      </c>
      <c r="C114" s="9">
        <v>198</v>
      </c>
      <c r="D114">
        <v>2</v>
      </c>
      <c r="E114">
        <v>2</v>
      </c>
      <c r="F114">
        <v>2</v>
      </c>
      <c r="G114" s="10">
        <v>1</v>
      </c>
      <c r="H114" t="s">
        <v>46</v>
      </c>
      <c r="I114" t="s">
        <v>1957</v>
      </c>
      <c r="J114" t="s">
        <v>2335</v>
      </c>
      <c r="K114" t="s">
        <v>2336</v>
      </c>
      <c r="L114" s="11" t="s">
        <v>2337</v>
      </c>
    </row>
    <row r="115" spans="1:12">
      <c r="A115" t="s">
        <v>2338</v>
      </c>
      <c r="B115" s="8">
        <v>2.4590000000000001</v>
      </c>
      <c r="C115" s="9">
        <v>15</v>
      </c>
      <c r="D115">
        <v>2</v>
      </c>
      <c r="E115">
        <v>2</v>
      </c>
      <c r="F115">
        <v>2</v>
      </c>
      <c r="G115" s="10">
        <v>1</v>
      </c>
      <c r="H115" t="s">
        <v>46</v>
      </c>
      <c r="I115" t="s">
        <v>1957</v>
      </c>
      <c r="J115" t="s">
        <v>2339</v>
      </c>
      <c r="K115" t="s">
        <v>2340</v>
      </c>
      <c r="L115" s="11" t="s">
        <v>2341</v>
      </c>
    </row>
    <row r="116" spans="1:12">
      <c r="A116" t="s">
        <v>2342</v>
      </c>
      <c r="B116" s="8">
        <v>3.508</v>
      </c>
      <c r="C116" s="9">
        <v>18</v>
      </c>
      <c r="D116">
        <v>3</v>
      </c>
      <c r="E116">
        <v>3</v>
      </c>
      <c r="F116">
        <v>3</v>
      </c>
      <c r="G116" s="10">
        <v>1</v>
      </c>
      <c r="H116" t="s">
        <v>46</v>
      </c>
      <c r="I116" t="s">
        <v>1957</v>
      </c>
      <c r="J116" t="s">
        <v>2343</v>
      </c>
      <c r="K116" t="s">
        <v>2344</v>
      </c>
      <c r="L116" s="11" t="s">
        <v>2345</v>
      </c>
    </row>
    <row r="117" spans="1:12">
      <c r="A117" t="s">
        <v>2346</v>
      </c>
      <c r="B117" s="8">
        <v>2.8490000000000002</v>
      </c>
      <c r="C117" s="9">
        <v>14</v>
      </c>
      <c r="D117">
        <v>2</v>
      </c>
      <c r="E117">
        <v>2</v>
      </c>
      <c r="F117">
        <v>2</v>
      </c>
      <c r="G117" s="10">
        <v>1</v>
      </c>
      <c r="H117" t="s">
        <v>46</v>
      </c>
      <c r="I117" t="s">
        <v>1957</v>
      </c>
      <c r="J117" t="s">
        <v>2347</v>
      </c>
      <c r="K117" t="s">
        <v>2348</v>
      </c>
      <c r="L117" s="11" t="s">
        <v>2349</v>
      </c>
    </row>
    <row r="118" spans="1:12">
      <c r="A118" t="s">
        <v>2350</v>
      </c>
      <c r="B118" s="8">
        <v>4.0430000000000001</v>
      </c>
      <c r="C118" s="9">
        <v>11</v>
      </c>
      <c r="D118">
        <v>3</v>
      </c>
      <c r="E118">
        <v>2</v>
      </c>
      <c r="F118">
        <v>2</v>
      </c>
      <c r="G118" s="10">
        <v>0.66666666666666663</v>
      </c>
      <c r="H118" t="s">
        <v>46</v>
      </c>
      <c r="I118" t="s">
        <v>1957</v>
      </c>
      <c r="J118" t="s">
        <v>2351</v>
      </c>
      <c r="K118" t="s">
        <v>2352</v>
      </c>
      <c r="L118" s="11" t="s">
        <v>2353</v>
      </c>
    </row>
    <row r="119" spans="1:12">
      <c r="A119" t="s">
        <v>2354</v>
      </c>
      <c r="B119" s="8">
        <v>3.8109999999999999</v>
      </c>
      <c r="C119" s="9">
        <v>9.4</v>
      </c>
      <c r="D119">
        <v>4</v>
      </c>
      <c r="E119">
        <v>4</v>
      </c>
      <c r="F119">
        <v>3</v>
      </c>
      <c r="G119" s="10">
        <v>0.75</v>
      </c>
      <c r="H119" t="s">
        <v>46</v>
      </c>
      <c r="I119" t="s">
        <v>1957</v>
      </c>
      <c r="J119" t="s">
        <v>2355</v>
      </c>
      <c r="K119" t="s">
        <v>2356</v>
      </c>
      <c r="L119" s="11" t="s">
        <v>2357</v>
      </c>
    </row>
    <row r="120" spans="1:12">
      <c r="A120" t="s">
        <v>2358</v>
      </c>
      <c r="B120" s="8">
        <v>2.544</v>
      </c>
      <c r="C120" s="9">
        <v>16</v>
      </c>
      <c r="D120">
        <v>2</v>
      </c>
      <c r="E120">
        <v>2</v>
      </c>
      <c r="F120">
        <v>2</v>
      </c>
      <c r="G120" s="10">
        <v>1</v>
      </c>
      <c r="H120" t="s">
        <v>46</v>
      </c>
      <c r="I120" t="s">
        <v>1957</v>
      </c>
      <c r="J120" t="s">
        <v>2359</v>
      </c>
      <c r="K120" t="s">
        <v>2360</v>
      </c>
      <c r="L120" s="11" t="s">
        <v>2361</v>
      </c>
    </row>
    <row r="121" spans="1:12">
      <c r="A121" t="s">
        <v>2362</v>
      </c>
      <c r="B121" s="8">
        <v>6.702</v>
      </c>
      <c r="C121" s="9">
        <v>23</v>
      </c>
      <c r="D121">
        <v>7</v>
      </c>
      <c r="E121">
        <v>4</v>
      </c>
      <c r="F121">
        <v>3</v>
      </c>
      <c r="G121" s="10">
        <v>0.42857142857142855</v>
      </c>
      <c r="H121" t="s">
        <v>46</v>
      </c>
      <c r="I121" t="s">
        <v>1957</v>
      </c>
      <c r="J121" t="s">
        <v>2363</v>
      </c>
      <c r="K121" t="s">
        <v>2364</v>
      </c>
      <c r="L121" s="11" t="s">
        <v>2365</v>
      </c>
    </row>
    <row r="122" spans="1:12">
      <c r="A122" t="s">
        <v>2366</v>
      </c>
      <c r="B122" s="8">
        <v>10.612</v>
      </c>
      <c r="C122" s="9">
        <v>16</v>
      </c>
      <c r="D122">
        <v>6</v>
      </c>
      <c r="E122">
        <v>6</v>
      </c>
      <c r="F122">
        <v>5</v>
      </c>
      <c r="G122" s="10">
        <v>0.83333333333333337</v>
      </c>
      <c r="H122" t="s">
        <v>46</v>
      </c>
      <c r="I122" t="s">
        <v>1957</v>
      </c>
      <c r="J122" t="s">
        <v>2367</v>
      </c>
      <c r="K122" t="s">
        <v>2368</v>
      </c>
      <c r="L122" s="11" t="s">
        <v>2369</v>
      </c>
    </row>
    <row r="123" spans="1:12">
      <c r="A123" t="s">
        <v>2370</v>
      </c>
      <c r="B123" s="8">
        <v>9.7799999999999994</v>
      </c>
      <c r="C123" s="9">
        <v>28</v>
      </c>
      <c r="D123">
        <v>9</v>
      </c>
      <c r="E123">
        <v>7</v>
      </c>
      <c r="F123">
        <v>5</v>
      </c>
      <c r="G123" s="10">
        <v>0.55555555555555558</v>
      </c>
      <c r="H123" t="s">
        <v>46</v>
      </c>
      <c r="I123" t="s">
        <v>1957</v>
      </c>
      <c r="J123" t="s">
        <v>2371</v>
      </c>
      <c r="K123" t="s">
        <v>2372</v>
      </c>
      <c r="L123" s="11" t="s">
        <v>2373</v>
      </c>
    </row>
    <row r="124" spans="1:12">
      <c r="A124" t="s">
        <v>2374</v>
      </c>
      <c r="B124" s="8">
        <v>4.3259999999999996</v>
      </c>
      <c r="C124" s="9">
        <v>307</v>
      </c>
      <c r="D124">
        <v>3</v>
      </c>
      <c r="E124">
        <v>3</v>
      </c>
      <c r="F124">
        <v>3</v>
      </c>
      <c r="G124" s="10">
        <v>1</v>
      </c>
      <c r="H124" t="s">
        <v>46</v>
      </c>
      <c r="I124" t="s">
        <v>1957</v>
      </c>
      <c r="J124" t="s">
        <v>2375</v>
      </c>
      <c r="K124" t="s">
        <v>2376</v>
      </c>
      <c r="L124" s="11" t="s">
        <v>2377</v>
      </c>
    </row>
    <row r="125" spans="1:12">
      <c r="A125" t="s">
        <v>2378</v>
      </c>
      <c r="B125" s="8">
        <v>10.134</v>
      </c>
      <c r="C125" s="9">
        <v>12</v>
      </c>
      <c r="D125">
        <v>5</v>
      </c>
      <c r="E125">
        <v>5</v>
      </c>
      <c r="F125">
        <v>5</v>
      </c>
      <c r="G125" s="10">
        <v>1</v>
      </c>
      <c r="H125" t="s">
        <v>46</v>
      </c>
      <c r="I125" t="s">
        <v>1957</v>
      </c>
      <c r="J125" t="s">
        <v>2379</v>
      </c>
      <c r="K125" t="s">
        <v>2380</v>
      </c>
      <c r="L125" s="11" t="s">
        <v>2381</v>
      </c>
    </row>
    <row r="126" spans="1:12">
      <c r="A126" t="s">
        <v>2382</v>
      </c>
      <c r="B126" s="8">
        <v>8.4570000000000007</v>
      </c>
      <c r="C126" s="9">
        <v>19</v>
      </c>
      <c r="D126">
        <v>10</v>
      </c>
      <c r="E126">
        <v>8</v>
      </c>
      <c r="F126">
        <v>8</v>
      </c>
      <c r="G126" s="10">
        <v>0.8</v>
      </c>
      <c r="H126" t="s">
        <v>46</v>
      </c>
      <c r="I126" t="s">
        <v>1957</v>
      </c>
      <c r="J126" t="s">
        <v>2383</v>
      </c>
      <c r="K126" t="s">
        <v>2384</v>
      </c>
      <c r="L126" s="11" t="s">
        <v>2385</v>
      </c>
    </row>
    <row r="127" spans="1:12">
      <c r="A127" t="s">
        <v>2386</v>
      </c>
      <c r="B127" s="8">
        <v>2.63</v>
      </c>
      <c r="C127" s="9">
        <v>7.2</v>
      </c>
      <c r="D127">
        <v>2</v>
      </c>
      <c r="E127">
        <v>2</v>
      </c>
      <c r="F127">
        <v>2</v>
      </c>
      <c r="G127" s="10">
        <v>1</v>
      </c>
      <c r="H127" t="s">
        <v>46</v>
      </c>
      <c r="I127" t="s">
        <v>1957</v>
      </c>
      <c r="J127" t="s">
        <v>2387</v>
      </c>
      <c r="K127" t="s">
        <v>365</v>
      </c>
      <c r="L127" s="11" t="s">
        <v>2388</v>
      </c>
    </row>
    <row r="128" spans="1:12">
      <c r="A128" t="s">
        <v>2389</v>
      </c>
      <c r="B128" s="8">
        <v>62.938000000000002</v>
      </c>
      <c r="C128" s="9">
        <v>22</v>
      </c>
      <c r="D128">
        <v>40</v>
      </c>
      <c r="E128">
        <v>34</v>
      </c>
      <c r="F128">
        <v>31</v>
      </c>
      <c r="G128" s="10">
        <v>0.77500000000000002</v>
      </c>
      <c r="H128" t="s">
        <v>46</v>
      </c>
      <c r="I128" t="s">
        <v>1957</v>
      </c>
      <c r="J128" t="s">
        <v>2390</v>
      </c>
      <c r="K128" t="s">
        <v>2391</v>
      </c>
      <c r="L128" s="11" t="s">
        <v>2392</v>
      </c>
    </row>
    <row r="129" spans="1:12">
      <c r="A129" t="s">
        <v>2393</v>
      </c>
      <c r="B129" s="8">
        <v>2.9089999999999998</v>
      </c>
      <c r="C129" s="9">
        <v>11</v>
      </c>
      <c r="D129">
        <v>2</v>
      </c>
      <c r="E129">
        <v>2</v>
      </c>
      <c r="F129">
        <v>2</v>
      </c>
      <c r="G129" s="10">
        <v>1</v>
      </c>
      <c r="H129" t="s">
        <v>46</v>
      </c>
      <c r="I129" t="s">
        <v>1957</v>
      </c>
      <c r="J129" t="s">
        <v>2394</v>
      </c>
      <c r="K129" t="s">
        <v>2395</v>
      </c>
      <c r="L129" s="11" t="s">
        <v>512</v>
      </c>
    </row>
    <row r="130" spans="1:12">
      <c r="A130" t="s">
        <v>2396</v>
      </c>
      <c r="B130" s="8">
        <v>2.4140000000000001</v>
      </c>
      <c r="C130" s="9">
        <v>18</v>
      </c>
      <c r="D130">
        <v>2</v>
      </c>
      <c r="E130">
        <v>2</v>
      </c>
      <c r="F130">
        <v>2</v>
      </c>
      <c r="G130" s="10">
        <v>1</v>
      </c>
      <c r="H130" t="s">
        <v>46</v>
      </c>
      <c r="I130" t="s">
        <v>1957</v>
      </c>
      <c r="J130" t="s">
        <v>2397</v>
      </c>
      <c r="K130" t="s">
        <v>2398</v>
      </c>
      <c r="L130" s="11" t="s">
        <v>2397</v>
      </c>
    </row>
    <row r="131" spans="1:12">
      <c r="A131" t="s">
        <v>2399</v>
      </c>
      <c r="B131" s="8">
        <v>4.2789999999999999</v>
      </c>
      <c r="C131" s="9">
        <v>19</v>
      </c>
      <c r="D131">
        <v>2</v>
      </c>
      <c r="E131">
        <v>2</v>
      </c>
      <c r="F131">
        <v>2</v>
      </c>
      <c r="G131" s="10">
        <v>1</v>
      </c>
      <c r="H131" t="s">
        <v>46</v>
      </c>
      <c r="I131" t="s">
        <v>1957</v>
      </c>
      <c r="J131" t="s">
        <v>2397</v>
      </c>
      <c r="K131" t="s">
        <v>2398</v>
      </c>
      <c r="L131" s="11" t="s">
        <v>2397</v>
      </c>
    </row>
    <row r="132" spans="1:12">
      <c r="A132" t="s">
        <v>2400</v>
      </c>
      <c r="B132" s="8">
        <v>16.760000000000002</v>
      </c>
      <c r="C132" s="9">
        <v>19</v>
      </c>
      <c r="D132">
        <v>15</v>
      </c>
      <c r="E132">
        <v>15</v>
      </c>
      <c r="F132">
        <v>11</v>
      </c>
      <c r="G132" s="10">
        <v>0.73333333333333328</v>
      </c>
      <c r="H132" t="s">
        <v>46</v>
      </c>
      <c r="I132" t="s">
        <v>1957</v>
      </c>
      <c r="J132" t="s">
        <v>2401</v>
      </c>
      <c r="K132" t="s">
        <v>2402</v>
      </c>
      <c r="L132" s="11" t="s">
        <v>2403</v>
      </c>
    </row>
    <row r="133" spans="1:12">
      <c r="A133" t="s">
        <v>2404</v>
      </c>
      <c r="B133" s="8">
        <v>12.43</v>
      </c>
      <c r="C133" s="9">
        <v>23</v>
      </c>
      <c r="D133">
        <v>11</v>
      </c>
      <c r="E133">
        <v>11</v>
      </c>
      <c r="F133">
        <v>10</v>
      </c>
      <c r="G133" s="10">
        <v>0.90909090909090906</v>
      </c>
      <c r="H133" t="s">
        <v>46</v>
      </c>
      <c r="I133" t="s">
        <v>1957</v>
      </c>
      <c r="J133" t="s">
        <v>2405</v>
      </c>
      <c r="K133" t="s">
        <v>2406</v>
      </c>
      <c r="L133" s="11" t="s">
        <v>2407</v>
      </c>
    </row>
    <row r="134" spans="1:12">
      <c r="A134" t="s">
        <v>2408</v>
      </c>
      <c r="B134" s="8">
        <v>8.1679999999999993</v>
      </c>
      <c r="C134" s="9">
        <v>17</v>
      </c>
      <c r="D134">
        <v>11</v>
      </c>
      <c r="E134">
        <v>11</v>
      </c>
      <c r="F134">
        <v>11</v>
      </c>
      <c r="G134" s="10">
        <v>1</v>
      </c>
      <c r="H134" t="s">
        <v>46</v>
      </c>
      <c r="I134" t="s">
        <v>1957</v>
      </c>
      <c r="J134" t="s">
        <v>2409</v>
      </c>
      <c r="K134" t="s">
        <v>2410</v>
      </c>
      <c r="L134" s="11" t="s">
        <v>2411</v>
      </c>
    </row>
    <row r="135" spans="1:12">
      <c r="A135" t="s">
        <v>2412</v>
      </c>
      <c r="B135" s="8">
        <v>5.7480000000000002</v>
      </c>
      <c r="C135" s="9">
        <v>14</v>
      </c>
      <c r="D135">
        <v>3</v>
      </c>
      <c r="E135">
        <v>3</v>
      </c>
      <c r="F135">
        <v>3</v>
      </c>
      <c r="G135" s="10">
        <v>1</v>
      </c>
      <c r="H135" t="s">
        <v>46</v>
      </c>
      <c r="I135" t="s">
        <v>1957</v>
      </c>
      <c r="J135" t="s">
        <v>2413</v>
      </c>
      <c r="K135" t="s">
        <v>426</v>
      </c>
      <c r="L135" s="11" t="s">
        <v>2413</v>
      </c>
    </row>
    <row r="136" spans="1:12">
      <c r="A136" t="s">
        <v>2414</v>
      </c>
      <c r="B136" s="8">
        <v>8.8770000000000007</v>
      </c>
      <c r="C136" s="9">
        <v>17</v>
      </c>
      <c r="D136">
        <v>3</v>
      </c>
      <c r="E136">
        <v>3</v>
      </c>
      <c r="F136">
        <v>2</v>
      </c>
      <c r="G136" s="10">
        <v>0.66666666666666663</v>
      </c>
      <c r="H136" t="s">
        <v>46</v>
      </c>
      <c r="I136" t="s">
        <v>1957</v>
      </c>
      <c r="J136" t="s">
        <v>2415</v>
      </c>
      <c r="K136" t="s">
        <v>2416</v>
      </c>
      <c r="L136" s="11" t="s">
        <v>2417</v>
      </c>
    </row>
    <row r="137" spans="1:12">
      <c r="A137" t="s">
        <v>2418</v>
      </c>
      <c r="B137" s="8">
        <v>2.9630000000000001</v>
      </c>
      <c r="C137" s="9">
        <v>1699</v>
      </c>
      <c r="D137">
        <v>2</v>
      </c>
      <c r="E137">
        <v>2</v>
      </c>
      <c r="F137">
        <v>1</v>
      </c>
      <c r="G137" s="10">
        <v>0.5</v>
      </c>
      <c r="H137" t="s">
        <v>46</v>
      </c>
      <c r="I137" t="s">
        <v>1957</v>
      </c>
      <c r="J137" t="s">
        <v>2419</v>
      </c>
      <c r="K137" t="s">
        <v>2420</v>
      </c>
      <c r="L137" s="11" t="s">
        <v>466</v>
      </c>
    </row>
    <row r="138" spans="1:12">
      <c r="A138" t="s">
        <v>2421</v>
      </c>
      <c r="B138" s="8">
        <v>2.1749999999999998</v>
      </c>
      <c r="C138" s="9">
        <v>9.1999999999999993</v>
      </c>
      <c r="D138">
        <v>2</v>
      </c>
      <c r="E138">
        <v>2</v>
      </c>
      <c r="F138">
        <v>2</v>
      </c>
      <c r="G138" s="10">
        <v>1</v>
      </c>
      <c r="H138" t="s">
        <v>46</v>
      </c>
      <c r="I138" t="s">
        <v>1957</v>
      </c>
      <c r="J138" t="s">
        <v>2422</v>
      </c>
      <c r="K138" t="s">
        <v>2423</v>
      </c>
      <c r="L138" s="11" t="s">
        <v>2422</v>
      </c>
    </row>
    <row r="139" spans="1:12">
      <c r="A139" t="s">
        <v>2424</v>
      </c>
      <c r="B139" s="8">
        <v>3.165</v>
      </c>
      <c r="C139" s="9">
        <v>56</v>
      </c>
      <c r="D139">
        <v>2</v>
      </c>
      <c r="E139">
        <v>1</v>
      </c>
      <c r="F139">
        <v>1</v>
      </c>
      <c r="G139" s="10">
        <v>0.5</v>
      </c>
      <c r="H139" t="s">
        <v>46</v>
      </c>
      <c r="I139" t="s">
        <v>1957</v>
      </c>
      <c r="J139" t="s">
        <v>2425</v>
      </c>
      <c r="K139" t="s">
        <v>2423</v>
      </c>
      <c r="L139" s="11" t="s">
        <v>2425</v>
      </c>
    </row>
    <row r="140" spans="1:12">
      <c r="A140" t="s">
        <v>2426</v>
      </c>
      <c r="B140" s="8">
        <v>51.55</v>
      </c>
      <c r="C140" s="9">
        <v>178</v>
      </c>
      <c r="D140">
        <v>50</v>
      </c>
      <c r="E140">
        <v>48</v>
      </c>
      <c r="F140">
        <v>43</v>
      </c>
      <c r="G140" s="10">
        <v>0.86</v>
      </c>
      <c r="H140" t="s">
        <v>46</v>
      </c>
      <c r="I140" t="s">
        <v>1957</v>
      </c>
      <c r="J140" t="s">
        <v>2427</v>
      </c>
      <c r="K140" t="s">
        <v>2428</v>
      </c>
      <c r="L140" s="11" t="s">
        <v>2429</v>
      </c>
    </row>
    <row r="141" spans="1:12">
      <c r="A141" t="s">
        <v>2430</v>
      </c>
      <c r="B141" s="8">
        <v>3.5859999999999999</v>
      </c>
      <c r="C141" s="9">
        <v>13</v>
      </c>
      <c r="D141">
        <v>3</v>
      </c>
      <c r="E141">
        <v>2</v>
      </c>
      <c r="F141">
        <v>3</v>
      </c>
      <c r="G141" s="10">
        <v>1</v>
      </c>
      <c r="H141" t="s">
        <v>46</v>
      </c>
      <c r="I141" t="s">
        <v>1957</v>
      </c>
      <c r="J141" t="s">
        <v>2431</v>
      </c>
      <c r="K141" t="s">
        <v>2432</v>
      </c>
      <c r="L141" s="11" t="s">
        <v>439</v>
      </c>
    </row>
    <row r="142" spans="1:12">
      <c r="A142" t="s">
        <v>2433</v>
      </c>
      <c r="B142" s="8">
        <v>3.274</v>
      </c>
      <c r="C142" s="9">
        <v>85</v>
      </c>
      <c r="D142">
        <v>3</v>
      </c>
      <c r="E142">
        <v>3</v>
      </c>
      <c r="F142">
        <v>2</v>
      </c>
      <c r="G142" s="10">
        <v>0.66666666666666663</v>
      </c>
      <c r="H142" t="s">
        <v>46</v>
      </c>
      <c r="I142" t="s">
        <v>1957</v>
      </c>
      <c r="J142" t="s">
        <v>2434</v>
      </c>
      <c r="K142" t="s">
        <v>2435</v>
      </c>
      <c r="L142" s="11" t="s">
        <v>2436</v>
      </c>
    </row>
    <row r="143" spans="1:12">
      <c r="A143" t="s">
        <v>2437</v>
      </c>
      <c r="B143" s="8">
        <v>5.19</v>
      </c>
      <c r="C143" s="9">
        <v>12</v>
      </c>
      <c r="D143">
        <v>2</v>
      </c>
      <c r="E143">
        <v>1</v>
      </c>
      <c r="F143">
        <v>2</v>
      </c>
      <c r="G143" s="10">
        <v>1</v>
      </c>
      <c r="H143" t="s">
        <v>46</v>
      </c>
      <c r="I143" t="s">
        <v>1957</v>
      </c>
      <c r="J143" t="s">
        <v>448</v>
      </c>
      <c r="K143" t="s">
        <v>449</v>
      </c>
      <c r="L143" s="11" t="s">
        <v>448</v>
      </c>
    </row>
    <row r="144" spans="1:12">
      <c r="A144" t="s">
        <v>2438</v>
      </c>
      <c r="B144" s="8">
        <v>3.976</v>
      </c>
      <c r="C144" s="9">
        <v>9.8000000000000007</v>
      </c>
      <c r="D144">
        <v>4</v>
      </c>
      <c r="E144">
        <v>4</v>
      </c>
      <c r="F144">
        <v>4</v>
      </c>
      <c r="G144" s="10">
        <v>1</v>
      </c>
      <c r="H144" t="s">
        <v>46</v>
      </c>
      <c r="I144" t="s">
        <v>1957</v>
      </c>
      <c r="J144" t="s">
        <v>2439</v>
      </c>
      <c r="K144" t="s">
        <v>2440</v>
      </c>
      <c r="L144" s="11" t="s">
        <v>2441</v>
      </c>
    </row>
    <row r="145" spans="1:12">
      <c r="A145" t="s">
        <v>2442</v>
      </c>
      <c r="B145" s="8">
        <v>2.153</v>
      </c>
      <c r="C145" s="9">
        <v>15</v>
      </c>
      <c r="D145">
        <v>2</v>
      </c>
      <c r="E145">
        <v>2</v>
      </c>
      <c r="F145">
        <v>2</v>
      </c>
      <c r="G145" s="10">
        <v>1</v>
      </c>
      <c r="H145" t="s">
        <v>46</v>
      </c>
      <c r="I145" t="s">
        <v>1957</v>
      </c>
      <c r="J145" t="s">
        <v>2443</v>
      </c>
      <c r="K145" t="s">
        <v>2440</v>
      </c>
      <c r="L145" s="11" t="s">
        <v>2443</v>
      </c>
    </row>
    <row r="146" spans="1:12">
      <c r="A146" t="s">
        <v>2444</v>
      </c>
      <c r="B146" s="8">
        <v>3.5049999999999999</v>
      </c>
      <c r="C146" s="9">
        <v>19</v>
      </c>
      <c r="D146">
        <v>2</v>
      </c>
      <c r="E146">
        <v>1</v>
      </c>
      <c r="F146">
        <v>1</v>
      </c>
      <c r="G146" s="10">
        <v>0.5</v>
      </c>
      <c r="H146" t="s">
        <v>46</v>
      </c>
      <c r="I146" t="s">
        <v>1957</v>
      </c>
      <c r="J146" t="s">
        <v>2445</v>
      </c>
      <c r="K146" t="s">
        <v>2446</v>
      </c>
      <c r="L146" s="11" t="s">
        <v>2445</v>
      </c>
    </row>
    <row r="147" spans="1:12">
      <c r="A147" t="s">
        <v>2447</v>
      </c>
      <c r="B147" s="8">
        <v>3.766</v>
      </c>
      <c r="C147" s="9">
        <v>534</v>
      </c>
      <c r="D147">
        <v>1</v>
      </c>
      <c r="E147">
        <v>1</v>
      </c>
      <c r="F147">
        <v>1</v>
      </c>
      <c r="G147" s="10">
        <v>1</v>
      </c>
      <c r="H147" t="s">
        <v>46</v>
      </c>
      <c r="I147" t="s">
        <v>1957</v>
      </c>
      <c r="J147" t="s">
        <v>455</v>
      </c>
      <c r="K147" t="s">
        <v>456</v>
      </c>
      <c r="L147" s="11" t="s">
        <v>455</v>
      </c>
    </row>
    <row r="148" spans="1:12">
      <c r="A148" t="s">
        <v>2448</v>
      </c>
      <c r="B148" s="8">
        <v>2.0379999999999998</v>
      </c>
      <c r="C148" s="9">
        <v>66</v>
      </c>
      <c r="D148">
        <v>2</v>
      </c>
      <c r="E148">
        <v>2</v>
      </c>
      <c r="F148">
        <v>1</v>
      </c>
      <c r="G148" s="10">
        <v>0.5</v>
      </c>
      <c r="H148" t="s">
        <v>46</v>
      </c>
      <c r="I148" t="s">
        <v>1957</v>
      </c>
      <c r="J148" t="s">
        <v>2449</v>
      </c>
      <c r="K148" t="s">
        <v>2450</v>
      </c>
      <c r="L148" s="11" t="s">
        <v>2451</v>
      </c>
    </row>
    <row r="149" spans="1:12">
      <c r="A149" t="s">
        <v>2452</v>
      </c>
      <c r="B149" s="8">
        <v>8.8970000000000002</v>
      </c>
      <c r="C149" s="9">
        <v>1641</v>
      </c>
      <c r="D149">
        <v>3</v>
      </c>
      <c r="E149">
        <v>2</v>
      </c>
      <c r="F149">
        <v>2</v>
      </c>
      <c r="G149" s="10">
        <v>0.66666666666666663</v>
      </c>
      <c r="H149" t="s">
        <v>46</v>
      </c>
      <c r="I149" t="s">
        <v>1957</v>
      </c>
      <c r="J149" t="s">
        <v>2453</v>
      </c>
      <c r="K149" t="s">
        <v>2454</v>
      </c>
      <c r="L149" s="11" t="s">
        <v>2455</v>
      </c>
    </row>
    <row r="150" spans="1:12">
      <c r="A150" t="s">
        <v>2456</v>
      </c>
      <c r="B150" s="8">
        <v>11.419</v>
      </c>
      <c r="C150" s="9">
        <v>18</v>
      </c>
      <c r="D150">
        <v>17</v>
      </c>
      <c r="E150">
        <v>10</v>
      </c>
      <c r="F150">
        <v>14</v>
      </c>
      <c r="G150" s="10">
        <v>0.82352941176470584</v>
      </c>
      <c r="H150" t="s">
        <v>46</v>
      </c>
      <c r="I150" t="s">
        <v>1957</v>
      </c>
      <c r="J150" t="s">
        <v>2457</v>
      </c>
      <c r="K150" t="s">
        <v>2458</v>
      </c>
      <c r="L150" s="11" t="s">
        <v>2459</v>
      </c>
    </row>
    <row r="151" spans="1:12">
      <c r="A151" t="s">
        <v>2460</v>
      </c>
      <c r="B151" s="8">
        <v>2.2959999999999998</v>
      </c>
      <c r="C151" s="9">
        <v>7.2</v>
      </c>
      <c r="D151">
        <v>2</v>
      </c>
      <c r="E151">
        <v>2</v>
      </c>
      <c r="F151">
        <v>2</v>
      </c>
      <c r="G151" s="10">
        <v>1</v>
      </c>
      <c r="H151" t="s">
        <v>46</v>
      </c>
      <c r="I151" t="s">
        <v>1957</v>
      </c>
      <c r="J151" t="s">
        <v>2461</v>
      </c>
      <c r="K151" t="s">
        <v>2462</v>
      </c>
      <c r="L151" s="11" t="s">
        <v>2463</v>
      </c>
    </row>
    <row r="152" spans="1:12">
      <c r="A152" t="s">
        <v>2464</v>
      </c>
      <c r="B152" s="8">
        <v>4.01</v>
      </c>
      <c r="C152" s="9">
        <v>16</v>
      </c>
      <c r="D152">
        <v>1</v>
      </c>
      <c r="E152">
        <v>1</v>
      </c>
      <c r="F152">
        <v>1</v>
      </c>
      <c r="G152" s="10">
        <v>1</v>
      </c>
      <c r="H152" t="s">
        <v>46</v>
      </c>
      <c r="I152" t="s">
        <v>1957</v>
      </c>
      <c r="J152" t="s">
        <v>2465</v>
      </c>
      <c r="K152" t="s">
        <v>2466</v>
      </c>
      <c r="L152" s="11" t="s">
        <v>2465</v>
      </c>
    </row>
    <row r="153" spans="1:12">
      <c r="A153" t="s">
        <v>2467</v>
      </c>
      <c r="B153" s="8">
        <v>56.054000000000002</v>
      </c>
      <c r="C153" s="9">
        <v>300</v>
      </c>
      <c r="D153">
        <v>42</v>
      </c>
      <c r="E153">
        <v>40</v>
      </c>
      <c r="F153">
        <v>35</v>
      </c>
      <c r="G153" s="10">
        <v>0.83333333333333337</v>
      </c>
      <c r="H153" t="s">
        <v>46</v>
      </c>
      <c r="I153" t="s">
        <v>1957</v>
      </c>
      <c r="J153" t="s">
        <v>2468</v>
      </c>
      <c r="K153" t="s">
        <v>2469</v>
      </c>
      <c r="L153" s="11" t="s">
        <v>2470</v>
      </c>
    </row>
    <row r="154" spans="1:12">
      <c r="A154" t="s">
        <v>2471</v>
      </c>
      <c r="B154" s="8">
        <v>2.0089999999999999</v>
      </c>
      <c r="C154" s="9">
        <v>128</v>
      </c>
      <c r="D154">
        <v>3</v>
      </c>
      <c r="E154">
        <v>3</v>
      </c>
      <c r="F154">
        <v>3</v>
      </c>
      <c r="G154" s="10">
        <v>1</v>
      </c>
      <c r="H154" t="s">
        <v>46</v>
      </c>
      <c r="I154" t="s">
        <v>1957</v>
      </c>
      <c r="J154" t="s">
        <v>2472</v>
      </c>
      <c r="K154" t="s">
        <v>2473</v>
      </c>
      <c r="L154" s="11" t="s">
        <v>2474</v>
      </c>
    </row>
    <row r="155" spans="1:12">
      <c r="A155" t="s">
        <v>2475</v>
      </c>
      <c r="B155" s="8">
        <v>2.4329999999999998</v>
      </c>
      <c r="C155" s="9">
        <v>9.6</v>
      </c>
      <c r="D155">
        <v>4</v>
      </c>
      <c r="E155">
        <v>4</v>
      </c>
      <c r="F155">
        <v>3</v>
      </c>
      <c r="G155" s="10">
        <v>0.75</v>
      </c>
      <c r="H155" t="s">
        <v>46</v>
      </c>
      <c r="I155" t="s">
        <v>1957</v>
      </c>
      <c r="J155" t="s">
        <v>2476</v>
      </c>
      <c r="K155" t="s">
        <v>2477</v>
      </c>
      <c r="L155" s="11" t="s">
        <v>2478</v>
      </c>
    </row>
    <row r="156" spans="1:12">
      <c r="A156" t="s">
        <v>2479</v>
      </c>
      <c r="B156" s="8">
        <v>2.6579999999999999</v>
      </c>
      <c r="C156" s="9">
        <v>12</v>
      </c>
      <c r="D156">
        <v>3</v>
      </c>
      <c r="E156">
        <v>3</v>
      </c>
      <c r="F156">
        <v>3</v>
      </c>
      <c r="G156" s="10">
        <v>1</v>
      </c>
      <c r="H156" t="s">
        <v>46</v>
      </c>
      <c r="I156" t="s">
        <v>1957</v>
      </c>
      <c r="J156" t="s">
        <v>2480</v>
      </c>
      <c r="K156" t="s">
        <v>2481</v>
      </c>
      <c r="L156" s="11" t="s">
        <v>2482</v>
      </c>
    </row>
    <row r="157" spans="1:12">
      <c r="A157" t="s">
        <v>2483</v>
      </c>
      <c r="B157" s="8">
        <v>4.1289999999999996</v>
      </c>
      <c r="C157" s="9">
        <v>43</v>
      </c>
      <c r="D157">
        <v>3</v>
      </c>
      <c r="E157">
        <v>3</v>
      </c>
      <c r="F157">
        <v>3</v>
      </c>
      <c r="G157" s="10">
        <v>1</v>
      </c>
      <c r="H157" t="s">
        <v>46</v>
      </c>
      <c r="I157" t="s">
        <v>1957</v>
      </c>
      <c r="J157" t="s">
        <v>2484</v>
      </c>
      <c r="K157" t="s">
        <v>2485</v>
      </c>
      <c r="L157" s="11" t="s">
        <v>2486</v>
      </c>
    </row>
    <row r="158" spans="1:12">
      <c r="A158" t="s">
        <v>2487</v>
      </c>
      <c r="B158" s="8">
        <v>20.100999999999999</v>
      </c>
      <c r="C158" s="9">
        <v>21</v>
      </c>
      <c r="D158">
        <v>13</v>
      </c>
      <c r="E158">
        <v>11</v>
      </c>
      <c r="F158">
        <v>12</v>
      </c>
      <c r="G158" s="10">
        <v>0.92307692307692313</v>
      </c>
      <c r="H158" t="s">
        <v>46</v>
      </c>
      <c r="I158" t="s">
        <v>1957</v>
      </c>
      <c r="J158" t="s">
        <v>2488</v>
      </c>
      <c r="K158" t="s">
        <v>2489</v>
      </c>
      <c r="L158" s="11" t="s">
        <v>2490</v>
      </c>
    </row>
    <row r="159" spans="1:12">
      <c r="A159" t="s">
        <v>2491</v>
      </c>
      <c r="B159" s="8">
        <v>2.8050000000000002</v>
      </c>
      <c r="C159" s="9">
        <v>12</v>
      </c>
      <c r="D159">
        <v>3</v>
      </c>
      <c r="E159">
        <v>3</v>
      </c>
      <c r="F159">
        <v>3</v>
      </c>
      <c r="G159" s="10">
        <v>1</v>
      </c>
      <c r="H159" t="s">
        <v>46</v>
      </c>
      <c r="I159" t="s">
        <v>1957</v>
      </c>
      <c r="J159" t="s">
        <v>2492</v>
      </c>
      <c r="K159" t="s">
        <v>526</v>
      </c>
      <c r="L159" s="11" t="s">
        <v>2492</v>
      </c>
    </row>
    <row r="160" spans="1:12">
      <c r="A160" t="s">
        <v>2493</v>
      </c>
      <c r="B160" s="8">
        <v>3.4529999999999998</v>
      </c>
      <c r="C160" s="9">
        <v>18</v>
      </c>
      <c r="D160">
        <v>3</v>
      </c>
      <c r="E160">
        <v>3</v>
      </c>
      <c r="F160">
        <v>3</v>
      </c>
      <c r="G160" s="10">
        <v>1</v>
      </c>
      <c r="H160" t="s">
        <v>46</v>
      </c>
      <c r="I160" t="s">
        <v>1957</v>
      </c>
      <c r="J160" t="s">
        <v>2494</v>
      </c>
      <c r="K160" t="s">
        <v>526</v>
      </c>
      <c r="L160" s="11" t="s">
        <v>2495</v>
      </c>
    </row>
    <row r="161" spans="1:12">
      <c r="A161" t="s">
        <v>2496</v>
      </c>
      <c r="B161" s="8">
        <v>3.468</v>
      </c>
      <c r="C161" s="9">
        <v>9.3000000000000007</v>
      </c>
      <c r="D161">
        <v>3</v>
      </c>
      <c r="E161">
        <v>3</v>
      </c>
      <c r="F161">
        <v>3</v>
      </c>
      <c r="G161" s="10">
        <v>1</v>
      </c>
      <c r="H161" t="s">
        <v>46</v>
      </c>
      <c r="I161" t="s">
        <v>1957</v>
      </c>
      <c r="J161" t="s">
        <v>2497</v>
      </c>
      <c r="K161" t="s">
        <v>526</v>
      </c>
      <c r="L161" s="11" t="s">
        <v>2497</v>
      </c>
    </row>
    <row r="162" spans="1:12">
      <c r="A162" t="s">
        <v>2498</v>
      </c>
      <c r="B162" s="8">
        <v>5.5810000000000004</v>
      </c>
      <c r="C162" s="9">
        <v>100</v>
      </c>
      <c r="D162">
        <v>3</v>
      </c>
      <c r="E162">
        <v>3</v>
      </c>
      <c r="F162">
        <v>3</v>
      </c>
      <c r="G162" s="10">
        <v>1</v>
      </c>
      <c r="H162" t="s">
        <v>46</v>
      </c>
      <c r="I162" t="s">
        <v>1957</v>
      </c>
      <c r="J162" t="s">
        <v>2499</v>
      </c>
      <c r="K162" t="s">
        <v>526</v>
      </c>
      <c r="L162" s="11" t="s">
        <v>2499</v>
      </c>
    </row>
    <row r="163" spans="1:12">
      <c r="A163" t="s">
        <v>2500</v>
      </c>
      <c r="B163" s="8">
        <v>2.2090000000000001</v>
      </c>
      <c r="C163" s="9">
        <v>12</v>
      </c>
      <c r="D163">
        <v>2</v>
      </c>
      <c r="E163">
        <v>2</v>
      </c>
      <c r="F163">
        <v>2</v>
      </c>
      <c r="G163" s="10">
        <v>1</v>
      </c>
      <c r="H163" t="s">
        <v>46</v>
      </c>
      <c r="I163" t="s">
        <v>1957</v>
      </c>
      <c r="J163" t="s">
        <v>2501</v>
      </c>
      <c r="K163" t="s">
        <v>526</v>
      </c>
      <c r="L163" s="11" t="s">
        <v>2501</v>
      </c>
    </row>
    <row r="164" spans="1:12">
      <c r="A164" t="s">
        <v>2502</v>
      </c>
      <c r="B164" s="8">
        <v>5.8789999999999996</v>
      </c>
      <c r="C164" s="9">
        <v>30</v>
      </c>
      <c r="D164">
        <v>5</v>
      </c>
      <c r="E164">
        <v>4</v>
      </c>
      <c r="F164">
        <v>4</v>
      </c>
      <c r="G164" s="10">
        <v>0.8</v>
      </c>
      <c r="H164" t="s">
        <v>46</v>
      </c>
      <c r="I164" t="s">
        <v>1957</v>
      </c>
      <c r="J164" t="s">
        <v>2503</v>
      </c>
      <c r="K164" t="s">
        <v>526</v>
      </c>
      <c r="L164" s="11" t="s">
        <v>2503</v>
      </c>
    </row>
    <row r="165" spans="1:12">
      <c r="A165" t="s">
        <v>2504</v>
      </c>
      <c r="B165" s="8">
        <v>2.0129999999999999</v>
      </c>
      <c r="C165" s="9">
        <v>7.8</v>
      </c>
      <c r="D165">
        <v>3</v>
      </c>
      <c r="E165">
        <v>2</v>
      </c>
      <c r="F165">
        <v>2</v>
      </c>
      <c r="G165" s="10">
        <v>0.66666666666666663</v>
      </c>
      <c r="H165" t="s">
        <v>46</v>
      </c>
      <c r="I165" t="s">
        <v>1957</v>
      </c>
      <c r="J165" t="s">
        <v>2505</v>
      </c>
      <c r="K165" t="s">
        <v>526</v>
      </c>
      <c r="L165" s="11" t="s">
        <v>474</v>
      </c>
    </row>
    <row r="166" spans="1:12">
      <c r="A166" t="s">
        <v>2506</v>
      </c>
      <c r="B166" s="8">
        <v>3.74</v>
      </c>
      <c r="C166" s="9">
        <v>206</v>
      </c>
      <c r="D166">
        <v>4</v>
      </c>
      <c r="E166">
        <v>4</v>
      </c>
      <c r="F166">
        <v>4</v>
      </c>
      <c r="G166" s="10">
        <v>1</v>
      </c>
      <c r="H166" t="s">
        <v>46</v>
      </c>
      <c r="I166" t="s">
        <v>1957</v>
      </c>
      <c r="J166" t="s">
        <v>2507</v>
      </c>
      <c r="K166" t="s">
        <v>2508</v>
      </c>
      <c r="L166" s="11" t="s">
        <v>2507</v>
      </c>
    </row>
    <row r="167" spans="1:12">
      <c r="A167" t="s">
        <v>2509</v>
      </c>
      <c r="B167" s="8">
        <v>4.4119999999999999</v>
      </c>
      <c r="C167" s="9">
        <v>143</v>
      </c>
      <c r="D167">
        <v>4</v>
      </c>
      <c r="E167">
        <v>4</v>
      </c>
      <c r="F167">
        <v>4</v>
      </c>
      <c r="G167" s="10">
        <v>1</v>
      </c>
      <c r="H167" t="s">
        <v>46</v>
      </c>
      <c r="I167" t="s">
        <v>1957</v>
      </c>
      <c r="J167" t="s">
        <v>2510</v>
      </c>
      <c r="K167" t="s">
        <v>2511</v>
      </c>
      <c r="L167" s="11" t="s">
        <v>2510</v>
      </c>
    </row>
    <row r="168" spans="1:12">
      <c r="A168" t="s">
        <v>2512</v>
      </c>
      <c r="B168" s="8">
        <v>14.753</v>
      </c>
      <c r="C168" s="9">
        <v>15</v>
      </c>
      <c r="D168">
        <v>14</v>
      </c>
      <c r="E168">
        <v>12</v>
      </c>
      <c r="F168">
        <v>11</v>
      </c>
      <c r="G168" s="10">
        <v>0.7857142857142857</v>
      </c>
      <c r="H168" t="s">
        <v>46</v>
      </c>
      <c r="I168" t="s">
        <v>1957</v>
      </c>
      <c r="J168" t="s">
        <v>2513</v>
      </c>
      <c r="K168" t="s">
        <v>2514</v>
      </c>
      <c r="L168" s="11" t="s">
        <v>2515</v>
      </c>
    </row>
    <row r="169" spans="1:12">
      <c r="A169" t="s">
        <v>2516</v>
      </c>
      <c r="B169" s="8">
        <v>3.1419999999999999</v>
      </c>
      <c r="C169" s="9">
        <v>14</v>
      </c>
      <c r="D169">
        <v>4</v>
      </c>
      <c r="E169">
        <v>4</v>
      </c>
      <c r="F169">
        <v>4</v>
      </c>
      <c r="G169" s="10">
        <v>1</v>
      </c>
      <c r="H169" t="s">
        <v>46</v>
      </c>
      <c r="I169" t="s">
        <v>1957</v>
      </c>
      <c r="J169" t="s">
        <v>2517</v>
      </c>
      <c r="K169" t="s">
        <v>2518</v>
      </c>
      <c r="L169" s="11" t="s">
        <v>2519</v>
      </c>
    </row>
    <row r="170" spans="1:12">
      <c r="A170" t="s">
        <v>2520</v>
      </c>
      <c r="B170" s="8">
        <v>2.1619999999999999</v>
      </c>
      <c r="C170" s="9">
        <v>335</v>
      </c>
      <c r="D170">
        <v>3</v>
      </c>
      <c r="E170">
        <v>3</v>
      </c>
      <c r="F170">
        <v>2</v>
      </c>
      <c r="G170" s="10">
        <v>0.66666666666666663</v>
      </c>
      <c r="H170" t="s">
        <v>46</v>
      </c>
      <c r="I170" t="s">
        <v>1957</v>
      </c>
      <c r="J170" t="s">
        <v>2521</v>
      </c>
      <c r="K170" t="s">
        <v>2522</v>
      </c>
      <c r="L170" s="11" t="s">
        <v>2501</v>
      </c>
    </row>
    <row r="171" spans="1:12">
      <c r="A171" t="s">
        <v>2523</v>
      </c>
      <c r="B171" s="8">
        <v>3.036</v>
      </c>
      <c r="C171" s="9">
        <v>11</v>
      </c>
      <c r="D171">
        <v>5</v>
      </c>
      <c r="E171">
        <v>4</v>
      </c>
      <c r="F171">
        <v>5</v>
      </c>
      <c r="G171" s="10">
        <v>1</v>
      </c>
      <c r="H171" t="s">
        <v>46</v>
      </c>
      <c r="I171" t="s">
        <v>1957</v>
      </c>
      <c r="J171" t="s">
        <v>2524</v>
      </c>
      <c r="K171" t="s">
        <v>2525</v>
      </c>
      <c r="L171" s="11" t="s">
        <v>2526</v>
      </c>
    </row>
    <row r="172" spans="1:12">
      <c r="A172" t="s">
        <v>2527</v>
      </c>
      <c r="B172" s="8">
        <v>5.5119999999999996</v>
      </c>
      <c r="C172" s="9">
        <v>54</v>
      </c>
      <c r="D172">
        <v>5</v>
      </c>
      <c r="E172">
        <v>4</v>
      </c>
      <c r="F172">
        <v>4</v>
      </c>
      <c r="G172" s="10">
        <v>0.8</v>
      </c>
      <c r="H172" t="s">
        <v>46</v>
      </c>
      <c r="I172" t="s">
        <v>1957</v>
      </c>
      <c r="J172" t="s">
        <v>2528</v>
      </c>
      <c r="K172" t="s">
        <v>2529</v>
      </c>
      <c r="L172" s="11" t="s">
        <v>2528</v>
      </c>
    </row>
    <row r="173" spans="1:12">
      <c r="A173" t="s">
        <v>2530</v>
      </c>
      <c r="B173" s="8">
        <v>17.838000000000001</v>
      </c>
      <c r="C173" s="9">
        <v>18</v>
      </c>
      <c r="D173">
        <v>20</v>
      </c>
      <c r="E173">
        <v>18</v>
      </c>
      <c r="F173">
        <v>16</v>
      </c>
      <c r="G173" s="10">
        <v>0.8</v>
      </c>
      <c r="H173" t="s">
        <v>46</v>
      </c>
      <c r="I173" t="s">
        <v>1957</v>
      </c>
      <c r="J173" t="s">
        <v>2531</v>
      </c>
      <c r="K173" t="s">
        <v>2532</v>
      </c>
      <c r="L173" s="11" t="s">
        <v>2533</v>
      </c>
    </row>
    <row r="174" spans="1:12">
      <c r="A174" t="s">
        <v>2534</v>
      </c>
      <c r="B174" s="8">
        <v>6.5019999999999998</v>
      </c>
      <c r="C174" s="9">
        <v>63</v>
      </c>
      <c r="D174">
        <v>7</v>
      </c>
      <c r="E174">
        <v>6</v>
      </c>
      <c r="F174">
        <v>5</v>
      </c>
      <c r="G174" s="10">
        <v>0.7142857142857143</v>
      </c>
      <c r="H174" t="s">
        <v>46</v>
      </c>
      <c r="I174" t="s">
        <v>1957</v>
      </c>
      <c r="J174" t="s">
        <v>2535</v>
      </c>
      <c r="K174" t="s">
        <v>2536</v>
      </c>
      <c r="L174" s="11" t="s">
        <v>2503</v>
      </c>
    </row>
    <row r="175" spans="1:12">
      <c r="A175" t="s">
        <v>2537</v>
      </c>
      <c r="B175" s="8">
        <v>4.7880000000000003</v>
      </c>
      <c r="C175" s="9">
        <v>191</v>
      </c>
      <c r="D175">
        <v>6</v>
      </c>
      <c r="E175">
        <v>6</v>
      </c>
      <c r="F175">
        <v>6</v>
      </c>
      <c r="G175" s="10">
        <v>1</v>
      </c>
      <c r="H175" t="s">
        <v>46</v>
      </c>
      <c r="I175" t="s">
        <v>1957</v>
      </c>
      <c r="J175" t="s">
        <v>2538</v>
      </c>
      <c r="K175" t="s">
        <v>2539</v>
      </c>
      <c r="L175" s="11" t="s">
        <v>2540</v>
      </c>
    </row>
    <row r="176" spans="1:12">
      <c r="A176" t="s">
        <v>2541</v>
      </c>
      <c r="B176" s="8">
        <v>5.5209999999999999</v>
      </c>
      <c r="C176" s="9">
        <v>60</v>
      </c>
      <c r="D176">
        <v>4</v>
      </c>
      <c r="E176">
        <v>4</v>
      </c>
      <c r="F176">
        <v>4</v>
      </c>
      <c r="G176" s="10">
        <v>1</v>
      </c>
      <c r="H176" t="s">
        <v>46</v>
      </c>
      <c r="I176" t="s">
        <v>1957</v>
      </c>
      <c r="J176" t="s">
        <v>2542</v>
      </c>
      <c r="K176" t="s">
        <v>2543</v>
      </c>
      <c r="L176" s="11" t="s">
        <v>2542</v>
      </c>
    </row>
    <row r="177" spans="1:12">
      <c r="A177" t="s">
        <v>2544</v>
      </c>
      <c r="B177" s="8">
        <v>33.598999999999997</v>
      </c>
      <c r="C177" s="9">
        <v>56</v>
      </c>
      <c r="D177">
        <v>26</v>
      </c>
      <c r="E177">
        <v>23</v>
      </c>
      <c r="F177">
        <v>23</v>
      </c>
      <c r="G177" s="10">
        <v>0.88461538461538458</v>
      </c>
      <c r="H177" t="s">
        <v>46</v>
      </c>
      <c r="I177" t="s">
        <v>1957</v>
      </c>
      <c r="J177" t="s">
        <v>2545</v>
      </c>
      <c r="K177" t="s">
        <v>2546</v>
      </c>
      <c r="L177" s="11" t="s">
        <v>2547</v>
      </c>
    </row>
    <row r="178" spans="1:12">
      <c r="A178" t="s">
        <v>2548</v>
      </c>
      <c r="B178" s="8">
        <v>4.2709999999999999</v>
      </c>
      <c r="C178" s="9">
        <v>15</v>
      </c>
      <c r="D178">
        <v>4</v>
      </c>
      <c r="E178">
        <v>4</v>
      </c>
      <c r="F178">
        <v>4</v>
      </c>
      <c r="G178" s="10">
        <v>1</v>
      </c>
      <c r="H178" t="s">
        <v>46</v>
      </c>
      <c r="I178" t="s">
        <v>1957</v>
      </c>
      <c r="J178" t="s">
        <v>2549</v>
      </c>
      <c r="K178" t="s">
        <v>2550</v>
      </c>
      <c r="L178" s="11" t="s">
        <v>2501</v>
      </c>
    </row>
    <row r="179" spans="1:12">
      <c r="A179" t="s">
        <v>2551</v>
      </c>
      <c r="B179" s="8">
        <v>4.6630000000000003</v>
      </c>
      <c r="C179" s="9">
        <v>398</v>
      </c>
      <c r="D179">
        <v>5</v>
      </c>
      <c r="E179">
        <v>5</v>
      </c>
      <c r="F179">
        <v>5</v>
      </c>
      <c r="G179" s="10">
        <v>1</v>
      </c>
      <c r="H179" t="s">
        <v>46</v>
      </c>
      <c r="I179" t="s">
        <v>1957</v>
      </c>
      <c r="J179" t="s">
        <v>2552</v>
      </c>
      <c r="K179" t="s">
        <v>2553</v>
      </c>
      <c r="L179" s="11" t="s">
        <v>2554</v>
      </c>
    </row>
    <row r="180" spans="1:12">
      <c r="A180" t="s">
        <v>2555</v>
      </c>
      <c r="B180" s="8">
        <v>4.4290000000000003</v>
      </c>
      <c r="C180" s="9">
        <v>31</v>
      </c>
      <c r="D180">
        <v>3</v>
      </c>
      <c r="E180">
        <v>3</v>
      </c>
      <c r="F180">
        <v>3</v>
      </c>
      <c r="G180" s="10">
        <v>1</v>
      </c>
      <c r="H180" t="s">
        <v>46</v>
      </c>
      <c r="I180" t="s">
        <v>1957</v>
      </c>
      <c r="J180" t="s">
        <v>2556</v>
      </c>
      <c r="K180" t="s">
        <v>2553</v>
      </c>
      <c r="L180" s="11" t="s">
        <v>2501</v>
      </c>
    </row>
    <row r="181" spans="1:12">
      <c r="A181" t="s">
        <v>2557</v>
      </c>
      <c r="B181" s="8">
        <v>19.443000000000001</v>
      </c>
      <c r="C181" s="9">
        <v>61</v>
      </c>
      <c r="D181">
        <v>19</v>
      </c>
      <c r="E181">
        <v>18</v>
      </c>
      <c r="F181">
        <v>15</v>
      </c>
      <c r="G181" s="10">
        <v>0.78947368421052633</v>
      </c>
      <c r="H181" t="s">
        <v>46</v>
      </c>
      <c r="I181" t="s">
        <v>1957</v>
      </c>
      <c r="J181" t="s">
        <v>2558</v>
      </c>
      <c r="K181" t="s">
        <v>2553</v>
      </c>
      <c r="L181" s="11" t="s">
        <v>2559</v>
      </c>
    </row>
    <row r="182" spans="1:12">
      <c r="A182" t="s">
        <v>2560</v>
      </c>
      <c r="B182" s="8">
        <v>68.024000000000001</v>
      </c>
      <c r="C182" s="9">
        <v>31</v>
      </c>
      <c r="D182">
        <v>63</v>
      </c>
      <c r="E182">
        <v>57</v>
      </c>
      <c r="F182">
        <v>55</v>
      </c>
      <c r="G182" s="10">
        <v>0.87301587301587302</v>
      </c>
      <c r="H182" t="s">
        <v>46</v>
      </c>
      <c r="I182" t="s">
        <v>1957</v>
      </c>
      <c r="J182" t="s">
        <v>2561</v>
      </c>
      <c r="K182" t="s">
        <v>2562</v>
      </c>
      <c r="L182" s="11" t="s">
        <v>2563</v>
      </c>
    </row>
    <row r="183" spans="1:12">
      <c r="A183" t="s">
        <v>2564</v>
      </c>
      <c r="B183" s="8">
        <v>2.9390000000000001</v>
      </c>
      <c r="C183" s="9">
        <v>16</v>
      </c>
      <c r="D183">
        <v>4</v>
      </c>
      <c r="E183">
        <v>4</v>
      </c>
      <c r="F183">
        <v>3</v>
      </c>
      <c r="G183" s="10">
        <v>0.75</v>
      </c>
      <c r="H183" t="s">
        <v>46</v>
      </c>
      <c r="I183" t="s">
        <v>1957</v>
      </c>
      <c r="J183" t="s">
        <v>2565</v>
      </c>
      <c r="K183" t="s">
        <v>2566</v>
      </c>
      <c r="L183" s="11" t="s">
        <v>2567</v>
      </c>
    </row>
    <row r="184" spans="1:12">
      <c r="A184" t="s">
        <v>2568</v>
      </c>
      <c r="B184" s="8">
        <v>85.908000000000001</v>
      </c>
      <c r="C184" s="9">
        <v>43</v>
      </c>
      <c r="D184">
        <v>70</v>
      </c>
      <c r="E184">
        <v>69</v>
      </c>
      <c r="F184">
        <v>59</v>
      </c>
      <c r="G184" s="10">
        <v>0.84285714285714286</v>
      </c>
      <c r="H184" t="s">
        <v>46</v>
      </c>
      <c r="I184" t="s">
        <v>1957</v>
      </c>
      <c r="J184" t="s">
        <v>2569</v>
      </c>
      <c r="K184" t="s">
        <v>2570</v>
      </c>
      <c r="L184" s="11" t="s">
        <v>2571</v>
      </c>
    </row>
    <row r="185" spans="1:12">
      <c r="A185" t="s">
        <v>2572</v>
      </c>
      <c r="B185" s="8">
        <v>2.431</v>
      </c>
      <c r="C185" s="9">
        <v>148</v>
      </c>
      <c r="D185">
        <v>2</v>
      </c>
      <c r="E185">
        <v>2</v>
      </c>
      <c r="F185">
        <v>2</v>
      </c>
      <c r="G185" s="10">
        <v>1</v>
      </c>
      <c r="H185" t="s">
        <v>46</v>
      </c>
      <c r="I185" t="s">
        <v>1957</v>
      </c>
      <c r="J185" t="s">
        <v>2573</v>
      </c>
      <c r="K185" t="s">
        <v>2574</v>
      </c>
      <c r="L185" s="11" t="s">
        <v>2575</v>
      </c>
    </row>
    <row r="186" spans="1:12">
      <c r="A186" t="s">
        <v>2576</v>
      </c>
      <c r="B186" s="8">
        <v>2.714</v>
      </c>
      <c r="C186" s="9">
        <v>97</v>
      </c>
      <c r="D186">
        <v>2</v>
      </c>
      <c r="E186">
        <v>2</v>
      </c>
      <c r="F186">
        <v>2</v>
      </c>
      <c r="G186" s="10">
        <v>1</v>
      </c>
      <c r="H186" t="s">
        <v>46</v>
      </c>
      <c r="I186" t="s">
        <v>1957</v>
      </c>
      <c r="J186" t="s">
        <v>2577</v>
      </c>
      <c r="K186" t="s">
        <v>2578</v>
      </c>
      <c r="L186" s="11" t="s">
        <v>747</v>
      </c>
    </row>
    <row r="187" spans="1:12">
      <c r="A187" t="s">
        <v>2579</v>
      </c>
      <c r="B187" s="8">
        <v>2.3239999999999998</v>
      </c>
      <c r="C187" s="9">
        <v>6.2</v>
      </c>
      <c r="D187">
        <v>3</v>
      </c>
      <c r="E187">
        <v>3</v>
      </c>
      <c r="F187">
        <v>3</v>
      </c>
      <c r="G187" s="10">
        <v>1</v>
      </c>
      <c r="H187" t="s">
        <v>46</v>
      </c>
      <c r="I187" t="s">
        <v>1957</v>
      </c>
      <c r="J187" t="s">
        <v>2580</v>
      </c>
      <c r="K187" t="s">
        <v>578</v>
      </c>
      <c r="L187" s="11" t="s">
        <v>2519</v>
      </c>
    </row>
    <row r="188" spans="1:12">
      <c r="A188" t="s">
        <v>2581</v>
      </c>
      <c r="B188" s="8">
        <v>2.3170000000000002</v>
      </c>
      <c r="C188" s="9">
        <v>8.1999999999999993</v>
      </c>
      <c r="D188">
        <v>1</v>
      </c>
      <c r="E188">
        <v>1</v>
      </c>
      <c r="F188">
        <v>1</v>
      </c>
      <c r="G188" s="10">
        <v>1</v>
      </c>
      <c r="H188" t="s">
        <v>46</v>
      </c>
      <c r="I188" t="s">
        <v>1957</v>
      </c>
      <c r="J188" t="s">
        <v>643</v>
      </c>
      <c r="K188" t="s">
        <v>578</v>
      </c>
      <c r="L188" s="11" t="s">
        <v>643</v>
      </c>
    </row>
    <row r="189" spans="1:12">
      <c r="A189" t="s">
        <v>2582</v>
      </c>
      <c r="B189" s="8">
        <v>34.353999999999999</v>
      </c>
      <c r="C189" s="9">
        <v>18</v>
      </c>
      <c r="D189">
        <v>32</v>
      </c>
      <c r="E189">
        <v>29</v>
      </c>
      <c r="F189">
        <v>28</v>
      </c>
      <c r="G189" s="10">
        <v>0.875</v>
      </c>
      <c r="H189" t="s">
        <v>46</v>
      </c>
      <c r="I189" t="s">
        <v>1957</v>
      </c>
      <c r="J189" t="s">
        <v>2583</v>
      </c>
      <c r="K189" t="s">
        <v>2584</v>
      </c>
      <c r="L189" s="11" t="s">
        <v>2585</v>
      </c>
    </row>
    <row r="190" spans="1:12">
      <c r="A190" t="s">
        <v>2586</v>
      </c>
      <c r="B190" s="8">
        <v>2.7440000000000002</v>
      </c>
      <c r="C190" s="9">
        <v>424</v>
      </c>
      <c r="D190">
        <v>2</v>
      </c>
      <c r="E190">
        <v>2</v>
      </c>
      <c r="F190">
        <v>2</v>
      </c>
      <c r="G190" s="10">
        <v>1</v>
      </c>
      <c r="H190" t="s">
        <v>46</v>
      </c>
      <c r="I190" t="s">
        <v>1957</v>
      </c>
      <c r="J190" t="s">
        <v>2587</v>
      </c>
      <c r="K190" t="s">
        <v>2588</v>
      </c>
      <c r="L190" s="11" t="s">
        <v>643</v>
      </c>
    </row>
    <row r="191" spans="1:12">
      <c r="A191" t="s">
        <v>2589</v>
      </c>
      <c r="B191" s="8">
        <v>8.2899999999999991</v>
      </c>
      <c r="C191" s="9">
        <v>65</v>
      </c>
      <c r="D191">
        <v>10</v>
      </c>
      <c r="E191">
        <v>10</v>
      </c>
      <c r="F191">
        <v>10</v>
      </c>
      <c r="G191" s="10">
        <v>1</v>
      </c>
      <c r="H191" t="s">
        <v>46</v>
      </c>
      <c r="I191" t="s">
        <v>1957</v>
      </c>
      <c r="J191" t="s">
        <v>2590</v>
      </c>
      <c r="K191" t="s">
        <v>2591</v>
      </c>
      <c r="L191" s="11" t="s">
        <v>2592</v>
      </c>
    </row>
    <row r="192" spans="1:12">
      <c r="A192" t="s">
        <v>2593</v>
      </c>
      <c r="B192" s="8">
        <v>2.17</v>
      </c>
      <c r="C192" s="9">
        <v>25</v>
      </c>
      <c r="D192">
        <v>3</v>
      </c>
      <c r="E192">
        <v>3</v>
      </c>
      <c r="F192">
        <v>3</v>
      </c>
      <c r="G192" s="10">
        <v>1</v>
      </c>
      <c r="H192" t="s">
        <v>46</v>
      </c>
      <c r="I192" t="s">
        <v>1957</v>
      </c>
      <c r="J192" t="s">
        <v>2594</v>
      </c>
      <c r="K192" t="s">
        <v>2595</v>
      </c>
      <c r="L192" s="11" t="s">
        <v>2594</v>
      </c>
    </row>
    <row r="193" spans="1:12">
      <c r="A193" t="s">
        <v>2596</v>
      </c>
      <c r="B193" s="8">
        <v>147.43</v>
      </c>
      <c r="C193" s="9">
        <v>52</v>
      </c>
      <c r="D193">
        <v>121</v>
      </c>
      <c r="E193">
        <v>119</v>
      </c>
      <c r="F193">
        <v>100</v>
      </c>
      <c r="G193" s="10">
        <v>0.82644628099173556</v>
      </c>
      <c r="H193" t="s">
        <v>46</v>
      </c>
      <c r="I193" t="s">
        <v>1957</v>
      </c>
      <c r="J193" t="s">
        <v>2597</v>
      </c>
      <c r="K193" t="s">
        <v>2598</v>
      </c>
      <c r="L193" s="11" t="s">
        <v>2599</v>
      </c>
    </row>
    <row r="194" spans="1:12">
      <c r="A194" t="s">
        <v>2600</v>
      </c>
      <c r="B194" s="8">
        <v>2.8069999999999999</v>
      </c>
      <c r="C194" s="9">
        <v>39</v>
      </c>
      <c r="D194">
        <v>2</v>
      </c>
      <c r="E194">
        <v>2</v>
      </c>
      <c r="F194">
        <v>2</v>
      </c>
      <c r="G194" s="10">
        <v>1</v>
      </c>
      <c r="H194" t="s">
        <v>46</v>
      </c>
      <c r="I194" t="s">
        <v>1957</v>
      </c>
      <c r="J194" t="s">
        <v>2601</v>
      </c>
      <c r="K194" t="s">
        <v>2602</v>
      </c>
      <c r="L194" s="11" t="s">
        <v>2603</v>
      </c>
    </row>
    <row r="195" spans="1:12">
      <c r="A195" t="s">
        <v>2604</v>
      </c>
      <c r="B195" s="8">
        <v>2.6320000000000001</v>
      </c>
      <c r="C195" s="9">
        <v>12</v>
      </c>
      <c r="D195">
        <v>1</v>
      </c>
      <c r="E195">
        <v>1</v>
      </c>
      <c r="F195">
        <v>1</v>
      </c>
      <c r="G195" s="10">
        <v>1</v>
      </c>
      <c r="H195" t="s">
        <v>46</v>
      </c>
      <c r="I195" t="s">
        <v>1957</v>
      </c>
      <c r="J195" t="s">
        <v>2575</v>
      </c>
      <c r="K195" t="s">
        <v>2605</v>
      </c>
      <c r="L195" s="11" t="s">
        <v>2575</v>
      </c>
    </row>
    <row r="196" spans="1:12">
      <c r="A196" t="s">
        <v>2606</v>
      </c>
      <c r="B196" s="8">
        <v>5.2080000000000002</v>
      </c>
      <c r="C196" s="9">
        <v>611</v>
      </c>
      <c r="D196">
        <v>3</v>
      </c>
      <c r="E196">
        <v>3</v>
      </c>
      <c r="F196">
        <v>2</v>
      </c>
      <c r="G196" s="10">
        <v>0.66666666666666663</v>
      </c>
      <c r="H196" t="s">
        <v>46</v>
      </c>
      <c r="I196" t="s">
        <v>1957</v>
      </c>
      <c r="J196" t="s">
        <v>2607</v>
      </c>
      <c r="K196" t="s">
        <v>2608</v>
      </c>
      <c r="L196" s="11" t="s">
        <v>2609</v>
      </c>
    </row>
    <row r="197" spans="1:12">
      <c r="A197" t="s">
        <v>2610</v>
      </c>
      <c r="B197" s="8">
        <v>6.2480000000000002</v>
      </c>
      <c r="C197" s="9">
        <v>60</v>
      </c>
      <c r="D197">
        <v>4</v>
      </c>
      <c r="E197">
        <v>4</v>
      </c>
      <c r="F197">
        <v>4</v>
      </c>
      <c r="G197" s="10">
        <v>1</v>
      </c>
      <c r="H197" t="s">
        <v>46</v>
      </c>
      <c r="I197" t="s">
        <v>1957</v>
      </c>
      <c r="J197" t="s">
        <v>2611</v>
      </c>
      <c r="K197" t="s">
        <v>2612</v>
      </c>
      <c r="L197" s="11" t="s">
        <v>2613</v>
      </c>
    </row>
    <row r="198" spans="1:12">
      <c r="A198" t="s">
        <v>2614</v>
      </c>
      <c r="B198" s="8">
        <v>5.6470000000000002</v>
      </c>
      <c r="C198" s="9">
        <v>111</v>
      </c>
      <c r="D198">
        <v>4</v>
      </c>
      <c r="E198">
        <v>4</v>
      </c>
      <c r="F198">
        <v>3</v>
      </c>
      <c r="G198" s="10">
        <v>0.75</v>
      </c>
      <c r="H198" t="s">
        <v>46</v>
      </c>
      <c r="I198" t="s">
        <v>1957</v>
      </c>
      <c r="J198" t="s">
        <v>2615</v>
      </c>
      <c r="K198" t="s">
        <v>2612</v>
      </c>
      <c r="L198" s="11" t="s">
        <v>2184</v>
      </c>
    </row>
    <row r="199" spans="1:12">
      <c r="A199" t="s">
        <v>2616</v>
      </c>
      <c r="B199" s="8">
        <v>2.7080000000000002</v>
      </c>
      <c r="C199" s="9">
        <v>49</v>
      </c>
      <c r="D199">
        <v>3</v>
      </c>
      <c r="E199">
        <v>3</v>
      </c>
      <c r="F199">
        <v>3</v>
      </c>
      <c r="G199" s="10">
        <v>1</v>
      </c>
      <c r="H199" t="s">
        <v>46</v>
      </c>
      <c r="I199" t="s">
        <v>1957</v>
      </c>
      <c r="J199" t="s">
        <v>2617</v>
      </c>
      <c r="K199" t="s">
        <v>2618</v>
      </c>
      <c r="L199" s="11" t="s">
        <v>2619</v>
      </c>
    </row>
    <row r="200" spans="1:12">
      <c r="A200" t="s">
        <v>2620</v>
      </c>
      <c r="B200" s="8">
        <v>2.0270000000000001</v>
      </c>
      <c r="C200" s="9">
        <v>1520</v>
      </c>
      <c r="D200">
        <v>3</v>
      </c>
      <c r="E200">
        <v>2</v>
      </c>
      <c r="F200">
        <v>1</v>
      </c>
      <c r="G200" s="10">
        <v>0.33333333333333331</v>
      </c>
      <c r="H200" t="s">
        <v>46</v>
      </c>
      <c r="I200" t="s">
        <v>1957</v>
      </c>
      <c r="J200" t="s">
        <v>2621</v>
      </c>
      <c r="K200" t="s">
        <v>2622</v>
      </c>
      <c r="L200" s="11" t="s">
        <v>2623</v>
      </c>
    </row>
    <row r="201" spans="1:12">
      <c r="A201" t="s">
        <v>2624</v>
      </c>
      <c r="B201" s="8">
        <v>5.7869999999999999</v>
      </c>
      <c r="C201" s="9">
        <v>380</v>
      </c>
      <c r="D201">
        <v>3</v>
      </c>
      <c r="E201">
        <v>3</v>
      </c>
      <c r="F201">
        <v>3</v>
      </c>
      <c r="G201" s="10">
        <v>1</v>
      </c>
      <c r="H201" t="s">
        <v>46</v>
      </c>
      <c r="I201" t="s">
        <v>1957</v>
      </c>
      <c r="J201" t="s">
        <v>2625</v>
      </c>
      <c r="K201" t="s">
        <v>2626</v>
      </c>
      <c r="L201" s="11" t="s">
        <v>2625</v>
      </c>
    </row>
    <row r="202" spans="1:12">
      <c r="A202" t="s">
        <v>2627</v>
      </c>
      <c r="B202" s="8">
        <v>3.4449999999999998</v>
      </c>
      <c r="C202" s="9">
        <v>14</v>
      </c>
      <c r="D202">
        <v>2</v>
      </c>
      <c r="E202">
        <v>2</v>
      </c>
      <c r="F202">
        <v>1</v>
      </c>
      <c r="G202" s="10">
        <v>0.5</v>
      </c>
      <c r="H202" t="s">
        <v>46</v>
      </c>
      <c r="I202" t="s">
        <v>1957</v>
      </c>
      <c r="J202" t="s">
        <v>2628</v>
      </c>
      <c r="K202" t="s">
        <v>2629</v>
      </c>
      <c r="L202" s="11" t="s">
        <v>435</v>
      </c>
    </row>
    <row r="203" spans="1:12">
      <c r="A203" t="s">
        <v>2630</v>
      </c>
      <c r="B203" s="8">
        <v>9.3249999999999993</v>
      </c>
      <c r="C203" s="9">
        <v>79</v>
      </c>
      <c r="D203">
        <v>16</v>
      </c>
      <c r="E203">
        <v>16</v>
      </c>
      <c r="F203">
        <v>16</v>
      </c>
      <c r="G203" s="10">
        <v>1</v>
      </c>
      <c r="H203" t="s">
        <v>46</v>
      </c>
      <c r="I203" t="s">
        <v>1957</v>
      </c>
      <c r="J203" t="s">
        <v>2631</v>
      </c>
      <c r="K203" t="s">
        <v>2632</v>
      </c>
      <c r="L203" s="11" t="s">
        <v>2633</v>
      </c>
    </row>
    <row r="204" spans="1:12">
      <c r="A204" t="s">
        <v>2634</v>
      </c>
      <c r="B204" s="8">
        <v>4.5650000000000004</v>
      </c>
      <c r="C204" s="9">
        <v>49</v>
      </c>
      <c r="D204">
        <v>4</v>
      </c>
      <c r="E204">
        <v>4</v>
      </c>
      <c r="F204">
        <v>4</v>
      </c>
      <c r="G204" s="10">
        <v>1</v>
      </c>
      <c r="H204" t="s">
        <v>46</v>
      </c>
      <c r="I204" t="s">
        <v>1957</v>
      </c>
      <c r="J204" t="s">
        <v>2635</v>
      </c>
      <c r="K204" t="s">
        <v>2636</v>
      </c>
      <c r="L204" s="11" t="s">
        <v>2637</v>
      </c>
    </row>
    <row r="205" spans="1:12">
      <c r="A205" t="s">
        <v>2638</v>
      </c>
      <c r="B205" s="8">
        <v>3.2690000000000001</v>
      </c>
      <c r="C205" s="9">
        <v>81</v>
      </c>
      <c r="D205">
        <v>2</v>
      </c>
      <c r="E205">
        <v>2</v>
      </c>
      <c r="F205">
        <v>2</v>
      </c>
      <c r="G205" s="10">
        <v>1</v>
      </c>
      <c r="H205" t="s">
        <v>46</v>
      </c>
      <c r="I205" t="s">
        <v>1957</v>
      </c>
      <c r="J205" t="s">
        <v>2639</v>
      </c>
      <c r="K205" t="s">
        <v>2640</v>
      </c>
      <c r="L205" s="11" t="s">
        <v>448</v>
      </c>
    </row>
    <row r="206" spans="1:12">
      <c r="A206" t="s">
        <v>2641</v>
      </c>
      <c r="B206" s="8">
        <v>3.6160000000000001</v>
      </c>
      <c r="C206" s="9">
        <v>8.3000000000000007</v>
      </c>
      <c r="D206">
        <v>2</v>
      </c>
      <c r="E206">
        <v>2</v>
      </c>
      <c r="F206">
        <v>2</v>
      </c>
      <c r="G206" s="10">
        <v>1</v>
      </c>
      <c r="H206" t="s">
        <v>46</v>
      </c>
      <c r="I206" t="s">
        <v>1957</v>
      </c>
      <c r="J206" t="s">
        <v>2642</v>
      </c>
      <c r="K206" t="s">
        <v>2643</v>
      </c>
      <c r="L206" s="11" t="s">
        <v>2644</v>
      </c>
    </row>
    <row r="207" spans="1:12">
      <c r="A207" t="s">
        <v>2645</v>
      </c>
      <c r="B207" s="8">
        <v>2.11</v>
      </c>
      <c r="C207" s="9">
        <v>106</v>
      </c>
      <c r="D207">
        <v>2</v>
      </c>
      <c r="E207">
        <v>2</v>
      </c>
      <c r="F207">
        <v>2</v>
      </c>
      <c r="G207" s="10">
        <v>1</v>
      </c>
      <c r="H207" t="s">
        <v>46</v>
      </c>
      <c r="I207" t="s">
        <v>1957</v>
      </c>
      <c r="J207" t="s">
        <v>2646</v>
      </c>
      <c r="K207" t="s">
        <v>2647</v>
      </c>
      <c r="L207" s="11" t="s">
        <v>2648</v>
      </c>
    </row>
    <row r="208" spans="1:12">
      <c r="A208" t="s">
        <v>2649</v>
      </c>
      <c r="B208" s="8">
        <v>3.0049999999999999</v>
      </c>
      <c r="C208" s="9">
        <v>191</v>
      </c>
      <c r="D208">
        <v>2</v>
      </c>
      <c r="E208">
        <v>2</v>
      </c>
      <c r="F208">
        <v>2</v>
      </c>
      <c r="G208" s="10">
        <v>1</v>
      </c>
      <c r="H208" t="s">
        <v>46</v>
      </c>
      <c r="I208" t="s">
        <v>1957</v>
      </c>
      <c r="J208" t="s">
        <v>2650</v>
      </c>
      <c r="K208" t="s">
        <v>2651</v>
      </c>
      <c r="L208" s="11" t="s">
        <v>439</v>
      </c>
    </row>
    <row r="209" spans="1:12">
      <c r="A209" t="s">
        <v>2652</v>
      </c>
      <c r="B209" s="8">
        <v>2.222</v>
      </c>
      <c r="C209" s="9">
        <v>115</v>
      </c>
      <c r="D209">
        <v>2</v>
      </c>
      <c r="E209">
        <v>2</v>
      </c>
      <c r="F209">
        <v>2</v>
      </c>
      <c r="G209" s="10">
        <v>1</v>
      </c>
      <c r="H209" t="s">
        <v>46</v>
      </c>
      <c r="I209" t="s">
        <v>1957</v>
      </c>
      <c r="J209" t="s">
        <v>2653</v>
      </c>
      <c r="K209" t="s">
        <v>618</v>
      </c>
      <c r="L209" s="11" t="s">
        <v>2654</v>
      </c>
    </row>
    <row r="210" spans="1:12">
      <c r="A210" t="s">
        <v>2655</v>
      </c>
      <c r="B210" s="8">
        <v>2.3809999999999998</v>
      </c>
      <c r="C210" s="9">
        <v>12</v>
      </c>
      <c r="D210">
        <v>1</v>
      </c>
      <c r="E210">
        <v>1</v>
      </c>
      <c r="F210">
        <v>1</v>
      </c>
      <c r="G210" s="10">
        <v>1</v>
      </c>
      <c r="H210" t="s">
        <v>46</v>
      </c>
      <c r="I210" t="s">
        <v>1957</v>
      </c>
      <c r="J210" t="s">
        <v>553</v>
      </c>
      <c r="K210" t="s">
        <v>618</v>
      </c>
      <c r="L210" s="11" t="s">
        <v>553</v>
      </c>
    </row>
    <row r="211" spans="1:12">
      <c r="A211" t="s">
        <v>2656</v>
      </c>
      <c r="B211" s="8">
        <v>3.806</v>
      </c>
      <c r="C211" s="9">
        <v>21</v>
      </c>
      <c r="D211">
        <v>1</v>
      </c>
      <c r="E211">
        <v>1</v>
      </c>
      <c r="F211">
        <v>1</v>
      </c>
      <c r="G211" s="10">
        <v>1</v>
      </c>
      <c r="H211" t="s">
        <v>46</v>
      </c>
      <c r="I211" t="s">
        <v>1957</v>
      </c>
      <c r="J211" t="s">
        <v>553</v>
      </c>
      <c r="K211" t="s">
        <v>618</v>
      </c>
      <c r="L211" s="11" t="s">
        <v>553</v>
      </c>
    </row>
    <row r="212" spans="1:12">
      <c r="A212" t="s">
        <v>2657</v>
      </c>
      <c r="B212" s="8">
        <v>2.5310000000000001</v>
      </c>
      <c r="C212" s="9">
        <v>1092</v>
      </c>
      <c r="D212">
        <v>2</v>
      </c>
      <c r="E212">
        <v>2</v>
      </c>
      <c r="F212">
        <v>2</v>
      </c>
      <c r="G212" s="10">
        <v>1</v>
      </c>
      <c r="H212" t="s">
        <v>46</v>
      </c>
      <c r="I212" t="s">
        <v>1957</v>
      </c>
      <c r="J212" t="s">
        <v>2658</v>
      </c>
      <c r="K212" t="s">
        <v>2659</v>
      </c>
      <c r="L212" s="11" t="s">
        <v>2660</v>
      </c>
    </row>
    <row r="213" spans="1:12">
      <c r="A213" t="s">
        <v>2661</v>
      </c>
      <c r="B213" s="8">
        <v>5.1779999999999999</v>
      </c>
      <c r="C213" s="9">
        <v>43</v>
      </c>
      <c r="D213">
        <v>4</v>
      </c>
      <c r="E213">
        <v>4</v>
      </c>
      <c r="F213">
        <v>4</v>
      </c>
      <c r="G213" s="10">
        <v>1</v>
      </c>
      <c r="H213" t="s">
        <v>46</v>
      </c>
      <c r="I213" t="s">
        <v>1957</v>
      </c>
      <c r="J213" t="s">
        <v>2662</v>
      </c>
      <c r="K213" t="s">
        <v>2663</v>
      </c>
      <c r="L213" s="11" t="s">
        <v>2664</v>
      </c>
    </row>
    <row r="214" spans="1:12">
      <c r="A214" t="s">
        <v>2665</v>
      </c>
      <c r="B214" s="8">
        <v>6.8239999999999998</v>
      </c>
      <c r="C214" s="9">
        <v>277</v>
      </c>
      <c r="D214">
        <v>6</v>
      </c>
      <c r="E214">
        <v>6</v>
      </c>
      <c r="F214">
        <v>6</v>
      </c>
      <c r="G214" s="10">
        <v>1</v>
      </c>
      <c r="H214" t="s">
        <v>46</v>
      </c>
      <c r="I214" t="s">
        <v>1957</v>
      </c>
      <c r="J214" t="s">
        <v>2666</v>
      </c>
      <c r="K214" t="s">
        <v>645</v>
      </c>
      <c r="L214" s="11" t="s">
        <v>2666</v>
      </c>
    </row>
    <row r="215" spans="1:12">
      <c r="A215" t="s">
        <v>2667</v>
      </c>
      <c r="B215" s="8">
        <v>7.726</v>
      </c>
      <c r="C215" s="9">
        <v>37</v>
      </c>
      <c r="D215">
        <v>6</v>
      </c>
      <c r="E215">
        <v>6</v>
      </c>
      <c r="F215">
        <v>6</v>
      </c>
      <c r="G215" s="10">
        <v>1</v>
      </c>
      <c r="H215" t="s">
        <v>46</v>
      </c>
      <c r="I215" t="s">
        <v>1957</v>
      </c>
      <c r="J215" t="s">
        <v>2668</v>
      </c>
      <c r="K215" t="s">
        <v>645</v>
      </c>
      <c r="L215" s="11" t="s">
        <v>2668</v>
      </c>
    </row>
    <row r="216" spans="1:12">
      <c r="A216" t="s">
        <v>2669</v>
      </c>
      <c r="B216" s="8">
        <v>3.6930000000000001</v>
      </c>
      <c r="C216" s="9">
        <v>13</v>
      </c>
      <c r="D216">
        <v>5</v>
      </c>
      <c r="E216">
        <v>5</v>
      </c>
      <c r="F216">
        <v>5</v>
      </c>
      <c r="G216" s="10">
        <v>1</v>
      </c>
      <c r="H216" t="s">
        <v>46</v>
      </c>
      <c r="I216" t="s">
        <v>1957</v>
      </c>
      <c r="J216" t="s">
        <v>2670</v>
      </c>
      <c r="K216" t="s">
        <v>645</v>
      </c>
      <c r="L216" s="11" t="s">
        <v>2670</v>
      </c>
    </row>
    <row r="217" spans="1:12">
      <c r="A217" t="s">
        <v>2671</v>
      </c>
      <c r="B217" s="8">
        <v>4.2549999999999999</v>
      </c>
      <c r="C217" s="9">
        <v>152</v>
      </c>
      <c r="D217">
        <v>5</v>
      </c>
      <c r="E217">
        <v>5</v>
      </c>
      <c r="F217">
        <v>5</v>
      </c>
      <c r="G217" s="10">
        <v>1</v>
      </c>
      <c r="H217" t="s">
        <v>46</v>
      </c>
      <c r="I217" t="s">
        <v>1957</v>
      </c>
      <c r="J217" t="s">
        <v>2672</v>
      </c>
      <c r="K217" t="s">
        <v>645</v>
      </c>
      <c r="L217" s="11" t="s">
        <v>2672</v>
      </c>
    </row>
    <row r="218" spans="1:12">
      <c r="A218" t="s">
        <v>2673</v>
      </c>
      <c r="B218" s="8">
        <v>4.258</v>
      </c>
      <c r="C218" s="9">
        <v>125</v>
      </c>
      <c r="D218">
        <v>5</v>
      </c>
      <c r="E218">
        <v>5</v>
      </c>
      <c r="F218">
        <v>5</v>
      </c>
      <c r="G218" s="10">
        <v>1</v>
      </c>
      <c r="H218" t="s">
        <v>46</v>
      </c>
      <c r="I218" t="s">
        <v>1957</v>
      </c>
      <c r="J218" t="s">
        <v>2672</v>
      </c>
      <c r="K218" t="s">
        <v>645</v>
      </c>
      <c r="L218" s="11" t="s">
        <v>2672</v>
      </c>
    </row>
    <row r="219" spans="1:12">
      <c r="A219" t="s">
        <v>2674</v>
      </c>
      <c r="B219" s="8">
        <v>2.907</v>
      </c>
      <c r="C219" s="9">
        <v>13</v>
      </c>
      <c r="D219">
        <v>4</v>
      </c>
      <c r="E219">
        <v>4</v>
      </c>
      <c r="F219">
        <v>4</v>
      </c>
      <c r="G219" s="10">
        <v>1</v>
      </c>
      <c r="H219" t="s">
        <v>46</v>
      </c>
      <c r="I219" t="s">
        <v>1957</v>
      </c>
      <c r="J219" t="s">
        <v>2675</v>
      </c>
      <c r="K219" t="s">
        <v>645</v>
      </c>
      <c r="L219" s="11" t="s">
        <v>2675</v>
      </c>
    </row>
    <row r="220" spans="1:12">
      <c r="A220" t="s">
        <v>2676</v>
      </c>
      <c r="B220" s="8">
        <v>3.9830000000000001</v>
      </c>
      <c r="C220" s="9">
        <v>12</v>
      </c>
      <c r="D220">
        <v>4</v>
      </c>
      <c r="E220">
        <v>4</v>
      </c>
      <c r="F220">
        <v>4</v>
      </c>
      <c r="G220" s="10">
        <v>1</v>
      </c>
      <c r="H220" t="s">
        <v>46</v>
      </c>
      <c r="I220" t="s">
        <v>1957</v>
      </c>
      <c r="J220" t="s">
        <v>2677</v>
      </c>
      <c r="K220" t="s">
        <v>645</v>
      </c>
      <c r="L220" s="11" t="s">
        <v>2677</v>
      </c>
    </row>
    <row r="221" spans="1:12">
      <c r="A221" t="s">
        <v>2678</v>
      </c>
      <c r="B221" s="8">
        <v>2.0720000000000001</v>
      </c>
      <c r="C221" s="9">
        <v>105</v>
      </c>
      <c r="D221">
        <v>2</v>
      </c>
      <c r="E221">
        <v>2</v>
      </c>
      <c r="F221">
        <v>2</v>
      </c>
      <c r="G221" s="10">
        <v>1</v>
      </c>
      <c r="H221" t="s">
        <v>46</v>
      </c>
      <c r="I221" t="s">
        <v>1957</v>
      </c>
      <c r="J221" t="s">
        <v>2679</v>
      </c>
      <c r="K221" t="s">
        <v>645</v>
      </c>
      <c r="L221" s="11" t="s">
        <v>2679</v>
      </c>
    </row>
    <row r="222" spans="1:12">
      <c r="A222" t="s">
        <v>2680</v>
      </c>
      <c r="B222" s="8">
        <v>2.2610000000000001</v>
      </c>
      <c r="C222" s="9">
        <v>108</v>
      </c>
      <c r="D222">
        <v>2</v>
      </c>
      <c r="E222">
        <v>2</v>
      </c>
      <c r="F222">
        <v>2</v>
      </c>
      <c r="G222" s="10">
        <v>1</v>
      </c>
      <c r="H222" t="s">
        <v>46</v>
      </c>
      <c r="I222" t="s">
        <v>1957</v>
      </c>
      <c r="J222" t="s">
        <v>2679</v>
      </c>
      <c r="K222" t="s">
        <v>645</v>
      </c>
      <c r="L222" s="11" t="s">
        <v>2679</v>
      </c>
    </row>
    <row r="223" spans="1:12">
      <c r="A223" t="s">
        <v>2681</v>
      </c>
      <c r="B223" s="8">
        <v>2.2610000000000001</v>
      </c>
      <c r="C223" s="9">
        <v>159</v>
      </c>
      <c r="D223">
        <v>2</v>
      </c>
      <c r="E223">
        <v>2</v>
      </c>
      <c r="F223">
        <v>2</v>
      </c>
      <c r="G223" s="10">
        <v>1</v>
      </c>
      <c r="H223" t="s">
        <v>46</v>
      </c>
      <c r="I223" t="s">
        <v>1957</v>
      </c>
      <c r="J223" t="s">
        <v>2679</v>
      </c>
      <c r="K223" t="s">
        <v>645</v>
      </c>
      <c r="L223" s="11" t="s">
        <v>2679</v>
      </c>
    </row>
    <row r="224" spans="1:12">
      <c r="A224" t="s">
        <v>2682</v>
      </c>
      <c r="B224" s="8">
        <v>2.4340000000000002</v>
      </c>
      <c r="C224" s="9">
        <v>170</v>
      </c>
      <c r="D224">
        <v>2</v>
      </c>
      <c r="E224">
        <v>2</v>
      </c>
      <c r="F224">
        <v>2</v>
      </c>
      <c r="G224" s="10">
        <v>1</v>
      </c>
      <c r="H224" t="s">
        <v>46</v>
      </c>
      <c r="I224" t="s">
        <v>1957</v>
      </c>
      <c r="J224" t="s">
        <v>2679</v>
      </c>
      <c r="K224" t="s">
        <v>645</v>
      </c>
      <c r="L224" s="11" t="s">
        <v>2679</v>
      </c>
    </row>
    <row r="225" spans="1:12">
      <c r="A225" t="s">
        <v>2683</v>
      </c>
      <c r="B225" s="8">
        <v>3.0489999999999999</v>
      </c>
      <c r="C225" s="9">
        <v>24</v>
      </c>
      <c r="D225">
        <v>1</v>
      </c>
      <c r="E225">
        <v>1</v>
      </c>
      <c r="F225">
        <v>1</v>
      </c>
      <c r="G225" s="10">
        <v>1</v>
      </c>
      <c r="H225" t="s">
        <v>46</v>
      </c>
      <c r="I225" t="s">
        <v>1957</v>
      </c>
      <c r="J225" t="s">
        <v>604</v>
      </c>
      <c r="K225" t="s">
        <v>645</v>
      </c>
      <c r="L225" s="11" t="s">
        <v>604</v>
      </c>
    </row>
    <row r="226" spans="1:12">
      <c r="A226" t="s">
        <v>2684</v>
      </c>
      <c r="B226" s="8">
        <v>3.242</v>
      </c>
      <c r="C226" s="9">
        <v>187</v>
      </c>
      <c r="D226">
        <v>1</v>
      </c>
      <c r="E226">
        <v>1</v>
      </c>
      <c r="F226">
        <v>1</v>
      </c>
      <c r="G226" s="10">
        <v>1</v>
      </c>
      <c r="H226" t="s">
        <v>46</v>
      </c>
      <c r="I226" t="s">
        <v>1957</v>
      </c>
      <c r="J226" t="s">
        <v>604</v>
      </c>
      <c r="K226" t="s">
        <v>645</v>
      </c>
      <c r="L226" s="11" t="s">
        <v>604</v>
      </c>
    </row>
    <row r="227" spans="1:12">
      <c r="A227" t="s">
        <v>2685</v>
      </c>
      <c r="B227" s="8">
        <v>3.6240000000000001</v>
      </c>
      <c r="C227" s="9">
        <v>689</v>
      </c>
      <c r="D227">
        <v>1</v>
      </c>
      <c r="E227">
        <v>1</v>
      </c>
      <c r="F227">
        <v>1</v>
      </c>
      <c r="G227" s="10">
        <v>1</v>
      </c>
      <c r="H227" t="s">
        <v>46</v>
      </c>
      <c r="I227" t="s">
        <v>1957</v>
      </c>
      <c r="J227" t="s">
        <v>604</v>
      </c>
      <c r="K227" t="s">
        <v>645</v>
      </c>
      <c r="L227" s="11" t="s">
        <v>604</v>
      </c>
    </row>
    <row r="228" spans="1:12">
      <c r="A228" t="s">
        <v>2686</v>
      </c>
      <c r="B228" s="8">
        <v>4.141</v>
      </c>
      <c r="C228" s="9">
        <v>12</v>
      </c>
      <c r="D228">
        <v>1</v>
      </c>
      <c r="E228">
        <v>1</v>
      </c>
      <c r="F228">
        <v>1</v>
      </c>
      <c r="G228" s="10">
        <v>1</v>
      </c>
      <c r="H228" t="s">
        <v>46</v>
      </c>
      <c r="I228" t="s">
        <v>1957</v>
      </c>
      <c r="J228" t="s">
        <v>604</v>
      </c>
      <c r="K228" t="s">
        <v>645</v>
      </c>
      <c r="L228" s="11" t="s">
        <v>604</v>
      </c>
    </row>
    <row r="229" spans="1:12">
      <c r="A229" t="s">
        <v>2687</v>
      </c>
      <c r="B229" s="8">
        <v>2.6179999999999999</v>
      </c>
      <c r="C229" s="9">
        <v>12</v>
      </c>
      <c r="D229">
        <v>2</v>
      </c>
      <c r="E229">
        <v>1</v>
      </c>
      <c r="F229">
        <v>1</v>
      </c>
      <c r="G229" s="10">
        <v>0.5</v>
      </c>
      <c r="H229" t="s">
        <v>46</v>
      </c>
      <c r="I229" t="s">
        <v>1957</v>
      </c>
      <c r="J229" t="s">
        <v>604</v>
      </c>
      <c r="K229" t="s">
        <v>645</v>
      </c>
      <c r="L229" s="11" t="s">
        <v>604</v>
      </c>
    </row>
    <row r="230" spans="1:12">
      <c r="A230" t="s">
        <v>2688</v>
      </c>
      <c r="B230" s="8">
        <v>2.6440000000000001</v>
      </c>
      <c r="C230" s="9">
        <v>248</v>
      </c>
      <c r="D230">
        <v>3</v>
      </c>
      <c r="E230">
        <v>3</v>
      </c>
      <c r="F230">
        <v>3</v>
      </c>
      <c r="G230" s="10">
        <v>1</v>
      </c>
      <c r="H230" t="s">
        <v>46</v>
      </c>
      <c r="I230" t="s">
        <v>1957</v>
      </c>
      <c r="J230" t="s">
        <v>2689</v>
      </c>
      <c r="K230" t="s">
        <v>2690</v>
      </c>
      <c r="L230" s="11" t="s">
        <v>2679</v>
      </c>
    </row>
    <row r="231" spans="1:12">
      <c r="A231" t="s">
        <v>2691</v>
      </c>
      <c r="B231" s="8">
        <v>3.899</v>
      </c>
      <c r="C231" s="9">
        <v>84</v>
      </c>
      <c r="D231">
        <v>3</v>
      </c>
      <c r="E231">
        <v>3</v>
      </c>
      <c r="F231">
        <v>3</v>
      </c>
      <c r="G231" s="10">
        <v>1</v>
      </c>
      <c r="H231" t="s">
        <v>46</v>
      </c>
      <c r="I231" t="s">
        <v>1957</v>
      </c>
      <c r="J231" t="s">
        <v>2692</v>
      </c>
      <c r="K231" t="s">
        <v>2693</v>
      </c>
      <c r="L231" s="11" t="s">
        <v>840</v>
      </c>
    </row>
    <row r="232" spans="1:12">
      <c r="A232" t="s">
        <v>2694</v>
      </c>
      <c r="B232" s="8">
        <v>7.2549999999999999</v>
      </c>
      <c r="C232" s="9">
        <v>110</v>
      </c>
      <c r="D232">
        <v>5</v>
      </c>
      <c r="E232">
        <v>5</v>
      </c>
      <c r="F232">
        <v>4</v>
      </c>
      <c r="G232" s="10">
        <v>0.8</v>
      </c>
      <c r="H232" t="s">
        <v>46</v>
      </c>
      <c r="I232" t="s">
        <v>1957</v>
      </c>
      <c r="J232" t="s">
        <v>2695</v>
      </c>
      <c r="K232" t="s">
        <v>2696</v>
      </c>
      <c r="L232" s="11" t="s">
        <v>2697</v>
      </c>
    </row>
    <row r="233" spans="1:12">
      <c r="A233" t="s">
        <v>2698</v>
      </c>
      <c r="B233" s="8">
        <v>43.274000000000001</v>
      </c>
      <c r="C233" s="9">
        <v>68</v>
      </c>
      <c r="D233">
        <v>40</v>
      </c>
      <c r="E233">
        <v>40</v>
      </c>
      <c r="F233">
        <v>38</v>
      </c>
      <c r="G233" s="10">
        <v>0.95</v>
      </c>
      <c r="H233" t="s">
        <v>46</v>
      </c>
      <c r="I233" t="s">
        <v>1957</v>
      </c>
      <c r="J233" t="s">
        <v>2699</v>
      </c>
      <c r="K233" t="s">
        <v>2700</v>
      </c>
      <c r="L233" s="11" t="s">
        <v>2701</v>
      </c>
    </row>
    <row r="234" spans="1:12">
      <c r="A234" t="s">
        <v>2702</v>
      </c>
      <c r="B234" s="8">
        <v>2.8969999999999998</v>
      </c>
      <c r="C234" s="9">
        <v>128</v>
      </c>
      <c r="D234">
        <v>2</v>
      </c>
      <c r="E234">
        <v>2</v>
      </c>
      <c r="F234">
        <v>2</v>
      </c>
      <c r="G234" s="10">
        <v>1</v>
      </c>
      <c r="H234" t="s">
        <v>46</v>
      </c>
      <c r="I234" t="s">
        <v>1957</v>
      </c>
      <c r="J234" t="s">
        <v>2703</v>
      </c>
      <c r="K234" t="s">
        <v>2704</v>
      </c>
      <c r="L234" s="11" t="s">
        <v>604</v>
      </c>
    </row>
    <row r="235" spans="1:12">
      <c r="A235" t="s">
        <v>2705</v>
      </c>
      <c r="B235" s="8">
        <v>48.475000000000001</v>
      </c>
      <c r="C235" s="9">
        <v>181</v>
      </c>
      <c r="D235">
        <v>36</v>
      </c>
      <c r="E235">
        <v>35</v>
      </c>
      <c r="F235">
        <v>30</v>
      </c>
      <c r="G235" s="10">
        <v>0.83333333333333337</v>
      </c>
      <c r="H235" t="s">
        <v>46</v>
      </c>
      <c r="I235" t="s">
        <v>1957</v>
      </c>
      <c r="J235" t="s">
        <v>2706</v>
      </c>
      <c r="K235" t="s">
        <v>2707</v>
      </c>
      <c r="L235" s="11" t="s">
        <v>2708</v>
      </c>
    </row>
    <row r="236" spans="1:12">
      <c r="A236" t="s">
        <v>2709</v>
      </c>
      <c r="B236" s="8">
        <v>2.5939999999999999</v>
      </c>
      <c r="C236" s="9">
        <v>36</v>
      </c>
      <c r="D236">
        <v>2</v>
      </c>
      <c r="E236">
        <v>2</v>
      </c>
      <c r="F236">
        <v>2</v>
      </c>
      <c r="G236" s="10">
        <v>1</v>
      </c>
      <c r="H236" t="s">
        <v>46</v>
      </c>
      <c r="I236" t="s">
        <v>1957</v>
      </c>
      <c r="J236" t="s">
        <v>2710</v>
      </c>
      <c r="K236" t="s">
        <v>2711</v>
      </c>
      <c r="L236" s="11" t="s">
        <v>604</v>
      </c>
    </row>
    <row r="237" spans="1:12">
      <c r="A237" t="s">
        <v>2712</v>
      </c>
      <c r="B237" s="8">
        <v>16.585000000000001</v>
      </c>
      <c r="C237" s="9">
        <v>31</v>
      </c>
      <c r="D237">
        <v>13</v>
      </c>
      <c r="E237">
        <v>13</v>
      </c>
      <c r="F237">
        <v>12</v>
      </c>
      <c r="G237" s="10">
        <v>0.92307692307692313</v>
      </c>
      <c r="H237" t="s">
        <v>46</v>
      </c>
      <c r="I237" t="s">
        <v>1957</v>
      </c>
      <c r="J237" t="s">
        <v>2713</v>
      </c>
      <c r="K237" t="s">
        <v>2714</v>
      </c>
      <c r="L237" s="11" t="s">
        <v>2715</v>
      </c>
    </row>
    <row r="238" spans="1:12">
      <c r="A238" t="s">
        <v>2716</v>
      </c>
      <c r="B238" s="8">
        <v>2.36</v>
      </c>
      <c r="C238" s="9">
        <v>8.6999999999999993</v>
      </c>
      <c r="D238">
        <v>3</v>
      </c>
      <c r="E238">
        <v>3</v>
      </c>
      <c r="F238">
        <v>3</v>
      </c>
      <c r="G238" s="10">
        <v>1</v>
      </c>
      <c r="H238" t="s">
        <v>46</v>
      </c>
      <c r="I238" t="s">
        <v>1957</v>
      </c>
      <c r="J238" t="s">
        <v>2717</v>
      </c>
      <c r="K238" t="s">
        <v>2718</v>
      </c>
      <c r="L238" s="11" t="s">
        <v>2719</v>
      </c>
    </row>
    <row r="239" spans="1:12">
      <c r="A239" t="s">
        <v>2720</v>
      </c>
      <c r="B239" s="8">
        <v>8.2319999999999993</v>
      </c>
      <c r="C239" s="9">
        <v>22</v>
      </c>
      <c r="D239">
        <v>4</v>
      </c>
      <c r="E239">
        <v>4</v>
      </c>
      <c r="F239">
        <v>4</v>
      </c>
      <c r="G239" s="10">
        <v>1</v>
      </c>
      <c r="H239" t="s">
        <v>46</v>
      </c>
      <c r="I239" t="s">
        <v>1957</v>
      </c>
      <c r="J239" t="s">
        <v>2721</v>
      </c>
      <c r="K239" t="s">
        <v>2722</v>
      </c>
      <c r="L239" s="11" t="s">
        <v>2723</v>
      </c>
    </row>
    <row r="240" spans="1:12">
      <c r="A240" t="s">
        <v>2724</v>
      </c>
      <c r="B240" s="8">
        <v>26.213000000000001</v>
      </c>
      <c r="C240" s="9">
        <v>146</v>
      </c>
      <c r="D240">
        <v>17</v>
      </c>
      <c r="E240">
        <v>8</v>
      </c>
      <c r="F240">
        <v>16</v>
      </c>
      <c r="G240" s="10">
        <v>0.94117647058823528</v>
      </c>
      <c r="H240" t="s">
        <v>46</v>
      </c>
      <c r="I240" t="s">
        <v>1957</v>
      </c>
      <c r="J240" t="s">
        <v>2725</v>
      </c>
      <c r="K240" t="s">
        <v>2726</v>
      </c>
      <c r="L240" s="11" t="s">
        <v>2727</v>
      </c>
    </row>
    <row r="241" spans="1:12">
      <c r="A241" t="s">
        <v>2728</v>
      </c>
      <c r="B241" s="8">
        <v>8.8559999999999999</v>
      </c>
      <c r="C241" s="9">
        <v>17</v>
      </c>
      <c r="D241">
        <v>7</v>
      </c>
      <c r="E241">
        <v>7</v>
      </c>
      <c r="F241">
        <v>7</v>
      </c>
      <c r="G241" s="10">
        <v>1</v>
      </c>
      <c r="H241" t="s">
        <v>46</v>
      </c>
      <c r="I241" t="s">
        <v>1957</v>
      </c>
      <c r="J241" t="s">
        <v>2729</v>
      </c>
      <c r="K241" t="s">
        <v>2730</v>
      </c>
      <c r="L241" s="11" t="s">
        <v>2731</v>
      </c>
    </row>
    <row r="242" spans="1:12">
      <c r="A242" t="s">
        <v>2732</v>
      </c>
      <c r="B242" s="8">
        <v>3.0449999999999999</v>
      </c>
      <c r="C242" s="9">
        <v>18</v>
      </c>
      <c r="D242">
        <v>3</v>
      </c>
      <c r="E242">
        <v>3</v>
      </c>
      <c r="F242">
        <v>3</v>
      </c>
      <c r="G242" s="10">
        <v>1</v>
      </c>
      <c r="H242" t="s">
        <v>46</v>
      </c>
      <c r="I242" t="s">
        <v>1957</v>
      </c>
      <c r="J242" t="s">
        <v>2733</v>
      </c>
      <c r="K242" t="s">
        <v>2730</v>
      </c>
      <c r="L242" s="11" t="s">
        <v>2733</v>
      </c>
    </row>
    <row r="243" spans="1:12">
      <c r="A243" t="s">
        <v>2734</v>
      </c>
      <c r="B243" s="8">
        <v>7.1029999999999998</v>
      </c>
      <c r="C243" s="9">
        <v>19</v>
      </c>
      <c r="D243">
        <v>5</v>
      </c>
      <c r="E243">
        <v>5</v>
      </c>
      <c r="F243">
        <v>4</v>
      </c>
      <c r="G243" s="10">
        <v>0.8</v>
      </c>
      <c r="H243" t="s">
        <v>46</v>
      </c>
      <c r="I243" t="s">
        <v>1957</v>
      </c>
      <c r="J243" t="s">
        <v>2735</v>
      </c>
      <c r="K243" t="s">
        <v>2736</v>
      </c>
      <c r="L243" s="11" t="s">
        <v>2737</v>
      </c>
    </row>
    <row r="244" spans="1:12">
      <c r="A244" t="s">
        <v>2738</v>
      </c>
      <c r="B244" s="8">
        <v>24.776</v>
      </c>
      <c r="C244" s="9">
        <v>121</v>
      </c>
      <c r="D244">
        <v>27</v>
      </c>
      <c r="E244">
        <v>23</v>
      </c>
      <c r="F244">
        <v>17</v>
      </c>
      <c r="G244" s="10">
        <v>0.62962962962962965</v>
      </c>
      <c r="H244" t="s">
        <v>46</v>
      </c>
      <c r="I244" t="s">
        <v>1957</v>
      </c>
      <c r="J244" t="s">
        <v>2739</v>
      </c>
      <c r="K244" t="s">
        <v>2740</v>
      </c>
      <c r="L244" s="11" t="s">
        <v>2741</v>
      </c>
    </row>
    <row r="245" spans="1:12">
      <c r="A245" t="s">
        <v>2742</v>
      </c>
      <c r="B245" s="8">
        <v>12.093</v>
      </c>
      <c r="C245" s="9">
        <v>17</v>
      </c>
      <c r="D245">
        <v>10</v>
      </c>
      <c r="E245">
        <v>10</v>
      </c>
      <c r="F245">
        <v>10</v>
      </c>
      <c r="G245" s="10">
        <v>1</v>
      </c>
      <c r="H245" t="s">
        <v>46</v>
      </c>
      <c r="I245" t="s">
        <v>1957</v>
      </c>
      <c r="J245" t="s">
        <v>2743</v>
      </c>
      <c r="K245" t="s">
        <v>2744</v>
      </c>
      <c r="L245" s="11" t="s">
        <v>2745</v>
      </c>
    </row>
    <row r="246" spans="1:12">
      <c r="A246" t="s">
        <v>2746</v>
      </c>
      <c r="B246" s="8">
        <v>14.759</v>
      </c>
      <c r="C246" s="9">
        <v>18</v>
      </c>
      <c r="D246">
        <v>14</v>
      </c>
      <c r="E246">
        <v>12</v>
      </c>
      <c r="F246">
        <v>9</v>
      </c>
      <c r="G246" s="10">
        <v>0.6428571428571429</v>
      </c>
      <c r="H246" t="s">
        <v>46</v>
      </c>
      <c r="I246" t="s">
        <v>1957</v>
      </c>
      <c r="J246" t="s">
        <v>2747</v>
      </c>
      <c r="K246" t="s">
        <v>2748</v>
      </c>
      <c r="L246" s="11" t="s">
        <v>2749</v>
      </c>
    </row>
    <row r="247" spans="1:12">
      <c r="A247" t="s">
        <v>2750</v>
      </c>
      <c r="B247" s="8">
        <v>7.9320000000000004</v>
      </c>
      <c r="C247" s="9">
        <v>20</v>
      </c>
      <c r="D247">
        <v>9</v>
      </c>
      <c r="E247">
        <v>9</v>
      </c>
      <c r="F247">
        <v>9</v>
      </c>
      <c r="G247" s="10">
        <v>1</v>
      </c>
      <c r="H247" t="s">
        <v>46</v>
      </c>
      <c r="I247" t="s">
        <v>1957</v>
      </c>
      <c r="J247" t="s">
        <v>2751</v>
      </c>
      <c r="K247" t="s">
        <v>2752</v>
      </c>
      <c r="L247" s="11" t="s">
        <v>2753</v>
      </c>
    </row>
    <row r="248" spans="1:12">
      <c r="A248" t="s">
        <v>2754</v>
      </c>
      <c r="B248" s="8">
        <v>2.1440000000000001</v>
      </c>
      <c r="C248" s="9">
        <v>189</v>
      </c>
      <c r="D248">
        <v>2</v>
      </c>
      <c r="E248">
        <v>2</v>
      </c>
      <c r="F248">
        <v>2</v>
      </c>
      <c r="G248" s="10">
        <v>1</v>
      </c>
      <c r="H248" t="s">
        <v>46</v>
      </c>
      <c r="I248" t="s">
        <v>1957</v>
      </c>
      <c r="J248" t="s">
        <v>2755</v>
      </c>
      <c r="K248" t="s">
        <v>2756</v>
      </c>
      <c r="L248" s="11" t="s">
        <v>2757</v>
      </c>
    </row>
    <row r="249" spans="1:12">
      <c r="A249" t="s">
        <v>2758</v>
      </c>
      <c r="B249" s="8">
        <v>6.6550000000000002</v>
      </c>
      <c r="C249" s="9">
        <v>66</v>
      </c>
      <c r="D249">
        <v>4</v>
      </c>
      <c r="E249">
        <v>3</v>
      </c>
      <c r="F249">
        <v>2</v>
      </c>
      <c r="G249" s="10">
        <v>0.5</v>
      </c>
      <c r="H249" t="s">
        <v>46</v>
      </c>
      <c r="I249" t="s">
        <v>1957</v>
      </c>
      <c r="J249" t="s">
        <v>2759</v>
      </c>
      <c r="K249" t="s">
        <v>2760</v>
      </c>
      <c r="L249" s="11" t="s">
        <v>2761</v>
      </c>
    </row>
    <row r="250" spans="1:12">
      <c r="A250" t="s">
        <v>2762</v>
      </c>
      <c r="B250" s="8">
        <v>3.823</v>
      </c>
      <c r="C250" s="9">
        <v>21</v>
      </c>
      <c r="D250">
        <v>5</v>
      </c>
      <c r="E250">
        <v>4</v>
      </c>
      <c r="F250">
        <v>5</v>
      </c>
      <c r="G250" s="10">
        <v>1</v>
      </c>
      <c r="H250" t="s">
        <v>46</v>
      </c>
      <c r="I250" t="s">
        <v>1957</v>
      </c>
      <c r="J250" t="s">
        <v>2763</v>
      </c>
      <c r="K250" t="s">
        <v>660</v>
      </c>
      <c r="L250" s="11" t="s">
        <v>2764</v>
      </c>
    </row>
    <row r="251" spans="1:12">
      <c r="A251" t="s">
        <v>2765</v>
      </c>
      <c r="B251" s="8">
        <v>3.0249999999999999</v>
      </c>
      <c r="C251" s="9">
        <v>6.8</v>
      </c>
      <c r="D251">
        <v>3</v>
      </c>
      <c r="E251">
        <v>2</v>
      </c>
      <c r="F251">
        <v>2</v>
      </c>
      <c r="G251" s="10">
        <v>0.66666666666666663</v>
      </c>
      <c r="H251" t="s">
        <v>46</v>
      </c>
      <c r="I251" t="s">
        <v>1957</v>
      </c>
      <c r="J251" t="s">
        <v>2766</v>
      </c>
      <c r="K251" t="s">
        <v>2767</v>
      </c>
      <c r="L251" s="11" t="s">
        <v>2455</v>
      </c>
    </row>
    <row r="252" spans="1:12">
      <c r="A252" t="s">
        <v>2768</v>
      </c>
      <c r="B252" s="8">
        <v>2.2610000000000001</v>
      </c>
      <c r="C252" s="9">
        <v>13</v>
      </c>
      <c r="D252">
        <v>1</v>
      </c>
      <c r="E252">
        <v>1</v>
      </c>
      <c r="F252">
        <v>1</v>
      </c>
      <c r="G252" s="10">
        <v>1</v>
      </c>
      <c r="H252" t="s">
        <v>46</v>
      </c>
      <c r="I252" t="s">
        <v>1957</v>
      </c>
      <c r="J252" t="s">
        <v>2769</v>
      </c>
      <c r="K252" t="s">
        <v>2770</v>
      </c>
      <c r="L252" s="11" t="s">
        <v>2769</v>
      </c>
    </row>
    <row r="253" spans="1:12">
      <c r="A253" t="s">
        <v>2771</v>
      </c>
      <c r="B253" s="8">
        <v>2.3490000000000002</v>
      </c>
      <c r="C253" s="9">
        <v>13</v>
      </c>
      <c r="D253">
        <v>1</v>
      </c>
      <c r="E253">
        <v>1</v>
      </c>
      <c r="F253">
        <v>1</v>
      </c>
      <c r="G253" s="10">
        <v>1</v>
      </c>
      <c r="H253" t="s">
        <v>46</v>
      </c>
      <c r="I253" t="s">
        <v>1957</v>
      </c>
      <c r="J253" t="s">
        <v>2769</v>
      </c>
      <c r="K253" t="s">
        <v>2770</v>
      </c>
      <c r="L253" s="11" t="s">
        <v>2769</v>
      </c>
    </row>
    <row r="254" spans="1:12">
      <c r="A254" t="s">
        <v>2772</v>
      </c>
      <c r="B254" s="8">
        <v>2.4550000000000001</v>
      </c>
      <c r="C254" s="9">
        <v>12</v>
      </c>
      <c r="D254">
        <v>1</v>
      </c>
      <c r="E254">
        <v>1</v>
      </c>
      <c r="F254">
        <v>1</v>
      </c>
      <c r="G254" s="10">
        <v>1</v>
      </c>
      <c r="H254" t="s">
        <v>46</v>
      </c>
      <c r="I254" t="s">
        <v>1957</v>
      </c>
      <c r="J254" t="s">
        <v>2769</v>
      </c>
      <c r="K254" t="s">
        <v>2770</v>
      </c>
      <c r="L254" s="11" t="s">
        <v>2769</v>
      </c>
    </row>
    <row r="255" spans="1:12">
      <c r="A255" t="s">
        <v>2773</v>
      </c>
      <c r="B255" s="8">
        <v>2.68</v>
      </c>
      <c r="C255" s="9">
        <v>8.6</v>
      </c>
      <c r="D255">
        <v>1</v>
      </c>
      <c r="E255">
        <v>1</v>
      </c>
      <c r="F255">
        <v>1</v>
      </c>
      <c r="G255" s="10">
        <v>1</v>
      </c>
      <c r="H255" t="s">
        <v>46</v>
      </c>
      <c r="I255" t="s">
        <v>1957</v>
      </c>
      <c r="J255" t="s">
        <v>2769</v>
      </c>
      <c r="K255" t="s">
        <v>2770</v>
      </c>
      <c r="L255" s="11" t="s">
        <v>2769</v>
      </c>
    </row>
    <row r="256" spans="1:12">
      <c r="A256" t="s">
        <v>2774</v>
      </c>
      <c r="B256" s="8">
        <v>6.0220000000000002</v>
      </c>
      <c r="C256" s="9">
        <v>21</v>
      </c>
      <c r="D256">
        <v>5</v>
      </c>
      <c r="E256">
        <v>5</v>
      </c>
      <c r="F256">
        <v>5</v>
      </c>
      <c r="G256" s="10">
        <v>1</v>
      </c>
      <c r="H256" t="s">
        <v>46</v>
      </c>
      <c r="I256" t="s">
        <v>1957</v>
      </c>
      <c r="J256" t="s">
        <v>2775</v>
      </c>
      <c r="K256" t="s">
        <v>2776</v>
      </c>
      <c r="L256" s="11" t="s">
        <v>2777</v>
      </c>
    </row>
    <row r="257" spans="1:12">
      <c r="A257" t="s">
        <v>2778</v>
      </c>
      <c r="B257" s="8">
        <v>8.7859999999999996</v>
      </c>
      <c r="C257" s="9">
        <v>16</v>
      </c>
      <c r="D257">
        <v>4</v>
      </c>
      <c r="E257">
        <v>4</v>
      </c>
      <c r="F257">
        <v>4</v>
      </c>
      <c r="G257" s="10">
        <v>1</v>
      </c>
      <c r="H257" t="s">
        <v>46</v>
      </c>
      <c r="I257" t="s">
        <v>1957</v>
      </c>
      <c r="J257" t="s">
        <v>2779</v>
      </c>
      <c r="K257" t="s">
        <v>2780</v>
      </c>
      <c r="L257" s="11" t="s">
        <v>2781</v>
      </c>
    </row>
    <row r="258" spans="1:12">
      <c r="A258" t="s">
        <v>2782</v>
      </c>
      <c r="B258" s="8">
        <v>5.9489999999999998</v>
      </c>
      <c r="C258" s="9">
        <v>12</v>
      </c>
      <c r="D258">
        <v>6</v>
      </c>
      <c r="E258">
        <v>6</v>
      </c>
      <c r="F258">
        <v>6</v>
      </c>
      <c r="G258" s="10">
        <v>1</v>
      </c>
      <c r="H258" t="s">
        <v>46</v>
      </c>
      <c r="I258" t="s">
        <v>1957</v>
      </c>
      <c r="J258" t="s">
        <v>2783</v>
      </c>
      <c r="K258" t="s">
        <v>2784</v>
      </c>
      <c r="L258" s="11" t="s">
        <v>2785</v>
      </c>
    </row>
    <row r="259" spans="1:12">
      <c r="A259" t="s">
        <v>2786</v>
      </c>
      <c r="B259" s="8">
        <v>10.749000000000001</v>
      </c>
      <c r="C259" s="9">
        <v>19</v>
      </c>
      <c r="D259">
        <v>4</v>
      </c>
      <c r="E259">
        <v>4</v>
      </c>
      <c r="F259">
        <v>3</v>
      </c>
      <c r="G259" s="10">
        <v>0.75</v>
      </c>
      <c r="H259" t="s">
        <v>46</v>
      </c>
      <c r="I259" t="s">
        <v>1957</v>
      </c>
      <c r="J259" t="s">
        <v>2787</v>
      </c>
      <c r="K259" t="s">
        <v>2788</v>
      </c>
      <c r="L259" s="11" t="s">
        <v>2789</v>
      </c>
    </row>
    <row r="260" spans="1:12">
      <c r="A260" t="s">
        <v>2790</v>
      </c>
      <c r="B260" s="8">
        <v>2.375</v>
      </c>
      <c r="C260" s="9">
        <v>10</v>
      </c>
      <c r="D260">
        <v>2</v>
      </c>
      <c r="E260">
        <v>2</v>
      </c>
      <c r="F260">
        <v>1</v>
      </c>
      <c r="G260" s="10">
        <v>0.5</v>
      </c>
      <c r="H260" t="s">
        <v>46</v>
      </c>
      <c r="I260" t="s">
        <v>1957</v>
      </c>
      <c r="J260" t="s">
        <v>2791</v>
      </c>
      <c r="K260" t="s">
        <v>2792</v>
      </c>
      <c r="L260" s="11" t="s">
        <v>2769</v>
      </c>
    </row>
    <row r="261" spans="1:12">
      <c r="A261" t="s">
        <v>2793</v>
      </c>
      <c r="B261" s="8">
        <v>3.9710000000000001</v>
      </c>
      <c r="C261" s="9">
        <v>13</v>
      </c>
      <c r="D261">
        <v>2</v>
      </c>
      <c r="E261">
        <v>2</v>
      </c>
      <c r="F261">
        <v>2</v>
      </c>
      <c r="G261" s="10">
        <v>1</v>
      </c>
      <c r="H261" t="s">
        <v>46</v>
      </c>
      <c r="I261" t="s">
        <v>1957</v>
      </c>
      <c r="J261" t="s">
        <v>2794</v>
      </c>
      <c r="K261" t="s">
        <v>671</v>
      </c>
      <c r="L261" s="11" t="s">
        <v>2064</v>
      </c>
    </row>
    <row r="262" spans="1:12">
      <c r="A262" t="s">
        <v>2795</v>
      </c>
      <c r="B262" s="8">
        <v>6.343</v>
      </c>
      <c r="C262" s="9">
        <v>14</v>
      </c>
      <c r="D262">
        <v>9</v>
      </c>
      <c r="E262">
        <v>9</v>
      </c>
      <c r="F262">
        <v>8</v>
      </c>
      <c r="G262" s="10">
        <v>0.88888888888888884</v>
      </c>
      <c r="H262" t="s">
        <v>46</v>
      </c>
      <c r="I262" t="s">
        <v>1957</v>
      </c>
      <c r="J262" t="s">
        <v>2796</v>
      </c>
      <c r="K262" t="s">
        <v>2797</v>
      </c>
      <c r="L262" s="11" t="s">
        <v>2798</v>
      </c>
    </row>
    <row r="263" spans="1:12">
      <c r="A263" t="s">
        <v>2799</v>
      </c>
      <c r="B263" s="8">
        <v>7.6059999999999999</v>
      </c>
      <c r="C263" s="9">
        <v>32</v>
      </c>
      <c r="D263">
        <v>10</v>
      </c>
      <c r="E263">
        <v>10</v>
      </c>
      <c r="F263">
        <v>9</v>
      </c>
      <c r="G263" s="10">
        <v>0.9</v>
      </c>
      <c r="H263" t="s">
        <v>46</v>
      </c>
      <c r="I263" t="s">
        <v>1957</v>
      </c>
      <c r="J263" t="s">
        <v>2800</v>
      </c>
      <c r="K263" t="s">
        <v>2801</v>
      </c>
      <c r="L263" s="11" t="s">
        <v>2802</v>
      </c>
    </row>
    <row r="264" spans="1:12">
      <c r="A264" t="s">
        <v>2803</v>
      </c>
      <c r="B264" s="8">
        <v>6.0209999999999999</v>
      </c>
      <c r="C264" s="9">
        <v>103</v>
      </c>
      <c r="D264">
        <v>10</v>
      </c>
      <c r="E264">
        <v>10</v>
      </c>
      <c r="F264">
        <v>9</v>
      </c>
      <c r="G264" s="10">
        <v>0.9</v>
      </c>
      <c r="H264" t="s">
        <v>46</v>
      </c>
      <c r="I264" t="s">
        <v>1957</v>
      </c>
      <c r="J264" t="s">
        <v>2804</v>
      </c>
      <c r="K264" t="s">
        <v>2805</v>
      </c>
      <c r="L264" s="11" t="s">
        <v>2806</v>
      </c>
    </row>
    <row r="265" spans="1:12">
      <c r="A265" t="s">
        <v>2807</v>
      </c>
      <c r="B265" s="8">
        <v>7.1109999999999998</v>
      </c>
      <c r="C265" s="9">
        <v>19</v>
      </c>
      <c r="D265">
        <v>7</v>
      </c>
      <c r="E265">
        <v>7</v>
      </c>
      <c r="F265">
        <v>7</v>
      </c>
      <c r="G265" s="10">
        <v>1</v>
      </c>
      <c r="H265" t="s">
        <v>46</v>
      </c>
      <c r="I265" t="s">
        <v>1957</v>
      </c>
      <c r="J265" t="s">
        <v>2808</v>
      </c>
      <c r="K265" t="s">
        <v>2809</v>
      </c>
      <c r="L265" s="11" t="s">
        <v>2808</v>
      </c>
    </row>
    <row r="266" spans="1:12">
      <c r="A266" t="s">
        <v>2810</v>
      </c>
      <c r="B266" s="8">
        <v>36.652000000000001</v>
      </c>
      <c r="C266" s="9">
        <v>126</v>
      </c>
      <c r="D266">
        <v>27</v>
      </c>
      <c r="E266">
        <v>24</v>
      </c>
      <c r="F266">
        <v>22</v>
      </c>
      <c r="G266" s="10">
        <v>0.81481481481481477</v>
      </c>
      <c r="H266" t="s">
        <v>46</v>
      </c>
      <c r="I266" t="s">
        <v>1957</v>
      </c>
      <c r="J266" t="s">
        <v>2811</v>
      </c>
      <c r="K266" t="s">
        <v>2812</v>
      </c>
      <c r="L266" s="11" t="s">
        <v>2813</v>
      </c>
    </row>
    <row r="267" spans="1:12">
      <c r="A267" t="s">
        <v>2814</v>
      </c>
      <c r="B267" s="8">
        <v>159.88900000000001</v>
      </c>
      <c r="C267" s="9">
        <v>409</v>
      </c>
      <c r="D267">
        <v>151</v>
      </c>
      <c r="E267">
        <v>126</v>
      </c>
      <c r="F267">
        <v>117</v>
      </c>
      <c r="G267" s="10">
        <v>0.77483443708609268</v>
      </c>
      <c r="H267" t="s">
        <v>46</v>
      </c>
      <c r="I267" t="s">
        <v>1957</v>
      </c>
      <c r="J267" t="s">
        <v>2815</v>
      </c>
      <c r="K267" t="s">
        <v>2816</v>
      </c>
      <c r="L267" s="11" t="s">
        <v>2817</v>
      </c>
    </row>
    <row r="268" spans="1:12">
      <c r="A268" t="s">
        <v>2818</v>
      </c>
      <c r="B268" s="8">
        <v>16.928999999999998</v>
      </c>
      <c r="C268" s="9">
        <v>17</v>
      </c>
      <c r="D268">
        <v>17</v>
      </c>
      <c r="E268">
        <v>15</v>
      </c>
      <c r="F268">
        <v>14</v>
      </c>
      <c r="G268" s="10">
        <v>0.82352941176470584</v>
      </c>
      <c r="H268" t="s">
        <v>46</v>
      </c>
      <c r="I268" t="s">
        <v>1957</v>
      </c>
      <c r="J268" t="s">
        <v>2819</v>
      </c>
      <c r="K268" t="s">
        <v>2820</v>
      </c>
      <c r="L268" s="11" t="s">
        <v>2821</v>
      </c>
    </row>
    <row r="269" spans="1:12">
      <c r="A269" t="s">
        <v>2822</v>
      </c>
      <c r="B269" s="8">
        <v>152.97999999999999</v>
      </c>
      <c r="C269" s="9">
        <v>60</v>
      </c>
      <c r="D269">
        <v>134</v>
      </c>
      <c r="E269">
        <v>111</v>
      </c>
      <c r="F269">
        <v>106</v>
      </c>
      <c r="G269" s="10">
        <v>0.79104477611940294</v>
      </c>
      <c r="H269" t="s">
        <v>46</v>
      </c>
      <c r="I269" t="s">
        <v>1957</v>
      </c>
      <c r="J269" t="s">
        <v>2823</v>
      </c>
      <c r="K269" t="s">
        <v>2824</v>
      </c>
      <c r="L269" s="11" t="s">
        <v>2825</v>
      </c>
    </row>
    <row r="270" spans="1:12">
      <c r="A270" t="s">
        <v>2826</v>
      </c>
      <c r="B270" s="8">
        <v>19.984999999999999</v>
      </c>
      <c r="C270" s="9">
        <v>108</v>
      </c>
      <c r="D270">
        <v>13</v>
      </c>
      <c r="E270">
        <v>13</v>
      </c>
      <c r="F270">
        <v>12</v>
      </c>
      <c r="G270" s="10">
        <v>0.92307692307692313</v>
      </c>
      <c r="H270" t="s">
        <v>46</v>
      </c>
      <c r="I270" t="s">
        <v>1957</v>
      </c>
      <c r="J270" t="s">
        <v>2827</v>
      </c>
      <c r="K270" t="s">
        <v>2828</v>
      </c>
      <c r="L270" s="11" t="s">
        <v>2829</v>
      </c>
    </row>
    <row r="271" spans="1:12">
      <c r="A271" t="s">
        <v>2830</v>
      </c>
      <c r="B271" s="8">
        <v>13.646000000000001</v>
      </c>
      <c r="C271" s="9">
        <v>18</v>
      </c>
      <c r="D271">
        <v>16</v>
      </c>
      <c r="E271">
        <v>16</v>
      </c>
      <c r="F271">
        <v>15</v>
      </c>
      <c r="G271" s="10">
        <v>0.9375</v>
      </c>
      <c r="H271" t="s">
        <v>46</v>
      </c>
      <c r="I271" t="s">
        <v>1957</v>
      </c>
      <c r="J271" t="s">
        <v>2831</v>
      </c>
      <c r="K271" t="s">
        <v>2832</v>
      </c>
      <c r="L271" s="11" t="s">
        <v>2833</v>
      </c>
    </row>
    <row r="272" spans="1:12">
      <c r="A272" t="s">
        <v>2834</v>
      </c>
      <c r="B272" s="8">
        <v>16.459</v>
      </c>
      <c r="C272" s="9">
        <v>106</v>
      </c>
      <c r="D272">
        <v>16</v>
      </c>
      <c r="E272">
        <v>16</v>
      </c>
      <c r="F272">
        <v>14</v>
      </c>
      <c r="G272" s="10">
        <v>0.875</v>
      </c>
      <c r="H272" t="s">
        <v>46</v>
      </c>
      <c r="I272" t="s">
        <v>1957</v>
      </c>
      <c r="J272" t="s">
        <v>2835</v>
      </c>
      <c r="K272" t="s">
        <v>2832</v>
      </c>
      <c r="L272" s="11" t="s">
        <v>2836</v>
      </c>
    </row>
    <row r="273" spans="1:12">
      <c r="A273" t="s">
        <v>2837</v>
      </c>
      <c r="B273" s="8">
        <v>3.9649999999999999</v>
      </c>
      <c r="C273" s="9">
        <v>9.1</v>
      </c>
      <c r="D273">
        <v>2</v>
      </c>
      <c r="E273">
        <v>2</v>
      </c>
      <c r="F273">
        <v>2</v>
      </c>
      <c r="G273" s="10">
        <v>1</v>
      </c>
      <c r="H273" t="s">
        <v>46</v>
      </c>
      <c r="I273" t="s">
        <v>1957</v>
      </c>
      <c r="J273" t="s">
        <v>2838</v>
      </c>
      <c r="K273" t="s">
        <v>2839</v>
      </c>
      <c r="L273" s="11" t="s">
        <v>2838</v>
      </c>
    </row>
    <row r="274" spans="1:12">
      <c r="A274" t="s">
        <v>2840</v>
      </c>
      <c r="B274" s="8">
        <v>2.7530000000000001</v>
      </c>
      <c r="C274" s="9">
        <v>140</v>
      </c>
      <c r="D274">
        <v>4</v>
      </c>
      <c r="E274">
        <v>4</v>
      </c>
      <c r="F274">
        <v>4</v>
      </c>
      <c r="G274" s="10">
        <v>1</v>
      </c>
      <c r="H274" t="s">
        <v>46</v>
      </c>
      <c r="I274" t="s">
        <v>1957</v>
      </c>
      <c r="J274" t="s">
        <v>2841</v>
      </c>
      <c r="K274" t="s">
        <v>2842</v>
      </c>
      <c r="L274" s="11" t="s">
        <v>2505</v>
      </c>
    </row>
    <row r="275" spans="1:12">
      <c r="A275" t="s">
        <v>2843</v>
      </c>
      <c r="B275" s="8">
        <v>6.5659999999999998</v>
      </c>
      <c r="C275" s="9">
        <v>186</v>
      </c>
      <c r="D275">
        <v>6</v>
      </c>
      <c r="E275">
        <v>6</v>
      </c>
      <c r="F275">
        <v>6</v>
      </c>
      <c r="G275" s="10">
        <v>1</v>
      </c>
      <c r="H275" t="s">
        <v>46</v>
      </c>
      <c r="I275" t="s">
        <v>1957</v>
      </c>
      <c r="J275" t="s">
        <v>2844</v>
      </c>
      <c r="K275" t="s">
        <v>683</v>
      </c>
      <c r="L275" s="11" t="s">
        <v>2497</v>
      </c>
    </row>
    <row r="276" spans="1:12">
      <c r="A276" t="s">
        <v>2845</v>
      </c>
      <c r="B276" s="8">
        <v>2.7759999999999998</v>
      </c>
      <c r="C276" s="9">
        <v>16</v>
      </c>
      <c r="D276">
        <v>6</v>
      </c>
      <c r="E276">
        <v>3</v>
      </c>
      <c r="F276">
        <v>5</v>
      </c>
      <c r="G276" s="10">
        <v>0.83333333333333337</v>
      </c>
      <c r="H276" t="s">
        <v>46</v>
      </c>
      <c r="I276" t="s">
        <v>1957</v>
      </c>
      <c r="J276" t="s">
        <v>2846</v>
      </c>
      <c r="K276" t="s">
        <v>683</v>
      </c>
      <c r="L276" s="11" t="s">
        <v>474</v>
      </c>
    </row>
    <row r="277" spans="1:12">
      <c r="A277" t="s">
        <v>2847</v>
      </c>
      <c r="B277" s="8">
        <v>4.1319999999999997</v>
      </c>
      <c r="C277" s="9">
        <v>11</v>
      </c>
      <c r="D277">
        <v>6</v>
      </c>
      <c r="E277">
        <v>3</v>
      </c>
      <c r="F277">
        <v>5</v>
      </c>
      <c r="G277" s="10">
        <v>0.83333333333333337</v>
      </c>
      <c r="H277" t="s">
        <v>46</v>
      </c>
      <c r="I277" t="s">
        <v>1957</v>
      </c>
      <c r="J277" t="s">
        <v>2848</v>
      </c>
      <c r="K277" t="s">
        <v>2849</v>
      </c>
      <c r="L277" s="11" t="s">
        <v>2850</v>
      </c>
    </row>
    <row r="278" spans="1:12">
      <c r="A278" t="s">
        <v>2851</v>
      </c>
      <c r="B278" s="8">
        <v>3.246</v>
      </c>
      <c r="C278" s="9">
        <v>10</v>
      </c>
      <c r="D278">
        <v>3</v>
      </c>
      <c r="E278">
        <v>3</v>
      </c>
      <c r="F278">
        <v>3</v>
      </c>
      <c r="G278" s="10">
        <v>1</v>
      </c>
      <c r="H278" t="s">
        <v>46</v>
      </c>
      <c r="I278" t="s">
        <v>1957</v>
      </c>
      <c r="J278" t="s">
        <v>2852</v>
      </c>
      <c r="K278" t="s">
        <v>689</v>
      </c>
      <c r="L278" s="11" t="s">
        <v>2853</v>
      </c>
    </row>
    <row r="279" spans="1:12">
      <c r="A279" t="s">
        <v>2854</v>
      </c>
      <c r="B279" s="8">
        <v>2.1589999999999998</v>
      </c>
      <c r="C279" s="9">
        <v>14</v>
      </c>
      <c r="D279">
        <v>1</v>
      </c>
      <c r="E279">
        <v>1</v>
      </c>
      <c r="F279">
        <v>1</v>
      </c>
      <c r="G279" s="10">
        <v>1</v>
      </c>
      <c r="H279" t="s">
        <v>46</v>
      </c>
      <c r="I279" t="s">
        <v>1957</v>
      </c>
      <c r="J279" t="s">
        <v>561</v>
      </c>
      <c r="K279" t="s">
        <v>689</v>
      </c>
      <c r="L279" s="11" t="s">
        <v>561</v>
      </c>
    </row>
    <row r="280" spans="1:12">
      <c r="A280" t="s">
        <v>2855</v>
      </c>
      <c r="B280" s="8">
        <v>6.1289999999999996</v>
      </c>
      <c r="C280" s="9">
        <v>734</v>
      </c>
      <c r="D280">
        <v>4</v>
      </c>
      <c r="E280">
        <v>3</v>
      </c>
      <c r="F280">
        <v>4</v>
      </c>
      <c r="G280" s="10">
        <v>1</v>
      </c>
      <c r="H280" t="s">
        <v>46</v>
      </c>
      <c r="I280" t="s">
        <v>1957</v>
      </c>
      <c r="J280" t="s">
        <v>2856</v>
      </c>
      <c r="K280" t="s">
        <v>2857</v>
      </c>
      <c r="L280" s="11" t="s">
        <v>2858</v>
      </c>
    </row>
    <row r="281" spans="1:12">
      <c r="A281" t="s">
        <v>2859</v>
      </c>
      <c r="B281" s="8">
        <v>2.7480000000000002</v>
      </c>
      <c r="C281" s="9">
        <v>11</v>
      </c>
      <c r="D281">
        <v>4</v>
      </c>
      <c r="E281">
        <v>4</v>
      </c>
      <c r="F281">
        <v>2</v>
      </c>
      <c r="G281" s="10">
        <v>0.5</v>
      </c>
      <c r="H281" t="s">
        <v>46</v>
      </c>
      <c r="I281" t="s">
        <v>1957</v>
      </c>
      <c r="J281" t="s">
        <v>2860</v>
      </c>
      <c r="K281" t="s">
        <v>2861</v>
      </c>
      <c r="L281" s="11" t="s">
        <v>694</v>
      </c>
    </row>
    <row r="282" spans="1:12">
      <c r="A282" t="s">
        <v>2862</v>
      </c>
      <c r="B282" s="8">
        <v>2.35</v>
      </c>
      <c r="C282" s="9">
        <v>1109</v>
      </c>
      <c r="D282">
        <v>3</v>
      </c>
      <c r="E282">
        <v>3</v>
      </c>
      <c r="F282">
        <v>3</v>
      </c>
      <c r="G282" s="10">
        <v>1</v>
      </c>
      <c r="H282" t="s">
        <v>46</v>
      </c>
      <c r="I282" t="s">
        <v>1957</v>
      </c>
      <c r="J282" t="s">
        <v>2863</v>
      </c>
      <c r="K282" t="s">
        <v>2864</v>
      </c>
      <c r="L282" s="11" t="s">
        <v>2865</v>
      </c>
    </row>
    <row r="283" spans="1:12">
      <c r="A283" t="s">
        <v>2866</v>
      </c>
      <c r="B283" s="8">
        <v>4.4880000000000004</v>
      </c>
      <c r="C283" s="9">
        <v>64</v>
      </c>
      <c r="D283">
        <v>2</v>
      </c>
      <c r="E283">
        <v>2</v>
      </c>
      <c r="F283">
        <v>2</v>
      </c>
      <c r="G283" s="10">
        <v>1</v>
      </c>
      <c r="H283" t="s">
        <v>46</v>
      </c>
      <c r="I283" t="s">
        <v>1957</v>
      </c>
      <c r="J283" t="s">
        <v>2867</v>
      </c>
      <c r="K283" t="s">
        <v>2868</v>
      </c>
      <c r="L283" s="11" t="s">
        <v>2869</v>
      </c>
    </row>
    <row r="284" spans="1:12">
      <c r="A284" t="s">
        <v>2870</v>
      </c>
      <c r="B284" s="8">
        <v>2.609</v>
      </c>
      <c r="C284" s="9">
        <v>11</v>
      </c>
      <c r="D284">
        <v>3</v>
      </c>
      <c r="E284">
        <v>3</v>
      </c>
      <c r="F284">
        <v>3</v>
      </c>
      <c r="G284" s="10">
        <v>1</v>
      </c>
      <c r="H284" t="s">
        <v>46</v>
      </c>
      <c r="I284" t="s">
        <v>1957</v>
      </c>
      <c r="J284" t="s">
        <v>2871</v>
      </c>
      <c r="K284" t="s">
        <v>2872</v>
      </c>
      <c r="L284" s="11" t="s">
        <v>719</v>
      </c>
    </row>
    <row r="285" spans="1:12">
      <c r="A285" t="s">
        <v>2873</v>
      </c>
      <c r="B285" s="8">
        <v>3.1</v>
      </c>
      <c r="C285" s="9">
        <v>57</v>
      </c>
      <c r="D285">
        <v>2</v>
      </c>
      <c r="E285">
        <v>2</v>
      </c>
      <c r="F285">
        <v>2</v>
      </c>
      <c r="G285" s="10">
        <v>1</v>
      </c>
      <c r="H285" t="s">
        <v>46</v>
      </c>
      <c r="I285" t="s">
        <v>1957</v>
      </c>
      <c r="J285" t="s">
        <v>2874</v>
      </c>
      <c r="K285" t="s">
        <v>2872</v>
      </c>
      <c r="L285" s="11" t="s">
        <v>2874</v>
      </c>
    </row>
    <row r="286" spans="1:12">
      <c r="A286" t="s">
        <v>2875</v>
      </c>
      <c r="B286" s="8">
        <v>2.9289999999999998</v>
      </c>
      <c r="C286" s="9">
        <v>14</v>
      </c>
      <c r="D286">
        <v>2</v>
      </c>
      <c r="E286">
        <v>2</v>
      </c>
      <c r="F286">
        <v>2</v>
      </c>
      <c r="G286" s="10">
        <v>1</v>
      </c>
      <c r="H286" t="s">
        <v>46</v>
      </c>
      <c r="I286" t="s">
        <v>1957</v>
      </c>
      <c r="J286" t="s">
        <v>2876</v>
      </c>
      <c r="K286" t="s">
        <v>2877</v>
      </c>
      <c r="L286" s="11" t="s">
        <v>2878</v>
      </c>
    </row>
    <row r="287" spans="1:12">
      <c r="A287" t="s">
        <v>2879</v>
      </c>
      <c r="B287" s="8">
        <v>4.0119999999999996</v>
      </c>
      <c r="C287" s="9">
        <v>22</v>
      </c>
      <c r="D287">
        <v>3</v>
      </c>
      <c r="E287">
        <v>3</v>
      </c>
      <c r="F287">
        <v>3</v>
      </c>
      <c r="G287" s="10">
        <v>1</v>
      </c>
      <c r="H287" t="s">
        <v>46</v>
      </c>
      <c r="I287" t="s">
        <v>1957</v>
      </c>
      <c r="J287" t="s">
        <v>2880</v>
      </c>
      <c r="K287" t="s">
        <v>715</v>
      </c>
      <c r="L287" s="11" t="s">
        <v>2880</v>
      </c>
    </row>
    <row r="288" spans="1:12">
      <c r="A288" t="s">
        <v>2881</v>
      </c>
      <c r="B288" s="8">
        <v>20.841999999999999</v>
      </c>
      <c r="C288" s="9">
        <v>60</v>
      </c>
      <c r="D288">
        <v>1</v>
      </c>
      <c r="E288">
        <v>1</v>
      </c>
      <c r="F288">
        <v>1</v>
      </c>
      <c r="G288" s="10">
        <v>1</v>
      </c>
      <c r="H288" t="s">
        <v>46</v>
      </c>
      <c r="I288" t="s">
        <v>1957</v>
      </c>
      <c r="J288" t="s">
        <v>435</v>
      </c>
      <c r="K288" t="s">
        <v>715</v>
      </c>
      <c r="L288" s="11" t="s">
        <v>435</v>
      </c>
    </row>
    <row r="289" spans="1:12">
      <c r="A289" t="s">
        <v>2882</v>
      </c>
      <c r="B289" s="8">
        <v>10.763999999999999</v>
      </c>
      <c r="C289" s="9">
        <v>50</v>
      </c>
      <c r="D289">
        <v>11</v>
      </c>
      <c r="E289">
        <v>10</v>
      </c>
      <c r="F289">
        <v>9</v>
      </c>
      <c r="G289" s="10">
        <v>0.81818181818181823</v>
      </c>
      <c r="H289" t="s">
        <v>46</v>
      </c>
      <c r="I289" t="s">
        <v>1957</v>
      </c>
      <c r="J289" t="s">
        <v>2883</v>
      </c>
      <c r="K289" t="s">
        <v>2884</v>
      </c>
      <c r="L289" s="11" t="s">
        <v>2885</v>
      </c>
    </row>
    <row r="290" spans="1:12">
      <c r="A290" t="s">
        <v>2886</v>
      </c>
      <c r="B290" s="8">
        <v>2.202</v>
      </c>
      <c r="C290" s="9">
        <v>178</v>
      </c>
      <c r="D290">
        <v>2</v>
      </c>
      <c r="E290">
        <v>2</v>
      </c>
      <c r="F290">
        <v>2</v>
      </c>
      <c r="G290" s="10">
        <v>1</v>
      </c>
      <c r="H290" t="s">
        <v>46</v>
      </c>
      <c r="I290" t="s">
        <v>1957</v>
      </c>
      <c r="J290" t="s">
        <v>2887</v>
      </c>
      <c r="K290" t="s">
        <v>2888</v>
      </c>
      <c r="L290" s="11" t="s">
        <v>435</v>
      </c>
    </row>
    <row r="291" spans="1:12">
      <c r="A291" t="s">
        <v>2889</v>
      </c>
      <c r="B291" s="8">
        <v>13.932</v>
      </c>
      <c r="C291" s="9">
        <v>136</v>
      </c>
      <c r="D291">
        <v>10</v>
      </c>
      <c r="E291">
        <v>8</v>
      </c>
      <c r="F291">
        <v>7</v>
      </c>
      <c r="G291" s="10">
        <v>0.7</v>
      </c>
      <c r="H291" t="s">
        <v>46</v>
      </c>
      <c r="I291" t="s">
        <v>1957</v>
      </c>
      <c r="J291" t="s">
        <v>2890</v>
      </c>
      <c r="K291" t="s">
        <v>2891</v>
      </c>
      <c r="L291" s="11" t="s">
        <v>2892</v>
      </c>
    </row>
    <row r="292" spans="1:12">
      <c r="A292" t="s">
        <v>2893</v>
      </c>
      <c r="B292" s="8">
        <v>9.1530000000000005</v>
      </c>
      <c r="C292" s="9">
        <v>49</v>
      </c>
      <c r="D292">
        <v>4</v>
      </c>
      <c r="E292">
        <v>4</v>
      </c>
      <c r="F292">
        <v>3</v>
      </c>
      <c r="G292" s="10">
        <v>0.75</v>
      </c>
      <c r="H292" t="s">
        <v>46</v>
      </c>
      <c r="I292" t="s">
        <v>1957</v>
      </c>
      <c r="J292" t="s">
        <v>2894</v>
      </c>
      <c r="K292" t="s">
        <v>2895</v>
      </c>
      <c r="L292" s="11" t="s">
        <v>2896</v>
      </c>
    </row>
    <row r="293" spans="1:12">
      <c r="A293" t="s">
        <v>2897</v>
      </c>
      <c r="B293" s="8">
        <v>2.8490000000000002</v>
      </c>
      <c r="C293" s="9">
        <v>19</v>
      </c>
      <c r="D293">
        <v>2</v>
      </c>
      <c r="E293">
        <v>2</v>
      </c>
      <c r="F293">
        <v>1</v>
      </c>
      <c r="G293" s="10">
        <v>0.5</v>
      </c>
      <c r="H293" t="s">
        <v>46</v>
      </c>
      <c r="I293" t="s">
        <v>1957</v>
      </c>
      <c r="J293" t="s">
        <v>2898</v>
      </c>
      <c r="K293" t="s">
        <v>2899</v>
      </c>
      <c r="L293" s="11" t="s">
        <v>727</v>
      </c>
    </row>
    <row r="294" spans="1:12">
      <c r="A294" t="s">
        <v>2900</v>
      </c>
      <c r="B294" s="8">
        <v>3.3340000000000001</v>
      </c>
      <c r="C294" s="9">
        <v>12</v>
      </c>
      <c r="D294">
        <v>1</v>
      </c>
      <c r="E294">
        <v>1</v>
      </c>
      <c r="F294">
        <v>1</v>
      </c>
      <c r="G294" s="10">
        <v>1</v>
      </c>
      <c r="H294" t="s">
        <v>46</v>
      </c>
      <c r="I294" t="s">
        <v>1957</v>
      </c>
      <c r="J294" t="s">
        <v>2901</v>
      </c>
      <c r="K294" t="s">
        <v>2902</v>
      </c>
      <c r="L294" s="11" t="s">
        <v>2901</v>
      </c>
    </row>
    <row r="295" spans="1:12">
      <c r="A295" t="s">
        <v>2903</v>
      </c>
      <c r="B295" s="8">
        <v>4.4720000000000004</v>
      </c>
      <c r="C295" s="9">
        <v>24</v>
      </c>
      <c r="D295">
        <v>5</v>
      </c>
      <c r="E295">
        <v>5</v>
      </c>
      <c r="F295">
        <v>5</v>
      </c>
      <c r="G295" s="10">
        <v>1</v>
      </c>
      <c r="H295" t="s">
        <v>46</v>
      </c>
      <c r="I295" t="s">
        <v>1957</v>
      </c>
      <c r="J295" t="s">
        <v>2904</v>
      </c>
      <c r="K295" t="s">
        <v>2905</v>
      </c>
      <c r="L295" s="11" t="s">
        <v>2906</v>
      </c>
    </row>
    <row r="296" spans="1:12">
      <c r="A296" t="s">
        <v>2907</v>
      </c>
      <c r="B296" s="8">
        <v>3.0760000000000001</v>
      </c>
      <c r="C296" s="9">
        <v>128</v>
      </c>
      <c r="D296">
        <v>3</v>
      </c>
      <c r="E296">
        <v>2</v>
      </c>
      <c r="F296">
        <v>2</v>
      </c>
      <c r="G296" s="10">
        <v>0.66666666666666663</v>
      </c>
      <c r="H296" t="s">
        <v>46</v>
      </c>
      <c r="I296" t="s">
        <v>1957</v>
      </c>
      <c r="J296" t="s">
        <v>2908</v>
      </c>
      <c r="K296" t="s">
        <v>734</v>
      </c>
      <c r="L296" s="11" t="s">
        <v>2908</v>
      </c>
    </row>
    <row r="297" spans="1:12">
      <c r="A297" t="s">
        <v>2909</v>
      </c>
      <c r="B297" s="8">
        <v>3.4089999999999998</v>
      </c>
      <c r="C297" s="9">
        <v>167</v>
      </c>
      <c r="D297">
        <v>3</v>
      </c>
      <c r="E297">
        <v>2</v>
      </c>
      <c r="F297">
        <v>2</v>
      </c>
      <c r="G297" s="10">
        <v>0.66666666666666663</v>
      </c>
      <c r="H297" t="s">
        <v>46</v>
      </c>
      <c r="I297" t="s">
        <v>1957</v>
      </c>
      <c r="J297" t="s">
        <v>2908</v>
      </c>
      <c r="K297" t="s">
        <v>734</v>
      </c>
      <c r="L297" s="11" t="s">
        <v>2505</v>
      </c>
    </row>
    <row r="298" spans="1:12">
      <c r="A298" t="s">
        <v>2910</v>
      </c>
      <c r="B298" s="8">
        <v>6.9089999999999998</v>
      </c>
      <c r="C298" s="9">
        <v>137</v>
      </c>
      <c r="D298">
        <v>6</v>
      </c>
      <c r="E298">
        <v>6</v>
      </c>
      <c r="F298">
        <v>6</v>
      </c>
      <c r="G298" s="10">
        <v>1</v>
      </c>
      <c r="H298" t="s">
        <v>46</v>
      </c>
      <c r="I298" t="s">
        <v>1957</v>
      </c>
      <c r="J298" t="s">
        <v>2911</v>
      </c>
      <c r="K298" t="s">
        <v>2912</v>
      </c>
      <c r="L298" s="11" t="s">
        <v>2913</v>
      </c>
    </row>
    <row r="299" spans="1:12">
      <c r="A299" t="s">
        <v>2914</v>
      </c>
      <c r="B299" s="8">
        <v>2.992</v>
      </c>
      <c r="C299" s="9">
        <v>15</v>
      </c>
      <c r="D299">
        <v>5</v>
      </c>
      <c r="E299">
        <v>5</v>
      </c>
      <c r="F299">
        <v>5</v>
      </c>
      <c r="G299" s="10">
        <v>1</v>
      </c>
      <c r="H299" t="s">
        <v>46</v>
      </c>
      <c r="I299" t="s">
        <v>1957</v>
      </c>
      <c r="J299" t="s">
        <v>2915</v>
      </c>
      <c r="K299" t="s">
        <v>2916</v>
      </c>
      <c r="L299" s="11" t="s">
        <v>2917</v>
      </c>
    </row>
    <row r="300" spans="1:12">
      <c r="A300" t="s">
        <v>2918</v>
      </c>
      <c r="B300" s="8">
        <v>2.9630000000000001</v>
      </c>
      <c r="C300" s="9">
        <v>6.8</v>
      </c>
      <c r="D300">
        <v>4</v>
      </c>
      <c r="E300">
        <v>2</v>
      </c>
      <c r="F300">
        <v>1</v>
      </c>
      <c r="G300" s="10">
        <v>0.25</v>
      </c>
      <c r="H300" t="s">
        <v>46</v>
      </c>
      <c r="I300" t="s">
        <v>1957</v>
      </c>
      <c r="J300" t="s">
        <v>2919</v>
      </c>
      <c r="K300" t="s">
        <v>2920</v>
      </c>
      <c r="L300" s="11" t="s">
        <v>415</v>
      </c>
    </row>
    <row r="301" spans="1:12">
      <c r="A301" t="s">
        <v>2921</v>
      </c>
      <c r="B301" s="8">
        <v>2.823</v>
      </c>
      <c r="C301" s="9">
        <v>15</v>
      </c>
      <c r="D301">
        <v>2</v>
      </c>
      <c r="E301">
        <v>1</v>
      </c>
      <c r="F301">
        <v>1</v>
      </c>
      <c r="G301" s="10">
        <v>0.5</v>
      </c>
      <c r="H301" t="s">
        <v>46</v>
      </c>
      <c r="I301" t="s">
        <v>1957</v>
      </c>
      <c r="J301" t="s">
        <v>2922</v>
      </c>
      <c r="K301" t="s">
        <v>2923</v>
      </c>
      <c r="L301" s="11" t="s">
        <v>2922</v>
      </c>
    </row>
    <row r="302" spans="1:12">
      <c r="A302" t="s">
        <v>2924</v>
      </c>
      <c r="B302" s="8">
        <v>3.0459999999999998</v>
      </c>
      <c r="C302" s="9">
        <v>11</v>
      </c>
      <c r="D302">
        <v>4</v>
      </c>
      <c r="E302">
        <v>2</v>
      </c>
      <c r="F302">
        <v>1</v>
      </c>
      <c r="G302" s="10">
        <v>0.25</v>
      </c>
      <c r="H302" t="s">
        <v>46</v>
      </c>
      <c r="I302" t="s">
        <v>1957</v>
      </c>
      <c r="J302" t="s">
        <v>2925</v>
      </c>
      <c r="K302" t="s">
        <v>2926</v>
      </c>
      <c r="L302" s="11" t="s">
        <v>2922</v>
      </c>
    </row>
    <row r="303" spans="1:12">
      <c r="A303" t="s">
        <v>2927</v>
      </c>
      <c r="B303" s="8">
        <v>6.4610000000000003</v>
      </c>
      <c r="C303" s="9">
        <v>17</v>
      </c>
      <c r="D303">
        <v>4</v>
      </c>
      <c r="E303">
        <v>4</v>
      </c>
      <c r="F303">
        <v>4</v>
      </c>
      <c r="G303" s="10">
        <v>1</v>
      </c>
      <c r="H303" t="s">
        <v>46</v>
      </c>
      <c r="I303" t="s">
        <v>1957</v>
      </c>
      <c r="J303" t="s">
        <v>2928</v>
      </c>
      <c r="K303" t="s">
        <v>748</v>
      </c>
      <c r="L303" s="11" t="s">
        <v>2928</v>
      </c>
    </row>
    <row r="304" spans="1:12">
      <c r="A304" t="s">
        <v>2929</v>
      </c>
      <c r="B304" s="8">
        <v>3.919</v>
      </c>
      <c r="C304" s="9">
        <v>10</v>
      </c>
      <c r="D304">
        <v>2</v>
      </c>
      <c r="E304">
        <v>2</v>
      </c>
      <c r="F304">
        <v>2</v>
      </c>
      <c r="G304" s="10">
        <v>1</v>
      </c>
      <c r="H304" t="s">
        <v>46</v>
      </c>
      <c r="I304" t="s">
        <v>1957</v>
      </c>
      <c r="J304" t="s">
        <v>2930</v>
      </c>
      <c r="K304" t="s">
        <v>748</v>
      </c>
      <c r="L304" s="11" t="s">
        <v>2930</v>
      </c>
    </row>
    <row r="305" spans="1:12">
      <c r="A305" t="s">
        <v>2931</v>
      </c>
      <c r="B305" s="8">
        <v>2.4510000000000001</v>
      </c>
      <c r="C305" s="9">
        <v>9.1</v>
      </c>
      <c r="D305">
        <v>1</v>
      </c>
      <c r="E305">
        <v>1</v>
      </c>
      <c r="F305">
        <v>1</v>
      </c>
      <c r="G305" s="10">
        <v>1</v>
      </c>
      <c r="H305" t="s">
        <v>46</v>
      </c>
      <c r="I305" t="s">
        <v>1957</v>
      </c>
      <c r="J305" t="s">
        <v>747</v>
      </c>
      <c r="K305" t="s">
        <v>748</v>
      </c>
      <c r="L305" s="11" t="s">
        <v>747</v>
      </c>
    </row>
    <row r="306" spans="1:12">
      <c r="A306" t="s">
        <v>2932</v>
      </c>
      <c r="B306" s="8">
        <v>2.8660000000000001</v>
      </c>
      <c r="C306" s="9">
        <v>12</v>
      </c>
      <c r="D306">
        <v>1</v>
      </c>
      <c r="E306">
        <v>1</v>
      </c>
      <c r="F306">
        <v>1</v>
      </c>
      <c r="G306" s="10">
        <v>1</v>
      </c>
      <c r="H306" t="s">
        <v>46</v>
      </c>
      <c r="I306" t="s">
        <v>1957</v>
      </c>
      <c r="J306" t="s">
        <v>747</v>
      </c>
      <c r="K306" t="s">
        <v>748</v>
      </c>
      <c r="L306" s="11" t="s">
        <v>747</v>
      </c>
    </row>
    <row r="307" spans="1:12">
      <c r="A307" t="s">
        <v>2933</v>
      </c>
      <c r="B307" s="8">
        <v>5.17</v>
      </c>
      <c r="C307" s="9">
        <v>14</v>
      </c>
      <c r="D307">
        <v>5</v>
      </c>
      <c r="E307">
        <v>5</v>
      </c>
      <c r="F307">
        <v>4</v>
      </c>
      <c r="G307" s="10">
        <v>0.8</v>
      </c>
      <c r="H307" t="s">
        <v>46</v>
      </c>
      <c r="I307" t="s">
        <v>1957</v>
      </c>
      <c r="J307" t="s">
        <v>2934</v>
      </c>
      <c r="K307" t="s">
        <v>2935</v>
      </c>
      <c r="L307" s="11" t="s">
        <v>2936</v>
      </c>
    </row>
    <row r="308" spans="1:12">
      <c r="A308" t="s">
        <v>2937</v>
      </c>
      <c r="B308" s="8">
        <v>2.9180000000000001</v>
      </c>
      <c r="C308" s="9">
        <v>14</v>
      </c>
      <c r="D308">
        <v>2</v>
      </c>
      <c r="E308">
        <v>2</v>
      </c>
      <c r="F308">
        <v>2</v>
      </c>
      <c r="G308" s="10">
        <v>1</v>
      </c>
      <c r="H308" t="s">
        <v>46</v>
      </c>
      <c r="I308" t="s">
        <v>1957</v>
      </c>
      <c r="J308" t="s">
        <v>2938</v>
      </c>
      <c r="K308" t="s">
        <v>2939</v>
      </c>
      <c r="L308" s="11" t="s">
        <v>2940</v>
      </c>
    </row>
    <row r="309" spans="1:12">
      <c r="A309" t="s">
        <v>2941</v>
      </c>
      <c r="B309" s="8">
        <v>3.9529999999999998</v>
      </c>
      <c r="C309" s="9">
        <v>10</v>
      </c>
      <c r="D309">
        <v>3</v>
      </c>
      <c r="E309">
        <v>3</v>
      </c>
      <c r="F309">
        <v>3</v>
      </c>
      <c r="G309" s="10">
        <v>1</v>
      </c>
      <c r="H309" t="s">
        <v>46</v>
      </c>
      <c r="I309" t="s">
        <v>1957</v>
      </c>
      <c r="J309" t="s">
        <v>2942</v>
      </c>
      <c r="K309" t="s">
        <v>2943</v>
      </c>
      <c r="L309" s="11" t="s">
        <v>2942</v>
      </c>
    </row>
    <row r="310" spans="1:12">
      <c r="A310" t="s">
        <v>2944</v>
      </c>
      <c r="B310" s="8">
        <v>6.0129999999999999</v>
      </c>
      <c r="C310" s="9">
        <v>13</v>
      </c>
      <c r="D310">
        <v>6</v>
      </c>
      <c r="E310">
        <v>6</v>
      </c>
      <c r="F310">
        <v>6</v>
      </c>
      <c r="G310" s="10">
        <v>1</v>
      </c>
      <c r="H310" t="s">
        <v>46</v>
      </c>
      <c r="I310" t="s">
        <v>1957</v>
      </c>
      <c r="J310" t="s">
        <v>2945</v>
      </c>
      <c r="K310" t="s">
        <v>2946</v>
      </c>
      <c r="L310" s="11" t="s">
        <v>2947</v>
      </c>
    </row>
    <row r="311" spans="1:12">
      <c r="A311" t="s">
        <v>2948</v>
      </c>
      <c r="B311" s="8">
        <v>2.0449999999999999</v>
      </c>
      <c r="C311" s="9">
        <v>111</v>
      </c>
      <c r="D311">
        <v>2</v>
      </c>
      <c r="E311">
        <v>2</v>
      </c>
      <c r="F311">
        <v>2</v>
      </c>
      <c r="G311" s="10">
        <v>1</v>
      </c>
      <c r="H311" t="s">
        <v>46</v>
      </c>
      <c r="I311" t="s">
        <v>1957</v>
      </c>
      <c r="J311" t="s">
        <v>2337</v>
      </c>
      <c r="K311" t="s">
        <v>2949</v>
      </c>
      <c r="L311" s="11" t="s">
        <v>2335</v>
      </c>
    </row>
    <row r="312" spans="1:12">
      <c r="A312" t="s">
        <v>2950</v>
      </c>
      <c r="B312" s="8">
        <v>34.761000000000003</v>
      </c>
      <c r="C312" s="9">
        <v>382</v>
      </c>
      <c r="D312">
        <v>26</v>
      </c>
      <c r="E312">
        <v>25</v>
      </c>
      <c r="F312">
        <v>19</v>
      </c>
      <c r="G312" s="10">
        <v>0.73076923076923073</v>
      </c>
      <c r="H312" t="s">
        <v>46</v>
      </c>
      <c r="I312" t="s">
        <v>1957</v>
      </c>
      <c r="J312" t="s">
        <v>2951</v>
      </c>
      <c r="K312" t="s">
        <v>2952</v>
      </c>
      <c r="L312" s="11" t="s">
        <v>2953</v>
      </c>
    </row>
    <row r="313" spans="1:12">
      <c r="A313" t="s">
        <v>2954</v>
      </c>
      <c r="B313" s="8">
        <v>2.1589999999999998</v>
      </c>
      <c r="C313" s="9">
        <v>15</v>
      </c>
      <c r="D313">
        <v>2</v>
      </c>
      <c r="E313">
        <v>2</v>
      </c>
      <c r="F313">
        <v>2</v>
      </c>
      <c r="G313" s="10">
        <v>1</v>
      </c>
      <c r="H313" t="s">
        <v>46</v>
      </c>
      <c r="I313" t="s">
        <v>1957</v>
      </c>
      <c r="J313" t="s">
        <v>2955</v>
      </c>
      <c r="K313" t="s">
        <v>2956</v>
      </c>
      <c r="L313" s="11" t="s">
        <v>2955</v>
      </c>
    </row>
    <row r="314" spans="1:12">
      <c r="A314" t="s">
        <v>2957</v>
      </c>
      <c r="B314" s="8">
        <v>2.5089999999999999</v>
      </c>
      <c r="C314" s="9">
        <v>18</v>
      </c>
      <c r="D314">
        <v>1</v>
      </c>
      <c r="E314">
        <v>1</v>
      </c>
      <c r="F314">
        <v>1</v>
      </c>
      <c r="G314" s="10">
        <v>1</v>
      </c>
      <c r="H314" t="s">
        <v>46</v>
      </c>
      <c r="I314" t="s">
        <v>1957</v>
      </c>
      <c r="J314" t="s">
        <v>2958</v>
      </c>
      <c r="K314" t="s">
        <v>2959</v>
      </c>
      <c r="L314" s="11" t="s">
        <v>2958</v>
      </c>
    </row>
    <row r="315" spans="1:12">
      <c r="A315" t="s">
        <v>2960</v>
      </c>
      <c r="B315" s="8">
        <v>33.720999999999997</v>
      </c>
      <c r="C315" s="9">
        <v>35</v>
      </c>
      <c r="D315">
        <v>33</v>
      </c>
      <c r="E315">
        <v>33</v>
      </c>
      <c r="F315">
        <v>31</v>
      </c>
      <c r="G315" s="10">
        <v>0.93939393939393945</v>
      </c>
      <c r="H315" t="s">
        <v>46</v>
      </c>
      <c r="I315" t="s">
        <v>1957</v>
      </c>
      <c r="J315" t="s">
        <v>2961</v>
      </c>
      <c r="K315" t="s">
        <v>2962</v>
      </c>
      <c r="L315" s="11" t="s">
        <v>2963</v>
      </c>
    </row>
    <row r="316" spans="1:12">
      <c r="A316" t="s">
        <v>2964</v>
      </c>
      <c r="B316" s="8">
        <v>14.641</v>
      </c>
      <c r="C316" s="9">
        <v>27</v>
      </c>
      <c r="D316">
        <v>12</v>
      </c>
      <c r="E316">
        <v>12</v>
      </c>
      <c r="F316">
        <v>12</v>
      </c>
      <c r="G316" s="10">
        <v>1</v>
      </c>
      <c r="H316" t="s">
        <v>46</v>
      </c>
      <c r="I316" t="s">
        <v>1957</v>
      </c>
      <c r="J316" t="s">
        <v>2965</v>
      </c>
      <c r="K316" t="s">
        <v>2966</v>
      </c>
      <c r="L316" s="11" t="s">
        <v>2967</v>
      </c>
    </row>
    <row r="317" spans="1:12">
      <c r="A317" t="s">
        <v>2968</v>
      </c>
      <c r="B317" s="8">
        <v>29.591000000000001</v>
      </c>
      <c r="C317" s="9">
        <v>37</v>
      </c>
      <c r="D317">
        <v>25</v>
      </c>
      <c r="E317">
        <v>25</v>
      </c>
      <c r="F317">
        <v>24</v>
      </c>
      <c r="G317" s="10">
        <v>0.96</v>
      </c>
      <c r="H317" t="s">
        <v>46</v>
      </c>
      <c r="I317" t="s">
        <v>1957</v>
      </c>
      <c r="J317" t="s">
        <v>2969</v>
      </c>
      <c r="K317" t="s">
        <v>2970</v>
      </c>
      <c r="L317" s="11" t="s">
        <v>2971</v>
      </c>
    </row>
    <row r="318" spans="1:12">
      <c r="A318" t="s">
        <v>2972</v>
      </c>
      <c r="B318" s="8">
        <v>2.4359999999999999</v>
      </c>
      <c r="C318" s="9">
        <v>9.1</v>
      </c>
      <c r="D318">
        <v>1</v>
      </c>
      <c r="E318">
        <v>1</v>
      </c>
      <c r="F318">
        <v>1</v>
      </c>
      <c r="G318" s="10">
        <v>1</v>
      </c>
      <c r="H318" t="s">
        <v>46</v>
      </c>
      <c r="I318" t="s">
        <v>1957</v>
      </c>
      <c r="J318" t="s">
        <v>2463</v>
      </c>
      <c r="K318" t="s">
        <v>2973</v>
      </c>
      <c r="L318" s="11" t="s">
        <v>2463</v>
      </c>
    </row>
    <row r="319" spans="1:12">
      <c r="A319" t="s">
        <v>2974</v>
      </c>
      <c r="B319" s="8">
        <v>2.8069999999999999</v>
      </c>
      <c r="C319" s="9">
        <v>32</v>
      </c>
      <c r="D319">
        <v>3</v>
      </c>
      <c r="E319">
        <v>3</v>
      </c>
      <c r="F319">
        <v>3</v>
      </c>
      <c r="G319" s="10">
        <v>1</v>
      </c>
      <c r="H319" t="s">
        <v>46</v>
      </c>
      <c r="I319" t="s">
        <v>1957</v>
      </c>
      <c r="J319" t="s">
        <v>2975</v>
      </c>
      <c r="K319" t="s">
        <v>2976</v>
      </c>
      <c r="L319" s="11" t="s">
        <v>2975</v>
      </c>
    </row>
    <row r="320" spans="1:12">
      <c r="A320" t="s">
        <v>2977</v>
      </c>
      <c r="B320" s="8">
        <v>2.13</v>
      </c>
      <c r="C320" s="9">
        <v>16</v>
      </c>
      <c r="D320">
        <v>2</v>
      </c>
      <c r="E320">
        <v>2</v>
      </c>
      <c r="F320">
        <v>2</v>
      </c>
      <c r="G320" s="10">
        <v>1</v>
      </c>
      <c r="H320" t="s">
        <v>46</v>
      </c>
      <c r="I320" t="s">
        <v>1957</v>
      </c>
      <c r="J320" t="s">
        <v>2978</v>
      </c>
      <c r="K320" t="s">
        <v>2976</v>
      </c>
      <c r="L320" s="11" t="s">
        <v>2978</v>
      </c>
    </row>
    <row r="321" spans="1:12">
      <c r="A321" t="s">
        <v>2979</v>
      </c>
      <c r="B321" s="8">
        <v>3.2730000000000001</v>
      </c>
      <c r="C321" s="9">
        <v>35</v>
      </c>
      <c r="D321">
        <v>2</v>
      </c>
      <c r="E321">
        <v>2</v>
      </c>
      <c r="F321">
        <v>2</v>
      </c>
      <c r="G321" s="10">
        <v>1</v>
      </c>
      <c r="H321" t="s">
        <v>46</v>
      </c>
      <c r="I321" t="s">
        <v>1957</v>
      </c>
      <c r="J321" t="s">
        <v>2980</v>
      </c>
      <c r="K321" t="s">
        <v>2976</v>
      </c>
      <c r="L321" s="11" t="s">
        <v>2981</v>
      </c>
    </row>
    <row r="322" spans="1:12">
      <c r="A322" t="s">
        <v>2982</v>
      </c>
      <c r="B322" s="8">
        <v>20.43</v>
      </c>
      <c r="C322" s="9">
        <v>24</v>
      </c>
      <c r="D322">
        <v>21</v>
      </c>
      <c r="E322">
        <v>21</v>
      </c>
      <c r="F322">
        <v>20</v>
      </c>
      <c r="G322" s="10">
        <v>0.95238095238095233</v>
      </c>
      <c r="H322" t="s">
        <v>46</v>
      </c>
      <c r="I322" t="s">
        <v>1957</v>
      </c>
      <c r="J322" t="s">
        <v>2983</v>
      </c>
      <c r="K322" t="s">
        <v>2984</v>
      </c>
      <c r="L322" s="11" t="s">
        <v>2985</v>
      </c>
    </row>
    <row r="323" spans="1:12">
      <c r="A323" t="s">
        <v>2986</v>
      </c>
      <c r="B323" s="8">
        <v>5.9610000000000003</v>
      </c>
      <c r="C323" s="9">
        <v>15</v>
      </c>
      <c r="D323">
        <v>5</v>
      </c>
      <c r="E323">
        <v>5</v>
      </c>
      <c r="F323">
        <v>5</v>
      </c>
      <c r="G323" s="10">
        <v>1</v>
      </c>
      <c r="H323" t="s">
        <v>46</v>
      </c>
      <c r="I323" t="s">
        <v>1957</v>
      </c>
      <c r="J323" t="s">
        <v>2987</v>
      </c>
      <c r="K323" t="s">
        <v>2988</v>
      </c>
      <c r="L323" s="11" t="s">
        <v>2987</v>
      </c>
    </row>
    <row r="324" spans="1:12">
      <c r="A324" t="s">
        <v>2989</v>
      </c>
      <c r="B324" s="8">
        <v>7.3579999999999997</v>
      </c>
      <c r="C324" s="9">
        <v>33</v>
      </c>
      <c r="D324">
        <v>7</v>
      </c>
      <c r="E324">
        <v>7</v>
      </c>
      <c r="F324">
        <v>7</v>
      </c>
      <c r="G324" s="10">
        <v>1</v>
      </c>
      <c r="H324" t="s">
        <v>46</v>
      </c>
      <c r="I324" t="s">
        <v>1957</v>
      </c>
      <c r="J324" t="s">
        <v>2990</v>
      </c>
      <c r="K324" t="s">
        <v>2991</v>
      </c>
      <c r="L324" s="11" t="s">
        <v>2990</v>
      </c>
    </row>
    <row r="325" spans="1:12">
      <c r="A325" t="s">
        <v>2992</v>
      </c>
      <c r="B325" s="8">
        <v>34.277000000000001</v>
      </c>
      <c r="C325" s="9">
        <v>41</v>
      </c>
      <c r="D325">
        <v>31</v>
      </c>
      <c r="E325">
        <v>30</v>
      </c>
      <c r="F325">
        <v>29</v>
      </c>
      <c r="G325" s="10">
        <v>0.93548387096774188</v>
      </c>
      <c r="H325" t="s">
        <v>46</v>
      </c>
      <c r="I325" t="s">
        <v>1957</v>
      </c>
      <c r="J325" t="s">
        <v>2993</v>
      </c>
      <c r="K325" t="s">
        <v>2994</v>
      </c>
      <c r="L325" s="11" t="s">
        <v>2995</v>
      </c>
    </row>
    <row r="326" spans="1:12">
      <c r="A326" t="s">
        <v>2996</v>
      </c>
      <c r="B326" s="8">
        <v>14.976000000000001</v>
      </c>
      <c r="C326" s="9">
        <v>22</v>
      </c>
      <c r="D326">
        <v>16</v>
      </c>
      <c r="E326">
        <v>16</v>
      </c>
      <c r="F326">
        <v>16</v>
      </c>
      <c r="G326" s="10">
        <v>1</v>
      </c>
      <c r="H326" t="s">
        <v>46</v>
      </c>
      <c r="I326" t="s">
        <v>1957</v>
      </c>
      <c r="J326" t="s">
        <v>2997</v>
      </c>
      <c r="K326" t="s">
        <v>2998</v>
      </c>
      <c r="L326" s="11" t="s">
        <v>2999</v>
      </c>
    </row>
    <row r="327" spans="1:12">
      <c r="A327" t="s">
        <v>3000</v>
      </c>
      <c r="B327" s="8">
        <v>7.2320000000000002</v>
      </c>
      <c r="C327" s="9">
        <v>25</v>
      </c>
      <c r="D327">
        <v>10</v>
      </c>
      <c r="E327">
        <v>10</v>
      </c>
      <c r="F327">
        <v>10</v>
      </c>
      <c r="G327" s="10">
        <v>1</v>
      </c>
      <c r="H327" t="s">
        <v>46</v>
      </c>
      <c r="I327" t="s">
        <v>1957</v>
      </c>
      <c r="J327" t="s">
        <v>3001</v>
      </c>
      <c r="K327" t="s">
        <v>3002</v>
      </c>
      <c r="L327" s="11" t="s">
        <v>3001</v>
      </c>
    </row>
    <row r="328" spans="1:12">
      <c r="A328" t="s">
        <v>3003</v>
      </c>
      <c r="B328" s="8">
        <v>2.387</v>
      </c>
      <c r="C328" s="9">
        <v>10</v>
      </c>
      <c r="D328">
        <v>2</v>
      </c>
      <c r="E328">
        <v>2</v>
      </c>
      <c r="F328">
        <v>2</v>
      </c>
      <c r="G328" s="10">
        <v>1</v>
      </c>
      <c r="H328" t="s">
        <v>46</v>
      </c>
      <c r="I328" t="s">
        <v>1957</v>
      </c>
      <c r="J328" t="s">
        <v>3004</v>
      </c>
      <c r="K328" t="s">
        <v>3005</v>
      </c>
      <c r="L328" s="11" t="s">
        <v>3004</v>
      </c>
    </row>
    <row r="329" spans="1:12">
      <c r="A329" t="s">
        <v>3006</v>
      </c>
      <c r="B329" s="8">
        <v>3.1909999999999998</v>
      </c>
      <c r="C329" s="9">
        <v>11</v>
      </c>
      <c r="D329">
        <v>2</v>
      </c>
      <c r="E329">
        <v>2</v>
      </c>
      <c r="F329">
        <v>2</v>
      </c>
      <c r="G329" s="10">
        <v>1</v>
      </c>
      <c r="H329" t="s">
        <v>46</v>
      </c>
      <c r="I329" t="s">
        <v>1957</v>
      </c>
      <c r="J329" t="s">
        <v>3007</v>
      </c>
      <c r="K329" t="s">
        <v>3005</v>
      </c>
      <c r="L329" s="11" t="s">
        <v>3007</v>
      </c>
    </row>
    <row r="330" spans="1:12">
      <c r="A330" t="s">
        <v>3008</v>
      </c>
      <c r="B330" s="8">
        <v>2.0680000000000001</v>
      </c>
      <c r="C330" s="9">
        <v>6</v>
      </c>
      <c r="D330">
        <v>1</v>
      </c>
      <c r="E330">
        <v>1</v>
      </c>
      <c r="F330">
        <v>1</v>
      </c>
      <c r="G330" s="10">
        <v>1</v>
      </c>
      <c r="H330" t="s">
        <v>46</v>
      </c>
      <c r="I330" t="s">
        <v>1957</v>
      </c>
      <c r="J330" t="s">
        <v>3009</v>
      </c>
      <c r="K330" t="s">
        <v>3010</v>
      </c>
      <c r="L330" s="11" t="s">
        <v>3009</v>
      </c>
    </row>
    <row r="331" spans="1:12">
      <c r="A331" t="s">
        <v>3011</v>
      </c>
      <c r="B331" s="8">
        <v>2.649</v>
      </c>
      <c r="C331" s="9">
        <v>17</v>
      </c>
      <c r="D331">
        <v>1</v>
      </c>
      <c r="E331">
        <v>1</v>
      </c>
      <c r="F331">
        <v>1</v>
      </c>
      <c r="G331" s="10">
        <v>1</v>
      </c>
      <c r="H331" t="s">
        <v>46</v>
      </c>
      <c r="I331" t="s">
        <v>1957</v>
      </c>
      <c r="J331" t="s">
        <v>3009</v>
      </c>
      <c r="K331" t="s">
        <v>3010</v>
      </c>
      <c r="L331" s="11" t="s">
        <v>3009</v>
      </c>
    </row>
    <row r="332" spans="1:12">
      <c r="A332" t="s">
        <v>3012</v>
      </c>
      <c r="B332" s="8">
        <v>28.786999999999999</v>
      </c>
      <c r="C332" s="9">
        <v>28</v>
      </c>
      <c r="D332">
        <v>26</v>
      </c>
      <c r="E332">
        <v>26</v>
      </c>
      <c r="F332">
        <v>26</v>
      </c>
      <c r="G332" s="10">
        <v>1</v>
      </c>
      <c r="H332" t="s">
        <v>46</v>
      </c>
      <c r="I332" t="s">
        <v>1957</v>
      </c>
      <c r="J332" t="s">
        <v>3013</v>
      </c>
      <c r="K332" t="s">
        <v>3014</v>
      </c>
      <c r="L332" s="11" t="s">
        <v>3013</v>
      </c>
    </row>
    <row r="333" spans="1:12">
      <c r="A333" t="s">
        <v>3015</v>
      </c>
      <c r="B333" s="8">
        <v>3.1160000000000001</v>
      </c>
      <c r="C333" s="9">
        <v>19</v>
      </c>
      <c r="D333">
        <v>2</v>
      </c>
      <c r="E333">
        <v>2</v>
      </c>
      <c r="F333">
        <v>2</v>
      </c>
      <c r="G333" s="10">
        <v>1</v>
      </c>
      <c r="H333" t="s">
        <v>46</v>
      </c>
      <c r="I333" t="s">
        <v>1957</v>
      </c>
      <c r="J333" t="s">
        <v>3016</v>
      </c>
      <c r="K333" t="s">
        <v>3017</v>
      </c>
      <c r="L333" s="11" t="s">
        <v>3018</v>
      </c>
    </row>
    <row r="334" spans="1:12">
      <c r="A334" t="s">
        <v>3019</v>
      </c>
      <c r="B334" s="8">
        <v>5.9749999999999996</v>
      </c>
      <c r="C334" s="9">
        <v>24</v>
      </c>
      <c r="D334">
        <v>4</v>
      </c>
      <c r="E334">
        <v>4</v>
      </c>
      <c r="F334">
        <v>4</v>
      </c>
      <c r="G334" s="10">
        <v>1</v>
      </c>
      <c r="H334" t="s">
        <v>46</v>
      </c>
      <c r="I334" t="s">
        <v>1957</v>
      </c>
      <c r="J334" t="s">
        <v>3020</v>
      </c>
      <c r="K334" t="s">
        <v>3021</v>
      </c>
      <c r="L334" s="11" t="s">
        <v>3020</v>
      </c>
    </row>
    <row r="335" spans="1:12">
      <c r="A335" t="s">
        <v>3022</v>
      </c>
      <c r="B335" s="8">
        <v>2.1909999999999998</v>
      </c>
      <c r="C335" s="9">
        <v>19</v>
      </c>
      <c r="D335">
        <v>1</v>
      </c>
      <c r="E335">
        <v>1</v>
      </c>
      <c r="F335">
        <v>1</v>
      </c>
      <c r="G335" s="10">
        <v>1</v>
      </c>
      <c r="H335" t="s">
        <v>46</v>
      </c>
      <c r="I335" t="s">
        <v>1957</v>
      </c>
      <c r="J335" t="s">
        <v>3023</v>
      </c>
      <c r="K335" t="s">
        <v>3024</v>
      </c>
      <c r="L335" s="11" t="s">
        <v>3023</v>
      </c>
    </row>
    <row r="336" spans="1:12">
      <c r="A336" t="s">
        <v>3025</v>
      </c>
      <c r="B336" s="8">
        <v>6.8140000000000001</v>
      </c>
      <c r="C336" s="9">
        <v>25</v>
      </c>
      <c r="D336">
        <v>5</v>
      </c>
      <c r="E336">
        <v>5</v>
      </c>
      <c r="F336">
        <v>4</v>
      </c>
      <c r="G336" s="10">
        <v>0.8</v>
      </c>
      <c r="H336" t="s">
        <v>46</v>
      </c>
      <c r="I336" t="s">
        <v>1957</v>
      </c>
      <c r="J336" t="s">
        <v>3026</v>
      </c>
      <c r="K336" t="s">
        <v>3027</v>
      </c>
      <c r="L336" s="11" t="s">
        <v>3028</v>
      </c>
    </row>
    <row r="337" spans="1:12">
      <c r="A337" t="s">
        <v>3029</v>
      </c>
      <c r="B337" s="8">
        <v>2.3740000000000001</v>
      </c>
      <c r="C337" s="9">
        <v>56</v>
      </c>
      <c r="D337">
        <v>2</v>
      </c>
      <c r="E337">
        <v>2</v>
      </c>
      <c r="F337">
        <v>1</v>
      </c>
      <c r="G337" s="10">
        <v>0.5</v>
      </c>
      <c r="H337" t="s">
        <v>46</v>
      </c>
      <c r="I337" t="s">
        <v>1957</v>
      </c>
      <c r="J337" t="s">
        <v>3030</v>
      </c>
      <c r="K337" t="s">
        <v>3031</v>
      </c>
      <c r="L337" s="11" t="s">
        <v>3023</v>
      </c>
    </row>
    <row r="338" spans="1:12">
      <c r="A338" t="s">
        <v>3032</v>
      </c>
      <c r="B338" s="8">
        <v>10.76</v>
      </c>
      <c r="C338" s="9">
        <v>29</v>
      </c>
      <c r="D338">
        <v>12</v>
      </c>
      <c r="E338">
        <v>12</v>
      </c>
      <c r="F338">
        <v>12</v>
      </c>
      <c r="G338" s="10">
        <v>1</v>
      </c>
      <c r="H338" t="s">
        <v>46</v>
      </c>
      <c r="I338" t="s">
        <v>1957</v>
      </c>
      <c r="J338" t="s">
        <v>3033</v>
      </c>
      <c r="K338" t="s">
        <v>3034</v>
      </c>
      <c r="L338" s="11" t="s">
        <v>3035</v>
      </c>
    </row>
    <row r="339" spans="1:12">
      <c r="A339" t="s">
        <v>3036</v>
      </c>
      <c r="B339" s="8">
        <v>7.5940000000000003</v>
      </c>
      <c r="C339" s="9">
        <v>31</v>
      </c>
      <c r="D339">
        <v>8</v>
      </c>
      <c r="E339">
        <v>8</v>
      </c>
      <c r="F339">
        <v>8</v>
      </c>
      <c r="G339" s="10">
        <v>1</v>
      </c>
      <c r="H339" t="s">
        <v>46</v>
      </c>
      <c r="I339" t="s">
        <v>1957</v>
      </c>
      <c r="J339" t="s">
        <v>3037</v>
      </c>
      <c r="K339" t="s">
        <v>3034</v>
      </c>
      <c r="L339" s="11" t="s">
        <v>3037</v>
      </c>
    </row>
    <row r="340" spans="1:12">
      <c r="A340" t="s">
        <v>3038</v>
      </c>
      <c r="B340" s="8">
        <v>8.1489999999999991</v>
      </c>
      <c r="C340" s="9">
        <v>12</v>
      </c>
      <c r="D340">
        <v>5</v>
      </c>
      <c r="E340">
        <v>5</v>
      </c>
      <c r="F340">
        <v>5</v>
      </c>
      <c r="G340" s="10">
        <v>1</v>
      </c>
      <c r="H340" t="s">
        <v>46</v>
      </c>
      <c r="I340" t="s">
        <v>1957</v>
      </c>
      <c r="J340" t="s">
        <v>3039</v>
      </c>
      <c r="K340" t="s">
        <v>3034</v>
      </c>
      <c r="L340" s="11" t="s">
        <v>3039</v>
      </c>
    </row>
    <row r="341" spans="1:12">
      <c r="A341" t="s">
        <v>3040</v>
      </c>
      <c r="B341" s="8">
        <v>2.3340000000000001</v>
      </c>
      <c r="C341" s="9">
        <v>34</v>
      </c>
      <c r="D341">
        <v>3</v>
      </c>
      <c r="E341">
        <v>3</v>
      </c>
      <c r="F341">
        <v>3</v>
      </c>
      <c r="G341" s="10">
        <v>1</v>
      </c>
      <c r="H341" t="s">
        <v>46</v>
      </c>
      <c r="I341" t="s">
        <v>1957</v>
      </c>
      <c r="J341" t="s">
        <v>3041</v>
      </c>
      <c r="K341" t="s">
        <v>3042</v>
      </c>
      <c r="L341" s="11" t="s">
        <v>3041</v>
      </c>
    </row>
    <row r="342" spans="1:12">
      <c r="A342" t="s">
        <v>3043</v>
      </c>
      <c r="B342" s="8">
        <v>2.3130000000000002</v>
      </c>
      <c r="C342" s="9">
        <v>264</v>
      </c>
      <c r="D342">
        <v>1</v>
      </c>
      <c r="E342">
        <v>1</v>
      </c>
      <c r="F342">
        <v>1</v>
      </c>
      <c r="G342" s="10">
        <v>1</v>
      </c>
      <c r="H342" t="s">
        <v>46</v>
      </c>
      <c r="I342" t="s">
        <v>1957</v>
      </c>
      <c r="J342" t="s">
        <v>3044</v>
      </c>
      <c r="K342" t="s">
        <v>3045</v>
      </c>
      <c r="L342" s="11" t="s">
        <v>3044</v>
      </c>
    </row>
    <row r="343" spans="1:12">
      <c r="A343" t="s">
        <v>3046</v>
      </c>
      <c r="B343" s="8">
        <v>2.2109999999999999</v>
      </c>
      <c r="C343" s="9">
        <v>31</v>
      </c>
      <c r="D343">
        <v>2</v>
      </c>
      <c r="E343">
        <v>2</v>
      </c>
      <c r="F343">
        <v>2</v>
      </c>
      <c r="G343" s="10">
        <v>1</v>
      </c>
      <c r="H343" t="s">
        <v>46</v>
      </c>
      <c r="I343" t="s">
        <v>1957</v>
      </c>
      <c r="J343" t="s">
        <v>822</v>
      </c>
      <c r="K343" t="s">
        <v>823</v>
      </c>
      <c r="L343" s="11" t="s">
        <v>3047</v>
      </c>
    </row>
    <row r="344" spans="1:12">
      <c r="A344" t="s">
        <v>3048</v>
      </c>
      <c r="B344" s="8">
        <v>2.3879999999999999</v>
      </c>
      <c r="C344" s="9">
        <v>214</v>
      </c>
      <c r="D344">
        <v>1</v>
      </c>
      <c r="E344">
        <v>1</v>
      </c>
      <c r="F344">
        <v>1</v>
      </c>
      <c r="G344" s="10">
        <v>1</v>
      </c>
      <c r="H344" t="s">
        <v>46</v>
      </c>
      <c r="I344" t="s">
        <v>1957</v>
      </c>
      <c r="J344" t="s">
        <v>2644</v>
      </c>
      <c r="K344" t="s">
        <v>823</v>
      </c>
      <c r="L344" s="11" t="s">
        <v>2644</v>
      </c>
    </row>
    <row r="345" spans="1:12">
      <c r="A345" t="s">
        <v>3049</v>
      </c>
      <c r="B345" s="8">
        <v>7.1479999999999997</v>
      </c>
      <c r="C345" s="9">
        <v>65</v>
      </c>
      <c r="D345">
        <v>5</v>
      </c>
      <c r="E345">
        <v>5</v>
      </c>
      <c r="F345">
        <v>4</v>
      </c>
      <c r="G345" s="10">
        <v>0.8</v>
      </c>
      <c r="H345" t="s">
        <v>46</v>
      </c>
      <c r="I345" t="s">
        <v>1957</v>
      </c>
      <c r="J345" t="s">
        <v>3050</v>
      </c>
      <c r="K345" t="s">
        <v>3051</v>
      </c>
      <c r="L345" s="11" t="s">
        <v>3052</v>
      </c>
    </row>
    <row r="346" spans="1:12">
      <c r="A346" t="s">
        <v>3053</v>
      </c>
      <c r="B346" s="8">
        <v>2.06</v>
      </c>
      <c r="C346" s="9">
        <v>599</v>
      </c>
      <c r="D346">
        <v>2</v>
      </c>
      <c r="E346">
        <v>1</v>
      </c>
      <c r="F346">
        <v>1</v>
      </c>
      <c r="G346" s="10">
        <v>0.5</v>
      </c>
      <c r="H346" t="s">
        <v>46</v>
      </c>
      <c r="I346" t="s">
        <v>1957</v>
      </c>
      <c r="J346" t="s">
        <v>3054</v>
      </c>
      <c r="K346" t="s">
        <v>3055</v>
      </c>
      <c r="L346" s="11" t="s">
        <v>3054</v>
      </c>
    </row>
    <row r="347" spans="1:12">
      <c r="A347" t="s">
        <v>3056</v>
      </c>
      <c r="B347" s="8">
        <v>3.4380000000000002</v>
      </c>
      <c r="C347" s="9">
        <v>35</v>
      </c>
      <c r="D347">
        <v>2</v>
      </c>
      <c r="E347">
        <v>2</v>
      </c>
      <c r="F347">
        <v>2</v>
      </c>
      <c r="G347" s="10">
        <v>1</v>
      </c>
      <c r="H347" t="s">
        <v>46</v>
      </c>
      <c r="I347" t="s">
        <v>1957</v>
      </c>
      <c r="J347" t="s">
        <v>3057</v>
      </c>
      <c r="K347" t="s">
        <v>3058</v>
      </c>
      <c r="L347" s="11" t="s">
        <v>3054</v>
      </c>
    </row>
    <row r="348" spans="1:12">
      <c r="A348" t="s">
        <v>3059</v>
      </c>
      <c r="B348" s="8">
        <v>38.183</v>
      </c>
      <c r="C348" s="9">
        <v>831</v>
      </c>
      <c r="D348">
        <v>36</v>
      </c>
      <c r="E348">
        <v>36</v>
      </c>
      <c r="F348">
        <v>28</v>
      </c>
      <c r="G348" s="10">
        <v>0.77777777777777779</v>
      </c>
      <c r="H348" t="s">
        <v>46</v>
      </c>
      <c r="I348" t="s">
        <v>1957</v>
      </c>
      <c r="J348" t="s">
        <v>3060</v>
      </c>
      <c r="K348" t="s">
        <v>3061</v>
      </c>
      <c r="L348" s="11" t="s">
        <v>3062</v>
      </c>
    </row>
    <row r="349" spans="1:12">
      <c r="A349" t="s">
        <v>3063</v>
      </c>
      <c r="B349" s="8">
        <v>2.8130000000000002</v>
      </c>
      <c r="C349" s="9">
        <v>485</v>
      </c>
      <c r="D349">
        <v>1</v>
      </c>
      <c r="E349">
        <v>1</v>
      </c>
      <c r="F349">
        <v>1</v>
      </c>
      <c r="G349" s="10">
        <v>1</v>
      </c>
      <c r="H349" t="s">
        <v>46</v>
      </c>
      <c r="I349" t="s">
        <v>1957</v>
      </c>
      <c r="J349" t="s">
        <v>837</v>
      </c>
      <c r="K349" t="s">
        <v>838</v>
      </c>
      <c r="L349" s="11" t="s">
        <v>837</v>
      </c>
    </row>
    <row r="350" spans="1:12">
      <c r="A350" t="s">
        <v>3064</v>
      </c>
      <c r="B350" s="8">
        <v>2.694</v>
      </c>
      <c r="C350" s="9">
        <v>44</v>
      </c>
      <c r="D350">
        <v>3</v>
      </c>
      <c r="E350">
        <v>3</v>
      </c>
      <c r="F350">
        <v>3</v>
      </c>
      <c r="G350" s="10">
        <v>1</v>
      </c>
      <c r="H350" t="s">
        <v>46</v>
      </c>
      <c r="I350" t="s">
        <v>1957</v>
      </c>
      <c r="J350" t="s">
        <v>3065</v>
      </c>
      <c r="K350" t="s">
        <v>3066</v>
      </c>
      <c r="L350" s="11" t="s">
        <v>3067</v>
      </c>
    </row>
    <row r="351" spans="1:12">
      <c r="A351" t="s">
        <v>3068</v>
      </c>
      <c r="B351" s="8">
        <v>2.2669999999999999</v>
      </c>
      <c r="C351" s="9">
        <v>29</v>
      </c>
      <c r="D351">
        <v>3</v>
      </c>
      <c r="E351">
        <v>3</v>
      </c>
      <c r="F351">
        <v>3</v>
      </c>
      <c r="G351" s="10">
        <v>1</v>
      </c>
      <c r="H351" t="s">
        <v>46</v>
      </c>
      <c r="I351" t="s">
        <v>1957</v>
      </c>
      <c r="J351" t="s">
        <v>3069</v>
      </c>
      <c r="K351" t="s">
        <v>3070</v>
      </c>
      <c r="L351" s="11" t="s">
        <v>3071</v>
      </c>
    </row>
    <row r="352" spans="1:12">
      <c r="A352" t="s">
        <v>3072</v>
      </c>
      <c r="B352" s="8">
        <v>2.8210000000000002</v>
      </c>
      <c r="C352" s="9">
        <v>198</v>
      </c>
      <c r="D352">
        <v>3</v>
      </c>
      <c r="E352">
        <v>2</v>
      </c>
      <c r="F352">
        <v>2</v>
      </c>
      <c r="G352" s="10">
        <v>0.66666666666666663</v>
      </c>
      <c r="H352" t="s">
        <v>46</v>
      </c>
      <c r="I352" t="s">
        <v>1957</v>
      </c>
      <c r="J352" t="s">
        <v>3073</v>
      </c>
      <c r="K352" t="s">
        <v>3074</v>
      </c>
      <c r="L352" s="11" t="s">
        <v>3075</v>
      </c>
    </row>
    <row r="353" spans="1:12">
      <c r="A353" t="s">
        <v>3076</v>
      </c>
      <c r="B353" s="8">
        <v>3.6339999999999999</v>
      </c>
      <c r="C353" s="9">
        <v>57</v>
      </c>
      <c r="D353">
        <v>3</v>
      </c>
      <c r="E353">
        <v>2</v>
      </c>
      <c r="F353">
        <v>2</v>
      </c>
      <c r="G353" s="10">
        <v>0.66666666666666663</v>
      </c>
      <c r="H353" t="s">
        <v>46</v>
      </c>
      <c r="I353" t="s">
        <v>1957</v>
      </c>
      <c r="J353" t="s">
        <v>3077</v>
      </c>
      <c r="K353" t="s">
        <v>3078</v>
      </c>
      <c r="L353" s="11" t="s">
        <v>3079</v>
      </c>
    </row>
    <row r="354" spans="1:12">
      <c r="A354" t="s">
        <v>3080</v>
      </c>
      <c r="B354" s="8">
        <v>3.0510000000000002</v>
      </c>
      <c r="C354" s="9">
        <v>251</v>
      </c>
      <c r="D354">
        <v>5</v>
      </c>
      <c r="E354">
        <v>3</v>
      </c>
      <c r="F354">
        <v>3</v>
      </c>
      <c r="G354" s="10">
        <v>0.6</v>
      </c>
      <c r="H354" t="s">
        <v>46</v>
      </c>
      <c r="I354" t="s">
        <v>1957</v>
      </c>
      <c r="J354" t="s">
        <v>3081</v>
      </c>
      <c r="K354" t="s">
        <v>3082</v>
      </c>
      <c r="L354" s="11" t="s">
        <v>3083</v>
      </c>
    </row>
    <row r="355" spans="1:12">
      <c r="A355" t="s">
        <v>3084</v>
      </c>
      <c r="B355" s="8">
        <v>2.91</v>
      </c>
      <c r="C355" s="9">
        <v>9.3000000000000007</v>
      </c>
      <c r="D355">
        <v>2</v>
      </c>
      <c r="E355">
        <v>2</v>
      </c>
      <c r="F355">
        <v>2</v>
      </c>
      <c r="G355" s="10">
        <v>1</v>
      </c>
      <c r="H355" t="s">
        <v>46</v>
      </c>
      <c r="I355" t="s">
        <v>1957</v>
      </c>
      <c r="J355" t="s">
        <v>3085</v>
      </c>
      <c r="K355" t="s">
        <v>3086</v>
      </c>
      <c r="L355" s="11" t="s">
        <v>3085</v>
      </c>
    </row>
    <row r="356" spans="1:12">
      <c r="A356" t="s">
        <v>3087</v>
      </c>
      <c r="B356" s="8">
        <v>3.1459999999999999</v>
      </c>
      <c r="C356" s="9">
        <v>31</v>
      </c>
      <c r="D356">
        <v>3</v>
      </c>
      <c r="E356">
        <v>3</v>
      </c>
      <c r="F356">
        <v>3</v>
      </c>
      <c r="G356" s="10">
        <v>1</v>
      </c>
      <c r="H356" t="s">
        <v>46</v>
      </c>
      <c r="I356" t="s">
        <v>1957</v>
      </c>
      <c r="J356" t="s">
        <v>3088</v>
      </c>
      <c r="K356" t="s">
        <v>3089</v>
      </c>
      <c r="L356" s="11" t="s">
        <v>2211</v>
      </c>
    </row>
    <row r="357" spans="1:12">
      <c r="A357" t="s">
        <v>3090</v>
      </c>
      <c r="B357" s="8">
        <v>13.692</v>
      </c>
      <c r="C357" s="9">
        <v>18</v>
      </c>
      <c r="D357">
        <v>13</v>
      </c>
      <c r="E357">
        <v>12</v>
      </c>
      <c r="F357">
        <v>12</v>
      </c>
      <c r="G357" s="10">
        <v>0.92307692307692313</v>
      </c>
      <c r="H357" t="s">
        <v>46</v>
      </c>
      <c r="I357" t="s">
        <v>1957</v>
      </c>
      <c r="J357" t="s">
        <v>3091</v>
      </c>
      <c r="K357" t="s">
        <v>3092</v>
      </c>
      <c r="L357" s="11" t="s">
        <v>3093</v>
      </c>
    </row>
    <row r="358" spans="1:12">
      <c r="A358" t="s">
        <v>3094</v>
      </c>
      <c r="B358" s="8">
        <v>3.3050000000000002</v>
      </c>
      <c r="C358" s="9">
        <v>98</v>
      </c>
      <c r="D358">
        <v>3</v>
      </c>
      <c r="E358">
        <v>3</v>
      </c>
      <c r="F358">
        <v>3</v>
      </c>
      <c r="G358" s="10">
        <v>1</v>
      </c>
      <c r="H358" t="s">
        <v>46</v>
      </c>
      <c r="I358" t="s">
        <v>1957</v>
      </c>
      <c r="J358" t="s">
        <v>3095</v>
      </c>
      <c r="K358" t="s">
        <v>3096</v>
      </c>
      <c r="L358" s="11" t="s">
        <v>3097</v>
      </c>
    </row>
    <row r="359" spans="1:12">
      <c r="A359" t="s">
        <v>3098</v>
      </c>
      <c r="B359" s="8">
        <v>3.56</v>
      </c>
      <c r="C359" s="9">
        <v>62</v>
      </c>
      <c r="D359">
        <v>1</v>
      </c>
      <c r="E359">
        <v>1</v>
      </c>
      <c r="F359">
        <v>1</v>
      </c>
      <c r="G359" s="10">
        <v>1</v>
      </c>
      <c r="H359" t="s">
        <v>46</v>
      </c>
      <c r="I359" t="s">
        <v>1957</v>
      </c>
      <c r="J359" t="s">
        <v>3099</v>
      </c>
      <c r="K359" t="s">
        <v>3100</v>
      </c>
      <c r="L359" s="11" t="s">
        <v>3099</v>
      </c>
    </row>
    <row r="360" spans="1:12">
      <c r="A360" t="s">
        <v>3101</v>
      </c>
      <c r="B360" s="8">
        <v>2.0920000000000001</v>
      </c>
      <c r="C360" s="9">
        <v>13</v>
      </c>
      <c r="D360">
        <v>1</v>
      </c>
      <c r="E360">
        <v>1</v>
      </c>
      <c r="F360">
        <v>1</v>
      </c>
      <c r="G360" s="10">
        <v>1</v>
      </c>
      <c r="H360" t="s">
        <v>46</v>
      </c>
      <c r="I360" t="s">
        <v>1957</v>
      </c>
      <c r="J360" t="s">
        <v>3102</v>
      </c>
      <c r="K360" t="s">
        <v>3103</v>
      </c>
      <c r="L360" s="11" t="s">
        <v>3102</v>
      </c>
    </row>
    <row r="361" spans="1:12">
      <c r="A361" t="s">
        <v>3104</v>
      </c>
      <c r="B361" s="8">
        <v>2.2389999999999999</v>
      </c>
      <c r="C361" s="9">
        <v>11</v>
      </c>
      <c r="D361">
        <v>1</v>
      </c>
      <c r="E361">
        <v>1</v>
      </c>
      <c r="F361">
        <v>1</v>
      </c>
      <c r="G361" s="10">
        <v>1</v>
      </c>
      <c r="H361" t="s">
        <v>46</v>
      </c>
      <c r="I361" t="s">
        <v>1957</v>
      </c>
      <c r="J361" t="s">
        <v>3105</v>
      </c>
      <c r="K361" t="s">
        <v>3106</v>
      </c>
      <c r="L361" s="11" t="s">
        <v>3105</v>
      </c>
    </row>
    <row r="362" spans="1:12">
      <c r="A362" t="s">
        <v>3107</v>
      </c>
      <c r="B362" s="8">
        <v>2.0089999999999999</v>
      </c>
      <c r="C362" s="9">
        <v>20</v>
      </c>
      <c r="D362">
        <v>1</v>
      </c>
      <c r="E362">
        <v>1</v>
      </c>
      <c r="F362">
        <v>1</v>
      </c>
      <c r="G362" s="10">
        <v>1</v>
      </c>
      <c r="H362" t="s">
        <v>46</v>
      </c>
      <c r="I362" t="s">
        <v>1957</v>
      </c>
      <c r="J362" t="s">
        <v>3108</v>
      </c>
      <c r="K362" t="s">
        <v>3109</v>
      </c>
      <c r="L362" s="11" t="s">
        <v>3108</v>
      </c>
    </row>
    <row r="363" spans="1:12">
      <c r="A363" t="s">
        <v>3110</v>
      </c>
      <c r="B363" s="8">
        <v>2.492</v>
      </c>
      <c r="C363" s="9">
        <v>16</v>
      </c>
      <c r="D363">
        <v>2</v>
      </c>
      <c r="E363">
        <v>2</v>
      </c>
      <c r="F363">
        <v>1</v>
      </c>
      <c r="G363" s="10">
        <v>0.5</v>
      </c>
      <c r="H363" t="s">
        <v>46</v>
      </c>
      <c r="I363" t="s">
        <v>1957</v>
      </c>
      <c r="J363" t="s">
        <v>3111</v>
      </c>
      <c r="K363" t="s">
        <v>3112</v>
      </c>
      <c r="L363" s="11" t="s">
        <v>3113</v>
      </c>
    </row>
    <row r="364" spans="1:12">
      <c r="A364" t="s">
        <v>3114</v>
      </c>
      <c r="B364" s="8">
        <v>4.3940000000000001</v>
      </c>
      <c r="C364" s="9">
        <v>368</v>
      </c>
      <c r="D364">
        <v>2</v>
      </c>
      <c r="E364">
        <v>2</v>
      </c>
      <c r="F364">
        <v>1</v>
      </c>
      <c r="G364" s="10">
        <v>0.5</v>
      </c>
      <c r="H364" t="s">
        <v>46</v>
      </c>
      <c r="I364" t="s">
        <v>1957</v>
      </c>
      <c r="J364" t="s">
        <v>3115</v>
      </c>
      <c r="K364" t="s">
        <v>3116</v>
      </c>
      <c r="L364" s="11" t="s">
        <v>3113</v>
      </c>
    </row>
    <row r="365" spans="1:12">
      <c r="A365" t="s">
        <v>3117</v>
      </c>
      <c r="B365" s="8">
        <v>3.238</v>
      </c>
      <c r="C365" s="9">
        <v>12</v>
      </c>
      <c r="D365">
        <v>4</v>
      </c>
      <c r="E365">
        <v>3</v>
      </c>
      <c r="F365">
        <v>2</v>
      </c>
      <c r="G365" s="10">
        <v>0.5</v>
      </c>
      <c r="H365" t="s">
        <v>46</v>
      </c>
      <c r="I365" t="s">
        <v>1957</v>
      </c>
      <c r="J365" t="s">
        <v>3118</v>
      </c>
      <c r="K365" t="s">
        <v>3119</v>
      </c>
      <c r="L365" s="11" t="s">
        <v>3120</v>
      </c>
    </row>
    <row r="366" spans="1:12">
      <c r="A366" t="s">
        <v>3121</v>
      </c>
      <c r="B366" s="8">
        <v>4.2160000000000002</v>
      </c>
      <c r="C366" s="9">
        <v>20</v>
      </c>
      <c r="D366">
        <v>3</v>
      </c>
      <c r="E366">
        <v>3</v>
      </c>
      <c r="F366">
        <v>2</v>
      </c>
      <c r="G366" s="10">
        <v>0.66666666666666663</v>
      </c>
      <c r="H366" t="s">
        <v>46</v>
      </c>
      <c r="I366" t="s">
        <v>1957</v>
      </c>
      <c r="J366" t="s">
        <v>3122</v>
      </c>
      <c r="K366" t="s">
        <v>3123</v>
      </c>
      <c r="L366" s="11" t="s">
        <v>3124</v>
      </c>
    </row>
    <row r="367" spans="1:12">
      <c r="A367" t="s">
        <v>3125</v>
      </c>
      <c r="B367" s="8">
        <v>2.5910000000000002</v>
      </c>
      <c r="C367" s="9">
        <v>15</v>
      </c>
      <c r="D367">
        <v>2</v>
      </c>
      <c r="E367">
        <v>2</v>
      </c>
      <c r="F367">
        <v>2</v>
      </c>
      <c r="G367" s="10">
        <v>1</v>
      </c>
      <c r="H367" t="s">
        <v>46</v>
      </c>
      <c r="I367" t="s">
        <v>1957</v>
      </c>
      <c r="J367" t="s">
        <v>3126</v>
      </c>
      <c r="K367" t="s">
        <v>3127</v>
      </c>
      <c r="L367" s="11" t="s">
        <v>3128</v>
      </c>
    </row>
    <row r="368" spans="1:12">
      <c r="A368" t="s">
        <v>3129</v>
      </c>
      <c r="B368" s="8">
        <v>3.1640000000000001</v>
      </c>
      <c r="C368" s="9">
        <v>1006</v>
      </c>
      <c r="D368">
        <v>5</v>
      </c>
      <c r="E368">
        <v>5</v>
      </c>
      <c r="F368">
        <v>5</v>
      </c>
      <c r="G368" s="10">
        <v>1</v>
      </c>
      <c r="H368" t="s">
        <v>46</v>
      </c>
      <c r="I368" t="s">
        <v>1957</v>
      </c>
      <c r="J368" t="s">
        <v>3130</v>
      </c>
      <c r="K368" t="s">
        <v>3131</v>
      </c>
      <c r="L368" s="11" t="s">
        <v>3132</v>
      </c>
    </row>
    <row r="369" spans="1:12">
      <c r="A369" t="s">
        <v>3133</v>
      </c>
      <c r="B369" s="8">
        <v>2.0699999999999998</v>
      </c>
      <c r="C369" s="9">
        <v>7.2</v>
      </c>
      <c r="D369">
        <v>1</v>
      </c>
      <c r="E369">
        <v>1</v>
      </c>
      <c r="F369">
        <v>1</v>
      </c>
      <c r="G369" s="10">
        <v>1</v>
      </c>
      <c r="H369" t="s">
        <v>46</v>
      </c>
      <c r="I369" t="s">
        <v>1957</v>
      </c>
      <c r="J369" t="s">
        <v>3134</v>
      </c>
      <c r="K369" t="s">
        <v>3135</v>
      </c>
      <c r="L369" s="11" t="s">
        <v>3134</v>
      </c>
    </row>
    <row r="370" spans="1:12">
      <c r="A370" t="s">
        <v>3136</v>
      </c>
      <c r="B370" s="8">
        <v>6.532</v>
      </c>
      <c r="C370" s="9">
        <v>1161</v>
      </c>
      <c r="D370">
        <v>5</v>
      </c>
      <c r="E370">
        <v>5</v>
      </c>
      <c r="F370">
        <v>5</v>
      </c>
      <c r="G370" s="10">
        <v>1</v>
      </c>
      <c r="H370" t="s">
        <v>46</v>
      </c>
      <c r="I370" t="s">
        <v>1957</v>
      </c>
      <c r="J370" t="s">
        <v>3137</v>
      </c>
      <c r="K370" t="s">
        <v>3138</v>
      </c>
      <c r="L370" s="11" t="s">
        <v>3139</v>
      </c>
    </row>
    <row r="371" spans="1:12">
      <c r="A371" t="s">
        <v>3140</v>
      </c>
      <c r="B371" s="8">
        <v>3.3290000000000002</v>
      </c>
      <c r="C371" s="9">
        <v>202</v>
      </c>
      <c r="D371">
        <v>2</v>
      </c>
      <c r="E371">
        <v>2</v>
      </c>
      <c r="F371">
        <v>2</v>
      </c>
      <c r="G371" s="10">
        <v>1</v>
      </c>
      <c r="H371" t="s">
        <v>46</v>
      </c>
      <c r="I371" t="s">
        <v>1957</v>
      </c>
      <c r="J371" t="s">
        <v>3141</v>
      </c>
      <c r="K371" t="s">
        <v>3142</v>
      </c>
      <c r="L371" s="11" t="s">
        <v>3143</v>
      </c>
    </row>
    <row r="372" spans="1:12">
      <c r="A372" t="s">
        <v>3144</v>
      </c>
      <c r="B372" s="8">
        <v>5.8650000000000002</v>
      </c>
      <c r="C372" s="9">
        <v>1025</v>
      </c>
      <c r="D372">
        <v>6</v>
      </c>
      <c r="E372">
        <v>6</v>
      </c>
      <c r="F372">
        <v>6</v>
      </c>
      <c r="G372" s="10">
        <v>1</v>
      </c>
      <c r="H372" t="s">
        <v>46</v>
      </c>
      <c r="I372" t="s">
        <v>1957</v>
      </c>
      <c r="J372" t="s">
        <v>3145</v>
      </c>
      <c r="K372" t="s">
        <v>3146</v>
      </c>
      <c r="L372" s="11" t="s">
        <v>3147</v>
      </c>
    </row>
    <row r="373" spans="1:12">
      <c r="A373" t="s">
        <v>3148</v>
      </c>
      <c r="B373" s="8">
        <v>3.1850000000000001</v>
      </c>
      <c r="C373" s="9">
        <v>61</v>
      </c>
      <c r="D373">
        <v>1</v>
      </c>
      <c r="E373">
        <v>1</v>
      </c>
      <c r="F373">
        <v>1</v>
      </c>
      <c r="G373" s="10">
        <v>1</v>
      </c>
      <c r="H373" t="s">
        <v>46</v>
      </c>
      <c r="I373" t="s">
        <v>1957</v>
      </c>
      <c r="J373" t="s">
        <v>3149</v>
      </c>
      <c r="K373" t="s">
        <v>3150</v>
      </c>
      <c r="L373" s="11" t="s">
        <v>3149</v>
      </c>
    </row>
    <row r="374" spans="1:12">
      <c r="A374" t="s">
        <v>3151</v>
      </c>
      <c r="B374" s="8">
        <v>2.7650000000000001</v>
      </c>
      <c r="C374" s="9">
        <v>21</v>
      </c>
      <c r="D374">
        <v>2</v>
      </c>
      <c r="E374">
        <v>2</v>
      </c>
      <c r="F374">
        <v>2</v>
      </c>
      <c r="G374" s="10">
        <v>1</v>
      </c>
      <c r="H374" t="s">
        <v>46</v>
      </c>
      <c r="I374" t="s">
        <v>1957</v>
      </c>
      <c r="J374" t="s">
        <v>3152</v>
      </c>
      <c r="K374" t="s">
        <v>3153</v>
      </c>
      <c r="L374" s="11" t="s">
        <v>3152</v>
      </c>
    </row>
    <row r="375" spans="1:12">
      <c r="A375" t="s">
        <v>3154</v>
      </c>
      <c r="B375" s="8">
        <v>2.3250000000000002</v>
      </c>
      <c r="C375" s="9">
        <v>109</v>
      </c>
      <c r="D375">
        <v>4</v>
      </c>
      <c r="E375">
        <v>4</v>
      </c>
      <c r="F375">
        <v>4</v>
      </c>
      <c r="G375" s="10">
        <v>1</v>
      </c>
      <c r="H375" t="s">
        <v>46</v>
      </c>
      <c r="I375" t="s">
        <v>1957</v>
      </c>
      <c r="J375" t="s">
        <v>3155</v>
      </c>
      <c r="K375" t="s">
        <v>3156</v>
      </c>
      <c r="L375" s="11" t="s">
        <v>3157</v>
      </c>
    </row>
    <row r="376" spans="1:12">
      <c r="A376" t="s">
        <v>3158</v>
      </c>
      <c r="B376" s="8">
        <v>7.8840000000000003</v>
      </c>
      <c r="C376" s="9">
        <v>127</v>
      </c>
      <c r="D376">
        <v>11</v>
      </c>
      <c r="E376">
        <v>11</v>
      </c>
      <c r="F376">
        <v>11</v>
      </c>
      <c r="G376" s="10">
        <v>1</v>
      </c>
      <c r="H376" t="s">
        <v>46</v>
      </c>
      <c r="I376" t="s">
        <v>1957</v>
      </c>
      <c r="J376" t="s">
        <v>3159</v>
      </c>
      <c r="K376" t="s">
        <v>3160</v>
      </c>
      <c r="L376" s="11" t="s">
        <v>3161</v>
      </c>
    </row>
    <row r="377" spans="1:12">
      <c r="A377" t="s">
        <v>3162</v>
      </c>
      <c r="B377" s="8">
        <v>2.0779999999999998</v>
      </c>
      <c r="C377" s="9">
        <v>58</v>
      </c>
      <c r="D377">
        <v>1</v>
      </c>
      <c r="E377">
        <v>1</v>
      </c>
      <c r="F377">
        <v>1</v>
      </c>
      <c r="G377" s="10">
        <v>1</v>
      </c>
      <c r="H377" t="s">
        <v>46</v>
      </c>
      <c r="I377" t="s">
        <v>1957</v>
      </c>
      <c r="J377" t="s">
        <v>3163</v>
      </c>
      <c r="K377" t="s">
        <v>3164</v>
      </c>
      <c r="L377" s="11" t="s">
        <v>3163</v>
      </c>
    </row>
    <row r="378" spans="1:12">
      <c r="A378" t="s">
        <v>3165</v>
      </c>
      <c r="B378" s="8">
        <v>3.5179999999999998</v>
      </c>
      <c r="C378" s="9">
        <v>23</v>
      </c>
      <c r="D378">
        <v>2</v>
      </c>
      <c r="E378">
        <v>2</v>
      </c>
      <c r="F378">
        <v>2</v>
      </c>
      <c r="G378" s="10">
        <v>1</v>
      </c>
      <c r="H378" t="s">
        <v>46</v>
      </c>
      <c r="I378" t="s">
        <v>1957</v>
      </c>
      <c r="J378" t="s">
        <v>3166</v>
      </c>
      <c r="K378" t="s">
        <v>3167</v>
      </c>
      <c r="L378" s="11" t="s">
        <v>3168</v>
      </c>
    </row>
    <row r="379" spans="1:12">
      <c r="A379" t="s">
        <v>3169</v>
      </c>
      <c r="B379" s="8">
        <v>6.4260000000000002</v>
      </c>
      <c r="C379" s="9">
        <v>20</v>
      </c>
      <c r="D379">
        <v>2</v>
      </c>
      <c r="E379">
        <v>2</v>
      </c>
      <c r="F379">
        <v>2</v>
      </c>
      <c r="G379" s="10">
        <v>1</v>
      </c>
      <c r="H379" t="s">
        <v>46</v>
      </c>
      <c r="I379" t="s">
        <v>1957</v>
      </c>
      <c r="J379" t="s">
        <v>3166</v>
      </c>
      <c r="K379" t="s">
        <v>3167</v>
      </c>
      <c r="L379" s="11" t="s">
        <v>3170</v>
      </c>
    </row>
    <row r="380" spans="1:12">
      <c r="A380" t="s">
        <v>3171</v>
      </c>
      <c r="B380" s="8">
        <v>3.0449999999999999</v>
      </c>
      <c r="C380" s="9">
        <v>30</v>
      </c>
      <c r="D380">
        <v>2</v>
      </c>
      <c r="E380">
        <v>2</v>
      </c>
      <c r="F380">
        <v>2</v>
      </c>
      <c r="G380" s="10">
        <v>1</v>
      </c>
      <c r="H380" t="s">
        <v>46</v>
      </c>
      <c r="I380" t="s">
        <v>1957</v>
      </c>
      <c r="J380" t="s">
        <v>3172</v>
      </c>
      <c r="K380" t="s">
        <v>3173</v>
      </c>
      <c r="L380" s="11" t="s">
        <v>3174</v>
      </c>
    </row>
    <row r="381" spans="1:12">
      <c r="A381" t="s">
        <v>3175</v>
      </c>
      <c r="B381" s="8">
        <v>3.875</v>
      </c>
      <c r="C381" s="9">
        <v>27</v>
      </c>
      <c r="D381">
        <v>2</v>
      </c>
      <c r="E381">
        <v>2</v>
      </c>
      <c r="F381">
        <v>2</v>
      </c>
      <c r="G381" s="10">
        <v>1</v>
      </c>
      <c r="H381" t="s">
        <v>46</v>
      </c>
      <c r="I381" t="s">
        <v>1957</v>
      </c>
      <c r="J381" t="s">
        <v>3172</v>
      </c>
      <c r="K381" t="s">
        <v>3173</v>
      </c>
      <c r="L381" s="11" t="s">
        <v>3176</v>
      </c>
    </row>
    <row r="382" spans="1:12">
      <c r="A382" t="s">
        <v>3177</v>
      </c>
      <c r="B382" s="8">
        <v>2.0099999999999998</v>
      </c>
      <c r="C382" s="9">
        <v>102</v>
      </c>
      <c r="D382">
        <v>1</v>
      </c>
      <c r="E382">
        <v>1</v>
      </c>
      <c r="F382">
        <v>1</v>
      </c>
      <c r="G382" s="10">
        <v>1</v>
      </c>
      <c r="H382" t="s">
        <v>46</v>
      </c>
      <c r="I382" t="s">
        <v>1957</v>
      </c>
      <c r="J382" t="s">
        <v>3178</v>
      </c>
      <c r="K382" t="s">
        <v>3173</v>
      </c>
      <c r="L382" s="11" t="s">
        <v>3178</v>
      </c>
    </row>
    <row r="383" spans="1:12">
      <c r="A383" t="s">
        <v>3179</v>
      </c>
      <c r="B383" s="8">
        <v>3.3809999999999998</v>
      </c>
      <c r="C383" s="9">
        <v>38</v>
      </c>
      <c r="D383">
        <v>1</v>
      </c>
      <c r="E383">
        <v>1</v>
      </c>
      <c r="F383">
        <v>1</v>
      </c>
      <c r="G383" s="10">
        <v>1</v>
      </c>
      <c r="H383" t="s">
        <v>46</v>
      </c>
      <c r="I383" t="s">
        <v>1957</v>
      </c>
      <c r="J383" t="s">
        <v>3178</v>
      </c>
      <c r="K383" t="s">
        <v>3173</v>
      </c>
      <c r="L383" s="11" t="s">
        <v>3178</v>
      </c>
    </row>
    <row r="384" spans="1:12">
      <c r="A384" t="s">
        <v>3180</v>
      </c>
      <c r="B384" s="8">
        <v>3.3370000000000002</v>
      </c>
      <c r="C384" s="9">
        <v>77</v>
      </c>
      <c r="D384">
        <v>2</v>
      </c>
      <c r="E384">
        <v>2</v>
      </c>
      <c r="F384">
        <v>2</v>
      </c>
      <c r="G384" s="10">
        <v>1</v>
      </c>
      <c r="H384" t="s">
        <v>46</v>
      </c>
      <c r="I384" t="s">
        <v>1957</v>
      </c>
      <c r="J384" t="s">
        <v>3181</v>
      </c>
      <c r="K384" t="s">
        <v>3182</v>
      </c>
      <c r="L384" s="11" t="s">
        <v>882</v>
      </c>
    </row>
    <row r="385" spans="1:12">
      <c r="A385" t="s">
        <v>3183</v>
      </c>
      <c r="B385" s="8">
        <v>3.319</v>
      </c>
      <c r="C385" s="9">
        <v>13651</v>
      </c>
      <c r="D385">
        <v>1</v>
      </c>
      <c r="E385">
        <v>1</v>
      </c>
      <c r="F385">
        <v>1</v>
      </c>
      <c r="G385" s="10">
        <v>1</v>
      </c>
      <c r="H385" t="s">
        <v>46</v>
      </c>
      <c r="I385" t="s">
        <v>1957</v>
      </c>
      <c r="J385" t="s">
        <v>3184</v>
      </c>
      <c r="K385" t="s">
        <v>3185</v>
      </c>
      <c r="L385" s="11" t="s">
        <v>3184</v>
      </c>
    </row>
    <row r="386" spans="1:12">
      <c r="A386" t="s">
        <v>3186</v>
      </c>
      <c r="B386" s="8">
        <v>3.2370000000000001</v>
      </c>
      <c r="C386" s="9">
        <v>32</v>
      </c>
      <c r="D386">
        <v>2</v>
      </c>
      <c r="E386">
        <v>2</v>
      </c>
      <c r="F386">
        <v>2</v>
      </c>
      <c r="G386" s="10">
        <v>1</v>
      </c>
      <c r="H386" t="s">
        <v>46</v>
      </c>
      <c r="I386" t="s">
        <v>1957</v>
      </c>
      <c r="J386" t="s">
        <v>3187</v>
      </c>
      <c r="K386" t="s">
        <v>885</v>
      </c>
      <c r="L386" s="11" t="s">
        <v>3187</v>
      </c>
    </row>
    <row r="387" spans="1:12">
      <c r="A387" t="s">
        <v>3188</v>
      </c>
      <c r="B387" s="8">
        <v>3.8149999999999999</v>
      </c>
      <c r="C387" s="9">
        <v>34</v>
      </c>
      <c r="D387">
        <v>3</v>
      </c>
      <c r="E387">
        <v>3</v>
      </c>
      <c r="F387">
        <v>3</v>
      </c>
      <c r="G387" s="10">
        <v>1</v>
      </c>
      <c r="H387" t="s">
        <v>46</v>
      </c>
      <c r="I387" t="s">
        <v>1957</v>
      </c>
      <c r="J387" t="s">
        <v>3189</v>
      </c>
      <c r="K387" t="s">
        <v>3190</v>
      </c>
      <c r="L387" s="11" t="s">
        <v>3189</v>
      </c>
    </row>
    <row r="388" spans="1:12">
      <c r="A388" t="s">
        <v>3191</v>
      </c>
      <c r="B388" s="8">
        <v>2.5110000000000001</v>
      </c>
      <c r="C388" s="9">
        <v>423</v>
      </c>
      <c r="D388">
        <v>4</v>
      </c>
      <c r="E388">
        <v>4</v>
      </c>
      <c r="F388">
        <v>4</v>
      </c>
      <c r="G388" s="10">
        <v>1</v>
      </c>
      <c r="H388" t="s">
        <v>46</v>
      </c>
      <c r="I388" t="s">
        <v>1957</v>
      </c>
      <c r="J388" t="s">
        <v>3192</v>
      </c>
      <c r="K388" t="s">
        <v>3193</v>
      </c>
      <c r="L388" s="11" t="s">
        <v>3194</v>
      </c>
    </row>
    <row r="389" spans="1:12">
      <c r="A389" t="s">
        <v>3195</v>
      </c>
      <c r="B389" s="8">
        <v>3.1629999999999998</v>
      </c>
      <c r="C389" s="9">
        <v>38</v>
      </c>
      <c r="D389">
        <v>3</v>
      </c>
      <c r="E389">
        <v>2</v>
      </c>
      <c r="F389">
        <v>3</v>
      </c>
      <c r="G389" s="10">
        <v>1</v>
      </c>
      <c r="H389" t="s">
        <v>46</v>
      </c>
      <c r="I389" t="s">
        <v>1957</v>
      </c>
      <c r="J389" t="s">
        <v>3196</v>
      </c>
      <c r="K389" t="s">
        <v>3197</v>
      </c>
      <c r="L389" s="11" t="s">
        <v>889</v>
      </c>
    </row>
    <row r="390" spans="1:12">
      <c r="A390" t="s">
        <v>3198</v>
      </c>
      <c r="B390" s="8">
        <v>5.6340000000000003</v>
      </c>
      <c r="C390" s="9">
        <v>66</v>
      </c>
      <c r="D390">
        <v>2</v>
      </c>
      <c r="E390">
        <v>2</v>
      </c>
      <c r="F390">
        <v>1</v>
      </c>
      <c r="G390" s="10">
        <v>0.5</v>
      </c>
      <c r="H390" t="s">
        <v>46</v>
      </c>
      <c r="I390" t="s">
        <v>1957</v>
      </c>
      <c r="J390" t="s">
        <v>3199</v>
      </c>
      <c r="K390" t="s">
        <v>3200</v>
      </c>
      <c r="L390" s="11" t="s">
        <v>882</v>
      </c>
    </row>
    <row r="391" spans="1:12">
      <c r="A391" t="s">
        <v>3201</v>
      </c>
      <c r="B391" s="8">
        <v>2.206</v>
      </c>
      <c r="C391" s="9">
        <v>35</v>
      </c>
      <c r="D391">
        <v>2</v>
      </c>
      <c r="E391">
        <v>2</v>
      </c>
      <c r="F391">
        <v>2</v>
      </c>
      <c r="G391" s="10">
        <v>1</v>
      </c>
      <c r="H391" t="s">
        <v>46</v>
      </c>
      <c r="I391" t="s">
        <v>1957</v>
      </c>
      <c r="J391" t="s">
        <v>3202</v>
      </c>
      <c r="K391" t="s">
        <v>3203</v>
      </c>
      <c r="L391" s="11" t="s">
        <v>889</v>
      </c>
    </row>
    <row r="392" spans="1:12">
      <c r="A392" t="s">
        <v>3204</v>
      </c>
      <c r="B392" s="8">
        <v>6.5880000000000001</v>
      </c>
      <c r="C392" s="9">
        <v>589</v>
      </c>
      <c r="D392">
        <v>6</v>
      </c>
      <c r="E392">
        <v>6</v>
      </c>
      <c r="F392">
        <v>6</v>
      </c>
      <c r="G392" s="10">
        <v>1</v>
      </c>
      <c r="H392" t="s">
        <v>46</v>
      </c>
      <c r="I392" t="s">
        <v>1957</v>
      </c>
      <c r="J392" t="s">
        <v>3205</v>
      </c>
      <c r="K392" t="s">
        <v>3206</v>
      </c>
      <c r="L392" s="11" t="s">
        <v>3207</v>
      </c>
    </row>
    <row r="393" spans="1:12">
      <c r="A393" t="s">
        <v>3208</v>
      </c>
      <c r="B393" s="8">
        <v>3.3439999999999999</v>
      </c>
      <c r="C393" s="9">
        <v>16</v>
      </c>
      <c r="D393">
        <v>3</v>
      </c>
      <c r="E393">
        <v>3</v>
      </c>
      <c r="F393">
        <v>3</v>
      </c>
      <c r="G393" s="10">
        <v>1</v>
      </c>
      <c r="H393" t="s">
        <v>46</v>
      </c>
      <c r="I393" t="s">
        <v>1957</v>
      </c>
      <c r="J393" t="s">
        <v>3209</v>
      </c>
      <c r="K393" t="s">
        <v>3210</v>
      </c>
      <c r="L393" s="11" t="s">
        <v>3211</v>
      </c>
    </row>
    <row r="394" spans="1:12">
      <c r="A394" t="s">
        <v>3212</v>
      </c>
      <c r="B394" s="8">
        <v>3.931</v>
      </c>
      <c r="C394" s="9">
        <v>273</v>
      </c>
      <c r="D394">
        <v>3</v>
      </c>
      <c r="E394">
        <v>2</v>
      </c>
      <c r="F394">
        <v>2</v>
      </c>
      <c r="G394" s="10">
        <v>0.66666666666666663</v>
      </c>
      <c r="H394" t="s">
        <v>46</v>
      </c>
      <c r="I394" t="s">
        <v>1957</v>
      </c>
      <c r="J394" t="s">
        <v>3213</v>
      </c>
      <c r="K394" t="s">
        <v>3214</v>
      </c>
      <c r="L394" s="11" t="s">
        <v>3215</v>
      </c>
    </row>
    <row r="395" spans="1:12">
      <c r="A395" t="s">
        <v>3216</v>
      </c>
      <c r="B395" s="8">
        <v>12.147</v>
      </c>
      <c r="C395" s="9">
        <v>754</v>
      </c>
      <c r="D395">
        <v>11</v>
      </c>
      <c r="E395">
        <v>10</v>
      </c>
      <c r="F395">
        <v>10</v>
      </c>
      <c r="G395" s="10">
        <v>0.90909090909090906</v>
      </c>
      <c r="H395" t="s">
        <v>46</v>
      </c>
      <c r="I395" t="s">
        <v>1957</v>
      </c>
      <c r="J395" t="s">
        <v>3217</v>
      </c>
      <c r="K395" t="s">
        <v>3218</v>
      </c>
      <c r="L395" s="11" t="s">
        <v>3219</v>
      </c>
    </row>
    <row r="396" spans="1:12">
      <c r="A396" t="s">
        <v>3220</v>
      </c>
      <c r="B396" s="8">
        <v>2.782</v>
      </c>
      <c r="C396" s="9">
        <v>28</v>
      </c>
      <c r="D396">
        <v>2</v>
      </c>
      <c r="E396">
        <v>2</v>
      </c>
      <c r="F396">
        <v>2</v>
      </c>
      <c r="G396" s="10">
        <v>1</v>
      </c>
      <c r="H396" t="s">
        <v>46</v>
      </c>
      <c r="I396" t="s">
        <v>1957</v>
      </c>
      <c r="J396" t="s">
        <v>3221</v>
      </c>
      <c r="K396" t="s">
        <v>3222</v>
      </c>
      <c r="L396" s="11" t="s">
        <v>3221</v>
      </c>
    </row>
    <row r="397" spans="1:12">
      <c r="A397" t="s">
        <v>3223</v>
      </c>
      <c r="B397" s="8">
        <v>2.1160000000000001</v>
      </c>
      <c r="C397" s="9">
        <v>21</v>
      </c>
      <c r="D397">
        <v>1</v>
      </c>
      <c r="E397">
        <v>1</v>
      </c>
      <c r="F397">
        <v>1</v>
      </c>
      <c r="G397" s="10">
        <v>1</v>
      </c>
      <c r="H397" t="s">
        <v>46</v>
      </c>
      <c r="I397" t="s">
        <v>1957</v>
      </c>
      <c r="J397" t="s">
        <v>893</v>
      </c>
      <c r="K397" t="s">
        <v>3222</v>
      </c>
      <c r="L397" s="11" t="s">
        <v>893</v>
      </c>
    </row>
    <row r="398" spans="1:12">
      <c r="A398" t="s">
        <v>3224</v>
      </c>
      <c r="B398" s="8">
        <v>2.0470000000000002</v>
      </c>
      <c r="C398" s="9">
        <v>23</v>
      </c>
      <c r="D398">
        <v>2</v>
      </c>
      <c r="E398">
        <v>2</v>
      </c>
      <c r="F398">
        <v>2</v>
      </c>
      <c r="G398" s="10">
        <v>1</v>
      </c>
      <c r="H398" t="s">
        <v>46</v>
      </c>
      <c r="I398" t="s">
        <v>1957</v>
      </c>
      <c r="J398" t="s">
        <v>3225</v>
      </c>
      <c r="K398" t="s">
        <v>3226</v>
      </c>
      <c r="L398" s="11" t="s">
        <v>3227</v>
      </c>
    </row>
    <row r="399" spans="1:12">
      <c r="A399" t="s">
        <v>3228</v>
      </c>
      <c r="B399" s="8">
        <v>2.2090000000000001</v>
      </c>
      <c r="C399" s="9">
        <v>35</v>
      </c>
      <c r="D399">
        <v>2</v>
      </c>
      <c r="E399">
        <v>2</v>
      </c>
      <c r="F399">
        <v>1</v>
      </c>
      <c r="G399" s="10">
        <v>0.5</v>
      </c>
      <c r="H399" t="s">
        <v>46</v>
      </c>
      <c r="I399" t="s">
        <v>1957</v>
      </c>
      <c r="J399" t="s">
        <v>3229</v>
      </c>
      <c r="K399" t="s">
        <v>3230</v>
      </c>
      <c r="L399" s="11" t="s">
        <v>3227</v>
      </c>
    </row>
    <row r="400" spans="1:12">
      <c r="A400" t="s">
        <v>3231</v>
      </c>
      <c r="B400" s="8">
        <v>5.875</v>
      </c>
      <c r="C400" s="9">
        <v>27</v>
      </c>
      <c r="D400">
        <v>3</v>
      </c>
      <c r="E400">
        <v>3</v>
      </c>
      <c r="F400">
        <v>3</v>
      </c>
      <c r="G400" s="10">
        <v>1</v>
      </c>
      <c r="H400" t="s">
        <v>46</v>
      </c>
      <c r="I400" t="s">
        <v>1957</v>
      </c>
      <c r="J400" t="s">
        <v>3232</v>
      </c>
      <c r="K400" t="s">
        <v>3233</v>
      </c>
      <c r="L400" s="11" t="s">
        <v>3232</v>
      </c>
    </row>
    <row r="401" spans="1:12">
      <c r="A401" t="s">
        <v>3234</v>
      </c>
      <c r="B401" s="8">
        <v>4.7270000000000003</v>
      </c>
      <c r="C401" s="9">
        <v>22</v>
      </c>
      <c r="D401">
        <v>3</v>
      </c>
      <c r="E401">
        <v>3</v>
      </c>
      <c r="F401">
        <v>3</v>
      </c>
      <c r="G401" s="10">
        <v>1</v>
      </c>
      <c r="H401" t="s">
        <v>46</v>
      </c>
      <c r="I401" t="s">
        <v>1957</v>
      </c>
      <c r="J401" t="s">
        <v>3235</v>
      </c>
      <c r="K401" t="s">
        <v>3236</v>
      </c>
      <c r="L401" s="11" t="s">
        <v>3237</v>
      </c>
    </row>
    <row r="402" spans="1:12">
      <c r="A402" t="s">
        <v>3238</v>
      </c>
      <c r="B402" s="8">
        <v>3.278</v>
      </c>
      <c r="C402" s="9">
        <v>11</v>
      </c>
      <c r="D402">
        <v>3</v>
      </c>
      <c r="E402">
        <v>2</v>
      </c>
      <c r="F402">
        <v>2</v>
      </c>
      <c r="G402" s="10">
        <v>0.66666666666666663</v>
      </c>
      <c r="H402" t="s">
        <v>46</v>
      </c>
      <c r="I402" t="s">
        <v>1957</v>
      </c>
      <c r="J402" t="s">
        <v>3239</v>
      </c>
      <c r="K402" t="s">
        <v>3236</v>
      </c>
      <c r="L402" s="11" t="s">
        <v>3240</v>
      </c>
    </row>
    <row r="403" spans="1:12">
      <c r="A403" t="s">
        <v>3241</v>
      </c>
      <c r="B403" s="8">
        <v>4.1749999999999998</v>
      </c>
      <c r="C403" s="9">
        <v>10</v>
      </c>
      <c r="D403">
        <v>4</v>
      </c>
      <c r="E403">
        <v>4</v>
      </c>
      <c r="F403">
        <v>4</v>
      </c>
      <c r="G403" s="10">
        <v>1</v>
      </c>
      <c r="H403" t="s">
        <v>46</v>
      </c>
      <c r="I403" t="s">
        <v>1957</v>
      </c>
      <c r="J403" t="s">
        <v>3242</v>
      </c>
      <c r="K403" t="s">
        <v>3243</v>
      </c>
      <c r="L403" s="11" t="s">
        <v>3244</v>
      </c>
    </row>
    <row r="404" spans="1:12">
      <c r="A404" t="s">
        <v>3245</v>
      </c>
      <c r="B404" s="8">
        <v>3.8639999999999999</v>
      </c>
      <c r="C404" s="9">
        <v>14</v>
      </c>
      <c r="D404">
        <v>4</v>
      </c>
      <c r="E404">
        <v>4</v>
      </c>
      <c r="F404">
        <v>3</v>
      </c>
      <c r="G404" s="10">
        <v>0.75</v>
      </c>
      <c r="H404" t="s">
        <v>46</v>
      </c>
      <c r="I404" t="s">
        <v>1957</v>
      </c>
      <c r="J404" t="s">
        <v>3246</v>
      </c>
      <c r="K404" t="s">
        <v>3247</v>
      </c>
      <c r="L404" s="11" t="s">
        <v>3248</v>
      </c>
    </row>
    <row r="405" spans="1:12">
      <c r="A405" t="s">
        <v>3249</v>
      </c>
      <c r="B405" s="8">
        <v>2.1659999999999999</v>
      </c>
      <c r="C405" s="9">
        <v>13</v>
      </c>
      <c r="D405">
        <v>3</v>
      </c>
      <c r="E405">
        <v>2</v>
      </c>
      <c r="F405">
        <v>2</v>
      </c>
      <c r="G405" s="10">
        <v>0.66666666666666663</v>
      </c>
      <c r="H405" t="s">
        <v>46</v>
      </c>
      <c r="I405" t="s">
        <v>1957</v>
      </c>
      <c r="J405" t="s">
        <v>3250</v>
      </c>
      <c r="K405" t="s">
        <v>3251</v>
      </c>
      <c r="L405" s="11" t="s">
        <v>3252</v>
      </c>
    </row>
    <row r="406" spans="1:12">
      <c r="A406" t="s">
        <v>3253</v>
      </c>
      <c r="B406" s="8">
        <v>6.8319999999999999</v>
      </c>
      <c r="C406" s="9">
        <v>14</v>
      </c>
      <c r="D406">
        <v>6</v>
      </c>
      <c r="E406">
        <v>6</v>
      </c>
      <c r="F406">
        <v>6</v>
      </c>
      <c r="G406" s="10">
        <v>1</v>
      </c>
      <c r="H406" t="s">
        <v>46</v>
      </c>
      <c r="I406" t="s">
        <v>1957</v>
      </c>
      <c r="J406" t="s">
        <v>3254</v>
      </c>
      <c r="K406" t="s">
        <v>3255</v>
      </c>
      <c r="L406" s="11" t="s">
        <v>3256</v>
      </c>
    </row>
    <row r="407" spans="1:12">
      <c r="A407" t="s">
        <v>3257</v>
      </c>
      <c r="B407" s="8">
        <v>6.5739999999999998</v>
      </c>
      <c r="C407" s="9">
        <v>13</v>
      </c>
      <c r="D407">
        <v>5</v>
      </c>
      <c r="E407">
        <v>5</v>
      </c>
      <c r="F407">
        <v>5</v>
      </c>
      <c r="G407" s="10">
        <v>1</v>
      </c>
      <c r="H407" t="s">
        <v>46</v>
      </c>
      <c r="I407" t="s">
        <v>1957</v>
      </c>
      <c r="J407" t="s">
        <v>3258</v>
      </c>
      <c r="K407" t="s">
        <v>3259</v>
      </c>
      <c r="L407" s="11" t="s">
        <v>3260</v>
      </c>
    </row>
    <row r="408" spans="1:12">
      <c r="A408" t="s">
        <v>3261</v>
      </c>
      <c r="B408" s="8">
        <v>2.5089999999999999</v>
      </c>
      <c r="C408" s="9">
        <v>16</v>
      </c>
      <c r="D408">
        <v>1</v>
      </c>
      <c r="E408">
        <v>1</v>
      </c>
      <c r="F408">
        <v>1</v>
      </c>
      <c r="G408" s="10">
        <v>1</v>
      </c>
      <c r="H408" t="s">
        <v>46</v>
      </c>
      <c r="I408" t="s">
        <v>1957</v>
      </c>
      <c r="J408" t="s">
        <v>3262</v>
      </c>
      <c r="K408" t="s">
        <v>3263</v>
      </c>
      <c r="L408" s="11" t="s">
        <v>3262</v>
      </c>
    </row>
    <row r="409" spans="1:12">
      <c r="A409" t="s">
        <v>3264</v>
      </c>
      <c r="B409" s="8">
        <v>2.661</v>
      </c>
      <c r="C409" s="9">
        <v>11</v>
      </c>
      <c r="D409">
        <v>3</v>
      </c>
      <c r="E409">
        <v>3</v>
      </c>
      <c r="F409">
        <v>3</v>
      </c>
      <c r="G409" s="10">
        <v>1</v>
      </c>
      <c r="H409" t="s">
        <v>46</v>
      </c>
      <c r="I409" t="s">
        <v>1957</v>
      </c>
      <c r="J409" t="s">
        <v>3265</v>
      </c>
      <c r="K409" t="s">
        <v>3266</v>
      </c>
      <c r="L409" s="11" t="s">
        <v>3267</v>
      </c>
    </row>
    <row r="410" spans="1:12">
      <c r="A410" t="s">
        <v>3268</v>
      </c>
      <c r="B410" s="8">
        <v>4.8319999999999999</v>
      </c>
      <c r="C410" s="9">
        <v>145</v>
      </c>
      <c r="D410">
        <v>3</v>
      </c>
      <c r="E410">
        <v>2</v>
      </c>
      <c r="F410">
        <v>3</v>
      </c>
      <c r="G410" s="10">
        <v>1</v>
      </c>
      <c r="H410" t="s">
        <v>46</v>
      </c>
      <c r="I410" t="s">
        <v>1957</v>
      </c>
      <c r="J410" t="s">
        <v>3269</v>
      </c>
      <c r="K410" t="s">
        <v>3270</v>
      </c>
      <c r="L410" s="11" t="s">
        <v>3262</v>
      </c>
    </row>
    <row r="411" spans="1:12">
      <c r="A411" t="s">
        <v>3271</v>
      </c>
      <c r="B411" s="8">
        <v>2.4910000000000001</v>
      </c>
      <c r="C411" s="9">
        <v>15</v>
      </c>
      <c r="D411">
        <v>2</v>
      </c>
      <c r="E411">
        <v>2</v>
      </c>
      <c r="F411">
        <v>1</v>
      </c>
      <c r="G411" s="10">
        <v>0.5</v>
      </c>
      <c r="H411" t="s">
        <v>46</v>
      </c>
      <c r="I411" t="s">
        <v>1957</v>
      </c>
      <c r="J411" t="s">
        <v>3272</v>
      </c>
      <c r="K411" t="s">
        <v>3273</v>
      </c>
      <c r="L411" s="11" t="s">
        <v>3262</v>
      </c>
    </row>
    <row r="412" spans="1:12">
      <c r="A412" t="s">
        <v>3274</v>
      </c>
      <c r="B412" s="8">
        <v>2.02</v>
      </c>
      <c r="C412" s="9">
        <v>18</v>
      </c>
      <c r="D412">
        <v>1</v>
      </c>
      <c r="E412">
        <v>1</v>
      </c>
      <c r="F412">
        <v>1</v>
      </c>
      <c r="G412" s="10">
        <v>1</v>
      </c>
      <c r="H412" t="s">
        <v>46</v>
      </c>
      <c r="I412" t="s">
        <v>1957</v>
      </c>
      <c r="J412" t="s">
        <v>3275</v>
      </c>
      <c r="K412" t="s">
        <v>3276</v>
      </c>
      <c r="L412" s="11" t="s">
        <v>3275</v>
      </c>
    </row>
    <row r="413" spans="1:12">
      <c r="A413" t="s">
        <v>3277</v>
      </c>
      <c r="B413" s="8">
        <v>2.5859999999999999</v>
      </c>
      <c r="C413" s="9">
        <v>10</v>
      </c>
      <c r="D413">
        <v>1</v>
      </c>
      <c r="E413">
        <v>1</v>
      </c>
      <c r="F413">
        <v>1</v>
      </c>
      <c r="G413" s="10">
        <v>1</v>
      </c>
      <c r="H413" t="s">
        <v>46</v>
      </c>
      <c r="I413" t="s">
        <v>1957</v>
      </c>
      <c r="J413" t="s">
        <v>3278</v>
      </c>
      <c r="K413" t="s">
        <v>3279</v>
      </c>
      <c r="L413" s="11" t="s">
        <v>3278</v>
      </c>
    </row>
    <row r="414" spans="1:12">
      <c r="A414" t="s">
        <v>3280</v>
      </c>
      <c r="B414" s="8">
        <v>2.2519999999999998</v>
      </c>
      <c r="C414" s="9">
        <v>24</v>
      </c>
      <c r="D414">
        <v>1</v>
      </c>
      <c r="E414">
        <v>1</v>
      </c>
      <c r="F414">
        <v>1</v>
      </c>
      <c r="G414" s="10">
        <v>1</v>
      </c>
      <c r="H414" t="s">
        <v>46</v>
      </c>
      <c r="I414" t="s">
        <v>1957</v>
      </c>
      <c r="J414" t="s">
        <v>3281</v>
      </c>
      <c r="K414" t="s">
        <v>3282</v>
      </c>
      <c r="L414" s="11" t="s">
        <v>3281</v>
      </c>
    </row>
    <row r="415" spans="1:12">
      <c r="A415" t="s">
        <v>3283</v>
      </c>
      <c r="B415" s="8">
        <v>2.613</v>
      </c>
      <c r="C415" s="9">
        <v>13</v>
      </c>
      <c r="D415">
        <v>2</v>
      </c>
      <c r="E415">
        <v>2</v>
      </c>
      <c r="F415">
        <v>2</v>
      </c>
      <c r="G415" s="10">
        <v>1</v>
      </c>
      <c r="H415" t="s">
        <v>46</v>
      </c>
      <c r="I415" t="s">
        <v>1957</v>
      </c>
      <c r="J415" t="s">
        <v>3284</v>
      </c>
      <c r="K415" t="s">
        <v>908</v>
      </c>
      <c r="L415" s="11" t="s">
        <v>3285</v>
      </c>
    </row>
    <row r="416" spans="1:12">
      <c r="A416" t="s">
        <v>3286</v>
      </c>
      <c r="B416" s="8">
        <v>2.6989999999999998</v>
      </c>
      <c r="C416" s="9">
        <v>1272</v>
      </c>
      <c r="D416">
        <v>1</v>
      </c>
      <c r="E416">
        <v>1</v>
      </c>
      <c r="F416">
        <v>1</v>
      </c>
      <c r="G416" s="10">
        <v>1</v>
      </c>
      <c r="H416" t="s">
        <v>46</v>
      </c>
      <c r="I416" t="s">
        <v>1957</v>
      </c>
      <c r="J416" t="s">
        <v>3287</v>
      </c>
      <c r="K416" t="s">
        <v>908</v>
      </c>
      <c r="L416" s="11" t="s">
        <v>3287</v>
      </c>
    </row>
    <row r="417" spans="1:12">
      <c r="A417" t="s">
        <v>3288</v>
      </c>
      <c r="B417" s="8">
        <v>4.9050000000000002</v>
      </c>
      <c r="C417" s="9">
        <v>235</v>
      </c>
      <c r="D417">
        <v>3</v>
      </c>
      <c r="E417">
        <v>3</v>
      </c>
      <c r="F417">
        <v>3</v>
      </c>
      <c r="G417" s="10">
        <v>1</v>
      </c>
      <c r="H417" t="s">
        <v>46</v>
      </c>
      <c r="I417" t="s">
        <v>1957</v>
      </c>
      <c r="J417" t="s">
        <v>3289</v>
      </c>
      <c r="K417" t="s">
        <v>3290</v>
      </c>
      <c r="L417" s="11" t="s">
        <v>3291</v>
      </c>
    </row>
    <row r="418" spans="1:12">
      <c r="A418" t="s">
        <v>3292</v>
      </c>
      <c r="B418" s="8">
        <v>7.883</v>
      </c>
      <c r="C418" s="9">
        <v>22</v>
      </c>
      <c r="D418">
        <v>5</v>
      </c>
      <c r="E418">
        <v>5</v>
      </c>
      <c r="F418">
        <v>5</v>
      </c>
      <c r="G418" s="10">
        <v>1</v>
      </c>
      <c r="H418" t="s">
        <v>46</v>
      </c>
      <c r="I418" t="s">
        <v>1957</v>
      </c>
      <c r="J418" t="s">
        <v>3293</v>
      </c>
      <c r="K418" t="s">
        <v>3294</v>
      </c>
      <c r="L418" s="11" t="s">
        <v>3295</v>
      </c>
    </row>
    <row r="419" spans="1:12">
      <c r="A419" t="s">
        <v>3296</v>
      </c>
      <c r="B419" s="8">
        <v>3.4729999999999999</v>
      </c>
      <c r="C419" s="9">
        <v>43</v>
      </c>
      <c r="D419">
        <v>2</v>
      </c>
      <c r="E419">
        <v>2</v>
      </c>
      <c r="F419">
        <v>1</v>
      </c>
      <c r="G419" s="10">
        <v>0.5</v>
      </c>
      <c r="H419" t="s">
        <v>46</v>
      </c>
      <c r="I419" t="s">
        <v>1957</v>
      </c>
      <c r="J419" t="s">
        <v>3297</v>
      </c>
      <c r="K419" t="s">
        <v>3298</v>
      </c>
      <c r="L419" s="11" t="s">
        <v>928</v>
      </c>
    </row>
    <row r="420" spans="1:12">
      <c r="A420" t="s">
        <v>3299</v>
      </c>
      <c r="B420" s="8">
        <v>2.4809999999999999</v>
      </c>
      <c r="C420" s="9">
        <v>9.1</v>
      </c>
      <c r="D420">
        <v>3</v>
      </c>
      <c r="E420">
        <v>3</v>
      </c>
      <c r="F420">
        <v>3</v>
      </c>
      <c r="G420" s="10">
        <v>1</v>
      </c>
      <c r="H420" t="s">
        <v>46</v>
      </c>
      <c r="I420" t="s">
        <v>1957</v>
      </c>
      <c r="J420" t="s">
        <v>3300</v>
      </c>
      <c r="K420" t="s">
        <v>3301</v>
      </c>
      <c r="L420" s="11" t="s">
        <v>3300</v>
      </c>
    </row>
    <row r="421" spans="1:12">
      <c r="A421" t="s">
        <v>3302</v>
      </c>
      <c r="B421" s="8">
        <v>4.2450000000000001</v>
      </c>
      <c r="C421" s="9">
        <v>9.3000000000000007</v>
      </c>
      <c r="D421">
        <v>4</v>
      </c>
      <c r="E421">
        <v>4</v>
      </c>
      <c r="F421">
        <v>3</v>
      </c>
      <c r="G421" s="10">
        <v>0.75</v>
      </c>
      <c r="H421" t="s">
        <v>46</v>
      </c>
      <c r="I421" t="s">
        <v>1957</v>
      </c>
      <c r="J421" t="s">
        <v>3303</v>
      </c>
      <c r="K421" t="s">
        <v>3304</v>
      </c>
      <c r="L421" s="11" t="s">
        <v>3305</v>
      </c>
    </row>
    <row r="422" spans="1:12">
      <c r="A422" t="s">
        <v>3306</v>
      </c>
      <c r="B422" s="8">
        <v>5.3840000000000003</v>
      </c>
      <c r="C422" s="9">
        <v>113</v>
      </c>
      <c r="D422">
        <v>6</v>
      </c>
      <c r="E422">
        <v>6</v>
      </c>
      <c r="F422">
        <v>5</v>
      </c>
      <c r="G422" s="10">
        <v>0.83333333333333337</v>
      </c>
      <c r="H422" t="s">
        <v>46</v>
      </c>
      <c r="I422" t="s">
        <v>1957</v>
      </c>
      <c r="J422" t="s">
        <v>3307</v>
      </c>
      <c r="K422" t="s">
        <v>3308</v>
      </c>
      <c r="L422" s="11" t="s">
        <v>3309</v>
      </c>
    </row>
    <row r="423" spans="1:12">
      <c r="A423" t="s">
        <v>3310</v>
      </c>
      <c r="B423" s="8">
        <v>2.0590000000000002</v>
      </c>
      <c r="C423" s="9">
        <v>7.9</v>
      </c>
      <c r="D423">
        <v>3</v>
      </c>
      <c r="E423">
        <v>3</v>
      </c>
      <c r="F423">
        <v>3</v>
      </c>
      <c r="G423" s="10">
        <v>1</v>
      </c>
      <c r="H423" t="s">
        <v>46</v>
      </c>
      <c r="I423" t="s">
        <v>1957</v>
      </c>
      <c r="J423" t="s">
        <v>931</v>
      </c>
      <c r="K423" t="s">
        <v>932</v>
      </c>
      <c r="L423" s="11" t="s">
        <v>931</v>
      </c>
    </row>
    <row r="424" spans="1:12">
      <c r="A424" t="s">
        <v>3311</v>
      </c>
      <c r="B424" s="8">
        <v>2.585</v>
      </c>
      <c r="C424" s="9">
        <v>12</v>
      </c>
      <c r="D424">
        <v>3</v>
      </c>
      <c r="E424">
        <v>3</v>
      </c>
      <c r="F424">
        <v>3</v>
      </c>
      <c r="G424" s="10">
        <v>1</v>
      </c>
      <c r="H424" t="s">
        <v>46</v>
      </c>
      <c r="I424" t="s">
        <v>1957</v>
      </c>
      <c r="J424" t="s">
        <v>931</v>
      </c>
      <c r="K424" t="s">
        <v>932</v>
      </c>
      <c r="L424" s="11" t="s">
        <v>931</v>
      </c>
    </row>
    <row r="425" spans="1:12">
      <c r="A425" t="s">
        <v>3312</v>
      </c>
      <c r="B425" s="8">
        <v>2.4929999999999999</v>
      </c>
      <c r="C425" s="9">
        <v>181</v>
      </c>
      <c r="D425">
        <v>3</v>
      </c>
      <c r="E425">
        <v>1</v>
      </c>
      <c r="F425">
        <v>3</v>
      </c>
      <c r="G425" s="10">
        <v>1</v>
      </c>
      <c r="H425" t="s">
        <v>46</v>
      </c>
      <c r="I425" t="s">
        <v>1957</v>
      </c>
      <c r="J425" t="s">
        <v>947</v>
      </c>
      <c r="K425" t="s">
        <v>3313</v>
      </c>
      <c r="L425" s="11" t="s">
        <v>947</v>
      </c>
    </row>
    <row r="426" spans="1:12">
      <c r="A426" t="s">
        <v>3314</v>
      </c>
      <c r="B426" s="8">
        <v>2.14</v>
      </c>
      <c r="C426" s="9">
        <v>18</v>
      </c>
      <c r="D426">
        <v>2</v>
      </c>
      <c r="E426">
        <v>2</v>
      </c>
      <c r="F426">
        <v>2</v>
      </c>
      <c r="G426" s="10">
        <v>1</v>
      </c>
      <c r="H426" t="s">
        <v>46</v>
      </c>
      <c r="I426" t="s">
        <v>1957</v>
      </c>
      <c r="J426" t="s">
        <v>945</v>
      </c>
      <c r="K426" t="s">
        <v>946</v>
      </c>
      <c r="L426" s="11" t="s">
        <v>947</v>
      </c>
    </row>
    <row r="427" spans="1:12">
      <c r="A427" t="s">
        <v>3315</v>
      </c>
      <c r="B427" s="8">
        <v>4.9480000000000004</v>
      </c>
      <c r="C427" s="9">
        <v>13</v>
      </c>
      <c r="D427">
        <v>7</v>
      </c>
      <c r="E427">
        <v>7</v>
      </c>
      <c r="F427">
        <v>7</v>
      </c>
      <c r="G427" s="10">
        <v>1</v>
      </c>
      <c r="H427" t="s">
        <v>46</v>
      </c>
      <c r="I427" t="s">
        <v>1957</v>
      </c>
      <c r="J427" t="s">
        <v>3316</v>
      </c>
      <c r="K427" t="s">
        <v>3317</v>
      </c>
      <c r="L427" s="11" t="s">
        <v>3318</v>
      </c>
    </row>
    <row r="428" spans="1:12">
      <c r="A428" t="s">
        <v>3319</v>
      </c>
      <c r="B428" s="8">
        <v>2.968</v>
      </c>
      <c r="C428" s="9">
        <v>10</v>
      </c>
      <c r="D428">
        <v>5</v>
      </c>
      <c r="E428">
        <v>5</v>
      </c>
      <c r="F428">
        <v>5</v>
      </c>
      <c r="G428" s="10">
        <v>1</v>
      </c>
      <c r="H428" t="s">
        <v>46</v>
      </c>
      <c r="I428" t="s">
        <v>1957</v>
      </c>
      <c r="J428" t="s">
        <v>3320</v>
      </c>
      <c r="K428" t="s">
        <v>3317</v>
      </c>
      <c r="L428" s="11" t="s">
        <v>3321</v>
      </c>
    </row>
    <row r="429" spans="1:12">
      <c r="A429" t="s">
        <v>3322</v>
      </c>
      <c r="B429" s="8">
        <v>2.464</v>
      </c>
      <c r="C429" s="9">
        <v>12</v>
      </c>
      <c r="D429">
        <v>3</v>
      </c>
      <c r="E429">
        <v>3</v>
      </c>
      <c r="F429">
        <v>3</v>
      </c>
      <c r="G429" s="10">
        <v>1</v>
      </c>
      <c r="H429" t="s">
        <v>46</v>
      </c>
      <c r="I429" t="s">
        <v>1957</v>
      </c>
      <c r="J429" t="s">
        <v>3323</v>
      </c>
      <c r="K429" t="s">
        <v>3317</v>
      </c>
      <c r="L429" s="11" t="s">
        <v>3324</v>
      </c>
    </row>
    <row r="430" spans="1:12">
      <c r="A430" t="s">
        <v>3325</v>
      </c>
      <c r="B430" s="8">
        <v>3.8969999999999998</v>
      </c>
      <c r="C430" s="9">
        <v>15</v>
      </c>
      <c r="D430">
        <v>3</v>
      </c>
      <c r="E430">
        <v>3</v>
      </c>
      <c r="F430">
        <v>3</v>
      </c>
      <c r="G430" s="10">
        <v>1</v>
      </c>
      <c r="H430" t="s">
        <v>46</v>
      </c>
      <c r="I430" t="s">
        <v>1957</v>
      </c>
      <c r="J430" t="s">
        <v>3326</v>
      </c>
      <c r="K430" t="s">
        <v>3327</v>
      </c>
      <c r="L430" s="11" t="s">
        <v>3326</v>
      </c>
    </row>
    <row r="431" spans="1:12">
      <c r="A431" t="s">
        <v>3328</v>
      </c>
      <c r="B431" s="8">
        <v>73.171999999999997</v>
      </c>
      <c r="C431" s="9">
        <v>54</v>
      </c>
      <c r="D431">
        <v>60</v>
      </c>
      <c r="E431">
        <v>60</v>
      </c>
      <c r="F431">
        <v>56</v>
      </c>
      <c r="G431" s="10">
        <v>0.93333333333333335</v>
      </c>
      <c r="H431" t="s">
        <v>46</v>
      </c>
      <c r="I431" t="s">
        <v>1957</v>
      </c>
      <c r="J431" t="s">
        <v>3329</v>
      </c>
      <c r="K431" t="s">
        <v>3330</v>
      </c>
      <c r="L431" s="11" t="s">
        <v>3331</v>
      </c>
    </row>
    <row r="432" spans="1:12">
      <c r="A432" t="s">
        <v>3332</v>
      </c>
      <c r="B432" s="8">
        <v>3.8809999999999998</v>
      </c>
      <c r="C432" s="9">
        <v>10</v>
      </c>
      <c r="D432">
        <v>2</v>
      </c>
      <c r="E432">
        <v>2</v>
      </c>
      <c r="F432">
        <v>2</v>
      </c>
      <c r="G432" s="10">
        <v>1</v>
      </c>
      <c r="H432" t="s">
        <v>46</v>
      </c>
      <c r="I432" t="s">
        <v>1957</v>
      </c>
      <c r="J432" t="s">
        <v>3333</v>
      </c>
      <c r="K432" t="s">
        <v>3334</v>
      </c>
      <c r="L432" s="11" t="s">
        <v>3333</v>
      </c>
    </row>
    <row r="433" spans="1:12">
      <c r="A433" t="s">
        <v>3335</v>
      </c>
      <c r="B433" s="8">
        <v>2.19</v>
      </c>
      <c r="C433" s="9">
        <v>38</v>
      </c>
      <c r="D433">
        <v>3</v>
      </c>
      <c r="E433">
        <v>3</v>
      </c>
      <c r="F433">
        <v>2</v>
      </c>
      <c r="G433" s="10">
        <v>0.66666666666666663</v>
      </c>
      <c r="H433" t="s">
        <v>46</v>
      </c>
      <c r="I433" t="s">
        <v>1957</v>
      </c>
      <c r="J433" t="s">
        <v>3336</v>
      </c>
      <c r="K433" t="s">
        <v>3337</v>
      </c>
      <c r="L433" s="11" t="s">
        <v>3338</v>
      </c>
    </row>
    <row r="434" spans="1:12">
      <c r="A434" t="s">
        <v>3339</v>
      </c>
      <c r="B434" s="8">
        <v>4.8</v>
      </c>
      <c r="C434" s="9">
        <v>614</v>
      </c>
      <c r="D434">
        <v>5</v>
      </c>
      <c r="E434">
        <v>5</v>
      </c>
      <c r="F434">
        <v>3</v>
      </c>
      <c r="G434" s="10">
        <v>0.6</v>
      </c>
      <c r="H434" t="s">
        <v>46</v>
      </c>
      <c r="I434" t="s">
        <v>1957</v>
      </c>
      <c r="J434" t="s">
        <v>3340</v>
      </c>
      <c r="K434" t="s">
        <v>3341</v>
      </c>
      <c r="L434" s="11" t="s">
        <v>3342</v>
      </c>
    </row>
    <row r="435" spans="1:12">
      <c r="A435" t="s">
        <v>3343</v>
      </c>
      <c r="B435" s="8">
        <v>2.7280000000000002</v>
      </c>
      <c r="C435" s="9">
        <v>7.8</v>
      </c>
      <c r="D435">
        <v>2</v>
      </c>
      <c r="E435">
        <v>2</v>
      </c>
      <c r="F435">
        <v>2</v>
      </c>
      <c r="G435" s="10">
        <v>1</v>
      </c>
      <c r="H435" t="s">
        <v>46</v>
      </c>
      <c r="I435" t="s">
        <v>1957</v>
      </c>
      <c r="J435" t="s">
        <v>3344</v>
      </c>
      <c r="K435" t="s">
        <v>3345</v>
      </c>
      <c r="L435" s="11" t="s">
        <v>3346</v>
      </c>
    </row>
    <row r="436" spans="1:12">
      <c r="A436" t="s">
        <v>3347</v>
      </c>
      <c r="B436" s="8">
        <v>2.2890000000000001</v>
      </c>
      <c r="C436" s="9">
        <v>9</v>
      </c>
      <c r="D436">
        <v>1</v>
      </c>
      <c r="E436">
        <v>1</v>
      </c>
      <c r="F436">
        <v>1</v>
      </c>
      <c r="G436" s="10">
        <v>1</v>
      </c>
      <c r="H436" t="s">
        <v>46</v>
      </c>
      <c r="I436" t="s">
        <v>1957</v>
      </c>
      <c r="J436" t="s">
        <v>3348</v>
      </c>
      <c r="K436" t="s">
        <v>3345</v>
      </c>
      <c r="L436" s="11" t="s">
        <v>3348</v>
      </c>
    </row>
    <row r="437" spans="1:12">
      <c r="A437" t="s">
        <v>3349</v>
      </c>
      <c r="B437" s="8">
        <v>2.2599999999999998</v>
      </c>
      <c r="C437" s="9">
        <v>234</v>
      </c>
      <c r="D437">
        <v>3</v>
      </c>
      <c r="E437">
        <v>2</v>
      </c>
      <c r="F437">
        <v>3</v>
      </c>
      <c r="G437" s="10">
        <v>1</v>
      </c>
      <c r="H437" t="s">
        <v>46</v>
      </c>
      <c r="I437" t="s">
        <v>1957</v>
      </c>
      <c r="J437" t="s">
        <v>3350</v>
      </c>
      <c r="K437" t="s">
        <v>3351</v>
      </c>
      <c r="L437" s="11" t="s">
        <v>3352</v>
      </c>
    </row>
    <row r="438" spans="1:12">
      <c r="A438" t="s">
        <v>3353</v>
      </c>
      <c r="B438" s="8">
        <v>5.0449999999999999</v>
      </c>
      <c r="C438" s="9">
        <v>610</v>
      </c>
      <c r="D438">
        <v>5</v>
      </c>
      <c r="E438">
        <v>5</v>
      </c>
      <c r="F438">
        <v>5</v>
      </c>
      <c r="G438" s="10">
        <v>1</v>
      </c>
      <c r="H438" t="s">
        <v>46</v>
      </c>
      <c r="I438" t="s">
        <v>1957</v>
      </c>
      <c r="J438" t="s">
        <v>3354</v>
      </c>
      <c r="K438" t="s">
        <v>3355</v>
      </c>
      <c r="L438" s="11" t="s">
        <v>3356</v>
      </c>
    </row>
    <row r="439" spans="1:12">
      <c r="A439" t="s">
        <v>3357</v>
      </c>
      <c r="B439" s="8">
        <v>3.4249999999999998</v>
      </c>
      <c r="C439" s="9">
        <v>59</v>
      </c>
      <c r="D439">
        <v>2</v>
      </c>
      <c r="E439">
        <v>2</v>
      </c>
      <c r="F439">
        <v>2</v>
      </c>
      <c r="G439" s="10">
        <v>1</v>
      </c>
      <c r="H439" t="s">
        <v>46</v>
      </c>
      <c r="I439" t="s">
        <v>1957</v>
      </c>
      <c r="J439" t="s">
        <v>3358</v>
      </c>
      <c r="K439" t="s">
        <v>3359</v>
      </c>
      <c r="L439" s="11" t="s">
        <v>3358</v>
      </c>
    </row>
    <row r="440" spans="1:12">
      <c r="A440" t="s">
        <v>3360</v>
      </c>
      <c r="B440" s="8">
        <v>4.03</v>
      </c>
      <c r="C440" s="9">
        <v>12</v>
      </c>
      <c r="D440">
        <v>2</v>
      </c>
      <c r="E440">
        <v>2</v>
      </c>
      <c r="F440">
        <v>2</v>
      </c>
      <c r="G440" s="10">
        <v>1</v>
      </c>
      <c r="H440" t="s">
        <v>46</v>
      </c>
      <c r="I440" t="s">
        <v>1957</v>
      </c>
      <c r="J440" t="s">
        <v>3361</v>
      </c>
      <c r="K440" t="s">
        <v>3362</v>
      </c>
      <c r="L440" s="11" t="s">
        <v>3363</v>
      </c>
    </row>
    <row r="441" spans="1:12">
      <c r="A441" t="s">
        <v>3364</v>
      </c>
      <c r="B441" s="8">
        <v>2.5590000000000002</v>
      </c>
      <c r="C441" s="9">
        <v>13</v>
      </c>
      <c r="D441">
        <v>2</v>
      </c>
      <c r="E441">
        <v>2</v>
      </c>
      <c r="F441">
        <v>2</v>
      </c>
      <c r="G441" s="10">
        <v>1</v>
      </c>
      <c r="H441" t="s">
        <v>46</v>
      </c>
      <c r="I441" t="s">
        <v>1957</v>
      </c>
      <c r="J441" t="s">
        <v>3365</v>
      </c>
      <c r="K441" t="s">
        <v>3366</v>
      </c>
      <c r="L441" s="11" t="s">
        <v>3367</v>
      </c>
    </row>
    <row r="442" spans="1:12">
      <c r="A442" t="s">
        <v>3368</v>
      </c>
      <c r="B442" s="8">
        <v>2.8220000000000001</v>
      </c>
      <c r="C442" s="9">
        <v>236</v>
      </c>
      <c r="D442">
        <v>3</v>
      </c>
      <c r="E442">
        <v>3</v>
      </c>
      <c r="F442">
        <v>3</v>
      </c>
      <c r="G442" s="10">
        <v>1</v>
      </c>
      <c r="H442" t="s">
        <v>46</v>
      </c>
      <c r="I442" t="s">
        <v>1957</v>
      </c>
      <c r="J442" t="s">
        <v>3369</v>
      </c>
      <c r="K442" t="s">
        <v>3370</v>
      </c>
      <c r="L442" s="11" t="s">
        <v>3371</v>
      </c>
    </row>
    <row r="443" spans="1:12">
      <c r="A443" t="s">
        <v>3372</v>
      </c>
      <c r="B443" s="8">
        <v>2.1819999999999999</v>
      </c>
      <c r="C443" s="9">
        <v>410</v>
      </c>
      <c r="D443">
        <v>3</v>
      </c>
      <c r="E443">
        <v>3</v>
      </c>
      <c r="F443">
        <v>3</v>
      </c>
      <c r="G443" s="10">
        <v>1</v>
      </c>
      <c r="H443" t="s">
        <v>46</v>
      </c>
      <c r="I443" t="s">
        <v>1957</v>
      </c>
      <c r="J443" t="s">
        <v>3373</v>
      </c>
      <c r="K443" t="s">
        <v>3374</v>
      </c>
      <c r="L443" s="11" t="s">
        <v>3371</v>
      </c>
    </row>
    <row r="444" spans="1:12">
      <c r="A444" t="s">
        <v>3375</v>
      </c>
      <c r="B444" s="8">
        <v>3.3279999999999998</v>
      </c>
      <c r="C444" s="9">
        <v>13</v>
      </c>
      <c r="D444">
        <v>2</v>
      </c>
      <c r="E444">
        <v>2</v>
      </c>
      <c r="F444">
        <v>2</v>
      </c>
      <c r="G444" s="10">
        <v>1</v>
      </c>
      <c r="H444" t="s">
        <v>46</v>
      </c>
      <c r="I444" t="s">
        <v>1957</v>
      </c>
      <c r="J444" t="s">
        <v>3376</v>
      </c>
      <c r="K444" t="s">
        <v>3377</v>
      </c>
      <c r="L444" s="11" t="s">
        <v>3378</v>
      </c>
    </row>
    <row r="445" spans="1:12">
      <c r="A445" t="s">
        <v>3379</v>
      </c>
      <c r="B445" s="8">
        <v>8.1</v>
      </c>
      <c r="C445" s="9">
        <v>11</v>
      </c>
      <c r="D445">
        <v>2</v>
      </c>
      <c r="E445">
        <v>2</v>
      </c>
      <c r="F445">
        <v>2</v>
      </c>
      <c r="G445" s="10">
        <v>1</v>
      </c>
      <c r="H445" t="s">
        <v>46</v>
      </c>
      <c r="I445" t="s">
        <v>1957</v>
      </c>
      <c r="J445" t="s">
        <v>3380</v>
      </c>
      <c r="K445" t="s">
        <v>3381</v>
      </c>
      <c r="L445" s="11" t="s">
        <v>3382</v>
      </c>
    </row>
    <row r="446" spans="1:12">
      <c r="A446" t="s">
        <v>3383</v>
      </c>
      <c r="B446" s="8">
        <v>3.883</v>
      </c>
      <c r="C446" s="9">
        <v>10</v>
      </c>
      <c r="D446">
        <v>1</v>
      </c>
      <c r="E446">
        <v>1</v>
      </c>
      <c r="F446">
        <v>1</v>
      </c>
      <c r="G446" s="10">
        <v>1</v>
      </c>
      <c r="H446" t="s">
        <v>46</v>
      </c>
      <c r="I446" t="s">
        <v>1957</v>
      </c>
      <c r="J446" t="s">
        <v>3384</v>
      </c>
      <c r="K446" t="s">
        <v>3385</v>
      </c>
      <c r="L446" s="11" t="s">
        <v>3384</v>
      </c>
    </row>
    <row r="447" spans="1:12">
      <c r="A447" t="s">
        <v>3386</v>
      </c>
      <c r="B447" s="8">
        <v>2.14</v>
      </c>
      <c r="C447" s="9">
        <v>10</v>
      </c>
      <c r="D447">
        <v>2</v>
      </c>
      <c r="E447">
        <v>2</v>
      </c>
      <c r="F447">
        <v>2</v>
      </c>
      <c r="G447" s="10">
        <v>1</v>
      </c>
      <c r="H447" t="s">
        <v>46</v>
      </c>
      <c r="I447" t="s">
        <v>1957</v>
      </c>
      <c r="J447" t="s">
        <v>3387</v>
      </c>
      <c r="K447" t="s">
        <v>3388</v>
      </c>
      <c r="L447" s="11" t="s">
        <v>3389</v>
      </c>
    </row>
    <row r="448" spans="1:12">
      <c r="A448" t="s">
        <v>3390</v>
      </c>
      <c r="B448" s="8">
        <v>2.3620000000000001</v>
      </c>
      <c r="C448" s="9">
        <v>9.1</v>
      </c>
      <c r="D448">
        <v>2</v>
      </c>
      <c r="E448">
        <v>2</v>
      </c>
      <c r="F448">
        <v>2</v>
      </c>
      <c r="G448" s="10">
        <v>1</v>
      </c>
      <c r="H448" t="s">
        <v>46</v>
      </c>
      <c r="I448" t="s">
        <v>1957</v>
      </c>
      <c r="J448" t="s">
        <v>3391</v>
      </c>
      <c r="K448" t="s">
        <v>3392</v>
      </c>
      <c r="L448" s="11" t="s">
        <v>3393</v>
      </c>
    </row>
    <row r="449" spans="1:12">
      <c r="A449" t="s">
        <v>3394</v>
      </c>
      <c r="B449" s="8">
        <v>43.491999999999997</v>
      </c>
      <c r="C449" s="9">
        <v>339</v>
      </c>
      <c r="D449">
        <v>25</v>
      </c>
      <c r="E449">
        <v>25</v>
      </c>
      <c r="F449">
        <v>23</v>
      </c>
      <c r="G449" s="10">
        <v>0.92</v>
      </c>
      <c r="H449" t="s">
        <v>46</v>
      </c>
      <c r="I449" t="s">
        <v>1957</v>
      </c>
      <c r="J449" t="s">
        <v>3395</v>
      </c>
      <c r="K449" t="s">
        <v>3396</v>
      </c>
      <c r="L449" s="11" t="s">
        <v>3397</v>
      </c>
    </row>
    <row r="450" spans="1:12">
      <c r="A450" t="s">
        <v>3398</v>
      </c>
      <c r="B450" s="8">
        <v>2.39</v>
      </c>
      <c r="C450" s="9">
        <v>10</v>
      </c>
      <c r="D450">
        <v>2</v>
      </c>
      <c r="E450">
        <v>2</v>
      </c>
      <c r="F450">
        <v>1</v>
      </c>
      <c r="G450" s="10">
        <v>0.5</v>
      </c>
      <c r="H450" t="s">
        <v>46</v>
      </c>
      <c r="I450" t="s">
        <v>1957</v>
      </c>
      <c r="J450" t="s">
        <v>3399</v>
      </c>
      <c r="K450" t="s">
        <v>3400</v>
      </c>
      <c r="L450" s="11" t="s">
        <v>3401</v>
      </c>
    </row>
    <row r="451" spans="1:12">
      <c r="A451" t="s">
        <v>3402</v>
      </c>
      <c r="B451" s="8">
        <v>5.0880000000000001</v>
      </c>
      <c r="C451" s="9">
        <v>11</v>
      </c>
      <c r="D451">
        <v>3</v>
      </c>
      <c r="E451">
        <v>3</v>
      </c>
      <c r="F451">
        <v>3</v>
      </c>
      <c r="G451" s="10">
        <v>1</v>
      </c>
      <c r="H451" t="s">
        <v>46</v>
      </c>
      <c r="I451" t="s">
        <v>1957</v>
      </c>
      <c r="J451" t="s">
        <v>3403</v>
      </c>
      <c r="K451" t="s">
        <v>3404</v>
      </c>
      <c r="L451" s="11" t="s">
        <v>3405</v>
      </c>
    </row>
    <row r="452" spans="1:12">
      <c r="A452" t="s">
        <v>3406</v>
      </c>
      <c r="B452" s="8">
        <v>11.287000000000001</v>
      </c>
      <c r="C452" s="9">
        <v>15</v>
      </c>
      <c r="D452">
        <v>9</v>
      </c>
      <c r="E452">
        <v>9</v>
      </c>
      <c r="F452">
        <v>9</v>
      </c>
      <c r="G452" s="10">
        <v>1</v>
      </c>
      <c r="H452" t="s">
        <v>46</v>
      </c>
      <c r="I452" t="s">
        <v>1957</v>
      </c>
      <c r="J452" t="s">
        <v>3407</v>
      </c>
      <c r="K452" t="s">
        <v>3408</v>
      </c>
      <c r="L452" s="11" t="s">
        <v>3409</v>
      </c>
    </row>
    <row r="453" spans="1:12">
      <c r="A453" t="s">
        <v>3410</v>
      </c>
      <c r="B453" s="8">
        <v>3.2469999999999999</v>
      </c>
      <c r="C453" s="9">
        <v>9.6</v>
      </c>
      <c r="D453">
        <v>3</v>
      </c>
      <c r="E453">
        <v>3</v>
      </c>
      <c r="F453">
        <v>3</v>
      </c>
      <c r="G453" s="10">
        <v>1</v>
      </c>
      <c r="H453" t="s">
        <v>46</v>
      </c>
      <c r="I453" t="s">
        <v>1957</v>
      </c>
      <c r="J453" t="s">
        <v>3411</v>
      </c>
      <c r="K453" t="s">
        <v>3412</v>
      </c>
      <c r="L453" s="11" t="s">
        <v>3413</v>
      </c>
    </row>
    <row r="454" spans="1:12">
      <c r="A454" t="s">
        <v>3414</v>
      </c>
      <c r="B454" s="8">
        <v>5.7069999999999999</v>
      </c>
      <c r="C454" s="9">
        <v>13</v>
      </c>
      <c r="D454">
        <v>3</v>
      </c>
      <c r="E454">
        <v>3</v>
      </c>
      <c r="F454">
        <v>3</v>
      </c>
      <c r="G454" s="10">
        <v>1</v>
      </c>
      <c r="H454" t="s">
        <v>46</v>
      </c>
      <c r="I454" t="s">
        <v>1957</v>
      </c>
      <c r="J454" t="s">
        <v>3415</v>
      </c>
      <c r="K454" t="s">
        <v>3416</v>
      </c>
      <c r="L454" s="11" t="s">
        <v>3415</v>
      </c>
    </row>
    <row r="455" spans="1:12">
      <c r="A455" t="s">
        <v>3417</v>
      </c>
      <c r="B455" s="8">
        <v>2.0049999999999999</v>
      </c>
      <c r="C455" s="9">
        <v>15</v>
      </c>
      <c r="D455">
        <v>1</v>
      </c>
      <c r="E455">
        <v>1</v>
      </c>
      <c r="F455">
        <v>1</v>
      </c>
      <c r="G455" s="10">
        <v>1</v>
      </c>
      <c r="H455" t="s">
        <v>46</v>
      </c>
      <c r="I455" t="s">
        <v>1957</v>
      </c>
      <c r="J455" t="s">
        <v>3418</v>
      </c>
      <c r="K455" t="s">
        <v>3419</v>
      </c>
      <c r="L455" s="11" t="s">
        <v>3418</v>
      </c>
    </row>
    <row r="456" spans="1:12">
      <c r="A456" t="s">
        <v>3420</v>
      </c>
      <c r="B456" s="8">
        <v>41.618000000000002</v>
      </c>
      <c r="C456" s="9">
        <v>136</v>
      </c>
      <c r="D456">
        <v>36</v>
      </c>
      <c r="E456">
        <v>32</v>
      </c>
      <c r="F456">
        <v>26</v>
      </c>
      <c r="G456" s="10">
        <v>0.72222222222222221</v>
      </c>
      <c r="H456" t="s">
        <v>46</v>
      </c>
      <c r="I456" t="s">
        <v>1957</v>
      </c>
      <c r="J456" t="s">
        <v>3421</v>
      </c>
      <c r="K456" t="s">
        <v>3422</v>
      </c>
      <c r="L456" s="11" t="s">
        <v>3423</v>
      </c>
    </row>
    <row r="457" spans="1:12">
      <c r="A457" t="s">
        <v>3424</v>
      </c>
      <c r="B457" s="8">
        <v>2.4159999999999999</v>
      </c>
      <c r="C457" s="9">
        <v>11</v>
      </c>
      <c r="D457">
        <v>6</v>
      </c>
      <c r="E457">
        <v>6</v>
      </c>
      <c r="F457">
        <v>6</v>
      </c>
      <c r="G457" s="10">
        <v>1</v>
      </c>
      <c r="H457" t="s">
        <v>46</v>
      </c>
      <c r="I457" t="s">
        <v>1957</v>
      </c>
      <c r="J457" t="s">
        <v>3425</v>
      </c>
      <c r="K457" t="s">
        <v>3426</v>
      </c>
      <c r="L457" s="11" t="s">
        <v>3425</v>
      </c>
    </row>
    <row r="458" spans="1:12">
      <c r="A458" t="s">
        <v>3427</v>
      </c>
      <c r="B458" s="8">
        <v>3.7839999999999998</v>
      </c>
      <c r="C458" s="9">
        <v>13</v>
      </c>
      <c r="D458">
        <v>3</v>
      </c>
      <c r="E458">
        <v>2</v>
      </c>
      <c r="F458">
        <v>2</v>
      </c>
      <c r="G458" s="10">
        <v>0.66666666666666663</v>
      </c>
      <c r="H458" t="s">
        <v>46</v>
      </c>
      <c r="I458" t="s">
        <v>1957</v>
      </c>
      <c r="J458" t="s">
        <v>3428</v>
      </c>
      <c r="K458" t="s">
        <v>3429</v>
      </c>
      <c r="L458" s="11" t="s">
        <v>3430</v>
      </c>
    </row>
    <row r="459" spans="1:12">
      <c r="A459" t="s">
        <v>3431</v>
      </c>
      <c r="B459" s="8">
        <v>3.798</v>
      </c>
      <c r="C459" s="9">
        <v>15</v>
      </c>
      <c r="D459">
        <v>2</v>
      </c>
      <c r="E459">
        <v>2</v>
      </c>
      <c r="F459">
        <v>1</v>
      </c>
      <c r="G459" s="10">
        <v>0.5</v>
      </c>
      <c r="H459" t="s">
        <v>46</v>
      </c>
      <c r="I459" t="s">
        <v>1957</v>
      </c>
      <c r="J459" t="s">
        <v>3432</v>
      </c>
      <c r="K459" t="s">
        <v>3433</v>
      </c>
      <c r="L459" s="11" t="s">
        <v>3434</v>
      </c>
    </row>
    <row r="460" spans="1:12">
      <c r="A460" t="s">
        <v>3435</v>
      </c>
      <c r="B460" s="8">
        <v>2.8650000000000002</v>
      </c>
      <c r="C460" s="9">
        <v>10</v>
      </c>
      <c r="D460">
        <v>3</v>
      </c>
      <c r="E460">
        <v>2</v>
      </c>
      <c r="F460">
        <v>2</v>
      </c>
      <c r="G460" s="10">
        <v>0.66666666666666663</v>
      </c>
      <c r="H460" t="s">
        <v>46</v>
      </c>
      <c r="I460" t="s">
        <v>1957</v>
      </c>
      <c r="J460" t="s">
        <v>3436</v>
      </c>
      <c r="K460" t="s">
        <v>3437</v>
      </c>
      <c r="L460" s="11" t="s">
        <v>3434</v>
      </c>
    </row>
    <row r="461" spans="1:12">
      <c r="A461" t="s">
        <v>3438</v>
      </c>
      <c r="B461" s="8">
        <v>8.0079999999999991</v>
      </c>
      <c r="C461" s="9">
        <v>20</v>
      </c>
      <c r="D461">
        <v>6</v>
      </c>
      <c r="E461">
        <v>5</v>
      </c>
      <c r="F461">
        <v>4</v>
      </c>
      <c r="G461" s="10">
        <v>0.66666666666666663</v>
      </c>
      <c r="H461" t="s">
        <v>46</v>
      </c>
      <c r="I461" t="s">
        <v>1957</v>
      </c>
      <c r="J461" t="s">
        <v>3439</v>
      </c>
      <c r="K461" t="s">
        <v>3440</v>
      </c>
      <c r="L461" s="11" t="s">
        <v>991</v>
      </c>
    </row>
    <row r="462" spans="1:12">
      <c r="A462" t="s">
        <v>3441</v>
      </c>
      <c r="B462" s="8">
        <v>2.1760000000000002</v>
      </c>
      <c r="C462" s="9">
        <v>159</v>
      </c>
      <c r="D462">
        <v>3</v>
      </c>
      <c r="E462">
        <v>2</v>
      </c>
      <c r="F462">
        <v>1</v>
      </c>
      <c r="G462" s="10">
        <v>0.33333333333333331</v>
      </c>
      <c r="H462" t="s">
        <v>46</v>
      </c>
      <c r="I462" t="s">
        <v>1957</v>
      </c>
      <c r="J462" t="s">
        <v>3442</v>
      </c>
      <c r="K462" t="s">
        <v>3443</v>
      </c>
      <c r="L462" s="11" t="s">
        <v>985</v>
      </c>
    </row>
    <row r="463" spans="1:12">
      <c r="A463" t="s">
        <v>3444</v>
      </c>
      <c r="B463" s="8">
        <v>3.1150000000000002</v>
      </c>
      <c r="C463" s="9">
        <v>90</v>
      </c>
      <c r="D463">
        <v>2</v>
      </c>
      <c r="E463">
        <v>2</v>
      </c>
      <c r="F463">
        <v>1</v>
      </c>
      <c r="G463" s="10">
        <v>0.5</v>
      </c>
      <c r="H463" t="s">
        <v>46</v>
      </c>
      <c r="I463" t="s">
        <v>1957</v>
      </c>
      <c r="J463" t="s">
        <v>3445</v>
      </c>
      <c r="K463" t="s">
        <v>3446</v>
      </c>
      <c r="L463" s="11" t="s">
        <v>985</v>
      </c>
    </row>
    <row r="464" spans="1:12">
      <c r="A464" t="s">
        <v>3447</v>
      </c>
      <c r="B464" s="8">
        <v>2.1190000000000002</v>
      </c>
      <c r="C464" s="9">
        <v>6.2</v>
      </c>
      <c r="D464">
        <v>1</v>
      </c>
      <c r="E464">
        <v>1</v>
      </c>
      <c r="F464">
        <v>1</v>
      </c>
      <c r="G464" s="10">
        <v>1</v>
      </c>
      <c r="H464" t="s">
        <v>46</v>
      </c>
      <c r="I464" t="s">
        <v>1957</v>
      </c>
      <c r="J464" t="s">
        <v>3448</v>
      </c>
      <c r="K464" t="s">
        <v>3449</v>
      </c>
      <c r="L464" s="11" t="s">
        <v>3448</v>
      </c>
    </row>
    <row r="465" spans="1:12">
      <c r="A465" t="s">
        <v>3450</v>
      </c>
      <c r="B465" s="8">
        <v>2.2829999999999999</v>
      </c>
      <c r="C465" s="9">
        <v>88</v>
      </c>
      <c r="D465">
        <v>3</v>
      </c>
      <c r="E465">
        <v>3</v>
      </c>
      <c r="F465">
        <v>3</v>
      </c>
      <c r="G465" s="10">
        <v>1</v>
      </c>
      <c r="H465" t="s">
        <v>46</v>
      </c>
      <c r="I465" t="s">
        <v>1957</v>
      </c>
      <c r="J465" t="s">
        <v>3451</v>
      </c>
      <c r="K465" t="s">
        <v>3452</v>
      </c>
      <c r="L465" s="11" t="s">
        <v>3453</v>
      </c>
    </row>
    <row r="466" spans="1:12">
      <c r="A466" t="s">
        <v>3454</v>
      </c>
      <c r="B466" s="8">
        <v>7.1159999999999997</v>
      </c>
      <c r="C466" s="9">
        <v>13</v>
      </c>
      <c r="D466">
        <v>1</v>
      </c>
      <c r="E466">
        <v>1</v>
      </c>
      <c r="F466">
        <v>1</v>
      </c>
      <c r="G466" s="10">
        <v>1</v>
      </c>
      <c r="H466" t="s">
        <v>46</v>
      </c>
      <c r="I466" t="s">
        <v>1957</v>
      </c>
      <c r="J466" t="s">
        <v>3455</v>
      </c>
      <c r="K466" t="s">
        <v>3456</v>
      </c>
      <c r="L466" s="11" t="s">
        <v>3455</v>
      </c>
    </row>
    <row r="467" spans="1:12">
      <c r="A467" t="s">
        <v>3457</v>
      </c>
      <c r="B467" s="8">
        <v>5.98</v>
      </c>
      <c r="C467" s="9">
        <v>260</v>
      </c>
      <c r="D467">
        <v>6</v>
      </c>
      <c r="E467">
        <v>6</v>
      </c>
      <c r="F467">
        <v>5</v>
      </c>
      <c r="G467" s="10">
        <v>0.83333333333333337</v>
      </c>
      <c r="H467" t="s">
        <v>46</v>
      </c>
      <c r="I467" t="s">
        <v>1957</v>
      </c>
      <c r="J467" t="s">
        <v>3458</v>
      </c>
      <c r="K467" t="s">
        <v>3459</v>
      </c>
      <c r="L467" s="11" t="s">
        <v>3460</v>
      </c>
    </row>
    <row r="468" spans="1:12">
      <c r="A468" t="s">
        <v>3461</v>
      </c>
      <c r="B468" s="8">
        <v>72.438999999999993</v>
      </c>
      <c r="C468" s="9">
        <v>197</v>
      </c>
      <c r="D468">
        <v>54</v>
      </c>
      <c r="E468">
        <v>51</v>
      </c>
      <c r="F468">
        <v>44</v>
      </c>
      <c r="G468" s="10">
        <v>0.81481481481481477</v>
      </c>
      <c r="H468" t="s">
        <v>46</v>
      </c>
      <c r="I468" t="s">
        <v>1957</v>
      </c>
      <c r="J468" t="s">
        <v>3462</v>
      </c>
      <c r="K468" t="s">
        <v>3463</v>
      </c>
      <c r="L468" s="11" t="s">
        <v>3464</v>
      </c>
    </row>
    <row r="469" spans="1:12">
      <c r="A469" t="s">
        <v>3465</v>
      </c>
      <c r="B469" s="8">
        <v>3.097</v>
      </c>
      <c r="C469" s="9">
        <v>133</v>
      </c>
      <c r="D469">
        <v>4</v>
      </c>
      <c r="E469">
        <v>4</v>
      </c>
      <c r="F469">
        <v>4</v>
      </c>
      <c r="G469" s="10">
        <v>1</v>
      </c>
      <c r="H469" t="s">
        <v>46</v>
      </c>
      <c r="I469" t="s">
        <v>1957</v>
      </c>
      <c r="J469" t="s">
        <v>3466</v>
      </c>
      <c r="K469" t="s">
        <v>3467</v>
      </c>
      <c r="L469" s="11" t="s">
        <v>905</v>
      </c>
    </row>
    <row r="470" spans="1:12">
      <c r="A470" t="s">
        <v>3468</v>
      </c>
      <c r="B470" s="8">
        <v>11.532</v>
      </c>
      <c r="C470" s="9">
        <v>345</v>
      </c>
      <c r="D470">
        <v>15</v>
      </c>
      <c r="E470">
        <v>13</v>
      </c>
      <c r="F470">
        <v>7</v>
      </c>
      <c r="G470" s="10">
        <v>0.46666666666666667</v>
      </c>
      <c r="H470" t="s">
        <v>46</v>
      </c>
      <c r="I470" t="s">
        <v>1957</v>
      </c>
      <c r="J470" t="s">
        <v>3469</v>
      </c>
      <c r="K470" t="s">
        <v>3470</v>
      </c>
      <c r="L470" s="11" t="s">
        <v>3471</v>
      </c>
    </row>
    <row r="471" spans="1:12">
      <c r="A471" t="s">
        <v>3472</v>
      </c>
      <c r="B471" s="8">
        <v>2.2549999999999999</v>
      </c>
      <c r="C471" s="9">
        <v>148</v>
      </c>
      <c r="D471">
        <v>1</v>
      </c>
      <c r="E471">
        <v>1</v>
      </c>
      <c r="F471">
        <v>1</v>
      </c>
      <c r="G471" s="10">
        <v>1</v>
      </c>
      <c r="H471" t="s">
        <v>46</v>
      </c>
      <c r="I471" t="s">
        <v>1957</v>
      </c>
      <c r="J471" t="s">
        <v>3473</v>
      </c>
      <c r="K471" t="s">
        <v>3474</v>
      </c>
      <c r="L471" s="11" t="s">
        <v>3473</v>
      </c>
    </row>
    <row r="472" spans="1:12">
      <c r="A472" t="s">
        <v>3475</v>
      </c>
      <c r="B472" s="8">
        <v>2.3580000000000001</v>
      </c>
      <c r="C472" s="9">
        <v>75</v>
      </c>
      <c r="D472">
        <v>1</v>
      </c>
      <c r="E472">
        <v>1</v>
      </c>
      <c r="F472">
        <v>1</v>
      </c>
      <c r="G472" s="10">
        <v>1</v>
      </c>
      <c r="H472" t="s">
        <v>46</v>
      </c>
      <c r="I472" t="s">
        <v>1957</v>
      </c>
      <c r="J472" t="s">
        <v>3473</v>
      </c>
      <c r="K472" t="s">
        <v>3474</v>
      </c>
      <c r="L472" s="11" t="s">
        <v>3473</v>
      </c>
    </row>
    <row r="473" spans="1:12">
      <c r="A473" t="s">
        <v>3476</v>
      </c>
      <c r="B473" s="8">
        <v>3.105</v>
      </c>
      <c r="C473" s="9">
        <v>53</v>
      </c>
      <c r="D473">
        <v>1</v>
      </c>
      <c r="E473">
        <v>1</v>
      </c>
      <c r="F473">
        <v>1</v>
      </c>
      <c r="G473" s="10">
        <v>1</v>
      </c>
      <c r="H473" t="s">
        <v>46</v>
      </c>
      <c r="I473" t="s">
        <v>1957</v>
      </c>
      <c r="J473" t="s">
        <v>3473</v>
      </c>
      <c r="K473" t="s">
        <v>3474</v>
      </c>
      <c r="L473" s="11" t="s">
        <v>3473</v>
      </c>
    </row>
    <row r="474" spans="1:12">
      <c r="A474" t="s">
        <v>3477</v>
      </c>
      <c r="B474" s="8">
        <v>3.7360000000000002</v>
      </c>
      <c r="C474" s="9">
        <v>106</v>
      </c>
      <c r="D474">
        <v>1</v>
      </c>
      <c r="E474">
        <v>1</v>
      </c>
      <c r="F474">
        <v>1</v>
      </c>
      <c r="G474" s="10">
        <v>1</v>
      </c>
      <c r="H474" t="s">
        <v>46</v>
      </c>
      <c r="I474" t="s">
        <v>1957</v>
      </c>
      <c r="J474" t="s">
        <v>3473</v>
      </c>
      <c r="K474" t="s">
        <v>3474</v>
      </c>
      <c r="L474" s="11" t="s">
        <v>3473</v>
      </c>
    </row>
    <row r="475" spans="1:12">
      <c r="A475" t="s">
        <v>3478</v>
      </c>
      <c r="B475" s="8">
        <v>2.1440000000000001</v>
      </c>
      <c r="C475" s="9">
        <v>1123</v>
      </c>
      <c r="D475">
        <v>2</v>
      </c>
      <c r="E475">
        <v>2</v>
      </c>
      <c r="F475">
        <v>2</v>
      </c>
      <c r="G475" s="10">
        <v>1</v>
      </c>
      <c r="H475" t="s">
        <v>46</v>
      </c>
      <c r="I475" t="s">
        <v>1957</v>
      </c>
      <c r="J475" t="s">
        <v>1007</v>
      </c>
      <c r="K475" t="s">
        <v>3479</v>
      </c>
      <c r="L475" s="11" t="s">
        <v>3480</v>
      </c>
    </row>
    <row r="476" spans="1:12">
      <c r="A476" t="s">
        <v>3481</v>
      </c>
      <c r="B476" s="8">
        <v>4.1609999999999996</v>
      </c>
      <c r="C476" s="9">
        <v>16</v>
      </c>
      <c r="D476">
        <v>2</v>
      </c>
      <c r="E476">
        <v>2</v>
      </c>
      <c r="F476">
        <v>2</v>
      </c>
      <c r="G476" s="10">
        <v>1</v>
      </c>
      <c r="H476" t="s">
        <v>46</v>
      </c>
      <c r="I476" t="s">
        <v>1957</v>
      </c>
      <c r="J476" t="s">
        <v>1007</v>
      </c>
      <c r="K476" t="s">
        <v>3479</v>
      </c>
      <c r="L476" s="11" t="s">
        <v>1007</v>
      </c>
    </row>
    <row r="477" spans="1:12">
      <c r="A477" t="s">
        <v>3482</v>
      </c>
      <c r="B477" s="8">
        <v>9.609</v>
      </c>
      <c r="C477" s="9">
        <v>18</v>
      </c>
      <c r="D477">
        <v>5</v>
      </c>
      <c r="E477">
        <v>4</v>
      </c>
      <c r="F477">
        <v>3</v>
      </c>
      <c r="G477" s="10">
        <v>0.6</v>
      </c>
      <c r="H477" t="s">
        <v>46</v>
      </c>
      <c r="I477" t="s">
        <v>1957</v>
      </c>
      <c r="J477" t="s">
        <v>3483</v>
      </c>
      <c r="K477" t="s">
        <v>3484</v>
      </c>
      <c r="L477" s="11" t="s">
        <v>1007</v>
      </c>
    </row>
    <row r="478" spans="1:12">
      <c r="A478" t="s">
        <v>3485</v>
      </c>
      <c r="B478" s="8">
        <v>7.407</v>
      </c>
      <c r="C478" s="9">
        <v>171</v>
      </c>
      <c r="D478">
        <v>4</v>
      </c>
      <c r="E478">
        <v>4</v>
      </c>
      <c r="F478">
        <v>4</v>
      </c>
      <c r="G478" s="10">
        <v>1</v>
      </c>
      <c r="H478" t="s">
        <v>46</v>
      </c>
      <c r="I478" t="s">
        <v>1957</v>
      </c>
      <c r="J478" t="s">
        <v>3486</v>
      </c>
      <c r="K478" t="s">
        <v>3487</v>
      </c>
      <c r="L478" s="11" t="s">
        <v>3488</v>
      </c>
    </row>
    <row r="479" spans="1:12">
      <c r="A479" t="s">
        <v>3489</v>
      </c>
      <c r="B479" s="8">
        <v>5.1319999999999997</v>
      </c>
      <c r="C479" s="9">
        <v>105</v>
      </c>
      <c r="D479">
        <v>2</v>
      </c>
      <c r="E479">
        <v>2</v>
      </c>
      <c r="F479">
        <v>2</v>
      </c>
      <c r="G479" s="10">
        <v>1</v>
      </c>
      <c r="H479" t="s">
        <v>46</v>
      </c>
      <c r="I479" t="s">
        <v>1957</v>
      </c>
      <c r="J479" t="s">
        <v>3490</v>
      </c>
      <c r="K479" t="s">
        <v>3491</v>
      </c>
      <c r="L479" s="11" t="s">
        <v>3473</v>
      </c>
    </row>
    <row r="480" spans="1:12">
      <c r="A480" t="s">
        <v>3492</v>
      </c>
      <c r="B480" s="8">
        <v>3.5049999999999999</v>
      </c>
      <c r="C480" s="9">
        <v>56</v>
      </c>
      <c r="D480">
        <v>2</v>
      </c>
      <c r="E480">
        <v>2</v>
      </c>
      <c r="F480">
        <v>1</v>
      </c>
      <c r="G480" s="10">
        <v>0.5</v>
      </c>
      <c r="H480" t="s">
        <v>46</v>
      </c>
      <c r="I480" t="s">
        <v>1957</v>
      </c>
      <c r="J480" t="s">
        <v>3493</v>
      </c>
      <c r="K480" t="s">
        <v>3494</v>
      </c>
      <c r="L480" s="11" t="s">
        <v>3473</v>
      </c>
    </row>
    <row r="481" spans="1:12">
      <c r="A481" t="s">
        <v>3495</v>
      </c>
      <c r="B481" s="8">
        <v>2.6179999999999999</v>
      </c>
      <c r="C481" s="9">
        <v>126</v>
      </c>
      <c r="D481">
        <v>2</v>
      </c>
      <c r="E481">
        <v>2</v>
      </c>
      <c r="F481">
        <v>2</v>
      </c>
      <c r="G481" s="10">
        <v>1</v>
      </c>
      <c r="H481" t="s">
        <v>46</v>
      </c>
      <c r="I481" t="s">
        <v>1957</v>
      </c>
      <c r="J481" t="s">
        <v>3496</v>
      </c>
      <c r="K481" t="s">
        <v>3497</v>
      </c>
      <c r="L481" s="11" t="s">
        <v>3473</v>
      </c>
    </row>
    <row r="482" spans="1:12">
      <c r="A482" t="s">
        <v>3498</v>
      </c>
      <c r="B482" s="8">
        <v>5.5359999999999996</v>
      </c>
      <c r="C482" s="9">
        <v>17</v>
      </c>
      <c r="D482">
        <v>3</v>
      </c>
      <c r="E482">
        <v>2</v>
      </c>
      <c r="F482">
        <v>2</v>
      </c>
      <c r="G482" s="10">
        <v>0.66666666666666663</v>
      </c>
      <c r="H482" t="s">
        <v>46</v>
      </c>
      <c r="I482" t="s">
        <v>1957</v>
      </c>
      <c r="J482" t="s">
        <v>1035</v>
      </c>
      <c r="K482" t="s">
        <v>3499</v>
      </c>
      <c r="L482" s="11" t="s">
        <v>1035</v>
      </c>
    </row>
    <row r="483" spans="1:12">
      <c r="A483" t="s">
        <v>3500</v>
      </c>
      <c r="B483" s="8">
        <v>2.8730000000000002</v>
      </c>
      <c r="C483" s="9">
        <v>21</v>
      </c>
      <c r="D483">
        <v>2</v>
      </c>
      <c r="E483">
        <v>2</v>
      </c>
      <c r="F483">
        <v>2</v>
      </c>
      <c r="G483" s="10">
        <v>1</v>
      </c>
      <c r="H483" t="s">
        <v>46</v>
      </c>
      <c r="I483" t="s">
        <v>1957</v>
      </c>
      <c r="J483" t="s">
        <v>3501</v>
      </c>
      <c r="K483" t="s">
        <v>3502</v>
      </c>
      <c r="L483" s="11" t="s">
        <v>3473</v>
      </c>
    </row>
    <row r="484" spans="1:12">
      <c r="A484" t="s">
        <v>3503</v>
      </c>
      <c r="B484" s="8">
        <v>3.9249999999999998</v>
      </c>
      <c r="C484" s="9">
        <v>19</v>
      </c>
      <c r="D484">
        <v>2</v>
      </c>
      <c r="E484">
        <v>2</v>
      </c>
      <c r="F484">
        <v>2</v>
      </c>
      <c r="G484" s="10">
        <v>1</v>
      </c>
      <c r="H484" t="s">
        <v>46</v>
      </c>
      <c r="I484" t="s">
        <v>1957</v>
      </c>
      <c r="J484" t="s">
        <v>3504</v>
      </c>
      <c r="K484" t="s">
        <v>3505</v>
      </c>
      <c r="L484" s="11" t="s">
        <v>3473</v>
      </c>
    </row>
    <row r="485" spans="1:12">
      <c r="A485" t="s">
        <v>3506</v>
      </c>
      <c r="B485" s="8">
        <v>3.02</v>
      </c>
      <c r="C485" s="9">
        <v>503</v>
      </c>
      <c r="D485">
        <v>2</v>
      </c>
      <c r="E485">
        <v>2</v>
      </c>
      <c r="F485">
        <v>2</v>
      </c>
      <c r="G485" s="10">
        <v>1</v>
      </c>
      <c r="H485" t="s">
        <v>46</v>
      </c>
      <c r="I485" t="s">
        <v>1957</v>
      </c>
      <c r="J485" t="s">
        <v>3507</v>
      </c>
      <c r="K485" t="s">
        <v>3508</v>
      </c>
      <c r="L485" s="11" t="s">
        <v>3473</v>
      </c>
    </row>
    <row r="486" spans="1:12">
      <c r="A486" t="s">
        <v>3509</v>
      </c>
      <c r="B486" s="8">
        <v>5.0549999999999997</v>
      </c>
      <c r="C486" s="9">
        <v>156</v>
      </c>
      <c r="D486">
        <v>3</v>
      </c>
      <c r="E486">
        <v>3</v>
      </c>
      <c r="F486">
        <v>3</v>
      </c>
      <c r="G486" s="10">
        <v>1</v>
      </c>
      <c r="H486" t="s">
        <v>46</v>
      </c>
      <c r="I486" t="s">
        <v>1957</v>
      </c>
      <c r="J486" t="s">
        <v>3510</v>
      </c>
      <c r="K486" t="s">
        <v>3511</v>
      </c>
      <c r="L486" s="11" t="s">
        <v>2567</v>
      </c>
    </row>
    <row r="487" spans="1:12">
      <c r="A487" t="s">
        <v>3512</v>
      </c>
      <c r="B487" s="8">
        <v>4.492</v>
      </c>
      <c r="C487" s="9">
        <v>19</v>
      </c>
      <c r="D487">
        <v>4</v>
      </c>
      <c r="E487">
        <v>4</v>
      </c>
      <c r="F487">
        <v>4</v>
      </c>
      <c r="G487" s="10">
        <v>1</v>
      </c>
      <c r="H487" t="s">
        <v>46</v>
      </c>
      <c r="I487" t="s">
        <v>1957</v>
      </c>
      <c r="J487" t="s">
        <v>3513</v>
      </c>
      <c r="K487" t="s">
        <v>3514</v>
      </c>
      <c r="L487" s="11" t="s">
        <v>3515</v>
      </c>
    </row>
    <row r="488" spans="1:12">
      <c r="A488" t="s">
        <v>3516</v>
      </c>
      <c r="B488" s="8">
        <v>2.089</v>
      </c>
      <c r="C488" s="9">
        <v>27</v>
      </c>
      <c r="D488">
        <v>2</v>
      </c>
      <c r="E488">
        <v>2</v>
      </c>
      <c r="F488">
        <v>2</v>
      </c>
      <c r="G488" s="10">
        <v>1</v>
      </c>
      <c r="H488" t="s">
        <v>46</v>
      </c>
      <c r="I488" t="s">
        <v>1957</v>
      </c>
      <c r="J488" t="s">
        <v>3517</v>
      </c>
      <c r="K488" t="s">
        <v>3518</v>
      </c>
      <c r="L488" s="11" t="s">
        <v>3519</v>
      </c>
    </row>
    <row r="489" spans="1:12">
      <c r="A489" t="s">
        <v>3520</v>
      </c>
      <c r="B489" s="8">
        <v>8.32</v>
      </c>
      <c r="C489" s="9">
        <v>11</v>
      </c>
      <c r="D489">
        <v>6</v>
      </c>
      <c r="E489">
        <v>4</v>
      </c>
      <c r="F489">
        <v>5</v>
      </c>
      <c r="G489" s="10">
        <v>0.83333333333333337</v>
      </c>
      <c r="H489" t="s">
        <v>46</v>
      </c>
      <c r="I489" t="s">
        <v>1957</v>
      </c>
      <c r="J489" t="s">
        <v>3521</v>
      </c>
      <c r="K489" t="s">
        <v>3522</v>
      </c>
      <c r="L489" s="11" t="s">
        <v>3523</v>
      </c>
    </row>
    <row r="490" spans="1:12">
      <c r="A490" t="s">
        <v>3524</v>
      </c>
      <c r="B490" s="8">
        <v>2.403</v>
      </c>
      <c r="C490" s="9">
        <v>908</v>
      </c>
      <c r="D490">
        <v>2</v>
      </c>
      <c r="E490">
        <v>2</v>
      </c>
      <c r="F490">
        <v>2</v>
      </c>
      <c r="G490" s="10">
        <v>1</v>
      </c>
      <c r="H490" t="s">
        <v>46</v>
      </c>
      <c r="I490" t="s">
        <v>1957</v>
      </c>
      <c r="J490" t="s">
        <v>3525</v>
      </c>
      <c r="K490" t="s">
        <v>3526</v>
      </c>
      <c r="L490" s="11" t="s">
        <v>3527</v>
      </c>
    </row>
    <row r="491" spans="1:12">
      <c r="A491" t="s">
        <v>3528</v>
      </c>
      <c r="B491" s="8">
        <v>2.3319999999999999</v>
      </c>
      <c r="C491" s="9">
        <v>267</v>
      </c>
      <c r="D491">
        <v>3</v>
      </c>
      <c r="E491">
        <v>3</v>
      </c>
      <c r="F491">
        <v>2</v>
      </c>
      <c r="G491" s="10">
        <v>0.66666666666666663</v>
      </c>
      <c r="H491" t="s">
        <v>46</v>
      </c>
      <c r="I491" t="s">
        <v>1957</v>
      </c>
      <c r="J491" t="s">
        <v>3529</v>
      </c>
      <c r="K491" t="s">
        <v>3530</v>
      </c>
      <c r="L491" s="11" t="s">
        <v>3531</v>
      </c>
    </row>
    <row r="492" spans="1:12">
      <c r="A492" t="s">
        <v>3532</v>
      </c>
      <c r="B492" s="8">
        <v>3.4009999999999998</v>
      </c>
      <c r="C492" s="9">
        <v>363</v>
      </c>
      <c r="D492">
        <v>2</v>
      </c>
      <c r="E492">
        <v>2</v>
      </c>
      <c r="F492">
        <v>2</v>
      </c>
      <c r="G492" s="10">
        <v>1</v>
      </c>
      <c r="H492" t="s">
        <v>46</v>
      </c>
      <c r="I492" t="s">
        <v>1957</v>
      </c>
      <c r="J492" t="s">
        <v>3533</v>
      </c>
      <c r="K492" t="s">
        <v>3534</v>
      </c>
      <c r="L492" s="11" t="s">
        <v>3533</v>
      </c>
    </row>
    <row r="493" spans="1:12">
      <c r="A493" t="s">
        <v>3535</v>
      </c>
      <c r="B493" s="8">
        <v>2.875</v>
      </c>
      <c r="C493" s="9">
        <v>14</v>
      </c>
      <c r="D493">
        <v>3</v>
      </c>
      <c r="E493">
        <v>3</v>
      </c>
      <c r="F493">
        <v>2</v>
      </c>
      <c r="G493" s="10">
        <v>0.66666666666666663</v>
      </c>
      <c r="H493" t="s">
        <v>46</v>
      </c>
      <c r="I493" t="s">
        <v>1957</v>
      </c>
      <c r="J493" t="s">
        <v>3536</v>
      </c>
      <c r="K493" t="s">
        <v>3537</v>
      </c>
      <c r="L493" s="11" t="s">
        <v>3538</v>
      </c>
    </row>
    <row r="494" spans="1:12">
      <c r="A494" t="s">
        <v>3539</v>
      </c>
      <c r="B494" s="8">
        <v>2.218</v>
      </c>
      <c r="C494" s="9">
        <v>29</v>
      </c>
      <c r="D494">
        <v>2</v>
      </c>
      <c r="E494">
        <v>2</v>
      </c>
      <c r="F494">
        <v>2</v>
      </c>
      <c r="G494" s="10">
        <v>1</v>
      </c>
      <c r="H494" t="s">
        <v>46</v>
      </c>
      <c r="I494" t="s">
        <v>1957</v>
      </c>
      <c r="J494" t="s">
        <v>3540</v>
      </c>
      <c r="K494" t="s">
        <v>3541</v>
      </c>
      <c r="L494" s="11" t="s">
        <v>3540</v>
      </c>
    </row>
    <row r="495" spans="1:12">
      <c r="A495" t="s">
        <v>3542</v>
      </c>
      <c r="B495" s="8">
        <v>4.3250000000000002</v>
      </c>
      <c r="C495" s="9">
        <v>20</v>
      </c>
      <c r="D495">
        <v>6</v>
      </c>
      <c r="E495">
        <v>3</v>
      </c>
      <c r="F495">
        <v>5</v>
      </c>
      <c r="G495" s="10">
        <v>0.83333333333333337</v>
      </c>
      <c r="H495" t="s">
        <v>46</v>
      </c>
      <c r="I495" t="s">
        <v>1957</v>
      </c>
      <c r="J495" t="s">
        <v>3543</v>
      </c>
      <c r="K495" t="s">
        <v>3544</v>
      </c>
      <c r="L495" s="11" t="s">
        <v>3545</v>
      </c>
    </row>
    <row r="496" spans="1:12">
      <c r="A496" t="s">
        <v>3546</v>
      </c>
      <c r="B496" s="8">
        <v>5.8460000000000001</v>
      </c>
      <c r="C496" s="9">
        <v>426</v>
      </c>
      <c r="D496">
        <v>4</v>
      </c>
      <c r="E496">
        <v>4</v>
      </c>
      <c r="F496">
        <v>4</v>
      </c>
      <c r="G496" s="10">
        <v>1</v>
      </c>
      <c r="H496" t="s">
        <v>46</v>
      </c>
      <c r="I496" t="s">
        <v>1957</v>
      </c>
      <c r="J496" t="s">
        <v>3547</v>
      </c>
      <c r="K496" t="s">
        <v>3548</v>
      </c>
      <c r="L496" s="11" t="s">
        <v>3549</v>
      </c>
    </row>
    <row r="497" spans="1:12">
      <c r="A497" t="s">
        <v>3550</v>
      </c>
      <c r="B497" s="8">
        <v>2.335</v>
      </c>
      <c r="C497" s="9">
        <v>9.3000000000000007</v>
      </c>
      <c r="D497">
        <v>2</v>
      </c>
      <c r="E497">
        <v>2</v>
      </c>
      <c r="F497">
        <v>2</v>
      </c>
      <c r="G497" s="10">
        <v>1</v>
      </c>
      <c r="H497" t="s">
        <v>46</v>
      </c>
      <c r="I497" t="s">
        <v>1957</v>
      </c>
      <c r="J497" t="s">
        <v>3551</v>
      </c>
      <c r="K497" t="s">
        <v>3552</v>
      </c>
      <c r="L497" s="11" t="s">
        <v>3553</v>
      </c>
    </row>
    <row r="498" spans="1:12">
      <c r="A498" t="s">
        <v>3554</v>
      </c>
      <c r="B498" s="8">
        <v>2.0270000000000001</v>
      </c>
      <c r="C498" s="9">
        <v>21</v>
      </c>
      <c r="D498">
        <v>2</v>
      </c>
      <c r="E498">
        <v>2</v>
      </c>
      <c r="F498">
        <v>1</v>
      </c>
      <c r="G498" s="10">
        <v>0.5</v>
      </c>
      <c r="H498" t="s">
        <v>46</v>
      </c>
      <c r="I498" t="s">
        <v>1957</v>
      </c>
      <c r="J498" t="s">
        <v>3555</v>
      </c>
      <c r="K498" t="s">
        <v>3556</v>
      </c>
      <c r="L498" s="11" t="s">
        <v>1023</v>
      </c>
    </row>
    <row r="499" spans="1:12">
      <c r="A499" t="s">
        <v>3557</v>
      </c>
      <c r="B499" s="8">
        <v>2.1</v>
      </c>
      <c r="C499" s="9">
        <v>7.4</v>
      </c>
      <c r="D499">
        <v>1</v>
      </c>
      <c r="E499">
        <v>1</v>
      </c>
      <c r="F499">
        <v>1</v>
      </c>
      <c r="G499" s="10">
        <v>1</v>
      </c>
      <c r="H499" t="s">
        <v>46</v>
      </c>
      <c r="I499" t="s">
        <v>1957</v>
      </c>
      <c r="J499" t="s">
        <v>3558</v>
      </c>
      <c r="K499" t="s">
        <v>3559</v>
      </c>
      <c r="L499" s="11" t="s">
        <v>3558</v>
      </c>
    </row>
    <row r="500" spans="1:12">
      <c r="A500" t="s">
        <v>3560</v>
      </c>
      <c r="B500" s="8">
        <v>6.4790000000000001</v>
      </c>
      <c r="C500" s="9">
        <v>21</v>
      </c>
      <c r="D500">
        <v>1</v>
      </c>
      <c r="E500">
        <v>1</v>
      </c>
      <c r="F500">
        <v>1</v>
      </c>
      <c r="G500" s="10">
        <v>1</v>
      </c>
      <c r="H500" t="s">
        <v>46</v>
      </c>
      <c r="I500" t="s">
        <v>1957</v>
      </c>
      <c r="J500" t="s">
        <v>3558</v>
      </c>
      <c r="K500" t="s">
        <v>3559</v>
      </c>
      <c r="L500" s="11" t="s">
        <v>3558</v>
      </c>
    </row>
    <row r="501" spans="1:12">
      <c r="A501" t="s">
        <v>3561</v>
      </c>
      <c r="B501" s="8">
        <v>2.8740000000000001</v>
      </c>
      <c r="C501" s="9">
        <v>202</v>
      </c>
      <c r="D501">
        <v>3</v>
      </c>
      <c r="E501">
        <v>2</v>
      </c>
      <c r="F501">
        <v>3</v>
      </c>
      <c r="G501" s="10">
        <v>1</v>
      </c>
      <c r="H501" t="s">
        <v>46</v>
      </c>
      <c r="I501" t="s">
        <v>1957</v>
      </c>
      <c r="J501" t="s">
        <v>3562</v>
      </c>
      <c r="K501" t="s">
        <v>1026</v>
      </c>
      <c r="L501" s="11" t="s">
        <v>1335</v>
      </c>
    </row>
    <row r="502" spans="1:12">
      <c r="A502" t="s">
        <v>3563</v>
      </c>
      <c r="B502" s="8">
        <v>2.4529999999999998</v>
      </c>
      <c r="C502" s="9">
        <v>287</v>
      </c>
      <c r="D502">
        <v>2</v>
      </c>
      <c r="E502">
        <v>2</v>
      </c>
      <c r="F502">
        <v>2</v>
      </c>
      <c r="G502" s="10">
        <v>1</v>
      </c>
      <c r="H502" t="s">
        <v>46</v>
      </c>
      <c r="I502" t="s">
        <v>1957</v>
      </c>
      <c r="J502" t="s">
        <v>3562</v>
      </c>
      <c r="K502" t="s">
        <v>1026</v>
      </c>
      <c r="L502" s="11" t="s">
        <v>1031</v>
      </c>
    </row>
    <row r="503" spans="1:12">
      <c r="A503" t="s">
        <v>3564</v>
      </c>
      <c r="B503" s="8">
        <v>2.5350000000000001</v>
      </c>
      <c r="C503" s="9">
        <v>22</v>
      </c>
      <c r="D503">
        <v>2</v>
      </c>
      <c r="E503">
        <v>2</v>
      </c>
      <c r="F503">
        <v>2</v>
      </c>
      <c r="G503" s="10">
        <v>1</v>
      </c>
      <c r="H503" t="s">
        <v>46</v>
      </c>
      <c r="I503" t="s">
        <v>1957</v>
      </c>
      <c r="J503" t="s">
        <v>3562</v>
      </c>
      <c r="K503" t="s">
        <v>1026</v>
      </c>
      <c r="L503" s="11" t="s">
        <v>1328</v>
      </c>
    </row>
    <row r="504" spans="1:12">
      <c r="A504" t="s">
        <v>3565</v>
      </c>
      <c r="B504" s="8">
        <v>3.145</v>
      </c>
      <c r="C504" s="9">
        <v>73</v>
      </c>
      <c r="D504">
        <v>3</v>
      </c>
      <c r="E504">
        <v>3</v>
      </c>
      <c r="F504">
        <v>3</v>
      </c>
      <c r="G504" s="10">
        <v>1</v>
      </c>
      <c r="H504" t="s">
        <v>46</v>
      </c>
      <c r="I504" t="s">
        <v>1957</v>
      </c>
      <c r="J504" t="s">
        <v>3566</v>
      </c>
      <c r="K504" t="s">
        <v>3567</v>
      </c>
      <c r="L504" s="11" t="s">
        <v>3568</v>
      </c>
    </row>
    <row r="505" spans="1:12">
      <c r="A505" t="s">
        <v>3569</v>
      </c>
      <c r="B505" s="8">
        <v>7.58</v>
      </c>
      <c r="C505" s="9">
        <v>14</v>
      </c>
      <c r="D505">
        <v>7</v>
      </c>
      <c r="E505">
        <v>7</v>
      </c>
      <c r="F505">
        <v>7</v>
      </c>
      <c r="G505" s="10">
        <v>1</v>
      </c>
      <c r="H505" t="s">
        <v>46</v>
      </c>
      <c r="I505" t="s">
        <v>1957</v>
      </c>
      <c r="J505" t="s">
        <v>3570</v>
      </c>
      <c r="K505" t="s">
        <v>3571</v>
      </c>
      <c r="L505" s="11" t="s">
        <v>3572</v>
      </c>
    </row>
    <row r="506" spans="1:12">
      <c r="A506" t="s">
        <v>3573</v>
      </c>
      <c r="B506" s="8">
        <v>4.5990000000000002</v>
      </c>
      <c r="C506" s="9">
        <v>11</v>
      </c>
      <c r="D506">
        <v>6</v>
      </c>
      <c r="E506">
        <v>6</v>
      </c>
      <c r="F506">
        <v>6</v>
      </c>
      <c r="G506" s="10">
        <v>1</v>
      </c>
      <c r="H506" t="s">
        <v>46</v>
      </c>
      <c r="I506" t="s">
        <v>1957</v>
      </c>
      <c r="J506" t="s">
        <v>3574</v>
      </c>
      <c r="K506" t="s">
        <v>3571</v>
      </c>
      <c r="L506" s="11" t="s">
        <v>3575</v>
      </c>
    </row>
    <row r="507" spans="1:12">
      <c r="A507" t="s">
        <v>3576</v>
      </c>
      <c r="B507" s="8">
        <v>4.718</v>
      </c>
      <c r="C507" s="9">
        <v>19</v>
      </c>
      <c r="D507">
        <v>4</v>
      </c>
      <c r="E507">
        <v>4</v>
      </c>
      <c r="F507">
        <v>4</v>
      </c>
      <c r="G507" s="10">
        <v>1</v>
      </c>
      <c r="H507" t="s">
        <v>46</v>
      </c>
      <c r="I507" t="s">
        <v>1957</v>
      </c>
      <c r="J507" t="s">
        <v>3577</v>
      </c>
      <c r="K507" t="s">
        <v>3571</v>
      </c>
      <c r="L507" s="11" t="s">
        <v>3578</v>
      </c>
    </row>
    <row r="508" spans="1:12">
      <c r="A508" t="s">
        <v>3579</v>
      </c>
      <c r="B508" s="8">
        <v>3.7730000000000001</v>
      </c>
      <c r="C508" s="9">
        <v>156</v>
      </c>
      <c r="D508">
        <v>2</v>
      </c>
      <c r="E508">
        <v>2</v>
      </c>
      <c r="F508">
        <v>2</v>
      </c>
      <c r="G508" s="10">
        <v>1</v>
      </c>
      <c r="H508" t="s">
        <v>46</v>
      </c>
      <c r="I508" t="s">
        <v>1957</v>
      </c>
      <c r="J508" t="s">
        <v>3580</v>
      </c>
      <c r="K508" t="s">
        <v>3581</v>
      </c>
      <c r="L508" s="11" t="s">
        <v>3582</v>
      </c>
    </row>
    <row r="509" spans="1:12">
      <c r="A509" t="s">
        <v>3583</v>
      </c>
      <c r="B509" s="8">
        <v>3.0489999999999999</v>
      </c>
      <c r="C509" s="9">
        <v>88</v>
      </c>
      <c r="D509">
        <v>2</v>
      </c>
      <c r="E509">
        <v>2</v>
      </c>
      <c r="F509">
        <v>2</v>
      </c>
      <c r="G509" s="10">
        <v>1</v>
      </c>
      <c r="H509" t="s">
        <v>46</v>
      </c>
      <c r="I509" t="s">
        <v>1957</v>
      </c>
      <c r="J509" t="s">
        <v>3584</v>
      </c>
      <c r="K509" t="s">
        <v>3585</v>
      </c>
      <c r="L509" s="11" t="s">
        <v>3586</v>
      </c>
    </row>
    <row r="510" spans="1:12">
      <c r="A510" t="s">
        <v>3587</v>
      </c>
      <c r="B510" s="8">
        <v>6.7210000000000001</v>
      </c>
      <c r="C510" s="9">
        <v>81</v>
      </c>
      <c r="D510">
        <v>5</v>
      </c>
      <c r="E510">
        <v>5</v>
      </c>
      <c r="F510">
        <v>5</v>
      </c>
      <c r="G510" s="10">
        <v>1</v>
      </c>
      <c r="H510" t="s">
        <v>46</v>
      </c>
      <c r="I510" t="s">
        <v>1957</v>
      </c>
      <c r="J510" t="s">
        <v>3588</v>
      </c>
      <c r="K510" t="s">
        <v>3589</v>
      </c>
      <c r="L510" s="11" t="s">
        <v>3590</v>
      </c>
    </row>
    <row r="511" spans="1:12">
      <c r="A511" t="s">
        <v>3591</v>
      </c>
      <c r="B511" s="8">
        <v>2.5299999999999998</v>
      </c>
      <c r="C511" s="9">
        <v>178</v>
      </c>
      <c r="D511">
        <v>5</v>
      </c>
      <c r="E511">
        <v>5</v>
      </c>
      <c r="F511">
        <v>5</v>
      </c>
      <c r="G511" s="10">
        <v>1</v>
      </c>
      <c r="H511" t="s">
        <v>46</v>
      </c>
      <c r="I511" t="s">
        <v>1957</v>
      </c>
      <c r="J511" t="s">
        <v>3592</v>
      </c>
      <c r="K511" t="s">
        <v>1038</v>
      </c>
      <c r="L511" s="11" t="s">
        <v>3592</v>
      </c>
    </row>
    <row r="512" spans="1:12">
      <c r="A512" t="s">
        <v>3593</v>
      </c>
      <c r="B512" s="8">
        <v>5.4349999999999996</v>
      </c>
      <c r="C512" s="9">
        <v>284</v>
      </c>
      <c r="D512">
        <v>5</v>
      </c>
      <c r="E512">
        <v>5</v>
      </c>
      <c r="F512">
        <v>5</v>
      </c>
      <c r="G512" s="10">
        <v>1</v>
      </c>
      <c r="H512" t="s">
        <v>46</v>
      </c>
      <c r="I512" t="s">
        <v>1957</v>
      </c>
      <c r="J512" t="s">
        <v>3594</v>
      </c>
      <c r="K512" t="s">
        <v>1038</v>
      </c>
      <c r="L512" s="11" t="s">
        <v>3594</v>
      </c>
    </row>
    <row r="513" spans="1:12">
      <c r="A513" t="s">
        <v>3595</v>
      </c>
      <c r="B513" s="8">
        <v>5.6710000000000003</v>
      </c>
      <c r="C513" s="9">
        <v>18</v>
      </c>
      <c r="D513">
        <v>5</v>
      </c>
      <c r="E513">
        <v>5</v>
      </c>
      <c r="F513">
        <v>5</v>
      </c>
      <c r="G513" s="10">
        <v>1</v>
      </c>
      <c r="H513" t="s">
        <v>46</v>
      </c>
      <c r="I513" t="s">
        <v>1957</v>
      </c>
      <c r="J513" t="s">
        <v>3596</v>
      </c>
      <c r="K513" t="s">
        <v>1038</v>
      </c>
      <c r="L513" s="11" t="s">
        <v>3596</v>
      </c>
    </row>
    <row r="514" spans="1:12">
      <c r="A514" t="s">
        <v>3597</v>
      </c>
      <c r="B514" s="8">
        <v>2.125</v>
      </c>
      <c r="C514" s="9">
        <v>24</v>
      </c>
      <c r="D514">
        <v>2</v>
      </c>
      <c r="E514">
        <v>2</v>
      </c>
      <c r="F514">
        <v>2</v>
      </c>
      <c r="G514" s="10">
        <v>1</v>
      </c>
      <c r="H514" t="s">
        <v>46</v>
      </c>
      <c r="I514" t="s">
        <v>1957</v>
      </c>
      <c r="J514" t="s">
        <v>3480</v>
      </c>
      <c r="K514" t="s">
        <v>1038</v>
      </c>
      <c r="L514" s="11" t="s">
        <v>3480</v>
      </c>
    </row>
    <row r="515" spans="1:12">
      <c r="A515" t="s">
        <v>3598</v>
      </c>
      <c r="B515" s="8">
        <v>2.4140000000000001</v>
      </c>
      <c r="C515" s="9">
        <v>11</v>
      </c>
      <c r="D515">
        <v>2</v>
      </c>
      <c r="E515">
        <v>2</v>
      </c>
      <c r="F515">
        <v>2</v>
      </c>
      <c r="G515" s="10">
        <v>1</v>
      </c>
      <c r="H515" t="s">
        <v>46</v>
      </c>
      <c r="I515" t="s">
        <v>1957</v>
      </c>
      <c r="J515" t="s">
        <v>1256</v>
      </c>
      <c r="K515" t="s">
        <v>1038</v>
      </c>
      <c r="L515" s="11" t="s">
        <v>1256</v>
      </c>
    </row>
    <row r="516" spans="1:12">
      <c r="A516" t="s">
        <v>3599</v>
      </c>
      <c r="B516" s="8">
        <v>2.4889999999999999</v>
      </c>
      <c r="C516" s="9">
        <v>11</v>
      </c>
      <c r="D516">
        <v>2</v>
      </c>
      <c r="E516">
        <v>2</v>
      </c>
      <c r="F516">
        <v>2</v>
      </c>
      <c r="G516" s="10">
        <v>1</v>
      </c>
      <c r="H516" t="s">
        <v>46</v>
      </c>
      <c r="I516" t="s">
        <v>1957</v>
      </c>
      <c r="J516" t="s">
        <v>1256</v>
      </c>
      <c r="K516" t="s">
        <v>1038</v>
      </c>
      <c r="L516" s="11" t="s">
        <v>3600</v>
      </c>
    </row>
    <row r="517" spans="1:12">
      <c r="A517" t="s">
        <v>3601</v>
      </c>
      <c r="B517" s="8">
        <v>2.3839999999999999</v>
      </c>
      <c r="C517" s="9">
        <v>17</v>
      </c>
      <c r="D517">
        <v>1</v>
      </c>
      <c r="E517">
        <v>1</v>
      </c>
      <c r="F517">
        <v>1</v>
      </c>
      <c r="G517" s="10">
        <v>1</v>
      </c>
      <c r="H517" t="s">
        <v>46</v>
      </c>
      <c r="I517" t="s">
        <v>1957</v>
      </c>
      <c r="J517" t="s">
        <v>1031</v>
      </c>
      <c r="K517" t="s">
        <v>1038</v>
      </c>
      <c r="L517" s="11" t="s">
        <v>1031</v>
      </c>
    </row>
    <row r="518" spans="1:12">
      <c r="A518" t="s">
        <v>3602</v>
      </c>
      <c r="B518" s="8">
        <v>2.3980000000000001</v>
      </c>
      <c r="C518" s="9">
        <v>1268</v>
      </c>
      <c r="D518">
        <v>1</v>
      </c>
      <c r="E518">
        <v>1</v>
      </c>
      <c r="F518">
        <v>1</v>
      </c>
      <c r="G518" s="10">
        <v>1</v>
      </c>
      <c r="H518" t="s">
        <v>46</v>
      </c>
      <c r="I518" t="s">
        <v>1957</v>
      </c>
      <c r="J518" t="s">
        <v>1031</v>
      </c>
      <c r="K518" t="s">
        <v>1038</v>
      </c>
      <c r="L518" s="11" t="s">
        <v>1031</v>
      </c>
    </row>
    <row r="519" spans="1:12">
      <c r="A519" t="s">
        <v>3603</v>
      </c>
      <c r="B519" s="8">
        <v>2.0489999999999999</v>
      </c>
      <c r="C519" s="9">
        <v>11</v>
      </c>
      <c r="D519">
        <v>3</v>
      </c>
      <c r="E519">
        <v>3</v>
      </c>
      <c r="F519">
        <v>3</v>
      </c>
      <c r="G519" s="10">
        <v>1</v>
      </c>
      <c r="H519" t="s">
        <v>46</v>
      </c>
      <c r="I519" t="s">
        <v>1957</v>
      </c>
      <c r="J519" t="s">
        <v>3604</v>
      </c>
      <c r="K519" t="s">
        <v>3605</v>
      </c>
      <c r="L519" s="11" t="s">
        <v>3606</v>
      </c>
    </row>
    <row r="520" spans="1:12">
      <c r="A520" t="s">
        <v>3607</v>
      </c>
      <c r="B520" s="8">
        <v>7.2510000000000003</v>
      </c>
      <c r="C520" s="9">
        <v>124</v>
      </c>
      <c r="D520">
        <v>5</v>
      </c>
      <c r="E520">
        <v>4</v>
      </c>
      <c r="F520">
        <v>4</v>
      </c>
      <c r="G520" s="10">
        <v>0.8</v>
      </c>
      <c r="H520" t="s">
        <v>46</v>
      </c>
      <c r="I520" t="s">
        <v>1957</v>
      </c>
      <c r="J520" t="s">
        <v>3608</v>
      </c>
      <c r="K520" t="s">
        <v>3609</v>
      </c>
      <c r="L520" s="11" t="s">
        <v>3606</v>
      </c>
    </row>
    <row r="521" spans="1:12">
      <c r="A521" t="s">
        <v>3610</v>
      </c>
      <c r="B521" s="8">
        <v>4.2140000000000004</v>
      </c>
      <c r="C521" s="9">
        <v>973</v>
      </c>
      <c r="D521">
        <v>5</v>
      </c>
      <c r="E521">
        <v>4</v>
      </c>
      <c r="F521">
        <v>4</v>
      </c>
      <c r="G521" s="10">
        <v>0.8</v>
      </c>
      <c r="H521" t="s">
        <v>46</v>
      </c>
      <c r="I521" t="s">
        <v>1957</v>
      </c>
      <c r="J521" t="s">
        <v>3611</v>
      </c>
      <c r="K521" t="s">
        <v>1051</v>
      </c>
      <c r="L521" s="11" t="s">
        <v>3612</v>
      </c>
    </row>
    <row r="522" spans="1:12">
      <c r="A522" t="s">
        <v>3613</v>
      </c>
      <c r="B522" s="8">
        <v>24.245999999999999</v>
      </c>
      <c r="C522" s="9">
        <v>33</v>
      </c>
      <c r="D522">
        <v>15</v>
      </c>
      <c r="E522">
        <v>15</v>
      </c>
      <c r="F522">
        <v>13</v>
      </c>
      <c r="G522" s="10">
        <v>0.8666666666666667</v>
      </c>
      <c r="H522" t="s">
        <v>46</v>
      </c>
      <c r="I522" t="s">
        <v>1957</v>
      </c>
      <c r="J522" t="s">
        <v>3614</v>
      </c>
      <c r="K522" t="s">
        <v>3615</v>
      </c>
      <c r="L522" s="11" t="s">
        <v>3616</v>
      </c>
    </row>
    <row r="523" spans="1:12">
      <c r="A523" t="s">
        <v>3617</v>
      </c>
      <c r="B523" s="8">
        <v>18.094999999999999</v>
      </c>
      <c r="C523" s="9">
        <v>1024</v>
      </c>
      <c r="D523">
        <v>7</v>
      </c>
      <c r="E523">
        <v>7</v>
      </c>
      <c r="F523">
        <v>7</v>
      </c>
      <c r="G523" s="10">
        <v>1</v>
      </c>
      <c r="H523" t="s">
        <v>46</v>
      </c>
      <c r="I523" t="s">
        <v>1957</v>
      </c>
      <c r="J523" t="s">
        <v>3618</v>
      </c>
      <c r="K523" t="s">
        <v>3619</v>
      </c>
      <c r="L523" s="11" t="s">
        <v>1333</v>
      </c>
    </row>
    <row r="524" spans="1:12">
      <c r="A524" t="s">
        <v>3620</v>
      </c>
      <c r="B524" s="8">
        <v>4.6900000000000004</v>
      </c>
      <c r="C524" s="9">
        <v>19</v>
      </c>
      <c r="D524">
        <v>3</v>
      </c>
      <c r="E524">
        <v>3</v>
      </c>
      <c r="F524">
        <v>3</v>
      </c>
      <c r="G524" s="10">
        <v>1</v>
      </c>
      <c r="H524" t="s">
        <v>46</v>
      </c>
      <c r="I524" t="s">
        <v>1957</v>
      </c>
      <c r="J524" t="s">
        <v>3621</v>
      </c>
      <c r="K524" t="s">
        <v>3622</v>
      </c>
      <c r="L524" s="11" t="s">
        <v>1256</v>
      </c>
    </row>
    <row r="525" spans="1:12">
      <c r="A525" t="s">
        <v>3623</v>
      </c>
      <c r="B525" s="8">
        <v>37.296999999999997</v>
      </c>
      <c r="C525" s="9">
        <v>108</v>
      </c>
      <c r="D525">
        <v>30</v>
      </c>
      <c r="E525">
        <v>29</v>
      </c>
      <c r="F525">
        <v>28</v>
      </c>
      <c r="G525" s="10">
        <v>0.93333333333333335</v>
      </c>
      <c r="H525" t="s">
        <v>46</v>
      </c>
      <c r="I525" t="s">
        <v>1957</v>
      </c>
      <c r="J525" t="s">
        <v>3624</v>
      </c>
      <c r="K525" t="s">
        <v>3625</v>
      </c>
      <c r="L525" s="11" t="s">
        <v>3626</v>
      </c>
    </row>
    <row r="526" spans="1:12">
      <c r="A526" t="s">
        <v>3627</v>
      </c>
      <c r="B526" s="8">
        <v>3.452</v>
      </c>
      <c r="C526" s="9">
        <v>23</v>
      </c>
      <c r="D526">
        <v>2</v>
      </c>
      <c r="E526">
        <v>2</v>
      </c>
      <c r="F526">
        <v>2</v>
      </c>
      <c r="G526" s="10">
        <v>1</v>
      </c>
      <c r="H526" t="s">
        <v>46</v>
      </c>
      <c r="I526" t="s">
        <v>1957</v>
      </c>
      <c r="J526" t="s">
        <v>3628</v>
      </c>
      <c r="K526" t="s">
        <v>3629</v>
      </c>
      <c r="L526" s="11" t="s">
        <v>1031</v>
      </c>
    </row>
    <row r="527" spans="1:12">
      <c r="A527" t="s">
        <v>3630</v>
      </c>
      <c r="B527" s="8">
        <v>2.258</v>
      </c>
      <c r="C527" s="9">
        <v>474</v>
      </c>
      <c r="D527">
        <v>4</v>
      </c>
      <c r="E527">
        <v>4</v>
      </c>
      <c r="F527">
        <v>4</v>
      </c>
      <c r="G527" s="10">
        <v>1</v>
      </c>
      <c r="H527" t="s">
        <v>46</v>
      </c>
      <c r="I527" t="s">
        <v>1957</v>
      </c>
      <c r="J527" t="s">
        <v>3631</v>
      </c>
      <c r="K527" t="s">
        <v>3632</v>
      </c>
      <c r="L527" s="11" t="s">
        <v>3633</v>
      </c>
    </row>
    <row r="528" spans="1:12">
      <c r="A528" t="s">
        <v>3634</v>
      </c>
      <c r="B528" s="8">
        <v>4.37</v>
      </c>
      <c r="C528" s="9">
        <v>17</v>
      </c>
      <c r="D528">
        <v>3</v>
      </c>
      <c r="E528">
        <v>3</v>
      </c>
      <c r="F528">
        <v>2</v>
      </c>
      <c r="G528" s="10">
        <v>0.66666666666666663</v>
      </c>
      <c r="H528" t="s">
        <v>46</v>
      </c>
      <c r="I528" t="s">
        <v>1957</v>
      </c>
      <c r="J528" t="s">
        <v>3635</v>
      </c>
      <c r="K528" t="s">
        <v>3636</v>
      </c>
      <c r="L528" s="11" t="s">
        <v>3606</v>
      </c>
    </row>
    <row r="529" spans="1:12">
      <c r="A529" t="s">
        <v>3637</v>
      </c>
      <c r="B529" s="8">
        <v>4.2030000000000003</v>
      </c>
      <c r="C529" s="9">
        <v>16</v>
      </c>
      <c r="D529">
        <v>4</v>
      </c>
      <c r="E529">
        <v>4</v>
      </c>
      <c r="F529">
        <v>3</v>
      </c>
      <c r="G529" s="10">
        <v>0.75</v>
      </c>
      <c r="H529" t="s">
        <v>46</v>
      </c>
      <c r="I529" t="s">
        <v>1957</v>
      </c>
      <c r="J529" t="s">
        <v>3638</v>
      </c>
      <c r="K529" t="s">
        <v>3639</v>
      </c>
      <c r="L529" s="11" t="s">
        <v>3640</v>
      </c>
    </row>
    <row r="530" spans="1:12">
      <c r="A530" t="s">
        <v>3641</v>
      </c>
      <c r="B530" s="8">
        <v>5.9969999999999999</v>
      </c>
      <c r="C530" s="9">
        <v>503</v>
      </c>
      <c r="D530">
        <v>8</v>
      </c>
      <c r="E530">
        <v>7</v>
      </c>
      <c r="F530">
        <v>7</v>
      </c>
      <c r="G530" s="10">
        <v>0.875</v>
      </c>
      <c r="H530" t="s">
        <v>46</v>
      </c>
      <c r="I530" t="s">
        <v>1957</v>
      </c>
      <c r="J530" t="s">
        <v>3642</v>
      </c>
      <c r="K530" t="s">
        <v>3643</v>
      </c>
      <c r="L530" s="11" t="s">
        <v>3644</v>
      </c>
    </row>
    <row r="531" spans="1:12">
      <c r="A531" t="s">
        <v>3645</v>
      </c>
      <c r="B531" s="8">
        <v>2.7210000000000001</v>
      </c>
      <c r="C531" s="9">
        <v>72</v>
      </c>
      <c r="D531">
        <v>3</v>
      </c>
      <c r="E531">
        <v>3</v>
      </c>
      <c r="F531">
        <v>2</v>
      </c>
      <c r="G531" s="10">
        <v>0.66666666666666663</v>
      </c>
      <c r="H531" t="s">
        <v>46</v>
      </c>
      <c r="I531" t="s">
        <v>1957</v>
      </c>
      <c r="J531" t="s">
        <v>3646</v>
      </c>
      <c r="K531" t="s">
        <v>3647</v>
      </c>
      <c r="L531" s="11" t="s">
        <v>3648</v>
      </c>
    </row>
    <row r="532" spans="1:12">
      <c r="A532" t="s">
        <v>3649</v>
      </c>
      <c r="B532" s="8">
        <v>2.34</v>
      </c>
      <c r="C532" s="9">
        <v>1337</v>
      </c>
      <c r="D532">
        <v>2</v>
      </c>
      <c r="E532">
        <v>2</v>
      </c>
      <c r="F532">
        <v>1</v>
      </c>
      <c r="G532" s="10">
        <v>0.5</v>
      </c>
      <c r="H532" t="s">
        <v>46</v>
      </c>
      <c r="I532" t="s">
        <v>1957</v>
      </c>
      <c r="J532" t="s">
        <v>3650</v>
      </c>
      <c r="K532" t="s">
        <v>3651</v>
      </c>
      <c r="L532" s="11" t="s">
        <v>1031</v>
      </c>
    </row>
    <row r="533" spans="1:12">
      <c r="A533" t="s">
        <v>3652</v>
      </c>
      <c r="B533" s="8">
        <v>2.0529999999999999</v>
      </c>
      <c r="C533" s="9">
        <v>375</v>
      </c>
      <c r="D533">
        <v>3</v>
      </c>
      <c r="E533">
        <v>3</v>
      </c>
      <c r="F533">
        <v>3</v>
      </c>
      <c r="G533" s="10">
        <v>1</v>
      </c>
      <c r="H533" t="s">
        <v>46</v>
      </c>
      <c r="I533" t="s">
        <v>1957</v>
      </c>
      <c r="J533" t="s">
        <v>3653</v>
      </c>
      <c r="K533" t="s">
        <v>3654</v>
      </c>
      <c r="L533" s="11" t="s">
        <v>3480</v>
      </c>
    </row>
    <row r="534" spans="1:12">
      <c r="A534" t="s">
        <v>3655</v>
      </c>
      <c r="B534" s="8">
        <v>2.2109999999999999</v>
      </c>
      <c r="C534" s="9">
        <v>11</v>
      </c>
      <c r="D534">
        <v>2</v>
      </c>
      <c r="E534">
        <v>2</v>
      </c>
      <c r="F534">
        <v>1</v>
      </c>
      <c r="G534" s="10">
        <v>0.5</v>
      </c>
      <c r="H534" t="s">
        <v>46</v>
      </c>
      <c r="I534" t="s">
        <v>1957</v>
      </c>
      <c r="J534" t="s">
        <v>3656</v>
      </c>
      <c r="K534" t="s">
        <v>3657</v>
      </c>
      <c r="L534" s="11" t="s">
        <v>1031</v>
      </c>
    </row>
    <row r="535" spans="1:12">
      <c r="A535" t="s">
        <v>3658</v>
      </c>
      <c r="B535" s="8">
        <v>13.752000000000001</v>
      </c>
      <c r="C535" s="9">
        <v>24</v>
      </c>
      <c r="D535">
        <v>7</v>
      </c>
      <c r="E535">
        <v>7</v>
      </c>
      <c r="F535">
        <v>6</v>
      </c>
      <c r="G535" s="10">
        <v>0.8571428571428571</v>
      </c>
      <c r="H535" t="s">
        <v>46</v>
      </c>
      <c r="I535" t="s">
        <v>1957</v>
      </c>
      <c r="J535" t="s">
        <v>3659</v>
      </c>
      <c r="K535" t="s">
        <v>3660</v>
      </c>
      <c r="L535" s="11" t="s">
        <v>3661</v>
      </c>
    </row>
    <row r="536" spans="1:12">
      <c r="A536" t="s">
        <v>3662</v>
      </c>
      <c r="B536" s="8">
        <v>5.3209999999999997</v>
      </c>
      <c r="C536" s="9">
        <v>136</v>
      </c>
      <c r="D536">
        <v>7</v>
      </c>
      <c r="E536">
        <v>7</v>
      </c>
      <c r="F536">
        <v>7</v>
      </c>
      <c r="G536" s="10">
        <v>1</v>
      </c>
      <c r="H536" t="s">
        <v>46</v>
      </c>
      <c r="I536" t="s">
        <v>1957</v>
      </c>
      <c r="J536" t="s">
        <v>3663</v>
      </c>
      <c r="K536" t="s">
        <v>3664</v>
      </c>
      <c r="L536" s="11" t="s">
        <v>3665</v>
      </c>
    </row>
    <row r="537" spans="1:12">
      <c r="A537" t="s">
        <v>3666</v>
      </c>
      <c r="B537" s="8">
        <v>6.194</v>
      </c>
      <c r="C537" s="9">
        <v>1210</v>
      </c>
      <c r="D537">
        <v>3</v>
      </c>
      <c r="E537">
        <v>2</v>
      </c>
      <c r="F537">
        <v>2</v>
      </c>
      <c r="G537" s="10">
        <v>0.66666666666666663</v>
      </c>
      <c r="H537" t="s">
        <v>46</v>
      </c>
      <c r="I537" t="s">
        <v>1957</v>
      </c>
      <c r="J537" t="s">
        <v>3667</v>
      </c>
      <c r="K537" t="s">
        <v>3668</v>
      </c>
      <c r="L537" s="11" t="s">
        <v>1081</v>
      </c>
    </row>
    <row r="538" spans="1:12">
      <c r="A538" t="s">
        <v>3669</v>
      </c>
      <c r="B538" s="8">
        <v>2.3119999999999998</v>
      </c>
      <c r="C538" s="9">
        <v>25</v>
      </c>
      <c r="D538">
        <v>2</v>
      </c>
      <c r="E538">
        <v>2</v>
      </c>
      <c r="F538">
        <v>2</v>
      </c>
      <c r="G538" s="10">
        <v>1</v>
      </c>
      <c r="H538" t="s">
        <v>46</v>
      </c>
      <c r="I538" t="s">
        <v>1957</v>
      </c>
      <c r="J538" t="s">
        <v>3670</v>
      </c>
      <c r="K538" t="s">
        <v>3671</v>
      </c>
      <c r="L538" s="11" t="s">
        <v>1083</v>
      </c>
    </row>
    <row r="539" spans="1:12">
      <c r="A539" t="s">
        <v>3672</v>
      </c>
      <c r="B539" s="8">
        <v>9.1880000000000006</v>
      </c>
      <c r="C539" s="9">
        <v>19</v>
      </c>
      <c r="D539">
        <v>8</v>
      </c>
      <c r="E539">
        <v>8</v>
      </c>
      <c r="F539">
        <v>8</v>
      </c>
      <c r="G539" s="10">
        <v>1</v>
      </c>
      <c r="H539" t="s">
        <v>46</v>
      </c>
      <c r="I539" t="s">
        <v>1957</v>
      </c>
      <c r="J539" t="s">
        <v>3673</v>
      </c>
      <c r="K539" t="s">
        <v>3674</v>
      </c>
      <c r="L539" s="11" t="s">
        <v>3675</v>
      </c>
    </row>
    <row r="540" spans="1:12">
      <c r="A540" t="s">
        <v>3676</v>
      </c>
      <c r="B540" s="8">
        <v>28.498000000000001</v>
      </c>
      <c r="C540" s="9">
        <v>30</v>
      </c>
      <c r="D540">
        <v>23</v>
      </c>
      <c r="E540">
        <v>23</v>
      </c>
      <c r="F540">
        <v>20</v>
      </c>
      <c r="G540" s="10">
        <v>0.86956521739130432</v>
      </c>
      <c r="H540" t="s">
        <v>46</v>
      </c>
      <c r="I540" t="s">
        <v>1957</v>
      </c>
      <c r="J540" t="s">
        <v>3677</v>
      </c>
      <c r="K540" t="s">
        <v>3678</v>
      </c>
      <c r="L540" s="11" t="s">
        <v>3679</v>
      </c>
    </row>
    <row r="541" spans="1:12">
      <c r="A541" t="s">
        <v>3680</v>
      </c>
      <c r="B541" s="8">
        <v>5.609</v>
      </c>
      <c r="C541" s="9">
        <v>20</v>
      </c>
      <c r="D541">
        <v>4</v>
      </c>
      <c r="E541">
        <v>4</v>
      </c>
      <c r="F541">
        <v>4</v>
      </c>
      <c r="G541" s="10">
        <v>1</v>
      </c>
      <c r="H541" t="s">
        <v>46</v>
      </c>
      <c r="I541" t="s">
        <v>1957</v>
      </c>
      <c r="J541" t="s">
        <v>3681</v>
      </c>
      <c r="K541" t="s">
        <v>3682</v>
      </c>
      <c r="L541" s="11" t="s">
        <v>1097</v>
      </c>
    </row>
    <row r="542" spans="1:12">
      <c r="A542" t="s">
        <v>3683</v>
      </c>
      <c r="B542" s="8">
        <v>22.841000000000001</v>
      </c>
      <c r="C542" s="9">
        <v>583</v>
      </c>
      <c r="D542">
        <v>13</v>
      </c>
      <c r="E542">
        <v>11</v>
      </c>
      <c r="F542">
        <v>10</v>
      </c>
      <c r="G542" s="10">
        <v>0.76923076923076927</v>
      </c>
      <c r="H542" t="s">
        <v>46</v>
      </c>
      <c r="I542" t="s">
        <v>1957</v>
      </c>
      <c r="J542" t="s">
        <v>3684</v>
      </c>
      <c r="K542" t="s">
        <v>3685</v>
      </c>
      <c r="L542" s="11" t="s">
        <v>3686</v>
      </c>
    </row>
    <row r="543" spans="1:12">
      <c r="A543" t="s">
        <v>3687</v>
      </c>
      <c r="B543" s="8">
        <v>6.6840000000000002</v>
      </c>
      <c r="C543" s="9">
        <v>19</v>
      </c>
      <c r="D543">
        <v>6</v>
      </c>
      <c r="E543">
        <v>4</v>
      </c>
      <c r="F543">
        <v>5</v>
      </c>
      <c r="G543" s="10">
        <v>0.83333333333333337</v>
      </c>
      <c r="H543" t="s">
        <v>46</v>
      </c>
      <c r="I543" t="s">
        <v>1957</v>
      </c>
      <c r="J543" t="s">
        <v>3688</v>
      </c>
      <c r="K543" t="s">
        <v>3689</v>
      </c>
      <c r="L543" s="11" t="s">
        <v>1097</v>
      </c>
    </row>
    <row r="544" spans="1:12">
      <c r="A544" t="s">
        <v>3690</v>
      </c>
      <c r="B544" s="8">
        <v>3.2269999999999999</v>
      </c>
      <c r="C544" s="9">
        <v>175</v>
      </c>
      <c r="D544">
        <v>3</v>
      </c>
      <c r="E544">
        <v>3</v>
      </c>
      <c r="F544">
        <v>2</v>
      </c>
      <c r="G544" s="10">
        <v>0.66666666666666663</v>
      </c>
      <c r="H544" t="s">
        <v>46</v>
      </c>
      <c r="I544" t="s">
        <v>1957</v>
      </c>
      <c r="J544" t="s">
        <v>3691</v>
      </c>
      <c r="K544" t="s">
        <v>3692</v>
      </c>
      <c r="L544" s="11" t="s">
        <v>3693</v>
      </c>
    </row>
    <row r="545" spans="1:12">
      <c r="A545" t="s">
        <v>3694</v>
      </c>
      <c r="B545" s="8">
        <v>3.59</v>
      </c>
      <c r="C545" s="9">
        <v>16</v>
      </c>
      <c r="D545">
        <v>1</v>
      </c>
      <c r="E545">
        <v>1</v>
      </c>
      <c r="F545">
        <v>1</v>
      </c>
      <c r="G545" s="10">
        <v>1</v>
      </c>
      <c r="H545" t="s">
        <v>46</v>
      </c>
      <c r="I545" t="s">
        <v>1957</v>
      </c>
      <c r="J545" t="s">
        <v>3695</v>
      </c>
      <c r="K545" t="s">
        <v>3696</v>
      </c>
      <c r="L545" s="11" t="s">
        <v>3695</v>
      </c>
    </row>
    <row r="546" spans="1:12">
      <c r="A546" t="s">
        <v>3697</v>
      </c>
      <c r="B546" s="8">
        <v>2.153</v>
      </c>
      <c r="C546" s="9">
        <v>12</v>
      </c>
      <c r="D546">
        <v>3</v>
      </c>
      <c r="E546">
        <v>2</v>
      </c>
      <c r="F546">
        <v>2</v>
      </c>
      <c r="G546" s="10">
        <v>0.66666666666666663</v>
      </c>
      <c r="H546" t="s">
        <v>46</v>
      </c>
      <c r="I546" t="s">
        <v>1957</v>
      </c>
      <c r="J546" t="s">
        <v>3698</v>
      </c>
      <c r="K546" t="s">
        <v>3699</v>
      </c>
      <c r="L546" s="11" t="s">
        <v>3695</v>
      </c>
    </row>
    <row r="547" spans="1:12">
      <c r="A547" t="s">
        <v>3700</v>
      </c>
      <c r="B547" s="8">
        <v>3.9529999999999998</v>
      </c>
      <c r="C547" s="9">
        <v>20</v>
      </c>
      <c r="D547">
        <v>5</v>
      </c>
      <c r="E547">
        <v>5</v>
      </c>
      <c r="F547">
        <v>5</v>
      </c>
      <c r="G547" s="10">
        <v>1</v>
      </c>
      <c r="H547" t="s">
        <v>46</v>
      </c>
      <c r="I547" t="s">
        <v>1957</v>
      </c>
      <c r="J547" t="s">
        <v>3701</v>
      </c>
      <c r="K547" t="s">
        <v>3702</v>
      </c>
      <c r="L547" s="11" t="s">
        <v>3703</v>
      </c>
    </row>
    <row r="548" spans="1:12">
      <c r="A548" t="s">
        <v>3704</v>
      </c>
      <c r="B548" s="8">
        <v>2.177</v>
      </c>
      <c r="C548" s="9">
        <v>33</v>
      </c>
      <c r="D548">
        <v>3</v>
      </c>
      <c r="E548">
        <v>2</v>
      </c>
      <c r="F548">
        <v>2</v>
      </c>
      <c r="G548" s="10">
        <v>0.66666666666666663</v>
      </c>
      <c r="H548" t="s">
        <v>46</v>
      </c>
      <c r="I548" t="s">
        <v>1957</v>
      </c>
      <c r="J548" t="s">
        <v>3705</v>
      </c>
      <c r="K548" t="s">
        <v>3706</v>
      </c>
      <c r="L548" s="11" t="s">
        <v>1377</v>
      </c>
    </row>
    <row r="549" spans="1:12">
      <c r="A549" t="s">
        <v>3707</v>
      </c>
      <c r="B549" s="8">
        <v>4.7430000000000003</v>
      </c>
      <c r="C549" s="9">
        <v>11</v>
      </c>
      <c r="D549">
        <v>3</v>
      </c>
      <c r="E549">
        <v>2</v>
      </c>
      <c r="F549">
        <v>3</v>
      </c>
      <c r="G549" s="10">
        <v>1</v>
      </c>
      <c r="H549" t="s">
        <v>46</v>
      </c>
      <c r="I549" t="s">
        <v>1957</v>
      </c>
      <c r="J549" t="s">
        <v>3708</v>
      </c>
      <c r="K549" t="s">
        <v>3709</v>
      </c>
      <c r="L549" s="11" t="s">
        <v>3582</v>
      </c>
    </row>
    <row r="550" spans="1:12">
      <c r="A550" t="s">
        <v>3710</v>
      </c>
      <c r="B550" s="8">
        <v>7.6180000000000003</v>
      </c>
      <c r="C550" s="9">
        <v>9.9</v>
      </c>
      <c r="D550">
        <v>8</v>
      </c>
      <c r="E550">
        <v>8</v>
      </c>
      <c r="F550">
        <v>8</v>
      </c>
      <c r="G550" s="10">
        <v>1</v>
      </c>
      <c r="H550" t="s">
        <v>46</v>
      </c>
      <c r="I550" t="s">
        <v>1957</v>
      </c>
      <c r="J550" t="s">
        <v>3711</v>
      </c>
      <c r="K550" t="s">
        <v>3712</v>
      </c>
      <c r="L550" s="11" t="s">
        <v>3713</v>
      </c>
    </row>
    <row r="551" spans="1:12">
      <c r="A551" t="s">
        <v>3714</v>
      </c>
      <c r="B551" s="8">
        <v>2.5750000000000002</v>
      </c>
      <c r="C551" s="9">
        <v>27</v>
      </c>
      <c r="D551">
        <v>2</v>
      </c>
      <c r="E551">
        <v>2</v>
      </c>
      <c r="F551">
        <v>2</v>
      </c>
      <c r="G551" s="10">
        <v>1</v>
      </c>
      <c r="H551" t="s">
        <v>46</v>
      </c>
      <c r="I551" t="s">
        <v>1957</v>
      </c>
      <c r="J551" t="s">
        <v>3715</v>
      </c>
      <c r="K551" t="s">
        <v>3712</v>
      </c>
      <c r="L551" s="11" t="s">
        <v>3716</v>
      </c>
    </row>
    <row r="552" spans="1:12">
      <c r="A552" t="s">
        <v>3717</v>
      </c>
      <c r="B552" s="8">
        <v>5.2</v>
      </c>
      <c r="C552" s="9">
        <v>20</v>
      </c>
      <c r="D552">
        <v>4</v>
      </c>
      <c r="E552">
        <v>3</v>
      </c>
      <c r="F552">
        <v>4</v>
      </c>
      <c r="G552" s="10">
        <v>1</v>
      </c>
      <c r="H552" t="s">
        <v>46</v>
      </c>
      <c r="I552" t="s">
        <v>1957</v>
      </c>
      <c r="J552" t="s">
        <v>3718</v>
      </c>
      <c r="K552" t="s">
        <v>1154</v>
      </c>
      <c r="L552" s="11" t="s">
        <v>3718</v>
      </c>
    </row>
    <row r="553" spans="1:12">
      <c r="A553" t="s">
        <v>3719</v>
      </c>
      <c r="B553" s="8">
        <v>2.29</v>
      </c>
      <c r="C553" s="9">
        <v>9.6</v>
      </c>
      <c r="D553">
        <v>4</v>
      </c>
      <c r="E553">
        <v>4</v>
      </c>
      <c r="F553">
        <v>4</v>
      </c>
      <c r="G553" s="10">
        <v>1</v>
      </c>
      <c r="H553" t="s">
        <v>46</v>
      </c>
      <c r="I553" t="s">
        <v>1957</v>
      </c>
      <c r="J553" t="s">
        <v>3720</v>
      </c>
      <c r="K553" t="s">
        <v>3721</v>
      </c>
      <c r="L553" s="11" t="s">
        <v>1158</v>
      </c>
    </row>
    <row r="554" spans="1:12">
      <c r="A554" t="s">
        <v>3722</v>
      </c>
      <c r="B554" s="8">
        <v>78.510999999999996</v>
      </c>
      <c r="C554" s="9">
        <v>202</v>
      </c>
      <c r="D554">
        <v>37</v>
      </c>
      <c r="E554">
        <v>33</v>
      </c>
      <c r="F554">
        <v>30</v>
      </c>
      <c r="G554" s="10">
        <v>0.81081081081081086</v>
      </c>
      <c r="H554" t="s">
        <v>46</v>
      </c>
      <c r="I554" t="s">
        <v>1957</v>
      </c>
      <c r="J554" t="s">
        <v>3723</v>
      </c>
      <c r="K554" t="s">
        <v>3724</v>
      </c>
      <c r="L554" s="11" t="s">
        <v>3725</v>
      </c>
    </row>
    <row r="555" spans="1:12">
      <c r="A555" t="s">
        <v>3726</v>
      </c>
      <c r="B555" s="8">
        <v>100.032</v>
      </c>
      <c r="C555" s="9">
        <v>102</v>
      </c>
      <c r="D555">
        <v>51</v>
      </c>
      <c r="E555">
        <v>51</v>
      </c>
      <c r="F555">
        <v>44</v>
      </c>
      <c r="G555" s="10">
        <v>0.86274509803921573</v>
      </c>
      <c r="H555" t="s">
        <v>46</v>
      </c>
      <c r="I555" t="s">
        <v>1957</v>
      </c>
      <c r="J555" t="s">
        <v>3727</v>
      </c>
      <c r="K555" t="s">
        <v>3728</v>
      </c>
      <c r="L555" s="11" t="s">
        <v>3729</v>
      </c>
    </row>
    <row r="556" spans="1:12">
      <c r="A556" t="s">
        <v>3730</v>
      </c>
      <c r="B556" s="8">
        <v>24.407</v>
      </c>
      <c r="C556" s="9">
        <v>29</v>
      </c>
      <c r="D556">
        <v>7</v>
      </c>
      <c r="E556">
        <v>5</v>
      </c>
      <c r="F556">
        <v>4</v>
      </c>
      <c r="G556" s="10">
        <v>0.5714285714285714</v>
      </c>
      <c r="H556" t="s">
        <v>46</v>
      </c>
      <c r="I556" t="s">
        <v>1957</v>
      </c>
      <c r="J556" t="s">
        <v>3731</v>
      </c>
      <c r="K556" t="s">
        <v>3732</v>
      </c>
      <c r="L556" s="11" t="s">
        <v>3733</v>
      </c>
    </row>
    <row r="557" spans="1:12">
      <c r="A557" t="s">
        <v>3734</v>
      </c>
      <c r="B557" s="8">
        <v>3.105</v>
      </c>
      <c r="C557" s="9">
        <v>9</v>
      </c>
      <c r="D557">
        <v>3</v>
      </c>
      <c r="E557">
        <v>3</v>
      </c>
      <c r="F557">
        <v>3</v>
      </c>
      <c r="G557" s="10">
        <v>1</v>
      </c>
      <c r="H557" t="s">
        <v>46</v>
      </c>
      <c r="I557" t="s">
        <v>1957</v>
      </c>
      <c r="J557" t="s">
        <v>3735</v>
      </c>
      <c r="K557" t="s">
        <v>3736</v>
      </c>
      <c r="L557" s="11" t="s">
        <v>3735</v>
      </c>
    </row>
    <row r="558" spans="1:12">
      <c r="A558" t="s">
        <v>3737</v>
      </c>
      <c r="B558" s="8">
        <v>3.278</v>
      </c>
      <c r="C558" s="9">
        <v>13</v>
      </c>
      <c r="D558">
        <v>2</v>
      </c>
      <c r="E558">
        <v>2</v>
      </c>
      <c r="F558">
        <v>1</v>
      </c>
      <c r="G558" s="10">
        <v>0.5</v>
      </c>
      <c r="H558" t="s">
        <v>46</v>
      </c>
      <c r="I558" t="s">
        <v>1957</v>
      </c>
      <c r="J558" t="s">
        <v>3738</v>
      </c>
      <c r="K558" t="s">
        <v>3739</v>
      </c>
      <c r="L558" s="11" t="s">
        <v>1081</v>
      </c>
    </row>
    <row r="559" spans="1:12">
      <c r="A559" t="s">
        <v>3740</v>
      </c>
      <c r="B559" s="8">
        <v>2.7330000000000001</v>
      </c>
      <c r="C559" s="9">
        <v>14</v>
      </c>
      <c r="D559">
        <v>2</v>
      </c>
      <c r="E559">
        <v>2</v>
      </c>
      <c r="F559">
        <v>2</v>
      </c>
      <c r="G559" s="10">
        <v>1</v>
      </c>
      <c r="H559" t="s">
        <v>46</v>
      </c>
      <c r="I559" t="s">
        <v>1957</v>
      </c>
      <c r="J559" t="s">
        <v>3741</v>
      </c>
      <c r="K559" t="s">
        <v>3742</v>
      </c>
      <c r="L559" s="11" t="s">
        <v>1377</v>
      </c>
    </row>
    <row r="560" spans="1:12">
      <c r="A560" t="s">
        <v>3743</v>
      </c>
      <c r="B560" s="8">
        <v>2.306</v>
      </c>
      <c r="C560" s="9">
        <v>13</v>
      </c>
      <c r="D560">
        <v>2</v>
      </c>
      <c r="E560">
        <v>2</v>
      </c>
      <c r="F560">
        <v>2</v>
      </c>
      <c r="G560" s="10">
        <v>1</v>
      </c>
      <c r="H560" t="s">
        <v>46</v>
      </c>
      <c r="I560" t="s">
        <v>1957</v>
      </c>
      <c r="J560" t="s">
        <v>3744</v>
      </c>
      <c r="K560" t="s">
        <v>3745</v>
      </c>
      <c r="L560" s="11" t="s">
        <v>3744</v>
      </c>
    </row>
    <row r="561" spans="1:12">
      <c r="A561" t="s">
        <v>3746</v>
      </c>
      <c r="B561" s="8">
        <v>34.722999999999999</v>
      </c>
      <c r="C561" s="9">
        <v>630</v>
      </c>
      <c r="D561">
        <v>33</v>
      </c>
      <c r="E561">
        <v>32</v>
      </c>
      <c r="F561">
        <v>26</v>
      </c>
      <c r="G561" s="10">
        <v>0.78787878787878785</v>
      </c>
      <c r="H561" t="s">
        <v>46</v>
      </c>
      <c r="I561" t="s">
        <v>1957</v>
      </c>
      <c r="J561" t="s">
        <v>3747</v>
      </c>
      <c r="K561" t="s">
        <v>3748</v>
      </c>
      <c r="L561" s="11" t="s">
        <v>3749</v>
      </c>
    </row>
    <row r="562" spans="1:12">
      <c r="A562" t="s">
        <v>3750</v>
      </c>
      <c r="B562" s="8">
        <v>2.1989999999999998</v>
      </c>
      <c r="C562" s="9">
        <v>16</v>
      </c>
      <c r="D562">
        <v>2</v>
      </c>
      <c r="E562">
        <v>2</v>
      </c>
      <c r="F562">
        <v>2</v>
      </c>
      <c r="G562" s="10">
        <v>1</v>
      </c>
      <c r="H562" t="s">
        <v>46</v>
      </c>
      <c r="I562" t="s">
        <v>1957</v>
      </c>
      <c r="J562" t="s">
        <v>3751</v>
      </c>
      <c r="K562" t="s">
        <v>3752</v>
      </c>
      <c r="L562" s="11" t="s">
        <v>3753</v>
      </c>
    </row>
    <row r="563" spans="1:12">
      <c r="A563" t="s">
        <v>3754</v>
      </c>
      <c r="B563" s="8">
        <v>36.662999999999997</v>
      </c>
      <c r="C563" s="9">
        <v>167</v>
      </c>
      <c r="D563">
        <v>27</v>
      </c>
      <c r="E563">
        <v>26</v>
      </c>
      <c r="F563">
        <v>20</v>
      </c>
      <c r="G563" s="10">
        <v>0.7407407407407407</v>
      </c>
      <c r="H563" t="s">
        <v>46</v>
      </c>
      <c r="I563" t="s">
        <v>1957</v>
      </c>
      <c r="J563" t="s">
        <v>3755</v>
      </c>
      <c r="K563" t="s">
        <v>3756</v>
      </c>
      <c r="L563" s="11" t="s">
        <v>3757</v>
      </c>
    </row>
    <row r="564" spans="1:12">
      <c r="A564" t="s">
        <v>3758</v>
      </c>
      <c r="B564" s="8">
        <v>35.21</v>
      </c>
      <c r="C564" s="9">
        <v>45</v>
      </c>
      <c r="D564">
        <v>28</v>
      </c>
      <c r="E564">
        <v>28</v>
      </c>
      <c r="F564">
        <v>25</v>
      </c>
      <c r="G564" s="10">
        <v>0.8928571428571429</v>
      </c>
      <c r="H564" t="s">
        <v>46</v>
      </c>
      <c r="I564" t="s">
        <v>1957</v>
      </c>
      <c r="J564" t="s">
        <v>3759</v>
      </c>
      <c r="K564" t="s">
        <v>3760</v>
      </c>
      <c r="L564" s="11" t="s">
        <v>3761</v>
      </c>
    </row>
    <row r="565" spans="1:12">
      <c r="A565" t="s">
        <v>3762</v>
      </c>
      <c r="B565" s="8">
        <v>2.9340000000000002</v>
      </c>
      <c r="C565" s="9">
        <v>17</v>
      </c>
      <c r="D565">
        <v>2</v>
      </c>
      <c r="E565">
        <v>2</v>
      </c>
      <c r="F565">
        <v>2</v>
      </c>
      <c r="G565" s="10">
        <v>1</v>
      </c>
      <c r="H565" t="s">
        <v>46</v>
      </c>
      <c r="I565" t="s">
        <v>1957</v>
      </c>
      <c r="J565" t="s">
        <v>3763</v>
      </c>
      <c r="K565" t="s">
        <v>3764</v>
      </c>
      <c r="L565" s="11" t="s">
        <v>3765</v>
      </c>
    </row>
    <row r="566" spans="1:12">
      <c r="A566" t="s">
        <v>3766</v>
      </c>
      <c r="B566" s="8">
        <v>2.5710000000000002</v>
      </c>
      <c r="C566" s="9">
        <v>13</v>
      </c>
      <c r="D566">
        <v>2</v>
      </c>
      <c r="E566">
        <v>2</v>
      </c>
      <c r="F566">
        <v>2</v>
      </c>
      <c r="G566" s="10">
        <v>1</v>
      </c>
      <c r="H566" t="s">
        <v>46</v>
      </c>
      <c r="I566" t="s">
        <v>1957</v>
      </c>
      <c r="J566" t="s">
        <v>3767</v>
      </c>
      <c r="K566" t="s">
        <v>3768</v>
      </c>
      <c r="L566" s="11" t="s">
        <v>1203</v>
      </c>
    </row>
    <row r="567" spans="1:12">
      <c r="A567" t="s">
        <v>3769</v>
      </c>
      <c r="B567" s="8">
        <v>2.2120000000000002</v>
      </c>
      <c r="C567" s="9">
        <v>16</v>
      </c>
      <c r="D567">
        <v>2</v>
      </c>
      <c r="E567">
        <v>2</v>
      </c>
      <c r="F567">
        <v>2</v>
      </c>
      <c r="G567" s="10">
        <v>1</v>
      </c>
      <c r="H567" t="s">
        <v>46</v>
      </c>
      <c r="I567" t="s">
        <v>1957</v>
      </c>
      <c r="J567" t="s">
        <v>3770</v>
      </c>
      <c r="K567" t="s">
        <v>3771</v>
      </c>
      <c r="L567" s="11" t="s">
        <v>1203</v>
      </c>
    </row>
    <row r="568" spans="1:12">
      <c r="A568" t="s">
        <v>3772</v>
      </c>
      <c r="B568" s="8">
        <v>3.54</v>
      </c>
      <c r="C568" s="9">
        <v>430</v>
      </c>
      <c r="D568">
        <v>3</v>
      </c>
      <c r="E568">
        <v>3</v>
      </c>
      <c r="F568">
        <v>3</v>
      </c>
      <c r="G568" s="10">
        <v>1</v>
      </c>
      <c r="H568" t="s">
        <v>46</v>
      </c>
      <c r="I568" t="s">
        <v>1957</v>
      </c>
      <c r="J568" t="s">
        <v>3773</v>
      </c>
      <c r="K568" t="s">
        <v>3774</v>
      </c>
      <c r="L568" s="11" t="s">
        <v>3775</v>
      </c>
    </row>
    <row r="569" spans="1:12">
      <c r="A569" t="s">
        <v>3776</v>
      </c>
      <c r="B569" s="8">
        <v>2.69</v>
      </c>
      <c r="C569" s="9">
        <v>26</v>
      </c>
      <c r="D569">
        <v>4</v>
      </c>
      <c r="E569">
        <v>4</v>
      </c>
      <c r="F569">
        <v>4</v>
      </c>
      <c r="G569" s="10">
        <v>1</v>
      </c>
      <c r="H569" t="s">
        <v>46</v>
      </c>
      <c r="I569" t="s">
        <v>1957</v>
      </c>
      <c r="J569" t="s">
        <v>3777</v>
      </c>
      <c r="K569" t="s">
        <v>3778</v>
      </c>
      <c r="L569" s="11" t="s">
        <v>3779</v>
      </c>
    </row>
    <row r="570" spans="1:12">
      <c r="A570" t="s">
        <v>3780</v>
      </c>
      <c r="B570" s="8">
        <v>20.225000000000001</v>
      </c>
      <c r="C570" s="9">
        <v>38</v>
      </c>
      <c r="D570">
        <v>18</v>
      </c>
      <c r="E570">
        <v>18</v>
      </c>
      <c r="F570">
        <v>16</v>
      </c>
      <c r="G570" s="10">
        <v>0.88888888888888884</v>
      </c>
      <c r="H570" t="s">
        <v>46</v>
      </c>
      <c r="I570" t="s">
        <v>1957</v>
      </c>
      <c r="J570" t="s">
        <v>3781</v>
      </c>
      <c r="K570" t="s">
        <v>3782</v>
      </c>
      <c r="L570" s="11" t="s">
        <v>3783</v>
      </c>
    </row>
    <row r="571" spans="1:12">
      <c r="A571" t="s">
        <v>3784</v>
      </c>
      <c r="B571" s="8">
        <v>6.1959999999999997</v>
      </c>
      <c r="C571" s="9">
        <v>413</v>
      </c>
      <c r="D571">
        <v>5</v>
      </c>
      <c r="E571">
        <v>2</v>
      </c>
      <c r="F571">
        <v>5</v>
      </c>
      <c r="G571" s="10">
        <v>1</v>
      </c>
      <c r="H571" t="s">
        <v>46</v>
      </c>
      <c r="I571" t="s">
        <v>1957</v>
      </c>
      <c r="J571" t="s">
        <v>3785</v>
      </c>
      <c r="K571" t="s">
        <v>3786</v>
      </c>
      <c r="L571" s="11" t="s">
        <v>3787</v>
      </c>
    </row>
    <row r="572" spans="1:12">
      <c r="A572" t="s">
        <v>3788</v>
      </c>
      <c r="B572" s="8">
        <v>6.9059999999999997</v>
      </c>
      <c r="C572" s="9">
        <v>24</v>
      </c>
      <c r="D572">
        <v>2</v>
      </c>
      <c r="E572">
        <v>2</v>
      </c>
      <c r="F572">
        <v>1</v>
      </c>
      <c r="G572" s="10">
        <v>0.5</v>
      </c>
      <c r="H572" t="s">
        <v>46</v>
      </c>
      <c r="I572" t="s">
        <v>1957</v>
      </c>
      <c r="J572" t="s">
        <v>3789</v>
      </c>
      <c r="K572" t="s">
        <v>3790</v>
      </c>
      <c r="L572" s="11" t="s">
        <v>1091</v>
      </c>
    </row>
    <row r="573" spans="1:12">
      <c r="A573" t="s">
        <v>3791</v>
      </c>
      <c r="B573" s="8">
        <v>3.4689999999999999</v>
      </c>
      <c r="C573" s="9">
        <v>9.1999999999999993</v>
      </c>
      <c r="D573">
        <v>2</v>
      </c>
      <c r="E573">
        <v>2</v>
      </c>
      <c r="F573">
        <v>2</v>
      </c>
      <c r="G573" s="10">
        <v>1</v>
      </c>
      <c r="H573" t="s">
        <v>46</v>
      </c>
      <c r="I573" t="s">
        <v>1957</v>
      </c>
      <c r="J573" t="s">
        <v>3792</v>
      </c>
      <c r="K573" t="s">
        <v>3793</v>
      </c>
      <c r="L573" s="11" t="s">
        <v>3794</v>
      </c>
    </row>
    <row r="574" spans="1:12">
      <c r="A574" t="s">
        <v>3795</v>
      </c>
      <c r="B574" s="8">
        <v>3.6629999999999998</v>
      </c>
      <c r="C574" s="9">
        <v>12</v>
      </c>
      <c r="D574">
        <v>2</v>
      </c>
      <c r="E574">
        <v>2</v>
      </c>
      <c r="F574">
        <v>2</v>
      </c>
      <c r="G574" s="10">
        <v>1</v>
      </c>
      <c r="H574" t="s">
        <v>46</v>
      </c>
      <c r="I574" t="s">
        <v>1957</v>
      </c>
      <c r="J574" t="s">
        <v>1205</v>
      </c>
      <c r="K574" t="s">
        <v>1206</v>
      </c>
      <c r="L574" s="11" t="s">
        <v>1091</v>
      </c>
    </row>
    <row r="575" spans="1:12">
      <c r="A575" t="s">
        <v>3796</v>
      </c>
      <c r="B575" s="8">
        <v>3.6360000000000001</v>
      </c>
      <c r="C575" s="9">
        <v>994</v>
      </c>
      <c r="D575">
        <v>2</v>
      </c>
      <c r="E575">
        <v>2</v>
      </c>
      <c r="F575">
        <v>2</v>
      </c>
      <c r="G575" s="10">
        <v>1</v>
      </c>
      <c r="H575" t="s">
        <v>46</v>
      </c>
      <c r="I575" t="s">
        <v>1957</v>
      </c>
      <c r="J575" t="s">
        <v>3797</v>
      </c>
      <c r="K575" t="s">
        <v>3798</v>
      </c>
      <c r="L575" s="11" t="s">
        <v>1091</v>
      </c>
    </row>
    <row r="576" spans="1:12">
      <c r="A576" t="s">
        <v>3799</v>
      </c>
      <c r="B576" s="8">
        <v>3.7989999999999999</v>
      </c>
      <c r="C576" s="9">
        <v>157</v>
      </c>
      <c r="D576">
        <v>3</v>
      </c>
      <c r="E576">
        <v>3</v>
      </c>
      <c r="F576">
        <v>2</v>
      </c>
      <c r="G576" s="10">
        <v>0.66666666666666663</v>
      </c>
      <c r="H576" t="s">
        <v>46</v>
      </c>
      <c r="I576" t="s">
        <v>1957</v>
      </c>
      <c r="J576" t="s">
        <v>3800</v>
      </c>
      <c r="K576" t="s">
        <v>3801</v>
      </c>
      <c r="L576" s="11" t="s">
        <v>3802</v>
      </c>
    </row>
    <row r="577" spans="1:12">
      <c r="A577" t="s">
        <v>3803</v>
      </c>
      <c r="B577" s="8">
        <v>2.0350000000000001</v>
      </c>
      <c r="C577" s="9">
        <v>232</v>
      </c>
      <c r="D577">
        <v>2</v>
      </c>
      <c r="E577">
        <v>2</v>
      </c>
      <c r="F577">
        <v>1</v>
      </c>
      <c r="G577" s="10">
        <v>0.5</v>
      </c>
      <c r="H577" t="s">
        <v>46</v>
      </c>
      <c r="I577" t="s">
        <v>1957</v>
      </c>
      <c r="J577" t="s">
        <v>3804</v>
      </c>
      <c r="K577" t="s">
        <v>3805</v>
      </c>
      <c r="L577" s="11" t="s">
        <v>3806</v>
      </c>
    </row>
    <row r="578" spans="1:12">
      <c r="A578" t="s">
        <v>3807</v>
      </c>
      <c r="B578" s="8">
        <v>2.9929999999999999</v>
      </c>
      <c r="C578" s="9">
        <v>152</v>
      </c>
      <c r="D578">
        <v>2</v>
      </c>
      <c r="E578">
        <v>2</v>
      </c>
      <c r="F578">
        <v>1</v>
      </c>
      <c r="G578" s="10">
        <v>0.5</v>
      </c>
      <c r="H578" t="s">
        <v>46</v>
      </c>
      <c r="I578" t="s">
        <v>1957</v>
      </c>
      <c r="J578" t="s">
        <v>3808</v>
      </c>
      <c r="K578" t="s">
        <v>3809</v>
      </c>
      <c r="L578" s="11" t="s">
        <v>3806</v>
      </c>
    </row>
    <row r="579" spans="1:12">
      <c r="A579" t="s">
        <v>3810</v>
      </c>
      <c r="B579" s="8">
        <v>8.6910000000000007</v>
      </c>
      <c r="C579" s="9">
        <v>179</v>
      </c>
      <c r="D579">
        <v>3</v>
      </c>
      <c r="E579">
        <v>3</v>
      </c>
      <c r="F579">
        <v>3</v>
      </c>
      <c r="G579" s="10">
        <v>1</v>
      </c>
      <c r="H579" t="s">
        <v>46</v>
      </c>
      <c r="I579" t="s">
        <v>1957</v>
      </c>
      <c r="J579" t="s">
        <v>3811</v>
      </c>
      <c r="K579" t="s">
        <v>3812</v>
      </c>
      <c r="L579" s="11" t="s">
        <v>1210</v>
      </c>
    </row>
    <row r="580" spans="1:12">
      <c r="A580" t="s">
        <v>3813</v>
      </c>
      <c r="B580" s="8">
        <v>6.4180000000000001</v>
      </c>
      <c r="C580" s="9">
        <v>16</v>
      </c>
      <c r="D580">
        <v>3</v>
      </c>
      <c r="E580">
        <v>1</v>
      </c>
      <c r="F580">
        <v>3</v>
      </c>
      <c r="G580" s="10">
        <v>1</v>
      </c>
      <c r="H580" t="s">
        <v>46</v>
      </c>
      <c r="I580" t="s">
        <v>1957</v>
      </c>
      <c r="J580" t="s">
        <v>3814</v>
      </c>
      <c r="K580" t="s">
        <v>3815</v>
      </c>
      <c r="L580" s="11" t="s">
        <v>3814</v>
      </c>
    </row>
    <row r="581" spans="1:12">
      <c r="A581" t="s">
        <v>3816</v>
      </c>
      <c r="B581" s="8">
        <v>3.9020000000000001</v>
      </c>
      <c r="C581" s="9">
        <v>48</v>
      </c>
      <c r="D581">
        <v>3</v>
      </c>
      <c r="E581">
        <v>2</v>
      </c>
      <c r="F581">
        <v>2</v>
      </c>
      <c r="G581" s="10">
        <v>0.66666666666666663</v>
      </c>
      <c r="H581" t="s">
        <v>46</v>
      </c>
      <c r="I581" t="s">
        <v>1957</v>
      </c>
      <c r="J581" t="s">
        <v>3817</v>
      </c>
      <c r="K581" t="s">
        <v>3818</v>
      </c>
      <c r="L581" s="11" t="s">
        <v>3819</v>
      </c>
    </row>
    <row r="582" spans="1:12">
      <c r="A582" t="s">
        <v>3820</v>
      </c>
      <c r="B582" s="8">
        <v>3.6150000000000002</v>
      </c>
      <c r="C582" s="9">
        <v>146</v>
      </c>
      <c r="D582">
        <v>2</v>
      </c>
      <c r="E582">
        <v>2</v>
      </c>
      <c r="F582">
        <v>2</v>
      </c>
      <c r="G582" s="10">
        <v>1</v>
      </c>
      <c r="H582" t="s">
        <v>46</v>
      </c>
      <c r="I582" t="s">
        <v>1957</v>
      </c>
      <c r="J582" t="s">
        <v>3821</v>
      </c>
      <c r="K582" t="s">
        <v>3822</v>
      </c>
      <c r="L582" s="11" t="s">
        <v>3823</v>
      </c>
    </row>
    <row r="583" spans="1:12">
      <c r="A583" t="s">
        <v>3824</v>
      </c>
      <c r="B583" s="8">
        <v>3.871</v>
      </c>
      <c r="C583" s="9">
        <v>236</v>
      </c>
      <c r="D583">
        <v>2</v>
      </c>
      <c r="E583">
        <v>2</v>
      </c>
      <c r="F583">
        <v>2</v>
      </c>
      <c r="G583" s="10">
        <v>1</v>
      </c>
      <c r="H583" t="s">
        <v>46</v>
      </c>
      <c r="I583" t="s">
        <v>1957</v>
      </c>
      <c r="J583" t="s">
        <v>3821</v>
      </c>
      <c r="K583" t="s">
        <v>3822</v>
      </c>
      <c r="L583" s="11" t="s">
        <v>3823</v>
      </c>
    </row>
    <row r="584" spans="1:12">
      <c r="A584" t="s">
        <v>3825</v>
      </c>
      <c r="B584" s="8">
        <v>2.2090000000000001</v>
      </c>
      <c r="C584" s="9">
        <v>15</v>
      </c>
      <c r="D584">
        <v>2</v>
      </c>
      <c r="E584">
        <v>1</v>
      </c>
      <c r="F584">
        <v>1</v>
      </c>
      <c r="G584" s="10">
        <v>0.5</v>
      </c>
      <c r="H584" t="s">
        <v>46</v>
      </c>
      <c r="I584" t="s">
        <v>1957</v>
      </c>
      <c r="J584" t="s">
        <v>3582</v>
      </c>
      <c r="K584" t="s">
        <v>3826</v>
      </c>
      <c r="L584" s="11" t="s">
        <v>3582</v>
      </c>
    </row>
    <row r="585" spans="1:12">
      <c r="A585" t="s">
        <v>3827</v>
      </c>
      <c r="B585" s="8">
        <v>2.27</v>
      </c>
      <c r="C585" s="9">
        <v>20</v>
      </c>
      <c r="D585">
        <v>2</v>
      </c>
      <c r="E585">
        <v>2</v>
      </c>
      <c r="F585">
        <v>1</v>
      </c>
      <c r="G585" s="10">
        <v>0.5</v>
      </c>
      <c r="H585" t="s">
        <v>46</v>
      </c>
      <c r="I585" t="s">
        <v>1957</v>
      </c>
      <c r="J585" t="s">
        <v>3828</v>
      </c>
      <c r="K585" t="s">
        <v>3829</v>
      </c>
      <c r="L585" s="11" t="s">
        <v>3582</v>
      </c>
    </row>
    <row r="586" spans="1:12">
      <c r="A586" t="s">
        <v>3830</v>
      </c>
      <c r="B586" s="8">
        <v>2.3109999999999999</v>
      </c>
      <c r="C586" s="9">
        <v>181</v>
      </c>
      <c r="D586">
        <v>2</v>
      </c>
      <c r="E586">
        <v>2</v>
      </c>
      <c r="F586">
        <v>1</v>
      </c>
      <c r="G586" s="10">
        <v>0.5</v>
      </c>
      <c r="H586" t="s">
        <v>46</v>
      </c>
      <c r="I586" t="s">
        <v>1957</v>
      </c>
      <c r="J586" t="s">
        <v>3831</v>
      </c>
      <c r="K586" t="s">
        <v>3832</v>
      </c>
      <c r="L586" s="11" t="s">
        <v>1031</v>
      </c>
    </row>
    <row r="587" spans="1:12">
      <c r="A587" t="s">
        <v>3833</v>
      </c>
      <c r="B587" s="8">
        <v>2.133</v>
      </c>
      <c r="C587" s="9">
        <v>17</v>
      </c>
      <c r="D587">
        <v>2</v>
      </c>
      <c r="E587">
        <v>2</v>
      </c>
      <c r="F587">
        <v>1</v>
      </c>
      <c r="G587" s="10">
        <v>0.5</v>
      </c>
      <c r="H587" t="s">
        <v>46</v>
      </c>
      <c r="I587" t="s">
        <v>1957</v>
      </c>
      <c r="J587" t="s">
        <v>3834</v>
      </c>
      <c r="K587" t="s">
        <v>3835</v>
      </c>
      <c r="L587" s="11" t="s">
        <v>3695</v>
      </c>
    </row>
    <row r="588" spans="1:12">
      <c r="A588" t="s">
        <v>3836</v>
      </c>
      <c r="B588" s="8">
        <v>10.912000000000001</v>
      </c>
      <c r="C588" s="9">
        <v>14</v>
      </c>
      <c r="D588">
        <v>8</v>
      </c>
      <c r="E588">
        <v>4</v>
      </c>
      <c r="F588">
        <v>3</v>
      </c>
      <c r="G588" s="10">
        <v>0.375</v>
      </c>
      <c r="H588" t="s">
        <v>46</v>
      </c>
      <c r="I588" t="s">
        <v>1957</v>
      </c>
      <c r="J588" t="s">
        <v>3837</v>
      </c>
      <c r="K588" t="s">
        <v>3838</v>
      </c>
      <c r="L588" s="11" t="s">
        <v>3839</v>
      </c>
    </row>
    <row r="589" spans="1:12">
      <c r="A589" t="s">
        <v>3840</v>
      </c>
      <c r="B589" s="8">
        <v>6.3689999999999998</v>
      </c>
      <c r="C589" s="9">
        <v>49</v>
      </c>
      <c r="D589">
        <v>4</v>
      </c>
      <c r="E589">
        <v>4</v>
      </c>
      <c r="F589">
        <v>4</v>
      </c>
      <c r="G589" s="10">
        <v>1</v>
      </c>
      <c r="H589" t="s">
        <v>46</v>
      </c>
      <c r="I589" t="s">
        <v>1957</v>
      </c>
      <c r="J589" t="s">
        <v>3841</v>
      </c>
      <c r="K589" t="s">
        <v>3842</v>
      </c>
      <c r="L589" s="11" t="s">
        <v>3843</v>
      </c>
    </row>
    <row r="590" spans="1:12">
      <c r="A590" t="s">
        <v>3844</v>
      </c>
      <c r="B590" s="8">
        <v>41.171999999999997</v>
      </c>
      <c r="C590" s="9">
        <v>78</v>
      </c>
      <c r="D590">
        <v>29</v>
      </c>
      <c r="E590">
        <v>26</v>
      </c>
      <c r="F590">
        <v>24</v>
      </c>
      <c r="G590" s="10">
        <v>0.82758620689655171</v>
      </c>
      <c r="H590" t="s">
        <v>46</v>
      </c>
      <c r="I590" t="s">
        <v>1957</v>
      </c>
      <c r="J590" t="s">
        <v>3845</v>
      </c>
      <c r="K590" t="s">
        <v>3846</v>
      </c>
      <c r="L590" s="11" t="s">
        <v>3847</v>
      </c>
    </row>
    <row r="591" spans="1:12">
      <c r="A591" t="s">
        <v>3848</v>
      </c>
      <c r="B591" s="8">
        <v>5.6379999999999999</v>
      </c>
      <c r="C591" s="9">
        <v>31</v>
      </c>
      <c r="D591">
        <v>4</v>
      </c>
      <c r="E591">
        <v>3</v>
      </c>
      <c r="F591">
        <v>3</v>
      </c>
      <c r="G591" s="10">
        <v>0.75</v>
      </c>
      <c r="H591" t="s">
        <v>46</v>
      </c>
      <c r="I591" t="s">
        <v>1957</v>
      </c>
      <c r="J591" t="s">
        <v>3849</v>
      </c>
      <c r="K591" t="s">
        <v>3850</v>
      </c>
      <c r="L591" s="11" t="s">
        <v>3582</v>
      </c>
    </row>
    <row r="592" spans="1:12">
      <c r="A592" t="s">
        <v>3851</v>
      </c>
      <c r="B592" s="8">
        <v>4.4859999999999998</v>
      </c>
      <c r="C592" s="9">
        <v>1697</v>
      </c>
      <c r="D592">
        <v>4</v>
      </c>
      <c r="E592">
        <v>1</v>
      </c>
      <c r="F592">
        <v>4</v>
      </c>
      <c r="G592" s="10">
        <v>1</v>
      </c>
      <c r="H592" t="s">
        <v>46</v>
      </c>
      <c r="I592" t="s">
        <v>1957</v>
      </c>
      <c r="J592" t="s">
        <v>1226</v>
      </c>
      <c r="K592" t="s">
        <v>3852</v>
      </c>
      <c r="L592" s="11" t="s">
        <v>1226</v>
      </c>
    </row>
    <row r="593" spans="1:12">
      <c r="A593" t="s">
        <v>3853</v>
      </c>
      <c r="B593" s="8">
        <v>2.2440000000000002</v>
      </c>
      <c r="C593" s="9">
        <v>255</v>
      </c>
      <c r="D593">
        <v>3</v>
      </c>
      <c r="E593">
        <v>1</v>
      </c>
      <c r="F593">
        <v>3</v>
      </c>
      <c r="G593" s="10">
        <v>1</v>
      </c>
      <c r="H593" t="s">
        <v>46</v>
      </c>
      <c r="I593" t="s">
        <v>1957</v>
      </c>
      <c r="J593" t="s">
        <v>1226</v>
      </c>
      <c r="K593" t="s">
        <v>3852</v>
      </c>
      <c r="L593" s="11" t="s">
        <v>1226</v>
      </c>
    </row>
    <row r="594" spans="1:12">
      <c r="A594" t="s">
        <v>3854</v>
      </c>
      <c r="B594" s="8">
        <v>3.0449999999999999</v>
      </c>
      <c r="C594" s="9">
        <v>11</v>
      </c>
      <c r="D594">
        <v>3</v>
      </c>
      <c r="E594">
        <v>3</v>
      </c>
      <c r="F594">
        <v>3</v>
      </c>
      <c r="G594" s="10">
        <v>1</v>
      </c>
      <c r="H594" t="s">
        <v>46</v>
      </c>
      <c r="I594" t="s">
        <v>1957</v>
      </c>
      <c r="J594" t="s">
        <v>3855</v>
      </c>
      <c r="K594" t="s">
        <v>3852</v>
      </c>
      <c r="L594" s="11" t="s">
        <v>3855</v>
      </c>
    </row>
    <row r="595" spans="1:12">
      <c r="A595" t="s">
        <v>3856</v>
      </c>
      <c r="B595" s="8">
        <v>3.9420000000000002</v>
      </c>
      <c r="C595" s="9">
        <v>14</v>
      </c>
      <c r="D595">
        <v>3</v>
      </c>
      <c r="E595">
        <v>3</v>
      </c>
      <c r="F595">
        <v>3</v>
      </c>
      <c r="G595" s="10">
        <v>1</v>
      </c>
      <c r="H595" t="s">
        <v>46</v>
      </c>
      <c r="I595" t="s">
        <v>1957</v>
      </c>
      <c r="J595" t="s">
        <v>3857</v>
      </c>
      <c r="K595" t="s">
        <v>3852</v>
      </c>
      <c r="L595" s="11" t="s">
        <v>3857</v>
      </c>
    </row>
    <row r="596" spans="1:12">
      <c r="A596" t="s">
        <v>3858</v>
      </c>
      <c r="B596" s="8">
        <v>2.75</v>
      </c>
      <c r="C596" s="9">
        <v>13</v>
      </c>
      <c r="D596">
        <v>2</v>
      </c>
      <c r="E596">
        <v>1</v>
      </c>
      <c r="F596">
        <v>1</v>
      </c>
      <c r="G596" s="10">
        <v>0.5</v>
      </c>
      <c r="H596" t="s">
        <v>46</v>
      </c>
      <c r="I596" t="s">
        <v>1957</v>
      </c>
      <c r="J596" t="s">
        <v>1226</v>
      </c>
      <c r="K596" t="s">
        <v>3852</v>
      </c>
      <c r="L596" s="11" t="s">
        <v>1226</v>
      </c>
    </row>
    <row r="597" spans="1:12">
      <c r="A597" t="s">
        <v>3859</v>
      </c>
      <c r="B597" s="8">
        <v>2.0680000000000001</v>
      </c>
      <c r="C597" s="9">
        <v>11</v>
      </c>
      <c r="D597">
        <v>2</v>
      </c>
      <c r="E597">
        <v>2</v>
      </c>
      <c r="F597">
        <v>2</v>
      </c>
      <c r="G597" s="10">
        <v>1</v>
      </c>
      <c r="H597" t="s">
        <v>46</v>
      </c>
      <c r="I597" t="s">
        <v>1957</v>
      </c>
      <c r="J597" t="s">
        <v>3860</v>
      </c>
      <c r="K597" t="s">
        <v>3861</v>
      </c>
      <c r="L597" s="11" t="s">
        <v>1226</v>
      </c>
    </row>
    <row r="598" spans="1:12">
      <c r="A598" t="s">
        <v>3862</v>
      </c>
      <c r="B598" s="8">
        <v>4.9749999999999996</v>
      </c>
      <c r="C598" s="9">
        <v>17</v>
      </c>
      <c r="D598">
        <v>3</v>
      </c>
      <c r="E598">
        <v>3</v>
      </c>
      <c r="F598">
        <v>3</v>
      </c>
      <c r="G598" s="10">
        <v>1</v>
      </c>
      <c r="H598" t="s">
        <v>46</v>
      </c>
      <c r="I598" t="s">
        <v>1957</v>
      </c>
      <c r="J598" t="s">
        <v>3863</v>
      </c>
      <c r="K598" t="s">
        <v>3864</v>
      </c>
      <c r="L598" s="11" t="s">
        <v>3865</v>
      </c>
    </row>
    <row r="599" spans="1:12">
      <c r="A599" t="s">
        <v>3866</v>
      </c>
      <c r="B599" s="8">
        <v>2.33</v>
      </c>
      <c r="C599" s="9">
        <v>7.8</v>
      </c>
      <c r="D599">
        <v>3</v>
      </c>
      <c r="E599">
        <v>3</v>
      </c>
      <c r="F599">
        <v>3</v>
      </c>
      <c r="G599" s="10">
        <v>1</v>
      </c>
      <c r="H599" t="s">
        <v>46</v>
      </c>
      <c r="I599" t="s">
        <v>1957</v>
      </c>
      <c r="J599" t="s">
        <v>3867</v>
      </c>
      <c r="K599" t="s">
        <v>3868</v>
      </c>
      <c r="L599" s="11" t="s">
        <v>3865</v>
      </c>
    </row>
    <row r="600" spans="1:12">
      <c r="A600" t="s">
        <v>3869</v>
      </c>
      <c r="B600" s="8">
        <v>3.8130000000000002</v>
      </c>
      <c r="C600" s="9">
        <v>14</v>
      </c>
      <c r="D600">
        <v>2</v>
      </c>
      <c r="E600">
        <v>2</v>
      </c>
      <c r="F600">
        <v>1</v>
      </c>
      <c r="G600" s="10">
        <v>0.5</v>
      </c>
      <c r="H600" t="s">
        <v>46</v>
      </c>
      <c r="I600" t="s">
        <v>1957</v>
      </c>
      <c r="J600" t="s">
        <v>3870</v>
      </c>
      <c r="K600" t="s">
        <v>3868</v>
      </c>
      <c r="L600" s="11" t="s">
        <v>1226</v>
      </c>
    </row>
    <row r="601" spans="1:12">
      <c r="A601" t="s">
        <v>3871</v>
      </c>
      <c r="B601" s="8">
        <v>2.202</v>
      </c>
      <c r="C601" s="9">
        <v>24</v>
      </c>
      <c r="D601">
        <v>3</v>
      </c>
      <c r="E601">
        <v>3</v>
      </c>
      <c r="F601">
        <v>3</v>
      </c>
      <c r="G601" s="10">
        <v>1</v>
      </c>
      <c r="H601" t="s">
        <v>46</v>
      </c>
      <c r="I601" t="s">
        <v>1957</v>
      </c>
      <c r="J601" t="s">
        <v>3872</v>
      </c>
      <c r="K601" t="s">
        <v>3873</v>
      </c>
      <c r="L601" s="11" t="s">
        <v>3874</v>
      </c>
    </row>
    <row r="602" spans="1:12">
      <c r="A602" t="s">
        <v>3875</v>
      </c>
      <c r="B602" s="8">
        <v>2.7909999999999999</v>
      </c>
      <c r="C602" s="9">
        <v>184</v>
      </c>
      <c r="D602">
        <v>2</v>
      </c>
      <c r="E602">
        <v>2</v>
      </c>
      <c r="F602">
        <v>2</v>
      </c>
      <c r="G602" s="10">
        <v>1</v>
      </c>
      <c r="H602" t="s">
        <v>46</v>
      </c>
      <c r="I602" t="s">
        <v>1957</v>
      </c>
      <c r="J602" t="s">
        <v>3876</v>
      </c>
      <c r="K602" t="s">
        <v>1252</v>
      </c>
      <c r="L602" s="11" t="s">
        <v>3877</v>
      </c>
    </row>
    <row r="603" spans="1:12">
      <c r="A603" t="s">
        <v>3878</v>
      </c>
      <c r="B603" s="8">
        <v>2.8940000000000001</v>
      </c>
      <c r="C603" s="9">
        <v>11</v>
      </c>
      <c r="D603">
        <v>2</v>
      </c>
      <c r="E603">
        <v>2</v>
      </c>
      <c r="F603">
        <v>2</v>
      </c>
      <c r="G603" s="10">
        <v>1</v>
      </c>
      <c r="H603" t="s">
        <v>46</v>
      </c>
      <c r="I603" t="s">
        <v>1957</v>
      </c>
      <c r="J603" t="s">
        <v>3879</v>
      </c>
      <c r="K603" t="s">
        <v>1252</v>
      </c>
      <c r="L603" s="11" t="s">
        <v>3879</v>
      </c>
    </row>
    <row r="604" spans="1:12">
      <c r="A604" t="s">
        <v>3880</v>
      </c>
      <c r="B604" s="8">
        <v>3.18</v>
      </c>
      <c r="C604" s="9">
        <v>12</v>
      </c>
      <c r="D604">
        <v>2</v>
      </c>
      <c r="E604">
        <v>2</v>
      </c>
      <c r="F604">
        <v>2</v>
      </c>
      <c r="G604" s="10">
        <v>1</v>
      </c>
      <c r="H604" t="s">
        <v>46</v>
      </c>
      <c r="I604" t="s">
        <v>1957</v>
      </c>
      <c r="J604" t="s">
        <v>3879</v>
      </c>
      <c r="K604" t="s">
        <v>1252</v>
      </c>
      <c r="L604" s="11" t="s">
        <v>3879</v>
      </c>
    </row>
    <row r="605" spans="1:12">
      <c r="A605" t="s">
        <v>3881</v>
      </c>
      <c r="B605" s="8">
        <v>3.1589999999999998</v>
      </c>
      <c r="C605" s="9">
        <v>13</v>
      </c>
      <c r="D605">
        <v>2</v>
      </c>
      <c r="E605">
        <v>1</v>
      </c>
      <c r="F605">
        <v>1</v>
      </c>
      <c r="G605" s="10">
        <v>0.5</v>
      </c>
      <c r="H605" t="s">
        <v>46</v>
      </c>
      <c r="I605" t="s">
        <v>1957</v>
      </c>
      <c r="J605" t="s">
        <v>1251</v>
      </c>
      <c r="K605" t="s">
        <v>1252</v>
      </c>
      <c r="L605" s="11" t="s">
        <v>1251</v>
      </c>
    </row>
    <row r="606" spans="1:12">
      <c r="A606" t="s">
        <v>3882</v>
      </c>
      <c r="B606" s="8">
        <v>40.485999999999997</v>
      </c>
      <c r="C606" s="9">
        <v>52</v>
      </c>
      <c r="D606">
        <v>26</v>
      </c>
      <c r="E606">
        <v>25</v>
      </c>
      <c r="F606">
        <v>24</v>
      </c>
      <c r="G606" s="10">
        <v>0.92307692307692313</v>
      </c>
      <c r="H606" t="s">
        <v>46</v>
      </c>
      <c r="I606" t="s">
        <v>1957</v>
      </c>
      <c r="J606" t="s">
        <v>3883</v>
      </c>
      <c r="K606" t="s">
        <v>3884</v>
      </c>
      <c r="L606" s="11" t="s">
        <v>3885</v>
      </c>
    </row>
    <row r="607" spans="1:12">
      <c r="A607" t="s">
        <v>3886</v>
      </c>
      <c r="B607" s="8">
        <v>2.2480000000000002</v>
      </c>
      <c r="C607" s="9">
        <v>16</v>
      </c>
      <c r="D607">
        <v>2</v>
      </c>
      <c r="E607">
        <v>2</v>
      </c>
      <c r="F607">
        <v>2</v>
      </c>
      <c r="G607" s="10">
        <v>1</v>
      </c>
      <c r="H607" t="s">
        <v>46</v>
      </c>
      <c r="I607" t="s">
        <v>1957</v>
      </c>
      <c r="J607" t="s">
        <v>3887</v>
      </c>
      <c r="K607" t="s">
        <v>3888</v>
      </c>
      <c r="L607" s="11" t="s">
        <v>1251</v>
      </c>
    </row>
    <row r="608" spans="1:12">
      <c r="A608" t="s">
        <v>3889</v>
      </c>
      <c r="B608" s="8">
        <v>2.1419999999999999</v>
      </c>
      <c r="C608" s="9">
        <v>25</v>
      </c>
      <c r="D608">
        <v>2</v>
      </c>
      <c r="E608">
        <v>2</v>
      </c>
      <c r="F608">
        <v>2</v>
      </c>
      <c r="G608" s="10">
        <v>1</v>
      </c>
      <c r="H608" t="s">
        <v>46</v>
      </c>
      <c r="I608" t="s">
        <v>1957</v>
      </c>
      <c r="J608" t="s">
        <v>3890</v>
      </c>
      <c r="K608" t="s">
        <v>3891</v>
      </c>
      <c r="L608" s="11" t="s">
        <v>1251</v>
      </c>
    </row>
    <row r="609" spans="1:12">
      <c r="A609" t="s">
        <v>3892</v>
      </c>
      <c r="B609" s="8">
        <v>4.74</v>
      </c>
      <c r="C609" s="9">
        <v>18</v>
      </c>
      <c r="D609">
        <v>1</v>
      </c>
      <c r="E609">
        <v>1</v>
      </c>
      <c r="F609">
        <v>1</v>
      </c>
      <c r="G609" s="10">
        <v>1</v>
      </c>
      <c r="H609" t="s">
        <v>46</v>
      </c>
      <c r="I609" t="s">
        <v>1957</v>
      </c>
      <c r="J609" t="s">
        <v>3893</v>
      </c>
      <c r="K609" t="s">
        <v>3894</v>
      </c>
      <c r="L609" s="11" t="s">
        <v>3893</v>
      </c>
    </row>
    <row r="610" spans="1:12">
      <c r="A610" t="s">
        <v>3895</v>
      </c>
      <c r="B610" s="8">
        <v>2.4420000000000002</v>
      </c>
      <c r="C610" s="9">
        <v>13</v>
      </c>
      <c r="D610">
        <v>2</v>
      </c>
      <c r="E610">
        <v>2</v>
      </c>
      <c r="F610">
        <v>2</v>
      </c>
      <c r="G610" s="10">
        <v>1</v>
      </c>
      <c r="H610" t="s">
        <v>46</v>
      </c>
      <c r="I610" t="s">
        <v>1957</v>
      </c>
      <c r="J610" t="s">
        <v>3896</v>
      </c>
      <c r="K610" t="s">
        <v>3897</v>
      </c>
      <c r="L610" s="11" t="s">
        <v>3893</v>
      </c>
    </row>
    <row r="611" spans="1:12">
      <c r="A611" t="s">
        <v>3898</v>
      </c>
      <c r="B611" s="8">
        <v>4.7450000000000001</v>
      </c>
      <c r="C611" s="9">
        <v>245</v>
      </c>
      <c r="D611">
        <v>5</v>
      </c>
      <c r="E611">
        <v>5</v>
      </c>
      <c r="F611">
        <v>5</v>
      </c>
      <c r="G611" s="10">
        <v>1</v>
      </c>
      <c r="H611" t="s">
        <v>46</v>
      </c>
      <c r="I611" t="s">
        <v>1957</v>
      </c>
      <c r="J611" t="s">
        <v>3899</v>
      </c>
      <c r="K611" t="s">
        <v>3900</v>
      </c>
      <c r="L611" s="11" t="s">
        <v>3899</v>
      </c>
    </row>
    <row r="612" spans="1:12">
      <c r="A612" t="s">
        <v>3901</v>
      </c>
      <c r="B612" s="8">
        <v>4.6260000000000003</v>
      </c>
      <c r="C612" s="9">
        <v>123</v>
      </c>
      <c r="D612">
        <v>5</v>
      </c>
      <c r="E612">
        <v>5</v>
      </c>
      <c r="F612">
        <v>5</v>
      </c>
      <c r="G612" s="10">
        <v>1</v>
      </c>
      <c r="H612" t="s">
        <v>46</v>
      </c>
      <c r="I612" t="s">
        <v>1957</v>
      </c>
      <c r="J612" t="s">
        <v>3902</v>
      </c>
      <c r="K612" t="s">
        <v>3903</v>
      </c>
      <c r="L612" s="11" t="s">
        <v>3904</v>
      </c>
    </row>
    <row r="613" spans="1:12">
      <c r="A613" t="s">
        <v>3905</v>
      </c>
      <c r="B613" s="8">
        <v>2.6509999999999998</v>
      </c>
      <c r="C613" s="9">
        <v>23</v>
      </c>
      <c r="D613">
        <v>2</v>
      </c>
      <c r="E613">
        <v>2</v>
      </c>
      <c r="F613">
        <v>2</v>
      </c>
      <c r="G613" s="10">
        <v>1</v>
      </c>
      <c r="H613" t="s">
        <v>46</v>
      </c>
      <c r="I613" t="s">
        <v>1957</v>
      </c>
      <c r="J613" t="s">
        <v>3906</v>
      </c>
      <c r="K613" t="s">
        <v>3907</v>
      </c>
      <c r="L613" s="11" t="s">
        <v>3823</v>
      </c>
    </row>
    <row r="614" spans="1:12">
      <c r="A614" t="s">
        <v>3908</v>
      </c>
      <c r="B614" s="8">
        <v>2.2719999999999998</v>
      </c>
      <c r="C614" s="9">
        <v>9.1999999999999993</v>
      </c>
      <c r="D614">
        <v>2</v>
      </c>
      <c r="E614">
        <v>2</v>
      </c>
      <c r="F614">
        <v>2</v>
      </c>
      <c r="G614" s="10">
        <v>1</v>
      </c>
      <c r="H614" t="s">
        <v>46</v>
      </c>
      <c r="I614" t="s">
        <v>1957</v>
      </c>
      <c r="J614" t="s">
        <v>3909</v>
      </c>
      <c r="K614" t="s">
        <v>3910</v>
      </c>
      <c r="L614" s="11" t="s">
        <v>3909</v>
      </c>
    </row>
    <row r="615" spans="1:12">
      <c r="A615" t="s">
        <v>3911</v>
      </c>
      <c r="B615" s="8">
        <v>2.0790000000000002</v>
      </c>
      <c r="C615" s="9">
        <v>102</v>
      </c>
      <c r="D615">
        <v>1</v>
      </c>
      <c r="E615">
        <v>1</v>
      </c>
      <c r="F615">
        <v>1</v>
      </c>
      <c r="G615" s="10">
        <v>1</v>
      </c>
      <c r="H615" t="s">
        <v>46</v>
      </c>
      <c r="I615" t="s">
        <v>1957</v>
      </c>
      <c r="J615" t="s">
        <v>3794</v>
      </c>
      <c r="K615" t="s">
        <v>3910</v>
      </c>
      <c r="L615" s="11" t="s">
        <v>3794</v>
      </c>
    </row>
    <row r="616" spans="1:12">
      <c r="A616" t="s">
        <v>3912</v>
      </c>
      <c r="B616" s="8">
        <v>4.2619999999999996</v>
      </c>
      <c r="C616" s="9">
        <v>15</v>
      </c>
      <c r="D616">
        <v>1</v>
      </c>
      <c r="E616">
        <v>1</v>
      </c>
      <c r="F616">
        <v>1</v>
      </c>
      <c r="G616" s="10">
        <v>1</v>
      </c>
      <c r="H616" t="s">
        <v>46</v>
      </c>
      <c r="I616" t="s">
        <v>1957</v>
      </c>
      <c r="J616" t="s">
        <v>3913</v>
      </c>
      <c r="K616" t="s">
        <v>3914</v>
      </c>
      <c r="L616" s="11" t="s">
        <v>3913</v>
      </c>
    </row>
    <row r="617" spans="1:12">
      <c r="A617" t="s">
        <v>3915</v>
      </c>
      <c r="B617" s="8">
        <v>2.0539999999999998</v>
      </c>
      <c r="C617" s="9">
        <v>6.8</v>
      </c>
      <c r="D617">
        <v>1</v>
      </c>
      <c r="E617">
        <v>1</v>
      </c>
      <c r="F617">
        <v>1</v>
      </c>
      <c r="G617" s="10">
        <v>1</v>
      </c>
      <c r="H617" t="s">
        <v>46</v>
      </c>
      <c r="I617" t="s">
        <v>1957</v>
      </c>
      <c r="J617" t="s">
        <v>3916</v>
      </c>
      <c r="K617" t="s">
        <v>3917</v>
      </c>
      <c r="L617" s="11" t="s">
        <v>3916</v>
      </c>
    </row>
    <row r="618" spans="1:12">
      <c r="A618" t="s">
        <v>3918</v>
      </c>
      <c r="B618" s="8">
        <v>8.7309999999999999</v>
      </c>
      <c r="C618" s="9">
        <v>344</v>
      </c>
      <c r="D618">
        <v>8</v>
      </c>
      <c r="E618">
        <v>8</v>
      </c>
      <c r="F618">
        <v>8</v>
      </c>
      <c r="G618" s="10">
        <v>1</v>
      </c>
      <c r="H618" t="s">
        <v>46</v>
      </c>
      <c r="I618" t="s">
        <v>1957</v>
      </c>
      <c r="J618" t="s">
        <v>3919</v>
      </c>
      <c r="K618" t="s">
        <v>3920</v>
      </c>
      <c r="L618" s="11" t="s">
        <v>3921</v>
      </c>
    </row>
    <row r="619" spans="1:12">
      <c r="A619" t="s">
        <v>3922</v>
      </c>
      <c r="B619" s="8">
        <v>6.8330000000000002</v>
      </c>
      <c r="C619" s="9">
        <v>1509</v>
      </c>
      <c r="D619">
        <v>7</v>
      </c>
      <c r="E619">
        <v>7</v>
      </c>
      <c r="F619">
        <v>7</v>
      </c>
      <c r="G619" s="10">
        <v>1</v>
      </c>
      <c r="H619" t="s">
        <v>46</v>
      </c>
      <c r="I619" t="s">
        <v>1957</v>
      </c>
      <c r="J619" t="s">
        <v>1288</v>
      </c>
      <c r="K619" t="s">
        <v>1259</v>
      </c>
      <c r="L619" s="11" t="s">
        <v>1288</v>
      </c>
    </row>
    <row r="620" spans="1:12">
      <c r="A620" t="s">
        <v>3923</v>
      </c>
      <c r="B620" s="8">
        <v>2.2269999999999999</v>
      </c>
      <c r="C620" s="9">
        <v>18</v>
      </c>
      <c r="D620">
        <v>3</v>
      </c>
      <c r="E620">
        <v>3</v>
      </c>
      <c r="F620">
        <v>3</v>
      </c>
      <c r="G620" s="10">
        <v>1</v>
      </c>
      <c r="H620" t="s">
        <v>46</v>
      </c>
      <c r="I620" t="s">
        <v>1957</v>
      </c>
      <c r="J620" t="s">
        <v>3924</v>
      </c>
      <c r="K620" t="s">
        <v>1259</v>
      </c>
      <c r="L620" s="11" t="s">
        <v>3924</v>
      </c>
    </row>
    <row r="621" spans="1:12">
      <c r="A621" t="s">
        <v>3925</v>
      </c>
      <c r="B621" s="8">
        <v>2.4279999999999999</v>
      </c>
      <c r="C621" s="9">
        <v>1765</v>
      </c>
      <c r="D621">
        <v>3</v>
      </c>
      <c r="E621">
        <v>3</v>
      </c>
      <c r="F621">
        <v>3</v>
      </c>
      <c r="G621" s="10">
        <v>1</v>
      </c>
      <c r="H621" t="s">
        <v>46</v>
      </c>
      <c r="I621" t="s">
        <v>1957</v>
      </c>
      <c r="J621" t="s">
        <v>1263</v>
      </c>
      <c r="K621" t="s">
        <v>1259</v>
      </c>
      <c r="L621" s="11" t="s">
        <v>1263</v>
      </c>
    </row>
    <row r="622" spans="1:12">
      <c r="A622" t="s">
        <v>3926</v>
      </c>
      <c r="B622" s="8">
        <v>2.9849999999999999</v>
      </c>
      <c r="C622" s="9">
        <v>16</v>
      </c>
      <c r="D622">
        <v>3</v>
      </c>
      <c r="E622">
        <v>3</v>
      </c>
      <c r="F622">
        <v>3</v>
      </c>
      <c r="G622" s="10">
        <v>1</v>
      </c>
      <c r="H622" t="s">
        <v>46</v>
      </c>
      <c r="I622" t="s">
        <v>1957</v>
      </c>
      <c r="J622" t="s">
        <v>1263</v>
      </c>
      <c r="K622" t="s">
        <v>1259</v>
      </c>
      <c r="L622" s="11" t="s">
        <v>1263</v>
      </c>
    </row>
    <row r="623" spans="1:12">
      <c r="A623" t="s">
        <v>3927</v>
      </c>
      <c r="B623" s="8">
        <v>2.1930000000000001</v>
      </c>
      <c r="C623" s="9">
        <v>74</v>
      </c>
      <c r="D623">
        <v>2</v>
      </c>
      <c r="E623">
        <v>2</v>
      </c>
      <c r="F623">
        <v>2</v>
      </c>
      <c r="G623" s="10">
        <v>1</v>
      </c>
      <c r="H623" t="s">
        <v>46</v>
      </c>
      <c r="I623" t="s">
        <v>1957</v>
      </c>
      <c r="J623" t="s">
        <v>1265</v>
      </c>
      <c r="K623" t="s">
        <v>1259</v>
      </c>
      <c r="L623" s="11" t="s">
        <v>1265</v>
      </c>
    </row>
    <row r="624" spans="1:12">
      <c r="A624" t="s">
        <v>3928</v>
      </c>
      <c r="B624" s="8">
        <v>2.3359999999999999</v>
      </c>
      <c r="C624" s="9">
        <v>10</v>
      </c>
      <c r="D624">
        <v>2</v>
      </c>
      <c r="E624">
        <v>2</v>
      </c>
      <c r="F624">
        <v>2</v>
      </c>
      <c r="G624" s="10">
        <v>1</v>
      </c>
      <c r="H624" t="s">
        <v>46</v>
      </c>
      <c r="I624" t="s">
        <v>1957</v>
      </c>
      <c r="J624" t="s">
        <v>1292</v>
      </c>
      <c r="K624" t="s">
        <v>1259</v>
      </c>
      <c r="L624" s="11" t="s">
        <v>1292</v>
      </c>
    </row>
    <row r="625" spans="1:12">
      <c r="A625" t="s">
        <v>3929</v>
      </c>
      <c r="B625" s="8">
        <v>3.0369999999999999</v>
      </c>
      <c r="C625" s="9">
        <v>16</v>
      </c>
      <c r="D625">
        <v>2</v>
      </c>
      <c r="E625">
        <v>2</v>
      </c>
      <c r="F625">
        <v>2</v>
      </c>
      <c r="G625" s="10">
        <v>1</v>
      </c>
      <c r="H625" t="s">
        <v>46</v>
      </c>
      <c r="I625" t="s">
        <v>1957</v>
      </c>
      <c r="J625" t="s">
        <v>1265</v>
      </c>
      <c r="K625" t="s">
        <v>1259</v>
      </c>
      <c r="L625" s="11" t="s">
        <v>1265</v>
      </c>
    </row>
    <row r="626" spans="1:12">
      <c r="A626" t="s">
        <v>3930</v>
      </c>
      <c r="B626" s="8">
        <v>3.8479999999999999</v>
      </c>
      <c r="C626" s="9">
        <v>1494</v>
      </c>
      <c r="D626">
        <v>2</v>
      </c>
      <c r="E626">
        <v>2</v>
      </c>
      <c r="F626">
        <v>2</v>
      </c>
      <c r="G626" s="10">
        <v>1</v>
      </c>
      <c r="H626" t="s">
        <v>46</v>
      </c>
      <c r="I626" t="s">
        <v>1957</v>
      </c>
      <c r="J626" t="s">
        <v>1265</v>
      </c>
      <c r="K626" t="s">
        <v>1259</v>
      </c>
      <c r="L626" s="11" t="s">
        <v>1265</v>
      </c>
    </row>
    <row r="627" spans="1:12">
      <c r="A627" t="s">
        <v>3931</v>
      </c>
      <c r="B627" s="8">
        <v>3.8660000000000001</v>
      </c>
      <c r="C627" s="9">
        <v>17</v>
      </c>
      <c r="D627">
        <v>2</v>
      </c>
      <c r="E627">
        <v>2</v>
      </c>
      <c r="F627">
        <v>2</v>
      </c>
      <c r="G627" s="10">
        <v>1</v>
      </c>
      <c r="H627" t="s">
        <v>46</v>
      </c>
      <c r="I627" t="s">
        <v>1957</v>
      </c>
      <c r="J627" t="s">
        <v>1265</v>
      </c>
      <c r="K627" t="s">
        <v>1259</v>
      </c>
      <c r="L627" s="11" t="s">
        <v>1265</v>
      </c>
    </row>
    <row r="628" spans="1:12">
      <c r="A628" t="s">
        <v>3932</v>
      </c>
      <c r="B628" s="8">
        <v>2.8180000000000001</v>
      </c>
      <c r="C628" s="9">
        <v>29</v>
      </c>
      <c r="D628">
        <v>1</v>
      </c>
      <c r="E628">
        <v>1</v>
      </c>
      <c r="F628">
        <v>1</v>
      </c>
      <c r="G628" s="10">
        <v>1</v>
      </c>
      <c r="H628" t="s">
        <v>46</v>
      </c>
      <c r="I628" t="s">
        <v>1957</v>
      </c>
      <c r="J628" t="s">
        <v>1023</v>
      </c>
      <c r="K628" t="s">
        <v>1259</v>
      </c>
      <c r="L628" s="11" t="s">
        <v>1023</v>
      </c>
    </row>
    <row r="629" spans="1:12">
      <c r="A629" t="s">
        <v>3933</v>
      </c>
      <c r="B629" s="8">
        <v>2.992</v>
      </c>
      <c r="C629" s="9">
        <v>19</v>
      </c>
      <c r="D629">
        <v>4</v>
      </c>
      <c r="E629">
        <v>3</v>
      </c>
      <c r="F629">
        <v>3</v>
      </c>
      <c r="G629" s="10">
        <v>0.75</v>
      </c>
      <c r="H629" t="s">
        <v>46</v>
      </c>
      <c r="I629" t="s">
        <v>1957</v>
      </c>
      <c r="J629" t="s">
        <v>3934</v>
      </c>
      <c r="K629" t="s">
        <v>1259</v>
      </c>
      <c r="L629" s="11" t="s">
        <v>3935</v>
      </c>
    </row>
    <row r="630" spans="1:12">
      <c r="A630" t="s">
        <v>3936</v>
      </c>
      <c r="B630" s="8">
        <v>5.9720000000000004</v>
      </c>
      <c r="C630" s="9">
        <v>15</v>
      </c>
      <c r="D630">
        <v>2</v>
      </c>
      <c r="E630">
        <v>1</v>
      </c>
      <c r="F630">
        <v>1</v>
      </c>
      <c r="G630" s="10">
        <v>0.5</v>
      </c>
      <c r="H630" t="s">
        <v>46</v>
      </c>
      <c r="I630" t="s">
        <v>1957</v>
      </c>
      <c r="J630" t="s">
        <v>1023</v>
      </c>
      <c r="K630" t="s">
        <v>1259</v>
      </c>
      <c r="L630" s="11" t="s">
        <v>1023</v>
      </c>
    </row>
    <row r="631" spans="1:12">
      <c r="A631" t="s">
        <v>3937</v>
      </c>
      <c r="B631" s="8">
        <v>5.3239999999999998</v>
      </c>
      <c r="C631" s="9">
        <v>17</v>
      </c>
      <c r="D631">
        <v>5</v>
      </c>
      <c r="E631">
        <v>5</v>
      </c>
      <c r="F631">
        <v>4</v>
      </c>
      <c r="G631" s="10">
        <v>0.8</v>
      </c>
      <c r="H631" t="s">
        <v>46</v>
      </c>
      <c r="I631" t="s">
        <v>1957</v>
      </c>
      <c r="J631" t="s">
        <v>3938</v>
      </c>
      <c r="K631" t="s">
        <v>3939</v>
      </c>
      <c r="L631" s="11" t="s">
        <v>3940</v>
      </c>
    </row>
    <row r="632" spans="1:12">
      <c r="A632" t="s">
        <v>3941</v>
      </c>
      <c r="B632" s="8">
        <v>2.5329999999999999</v>
      </c>
      <c r="C632" s="9">
        <v>44</v>
      </c>
      <c r="D632">
        <v>4</v>
      </c>
      <c r="E632">
        <v>4</v>
      </c>
      <c r="F632">
        <v>4</v>
      </c>
      <c r="G632" s="10">
        <v>1</v>
      </c>
      <c r="H632" t="s">
        <v>46</v>
      </c>
      <c r="I632" t="s">
        <v>1957</v>
      </c>
      <c r="J632" t="s">
        <v>3942</v>
      </c>
      <c r="K632" t="s">
        <v>3943</v>
      </c>
      <c r="L632" s="11" t="s">
        <v>1265</v>
      </c>
    </row>
    <row r="633" spans="1:12">
      <c r="A633" t="s">
        <v>3944</v>
      </c>
      <c r="B633" s="8">
        <v>63.154000000000003</v>
      </c>
      <c r="C633" s="9">
        <v>214</v>
      </c>
      <c r="D633">
        <v>45</v>
      </c>
      <c r="E633">
        <v>41</v>
      </c>
      <c r="F633">
        <v>34</v>
      </c>
      <c r="G633" s="10">
        <v>0.75555555555555554</v>
      </c>
      <c r="H633" t="s">
        <v>46</v>
      </c>
      <c r="I633" t="s">
        <v>1957</v>
      </c>
      <c r="J633" t="s">
        <v>3945</v>
      </c>
      <c r="K633" t="s">
        <v>3946</v>
      </c>
      <c r="L633" s="11" t="s">
        <v>3947</v>
      </c>
    </row>
    <row r="634" spans="1:12">
      <c r="A634" t="s">
        <v>3948</v>
      </c>
      <c r="B634" s="8">
        <v>7.476</v>
      </c>
      <c r="C634" s="9">
        <v>13</v>
      </c>
      <c r="D634">
        <v>8</v>
      </c>
      <c r="E634">
        <v>7</v>
      </c>
      <c r="F634">
        <v>6</v>
      </c>
      <c r="G634" s="10">
        <v>0.75</v>
      </c>
      <c r="H634" t="s">
        <v>46</v>
      </c>
      <c r="I634" t="s">
        <v>1957</v>
      </c>
      <c r="J634" t="s">
        <v>3949</v>
      </c>
      <c r="K634" t="s">
        <v>3950</v>
      </c>
      <c r="L634" s="11" t="s">
        <v>1261</v>
      </c>
    </row>
    <row r="635" spans="1:12">
      <c r="A635" t="s">
        <v>3951</v>
      </c>
      <c r="B635" s="8">
        <v>50.039000000000001</v>
      </c>
      <c r="C635" s="9">
        <v>64</v>
      </c>
      <c r="D635">
        <v>39</v>
      </c>
      <c r="E635">
        <v>34</v>
      </c>
      <c r="F635">
        <v>35</v>
      </c>
      <c r="G635" s="10">
        <v>0.89743589743589747</v>
      </c>
      <c r="H635" t="s">
        <v>46</v>
      </c>
      <c r="I635" t="s">
        <v>1957</v>
      </c>
      <c r="J635" t="s">
        <v>3952</v>
      </c>
      <c r="K635" t="s">
        <v>3953</v>
      </c>
      <c r="L635" s="11" t="s">
        <v>3954</v>
      </c>
    </row>
    <row r="636" spans="1:12">
      <c r="A636" t="s">
        <v>3955</v>
      </c>
      <c r="B636" s="8">
        <v>5.19</v>
      </c>
      <c r="C636" s="9">
        <v>86</v>
      </c>
      <c r="D636">
        <v>4</v>
      </c>
      <c r="E636">
        <v>4</v>
      </c>
      <c r="F636">
        <v>4</v>
      </c>
      <c r="G636" s="10">
        <v>1</v>
      </c>
      <c r="H636" t="s">
        <v>46</v>
      </c>
      <c r="I636" t="s">
        <v>1957</v>
      </c>
      <c r="J636" t="s">
        <v>3956</v>
      </c>
      <c r="K636" t="s">
        <v>3957</v>
      </c>
      <c r="L636" s="11" t="s">
        <v>3958</v>
      </c>
    </row>
    <row r="637" spans="1:12">
      <c r="A637" t="s">
        <v>3959</v>
      </c>
      <c r="B637" s="8">
        <v>29.463999999999999</v>
      </c>
      <c r="C637" s="9">
        <v>218</v>
      </c>
      <c r="D637">
        <v>20</v>
      </c>
      <c r="E637">
        <v>19</v>
      </c>
      <c r="F637">
        <v>19</v>
      </c>
      <c r="G637" s="10">
        <v>0.95</v>
      </c>
      <c r="H637" t="s">
        <v>46</v>
      </c>
      <c r="I637" t="s">
        <v>1957</v>
      </c>
      <c r="J637" t="s">
        <v>3960</v>
      </c>
      <c r="K637" t="s">
        <v>3961</v>
      </c>
      <c r="L637" s="11" t="s">
        <v>3962</v>
      </c>
    </row>
    <row r="638" spans="1:12">
      <c r="A638" t="s">
        <v>3963</v>
      </c>
      <c r="B638" s="8">
        <v>9.9109999999999996</v>
      </c>
      <c r="C638" s="9">
        <v>12</v>
      </c>
      <c r="D638">
        <v>7</v>
      </c>
      <c r="E638">
        <v>6</v>
      </c>
      <c r="F638">
        <v>5</v>
      </c>
      <c r="G638" s="10">
        <v>0.7142857142857143</v>
      </c>
      <c r="H638" t="s">
        <v>46</v>
      </c>
      <c r="I638" t="s">
        <v>1957</v>
      </c>
      <c r="J638" t="s">
        <v>3964</v>
      </c>
      <c r="K638" t="s">
        <v>3965</v>
      </c>
      <c r="L638" s="11" t="s">
        <v>3966</v>
      </c>
    </row>
    <row r="639" spans="1:12">
      <c r="A639" t="s">
        <v>3967</v>
      </c>
      <c r="B639" s="8">
        <v>57.113999999999997</v>
      </c>
      <c r="C639" s="9">
        <v>48</v>
      </c>
      <c r="D639">
        <v>42</v>
      </c>
      <c r="E639">
        <v>40</v>
      </c>
      <c r="F639">
        <v>34</v>
      </c>
      <c r="G639" s="10">
        <v>0.80952380952380953</v>
      </c>
      <c r="H639" t="s">
        <v>46</v>
      </c>
      <c r="I639" t="s">
        <v>1957</v>
      </c>
      <c r="J639" t="s">
        <v>3968</v>
      </c>
      <c r="K639" t="s">
        <v>3969</v>
      </c>
      <c r="L639" s="11" t="s">
        <v>3970</v>
      </c>
    </row>
    <row r="640" spans="1:12">
      <c r="A640" t="s">
        <v>3971</v>
      </c>
      <c r="B640" s="8">
        <v>7.43</v>
      </c>
      <c r="C640" s="9">
        <v>346</v>
      </c>
      <c r="D640">
        <v>4</v>
      </c>
      <c r="E640">
        <v>3</v>
      </c>
      <c r="F640">
        <v>4</v>
      </c>
      <c r="G640" s="10">
        <v>1</v>
      </c>
      <c r="H640" t="s">
        <v>46</v>
      </c>
      <c r="I640" t="s">
        <v>1957</v>
      </c>
      <c r="J640" t="s">
        <v>3972</v>
      </c>
      <c r="K640" t="s">
        <v>3973</v>
      </c>
      <c r="L640" s="11" t="s">
        <v>1265</v>
      </c>
    </row>
    <row r="641" spans="1:12">
      <c r="A641" t="s">
        <v>3974</v>
      </c>
      <c r="B641" s="8">
        <v>5.2709999999999999</v>
      </c>
      <c r="C641" s="9">
        <v>16</v>
      </c>
      <c r="D641">
        <v>5</v>
      </c>
      <c r="E641">
        <v>4</v>
      </c>
      <c r="F641">
        <v>5</v>
      </c>
      <c r="G641" s="10">
        <v>1</v>
      </c>
      <c r="H641" t="s">
        <v>46</v>
      </c>
      <c r="I641" t="s">
        <v>1957</v>
      </c>
      <c r="J641" t="s">
        <v>3975</v>
      </c>
      <c r="K641" t="s">
        <v>3976</v>
      </c>
      <c r="L641" s="11" t="s">
        <v>1263</v>
      </c>
    </row>
    <row r="642" spans="1:12">
      <c r="A642" t="s">
        <v>3977</v>
      </c>
      <c r="B642" s="8">
        <v>4.05</v>
      </c>
      <c r="C642" s="9">
        <v>15</v>
      </c>
      <c r="D642">
        <v>3</v>
      </c>
      <c r="E642">
        <v>3</v>
      </c>
      <c r="F642">
        <v>3</v>
      </c>
      <c r="G642" s="10">
        <v>1</v>
      </c>
      <c r="H642" t="s">
        <v>46</v>
      </c>
      <c r="I642" t="s">
        <v>1957</v>
      </c>
      <c r="J642" t="s">
        <v>3978</v>
      </c>
      <c r="K642" t="s">
        <v>3979</v>
      </c>
      <c r="L642" s="11" t="s">
        <v>1265</v>
      </c>
    </row>
    <row r="643" spans="1:12">
      <c r="A643" t="s">
        <v>3980</v>
      </c>
      <c r="B643" s="8">
        <v>2.4039999999999999</v>
      </c>
      <c r="C643" s="9">
        <v>74</v>
      </c>
      <c r="D643">
        <v>1</v>
      </c>
      <c r="E643">
        <v>1</v>
      </c>
      <c r="F643">
        <v>1</v>
      </c>
      <c r="G643" s="10">
        <v>1</v>
      </c>
      <c r="H643" t="s">
        <v>46</v>
      </c>
      <c r="I643" t="s">
        <v>1957</v>
      </c>
      <c r="J643" t="s">
        <v>3819</v>
      </c>
      <c r="K643" t="s">
        <v>3981</v>
      </c>
      <c r="L643" s="11" t="s">
        <v>3819</v>
      </c>
    </row>
    <row r="644" spans="1:12">
      <c r="A644" t="s">
        <v>3982</v>
      </c>
      <c r="B644" s="8">
        <v>2.0619999999999998</v>
      </c>
      <c r="C644" s="9">
        <v>14</v>
      </c>
      <c r="D644">
        <v>2</v>
      </c>
      <c r="E644">
        <v>2</v>
      </c>
      <c r="F644">
        <v>2</v>
      </c>
      <c r="G644" s="10">
        <v>1</v>
      </c>
      <c r="H644" t="s">
        <v>46</v>
      </c>
      <c r="I644" t="s">
        <v>1957</v>
      </c>
      <c r="J644" t="s">
        <v>3983</v>
      </c>
      <c r="K644" t="s">
        <v>3984</v>
      </c>
      <c r="L644" s="11" t="s">
        <v>3819</v>
      </c>
    </row>
    <row r="645" spans="1:12">
      <c r="A645" t="s">
        <v>3985</v>
      </c>
      <c r="B645" s="8">
        <v>2.6970000000000001</v>
      </c>
      <c r="C645" s="9">
        <v>118</v>
      </c>
      <c r="D645">
        <v>3</v>
      </c>
      <c r="E645">
        <v>3</v>
      </c>
      <c r="F645">
        <v>3</v>
      </c>
      <c r="G645" s="10">
        <v>1</v>
      </c>
      <c r="H645" t="s">
        <v>46</v>
      </c>
      <c r="I645" t="s">
        <v>1957</v>
      </c>
      <c r="J645" t="s">
        <v>3986</v>
      </c>
      <c r="K645" t="s">
        <v>3987</v>
      </c>
      <c r="L645" s="11" t="s">
        <v>3988</v>
      </c>
    </row>
    <row r="646" spans="1:12">
      <c r="A646" t="s">
        <v>3989</v>
      </c>
      <c r="B646" s="8">
        <v>16.119</v>
      </c>
      <c r="C646" s="9">
        <v>15</v>
      </c>
      <c r="D646">
        <v>10</v>
      </c>
      <c r="E646">
        <v>10</v>
      </c>
      <c r="F646">
        <v>10</v>
      </c>
      <c r="G646" s="10">
        <v>1</v>
      </c>
      <c r="H646" t="s">
        <v>46</v>
      </c>
      <c r="I646" t="s">
        <v>1957</v>
      </c>
      <c r="J646" t="s">
        <v>3990</v>
      </c>
      <c r="K646" t="s">
        <v>3991</v>
      </c>
      <c r="L646" s="11" t="s">
        <v>3992</v>
      </c>
    </row>
    <row r="647" spans="1:12">
      <c r="A647" t="s">
        <v>3993</v>
      </c>
      <c r="B647" s="8">
        <v>3.2530000000000001</v>
      </c>
      <c r="C647" s="9">
        <v>13</v>
      </c>
      <c r="D647">
        <v>4</v>
      </c>
      <c r="E647">
        <v>4</v>
      </c>
      <c r="F647">
        <v>4</v>
      </c>
      <c r="G647" s="10">
        <v>1</v>
      </c>
      <c r="H647" t="s">
        <v>46</v>
      </c>
      <c r="I647" t="s">
        <v>1957</v>
      </c>
      <c r="J647" t="s">
        <v>3994</v>
      </c>
      <c r="K647" t="s">
        <v>3995</v>
      </c>
      <c r="L647" s="11" t="s">
        <v>3996</v>
      </c>
    </row>
    <row r="648" spans="1:12">
      <c r="A648" t="s">
        <v>3997</v>
      </c>
      <c r="B648" s="8">
        <v>7.3680000000000003</v>
      </c>
      <c r="C648" s="9">
        <v>81</v>
      </c>
      <c r="D648">
        <v>9</v>
      </c>
      <c r="E648">
        <v>8</v>
      </c>
      <c r="F648">
        <v>7</v>
      </c>
      <c r="G648" s="10">
        <v>0.77777777777777779</v>
      </c>
      <c r="H648" t="s">
        <v>46</v>
      </c>
      <c r="I648" t="s">
        <v>1957</v>
      </c>
      <c r="J648" t="s">
        <v>3998</v>
      </c>
      <c r="K648" t="s">
        <v>3999</v>
      </c>
      <c r="L648" s="11" t="s">
        <v>4000</v>
      </c>
    </row>
    <row r="649" spans="1:12">
      <c r="A649" t="s">
        <v>4001</v>
      </c>
      <c r="B649" s="8">
        <v>4.4619999999999997</v>
      </c>
      <c r="C649" s="9">
        <v>1084</v>
      </c>
      <c r="D649">
        <v>2</v>
      </c>
      <c r="E649">
        <v>2</v>
      </c>
      <c r="F649">
        <v>2</v>
      </c>
      <c r="G649" s="10">
        <v>1</v>
      </c>
      <c r="H649" t="s">
        <v>46</v>
      </c>
      <c r="I649" t="s">
        <v>1957</v>
      </c>
      <c r="J649" t="s">
        <v>4002</v>
      </c>
      <c r="K649" t="s">
        <v>4003</v>
      </c>
      <c r="L649" s="11" t="s">
        <v>1375</v>
      </c>
    </row>
    <row r="650" spans="1:12">
      <c r="A650" t="s">
        <v>4004</v>
      </c>
      <c r="B650" s="8">
        <v>22.957000000000001</v>
      </c>
      <c r="C650" s="9">
        <v>353</v>
      </c>
      <c r="D650">
        <v>20</v>
      </c>
      <c r="E650">
        <v>20</v>
      </c>
      <c r="F650">
        <v>19</v>
      </c>
      <c r="G650" s="10">
        <v>0.95</v>
      </c>
      <c r="H650" t="s">
        <v>46</v>
      </c>
      <c r="I650" t="s">
        <v>1957</v>
      </c>
      <c r="J650" t="s">
        <v>4005</v>
      </c>
      <c r="K650" t="s">
        <v>4006</v>
      </c>
      <c r="L650" s="11" t="s">
        <v>4007</v>
      </c>
    </row>
    <row r="651" spans="1:12">
      <c r="A651" t="s">
        <v>4008</v>
      </c>
      <c r="B651" s="8">
        <v>38.94</v>
      </c>
      <c r="C651" s="9">
        <v>21</v>
      </c>
      <c r="D651">
        <v>31</v>
      </c>
      <c r="E651">
        <v>29</v>
      </c>
      <c r="F651">
        <v>26</v>
      </c>
      <c r="G651" s="10">
        <v>0.83870967741935487</v>
      </c>
      <c r="H651" t="s">
        <v>46</v>
      </c>
      <c r="I651" t="s">
        <v>1957</v>
      </c>
      <c r="J651" t="s">
        <v>4009</v>
      </c>
      <c r="K651" t="s">
        <v>4010</v>
      </c>
      <c r="L651" s="11" t="s">
        <v>4011</v>
      </c>
    </row>
    <row r="652" spans="1:12">
      <c r="A652" t="s">
        <v>4012</v>
      </c>
      <c r="B652" s="8">
        <v>23.323</v>
      </c>
      <c r="C652" s="9">
        <v>23</v>
      </c>
      <c r="D652">
        <v>21</v>
      </c>
      <c r="E652">
        <v>21</v>
      </c>
      <c r="F652">
        <v>18</v>
      </c>
      <c r="G652" s="10">
        <v>0.8571428571428571</v>
      </c>
      <c r="H652" t="s">
        <v>46</v>
      </c>
      <c r="I652" t="s">
        <v>1957</v>
      </c>
      <c r="J652" t="s">
        <v>4013</v>
      </c>
      <c r="K652" t="s">
        <v>4014</v>
      </c>
      <c r="L652" s="11" t="s">
        <v>4015</v>
      </c>
    </row>
    <row r="653" spans="1:12">
      <c r="A653" t="s">
        <v>4016</v>
      </c>
      <c r="B653" s="8">
        <v>3.1059999999999999</v>
      </c>
      <c r="C653" s="9">
        <v>21</v>
      </c>
      <c r="D653">
        <v>2</v>
      </c>
      <c r="E653">
        <v>2</v>
      </c>
      <c r="F653">
        <v>2</v>
      </c>
      <c r="G653" s="10">
        <v>1</v>
      </c>
      <c r="H653" t="s">
        <v>46</v>
      </c>
      <c r="I653" t="s">
        <v>1957</v>
      </c>
      <c r="J653" t="s">
        <v>4017</v>
      </c>
      <c r="K653" t="s">
        <v>4018</v>
      </c>
      <c r="L653" s="11" t="s">
        <v>3582</v>
      </c>
    </row>
    <row r="654" spans="1:12">
      <c r="A654" t="s">
        <v>4019</v>
      </c>
      <c r="B654" s="8">
        <v>2.1930000000000001</v>
      </c>
      <c r="C654" s="9">
        <v>6.4</v>
      </c>
      <c r="D654">
        <v>1</v>
      </c>
      <c r="E654">
        <v>1</v>
      </c>
      <c r="F654">
        <v>1</v>
      </c>
      <c r="G654" s="10">
        <v>1</v>
      </c>
      <c r="H654" t="s">
        <v>46</v>
      </c>
      <c r="I654" t="s">
        <v>1957</v>
      </c>
      <c r="J654" t="s">
        <v>1199</v>
      </c>
      <c r="K654" t="s">
        <v>4020</v>
      </c>
      <c r="L654" s="11" t="s">
        <v>1199</v>
      </c>
    </row>
    <row r="655" spans="1:12">
      <c r="A655" t="s">
        <v>4021</v>
      </c>
      <c r="B655" s="8">
        <v>2.6459999999999999</v>
      </c>
      <c r="C655" s="9">
        <v>17</v>
      </c>
      <c r="D655">
        <v>6</v>
      </c>
      <c r="E655">
        <v>6</v>
      </c>
      <c r="F655">
        <v>6</v>
      </c>
      <c r="G655" s="10">
        <v>1</v>
      </c>
      <c r="H655" t="s">
        <v>46</v>
      </c>
      <c r="I655" t="s">
        <v>1957</v>
      </c>
      <c r="J655" t="s">
        <v>4022</v>
      </c>
      <c r="K655" t="s">
        <v>4023</v>
      </c>
      <c r="L655" s="11" t="s">
        <v>4024</v>
      </c>
    </row>
    <row r="656" spans="1:12">
      <c r="A656" t="s">
        <v>4025</v>
      </c>
      <c r="B656" s="8">
        <v>2.14</v>
      </c>
      <c r="C656" s="9">
        <v>316</v>
      </c>
      <c r="D656">
        <v>2</v>
      </c>
      <c r="E656">
        <v>2</v>
      </c>
      <c r="F656">
        <v>2</v>
      </c>
      <c r="G656" s="10">
        <v>1</v>
      </c>
      <c r="H656" t="s">
        <v>46</v>
      </c>
      <c r="I656" t="s">
        <v>1957</v>
      </c>
      <c r="J656" t="s">
        <v>4026</v>
      </c>
      <c r="K656" t="s">
        <v>4027</v>
      </c>
      <c r="L656" s="11" t="s">
        <v>1226</v>
      </c>
    </row>
    <row r="657" spans="1:12">
      <c r="A657" t="s">
        <v>4028</v>
      </c>
      <c r="B657" s="8">
        <v>2.0539999999999998</v>
      </c>
      <c r="C657" s="9">
        <v>13</v>
      </c>
      <c r="D657">
        <v>1</v>
      </c>
      <c r="E657">
        <v>1</v>
      </c>
      <c r="F657">
        <v>1</v>
      </c>
      <c r="G657" s="10">
        <v>1</v>
      </c>
      <c r="H657" t="s">
        <v>46</v>
      </c>
      <c r="I657" t="s">
        <v>1957</v>
      </c>
      <c r="J657" t="s">
        <v>4029</v>
      </c>
      <c r="K657" t="s">
        <v>4030</v>
      </c>
      <c r="L657" s="11" t="s">
        <v>4029</v>
      </c>
    </row>
    <row r="658" spans="1:12">
      <c r="A658" t="s">
        <v>4031</v>
      </c>
      <c r="B658" s="8">
        <v>2.5390000000000001</v>
      </c>
      <c r="C658" s="9">
        <v>13</v>
      </c>
      <c r="D658">
        <v>1</v>
      </c>
      <c r="E658">
        <v>1</v>
      </c>
      <c r="F658">
        <v>1</v>
      </c>
      <c r="G658" s="10">
        <v>1</v>
      </c>
      <c r="H658" t="s">
        <v>46</v>
      </c>
      <c r="I658" t="s">
        <v>1957</v>
      </c>
      <c r="J658" t="s">
        <v>4029</v>
      </c>
      <c r="K658" t="s">
        <v>4030</v>
      </c>
      <c r="L658" s="11" t="s">
        <v>4029</v>
      </c>
    </row>
    <row r="659" spans="1:12">
      <c r="A659" t="s">
        <v>4032</v>
      </c>
      <c r="B659" s="8">
        <v>4.0460000000000003</v>
      </c>
      <c r="C659" s="9">
        <v>282</v>
      </c>
      <c r="D659">
        <v>3</v>
      </c>
      <c r="E659">
        <v>2</v>
      </c>
      <c r="F659">
        <v>2</v>
      </c>
      <c r="G659" s="10">
        <v>0.66666666666666663</v>
      </c>
      <c r="H659" t="s">
        <v>46</v>
      </c>
      <c r="I659" t="s">
        <v>1957</v>
      </c>
      <c r="J659" t="s">
        <v>4033</v>
      </c>
      <c r="K659" t="s">
        <v>4030</v>
      </c>
      <c r="L659" s="11" t="s">
        <v>1292</v>
      </c>
    </row>
    <row r="660" spans="1:12">
      <c r="A660" t="s">
        <v>4034</v>
      </c>
      <c r="B660" s="8">
        <v>7.1470000000000002</v>
      </c>
      <c r="C660" s="9">
        <v>1172</v>
      </c>
      <c r="D660">
        <v>4</v>
      </c>
      <c r="E660">
        <v>2</v>
      </c>
      <c r="F660">
        <v>2</v>
      </c>
      <c r="G660" s="10">
        <v>0.5</v>
      </c>
      <c r="H660" t="s">
        <v>46</v>
      </c>
      <c r="I660" t="s">
        <v>1957</v>
      </c>
      <c r="J660" t="s">
        <v>4035</v>
      </c>
      <c r="K660" t="s">
        <v>4036</v>
      </c>
      <c r="L660" s="11" t="s">
        <v>4029</v>
      </c>
    </row>
    <row r="661" spans="1:12">
      <c r="A661" t="s">
        <v>4037</v>
      </c>
      <c r="B661" s="8">
        <v>4.7329999999999997</v>
      </c>
      <c r="C661" s="9">
        <v>16</v>
      </c>
      <c r="D661">
        <v>4</v>
      </c>
      <c r="E661">
        <v>4</v>
      </c>
      <c r="F661">
        <v>4</v>
      </c>
      <c r="G661" s="10">
        <v>1</v>
      </c>
      <c r="H661" t="s">
        <v>46</v>
      </c>
      <c r="I661" t="s">
        <v>1957</v>
      </c>
      <c r="J661" t="s">
        <v>4038</v>
      </c>
      <c r="K661" t="s">
        <v>4039</v>
      </c>
      <c r="L661" s="11" t="s">
        <v>4040</v>
      </c>
    </row>
    <row r="662" spans="1:12">
      <c r="A662" t="s">
        <v>4041</v>
      </c>
      <c r="B662" s="8">
        <v>2.488</v>
      </c>
      <c r="C662" s="9">
        <v>16</v>
      </c>
      <c r="D662">
        <v>2</v>
      </c>
      <c r="E662">
        <v>2</v>
      </c>
      <c r="F662">
        <v>2</v>
      </c>
      <c r="G662" s="10">
        <v>1</v>
      </c>
      <c r="H662" t="s">
        <v>46</v>
      </c>
      <c r="I662" t="s">
        <v>1957</v>
      </c>
      <c r="J662" t="s">
        <v>4042</v>
      </c>
      <c r="K662" t="s">
        <v>4039</v>
      </c>
      <c r="L662" s="11" t="s">
        <v>4029</v>
      </c>
    </row>
    <row r="663" spans="1:12">
      <c r="A663" t="s">
        <v>4043</v>
      </c>
      <c r="B663" s="8">
        <v>6.3550000000000004</v>
      </c>
      <c r="C663" s="9">
        <v>99</v>
      </c>
      <c r="D663">
        <v>11</v>
      </c>
      <c r="E663">
        <v>8</v>
      </c>
      <c r="F663">
        <v>8</v>
      </c>
      <c r="G663" s="10">
        <v>0.72727272727272729</v>
      </c>
      <c r="H663" t="s">
        <v>46</v>
      </c>
      <c r="I663" t="s">
        <v>1957</v>
      </c>
      <c r="J663" t="s">
        <v>4044</v>
      </c>
      <c r="K663" t="s">
        <v>4045</v>
      </c>
      <c r="L663" s="11" t="s">
        <v>4046</v>
      </c>
    </row>
    <row r="664" spans="1:12">
      <c r="A664" t="s">
        <v>4047</v>
      </c>
      <c r="B664" s="8">
        <v>2.7869999999999999</v>
      </c>
      <c r="C664" s="9">
        <v>19</v>
      </c>
      <c r="D664">
        <v>3</v>
      </c>
      <c r="E664">
        <v>3</v>
      </c>
      <c r="F664">
        <v>3</v>
      </c>
      <c r="G664" s="10">
        <v>1</v>
      </c>
      <c r="H664" t="s">
        <v>46</v>
      </c>
      <c r="I664" t="s">
        <v>1957</v>
      </c>
      <c r="J664" t="s">
        <v>4048</v>
      </c>
      <c r="K664" t="s">
        <v>1329</v>
      </c>
      <c r="L664" s="11" t="s">
        <v>4048</v>
      </c>
    </row>
    <row r="665" spans="1:12">
      <c r="A665" t="s">
        <v>4049</v>
      </c>
      <c r="B665" s="8">
        <v>2.4220000000000002</v>
      </c>
      <c r="C665" s="9">
        <v>11</v>
      </c>
      <c r="D665">
        <v>2</v>
      </c>
      <c r="E665">
        <v>2</v>
      </c>
      <c r="F665">
        <v>2</v>
      </c>
      <c r="G665" s="10">
        <v>1</v>
      </c>
      <c r="H665" t="s">
        <v>46</v>
      </c>
      <c r="I665" t="s">
        <v>1957</v>
      </c>
      <c r="J665" t="s">
        <v>4050</v>
      </c>
      <c r="K665" t="s">
        <v>4051</v>
      </c>
      <c r="L665" s="11" t="s">
        <v>1328</v>
      </c>
    </row>
    <row r="666" spans="1:12">
      <c r="A666" t="s">
        <v>4052</v>
      </c>
      <c r="B666" s="8">
        <v>3.875</v>
      </c>
      <c r="C666" s="9">
        <v>16</v>
      </c>
      <c r="D666">
        <v>2</v>
      </c>
      <c r="E666">
        <v>2</v>
      </c>
      <c r="F666">
        <v>2</v>
      </c>
      <c r="G666" s="10">
        <v>1</v>
      </c>
      <c r="H666" t="s">
        <v>46</v>
      </c>
      <c r="I666" t="s">
        <v>1957</v>
      </c>
      <c r="J666" t="s">
        <v>4053</v>
      </c>
      <c r="K666" t="s">
        <v>4054</v>
      </c>
      <c r="L666" s="11" t="s">
        <v>1328</v>
      </c>
    </row>
    <row r="667" spans="1:12">
      <c r="A667" t="s">
        <v>4055</v>
      </c>
      <c r="B667" s="8">
        <v>15.895</v>
      </c>
      <c r="C667" s="9">
        <v>276</v>
      </c>
      <c r="D667">
        <v>13</v>
      </c>
      <c r="E667">
        <v>12</v>
      </c>
      <c r="F667">
        <v>11</v>
      </c>
      <c r="G667" s="10">
        <v>0.84615384615384615</v>
      </c>
      <c r="H667" t="s">
        <v>46</v>
      </c>
      <c r="I667" t="s">
        <v>1957</v>
      </c>
      <c r="J667" t="s">
        <v>4056</v>
      </c>
      <c r="K667" t="s">
        <v>4057</v>
      </c>
      <c r="L667" s="11" t="s">
        <v>4058</v>
      </c>
    </row>
    <row r="668" spans="1:12">
      <c r="A668" t="s">
        <v>4059</v>
      </c>
      <c r="B668" s="8">
        <v>15.593999999999999</v>
      </c>
      <c r="C668" s="9">
        <v>26</v>
      </c>
      <c r="D668">
        <v>16</v>
      </c>
      <c r="E668">
        <v>16</v>
      </c>
      <c r="F668">
        <v>16</v>
      </c>
      <c r="G668" s="10">
        <v>1</v>
      </c>
      <c r="H668" t="s">
        <v>46</v>
      </c>
      <c r="I668" t="s">
        <v>1957</v>
      </c>
      <c r="J668" t="s">
        <v>4060</v>
      </c>
      <c r="K668" t="s">
        <v>4061</v>
      </c>
      <c r="L668" s="11" t="s">
        <v>4062</v>
      </c>
    </row>
    <row r="669" spans="1:12">
      <c r="A669" t="s">
        <v>4063</v>
      </c>
      <c r="B669" s="8">
        <v>2.1840000000000002</v>
      </c>
      <c r="C669" s="9">
        <v>29</v>
      </c>
      <c r="D669">
        <v>3</v>
      </c>
      <c r="E669">
        <v>3</v>
      </c>
      <c r="F669">
        <v>3</v>
      </c>
      <c r="G669" s="10">
        <v>1</v>
      </c>
      <c r="H669" t="s">
        <v>46</v>
      </c>
      <c r="I669" t="s">
        <v>1957</v>
      </c>
      <c r="J669" t="s">
        <v>4064</v>
      </c>
      <c r="K669" t="s">
        <v>1336</v>
      </c>
      <c r="L669" s="11" t="s">
        <v>4065</v>
      </c>
    </row>
    <row r="670" spans="1:12">
      <c r="A670" t="s">
        <v>4066</v>
      </c>
      <c r="B670" s="8">
        <v>2.206</v>
      </c>
      <c r="C670" s="9">
        <v>500</v>
      </c>
      <c r="D670">
        <v>2</v>
      </c>
      <c r="E670">
        <v>2</v>
      </c>
      <c r="F670">
        <v>2</v>
      </c>
      <c r="G670" s="10">
        <v>1</v>
      </c>
      <c r="H670" t="s">
        <v>46</v>
      </c>
      <c r="I670" t="s">
        <v>1957</v>
      </c>
      <c r="J670" t="s">
        <v>4067</v>
      </c>
      <c r="K670" t="s">
        <v>1336</v>
      </c>
      <c r="L670" s="11" t="s">
        <v>4067</v>
      </c>
    </row>
    <row r="671" spans="1:12">
      <c r="A671" t="s">
        <v>4068</v>
      </c>
      <c r="B671" s="8">
        <v>2.1030000000000002</v>
      </c>
      <c r="C671" s="9">
        <v>152</v>
      </c>
      <c r="D671">
        <v>1</v>
      </c>
      <c r="E671">
        <v>1</v>
      </c>
      <c r="F671">
        <v>1</v>
      </c>
      <c r="G671" s="10">
        <v>1</v>
      </c>
      <c r="H671" t="s">
        <v>46</v>
      </c>
      <c r="I671" t="s">
        <v>1957</v>
      </c>
      <c r="J671" t="s">
        <v>1335</v>
      </c>
      <c r="K671" t="s">
        <v>1336</v>
      </c>
      <c r="L671" s="11" t="s">
        <v>1335</v>
      </c>
    </row>
    <row r="672" spans="1:12">
      <c r="A672" t="s">
        <v>4069</v>
      </c>
      <c r="B672" s="8">
        <v>2.4180000000000001</v>
      </c>
      <c r="C672" s="9">
        <v>372</v>
      </c>
      <c r="D672">
        <v>1</v>
      </c>
      <c r="E672">
        <v>1</v>
      </c>
      <c r="F672">
        <v>1</v>
      </c>
      <c r="G672" s="10">
        <v>1</v>
      </c>
      <c r="H672" t="s">
        <v>46</v>
      </c>
      <c r="I672" t="s">
        <v>1957</v>
      </c>
      <c r="J672" t="s">
        <v>1335</v>
      </c>
      <c r="K672" t="s">
        <v>1336</v>
      </c>
      <c r="L672" s="11" t="s">
        <v>1335</v>
      </c>
    </row>
    <row r="673" spans="1:12">
      <c r="A673" t="s">
        <v>4070</v>
      </c>
      <c r="B673" s="8">
        <v>2.54</v>
      </c>
      <c r="C673" s="9">
        <v>782</v>
      </c>
      <c r="D673">
        <v>2</v>
      </c>
      <c r="E673">
        <v>2</v>
      </c>
      <c r="F673">
        <v>2</v>
      </c>
      <c r="G673" s="10">
        <v>1</v>
      </c>
      <c r="H673" t="s">
        <v>46</v>
      </c>
      <c r="I673" t="s">
        <v>1957</v>
      </c>
      <c r="J673" t="s">
        <v>4071</v>
      </c>
      <c r="K673" t="s">
        <v>4072</v>
      </c>
      <c r="L673" s="11" t="s">
        <v>1335</v>
      </c>
    </row>
    <row r="674" spans="1:12">
      <c r="A674" t="s">
        <v>4073</v>
      </c>
      <c r="B674" s="8">
        <v>2.669</v>
      </c>
      <c r="C674" s="9">
        <v>1158</v>
      </c>
      <c r="D674">
        <v>2</v>
      </c>
      <c r="E674">
        <v>2</v>
      </c>
      <c r="F674">
        <v>2</v>
      </c>
      <c r="G674" s="10">
        <v>1</v>
      </c>
      <c r="H674" t="s">
        <v>46</v>
      </c>
      <c r="I674" t="s">
        <v>1957</v>
      </c>
      <c r="J674" t="s">
        <v>4074</v>
      </c>
      <c r="K674" t="s">
        <v>4075</v>
      </c>
      <c r="L674" s="11" t="s">
        <v>1335</v>
      </c>
    </row>
    <row r="675" spans="1:12">
      <c r="A675" t="s">
        <v>4076</v>
      </c>
      <c r="B675" s="8">
        <v>23.114000000000001</v>
      </c>
      <c r="C675" s="9">
        <v>30</v>
      </c>
      <c r="D675">
        <v>13</v>
      </c>
      <c r="E675">
        <v>13</v>
      </c>
      <c r="F675">
        <v>12</v>
      </c>
      <c r="G675" s="10">
        <v>0.92307692307692313</v>
      </c>
      <c r="H675" t="s">
        <v>46</v>
      </c>
      <c r="I675" t="s">
        <v>1957</v>
      </c>
      <c r="J675" t="s">
        <v>4077</v>
      </c>
      <c r="K675" t="s">
        <v>4078</v>
      </c>
      <c r="L675" s="11" t="s">
        <v>4079</v>
      </c>
    </row>
    <row r="676" spans="1:12">
      <c r="A676" t="s">
        <v>4080</v>
      </c>
      <c r="B676" s="8">
        <v>5.1760000000000002</v>
      </c>
      <c r="C676" s="9">
        <v>80</v>
      </c>
      <c r="D676">
        <v>6</v>
      </c>
      <c r="E676">
        <v>6</v>
      </c>
      <c r="F676">
        <v>6</v>
      </c>
      <c r="G676" s="10">
        <v>1</v>
      </c>
      <c r="H676" t="s">
        <v>46</v>
      </c>
      <c r="I676" t="s">
        <v>1957</v>
      </c>
      <c r="J676" t="s">
        <v>4081</v>
      </c>
      <c r="K676" t="s">
        <v>4082</v>
      </c>
      <c r="L676" s="11" t="s">
        <v>1359</v>
      </c>
    </row>
    <row r="677" spans="1:12">
      <c r="A677" t="s">
        <v>4083</v>
      </c>
      <c r="B677" s="8">
        <v>16.256</v>
      </c>
      <c r="C677" s="9">
        <v>16</v>
      </c>
      <c r="D677">
        <v>15</v>
      </c>
      <c r="E677">
        <v>14</v>
      </c>
      <c r="F677">
        <v>13</v>
      </c>
      <c r="G677" s="10">
        <v>0.8666666666666667</v>
      </c>
      <c r="H677" t="s">
        <v>46</v>
      </c>
      <c r="I677" t="s">
        <v>1957</v>
      </c>
      <c r="J677" t="s">
        <v>4084</v>
      </c>
      <c r="K677" t="s">
        <v>4085</v>
      </c>
      <c r="L677" s="11" t="s">
        <v>4086</v>
      </c>
    </row>
    <row r="678" spans="1:12">
      <c r="A678" t="s">
        <v>4087</v>
      </c>
      <c r="B678" s="8">
        <v>5.6749999999999998</v>
      </c>
      <c r="C678" s="9">
        <v>86</v>
      </c>
      <c r="D678">
        <v>8</v>
      </c>
      <c r="E678">
        <v>7</v>
      </c>
      <c r="F678">
        <v>8</v>
      </c>
      <c r="G678" s="10">
        <v>1</v>
      </c>
      <c r="H678" t="s">
        <v>46</v>
      </c>
      <c r="I678" t="s">
        <v>1957</v>
      </c>
      <c r="J678" t="s">
        <v>4088</v>
      </c>
      <c r="K678" t="s">
        <v>4089</v>
      </c>
      <c r="L678" s="11" t="s">
        <v>4090</v>
      </c>
    </row>
    <row r="679" spans="1:12">
      <c r="A679" t="s">
        <v>4091</v>
      </c>
      <c r="B679" s="8">
        <v>2.8620000000000001</v>
      </c>
      <c r="C679" s="9">
        <v>95</v>
      </c>
      <c r="D679">
        <v>2</v>
      </c>
      <c r="E679">
        <v>2</v>
      </c>
      <c r="F679">
        <v>1</v>
      </c>
      <c r="G679" s="10">
        <v>0.5</v>
      </c>
      <c r="H679" t="s">
        <v>46</v>
      </c>
      <c r="I679" t="s">
        <v>1957</v>
      </c>
      <c r="J679" t="s">
        <v>4092</v>
      </c>
      <c r="K679" t="s">
        <v>4093</v>
      </c>
      <c r="L679" s="11" t="s">
        <v>1335</v>
      </c>
    </row>
    <row r="680" spans="1:12">
      <c r="A680" t="s">
        <v>4094</v>
      </c>
      <c r="B680" s="8">
        <v>5.218</v>
      </c>
      <c r="C680" s="9">
        <v>135</v>
      </c>
      <c r="D680">
        <v>5</v>
      </c>
      <c r="E680">
        <v>5</v>
      </c>
      <c r="F680">
        <v>5</v>
      </c>
      <c r="G680" s="10">
        <v>1</v>
      </c>
      <c r="H680" t="s">
        <v>46</v>
      </c>
      <c r="I680" t="s">
        <v>1957</v>
      </c>
      <c r="J680" t="s">
        <v>4095</v>
      </c>
      <c r="K680" t="s">
        <v>4096</v>
      </c>
      <c r="L680" s="11" t="s">
        <v>4097</v>
      </c>
    </row>
    <row r="681" spans="1:12">
      <c r="A681" t="s">
        <v>4098</v>
      </c>
      <c r="B681" s="8">
        <v>3.8319999999999999</v>
      </c>
      <c r="C681" s="9">
        <v>451</v>
      </c>
      <c r="D681">
        <v>2</v>
      </c>
      <c r="E681">
        <v>2</v>
      </c>
      <c r="F681">
        <v>2</v>
      </c>
      <c r="G681" s="10">
        <v>1</v>
      </c>
      <c r="H681" t="s">
        <v>46</v>
      </c>
      <c r="I681" t="s">
        <v>1957</v>
      </c>
      <c r="J681" t="s">
        <v>4099</v>
      </c>
      <c r="K681" t="s">
        <v>4100</v>
      </c>
      <c r="L681" s="11" t="s">
        <v>4101</v>
      </c>
    </row>
    <row r="682" spans="1:12">
      <c r="A682" t="s">
        <v>4102</v>
      </c>
      <c r="B682" s="8">
        <v>2.004</v>
      </c>
      <c r="C682" s="9">
        <v>12</v>
      </c>
      <c r="D682">
        <v>2</v>
      </c>
      <c r="E682">
        <v>1</v>
      </c>
      <c r="F682">
        <v>1</v>
      </c>
      <c r="G682" s="10">
        <v>0.5</v>
      </c>
      <c r="H682" t="s">
        <v>46</v>
      </c>
      <c r="I682" t="s">
        <v>1957</v>
      </c>
      <c r="J682" t="s">
        <v>4103</v>
      </c>
      <c r="K682" t="s">
        <v>4104</v>
      </c>
      <c r="L682" s="11" t="s">
        <v>4103</v>
      </c>
    </row>
    <row r="683" spans="1:12">
      <c r="A683" t="s">
        <v>4105</v>
      </c>
      <c r="B683" s="8">
        <v>8.5079999999999991</v>
      </c>
      <c r="C683" s="9">
        <v>392</v>
      </c>
      <c r="D683">
        <v>4</v>
      </c>
      <c r="E683">
        <v>4</v>
      </c>
      <c r="F683">
        <v>4</v>
      </c>
      <c r="G683" s="10">
        <v>1</v>
      </c>
      <c r="H683" t="s">
        <v>46</v>
      </c>
      <c r="I683" t="s">
        <v>1957</v>
      </c>
      <c r="J683" t="s">
        <v>4106</v>
      </c>
      <c r="K683" t="s">
        <v>4107</v>
      </c>
      <c r="L683" s="11" t="s">
        <v>4108</v>
      </c>
    </row>
    <row r="684" spans="1:12">
      <c r="A684" t="s">
        <v>4109</v>
      </c>
      <c r="B684" s="8">
        <v>18.754999999999999</v>
      </c>
      <c r="C684" s="9">
        <v>351</v>
      </c>
      <c r="D684">
        <v>1</v>
      </c>
      <c r="E684">
        <v>1</v>
      </c>
      <c r="F684">
        <v>1</v>
      </c>
      <c r="G684" s="10">
        <v>1</v>
      </c>
      <c r="H684" t="s">
        <v>46</v>
      </c>
      <c r="I684" t="s">
        <v>1957</v>
      </c>
      <c r="J684" t="s">
        <v>4110</v>
      </c>
      <c r="K684" t="s">
        <v>4111</v>
      </c>
      <c r="L684" s="11" t="s">
        <v>4110</v>
      </c>
    </row>
    <row r="685" spans="1:12">
      <c r="A685" t="s">
        <v>4112</v>
      </c>
      <c r="B685" s="8">
        <v>2.7410000000000001</v>
      </c>
      <c r="C685" s="9">
        <v>11</v>
      </c>
      <c r="D685">
        <v>1</v>
      </c>
      <c r="E685">
        <v>1</v>
      </c>
      <c r="F685">
        <v>1</v>
      </c>
      <c r="G685" s="10">
        <v>1</v>
      </c>
      <c r="H685" t="s">
        <v>46</v>
      </c>
      <c r="I685" t="s">
        <v>1957</v>
      </c>
      <c r="J685" t="s">
        <v>4110</v>
      </c>
      <c r="K685" t="s">
        <v>4111</v>
      </c>
      <c r="L685" s="11" t="s">
        <v>4110</v>
      </c>
    </row>
    <row r="686" spans="1:12">
      <c r="A686" t="s">
        <v>4113</v>
      </c>
      <c r="B686" s="8">
        <v>11.762</v>
      </c>
      <c r="C686" s="9">
        <v>11</v>
      </c>
      <c r="D686">
        <v>7</v>
      </c>
      <c r="E686">
        <v>5</v>
      </c>
      <c r="F686">
        <v>6</v>
      </c>
      <c r="G686" s="10">
        <v>0.8571428571428571</v>
      </c>
      <c r="H686" t="s">
        <v>46</v>
      </c>
      <c r="I686" t="s">
        <v>1957</v>
      </c>
      <c r="J686" t="s">
        <v>4114</v>
      </c>
      <c r="K686" t="s">
        <v>4115</v>
      </c>
      <c r="L686" s="11" t="s">
        <v>4116</v>
      </c>
    </row>
    <row r="687" spans="1:12">
      <c r="A687" t="s">
        <v>4117</v>
      </c>
      <c r="B687" s="8">
        <v>37.637</v>
      </c>
      <c r="C687" s="9">
        <v>38</v>
      </c>
      <c r="D687">
        <v>2</v>
      </c>
      <c r="E687">
        <v>2</v>
      </c>
      <c r="F687">
        <v>2</v>
      </c>
      <c r="G687" s="10">
        <v>1</v>
      </c>
      <c r="H687" t="s">
        <v>46</v>
      </c>
      <c r="I687" t="s">
        <v>1957</v>
      </c>
      <c r="J687" t="s">
        <v>4118</v>
      </c>
      <c r="K687" t="s">
        <v>4119</v>
      </c>
      <c r="L687" s="11" t="s">
        <v>4110</v>
      </c>
    </row>
    <row r="688" spans="1:12">
      <c r="A688" t="s">
        <v>4120</v>
      </c>
      <c r="B688" s="8">
        <v>6.95</v>
      </c>
      <c r="C688" s="9">
        <v>43</v>
      </c>
      <c r="D688">
        <v>6</v>
      </c>
      <c r="E688">
        <v>6</v>
      </c>
      <c r="F688">
        <v>6</v>
      </c>
      <c r="G688" s="10">
        <v>1</v>
      </c>
      <c r="H688" t="s">
        <v>46</v>
      </c>
      <c r="I688" t="s">
        <v>1957</v>
      </c>
      <c r="J688" t="s">
        <v>4121</v>
      </c>
      <c r="K688" t="s">
        <v>4122</v>
      </c>
      <c r="L688" s="11" t="s">
        <v>4123</v>
      </c>
    </row>
    <row r="689" spans="1:12">
      <c r="A689" t="s">
        <v>4124</v>
      </c>
      <c r="B689" s="8">
        <v>3.5190000000000001</v>
      </c>
      <c r="C689" s="9">
        <v>26</v>
      </c>
      <c r="D689">
        <v>5</v>
      </c>
      <c r="E689">
        <v>5</v>
      </c>
      <c r="F689">
        <v>4</v>
      </c>
      <c r="G689" s="10">
        <v>0.8</v>
      </c>
      <c r="H689" t="s">
        <v>46</v>
      </c>
      <c r="I689" t="s">
        <v>1957</v>
      </c>
      <c r="J689" t="s">
        <v>4125</v>
      </c>
      <c r="K689" t="s">
        <v>4126</v>
      </c>
      <c r="L689" s="11" t="s">
        <v>4127</v>
      </c>
    </row>
    <row r="690" spans="1:12">
      <c r="A690" t="s">
        <v>4128</v>
      </c>
      <c r="B690" s="8">
        <v>14.798999999999999</v>
      </c>
      <c r="C690" s="9">
        <v>179</v>
      </c>
      <c r="D690">
        <v>12</v>
      </c>
      <c r="E690">
        <v>11</v>
      </c>
      <c r="F690">
        <v>11</v>
      </c>
      <c r="G690" s="10">
        <v>0.91666666666666663</v>
      </c>
      <c r="H690" t="s">
        <v>46</v>
      </c>
      <c r="I690" t="s">
        <v>1957</v>
      </c>
      <c r="J690" t="s">
        <v>4129</v>
      </c>
      <c r="K690" t="s">
        <v>4130</v>
      </c>
      <c r="L690" s="11" t="s">
        <v>4131</v>
      </c>
    </row>
    <row r="691" spans="1:12">
      <c r="A691" t="s">
        <v>4132</v>
      </c>
      <c r="B691" s="8">
        <v>3.4649999999999999</v>
      </c>
      <c r="C691" s="9">
        <v>13</v>
      </c>
      <c r="D691">
        <v>2</v>
      </c>
      <c r="E691">
        <v>2</v>
      </c>
      <c r="F691">
        <v>2</v>
      </c>
      <c r="G691" s="10">
        <v>1</v>
      </c>
      <c r="H691" t="s">
        <v>46</v>
      </c>
      <c r="I691" t="s">
        <v>1957</v>
      </c>
      <c r="J691" t="s">
        <v>4133</v>
      </c>
      <c r="K691" t="s">
        <v>4134</v>
      </c>
      <c r="L691" s="11" t="s">
        <v>4135</v>
      </c>
    </row>
    <row r="692" spans="1:12">
      <c r="A692" t="s">
        <v>4136</v>
      </c>
      <c r="B692" s="8">
        <v>2.0990000000000002</v>
      </c>
      <c r="C692" s="9">
        <v>16</v>
      </c>
      <c r="D692">
        <v>2</v>
      </c>
      <c r="E692">
        <v>2</v>
      </c>
      <c r="F692">
        <v>2</v>
      </c>
      <c r="G692" s="10">
        <v>1</v>
      </c>
      <c r="H692" t="s">
        <v>46</v>
      </c>
      <c r="I692" t="s">
        <v>1957</v>
      </c>
      <c r="J692" t="s">
        <v>4137</v>
      </c>
      <c r="K692" t="s">
        <v>4138</v>
      </c>
      <c r="L692" s="11" t="s">
        <v>1326</v>
      </c>
    </row>
    <row r="693" spans="1:12">
      <c r="A693" t="s">
        <v>4139</v>
      </c>
      <c r="B693" s="8">
        <v>2.4079999999999999</v>
      </c>
      <c r="C693" s="9">
        <v>331</v>
      </c>
      <c r="D693">
        <v>1</v>
      </c>
      <c r="E693">
        <v>1</v>
      </c>
      <c r="F693">
        <v>1</v>
      </c>
      <c r="G693" s="10">
        <v>1</v>
      </c>
      <c r="H693" t="s">
        <v>46</v>
      </c>
      <c r="I693" t="s">
        <v>1957</v>
      </c>
      <c r="J693" t="s">
        <v>4140</v>
      </c>
      <c r="K693" t="s">
        <v>4141</v>
      </c>
      <c r="L693" s="11" t="s">
        <v>4140</v>
      </c>
    </row>
    <row r="694" spans="1:12">
      <c r="A694" t="s">
        <v>4142</v>
      </c>
      <c r="B694" s="8">
        <v>2.4289999999999998</v>
      </c>
      <c r="C694" s="9">
        <v>10</v>
      </c>
      <c r="D694">
        <v>1</v>
      </c>
      <c r="E694">
        <v>1</v>
      </c>
      <c r="F694">
        <v>1</v>
      </c>
      <c r="G694" s="10">
        <v>1</v>
      </c>
      <c r="H694" t="s">
        <v>46</v>
      </c>
      <c r="I694" t="s">
        <v>1957</v>
      </c>
      <c r="J694" t="s">
        <v>4143</v>
      </c>
      <c r="K694" t="s">
        <v>1413</v>
      </c>
      <c r="L694" s="11" t="s">
        <v>4143</v>
      </c>
    </row>
    <row r="695" spans="1:12">
      <c r="A695" t="s">
        <v>4144</v>
      </c>
      <c r="B695" s="8">
        <v>44.645000000000003</v>
      </c>
      <c r="C695" s="9">
        <v>4509</v>
      </c>
      <c r="D695">
        <v>29</v>
      </c>
      <c r="E695">
        <v>29</v>
      </c>
      <c r="F695">
        <v>28</v>
      </c>
      <c r="G695" s="10">
        <v>0.96551724137931039</v>
      </c>
      <c r="H695" t="s">
        <v>46</v>
      </c>
      <c r="I695" t="s">
        <v>1957</v>
      </c>
      <c r="J695" t="s">
        <v>4145</v>
      </c>
      <c r="K695" t="s">
        <v>4146</v>
      </c>
      <c r="L695" s="11" t="s">
        <v>4147</v>
      </c>
    </row>
    <row r="696" spans="1:12">
      <c r="A696" t="s">
        <v>4148</v>
      </c>
      <c r="B696" s="8">
        <v>2.1629999999999998</v>
      </c>
      <c r="C696" s="9">
        <v>257</v>
      </c>
      <c r="D696">
        <v>2</v>
      </c>
      <c r="E696">
        <v>2</v>
      </c>
      <c r="F696">
        <v>2</v>
      </c>
      <c r="G696" s="10">
        <v>1</v>
      </c>
      <c r="H696" t="s">
        <v>46</v>
      </c>
      <c r="I696" t="s">
        <v>1957</v>
      </c>
      <c r="J696" t="s">
        <v>4149</v>
      </c>
      <c r="K696" t="s">
        <v>4150</v>
      </c>
      <c r="L696" s="11" t="s">
        <v>4149</v>
      </c>
    </row>
    <row r="697" spans="1:12">
      <c r="A697" t="s">
        <v>4151</v>
      </c>
      <c r="B697" s="8">
        <v>2.0619999999999998</v>
      </c>
      <c r="C697" s="9">
        <v>228</v>
      </c>
      <c r="D697">
        <v>1</v>
      </c>
      <c r="E697">
        <v>1</v>
      </c>
      <c r="F697">
        <v>1</v>
      </c>
      <c r="G697" s="10">
        <v>1</v>
      </c>
      <c r="H697" t="s">
        <v>46</v>
      </c>
      <c r="I697" t="s">
        <v>1957</v>
      </c>
      <c r="J697" t="s">
        <v>3586</v>
      </c>
      <c r="K697" t="s">
        <v>4150</v>
      </c>
      <c r="L697" s="11" t="s">
        <v>3586</v>
      </c>
    </row>
    <row r="698" spans="1:12">
      <c r="A698" t="s">
        <v>4152</v>
      </c>
      <c r="B698" s="8">
        <v>2.0910000000000002</v>
      </c>
      <c r="C698" s="9">
        <v>68</v>
      </c>
      <c r="D698">
        <v>3</v>
      </c>
      <c r="E698">
        <v>1</v>
      </c>
      <c r="F698">
        <v>1</v>
      </c>
      <c r="G698" s="10">
        <v>0.33333333333333331</v>
      </c>
      <c r="H698" t="s">
        <v>46</v>
      </c>
      <c r="I698" t="s">
        <v>1957</v>
      </c>
      <c r="J698" t="s">
        <v>3586</v>
      </c>
      <c r="K698" t="s">
        <v>4150</v>
      </c>
      <c r="L698" s="11" t="s">
        <v>3586</v>
      </c>
    </row>
    <row r="699" spans="1:12">
      <c r="A699" t="s">
        <v>4153</v>
      </c>
      <c r="B699" s="8">
        <v>2.3239999999999998</v>
      </c>
      <c r="C699" s="9">
        <v>9.5</v>
      </c>
      <c r="D699">
        <v>1</v>
      </c>
      <c r="E699">
        <v>1</v>
      </c>
      <c r="F699">
        <v>1</v>
      </c>
      <c r="G699" s="10">
        <v>1</v>
      </c>
      <c r="H699" t="s">
        <v>46</v>
      </c>
      <c r="I699" t="s">
        <v>1957</v>
      </c>
      <c r="J699" t="s">
        <v>4154</v>
      </c>
      <c r="K699" t="s">
        <v>4155</v>
      </c>
      <c r="L699" s="11" t="s">
        <v>4154</v>
      </c>
    </row>
    <row r="700" spans="1:12">
      <c r="A700" t="s">
        <v>4156</v>
      </c>
      <c r="B700" s="8">
        <v>6.5330000000000004</v>
      </c>
      <c r="C700" s="9">
        <v>15</v>
      </c>
      <c r="D700">
        <v>3</v>
      </c>
      <c r="E700">
        <v>3</v>
      </c>
      <c r="F700">
        <v>3</v>
      </c>
      <c r="G700" s="10">
        <v>1</v>
      </c>
      <c r="H700" t="s">
        <v>46</v>
      </c>
      <c r="I700" t="s">
        <v>1957</v>
      </c>
      <c r="J700" t="s">
        <v>4157</v>
      </c>
      <c r="K700" t="s">
        <v>4158</v>
      </c>
      <c r="L700" s="11" t="s">
        <v>4159</v>
      </c>
    </row>
    <row r="701" spans="1:12">
      <c r="A701" t="s">
        <v>4160</v>
      </c>
      <c r="B701" s="8">
        <v>3.4329999999999998</v>
      </c>
      <c r="C701" s="9">
        <v>11</v>
      </c>
      <c r="D701">
        <v>4</v>
      </c>
      <c r="E701">
        <v>4</v>
      </c>
      <c r="F701">
        <v>4</v>
      </c>
      <c r="G701" s="10">
        <v>1</v>
      </c>
      <c r="H701" t="s">
        <v>46</v>
      </c>
      <c r="I701" t="s">
        <v>1957</v>
      </c>
      <c r="J701" t="s">
        <v>4161</v>
      </c>
      <c r="K701" t="s">
        <v>4162</v>
      </c>
      <c r="L701" s="11" t="s">
        <v>4161</v>
      </c>
    </row>
    <row r="702" spans="1:12">
      <c r="A702" t="s">
        <v>4163</v>
      </c>
      <c r="B702" s="8">
        <v>2.798</v>
      </c>
      <c r="C702" s="9">
        <v>17</v>
      </c>
      <c r="D702">
        <v>4</v>
      </c>
      <c r="E702">
        <v>4</v>
      </c>
      <c r="F702">
        <v>4</v>
      </c>
      <c r="G702" s="10">
        <v>1</v>
      </c>
      <c r="H702" t="s">
        <v>46</v>
      </c>
      <c r="I702" t="s">
        <v>1957</v>
      </c>
      <c r="J702" t="s">
        <v>4164</v>
      </c>
      <c r="K702" t="s">
        <v>4165</v>
      </c>
      <c r="L702" s="11" t="s">
        <v>1256</v>
      </c>
    </row>
    <row r="703" spans="1:12">
      <c r="A703" t="s">
        <v>4166</v>
      </c>
      <c r="B703" s="8">
        <v>3.6680000000000001</v>
      </c>
      <c r="C703" s="9">
        <v>10</v>
      </c>
      <c r="D703">
        <v>2</v>
      </c>
      <c r="E703">
        <v>2</v>
      </c>
      <c r="F703">
        <v>2</v>
      </c>
      <c r="G703" s="10">
        <v>1</v>
      </c>
      <c r="H703" t="s">
        <v>46</v>
      </c>
      <c r="I703" t="s">
        <v>1957</v>
      </c>
      <c r="J703" t="s">
        <v>4167</v>
      </c>
      <c r="K703" t="s">
        <v>4168</v>
      </c>
      <c r="L703" s="11" t="s">
        <v>4167</v>
      </c>
    </row>
    <row r="704" spans="1:12">
      <c r="A704" t="s">
        <v>4169</v>
      </c>
      <c r="B704" s="8">
        <v>46.665999999999997</v>
      </c>
      <c r="C704" s="9">
        <v>73</v>
      </c>
      <c r="D704">
        <v>33</v>
      </c>
      <c r="E704">
        <v>33</v>
      </c>
      <c r="F704">
        <v>33</v>
      </c>
      <c r="G704" s="10">
        <v>1</v>
      </c>
      <c r="H704" t="s">
        <v>46</v>
      </c>
      <c r="I704" t="s">
        <v>1957</v>
      </c>
      <c r="J704" t="s">
        <v>4170</v>
      </c>
      <c r="K704" t="s">
        <v>4171</v>
      </c>
      <c r="L704" s="11" t="s">
        <v>4172</v>
      </c>
    </row>
    <row r="705" spans="1:12">
      <c r="A705" t="s">
        <v>4173</v>
      </c>
      <c r="B705" s="8">
        <v>2.0499999999999998</v>
      </c>
      <c r="C705" s="9">
        <v>18</v>
      </c>
      <c r="D705">
        <v>3</v>
      </c>
      <c r="E705">
        <v>3</v>
      </c>
      <c r="F705">
        <v>3</v>
      </c>
      <c r="G705" s="10">
        <v>1</v>
      </c>
      <c r="H705" t="s">
        <v>46</v>
      </c>
      <c r="I705" t="s">
        <v>1957</v>
      </c>
      <c r="J705" t="s">
        <v>4174</v>
      </c>
      <c r="K705" t="s">
        <v>4175</v>
      </c>
      <c r="L705" s="11" t="s">
        <v>4176</v>
      </c>
    </row>
    <row r="706" spans="1:12">
      <c r="A706" t="s">
        <v>4177</v>
      </c>
      <c r="B706" s="8">
        <v>2.6080000000000001</v>
      </c>
      <c r="C706" s="9">
        <v>13</v>
      </c>
      <c r="D706">
        <v>2</v>
      </c>
      <c r="E706">
        <v>2</v>
      </c>
      <c r="F706">
        <v>1</v>
      </c>
      <c r="G706" s="10">
        <v>0.5</v>
      </c>
      <c r="H706" t="s">
        <v>46</v>
      </c>
      <c r="I706" t="s">
        <v>1957</v>
      </c>
      <c r="J706" t="s">
        <v>4178</v>
      </c>
      <c r="K706" t="s">
        <v>4179</v>
      </c>
      <c r="L706" s="11" t="s">
        <v>1199</v>
      </c>
    </row>
    <row r="707" spans="1:12">
      <c r="A707" t="s">
        <v>4180</v>
      </c>
      <c r="B707" s="8">
        <v>3.2389999999999999</v>
      </c>
      <c r="C707" s="9">
        <v>34</v>
      </c>
      <c r="D707">
        <v>2</v>
      </c>
      <c r="E707">
        <v>1</v>
      </c>
      <c r="F707">
        <v>1</v>
      </c>
      <c r="G707" s="10">
        <v>0.5</v>
      </c>
      <c r="H707" t="s">
        <v>46</v>
      </c>
      <c r="I707" t="s">
        <v>1957</v>
      </c>
      <c r="J707" t="s">
        <v>4181</v>
      </c>
      <c r="K707" t="s">
        <v>4182</v>
      </c>
      <c r="L707" s="11" t="s">
        <v>4181</v>
      </c>
    </row>
    <row r="708" spans="1:12">
      <c r="A708" t="s">
        <v>4183</v>
      </c>
      <c r="B708" s="8">
        <v>2.4689999999999999</v>
      </c>
      <c r="C708" s="9">
        <v>231</v>
      </c>
      <c r="D708">
        <v>2</v>
      </c>
      <c r="E708">
        <v>2</v>
      </c>
      <c r="F708">
        <v>2</v>
      </c>
      <c r="G708" s="10">
        <v>1</v>
      </c>
      <c r="H708" t="s">
        <v>46</v>
      </c>
      <c r="I708" t="s">
        <v>1957</v>
      </c>
      <c r="J708" t="s">
        <v>2012</v>
      </c>
      <c r="K708" t="s">
        <v>4184</v>
      </c>
      <c r="L708" s="11" t="s">
        <v>2012</v>
      </c>
    </row>
    <row r="709" spans="1:12">
      <c r="A709" t="s">
        <v>4185</v>
      </c>
      <c r="B709" s="8">
        <v>2.5819999999999999</v>
      </c>
      <c r="C709" s="9">
        <v>400</v>
      </c>
      <c r="D709">
        <v>2</v>
      </c>
      <c r="E709">
        <v>2</v>
      </c>
      <c r="F709">
        <v>2</v>
      </c>
      <c r="G709" s="10">
        <v>1</v>
      </c>
      <c r="H709" t="s">
        <v>46</v>
      </c>
      <c r="I709" t="s">
        <v>1957</v>
      </c>
      <c r="J709" t="s">
        <v>2012</v>
      </c>
      <c r="K709" t="s">
        <v>4184</v>
      </c>
      <c r="L709" s="11" t="s">
        <v>4186</v>
      </c>
    </row>
    <row r="710" spans="1:12">
      <c r="A710" t="s">
        <v>4187</v>
      </c>
      <c r="B710" s="8">
        <v>2.867</v>
      </c>
      <c r="C710" s="9">
        <v>43</v>
      </c>
      <c r="D710">
        <v>2</v>
      </c>
      <c r="E710">
        <v>2</v>
      </c>
      <c r="F710">
        <v>2</v>
      </c>
      <c r="G710" s="10">
        <v>1</v>
      </c>
      <c r="H710" t="s">
        <v>46</v>
      </c>
      <c r="I710" t="s">
        <v>1957</v>
      </c>
      <c r="J710" t="s">
        <v>2012</v>
      </c>
      <c r="K710" t="s">
        <v>4184</v>
      </c>
      <c r="L710" s="11" t="s">
        <v>4188</v>
      </c>
    </row>
    <row r="711" spans="1:12">
      <c r="A711" t="s">
        <v>4189</v>
      </c>
      <c r="B711" s="8">
        <v>3.2890000000000001</v>
      </c>
      <c r="C711" s="9">
        <v>32</v>
      </c>
      <c r="D711">
        <v>2</v>
      </c>
      <c r="E711">
        <v>2</v>
      </c>
      <c r="F711">
        <v>2</v>
      </c>
      <c r="G711" s="10">
        <v>1</v>
      </c>
      <c r="H711" t="s">
        <v>46</v>
      </c>
      <c r="I711" t="s">
        <v>1957</v>
      </c>
      <c r="J711" t="s">
        <v>2012</v>
      </c>
      <c r="K711" t="s">
        <v>4184</v>
      </c>
      <c r="L711" s="11" t="s">
        <v>4188</v>
      </c>
    </row>
    <row r="712" spans="1:12">
      <c r="A712" t="s">
        <v>4190</v>
      </c>
      <c r="B712" s="8">
        <v>2.883</v>
      </c>
      <c r="C712" s="9">
        <v>49</v>
      </c>
      <c r="D712">
        <v>4</v>
      </c>
      <c r="E712">
        <v>4</v>
      </c>
      <c r="F712">
        <v>4</v>
      </c>
      <c r="G712" s="10">
        <v>1</v>
      </c>
      <c r="H712" t="s">
        <v>46</v>
      </c>
      <c r="I712" t="s">
        <v>1957</v>
      </c>
      <c r="J712" t="s">
        <v>4191</v>
      </c>
      <c r="K712" t="s">
        <v>4192</v>
      </c>
      <c r="L712" s="11" t="s">
        <v>4193</v>
      </c>
    </row>
    <row r="713" spans="1:12">
      <c r="A713" t="s">
        <v>4194</v>
      </c>
      <c r="B713" s="8">
        <v>2.63</v>
      </c>
      <c r="C713" s="9">
        <v>35</v>
      </c>
      <c r="D713">
        <v>3</v>
      </c>
      <c r="E713">
        <v>3</v>
      </c>
      <c r="F713">
        <v>2</v>
      </c>
      <c r="G713" s="10">
        <v>0.66666666666666663</v>
      </c>
      <c r="H713" t="s">
        <v>46</v>
      </c>
      <c r="I713" t="s">
        <v>1957</v>
      </c>
      <c r="J713" t="s">
        <v>4195</v>
      </c>
      <c r="K713" t="s">
        <v>4196</v>
      </c>
      <c r="L713" s="11" t="s">
        <v>2024</v>
      </c>
    </row>
    <row r="714" spans="1:12">
      <c r="A714" t="s">
        <v>4197</v>
      </c>
      <c r="B714" s="8">
        <v>6.0460000000000003</v>
      </c>
      <c r="C714" s="9">
        <v>175</v>
      </c>
      <c r="D714">
        <v>4</v>
      </c>
      <c r="E714">
        <v>4</v>
      </c>
      <c r="F714">
        <v>2</v>
      </c>
      <c r="G714" s="10">
        <v>0.5</v>
      </c>
      <c r="H714" t="s">
        <v>46</v>
      </c>
      <c r="I714" t="s">
        <v>1957</v>
      </c>
      <c r="J714" t="s">
        <v>4198</v>
      </c>
      <c r="K714" t="s">
        <v>4199</v>
      </c>
      <c r="L714" s="11" t="s">
        <v>4200</v>
      </c>
    </row>
    <row r="715" spans="1:12">
      <c r="A715" t="s">
        <v>4201</v>
      </c>
      <c r="B715" s="8">
        <v>4.6459999999999999</v>
      </c>
      <c r="C715" s="9">
        <v>13</v>
      </c>
      <c r="D715">
        <v>2</v>
      </c>
      <c r="E715">
        <v>2</v>
      </c>
      <c r="F715">
        <v>2</v>
      </c>
      <c r="G715" s="10">
        <v>1</v>
      </c>
      <c r="H715" t="s">
        <v>46</v>
      </c>
      <c r="I715" t="s">
        <v>1957</v>
      </c>
      <c r="J715" t="s">
        <v>4202</v>
      </c>
      <c r="K715" t="s">
        <v>4203</v>
      </c>
      <c r="L715" s="11" t="s">
        <v>4204</v>
      </c>
    </row>
    <row r="716" spans="1:12">
      <c r="A716" t="s">
        <v>4205</v>
      </c>
      <c r="B716" s="8">
        <v>8.8629999999999995</v>
      </c>
      <c r="C716" s="9">
        <v>733</v>
      </c>
      <c r="D716">
        <v>4</v>
      </c>
      <c r="E716">
        <v>4</v>
      </c>
      <c r="F716">
        <v>2</v>
      </c>
      <c r="G716" s="10">
        <v>0.5</v>
      </c>
      <c r="H716" t="s">
        <v>46</v>
      </c>
      <c r="I716" t="s">
        <v>1957</v>
      </c>
      <c r="J716" t="s">
        <v>4206</v>
      </c>
      <c r="K716" t="s">
        <v>4207</v>
      </c>
      <c r="L716" s="11" t="s">
        <v>4208</v>
      </c>
    </row>
    <row r="717" spans="1:12">
      <c r="A717" t="s">
        <v>4209</v>
      </c>
      <c r="B717" s="8">
        <v>3.2440000000000002</v>
      </c>
      <c r="C717" s="9">
        <v>3470</v>
      </c>
      <c r="D717">
        <v>2</v>
      </c>
      <c r="E717">
        <v>2</v>
      </c>
      <c r="F717">
        <v>2</v>
      </c>
      <c r="G717" s="10">
        <v>1</v>
      </c>
      <c r="H717" t="s">
        <v>46</v>
      </c>
      <c r="I717" t="s">
        <v>1957</v>
      </c>
      <c r="J717" t="s">
        <v>4210</v>
      </c>
      <c r="K717" t="s">
        <v>4211</v>
      </c>
      <c r="L717" s="11" t="s">
        <v>4212</v>
      </c>
    </row>
    <row r="718" spans="1:12">
      <c r="A718" t="s">
        <v>4213</v>
      </c>
      <c r="B718" s="8">
        <v>2.2130000000000001</v>
      </c>
      <c r="C718" s="9">
        <v>34</v>
      </c>
      <c r="D718">
        <v>3</v>
      </c>
      <c r="E718">
        <v>3</v>
      </c>
      <c r="F718">
        <v>3</v>
      </c>
      <c r="G718" s="10">
        <v>1</v>
      </c>
      <c r="H718" t="s">
        <v>46</v>
      </c>
      <c r="I718" t="s">
        <v>1957</v>
      </c>
      <c r="J718" t="s">
        <v>4214</v>
      </c>
      <c r="K718" t="s">
        <v>4215</v>
      </c>
      <c r="L718" s="11" t="s">
        <v>4216</v>
      </c>
    </row>
    <row r="719" spans="1:12">
      <c r="A719" t="s">
        <v>4217</v>
      </c>
      <c r="B719" s="8">
        <v>4.0869999999999997</v>
      </c>
      <c r="C719" s="9">
        <v>405</v>
      </c>
      <c r="D719">
        <v>2</v>
      </c>
      <c r="E719">
        <v>2</v>
      </c>
      <c r="F719">
        <v>2</v>
      </c>
      <c r="G719" s="10">
        <v>1</v>
      </c>
      <c r="H719" t="s">
        <v>46</v>
      </c>
      <c r="I719" t="s">
        <v>1957</v>
      </c>
      <c r="J719" t="s">
        <v>4218</v>
      </c>
      <c r="K719" t="s">
        <v>4219</v>
      </c>
      <c r="L719" s="11" t="s">
        <v>4220</v>
      </c>
    </row>
    <row r="720" spans="1:12">
      <c r="A720" t="s">
        <v>4221</v>
      </c>
      <c r="B720" s="8">
        <v>2.0259999999999998</v>
      </c>
      <c r="C720" s="9">
        <v>61</v>
      </c>
      <c r="D720">
        <v>1</v>
      </c>
      <c r="E720">
        <v>1</v>
      </c>
      <c r="F720">
        <v>1</v>
      </c>
      <c r="G720" s="10">
        <v>1</v>
      </c>
      <c r="H720" t="s">
        <v>46</v>
      </c>
      <c r="I720" t="s">
        <v>1957</v>
      </c>
      <c r="J720" t="s">
        <v>4222</v>
      </c>
      <c r="K720" t="s">
        <v>4219</v>
      </c>
      <c r="L720" s="11" t="s">
        <v>4222</v>
      </c>
    </row>
    <row r="721" spans="1:12">
      <c r="A721" t="s">
        <v>4223</v>
      </c>
      <c r="B721" s="8">
        <v>2.2629999999999999</v>
      </c>
      <c r="C721" s="9">
        <v>108</v>
      </c>
      <c r="D721">
        <v>1</v>
      </c>
      <c r="E721">
        <v>1</v>
      </c>
      <c r="F721">
        <v>1</v>
      </c>
      <c r="G721" s="10">
        <v>1</v>
      </c>
      <c r="H721" t="s">
        <v>46</v>
      </c>
      <c r="I721" t="s">
        <v>1957</v>
      </c>
      <c r="J721" t="s">
        <v>4222</v>
      </c>
      <c r="K721" t="s">
        <v>4219</v>
      </c>
      <c r="L721" s="11" t="s">
        <v>4222</v>
      </c>
    </row>
    <row r="722" spans="1:12">
      <c r="A722" t="s">
        <v>4224</v>
      </c>
      <c r="B722" s="8">
        <v>2.617</v>
      </c>
      <c r="C722" s="9">
        <v>1781</v>
      </c>
      <c r="D722">
        <v>1</v>
      </c>
      <c r="E722">
        <v>1</v>
      </c>
      <c r="F722">
        <v>1</v>
      </c>
      <c r="G722" s="10">
        <v>1</v>
      </c>
      <c r="H722" t="s">
        <v>46</v>
      </c>
      <c r="I722" t="s">
        <v>1957</v>
      </c>
      <c r="J722" t="s">
        <v>4222</v>
      </c>
      <c r="K722" t="s">
        <v>4219</v>
      </c>
      <c r="L722" s="11" t="s">
        <v>4222</v>
      </c>
    </row>
    <row r="723" spans="1:12">
      <c r="A723" t="s">
        <v>4225</v>
      </c>
      <c r="B723" s="8">
        <v>2.9620000000000002</v>
      </c>
      <c r="C723" s="9">
        <v>203</v>
      </c>
      <c r="D723">
        <v>3</v>
      </c>
      <c r="E723">
        <v>2</v>
      </c>
      <c r="F723">
        <v>3</v>
      </c>
      <c r="G723" s="10">
        <v>1</v>
      </c>
      <c r="H723" t="s">
        <v>46</v>
      </c>
      <c r="I723" t="s">
        <v>1957</v>
      </c>
      <c r="J723" t="s">
        <v>4226</v>
      </c>
      <c r="K723" t="s">
        <v>4227</v>
      </c>
      <c r="L723" s="11" t="s">
        <v>4222</v>
      </c>
    </row>
    <row r="724" spans="1:12">
      <c r="A724" t="s">
        <v>4228</v>
      </c>
      <c r="B724" s="8">
        <v>2.7480000000000002</v>
      </c>
      <c r="C724" s="9">
        <v>800</v>
      </c>
      <c r="D724">
        <v>2</v>
      </c>
      <c r="E724">
        <v>2</v>
      </c>
      <c r="F724">
        <v>2</v>
      </c>
      <c r="G724" s="10">
        <v>1</v>
      </c>
      <c r="H724" t="s">
        <v>46</v>
      </c>
      <c r="I724" t="s">
        <v>1957</v>
      </c>
      <c r="J724" t="s">
        <v>4229</v>
      </c>
      <c r="K724" t="s">
        <v>4230</v>
      </c>
      <c r="L724" s="11" t="s">
        <v>4231</v>
      </c>
    </row>
    <row r="725" spans="1:12">
      <c r="A725" t="s">
        <v>4232</v>
      </c>
      <c r="B725" s="8">
        <v>2.5569999999999999</v>
      </c>
      <c r="C725" s="9">
        <v>3816</v>
      </c>
      <c r="D725">
        <v>4</v>
      </c>
      <c r="E725">
        <v>4</v>
      </c>
      <c r="F725">
        <v>4</v>
      </c>
      <c r="G725" s="10">
        <v>1</v>
      </c>
      <c r="H725" t="s">
        <v>46</v>
      </c>
      <c r="I725" t="s">
        <v>1957</v>
      </c>
      <c r="J725" t="s">
        <v>4233</v>
      </c>
      <c r="K725" t="s">
        <v>4234</v>
      </c>
      <c r="L725" s="11" t="s">
        <v>4235</v>
      </c>
    </row>
    <row r="726" spans="1:12">
      <c r="A726" t="s">
        <v>4236</v>
      </c>
      <c r="B726" s="8">
        <v>6.1760000000000002</v>
      </c>
      <c r="C726" s="9">
        <v>14</v>
      </c>
      <c r="D726">
        <v>6</v>
      </c>
      <c r="E726">
        <v>6</v>
      </c>
      <c r="F726">
        <v>4</v>
      </c>
      <c r="G726" s="10">
        <v>0.66666666666666663</v>
      </c>
      <c r="H726" t="s">
        <v>46</v>
      </c>
      <c r="I726" t="s">
        <v>1957</v>
      </c>
      <c r="J726" t="s">
        <v>4237</v>
      </c>
      <c r="K726" t="s">
        <v>4238</v>
      </c>
      <c r="L726" s="11" t="s">
        <v>4239</v>
      </c>
    </row>
    <row r="727" spans="1:12">
      <c r="A727" t="s">
        <v>4240</v>
      </c>
      <c r="B727" s="8">
        <v>48.670999999999999</v>
      </c>
      <c r="C727" s="9">
        <v>99</v>
      </c>
      <c r="D727">
        <v>32</v>
      </c>
      <c r="E727">
        <v>32</v>
      </c>
      <c r="F727">
        <v>27</v>
      </c>
      <c r="G727" s="10">
        <v>0.84375</v>
      </c>
      <c r="H727" t="s">
        <v>46</v>
      </c>
      <c r="I727" t="s">
        <v>1957</v>
      </c>
      <c r="J727" t="s">
        <v>4241</v>
      </c>
      <c r="K727" t="s">
        <v>4242</v>
      </c>
      <c r="L727" s="11" t="s">
        <v>4243</v>
      </c>
    </row>
    <row r="728" spans="1:12">
      <c r="A728" t="s">
        <v>4244</v>
      </c>
      <c r="B728" s="8">
        <v>3.698</v>
      </c>
      <c r="C728" s="9">
        <v>9.6</v>
      </c>
      <c r="D728">
        <v>6</v>
      </c>
      <c r="E728">
        <v>5</v>
      </c>
      <c r="F728">
        <v>4</v>
      </c>
      <c r="G728" s="10">
        <v>0.66666666666666663</v>
      </c>
      <c r="H728" t="s">
        <v>46</v>
      </c>
      <c r="I728" t="s">
        <v>1957</v>
      </c>
      <c r="J728" t="s">
        <v>4245</v>
      </c>
      <c r="K728" t="s">
        <v>4246</v>
      </c>
      <c r="L728" s="11" t="s">
        <v>4247</v>
      </c>
    </row>
    <row r="729" spans="1:12">
      <c r="A729" t="s">
        <v>4248</v>
      </c>
      <c r="B729" s="8">
        <v>2.3439999999999999</v>
      </c>
      <c r="C729" s="9">
        <v>54</v>
      </c>
      <c r="D729">
        <v>2</v>
      </c>
      <c r="E729">
        <v>2</v>
      </c>
      <c r="F729">
        <v>2</v>
      </c>
      <c r="G729" s="10">
        <v>1</v>
      </c>
      <c r="H729" t="s">
        <v>46</v>
      </c>
      <c r="I729" t="s">
        <v>1957</v>
      </c>
      <c r="J729" t="s">
        <v>4249</v>
      </c>
      <c r="K729" t="s">
        <v>4250</v>
      </c>
      <c r="L729" s="11" t="s">
        <v>4251</v>
      </c>
    </row>
    <row r="730" spans="1:12">
      <c r="A730" t="s">
        <v>4252</v>
      </c>
      <c r="B730" s="8">
        <v>2.573</v>
      </c>
      <c r="C730" s="9">
        <v>91</v>
      </c>
      <c r="D730">
        <v>2</v>
      </c>
      <c r="E730">
        <v>2</v>
      </c>
      <c r="F730">
        <v>2</v>
      </c>
      <c r="G730" s="10">
        <v>1</v>
      </c>
      <c r="H730" t="s">
        <v>46</v>
      </c>
      <c r="I730" t="s">
        <v>1957</v>
      </c>
      <c r="J730" t="s">
        <v>4253</v>
      </c>
      <c r="K730" t="s">
        <v>4254</v>
      </c>
      <c r="L730" s="11" t="s">
        <v>4251</v>
      </c>
    </row>
    <row r="731" spans="1:12">
      <c r="A731" t="s">
        <v>4255</v>
      </c>
      <c r="B731" s="8">
        <v>23.722999999999999</v>
      </c>
      <c r="C731" s="9">
        <v>492</v>
      </c>
      <c r="D731">
        <v>10</v>
      </c>
      <c r="E731">
        <v>9</v>
      </c>
      <c r="F731">
        <v>8</v>
      </c>
      <c r="G731" s="10">
        <v>0.8</v>
      </c>
      <c r="H731" t="s">
        <v>46</v>
      </c>
      <c r="I731" t="s">
        <v>1957</v>
      </c>
      <c r="J731" t="s">
        <v>4256</v>
      </c>
      <c r="K731" t="s">
        <v>4257</v>
      </c>
      <c r="L731" s="11" t="s">
        <v>4258</v>
      </c>
    </row>
    <row r="732" spans="1:12">
      <c r="A732" t="s">
        <v>4259</v>
      </c>
      <c r="B732" s="8">
        <v>2.032</v>
      </c>
      <c r="C732" s="9">
        <v>101</v>
      </c>
      <c r="D732">
        <v>3</v>
      </c>
      <c r="E732">
        <v>3</v>
      </c>
      <c r="F732">
        <v>3</v>
      </c>
      <c r="G732" s="10">
        <v>1</v>
      </c>
      <c r="H732" t="s">
        <v>46</v>
      </c>
      <c r="I732" t="s">
        <v>1957</v>
      </c>
      <c r="J732" t="s">
        <v>4260</v>
      </c>
      <c r="K732" t="s">
        <v>4261</v>
      </c>
      <c r="L732" s="11" t="s">
        <v>4262</v>
      </c>
    </row>
    <row r="733" spans="1:12">
      <c r="A733" t="s">
        <v>4263</v>
      </c>
      <c r="B733" s="8">
        <v>3.395</v>
      </c>
      <c r="C733" s="9">
        <v>114</v>
      </c>
      <c r="D733">
        <v>3</v>
      </c>
      <c r="E733">
        <v>3</v>
      </c>
      <c r="F733">
        <v>3</v>
      </c>
      <c r="G733" s="10">
        <v>1</v>
      </c>
      <c r="H733" t="s">
        <v>46</v>
      </c>
      <c r="I733" t="s">
        <v>1957</v>
      </c>
      <c r="J733" t="s">
        <v>4264</v>
      </c>
      <c r="K733" t="s">
        <v>4265</v>
      </c>
      <c r="L733" s="11" t="s">
        <v>4262</v>
      </c>
    </row>
    <row r="734" spans="1:12">
      <c r="A734" t="s">
        <v>4266</v>
      </c>
      <c r="B734" s="8">
        <v>80.863</v>
      </c>
      <c r="C734" s="9">
        <v>259</v>
      </c>
      <c r="D734">
        <v>59</v>
      </c>
      <c r="E734">
        <v>54</v>
      </c>
      <c r="F734">
        <v>51</v>
      </c>
      <c r="G734" s="10">
        <v>0.86440677966101698</v>
      </c>
      <c r="H734" t="s">
        <v>46</v>
      </c>
      <c r="I734" t="s">
        <v>1957</v>
      </c>
      <c r="J734" t="s">
        <v>4267</v>
      </c>
      <c r="K734" t="s">
        <v>4268</v>
      </c>
      <c r="L734" s="11" t="s">
        <v>4269</v>
      </c>
    </row>
    <row r="735" spans="1:12">
      <c r="A735" t="s">
        <v>4270</v>
      </c>
      <c r="B735" s="8">
        <v>31.997</v>
      </c>
      <c r="C735" s="9">
        <v>76</v>
      </c>
      <c r="D735">
        <v>2</v>
      </c>
      <c r="E735">
        <v>2</v>
      </c>
      <c r="F735">
        <v>1</v>
      </c>
      <c r="G735" s="10">
        <v>0.5</v>
      </c>
      <c r="H735" t="s">
        <v>46</v>
      </c>
      <c r="I735" t="s">
        <v>1957</v>
      </c>
      <c r="J735" t="s">
        <v>4271</v>
      </c>
      <c r="K735" t="s">
        <v>4272</v>
      </c>
      <c r="L735" s="11" t="s">
        <v>4273</v>
      </c>
    </row>
    <row r="736" spans="1:12">
      <c r="A736" t="s">
        <v>4274</v>
      </c>
      <c r="B736" s="8">
        <v>3.867</v>
      </c>
      <c r="C736" s="9">
        <v>53</v>
      </c>
      <c r="D736">
        <v>1</v>
      </c>
      <c r="E736">
        <v>1</v>
      </c>
      <c r="F736">
        <v>1</v>
      </c>
      <c r="G736" s="10">
        <v>1</v>
      </c>
      <c r="H736" t="s">
        <v>46</v>
      </c>
      <c r="I736" t="s">
        <v>1957</v>
      </c>
      <c r="J736" t="s">
        <v>4273</v>
      </c>
      <c r="K736" t="s">
        <v>4275</v>
      </c>
      <c r="L736" s="11" t="s">
        <v>4273</v>
      </c>
    </row>
    <row r="737" spans="1:12">
      <c r="A737" t="s">
        <v>4276</v>
      </c>
      <c r="B737" s="8">
        <v>8.0350000000000001</v>
      </c>
      <c r="C737" s="9">
        <v>135</v>
      </c>
      <c r="D737">
        <v>7</v>
      </c>
      <c r="E737">
        <v>6</v>
      </c>
      <c r="F737">
        <v>6</v>
      </c>
      <c r="G737" s="10">
        <v>0.8571428571428571</v>
      </c>
      <c r="H737" t="s">
        <v>46</v>
      </c>
      <c r="I737" t="s">
        <v>1957</v>
      </c>
      <c r="J737" t="s">
        <v>4277</v>
      </c>
      <c r="K737" t="s">
        <v>4278</v>
      </c>
      <c r="L737" s="11" t="s">
        <v>4279</v>
      </c>
    </row>
    <row r="738" spans="1:12">
      <c r="A738" t="s">
        <v>4280</v>
      </c>
      <c r="B738" s="8">
        <v>40.558999999999997</v>
      </c>
      <c r="C738" s="9">
        <v>174</v>
      </c>
      <c r="D738">
        <v>26</v>
      </c>
      <c r="E738">
        <v>23</v>
      </c>
      <c r="F738">
        <v>19</v>
      </c>
      <c r="G738" s="10">
        <v>0.73076923076923073</v>
      </c>
      <c r="H738" t="s">
        <v>46</v>
      </c>
      <c r="I738" t="s">
        <v>1957</v>
      </c>
      <c r="J738" t="s">
        <v>4281</v>
      </c>
      <c r="K738" t="s">
        <v>4282</v>
      </c>
      <c r="L738" s="11" t="s">
        <v>4283</v>
      </c>
    </row>
    <row r="739" spans="1:12">
      <c r="A739" t="s">
        <v>4284</v>
      </c>
      <c r="B739" s="8">
        <v>2.5310000000000001</v>
      </c>
      <c r="C739" s="9">
        <v>140</v>
      </c>
      <c r="D739">
        <v>3</v>
      </c>
      <c r="E739">
        <v>2</v>
      </c>
      <c r="F739">
        <v>3</v>
      </c>
      <c r="G739" s="10">
        <v>1</v>
      </c>
      <c r="H739" t="s">
        <v>46</v>
      </c>
      <c r="I739" t="s">
        <v>1957</v>
      </c>
      <c r="J739" t="s">
        <v>4285</v>
      </c>
      <c r="K739" t="s">
        <v>4286</v>
      </c>
      <c r="L739" s="11" t="s">
        <v>4287</v>
      </c>
    </row>
    <row r="740" spans="1:12">
      <c r="A740" t="s">
        <v>4288</v>
      </c>
      <c r="B740" s="8">
        <v>3.4039999999999999</v>
      </c>
      <c r="C740" s="9">
        <v>10</v>
      </c>
      <c r="D740">
        <v>6</v>
      </c>
      <c r="E740">
        <v>4</v>
      </c>
      <c r="F740">
        <v>4</v>
      </c>
      <c r="G740" s="10">
        <v>0.66666666666666663</v>
      </c>
      <c r="H740" t="s">
        <v>46</v>
      </c>
      <c r="I740" t="s">
        <v>1957</v>
      </c>
      <c r="J740" t="s">
        <v>4289</v>
      </c>
      <c r="K740" t="s">
        <v>4286</v>
      </c>
      <c r="L740" s="11" t="s">
        <v>4289</v>
      </c>
    </row>
    <row r="741" spans="1:12">
      <c r="A741" t="s">
        <v>4290</v>
      </c>
      <c r="B741" s="8">
        <v>8.4489999999999998</v>
      </c>
      <c r="C741" s="9">
        <v>135</v>
      </c>
      <c r="D741">
        <v>5</v>
      </c>
      <c r="E741">
        <v>5</v>
      </c>
      <c r="F741">
        <v>5</v>
      </c>
      <c r="G741" s="10">
        <v>1</v>
      </c>
      <c r="H741" t="s">
        <v>46</v>
      </c>
      <c r="I741" t="s">
        <v>1957</v>
      </c>
      <c r="J741" t="s">
        <v>4291</v>
      </c>
      <c r="K741" t="s">
        <v>4292</v>
      </c>
      <c r="L741" s="11" t="s">
        <v>4293</v>
      </c>
    </row>
    <row r="742" spans="1:12">
      <c r="A742" t="s">
        <v>4294</v>
      </c>
      <c r="B742" s="8">
        <v>2.2450000000000001</v>
      </c>
      <c r="C742" s="9">
        <v>335</v>
      </c>
      <c r="D742">
        <v>1</v>
      </c>
      <c r="E742">
        <v>1</v>
      </c>
      <c r="F742">
        <v>1</v>
      </c>
      <c r="G742" s="10">
        <v>1</v>
      </c>
      <c r="H742" t="s">
        <v>46</v>
      </c>
      <c r="I742" t="s">
        <v>1957</v>
      </c>
      <c r="J742" t="s">
        <v>4295</v>
      </c>
      <c r="K742" t="s">
        <v>4296</v>
      </c>
      <c r="L742" s="11" t="s">
        <v>4295</v>
      </c>
    </row>
    <row r="743" spans="1:12">
      <c r="A743" t="s">
        <v>4297</v>
      </c>
      <c r="B743" s="8">
        <v>2.2050000000000001</v>
      </c>
      <c r="C743" s="9">
        <v>24</v>
      </c>
      <c r="D743">
        <v>1</v>
      </c>
      <c r="E743">
        <v>1</v>
      </c>
      <c r="F743">
        <v>1</v>
      </c>
      <c r="G743" s="10">
        <v>1</v>
      </c>
      <c r="H743" t="s">
        <v>46</v>
      </c>
      <c r="I743" t="s">
        <v>1957</v>
      </c>
      <c r="J743" t="s">
        <v>4298</v>
      </c>
      <c r="K743" t="s">
        <v>4299</v>
      </c>
      <c r="L743" s="11" t="s">
        <v>4298</v>
      </c>
    </row>
    <row r="744" spans="1:12">
      <c r="A744" t="s">
        <v>4300</v>
      </c>
      <c r="B744" s="8">
        <v>8.2739999999999991</v>
      </c>
      <c r="C744" s="9">
        <v>31</v>
      </c>
      <c r="D744">
        <v>2</v>
      </c>
      <c r="E744">
        <v>2</v>
      </c>
      <c r="F744">
        <v>2</v>
      </c>
      <c r="G744" s="10">
        <v>1</v>
      </c>
      <c r="H744" t="s">
        <v>46</v>
      </c>
      <c r="I744" t="s">
        <v>1957</v>
      </c>
      <c r="J744" t="s">
        <v>4301</v>
      </c>
      <c r="K744" t="s">
        <v>4302</v>
      </c>
      <c r="L744" s="11" t="s">
        <v>4303</v>
      </c>
    </row>
    <row r="745" spans="1:12">
      <c r="A745" t="s">
        <v>4304</v>
      </c>
      <c r="B745" s="8">
        <v>2.536</v>
      </c>
      <c r="C745" s="9">
        <v>11</v>
      </c>
      <c r="D745">
        <v>1</v>
      </c>
      <c r="E745">
        <v>1</v>
      </c>
      <c r="F745">
        <v>1</v>
      </c>
      <c r="G745" s="10">
        <v>1</v>
      </c>
      <c r="H745" t="s">
        <v>46</v>
      </c>
      <c r="I745" t="s">
        <v>1957</v>
      </c>
      <c r="J745" t="s">
        <v>4305</v>
      </c>
      <c r="K745" t="s">
        <v>4306</v>
      </c>
      <c r="L745" s="11" t="s">
        <v>4305</v>
      </c>
    </row>
    <row r="746" spans="1:12">
      <c r="A746" t="s">
        <v>4307</v>
      </c>
      <c r="B746" s="8">
        <v>10.848000000000001</v>
      </c>
      <c r="C746" s="9">
        <v>20</v>
      </c>
      <c r="D746">
        <v>2</v>
      </c>
      <c r="E746">
        <v>2</v>
      </c>
      <c r="F746">
        <v>2</v>
      </c>
      <c r="G746" s="10">
        <v>1</v>
      </c>
      <c r="H746" t="s">
        <v>46</v>
      </c>
      <c r="I746" t="s">
        <v>1957</v>
      </c>
      <c r="J746" t="s">
        <v>4308</v>
      </c>
      <c r="K746" t="s">
        <v>4309</v>
      </c>
      <c r="L746" s="11" t="s">
        <v>4308</v>
      </c>
    </row>
    <row r="747" spans="1:12">
      <c r="A747" t="s">
        <v>4310</v>
      </c>
      <c r="B747" s="8">
        <v>2.4809999999999999</v>
      </c>
      <c r="C747" s="9">
        <v>303</v>
      </c>
      <c r="D747">
        <v>2</v>
      </c>
      <c r="E747">
        <v>2</v>
      </c>
      <c r="F747">
        <v>2</v>
      </c>
      <c r="G747" s="10">
        <v>1</v>
      </c>
      <c r="H747" t="s">
        <v>46</v>
      </c>
      <c r="I747" t="s">
        <v>1957</v>
      </c>
      <c r="J747" t="s">
        <v>4311</v>
      </c>
      <c r="K747" t="s">
        <v>4312</v>
      </c>
      <c r="L747" s="11" t="s">
        <v>4313</v>
      </c>
    </row>
    <row r="748" spans="1:12">
      <c r="A748" t="s">
        <v>4314</v>
      </c>
      <c r="B748" s="8">
        <v>2.0680000000000001</v>
      </c>
      <c r="C748" s="9">
        <v>243</v>
      </c>
      <c r="D748">
        <v>2</v>
      </c>
      <c r="E748">
        <v>2</v>
      </c>
      <c r="F748">
        <v>2</v>
      </c>
      <c r="G748" s="10">
        <v>1</v>
      </c>
      <c r="H748" t="s">
        <v>46</v>
      </c>
      <c r="I748" t="s">
        <v>1957</v>
      </c>
      <c r="J748" t="s">
        <v>4315</v>
      </c>
      <c r="K748" t="s">
        <v>4316</v>
      </c>
      <c r="L748" s="11" t="s">
        <v>4317</v>
      </c>
    </row>
    <row r="749" spans="1:12">
      <c r="A749" t="s">
        <v>4318</v>
      </c>
      <c r="B749" s="8">
        <v>2.5960000000000001</v>
      </c>
      <c r="C749" s="9">
        <v>682</v>
      </c>
      <c r="D749">
        <v>1</v>
      </c>
      <c r="E749">
        <v>1</v>
      </c>
      <c r="F749">
        <v>1</v>
      </c>
      <c r="G749" s="10">
        <v>1</v>
      </c>
      <c r="H749" t="s">
        <v>46</v>
      </c>
      <c r="I749" t="s">
        <v>1957</v>
      </c>
      <c r="J749" t="s">
        <v>4317</v>
      </c>
      <c r="K749" t="s">
        <v>4319</v>
      </c>
      <c r="L749" s="11" t="s">
        <v>4317</v>
      </c>
    </row>
    <row r="750" spans="1:12">
      <c r="A750" t="s">
        <v>4320</v>
      </c>
      <c r="B750" s="8">
        <v>10.324</v>
      </c>
      <c r="C750" s="9">
        <v>175</v>
      </c>
      <c r="D750">
        <v>7</v>
      </c>
      <c r="E750">
        <v>6</v>
      </c>
      <c r="F750">
        <v>4</v>
      </c>
      <c r="G750" s="10">
        <v>0.5714285714285714</v>
      </c>
      <c r="H750" t="s">
        <v>46</v>
      </c>
      <c r="I750" t="s">
        <v>1957</v>
      </c>
      <c r="J750" t="s">
        <v>4321</v>
      </c>
      <c r="K750" t="s">
        <v>4322</v>
      </c>
      <c r="L750" s="11" t="s">
        <v>4323</v>
      </c>
    </row>
    <row r="751" spans="1:12">
      <c r="A751" t="s">
        <v>4324</v>
      </c>
      <c r="B751" s="8">
        <v>2.56</v>
      </c>
      <c r="C751" s="9">
        <v>61</v>
      </c>
      <c r="D751">
        <v>2</v>
      </c>
      <c r="E751">
        <v>2</v>
      </c>
      <c r="F751">
        <v>2</v>
      </c>
      <c r="G751" s="10">
        <v>1</v>
      </c>
      <c r="H751" t="s">
        <v>46</v>
      </c>
      <c r="I751" t="s">
        <v>1957</v>
      </c>
      <c r="J751" t="s">
        <v>4325</v>
      </c>
      <c r="K751" t="s">
        <v>4326</v>
      </c>
      <c r="L751" s="11" t="s">
        <v>4317</v>
      </c>
    </row>
    <row r="752" spans="1:12">
      <c r="A752" t="s">
        <v>4327</v>
      </c>
      <c r="B752" s="8">
        <v>3.754</v>
      </c>
      <c r="C752" s="9">
        <v>23</v>
      </c>
      <c r="D752">
        <v>5</v>
      </c>
      <c r="E752">
        <v>5</v>
      </c>
      <c r="F752">
        <v>3</v>
      </c>
      <c r="G752" s="10">
        <v>0.6</v>
      </c>
      <c r="H752" t="s">
        <v>46</v>
      </c>
      <c r="I752" t="s">
        <v>1957</v>
      </c>
      <c r="J752" t="s">
        <v>4328</v>
      </c>
      <c r="K752" t="s">
        <v>4329</v>
      </c>
      <c r="L752" s="11" t="s">
        <v>4323</v>
      </c>
    </row>
    <row r="753" spans="1:12">
      <c r="A753" t="s">
        <v>4330</v>
      </c>
      <c r="B753" s="8">
        <v>3.2930000000000001</v>
      </c>
      <c r="C753" s="9">
        <v>14</v>
      </c>
      <c r="D753">
        <v>3</v>
      </c>
      <c r="E753">
        <v>3</v>
      </c>
      <c r="F753">
        <v>3</v>
      </c>
      <c r="G753" s="10">
        <v>1</v>
      </c>
      <c r="H753" t="s">
        <v>46</v>
      </c>
      <c r="I753" t="s">
        <v>1957</v>
      </c>
      <c r="J753" t="s">
        <v>4331</v>
      </c>
      <c r="K753" t="s">
        <v>4332</v>
      </c>
      <c r="L753" s="11" t="s">
        <v>4333</v>
      </c>
    </row>
    <row r="754" spans="1:12">
      <c r="A754" t="s">
        <v>4334</v>
      </c>
      <c r="B754" s="8">
        <v>2.0369999999999999</v>
      </c>
      <c r="C754" s="9">
        <v>19</v>
      </c>
      <c r="D754">
        <v>2</v>
      </c>
      <c r="E754">
        <v>2</v>
      </c>
      <c r="F754">
        <v>2</v>
      </c>
      <c r="G754" s="10">
        <v>1</v>
      </c>
      <c r="H754" t="s">
        <v>46</v>
      </c>
      <c r="I754" t="s">
        <v>1957</v>
      </c>
      <c r="J754" t="s">
        <v>4335</v>
      </c>
      <c r="K754" t="s">
        <v>4336</v>
      </c>
      <c r="L754" s="11" t="s">
        <v>4317</v>
      </c>
    </row>
    <row r="755" spans="1:12">
      <c r="A755" t="s">
        <v>4337</v>
      </c>
      <c r="B755" s="8">
        <v>3.2669999999999999</v>
      </c>
      <c r="C755" s="9">
        <v>14</v>
      </c>
      <c r="D755">
        <v>4</v>
      </c>
      <c r="E755">
        <v>2</v>
      </c>
      <c r="F755">
        <v>1</v>
      </c>
      <c r="G755" s="10">
        <v>0.25</v>
      </c>
      <c r="H755" t="s">
        <v>46</v>
      </c>
      <c r="I755" t="s">
        <v>1957</v>
      </c>
      <c r="J755" t="s">
        <v>4338</v>
      </c>
      <c r="K755" t="s">
        <v>4339</v>
      </c>
      <c r="L755" s="11" t="s">
        <v>4340</v>
      </c>
    </row>
    <row r="756" spans="1:12">
      <c r="A756" t="s">
        <v>4341</v>
      </c>
      <c r="B756" s="8">
        <v>10.244999999999999</v>
      </c>
      <c r="C756" s="9">
        <v>283</v>
      </c>
      <c r="D756">
        <v>4</v>
      </c>
      <c r="E756">
        <v>3</v>
      </c>
      <c r="F756">
        <v>3</v>
      </c>
      <c r="G756" s="10">
        <v>0.75</v>
      </c>
      <c r="H756" t="s">
        <v>46</v>
      </c>
      <c r="I756" t="s">
        <v>1957</v>
      </c>
      <c r="J756" t="s">
        <v>4342</v>
      </c>
      <c r="K756" t="s">
        <v>4343</v>
      </c>
      <c r="L756" s="11" t="s">
        <v>4344</v>
      </c>
    </row>
    <row r="757" spans="1:12">
      <c r="A757" t="s">
        <v>4345</v>
      </c>
      <c r="B757" s="8">
        <v>3.407</v>
      </c>
      <c r="C757" s="9">
        <v>104</v>
      </c>
      <c r="D757">
        <v>2</v>
      </c>
      <c r="E757">
        <v>2</v>
      </c>
      <c r="F757">
        <v>2</v>
      </c>
      <c r="G757" s="10">
        <v>1</v>
      </c>
      <c r="H757" t="s">
        <v>46</v>
      </c>
      <c r="I757" t="s">
        <v>1957</v>
      </c>
      <c r="J757" t="s">
        <v>4346</v>
      </c>
      <c r="K757" t="s">
        <v>4347</v>
      </c>
      <c r="L757" s="11" t="s">
        <v>4348</v>
      </c>
    </row>
    <row r="758" spans="1:12">
      <c r="A758" t="s">
        <v>4349</v>
      </c>
      <c r="B758" s="8">
        <v>2.23</v>
      </c>
      <c r="C758" s="9">
        <v>48</v>
      </c>
      <c r="D758">
        <v>1</v>
      </c>
      <c r="E758">
        <v>1</v>
      </c>
      <c r="F758">
        <v>1</v>
      </c>
      <c r="G758" s="10">
        <v>1</v>
      </c>
      <c r="H758" t="s">
        <v>46</v>
      </c>
      <c r="I758" t="s">
        <v>1957</v>
      </c>
      <c r="J758" t="s">
        <v>1463</v>
      </c>
      <c r="K758" t="s">
        <v>1464</v>
      </c>
      <c r="L758" s="11" t="s">
        <v>1463</v>
      </c>
    </row>
    <row r="759" spans="1:12">
      <c r="A759" t="s">
        <v>4350</v>
      </c>
      <c r="B759" s="8">
        <v>3.0019999999999998</v>
      </c>
      <c r="C759" s="9">
        <v>19</v>
      </c>
      <c r="D759">
        <v>1</v>
      </c>
      <c r="E759">
        <v>1</v>
      </c>
      <c r="F759">
        <v>1</v>
      </c>
      <c r="G759" s="10">
        <v>1</v>
      </c>
      <c r="H759" t="s">
        <v>46</v>
      </c>
      <c r="I759" t="s">
        <v>1957</v>
      </c>
      <c r="J759" t="s">
        <v>1463</v>
      </c>
      <c r="K759" t="s">
        <v>1464</v>
      </c>
      <c r="L759" s="11" t="s">
        <v>1463</v>
      </c>
    </row>
    <row r="760" spans="1:12">
      <c r="A760" t="s">
        <v>4351</v>
      </c>
      <c r="B760" s="8">
        <v>7.0759999999999996</v>
      </c>
      <c r="C760" s="9">
        <v>482</v>
      </c>
      <c r="D760">
        <v>7</v>
      </c>
      <c r="E760">
        <v>6</v>
      </c>
      <c r="F760">
        <v>5</v>
      </c>
      <c r="G760" s="10">
        <v>0.7142857142857143</v>
      </c>
      <c r="H760" t="s">
        <v>46</v>
      </c>
      <c r="I760" t="s">
        <v>1957</v>
      </c>
      <c r="J760" t="s">
        <v>4352</v>
      </c>
      <c r="K760" t="s">
        <v>4353</v>
      </c>
      <c r="L760" s="11" t="s">
        <v>4354</v>
      </c>
    </row>
    <row r="761" spans="1:12">
      <c r="A761" t="s">
        <v>4355</v>
      </c>
      <c r="B761" s="8">
        <v>6.9560000000000004</v>
      </c>
      <c r="C761" s="9">
        <v>35</v>
      </c>
      <c r="D761">
        <v>1</v>
      </c>
      <c r="E761">
        <v>1</v>
      </c>
      <c r="F761">
        <v>1</v>
      </c>
      <c r="G761" s="10">
        <v>1</v>
      </c>
      <c r="H761" t="s">
        <v>46</v>
      </c>
      <c r="I761" t="s">
        <v>1957</v>
      </c>
      <c r="J761" t="s">
        <v>4251</v>
      </c>
      <c r="K761" t="s">
        <v>4356</v>
      </c>
      <c r="L761" s="11" t="s">
        <v>4251</v>
      </c>
    </row>
    <row r="762" spans="1:12">
      <c r="A762" t="s">
        <v>4357</v>
      </c>
      <c r="B762" s="8">
        <v>11.176</v>
      </c>
      <c r="C762" s="9">
        <v>406</v>
      </c>
      <c r="D762">
        <v>7</v>
      </c>
      <c r="E762">
        <v>7</v>
      </c>
      <c r="F762">
        <v>7</v>
      </c>
      <c r="G762" s="10">
        <v>1</v>
      </c>
      <c r="H762" t="s">
        <v>46</v>
      </c>
      <c r="I762" t="s">
        <v>1957</v>
      </c>
      <c r="J762" t="s">
        <v>4358</v>
      </c>
      <c r="K762" t="s">
        <v>4359</v>
      </c>
      <c r="L762" s="11" t="s">
        <v>4360</v>
      </c>
    </row>
    <row r="763" spans="1:12">
      <c r="A763" t="s">
        <v>4361</v>
      </c>
      <c r="B763" s="8">
        <v>2.081</v>
      </c>
      <c r="C763" s="9">
        <v>146</v>
      </c>
      <c r="D763">
        <v>2</v>
      </c>
      <c r="E763">
        <v>2</v>
      </c>
      <c r="F763">
        <v>2</v>
      </c>
      <c r="G763" s="10">
        <v>1</v>
      </c>
      <c r="H763" t="s">
        <v>46</v>
      </c>
      <c r="I763" t="s">
        <v>1957</v>
      </c>
      <c r="J763" t="s">
        <v>4362</v>
      </c>
      <c r="K763" t="s">
        <v>4363</v>
      </c>
      <c r="L763" s="11" t="s">
        <v>4364</v>
      </c>
    </row>
    <row r="764" spans="1:12">
      <c r="A764" t="s">
        <v>4365</v>
      </c>
      <c r="B764" s="8">
        <v>4.8860000000000001</v>
      </c>
      <c r="C764" s="9">
        <v>90</v>
      </c>
      <c r="D764">
        <v>5</v>
      </c>
      <c r="E764">
        <v>5</v>
      </c>
      <c r="F764">
        <v>5</v>
      </c>
      <c r="G764" s="10">
        <v>1</v>
      </c>
      <c r="H764" t="s">
        <v>46</v>
      </c>
      <c r="I764" t="s">
        <v>1957</v>
      </c>
      <c r="J764" t="s">
        <v>4366</v>
      </c>
      <c r="K764" t="s">
        <v>4367</v>
      </c>
      <c r="L764" s="11" t="s">
        <v>4368</v>
      </c>
    </row>
    <row r="765" spans="1:12">
      <c r="A765" t="s">
        <v>4369</v>
      </c>
      <c r="B765" s="8">
        <v>2.3479999999999999</v>
      </c>
      <c r="C765" s="9">
        <v>31</v>
      </c>
      <c r="D765">
        <v>3</v>
      </c>
      <c r="E765">
        <v>2</v>
      </c>
      <c r="F765">
        <v>2</v>
      </c>
      <c r="G765" s="10">
        <v>0.66666666666666663</v>
      </c>
      <c r="H765" t="s">
        <v>46</v>
      </c>
      <c r="I765" t="s">
        <v>1957</v>
      </c>
      <c r="J765" t="s">
        <v>4370</v>
      </c>
      <c r="K765" t="s">
        <v>4371</v>
      </c>
      <c r="L765" s="11" t="s">
        <v>1478</v>
      </c>
    </row>
    <row r="766" spans="1:12">
      <c r="A766" t="s">
        <v>4372</v>
      </c>
      <c r="B766" s="8">
        <v>2.819</v>
      </c>
      <c r="C766" s="9">
        <v>65</v>
      </c>
      <c r="D766">
        <v>3</v>
      </c>
      <c r="E766">
        <v>2</v>
      </c>
      <c r="F766">
        <v>1</v>
      </c>
      <c r="G766" s="10">
        <v>0.33333333333333331</v>
      </c>
      <c r="H766" t="s">
        <v>46</v>
      </c>
      <c r="I766" t="s">
        <v>1957</v>
      </c>
      <c r="J766" t="s">
        <v>4373</v>
      </c>
      <c r="K766" t="s">
        <v>4374</v>
      </c>
      <c r="L766" s="11" t="s">
        <v>1478</v>
      </c>
    </row>
    <row r="767" spans="1:12">
      <c r="A767" t="s">
        <v>4375</v>
      </c>
      <c r="B767" s="8">
        <v>2.7810000000000001</v>
      </c>
      <c r="C767" s="9">
        <v>87</v>
      </c>
      <c r="D767">
        <v>4</v>
      </c>
      <c r="E767">
        <v>4</v>
      </c>
      <c r="F767">
        <v>4</v>
      </c>
      <c r="G767" s="10">
        <v>1</v>
      </c>
      <c r="H767" t="s">
        <v>46</v>
      </c>
      <c r="I767" t="s">
        <v>1957</v>
      </c>
      <c r="J767" t="s">
        <v>4376</v>
      </c>
      <c r="K767" t="s">
        <v>1476</v>
      </c>
      <c r="L767" s="11" t="s">
        <v>4377</v>
      </c>
    </row>
    <row r="768" spans="1:12">
      <c r="A768" t="s">
        <v>4378</v>
      </c>
      <c r="B768" s="8">
        <v>2.2040000000000002</v>
      </c>
      <c r="C768" s="9">
        <v>1471</v>
      </c>
      <c r="D768">
        <v>3</v>
      </c>
      <c r="E768">
        <v>1</v>
      </c>
      <c r="F768">
        <v>3</v>
      </c>
      <c r="G768" s="10">
        <v>1</v>
      </c>
      <c r="H768" t="s">
        <v>46</v>
      </c>
      <c r="I768" t="s">
        <v>1957</v>
      </c>
      <c r="J768" t="s">
        <v>1478</v>
      </c>
      <c r="K768" t="s">
        <v>1476</v>
      </c>
      <c r="L768" s="11" t="s">
        <v>1478</v>
      </c>
    </row>
    <row r="769" spans="1:12">
      <c r="A769" t="s">
        <v>4379</v>
      </c>
      <c r="B769" s="8">
        <v>2.6829999999999998</v>
      </c>
      <c r="C769" s="9">
        <v>16</v>
      </c>
      <c r="D769">
        <v>2</v>
      </c>
      <c r="E769">
        <v>2</v>
      </c>
      <c r="F769">
        <v>2</v>
      </c>
      <c r="G769" s="10">
        <v>1</v>
      </c>
      <c r="H769" t="s">
        <v>46</v>
      </c>
      <c r="I769" t="s">
        <v>1957</v>
      </c>
      <c r="J769" t="s">
        <v>1542</v>
      </c>
      <c r="K769" t="s">
        <v>1476</v>
      </c>
      <c r="L769" s="11" t="s">
        <v>4380</v>
      </c>
    </row>
    <row r="770" spans="1:12">
      <c r="A770" t="s">
        <v>4381</v>
      </c>
      <c r="B770" s="8">
        <v>3.0289999999999999</v>
      </c>
      <c r="C770" s="9">
        <v>25</v>
      </c>
      <c r="D770">
        <v>2</v>
      </c>
      <c r="E770">
        <v>1</v>
      </c>
      <c r="F770">
        <v>2</v>
      </c>
      <c r="G770" s="10">
        <v>1</v>
      </c>
      <c r="H770" t="s">
        <v>46</v>
      </c>
      <c r="I770" t="s">
        <v>1957</v>
      </c>
      <c r="J770" t="s">
        <v>1478</v>
      </c>
      <c r="K770" t="s">
        <v>1476</v>
      </c>
      <c r="L770" s="11" t="s">
        <v>1478</v>
      </c>
    </row>
    <row r="771" spans="1:12">
      <c r="A771" t="s">
        <v>4382</v>
      </c>
      <c r="B771" s="8">
        <v>3.2639999999999998</v>
      </c>
      <c r="C771" s="9">
        <v>36</v>
      </c>
      <c r="D771">
        <v>2</v>
      </c>
      <c r="E771">
        <v>2</v>
      </c>
      <c r="F771">
        <v>2</v>
      </c>
      <c r="G771" s="10">
        <v>1</v>
      </c>
      <c r="H771" t="s">
        <v>46</v>
      </c>
      <c r="I771" t="s">
        <v>1957</v>
      </c>
      <c r="J771" t="s">
        <v>1473</v>
      </c>
      <c r="K771" t="s">
        <v>1476</v>
      </c>
      <c r="L771" s="11" t="s">
        <v>1473</v>
      </c>
    </row>
    <row r="772" spans="1:12">
      <c r="A772" t="s">
        <v>4383</v>
      </c>
      <c r="B772" s="8">
        <v>3.4</v>
      </c>
      <c r="C772" s="9">
        <v>161</v>
      </c>
      <c r="D772">
        <v>2</v>
      </c>
      <c r="E772">
        <v>2</v>
      </c>
      <c r="F772">
        <v>2</v>
      </c>
      <c r="G772" s="10">
        <v>1</v>
      </c>
      <c r="H772" t="s">
        <v>46</v>
      </c>
      <c r="I772" t="s">
        <v>1957</v>
      </c>
      <c r="J772" t="s">
        <v>4384</v>
      </c>
      <c r="K772" t="s">
        <v>1476</v>
      </c>
      <c r="L772" s="11" t="s">
        <v>4384</v>
      </c>
    </row>
    <row r="773" spans="1:12">
      <c r="A773" t="s">
        <v>4385</v>
      </c>
      <c r="B773" s="8">
        <v>4.9020000000000001</v>
      </c>
      <c r="C773" s="9">
        <v>111</v>
      </c>
      <c r="D773">
        <v>2</v>
      </c>
      <c r="E773">
        <v>1</v>
      </c>
      <c r="F773">
        <v>2</v>
      </c>
      <c r="G773" s="10">
        <v>1</v>
      </c>
      <c r="H773" t="s">
        <v>46</v>
      </c>
      <c r="I773" t="s">
        <v>1957</v>
      </c>
      <c r="J773" t="s">
        <v>1478</v>
      </c>
      <c r="K773" t="s">
        <v>1476</v>
      </c>
      <c r="L773" s="11" t="s">
        <v>1478</v>
      </c>
    </row>
    <row r="774" spans="1:12">
      <c r="A774" t="s">
        <v>4386</v>
      </c>
      <c r="B774" s="8">
        <v>2.1640000000000001</v>
      </c>
      <c r="C774" s="9">
        <v>138</v>
      </c>
      <c r="D774">
        <v>3</v>
      </c>
      <c r="E774">
        <v>3</v>
      </c>
      <c r="F774">
        <v>3</v>
      </c>
      <c r="G774" s="10">
        <v>1</v>
      </c>
      <c r="H774" t="s">
        <v>46</v>
      </c>
      <c r="I774" t="s">
        <v>1957</v>
      </c>
      <c r="J774" t="s">
        <v>4387</v>
      </c>
      <c r="K774" t="s">
        <v>4388</v>
      </c>
      <c r="L774" s="11" t="s">
        <v>4384</v>
      </c>
    </row>
    <row r="775" spans="1:12">
      <c r="A775" t="s">
        <v>4389</v>
      </c>
      <c r="B775" s="8">
        <v>5.1459999999999999</v>
      </c>
      <c r="C775" s="9">
        <v>200</v>
      </c>
      <c r="D775">
        <v>3</v>
      </c>
      <c r="E775">
        <v>3</v>
      </c>
      <c r="F775">
        <v>3</v>
      </c>
      <c r="G775" s="10">
        <v>1</v>
      </c>
      <c r="H775" t="s">
        <v>46</v>
      </c>
      <c r="I775" t="s">
        <v>1957</v>
      </c>
      <c r="J775" t="s">
        <v>4390</v>
      </c>
      <c r="K775" t="s">
        <v>4391</v>
      </c>
      <c r="L775" s="11" t="s">
        <v>4392</v>
      </c>
    </row>
    <row r="776" spans="1:12">
      <c r="A776" t="s">
        <v>4393</v>
      </c>
      <c r="B776" s="8">
        <v>5.5519999999999996</v>
      </c>
      <c r="C776" s="9">
        <v>69</v>
      </c>
      <c r="D776">
        <v>3</v>
      </c>
      <c r="E776">
        <v>3</v>
      </c>
      <c r="F776">
        <v>3</v>
      </c>
      <c r="G776" s="10">
        <v>1</v>
      </c>
      <c r="H776" t="s">
        <v>46</v>
      </c>
      <c r="I776" t="s">
        <v>1957</v>
      </c>
      <c r="J776" t="s">
        <v>4394</v>
      </c>
      <c r="K776" t="s">
        <v>4395</v>
      </c>
      <c r="L776" s="11" t="s">
        <v>4384</v>
      </c>
    </row>
    <row r="777" spans="1:12">
      <c r="A777" t="s">
        <v>4396</v>
      </c>
      <c r="B777" s="8">
        <v>3.4849999999999999</v>
      </c>
      <c r="C777" s="9">
        <v>587</v>
      </c>
      <c r="D777">
        <v>3</v>
      </c>
      <c r="E777">
        <v>3</v>
      </c>
      <c r="F777">
        <v>2</v>
      </c>
      <c r="G777" s="10">
        <v>0.66666666666666663</v>
      </c>
      <c r="H777" t="s">
        <v>46</v>
      </c>
      <c r="I777" t="s">
        <v>1957</v>
      </c>
      <c r="J777" t="s">
        <v>4394</v>
      </c>
      <c r="K777" t="s">
        <v>4395</v>
      </c>
      <c r="L777" s="11" t="s">
        <v>4384</v>
      </c>
    </row>
    <row r="778" spans="1:12">
      <c r="A778" t="s">
        <v>4397</v>
      </c>
      <c r="B778" s="8">
        <v>2.589</v>
      </c>
      <c r="C778" s="9">
        <v>13076</v>
      </c>
      <c r="D778">
        <v>4</v>
      </c>
      <c r="E778">
        <v>2</v>
      </c>
      <c r="F778">
        <v>4</v>
      </c>
      <c r="G778" s="10">
        <v>1</v>
      </c>
      <c r="H778" t="s">
        <v>46</v>
      </c>
      <c r="I778" t="s">
        <v>1957</v>
      </c>
      <c r="J778" t="s">
        <v>4398</v>
      </c>
      <c r="K778" t="s">
        <v>4399</v>
      </c>
      <c r="L778" s="11" t="s">
        <v>1478</v>
      </c>
    </row>
    <row r="779" spans="1:12">
      <c r="A779" t="s">
        <v>4400</v>
      </c>
      <c r="B779" s="8">
        <v>6.835</v>
      </c>
      <c r="C779" s="9">
        <v>159</v>
      </c>
      <c r="D779">
        <v>6</v>
      </c>
      <c r="E779">
        <v>6</v>
      </c>
      <c r="F779">
        <v>6</v>
      </c>
      <c r="G779" s="10">
        <v>1</v>
      </c>
      <c r="H779" t="s">
        <v>46</v>
      </c>
      <c r="I779" t="s">
        <v>1957</v>
      </c>
      <c r="J779" t="s">
        <v>4401</v>
      </c>
      <c r="K779" t="s">
        <v>1484</v>
      </c>
      <c r="L779" s="11" t="s">
        <v>4401</v>
      </c>
    </row>
    <row r="780" spans="1:12">
      <c r="A780" t="s">
        <v>4402</v>
      </c>
      <c r="B780" s="8">
        <v>4.9429999999999996</v>
      </c>
      <c r="C780" s="9">
        <v>72</v>
      </c>
      <c r="D780">
        <v>5</v>
      </c>
      <c r="E780">
        <v>5</v>
      </c>
      <c r="F780">
        <v>5</v>
      </c>
      <c r="G780" s="10">
        <v>1</v>
      </c>
      <c r="H780" t="s">
        <v>46</v>
      </c>
      <c r="I780" t="s">
        <v>1957</v>
      </c>
      <c r="J780" t="s">
        <v>4403</v>
      </c>
      <c r="K780" t="s">
        <v>1484</v>
      </c>
      <c r="L780" s="11" t="s">
        <v>4403</v>
      </c>
    </row>
    <row r="781" spans="1:12">
      <c r="A781" t="s">
        <v>4404</v>
      </c>
      <c r="B781" s="8">
        <v>2.3820000000000001</v>
      </c>
      <c r="C781" s="9">
        <v>128</v>
      </c>
      <c r="D781">
        <v>4</v>
      </c>
      <c r="E781">
        <v>4</v>
      </c>
      <c r="F781">
        <v>4</v>
      </c>
      <c r="G781" s="10">
        <v>1</v>
      </c>
      <c r="H781" t="s">
        <v>46</v>
      </c>
      <c r="I781" t="s">
        <v>1957</v>
      </c>
      <c r="J781" t="s">
        <v>4405</v>
      </c>
      <c r="K781" t="s">
        <v>1484</v>
      </c>
      <c r="L781" s="11" t="s">
        <v>4405</v>
      </c>
    </row>
    <row r="782" spans="1:12">
      <c r="A782" t="s">
        <v>4406</v>
      </c>
      <c r="B782" s="8">
        <v>3.8719999999999999</v>
      </c>
      <c r="C782" s="9">
        <v>71</v>
      </c>
      <c r="D782">
        <v>3</v>
      </c>
      <c r="E782">
        <v>2</v>
      </c>
      <c r="F782">
        <v>3</v>
      </c>
      <c r="G782" s="10">
        <v>1</v>
      </c>
      <c r="H782" t="s">
        <v>46</v>
      </c>
      <c r="I782" t="s">
        <v>1957</v>
      </c>
      <c r="J782" t="s">
        <v>1490</v>
      </c>
      <c r="K782" t="s">
        <v>1484</v>
      </c>
      <c r="L782" s="11" t="s">
        <v>1490</v>
      </c>
    </row>
    <row r="783" spans="1:12">
      <c r="A783" t="s">
        <v>4407</v>
      </c>
      <c r="B783" s="8">
        <v>2.3079999999999998</v>
      </c>
      <c r="C783" s="9">
        <v>28</v>
      </c>
      <c r="D783">
        <v>2</v>
      </c>
      <c r="E783">
        <v>2</v>
      </c>
      <c r="F783">
        <v>2</v>
      </c>
      <c r="G783" s="10">
        <v>1</v>
      </c>
      <c r="H783" t="s">
        <v>46</v>
      </c>
      <c r="I783" t="s">
        <v>1957</v>
      </c>
      <c r="J783" t="s">
        <v>1490</v>
      </c>
      <c r="K783" t="s">
        <v>1484</v>
      </c>
      <c r="L783" s="11" t="s">
        <v>1490</v>
      </c>
    </row>
    <row r="784" spans="1:12">
      <c r="A784" t="s">
        <v>4408</v>
      </c>
      <c r="B784" s="8">
        <v>2.5049999999999999</v>
      </c>
      <c r="C784" s="9">
        <v>3008</v>
      </c>
      <c r="D784">
        <v>2</v>
      </c>
      <c r="E784">
        <v>1</v>
      </c>
      <c r="F784">
        <v>2</v>
      </c>
      <c r="G784" s="10">
        <v>1</v>
      </c>
      <c r="H784" t="s">
        <v>46</v>
      </c>
      <c r="I784" t="s">
        <v>1957</v>
      </c>
      <c r="J784" t="s">
        <v>1486</v>
      </c>
      <c r="K784" t="s">
        <v>1484</v>
      </c>
      <c r="L784" s="11" t="s">
        <v>1486</v>
      </c>
    </row>
    <row r="785" spans="1:12">
      <c r="A785" t="s">
        <v>4409</v>
      </c>
      <c r="B785" s="8">
        <v>2.0950000000000002</v>
      </c>
      <c r="C785" s="9">
        <v>197</v>
      </c>
      <c r="D785">
        <v>1</v>
      </c>
      <c r="E785">
        <v>1</v>
      </c>
      <c r="F785">
        <v>1</v>
      </c>
      <c r="G785" s="10">
        <v>1</v>
      </c>
      <c r="H785" t="s">
        <v>46</v>
      </c>
      <c r="I785" t="s">
        <v>1957</v>
      </c>
      <c r="J785" t="s">
        <v>1486</v>
      </c>
      <c r="K785" t="s">
        <v>1484</v>
      </c>
      <c r="L785" s="11" t="s">
        <v>1486</v>
      </c>
    </row>
    <row r="786" spans="1:12">
      <c r="A786" t="s">
        <v>4410</v>
      </c>
      <c r="B786" s="8">
        <v>2.4470000000000001</v>
      </c>
      <c r="C786" s="9">
        <v>104</v>
      </c>
      <c r="D786">
        <v>1</v>
      </c>
      <c r="E786">
        <v>1</v>
      </c>
      <c r="F786">
        <v>1</v>
      </c>
      <c r="G786" s="10">
        <v>1</v>
      </c>
      <c r="H786" t="s">
        <v>46</v>
      </c>
      <c r="I786" t="s">
        <v>1957</v>
      </c>
      <c r="J786" t="s">
        <v>1486</v>
      </c>
      <c r="K786" t="s">
        <v>1484</v>
      </c>
      <c r="L786" s="11" t="s">
        <v>1486</v>
      </c>
    </row>
    <row r="787" spans="1:12">
      <c r="A787" t="s">
        <v>4411</v>
      </c>
      <c r="B787" s="8">
        <v>9.0589999999999993</v>
      </c>
      <c r="C787" s="9">
        <v>543</v>
      </c>
      <c r="D787">
        <v>11</v>
      </c>
      <c r="E787">
        <v>10</v>
      </c>
      <c r="F787">
        <v>10</v>
      </c>
      <c r="G787" s="10">
        <v>0.90909090909090906</v>
      </c>
      <c r="H787" t="s">
        <v>46</v>
      </c>
      <c r="I787" t="s">
        <v>1957</v>
      </c>
      <c r="J787" t="s">
        <v>4412</v>
      </c>
      <c r="K787" t="s">
        <v>4413</v>
      </c>
      <c r="L787" s="11" t="s">
        <v>4414</v>
      </c>
    </row>
    <row r="788" spans="1:12">
      <c r="A788" t="s">
        <v>4415</v>
      </c>
      <c r="B788" s="8">
        <v>4.9580000000000002</v>
      </c>
      <c r="C788" s="9">
        <v>200</v>
      </c>
      <c r="D788">
        <v>6</v>
      </c>
      <c r="E788">
        <v>6</v>
      </c>
      <c r="F788">
        <v>6</v>
      </c>
      <c r="G788" s="10">
        <v>1</v>
      </c>
      <c r="H788" t="s">
        <v>46</v>
      </c>
      <c r="I788" t="s">
        <v>1957</v>
      </c>
      <c r="J788" t="s">
        <v>4416</v>
      </c>
      <c r="K788" t="s">
        <v>4417</v>
      </c>
      <c r="L788" s="11" t="s">
        <v>4418</v>
      </c>
    </row>
    <row r="789" spans="1:12">
      <c r="A789" t="s">
        <v>4419</v>
      </c>
      <c r="B789" s="8">
        <v>3.238</v>
      </c>
      <c r="C789" s="9">
        <v>117</v>
      </c>
      <c r="D789">
        <v>5</v>
      </c>
      <c r="E789">
        <v>5</v>
      </c>
      <c r="F789">
        <v>5</v>
      </c>
      <c r="G789" s="10">
        <v>1</v>
      </c>
      <c r="H789" t="s">
        <v>46</v>
      </c>
      <c r="I789" t="s">
        <v>1957</v>
      </c>
      <c r="J789" t="s">
        <v>4420</v>
      </c>
      <c r="K789" t="s">
        <v>4421</v>
      </c>
      <c r="L789" s="11" t="s">
        <v>1483</v>
      </c>
    </row>
    <row r="790" spans="1:12">
      <c r="A790" t="s">
        <v>4422</v>
      </c>
      <c r="B790" s="8">
        <v>13.721</v>
      </c>
      <c r="C790" s="9">
        <v>139</v>
      </c>
      <c r="D790">
        <v>14</v>
      </c>
      <c r="E790">
        <v>13</v>
      </c>
      <c r="F790">
        <v>12</v>
      </c>
      <c r="G790" s="10">
        <v>0.8571428571428571</v>
      </c>
      <c r="H790" t="s">
        <v>46</v>
      </c>
      <c r="I790" t="s">
        <v>1957</v>
      </c>
      <c r="J790" t="s">
        <v>4423</v>
      </c>
      <c r="K790" t="s">
        <v>4424</v>
      </c>
      <c r="L790" s="11" t="s">
        <v>4425</v>
      </c>
    </row>
    <row r="791" spans="1:12">
      <c r="A791" t="s">
        <v>4426</v>
      </c>
      <c r="B791" s="8">
        <v>8.09</v>
      </c>
      <c r="C791" s="9">
        <v>285</v>
      </c>
      <c r="D791">
        <v>7</v>
      </c>
      <c r="E791">
        <v>5</v>
      </c>
      <c r="F791">
        <v>4</v>
      </c>
      <c r="G791" s="10">
        <v>0.5714285714285714</v>
      </c>
      <c r="H791" t="s">
        <v>46</v>
      </c>
      <c r="I791" t="s">
        <v>1957</v>
      </c>
      <c r="J791" t="s">
        <v>4427</v>
      </c>
      <c r="K791" t="s">
        <v>4428</v>
      </c>
      <c r="L791" s="11" t="s">
        <v>4429</v>
      </c>
    </row>
    <row r="792" spans="1:12">
      <c r="A792" t="s">
        <v>4430</v>
      </c>
      <c r="B792" s="8">
        <v>6.4749999999999996</v>
      </c>
      <c r="C792" s="9">
        <v>429</v>
      </c>
      <c r="D792">
        <v>10</v>
      </c>
      <c r="E792">
        <v>10</v>
      </c>
      <c r="F792">
        <v>8</v>
      </c>
      <c r="G792" s="10">
        <v>0.8</v>
      </c>
      <c r="H792" t="s">
        <v>46</v>
      </c>
      <c r="I792" t="s">
        <v>1957</v>
      </c>
      <c r="J792" t="s">
        <v>4431</v>
      </c>
      <c r="K792" t="s">
        <v>4432</v>
      </c>
      <c r="L792" s="11" t="s">
        <v>4401</v>
      </c>
    </row>
    <row r="793" spans="1:12">
      <c r="A793" t="s">
        <v>4433</v>
      </c>
      <c r="B793" s="8">
        <v>2.069</v>
      </c>
      <c r="C793" s="9">
        <v>72</v>
      </c>
      <c r="D793">
        <v>3</v>
      </c>
      <c r="E793">
        <v>3</v>
      </c>
      <c r="F793">
        <v>2</v>
      </c>
      <c r="G793" s="10">
        <v>0.66666666666666663</v>
      </c>
      <c r="H793" t="s">
        <v>46</v>
      </c>
      <c r="I793" t="s">
        <v>1957</v>
      </c>
      <c r="J793" t="s">
        <v>4434</v>
      </c>
      <c r="K793" t="s">
        <v>4435</v>
      </c>
      <c r="L793" s="11" t="s">
        <v>1490</v>
      </c>
    </row>
    <row r="794" spans="1:12">
      <c r="A794" t="s">
        <v>4436</v>
      </c>
      <c r="B794" s="8">
        <v>10.119</v>
      </c>
      <c r="C794" s="9">
        <v>460</v>
      </c>
      <c r="D794">
        <v>10</v>
      </c>
      <c r="E794">
        <v>10</v>
      </c>
      <c r="F794">
        <v>8</v>
      </c>
      <c r="G794" s="10">
        <v>0.8</v>
      </c>
      <c r="H794" t="s">
        <v>46</v>
      </c>
      <c r="I794" t="s">
        <v>1957</v>
      </c>
      <c r="J794" t="s">
        <v>4437</v>
      </c>
      <c r="K794" t="s">
        <v>4438</v>
      </c>
      <c r="L794" s="11" t="s">
        <v>4439</v>
      </c>
    </row>
    <row r="795" spans="1:12">
      <c r="A795" t="s">
        <v>4440</v>
      </c>
      <c r="B795" s="8">
        <v>7.5439999999999996</v>
      </c>
      <c r="C795" s="9">
        <v>40</v>
      </c>
      <c r="D795">
        <v>12</v>
      </c>
      <c r="E795">
        <v>11</v>
      </c>
      <c r="F795">
        <v>11</v>
      </c>
      <c r="G795" s="10">
        <v>0.91666666666666663</v>
      </c>
      <c r="H795" t="s">
        <v>46</v>
      </c>
      <c r="I795" t="s">
        <v>1957</v>
      </c>
      <c r="J795" t="s">
        <v>4441</v>
      </c>
      <c r="K795" t="s">
        <v>4442</v>
      </c>
      <c r="L795" s="11" t="s">
        <v>4414</v>
      </c>
    </row>
    <row r="796" spans="1:12">
      <c r="A796" t="s">
        <v>4443</v>
      </c>
      <c r="B796" s="8">
        <v>2.12</v>
      </c>
      <c r="C796" s="9">
        <v>5391</v>
      </c>
      <c r="D796">
        <v>3</v>
      </c>
      <c r="E796">
        <v>2</v>
      </c>
      <c r="F796">
        <v>3</v>
      </c>
      <c r="G796" s="10">
        <v>1</v>
      </c>
      <c r="H796" t="s">
        <v>46</v>
      </c>
      <c r="I796" t="s">
        <v>1957</v>
      </c>
      <c r="J796" t="s">
        <v>4444</v>
      </c>
      <c r="K796" t="s">
        <v>1489</v>
      </c>
      <c r="L796" s="11" t="s">
        <v>1486</v>
      </c>
    </row>
    <row r="797" spans="1:12">
      <c r="A797" t="s">
        <v>4445</v>
      </c>
      <c r="B797" s="8">
        <v>7.0659999999999998</v>
      </c>
      <c r="C797" s="9">
        <v>2192</v>
      </c>
      <c r="D797">
        <v>8</v>
      </c>
      <c r="E797">
        <v>6</v>
      </c>
      <c r="F797">
        <v>7</v>
      </c>
      <c r="G797" s="10">
        <v>0.875</v>
      </c>
      <c r="H797" t="s">
        <v>46</v>
      </c>
      <c r="I797" t="s">
        <v>1957</v>
      </c>
      <c r="J797" t="s">
        <v>4446</v>
      </c>
      <c r="K797" t="s">
        <v>4447</v>
      </c>
      <c r="L797" s="11" t="s">
        <v>4418</v>
      </c>
    </row>
    <row r="798" spans="1:12">
      <c r="A798" t="s">
        <v>4448</v>
      </c>
      <c r="B798" s="8">
        <v>6.6669999999999998</v>
      </c>
      <c r="C798" s="9">
        <v>237</v>
      </c>
      <c r="D798">
        <v>7</v>
      </c>
      <c r="E798">
        <v>7</v>
      </c>
      <c r="F798">
        <v>7</v>
      </c>
      <c r="G798" s="10">
        <v>1</v>
      </c>
      <c r="H798" t="s">
        <v>46</v>
      </c>
      <c r="I798" t="s">
        <v>1957</v>
      </c>
      <c r="J798" t="s">
        <v>4449</v>
      </c>
      <c r="K798" t="s">
        <v>4450</v>
      </c>
      <c r="L798" s="11" t="s">
        <v>4401</v>
      </c>
    </row>
    <row r="799" spans="1:12">
      <c r="A799" t="s">
        <v>4451</v>
      </c>
      <c r="B799" s="8">
        <v>4.056</v>
      </c>
      <c r="C799" s="9">
        <v>3961</v>
      </c>
      <c r="D799">
        <v>5</v>
      </c>
      <c r="E799">
        <v>4</v>
      </c>
      <c r="F799">
        <v>5</v>
      </c>
      <c r="G799" s="10">
        <v>1</v>
      </c>
      <c r="H799" t="s">
        <v>46</v>
      </c>
      <c r="I799" t="s">
        <v>1957</v>
      </c>
      <c r="J799" t="s">
        <v>1492</v>
      </c>
      <c r="K799" t="s">
        <v>1493</v>
      </c>
      <c r="L799" s="11" t="s">
        <v>4384</v>
      </c>
    </row>
    <row r="800" spans="1:12">
      <c r="A800" t="s">
        <v>4452</v>
      </c>
      <c r="B800" s="8">
        <v>2.6150000000000002</v>
      </c>
      <c r="C800" s="9">
        <v>44</v>
      </c>
      <c r="D800">
        <v>2</v>
      </c>
      <c r="E800">
        <v>2</v>
      </c>
      <c r="F800">
        <v>2</v>
      </c>
      <c r="G800" s="10">
        <v>1</v>
      </c>
      <c r="H800" t="s">
        <v>46</v>
      </c>
      <c r="I800" t="s">
        <v>1957</v>
      </c>
      <c r="J800" t="s">
        <v>4453</v>
      </c>
      <c r="K800" t="s">
        <v>1493</v>
      </c>
      <c r="L800" s="11" t="s">
        <v>1486</v>
      </c>
    </row>
    <row r="801" spans="1:12">
      <c r="A801" t="s">
        <v>4454</v>
      </c>
      <c r="B801" s="8">
        <v>6.3319999999999999</v>
      </c>
      <c r="C801" s="9">
        <v>3826</v>
      </c>
      <c r="D801">
        <v>8</v>
      </c>
      <c r="E801">
        <v>8</v>
      </c>
      <c r="F801">
        <v>8</v>
      </c>
      <c r="G801" s="10">
        <v>1</v>
      </c>
      <c r="H801" t="s">
        <v>46</v>
      </c>
      <c r="I801" t="s">
        <v>1957</v>
      </c>
      <c r="J801" t="s">
        <v>4455</v>
      </c>
      <c r="K801" t="s">
        <v>4456</v>
      </c>
      <c r="L801" s="11" t="s">
        <v>4457</v>
      </c>
    </row>
    <row r="802" spans="1:12">
      <c r="A802" t="s">
        <v>4458</v>
      </c>
      <c r="B802" s="8">
        <v>2.641</v>
      </c>
      <c r="C802" s="9">
        <v>7768</v>
      </c>
      <c r="D802">
        <v>2</v>
      </c>
      <c r="E802">
        <v>2</v>
      </c>
      <c r="F802">
        <v>2</v>
      </c>
      <c r="G802" s="10">
        <v>1</v>
      </c>
      <c r="H802" t="s">
        <v>46</v>
      </c>
      <c r="I802" t="s">
        <v>1957</v>
      </c>
      <c r="J802" t="s">
        <v>4459</v>
      </c>
      <c r="K802" t="s">
        <v>4460</v>
      </c>
      <c r="L802" s="11" t="s">
        <v>1478</v>
      </c>
    </row>
    <row r="803" spans="1:12">
      <c r="A803" t="s">
        <v>4461</v>
      </c>
      <c r="B803" s="8">
        <v>2.3010000000000002</v>
      </c>
      <c r="C803" s="9">
        <v>233</v>
      </c>
      <c r="D803">
        <v>2</v>
      </c>
      <c r="E803">
        <v>1</v>
      </c>
      <c r="F803">
        <v>1</v>
      </c>
      <c r="G803" s="10">
        <v>0.5</v>
      </c>
      <c r="H803" t="s">
        <v>46</v>
      </c>
      <c r="I803" t="s">
        <v>1957</v>
      </c>
      <c r="J803" t="s">
        <v>4462</v>
      </c>
      <c r="K803" t="s">
        <v>4463</v>
      </c>
      <c r="L803" s="11" t="s">
        <v>4462</v>
      </c>
    </row>
    <row r="804" spans="1:12">
      <c r="A804" t="s">
        <v>4464</v>
      </c>
      <c r="B804" s="8">
        <v>4.4320000000000004</v>
      </c>
      <c r="C804" s="9">
        <v>18</v>
      </c>
      <c r="D804">
        <v>2</v>
      </c>
      <c r="E804">
        <v>2</v>
      </c>
      <c r="F804">
        <v>2</v>
      </c>
      <c r="G804" s="10">
        <v>1</v>
      </c>
      <c r="H804" t="s">
        <v>46</v>
      </c>
      <c r="I804" t="s">
        <v>1957</v>
      </c>
      <c r="J804" t="s">
        <v>4465</v>
      </c>
      <c r="K804" t="s">
        <v>4466</v>
      </c>
      <c r="L804" s="11" t="s">
        <v>4467</v>
      </c>
    </row>
    <row r="805" spans="1:12">
      <c r="A805" t="s">
        <v>4468</v>
      </c>
      <c r="B805" s="8">
        <v>4.3499999999999996</v>
      </c>
      <c r="C805" s="9">
        <v>11</v>
      </c>
      <c r="D805">
        <v>3</v>
      </c>
      <c r="E805">
        <v>3</v>
      </c>
      <c r="F805">
        <v>3</v>
      </c>
      <c r="G805" s="10">
        <v>1</v>
      </c>
      <c r="H805" t="s">
        <v>46</v>
      </c>
      <c r="I805" t="s">
        <v>1957</v>
      </c>
      <c r="J805" t="s">
        <v>4469</v>
      </c>
      <c r="K805" t="s">
        <v>4470</v>
      </c>
      <c r="L805" s="11" t="s">
        <v>4471</v>
      </c>
    </row>
    <row r="806" spans="1:12">
      <c r="A806" t="s">
        <v>4472</v>
      </c>
      <c r="B806" s="8">
        <v>2.2250000000000001</v>
      </c>
      <c r="C806" s="9">
        <v>123</v>
      </c>
      <c r="D806">
        <v>2</v>
      </c>
      <c r="E806">
        <v>2</v>
      </c>
      <c r="F806">
        <v>2</v>
      </c>
      <c r="G806" s="10">
        <v>1</v>
      </c>
      <c r="H806" t="s">
        <v>46</v>
      </c>
      <c r="I806" t="s">
        <v>1957</v>
      </c>
      <c r="J806" t="s">
        <v>4473</v>
      </c>
      <c r="K806" t="s">
        <v>4474</v>
      </c>
      <c r="L806" s="11" t="s">
        <v>4475</v>
      </c>
    </row>
    <row r="807" spans="1:12">
      <c r="A807" t="s">
        <v>4476</v>
      </c>
      <c r="B807" s="8">
        <v>4.9649999999999999</v>
      </c>
      <c r="C807" s="9">
        <v>18</v>
      </c>
      <c r="D807">
        <v>2</v>
      </c>
      <c r="E807">
        <v>2</v>
      </c>
      <c r="F807">
        <v>2</v>
      </c>
      <c r="G807" s="10">
        <v>1</v>
      </c>
      <c r="H807" t="s">
        <v>46</v>
      </c>
      <c r="I807" t="s">
        <v>1957</v>
      </c>
      <c r="J807" t="s">
        <v>4477</v>
      </c>
      <c r="K807" t="s">
        <v>4478</v>
      </c>
      <c r="L807" s="11" t="s">
        <v>4479</v>
      </c>
    </row>
    <row r="808" spans="1:12">
      <c r="A808" t="s">
        <v>4480</v>
      </c>
      <c r="B808" s="8">
        <v>5.3010000000000002</v>
      </c>
      <c r="C808" s="9">
        <v>11</v>
      </c>
      <c r="D808">
        <v>4</v>
      </c>
      <c r="E808">
        <v>4</v>
      </c>
      <c r="F808">
        <v>4</v>
      </c>
      <c r="G808" s="10">
        <v>1</v>
      </c>
      <c r="H808" t="s">
        <v>46</v>
      </c>
      <c r="I808" t="s">
        <v>1957</v>
      </c>
      <c r="J808" t="s">
        <v>4481</v>
      </c>
      <c r="K808" t="s">
        <v>4482</v>
      </c>
      <c r="L808" s="11" t="s">
        <v>4483</v>
      </c>
    </row>
    <row r="809" spans="1:12">
      <c r="A809" t="s">
        <v>4484</v>
      </c>
      <c r="B809" s="8">
        <v>2.1520000000000001</v>
      </c>
      <c r="C809" s="9">
        <v>11</v>
      </c>
      <c r="D809">
        <v>2</v>
      </c>
      <c r="E809">
        <v>2</v>
      </c>
      <c r="F809">
        <v>2</v>
      </c>
      <c r="G809" s="10">
        <v>1</v>
      </c>
      <c r="H809" t="s">
        <v>46</v>
      </c>
      <c r="I809" t="s">
        <v>1957</v>
      </c>
      <c r="J809" t="s">
        <v>4485</v>
      </c>
      <c r="K809" t="s">
        <v>4486</v>
      </c>
      <c r="L809" s="11" t="s">
        <v>4487</v>
      </c>
    </row>
    <row r="810" spans="1:12">
      <c r="A810" t="s">
        <v>4488</v>
      </c>
      <c r="B810" s="8">
        <v>3.169</v>
      </c>
      <c r="C810" s="9">
        <v>11</v>
      </c>
      <c r="D810">
        <v>2</v>
      </c>
      <c r="E810">
        <v>2</v>
      </c>
      <c r="F810">
        <v>2</v>
      </c>
      <c r="G810" s="10">
        <v>1</v>
      </c>
      <c r="H810" t="s">
        <v>46</v>
      </c>
      <c r="I810" t="s">
        <v>1957</v>
      </c>
      <c r="J810" t="s">
        <v>4489</v>
      </c>
      <c r="K810" t="s">
        <v>4490</v>
      </c>
      <c r="L810" s="11" t="s">
        <v>4491</v>
      </c>
    </row>
    <row r="811" spans="1:12">
      <c r="A811" t="s">
        <v>4492</v>
      </c>
      <c r="B811" s="8">
        <v>3.141</v>
      </c>
      <c r="C811" s="9">
        <v>14</v>
      </c>
      <c r="D811">
        <v>4</v>
      </c>
      <c r="E811">
        <v>4</v>
      </c>
      <c r="F811">
        <v>4</v>
      </c>
      <c r="G811" s="10">
        <v>1</v>
      </c>
      <c r="H811" t="s">
        <v>46</v>
      </c>
      <c r="I811" t="s">
        <v>1957</v>
      </c>
      <c r="J811" t="s">
        <v>4493</v>
      </c>
      <c r="K811" t="s">
        <v>4494</v>
      </c>
      <c r="L811" s="11" t="s">
        <v>4495</v>
      </c>
    </row>
    <row r="812" spans="1:12">
      <c r="A812" t="s">
        <v>4496</v>
      </c>
      <c r="B812" s="8">
        <v>3.2919999999999998</v>
      </c>
      <c r="C812" s="9">
        <v>52</v>
      </c>
      <c r="D812">
        <v>2</v>
      </c>
      <c r="E812">
        <v>2</v>
      </c>
      <c r="F812">
        <v>1</v>
      </c>
      <c r="G812" s="10">
        <v>0.5</v>
      </c>
      <c r="H812" t="s">
        <v>46</v>
      </c>
      <c r="I812" t="s">
        <v>1957</v>
      </c>
      <c r="J812" t="s">
        <v>4497</v>
      </c>
      <c r="K812" t="s">
        <v>4498</v>
      </c>
      <c r="L812" s="11" t="s">
        <v>4499</v>
      </c>
    </row>
    <row r="813" spans="1:12">
      <c r="A813" t="s">
        <v>4500</v>
      </c>
      <c r="B813" s="8">
        <v>6.0490000000000004</v>
      </c>
      <c r="C813" s="9">
        <v>15</v>
      </c>
      <c r="D813">
        <v>6</v>
      </c>
      <c r="E813">
        <v>6</v>
      </c>
      <c r="F813">
        <v>5</v>
      </c>
      <c r="G813" s="10">
        <v>0.83333333333333337</v>
      </c>
      <c r="H813" t="s">
        <v>46</v>
      </c>
      <c r="I813" t="s">
        <v>1957</v>
      </c>
      <c r="J813" t="s">
        <v>4501</v>
      </c>
      <c r="K813" t="s">
        <v>4502</v>
      </c>
      <c r="L813" s="11" t="s">
        <v>4503</v>
      </c>
    </row>
    <row r="814" spans="1:12">
      <c r="A814" t="s">
        <v>4504</v>
      </c>
      <c r="B814" s="8">
        <v>6.016</v>
      </c>
      <c r="C814" s="9">
        <v>15</v>
      </c>
      <c r="D814">
        <v>5</v>
      </c>
      <c r="E814">
        <v>5</v>
      </c>
      <c r="F814">
        <v>5</v>
      </c>
      <c r="G814" s="10">
        <v>1</v>
      </c>
      <c r="H814" t="s">
        <v>46</v>
      </c>
      <c r="I814" t="s">
        <v>1957</v>
      </c>
      <c r="J814" t="s">
        <v>4505</v>
      </c>
      <c r="K814" t="s">
        <v>4506</v>
      </c>
      <c r="L814" s="11" t="s">
        <v>4507</v>
      </c>
    </row>
    <row r="815" spans="1:12">
      <c r="A815" t="s">
        <v>4508</v>
      </c>
      <c r="B815" s="8">
        <v>2.4809999999999999</v>
      </c>
      <c r="C815" s="9">
        <v>13</v>
      </c>
      <c r="D815">
        <v>2</v>
      </c>
      <c r="E815">
        <v>2</v>
      </c>
      <c r="F815">
        <v>2</v>
      </c>
      <c r="G815" s="10">
        <v>1</v>
      </c>
      <c r="H815" t="s">
        <v>46</v>
      </c>
      <c r="I815" t="s">
        <v>1957</v>
      </c>
      <c r="J815" t="s">
        <v>4509</v>
      </c>
      <c r="K815" t="s">
        <v>4510</v>
      </c>
      <c r="L815" s="11" t="s">
        <v>4511</v>
      </c>
    </row>
    <row r="816" spans="1:12">
      <c r="A816" t="s">
        <v>4512</v>
      </c>
      <c r="B816" s="8">
        <v>2.7240000000000002</v>
      </c>
      <c r="C816" s="9">
        <v>14</v>
      </c>
      <c r="D816">
        <v>3</v>
      </c>
      <c r="E816">
        <v>3</v>
      </c>
      <c r="F816">
        <v>3</v>
      </c>
      <c r="G816" s="10">
        <v>1</v>
      </c>
      <c r="H816" t="s">
        <v>46</v>
      </c>
      <c r="I816" t="s">
        <v>1957</v>
      </c>
      <c r="J816" t="s">
        <v>4513</v>
      </c>
      <c r="K816" t="s">
        <v>4514</v>
      </c>
      <c r="L816" s="11" t="s">
        <v>4515</v>
      </c>
    </row>
    <row r="817" spans="1:12">
      <c r="A817" t="s">
        <v>4516</v>
      </c>
      <c r="B817" s="8">
        <v>2.87</v>
      </c>
      <c r="C817" s="9">
        <v>12</v>
      </c>
      <c r="D817">
        <v>2</v>
      </c>
      <c r="E817">
        <v>2</v>
      </c>
      <c r="F817">
        <v>2</v>
      </c>
      <c r="G817" s="10">
        <v>1</v>
      </c>
      <c r="H817" t="s">
        <v>46</v>
      </c>
      <c r="I817" t="s">
        <v>1957</v>
      </c>
      <c r="J817" t="s">
        <v>4517</v>
      </c>
      <c r="K817" t="s">
        <v>4518</v>
      </c>
      <c r="L817" s="11" t="s">
        <v>4517</v>
      </c>
    </row>
    <row r="818" spans="1:12">
      <c r="A818" t="s">
        <v>4519</v>
      </c>
      <c r="B818" s="8">
        <v>4.5640000000000001</v>
      </c>
      <c r="C818" s="9">
        <v>12</v>
      </c>
      <c r="D818">
        <v>5</v>
      </c>
      <c r="E818">
        <v>5</v>
      </c>
      <c r="F818">
        <v>5</v>
      </c>
      <c r="G818" s="10">
        <v>1</v>
      </c>
      <c r="H818" t="s">
        <v>46</v>
      </c>
      <c r="I818" t="s">
        <v>1957</v>
      </c>
      <c r="J818" t="s">
        <v>4520</v>
      </c>
      <c r="K818" t="s">
        <v>4521</v>
      </c>
      <c r="L818" s="11" t="s">
        <v>4522</v>
      </c>
    </row>
    <row r="819" spans="1:12">
      <c r="A819" t="s">
        <v>4523</v>
      </c>
      <c r="B819" s="8">
        <v>6.125</v>
      </c>
      <c r="C819" s="9">
        <v>18</v>
      </c>
      <c r="D819">
        <v>7</v>
      </c>
      <c r="E819">
        <v>7</v>
      </c>
      <c r="F819">
        <v>6</v>
      </c>
      <c r="G819" s="10">
        <v>0.8571428571428571</v>
      </c>
      <c r="H819" t="s">
        <v>46</v>
      </c>
      <c r="I819" t="s">
        <v>1957</v>
      </c>
      <c r="J819" t="s">
        <v>4524</v>
      </c>
      <c r="K819" t="s">
        <v>4525</v>
      </c>
      <c r="L819" s="11" t="s">
        <v>4526</v>
      </c>
    </row>
    <row r="820" spans="1:12">
      <c r="A820" t="s">
        <v>4527</v>
      </c>
      <c r="B820" s="8">
        <v>2.3690000000000002</v>
      </c>
      <c r="C820" s="9">
        <v>369</v>
      </c>
      <c r="D820">
        <v>2</v>
      </c>
      <c r="E820">
        <v>2</v>
      </c>
      <c r="F820">
        <v>1</v>
      </c>
      <c r="G820" s="10">
        <v>0.5</v>
      </c>
      <c r="H820" t="s">
        <v>46</v>
      </c>
      <c r="I820" t="s">
        <v>1957</v>
      </c>
      <c r="J820" t="s">
        <v>4528</v>
      </c>
      <c r="K820" t="s">
        <v>4529</v>
      </c>
      <c r="L820" s="11" t="s">
        <v>4530</v>
      </c>
    </row>
    <row r="821" spans="1:12">
      <c r="A821" t="s">
        <v>4531</v>
      </c>
      <c r="B821" s="8">
        <v>3.11</v>
      </c>
      <c r="C821" s="9">
        <v>12</v>
      </c>
      <c r="D821">
        <v>2</v>
      </c>
      <c r="E821">
        <v>2</v>
      </c>
      <c r="F821">
        <v>1</v>
      </c>
      <c r="G821" s="10">
        <v>0.5</v>
      </c>
      <c r="H821" t="s">
        <v>46</v>
      </c>
      <c r="I821" t="s">
        <v>1957</v>
      </c>
      <c r="J821" t="s">
        <v>4532</v>
      </c>
      <c r="K821" t="s">
        <v>4533</v>
      </c>
      <c r="L821" s="11" t="s">
        <v>4534</v>
      </c>
    </row>
    <row r="822" spans="1:12">
      <c r="A822" t="s">
        <v>4535</v>
      </c>
      <c r="B822" s="8">
        <v>7.9219999999999997</v>
      </c>
      <c r="C822" s="9">
        <v>14</v>
      </c>
      <c r="D822">
        <v>2</v>
      </c>
      <c r="E822">
        <v>2</v>
      </c>
      <c r="F822">
        <v>1</v>
      </c>
      <c r="G822" s="10">
        <v>0.5</v>
      </c>
      <c r="H822" t="s">
        <v>46</v>
      </c>
      <c r="I822" t="s">
        <v>1957</v>
      </c>
      <c r="J822" t="s">
        <v>4536</v>
      </c>
      <c r="K822" t="s">
        <v>4537</v>
      </c>
      <c r="L822" s="11" t="s">
        <v>4538</v>
      </c>
    </row>
    <row r="823" spans="1:12">
      <c r="A823" t="s">
        <v>4539</v>
      </c>
      <c r="B823" s="8">
        <v>5.3490000000000002</v>
      </c>
      <c r="C823" s="9">
        <v>13</v>
      </c>
      <c r="D823">
        <v>2</v>
      </c>
      <c r="E823">
        <v>2</v>
      </c>
      <c r="F823">
        <v>2</v>
      </c>
      <c r="G823" s="10">
        <v>1</v>
      </c>
      <c r="H823" t="s">
        <v>46</v>
      </c>
      <c r="I823" t="s">
        <v>1957</v>
      </c>
      <c r="J823" t="s">
        <v>4540</v>
      </c>
      <c r="K823" t="s">
        <v>4541</v>
      </c>
      <c r="L823" s="11" t="s">
        <v>4542</v>
      </c>
    </row>
    <row r="824" spans="1:12">
      <c r="A824" t="s">
        <v>4543</v>
      </c>
      <c r="B824" s="8">
        <v>4.5380000000000003</v>
      </c>
      <c r="C824" s="9">
        <v>15</v>
      </c>
      <c r="D824">
        <v>2</v>
      </c>
      <c r="E824">
        <v>2</v>
      </c>
      <c r="F824">
        <v>1</v>
      </c>
      <c r="G824" s="10">
        <v>0.5</v>
      </c>
      <c r="H824" t="s">
        <v>46</v>
      </c>
      <c r="I824" t="s">
        <v>1957</v>
      </c>
      <c r="J824" t="s">
        <v>4544</v>
      </c>
      <c r="K824" t="s">
        <v>4545</v>
      </c>
      <c r="L824" s="11" t="s">
        <v>4546</v>
      </c>
    </row>
    <row r="825" spans="1:12">
      <c r="A825" t="s">
        <v>4547</v>
      </c>
      <c r="B825" s="8">
        <v>2.0680000000000001</v>
      </c>
      <c r="C825" s="9">
        <v>1567</v>
      </c>
      <c r="D825">
        <v>1</v>
      </c>
      <c r="E825">
        <v>1</v>
      </c>
      <c r="F825">
        <v>1</v>
      </c>
      <c r="G825" s="10">
        <v>1</v>
      </c>
      <c r="H825" t="s">
        <v>46</v>
      </c>
      <c r="I825" t="s">
        <v>1957</v>
      </c>
      <c r="J825" t="s">
        <v>4546</v>
      </c>
      <c r="K825" t="s">
        <v>4548</v>
      </c>
      <c r="L825" s="11" t="s">
        <v>4546</v>
      </c>
    </row>
    <row r="826" spans="1:12">
      <c r="A826" t="s">
        <v>4549</v>
      </c>
      <c r="B826" s="8">
        <v>2.3820000000000001</v>
      </c>
      <c r="C826" s="9">
        <v>42</v>
      </c>
      <c r="D826">
        <v>3</v>
      </c>
      <c r="E826">
        <v>3</v>
      </c>
      <c r="F826">
        <v>3</v>
      </c>
      <c r="G826" s="10">
        <v>1</v>
      </c>
      <c r="H826" t="s">
        <v>46</v>
      </c>
      <c r="I826" t="s">
        <v>1957</v>
      </c>
      <c r="J826" t="s">
        <v>4550</v>
      </c>
      <c r="K826" t="s">
        <v>4551</v>
      </c>
      <c r="L826" s="11" t="s">
        <v>4552</v>
      </c>
    </row>
    <row r="827" spans="1:12">
      <c r="A827" t="s">
        <v>4553</v>
      </c>
      <c r="B827" s="8">
        <v>22.071000000000002</v>
      </c>
      <c r="C827" s="9">
        <v>221</v>
      </c>
      <c r="D827">
        <v>23</v>
      </c>
      <c r="E827">
        <v>20</v>
      </c>
      <c r="F827">
        <v>16</v>
      </c>
      <c r="G827" s="10">
        <v>0.69565217391304346</v>
      </c>
      <c r="H827" t="s">
        <v>46</v>
      </c>
      <c r="I827" t="s">
        <v>1957</v>
      </c>
      <c r="J827" t="s">
        <v>4554</v>
      </c>
      <c r="K827" t="s">
        <v>4555</v>
      </c>
      <c r="L827" s="11" t="s">
        <v>4556</v>
      </c>
    </row>
    <row r="828" spans="1:12">
      <c r="A828" t="s">
        <v>4557</v>
      </c>
      <c r="B828" s="8">
        <v>4.5750000000000002</v>
      </c>
      <c r="C828" s="9">
        <v>12</v>
      </c>
      <c r="D828">
        <v>4</v>
      </c>
      <c r="E828">
        <v>3</v>
      </c>
      <c r="F828">
        <v>3</v>
      </c>
      <c r="G828" s="10">
        <v>0.75</v>
      </c>
      <c r="H828" t="s">
        <v>46</v>
      </c>
      <c r="I828" t="s">
        <v>1957</v>
      </c>
      <c r="J828" t="s">
        <v>4558</v>
      </c>
      <c r="K828" t="s">
        <v>4559</v>
      </c>
      <c r="L828" s="11" t="s">
        <v>4558</v>
      </c>
    </row>
    <row r="829" spans="1:12">
      <c r="A829" t="s">
        <v>4560</v>
      </c>
      <c r="B829" s="8">
        <v>2.1829999999999998</v>
      </c>
      <c r="C829" s="9">
        <v>7.9</v>
      </c>
      <c r="D829">
        <v>3</v>
      </c>
      <c r="E829">
        <v>3</v>
      </c>
      <c r="F829">
        <v>3</v>
      </c>
      <c r="G829" s="10">
        <v>1</v>
      </c>
      <c r="H829" t="s">
        <v>46</v>
      </c>
      <c r="I829" t="s">
        <v>1957</v>
      </c>
      <c r="J829" t="s">
        <v>4561</v>
      </c>
      <c r="K829" t="s">
        <v>4562</v>
      </c>
      <c r="L829" s="11" t="s">
        <v>4563</v>
      </c>
    </row>
    <row r="830" spans="1:12">
      <c r="A830" t="s">
        <v>4564</v>
      </c>
      <c r="B830" s="8">
        <v>16.786000000000001</v>
      </c>
      <c r="C830" s="9">
        <v>275</v>
      </c>
      <c r="D830">
        <v>12</v>
      </c>
      <c r="E830">
        <v>10</v>
      </c>
      <c r="F830">
        <v>8</v>
      </c>
      <c r="G830" s="10">
        <v>0.66666666666666663</v>
      </c>
      <c r="H830" t="s">
        <v>46</v>
      </c>
      <c r="I830" t="s">
        <v>1957</v>
      </c>
      <c r="J830" t="s">
        <v>4565</v>
      </c>
      <c r="K830" t="s">
        <v>4566</v>
      </c>
      <c r="L830" s="11" t="s">
        <v>4567</v>
      </c>
    </row>
    <row r="831" spans="1:12">
      <c r="A831" t="s">
        <v>4568</v>
      </c>
      <c r="B831" s="8">
        <v>5.8970000000000002</v>
      </c>
      <c r="C831" s="9">
        <v>20</v>
      </c>
      <c r="D831">
        <v>4</v>
      </c>
      <c r="E831">
        <v>4</v>
      </c>
      <c r="F831">
        <v>4</v>
      </c>
      <c r="G831" s="10">
        <v>1</v>
      </c>
      <c r="H831" t="s">
        <v>46</v>
      </c>
      <c r="I831" t="s">
        <v>1957</v>
      </c>
      <c r="J831" t="s">
        <v>4569</v>
      </c>
      <c r="K831" t="s">
        <v>4570</v>
      </c>
      <c r="L831" s="11" t="s">
        <v>4569</v>
      </c>
    </row>
    <row r="832" spans="1:12">
      <c r="A832" t="s">
        <v>4571</v>
      </c>
      <c r="B832" s="8">
        <v>4.6210000000000004</v>
      </c>
      <c r="C832" s="9">
        <v>36</v>
      </c>
      <c r="D832">
        <v>3</v>
      </c>
      <c r="E832">
        <v>2</v>
      </c>
      <c r="F832">
        <v>2</v>
      </c>
      <c r="G832" s="10">
        <v>0.66666666666666663</v>
      </c>
      <c r="H832" t="s">
        <v>46</v>
      </c>
      <c r="I832" t="s">
        <v>1957</v>
      </c>
      <c r="J832" t="s">
        <v>4572</v>
      </c>
      <c r="K832" t="s">
        <v>4573</v>
      </c>
      <c r="L832" s="11" t="s">
        <v>4574</v>
      </c>
    </row>
    <row r="833" spans="1:12">
      <c r="A833" t="s">
        <v>4575</v>
      </c>
      <c r="B833" s="8">
        <v>4.9050000000000002</v>
      </c>
      <c r="C833" s="9">
        <v>1670</v>
      </c>
      <c r="D833">
        <v>2</v>
      </c>
      <c r="E833">
        <v>2</v>
      </c>
      <c r="F833">
        <v>1</v>
      </c>
      <c r="G833" s="10">
        <v>0.5</v>
      </c>
      <c r="H833" t="s">
        <v>46</v>
      </c>
      <c r="I833" t="s">
        <v>1957</v>
      </c>
      <c r="J833" t="s">
        <v>4576</v>
      </c>
      <c r="K833" t="s">
        <v>4577</v>
      </c>
      <c r="L833" s="11" t="s">
        <v>4574</v>
      </c>
    </row>
    <row r="834" spans="1:12">
      <c r="A834" t="s">
        <v>4578</v>
      </c>
      <c r="B834" s="8">
        <v>9.6370000000000005</v>
      </c>
      <c r="C834" s="9">
        <v>16</v>
      </c>
      <c r="D834">
        <v>8</v>
      </c>
      <c r="E834">
        <v>3</v>
      </c>
      <c r="F834">
        <v>3</v>
      </c>
      <c r="G834" s="10">
        <v>0.375</v>
      </c>
      <c r="H834" t="s">
        <v>46</v>
      </c>
      <c r="I834" t="s">
        <v>1957</v>
      </c>
      <c r="J834" t="s">
        <v>4579</v>
      </c>
      <c r="K834" t="s">
        <v>4580</v>
      </c>
      <c r="L834" s="11" t="s">
        <v>4581</v>
      </c>
    </row>
    <row r="835" spans="1:12">
      <c r="A835" t="s">
        <v>4582</v>
      </c>
      <c r="B835" s="8">
        <v>3.3279999999999998</v>
      </c>
      <c r="C835" s="9">
        <v>335</v>
      </c>
      <c r="D835">
        <v>3</v>
      </c>
      <c r="E835">
        <v>3</v>
      </c>
      <c r="F835">
        <v>2</v>
      </c>
      <c r="G835" s="10">
        <v>0.66666666666666663</v>
      </c>
      <c r="H835" t="s">
        <v>46</v>
      </c>
      <c r="I835" t="s">
        <v>1957</v>
      </c>
      <c r="J835" t="s">
        <v>4583</v>
      </c>
      <c r="K835" t="s">
        <v>4584</v>
      </c>
      <c r="L835" s="11" t="s">
        <v>4585</v>
      </c>
    </row>
    <row r="836" spans="1:12">
      <c r="A836" t="s">
        <v>4586</v>
      </c>
      <c r="B836" s="8">
        <v>4.3070000000000004</v>
      </c>
      <c r="C836" s="9">
        <v>189</v>
      </c>
      <c r="D836">
        <v>3</v>
      </c>
      <c r="E836">
        <v>3</v>
      </c>
      <c r="F836">
        <v>3</v>
      </c>
      <c r="G836" s="10">
        <v>1</v>
      </c>
      <c r="H836" t="s">
        <v>46</v>
      </c>
      <c r="I836" t="s">
        <v>1957</v>
      </c>
      <c r="J836" t="s">
        <v>4587</v>
      </c>
      <c r="K836" t="s">
        <v>4588</v>
      </c>
      <c r="L836" s="11" t="s">
        <v>4589</v>
      </c>
    </row>
    <row r="837" spans="1:12">
      <c r="A837" t="s">
        <v>4590</v>
      </c>
      <c r="B837" s="8">
        <v>2.2719999999999998</v>
      </c>
      <c r="C837" s="9">
        <v>11</v>
      </c>
      <c r="D837">
        <v>1</v>
      </c>
      <c r="E837">
        <v>1</v>
      </c>
      <c r="F837">
        <v>1</v>
      </c>
      <c r="G837" s="10">
        <v>1</v>
      </c>
      <c r="H837" t="s">
        <v>46</v>
      </c>
      <c r="I837" t="s">
        <v>1957</v>
      </c>
      <c r="J837" t="s">
        <v>4591</v>
      </c>
      <c r="K837" t="s">
        <v>4592</v>
      </c>
      <c r="L837" s="11" t="s">
        <v>4591</v>
      </c>
    </row>
    <row r="838" spans="1:12">
      <c r="A838" t="s">
        <v>4593</v>
      </c>
      <c r="B838" s="8">
        <v>5.55</v>
      </c>
      <c r="C838" s="9">
        <v>13</v>
      </c>
      <c r="D838">
        <v>8</v>
      </c>
      <c r="E838">
        <v>8</v>
      </c>
      <c r="F838">
        <v>8</v>
      </c>
      <c r="G838" s="10">
        <v>1</v>
      </c>
      <c r="H838" t="s">
        <v>46</v>
      </c>
      <c r="I838" t="s">
        <v>1957</v>
      </c>
      <c r="J838" t="s">
        <v>4594</v>
      </c>
      <c r="K838" t="s">
        <v>4595</v>
      </c>
      <c r="L838" s="11" t="s">
        <v>4594</v>
      </c>
    </row>
    <row r="839" spans="1:12">
      <c r="A839" t="s">
        <v>4596</v>
      </c>
      <c r="B839" s="8">
        <v>2.7639999999999998</v>
      </c>
      <c r="C839" s="9">
        <v>31</v>
      </c>
      <c r="D839">
        <v>5</v>
      </c>
      <c r="E839">
        <v>5</v>
      </c>
      <c r="F839">
        <v>5</v>
      </c>
      <c r="G839" s="10">
        <v>1</v>
      </c>
      <c r="H839" t="s">
        <v>46</v>
      </c>
      <c r="I839" t="s">
        <v>1957</v>
      </c>
      <c r="J839" t="s">
        <v>4597</v>
      </c>
      <c r="K839" t="s">
        <v>4598</v>
      </c>
      <c r="L839" s="11" t="s">
        <v>4599</v>
      </c>
    </row>
    <row r="840" spans="1:12">
      <c r="A840" t="s">
        <v>4600</v>
      </c>
      <c r="B840" s="8">
        <v>2.2930000000000001</v>
      </c>
      <c r="C840" s="9">
        <v>13</v>
      </c>
      <c r="D840">
        <v>2</v>
      </c>
      <c r="E840">
        <v>2</v>
      </c>
      <c r="F840">
        <v>2</v>
      </c>
      <c r="G840" s="10">
        <v>1</v>
      </c>
      <c r="H840" t="s">
        <v>46</v>
      </c>
      <c r="I840" t="s">
        <v>1957</v>
      </c>
      <c r="J840" t="s">
        <v>4601</v>
      </c>
      <c r="K840" t="s">
        <v>4602</v>
      </c>
      <c r="L840" s="11" t="s">
        <v>4603</v>
      </c>
    </row>
    <row r="841" spans="1:12">
      <c r="A841" t="s">
        <v>4604</v>
      </c>
      <c r="B841" s="8">
        <v>4.7759999999999998</v>
      </c>
      <c r="C841" s="9">
        <v>12</v>
      </c>
      <c r="D841">
        <v>6</v>
      </c>
      <c r="E841">
        <v>6</v>
      </c>
      <c r="F841">
        <v>6</v>
      </c>
      <c r="G841" s="10">
        <v>1</v>
      </c>
      <c r="H841" t="s">
        <v>46</v>
      </c>
      <c r="I841" t="s">
        <v>1957</v>
      </c>
      <c r="J841" t="s">
        <v>4605</v>
      </c>
      <c r="K841" t="s">
        <v>4606</v>
      </c>
      <c r="L841" s="11" t="s">
        <v>4605</v>
      </c>
    </row>
    <row r="842" spans="1:12">
      <c r="A842" t="s">
        <v>4607</v>
      </c>
      <c r="B842" s="8">
        <v>6.1769999999999996</v>
      </c>
      <c r="C842" s="9">
        <v>13</v>
      </c>
      <c r="D842">
        <v>3</v>
      </c>
      <c r="E842">
        <v>3</v>
      </c>
      <c r="F842">
        <v>3</v>
      </c>
      <c r="G842" s="10">
        <v>1</v>
      </c>
      <c r="H842" t="s">
        <v>46</v>
      </c>
      <c r="I842" t="s">
        <v>1957</v>
      </c>
      <c r="J842" t="s">
        <v>4608</v>
      </c>
      <c r="K842" t="s">
        <v>4609</v>
      </c>
      <c r="L842" s="11" t="s">
        <v>4610</v>
      </c>
    </row>
    <row r="843" spans="1:12">
      <c r="A843" t="s">
        <v>4611</v>
      </c>
      <c r="B843" s="8">
        <v>3.028</v>
      </c>
      <c r="C843" s="9">
        <v>224</v>
      </c>
      <c r="D843">
        <v>2</v>
      </c>
      <c r="E843">
        <v>2</v>
      </c>
      <c r="F843">
        <v>2</v>
      </c>
      <c r="G843" s="10">
        <v>1</v>
      </c>
      <c r="H843" t="s">
        <v>46</v>
      </c>
      <c r="I843" t="s">
        <v>1957</v>
      </c>
      <c r="J843" t="s">
        <v>4612</v>
      </c>
      <c r="K843" t="s">
        <v>4613</v>
      </c>
      <c r="L843" s="11" t="s">
        <v>4614</v>
      </c>
    </row>
    <row r="844" spans="1:12">
      <c r="A844" t="s">
        <v>4615</v>
      </c>
      <c r="B844" s="8">
        <v>2.5880000000000001</v>
      </c>
      <c r="C844" s="9">
        <v>123</v>
      </c>
      <c r="D844">
        <v>2</v>
      </c>
      <c r="E844">
        <v>2</v>
      </c>
      <c r="F844">
        <v>2</v>
      </c>
      <c r="G844" s="10">
        <v>1</v>
      </c>
      <c r="H844" t="s">
        <v>46</v>
      </c>
      <c r="I844" t="s">
        <v>1957</v>
      </c>
      <c r="J844" t="s">
        <v>4616</v>
      </c>
      <c r="K844" t="s">
        <v>4617</v>
      </c>
      <c r="L844" s="11" t="s">
        <v>4618</v>
      </c>
    </row>
    <row r="845" spans="1:12">
      <c r="A845" t="s">
        <v>4619</v>
      </c>
      <c r="B845" s="8">
        <v>2.5310000000000001</v>
      </c>
      <c r="C845" s="9">
        <v>183</v>
      </c>
      <c r="D845">
        <v>2</v>
      </c>
      <c r="E845">
        <v>2</v>
      </c>
      <c r="F845">
        <v>2</v>
      </c>
      <c r="G845" s="10">
        <v>1</v>
      </c>
      <c r="H845" t="s">
        <v>46</v>
      </c>
      <c r="I845" t="s">
        <v>1957</v>
      </c>
      <c r="J845" t="s">
        <v>4620</v>
      </c>
      <c r="K845" t="s">
        <v>4621</v>
      </c>
      <c r="L845" s="11" t="s">
        <v>4618</v>
      </c>
    </row>
    <row r="846" spans="1:12">
      <c r="A846" t="s">
        <v>4622</v>
      </c>
      <c r="B846" s="8">
        <v>24.309000000000001</v>
      </c>
      <c r="C846" s="9">
        <v>205</v>
      </c>
      <c r="D846">
        <v>24</v>
      </c>
      <c r="E846">
        <v>21</v>
      </c>
      <c r="F846">
        <v>20</v>
      </c>
      <c r="G846" s="10">
        <v>0.83333333333333337</v>
      </c>
      <c r="H846" t="s">
        <v>46</v>
      </c>
      <c r="I846" t="s">
        <v>1957</v>
      </c>
      <c r="J846" t="s">
        <v>4623</v>
      </c>
      <c r="K846" t="s">
        <v>4624</v>
      </c>
      <c r="L846" s="11" t="s">
        <v>4625</v>
      </c>
    </row>
    <row r="847" spans="1:12">
      <c r="A847" t="s">
        <v>4626</v>
      </c>
      <c r="B847" s="8">
        <v>4.3559999999999999</v>
      </c>
      <c r="C847" s="9">
        <v>213</v>
      </c>
      <c r="D847">
        <v>4</v>
      </c>
      <c r="E847">
        <v>3</v>
      </c>
      <c r="F847">
        <v>4</v>
      </c>
      <c r="G847" s="10">
        <v>1</v>
      </c>
      <c r="H847" t="s">
        <v>46</v>
      </c>
      <c r="I847" t="s">
        <v>1957</v>
      </c>
      <c r="J847" t="s">
        <v>4627</v>
      </c>
      <c r="K847" t="s">
        <v>4628</v>
      </c>
      <c r="L847" s="11" t="s">
        <v>4629</v>
      </c>
    </row>
    <row r="848" spans="1:12">
      <c r="A848" t="s">
        <v>4630</v>
      </c>
      <c r="B848" s="8">
        <v>5.5510000000000002</v>
      </c>
      <c r="C848" s="9">
        <v>98</v>
      </c>
      <c r="D848">
        <v>4</v>
      </c>
      <c r="E848">
        <v>3</v>
      </c>
      <c r="F848">
        <v>3</v>
      </c>
      <c r="G848" s="10">
        <v>0.75</v>
      </c>
      <c r="H848" t="s">
        <v>46</v>
      </c>
      <c r="I848" t="s">
        <v>1957</v>
      </c>
      <c r="J848" t="s">
        <v>4631</v>
      </c>
      <c r="K848" t="s">
        <v>4632</v>
      </c>
      <c r="L848" s="11" t="s">
        <v>4633</v>
      </c>
    </row>
    <row r="849" spans="1:12">
      <c r="A849" t="s">
        <v>4634</v>
      </c>
      <c r="B849" s="8">
        <v>2.9830000000000001</v>
      </c>
      <c r="C849" s="9">
        <v>128</v>
      </c>
      <c r="D849">
        <v>3</v>
      </c>
      <c r="E849">
        <v>3</v>
      </c>
      <c r="F849">
        <v>3</v>
      </c>
      <c r="G849" s="10">
        <v>1</v>
      </c>
      <c r="H849" t="s">
        <v>46</v>
      </c>
      <c r="I849" t="s">
        <v>1957</v>
      </c>
      <c r="J849" t="s">
        <v>4635</v>
      </c>
      <c r="K849" t="s">
        <v>4636</v>
      </c>
      <c r="L849" s="11" t="s">
        <v>4637</v>
      </c>
    </row>
    <row r="850" spans="1:12">
      <c r="A850" t="s">
        <v>4638</v>
      </c>
      <c r="B850" s="8">
        <v>2.1960000000000002</v>
      </c>
      <c r="C850" s="9">
        <v>18</v>
      </c>
      <c r="D850">
        <v>4</v>
      </c>
      <c r="E850">
        <v>3</v>
      </c>
      <c r="F850">
        <v>3</v>
      </c>
      <c r="G850" s="10">
        <v>0.75</v>
      </c>
      <c r="H850" t="s">
        <v>46</v>
      </c>
      <c r="I850" t="s">
        <v>1957</v>
      </c>
      <c r="J850" t="s">
        <v>4639</v>
      </c>
      <c r="K850" t="s">
        <v>4640</v>
      </c>
      <c r="L850" s="11" t="s">
        <v>4641</v>
      </c>
    </row>
    <row r="851" spans="1:12">
      <c r="A851" t="s">
        <v>4642</v>
      </c>
      <c r="B851" s="8">
        <v>4.2640000000000002</v>
      </c>
      <c r="C851" s="9">
        <v>36</v>
      </c>
      <c r="D851">
        <v>7</v>
      </c>
      <c r="E851">
        <v>6</v>
      </c>
      <c r="F851">
        <v>6</v>
      </c>
      <c r="G851" s="10">
        <v>0.8571428571428571</v>
      </c>
      <c r="H851" t="s">
        <v>46</v>
      </c>
      <c r="I851" t="s">
        <v>1957</v>
      </c>
      <c r="J851" t="s">
        <v>4643</v>
      </c>
      <c r="K851" t="s">
        <v>4644</v>
      </c>
      <c r="L851" s="11" t="s">
        <v>4645</v>
      </c>
    </row>
    <row r="852" spans="1:12">
      <c r="A852" t="s">
        <v>4646</v>
      </c>
      <c r="B852" s="8">
        <v>3.8260000000000001</v>
      </c>
      <c r="C852" s="9">
        <v>450</v>
      </c>
      <c r="D852">
        <v>2</v>
      </c>
      <c r="E852">
        <v>2</v>
      </c>
      <c r="F852">
        <v>2</v>
      </c>
      <c r="G852" s="10">
        <v>1</v>
      </c>
      <c r="H852" t="s">
        <v>46</v>
      </c>
      <c r="I852" t="s">
        <v>1957</v>
      </c>
      <c r="J852" t="s">
        <v>4647</v>
      </c>
      <c r="K852" t="s">
        <v>4648</v>
      </c>
      <c r="L852" s="11" t="s">
        <v>4649</v>
      </c>
    </row>
    <row r="853" spans="1:12">
      <c r="A853" t="s">
        <v>4650</v>
      </c>
      <c r="B853" s="8">
        <v>2.5169999999999999</v>
      </c>
      <c r="C853" s="9">
        <v>264</v>
      </c>
      <c r="D853">
        <v>3</v>
      </c>
      <c r="E853">
        <v>3</v>
      </c>
      <c r="F853">
        <v>2</v>
      </c>
      <c r="G853" s="10">
        <v>0.66666666666666663</v>
      </c>
      <c r="H853" t="s">
        <v>46</v>
      </c>
      <c r="I853" t="s">
        <v>1957</v>
      </c>
      <c r="J853" t="s">
        <v>4651</v>
      </c>
      <c r="K853" t="s">
        <v>4652</v>
      </c>
      <c r="L853" s="11" t="s">
        <v>4653</v>
      </c>
    </row>
    <row r="854" spans="1:12">
      <c r="A854" t="s">
        <v>4654</v>
      </c>
      <c r="B854" s="8">
        <v>3.093</v>
      </c>
      <c r="C854" s="9">
        <v>52</v>
      </c>
      <c r="D854">
        <v>2</v>
      </c>
      <c r="E854">
        <v>2</v>
      </c>
      <c r="F854">
        <v>2</v>
      </c>
      <c r="G854" s="10">
        <v>1</v>
      </c>
      <c r="H854" t="s">
        <v>46</v>
      </c>
      <c r="I854" t="s">
        <v>1957</v>
      </c>
      <c r="J854" t="s">
        <v>4655</v>
      </c>
      <c r="K854" t="s">
        <v>4656</v>
      </c>
      <c r="L854" s="11" t="s">
        <v>4657</v>
      </c>
    </row>
    <row r="855" spans="1:12">
      <c r="A855" t="s">
        <v>4658</v>
      </c>
      <c r="B855" s="8">
        <v>26.77</v>
      </c>
      <c r="C855" s="9">
        <v>92</v>
      </c>
      <c r="D855">
        <v>17</v>
      </c>
      <c r="E855">
        <v>14</v>
      </c>
      <c r="F855">
        <v>13</v>
      </c>
      <c r="G855" s="10">
        <v>0.76470588235294112</v>
      </c>
      <c r="H855" t="s">
        <v>46</v>
      </c>
      <c r="I855" t="s">
        <v>1957</v>
      </c>
      <c r="J855" t="s">
        <v>4659</v>
      </c>
      <c r="K855" t="s">
        <v>4660</v>
      </c>
      <c r="L855" s="11" t="s">
        <v>4661</v>
      </c>
    </row>
    <row r="856" spans="1:12">
      <c r="A856" t="s">
        <v>4662</v>
      </c>
      <c r="B856" s="8">
        <v>4.194</v>
      </c>
      <c r="C856" s="9">
        <v>11475</v>
      </c>
      <c r="D856">
        <v>3</v>
      </c>
      <c r="E856">
        <v>3</v>
      </c>
      <c r="F856">
        <v>3</v>
      </c>
      <c r="G856" s="10">
        <v>1</v>
      </c>
      <c r="H856" t="s">
        <v>46</v>
      </c>
      <c r="I856" t="s">
        <v>1957</v>
      </c>
      <c r="J856" t="s">
        <v>4663</v>
      </c>
      <c r="K856" t="s">
        <v>4664</v>
      </c>
      <c r="L856" s="11" t="s">
        <v>4665</v>
      </c>
    </row>
    <row r="857" spans="1:12">
      <c r="A857" t="s">
        <v>4666</v>
      </c>
      <c r="B857" s="8">
        <v>2.8170000000000002</v>
      </c>
      <c r="C857" s="9">
        <v>10</v>
      </c>
      <c r="D857">
        <v>3</v>
      </c>
      <c r="E857">
        <v>3</v>
      </c>
      <c r="F857">
        <v>3</v>
      </c>
      <c r="G857" s="10">
        <v>1</v>
      </c>
      <c r="H857" t="s">
        <v>46</v>
      </c>
      <c r="I857" t="s">
        <v>1957</v>
      </c>
      <c r="J857" t="s">
        <v>4667</v>
      </c>
      <c r="K857" t="s">
        <v>4668</v>
      </c>
      <c r="L857" s="11" t="s">
        <v>4669</v>
      </c>
    </row>
    <row r="858" spans="1:12">
      <c r="A858" t="s">
        <v>4670</v>
      </c>
      <c r="B858" s="8">
        <v>2.8450000000000002</v>
      </c>
      <c r="C858" s="9">
        <v>34</v>
      </c>
      <c r="D858">
        <v>2</v>
      </c>
      <c r="E858">
        <v>2</v>
      </c>
      <c r="F858">
        <v>2</v>
      </c>
      <c r="G858" s="10">
        <v>1</v>
      </c>
      <c r="H858" t="s">
        <v>46</v>
      </c>
      <c r="I858" t="s">
        <v>1957</v>
      </c>
      <c r="J858" t="s">
        <v>2008</v>
      </c>
      <c r="K858" t="s">
        <v>4671</v>
      </c>
      <c r="L858" s="11" t="s">
        <v>2048</v>
      </c>
    </row>
    <row r="859" spans="1:12">
      <c r="A859" t="s">
        <v>4672</v>
      </c>
      <c r="B859" s="8">
        <v>3.7280000000000002</v>
      </c>
      <c r="C859" s="9">
        <v>8.8000000000000007</v>
      </c>
      <c r="D859">
        <v>3</v>
      </c>
      <c r="E859">
        <v>3</v>
      </c>
      <c r="F859">
        <v>2</v>
      </c>
      <c r="G859" s="10">
        <v>0.66666666666666663</v>
      </c>
      <c r="H859" t="s">
        <v>46</v>
      </c>
      <c r="I859" t="s">
        <v>1957</v>
      </c>
      <c r="J859" t="s">
        <v>4673</v>
      </c>
      <c r="K859" t="s">
        <v>4674</v>
      </c>
      <c r="L859" s="11" t="s">
        <v>4675</v>
      </c>
    </row>
    <row r="860" spans="1:12">
      <c r="A860" t="s">
        <v>4676</v>
      </c>
      <c r="B860" s="8">
        <v>7.2530000000000001</v>
      </c>
      <c r="C860" s="9">
        <v>326</v>
      </c>
      <c r="D860">
        <v>7</v>
      </c>
      <c r="E860">
        <v>4</v>
      </c>
      <c r="F860">
        <v>4</v>
      </c>
      <c r="G860" s="10">
        <v>0.5714285714285714</v>
      </c>
      <c r="H860" t="s">
        <v>46</v>
      </c>
      <c r="I860" t="s">
        <v>1957</v>
      </c>
      <c r="J860" t="s">
        <v>4677</v>
      </c>
      <c r="K860" t="s">
        <v>4678</v>
      </c>
      <c r="L860" s="11" t="s">
        <v>4679</v>
      </c>
    </row>
    <row r="861" spans="1:12">
      <c r="A861" t="s">
        <v>4680</v>
      </c>
      <c r="B861" s="8">
        <v>8.6649999999999991</v>
      </c>
      <c r="C861" s="9">
        <v>4197</v>
      </c>
      <c r="D861">
        <v>8</v>
      </c>
      <c r="E861">
        <v>8</v>
      </c>
      <c r="F861">
        <v>5</v>
      </c>
      <c r="G861" s="10">
        <v>0.625</v>
      </c>
      <c r="H861" t="s">
        <v>46</v>
      </c>
      <c r="I861" t="s">
        <v>1957</v>
      </c>
      <c r="J861" t="s">
        <v>4681</v>
      </c>
      <c r="K861" t="s">
        <v>4682</v>
      </c>
      <c r="L861" s="11" t="s">
        <v>4683</v>
      </c>
    </row>
    <row r="862" spans="1:12">
      <c r="A862" t="s">
        <v>4684</v>
      </c>
      <c r="B862" s="8">
        <v>2.8759999999999999</v>
      </c>
      <c r="C862" s="9">
        <v>6.9</v>
      </c>
      <c r="D862">
        <v>2</v>
      </c>
      <c r="E862">
        <v>2</v>
      </c>
      <c r="F862">
        <v>2</v>
      </c>
      <c r="G862" s="10">
        <v>1</v>
      </c>
      <c r="H862" t="s">
        <v>46</v>
      </c>
      <c r="I862" t="s">
        <v>1957</v>
      </c>
      <c r="J862" t="s">
        <v>4685</v>
      </c>
      <c r="K862" t="s">
        <v>4686</v>
      </c>
      <c r="L862" s="11" t="s">
        <v>4687</v>
      </c>
    </row>
    <row r="863" spans="1:12">
      <c r="A863" t="s">
        <v>4688</v>
      </c>
      <c r="B863" s="8">
        <v>2.1120000000000001</v>
      </c>
      <c r="C863" s="9">
        <v>3875</v>
      </c>
      <c r="D863">
        <v>1</v>
      </c>
      <c r="E863">
        <v>1</v>
      </c>
      <c r="F863">
        <v>1</v>
      </c>
      <c r="G863" s="10">
        <v>1</v>
      </c>
      <c r="H863" t="s">
        <v>46</v>
      </c>
      <c r="I863" t="s">
        <v>1957</v>
      </c>
      <c r="J863" t="s">
        <v>4689</v>
      </c>
      <c r="K863" t="s">
        <v>4690</v>
      </c>
      <c r="L863" s="11" t="s">
        <v>4689</v>
      </c>
    </row>
    <row r="864" spans="1:12">
      <c r="A864" t="s">
        <v>4691</v>
      </c>
      <c r="B864" s="8">
        <v>2.6480000000000001</v>
      </c>
      <c r="C864" s="9">
        <v>195</v>
      </c>
      <c r="D864">
        <v>2</v>
      </c>
      <c r="E864">
        <v>1</v>
      </c>
      <c r="F864">
        <v>1</v>
      </c>
      <c r="G864" s="10">
        <v>0.5</v>
      </c>
      <c r="H864" t="s">
        <v>46</v>
      </c>
      <c r="I864" t="s">
        <v>1957</v>
      </c>
      <c r="J864" t="s">
        <v>4692</v>
      </c>
      <c r="K864" t="s">
        <v>4693</v>
      </c>
      <c r="L864" s="11" t="s">
        <v>4692</v>
      </c>
    </row>
    <row r="865" spans="1:12">
      <c r="A865" t="s">
        <v>4694</v>
      </c>
      <c r="B865" s="8">
        <v>2.0430000000000001</v>
      </c>
      <c r="C865" s="9">
        <v>299</v>
      </c>
      <c r="D865">
        <v>2</v>
      </c>
      <c r="E865">
        <v>2</v>
      </c>
      <c r="F865">
        <v>2</v>
      </c>
      <c r="G865" s="10">
        <v>1</v>
      </c>
      <c r="H865" t="s">
        <v>46</v>
      </c>
      <c r="I865" t="s">
        <v>1957</v>
      </c>
      <c r="J865" t="s">
        <v>4695</v>
      </c>
      <c r="K865" t="s">
        <v>4696</v>
      </c>
      <c r="L865" s="11" t="s">
        <v>1576</v>
      </c>
    </row>
    <row r="866" spans="1:12">
      <c r="A866" t="s">
        <v>4697</v>
      </c>
      <c r="B866" s="8">
        <v>2.13</v>
      </c>
      <c r="C866" s="9">
        <v>11</v>
      </c>
      <c r="D866">
        <v>1</v>
      </c>
      <c r="E866">
        <v>1</v>
      </c>
      <c r="F866">
        <v>1</v>
      </c>
      <c r="G866" s="10">
        <v>1</v>
      </c>
      <c r="H866" t="s">
        <v>46</v>
      </c>
      <c r="I866" t="s">
        <v>1957</v>
      </c>
      <c r="J866" t="s">
        <v>4698</v>
      </c>
      <c r="K866" t="s">
        <v>4699</v>
      </c>
      <c r="L866" s="11" t="s">
        <v>4698</v>
      </c>
    </row>
    <row r="867" spans="1:12">
      <c r="A867" t="s">
        <v>4700</v>
      </c>
      <c r="B867" s="8">
        <v>4.1319999999999997</v>
      </c>
      <c r="C867" s="9">
        <v>9</v>
      </c>
      <c r="D867">
        <v>7</v>
      </c>
      <c r="E867">
        <v>7</v>
      </c>
      <c r="F867">
        <v>7</v>
      </c>
      <c r="G867" s="10">
        <v>1</v>
      </c>
      <c r="H867" t="s">
        <v>46</v>
      </c>
      <c r="I867" t="s">
        <v>1957</v>
      </c>
      <c r="J867" t="s">
        <v>4701</v>
      </c>
      <c r="K867" t="s">
        <v>4702</v>
      </c>
      <c r="L867" s="11" t="s">
        <v>4701</v>
      </c>
    </row>
    <row r="868" spans="1:12">
      <c r="A868" t="s">
        <v>4703</v>
      </c>
      <c r="B868" s="8">
        <v>4.5519999999999996</v>
      </c>
      <c r="C868" s="9">
        <v>13</v>
      </c>
      <c r="D868">
        <v>6</v>
      </c>
      <c r="E868">
        <v>6</v>
      </c>
      <c r="F868">
        <v>6</v>
      </c>
      <c r="G868" s="10">
        <v>1</v>
      </c>
      <c r="H868" t="s">
        <v>46</v>
      </c>
      <c r="I868" t="s">
        <v>1957</v>
      </c>
      <c r="J868" t="s">
        <v>4704</v>
      </c>
      <c r="K868" t="s">
        <v>4702</v>
      </c>
      <c r="L868" s="11" t="s">
        <v>4704</v>
      </c>
    </row>
    <row r="869" spans="1:12">
      <c r="A869" t="s">
        <v>4705</v>
      </c>
      <c r="B869" s="8">
        <v>6.0970000000000004</v>
      </c>
      <c r="C869" s="9">
        <v>23</v>
      </c>
      <c r="D869">
        <v>5</v>
      </c>
      <c r="E869">
        <v>5</v>
      </c>
      <c r="F869">
        <v>5</v>
      </c>
      <c r="G869" s="10">
        <v>1</v>
      </c>
      <c r="H869" t="s">
        <v>46</v>
      </c>
      <c r="I869" t="s">
        <v>1957</v>
      </c>
      <c r="J869" t="s">
        <v>4706</v>
      </c>
      <c r="K869" t="s">
        <v>4702</v>
      </c>
      <c r="L869" s="11" t="s">
        <v>4706</v>
      </c>
    </row>
    <row r="870" spans="1:12">
      <c r="A870" t="s">
        <v>4707</v>
      </c>
      <c r="B870" s="8">
        <v>2.6150000000000002</v>
      </c>
      <c r="C870" s="9">
        <v>11</v>
      </c>
      <c r="D870">
        <v>3</v>
      </c>
      <c r="E870">
        <v>3</v>
      </c>
      <c r="F870">
        <v>3</v>
      </c>
      <c r="G870" s="10">
        <v>1</v>
      </c>
      <c r="H870" t="s">
        <v>46</v>
      </c>
      <c r="I870" t="s">
        <v>1957</v>
      </c>
      <c r="J870" t="s">
        <v>4708</v>
      </c>
      <c r="K870" t="s">
        <v>4702</v>
      </c>
      <c r="L870" s="11" t="s">
        <v>4708</v>
      </c>
    </row>
    <row r="871" spans="1:12">
      <c r="A871" t="s">
        <v>4709</v>
      </c>
      <c r="B871" s="8">
        <v>2.6949999999999998</v>
      </c>
      <c r="C871" s="9">
        <v>12</v>
      </c>
      <c r="D871">
        <v>2</v>
      </c>
      <c r="E871">
        <v>2</v>
      </c>
      <c r="F871">
        <v>2</v>
      </c>
      <c r="G871" s="10">
        <v>1</v>
      </c>
      <c r="H871" t="s">
        <v>46</v>
      </c>
      <c r="I871" t="s">
        <v>1957</v>
      </c>
      <c r="J871" t="s">
        <v>4710</v>
      </c>
      <c r="K871" t="s">
        <v>4702</v>
      </c>
      <c r="L871" s="11" t="s">
        <v>4710</v>
      </c>
    </row>
    <row r="872" spans="1:12">
      <c r="A872" t="s">
        <v>4711</v>
      </c>
      <c r="B872" s="8">
        <v>2.0390000000000001</v>
      </c>
      <c r="C872" s="9">
        <v>16</v>
      </c>
      <c r="D872">
        <v>1</v>
      </c>
      <c r="E872">
        <v>1</v>
      </c>
      <c r="F872">
        <v>1</v>
      </c>
      <c r="G872" s="10">
        <v>1</v>
      </c>
      <c r="H872" t="s">
        <v>46</v>
      </c>
      <c r="I872" t="s">
        <v>1957</v>
      </c>
      <c r="J872" t="s">
        <v>4712</v>
      </c>
      <c r="K872" t="s">
        <v>4702</v>
      </c>
      <c r="L872" s="11" t="s">
        <v>4712</v>
      </c>
    </row>
    <row r="873" spans="1:12">
      <c r="A873" t="s">
        <v>4713</v>
      </c>
      <c r="B873" s="8">
        <v>5.8010000000000002</v>
      </c>
      <c r="C873" s="9">
        <v>14</v>
      </c>
      <c r="D873">
        <v>7</v>
      </c>
      <c r="E873">
        <v>7</v>
      </c>
      <c r="F873">
        <v>7</v>
      </c>
      <c r="G873" s="10">
        <v>1</v>
      </c>
      <c r="H873" t="s">
        <v>46</v>
      </c>
      <c r="I873" t="s">
        <v>1957</v>
      </c>
      <c r="J873" t="s">
        <v>4714</v>
      </c>
      <c r="K873" t="s">
        <v>4715</v>
      </c>
      <c r="L873" s="11" t="s">
        <v>4704</v>
      </c>
    </row>
    <row r="874" spans="1:12">
      <c r="A874" t="s">
        <v>4716</v>
      </c>
      <c r="B874" s="8">
        <v>3.7679999999999998</v>
      </c>
      <c r="C874" s="9">
        <v>12</v>
      </c>
      <c r="D874">
        <v>4</v>
      </c>
      <c r="E874">
        <v>4</v>
      </c>
      <c r="F874">
        <v>4</v>
      </c>
      <c r="G874" s="10">
        <v>1</v>
      </c>
      <c r="H874" t="s">
        <v>46</v>
      </c>
      <c r="I874" t="s">
        <v>1957</v>
      </c>
      <c r="J874" t="s">
        <v>4717</v>
      </c>
      <c r="K874" t="s">
        <v>4718</v>
      </c>
      <c r="L874" s="11" t="s">
        <v>4719</v>
      </c>
    </row>
    <row r="875" spans="1:12">
      <c r="A875" t="s">
        <v>4720</v>
      </c>
      <c r="B875" s="8">
        <v>5.2350000000000003</v>
      </c>
      <c r="C875" s="9">
        <v>14</v>
      </c>
      <c r="D875">
        <v>6</v>
      </c>
      <c r="E875">
        <v>6</v>
      </c>
      <c r="F875">
        <v>5</v>
      </c>
      <c r="G875" s="10">
        <v>0.83333333333333337</v>
      </c>
      <c r="H875" t="s">
        <v>46</v>
      </c>
      <c r="I875" t="s">
        <v>1957</v>
      </c>
      <c r="J875" t="s">
        <v>4721</v>
      </c>
      <c r="K875" t="s">
        <v>4722</v>
      </c>
      <c r="L875" s="11" t="s">
        <v>4706</v>
      </c>
    </row>
    <row r="876" spans="1:12">
      <c r="A876" t="s">
        <v>4723</v>
      </c>
      <c r="B876" s="8">
        <v>4.2270000000000003</v>
      </c>
      <c r="C876" s="9">
        <v>15</v>
      </c>
      <c r="D876">
        <v>2</v>
      </c>
      <c r="E876">
        <v>2</v>
      </c>
      <c r="F876">
        <v>1</v>
      </c>
      <c r="G876" s="10">
        <v>0.5</v>
      </c>
      <c r="H876" t="s">
        <v>46</v>
      </c>
      <c r="I876" t="s">
        <v>1957</v>
      </c>
      <c r="J876" t="s">
        <v>4724</v>
      </c>
      <c r="K876" t="s">
        <v>4725</v>
      </c>
      <c r="L876" s="11" t="s">
        <v>4712</v>
      </c>
    </row>
    <row r="877" spans="1:12">
      <c r="A877" t="s">
        <v>4726</v>
      </c>
      <c r="B877" s="8">
        <v>3.3090000000000002</v>
      </c>
      <c r="C877" s="9">
        <v>8.3000000000000007</v>
      </c>
      <c r="D877">
        <v>5</v>
      </c>
      <c r="E877">
        <v>5</v>
      </c>
      <c r="F877">
        <v>3</v>
      </c>
      <c r="G877" s="10">
        <v>0.6</v>
      </c>
      <c r="H877" t="s">
        <v>46</v>
      </c>
      <c r="I877" t="s">
        <v>1957</v>
      </c>
      <c r="J877" t="s">
        <v>4727</v>
      </c>
      <c r="K877" t="s">
        <v>4728</v>
      </c>
      <c r="L877" s="11" t="s">
        <v>4729</v>
      </c>
    </row>
    <row r="878" spans="1:12">
      <c r="A878" t="s">
        <v>4730</v>
      </c>
      <c r="B878" s="8">
        <v>3.8140000000000001</v>
      </c>
      <c r="C878" s="9">
        <v>14</v>
      </c>
      <c r="D878">
        <v>3</v>
      </c>
      <c r="E878">
        <v>3</v>
      </c>
      <c r="F878">
        <v>3</v>
      </c>
      <c r="G878" s="10">
        <v>1</v>
      </c>
      <c r="H878" t="s">
        <v>46</v>
      </c>
      <c r="I878" t="s">
        <v>1957</v>
      </c>
      <c r="J878" t="s">
        <v>4731</v>
      </c>
      <c r="K878" t="s">
        <v>4732</v>
      </c>
      <c r="L878" s="11" t="s">
        <v>1618</v>
      </c>
    </row>
    <row r="879" spans="1:12">
      <c r="A879" t="s">
        <v>4733</v>
      </c>
      <c r="B879" s="8">
        <v>3.4489999999999998</v>
      </c>
      <c r="C879" s="9">
        <v>62</v>
      </c>
      <c r="D879">
        <v>1</v>
      </c>
      <c r="E879">
        <v>1</v>
      </c>
      <c r="F879">
        <v>1</v>
      </c>
      <c r="G879" s="10">
        <v>1</v>
      </c>
      <c r="H879" t="s">
        <v>46</v>
      </c>
      <c r="I879" t="s">
        <v>1957</v>
      </c>
      <c r="J879" t="s">
        <v>4734</v>
      </c>
      <c r="K879" t="s">
        <v>4735</v>
      </c>
      <c r="L879" s="11" t="s">
        <v>4734</v>
      </c>
    </row>
    <row r="880" spans="1:12">
      <c r="A880" t="s">
        <v>4736</v>
      </c>
      <c r="B880" s="8">
        <v>2.21</v>
      </c>
      <c r="C880" s="9">
        <v>18</v>
      </c>
      <c r="D880">
        <v>2</v>
      </c>
      <c r="E880">
        <v>2</v>
      </c>
      <c r="F880">
        <v>2</v>
      </c>
      <c r="G880" s="10">
        <v>1</v>
      </c>
      <c r="H880" t="s">
        <v>46</v>
      </c>
      <c r="I880" t="s">
        <v>1957</v>
      </c>
      <c r="J880" t="s">
        <v>4737</v>
      </c>
      <c r="K880" t="s">
        <v>4738</v>
      </c>
      <c r="L880" s="11" t="s">
        <v>4739</v>
      </c>
    </row>
    <row r="881" spans="1:12">
      <c r="A881" t="s">
        <v>4740</v>
      </c>
      <c r="B881" s="8">
        <v>2.7919999999999998</v>
      </c>
      <c r="C881" s="9">
        <v>291</v>
      </c>
      <c r="D881">
        <v>2</v>
      </c>
      <c r="E881">
        <v>2</v>
      </c>
      <c r="F881">
        <v>1</v>
      </c>
      <c r="G881" s="10">
        <v>0.5</v>
      </c>
      <c r="H881" t="s">
        <v>46</v>
      </c>
      <c r="I881" t="s">
        <v>1957</v>
      </c>
      <c r="J881" t="s">
        <v>4741</v>
      </c>
      <c r="K881" t="s">
        <v>4742</v>
      </c>
      <c r="L881" s="11" t="s">
        <v>4743</v>
      </c>
    </row>
    <row r="882" spans="1:12">
      <c r="A882" t="s">
        <v>4744</v>
      </c>
      <c r="B882" s="8">
        <v>2.8570000000000002</v>
      </c>
      <c r="C882" s="9">
        <v>222</v>
      </c>
      <c r="D882">
        <v>4</v>
      </c>
      <c r="E882">
        <v>4</v>
      </c>
      <c r="F882">
        <v>3</v>
      </c>
      <c r="G882" s="10">
        <v>0.75</v>
      </c>
      <c r="H882" t="s">
        <v>46</v>
      </c>
      <c r="I882" t="s">
        <v>1957</v>
      </c>
      <c r="J882" t="s">
        <v>4745</v>
      </c>
      <c r="K882" t="s">
        <v>4746</v>
      </c>
      <c r="L882" s="11" t="s">
        <v>4747</v>
      </c>
    </row>
    <row r="883" spans="1:12">
      <c r="A883" t="s">
        <v>4748</v>
      </c>
      <c r="B883" s="8">
        <v>2.819</v>
      </c>
      <c r="C883" s="9">
        <v>26</v>
      </c>
      <c r="D883">
        <v>2</v>
      </c>
      <c r="E883">
        <v>2</v>
      </c>
      <c r="F883">
        <v>2</v>
      </c>
      <c r="G883" s="10">
        <v>1</v>
      </c>
      <c r="H883" t="s">
        <v>46</v>
      </c>
      <c r="I883" t="s">
        <v>1957</v>
      </c>
      <c r="J883" t="s">
        <v>4749</v>
      </c>
      <c r="K883" t="s">
        <v>4750</v>
      </c>
      <c r="L883" s="11" t="s">
        <v>1776</v>
      </c>
    </row>
    <row r="884" spans="1:12">
      <c r="A884" t="s">
        <v>4751</v>
      </c>
      <c r="B884" s="8">
        <v>2.9550000000000001</v>
      </c>
      <c r="C884" s="9">
        <v>25</v>
      </c>
      <c r="D884">
        <v>1</v>
      </c>
      <c r="E884">
        <v>1</v>
      </c>
      <c r="F884">
        <v>1</v>
      </c>
      <c r="G884" s="10">
        <v>1</v>
      </c>
      <c r="H884" t="s">
        <v>46</v>
      </c>
      <c r="I884" t="s">
        <v>1957</v>
      </c>
      <c r="J884" t="s">
        <v>4752</v>
      </c>
      <c r="K884" t="s">
        <v>4753</v>
      </c>
      <c r="L884" s="11" t="s">
        <v>4752</v>
      </c>
    </row>
    <row r="885" spans="1:12">
      <c r="A885" t="s">
        <v>4754</v>
      </c>
      <c r="B885" s="8">
        <v>3.6789999999999998</v>
      </c>
      <c r="C885" s="9">
        <v>35</v>
      </c>
      <c r="D885">
        <v>2</v>
      </c>
      <c r="E885">
        <v>2</v>
      </c>
      <c r="F885">
        <v>2</v>
      </c>
      <c r="G885" s="10">
        <v>1</v>
      </c>
      <c r="H885" t="s">
        <v>46</v>
      </c>
      <c r="I885" t="s">
        <v>1957</v>
      </c>
      <c r="J885" t="s">
        <v>4755</v>
      </c>
      <c r="K885" t="s">
        <v>4756</v>
      </c>
      <c r="L885" s="11" t="s">
        <v>4752</v>
      </c>
    </row>
    <row r="886" spans="1:12">
      <c r="A886" t="s">
        <v>4757</v>
      </c>
      <c r="B886" s="8">
        <v>13.057</v>
      </c>
      <c r="C886" s="9">
        <v>36</v>
      </c>
      <c r="D886">
        <v>2</v>
      </c>
      <c r="E886">
        <v>2</v>
      </c>
      <c r="F886">
        <v>2</v>
      </c>
      <c r="G886" s="10">
        <v>1</v>
      </c>
      <c r="H886" t="s">
        <v>46</v>
      </c>
      <c r="I886" t="s">
        <v>1957</v>
      </c>
      <c r="J886" t="s">
        <v>4758</v>
      </c>
      <c r="K886" t="s">
        <v>4759</v>
      </c>
      <c r="L886" s="11" t="s">
        <v>4752</v>
      </c>
    </row>
    <row r="887" spans="1:12">
      <c r="A887" t="s">
        <v>4760</v>
      </c>
      <c r="B887" s="8">
        <v>3.472</v>
      </c>
      <c r="C887" s="9">
        <v>272</v>
      </c>
      <c r="D887">
        <v>2</v>
      </c>
      <c r="E887">
        <v>2</v>
      </c>
      <c r="F887">
        <v>1</v>
      </c>
      <c r="G887" s="10">
        <v>0.5</v>
      </c>
      <c r="H887" t="s">
        <v>46</v>
      </c>
      <c r="I887" t="s">
        <v>1957</v>
      </c>
      <c r="J887" t="s">
        <v>4761</v>
      </c>
      <c r="K887" t="s">
        <v>4762</v>
      </c>
      <c r="L887" s="11" t="s">
        <v>4752</v>
      </c>
    </row>
    <row r="888" spans="1:12">
      <c r="A888" t="s">
        <v>4763</v>
      </c>
      <c r="B888" s="8">
        <v>2.2189999999999999</v>
      </c>
      <c r="C888" s="9">
        <v>168</v>
      </c>
      <c r="D888">
        <v>1</v>
      </c>
      <c r="E888">
        <v>1</v>
      </c>
      <c r="F888">
        <v>1</v>
      </c>
      <c r="G888" s="10">
        <v>1</v>
      </c>
      <c r="H888" t="s">
        <v>46</v>
      </c>
      <c r="I888" t="s">
        <v>1957</v>
      </c>
      <c r="J888" t="s">
        <v>4764</v>
      </c>
      <c r="K888" t="s">
        <v>4765</v>
      </c>
      <c r="L888" s="11" t="s">
        <v>4764</v>
      </c>
    </row>
    <row r="889" spans="1:12">
      <c r="A889" t="s">
        <v>4766</v>
      </c>
      <c r="B889" s="8">
        <v>2.3010000000000002</v>
      </c>
      <c r="C889" s="9">
        <v>208</v>
      </c>
      <c r="D889">
        <v>1</v>
      </c>
      <c r="E889">
        <v>1</v>
      </c>
      <c r="F889">
        <v>1</v>
      </c>
      <c r="G889" s="10">
        <v>1</v>
      </c>
      <c r="H889" t="s">
        <v>46</v>
      </c>
      <c r="I889" t="s">
        <v>1957</v>
      </c>
      <c r="J889" t="s">
        <v>4764</v>
      </c>
      <c r="K889" t="s">
        <v>4765</v>
      </c>
      <c r="L889" s="11" t="s">
        <v>4764</v>
      </c>
    </row>
    <row r="890" spans="1:12">
      <c r="A890" t="s">
        <v>4767</v>
      </c>
      <c r="B890" s="8">
        <v>2.6179999999999999</v>
      </c>
      <c r="C890" s="9">
        <v>59</v>
      </c>
      <c r="D890">
        <v>1</v>
      </c>
      <c r="E890">
        <v>1</v>
      </c>
      <c r="F890">
        <v>1</v>
      </c>
      <c r="G890" s="10">
        <v>1</v>
      </c>
      <c r="H890" t="s">
        <v>46</v>
      </c>
      <c r="I890" t="s">
        <v>1957</v>
      </c>
      <c r="J890" t="s">
        <v>4764</v>
      </c>
      <c r="K890" t="s">
        <v>4765</v>
      </c>
      <c r="L890" s="11" t="s">
        <v>4764</v>
      </c>
    </row>
    <row r="891" spans="1:12">
      <c r="A891" t="s">
        <v>4768</v>
      </c>
      <c r="B891" s="8">
        <v>2.7010000000000001</v>
      </c>
      <c r="C891" s="9">
        <v>743</v>
      </c>
      <c r="D891">
        <v>1</v>
      </c>
      <c r="E891">
        <v>1</v>
      </c>
      <c r="F891">
        <v>1</v>
      </c>
      <c r="G891" s="10">
        <v>1</v>
      </c>
      <c r="H891" t="s">
        <v>46</v>
      </c>
      <c r="I891" t="s">
        <v>1957</v>
      </c>
      <c r="J891" t="s">
        <v>4764</v>
      </c>
      <c r="K891" t="s">
        <v>4765</v>
      </c>
      <c r="L891" s="11" t="s">
        <v>4764</v>
      </c>
    </row>
    <row r="892" spans="1:12">
      <c r="A892" t="s">
        <v>4769</v>
      </c>
      <c r="B892" s="8">
        <v>2.4340000000000002</v>
      </c>
      <c r="C892" s="9">
        <v>510</v>
      </c>
      <c r="D892">
        <v>1</v>
      </c>
      <c r="E892">
        <v>1</v>
      </c>
      <c r="F892">
        <v>1</v>
      </c>
      <c r="G892" s="10">
        <v>1</v>
      </c>
      <c r="H892" t="s">
        <v>46</v>
      </c>
      <c r="I892" t="s">
        <v>1957</v>
      </c>
      <c r="J892" t="s">
        <v>1570</v>
      </c>
      <c r="K892" t="s">
        <v>1571</v>
      </c>
      <c r="L892" s="11" t="s">
        <v>1570</v>
      </c>
    </row>
    <row r="893" spans="1:12">
      <c r="A893" t="s">
        <v>4770</v>
      </c>
      <c r="B893" s="8">
        <v>2.4950000000000001</v>
      </c>
      <c r="C893" s="9">
        <v>287</v>
      </c>
      <c r="D893">
        <v>2</v>
      </c>
      <c r="E893">
        <v>2</v>
      </c>
      <c r="F893">
        <v>2</v>
      </c>
      <c r="G893" s="10">
        <v>1</v>
      </c>
      <c r="H893" t="s">
        <v>46</v>
      </c>
      <c r="I893" t="s">
        <v>1957</v>
      </c>
      <c r="J893" t="s">
        <v>4771</v>
      </c>
      <c r="K893" t="s">
        <v>4772</v>
      </c>
      <c r="L893" s="11" t="s">
        <v>1570</v>
      </c>
    </row>
    <row r="894" spans="1:12">
      <c r="A894" t="s">
        <v>4773</v>
      </c>
      <c r="B894" s="8">
        <v>3.2679999999999998</v>
      </c>
      <c r="C894" s="9">
        <v>9.1999999999999993</v>
      </c>
      <c r="D894">
        <v>2</v>
      </c>
      <c r="E894">
        <v>2</v>
      </c>
      <c r="F894">
        <v>2</v>
      </c>
      <c r="G894" s="10">
        <v>1</v>
      </c>
      <c r="H894" t="s">
        <v>46</v>
      </c>
      <c r="I894" t="s">
        <v>1957</v>
      </c>
      <c r="J894" t="s">
        <v>4774</v>
      </c>
      <c r="K894" t="s">
        <v>4775</v>
      </c>
      <c r="L894" s="11" t="s">
        <v>4776</v>
      </c>
    </row>
    <row r="895" spans="1:12">
      <c r="A895" t="s">
        <v>4777</v>
      </c>
      <c r="B895" s="8">
        <v>5.6539999999999999</v>
      </c>
      <c r="C895" s="9">
        <v>32</v>
      </c>
      <c r="D895">
        <v>2</v>
      </c>
      <c r="E895">
        <v>2</v>
      </c>
      <c r="F895">
        <v>2</v>
      </c>
      <c r="G895" s="10">
        <v>1</v>
      </c>
      <c r="H895" t="s">
        <v>46</v>
      </c>
      <c r="I895" t="s">
        <v>1957</v>
      </c>
      <c r="J895" t="s">
        <v>4778</v>
      </c>
      <c r="K895" t="s">
        <v>4779</v>
      </c>
      <c r="L895" s="11" t="s">
        <v>4780</v>
      </c>
    </row>
    <row r="896" spans="1:12">
      <c r="A896" t="s">
        <v>4781</v>
      </c>
      <c r="B896" s="8">
        <v>2.0169999999999999</v>
      </c>
      <c r="C896" s="9">
        <v>18</v>
      </c>
      <c r="D896">
        <v>1</v>
      </c>
      <c r="E896">
        <v>1</v>
      </c>
      <c r="F896">
        <v>1</v>
      </c>
      <c r="G896" s="10">
        <v>1</v>
      </c>
      <c r="H896" t="s">
        <v>46</v>
      </c>
      <c r="I896" t="s">
        <v>1957</v>
      </c>
      <c r="J896" t="s">
        <v>1576</v>
      </c>
      <c r="K896" t="s">
        <v>1574</v>
      </c>
      <c r="L896" s="11" t="s">
        <v>1576</v>
      </c>
    </row>
    <row r="897" spans="1:12">
      <c r="A897" t="s">
        <v>4782</v>
      </c>
      <c r="B897" s="8">
        <v>24.553000000000001</v>
      </c>
      <c r="C897" s="9">
        <v>87</v>
      </c>
      <c r="D897">
        <v>25</v>
      </c>
      <c r="E897">
        <v>25</v>
      </c>
      <c r="F897">
        <v>19</v>
      </c>
      <c r="G897" s="10">
        <v>0.76</v>
      </c>
      <c r="H897" t="s">
        <v>46</v>
      </c>
      <c r="I897" t="s">
        <v>1957</v>
      </c>
      <c r="J897" t="s">
        <v>4783</v>
      </c>
      <c r="K897" t="s">
        <v>4784</v>
      </c>
      <c r="L897" s="11" t="s">
        <v>4785</v>
      </c>
    </row>
    <row r="898" spans="1:12">
      <c r="A898" t="s">
        <v>4786</v>
      </c>
      <c r="B898" s="8">
        <v>3.952</v>
      </c>
      <c r="C898" s="9">
        <v>366</v>
      </c>
      <c r="D898">
        <v>1</v>
      </c>
      <c r="E898">
        <v>1</v>
      </c>
      <c r="F898">
        <v>1</v>
      </c>
      <c r="G898" s="10">
        <v>1</v>
      </c>
      <c r="H898" t="s">
        <v>46</v>
      </c>
      <c r="I898" t="s">
        <v>1957</v>
      </c>
      <c r="J898" t="s">
        <v>1592</v>
      </c>
      <c r="K898" t="s">
        <v>4787</v>
      </c>
      <c r="L898" s="11" t="s">
        <v>1592</v>
      </c>
    </row>
    <row r="899" spans="1:12">
      <c r="A899" t="s">
        <v>4788</v>
      </c>
      <c r="B899" s="8">
        <v>2.6259999999999999</v>
      </c>
      <c r="C899" s="9">
        <v>11</v>
      </c>
      <c r="D899">
        <v>2</v>
      </c>
      <c r="E899">
        <v>2</v>
      </c>
      <c r="F899">
        <v>2</v>
      </c>
      <c r="G899" s="10">
        <v>1</v>
      </c>
      <c r="H899" t="s">
        <v>46</v>
      </c>
      <c r="I899" t="s">
        <v>1957</v>
      </c>
      <c r="J899" t="s">
        <v>4789</v>
      </c>
      <c r="K899" t="s">
        <v>4790</v>
      </c>
      <c r="L899" s="11" t="s">
        <v>1592</v>
      </c>
    </row>
    <row r="900" spans="1:12">
      <c r="A900" t="s">
        <v>4791</v>
      </c>
      <c r="B900" s="8">
        <v>3.4510000000000001</v>
      </c>
      <c r="C900" s="9">
        <v>212</v>
      </c>
      <c r="D900">
        <v>3</v>
      </c>
      <c r="E900">
        <v>2</v>
      </c>
      <c r="F900">
        <v>3</v>
      </c>
      <c r="G900" s="10">
        <v>1</v>
      </c>
      <c r="H900" t="s">
        <v>46</v>
      </c>
      <c r="I900" t="s">
        <v>1957</v>
      </c>
      <c r="J900" t="s">
        <v>4792</v>
      </c>
      <c r="K900" t="s">
        <v>4793</v>
      </c>
      <c r="L900" s="11" t="s">
        <v>1592</v>
      </c>
    </row>
    <row r="901" spans="1:12">
      <c r="A901" t="s">
        <v>4794</v>
      </c>
      <c r="B901" s="8">
        <v>2.8159999999999998</v>
      </c>
      <c r="C901" s="9">
        <v>92</v>
      </c>
      <c r="D901">
        <v>2</v>
      </c>
      <c r="E901">
        <v>2</v>
      </c>
      <c r="F901">
        <v>2</v>
      </c>
      <c r="G901" s="10">
        <v>1</v>
      </c>
      <c r="H901" t="s">
        <v>46</v>
      </c>
      <c r="I901" t="s">
        <v>1957</v>
      </c>
      <c r="J901" t="s">
        <v>4795</v>
      </c>
      <c r="K901" t="s">
        <v>4796</v>
      </c>
      <c r="L901" s="11" t="s">
        <v>1592</v>
      </c>
    </row>
    <row r="902" spans="1:12">
      <c r="A902" t="s">
        <v>4797</v>
      </c>
      <c r="B902" s="8">
        <v>2.9209999999999998</v>
      </c>
      <c r="C902" s="9">
        <v>10</v>
      </c>
      <c r="D902">
        <v>2</v>
      </c>
      <c r="E902">
        <v>2</v>
      </c>
      <c r="F902">
        <v>2</v>
      </c>
      <c r="G902" s="10">
        <v>1</v>
      </c>
      <c r="H902" t="s">
        <v>46</v>
      </c>
      <c r="I902" t="s">
        <v>1957</v>
      </c>
      <c r="J902" t="s">
        <v>4798</v>
      </c>
      <c r="K902" t="s">
        <v>4799</v>
      </c>
      <c r="L902" s="11" t="s">
        <v>1592</v>
      </c>
    </row>
    <row r="903" spans="1:12">
      <c r="A903" t="s">
        <v>4800</v>
      </c>
      <c r="B903" s="8">
        <v>3.2709999999999999</v>
      </c>
      <c r="C903" s="9">
        <v>2045</v>
      </c>
      <c r="D903">
        <v>2</v>
      </c>
      <c r="E903">
        <v>2</v>
      </c>
      <c r="F903">
        <v>1</v>
      </c>
      <c r="G903" s="10">
        <v>0.5</v>
      </c>
      <c r="H903" t="s">
        <v>46</v>
      </c>
      <c r="I903" t="s">
        <v>1957</v>
      </c>
      <c r="J903" t="s">
        <v>4801</v>
      </c>
      <c r="K903" t="s">
        <v>4802</v>
      </c>
      <c r="L903" s="11" t="s">
        <v>1592</v>
      </c>
    </row>
    <row r="904" spans="1:12">
      <c r="A904" t="s">
        <v>4803</v>
      </c>
      <c r="B904" s="8">
        <v>6.0060000000000002</v>
      </c>
      <c r="C904" s="9">
        <v>11</v>
      </c>
      <c r="D904">
        <v>4</v>
      </c>
      <c r="E904">
        <v>4</v>
      </c>
      <c r="F904">
        <v>3</v>
      </c>
      <c r="G904" s="10">
        <v>0.75</v>
      </c>
      <c r="H904" t="s">
        <v>46</v>
      </c>
      <c r="I904" t="s">
        <v>1957</v>
      </c>
      <c r="J904" t="s">
        <v>4804</v>
      </c>
      <c r="K904" t="s">
        <v>4805</v>
      </c>
      <c r="L904" s="11" t="s">
        <v>4806</v>
      </c>
    </row>
    <row r="905" spans="1:12">
      <c r="A905" t="s">
        <v>4807</v>
      </c>
      <c r="B905" s="8">
        <v>6.0350000000000001</v>
      </c>
      <c r="C905" s="9">
        <v>13</v>
      </c>
      <c r="D905">
        <v>1</v>
      </c>
      <c r="E905">
        <v>1</v>
      </c>
      <c r="F905">
        <v>1</v>
      </c>
      <c r="G905" s="10">
        <v>1</v>
      </c>
      <c r="H905" t="s">
        <v>46</v>
      </c>
      <c r="I905" t="s">
        <v>1957</v>
      </c>
      <c r="J905" t="s">
        <v>4808</v>
      </c>
      <c r="K905" t="s">
        <v>4809</v>
      </c>
      <c r="L905" s="11" t="s">
        <v>4808</v>
      </c>
    </row>
    <row r="906" spans="1:12">
      <c r="A906" t="s">
        <v>4810</v>
      </c>
      <c r="B906" s="8">
        <v>35.225999999999999</v>
      </c>
      <c r="C906" s="9">
        <v>432</v>
      </c>
      <c r="D906">
        <v>31</v>
      </c>
      <c r="E906">
        <v>31</v>
      </c>
      <c r="F906">
        <v>21</v>
      </c>
      <c r="G906" s="10">
        <v>0.67741935483870963</v>
      </c>
      <c r="H906" t="s">
        <v>46</v>
      </c>
      <c r="I906" t="s">
        <v>1957</v>
      </c>
      <c r="J906" t="s">
        <v>4811</v>
      </c>
      <c r="K906" t="s">
        <v>4812</v>
      </c>
      <c r="L906" s="11" t="s">
        <v>4813</v>
      </c>
    </row>
    <row r="907" spans="1:12">
      <c r="A907" t="s">
        <v>4814</v>
      </c>
      <c r="B907" s="8">
        <v>5.12</v>
      </c>
      <c r="C907" s="9">
        <v>119</v>
      </c>
      <c r="D907">
        <v>2</v>
      </c>
      <c r="E907">
        <v>2</v>
      </c>
      <c r="F907">
        <v>1</v>
      </c>
      <c r="G907" s="10">
        <v>0.5</v>
      </c>
      <c r="H907" t="s">
        <v>46</v>
      </c>
      <c r="I907" t="s">
        <v>1957</v>
      </c>
      <c r="J907" t="s">
        <v>4815</v>
      </c>
      <c r="K907" t="s">
        <v>4816</v>
      </c>
      <c r="L907" s="11" t="s">
        <v>4817</v>
      </c>
    </row>
    <row r="908" spans="1:12">
      <c r="A908" t="s">
        <v>4818</v>
      </c>
      <c r="B908" s="8">
        <v>4.6050000000000004</v>
      </c>
      <c r="C908" s="9">
        <v>763</v>
      </c>
      <c r="D908">
        <v>2</v>
      </c>
      <c r="E908">
        <v>2</v>
      </c>
      <c r="F908">
        <v>2</v>
      </c>
      <c r="G908" s="10">
        <v>1</v>
      </c>
      <c r="H908" t="s">
        <v>46</v>
      </c>
      <c r="I908" t="s">
        <v>1957</v>
      </c>
      <c r="J908" t="s">
        <v>4819</v>
      </c>
      <c r="K908" t="s">
        <v>4820</v>
      </c>
      <c r="L908" s="11" t="s">
        <v>1613</v>
      </c>
    </row>
    <row r="909" spans="1:12">
      <c r="A909" t="s">
        <v>4821</v>
      </c>
      <c r="B909" s="8">
        <v>6.556</v>
      </c>
      <c r="C909" s="9">
        <v>14</v>
      </c>
      <c r="D909">
        <v>3</v>
      </c>
      <c r="E909">
        <v>2</v>
      </c>
      <c r="F909">
        <v>2</v>
      </c>
      <c r="G909" s="10">
        <v>0.66666666666666663</v>
      </c>
      <c r="H909" t="s">
        <v>46</v>
      </c>
      <c r="I909" t="s">
        <v>1957</v>
      </c>
      <c r="J909" t="s">
        <v>4822</v>
      </c>
      <c r="K909" t="s">
        <v>4823</v>
      </c>
      <c r="L909" s="11" t="s">
        <v>4824</v>
      </c>
    </row>
    <row r="910" spans="1:12">
      <c r="A910" t="s">
        <v>4825</v>
      </c>
      <c r="B910" s="8">
        <v>2.169</v>
      </c>
      <c r="C910" s="9">
        <v>12</v>
      </c>
      <c r="D910">
        <v>2</v>
      </c>
      <c r="E910">
        <v>2</v>
      </c>
      <c r="F910">
        <v>1</v>
      </c>
      <c r="G910" s="10">
        <v>0.5</v>
      </c>
      <c r="H910" t="s">
        <v>46</v>
      </c>
      <c r="I910" t="s">
        <v>1957</v>
      </c>
      <c r="J910" t="s">
        <v>4826</v>
      </c>
      <c r="K910" t="s">
        <v>4827</v>
      </c>
      <c r="L910" s="11" t="s">
        <v>4828</v>
      </c>
    </row>
    <row r="911" spans="1:12">
      <c r="A911" t="s">
        <v>4829</v>
      </c>
      <c r="B911" s="8">
        <v>5.39</v>
      </c>
      <c r="C911" s="9">
        <v>384</v>
      </c>
      <c r="D911">
        <v>2</v>
      </c>
      <c r="E911">
        <v>2</v>
      </c>
      <c r="F911">
        <v>1</v>
      </c>
      <c r="G911" s="10">
        <v>0.5</v>
      </c>
      <c r="H911" t="s">
        <v>46</v>
      </c>
      <c r="I911" t="s">
        <v>1957</v>
      </c>
      <c r="J911" t="s">
        <v>4830</v>
      </c>
      <c r="K911" t="s">
        <v>4831</v>
      </c>
      <c r="L911" s="11" t="s">
        <v>1761</v>
      </c>
    </row>
    <row r="912" spans="1:12">
      <c r="A912" t="s">
        <v>4832</v>
      </c>
      <c r="B912" s="8">
        <v>2.3530000000000002</v>
      </c>
      <c r="C912" s="9">
        <v>6.9</v>
      </c>
      <c r="D912">
        <v>2</v>
      </c>
      <c r="E912">
        <v>2</v>
      </c>
      <c r="F912">
        <v>2</v>
      </c>
      <c r="G912" s="10">
        <v>1</v>
      </c>
      <c r="H912" t="s">
        <v>46</v>
      </c>
      <c r="I912" t="s">
        <v>1957</v>
      </c>
      <c r="J912" t="s">
        <v>4833</v>
      </c>
      <c r="K912" t="s">
        <v>4834</v>
      </c>
      <c r="L912" s="11" t="s">
        <v>1761</v>
      </c>
    </row>
    <row r="913" spans="1:12">
      <c r="A913" t="s">
        <v>4835</v>
      </c>
      <c r="B913" s="8">
        <v>2.052</v>
      </c>
      <c r="C913" s="9">
        <v>13</v>
      </c>
      <c r="D913">
        <v>3</v>
      </c>
      <c r="E913">
        <v>3</v>
      </c>
      <c r="F913">
        <v>2</v>
      </c>
      <c r="G913" s="10">
        <v>0.66666666666666663</v>
      </c>
      <c r="H913" t="s">
        <v>46</v>
      </c>
      <c r="I913" t="s">
        <v>1957</v>
      </c>
      <c r="J913" t="s">
        <v>4836</v>
      </c>
      <c r="K913" t="s">
        <v>4837</v>
      </c>
      <c r="L913" s="11" t="s">
        <v>4838</v>
      </c>
    </row>
    <row r="914" spans="1:12">
      <c r="A914" t="s">
        <v>4839</v>
      </c>
      <c r="B914" s="8">
        <v>5.0129999999999999</v>
      </c>
      <c r="C914" s="9">
        <v>558</v>
      </c>
      <c r="D914">
        <v>3</v>
      </c>
      <c r="E914">
        <v>3</v>
      </c>
      <c r="F914">
        <v>3</v>
      </c>
      <c r="G914" s="10">
        <v>1</v>
      </c>
      <c r="H914" t="s">
        <v>46</v>
      </c>
      <c r="I914" t="s">
        <v>1957</v>
      </c>
      <c r="J914" t="s">
        <v>4840</v>
      </c>
      <c r="K914" t="s">
        <v>1599</v>
      </c>
      <c r="L914" s="11" t="s">
        <v>4840</v>
      </c>
    </row>
    <row r="915" spans="1:12">
      <c r="A915" t="s">
        <v>4841</v>
      </c>
      <c r="B915" s="8">
        <v>46.097999999999999</v>
      </c>
      <c r="C915" s="9">
        <v>673</v>
      </c>
      <c r="D915">
        <v>34</v>
      </c>
      <c r="E915">
        <v>34</v>
      </c>
      <c r="F915">
        <v>26</v>
      </c>
      <c r="G915" s="10">
        <v>0.76470588235294112</v>
      </c>
      <c r="H915" t="s">
        <v>46</v>
      </c>
      <c r="I915" t="s">
        <v>1957</v>
      </c>
      <c r="J915" t="s">
        <v>4842</v>
      </c>
      <c r="K915" t="s">
        <v>4843</v>
      </c>
      <c r="L915" s="11" t="s">
        <v>4844</v>
      </c>
    </row>
    <row r="916" spans="1:12">
      <c r="A916" t="s">
        <v>4845</v>
      </c>
      <c r="B916" s="8">
        <v>4.8360000000000003</v>
      </c>
      <c r="C916" s="9">
        <v>99</v>
      </c>
      <c r="D916">
        <v>2</v>
      </c>
      <c r="E916">
        <v>2</v>
      </c>
      <c r="F916">
        <v>1</v>
      </c>
      <c r="G916" s="10">
        <v>0.5</v>
      </c>
      <c r="H916" t="s">
        <v>46</v>
      </c>
      <c r="I916" t="s">
        <v>1957</v>
      </c>
      <c r="J916" t="s">
        <v>4846</v>
      </c>
      <c r="K916" t="s">
        <v>4847</v>
      </c>
      <c r="L916" s="11" t="s">
        <v>4848</v>
      </c>
    </row>
    <row r="917" spans="1:12">
      <c r="A917" t="s">
        <v>4849</v>
      </c>
      <c r="B917" s="8">
        <v>4.3150000000000004</v>
      </c>
      <c r="C917" s="9">
        <v>290</v>
      </c>
      <c r="D917">
        <v>5</v>
      </c>
      <c r="E917">
        <v>5</v>
      </c>
      <c r="F917">
        <v>5</v>
      </c>
      <c r="G917" s="10">
        <v>1</v>
      </c>
      <c r="H917" t="s">
        <v>46</v>
      </c>
      <c r="I917" t="s">
        <v>1957</v>
      </c>
      <c r="J917" t="s">
        <v>4850</v>
      </c>
      <c r="K917" t="s">
        <v>1606</v>
      </c>
      <c r="L917" s="11" t="s">
        <v>4850</v>
      </c>
    </row>
    <row r="918" spans="1:12">
      <c r="A918" t="s">
        <v>4851</v>
      </c>
      <c r="B918" s="8">
        <v>5.7329999999999997</v>
      </c>
      <c r="C918" s="9">
        <v>15</v>
      </c>
      <c r="D918">
        <v>2</v>
      </c>
      <c r="E918">
        <v>2</v>
      </c>
      <c r="F918">
        <v>2</v>
      </c>
      <c r="G918" s="10">
        <v>1</v>
      </c>
      <c r="H918" t="s">
        <v>46</v>
      </c>
      <c r="I918" t="s">
        <v>1957</v>
      </c>
      <c r="J918" t="s">
        <v>4852</v>
      </c>
      <c r="K918" t="s">
        <v>1606</v>
      </c>
      <c r="L918" s="11" t="s">
        <v>4852</v>
      </c>
    </row>
    <row r="919" spans="1:12">
      <c r="A919" t="s">
        <v>4853</v>
      </c>
      <c r="B919" s="8">
        <v>3.13</v>
      </c>
      <c r="C919" s="9">
        <v>473</v>
      </c>
      <c r="D919">
        <v>1</v>
      </c>
      <c r="E919">
        <v>1</v>
      </c>
      <c r="F919">
        <v>1</v>
      </c>
      <c r="G919" s="10">
        <v>1</v>
      </c>
      <c r="H919" t="s">
        <v>46</v>
      </c>
      <c r="I919" t="s">
        <v>1957</v>
      </c>
      <c r="J919" t="s">
        <v>1605</v>
      </c>
      <c r="K919" t="s">
        <v>1606</v>
      </c>
      <c r="L919" s="11" t="s">
        <v>1605</v>
      </c>
    </row>
    <row r="920" spans="1:12">
      <c r="A920" t="s">
        <v>4854</v>
      </c>
      <c r="B920" s="8">
        <v>8.7230000000000008</v>
      </c>
      <c r="C920" s="9">
        <v>20</v>
      </c>
      <c r="D920">
        <v>1</v>
      </c>
      <c r="E920">
        <v>1</v>
      </c>
      <c r="F920">
        <v>1</v>
      </c>
      <c r="G920" s="10">
        <v>1</v>
      </c>
      <c r="H920" t="s">
        <v>46</v>
      </c>
      <c r="I920" t="s">
        <v>1957</v>
      </c>
      <c r="J920" t="s">
        <v>1605</v>
      </c>
      <c r="K920" t="s">
        <v>1606</v>
      </c>
      <c r="L920" s="11" t="s">
        <v>1605</v>
      </c>
    </row>
    <row r="921" spans="1:12">
      <c r="A921" t="s">
        <v>4855</v>
      </c>
      <c r="B921" s="8">
        <v>9.016</v>
      </c>
      <c r="C921" s="9">
        <v>726</v>
      </c>
      <c r="D921">
        <v>7</v>
      </c>
      <c r="E921">
        <v>7</v>
      </c>
      <c r="F921">
        <v>7</v>
      </c>
      <c r="G921" s="10">
        <v>1</v>
      </c>
      <c r="H921" t="s">
        <v>46</v>
      </c>
      <c r="I921" t="s">
        <v>1957</v>
      </c>
      <c r="J921" t="s">
        <v>4856</v>
      </c>
      <c r="K921" t="s">
        <v>4857</v>
      </c>
      <c r="L921" s="11" t="s">
        <v>4858</v>
      </c>
    </row>
    <row r="922" spans="1:12">
      <c r="A922" t="s">
        <v>4859</v>
      </c>
      <c r="B922" s="8">
        <v>8.0530000000000008</v>
      </c>
      <c r="C922" s="9">
        <v>230</v>
      </c>
      <c r="D922">
        <v>4</v>
      </c>
      <c r="E922">
        <v>3</v>
      </c>
      <c r="F922">
        <v>3</v>
      </c>
      <c r="G922" s="10">
        <v>0.75</v>
      </c>
      <c r="H922" t="s">
        <v>46</v>
      </c>
      <c r="I922" t="s">
        <v>1957</v>
      </c>
      <c r="J922" t="s">
        <v>4860</v>
      </c>
      <c r="K922" t="s">
        <v>4861</v>
      </c>
      <c r="L922" s="11" t="s">
        <v>4852</v>
      </c>
    </row>
    <row r="923" spans="1:12">
      <c r="A923" t="s">
        <v>4862</v>
      </c>
      <c r="B923" s="8">
        <v>9.8460000000000001</v>
      </c>
      <c r="C923" s="9">
        <v>39</v>
      </c>
      <c r="D923">
        <v>7</v>
      </c>
      <c r="E923">
        <v>7</v>
      </c>
      <c r="F923">
        <v>7</v>
      </c>
      <c r="G923" s="10">
        <v>1</v>
      </c>
      <c r="H923" t="s">
        <v>46</v>
      </c>
      <c r="I923" t="s">
        <v>1957</v>
      </c>
      <c r="J923" t="s">
        <v>4863</v>
      </c>
      <c r="K923" t="s">
        <v>4864</v>
      </c>
      <c r="L923" s="11" t="s">
        <v>4850</v>
      </c>
    </row>
    <row r="924" spans="1:12">
      <c r="A924" t="s">
        <v>4865</v>
      </c>
      <c r="B924" s="8">
        <v>2.161</v>
      </c>
      <c r="C924" s="9">
        <v>9</v>
      </c>
      <c r="D924">
        <v>3</v>
      </c>
      <c r="E924">
        <v>2</v>
      </c>
      <c r="F924">
        <v>1</v>
      </c>
      <c r="G924" s="10">
        <v>0.33333333333333331</v>
      </c>
      <c r="H924" t="s">
        <v>46</v>
      </c>
      <c r="I924" t="s">
        <v>1957</v>
      </c>
      <c r="J924" t="s">
        <v>4866</v>
      </c>
      <c r="K924" t="s">
        <v>4867</v>
      </c>
      <c r="L924" s="11" t="s">
        <v>1613</v>
      </c>
    </row>
    <row r="925" spans="1:12">
      <c r="A925" t="s">
        <v>4868</v>
      </c>
      <c r="B925" s="8">
        <v>2.36</v>
      </c>
      <c r="C925" s="9">
        <v>24</v>
      </c>
      <c r="D925">
        <v>3</v>
      </c>
      <c r="E925">
        <v>3</v>
      </c>
      <c r="F925">
        <v>2</v>
      </c>
      <c r="G925" s="10">
        <v>0.66666666666666663</v>
      </c>
      <c r="H925" t="s">
        <v>46</v>
      </c>
      <c r="I925" t="s">
        <v>1957</v>
      </c>
      <c r="J925" t="s">
        <v>4869</v>
      </c>
      <c r="K925" t="s">
        <v>4870</v>
      </c>
      <c r="L925" s="11" t="s">
        <v>1558</v>
      </c>
    </row>
    <row r="926" spans="1:12">
      <c r="A926" t="s">
        <v>4871</v>
      </c>
      <c r="B926" s="8">
        <v>4.3559999999999999</v>
      </c>
      <c r="C926" s="9">
        <v>49</v>
      </c>
      <c r="D926">
        <v>3</v>
      </c>
      <c r="E926">
        <v>3</v>
      </c>
      <c r="F926">
        <v>3</v>
      </c>
      <c r="G926" s="10">
        <v>1</v>
      </c>
      <c r="H926" t="s">
        <v>46</v>
      </c>
      <c r="I926" t="s">
        <v>1957</v>
      </c>
      <c r="J926" t="s">
        <v>4872</v>
      </c>
      <c r="K926" t="s">
        <v>4873</v>
      </c>
      <c r="L926" s="11" t="s">
        <v>4872</v>
      </c>
    </row>
    <row r="927" spans="1:12">
      <c r="A927" t="s">
        <v>4874</v>
      </c>
      <c r="B927" s="8">
        <v>4.8390000000000004</v>
      </c>
      <c r="C927" s="9">
        <v>80</v>
      </c>
      <c r="D927">
        <v>3</v>
      </c>
      <c r="E927">
        <v>3</v>
      </c>
      <c r="F927">
        <v>3</v>
      </c>
      <c r="G927" s="10">
        <v>1</v>
      </c>
      <c r="H927" t="s">
        <v>46</v>
      </c>
      <c r="I927" t="s">
        <v>1957</v>
      </c>
      <c r="J927" t="s">
        <v>4872</v>
      </c>
      <c r="K927" t="s">
        <v>4873</v>
      </c>
      <c r="L927" s="11" t="s">
        <v>4875</v>
      </c>
    </row>
    <row r="928" spans="1:12">
      <c r="A928" t="s">
        <v>4876</v>
      </c>
      <c r="B928" s="8">
        <v>2.81</v>
      </c>
      <c r="C928" s="9">
        <v>49</v>
      </c>
      <c r="D928">
        <v>3</v>
      </c>
      <c r="E928">
        <v>3</v>
      </c>
      <c r="F928">
        <v>2</v>
      </c>
      <c r="G928" s="10">
        <v>0.66666666666666663</v>
      </c>
      <c r="H928" t="s">
        <v>46</v>
      </c>
      <c r="I928" t="s">
        <v>1957</v>
      </c>
      <c r="J928" t="s">
        <v>4877</v>
      </c>
      <c r="K928" t="s">
        <v>4878</v>
      </c>
      <c r="L928" s="11" t="s">
        <v>4879</v>
      </c>
    </row>
    <row r="929" spans="1:12">
      <c r="A929" t="s">
        <v>4880</v>
      </c>
      <c r="B929" s="8">
        <v>2.0979999999999999</v>
      </c>
      <c r="C929" s="9">
        <v>12</v>
      </c>
      <c r="D929">
        <v>1</v>
      </c>
      <c r="E929">
        <v>1</v>
      </c>
      <c r="F929">
        <v>1</v>
      </c>
      <c r="G929" s="10">
        <v>1</v>
      </c>
      <c r="H929" t="s">
        <v>46</v>
      </c>
      <c r="I929" t="s">
        <v>1957</v>
      </c>
      <c r="J929" t="s">
        <v>1629</v>
      </c>
      <c r="K929" t="s">
        <v>4881</v>
      </c>
      <c r="L929" s="11" t="s">
        <v>1629</v>
      </c>
    </row>
    <row r="930" spans="1:12">
      <c r="A930" t="s">
        <v>4882</v>
      </c>
      <c r="B930" s="8">
        <v>2.1779999999999999</v>
      </c>
      <c r="C930" s="9">
        <v>12</v>
      </c>
      <c r="D930">
        <v>1</v>
      </c>
      <c r="E930">
        <v>1</v>
      </c>
      <c r="F930">
        <v>1</v>
      </c>
      <c r="G930" s="10">
        <v>1</v>
      </c>
      <c r="H930" t="s">
        <v>46</v>
      </c>
      <c r="I930" t="s">
        <v>1957</v>
      </c>
      <c r="J930" t="s">
        <v>1629</v>
      </c>
      <c r="K930" t="s">
        <v>4881</v>
      </c>
      <c r="L930" s="11" t="s">
        <v>1629</v>
      </c>
    </row>
    <row r="931" spans="1:12">
      <c r="A931" t="s">
        <v>4883</v>
      </c>
      <c r="B931" s="8">
        <v>4.5380000000000003</v>
      </c>
      <c r="C931" s="9">
        <v>757</v>
      </c>
      <c r="D931">
        <v>2</v>
      </c>
      <c r="E931">
        <v>2</v>
      </c>
      <c r="F931">
        <v>2</v>
      </c>
      <c r="G931" s="10">
        <v>1</v>
      </c>
      <c r="H931" t="s">
        <v>46</v>
      </c>
      <c r="I931" t="s">
        <v>1957</v>
      </c>
      <c r="J931" t="s">
        <v>4884</v>
      </c>
      <c r="K931" t="s">
        <v>4885</v>
      </c>
      <c r="L931" s="11" t="s">
        <v>1629</v>
      </c>
    </row>
    <row r="932" spans="1:12">
      <c r="A932" t="s">
        <v>4886</v>
      </c>
      <c r="B932" s="8">
        <v>3.6850000000000001</v>
      </c>
      <c r="C932" s="9">
        <v>26</v>
      </c>
      <c r="D932">
        <v>2</v>
      </c>
      <c r="E932">
        <v>2</v>
      </c>
      <c r="F932">
        <v>2</v>
      </c>
      <c r="G932" s="10">
        <v>1</v>
      </c>
      <c r="H932" t="s">
        <v>46</v>
      </c>
      <c r="I932" t="s">
        <v>1957</v>
      </c>
      <c r="J932" t="s">
        <v>4887</v>
      </c>
      <c r="K932" t="s">
        <v>4888</v>
      </c>
      <c r="L932" s="11" t="s">
        <v>4889</v>
      </c>
    </row>
    <row r="933" spans="1:12">
      <c r="A933" t="s">
        <v>4890</v>
      </c>
      <c r="B933" s="8">
        <v>2.0489999999999999</v>
      </c>
      <c r="C933" s="9">
        <v>14</v>
      </c>
      <c r="D933">
        <v>2</v>
      </c>
      <c r="E933">
        <v>2</v>
      </c>
      <c r="F933">
        <v>2</v>
      </c>
      <c r="G933" s="10">
        <v>1</v>
      </c>
      <c r="H933" t="s">
        <v>46</v>
      </c>
      <c r="I933" t="s">
        <v>1957</v>
      </c>
      <c r="J933" t="s">
        <v>4891</v>
      </c>
      <c r="K933" t="s">
        <v>4892</v>
      </c>
      <c r="L933" s="11" t="s">
        <v>4893</v>
      </c>
    </row>
    <row r="934" spans="1:12">
      <c r="A934" t="s">
        <v>4894</v>
      </c>
      <c r="B934" s="8">
        <v>2.1309999999999998</v>
      </c>
      <c r="C934" s="9">
        <v>8.9</v>
      </c>
      <c r="D934">
        <v>2</v>
      </c>
      <c r="E934">
        <v>2</v>
      </c>
      <c r="F934">
        <v>1</v>
      </c>
      <c r="G934" s="10">
        <v>0.5</v>
      </c>
      <c r="H934" t="s">
        <v>46</v>
      </c>
      <c r="I934" t="s">
        <v>1957</v>
      </c>
      <c r="J934" t="s">
        <v>4895</v>
      </c>
      <c r="K934" t="s">
        <v>4896</v>
      </c>
      <c r="L934" s="11" t="s">
        <v>4897</v>
      </c>
    </row>
    <row r="935" spans="1:12">
      <c r="A935" t="s">
        <v>4898</v>
      </c>
      <c r="B935" s="8">
        <v>3.9780000000000002</v>
      </c>
      <c r="C935" s="9">
        <v>37</v>
      </c>
      <c r="D935">
        <v>4</v>
      </c>
      <c r="E935">
        <v>3</v>
      </c>
      <c r="F935">
        <v>1</v>
      </c>
      <c r="G935" s="10">
        <v>0.25</v>
      </c>
      <c r="H935" t="s">
        <v>46</v>
      </c>
      <c r="I935" t="s">
        <v>1957</v>
      </c>
      <c r="J935" t="s">
        <v>4899</v>
      </c>
      <c r="K935" t="s">
        <v>4900</v>
      </c>
      <c r="L935" s="11" t="s">
        <v>4901</v>
      </c>
    </row>
    <row r="936" spans="1:12">
      <c r="A936" t="s">
        <v>4902</v>
      </c>
      <c r="B936" s="8">
        <v>2.8410000000000002</v>
      </c>
      <c r="C936" s="9">
        <v>16</v>
      </c>
      <c r="D936">
        <v>3</v>
      </c>
      <c r="E936">
        <v>2</v>
      </c>
      <c r="F936">
        <v>1</v>
      </c>
      <c r="G936" s="10">
        <v>0.33333333333333331</v>
      </c>
      <c r="H936" t="s">
        <v>46</v>
      </c>
      <c r="I936" t="s">
        <v>1957</v>
      </c>
      <c r="J936" t="s">
        <v>4903</v>
      </c>
      <c r="K936" t="s">
        <v>4904</v>
      </c>
      <c r="L936" s="11" t="s">
        <v>4905</v>
      </c>
    </row>
    <row r="937" spans="1:12">
      <c r="A937" t="s">
        <v>4906</v>
      </c>
      <c r="B937" s="8">
        <v>3.46</v>
      </c>
      <c r="C937" s="9">
        <v>27</v>
      </c>
      <c r="D937">
        <v>3</v>
      </c>
      <c r="E937">
        <v>2</v>
      </c>
      <c r="F937">
        <v>3</v>
      </c>
      <c r="G937" s="10">
        <v>1</v>
      </c>
      <c r="H937" t="s">
        <v>46</v>
      </c>
      <c r="I937" t="s">
        <v>1957</v>
      </c>
      <c r="J937" t="s">
        <v>4907</v>
      </c>
      <c r="K937" t="s">
        <v>4908</v>
      </c>
      <c r="L937" s="11" t="s">
        <v>4780</v>
      </c>
    </row>
    <row r="938" spans="1:12">
      <c r="A938" t="s">
        <v>4909</v>
      </c>
      <c r="B938" s="8">
        <v>2.0939999999999999</v>
      </c>
      <c r="C938" s="9">
        <v>60</v>
      </c>
      <c r="D938">
        <v>1</v>
      </c>
      <c r="E938">
        <v>1</v>
      </c>
      <c r="F938">
        <v>1</v>
      </c>
      <c r="G938" s="10">
        <v>1</v>
      </c>
      <c r="H938" t="s">
        <v>46</v>
      </c>
      <c r="I938" t="s">
        <v>1957</v>
      </c>
      <c r="J938" t="s">
        <v>1761</v>
      </c>
      <c r="K938" t="s">
        <v>4910</v>
      </c>
      <c r="L938" s="11" t="s">
        <v>1761</v>
      </c>
    </row>
    <row r="939" spans="1:12">
      <c r="A939" t="s">
        <v>4911</v>
      </c>
      <c r="B939" s="8">
        <v>2.8919999999999999</v>
      </c>
      <c r="C939" s="9">
        <v>541</v>
      </c>
      <c r="D939">
        <v>1</v>
      </c>
      <c r="E939">
        <v>1</v>
      </c>
      <c r="F939">
        <v>1</v>
      </c>
      <c r="G939" s="10">
        <v>1</v>
      </c>
      <c r="H939" t="s">
        <v>46</v>
      </c>
      <c r="I939" t="s">
        <v>1957</v>
      </c>
      <c r="J939" t="s">
        <v>1761</v>
      </c>
      <c r="K939" t="s">
        <v>4910</v>
      </c>
      <c r="L939" s="11" t="s">
        <v>1761</v>
      </c>
    </row>
    <row r="940" spans="1:12">
      <c r="A940" t="s">
        <v>4912</v>
      </c>
      <c r="B940" s="8">
        <v>2.7050000000000001</v>
      </c>
      <c r="C940" s="9">
        <v>103</v>
      </c>
      <c r="D940">
        <v>3</v>
      </c>
      <c r="E940">
        <v>2</v>
      </c>
      <c r="F940">
        <v>2</v>
      </c>
      <c r="G940" s="10">
        <v>0.66666666666666663</v>
      </c>
      <c r="H940" t="s">
        <v>46</v>
      </c>
      <c r="I940" t="s">
        <v>1957</v>
      </c>
      <c r="J940" t="s">
        <v>4913</v>
      </c>
      <c r="K940" t="s">
        <v>4914</v>
      </c>
      <c r="L940" s="11" t="s">
        <v>1761</v>
      </c>
    </row>
    <row r="941" spans="1:12">
      <c r="A941" t="s">
        <v>4915</v>
      </c>
      <c r="B941" s="8">
        <v>2.605</v>
      </c>
      <c r="C941" s="9">
        <v>913</v>
      </c>
      <c r="D941">
        <v>2</v>
      </c>
      <c r="E941">
        <v>2</v>
      </c>
      <c r="F941">
        <v>2</v>
      </c>
      <c r="G941" s="10">
        <v>1</v>
      </c>
      <c r="H941" t="s">
        <v>46</v>
      </c>
      <c r="I941" t="s">
        <v>1957</v>
      </c>
      <c r="J941" t="s">
        <v>4916</v>
      </c>
      <c r="K941" t="s">
        <v>4917</v>
      </c>
      <c r="L941" s="11" t="s">
        <v>1761</v>
      </c>
    </row>
    <row r="942" spans="1:12">
      <c r="A942" t="s">
        <v>4918</v>
      </c>
      <c r="B942" s="8">
        <v>5.4139999999999997</v>
      </c>
      <c r="C942" s="9">
        <v>14</v>
      </c>
      <c r="D942">
        <v>4</v>
      </c>
      <c r="E942">
        <v>3</v>
      </c>
      <c r="F942">
        <v>2</v>
      </c>
      <c r="G942" s="10">
        <v>0.5</v>
      </c>
      <c r="H942" t="s">
        <v>46</v>
      </c>
      <c r="I942" t="s">
        <v>1957</v>
      </c>
      <c r="J942" t="s">
        <v>4919</v>
      </c>
      <c r="K942" t="s">
        <v>4920</v>
      </c>
      <c r="L942" s="11" t="s">
        <v>4921</v>
      </c>
    </row>
    <row r="943" spans="1:12">
      <c r="A943" t="s">
        <v>4922</v>
      </c>
      <c r="B943" s="8">
        <v>4.0620000000000003</v>
      </c>
      <c r="C943" s="9">
        <v>23</v>
      </c>
      <c r="D943">
        <v>2</v>
      </c>
      <c r="E943">
        <v>2</v>
      </c>
      <c r="F943">
        <v>2</v>
      </c>
      <c r="G943" s="10">
        <v>1</v>
      </c>
      <c r="H943" t="s">
        <v>46</v>
      </c>
      <c r="I943" t="s">
        <v>1957</v>
      </c>
      <c r="J943" t="s">
        <v>4923</v>
      </c>
      <c r="K943" t="s">
        <v>4924</v>
      </c>
      <c r="L943" s="11" t="s">
        <v>1653</v>
      </c>
    </row>
    <row r="944" spans="1:12">
      <c r="A944" t="s">
        <v>4925</v>
      </c>
      <c r="B944" s="8">
        <v>3.4540000000000002</v>
      </c>
      <c r="C944" s="9">
        <v>12</v>
      </c>
      <c r="D944">
        <v>3</v>
      </c>
      <c r="E944">
        <v>3</v>
      </c>
      <c r="F944">
        <v>3</v>
      </c>
      <c r="G944" s="10">
        <v>1</v>
      </c>
      <c r="H944" t="s">
        <v>46</v>
      </c>
      <c r="I944" t="s">
        <v>1957</v>
      </c>
      <c r="J944" t="s">
        <v>4926</v>
      </c>
      <c r="K944" t="s">
        <v>4927</v>
      </c>
      <c r="L944" s="11" t="s">
        <v>4928</v>
      </c>
    </row>
    <row r="945" spans="1:12">
      <c r="A945" t="s">
        <v>4929</v>
      </c>
      <c r="B945" s="8">
        <v>2.3159999999999998</v>
      </c>
      <c r="C945" s="9">
        <v>18</v>
      </c>
      <c r="D945">
        <v>2</v>
      </c>
      <c r="E945">
        <v>2</v>
      </c>
      <c r="F945">
        <v>1</v>
      </c>
      <c r="G945" s="10">
        <v>0.5</v>
      </c>
      <c r="H945" t="s">
        <v>46</v>
      </c>
      <c r="I945" t="s">
        <v>1957</v>
      </c>
      <c r="J945" t="s">
        <v>4930</v>
      </c>
      <c r="K945" t="s">
        <v>4931</v>
      </c>
      <c r="L945" s="11" t="s">
        <v>4743</v>
      </c>
    </row>
    <row r="946" spans="1:12">
      <c r="A946" t="s">
        <v>4932</v>
      </c>
      <c r="B946" s="8">
        <v>3.95</v>
      </c>
      <c r="C946" s="9">
        <v>1302</v>
      </c>
      <c r="D946">
        <v>4</v>
      </c>
      <c r="E946">
        <v>4</v>
      </c>
      <c r="F946">
        <v>4</v>
      </c>
      <c r="G946" s="10">
        <v>1</v>
      </c>
      <c r="H946" t="s">
        <v>46</v>
      </c>
      <c r="I946" t="s">
        <v>1957</v>
      </c>
      <c r="J946" t="s">
        <v>4933</v>
      </c>
      <c r="K946" t="s">
        <v>4934</v>
      </c>
      <c r="L946" s="11" t="s">
        <v>4935</v>
      </c>
    </row>
    <row r="947" spans="1:12">
      <c r="A947" t="s">
        <v>4936</v>
      </c>
      <c r="B947" s="8">
        <v>4.4329999999999998</v>
      </c>
      <c r="C947" s="9">
        <v>14</v>
      </c>
      <c r="D947">
        <v>2</v>
      </c>
      <c r="E947">
        <v>2</v>
      </c>
      <c r="F947">
        <v>1</v>
      </c>
      <c r="G947" s="10">
        <v>0.5</v>
      </c>
      <c r="H947" t="s">
        <v>46</v>
      </c>
      <c r="I947" t="s">
        <v>1957</v>
      </c>
      <c r="J947" t="s">
        <v>4937</v>
      </c>
      <c r="K947" t="s">
        <v>4938</v>
      </c>
      <c r="L947" s="11" t="s">
        <v>4743</v>
      </c>
    </row>
    <row r="948" spans="1:12">
      <c r="A948" t="s">
        <v>4939</v>
      </c>
      <c r="B948" s="8">
        <v>3.4580000000000002</v>
      </c>
      <c r="C948" s="9">
        <v>416</v>
      </c>
      <c r="D948">
        <v>2</v>
      </c>
      <c r="E948">
        <v>2</v>
      </c>
      <c r="F948">
        <v>2</v>
      </c>
      <c r="G948" s="10">
        <v>1</v>
      </c>
      <c r="H948" t="s">
        <v>46</v>
      </c>
      <c r="I948" t="s">
        <v>1957</v>
      </c>
      <c r="J948" t="s">
        <v>4940</v>
      </c>
      <c r="K948" t="s">
        <v>4941</v>
      </c>
      <c r="L948" s="11" t="s">
        <v>4940</v>
      </c>
    </row>
    <row r="949" spans="1:12">
      <c r="A949" t="s">
        <v>4942</v>
      </c>
      <c r="B949" s="8">
        <v>2.1880000000000002</v>
      </c>
      <c r="C949" s="9">
        <v>12</v>
      </c>
      <c r="D949">
        <v>4</v>
      </c>
      <c r="E949">
        <v>4</v>
      </c>
      <c r="F949">
        <v>4</v>
      </c>
      <c r="G949" s="10">
        <v>1</v>
      </c>
      <c r="H949" t="s">
        <v>46</v>
      </c>
      <c r="I949" t="s">
        <v>1957</v>
      </c>
      <c r="J949" t="s">
        <v>4943</v>
      </c>
      <c r="K949" t="s">
        <v>4944</v>
      </c>
      <c r="L949" s="11" t="s">
        <v>4943</v>
      </c>
    </row>
    <row r="950" spans="1:12">
      <c r="A950" t="s">
        <v>4945</v>
      </c>
      <c r="B950" s="8">
        <v>42.183999999999997</v>
      </c>
      <c r="C950" s="9">
        <v>72</v>
      </c>
      <c r="D950">
        <v>32</v>
      </c>
      <c r="E950">
        <v>32</v>
      </c>
      <c r="F950">
        <v>28</v>
      </c>
      <c r="G950" s="10">
        <v>0.875</v>
      </c>
      <c r="H950" t="s">
        <v>46</v>
      </c>
      <c r="I950" t="s">
        <v>1957</v>
      </c>
      <c r="J950" t="s">
        <v>4946</v>
      </c>
      <c r="K950" t="s">
        <v>4947</v>
      </c>
      <c r="L950" s="11" t="s">
        <v>4948</v>
      </c>
    </row>
    <row r="951" spans="1:12">
      <c r="A951" t="s">
        <v>4949</v>
      </c>
      <c r="B951" s="8">
        <v>2.073</v>
      </c>
      <c r="C951" s="9">
        <v>24</v>
      </c>
      <c r="D951">
        <v>2</v>
      </c>
      <c r="E951">
        <v>2</v>
      </c>
      <c r="F951">
        <v>1</v>
      </c>
      <c r="G951" s="10">
        <v>0.5</v>
      </c>
      <c r="H951" t="s">
        <v>46</v>
      </c>
      <c r="I951" t="s">
        <v>1957</v>
      </c>
      <c r="J951" t="s">
        <v>4950</v>
      </c>
      <c r="K951" t="s">
        <v>4951</v>
      </c>
      <c r="L951" s="11" t="s">
        <v>4952</v>
      </c>
    </row>
    <row r="952" spans="1:12">
      <c r="A952" t="s">
        <v>4953</v>
      </c>
      <c r="B952" s="8">
        <v>3.399</v>
      </c>
      <c r="C952" s="9">
        <v>228</v>
      </c>
      <c r="D952">
        <v>3</v>
      </c>
      <c r="E952">
        <v>2</v>
      </c>
      <c r="F952">
        <v>2</v>
      </c>
      <c r="G952" s="10">
        <v>0.66666666666666663</v>
      </c>
      <c r="H952" t="s">
        <v>46</v>
      </c>
      <c r="I952" t="s">
        <v>1957</v>
      </c>
      <c r="J952" t="s">
        <v>4954</v>
      </c>
      <c r="K952" t="s">
        <v>4955</v>
      </c>
      <c r="L952" s="11" t="s">
        <v>4956</v>
      </c>
    </row>
    <row r="953" spans="1:12">
      <c r="A953" t="s">
        <v>4957</v>
      </c>
      <c r="B953" s="8">
        <v>10.603999999999999</v>
      </c>
      <c r="C953" s="9">
        <v>22</v>
      </c>
      <c r="D953">
        <v>15</v>
      </c>
      <c r="E953">
        <v>15</v>
      </c>
      <c r="F953">
        <v>14</v>
      </c>
      <c r="G953" s="10">
        <v>0.93333333333333335</v>
      </c>
      <c r="H953" t="s">
        <v>46</v>
      </c>
      <c r="I953" t="s">
        <v>1957</v>
      </c>
      <c r="J953" t="s">
        <v>4958</v>
      </c>
      <c r="K953" t="s">
        <v>4959</v>
      </c>
      <c r="L953" s="11" t="s">
        <v>4960</v>
      </c>
    </row>
    <row r="954" spans="1:12">
      <c r="A954" t="s">
        <v>4961</v>
      </c>
      <c r="B954" s="8">
        <v>22.126999999999999</v>
      </c>
      <c r="C954" s="9">
        <v>23</v>
      </c>
      <c r="D954">
        <v>18</v>
      </c>
      <c r="E954">
        <v>18</v>
      </c>
      <c r="F954">
        <v>15</v>
      </c>
      <c r="G954" s="10">
        <v>0.83333333333333337</v>
      </c>
      <c r="H954" t="s">
        <v>46</v>
      </c>
      <c r="I954" t="s">
        <v>1957</v>
      </c>
      <c r="J954" t="s">
        <v>4962</v>
      </c>
      <c r="K954" t="s">
        <v>4963</v>
      </c>
      <c r="L954" s="11" t="s">
        <v>4964</v>
      </c>
    </row>
    <row r="955" spans="1:12">
      <c r="A955" t="s">
        <v>4965</v>
      </c>
      <c r="B955" s="8">
        <v>4.2359999999999998</v>
      </c>
      <c r="C955" s="9">
        <v>14</v>
      </c>
      <c r="D955">
        <v>4</v>
      </c>
      <c r="E955">
        <v>4</v>
      </c>
      <c r="F955">
        <v>4</v>
      </c>
      <c r="G955" s="10">
        <v>1</v>
      </c>
      <c r="H955" t="s">
        <v>46</v>
      </c>
      <c r="I955" t="s">
        <v>1957</v>
      </c>
      <c r="J955" t="s">
        <v>4966</v>
      </c>
      <c r="K955" t="s">
        <v>4967</v>
      </c>
      <c r="L955" s="11" t="s">
        <v>4935</v>
      </c>
    </row>
    <row r="956" spans="1:12">
      <c r="A956" t="s">
        <v>4968</v>
      </c>
      <c r="B956" s="8">
        <v>2.206</v>
      </c>
      <c r="C956" s="9">
        <v>1997</v>
      </c>
      <c r="D956">
        <v>2</v>
      </c>
      <c r="E956">
        <v>2</v>
      </c>
      <c r="F956">
        <v>1</v>
      </c>
      <c r="G956" s="10">
        <v>0.5</v>
      </c>
      <c r="H956" t="s">
        <v>46</v>
      </c>
      <c r="I956" t="s">
        <v>1957</v>
      </c>
      <c r="J956" t="s">
        <v>4969</v>
      </c>
      <c r="K956" t="s">
        <v>4970</v>
      </c>
      <c r="L956" s="11" t="s">
        <v>4956</v>
      </c>
    </row>
    <row r="957" spans="1:12">
      <c r="A957" t="s">
        <v>4971</v>
      </c>
      <c r="B957" s="8">
        <v>3.8290000000000002</v>
      </c>
      <c r="C957" s="9">
        <v>9.8000000000000007</v>
      </c>
      <c r="D957">
        <v>2</v>
      </c>
      <c r="E957">
        <v>2</v>
      </c>
      <c r="F957">
        <v>2</v>
      </c>
      <c r="G957" s="10">
        <v>1</v>
      </c>
      <c r="H957" t="s">
        <v>46</v>
      </c>
      <c r="I957" t="s">
        <v>1957</v>
      </c>
      <c r="J957" t="s">
        <v>4972</v>
      </c>
      <c r="K957" t="s">
        <v>4973</v>
      </c>
      <c r="L957" s="11" t="s">
        <v>4817</v>
      </c>
    </row>
    <row r="958" spans="1:12">
      <c r="A958" t="s">
        <v>4974</v>
      </c>
      <c r="B958" s="8">
        <v>2.4790000000000001</v>
      </c>
      <c r="C958" s="9">
        <v>15</v>
      </c>
      <c r="D958">
        <v>2</v>
      </c>
      <c r="E958">
        <v>2</v>
      </c>
      <c r="F958">
        <v>2</v>
      </c>
      <c r="G958" s="10">
        <v>1</v>
      </c>
      <c r="H958" t="s">
        <v>46</v>
      </c>
      <c r="I958" t="s">
        <v>1957</v>
      </c>
      <c r="J958" t="s">
        <v>4975</v>
      </c>
      <c r="K958" t="s">
        <v>4976</v>
      </c>
      <c r="L958" s="11" t="s">
        <v>1695</v>
      </c>
    </row>
    <row r="959" spans="1:12">
      <c r="A959" t="s">
        <v>4977</v>
      </c>
      <c r="B959" s="8">
        <v>3.048</v>
      </c>
      <c r="C959" s="9">
        <v>855</v>
      </c>
      <c r="D959">
        <v>2</v>
      </c>
      <c r="E959">
        <v>2</v>
      </c>
      <c r="F959">
        <v>2</v>
      </c>
      <c r="G959" s="10">
        <v>1</v>
      </c>
      <c r="H959" t="s">
        <v>46</v>
      </c>
      <c r="I959" t="s">
        <v>1957</v>
      </c>
      <c r="J959" t="s">
        <v>4978</v>
      </c>
      <c r="K959" t="s">
        <v>4979</v>
      </c>
      <c r="L959" s="11" t="s">
        <v>1695</v>
      </c>
    </row>
    <row r="960" spans="1:12">
      <c r="A960" t="s">
        <v>4980</v>
      </c>
      <c r="B960" s="8">
        <v>2</v>
      </c>
      <c r="C960" s="9">
        <v>1197</v>
      </c>
      <c r="D960">
        <v>3</v>
      </c>
      <c r="E960">
        <v>2</v>
      </c>
      <c r="F960">
        <v>3</v>
      </c>
      <c r="G960" s="10">
        <v>1</v>
      </c>
      <c r="H960" t="s">
        <v>46</v>
      </c>
      <c r="I960" t="s">
        <v>1957</v>
      </c>
      <c r="J960" t="s">
        <v>4981</v>
      </c>
      <c r="K960" t="s">
        <v>4982</v>
      </c>
      <c r="L960" s="11" t="s">
        <v>4983</v>
      </c>
    </row>
    <row r="961" spans="1:12">
      <c r="A961" t="s">
        <v>4984</v>
      </c>
      <c r="B961" s="8">
        <v>2.7330000000000001</v>
      </c>
      <c r="C961" s="9">
        <v>28</v>
      </c>
      <c r="D961">
        <v>4</v>
      </c>
      <c r="E961">
        <v>4</v>
      </c>
      <c r="F961">
        <v>2</v>
      </c>
      <c r="G961" s="10">
        <v>0.5</v>
      </c>
      <c r="H961" t="s">
        <v>46</v>
      </c>
      <c r="I961" t="s">
        <v>1957</v>
      </c>
      <c r="J961" t="s">
        <v>4985</v>
      </c>
      <c r="K961" t="s">
        <v>4986</v>
      </c>
      <c r="L961" s="11" t="s">
        <v>4987</v>
      </c>
    </row>
    <row r="962" spans="1:12">
      <c r="A962" t="s">
        <v>4988</v>
      </c>
      <c r="B962" s="8">
        <v>2.0139999999999998</v>
      </c>
      <c r="C962" s="9">
        <v>20</v>
      </c>
      <c r="D962">
        <v>3</v>
      </c>
      <c r="E962">
        <v>2</v>
      </c>
      <c r="F962">
        <v>3</v>
      </c>
      <c r="G962" s="10">
        <v>1</v>
      </c>
      <c r="H962" t="s">
        <v>46</v>
      </c>
      <c r="I962" t="s">
        <v>1957</v>
      </c>
      <c r="J962" t="s">
        <v>4989</v>
      </c>
      <c r="K962" t="s">
        <v>4990</v>
      </c>
      <c r="L962" s="11" t="s">
        <v>4989</v>
      </c>
    </row>
    <row r="963" spans="1:12">
      <c r="A963" t="s">
        <v>4991</v>
      </c>
      <c r="B963" s="8">
        <v>3.4329999999999998</v>
      </c>
      <c r="C963" s="9">
        <v>12</v>
      </c>
      <c r="D963">
        <v>1</v>
      </c>
      <c r="E963">
        <v>1</v>
      </c>
      <c r="F963">
        <v>1</v>
      </c>
      <c r="G963" s="10">
        <v>1</v>
      </c>
      <c r="H963" t="s">
        <v>46</v>
      </c>
      <c r="I963" t="s">
        <v>1957</v>
      </c>
      <c r="J963" t="s">
        <v>4992</v>
      </c>
      <c r="K963" t="s">
        <v>4990</v>
      </c>
      <c r="L963" s="11" t="s">
        <v>4992</v>
      </c>
    </row>
    <row r="964" spans="1:12">
      <c r="A964" t="s">
        <v>4993</v>
      </c>
      <c r="B964" s="8">
        <v>42.404000000000003</v>
      </c>
      <c r="C964" s="9">
        <v>84</v>
      </c>
      <c r="D964">
        <v>41</v>
      </c>
      <c r="E964">
        <v>40</v>
      </c>
      <c r="F964">
        <v>39</v>
      </c>
      <c r="G964" s="10">
        <v>0.95121951219512191</v>
      </c>
      <c r="H964" t="s">
        <v>46</v>
      </c>
      <c r="I964" t="s">
        <v>1957</v>
      </c>
      <c r="J964" t="s">
        <v>4994</v>
      </c>
      <c r="K964" t="s">
        <v>4995</v>
      </c>
      <c r="L964" s="11" t="s">
        <v>4996</v>
      </c>
    </row>
    <row r="965" spans="1:12">
      <c r="A965" t="s">
        <v>4997</v>
      </c>
      <c r="B965" s="8">
        <v>44.091000000000001</v>
      </c>
      <c r="C965" s="9">
        <v>1296</v>
      </c>
      <c r="D965">
        <v>36</v>
      </c>
      <c r="E965">
        <v>35</v>
      </c>
      <c r="F965">
        <v>35</v>
      </c>
      <c r="G965" s="10">
        <v>0.97222222222222221</v>
      </c>
      <c r="H965" t="s">
        <v>46</v>
      </c>
      <c r="I965" t="s">
        <v>1957</v>
      </c>
      <c r="J965" t="s">
        <v>4998</v>
      </c>
      <c r="K965" t="s">
        <v>4999</v>
      </c>
      <c r="L965" s="11" t="s">
        <v>5000</v>
      </c>
    </row>
    <row r="966" spans="1:12">
      <c r="A966" t="s">
        <v>5001</v>
      </c>
      <c r="B966" s="8">
        <v>2.254</v>
      </c>
      <c r="C966" s="9">
        <v>14</v>
      </c>
      <c r="D966">
        <v>2</v>
      </c>
      <c r="E966">
        <v>2</v>
      </c>
      <c r="F966">
        <v>1</v>
      </c>
      <c r="G966" s="10">
        <v>0.5</v>
      </c>
      <c r="H966" t="s">
        <v>46</v>
      </c>
      <c r="I966" t="s">
        <v>1957</v>
      </c>
      <c r="J966" t="s">
        <v>5002</v>
      </c>
      <c r="K966" t="s">
        <v>5003</v>
      </c>
      <c r="L966" s="11" t="s">
        <v>4992</v>
      </c>
    </row>
    <row r="967" spans="1:12">
      <c r="A967" t="s">
        <v>5004</v>
      </c>
      <c r="B967" s="8">
        <v>3.6829999999999998</v>
      </c>
      <c r="C967" s="9">
        <v>885</v>
      </c>
      <c r="D967">
        <v>4</v>
      </c>
      <c r="E967">
        <v>3</v>
      </c>
      <c r="F967">
        <v>2</v>
      </c>
      <c r="G967" s="10">
        <v>0.5</v>
      </c>
      <c r="H967" t="s">
        <v>46</v>
      </c>
      <c r="I967" t="s">
        <v>1957</v>
      </c>
      <c r="J967" t="s">
        <v>5005</v>
      </c>
      <c r="K967" t="s">
        <v>5006</v>
      </c>
      <c r="L967" s="11" t="s">
        <v>5007</v>
      </c>
    </row>
    <row r="968" spans="1:12">
      <c r="A968" t="s">
        <v>5008</v>
      </c>
      <c r="B968" s="8">
        <v>3.9460000000000002</v>
      </c>
      <c r="C968" s="9">
        <v>3390</v>
      </c>
      <c r="D968">
        <v>3</v>
      </c>
      <c r="E968">
        <v>2</v>
      </c>
      <c r="F968">
        <v>3</v>
      </c>
      <c r="G968" s="10">
        <v>1</v>
      </c>
      <c r="H968" t="s">
        <v>46</v>
      </c>
      <c r="I968" t="s">
        <v>1957</v>
      </c>
      <c r="J968" t="s">
        <v>5009</v>
      </c>
      <c r="K968" t="s">
        <v>5010</v>
      </c>
      <c r="L968" s="11" t="s">
        <v>5011</v>
      </c>
    </row>
    <row r="969" spans="1:12">
      <c r="A969" t="s">
        <v>5012</v>
      </c>
      <c r="B969" s="8">
        <v>2.0099999999999998</v>
      </c>
      <c r="C969" s="9">
        <v>677</v>
      </c>
      <c r="D969">
        <v>2</v>
      </c>
      <c r="E969">
        <v>2</v>
      </c>
      <c r="F969">
        <v>2</v>
      </c>
      <c r="G969" s="10">
        <v>1</v>
      </c>
      <c r="H969" t="s">
        <v>46</v>
      </c>
      <c r="I969" t="s">
        <v>1957</v>
      </c>
      <c r="J969" t="s">
        <v>5009</v>
      </c>
      <c r="K969" t="s">
        <v>5010</v>
      </c>
      <c r="L969" s="11" t="s">
        <v>4235</v>
      </c>
    </row>
    <row r="970" spans="1:12">
      <c r="A970" t="s">
        <v>5013</v>
      </c>
      <c r="B970" s="8">
        <v>6.5019999999999998</v>
      </c>
      <c r="C970" s="9">
        <v>141</v>
      </c>
      <c r="D970">
        <v>7</v>
      </c>
      <c r="E970">
        <v>7</v>
      </c>
      <c r="F970">
        <v>7</v>
      </c>
      <c r="G970" s="10">
        <v>1</v>
      </c>
      <c r="H970" t="s">
        <v>46</v>
      </c>
      <c r="I970" t="s">
        <v>1957</v>
      </c>
      <c r="J970" t="s">
        <v>5014</v>
      </c>
      <c r="K970" t="s">
        <v>1672</v>
      </c>
      <c r="L970" s="11" t="s">
        <v>5014</v>
      </c>
    </row>
    <row r="971" spans="1:12">
      <c r="A971" t="s">
        <v>5015</v>
      </c>
      <c r="B971" s="8">
        <v>5.2690000000000001</v>
      </c>
      <c r="C971" s="9">
        <v>158</v>
      </c>
      <c r="D971">
        <v>6</v>
      </c>
      <c r="E971">
        <v>6</v>
      </c>
      <c r="F971">
        <v>6</v>
      </c>
      <c r="G971" s="10">
        <v>1</v>
      </c>
      <c r="H971" t="s">
        <v>46</v>
      </c>
      <c r="I971" t="s">
        <v>1957</v>
      </c>
      <c r="J971" t="s">
        <v>5016</v>
      </c>
      <c r="K971" t="s">
        <v>1672</v>
      </c>
      <c r="L971" s="11" t="s">
        <v>5016</v>
      </c>
    </row>
    <row r="972" spans="1:12">
      <c r="A972" t="s">
        <v>5017</v>
      </c>
      <c r="B972" s="8">
        <v>5.4080000000000004</v>
      </c>
      <c r="C972" s="9">
        <v>33</v>
      </c>
      <c r="D972">
        <v>6</v>
      </c>
      <c r="E972">
        <v>6</v>
      </c>
      <c r="F972">
        <v>6</v>
      </c>
      <c r="G972" s="10">
        <v>1</v>
      </c>
      <c r="H972" t="s">
        <v>46</v>
      </c>
      <c r="I972" t="s">
        <v>1957</v>
      </c>
      <c r="J972" t="s">
        <v>5018</v>
      </c>
      <c r="K972" t="s">
        <v>1672</v>
      </c>
      <c r="L972" s="11" t="s">
        <v>5018</v>
      </c>
    </row>
    <row r="973" spans="1:12">
      <c r="A973" t="s">
        <v>5019</v>
      </c>
      <c r="B973" s="8">
        <v>3.8159999999999998</v>
      </c>
      <c r="C973" s="9">
        <v>231</v>
      </c>
      <c r="D973">
        <v>5</v>
      </c>
      <c r="E973">
        <v>5</v>
      </c>
      <c r="F973">
        <v>5</v>
      </c>
      <c r="G973" s="10">
        <v>1</v>
      </c>
      <c r="H973" t="s">
        <v>46</v>
      </c>
      <c r="I973" t="s">
        <v>1957</v>
      </c>
      <c r="J973" t="s">
        <v>1725</v>
      </c>
      <c r="K973" t="s">
        <v>1672</v>
      </c>
      <c r="L973" s="11" t="s">
        <v>1725</v>
      </c>
    </row>
    <row r="974" spans="1:12">
      <c r="A974" t="s">
        <v>5020</v>
      </c>
      <c r="B974" s="8">
        <v>4.1319999999999997</v>
      </c>
      <c r="C974" s="9">
        <v>106</v>
      </c>
      <c r="D974">
        <v>5</v>
      </c>
      <c r="E974">
        <v>5</v>
      </c>
      <c r="F974">
        <v>5</v>
      </c>
      <c r="G974" s="10">
        <v>1</v>
      </c>
      <c r="H974" t="s">
        <v>46</v>
      </c>
      <c r="I974" t="s">
        <v>1957</v>
      </c>
      <c r="J974" t="s">
        <v>1674</v>
      </c>
      <c r="K974" t="s">
        <v>1672</v>
      </c>
      <c r="L974" s="11" t="s">
        <v>1674</v>
      </c>
    </row>
    <row r="975" spans="1:12">
      <c r="A975" t="s">
        <v>5021</v>
      </c>
      <c r="B975" s="8">
        <v>4.5949999999999998</v>
      </c>
      <c r="C975" s="9">
        <v>108</v>
      </c>
      <c r="D975">
        <v>5</v>
      </c>
      <c r="E975">
        <v>5</v>
      </c>
      <c r="F975">
        <v>5</v>
      </c>
      <c r="G975" s="10">
        <v>1</v>
      </c>
      <c r="H975" t="s">
        <v>46</v>
      </c>
      <c r="I975" t="s">
        <v>1957</v>
      </c>
      <c r="J975" t="s">
        <v>1725</v>
      </c>
      <c r="K975" t="s">
        <v>1672</v>
      </c>
      <c r="L975" s="11" t="s">
        <v>1725</v>
      </c>
    </row>
    <row r="976" spans="1:12">
      <c r="A976" t="s">
        <v>5022</v>
      </c>
      <c r="B976" s="8">
        <v>2.589</v>
      </c>
      <c r="C976" s="9">
        <v>89</v>
      </c>
      <c r="D976">
        <v>4</v>
      </c>
      <c r="E976">
        <v>4</v>
      </c>
      <c r="F976">
        <v>4</v>
      </c>
      <c r="G976" s="10">
        <v>1</v>
      </c>
      <c r="H976" t="s">
        <v>46</v>
      </c>
      <c r="I976" t="s">
        <v>1957</v>
      </c>
      <c r="J976" t="s">
        <v>1676</v>
      </c>
      <c r="K976" t="s">
        <v>1672</v>
      </c>
      <c r="L976" s="11" t="s">
        <v>1676</v>
      </c>
    </row>
    <row r="977" spans="1:12">
      <c r="A977" t="s">
        <v>5023</v>
      </c>
      <c r="B977" s="8">
        <v>3.33</v>
      </c>
      <c r="C977" s="9">
        <v>229</v>
      </c>
      <c r="D977">
        <v>4</v>
      </c>
      <c r="E977">
        <v>4</v>
      </c>
      <c r="F977">
        <v>4</v>
      </c>
      <c r="G977" s="10">
        <v>1</v>
      </c>
      <c r="H977" t="s">
        <v>46</v>
      </c>
      <c r="I977" t="s">
        <v>1957</v>
      </c>
      <c r="J977" t="s">
        <v>1676</v>
      </c>
      <c r="K977" t="s">
        <v>1672</v>
      </c>
      <c r="L977" s="11" t="s">
        <v>1676</v>
      </c>
    </row>
    <row r="978" spans="1:12">
      <c r="A978" t="s">
        <v>5024</v>
      </c>
      <c r="B978" s="8">
        <v>3.8039999999999998</v>
      </c>
      <c r="C978" s="9">
        <v>223</v>
      </c>
      <c r="D978">
        <v>4</v>
      </c>
      <c r="E978">
        <v>4</v>
      </c>
      <c r="F978">
        <v>4</v>
      </c>
      <c r="G978" s="10">
        <v>1</v>
      </c>
      <c r="H978" t="s">
        <v>46</v>
      </c>
      <c r="I978" t="s">
        <v>1957</v>
      </c>
      <c r="J978" t="s">
        <v>1676</v>
      </c>
      <c r="K978" t="s">
        <v>1672</v>
      </c>
      <c r="L978" s="11" t="s">
        <v>1676</v>
      </c>
    </row>
    <row r="979" spans="1:12">
      <c r="A979" t="s">
        <v>5025</v>
      </c>
      <c r="B979" s="8">
        <v>4.6859999999999999</v>
      </c>
      <c r="C979" s="9">
        <v>1106</v>
      </c>
      <c r="D979">
        <v>4</v>
      </c>
      <c r="E979">
        <v>4</v>
      </c>
      <c r="F979">
        <v>4</v>
      </c>
      <c r="G979" s="10">
        <v>1</v>
      </c>
      <c r="H979" t="s">
        <v>46</v>
      </c>
      <c r="I979" t="s">
        <v>1957</v>
      </c>
      <c r="J979" t="s">
        <v>1676</v>
      </c>
      <c r="K979" t="s">
        <v>1672</v>
      </c>
      <c r="L979" s="11" t="s">
        <v>1676</v>
      </c>
    </row>
    <row r="980" spans="1:12">
      <c r="A980" t="s">
        <v>5026</v>
      </c>
      <c r="B980" s="8">
        <v>4.7249999999999996</v>
      </c>
      <c r="C980" s="9">
        <v>110</v>
      </c>
      <c r="D980">
        <v>4</v>
      </c>
      <c r="E980">
        <v>4</v>
      </c>
      <c r="F980">
        <v>4</v>
      </c>
      <c r="G980" s="10">
        <v>1</v>
      </c>
      <c r="H980" t="s">
        <v>46</v>
      </c>
      <c r="I980" t="s">
        <v>1957</v>
      </c>
      <c r="J980" t="s">
        <v>1676</v>
      </c>
      <c r="K980" t="s">
        <v>1672</v>
      </c>
      <c r="L980" s="11" t="s">
        <v>1676</v>
      </c>
    </row>
    <row r="981" spans="1:12">
      <c r="A981" t="s">
        <v>5027</v>
      </c>
      <c r="B981" s="8">
        <v>4.8220000000000001</v>
      </c>
      <c r="C981" s="9">
        <v>298</v>
      </c>
      <c r="D981">
        <v>4</v>
      </c>
      <c r="E981">
        <v>4</v>
      </c>
      <c r="F981">
        <v>4</v>
      </c>
      <c r="G981" s="10">
        <v>1</v>
      </c>
      <c r="H981" t="s">
        <v>46</v>
      </c>
      <c r="I981" t="s">
        <v>1957</v>
      </c>
      <c r="J981" t="s">
        <v>1676</v>
      </c>
      <c r="K981" t="s">
        <v>1672</v>
      </c>
      <c r="L981" s="11" t="s">
        <v>1676</v>
      </c>
    </row>
    <row r="982" spans="1:12">
      <c r="A982" t="s">
        <v>5028</v>
      </c>
      <c r="B982" s="8">
        <v>5.45</v>
      </c>
      <c r="C982" s="9">
        <v>206</v>
      </c>
      <c r="D982">
        <v>4</v>
      </c>
      <c r="E982">
        <v>4</v>
      </c>
      <c r="F982">
        <v>4</v>
      </c>
      <c r="G982" s="10">
        <v>1</v>
      </c>
      <c r="H982" t="s">
        <v>46</v>
      </c>
      <c r="I982" t="s">
        <v>1957</v>
      </c>
      <c r="J982" t="s">
        <v>1676</v>
      </c>
      <c r="K982" t="s">
        <v>1672</v>
      </c>
      <c r="L982" s="11" t="s">
        <v>1676</v>
      </c>
    </row>
    <row r="983" spans="1:12">
      <c r="A983" t="s">
        <v>5029</v>
      </c>
      <c r="B983" s="8">
        <v>5.7949999999999999</v>
      </c>
      <c r="C983" s="9">
        <v>300</v>
      </c>
      <c r="D983">
        <v>4</v>
      </c>
      <c r="E983">
        <v>4</v>
      </c>
      <c r="F983">
        <v>4</v>
      </c>
      <c r="G983" s="10">
        <v>1</v>
      </c>
      <c r="H983" t="s">
        <v>46</v>
      </c>
      <c r="I983" t="s">
        <v>1957</v>
      </c>
      <c r="J983" t="s">
        <v>1676</v>
      </c>
      <c r="K983" t="s">
        <v>1672</v>
      </c>
      <c r="L983" s="11" t="s">
        <v>1676</v>
      </c>
    </row>
    <row r="984" spans="1:12">
      <c r="A984" t="s">
        <v>5030</v>
      </c>
      <c r="B984" s="8">
        <v>6.2469999999999999</v>
      </c>
      <c r="C984" s="9">
        <v>1163</v>
      </c>
      <c r="D984">
        <v>4</v>
      </c>
      <c r="E984">
        <v>4</v>
      </c>
      <c r="F984">
        <v>4</v>
      </c>
      <c r="G984" s="10">
        <v>1</v>
      </c>
      <c r="H984" t="s">
        <v>46</v>
      </c>
      <c r="I984" t="s">
        <v>1957</v>
      </c>
      <c r="J984" t="s">
        <v>1676</v>
      </c>
      <c r="K984" t="s">
        <v>1672</v>
      </c>
      <c r="L984" s="11" t="s">
        <v>1676</v>
      </c>
    </row>
    <row r="985" spans="1:12">
      <c r="A985" t="s">
        <v>5031</v>
      </c>
      <c r="B985" s="8">
        <v>2.0470000000000002</v>
      </c>
      <c r="C985" s="9">
        <v>79</v>
      </c>
      <c r="D985">
        <v>3</v>
      </c>
      <c r="E985">
        <v>3</v>
      </c>
      <c r="F985">
        <v>3</v>
      </c>
      <c r="G985" s="10">
        <v>1</v>
      </c>
      <c r="H985" t="s">
        <v>46</v>
      </c>
      <c r="I985" t="s">
        <v>1957</v>
      </c>
      <c r="J985" t="s">
        <v>1679</v>
      </c>
      <c r="K985" t="s">
        <v>1672</v>
      </c>
      <c r="L985" s="11" t="s">
        <v>1679</v>
      </c>
    </row>
    <row r="986" spans="1:12">
      <c r="A986" t="s">
        <v>5032</v>
      </c>
      <c r="B986" s="8">
        <v>2.2029999999999998</v>
      </c>
      <c r="C986" s="9">
        <v>105</v>
      </c>
      <c r="D986">
        <v>3</v>
      </c>
      <c r="E986">
        <v>3</v>
      </c>
      <c r="F986">
        <v>3</v>
      </c>
      <c r="G986" s="10">
        <v>1</v>
      </c>
      <c r="H986" t="s">
        <v>46</v>
      </c>
      <c r="I986" t="s">
        <v>1957</v>
      </c>
      <c r="J986" t="s">
        <v>1679</v>
      </c>
      <c r="K986" t="s">
        <v>1672</v>
      </c>
      <c r="L986" s="11" t="s">
        <v>1679</v>
      </c>
    </row>
    <row r="987" spans="1:12">
      <c r="A987" t="s">
        <v>5033</v>
      </c>
      <c r="B987" s="8">
        <v>2.6150000000000002</v>
      </c>
      <c r="C987" s="9">
        <v>1035</v>
      </c>
      <c r="D987">
        <v>3</v>
      </c>
      <c r="E987">
        <v>3</v>
      </c>
      <c r="F987">
        <v>3</v>
      </c>
      <c r="G987" s="10">
        <v>1</v>
      </c>
      <c r="H987" t="s">
        <v>46</v>
      </c>
      <c r="I987" t="s">
        <v>1957</v>
      </c>
      <c r="J987" t="s">
        <v>1679</v>
      </c>
      <c r="K987" t="s">
        <v>1672</v>
      </c>
      <c r="L987" s="11" t="s">
        <v>1679</v>
      </c>
    </row>
    <row r="988" spans="1:12">
      <c r="A988" t="s">
        <v>5034</v>
      </c>
      <c r="B988" s="8">
        <v>2.948</v>
      </c>
      <c r="C988" s="9">
        <v>371</v>
      </c>
      <c r="D988">
        <v>3</v>
      </c>
      <c r="E988">
        <v>3</v>
      </c>
      <c r="F988">
        <v>3</v>
      </c>
      <c r="G988" s="10">
        <v>1</v>
      </c>
      <c r="H988" t="s">
        <v>46</v>
      </c>
      <c r="I988" t="s">
        <v>1957</v>
      </c>
      <c r="J988" t="s">
        <v>1679</v>
      </c>
      <c r="K988" t="s">
        <v>1672</v>
      </c>
      <c r="L988" s="11" t="s">
        <v>1679</v>
      </c>
    </row>
    <row r="989" spans="1:12">
      <c r="A989" t="s">
        <v>5035</v>
      </c>
      <c r="B989" s="8">
        <v>3.2370000000000001</v>
      </c>
      <c r="C989" s="9">
        <v>613</v>
      </c>
      <c r="D989">
        <v>3</v>
      </c>
      <c r="E989">
        <v>3</v>
      </c>
      <c r="F989">
        <v>3</v>
      </c>
      <c r="G989" s="10">
        <v>1</v>
      </c>
      <c r="H989" t="s">
        <v>46</v>
      </c>
      <c r="I989" t="s">
        <v>1957</v>
      </c>
      <c r="J989" t="s">
        <v>5036</v>
      </c>
      <c r="K989" t="s">
        <v>1672</v>
      </c>
      <c r="L989" s="11" t="s">
        <v>5036</v>
      </c>
    </row>
    <row r="990" spans="1:12">
      <c r="A990" t="s">
        <v>5037</v>
      </c>
      <c r="B990" s="8">
        <v>6.35</v>
      </c>
      <c r="C990" s="9">
        <v>323</v>
      </c>
      <c r="D990">
        <v>3</v>
      </c>
      <c r="E990">
        <v>3</v>
      </c>
      <c r="F990">
        <v>3</v>
      </c>
      <c r="G990" s="10">
        <v>1</v>
      </c>
      <c r="H990" t="s">
        <v>46</v>
      </c>
      <c r="I990" t="s">
        <v>1957</v>
      </c>
      <c r="J990" t="s">
        <v>1679</v>
      </c>
      <c r="K990" t="s">
        <v>1672</v>
      </c>
      <c r="L990" s="11" t="s">
        <v>1679</v>
      </c>
    </row>
    <row r="991" spans="1:12">
      <c r="A991" t="s">
        <v>5038</v>
      </c>
      <c r="B991" s="8">
        <v>2.1019999999999999</v>
      </c>
      <c r="C991" s="9">
        <v>872</v>
      </c>
      <c r="D991">
        <v>2</v>
      </c>
      <c r="E991">
        <v>2</v>
      </c>
      <c r="F991">
        <v>2</v>
      </c>
      <c r="G991" s="10">
        <v>1</v>
      </c>
      <c r="H991" t="s">
        <v>46</v>
      </c>
      <c r="I991" t="s">
        <v>1957</v>
      </c>
      <c r="J991" t="s">
        <v>1681</v>
      </c>
      <c r="K991" t="s">
        <v>1672</v>
      </c>
      <c r="L991" s="11" t="s">
        <v>1681</v>
      </c>
    </row>
    <row r="992" spans="1:12">
      <c r="A992" t="s">
        <v>5039</v>
      </c>
      <c r="B992" s="8">
        <v>2.169</v>
      </c>
      <c r="C992" s="9">
        <v>96</v>
      </c>
      <c r="D992">
        <v>2</v>
      </c>
      <c r="E992">
        <v>2</v>
      </c>
      <c r="F992">
        <v>2</v>
      </c>
      <c r="G992" s="10">
        <v>1</v>
      </c>
      <c r="H992" t="s">
        <v>46</v>
      </c>
      <c r="I992" t="s">
        <v>1957</v>
      </c>
      <c r="J992" t="s">
        <v>1681</v>
      </c>
      <c r="K992" t="s">
        <v>1672</v>
      </c>
      <c r="L992" s="11" t="s">
        <v>1681</v>
      </c>
    </row>
    <row r="993" spans="1:12">
      <c r="A993" t="s">
        <v>5040</v>
      </c>
      <c r="B993" s="8">
        <v>2.2829999999999999</v>
      </c>
      <c r="C993" s="9">
        <v>963</v>
      </c>
      <c r="D993">
        <v>2</v>
      </c>
      <c r="E993">
        <v>2</v>
      </c>
      <c r="F993">
        <v>2</v>
      </c>
      <c r="G993" s="10">
        <v>1</v>
      </c>
      <c r="H993" t="s">
        <v>46</v>
      </c>
      <c r="I993" t="s">
        <v>1957</v>
      </c>
      <c r="J993" t="s">
        <v>1681</v>
      </c>
      <c r="K993" t="s">
        <v>1672</v>
      </c>
      <c r="L993" s="11" t="s">
        <v>1681</v>
      </c>
    </row>
    <row r="994" spans="1:12">
      <c r="A994" t="s">
        <v>5041</v>
      </c>
      <c r="B994" s="8">
        <v>2.3250000000000002</v>
      </c>
      <c r="C994" s="9">
        <v>1078</v>
      </c>
      <c r="D994">
        <v>2</v>
      </c>
      <c r="E994">
        <v>2</v>
      </c>
      <c r="F994">
        <v>2</v>
      </c>
      <c r="G994" s="10">
        <v>1</v>
      </c>
      <c r="H994" t="s">
        <v>46</v>
      </c>
      <c r="I994" t="s">
        <v>1957</v>
      </c>
      <c r="J994" t="s">
        <v>1681</v>
      </c>
      <c r="K994" t="s">
        <v>1672</v>
      </c>
      <c r="L994" s="11" t="s">
        <v>1681</v>
      </c>
    </row>
    <row r="995" spans="1:12">
      <c r="A995" t="s">
        <v>5042</v>
      </c>
      <c r="B995" s="8">
        <v>2.544</v>
      </c>
      <c r="C995" s="9">
        <v>154</v>
      </c>
      <c r="D995">
        <v>2</v>
      </c>
      <c r="E995">
        <v>2</v>
      </c>
      <c r="F995">
        <v>2</v>
      </c>
      <c r="G995" s="10">
        <v>1</v>
      </c>
      <c r="H995" t="s">
        <v>46</v>
      </c>
      <c r="I995" t="s">
        <v>1957</v>
      </c>
      <c r="J995" t="s">
        <v>1681</v>
      </c>
      <c r="K995" t="s">
        <v>1672</v>
      </c>
      <c r="L995" s="11" t="s">
        <v>1681</v>
      </c>
    </row>
    <row r="996" spans="1:12">
      <c r="A996" t="s">
        <v>5043</v>
      </c>
      <c r="B996" s="8">
        <v>2.661</v>
      </c>
      <c r="C996" s="9">
        <v>20</v>
      </c>
      <c r="D996">
        <v>2</v>
      </c>
      <c r="E996">
        <v>2</v>
      </c>
      <c r="F996">
        <v>2</v>
      </c>
      <c r="G996" s="10">
        <v>1</v>
      </c>
      <c r="H996" t="s">
        <v>46</v>
      </c>
      <c r="I996" t="s">
        <v>1957</v>
      </c>
      <c r="J996" t="s">
        <v>1681</v>
      </c>
      <c r="K996" t="s">
        <v>1672</v>
      </c>
      <c r="L996" s="11" t="s">
        <v>1681</v>
      </c>
    </row>
    <row r="997" spans="1:12">
      <c r="A997" t="s">
        <v>5044</v>
      </c>
      <c r="B997" s="8">
        <v>2.2869999999999999</v>
      </c>
      <c r="C997" s="9">
        <v>42</v>
      </c>
      <c r="D997">
        <v>1</v>
      </c>
      <c r="E997">
        <v>1</v>
      </c>
      <c r="F997">
        <v>1</v>
      </c>
      <c r="G997" s="10">
        <v>1</v>
      </c>
      <c r="H997" t="s">
        <v>46</v>
      </c>
      <c r="I997" t="s">
        <v>1957</v>
      </c>
      <c r="J997" t="s">
        <v>1695</v>
      </c>
      <c r="K997" t="s">
        <v>1672</v>
      </c>
      <c r="L997" s="11" t="s">
        <v>1695</v>
      </c>
    </row>
    <row r="998" spans="1:12">
      <c r="A998" t="s">
        <v>5045</v>
      </c>
      <c r="B998" s="8">
        <v>2.7749999999999999</v>
      </c>
      <c r="C998" s="9">
        <v>113</v>
      </c>
      <c r="D998">
        <v>1</v>
      </c>
      <c r="E998">
        <v>1</v>
      </c>
      <c r="F998">
        <v>1</v>
      </c>
      <c r="G998" s="10">
        <v>1</v>
      </c>
      <c r="H998" t="s">
        <v>46</v>
      </c>
      <c r="I998" t="s">
        <v>1957</v>
      </c>
      <c r="J998" t="s">
        <v>1695</v>
      </c>
      <c r="K998" t="s">
        <v>1672</v>
      </c>
      <c r="L998" s="11" t="s">
        <v>1695</v>
      </c>
    </row>
    <row r="999" spans="1:12">
      <c r="A999" t="s">
        <v>5046</v>
      </c>
      <c r="B999" s="8">
        <v>2.036</v>
      </c>
      <c r="C999" s="9">
        <v>97</v>
      </c>
      <c r="D999">
        <v>2</v>
      </c>
      <c r="E999">
        <v>2</v>
      </c>
      <c r="F999">
        <v>2</v>
      </c>
      <c r="G999" s="10">
        <v>1</v>
      </c>
      <c r="H999" t="s">
        <v>46</v>
      </c>
      <c r="I999" t="s">
        <v>1957</v>
      </c>
      <c r="J999" t="s">
        <v>5047</v>
      </c>
      <c r="K999" t="s">
        <v>5048</v>
      </c>
      <c r="L999" s="11" t="s">
        <v>1695</v>
      </c>
    </row>
    <row r="1000" spans="1:12">
      <c r="A1000" t="s">
        <v>5049</v>
      </c>
      <c r="B1000" s="8">
        <v>4.3220000000000001</v>
      </c>
      <c r="C1000" s="9">
        <v>25</v>
      </c>
      <c r="D1000">
        <v>7</v>
      </c>
      <c r="E1000">
        <v>7</v>
      </c>
      <c r="F1000">
        <v>7</v>
      </c>
      <c r="G1000" s="10">
        <v>1</v>
      </c>
      <c r="H1000" t="s">
        <v>46</v>
      </c>
      <c r="I1000" t="s">
        <v>1957</v>
      </c>
      <c r="J1000" t="s">
        <v>5050</v>
      </c>
      <c r="K1000" t="s">
        <v>5051</v>
      </c>
      <c r="L1000" s="11" t="s">
        <v>5052</v>
      </c>
    </row>
    <row r="1001" spans="1:12">
      <c r="A1001" t="s">
        <v>5053</v>
      </c>
      <c r="B1001" s="8">
        <v>6.5469999999999997</v>
      </c>
      <c r="C1001" s="9">
        <v>120</v>
      </c>
      <c r="D1001">
        <v>3</v>
      </c>
      <c r="E1001">
        <v>3</v>
      </c>
      <c r="F1001">
        <v>2</v>
      </c>
      <c r="G1001" s="10">
        <v>0.66666666666666663</v>
      </c>
      <c r="H1001" t="s">
        <v>46</v>
      </c>
      <c r="I1001" t="s">
        <v>1957</v>
      </c>
      <c r="J1001" t="s">
        <v>5054</v>
      </c>
      <c r="K1001" t="s">
        <v>5055</v>
      </c>
      <c r="L1001" s="11" t="s">
        <v>1681</v>
      </c>
    </row>
    <row r="1002" spans="1:12">
      <c r="A1002" t="s">
        <v>5056</v>
      </c>
      <c r="B1002" s="8">
        <v>9.6969999999999992</v>
      </c>
      <c r="C1002" s="9">
        <v>307</v>
      </c>
      <c r="D1002">
        <v>10</v>
      </c>
      <c r="E1002">
        <v>10</v>
      </c>
      <c r="F1002">
        <v>10</v>
      </c>
      <c r="G1002" s="10">
        <v>1</v>
      </c>
      <c r="H1002" t="s">
        <v>46</v>
      </c>
      <c r="I1002" t="s">
        <v>1957</v>
      </c>
      <c r="J1002" t="s">
        <v>5057</v>
      </c>
      <c r="K1002" t="s">
        <v>5058</v>
      </c>
      <c r="L1002" s="11" t="s">
        <v>5059</v>
      </c>
    </row>
    <row r="1003" spans="1:12">
      <c r="A1003" t="s">
        <v>5060</v>
      </c>
      <c r="B1003" s="8">
        <v>19.663</v>
      </c>
      <c r="C1003" s="9">
        <v>1360</v>
      </c>
      <c r="D1003">
        <v>18</v>
      </c>
      <c r="E1003">
        <v>18</v>
      </c>
      <c r="F1003">
        <v>17</v>
      </c>
      <c r="G1003" s="10">
        <v>0.94444444444444442</v>
      </c>
      <c r="H1003" t="s">
        <v>46</v>
      </c>
      <c r="I1003" t="s">
        <v>1957</v>
      </c>
      <c r="J1003" t="s">
        <v>5061</v>
      </c>
      <c r="K1003" t="s">
        <v>5062</v>
      </c>
      <c r="L1003" s="11" t="s">
        <v>5063</v>
      </c>
    </row>
    <row r="1004" spans="1:12">
      <c r="A1004" t="s">
        <v>5064</v>
      </c>
      <c r="B1004" s="8">
        <v>3.9540000000000002</v>
      </c>
      <c r="C1004" s="9">
        <v>103</v>
      </c>
      <c r="D1004">
        <v>5</v>
      </c>
      <c r="E1004">
        <v>5</v>
      </c>
      <c r="F1004">
        <v>5</v>
      </c>
      <c r="G1004" s="10">
        <v>1</v>
      </c>
      <c r="H1004" t="s">
        <v>46</v>
      </c>
      <c r="I1004" t="s">
        <v>1957</v>
      </c>
      <c r="J1004" t="s">
        <v>5065</v>
      </c>
      <c r="K1004" t="s">
        <v>5066</v>
      </c>
      <c r="L1004" s="11" t="s">
        <v>1676</v>
      </c>
    </row>
    <row r="1005" spans="1:12">
      <c r="A1005" t="s">
        <v>5067</v>
      </c>
      <c r="B1005" s="8">
        <v>2.7749999999999999</v>
      </c>
      <c r="C1005" s="9">
        <v>62</v>
      </c>
      <c r="D1005">
        <v>4</v>
      </c>
      <c r="E1005">
        <v>4</v>
      </c>
      <c r="F1005">
        <v>4</v>
      </c>
      <c r="G1005" s="10">
        <v>1</v>
      </c>
      <c r="H1005" t="s">
        <v>46</v>
      </c>
      <c r="I1005" t="s">
        <v>1957</v>
      </c>
      <c r="J1005" t="s">
        <v>5068</v>
      </c>
      <c r="K1005" t="s">
        <v>5066</v>
      </c>
      <c r="L1005" s="11" t="s">
        <v>1679</v>
      </c>
    </row>
    <row r="1006" spans="1:12">
      <c r="A1006" t="s">
        <v>5069</v>
      </c>
      <c r="B1006" s="8">
        <v>3.9140000000000001</v>
      </c>
      <c r="C1006" s="9">
        <v>119</v>
      </c>
      <c r="D1006">
        <v>5</v>
      </c>
      <c r="E1006">
        <v>5</v>
      </c>
      <c r="F1006">
        <v>4</v>
      </c>
      <c r="G1006" s="10">
        <v>0.8</v>
      </c>
      <c r="H1006" t="s">
        <v>46</v>
      </c>
      <c r="I1006" t="s">
        <v>1957</v>
      </c>
      <c r="J1006" t="s">
        <v>5065</v>
      </c>
      <c r="K1006" t="s">
        <v>5066</v>
      </c>
      <c r="L1006" s="11" t="s">
        <v>1676</v>
      </c>
    </row>
    <row r="1007" spans="1:12">
      <c r="A1007" t="s">
        <v>5070</v>
      </c>
      <c r="B1007" s="8">
        <v>3.8959999999999999</v>
      </c>
      <c r="C1007" s="9">
        <v>76</v>
      </c>
      <c r="D1007">
        <v>5</v>
      </c>
      <c r="E1007">
        <v>5</v>
      </c>
      <c r="F1007">
        <v>5</v>
      </c>
      <c r="G1007" s="10">
        <v>1</v>
      </c>
      <c r="H1007" t="s">
        <v>46</v>
      </c>
      <c r="I1007" t="s">
        <v>1957</v>
      </c>
      <c r="J1007" t="s">
        <v>5071</v>
      </c>
      <c r="K1007" t="s">
        <v>5072</v>
      </c>
      <c r="L1007" s="11" t="s">
        <v>1679</v>
      </c>
    </row>
    <row r="1008" spans="1:12">
      <c r="A1008" t="s">
        <v>5073</v>
      </c>
      <c r="B1008" s="8">
        <v>9.33</v>
      </c>
      <c r="C1008" s="9">
        <v>291</v>
      </c>
      <c r="D1008">
        <v>9</v>
      </c>
      <c r="E1008">
        <v>9</v>
      </c>
      <c r="F1008">
        <v>9</v>
      </c>
      <c r="G1008" s="10">
        <v>1</v>
      </c>
      <c r="H1008" t="s">
        <v>46</v>
      </c>
      <c r="I1008" t="s">
        <v>1957</v>
      </c>
      <c r="J1008" t="s">
        <v>5074</v>
      </c>
      <c r="K1008" t="s">
        <v>1698</v>
      </c>
      <c r="L1008" s="11" t="s">
        <v>5075</v>
      </c>
    </row>
    <row r="1009" spans="1:12">
      <c r="A1009" t="s">
        <v>5076</v>
      </c>
      <c r="B1009" s="8">
        <v>2.2829999999999999</v>
      </c>
      <c r="C1009" s="9">
        <v>397</v>
      </c>
      <c r="D1009">
        <v>3</v>
      </c>
      <c r="E1009">
        <v>3</v>
      </c>
      <c r="F1009">
        <v>2</v>
      </c>
      <c r="G1009" s="10">
        <v>0.66666666666666663</v>
      </c>
      <c r="H1009" t="s">
        <v>46</v>
      </c>
      <c r="I1009" t="s">
        <v>1957</v>
      </c>
      <c r="J1009" t="s">
        <v>5077</v>
      </c>
      <c r="K1009" t="s">
        <v>5078</v>
      </c>
      <c r="L1009" s="11" t="s">
        <v>1681</v>
      </c>
    </row>
    <row r="1010" spans="1:12">
      <c r="A1010" t="s">
        <v>5079</v>
      </c>
      <c r="B1010" s="8">
        <v>9.0069999999999997</v>
      </c>
      <c r="C1010" s="9">
        <v>689</v>
      </c>
      <c r="D1010">
        <v>10</v>
      </c>
      <c r="E1010">
        <v>10</v>
      </c>
      <c r="F1010">
        <v>10</v>
      </c>
      <c r="G1010" s="10">
        <v>1</v>
      </c>
      <c r="H1010" t="s">
        <v>46</v>
      </c>
      <c r="I1010" t="s">
        <v>1957</v>
      </c>
      <c r="J1010" t="s">
        <v>5080</v>
      </c>
      <c r="K1010" t="s">
        <v>5081</v>
      </c>
      <c r="L1010" s="11" t="s">
        <v>1714</v>
      </c>
    </row>
    <row r="1011" spans="1:12">
      <c r="A1011" t="s">
        <v>5082</v>
      </c>
      <c r="B1011" s="8">
        <v>2.4409999999999998</v>
      </c>
      <c r="C1011" s="9">
        <v>30</v>
      </c>
      <c r="D1011">
        <v>4</v>
      </c>
      <c r="E1011">
        <v>4</v>
      </c>
      <c r="F1011">
        <v>4</v>
      </c>
      <c r="G1011" s="10">
        <v>1</v>
      </c>
      <c r="H1011" t="s">
        <v>46</v>
      </c>
      <c r="I1011" t="s">
        <v>1957</v>
      </c>
      <c r="J1011" t="s">
        <v>5083</v>
      </c>
      <c r="K1011" t="s">
        <v>5084</v>
      </c>
      <c r="L1011" s="11" t="s">
        <v>1681</v>
      </c>
    </row>
    <row r="1012" spans="1:12">
      <c r="A1012" t="s">
        <v>5085</v>
      </c>
      <c r="B1012" s="8">
        <v>6.6040000000000001</v>
      </c>
      <c r="C1012" s="9">
        <v>1139</v>
      </c>
      <c r="D1012">
        <v>8</v>
      </c>
      <c r="E1012">
        <v>8</v>
      </c>
      <c r="F1012">
        <v>8</v>
      </c>
      <c r="G1012" s="10">
        <v>1</v>
      </c>
      <c r="H1012" t="s">
        <v>46</v>
      </c>
      <c r="I1012" t="s">
        <v>1957</v>
      </c>
      <c r="J1012" t="s">
        <v>5086</v>
      </c>
      <c r="K1012" t="s">
        <v>5087</v>
      </c>
      <c r="L1012" s="11" t="s">
        <v>5014</v>
      </c>
    </row>
    <row r="1013" spans="1:12">
      <c r="A1013" t="s">
        <v>5088</v>
      </c>
      <c r="B1013" s="8">
        <v>2.9790000000000001</v>
      </c>
      <c r="C1013" s="9">
        <v>124</v>
      </c>
      <c r="D1013">
        <v>3</v>
      </c>
      <c r="E1013">
        <v>3</v>
      </c>
      <c r="F1013">
        <v>2</v>
      </c>
      <c r="G1013" s="10">
        <v>0.66666666666666663</v>
      </c>
      <c r="H1013" t="s">
        <v>46</v>
      </c>
      <c r="I1013" t="s">
        <v>1957</v>
      </c>
      <c r="J1013" t="s">
        <v>5089</v>
      </c>
      <c r="K1013" t="s">
        <v>5090</v>
      </c>
      <c r="L1013" s="11" t="s">
        <v>1681</v>
      </c>
    </row>
    <row r="1014" spans="1:12">
      <c r="A1014" t="s">
        <v>5091</v>
      </c>
      <c r="B1014" s="8">
        <v>7.58</v>
      </c>
      <c r="C1014" s="9">
        <v>18</v>
      </c>
      <c r="D1014">
        <v>7</v>
      </c>
      <c r="E1014">
        <v>7</v>
      </c>
      <c r="F1014">
        <v>7</v>
      </c>
      <c r="G1014" s="10">
        <v>1</v>
      </c>
      <c r="H1014" t="s">
        <v>46</v>
      </c>
      <c r="I1014" t="s">
        <v>1957</v>
      </c>
      <c r="J1014" t="s">
        <v>5092</v>
      </c>
      <c r="K1014" t="s">
        <v>5093</v>
      </c>
      <c r="L1014" s="11" t="s">
        <v>1725</v>
      </c>
    </row>
    <row r="1015" spans="1:12">
      <c r="A1015" t="s">
        <v>5094</v>
      </c>
      <c r="B1015" s="8">
        <v>3.331</v>
      </c>
      <c r="C1015" s="9">
        <v>20</v>
      </c>
      <c r="D1015">
        <v>3</v>
      </c>
      <c r="E1015">
        <v>3</v>
      </c>
      <c r="F1015">
        <v>3</v>
      </c>
      <c r="G1015" s="10">
        <v>1</v>
      </c>
      <c r="H1015" t="s">
        <v>46</v>
      </c>
      <c r="I1015" t="s">
        <v>1957</v>
      </c>
      <c r="J1015" t="s">
        <v>5095</v>
      </c>
      <c r="K1015" t="s">
        <v>5096</v>
      </c>
      <c r="L1015" s="11" t="s">
        <v>1681</v>
      </c>
    </row>
    <row r="1016" spans="1:12">
      <c r="A1016" t="s">
        <v>5097</v>
      </c>
      <c r="B1016" s="8">
        <v>7.4749999999999996</v>
      </c>
      <c r="C1016" s="9">
        <v>1312</v>
      </c>
      <c r="D1016">
        <v>8</v>
      </c>
      <c r="E1016">
        <v>8</v>
      </c>
      <c r="F1016">
        <v>7</v>
      </c>
      <c r="G1016" s="10">
        <v>0.875</v>
      </c>
      <c r="H1016" t="s">
        <v>46</v>
      </c>
      <c r="I1016" t="s">
        <v>1957</v>
      </c>
      <c r="J1016" t="s">
        <v>5098</v>
      </c>
      <c r="K1016" t="s">
        <v>5099</v>
      </c>
      <c r="L1016" s="11" t="s">
        <v>1725</v>
      </c>
    </row>
    <row r="1017" spans="1:12">
      <c r="A1017" t="s">
        <v>5100</v>
      </c>
      <c r="B1017" s="8">
        <v>15.532999999999999</v>
      </c>
      <c r="C1017" s="9">
        <v>18</v>
      </c>
      <c r="D1017">
        <v>19</v>
      </c>
      <c r="E1017">
        <v>19</v>
      </c>
      <c r="F1017">
        <v>18</v>
      </c>
      <c r="G1017" s="10">
        <v>0.94736842105263153</v>
      </c>
      <c r="H1017" t="s">
        <v>46</v>
      </c>
      <c r="I1017" t="s">
        <v>1957</v>
      </c>
      <c r="J1017" t="s">
        <v>5101</v>
      </c>
      <c r="K1017" t="s">
        <v>5102</v>
      </c>
      <c r="L1017" s="11" t="s">
        <v>5103</v>
      </c>
    </row>
    <row r="1018" spans="1:12">
      <c r="A1018" t="s">
        <v>5104</v>
      </c>
      <c r="B1018" s="8">
        <v>12.382999999999999</v>
      </c>
      <c r="C1018" s="9">
        <v>30</v>
      </c>
      <c r="D1018">
        <v>12</v>
      </c>
      <c r="E1018">
        <v>12</v>
      </c>
      <c r="F1018">
        <v>10</v>
      </c>
      <c r="G1018" s="10">
        <v>0.83333333333333337</v>
      </c>
      <c r="H1018" t="s">
        <v>46</v>
      </c>
      <c r="I1018" t="s">
        <v>1957</v>
      </c>
      <c r="J1018" t="s">
        <v>5105</v>
      </c>
      <c r="K1018" t="s">
        <v>5106</v>
      </c>
      <c r="L1018" s="11" t="s">
        <v>5014</v>
      </c>
    </row>
    <row r="1019" spans="1:12">
      <c r="A1019" t="s">
        <v>5107</v>
      </c>
      <c r="B1019" s="8">
        <v>8.6229999999999993</v>
      </c>
      <c r="C1019" s="9">
        <v>317</v>
      </c>
      <c r="D1019">
        <v>8</v>
      </c>
      <c r="E1019">
        <v>8</v>
      </c>
      <c r="F1019">
        <v>7</v>
      </c>
      <c r="G1019" s="10">
        <v>0.875</v>
      </c>
      <c r="H1019" t="s">
        <v>46</v>
      </c>
      <c r="I1019" t="s">
        <v>1957</v>
      </c>
      <c r="J1019" t="s">
        <v>5108</v>
      </c>
      <c r="K1019" t="s">
        <v>5109</v>
      </c>
      <c r="L1019" s="11" t="s">
        <v>1725</v>
      </c>
    </row>
    <row r="1020" spans="1:12">
      <c r="A1020" t="s">
        <v>5110</v>
      </c>
      <c r="B1020" s="8">
        <v>5.32</v>
      </c>
      <c r="C1020" s="9">
        <v>300</v>
      </c>
      <c r="D1020">
        <v>4</v>
      </c>
      <c r="E1020">
        <v>4</v>
      </c>
      <c r="F1020">
        <v>4</v>
      </c>
      <c r="G1020" s="10">
        <v>1</v>
      </c>
      <c r="H1020" t="s">
        <v>46</v>
      </c>
      <c r="I1020" t="s">
        <v>1957</v>
      </c>
      <c r="J1020" t="s">
        <v>5111</v>
      </c>
      <c r="K1020" t="s">
        <v>5112</v>
      </c>
      <c r="L1020" s="11" t="s">
        <v>1679</v>
      </c>
    </row>
    <row r="1021" spans="1:12">
      <c r="A1021" t="s">
        <v>5113</v>
      </c>
      <c r="B1021" s="8">
        <v>3.2290000000000001</v>
      </c>
      <c r="C1021" s="9">
        <v>25</v>
      </c>
      <c r="D1021">
        <v>5</v>
      </c>
      <c r="E1021">
        <v>5</v>
      </c>
      <c r="F1021">
        <v>5</v>
      </c>
      <c r="G1021" s="10">
        <v>1</v>
      </c>
      <c r="H1021" t="s">
        <v>46</v>
      </c>
      <c r="I1021" t="s">
        <v>1957</v>
      </c>
      <c r="J1021" t="s">
        <v>5114</v>
      </c>
      <c r="K1021" t="s">
        <v>5115</v>
      </c>
      <c r="L1021" s="11" t="s">
        <v>5116</v>
      </c>
    </row>
    <row r="1022" spans="1:12">
      <c r="A1022" t="s">
        <v>5117</v>
      </c>
      <c r="B1022" s="8">
        <v>35.222999999999999</v>
      </c>
      <c r="C1022" s="9">
        <v>36</v>
      </c>
      <c r="D1022">
        <v>33</v>
      </c>
      <c r="E1022">
        <v>32</v>
      </c>
      <c r="F1022">
        <v>29</v>
      </c>
      <c r="G1022" s="10">
        <v>0.87878787878787878</v>
      </c>
      <c r="H1022" t="s">
        <v>46</v>
      </c>
      <c r="I1022" t="s">
        <v>1957</v>
      </c>
      <c r="J1022" t="s">
        <v>5118</v>
      </c>
      <c r="K1022" t="s">
        <v>5119</v>
      </c>
      <c r="L1022" s="11" t="s">
        <v>5120</v>
      </c>
    </row>
    <row r="1023" spans="1:12">
      <c r="A1023" t="s">
        <v>5121</v>
      </c>
      <c r="B1023" s="8">
        <v>4.4269999999999996</v>
      </c>
      <c r="C1023" s="9">
        <v>233</v>
      </c>
      <c r="D1023">
        <v>4</v>
      </c>
      <c r="E1023">
        <v>4</v>
      </c>
      <c r="F1023">
        <v>3</v>
      </c>
      <c r="G1023" s="10">
        <v>0.75</v>
      </c>
      <c r="H1023" t="s">
        <v>46</v>
      </c>
      <c r="I1023" t="s">
        <v>1957</v>
      </c>
      <c r="J1023" t="s">
        <v>5122</v>
      </c>
      <c r="K1023" t="s">
        <v>5123</v>
      </c>
      <c r="L1023" s="11" t="s">
        <v>1679</v>
      </c>
    </row>
    <row r="1024" spans="1:12">
      <c r="A1024" t="s">
        <v>5124</v>
      </c>
      <c r="B1024" s="8">
        <v>2.7749999999999999</v>
      </c>
      <c r="C1024" s="9">
        <v>59</v>
      </c>
      <c r="D1024">
        <v>3</v>
      </c>
      <c r="E1024">
        <v>3</v>
      </c>
      <c r="F1024">
        <v>2</v>
      </c>
      <c r="G1024" s="10">
        <v>0.66666666666666663</v>
      </c>
      <c r="H1024" t="s">
        <v>46</v>
      </c>
      <c r="I1024" t="s">
        <v>1957</v>
      </c>
      <c r="J1024" t="s">
        <v>5125</v>
      </c>
      <c r="K1024" t="s">
        <v>5123</v>
      </c>
      <c r="L1024" s="11" t="s">
        <v>1681</v>
      </c>
    </row>
    <row r="1025" spans="1:12">
      <c r="A1025" t="s">
        <v>5126</v>
      </c>
      <c r="B1025" s="8">
        <v>3.3959999999999999</v>
      </c>
      <c r="C1025" s="9">
        <v>1079</v>
      </c>
      <c r="D1025">
        <v>3</v>
      </c>
      <c r="E1025">
        <v>3</v>
      </c>
      <c r="F1025">
        <v>2</v>
      </c>
      <c r="G1025" s="10">
        <v>0.66666666666666663</v>
      </c>
      <c r="H1025" t="s">
        <v>46</v>
      </c>
      <c r="I1025" t="s">
        <v>1957</v>
      </c>
      <c r="J1025" t="s">
        <v>5127</v>
      </c>
      <c r="K1025" t="s">
        <v>5128</v>
      </c>
      <c r="L1025" s="11" t="s">
        <v>1681</v>
      </c>
    </row>
    <row r="1026" spans="1:12">
      <c r="A1026" t="s">
        <v>5129</v>
      </c>
      <c r="B1026" s="8">
        <v>12.051</v>
      </c>
      <c r="C1026" s="9">
        <v>269</v>
      </c>
      <c r="D1026">
        <v>13</v>
      </c>
      <c r="E1026">
        <v>13</v>
      </c>
      <c r="F1026">
        <v>10</v>
      </c>
      <c r="G1026" s="10">
        <v>0.76923076923076927</v>
      </c>
      <c r="H1026" t="s">
        <v>46</v>
      </c>
      <c r="I1026" t="s">
        <v>1957</v>
      </c>
      <c r="J1026" t="s">
        <v>5130</v>
      </c>
      <c r="K1026" t="s">
        <v>5131</v>
      </c>
      <c r="L1026" s="11" t="s">
        <v>5132</v>
      </c>
    </row>
    <row r="1027" spans="1:12">
      <c r="A1027" t="s">
        <v>5133</v>
      </c>
      <c r="B1027" s="8">
        <v>13.2</v>
      </c>
      <c r="C1027" s="9">
        <v>228</v>
      </c>
      <c r="D1027">
        <v>12</v>
      </c>
      <c r="E1027">
        <v>12</v>
      </c>
      <c r="F1027">
        <v>11</v>
      </c>
      <c r="G1027" s="10">
        <v>0.91666666666666663</v>
      </c>
      <c r="H1027" t="s">
        <v>46</v>
      </c>
      <c r="I1027" t="s">
        <v>1957</v>
      </c>
      <c r="J1027" t="s">
        <v>5134</v>
      </c>
      <c r="K1027" t="s">
        <v>5135</v>
      </c>
      <c r="L1027" s="11" t="s">
        <v>5075</v>
      </c>
    </row>
    <row r="1028" spans="1:12">
      <c r="A1028" t="s">
        <v>5136</v>
      </c>
      <c r="B1028" s="8">
        <v>14.707000000000001</v>
      </c>
      <c r="C1028" s="9">
        <v>100</v>
      </c>
      <c r="D1028">
        <v>14</v>
      </c>
      <c r="E1028">
        <v>13</v>
      </c>
      <c r="F1028">
        <v>11</v>
      </c>
      <c r="G1028" s="10">
        <v>0.7857142857142857</v>
      </c>
      <c r="H1028" t="s">
        <v>46</v>
      </c>
      <c r="I1028" t="s">
        <v>1957</v>
      </c>
      <c r="J1028" t="s">
        <v>5137</v>
      </c>
      <c r="K1028" t="s">
        <v>5138</v>
      </c>
      <c r="L1028" s="11" t="s">
        <v>5132</v>
      </c>
    </row>
    <row r="1029" spans="1:12">
      <c r="A1029" t="s">
        <v>5139</v>
      </c>
      <c r="B1029" s="8">
        <v>7.327</v>
      </c>
      <c r="C1029" s="9">
        <v>58</v>
      </c>
      <c r="D1029">
        <v>6</v>
      </c>
      <c r="E1029">
        <v>5</v>
      </c>
      <c r="F1029">
        <v>6</v>
      </c>
      <c r="G1029" s="10">
        <v>1</v>
      </c>
      <c r="H1029" t="s">
        <v>46</v>
      </c>
      <c r="I1029" t="s">
        <v>1957</v>
      </c>
      <c r="J1029" t="s">
        <v>5140</v>
      </c>
      <c r="K1029" t="s">
        <v>5141</v>
      </c>
      <c r="L1029" s="11" t="s">
        <v>1679</v>
      </c>
    </row>
    <row r="1030" spans="1:12">
      <c r="A1030" t="s">
        <v>5142</v>
      </c>
      <c r="B1030" s="8">
        <v>10.817</v>
      </c>
      <c r="C1030" s="9">
        <v>54</v>
      </c>
      <c r="D1030">
        <v>9</v>
      </c>
      <c r="E1030">
        <v>9</v>
      </c>
      <c r="F1030">
        <v>8</v>
      </c>
      <c r="G1030" s="10">
        <v>0.88888888888888884</v>
      </c>
      <c r="H1030" t="s">
        <v>46</v>
      </c>
      <c r="I1030" t="s">
        <v>1957</v>
      </c>
      <c r="J1030" t="s">
        <v>5143</v>
      </c>
      <c r="K1030" t="s">
        <v>5144</v>
      </c>
      <c r="L1030" s="11" t="s">
        <v>5016</v>
      </c>
    </row>
    <row r="1031" spans="1:12">
      <c r="A1031" t="s">
        <v>5145</v>
      </c>
      <c r="B1031" s="8">
        <v>3.9159999999999999</v>
      </c>
      <c r="C1031" s="9">
        <v>565</v>
      </c>
      <c r="D1031">
        <v>4</v>
      </c>
      <c r="E1031">
        <v>4</v>
      </c>
      <c r="F1031">
        <v>4</v>
      </c>
      <c r="G1031" s="10">
        <v>1</v>
      </c>
      <c r="H1031" t="s">
        <v>46</v>
      </c>
      <c r="I1031" t="s">
        <v>1957</v>
      </c>
      <c r="J1031" t="s">
        <v>5146</v>
      </c>
      <c r="K1031" t="s">
        <v>5147</v>
      </c>
      <c r="L1031" s="11" t="s">
        <v>1679</v>
      </c>
    </row>
    <row r="1032" spans="1:12">
      <c r="A1032" t="s">
        <v>5148</v>
      </c>
      <c r="B1032" s="8">
        <v>3.786</v>
      </c>
      <c r="C1032" s="9">
        <v>348</v>
      </c>
      <c r="D1032">
        <v>3</v>
      </c>
      <c r="E1032">
        <v>3</v>
      </c>
      <c r="F1032">
        <v>3</v>
      </c>
      <c r="G1032" s="10">
        <v>1</v>
      </c>
      <c r="H1032" t="s">
        <v>46</v>
      </c>
      <c r="I1032" t="s">
        <v>1957</v>
      </c>
      <c r="J1032" t="s">
        <v>5149</v>
      </c>
      <c r="K1032" t="s">
        <v>5150</v>
      </c>
      <c r="L1032" s="11" t="s">
        <v>5149</v>
      </c>
    </row>
    <row r="1033" spans="1:12">
      <c r="A1033" t="s">
        <v>5151</v>
      </c>
      <c r="B1033" s="8">
        <v>2.3140000000000001</v>
      </c>
      <c r="C1033" s="9">
        <v>182</v>
      </c>
      <c r="D1033">
        <v>2</v>
      </c>
      <c r="E1033">
        <v>2</v>
      </c>
      <c r="F1033">
        <v>2</v>
      </c>
      <c r="G1033" s="10">
        <v>1</v>
      </c>
      <c r="H1033" t="s">
        <v>46</v>
      </c>
      <c r="I1033" t="s">
        <v>1957</v>
      </c>
      <c r="J1033" t="s">
        <v>5152</v>
      </c>
      <c r="K1033" t="s">
        <v>5150</v>
      </c>
      <c r="L1033" s="11" t="s">
        <v>5152</v>
      </c>
    </row>
    <row r="1034" spans="1:12">
      <c r="A1034" t="s">
        <v>5153</v>
      </c>
      <c r="B1034" s="8">
        <v>2.6389999999999998</v>
      </c>
      <c r="C1034" s="9">
        <v>28</v>
      </c>
      <c r="D1034">
        <v>2</v>
      </c>
      <c r="E1034">
        <v>2</v>
      </c>
      <c r="F1034">
        <v>2</v>
      </c>
      <c r="G1034" s="10">
        <v>1</v>
      </c>
      <c r="H1034" t="s">
        <v>46</v>
      </c>
      <c r="I1034" t="s">
        <v>1957</v>
      </c>
      <c r="J1034" t="s">
        <v>5152</v>
      </c>
      <c r="K1034" t="s">
        <v>5150</v>
      </c>
      <c r="L1034" s="11" t="s">
        <v>5152</v>
      </c>
    </row>
    <row r="1035" spans="1:12">
      <c r="A1035" t="s">
        <v>5154</v>
      </c>
      <c r="B1035" s="8">
        <v>2.7909999999999999</v>
      </c>
      <c r="C1035" s="9">
        <v>15</v>
      </c>
      <c r="D1035">
        <v>2</v>
      </c>
      <c r="E1035">
        <v>2</v>
      </c>
      <c r="F1035">
        <v>2</v>
      </c>
      <c r="G1035" s="10">
        <v>1</v>
      </c>
      <c r="H1035" t="s">
        <v>46</v>
      </c>
      <c r="I1035" t="s">
        <v>1957</v>
      </c>
      <c r="J1035" t="s">
        <v>5152</v>
      </c>
      <c r="K1035" t="s">
        <v>5150</v>
      </c>
      <c r="L1035" s="11" t="s">
        <v>5152</v>
      </c>
    </row>
    <row r="1036" spans="1:12">
      <c r="A1036" t="s">
        <v>5155</v>
      </c>
      <c r="B1036" s="8">
        <v>2.661</v>
      </c>
      <c r="C1036" s="9">
        <v>212</v>
      </c>
      <c r="D1036">
        <v>1</v>
      </c>
      <c r="E1036">
        <v>1</v>
      </c>
      <c r="F1036">
        <v>1</v>
      </c>
      <c r="G1036" s="10">
        <v>1</v>
      </c>
      <c r="H1036" t="s">
        <v>46</v>
      </c>
      <c r="I1036" t="s">
        <v>1957</v>
      </c>
      <c r="J1036" t="s">
        <v>1745</v>
      </c>
      <c r="K1036" t="s">
        <v>5150</v>
      </c>
      <c r="L1036" s="11" t="s">
        <v>1745</v>
      </c>
    </row>
    <row r="1037" spans="1:12">
      <c r="A1037" t="s">
        <v>5156</v>
      </c>
      <c r="B1037" s="8">
        <v>2.9990000000000001</v>
      </c>
      <c r="C1037" s="9">
        <v>11</v>
      </c>
      <c r="D1037">
        <v>3</v>
      </c>
      <c r="E1037">
        <v>3</v>
      </c>
      <c r="F1037">
        <v>3</v>
      </c>
      <c r="G1037" s="10">
        <v>1</v>
      </c>
      <c r="H1037" t="s">
        <v>46</v>
      </c>
      <c r="I1037" t="s">
        <v>1957</v>
      </c>
      <c r="J1037" t="s">
        <v>5157</v>
      </c>
      <c r="K1037" t="s">
        <v>5158</v>
      </c>
      <c r="L1037" s="11" t="s">
        <v>5152</v>
      </c>
    </row>
    <row r="1038" spans="1:12">
      <c r="A1038" t="s">
        <v>5159</v>
      </c>
      <c r="B1038" s="8">
        <v>2.5539999999999998</v>
      </c>
      <c r="C1038" s="9">
        <v>139</v>
      </c>
      <c r="D1038">
        <v>3</v>
      </c>
      <c r="E1038">
        <v>3</v>
      </c>
      <c r="F1038">
        <v>3</v>
      </c>
      <c r="G1038" s="10">
        <v>1</v>
      </c>
      <c r="H1038" t="s">
        <v>46</v>
      </c>
      <c r="I1038" t="s">
        <v>1957</v>
      </c>
      <c r="J1038" t="s">
        <v>5160</v>
      </c>
      <c r="K1038" t="s">
        <v>5161</v>
      </c>
      <c r="L1038" s="11" t="s">
        <v>5160</v>
      </c>
    </row>
    <row r="1039" spans="1:12">
      <c r="A1039" t="s">
        <v>5162</v>
      </c>
      <c r="B1039" s="8">
        <v>3.21</v>
      </c>
      <c r="C1039" s="9">
        <v>12</v>
      </c>
      <c r="D1039">
        <v>3</v>
      </c>
      <c r="E1039">
        <v>3</v>
      </c>
      <c r="F1039">
        <v>3</v>
      </c>
      <c r="G1039" s="10">
        <v>1</v>
      </c>
      <c r="H1039" t="s">
        <v>46</v>
      </c>
      <c r="I1039" t="s">
        <v>1957</v>
      </c>
      <c r="J1039" t="s">
        <v>5160</v>
      </c>
      <c r="K1039" t="s">
        <v>5161</v>
      </c>
      <c r="L1039" s="11" t="s">
        <v>5160</v>
      </c>
    </row>
    <row r="1040" spans="1:12">
      <c r="A1040" t="s">
        <v>5163</v>
      </c>
      <c r="B1040" s="8">
        <v>3.5449999999999999</v>
      </c>
      <c r="C1040" s="9">
        <v>223</v>
      </c>
      <c r="D1040">
        <v>2</v>
      </c>
      <c r="E1040">
        <v>2</v>
      </c>
      <c r="F1040">
        <v>2</v>
      </c>
      <c r="G1040" s="10">
        <v>1</v>
      </c>
      <c r="H1040" t="s">
        <v>46</v>
      </c>
      <c r="I1040" t="s">
        <v>1957</v>
      </c>
      <c r="J1040" t="s">
        <v>5164</v>
      </c>
      <c r="K1040" t="s">
        <v>5165</v>
      </c>
      <c r="L1040" s="11" t="s">
        <v>1745</v>
      </c>
    </row>
    <row r="1041" spans="1:12">
      <c r="A1041" t="s">
        <v>5166</v>
      </c>
      <c r="B1041" s="8">
        <v>8.5030000000000001</v>
      </c>
      <c r="C1041" s="9">
        <v>35</v>
      </c>
      <c r="D1041">
        <v>6</v>
      </c>
      <c r="E1041">
        <v>5</v>
      </c>
      <c r="F1041">
        <v>5</v>
      </c>
      <c r="G1041" s="10">
        <v>0.83333333333333337</v>
      </c>
      <c r="H1041" t="s">
        <v>46</v>
      </c>
      <c r="I1041" t="s">
        <v>1957</v>
      </c>
      <c r="J1041" t="s">
        <v>5167</v>
      </c>
      <c r="K1041" t="s">
        <v>5168</v>
      </c>
      <c r="L1041" s="11" t="s">
        <v>5169</v>
      </c>
    </row>
    <row r="1042" spans="1:12">
      <c r="A1042" t="s">
        <v>5170</v>
      </c>
      <c r="B1042" s="8">
        <v>2.4870000000000001</v>
      </c>
      <c r="C1042" s="9">
        <v>15</v>
      </c>
      <c r="D1042">
        <v>2</v>
      </c>
      <c r="E1042">
        <v>2</v>
      </c>
      <c r="F1042">
        <v>2</v>
      </c>
      <c r="G1042" s="10">
        <v>1</v>
      </c>
      <c r="H1042" t="s">
        <v>46</v>
      </c>
      <c r="I1042" t="s">
        <v>1957</v>
      </c>
      <c r="J1042" t="s">
        <v>5171</v>
      </c>
      <c r="K1042" t="s">
        <v>5172</v>
      </c>
      <c r="L1042" s="11" t="s">
        <v>1745</v>
      </c>
    </row>
    <row r="1043" spans="1:12">
      <c r="A1043" t="s">
        <v>5173</v>
      </c>
      <c r="B1043" s="8">
        <v>9.1869999999999994</v>
      </c>
      <c r="C1043" s="9">
        <v>98</v>
      </c>
      <c r="D1043">
        <v>7</v>
      </c>
      <c r="E1043">
        <v>7</v>
      </c>
      <c r="F1043">
        <v>7</v>
      </c>
      <c r="G1043" s="10">
        <v>1</v>
      </c>
      <c r="H1043" t="s">
        <v>46</v>
      </c>
      <c r="I1043" t="s">
        <v>1957</v>
      </c>
      <c r="J1043" t="s">
        <v>5174</v>
      </c>
      <c r="K1043" t="s">
        <v>5175</v>
      </c>
      <c r="L1043" s="11" t="s">
        <v>5176</v>
      </c>
    </row>
    <row r="1044" spans="1:12">
      <c r="A1044" t="s">
        <v>5177</v>
      </c>
      <c r="B1044" s="8">
        <v>5.1020000000000003</v>
      </c>
      <c r="C1044" s="9">
        <v>23</v>
      </c>
      <c r="D1044">
        <v>5</v>
      </c>
      <c r="E1044">
        <v>5</v>
      </c>
      <c r="F1044">
        <v>5</v>
      </c>
      <c r="G1044" s="10">
        <v>1</v>
      </c>
      <c r="H1044" t="s">
        <v>46</v>
      </c>
      <c r="I1044" t="s">
        <v>1957</v>
      </c>
      <c r="J1044" t="s">
        <v>5178</v>
      </c>
      <c r="K1044" t="s">
        <v>5179</v>
      </c>
      <c r="L1044" s="11" t="s">
        <v>5180</v>
      </c>
    </row>
    <row r="1045" spans="1:12">
      <c r="A1045" t="s">
        <v>5181</v>
      </c>
      <c r="B1045" s="8">
        <v>5.343</v>
      </c>
      <c r="C1045" s="9">
        <v>12</v>
      </c>
      <c r="D1045">
        <v>5</v>
      </c>
      <c r="E1045">
        <v>5</v>
      </c>
      <c r="F1045">
        <v>5</v>
      </c>
      <c r="G1045" s="10">
        <v>1</v>
      </c>
      <c r="H1045" t="s">
        <v>46</v>
      </c>
      <c r="I1045" t="s">
        <v>1957</v>
      </c>
      <c r="J1045" t="s">
        <v>5182</v>
      </c>
      <c r="K1045" t="s">
        <v>5183</v>
      </c>
      <c r="L1045" s="11" t="s">
        <v>5184</v>
      </c>
    </row>
    <row r="1046" spans="1:12">
      <c r="A1046" t="s">
        <v>5185</v>
      </c>
      <c r="B1046" s="8">
        <v>4.6059999999999999</v>
      </c>
      <c r="C1046" s="9">
        <v>12</v>
      </c>
      <c r="D1046">
        <v>9</v>
      </c>
      <c r="E1046">
        <v>9</v>
      </c>
      <c r="F1046">
        <v>9</v>
      </c>
      <c r="G1046" s="10">
        <v>1</v>
      </c>
      <c r="H1046" t="s">
        <v>46</v>
      </c>
      <c r="I1046" t="s">
        <v>1957</v>
      </c>
      <c r="J1046" t="s">
        <v>5186</v>
      </c>
      <c r="K1046" t="s">
        <v>5187</v>
      </c>
      <c r="L1046" s="11" t="s">
        <v>5188</v>
      </c>
    </row>
    <row r="1047" spans="1:12">
      <c r="A1047" t="s">
        <v>5189</v>
      </c>
      <c r="B1047" s="8">
        <v>7.8280000000000003</v>
      </c>
      <c r="C1047" s="9">
        <v>820</v>
      </c>
      <c r="D1047">
        <v>7</v>
      </c>
      <c r="E1047">
        <v>7</v>
      </c>
      <c r="F1047">
        <v>7</v>
      </c>
      <c r="G1047" s="10">
        <v>1</v>
      </c>
      <c r="H1047" t="s">
        <v>46</v>
      </c>
      <c r="I1047" t="s">
        <v>1957</v>
      </c>
      <c r="J1047" t="s">
        <v>5190</v>
      </c>
      <c r="K1047" t="s">
        <v>5191</v>
      </c>
      <c r="L1047" s="11" t="s">
        <v>5192</v>
      </c>
    </row>
    <row r="1048" spans="1:12">
      <c r="A1048" t="s">
        <v>5193</v>
      </c>
      <c r="B1048" s="8">
        <v>9.1829999999999998</v>
      </c>
      <c r="C1048" s="9">
        <v>44</v>
      </c>
      <c r="D1048">
        <v>8</v>
      </c>
      <c r="E1048">
        <v>8</v>
      </c>
      <c r="F1048">
        <v>7</v>
      </c>
      <c r="G1048" s="10">
        <v>0.875</v>
      </c>
      <c r="H1048" t="s">
        <v>46</v>
      </c>
      <c r="I1048" t="s">
        <v>1957</v>
      </c>
      <c r="J1048" t="s">
        <v>5194</v>
      </c>
      <c r="K1048" t="s">
        <v>5191</v>
      </c>
      <c r="L1048" s="11" t="s">
        <v>5176</v>
      </c>
    </row>
    <row r="1049" spans="1:12">
      <c r="A1049" t="s">
        <v>5195</v>
      </c>
      <c r="B1049" s="8">
        <v>10.46</v>
      </c>
      <c r="C1049" s="9">
        <v>73</v>
      </c>
      <c r="D1049">
        <v>8</v>
      </c>
      <c r="E1049">
        <v>8</v>
      </c>
      <c r="F1049">
        <v>7</v>
      </c>
      <c r="G1049" s="10">
        <v>0.875</v>
      </c>
      <c r="H1049" t="s">
        <v>46</v>
      </c>
      <c r="I1049" t="s">
        <v>1957</v>
      </c>
      <c r="J1049" t="s">
        <v>5196</v>
      </c>
      <c r="K1049" t="s">
        <v>5197</v>
      </c>
      <c r="L1049" s="11" t="s">
        <v>5198</v>
      </c>
    </row>
    <row r="1050" spans="1:12">
      <c r="A1050" t="s">
        <v>5199</v>
      </c>
      <c r="B1050" s="8">
        <v>5.468</v>
      </c>
      <c r="C1050" s="9">
        <v>24</v>
      </c>
      <c r="D1050">
        <v>7</v>
      </c>
      <c r="E1050">
        <v>7</v>
      </c>
      <c r="F1050">
        <v>6</v>
      </c>
      <c r="G1050" s="10">
        <v>0.8571428571428571</v>
      </c>
      <c r="H1050" t="s">
        <v>46</v>
      </c>
      <c r="I1050" t="s">
        <v>1957</v>
      </c>
      <c r="J1050" t="s">
        <v>5200</v>
      </c>
      <c r="K1050" t="s">
        <v>5201</v>
      </c>
      <c r="L1050" s="11" t="s">
        <v>5202</v>
      </c>
    </row>
    <row r="1051" spans="1:12">
      <c r="A1051" t="s">
        <v>5203</v>
      </c>
      <c r="B1051" s="8">
        <v>11.69</v>
      </c>
      <c r="C1051" s="9">
        <v>13</v>
      </c>
      <c r="D1051">
        <v>12</v>
      </c>
      <c r="E1051">
        <v>12</v>
      </c>
      <c r="F1051">
        <v>11</v>
      </c>
      <c r="G1051" s="10">
        <v>0.91666666666666663</v>
      </c>
      <c r="H1051" t="s">
        <v>46</v>
      </c>
      <c r="I1051" t="s">
        <v>1957</v>
      </c>
      <c r="J1051" t="s">
        <v>5204</v>
      </c>
      <c r="K1051" t="s">
        <v>5205</v>
      </c>
      <c r="L1051" s="11" t="s">
        <v>5206</v>
      </c>
    </row>
    <row r="1052" spans="1:12">
      <c r="A1052" t="s">
        <v>5207</v>
      </c>
      <c r="B1052" s="8">
        <v>3.5030000000000001</v>
      </c>
      <c r="C1052" s="9">
        <v>677</v>
      </c>
      <c r="D1052">
        <v>4</v>
      </c>
      <c r="E1052">
        <v>4</v>
      </c>
      <c r="F1052">
        <v>3</v>
      </c>
      <c r="G1052" s="10">
        <v>0.75</v>
      </c>
      <c r="H1052" t="s">
        <v>46</v>
      </c>
      <c r="I1052" t="s">
        <v>1957</v>
      </c>
      <c r="J1052" t="s">
        <v>5208</v>
      </c>
      <c r="K1052" t="s">
        <v>5209</v>
      </c>
      <c r="L1052" s="11" t="s">
        <v>4940</v>
      </c>
    </row>
    <row r="1053" spans="1:12">
      <c r="A1053" t="s">
        <v>5210</v>
      </c>
      <c r="B1053" s="8">
        <v>8.3219999999999992</v>
      </c>
      <c r="C1053" s="9">
        <v>33</v>
      </c>
      <c r="D1053">
        <v>6</v>
      </c>
      <c r="E1053">
        <v>6</v>
      </c>
      <c r="F1053">
        <v>6</v>
      </c>
      <c r="G1053" s="10">
        <v>1</v>
      </c>
      <c r="H1053" t="s">
        <v>46</v>
      </c>
      <c r="I1053" t="s">
        <v>1957</v>
      </c>
      <c r="J1053" t="s">
        <v>5211</v>
      </c>
      <c r="K1053" t="s">
        <v>5212</v>
      </c>
      <c r="L1053" s="11" t="s">
        <v>5211</v>
      </c>
    </row>
    <row r="1054" spans="1:12">
      <c r="A1054" t="s">
        <v>5213</v>
      </c>
      <c r="B1054" s="8">
        <v>2.2530000000000001</v>
      </c>
      <c r="C1054" s="9">
        <v>19</v>
      </c>
      <c r="D1054">
        <v>3</v>
      </c>
      <c r="E1054">
        <v>3</v>
      </c>
      <c r="F1054">
        <v>3</v>
      </c>
      <c r="G1054" s="10">
        <v>1</v>
      </c>
      <c r="H1054" t="s">
        <v>46</v>
      </c>
      <c r="I1054" t="s">
        <v>1957</v>
      </c>
      <c r="J1054" t="s">
        <v>5214</v>
      </c>
      <c r="K1054" t="s">
        <v>5212</v>
      </c>
      <c r="L1054" s="11" t="s">
        <v>5214</v>
      </c>
    </row>
    <row r="1055" spans="1:12">
      <c r="A1055" t="s">
        <v>5215</v>
      </c>
      <c r="B1055" s="8">
        <v>2.944</v>
      </c>
      <c r="C1055" s="9">
        <v>318</v>
      </c>
      <c r="D1055">
        <v>3</v>
      </c>
      <c r="E1055">
        <v>3</v>
      </c>
      <c r="F1055">
        <v>3</v>
      </c>
      <c r="G1055" s="10">
        <v>1</v>
      </c>
      <c r="H1055" t="s">
        <v>46</v>
      </c>
      <c r="I1055" t="s">
        <v>1957</v>
      </c>
      <c r="J1055" t="s">
        <v>5216</v>
      </c>
      <c r="K1055" t="s">
        <v>5212</v>
      </c>
      <c r="L1055" s="11" t="s">
        <v>5216</v>
      </c>
    </row>
    <row r="1056" spans="1:12">
      <c r="A1056" t="s">
        <v>5217</v>
      </c>
      <c r="B1056" s="8">
        <v>3.6509999999999998</v>
      </c>
      <c r="C1056" s="9">
        <v>525</v>
      </c>
      <c r="D1056">
        <v>3</v>
      </c>
      <c r="E1056">
        <v>3</v>
      </c>
      <c r="F1056">
        <v>3</v>
      </c>
      <c r="G1056" s="10">
        <v>1</v>
      </c>
      <c r="H1056" t="s">
        <v>46</v>
      </c>
      <c r="I1056" t="s">
        <v>1957</v>
      </c>
      <c r="J1056" t="s">
        <v>5216</v>
      </c>
      <c r="K1056" t="s">
        <v>5212</v>
      </c>
      <c r="L1056" s="11" t="s">
        <v>5216</v>
      </c>
    </row>
    <row r="1057" spans="1:12">
      <c r="A1057" t="s">
        <v>5218</v>
      </c>
      <c r="B1057" s="8">
        <v>4.9080000000000004</v>
      </c>
      <c r="C1057" s="9">
        <v>4412</v>
      </c>
      <c r="D1057">
        <v>3</v>
      </c>
      <c r="E1057">
        <v>3</v>
      </c>
      <c r="F1057">
        <v>3</v>
      </c>
      <c r="G1057" s="10">
        <v>1</v>
      </c>
      <c r="H1057" t="s">
        <v>46</v>
      </c>
      <c r="I1057" t="s">
        <v>1957</v>
      </c>
      <c r="J1057" t="s">
        <v>5216</v>
      </c>
      <c r="K1057" t="s">
        <v>5212</v>
      </c>
      <c r="L1057" s="11" t="s">
        <v>5216</v>
      </c>
    </row>
    <row r="1058" spans="1:12">
      <c r="A1058" t="s">
        <v>5219</v>
      </c>
      <c r="B1058" s="8">
        <v>2.621</v>
      </c>
      <c r="C1058" s="9">
        <v>257</v>
      </c>
      <c r="D1058">
        <v>1</v>
      </c>
      <c r="E1058">
        <v>1</v>
      </c>
      <c r="F1058">
        <v>1</v>
      </c>
      <c r="G1058" s="10">
        <v>1</v>
      </c>
      <c r="H1058" t="s">
        <v>46</v>
      </c>
      <c r="I1058" t="s">
        <v>1957</v>
      </c>
      <c r="J1058" t="s">
        <v>5220</v>
      </c>
      <c r="K1058" t="s">
        <v>5212</v>
      </c>
      <c r="L1058" s="11" t="s">
        <v>5220</v>
      </c>
    </row>
    <row r="1059" spans="1:12">
      <c r="A1059" t="s">
        <v>5221</v>
      </c>
      <c r="B1059" s="8">
        <v>10.430999999999999</v>
      </c>
      <c r="C1059" s="9">
        <v>28</v>
      </c>
      <c r="D1059">
        <v>9</v>
      </c>
      <c r="E1059">
        <v>8</v>
      </c>
      <c r="F1059">
        <v>8</v>
      </c>
      <c r="G1059" s="10">
        <v>0.88888888888888884</v>
      </c>
      <c r="H1059" t="s">
        <v>46</v>
      </c>
      <c r="I1059" t="s">
        <v>1957</v>
      </c>
      <c r="J1059" t="s">
        <v>5222</v>
      </c>
      <c r="K1059" t="s">
        <v>5223</v>
      </c>
      <c r="L1059" s="11" t="s">
        <v>5224</v>
      </c>
    </row>
    <row r="1060" spans="1:12">
      <c r="A1060" t="s">
        <v>5225</v>
      </c>
      <c r="B1060" s="8">
        <v>4.22</v>
      </c>
      <c r="C1060" s="9">
        <v>119</v>
      </c>
      <c r="D1060">
        <v>5</v>
      </c>
      <c r="E1060">
        <v>5</v>
      </c>
      <c r="F1060">
        <v>5</v>
      </c>
      <c r="G1060" s="10">
        <v>1</v>
      </c>
      <c r="H1060" t="s">
        <v>46</v>
      </c>
      <c r="I1060" t="s">
        <v>1957</v>
      </c>
      <c r="J1060" t="s">
        <v>5226</v>
      </c>
      <c r="K1060" t="s">
        <v>5227</v>
      </c>
      <c r="L1060" s="11" t="s">
        <v>5228</v>
      </c>
    </row>
    <row r="1061" spans="1:12">
      <c r="A1061" t="s">
        <v>5229</v>
      </c>
      <c r="B1061" s="8">
        <v>2.1389999999999998</v>
      </c>
      <c r="C1061" s="9">
        <v>350</v>
      </c>
      <c r="D1061">
        <v>3</v>
      </c>
      <c r="E1061">
        <v>3</v>
      </c>
      <c r="F1061">
        <v>3</v>
      </c>
      <c r="G1061" s="10">
        <v>1</v>
      </c>
      <c r="H1061" t="s">
        <v>46</v>
      </c>
      <c r="I1061" t="s">
        <v>1957</v>
      </c>
      <c r="J1061" t="s">
        <v>5230</v>
      </c>
      <c r="K1061" t="s">
        <v>5227</v>
      </c>
      <c r="L1061" s="11" t="s">
        <v>5231</v>
      </c>
    </row>
    <row r="1062" spans="1:12">
      <c r="A1062" t="s">
        <v>5232</v>
      </c>
      <c r="B1062" s="8">
        <v>2.573</v>
      </c>
      <c r="C1062" s="9">
        <v>1075</v>
      </c>
      <c r="D1062">
        <v>3</v>
      </c>
      <c r="E1062">
        <v>3</v>
      </c>
      <c r="F1062">
        <v>3</v>
      </c>
      <c r="G1062" s="10">
        <v>1</v>
      </c>
      <c r="H1062" t="s">
        <v>46</v>
      </c>
      <c r="I1062" t="s">
        <v>1957</v>
      </c>
      <c r="J1062" t="s">
        <v>5230</v>
      </c>
      <c r="K1062" t="s">
        <v>5227</v>
      </c>
      <c r="L1062" s="11" t="s">
        <v>5231</v>
      </c>
    </row>
    <row r="1063" spans="1:12">
      <c r="A1063" t="s">
        <v>5233</v>
      </c>
      <c r="B1063" s="8">
        <v>4.1870000000000003</v>
      </c>
      <c r="C1063" s="9">
        <v>200</v>
      </c>
      <c r="D1063">
        <v>3</v>
      </c>
      <c r="E1063">
        <v>3</v>
      </c>
      <c r="F1063">
        <v>3</v>
      </c>
      <c r="G1063" s="10">
        <v>1</v>
      </c>
      <c r="H1063" t="s">
        <v>46</v>
      </c>
      <c r="I1063" t="s">
        <v>1957</v>
      </c>
      <c r="J1063" t="s">
        <v>5234</v>
      </c>
      <c r="K1063" t="s">
        <v>5235</v>
      </c>
      <c r="L1063" s="11" t="s">
        <v>5234</v>
      </c>
    </row>
    <row r="1064" spans="1:12">
      <c r="A1064" t="s">
        <v>5236</v>
      </c>
      <c r="B1064" s="8">
        <v>4.1870000000000003</v>
      </c>
      <c r="C1064" s="9">
        <v>382</v>
      </c>
      <c r="D1064">
        <v>3</v>
      </c>
      <c r="E1064">
        <v>3</v>
      </c>
      <c r="F1064">
        <v>3</v>
      </c>
      <c r="G1064" s="10">
        <v>1</v>
      </c>
      <c r="H1064" t="s">
        <v>46</v>
      </c>
      <c r="I1064" t="s">
        <v>1957</v>
      </c>
      <c r="J1064" t="s">
        <v>5234</v>
      </c>
      <c r="K1064" t="s">
        <v>5235</v>
      </c>
      <c r="L1064" s="11" t="s">
        <v>5234</v>
      </c>
    </row>
    <row r="1065" spans="1:12">
      <c r="A1065" t="s">
        <v>5237</v>
      </c>
      <c r="B1065" s="8">
        <v>12.291</v>
      </c>
      <c r="C1065" s="9">
        <v>189</v>
      </c>
      <c r="D1065">
        <v>10</v>
      </c>
      <c r="E1065">
        <v>10</v>
      </c>
      <c r="F1065">
        <v>8</v>
      </c>
      <c r="G1065" s="10">
        <v>0.8</v>
      </c>
      <c r="H1065" t="s">
        <v>46</v>
      </c>
      <c r="I1065" t="s">
        <v>1957</v>
      </c>
      <c r="J1065" t="s">
        <v>5238</v>
      </c>
      <c r="K1065" t="s">
        <v>5239</v>
      </c>
      <c r="L1065" s="11" t="s">
        <v>5240</v>
      </c>
    </row>
    <row r="1066" spans="1:12">
      <c r="A1066" t="s">
        <v>5241</v>
      </c>
      <c r="B1066" s="8">
        <v>12.401999999999999</v>
      </c>
      <c r="C1066" s="9">
        <v>457</v>
      </c>
      <c r="D1066">
        <v>10</v>
      </c>
      <c r="E1066">
        <v>10</v>
      </c>
      <c r="F1066">
        <v>8</v>
      </c>
      <c r="G1066" s="10">
        <v>0.8</v>
      </c>
      <c r="H1066" t="s">
        <v>46</v>
      </c>
      <c r="I1066" t="s">
        <v>1957</v>
      </c>
      <c r="J1066" t="s">
        <v>5242</v>
      </c>
      <c r="K1066" t="s">
        <v>5243</v>
      </c>
      <c r="L1066" s="11" t="s">
        <v>5240</v>
      </c>
    </row>
    <row r="1067" spans="1:12">
      <c r="A1067" t="s">
        <v>5244</v>
      </c>
      <c r="B1067" s="8">
        <v>9.4290000000000003</v>
      </c>
      <c r="C1067" s="9">
        <v>95</v>
      </c>
      <c r="D1067">
        <v>6</v>
      </c>
      <c r="E1067">
        <v>6</v>
      </c>
      <c r="F1067">
        <v>6</v>
      </c>
      <c r="G1067" s="10">
        <v>1</v>
      </c>
      <c r="H1067" t="s">
        <v>46</v>
      </c>
      <c r="I1067" t="s">
        <v>1957</v>
      </c>
      <c r="J1067" t="s">
        <v>5245</v>
      </c>
      <c r="K1067" t="s">
        <v>5246</v>
      </c>
      <c r="L1067" s="11" t="s">
        <v>5247</v>
      </c>
    </row>
    <row r="1068" spans="1:12">
      <c r="A1068" t="s">
        <v>5248</v>
      </c>
      <c r="B1068" s="8">
        <v>4.3789999999999996</v>
      </c>
      <c r="C1068" s="9">
        <v>418</v>
      </c>
      <c r="D1068">
        <v>6</v>
      </c>
      <c r="E1068">
        <v>6</v>
      </c>
      <c r="F1068">
        <v>5</v>
      </c>
      <c r="G1068" s="10">
        <v>0.83333333333333337</v>
      </c>
      <c r="H1068" t="s">
        <v>46</v>
      </c>
      <c r="I1068" t="s">
        <v>1957</v>
      </c>
      <c r="J1068" t="s">
        <v>5249</v>
      </c>
      <c r="K1068" t="s">
        <v>5250</v>
      </c>
      <c r="L1068" s="11" t="s">
        <v>5214</v>
      </c>
    </row>
    <row r="1069" spans="1:12">
      <c r="A1069" t="s">
        <v>5251</v>
      </c>
      <c r="B1069" s="8">
        <v>12.287000000000001</v>
      </c>
      <c r="C1069" s="9">
        <v>216</v>
      </c>
      <c r="D1069">
        <v>12</v>
      </c>
      <c r="E1069">
        <v>11</v>
      </c>
      <c r="F1069">
        <v>10</v>
      </c>
      <c r="G1069" s="10">
        <v>0.83333333333333337</v>
      </c>
      <c r="H1069" t="s">
        <v>46</v>
      </c>
      <c r="I1069" t="s">
        <v>1957</v>
      </c>
      <c r="J1069" t="s">
        <v>5252</v>
      </c>
      <c r="K1069" t="s">
        <v>5253</v>
      </c>
      <c r="L1069" s="11" t="s">
        <v>5254</v>
      </c>
    </row>
    <row r="1070" spans="1:12">
      <c r="A1070" t="s">
        <v>5255</v>
      </c>
      <c r="B1070" s="8">
        <v>13.625</v>
      </c>
      <c r="C1070" s="9">
        <v>317</v>
      </c>
      <c r="D1070">
        <v>9</v>
      </c>
      <c r="E1070">
        <v>9</v>
      </c>
      <c r="F1070">
        <v>7</v>
      </c>
      <c r="G1070" s="10">
        <v>0.77777777777777779</v>
      </c>
      <c r="H1070" t="s">
        <v>46</v>
      </c>
      <c r="I1070" t="s">
        <v>1957</v>
      </c>
      <c r="J1070" t="s">
        <v>5256</v>
      </c>
      <c r="K1070" t="s">
        <v>5257</v>
      </c>
      <c r="L1070" s="11" t="s">
        <v>5258</v>
      </c>
    </row>
    <row r="1071" spans="1:12">
      <c r="A1071" t="s">
        <v>5259</v>
      </c>
      <c r="B1071" s="8">
        <v>6.0670000000000002</v>
      </c>
      <c r="C1071" s="9">
        <v>32</v>
      </c>
      <c r="D1071">
        <v>5</v>
      </c>
      <c r="E1071">
        <v>5</v>
      </c>
      <c r="F1071">
        <v>5</v>
      </c>
      <c r="G1071" s="10">
        <v>1</v>
      </c>
      <c r="H1071" t="s">
        <v>46</v>
      </c>
      <c r="I1071" t="s">
        <v>1957</v>
      </c>
      <c r="J1071" t="s">
        <v>5260</v>
      </c>
      <c r="K1071" t="s">
        <v>5261</v>
      </c>
      <c r="L1071" s="11" t="s">
        <v>5247</v>
      </c>
    </row>
    <row r="1072" spans="1:12">
      <c r="A1072" t="s">
        <v>5262</v>
      </c>
      <c r="B1072" s="8">
        <v>2.5430000000000001</v>
      </c>
      <c r="C1072" s="9">
        <v>7.8</v>
      </c>
      <c r="D1072">
        <v>2</v>
      </c>
      <c r="E1072">
        <v>2</v>
      </c>
      <c r="F1072">
        <v>2</v>
      </c>
      <c r="G1072" s="10">
        <v>1</v>
      </c>
      <c r="H1072" t="s">
        <v>46</v>
      </c>
      <c r="I1072" t="s">
        <v>1957</v>
      </c>
      <c r="J1072" t="s">
        <v>5263</v>
      </c>
      <c r="K1072" t="s">
        <v>5264</v>
      </c>
      <c r="L1072" s="11" t="s">
        <v>5265</v>
      </c>
    </row>
    <row r="1073" spans="1:12">
      <c r="A1073" t="s">
        <v>5266</v>
      </c>
      <c r="B1073" s="8">
        <v>3.4990000000000001</v>
      </c>
      <c r="C1073" s="9">
        <v>15</v>
      </c>
      <c r="D1073">
        <v>3</v>
      </c>
      <c r="E1073">
        <v>3</v>
      </c>
      <c r="F1073">
        <v>2</v>
      </c>
      <c r="G1073" s="10">
        <v>0.66666666666666663</v>
      </c>
      <c r="H1073" t="s">
        <v>46</v>
      </c>
      <c r="I1073" t="s">
        <v>1957</v>
      </c>
      <c r="J1073" t="s">
        <v>5267</v>
      </c>
      <c r="K1073" t="s">
        <v>5268</v>
      </c>
      <c r="L1073" s="11" t="s">
        <v>5269</v>
      </c>
    </row>
    <row r="1074" spans="1:12">
      <c r="A1074" t="s">
        <v>5270</v>
      </c>
      <c r="B1074" s="8">
        <v>43.802999999999997</v>
      </c>
      <c r="C1074" s="9">
        <v>72</v>
      </c>
      <c r="D1074">
        <v>34</v>
      </c>
      <c r="E1074">
        <v>33</v>
      </c>
      <c r="F1074">
        <v>30</v>
      </c>
      <c r="G1074" s="10">
        <v>0.88235294117647056</v>
      </c>
      <c r="H1074" t="s">
        <v>46</v>
      </c>
      <c r="I1074" t="s">
        <v>1957</v>
      </c>
      <c r="J1074" t="s">
        <v>5271</v>
      </c>
      <c r="K1074" t="s">
        <v>5272</v>
      </c>
      <c r="L1074" s="11" t="s">
        <v>5273</v>
      </c>
    </row>
    <row r="1075" spans="1:12">
      <c r="A1075" t="s">
        <v>5274</v>
      </c>
      <c r="B1075" s="8">
        <v>7.2889999999999997</v>
      </c>
      <c r="C1075" s="9">
        <v>190</v>
      </c>
      <c r="D1075">
        <v>8</v>
      </c>
      <c r="E1075">
        <v>6</v>
      </c>
      <c r="F1075">
        <v>6</v>
      </c>
      <c r="G1075" s="10">
        <v>0.75</v>
      </c>
      <c r="H1075" t="s">
        <v>46</v>
      </c>
      <c r="I1075" t="s">
        <v>1957</v>
      </c>
      <c r="J1075" t="s">
        <v>5275</v>
      </c>
      <c r="K1075" t="s">
        <v>5276</v>
      </c>
      <c r="L1075" s="11" t="s">
        <v>5277</v>
      </c>
    </row>
    <row r="1076" spans="1:12">
      <c r="A1076" t="s">
        <v>5278</v>
      </c>
      <c r="B1076" s="8">
        <v>2.4319999999999999</v>
      </c>
      <c r="C1076" s="9">
        <v>33</v>
      </c>
      <c r="D1076">
        <v>2</v>
      </c>
      <c r="E1076">
        <v>2</v>
      </c>
      <c r="F1076">
        <v>2</v>
      </c>
      <c r="G1076" s="10">
        <v>1</v>
      </c>
      <c r="H1076" t="s">
        <v>46</v>
      </c>
      <c r="I1076" t="s">
        <v>1957</v>
      </c>
      <c r="J1076" t="s">
        <v>5279</v>
      </c>
      <c r="K1076" t="s">
        <v>5280</v>
      </c>
      <c r="L1076" s="11" t="s">
        <v>5265</v>
      </c>
    </row>
    <row r="1077" spans="1:12">
      <c r="A1077" t="s">
        <v>5281</v>
      </c>
      <c r="B1077" s="8">
        <v>3.661</v>
      </c>
      <c r="C1077" s="9">
        <v>17</v>
      </c>
      <c r="D1077">
        <v>2</v>
      </c>
      <c r="E1077">
        <v>2</v>
      </c>
      <c r="F1077">
        <v>2</v>
      </c>
      <c r="G1077" s="10">
        <v>1</v>
      </c>
      <c r="H1077" t="s">
        <v>46</v>
      </c>
      <c r="I1077" t="s">
        <v>1957</v>
      </c>
      <c r="J1077" t="s">
        <v>5279</v>
      </c>
      <c r="K1077" t="s">
        <v>5280</v>
      </c>
      <c r="L1077" s="11" t="s">
        <v>5282</v>
      </c>
    </row>
    <row r="1078" spans="1:12">
      <c r="A1078" t="s">
        <v>5283</v>
      </c>
      <c r="B1078" s="8">
        <v>4.7439999999999998</v>
      </c>
      <c r="C1078" s="9">
        <v>8.1</v>
      </c>
      <c r="D1078">
        <v>5</v>
      </c>
      <c r="E1078">
        <v>3</v>
      </c>
      <c r="F1078">
        <v>4</v>
      </c>
      <c r="G1078" s="10">
        <v>0.8</v>
      </c>
      <c r="H1078" t="s">
        <v>46</v>
      </c>
      <c r="I1078" t="s">
        <v>1957</v>
      </c>
      <c r="J1078" t="s">
        <v>5284</v>
      </c>
      <c r="K1078" t="s">
        <v>5285</v>
      </c>
      <c r="L1078" s="11" t="s">
        <v>5286</v>
      </c>
    </row>
    <row r="1079" spans="1:12">
      <c r="A1079" t="s">
        <v>5287</v>
      </c>
      <c r="B1079" s="8">
        <v>2.4740000000000002</v>
      </c>
      <c r="C1079" s="9">
        <v>11</v>
      </c>
      <c r="D1079">
        <v>4</v>
      </c>
      <c r="E1079">
        <v>4</v>
      </c>
      <c r="F1079">
        <v>4</v>
      </c>
      <c r="G1079" s="10">
        <v>1</v>
      </c>
      <c r="H1079" t="s">
        <v>46</v>
      </c>
      <c r="I1079" t="s">
        <v>1957</v>
      </c>
      <c r="J1079" t="s">
        <v>5288</v>
      </c>
      <c r="K1079" t="s">
        <v>5289</v>
      </c>
      <c r="L1079" s="11" t="s">
        <v>5290</v>
      </c>
    </row>
    <row r="1080" spans="1:12">
      <c r="A1080" t="s">
        <v>5291</v>
      </c>
      <c r="B1080" s="8">
        <v>3.4689999999999999</v>
      </c>
      <c r="C1080" s="9">
        <v>11</v>
      </c>
      <c r="D1080">
        <v>2</v>
      </c>
      <c r="E1080">
        <v>2</v>
      </c>
      <c r="F1080">
        <v>2</v>
      </c>
      <c r="G1080" s="10">
        <v>1</v>
      </c>
      <c r="H1080" t="s">
        <v>46</v>
      </c>
      <c r="I1080" t="s">
        <v>1957</v>
      </c>
      <c r="J1080" t="s">
        <v>5292</v>
      </c>
      <c r="K1080" t="s">
        <v>5293</v>
      </c>
      <c r="L1080" s="11" t="s">
        <v>5292</v>
      </c>
    </row>
    <row r="1081" spans="1:12">
      <c r="A1081" t="s">
        <v>5294</v>
      </c>
      <c r="B1081" s="8">
        <v>5.1509999999999998</v>
      </c>
      <c r="C1081" s="9">
        <v>166</v>
      </c>
      <c r="D1081">
        <v>2</v>
      </c>
      <c r="E1081">
        <v>2</v>
      </c>
      <c r="F1081">
        <v>1</v>
      </c>
      <c r="G1081" s="10">
        <v>0.5</v>
      </c>
      <c r="H1081" t="s">
        <v>46</v>
      </c>
      <c r="I1081" t="s">
        <v>1957</v>
      </c>
      <c r="J1081" t="s">
        <v>5295</v>
      </c>
      <c r="K1081" t="s">
        <v>5296</v>
      </c>
      <c r="L1081" s="11" t="s">
        <v>5297</v>
      </c>
    </row>
    <row r="1082" spans="1:12">
      <c r="A1082" t="s">
        <v>5298</v>
      </c>
      <c r="B1082" s="8">
        <v>2.524</v>
      </c>
      <c r="C1082" s="9">
        <v>15</v>
      </c>
      <c r="D1082">
        <v>3</v>
      </c>
      <c r="E1082">
        <v>2</v>
      </c>
      <c r="F1082">
        <v>2</v>
      </c>
      <c r="G1082" s="10">
        <v>0.66666666666666663</v>
      </c>
      <c r="H1082" t="s">
        <v>46</v>
      </c>
      <c r="I1082" t="s">
        <v>1957</v>
      </c>
      <c r="J1082" t="s">
        <v>5299</v>
      </c>
      <c r="K1082" t="s">
        <v>5300</v>
      </c>
      <c r="L1082" s="11" t="s">
        <v>5301</v>
      </c>
    </row>
    <row r="1083" spans="1:12">
      <c r="A1083" t="s">
        <v>5302</v>
      </c>
      <c r="B1083" s="8">
        <v>4.5140000000000002</v>
      </c>
      <c r="C1083" s="9">
        <v>67</v>
      </c>
      <c r="D1083">
        <v>2</v>
      </c>
      <c r="E1083">
        <v>2</v>
      </c>
      <c r="F1083">
        <v>1</v>
      </c>
      <c r="G1083" s="10">
        <v>0.5</v>
      </c>
      <c r="H1083" t="s">
        <v>46</v>
      </c>
      <c r="I1083" t="s">
        <v>1957</v>
      </c>
      <c r="J1083" t="s">
        <v>5303</v>
      </c>
      <c r="K1083" t="s">
        <v>5304</v>
      </c>
      <c r="L1083" s="11" t="s">
        <v>4808</v>
      </c>
    </row>
    <row r="1084" spans="1:12">
      <c r="A1084" t="s">
        <v>5305</v>
      </c>
      <c r="B1084" s="8">
        <v>4.7919999999999998</v>
      </c>
      <c r="C1084" s="9">
        <v>15</v>
      </c>
      <c r="D1084">
        <v>3</v>
      </c>
      <c r="E1084">
        <v>3</v>
      </c>
      <c r="F1084">
        <v>2</v>
      </c>
      <c r="G1084" s="10">
        <v>0.66666666666666663</v>
      </c>
      <c r="H1084" t="s">
        <v>46</v>
      </c>
      <c r="I1084" t="s">
        <v>1957</v>
      </c>
      <c r="J1084" t="s">
        <v>5306</v>
      </c>
      <c r="K1084" t="s">
        <v>5307</v>
      </c>
      <c r="L1084" s="11" t="s">
        <v>5308</v>
      </c>
    </row>
    <row r="1085" spans="1:12">
      <c r="A1085" t="s">
        <v>5309</v>
      </c>
      <c r="B1085" s="8">
        <v>6.9009999999999998</v>
      </c>
      <c r="C1085" s="9">
        <v>30</v>
      </c>
      <c r="D1085">
        <v>4</v>
      </c>
      <c r="E1085">
        <v>4</v>
      </c>
      <c r="F1085">
        <v>2</v>
      </c>
      <c r="G1085" s="10">
        <v>0.5</v>
      </c>
      <c r="H1085" t="s">
        <v>46</v>
      </c>
      <c r="I1085" t="s">
        <v>1957</v>
      </c>
      <c r="J1085" t="s">
        <v>5310</v>
      </c>
      <c r="K1085" t="s">
        <v>5311</v>
      </c>
      <c r="L1085" s="11" t="s">
        <v>5312</v>
      </c>
    </row>
    <row r="1086" spans="1:12">
      <c r="A1086" t="s">
        <v>5313</v>
      </c>
      <c r="B1086" s="8">
        <v>2.06</v>
      </c>
      <c r="C1086" s="9">
        <v>11</v>
      </c>
      <c r="D1086">
        <v>2</v>
      </c>
      <c r="E1086">
        <v>2</v>
      </c>
      <c r="F1086">
        <v>2</v>
      </c>
      <c r="G1086" s="10">
        <v>1</v>
      </c>
      <c r="H1086" t="s">
        <v>46</v>
      </c>
      <c r="I1086" t="s">
        <v>1957</v>
      </c>
      <c r="J1086" t="s">
        <v>5314</v>
      </c>
      <c r="K1086" t="s">
        <v>5315</v>
      </c>
      <c r="L1086" s="11" t="s">
        <v>4776</v>
      </c>
    </row>
    <row r="1087" spans="1:12">
      <c r="A1087" t="s">
        <v>5316</v>
      </c>
      <c r="B1087" s="8">
        <v>43.228000000000002</v>
      </c>
      <c r="C1087" s="9">
        <v>64</v>
      </c>
      <c r="D1087">
        <v>26</v>
      </c>
      <c r="E1087">
        <v>26</v>
      </c>
      <c r="F1087">
        <v>23</v>
      </c>
      <c r="G1087" s="10">
        <v>0.88461538461538458</v>
      </c>
      <c r="H1087" t="s">
        <v>46</v>
      </c>
      <c r="I1087" t="s">
        <v>1957</v>
      </c>
      <c r="J1087" t="s">
        <v>5317</v>
      </c>
      <c r="K1087" t="s">
        <v>5318</v>
      </c>
      <c r="L1087" s="11" t="s">
        <v>5319</v>
      </c>
    </row>
    <row r="1088" spans="1:12">
      <c r="A1088" t="s">
        <v>5320</v>
      </c>
      <c r="B1088" s="8">
        <v>2.8809999999999998</v>
      </c>
      <c r="C1088" s="9">
        <v>22</v>
      </c>
      <c r="D1088">
        <v>2</v>
      </c>
      <c r="E1088">
        <v>2</v>
      </c>
      <c r="F1088">
        <v>1</v>
      </c>
      <c r="G1088" s="10">
        <v>0.5</v>
      </c>
      <c r="H1088" t="s">
        <v>46</v>
      </c>
      <c r="I1088" t="s">
        <v>1957</v>
      </c>
      <c r="J1088" t="s">
        <v>5321</v>
      </c>
      <c r="K1088" t="s">
        <v>5322</v>
      </c>
      <c r="L1088" s="11" t="s">
        <v>5323</v>
      </c>
    </row>
    <row r="1089" spans="1:12">
      <c r="A1089" t="s">
        <v>5324</v>
      </c>
      <c r="B1089" s="8">
        <v>2.92</v>
      </c>
      <c r="C1089" s="9">
        <v>20</v>
      </c>
      <c r="D1089">
        <v>2</v>
      </c>
      <c r="E1089">
        <v>2</v>
      </c>
      <c r="F1089">
        <v>1</v>
      </c>
      <c r="G1089" s="10">
        <v>0.5</v>
      </c>
      <c r="H1089" t="s">
        <v>46</v>
      </c>
      <c r="I1089" t="s">
        <v>1957</v>
      </c>
      <c r="J1089" t="s">
        <v>5325</v>
      </c>
      <c r="K1089" t="s">
        <v>5326</v>
      </c>
      <c r="L1089" s="11" t="s">
        <v>5327</v>
      </c>
    </row>
    <row r="1090" spans="1:12">
      <c r="A1090" t="s">
        <v>5328</v>
      </c>
      <c r="B1090" s="8">
        <v>5.0919999999999996</v>
      </c>
      <c r="C1090" s="9">
        <v>27</v>
      </c>
      <c r="D1090">
        <v>1</v>
      </c>
      <c r="E1090">
        <v>1</v>
      </c>
      <c r="F1090">
        <v>1</v>
      </c>
      <c r="G1090" s="10">
        <v>1</v>
      </c>
      <c r="H1090" t="s">
        <v>46</v>
      </c>
      <c r="I1090" t="s">
        <v>1957</v>
      </c>
      <c r="J1090" t="s">
        <v>5329</v>
      </c>
      <c r="K1090" t="s">
        <v>5330</v>
      </c>
      <c r="L1090" s="11" t="s">
        <v>5329</v>
      </c>
    </row>
    <row r="1091" spans="1:12">
      <c r="A1091" t="s">
        <v>5331</v>
      </c>
      <c r="B1091" s="8">
        <v>2.7450000000000001</v>
      </c>
      <c r="C1091" s="9">
        <v>16</v>
      </c>
      <c r="D1091">
        <v>3</v>
      </c>
      <c r="E1091">
        <v>3</v>
      </c>
      <c r="F1091">
        <v>3</v>
      </c>
      <c r="G1091" s="10">
        <v>1</v>
      </c>
      <c r="H1091" t="s">
        <v>46</v>
      </c>
      <c r="I1091" t="s">
        <v>1957</v>
      </c>
      <c r="J1091" t="s">
        <v>5332</v>
      </c>
      <c r="K1091" t="s">
        <v>5333</v>
      </c>
      <c r="L1091" s="11" t="s">
        <v>5332</v>
      </c>
    </row>
    <row r="1092" spans="1:12">
      <c r="A1092" t="s">
        <v>5334</v>
      </c>
      <c r="B1092" s="8">
        <v>3.1819999999999999</v>
      </c>
      <c r="C1092" s="9">
        <v>14</v>
      </c>
      <c r="D1092">
        <v>3</v>
      </c>
      <c r="E1092">
        <v>3</v>
      </c>
      <c r="F1092">
        <v>3</v>
      </c>
      <c r="G1092" s="10">
        <v>1</v>
      </c>
      <c r="H1092" t="s">
        <v>46</v>
      </c>
      <c r="I1092" t="s">
        <v>1957</v>
      </c>
      <c r="J1092" t="s">
        <v>5332</v>
      </c>
      <c r="K1092" t="s">
        <v>5333</v>
      </c>
      <c r="L1092" s="11" t="s">
        <v>5332</v>
      </c>
    </row>
    <row r="1093" spans="1:12">
      <c r="A1093" t="s">
        <v>5335</v>
      </c>
      <c r="B1093" s="8">
        <v>3.4740000000000002</v>
      </c>
      <c r="C1093" s="9">
        <v>19</v>
      </c>
      <c r="D1093">
        <v>2</v>
      </c>
      <c r="E1093">
        <v>2</v>
      </c>
      <c r="F1093">
        <v>2</v>
      </c>
      <c r="G1093" s="10">
        <v>1</v>
      </c>
      <c r="H1093" t="s">
        <v>46</v>
      </c>
      <c r="I1093" t="s">
        <v>1957</v>
      </c>
      <c r="J1093" t="s">
        <v>5336</v>
      </c>
      <c r="K1093" t="s">
        <v>5333</v>
      </c>
      <c r="L1093" s="11" t="s">
        <v>5337</v>
      </c>
    </row>
    <row r="1094" spans="1:12">
      <c r="A1094" t="s">
        <v>5338</v>
      </c>
      <c r="B1094" s="8">
        <v>3.8170000000000002</v>
      </c>
      <c r="C1094" s="9">
        <v>9.6999999999999993</v>
      </c>
      <c r="D1094">
        <v>2</v>
      </c>
      <c r="E1094">
        <v>2</v>
      </c>
      <c r="F1094">
        <v>2</v>
      </c>
      <c r="G1094" s="10">
        <v>1</v>
      </c>
      <c r="H1094" t="s">
        <v>46</v>
      </c>
      <c r="I1094" t="s">
        <v>1957</v>
      </c>
      <c r="J1094" t="s">
        <v>5339</v>
      </c>
      <c r="K1094" t="s">
        <v>5333</v>
      </c>
      <c r="L1094" s="11" t="s">
        <v>5339</v>
      </c>
    </row>
    <row r="1095" spans="1:12">
      <c r="A1095" t="s">
        <v>5340</v>
      </c>
      <c r="B1095" s="8">
        <v>3.548</v>
      </c>
      <c r="C1095" s="9">
        <v>13</v>
      </c>
      <c r="D1095">
        <v>5</v>
      </c>
      <c r="E1095">
        <v>5</v>
      </c>
      <c r="F1095">
        <v>5</v>
      </c>
      <c r="G1095" s="10">
        <v>1</v>
      </c>
      <c r="H1095" t="s">
        <v>46</v>
      </c>
      <c r="I1095" t="s">
        <v>1957</v>
      </c>
      <c r="J1095" t="s">
        <v>5341</v>
      </c>
      <c r="K1095" t="s">
        <v>5342</v>
      </c>
      <c r="L1095" s="11" t="s">
        <v>5343</v>
      </c>
    </row>
    <row r="1096" spans="1:12">
      <c r="A1096" t="s">
        <v>5344</v>
      </c>
      <c r="B1096" s="8">
        <v>2.129</v>
      </c>
      <c r="C1096" s="9">
        <v>12</v>
      </c>
      <c r="D1096">
        <v>2</v>
      </c>
      <c r="E1096">
        <v>2</v>
      </c>
      <c r="F1096">
        <v>1</v>
      </c>
      <c r="G1096" s="10">
        <v>0.5</v>
      </c>
      <c r="H1096" t="s">
        <v>46</v>
      </c>
      <c r="I1096" t="s">
        <v>1957</v>
      </c>
      <c r="J1096" t="s">
        <v>5345</v>
      </c>
      <c r="K1096" t="s">
        <v>5346</v>
      </c>
      <c r="L1096" s="11" t="s">
        <v>5347</v>
      </c>
    </row>
    <row r="1097" spans="1:12">
      <c r="A1097" t="s">
        <v>5348</v>
      </c>
      <c r="B1097" s="8">
        <v>5.26</v>
      </c>
      <c r="C1097" s="9">
        <v>14</v>
      </c>
      <c r="D1097">
        <v>6</v>
      </c>
      <c r="E1097">
        <v>6</v>
      </c>
      <c r="F1097">
        <v>6</v>
      </c>
      <c r="G1097" s="10">
        <v>1</v>
      </c>
      <c r="H1097" t="s">
        <v>46</v>
      </c>
      <c r="I1097" t="s">
        <v>1957</v>
      </c>
      <c r="J1097" t="s">
        <v>5349</v>
      </c>
      <c r="K1097" t="s">
        <v>5350</v>
      </c>
      <c r="L1097" s="11" t="s">
        <v>5351</v>
      </c>
    </row>
    <row r="1098" spans="1:12">
      <c r="A1098" t="s">
        <v>5352</v>
      </c>
      <c r="B1098" s="8">
        <v>5.6219999999999999</v>
      </c>
      <c r="C1098" s="9">
        <v>87</v>
      </c>
      <c r="D1098">
        <v>6</v>
      </c>
      <c r="E1098">
        <v>6</v>
      </c>
      <c r="F1098">
        <v>6</v>
      </c>
      <c r="G1098" s="10">
        <v>1</v>
      </c>
      <c r="H1098" t="s">
        <v>46</v>
      </c>
      <c r="I1098" t="s">
        <v>1957</v>
      </c>
      <c r="J1098" t="s">
        <v>5353</v>
      </c>
      <c r="K1098" t="s">
        <v>5354</v>
      </c>
      <c r="L1098" s="11" t="s">
        <v>5355</v>
      </c>
    </row>
    <row r="1099" spans="1:12">
      <c r="A1099" t="s">
        <v>5356</v>
      </c>
      <c r="B1099" s="8">
        <v>4.8339999999999996</v>
      </c>
      <c r="C1099" s="9">
        <v>14</v>
      </c>
      <c r="D1099">
        <v>2</v>
      </c>
      <c r="E1099">
        <v>2</v>
      </c>
      <c r="F1099">
        <v>1</v>
      </c>
      <c r="G1099" s="10">
        <v>0.5</v>
      </c>
      <c r="H1099" t="s">
        <v>46</v>
      </c>
      <c r="I1099" t="s">
        <v>1957</v>
      </c>
      <c r="J1099" t="s">
        <v>5357</v>
      </c>
      <c r="K1099" t="s">
        <v>5358</v>
      </c>
      <c r="L1099" s="11" t="s">
        <v>5347</v>
      </c>
    </row>
    <row r="1100" spans="1:12">
      <c r="A1100" t="s">
        <v>5359</v>
      </c>
      <c r="B1100" s="8">
        <v>2.7829999999999999</v>
      </c>
      <c r="C1100" s="9">
        <v>11</v>
      </c>
      <c r="D1100">
        <v>5</v>
      </c>
      <c r="E1100">
        <v>5</v>
      </c>
      <c r="F1100">
        <v>3</v>
      </c>
      <c r="G1100" s="10">
        <v>0.6</v>
      </c>
      <c r="H1100" t="s">
        <v>46</v>
      </c>
      <c r="I1100" t="s">
        <v>1957</v>
      </c>
      <c r="J1100" t="s">
        <v>5360</v>
      </c>
      <c r="K1100" t="s">
        <v>5361</v>
      </c>
      <c r="L1100" s="11" t="s">
        <v>5339</v>
      </c>
    </row>
    <row r="1101" spans="1:12">
      <c r="A1101" t="s">
        <v>5362</v>
      </c>
      <c r="B1101" s="8">
        <v>3.39</v>
      </c>
      <c r="C1101" s="9">
        <v>12</v>
      </c>
      <c r="D1101">
        <v>4</v>
      </c>
      <c r="E1101">
        <v>4</v>
      </c>
      <c r="F1101">
        <v>3</v>
      </c>
      <c r="G1101" s="10">
        <v>0.75</v>
      </c>
      <c r="H1101" t="s">
        <v>46</v>
      </c>
      <c r="I1101" t="s">
        <v>1957</v>
      </c>
      <c r="J1101" t="s">
        <v>5363</v>
      </c>
      <c r="K1101" t="s">
        <v>5364</v>
      </c>
      <c r="L1101" s="11" t="s">
        <v>5365</v>
      </c>
    </row>
    <row r="1102" spans="1:12">
      <c r="A1102" t="s">
        <v>5366</v>
      </c>
      <c r="B1102" s="8">
        <v>59.689</v>
      </c>
      <c r="C1102" s="9">
        <v>63</v>
      </c>
      <c r="D1102">
        <v>53</v>
      </c>
      <c r="E1102">
        <v>51</v>
      </c>
      <c r="F1102">
        <v>45</v>
      </c>
      <c r="G1102" s="10">
        <v>0.84905660377358494</v>
      </c>
      <c r="H1102" t="s">
        <v>46</v>
      </c>
      <c r="I1102" t="s">
        <v>1957</v>
      </c>
      <c r="J1102" t="s">
        <v>5367</v>
      </c>
      <c r="K1102" t="s">
        <v>5368</v>
      </c>
      <c r="L1102" s="11" t="s">
        <v>5369</v>
      </c>
    </row>
    <row r="1103" spans="1:12">
      <c r="A1103" t="s">
        <v>5370</v>
      </c>
      <c r="B1103" s="8">
        <v>2.774</v>
      </c>
      <c r="C1103" s="9">
        <v>12</v>
      </c>
      <c r="D1103">
        <v>2</v>
      </c>
      <c r="E1103">
        <v>2</v>
      </c>
      <c r="F1103">
        <v>2</v>
      </c>
      <c r="G1103" s="10">
        <v>1</v>
      </c>
      <c r="H1103" t="s">
        <v>46</v>
      </c>
      <c r="I1103" t="s">
        <v>1957</v>
      </c>
      <c r="J1103" t="s">
        <v>5337</v>
      </c>
      <c r="K1103" t="s">
        <v>5371</v>
      </c>
      <c r="L1103" s="11" t="s">
        <v>5336</v>
      </c>
    </row>
    <row r="1104" spans="1:12">
      <c r="A1104" t="s">
        <v>5372</v>
      </c>
      <c r="B1104" s="8">
        <v>2.016</v>
      </c>
      <c r="C1104" s="9">
        <v>17</v>
      </c>
      <c r="D1104">
        <v>1</v>
      </c>
      <c r="E1104">
        <v>1</v>
      </c>
      <c r="F1104">
        <v>1</v>
      </c>
      <c r="G1104" s="10">
        <v>1</v>
      </c>
      <c r="H1104" t="s">
        <v>46</v>
      </c>
      <c r="I1104" t="s">
        <v>1957</v>
      </c>
      <c r="J1104" t="s">
        <v>4776</v>
      </c>
      <c r="K1104" t="s">
        <v>5371</v>
      </c>
      <c r="L1104" s="11" t="s">
        <v>4776</v>
      </c>
    </row>
    <row r="1105" spans="1:12">
      <c r="A1105" t="s">
        <v>5373</v>
      </c>
      <c r="B1105" s="8">
        <v>2.4260000000000002</v>
      </c>
      <c r="C1105" s="9">
        <v>11</v>
      </c>
      <c r="D1105">
        <v>1</v>
      </c>
      <c r="E1105">
        <v>1</v>
      </c>
      <c r="F1105">
        <v>1</v>
      </c>
      <c r="G1105" s="10">
        <v>1</v>
      </c>
      <c r="H1105" t="s">
        <v>46</v>
      </c>
      <c r="I1105" t="s">
        <v>1957</v>
      </c>
      <c r="J1105" t="s">
        <v>4776</v>
      </c>
      <c r="K1105" t="s">
        <v>5371</v>
      </c>
      <c r="L1105" s="11" t="s">
        <v>4776</v>
      </c>
    </row>
    <row r="1106" spans="1:12">
      <c r="A1106" t="s">
        <v>5374</v>
      </c>
      <c r="B1106" s="8">
        <v>3.3719999999999999</v>
      </c>
      <c r="C1106" s="9">
        <v>27</v>
      </c>
      <c r="D1106">
        <v>2</v>
      </c>
      <c r="E1106">
        <v>2</v>
      </c>
      <c r="F1106">
        <v>2</v>
      </c>
      <c r="G1106" s="10">
        <v>1</v>
      </c>
      <c r="H1106" t="s">
        <v>46</v>
      </c>
      <c r="I1106" t="s">
        <v>1957</v>
      </c>
      <c r="J1106" t="s">
        <v>5375</v>
      </c>
      <c r="K1106" t="s">
        <v>5376</v>
      </c>
      <c r="L1106" s="11" t="s">
        <v>4776</v>
      </c>
    </row>
    <row r="1107" spans="1:12">
      <c r="A1107" t="s">
        <v>5377</v>
      </c>
      <c r="B1107" s="8">
        <v>3.855</v>
      </c>
      <c r="C1107" s="9">
        <v>13</v>
      </c>
      <c r="D1107">
        <v>4</v>
      </c>
      <c r="E1107">
        <v>4</v>
      </c>
      <c r="F1107">
        <v>4</v>
      </c>
      <c r="G1107" s="10">
        <v>1</v>
      </c>
      <c r="H1107" t="s">
        <v>46</v>
      </c>
      <c r="I1107" t="s">
        <v>1957</v>
      </c>
      <c r="J1107" t="s">
        <v>5378</v>
      </c>
      <c r="K1107" t="s">
        <v>5379</v>
      </c>
      <c r="L1107" s="11" t="s">
        <v>5380</v>
      </c>
    </row>
    <row r="1108" spans="1:12">
      <c r="A1108" t="s">
        <v>5381</v>
      </c>
      <c r="B1108" s="8">
        <v>2.0219999999999998</v>
      </c>
      <c r="C1108" s="9">
        <v>13</v>
      </c>
      <c r="D1108">
        <v>2</v>
      </c>
      <c r="E1108">
        <v>2</v>
      </c>
      <c r="F1108">
        <v>2</v>
      </c>
      <c r="G1108" s="10">
        <v>1</v>
      </c>
      <c r="H1108" t="s">
        <v>46</v>
      </c>
      <c r="I1108" t="s">
        <v>1957</v>
      </c>
      <c r="J1108" t="s">
        <v>5382</v>
      </c>
      <c r="K1108" t="s">
        <v>5383</v>
      </c>
      <c r="L1108" s="11" t="s">
        <v>4776</v>
      </c>
    </row>
    <row r="1109" spans="1:12">
      <c r="A1109" t="s">
        <v>5384</v>
      </c>
      <c r="B1109" s="8">
        <v>3.2160000000000002</v>
      </c>
      <c r="C1109" s="9">
        <v>14</v>
      </c>
      <c r="D1109">
        <v>2</v>
      </c>
      <c r="E1109">
        <v>2</v>
      </c>
      <c r="F1109">
        <v>1</v>
      </c>
      <c r="G1109" s="10">
        <v>0.5</v>
      </c>
      <c r="H1109" t="s">
        <v>46</v>
      </c>
      <c r="I1109" t="s">
        <v>1957</v>
      </c>
      <c r="J1109" t="s">
        <v>5385</v>
      </c>
      <c r="K1109" t="s">
        <v>5386</v>
      </c>
      <c r="L1109" s="11" t="s">
        <v>4776</v>
      </c>
    </row>
    <row r="1110" spans="1:12">
      <c r="A1110" t="s">
        <v>5387</v>
      </c>
      <c r="B1110" s="8">
        <v>2.5259999999999998</v>
      </c>
      <c r="C1110" s="9">
        <v>444</v>
      </c>
      <c r="D1110">
        <v>1</v>
      </c>
      <c r="E1110">
        <v>1</v>
      </c>
      <c r="F1110">
        <v>1</v>
      </c>
      <c r="G1110" s="10">
        <v>1</v>
      </c>
      <c r="H1110" t="s">
        <v>46</v>
      </c>
      <c r="I1110" t="s">
        <v>1957</v>
      </c>
      <c r="J1110" t="s">
        <v>5388</v>
      </c>
      <c r="K1110" t="s">
        <v>5389</v>
      </c>
      <c r="L1110" s="11" t="s">
        <v>5388</v>
      </c>
    </row>
    <row r="1111" spans="1:12">
      <c r="A1111" t="s">
        <v>5390</v>
      </c>
      <c r="B1111" s="8">
        <v>4.8440000000000003</v>
      </c>
      <c r="C1111" s="9">
        <v>227</v>
      </c>
      <c r="D1111">
        <v>1</v>
      </c>
      <c r="E1111">
        <v>1</v>
      </c>
      <c r="F1111">
        <v>1</v>
      </c>
      <c r="G1111" s="10">
        <v>1</v>
      </c>
      <c r="H1111" t="s">
        <v>46</v>
      </c>
      <c r="I1111" t="s">
        <v>1957</v>
      </c>
      <c r="J1111" t="s">
        <v>5388</v>
      </c>
      <c r="K1111" t="s">
        <v>5389</v>
      </c>
      <c r="L1111" s="11" t="s">
        <v>5388</v>
      </c>
    </row>
    <row r="1112" spans="1:12">
      <c r="A1112" t="s">
        <v>5391</v>
      </c>
      <c r="B1112" s="8">
        <v>2.0539999999999998</v>
      </c>
      <c r="C1112" s="9">
        <v>22</v>
      </c>
      <c r="D1112">
        <v>2</v>
      </c>
      <c r="E1112">
        <v>2</v>
      </c>
      <c r="F1112">
        <v>2</v>
      </c>
      <c r="G1112" s="10">
        <v>1</v>
      </c>
      <c r="H1112" t="s">
        <v>46</v>
      </c>
      <c r="I1112" t="s">
        <v>1957</v>
      </c>
      <c r="J1112" t="s">
        <v>5392</v>
      </c>
      <c r="K1112" t="s">
        <v>5393</v>
      </c>
      <c r="L1112" s="11" t="s">
        <v>5388</v>
      </c>
    </row>
    <row r="1113" spans="1:12">
      <c r="A1113" t="s">
        <v>5394</v>
      </c>
      <c r="B1113" s="8">
        <v>2.198</v>
      </c>
      <c r="C1113" s="9">
        <v>13</v>
      </c>
      <c r="D1113">
        <v>2</v>
      </c>
      <c r="E1113">
        <v>2</v>
      </c>
      <c r="F1113">
        <v>2</v>
      </c>
      <c r="G1113" s="10">
        <v>1</v>
      </c>
      <c r="H1113" t="s">
        <v>46</v>
      </c>
      <c r="I1113" t="s">
        <v>1957</v>
      </c>
      <c r="J1113" t="s">
        <v>5395</v>
      </c>
      <c r="K1113" t="s">
        <v>5396</v>
      </c>
      <c r="L1113" s="11" t="s">
        <v>5395</v>
      </c>
    </row>
    <row r="1114" spans="1:12">
      <c r="A1114" t="s">
        <v>5397</v>
      </c>
      <c r="B1114" s="8">
        <v>3.1040000000000001</v>
      </c>
      <c r="C1114" s="9">
        <v>96</v>
      </c>
      <c r="D1114">
        <v>1</v>
      </c>
      <c r="E1114">
        <v>1</v>
      </c>
      <c r="F1114">
        <v>1</v>
      </c>
      <c r="G1114" s="10">
        <v>1</v>
      </c>
      <c r="H1114" t="s">
        <v>46</v>
      </c>
      <c r="I1114" t="s">
        <v>1957</v>
      </c>
      <c r="J1114" t="s">
        <v>5398</v>
      </c>
      <c r="K1114" t="s">
        <v>5396</v>
      </c>
      <c r="L1114" s="11" t="s">
        <v>5398</v>
      </c>
    </row>
    <row r="1115" spans="1:12">
      <c r="A1115" t="s">
        <v>5399</v>
      </c>
      <c r="B1115" s="8">
        <v>2.7610000000000001</v>
      </c>
      <c r="C1115" s="9">
        <v>1269</v>
      </c>
      <c r="D1115">
        <v>5</v>
      </c>
      <c r="E1115">
        <v>5</v>
      </c>
      <c r="F1115">
        <v>5</v>
      </c>
      <c r="G1115" s="10">
        <v>1</v>
      </c>
      <c r="H1115" t="s">
        <v>46</v>
      </c>
      <c r="I1115" t="s">
        <v>1957</v>
      </c>
      <c r="J1115" t="s">
        <v>5400</v>
      </c>
      <c r="K1115" t="s">
        <v>5401</v>
      </c>
      <c r="L1115" s="11" t="s">
        <v>5402</v>
      </c>
    </row>
    <row r="1116" spans="1:12">
      <c r="A1116" t="s">
        <v>5403</v>
      </c>
      <c r="B1116" s="8">
        <v>2.5779999999999998</v>
      </c>
      <c r="C1116" s="9">
        <v>441</v>
      </c>
      <c r="D1116">
        <v>2</v>
      </c>
      <c r="E1116">
        <v>2</v>
      </c>
      <c r="F1116">
        <v>2</v>
      </c>
      <c r="G1116" s="10">
        <v>1</v>
      </c>
      <c r="H1116" t="s">
        <v>46</v>
      </c>
      <c r="I1116" t="s">
        <v>1957</v>
      </c>
      <c r="J1116" t="s">
        <v>5404</v>
      </c>
      <c r="K1116" t="s">
        <v>5405</v>
      </c>
      <c r="L1116" s="11" t="s">
        <v>5398</v>
      </c>
    </row>
    <row r="1117" spans="1:12">
      <c r="A1117" t="s">
        <v>5406</v>
      </c>
      <c r="B1117" s="8">
        <v>3.823</v>
      </c>
      <c r="C1117" s="9">
        <v>59</v>
      </c>
      <c r="D1117">
        <v>6</v>
      </c>
      <c r="E1117">
        <v>6</v>
      </c>
      <c r="F1117">
        <v>5</v>
      </c>
      <c r="G1117" s="10">
        <v>0.83333333333333337</v>
      </c>
      <c r="H1117" t="s">
        <v>46</v>
      </c>
      <c r="I1117" t="s">
        <v>1957</v>
      </c>
      <c r="J1117" t="s">
        <v>5407</v>
      </c>
      <c r="K1117" t="s">
        <v>5408</v>
      </c>
      <c r="L1117" s="11" t="s">
        <v>5409</v>
      </c>
    </row>
    <row r="1118" spans="1:12">
      <c r="A1118" t="s">
        <v>5410</v>
      </c>
      <c r="B1118" s="8">
        <v>4.7720000000000002</v>
      </c>
      <c r="C1118" s="9">
        <v>16</v>
      </c>
      <c r="D1118">
        <v>2</v>
      </c>
      <c r="E1118">
        <v>2</v>
      </c>
      <c r="F1118">
        <v>1</v>
      </c>
      <c r="G1118" s="10">
        <v>0.5</v>
      </c>
      <c r="H1118" t="s">
        <v>46</v>
      </c>
      <c r="I1118" t="s">
        <v>1957</v>
      </c>
      <c r="J1118" t="s">
        <v>5411</v>
      </c>
      <c r="K1118" t="s">
        <v>5412</v>
      </c>
      <c r="L1118" s="11" t="s">
        <v>5413</v>
      </c>
    </row>
    <row r="1119" spans="1:12">
      <c r="A1119" t="s">
        <v>5414</v>
      </c>
      <c r="B1119" s="8">
        <v>5.43</v>
      </c>
      <c r="C1119" s="9">
        <v>20</v>
      </c>
      <c r="D1119">
        <v>1</v>
      </c>
      <c r="E1119">
        <v>1</v>
      </c>
      <c r="F1119">
        <v>1</v>
      </c>
      <c r="G1119" s="10">
        <v>1</v>
      </c>
      <c r="H1119" t="s">
        <v>46</v>
      </c>
      <c r="I1119" t="s">
        <v>1957</v>
      </c>
      <c r="J1119" t="s">
        <v>5415</v>
      </c>
      <c r="K1119" t="s">
        <v>5416</v>
      </c>
      <c r="L1119" s="11" t="s">
        <v>5415</v>
      </c>
    </row>
    <row r="1120" spans="1:12">
      <c r="A1120" t="s">
        <v>5417</v>
      </c>
      <c r="B1120" s="8">
        <v>2.5379999999999998</v>
      </c>
      <c r="C1120" s="9">
        <v>13</v>
      </c>
      <c r="D1120">
        <v>3</v>
      </c>
      <c r="E1120">
        <v>1</v>
      </c>
      <c r="F1120">
        <v>2</v>
      </c>
      <c r="G1120" s="10">
        <v>0.66666666666666663</v>
      </c>
      <c r="H1120" t="s">
        <v>46</v>
      </c>
      <c r="I1120" t="s">
        <v>1957</v>
      </c>
      <c r="J1120" t="s">
        <v>5418</v>
      </c>
      <c r="K1120" t="s">
        <v>5419</v>
      </c>
      <c r="L1120" s="11" t="s">
        <v>5418</v>
      </c>
    </row>
    <row r="1121" spans="1:12">
      <c r="A1121" t="s">
        <v>5420</v>
      </c>
      <c r="B1121" s="8">
        <v>2.3090000000000002</v>
      </c>
      <c r="C1121" s="9">
        <v>12</v>
      </c>
      <c r="D1121">
        <v>1</v>
      </c>
      <c r="E1121">
        <v>1</v>
      </c>
      <c r="F1121">
        <v>1</v>
      </c>
      <c r="G1121" s="10">
        <v>1</v>
      </c>
      <c r="H1121" t="s">
        <v>46</v>
      </c>
      <c r="I1121" t="s">
        <v>1957</v>
      </c>
      <c r="J1121" t="s">
        <v>5421</v>
      </c>
      <c r="K1121" t="s">
        <v>5422</v>
      </c>
      <c r="L1121" s="11" t="s">
        <v>5421</v>
      </c>
    </row>
    <row r="1122" spans="1:12">
      <c r="A1122" t="s">
        <v>5423</v>
      </c>
      <c r="B1122" s="8">
        <v>3.1909999999999998</v>
      </c>
      <c r="C1122" s="9">
        <v>827</v>
      </c>
      <c r="D1122">
        <v>2</v>
      </c>
      <c r="E1122">
        <v>2</v>
      </c>
      <c r="F1122">
        <v>2</v>
      </c>
      <c r="G1122" s="10">
        <v>1</v>
      </c>
      <c r="H1122" t="s">
        <v>46</v>
      </c>
      <c r="I1122" t="s">
        <v>1957</v>
      </c>
      <c r="J1122" t="s">
        <v>5424</v>
      </c>
      <c r="K1122" t="s">
        <v>5425</v>
      </c>
      <c r="L1122" s="11" t="s">
        <v>1558</v>
      </c>
    </row>
    <row r="1123" spans="1:12">
      <c r="A1123" t="s">
        <v>5426</v>
      </c>
      <c r="B1123" s="8">
        <v>2.2210000000000001</v>
      </c>
      <c r="C1123" s="9">
        <v>12</v>
      </c>
      <c r="D1123">
        <v>1</v>
      </c>
      <c r="E1123">
        <v>1</v>
      </c>
      <c r="F1123">
        <v>1</v>
      </c>
      <c r="G1123" s="10">
        <v>1</v>
      </c>
      <c r="H1123" t="s">
        <v>46</v>
      </c>
      <c r="I1123" t="s">
        <v>1957</v>
      </c>
      <c r="J1123" t="s">
        <v>4780</v>
      </c>
      <c r="K1123" t="s">
        <v>5427</v>
      </c>
      <c r="L1123" s="11" t="s">
        <v>4780</v>
      </c>
    </row>
    <row r="1124" spans="1:12">
      <c r="A1124" t="s">
        <v>5428</v>
      </c>
      <c r="B1124" s="8">
        <v>2.2999999999999998</v>
      </c>
      <c r="C1124" s="9">
        <v>33</v>
      </c>
      <c r="D1124">
        <v>1</v>
      </c>
      <c r="E1124">
        <v>1</v>
      </c>
      <c r="F1124">
        <v>1</v>
      </c>
      <c r="G1124" s="10">
        <v>1</v>
      </c>
      <c r="H1124" t="s">
        <v>46</v>
      </c>
      <c r="I1124" t="s">
        <v>1957</v>
      </c>
      <c r="J1124" t="s">
        <v>4780</v>
      </c>
      <c r="K1124" t="s">
        <v>5427</v>
      </c>
      <c r="L1124" s="11" t="s">
        <v>4780</v>
      </c>
    </row>
    <row r="1125" spans="1:12">
      <c r="A1125" t="s">
        <v>5429</v>
      </c>
      <c r="B1125" s="8">
        <v>2.9780000000000002</v>
      </c>
      <c r="C1125" s="9">
        <v>18</v>
      </c>
      <c r="D1125">
        <v>1</v>
      </c>
      <c r="E1125">
        <v>1</v>
      </c>
      <c r="F1125">
        <v>1</v>
      </c>
      <c r="G1125" s="10">
        <v>1</v>
      </c>
      <c r="H1125" t="s">
        <v>46</v>
      </c>
      <c r="I1125" t="s">
        <v>1957</v>
      </c>
      <c r="J1125" t="s">
        <v>4780</v>
      </c>
      <c r="K1125" t="s">
        <v>5427</v>
      </c>
      <c r="L1125" s="11" t="s">
        <v>4780</v>
      </c>
    </row>
    <row r="1126" spans="1:12">
      <c r="A1126" t="s">
        <v>5430</v>
      </c>
      <c r="B1126" s="8">
        <v>2.0230000000000001</v>
      </c>
      <c r="C1126" s="9">
        <v>41</v>
      </c>
      <c r="D1126">
        <v>1</v>
      </c>
      <c r="E1126">
        <v>1</v>
      </c>
      <c r="F1126">
        <v>1</v>
      </c>
      <c r="G1126" s="10">
        <v>1</v>
      </c>
      <c r="H1126" t="s">
        <v>46</v>
      </c>
      <c r="I1126" t="s">
        <v>1957</v>
      </c>
      <c r="J1126" t="s">
        <v>5431</v>
      </c>
      <c r="K1126" t="s">
        <v>5432</v>
      </c>
      <c r="L1126" s="11" t="s">
        <v>5431</v>
      </c>
    </row>
    <row r="1127" spans="1:12">
      <c r="A1127" t="s">
        <v>5433</v>
      </c>
      <c r="B1127" s="8">
        <v>8.7959999999999994</v>
      </c>
      <c r="C1127" s="9">
        <v>355</v>
      </c>
      <c r="D1127">
        <v>2</v>
      </c>
      <c r="E1127">
        <v>2</v>
      </c>
      <c r="F1127">
        <v>2</v>
      </c>
      <c r="G1127" s="10">
        <v>1</v>
      </c>
      <c r="H1127" t="s">
        <v>46</v>
      </c>
      <c r="I1127" t="s">
        <v>1957</v>
      </c>
      <c r="J1127" t="s">
        <v>5434</v>
      </c>
      <c r="K1127" t="s">
        <v>5435</v>
      </c>
      <c r="L1127" s="11" t="s">
        <v>5436</v>
      </c>
    </row>
    <row r="1128" spans="1:12">
      <c r="A1128" t="s">
        <v>5437</v>
      </c>
      <c r="B1128" s="8">
        <v>2.2189999999999999</v>
      </c>
      <c r="C1128" s="9">
        <v>2259</v>
      </c>
      <c r="D1128">
        <v>1</v>
      </c>
      <c r="E1128">
        <v>1</v>
      </c>
      <c r="F1128">
        <v>1</v>
      </c>
      <c r="G1128" s="10">
        <v>1</v>
      </c>
      <c r="H1128" t="s">
        <v>46</v>
      </c>
      <c r="I1128" t="s">
        <v>1957</v>
      </c>
      <c r="J1128" t="s">
        <v>5438</v>
      </c>
      <c r="K1128" t="s">
        <v>5435</v>
      </c>
      <c r="L1128" s="11" t="s">
        <v>5438</v>
      </c>
    </row>
    <row r="1129" spans="1:12">
      <c r="A1129" t="s">
        <v>5439</v>
      </c>
      <c r="B1129" s="8">
        <v>2.0579999999999998</v>
      </c>
      <c r="C1129" s="9">
        <v>28</v>
      </c>
      <c r="D1129">
        <v>2</v>
      </c>
      <c r="E1129">
        <v>2</v>
      </c>
      <c r="F1129">
        <v>2</v>
      </c>
      <c r="G1129" s="10">
        <v>1</v>
      </c>
      <c r="H1129" t="s">
        <v>46</v>
      </c>
      <c r="I1129" t="s">
        <v>1957</v>
      </c>
      <c r="J1129" t="s">
        <v>5440</v>
      </c>
      <c r="K1129" t="s">
        <v>5441</v>
      </c>
      <c r="L1129" s="11" t="s">
        <v>5438</v>
      </c>
    </row>
    <row r="1130" spans="1:12">
      <c r="A1130" t="s">
        <v>5442</v>
      </c>
      <c r="B1130" s="8">
        <v>3.3170000000000002</v>
      </c>
      <c r="C1130" s="9">
        <v>28</v>
      </c>
      <c r="D1130">
        <v>2</v>
      </c>
      <c r="E1130">
        <v>2</v>
      </c>
      <c r="F1130">
        <v>2</v>
      </c>
      <c r="G1130" s="10">
        <v>1</v>
      </c>
      <c r="H1130" t="s">
        <v>46</v>
      </c>
      <c r="I1130" t="s">
        <v>1957</v>
      </c>
      <c r="J1130" t="s">
        <v>5440</v>
      </c>
      <c r="K1130" t="s">
        <v>5441</v>
      </c>
      <c r="L1130" s="11" t="s">
        <v>5438</v>
      </c>
    </row>
    <row r="1131" spans="1:12">
      <c r="A1131" t="s">
        <v>5443</v>
      </c>
      <c r="B1131" s="8">
        <v>6.2320000000000002</v>
      </c>
      <c r="C1131" s="9">
        <v>891</v>
      </c>
      <c r="D1131">
        <v>3</v>
      </c>
      <c r="E1131">
        <v>2</v>
      </c>
      <c r="F1131">
        <v>2</v>
      </c>
      <c r="G1131" s="10">
        <v>0.66666666666666663</v>
      </c>
      <c r="H1131" t="s">
        <v>46</v>
      </c>
      <c r="I1131" t="s">
        <v>1957</v>
      </c>
      <c r="J1131" t="s">
        <v>5444</v>
      </c>
      <c r="K1131" t="s">
        <v>5445</v>
      </c>
      <c r="L1131" s="11" t="s">
        <v>5438</v>
      </c>
    </row>
    <row r="1132" spans="1:12">
      <c r="A1132" t="s">
        <v>5446</v>
      </c>
      <c r="B1132" s="8">
        <v>4.7990000000000004</v>
      </c>
      <c r="C1132" s="9">
        <v>18</v>
      </c>
      <c r="D1132">
        <v>5</v>
      </c>
      <c r="E1132">
        <v>5</v>
      </c>
      <c r="F1132">
        <v>5</v>
      </c>
      <c r="G1132" s="10">
        <v>1</v>
      </c>
      <c r="H1132" t="s">
        <v>46</v>
      </c>
      <c r="I1132" t="s">
        <v>1957</v>
      </c>
      <c r="J1132" t="s">
        <v>5447</v>
      </c>
      <c r="K1132" t="s">
        <v>5448</v>
      </c>
      <c r="L1132" s="11" t="s">
        <v>5449</v>
      </c>
    </row>
    <row r="1133" spans="1:12">
      <c r="A1133" t="s">
        <v>5450</v>
      </c>
      <c r="B1133" s="8">
        <v>2.6150000000000002</v>
      </c>
      <c r="C1133" s="9">
        <v>7</v>
      </c>
      <c r="D1133">
        <v>3</v>
      </c>
      <c r="E1133">
        <v>3</v>
      </c>
      <c r="F1133">
        <v>3</v>
      </c>
      <c r="G1133" s="10">
        <v>1</v>
      </c>
      <c r="H1133" t="s">
        <v>46</v>
      </c>
      <c r="I1133" t="s">
        <v>1957</v>
      </c>
      <c r="J1133" t="s">
        <v>5451</v>
      </c>
      <c r="K1133" t="s">
        <v>5452</v>
      </c>
      <c r="L1133" s="11" t="s">
        <v>5453</v>
      </c>
    </row>
    <row r="1134" spans="1:12">
      <c r="A1134" t="s">
        <v>5454</v>
      </c>
      <c r="B1134" s="8">
        <v>2.3490000000000002</v>
      </c>
      <c r="C1134" s="9">
        <v>48</v>
      </c>
      <c r="D1134">
        <v>2</v>
      </c>
      <c r="E1134">
        <v>2</v>
      </c>
      <c r="F1134">
        <v>1</v>
      </c>
      <c r="G1134" s="10">
        <v>0.5</v>
      </c>
      <c r="H1134" t="s">
        <v>46</v>
      </c>
      <c r="I1134" t="s">
        <v>1957</v>
      </c>
      <c r="J1134" t="s">
        <v>5455</v>
      </c>
      <c r="K1134" t="s">
        <v>5456</v>
      </c>
      <c r="L1134" s="11" t="s">
        <v>4808</v>
      </c>
    </row>
    <row r="1135" spans="1:12">
      <c r="A1135" t="s">
        <v>5457</v>
      </c>
      <c r="B1135" s="8">
        <v>2.36</v>
      </c>
      <c r="C1135" s="9">
        <v>727</v>
      </c>
      <c r="D1135">
        <v>3</v>
      </c>
      <c r="E1135">
        <v>3</v>
      </c>
      <c r="F1135">
        <v>3</v>
      </c>
      <c r="G1135" s="10">
        <v>1</v>
      </c>
      <c r="H1135" t="s">
        <v>46</v>
      </c>
      <c r="I1135" t="s">
        <v>1957</v>
      </c>
      <c r="J1135" t="s">
        <v>5458</v>
      </c>
      <c r="K1135" t="s">
        <v>5459</v>
      </c>
      <c r="L1135" s="11" t="s">
        <v>5460</v>
      </c>
    </row>
    <row r="1136" spans="1:12">
      <c r="A1136" t="s">
        <v>5461</v>
      </c>
      <c r="B1136" s="8">
        <v>5.6479999999999997</v>
      </c>
      <c r="C1136" s="9">
        <v>962</v>
      </c>
      <c r="D1136">
        <v>5</v>
      </c>
      <c r="E1136">
        <v>5</v>
      </c>
      <c r="F1136">
        <v>5</v>
      </c>
      <c r="G1136" s="10">
        <v>1</v>
      </c>
      <c r="H1136" t="s">
        <v>46</v>
      </c>
      <c r="I1136" t="s">
        <v>1957</v>
      </c>
      <c r="J1136" t="s">
        <v>5462</v>
      </c>
      <c r="K1136" t="s">
        <v>5463</v>
      </c>
      <c r="L1136" s="11" t="s">
        <v>5464</v>
      </c>
    </row>
    <row r="1137" spans="1:12">
      <c r="A1137" t="s">
        <v>5465</v>
      </c>
      <c r="B1137" s="8">
        <v>2.4620000000000002</v>
      </c>
      <c r="C1137" s="9">
        <v>13</v>
      </c>
      <c r="D1137">
        <v>3</v>
      </c>
      <c r="E1137">
        <v>3</v>
      </c>
      <c r="F1137">
        <v>3</v>
      </c>
      <c r="G1137" s="10">
        <v>1</v>
      </c>
      <c r="H1137" t="s">
        <v>46</v>
      </c>
      <c r="I1137" t="s">
        <v>1957</v>
      </c>
      <c r="J1137" t="s">
        <v>5466</v>
      </c>
      <c r="K1137" t="s">
        <v>5467</v>
      </c>
      <c r="L1137" s="11" t="s">
        <v>5468</v>
      </c>
    </row>
    <row r="1138" spans="1:12">
      <c r="A1138" t="s">
        <v>5469</v>
      </c>
      <c r="B1138" s="8">
        <v>2.5409999999999999</v>
      </c>
      <c r="C1138" s="9">
        <v>9.9</v>
      </c>
      <c r="D1138">
        <v>1</v>
      </c>
      <c r="E1138">
        <v>1</v>
      </c>
      <c r="F1138">
        <v>1</v>
      </c>
      <c r="G1138" s="10">
        <v>1</v>
      </c>
      <c r="H1138" t="s">
        <v>46</v>
      </c>
      <c r="I1138" t="s">
        <v>1957</v>
      </c>
      <c r="J1138" t="s">
        <v>1776</v>
      </c>
      <c r="K1138" t="s">
        <v>1810</v>
      </c>
      <c r="L1138" s="11" t="s">
        <v>1776</v>
      </c>
    </row>
    <row r="1139" spans="1:12">
      <c r="A1139" t="s">
        <v>5470</v>
      </c>
      <c r="B1139" s="8">
        <v>5.5179999999999998</v>
      </c>
      <c r="C1139" s="9">
        <v>23</v>
      </c>
      <c r="D1139">
        <v>3</v>
      </c>
      <c r="E1139">
        <v>2</v>
      </c>
      <c r="F1139">
        <v>2</v>
      </c>
      <c r="G1139" s="10">
        <v>0.66666666666666663</v>
      </c>
      <c r="H1139" t="s">
        <v>46</v>
      </c>
      <c r="I1139" t="s">
        <v>1957</v>
      </c>
      <c r="J1139" t="s">
        <v>5471</v>
      </c>
      <c r="K1139" t="s">
        <v>1810</v>
      </c>
      <c r="L1139" s="11" t="s">
        <v>5471</v>
      </c>
    </row>
    <row r="1140" spans="1:12">
      <c r="A1140" t="s">
        <v>5472</v>
      </c>
      <c r="B1140" s="8">
        <v>3.8090000000000002</v>
      </c>
      <c r="C1140" s="9">
        <v>46</v>
      </c>
      <c r="D1140">
        <v>2</v>
      </c>
      <c r="E1140">
        <v>1</v>
      </c>
      <c r="F1140">
        <v>1</v>
      </c>
      <c r="G1140" s="10">
        <v>0.5</v>
      </c>
      <c r="H1140" t="s">
        <v>46</v>
      </c>
      <c r="I1140" t="s">
        <v>1957</v>
      </c>
      <c r="J1140" t="s">
        <v>1776</v>
      </c>
      <c r="K1140" t="s">
        <v>1810</v>
      </c>
      <c r="L1140" s="11" t="s">
        <v>1776</v>
      </c>
    </row>
    <row r="1141" spans="1:12">
      <c r="A1141" t="s">
        <v>5473</v>
      </c>
      <c r="B1141" s="8">
        <v>9.0679999999999996</v>
      </c>
      <c r="C1141" s="9">
        <v>23</v>
      </c>
      <c r="D1141">
        <v>3</v>
      </c>
      <c r="E1141">
        <v>3</v>
      </c>
      <c r="F1141">
        <v>3</v>
      </c>
      <c r="G1141" s="10">
        <v>1</v>
      </c>
      <c r="H1141" t="s">
        <v>46</v>
      </c>
      <c r="I1141" t="s">
        <v>1957</v>
      </c>
      <c r="J1141" t="s">
        <v>5474</v>
      </c>
      <c r="K1141" t="s">
        <v>5475</v>
      </c>
      <c r="L1141" s="11" t="s">
        <v>5476</v>
      </c>
    </row>
    <row r="1142" spans="1:12">
      <c r="A1142" t="s">
        <v>5477</v>
      </c>
      <c r="B1142" s="8">
        <v>2.1800000000000002</v>
      </c>
      <c r="C1142" s="9">
        <v>99</v>
      </c>
      <c r="D1142">
        <v>2</v>
      </c>
      <c r="E1142">
        <v>2</v>
      </c>
      <c r="F1142">
        <v>2</v>
      </c>
      <c r="G1142" s="10">
        <v>1</v>
      </c>
      <c r="H1142" t="s">
        <v>46</v>
      </c>
      <c r="I1142" t="s">
        <v>1957</v>
      </c>
      <c r="J1142" t="s">
        <v>5478</v>
      </c>
      <c r="K1142" t="s">
        <v>5479</v>
      </c>
      <c r="L1142" s="11" t="s">
        <v>5480</v>
      </c>
    </row>
    <row r="1143" spans="1:12">
      <c r="A1143" t="s">
        <v>5481</v>
      </c>
      <c r="B1143" s="8">
        <v>3.9809999999999999</v>
      </c>
      <c r="C1143" s="9">
        <v>15</v>
      </c>
      <c r="D1143">
        <v>1</v>
      </c>
      <c r="E1143">
        <v>1</v>
      </c>
      <c r="F1143">
        <v>1</v>
      </c>
      <c r="G1143" s="10">
        <v>1</v>
      </c>
      <c r="H1143" t="s">
        <v>46</v>
      </c>
      <c r="I1143" t="s">
        <v>1957</v>
      </c>
      <c r="J1143" t="s">
        <v>5482</v>
      </c>
      <c r="K1143" t="s">
        <v>5483</v>
      </c>
      <c r="L1143" s="11" t="s">
        <v>5482</v>
      </c>
    </row>
    <row r="1144" spans="1:12">
      <c r="A1144" t="s">
        <v>5484</v>
      </c>
      <c r="B1144" s="8">
        <v>3.01</v>
      </c>
      <c r="C1144" s="9">
        <v>10</v>
      </c>
      <c r="D1144">
        <v>1</v>
      </c>
      <c r="E1144">
        <v>1</v>
      </c>
      <c r="F1144">
        <v>1</v>
      </c>
      <c r="G1144" s="10">
        <v>1</v>
      </c>
      <c r="H1144" t="s">
        <v>46</v>
      </c>
      <c r="I1144" t="s">
        <v>1957</v>
      </c>
      <c r="J1144" t="s">
        <v>5485</v>
      </c>
      <c r="K1144" t="s">
        <v>5486</v>
      </c>
      <c r="L1144" s="11" t="s">
        <v>5485</v>
      </c>
    </row>
    <row r="1145" spans="1:12">
      <c r="A1145" t="s">
        <v>5487</v>
      </c>
      <c r="B1145" s="8">
        <v>5.9809999999999999</v>
      </c>
      <c r="C1145" s="9">
        <v>12</v>
      </c>
      <c r="D1145">
        <v>4</v>
      </c>
      <c r="E1145">
        <v>4</v>
      </c>
      <c r="F1145">
        <v>4</v>
      </c>
      <c r="G1145" s="10">
        <v>1</v>
      </c>
      <c r="H1145" t="s">
        <v>46</v>
      </c>
      <c r="I1145" t="s">
        <v>1957</v>
      </c>
      <c r="J1145" t="s">
        <v>5488</v>
      </c>
      <c r="K1145" t="s">
        <v>5489</v>
      </c>
      <c r="L1145" s="11" t="s">
        <v>5488</v>
      </c>
    </row>
    <row r="1146" spans="1:12">
      <c r="A1146" t="s">
        <v>5490</v>
      </c>
      <c r="B1146" s="8">
        <v>4.117</v>
      </c>
      <c r="C1146" s="9">
        <v>32</v>
      </c>
      <c r="D1146">
        <v>1</v>
      </c>
      <c r="E1146">
        <v>1</v>
      </c>
      <c r="F1146">
        <v>1</v>
      </c>
      <c r="G1146" s="10">
        <v>1</v>
      </c>
      <c r="H1146" t="s">
        <v>46</v>
      </c>
      <c r="I1146" t="s">
        <v>1957</v>
      </c>
      <c r="J1146" t="s">
        <v>4952</v>
      </c>
      <c r="K1146" t="s">
        <v>5491</v>
      </c>
      <c r="L1146" s="11" t="s">
        <v>4952</v>
      </c>
    </row>
    <row r="1147" spans="1:12">
      <c r="A1147" t="s">
        <v>5492</v>
      </c>
      <c r="B1147" s="8">
        <v>42.055</v>
      </c>
      <c r="C1147" s="9">
        <v>32</v>
      </c>
      <c r="D1147">
        <v>49</v>
      </c>
      <c r="E1147">
        <v>49</v>
      </c>
      <c r="F1147">
        <v>49</v>
      </c>
      <c r="G1147" s="10">
        <v>1</v>
      </c>
      <c r="H1147" t="s">
        <v>46</v>
      </c>
      <c r="I1147" t="s">
        <v>1957</v>
      </c>
      <c r="J1147" t="s">
        <v>5493</v>
      </c>
      <c r="K1147" t="s">
        <v>5494</v>
      </c>
      <c r="L1147" s="11" t="s">
        <v>5495</v>
      </c>
    </row>
    <row r="1148" spans="1:12">
      <c r="A1148" t="s">
        <v>5496</v>
      </c>
      <c r="B1148" s="8">
        <v>4.5449999999999999</v>
      </c>
      <c r="C1148" s="9">
        <v>14</v>
      </c>
      <c r="D1148">
        <v>5</v>
      </c>
      <c r="E1148">
        <v>4</v>
      </c>
      <c r="F1148">
        <v>4</v>
      </c>
      <c r="G1148" s="10">
        <v>0.8</v>
      </c>
      <c r="H1148" t="s">
        <v>46</v>
      </c>
      <c r="I1148" t="s">
        <v>1957</v>
      </c>
      <c r="J1148" t="s">
        <v>5497</v>
      </c>
      <c r="K1148" t="s">
        <v>5498</v>
      </c>
      <c r="L1148" s="11" t="s">
        <v>5499</v>
      </c>
    </row>
    <row r="1149" spans="1:12">
      <c r="A1149" t="s">
        <v>5500</v>
      </c>
      <c r="B1149" s="8">
        <v>2.6989999999999998</v>
      </c>
      <c r="C1149" s="9">
        <v>17</v>
      </c>
      <c r="D1149">
        <v>2</v>
      </c>
      <c r="E1149">
        <v>2</v>
      </c>
      <c r="F1149">
        <v>1</v>
      </c>
      <c r="G1149" s="10">
        <v>0.5</v>
      </c>
      <c r="H1149" t="s">
        <v>46</v>
      </c>
      <c r="I1149" t="s">
        <v>1957</v>
      </c>
      <c r="J1149" t="s">
        <v>5501</v>
      </c>
      <c r="K1149" t="s">
        <v>5502</v>
      </c>
      <c r="L1149" s="11" t="s">
        <v>5503</v>
      </c>
    </row>
    <row r="1150" spans="1:12">
      <c r="A1150" t="s">
        <v>5504</v>
      </c>
      <c r="B1150" s="8">
        <v>2.1110000000000002</v>
      </c>
      <c r="C1150" s="9">
        <v>11</v>
      </c>
      <c r="D1150">
        <v>1</v>
      </c>
      <c r="E1150">
        <v>1</v>
      </c>
      <c r="F1150">
        <v>1</v>
      </c>
      <c r="G1150" s="10">
        <v>1</v>
      </c>
      <c r="H1150" t="s">
        <v>46</v>
      </c>
      <c r="I1150" t="s">
        <v>1957</v>
      </c>
      <c r="J1150" t="s">
        <v>5505</v>
      </c>
      <c r="K1150" t="s">
        <v>1823</v>
      </c>
      <c r="L1150" s="11" t="s">
        <v>5505</v>
      </c>
    </row>
    <row r="1151" spans="1:12">
      <c r="A1151" t="s">
        <v>5506</v>
      </c>
      <c r="B1151" s="8">
        <v>2.36</v>
      </c>
      <c r="C1151" s="9">
        <v>89</v>
      </c>
      <c r="D1151">
        <v>2</v>
      </c>
      <c r="E1151">
        <v>2</v>
      </c>
      <c r="F1151">
        <v>2</v>
      </c>
      <c r="G1151" s="10">
        <v>1</v>
      </c>
      <c r="H1151" t="s">
        <v>46</v>
      </c>
      <c r="I1151" t="s">
        <v>1957</v>
      </c>
      <c r="J1151" t="s">
        <v>5507</v>
      </c>
      <c r="K1151" t="s">
        <v>5508</v>
      </c>
      <c r="L1151" s="11" t="s">
        <v>5509</v>
      </c>
    </row>
    <row r="1152" spans="1:12">
      <c r="A1152" t="s">
        <v>5510</v>
      </c>
      <c r="B1152" s="8">
        <v>4.2140000000000004</v>
      </c>
      <c r="C1152" s="9">
        <v>18</v>
      </c>
      <c r="D1152">
        <v>1</v>
      </c>
      <c r="E1152">
        <v>1</v>
      </c>
      <c r="F1152">
        <v>1</v>
      </c>
      <c r="G1152" s="10">
        <v>1</v>
      </c>
      <c r="H1152" t="s">
        <v>46</v>
      </c>
      <c r="I1152" t="s">
        <v>1957</v>
      </c>
      <c r="J1152" t="s">
        <v>5511</v>
      </c>
      <c r="K1152" t="s">
        <v>5512</v>
      </c>
      <c r="L1152" s="11" t="s">
        <v>5511</v>
      </c>
    </row>
    <row r="1153" spans="1:12">
      <c r="A1153" t="s">
        <v>5513</v>
      </c>
      <c r="B1153" s="8">
        <v>2.8010000000000002</v>
      </c>
      <c r="C1153" s="9">
        <v>189</v>
      </c>
      <c r="D1153">
        <v>2</v>
      </c>
      <c r="E1153">
        <v>2</v>
      </c>
      <c r="F1153">
        <v>2</v>
      </c>
      <c r="G1153" s="10">
        <v>1</v>
      </c>
      <c r="H1153" t="s">
        <v>46</v>
      </c>
      <c r="I1153" t="s">
        <v>1957</v>
      </c>
      <c r="J1153" t="s">
        <v>5514</v>
      </c>
      <c r="K1153" t="s">
        <v>5515</v>
      </c>
      <c r="L1153" s="11" t="s">
        <v>5516</v>
      </c>
    </row>
    <row r="1154" spans="1:12">
      <c r="A1154" t="s">
        <v>5517</v>
      </c>
      <c r="B1154" s="8">
        <v>2.9929999999999999</v>
      </c>
      <c r="C1154" s="9">
        <v>17</v>
      </c>
      <c r="D1154">
        <v>2</v>
      </c>
      <c r="E1154">
        <v>2</v>
      </c>
      <c r="F1154">
        <v>2</v>
      </c>
      <c r="G1154" s="10">
        <v>1</v>
      </c>
      <c r="H1154" t="s">
        <v>46</v>
      </c>
      <c r="I1154" t="s">
        <v>1957</v>
      </c>
      <c r="J1154" t="s">
        <v>5518</v>
      </c>
      <c r="K1154" t="s">
        <v>5519</v>
      </c>
      <c r="L1154" s="11" t="s">
        <v>1633</v>
      </c>
    </row>
    <row r="1155" spans="1:12">
      <c r="A1155" t="s">
        <v>5520</v>
      </c>
      <c r="B1155" s="8">
        <v>2.472</v>
      </c>
      <c r="C1155" s="9">
        <v>28</v>
      </c>
      <c r="D1155">
        <v>2</v>
      </c>
      <c r="E1155">
        <v>2</v>
      </c>
      <c r="F1155">
        <v>1</v>
      </c>
      <c r="G1155" s="10">
        <v>0.5</v>
      </c>
      <c r="H1155" t="s">
        <v>46</v>
      </c>
      <c r="I1155" t="s">
        <v>1957</v>
      </c>
      <c r="J1155" t="s">
        <v>5521</v>
      </c>
      <c r="K1155" t="s">
        <v>5522</v>
      </c>
      <c r="L1155" s="11" t="s">
        <v>1633</v>
      </c>
    </row>
    <row r="1156" spans="1:12">
      <c r="A1156" t="s">
        <v>5523</v>
      </c>
      <c r="B1156" s="8">
        <v>3.8530000000000002</v>
      </c>
      <c r="C1156" s="9">
        <v>13</v>
      </c>
      <c r="D1156">
        <v>4</v>
      </c>
      <c r="E1156">
        <v>4</v>
      </c>
      <c r="F1156">
        <v>3</v>
      </c>
      <c r="G1156" s="10">
        <v>0.75</v>
      </c>
      <c r="H1156" t="s">
        <v>46</v>
      </c>
      <c r="I1156" t="s">
        <v>1957</v>
      </c>
      <c r="J1156" t="s">
        <v>5524</v>
      </c>
      <c r="K1156" t="s">
        <v>5525</v>
      </c>
      <c r="L1156" s="11" t="s">
        <v>5526</v>
      </c>
    </row>
    <row r="1157" spans="1:12">
      <c r="A1157" t="s">
        <v>5527</v>
      </c>
      <c r="B1157" s="8">
        <v>2.681</v>
      </c>
      <c r="C1157" s="9">
        <v>25</v>
      </c>
      <c r="D1157">
        <v>1</v>
      </c>
      <c r="E1157">
        <v>1</v>
      </c>
      <c r="F1157">
        <v>1</v>
      </c>
      <c r="G1157" s="10">
        <v>1</v>
      </c>
      <c r="H1157" t="s">
        <v>46</v>
      </c>
      <c r="I1157" t="s">
        <v>1957</v>
      </c>
      <c r="J1157" t="s">
        <v>5528</v>
      </c>
      <c r="K1157" t="s">
        <v>5529</v>
      </c>
      <c r="L1157" s="11" t="s">
        <v>5528</v>
      </c>
    </row>
    <row r="1158" spans="1:12">
      <c r="A1158" t="s">
        <v>5530</v>
      </c>
      <c r="B1158" s="8">
        <v>2.0840000000000001</v>
      </c>
      <c r="C1158" s="9">
        <v>8</v>
      </c>
      <c r="D1158">
        <v>2</v>
      </c>
      <c r="E1158">
        <v>2</v>
      </c>
      <c r="F1158">
        <v>2</v>
      </c>
      <c r="G1158" s="10">
        <v>1</v>
      </c>
      <c r="H1158" t="s">
        <v>46</v>
      </c>
      <c r="I1158" t="s">
        <v>1957</v>
      </c>
      <c r="J1158" t="s">
        <v>5531</v>
      </c>
      <c r="K1158" t="s">
        <v>5532</v>
      </c>
      <c r="L1158" s="11" t="s">
        <v>5533</v>
      </c>
    </row>
    <row r="1159" spans="1:12">
      <c r="A1159" t="s">
        <v>5534</v>
      </c>
      <c r="B1159" s="8">
        <v>43.621000000000002</v>
      </c>
      <c r="C1159" s="9">
        <v>123</v>
      </c>
      <c r="D1159">
        <v>43</v>
      </c>
      <c r="E1159">
        <v>39</v>
      </c>
      <c r="F1159">
        <v>30</v>
      </c>
      <c r="G1159" s="10">
        <v>0.69767441860465118</v>
      </c>
      <c r="H1159" t="s">
        <v>46</v>
      </c>
      <c r="I1159" t="s">
        <v>1957</v>
      </c>
      <c r="J1159" t="s">
        <v>5535</v>
      </c>
      <c r="K1159" t="s">
        <v>5536</v>
      </c>
      <c r="L1159" s="11" t="s">
        <v>5537</v>
      </c>
    </row>
    <row r="1160" spans="1:12">
      <c r="A1160" t="s">
        <v>5538</v>
      </c>
      <c r="B1160" s="8">
        <v>5.4340000000000002</v>
      </c>
      <c r="C1160" s="9">
        <v>17</v>
      </c>
      <c r="D1160">
        <v>6</v>
      </c>
      <c r="E1160">
        <v>5</v>
      </c>
      <c r="F1160">
        <v>5</v>
      </c>
      <c r="G1160" s="10">
        <v>0.83333333333333337</v>
      </c>
      <c r="H1160" t="s">
        <v>46</v>
      </c>
      <c r="I1160" t="s">
        <v>1957</v>
      </c>
      <c r="J1160" t="s">
        <v>5539</v>
      </c>
      <c r="K1160" t="s">
        <v>5540</v>
      </c>
      <c r="L1160" s="11" t="s">
        <v>5541</v>
      </c>
    </row>
    <row r="1161" spans="1:12">
      <c r="A1161" t="s">
        <v>5542</v>
      </c>
      <c r="B1161" s="8">
        <v>12.287000000000001</v>
      </c>
      <c r="C1161" s="9">
        <v>20</v>
      </c>
      <c r="D1161">
        <v>3</v>
      </c>
      <c r="E1161">
        <v>2</v>
      </c>
      <c r="F1161">
        <v>2</v>
      </c>
      <c r="G1161" s="10">
        <v>0.66666666666666663</v>
      </c>
      <c r="H1161" t="s">
        <v>46</v>
      </c>
      <c r="I1161" t="s">
        <v>1957</v>
      </c>
      <c r="J1161" t="s">
        <v>5543</v>
      </c>
      <c r="K1161" t="s">
        <v>5544</v>
      </c>
      <c r="L1161" s="11" t="s">
        <v>1832</v>
      </c>
    </row>
    <row r="1162" spans="1:12">
      <c r="A1162" t="s">
        <v>5545</v>
      </c>
      <c r="B1162" s="8">
        <v>5.2759999999999998</v>
      </c>
      <c r="C1162" s="9">
        <v>1364</v>
      </c>
      <c r="D1162">
        <v>3</v>
      </c>
      <c r="E1162">
        <v>2</v>
      </c>
      <c r="F1162">
        <v>2</v>
      </c>
      <c r="G1162" s="10">
        <v>0.66666666666666663</v>
      </c>
      <c r="H1162" t="s">
        <v>46</v>
      </c>
      <c r="I1162" t="s">
        <v>1957</v>
      </c>
      <c r="J1162" t="s">
        <v>5546</v>
      </c>
      <c r="K1162" t="s">
        <v>5547</v>
      </c>
      <c r="L1162" s="11" t="s">
        <v>5548</v>
      </c>
    </row>
    <row r="1163" spans="1:12">
      <c r="A1163" t="s">
        <v>5549</v>
      </c>
      <c r="B1163" s="8">
        <v>7.242</v>
      </c>
      <c r="C1163" s="9">
        <v>34</v>
      </c>
      <c r="D1163">
        <v>4</v>
      </c>
      <c r="E1163">
        <v>3</v>
      </c>
      <c r="F1163">
        <v>2</v>
      </c>
      <c r="G1163" s="10">
        <v>0.5</v>
      </c>
      <c r="H1163" t="s">
        <v>46</v>
      </c>
      <c r="I1163" t="s">
        <v>1957</v>
      </c>
      <c r="J1163" t="s">
        <v>5550</v>
      </c>
      <c r="K1163" t="s">
        <v>5551</v>
      </c>
      <c r="L1163" s="11" t="s">
        <v>5552</v>
      </c>
    </row>
    <row r="1164" spans="1:12">
      <c r="A1164" t="s">
        <v>5553</v>
      </c>
      <c r="B1164" s="8">
        <v>6.6289999999999996</v>
      </c>
      <c r="C1164" s="9">
        <v>57</v>
      </c>
      <c r="D1164">
        <v>4</v>
      </c>
      <c r="E1164">
        <v>4</v>
      </c>
      <c r="F1164">
        <v>3</v>
      </c>
      <c r="G1164" s="10">
        <v>0.75</v>
      </c>
      <c r="H1164" t="s">
        <v>46</v>
      </c>
      <c r="I1164" t="s">
        <v>1957</v>
      </c>
      <c r="J1164" t="s">
        <v>5554</v>
      </c>
      <c r="K1164" t="s">
        <v>5555</v>
      </c>
      <c r="L1164" s="11" t="s">
        <v>5556</v>
      </c>
    </row>
    <row r="1165" spans="1:12">
      <c r="A1165" t="s">
        <v>5557</v>
      </c>
      <c r="B1165" s="8">
        <v>2.0019999999999998</v>
      </c>
      <c r="C1165" s="9">
        <v>21</v>
      </c>
      <c r="D1165">
        <v>1</v>
      </c>
      <c r="E1165">
        <v>1</v>
      </c>
      <c r="F1165">
        <v>1</v>
      </c>
      <c r="G1165" s="10">
        <v>1</v>
      </c>
      <c r="H1165" t="s">
        <v>46</v>
      </c>
      <c r="I1165" t="s">
        <v>1957</v>
      </c>
      <c r="J1165" t="s">
        <v>5558</v>
      </c>
      <c r="K1165" t="s">
        <v>5559</v>
      </c>
      <c r="L1165" s="11" t="s">
        <v>5558</v>
      </c>
    </row>
    <row r="1166" spans="1:12">
      <c r="A1166" t="s">
        <v>5560</v>
      </c>
      <c r="B1166" s="8">
        <v>3.7589999999999999</v>
      </c>
      <c r="C1166" s="9">
        <v>521</v>
      </c>
      <c r="D1166">
        <v>3</v>
      </c>
      <c r="E1166">
        <v>2</v>
      </c>
      <c r="F1166">
        <v>2</v>
      </c>
      <c r="G1166" s="10">
        <v>0.66666666666666663</v>
      </c>
      <c r="H1166" t="s">
        <v>46</v>
      </c>
      <c r="I1166" t="s">
        <v>1957</v>
      </c>
      <c r="J1166" t="s">
        <v>5561</v>
      </c>
      <c r="K1166" t="s">
        <v>5559</v>
      </c>
      <c r="L1166" s="11" t="s">
        <v>5562</v>
      </c>
    </row>
    <row r="1167" spans="1:12">
      <c r="A1167" t="s">
        <v>5563</v>
      </c>
      <c r="B1167" s="8">
        <v>2.766</v>
      </c>
      <c r="C1167" s="9">
        <v>14</v>
      </c>
      <c r="D1167">
        <v>2</v>
      </c>
      <c r="E1167">
        <v>2</v>
      </c>
      <c r="F1167">
        <v>2</v>
      </c>
      <c r="G1167" s="10">
        <v>1</v>
      </c>
      <c r="H1167" t="s">
        <v>46</v>
      </c>
      <c r="I1167" t="s">
        <v>1957</v>
      </c>
      <c r="J1167" t="s">
        <v>5564</v>
      </c>
      <c r="K1167" t="s">
        <v>5565</v>
      </c>
      <c r="L1167" s="11" t="s">
        <v>5558</v>
      </c>
    </row>
    <row r="1168" spans="1:12">
      <c r="A1168" t="s">
        <v>5566</v>
      </c>
      <c r="B1168" s="8">
        <v>4.12</v>
      </c>
      <c r="C1168" s="9">
        <v>96</v>
      </c>
      <c r="D1168">
        <v>1</v>
      </c>
      <c r="E1168">
        <v>1</v>
      </c>
      <c r="F1168">
        <v>1</v>
      </c>
      <c r="G1168" s="10">
        <v>1</v>
      </c>
      <c r="H1168" t="s">
        <v>46</v>
      </c>
      <c r="I1168" t="s">
        <v>1957</v>
      </c>
      <c r="J1168" t="s">
        <v>5567</v>
      </c>
      <c r="K1168" t="s">
        <v>5568</v>
      </c>
      <c r="L1168" s="11" t="s">
        <v>5567</v>
      </c>
    </row>
    <row r="1169" spans="1:12">
      <c r="A1169" t="s">
        <v>5569</v>
      </c>
      <c r="B1169" s="8">
        <v>3.67</v>
      </c>
      <c r="C1169" s="9">
        <v>621</v>
      </c>
      <c r="D1169">
        <v>1</v>
      </c>
      <c r="E1169">
        <v>1</v>
      </c>
      <c r="F1169">
        <v>1</v>
      </c>
      <c r="G1169" s="10">
        <v>1</v>
      </c>
      <c r="H1169" t="s">
        <v>46</v>
      </c>
      <c r="I1169" t="s">
        <v>1957</v>
      </c>
      <c r="J1169" t="s">
        <v>5570</v>
      </c>
      <c r="K1169" t="s">
        <v>5571</v>
      </c>
      <c r="L1169" s="11" t="s">
        <v>5570</v>
      </c>
    </row>
    <row r="1170" spans="1:12">
      <c r="A1170" t="s">
        <v>5572</v>
      </c>
      <c r="B1170" s="8">
        <v>2.137</v>
      </c>
      <c r="C1170" s="9">
        <v>35</v>
      </c>
      <c r="D1170">
        <v>3</v>
      </c>
      <c r="E1170">
        <v>3</v>
      </c>
      <c r="F1170">
        <v>3</v>
      </c>
      <c r="G1170" s="10">
        <v>1</v>
      </c>
      <c r="H1170" t="s">
        <v>46</v>
      </c>
      <c r="I1170" t="s">
        <v>1957</v>
      </c>
      <c r="J1170" t="s">
        <v>5573</v>
      </c>
      <c r="K1170" t="s">
        <v>5574</v>
      </c>
      <c r="L1170" s="11" t="s">
        <v>5575</v>
      </c>
    </row>
    <row r="1171" spans="1:12">
      <c r="A1171" t="s">
        <v>5576</v>
      </c>
      <c r="B1171" s="8">
        <v>2.254</v>
      </c>
      <c r="C1171" s="9">
        <v>115</v>
      </c>
      <c r="D1171">
        <v>2</v>
      </c>
      <c r="E1171">
        <v>2</v>
      </c>
      <c r="F1171">
        <v>2</v>
      </c>
      <c r="G1171" s="10">
        <v>1</v>
      </c>
      <c r="H1171" t="s">
        <v>46</v>
      </c>
      <c r="I1171" t="s">
        <v>1957</v>
      </c>
      <c r="J1171" t="s">
        <v>5577</v>
      </c>
      <c r="K1171" t="s">
        <v>5574</v>
      </c>
      <c r="L1171" s="11" t="s">
        <v>5570</v>
      </c>
    </row>
    <row r="1172" spans="1:12">
      <c r="A1172" t="s">
        <v>5578</v>
      </c>
      <c r="B1172" s="8">
        <v>2.3119999999999998</v>
      </c>
      <c r="C1172" s="9">
        <v>11</v>
      </c>
      <c r="D1172">
        <v>2</v>
      </c>
      <c r="E1172">
        <v>2</v>
      </c>
      <c r="F1172">
        <v>2</v>
      </c>
      <c r="G1172" s="10">
        <v>1</v>
      </c>
      <c r="H1172" t="s">
        <v>46</v>
      </c>
      <c r="I1172" t="s">
        <v>1957</v>
      </c>
      <c r="J1172" t="s">
        <v>5579</v>
      </c>
      <c r="K1172" t="s">
        <v>5580</v>
      </c>
      <c r="L1172" s="11" t="s">
        <v>5581</v>
      </c>
    </row>
    <row r="1173" spans="1:12">
      <c r="A1173" t="s">
        <v>5582</v>
      </c>
      <c r="B1173" s="8">
        <v>64.561999999999998</v>
      </c>
      <c r="C1173" s="9">
        <v>41</v>
      </c>
      <c r="D1173">
        <v>53</v>
      </c>
      <c r="E1173">
        <v>53</v>
      </c>
      <c r="F1173">
        <v>52</v>
      </c>
      <c r="G1173" s="10">
        <v>0.98113207547169812</v>
      </c>
      <c r="H1173" t="s">
        <v>46</v>
      </c>
      <c r="I1173" t="s">
        <v>1957</v>
      </c>
      <c r="J1173" t="s">
        <v>5583</v>
      </c>
      <c r="K1173" t="s">
        <v>5584</v>
      </c>
      <c r="L1173" s="11" t="s">
        <v>5585</v>
      </c>
    </row>
    <row r="1174" spans="1:12">
      <c r="A1174" t="s">
        <v>5586</v>
      </c>
      <c r="B1174" s="8">
        <v>2.2549999999999999</v>
      </c>
      <c r="C1174" s="9">
        <v>9.6999999999999993</v>
      </c>
      <c r="D1174">
        <v>3</v>
      </c>
      <c r="E1174">
        <v>3</v>
      </c>
      <c r="F1174">
        <v>3</v>
      </c>
      <c r="G1174" s="10">
        <v>1</v>
      </c>
      <c r="H1174" t="s">
        <v>46</v>
      </c>
      <c r="I1174" t="s">
        <v>1957</v>
      </c>
      <c r="J1174" t="s">
        <v>5587</v>
      </c>
      <c r="K1174" t="s">
        <v>5588</v>
      </c>
      <c r="L1174" s="11" t="s">
        <v>5589</v>
      </c>
    </row>
    <row r="1175" spans="1:12">
      <c r="A1175" t="s">
        <v>5590</v>
      </c>
      <c r="B1175" s="8">
        <v>15.738</v>
      </c>
      <c r="C1175" s="9">
        <v>237</v>
      </c>
      <c r="D1175">
        <v>17</v>
      </c>
      <c r="E1175">
        <v>16</v>
      </c>
      <c r="F1175">
        <v>14</v>
      </c>
      <c r="G1175" s="10">
        <v>0.82352941176470584</v>
      </c>
      <c r="H1175" t="s">
        <v>46</v>
      </c>
      <c r="I1175" t="s">
        <v>1957</v>
      </c>
      <c r="J1175" t="s">
        <v>5591</v>
      </c>
      <c r="K1175" t="s">
        <v>5592</v>
      </c>
      <c r="L1175" s="11" t="s">
        <v>5593</v>
      </c>
    </row>
    <row r="1176" spans="1:12">
      <c r="A1176" t="s">
        <v>5594</v>
      </c>
      <c r="B1176" s="8">
        <v>64.564999999999998</v>
      </c>
      <c r="C1176" s="9">
        <v>409</v>
      </c>
      <c r="D1176">
        <v>53</v>
      </c>
      <c r="E1176">
        <v>51</v>
      </c>
      <c r="F1176">
        <v>42</v>
      </c>
      <c r="G1176" s="10">
        <v>0.79245283018867929</v>
      </c>
      <c r="H1176" t="s">
        <v>46</v>
      </c>
      <c r="I1176" t="s">
        <v>1957</v>
      </c>
      <c r="J1176" t="s">
        <v>5595</v>
      </c>
      <c r="K1176" t="s">
        <v>5596</v>
      </c>
      <c r="L1176" s="11" t="s">
        <v>5597</v>
      </c>
    </row>
    <row r="1177" spans="1:12">
      <c r="A1177" t="s">
        <v>5598</v>
      </c>
      <c r="B1177" s="8">
        <v>2.2559999999999998</v>
      </c>
      <c r="C1177" s="9">
        <v>8.1</v>
      </c>
      <c r="D1177">
        <v>3</v>
      </c>
      <c r="E1177">
        <v>3</v>
      </c>
      <c r="F1177">
        <v>3</v>
      </c>
      <c r="G1177" s="10">
        <v>1</v>
      </c>
      <c r="H1177" t="s">
        <v>46</v>
      </c>
      <c r="I1177" t="s">
        <v>1957</v>
      </c>
      <c r="J1177" t="s">
        <v>5599</v>
      </c>
      <c r="K1177" t="s">
        <v>5600</v>
      </c>
      <c r="L1177" s="11" t="s">
        <v>5601</v>
      </c>
    </row>
    <row r="1178" spans="1:12">
      <c r="A1178" t="s">
        <v>5602</v>
      </c>
      <c r="B1178" s="8">
        <v>3.6030000000000002</v>
      </c>
      <c r="C1178" s="9">
        <v>11</v>
      </c>
      <c r="D1178">
        <v>5</v>
      </c>
      <c r="E1178">
        <v>5</v>
      </c>
      <c r="F1178">
        <v>5</v>
      </c>
      <c r="G1178" s="10">
        <v>1</v>
      </c>
      <c r="H1178" t="s">
        <v>46</v>
      </c>
      <c r="I1178" t="s">
        <v>1957</v>
      </c>
      <c r="J1178" t="s">
        <v>5603</v>
      </c>
      <c r="K1178" t="s">
        <v>5604</v>
      </c>
      <c r="L1178" s="11" t="s">
        <v>5605</v>
      </c>
    </row>
    <row r="1179" spans="1:12">
      <c r="A1179" t="s">
        <v>5606</v>
      </c>
      <c r="B1179" s="8">
        <v>2.8220000000000001</v>
      </c>
      <c r="C1179" s="9">
        <v>12</v>
      </c>
      <c r="D1179">
        <v>2</v>
      </c>
      <c r="E1179">
        <v>2</v>
      </c>
      <c r="F1179">
        <v>2</v>
      </c>
      <c r="G1179" s="10">
        <v>1</v>
      </c>
      <c r="H1179" t="s">
        <v>46</v>
      </c>
      <c r="I1179" t="s">
        <v>1957</v>
      </c>
      <c r="J1179" t="s">
        <v>5607</v>
      </c>
      <c r="K1179" t="s">
        <v>5608</v>
      </c>
      <c r="L1179" s="11" t="s">
        <v>5609</v>
      </c>
    </row>
    <row r="1180" spans="1:12">
      <c r="A1180" t="s">
        <v>5610</v>
      </c>
      <c r="B1180" s="8">
        <v>2.2690000000000001</v>
      </c>
      <c r="C1180" s="9">
        <v>1089</v>
      </c>
      <c r="D1180">
        <v>1</v>
      </c>
      <c r="E1180">
        <v>1</v>
      </c>
      <c r="F1180">
        <v>1</v>
      </c>
      <c r="G1180" s="10">
        <v>1</v>
      </c>
      <c r="H1180" t="s">
        <v>46</v>
      </c>
      <c r="I1180" t="s">
        <v>1957</v>
      </c>
      <c r="J1180" t="s">
        <v>5611</v>
      </c>
      <c r="K1180" t="s">
        <v>5608</v>
      </c>
      <c r="L1180" s="11" t="s">
        <v>5611</v>
      </c>
    </row>
    <row r="1181" spans="1:12">
      <c r="A1181" t="s">
        <v>5612</v>
      </c>
      <c r="B1181" s="8">
        <v>4.258</v>
      </c>
      <c r="C1181" s="9">
        <v>10</v>
      </c>
      <c r="D1181">
        <v>5</v>
      </c>
      <c r="E1181">
        <v>5</v>
      </c>
      <c r="F1181">
        <v>5</v>
      </c>
      <c r="G1181" s="10">
        <v>1</v>
      </c>
      <c r="H1181" t="s">
        <v>46</v>
      </c>
      <c r="I1181" t="s">
        <v>1957</v>
      </c>
      <c r="J1181" t="s">
        <v>5613</v>
      </c>
      <c r="K1181" t="s">
        <v>5614</v>
      </c>
      <c r="L1181" s="11" t="s">
        <v>5613</v>
      </c>
    </row>
    <row r="1182" spans="1:12">
      <c r="A1182" t="s">
        <v>5615</v>
      </c>
      <c r="B1182" s="8">
        <v>3.89</v>
      </c>
      <c r="C1182" s="9">
        <v>10</v>
      </c>
      <c r="D1182">
        <v>5</v>
      </c>
      <c r="E1182">
        <v>4</v>
      </c>
      <c r="F1182">
        <v>3</v>
      </c>
      <c r="G1182" s="10">
        <v>0.6</v>
      </c>
      <c r="H1182" t="s">
        <v>46</v>
      </c>
      <c r="I1182" t="s">
        <v>1957</v>
      </c>
      <c r="J1182" t="s">
        <v>5616</v>
      </c>
      <c r="K1182" t="s">
        <v>5617</v>
      </c>
      <c r="L1182" s="11" t="s">
        <v>5618</v>
      </c>
    </row>
    <row r="1183" spans="1:12">
      <c r="A1183" t="s">
        <v>5619</v>
      </c>
      <c r="B1183" s="8">
        <v>2.5139999999999998</v>
      </c>
      <c r="C1183" s="9">
        <v>711</v>
      </c>
      <c r="D1183">
        <v>3</v>
      </c>
      <c r="E1183">
        <v>3</v>
      </c>
      <c r="F1183">
        <v>3</v>
      </c>
      <c r="G1183" s="10">
        <v>1</v>
      </c>
      <c r="H1183" t="s">
        <v>46</v>
      </c>
      <c r="I1183" t="s">
        <v>1957</v>
      </c>
      <c r="J1183" t="s">
        <v>5620</v>
      </c>
      <c r="K1183" t="s">
        <v>5621</v>
      </c>
      <c r="L1183" s="11" t="s">
        <v>5622</v>
      </c>
    </row>
    <row r="1184" spans="1:12">
      <c r="A1184" t="s">
        <v>5623</v>
      </c>
      <c r="B1184" s="8">
        <v>2.835</v>
      </c>
      <c r="C1184" s="9">
        <v>12</v>
      </c>
      <c r="D1184">
        <v>3</v>
      </c>
      <c r="E1184">
        <v>1</v>
      </c>
      <c r="F1184">
        <v>2</v>
      </c>
      <c r="G1184" s="10">
        <v>0.66666666666666663</v>
      </c>
      <c r="H1184" t="s">
        <v>46</v>
      </c>
      <c r="I1184" t="s">
        <v>1957</v>
      </c>
      <c r="J1184" t="s">
        <v>1863</v>
      </c>
      <c r="K1184" t="s">
        <v>1865</v>
      </c>
      <c r="L1184" s="11" t="s">
        <v>1863</v>
      </c>
    </row>
    <row r="1185" spans="1:12">
      <c r="A1185" t="s">
        <v>5624</v>
      </c>
      <c r="B1185" s="8">
        <v>2.52</v>
      </c>
      <c r="C1185" s="9">
        <v>57</v>
      </c>
      <c r="D1185">
        <v>3</v>
      </c>
      <c r="E1185">
        <v>2</v>
      </c>
      <c r="F1185">
        <v>2</v>
      </c>
      <c r="G1185" s="10">
        <v>0.66666666666666663</v>
      </c>
      <c r="H1185" t="s">
        <v>46</v>
      </c>
      <c r="I1185" t="s">
        <v>1957</v>
      </c>
      <c r="J1185" t="s">
        <v>5625</v>
      </c>
      <c r="K1185" t="s">
        <v>5626</v>
      </c>
      <c r="L1185" s="11" t="s">
        <v>5625</v>
      </c>
    </row>
    <row r="1186" spans="1:12">
      <c r="A1186" t="s">
        <v>5627</v>
      </c>
      <c r="B1186" s="8">
        <v>2.6760000000000002</v>
      </c>
      <c r="C1186" s="9">
        <v>184</v>
      </c>
      <c r="D1186">
        <v>3</v>
      </c>
      <c r="E1186">
        <v>2</v>
      </c>
      <c r="F1186">
        <v>2</v>
      </c>
      <c r="G1186" s="10">
        <v>0.66666666666666663</v>
      </c>
      <c r="H1186" t="s">
        <v>46</v>
      </c>
      <c r="I1186" t="s">
        <v>1957</v>
      </c>
      <c r="J1186" t="s">
        <v>5625</v>
      </c>
      <c r="K1186" t="s">
        <v>5626</v>
      </c>
      <c r="L1186" s="11" t="s">
        <v>5628</v>
      </c>
    </row>
    <row r="1187" spans="1:12">
      <c r="A1187" t="s">
        <v>5629</v>
      </c>
      <c r="B1187" s="8">
        <v>4.8070000000000004</v>
      </c>
      <c r="C1187" s="9">
        <v>32</v>
      </c>
      <c r="D1187">
        <v>3</v>
      </c>
      <c r="E1187">
        <v>3</v>
      </c>
      <c r="F1187">
        <v>3</v>
      </c>
      <c r="G1187" s="10">
        <v>1</v>
      </c>
      <c r="H1187" t="s">
        <v>46</v>
      </c>
      <c r="I1187" t="s">
        <v>1957</v>
      </c>
      <c r="J1187" t="s">
        <v>5630</v>
      </c>
      <c r="K1187" t="s">
        <v>5631</v>
      </c>
      <c r="L1187" s="11" t="s">
        <v>5632</v>
      </c>
    </row>
    <row r="1188" spans="1:12">
      <c r="A1188" t="s">
        <v>5633</v>
      </c>
      <c r="B1188" s="8">
        <v>3.9390000000000001</v>
      </c>
      <c r="C1188" s="9">
        <v>149</v>
      </c>
      <c r="D1188">
        <v>4</v>
      </c>
      <c r="E1188">
        <v>4</v>
      </c>
      <c r="F1188">
        <v>4</v>
      </c>
      <c r="G1188" s="10">
        <v>1</v>
      </c>
      <c r="H1188" t="s">
        <v>1867</v>
      </c>
      <c r="I1188" t="s">
        <v>5634</v>
      </c>
      <c r="J1188" t="s">
        <v>5635</v>
      </c>
      <c r="K1188" t="s">
        <v>5636</v>
      </c>
      <c r="L1188" s="11" t="s">
        <v>5637</v>
      </c>
    </row>
    <row r="1189" spans="1:12">
      <c r="A1189" t="s">
        <v>5638</v>
      </c>
      <c r="B1189" s="8">
        <v>4.2350000000000003</v>
      </c>
      <c r="C1189" s="9">
        <v>73</v>
      </c>
      <c r="D1189">
        <v>6</v>
      </c>
      <c r="E1189">
        <v>6</v>
      </c>
      <c r="F1189">
        <v>6</v>
      </c>
      <c r="G1189" s="10">
        <v>1</v>
      </c>
      <c r="H1189" t="s">
        <v>1867</v>
      </c>
      <c r="I1189" t="s">
        <v>5634</v>
      </c>
      <c r="J1189" t="s">
        <v>5639</v>
      </c>
      <c r="K1189" t="s">
        <v>5640</v>
      </c>
      <c r="L1189" s="11" t="s">
        <v>5639</v>
      </c>
    </row>
    <row r="1190" spans="1:12">
      <c r="A1190" t="s">
        <v>5641</v>
      </c>
      <c r="B1190" s="8">
        <v>4.6760000000000002</v>
      </c>
      <c r="C1190" s="9">
        <v>73</v>
      </c>
      <c r="D1190">
        <v>5</v>
      </c>
      <c r="E1190">
        <v>5</v>
      </c>
      <c r="F1190">
        <v>5</v>
      </c>
      <c r="G1190" s="10">
        <v>1</v>
      </c>
      <c r="H1190" t="s">
        <v>1867</v>
      </c>
      <c r="I1190" t="s">
        <v>5634</v>
      </c>
      <c r="J1190" t="s">
        <v>5642</v>
      </c>
      <c r="K1190" t="s">
        <v>5643</v>
      </c>
      <c r="L1190" s="11" t="s">
        <v>5644</v>
      </c>
    </row>
    <row r="1191" spans="1:12">
      <c r="A1191" t="s">
        <v>5645</v>
      </c>
      <c r="B1191" s="8">
        <v>4.2060000000000004</v>
      </c>
      <c r="C1191" s="9">
        <v>49</v>
      </c>
      <c r="D1191">
        <v>5</v>
      </c>
      <c r="E1191">
        <v>5</v>
      </c>
      <c r="F1191">
        <v>5</v>
      </c>
      <c r="G1191" s="10">
        <v>1</v>
      </c>
      <c r="H1191" t="s">
        <v>1867</v>
      </c>
      <c r="I1191" t="s">
        <v>5634</v>
      </c>
      <c r="J1191" t="s">
        <v>5646</v>
      </c>
      <c r="K1191" t="s">
        <v>5647</v>
      </c>
      <c r="L1191" s="11" t="s">
        <v>5648</v>
      </c>
    </row>
    <row r="1192" spans="1:12">
      <c r="A1192" t="s">
        <v>5649</v>
      </c>
      <c r="B1192" s="8">
        <v>2.0539999999999998</v>
      </c>
      <c r="C1192" s="9">
        <v>10</v>
      </c>
      <c r="D1192">
        <v>1</v>
      </c>
      <c r="E1192">
        <v>1</v>
      </c>
      <c r="F1192">
        <v>1</v>
      </c>
      <c r="G1192" s="10">
        <v>1</v>
      </c>
      <c r="H1192" t="s">
        <v>1867</v>
      </c>
      <c r="I1192" t="s">
        <v>5634</v>
      </c>
      <c r="J1192" t="s">
        <v>5650</v>
      </c>
      <c r="K1192" t="s">
        <v>1869</v>
      </c>
      <c r="L1192" s="11" t="s">
        <v>5650</v>
      </c>
    </row>
    <row r="1193" spans="1:12">
      <c r="A1193" t="s">
        <v>5651</v>
      </c>
      <c r="B1193" s="8">
        <v>3.948</v>
      </c>
      <c r="C1193" s="9">
        <v>87</v>
      </c>
      <c r="D1193">
        <v>1</v>
      </c>
      <c r="E1193">
        <v>1</v>
      </c>
      <c r="F1193">
        <v>1</v>
      </c>
      <c r="G1193" s="10">
        <v>1</v>
      </c>
      <c r="H1193" t="s">
        <v>1867</v>
      </c>
      <c r="I1193" t="s">
        <v>5634</v>
      </c>
      <c r="J1193" t="s">
        <v>5650</v>
      </c>
      <c r="K1193" t="s">
        <v>1869</v>
      </c>
      <c r="L1193" s="11" t="s">
        <v>5650</v>
      </c>
    </row>
    <row r="1194" spans="1:12">
      <c r="A1194" t="s">
        <v>5652</v>
      </c>
      <c r="B1194" s="8">
        <v>4.0730000000000004</v>
      </c>
      <c r="C1194" s="9">
        <v>41</v>
      </c>
      <c r="D1194">
        <v>5</v>
      </c>
      <c r="E1194">
        <v>4</v>
      </c>
      <c r="F1194">
        <v>5</v>
      </c>
      <c r="G1194" s="10">
        <v>1</v>
      </c>
      <c r="H1194" t="s">
        <v>1867</v>
      </c>
      <c r="I1194" t="s">
        <v>5634</v>
      </c>
      <c r="J1194" t="s">
        <v>5653</v>
      </c>
      <c r="K1194" t="s">
        <v>5654</v>
      </c>
      <c r="L1194" s="11" t="s">
        <v>1868</v>
      </c>
    </row>
    <row r="1195" spans="1:12">
      <c r="A1195" t="s">
        <v>5655</v>
      </c>
      <c r="B1195" s="8">
        <v>4.5030000000000001</v>
      </c>
      <c r="C1195" s="9">
        <v>286</v>
      </c>
      <c r="D1195">
        <v>5</v>
      </c>
      <c r="E1195">
        <v>4</v>
      </c>
      <c r="F1195">
        <v>5</v>
      </c>
      <c r="G1195" s="10">
        <v>1</v>
      </c>
      <c r="H1195" t="s">
        <v>1867</v>
      </c>
      <c r="I1195" t="s">
        <v>5634</v>
      </c>
      <c r="J1195" t="s">
        <v>5656</v>
      </c>
      <c r="K1195" t="s">
        <v>5657</v>
      </c>
      <c r="L1195" s="11" t="s">
        <v>5656</v>
      </c>
    </row>
    <row r="1196" spans="1:12">
      <c r="A1196" t="s">
        <v>5658</v>
      </c>
      <c r="B1196" s="8">
        <v>6.2149999999999999</v>
      </c>
      <c r="C1196" s="9">
        <v>42</v>
      </c>
      <c r="D1196">
        <v>4</v>
      </c>
      <c r="E1196">
        <v>4</v>
      </c>
      <c r="F1196">
        <v>4</v>
      </c>
      <c r="G1196" s="10">
        <v>1</v>
      </c>
      <c r="H1196" t="s">
        <v>1867</v>
      </c>
      <c r="I1196" t="s">
        <v>5634</v>
      </c>
      <c r="J1196" t="s">
        <v>5659</v>
      </c>
      <c r="K1196" t="s">
        <v>5660</v>
      </c>
      <c r="L1196" s="11" t="s">
        <v>5661</v>
      </c>
    </row>
    <row r="1197" spans="1:12">
      <c r="A1197" t="s">
        <v>5662</v>
      </c>
      <c r="B1197" s="8">
        <v>4.8410000000000002</v>
      </c>
      <c r="C1197" s="9">
        <v>1604</v>
      </c>
      <c r="D1197">
        <v>6</v>
      </c>
      <c r="E1197">
        <v>6</v>
      </c>
      <c r="F1197">
        <v>6</v>
      </c>
      <c r="G1197" s="10">
        <v>1</v>
      </c>
      <c r="H1197" t="s">
        <v>1867</v>
      </c>
      <c r="I1197" t="s">
        <v>5634</v>
      </c>
      <c r="J1197" t="s">
        <v>5663</v>
      </c>
      <c r="K1197" t="s">
        <v>5664</v>
      </c>
      <c r="L1197" s="11" t="s">
        <v>5665</v>
      </c>
    </row>
    <row r="1198" spans="1:12">
      <c r="A1198" t="s">
        <v>5666</v>
      </c>
      <c r="B1198" s="8">
        <v>4.3120000000000003</v>
      </c>
      <c r="C1198" s="9">
        <v>12</v>
      </c>
      <c r="D1198">
        <v>4</v>
      </c>
      <c r="E1198">
        <v>4</v>
      </c>
      <c r="F1198">
        <v>4</v>
      </c>
      <c r="G1198" s="10">
        <v>1</v>
      </c>
      <c r="H1198" t="s">
        <v>1867</v>
      </c>
      <c r="I1198" t="s">
        <v>5634</v>
      </c>
      <c r="J1198" t="s">
        <v>5667</v>
      </c>
      <c r="K1198" t="s">
        <v>5668</v>
      </c>
      <c r="L1198" s="11" t="s">
        <v>5669</v>
      </c>
    </row>
    <row r="1199" spans="1:12">
      <c r="A1199" t="s">
        <v>5670</v>
      </c>
      <c r="B1199" s="8">
        <v>4.4109999999999996</v>
      </c>
      <c r="C1199" s="9">
        <v>15</v>
      </c>
      <c r="D1199">
        <v>4</v>
      </c>
      <c r="E1199">
        <v>3</v>
      </c>
      <c r="F1199">
        <v>4</v>
      </c>
      <c r="G1199" s="10">
        <v>1</v>
      </c>
      <c r="H1199" t="s">
        <v>1867</v>
      </c>
      <c r="I1199" t="s">
        <v>5634</v>
      </c>
      <c r="J1199" t="s">
        <v>5671</v>
      </c>
      <c r="K1199" t="s">
        <v>5672</v>
      </c>
      <c r="L1199" s="11" t="s">
        <v>5673</v>
      </c>
    </row>
    <row r="1200" spans="1:12">
      <c r="A1200" t="s">
        <v>5674</v>
      </c>
      <c r="B1200" s="8">
        <v>3.569</v>
      </c>
      <c r="C1200" s="9">
        <v>14</v>
      </c>
      <c r="D1200">
        <v>2</v>
      </c>
      <c r="E1200">
        <v>2</v>
      </c>
      <c r="F1200">
        <v>2</v>
      </c>
      <c r="G1200" s="10">
        <v>1</v>
      </c>
      <c r="H1200" t="s">
        <v>1867</v>
      </c>
      <c r="I1200" t="s">
        <v>5634</v>
      </c>
      <c r="J1200" t="s">
        <v>5675</v>
      </c>
      <c r="K1200" t="s">
        <v>5676</v>
      </c>
      <c r="L1200" s="11" t="s">
        <v>5675</v>
      </c>
    </row>
    <row r="1201" spans="1:12">
      <c r="A1201" t="s">
        <v>5677</v>
      </c>
      <c r="B1201" s="8">
        <v>3.3679999999999999</v>
      </c>
      <c r="C1201" s="9">
        <v>21</v>
      </c>
      <c r="D1201">
        <v>3</v>
      </c>
      <c r="E1201">
        <v>3</v>
      </c>
      <c r="F1201">
        <v>3</v>
      </c>
      <c r="G1201" s="10">
        <v>1</v>
      </c>
      <c r="H1201" t="s">
        <v>46</v>
      </c>
      <c r="I1201" t="s">
        <v>5678</v>
      </c>
      <c r="J1201" t="s">
        <v>5679</v>
      </c>
      <c r="K1201" t="s">
        <v>5680</v>
      </c>
      <c r="L1201" s="11" t="s">
        <v>5681</v>
      </c>
    </row>
    <row r="1202" spans="1:12">
      <c r="A1202" t="s">
        <v>5682</v>
      </c>
      <c r="B1202" s="8">
        <v>8.0310000000000006</v>
      </c>
      <c r="C1202" s="9">
        <v>13</v>
      </c>
      <c r="D1202">
        <v>3</v>
      </c>
      <c r="E1202">
        <v>2</v>
      </c>
      <c r="F1202">
        <v>2</v>
      </c>
      <c r="G1202" s="10">
        <v>0.66666666666666663</v>
      </c>
      <c r="H1202" t="s">
        <v>46</v>
      </c>
      <c r="I1202" t="s">
        <v>5678</v>
      </c>
      <c r="J1202" t="s">
        <v>5683</v>
      </c>
      <c r="K1202" t="s">
        <v>5684</v>
      </c>
      <c r="L1202" s="11" t="s">
        <v>5685</v>
      </c>
    </row>
    <row r="1203" spans="1:12">
      <c r="A1203" t="s">
        <v>5686</v>
      </c>
      <c r="B1203" s="8">
        <v>8.9440000000000008</v>
      </c>
      <c r="C1203" s="9">
        <v>24</v>
      </c>
      <c r="D1203">
        <v>4</v>
      </c>
      <c r="E1203">
        <v>4</v>
      </c>
      <c r="F1203">
        <v>4</v>
      </c>
      <c r="G1203" s="10">
        <v>1</v>
      </c>
      <c r="H1203" t="s">
        <v>46</v>
      </c>
      <c r="I1203" s="11" t="s">
        <v>1957</v>
      </c>
      <c r="J1203" t="s">
        <v>5687</v>
      </c>
      <c r="K1203" t="s">
        <v>5688</v>
      </c>
      <c r="L1203" s="11" t="s">
        <v>5689</v>
      </c>
    </row>
    <row r="1204" spans="1:12">
      <c r="A1204" t="s">
        <v>5690</v>
      </c>
      <c r="B1204" s="8">
        <v>3.831</v>
      </c>
      <c r="C1204" s="9">
        <v>59</v>
      </c>
      <c r="D1204">
        <v>5</v>
      </c>
      <c r="E1204">
        <v>5</v>
      </c>
      <c r="F1204">
        <v>4</v>
      </c>
      <c r="G1204" s="10">
        <v>0.8</v>
      </c>
      <c r="H1204" t="s">
        <v>46</v>
      </c>
      <c r="I1204" s="11" t="s">
        <v>1957</v>
      </c>
      <c r="J1204" t="s">
        <v>5691</v>
      </c>
      <c r="K1204" t="s">
        <v>5692</v>
      </c>
      <c r="L1204" s="11" t="s">
        <v>5693</v>
      </c>
    </row>
    <row r="1205" spans="1:12">
      <c r="A1205" t="s">
        <v>5694</v>
      </c>
      <c r="B1205" s="8">
        <v>8.859</v>
      </c>
      <c r="C1205" s="9">
        <v>2624</v>
      </c>
      <c r="D1205">
        <v>10</v>
      </c>
      <c r="E1205">
        <v>8</v>
      </c>
      <c r="F1205">
        <v>10</v>
      </c>
      <c r="G1205" s="10">
        <v>1</v>
      </c>
      <c r="H1205" t="s">
        <v>46</v>
      </c>
      <c r="I1205" s="11" t="s">
        <v>1957</v>
      </c>
      <c r="J1205" t="s">
        <v>5695</v>
      </c>
      <c r="K1205" t="s">
        <v>5696</v>
      </c>
      <c r="L1205" s="11" t="s">
        <v>5697</v>
      </c>
    </row>
    <row r="1206" spans="1:12">
      <c r="A1206" t="s">
        <v>5698</v>
      </c>
      <c r="B1206" s="8">
        <v>3.0640000000000001</v>
      </c>
      <c r="C1206" s="9">
        <v>451</v>
      </c>
      <c r="D1206">
        <v>4</v>
      </c>
      <c r="E1206">
        <v>4</v>
      </c>
      <c r="F1206">
        <v>3</v>
      </c>
      <c r="G1206" s="10">
        <v>0.75</v>
      </c>
      <c r="H1206" t="s">
        <v>46</v>
      </c>
      <c r="I1206" s="11" t="s">
        <v>1957</v>
      </c>
      <c r="J1206" t="s">
        <v>5699</v>
      </c>
      <c r="K1206" t="s">
        <v>5700</v>
      </c>
      <c r="L1206" s="11" t="s">
        <v>5701</v>
      </c>
    </row>
    <row r="1207" spans="1:12">
      <c r="A1207" t="s">
        <v>5702</v>
      </c>
      <c r="B1207" s="8">
        <v>9.0129999999999999</v>
      </c>
      <c r="C1207" s="9">
        <v>1827</v>
      </c>
      <c r="D1207">
        <v>8</v>
      </c>
      <c r="E1207">
        <v>8</v>
      </c>
      <c r="F1207">
        <v>8</v>
      </c>
      <c r="G1207" s="10">
        <v>1</v>
      </c>
      <c r="H1207" t="s">
        <v>46</v>
      </c>
      <c r="I1207" s="11" t="s">
        <v>1957</v>
      </c>
      <c r="J1207" t="s">
        <v>5703</v>
      </c>
      <c r="K1207" t="s">
        <v>5704</v>
      </c>
      <c r="L1207" s="11" t="s">
        <v>5705</v>
      </c>
    </row>
    <row r="1208" spans="1:12">
      <c r="A1208" t="s">
        <v>5706</v>
      </c>
      <c r="B1208" s="8">
        <v>4.2039999999999997</v>
      </c>
      <c r="C1208" s="9">
        <v>116</v>
      </c>
      <c r="D1208">
        <v>4</v>
      </c>
      <c r="E1208">
        <v>4</v>
      </c>
      <c r="F1208">
        <v>4</v>
      </c>
      <c r="G1208" s="10">
        <v>1</v>
      </c>
      <c r="H1208" t="s">
        <v>46</v>
      </c>
      <c r="I1208" s="11" t="s">
        <v>1957</v>
      </c>
      <c r="J1208" t="s">
        <v>5707</v>
      </c>
      <c r="K1208" t="s">
        <v>5708</v>
      </c>
      <c r="L1208" s="11" t="s">
        <v>5709</v>
      </c>
    </row>
    <row r="1209" spans="1:12">
      <c r="A1209" t="s">
        <v>5710</v>
      </c>
      <c r="B1209" s="8">
        <v>3.73</v>
      </c>
      <c r="C1209" s="9">
        <v>211</v>
      </c>
      <c r="D1209">
        <v>5</v>
      </c>
      <c r="E1209">
        <v>4</v>
      </c>
      <c r="F1209">
        <v>4</v>
      </c>
      <c r="G1209" s="10">
        <v>0.8</v>
      </c>
      <c r="H1209" t="s">
        <v>46</v>
      </c>
      <c r="I1209" s="11" t="s">
        <v>1957</v>
      </c>
      <c r="J1209" t="s">
        <v>5711</v>
      </c>
      <c r="K1209" t="s">
        <v>5712</v>
      </c>
      <c r="L1209" s="11" t="s">
        <v>5713</v>
      </c>
    </row>
    <row r="1210" spans="1:12">
      <c r="A1210" t="s">
        <v>5714</v>
      </c>
      <c r="B1210" s="8">
        <v>9.3870000000000005</v>
      </c>
      <c r="C1210" s="9">
        <v>31</v>
      </c>
      <c r="D1210">
        <v>4</v>
      </c>
      <c r="E1210">
        <v>4</v>
      </c>
      <c r="F1210">
        <v>3</v>
      </c>
      <c r="G1210" s="10">
        <v>0.75</v>
      </c>
      <c r="H1210" t="s">
        <v>46</v>
      </c>
      <c r="I1210" s="11" t="s">
        <v>1957</v>
      </c>
      <c r="J1210" t="s">
        <v>5715</v>
      </c>
      <c r="K1210" t="s">
        <v>5716</v>
      </c>
      <c r="L1210" s="11" t="s">
        <v>5717</v>
      </c>
    </row>
    <row r="1211" spans="1:12">
      <c r="A1211" t="s">
        <v>5718</v>
      </c>
      <c r="B1211" s="8">
        <v>16.853000000000002</v>
      </c>
      <c r="C1211" s="9">
        <v>829</v>
      </c>
      <c r="D1211">
        <v>8</v>
      </c>
      <c r="E1211">
        <v>8</v>
      </c>
      <c r="F1211">
        <v>6</v>
      </c>
      <c r="G1211" s="10">
        <v>0.75</v>
      </c>
      <c r="H1211" t="s">
        <v>46</v>
      </c>
      <c r="I1211" t="s">
        <v>5719</v>
      </c>
      <c r="J1211" t="s">
        <v>5720</v>
      </c>
      <c r="K1211" t="s">
        <v>5721</v>
      </c>
      <c r="L1211" s="11" t="s">
        <v>5722</v>
      </c>
    </row>
    <row r="1212" spans="1:12">
      <c r="A1212" t="s">
        <v>5723</v>
      </c>
      <c r="B1212" s="8">
        <v>11.867000000000001</v>
      </c>
      <c r="C1212" s="9">
        <v>26</v>
      </c>
      <c r="D1212">
        <v>7</v>
      </c>
      <c r="E1212">
        <v>5</v>
      </c>
      <c r="F1212">
        <v>4</v>
      </c>
      <c r="G1212" s="10">
        <v>0.5714285714285714</v>
      </c>
      <c r="H1212" t="s">
        <v>46</v>
      </c>
      <c r="I1212" t="s">
        <v>5719</v>
      </c>
      <c r="J1212" t="s">
        <v>5724</v>
      </c>
      <c r="K1212" t="s">
        <v>5725</v>
      </c>
      <c r="L1212" s="11" t="s">
        <v>5726</v>
      </c>
    </row>
    <row r="1213" spans="1:12">
      <c r="A1213" t="s">
        <v>5727</v>
      </c>
      <c r="B1213" s="8">
        <v>2.472</v>
      </c>
      <c r="C1213" s="9">
        <v>22</v>
      </c>
      <c r="D1213">
        <v>1</v>
      </c>
      <c r="E1213">
        <v>1</v>
      </c>
      <c r="F1213">
        <v>1</v>
      </c>
      <c r="G1213" s="10">
        <v>1</v>
      </c>
      <c r="H1213" t="s">
        <v>46</v>
      </c>
      <c r="I1213" t="s">
        <v>5719</v>
      </c>
      <c r="J1213" t="s">
        <v>5728</v>
      </c>
      <c r="K1213" t="s">
        <v>5729</v>
      </c>
      <c r="L1213" s="11" t="s">
        <v>5728</v>
      </c>
    </row>
    <row r="1214" spans="1:12">
      <c r="A1214" t="s">
        <v>5730</v>
      </c>
      <c r="B1214" s="8">
        <v>5.7969999999999997</v>
      </c>
      <c r="C1214" s="9">
        <v>16</v>
      </c>
      <c r="D1214">
        <v>4</v>
      </c>
      <c r="E1214">
        <v>4</v>
      </c>
      <c r="F1214">
        <v>2</v>
      </c>
      <c r="G1214" s="10">
        <v>0.5</v>
      </c>
      <c r="H1214" t="s">
        <v>46</v>
      </c>
      <c r="I1214" t="s">
        <v>5719</v>
      </c>
      <c r="J1214" t="s">
        <v>5731</v>
      </c>
      <c r="K1214" t="s">
        <v>5732</v>
      </c>
      <c r="L1214" s="11" t="s">
        <v>5733</v>
      </c>
    </row>
    <row r="1215" spans="1:12">
      <c r="A1215" t="s">
        <v>5734</v>
      </c>
      <c r="B1215" s="8">
        <v>3.9940000000000002</v>
      </c>
      <c r="C1215" s="9">
        <v>19</v>
      </c>
      <c r="D1215">
        <v>1</v>
      </c>
      <c r="E1215">
        <v>1</v>
      </c>
      <c r="F1215">
        <v>1</v>
      </c>
      <c r="G1215" s="10">
        <v>1</v>
      </c>
      <c r="H1215" t="s">
        <v>46</v>
      </c>
      <c r="I1215" t="s">
        <v>5719</v>
      </c>
      <c r="J1215" t="s">
        <v>5735</v>
      </c>
      <c r="K1215" t="s">
        <v>5736</v>
      </c>
      <c r="L1215" s="11" t="s">
        <v>5735</v>
      </c>
    </row>
    <row r="1216" spans="1:12">
      <c r="A1216" t="s">
        <v>5737</v>
      </c>
      <c r="B1216" s="8">
        <v>2.3690000000000002</v>
      </c>
      <c r="C1216" s="9">
        <v>39</v>
      </c>
      <c r="D1216">
        <v>3</v>
      </c>
      <c r="E1216">
        <v>2</v>
      </c>
      <c r="F1216">
        <v>3</v>
      </c>
      <c r="G1216" s="10">
        <v>1</v>
      </c>
      <c r="H1216" t="s">
        <v>5738</v>
      </c>
      <c r="I1216" t="s">
        <v>5739</v>
      </c>
      <c r="J1216" t="s">
        <v>5740</v>
      </c>
      <c r="K1216" t="s">
        <v>5741</v>
      </c>
      <c r="L1216" s="11" t="s">
        <v>5742</v>
      </c>
    </row>
    <row r="1217" spans="1:12">
      <c r="A1217" t="s">
        <v>5743</v>
      </c>
      <c r="B1217" s="8">
        <v>4.5179999999999998</v>
      </c>
      <c r="C1217" s="9">
        <v>566</v>
      </c>
      <c r="D1217">
        <v>2</v>
      </c>
      <c r="E1217">
        <v>1</v>
      </c>
      <c r="F1217">
        <v>2</v>
      </c>
      <c r="G1217" s="10">
        <v>1</v>
      </c>
      <c r="H1217" t="s">
        <v>5738</v>
      </c>
      <c r="I1217" t="s">
        <v>5739</v>
      </c>
      <c r="J1217" t="s">
        <v>5744</v>
      </c>
      <c r="K1217" t="s">
        <v>5745</v>
      </c>
      <c r="L1217" s="11" t="s">
        <v>5744</v>
      </c>
    </row>
    <row r="1218" spans="1:12">
      <c r="A1218" t="s">
        <v>5746</v>
      </c>
      <c r="B1218" s="8">
        <v>11.864000000000001</v>
      </c>
      <c r="C1218" s="9">
        <v>30</v>
      </c>
      <c r="D1218">
        <v>4</v>
      </c>
      <c r="E1218">
        <v>4</v>
      </c>
      <c r="F1218">
        <v>2</v>
      </c>
      <c r="G1218" s="10">
        <v>0.5</v>
      </c>
      <c r="H1218" t="s">
        <v>46</v>
      </c>
      <c r="I1218" s="11" t="s">
        <v>1957</v>
      </c>
      <c r="J1218" t="s">
        <v>5747</v>
      </c>
      <c r="K1218" t="s">
        <v>5748</v>
      </c>
      <c r="L1218" s="11" t="s">
        <v>5749</v>
      </c>
    </row>
    <row r="1219" spans="1:12">
      <c r="A1219" t="s">
        <v>5750</v>
      </c>
      <c r="B1219" s="8">
        <v>3.5569999999999999</v>
      </c>
      <c r="C1219" s="9">
        <v>67</v>
      </c>
      <c r="D1219">
        <v>3</v>
      </c>
      <c r="E1219">
        <v>3</v>
      </c>
      <c r="F1219">
        <v>2</v>
      </c>
      <c r="G1219" s="10">
        <v>0.66666666666666663</v>
      </c>
      <c r="H1219" t="s">
        <v>46</v>
      </c>
      <c r="I1219" t="s">
        <v>5751</v>
      </c>
      <c r="J1219" t="s">
        <v>5752</v>
      </c>
      <c r="K1219" t="s">
        <v>5753</v>
      </c>
      <c r="L1219" s="11" t="s">
        <v>5754</v>
      </c>
    </row>
    <row r="1220" spans="1:12">
      <c r="A1220" t="s">
        <v>5755</v>
      </c>
      <c r="B1220" s="8">
        <v>2.1280000000000001</v>
      </c>
      <c r="C1220" s="9">
        <v>18</v>
      </c>
      <c r="D1220">
        <v>2</v>
      </c>
      <c r="E1220">
        <v>2</v>
      </c>
      <c r="F1220">
        <v>2</v>
      </c>
      <c r="G1220" s="10">
        <v>1</v>
      </c>
      <c r="H1220" t="s">
        <v>46</v>
      </c>
      <c r="I1220" t="s">
        <v>5751</v>
      </c>
      <c r="J1220" t="s">
        <v>5756</v>
      </c>
      <c r="K1220" t="s">
        <v>5757</v>
      </c>
      <c r="L1220" s="11" t="s">
        <v>5758</v>
      </c>
    </row>
    <row r="1221" spans="1:12">
      <c r="A1221" t="s">
        <v>5759</v>
      </c>
      <c r="B1221" s="8">
        <v>2.5870000000000002</v>
      </c>
      <c r="C1221" s="9">
        <v>25</v>
      </c>
      <c r="D1221">
        <v>1</v>
      </c>
      <c r="E1221">
        <v>1</v>
      </c>
      <c r="F1221">
        <v>1</v>
      </c>
      <c r="G1221" s="10">
        <v>1</v>
      </c>
      <c r="H1221" t="s">
        <v>46</v>
      </c>
      <c r="I1221" t="s">
        <v>5751</v>
      </c>
      <c r="J1221" t="s">
        <v>5760</v>
      </c>
      <c r="K1221" t="s">
        <v>1910</v>
      </c>
      <c r="L1221" s="11" t="s">
        <v>5760</v>
      </c>
    </row>
    <row r="1222" spans="1:12">
      <c r="A1222" t="s">
        <v>5761</v>
      </c>
      <c r="B1222" s="8">
        <v>2.4340000000000002</v>
      </c>
      <c r="C1222" s="9">
        <v>8.4</v>
      </c>
      <c r="D1222">
        <v>4</v>
      </c>
      <c r="E1222">
        <v>3</v>
      </c>
      <c r="F1222">
        <v>3</v>
      </c>
      <c r="G1222" s="10">
        <v>0.75</v>
      </c>
      <c r="H1222" t="s">
        <v>46</v>
      </c>
      <c r="I1222" t="s">
        <v>5751</v>
      </c>
      <c r="J1222" t="s">
        <v>5762</v>
      </c>
      <c r="K1222" t="s">
        <v>1910</v>
      </c>
      <c r="L1222" s="11" t="s">
        <v>5762</v>
      </c>
    </row>
    <row r="1223" spans="1:12">
      <c r="A1223" t="s">
        <v>5763</v>
      </c>
      <c r="B1223" s="8">
        <v>2.13</v>
      </c>
      <c r="C1223" s="9">
        <v>7.5</v>
      </c>
      <c r="D1223">
        <v>2</v>
      </c>
      <c r="E1223">
        <v>1</v>
      </c>
      <c r="F1223">
        <v>1</v>
      </c>
      <c r="G1223" s="10">
        <v>0.5</v>
      </c>
      <c r="H1223" t="s">
        <v>46</v>
      </c>
      <c r="I1223" t="s">
        <v>5751</v>
      </c>
      <c r="J1223" t="s">
        <v>5760</v>
      </c>
      <c r="K1223" t="s">
        <v>1910</v>
      </c>
      <c r="L1223" s="11" t="s">
        <v>5760</v>
      </c>
    </row>
    <row r="1224" spans="1:12">
      <c r="A1224" t="s">
        <v>5764</v>
      </c>
      <c r="B1224" s="8">
        <v>2.9649999999999999</v>
      </c>
      <c r="C1224" s="9">
        <v>25</v>
      </c>
      <c r="D1224">
        <v>2</v>
      </c>
      <c r="E1224">
        <v>2</v>
      </c>
      <c r="F1224">
        <v>1</v>
      </c>
      <c r="G1224" s="10">
        <v>0.5</v>
      </c>
      <c r="H1224" t="s">
        <v>46</v>
      </c>
      <c r="I1224" t="s">
        <v>5751</v>
      </c>
      <c r="J1224" t="s">
        <v>5765</v>
      </c>
      <c r="K1224" t="s">
        <v>5766</v>
      </c>
      <c r="L1224" s="11" t="s">
        <v>5760</v>
      </c>
    </row>
    <row r="1225" spans="1:12">
      <c r="A1225" t="s">
        <v>5767</v>
      </c>
      <c r="B1225" s="8">
        <v>2.1419999999999999</v>
      </c>
      <c r="C1225" s="9">
        <v>189</v>
      </c>
      <c r="D1225">
        <v>2</v>
      </c>
      <c r="E1225">
        <v>2</v>
      </c>
      <c r="F1225">
        <v>2</v>
      </c>
      <c r="G1225" s="10">
        <v>1</v>
      </c>
      <c r="H1225" t="s">
        <v>5738</v>
      </c>
      <c r="I1225" t="s">
        <v>5739</v>
      </c>
      <c r="J1225" t="s">
        <v>5742</v>
      </c>
      <c r="K1225" t="s">
        <v>5768</v>
      </c>
      <c r="L1225" s="11" t="s">
        <v>5740</v>
      </c>
    </row>
    <row r="1226" spans="1:12">
      <c r="A1226" t="s">
        <v>5769</v>
      </c>
      <c r="B1226" s="8">
        <v>5.3120000000000003</v>
      </c>
      <c r="C1226" s="9">
        <v>14</v>
      </c>
      <c r="D1226">
        <v>2</v>
      </c>
      <c r="E1226">
        <v>1</v>
      </c>
      <c r="F1226">
        <v>1</v>
      </c>
      <c r="G1226" s="10">
        <v>0.5</v>
      </c>
      <c r="H1226" t="s">
        <v>46</v>
      </c>
      <c r="I1226" t="s">
        <v>5751</v>
      </c>
      <c r="J1226" t="s">
        <v>5770</v>
      </c>
      <c r="K1226" t="s">
        <v>5771</v>
      </c>
      <c r="L1226" s="11" t="s">
        <v>5770</v>
      </c>
    </row>
    <row r="1227" spans="1:12">
      <c r="A1227" t="s">
        <v>5772</v>
      </c>
      <c r="B1227" s="8">
        <v>4.5910000000000002</v>
      </c>
      <c r="C1227" s="9">
        <v>12</v>
      </c>
      <c r="D1227">
        <v>3</v>
      </c>
      <c r="E1227">
        <v>2</v>
      </c>
      <c r="F1227">
        <v>1</v>
      </c>
      <c r="G1227" s="10">
        <v>0.33333333333333331</v>
      </c>
      <c r="H1227" t="s">
        <v>46</v>
      </c>
      <c r="I1227" t="s">
        <v>5751</v>
      </c>
      <c r="J1227" t="s">
        <v>5773</v>
      </c>
      <c r="K1227" t="s">
        <v>5774</v>
      </c>
      <c r="L1227" s="11" t="s">
        <v>5775</v>
      </c>
    </row>
    <row r="1228" spans="1:12">
      <c r="A1228" t="s">
        <v>5776</v>
      </c>
      <c r="B1228" s="8">
        <v>3.173</v>
      </c>
      <c r="C1228" s="9">
        <v>17</v>
      </c>
      <c r="D1228">
        <v>2</v>
      </c>
      <c r="E1228">
        <v>1</v>
      </c>
      <c r="F1228">
        <v>1</v>
      </c>
      <c r="G1228" s="10">
        <v>0.5</v>
      </c>
      <c r="H1228" t="s">
        <v>46</v>
      </c>
      <c r="I1228" t="s">
        <v>5751</v>
      </c>
      <c r="J1228" t="s">
        <v>5777</v>
      </c>
      <c r="K1228" t="s">
        <v>1934</v>
      </c>
      <c r="L1228" s="11" t="s">
        <v>5777</v>
      </c>
    </row>
    <row r="1229" spans="1:12">
      <c r="A1229" t="s">
        <v>5778</v>
      </c>
      <c r="B1229" s="8">
        <v>7.3819999999999997</v>
      </c>
      <c r="C1229" s="9">
        <v>59</v>
      </c>
      <c r="D1229">
        <v>5</v>
      </c>
      <c r="E1229">
        <v>5</v>
      </c>
      <c r="F1229">
        <v>5</v>
      </c>
      <c r="G1229" s="10">
        <v>1</v>
      </c>
      <c r="H1229" t="s">
        <v>46</v>
      </c>
      <c r="I1229" t="s">
        <v>5751</v>
      </c>
      <c r="J1229" t="s">
        <v>5779</v>
      </c>
      <c r="K1229" t="s">
        <v>1937</v>
      </c>
      <c r="L1229" s="11" t="s">
        <v>5779</v>
      </c>
    </row>
    <row r="1230" spans="1:12">
      <c r="A1230" t="s">
        <v>5780</v>
      </c>
      <c r="B1230" s="8">
        <v>4.7439999999999998</v>
      </c>
      <c r="C1230" s="9">
        <v>30</v>
      </c>
      <c r="D1230">
        <v>4</v>
      </c>
      <c r="E1230">
        <v>4</v>
      </c>
      <c r="F1230">
        <v>4</v>
      </c>
      <c r="G1230" s="10">
        <v>1</v>
      </c>
      <c r="H1230" t="s">
        <v>46</v>
      </c>
      <c r="I1230" t="s">
        <v>5751</v>
      </c>
      <c r="J1230" t="s">
        <v>5781</v>
      </c>
      <c r="K1230" t="s">
        <v>1937</v>
      </c>
      <c r="L1230" s="11" t="s">
        <v>5781</v>
      </c>
    </row>
    <row r="1231" spans="1:12">
      <c r="A1231" t="s">
        <v>5782</v>
      </c>
      <c r="B1231" s="8">
        <v>11.391999999999999</v>
      </c>
      <c r="C1231" s="9">
        <v>193</v>
      </c>
      <c r="D1231">
        <v>7</v>
      </c>
      <c r="E1231">
        <v>6</v>
      </c>
      <c r="F1231">
        <v>5</v>
      </c>
      <c r="G1231" s="10">
        <v>0.7142857142857143</v>
      </c>
      <c r="H1231" t="s">
        <v>46</v>
      </c>
      <c r="I1231" t="s">
        <v>5751</v>
      </c>
      <c r="J1231" t="s">
        <v>5783</v>
      </c>
      <c r="K1231" t="s">
        <v>5784</v>
      </c>
      <c r="L1231" s="11" t="s">
        <v>5783</v>
      </c>
    </row>
    <row r="1232" spans="1:12">
      <c r="A1232" t="s">
        <v>5785</v>
      </c>
      <c r="B1232" s="8">
        <v>10.898</v>
      </c>
      <c r="C1232" s="9">
        <v>81</v>
      </c>
      <c r="D1232">
        <v>12</v>
      </c>
      <c r="E1232">
        <v>6</v>
      </c>
      <c r="F1232">
        <v>5</v>
      </c>
      <c r="G1232" s="10">
        <v>0.41666666666666669</v>
      </c>
      <c r="H1232" t="s">
        <v>46</v>
      </c>
      <c r="I1232" t="s">
        <v>5751</v>
      </c>
      <c r="J1232" t="s">
        <v>5786</v>
      </c>
      <c r="K1232" t="s">
        <v>5787</v>
      </c>
      <c r="L1232" s="11" t="s">
        <v>5788</v>
      </c>
    </row>
    <row r="1233" spans="1:12">
      <c r="A1233" t="s">
        <v>5789</v>
      </c>
      <c r="B1233" s="8">
        <v>10.744</v>
      </c>
      <c r="C1233" s="9">
        <v>185</v>
      </c>
      <c r="D1233">
        <v>7</v>
      </c>
      <c r="E1233">
        <v>7</v>
      </c>
      <c r="F1233">
        <v>4</v>
      </c>
      <c r="G1233" s="10">
        <v>0.5714285714285714</v>
      </c>
      <c r="H1233" t="s">
        <v>46</v>
      </c>
      <c r="I1233" t="s">
        <v>5751</v>
      </c>
      <c r="J1233" t="s">
        <v>5790</v>
      </c>
      <c r="K1233" t="s">
        <v>5791</v>
      </c>
      <c r="L1233" s="11" t="s">
        <v>5792</v>
      </c>
    </row>
    <row r="1234" spans="1:12">
      <c r="A1234" t="s">
        <v>5793</v>
      </c>
      <c r="B1234" s="8">
        <v>9.2439999999999998</v>
      </c>
      <c r="C1234" s="9">
        <v>15</v>
      </c>
      <c r="D1234">
        <v>8</v>
      </c>
      <c r="E1234">
        <v>7</v>
      </c>
      <c r="F1234">
        <v>6</v>
      </c>
      <c r="G1234" s="10">
        <v>0.75</v>
      </c>
      <c r="H1234" t="s">
        <v>46</v>
      </c>
      <c r="I1234" t="s">
        <v>5751</v>
      </c>
      <c r="J1234" t="s">
        <v>5794</v>
      </c>
      <c r="K1234" t="s">
        <v>5795</v>
      </c>
      <c r="L1234" s="11" t="s">
        <v>5796</v>
      </c>
    </row>
    <row r="1235" spans="1:12">
      <c r="A1235" t="s">
        <v>5797</v>
      </c>
      <c r="B1235" s="8">
        <v>10.553000000000001</v>
      </c>
      <c r="C1235" s="9">
        <v>337</v>
      </c>
      <c r="D1235">
        <v>6</v>
      </c>
      <c r="E1235">
        <v>4</v>
      </c>
      <c r="F1235">
        <v>3</v>
      </c>
      <c r="G1235" s="10">
        <v>0.5</v>
      </c>
      <c r="H1235" t="s">
        <v>46</v>
      </c>
      <c r="I1235" t="s">
        <v>5751</v>
      </c>
      <c r="J1235" t="s">
        <v>5798</v>
      </c>
      <c r="K1235" t="s">
        <v>5799</v>
      </c>
      <c r="L1235" s="11" t="s">
        <v>5800</v>
      </c>
    </row>
    <row r="1236" spans="1:12">
      <c r="A1236" t="s">
        <v>5801</v>
      </c>
      <c r="B1236" s="8">
        <v>10.231999999999999</v>
      </c>
      <c r="C1236" s="9">
        <v>110</v>
      </c>
      <c r="D1236">
        <v>6</v>
      </c>
      <c r="E1236">
        <v>6</v>
      </c>
      <c r="F1236">
        <v>4</v>
      </c>
      <c r="G1236" s="10">
        <v>0.66666666666666663</v>
      </c>
      <c r="H1236" t="s">
        <v>46</v>
      </c>
      <c r="I1236" t="s">
        <v>5751</v>
      </c>
      <c r="J1236" t="s">
        <v>5802</v>
      </c>
      <c r="K1236" t="s">
        <v>5803</v>
      </c>
      <c r="L1236" s="11" t="s">
        <v>5792</v>
      </c>
    </row>
    <row r="1237" spans="1:12">
      <c r="A1237" t="s">
        <v>5804</v>
      </c>
      <c r="B1237" s="8">
        <v>10.932</v>
      </c>
      <c r="C1237" s="9">
        <v>1045</v>
      </c>
      <c r="D1237">
        <v>11</v>
      </c>
      <c r="E1237">
        <v>11</v>
      </c>
      <c r="F1237">
        <v>10</v>
      </c>
      <c r="G1237" s="10">
        <v>0.90909090909090906</v>
      </c>
      <c r="H1237" t="s">
        <v>46</v>
      </c>
      <c r="I1237" t="s">
        <v>5751</v>
      </c>
      <c r="J1237" t="s">
        <v>5805</v>
      </c>
      <c r="K1237" t="s">
        <v>5806</v>
      </c>
      <c r="L1237" s="11" t="s">
        <v>5807</v>
      </c>
    </row>
    <row r="1238" spans="1:12">
      <c r="A1238" t="s">
        <v>5808</v>
      </c>
      <c r="B1238" s="8">
        <v>12.946</v>
      </c>
      <c r="C1238" s="9">
        <v>36</v>
      </c>
      <c r="D1238">
        <v>5</v>
      </c>
      <c r="E1238">
        <v>5</v>
      </c>
      <c r="F1238">
        <v>4</v>
      </c>
      <c r="G1238" s="10">
        <v>0.8</v>
      </c>
      <c r="H1238" t="s">
        <v>46</v>
      </c>
      <c r="I1238" t="s">
        <v>5751</v>
      </c>
      <c r="J1238" t="s">
        <v>5809</v>
      </c>
      <c r="K1238" t="s">
        <v>5810</v>
      </c>
      <c r="L1238" s="11" t="s">
        <v>5811</v>
      </c>
    </row>
    <row r="1239" spans="1:12">
      <c r="A1239" t="s">
        <v>5812</v>
      </c>
      <c r="B1239" s="8">
        <v>3.4790000000000001</v>
      </c>
      <c r="C1239" s="9">
        <v>21</v>
      </c>
      <c r="D1239">
        <v>2</v>
      </c>
      <c r="E1239">
        <v>1</v>
      </c>
      <c r="F1239">
        <v>2</v>
      </c>
      <c r="G1239" s="10">
        <v>1</v>
      </c>
      <c r="H1239" t="s">
        <v>5738</v>
      </c>
      <c r="I1239" t="s">
        <v>5751</v>
      </c>
      <c r="J1239" t="s">
        <v>5813</v>
      </c>
      <c r="K1239" t="s">
        <v>5814</v>
      </c>
      <c r="L1239" s="11" t="s">
        <v>5813</v>
      </c>
    </row>
    <row r="1240" spans="1:12">
      <c r="A1240" t="s">
        <v>5815</v>
      </c>
      <c r="B1240" s="8">
        <v>4.3040000000000003</v>
      </c>
      <c r="C1240" s="9">
        <v>85</v>
      </c>
      <c r="D1240">
        <v>3</v>
      </c>
      <c r="E1240">
        <v>3</v>
      </c>
      <c r="F1240">
        <v>2</v>
      </c>
      <c r="G1240" s="10">
        <v>0.66666666666666663</v>
      </c>
      <c r="H1240" t="s">
        <v>46</v>
      </c>
      <c r="I1240" s="11" t="s">
        <v>1957</v>
      </c>
      <c r="J1240" t="s">
        <v>5816</v>
      </c>
      <c r="K1240" t="s">
        <v>5817</v>
      </c>
      <c r="L1240" s="11" t="s">
        <v>4752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6144F-4B2D-5640-949B-068273C0A19C}">
  <dimension ref="A1:L1045"/>
  <sheetViews>
    <sheetView workbookViewId="0">
      <selection sqref="A1:L1045"/>
    </sheetView>
  </sheetViews>
  <sheetFormatPr baseColWidth="10" defaultRowHeight="16"/>
  <sheetData>
    <row r="1" spans="1:12" ht="51">
      <c r="A1" s="6" t="s">
        <v>34</v>
      </c>
      <c r="B1" s="6" t="s">
        <v>35</v>
      </c>
      <c r="C1" s="6" t="s">
        <v>36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  <c r="I1" s="12" t="s">
        <v>1955</v>
      </c>
      <c r="J1" s="6" t="s">
        <v>42</v>
      </c>
      <c r="K1" s="6" t="s">
        <v>43</v>
      </c>
      <c r="L1" s="7" t="s">
        <v>44</v>
      </c>
    </row>
    <row r="2" spans="1:12">
      <c r="A2" t="s">
        <v>5818</v>
      </c>
      <c r="B2" s="9">
        <v>2367</v>
      </c>
      <c r="C2" s="9">
        <v>54.884082999999997</v>
      </c>
      <c r="D2">
        <v>3</v>
      </c>
      <c r="E2">
        <v>3</v>
      </c>
      <c r="F2">
        <v>3</v>
      </c>
      <c r="G2" s="10">
        <v>1</v>
      </c>
      <c r="H2" t="s">
        <v>46</v>
      </c>
      <c r="I2" t="s">
        <v>1957</v>
      </c>
      <c r="J2" t="s">
        <v>5819</v>
      </c>
      <c r="K2" t="s">
        <v>5820</v>
      </c>
      <c r="L2" s="11" t="s">
        <v>5821</v>
      </c>
    </row>
    <row r="3" spans="1:12">
      <c r="A3" t="s">
        <v>5822</v>
      </c>
      <c r="B3" s="9">
        <v>5371</v>
      </c>
      <c r="C3" s="9">
        <v>14.051166</v>
      </c>
      <c r="D3">
        <v>1</v>
      </c>
      <c r="E3">
        <v>1</v>
      </c>
      <c r="F3">
        <v>1</v>
      </c>
      <c r="G3" s="10">
        <v>1</v>
      </c>
      <c r="H3" t="s">
        <v>46</v>
      </c>
      <c r="I3" t="s">
        <v>1957</v>
      </c>
      <c r="J3" t="s">
        <v>5823</v>
      </c>
      <c r="K3" t="s">
        <v>5824</v>
      </c>
      <c r="L3" s="11" t="s">
        <v>5823</v>
      </c>
    </row>
    <row r="4" spans="1:12">
      <c r="A4" t="s">
        <v>5825</v>
      </c>
      <c r="B4" s="9">
        <v>3903</v>
      </c>
      <c r="C4" s="9">
        <v>6.0771829999999998</v>
      </c>
      <c r="D4">
        <v>1</v>
      </c>
      <c r="E4">
        <v>1</v>
      </c>
      <c r="F4">
        <v>1</v>
      </c>
      <c r="G4" s="10">
        <v>1</v>
      </c>
      <c r="H4" t="s">
        <v>46</v>
      </c>
      <c r="I4" t="s">
        <v>1957</v>
      </c>
      <c r="J4" t="s">
        <v>5826</v>
      </c>
      <c r="K4" t="s">
        <v>5827</v>
      </c>
      <c r="L4" s="11" t="s">
        <v>5826</v>
      </c>
    </row>
    <row r="5" spans="1:12">
      <c r="A5" t="s">
        <v>5828</v>
      </c>
      <c r="B5" s="9">
        <v>4172</v>
      </c>
      <c r="C5" s="9">
        <v>5.4748599999999996</v>
      </c>
      <c r="D5">
        <v>2</v>
      </c>
      <c r="E5">
        <v>2</v>
      </c>
      <c r="F5">
        <v>2</v>
      </c>
      <c r="G5" s="10">
        <v>1</v>
      </c>
      <c r="H5" t="s">
        <v>46</v>
      </c>
      <c r="I5" t="s">
        <v>1957</v>
      </c>
      <c r="J5" t="s">
        <v>5829</v>
      </c>
      <c r="K5" t="s">
        <v>5830</v>
      </c>
      <c r="L5" s="11" t="s">
        <v>5829</v>
      </c>
    </row>
    <row r="6" spans="1:12">
      <c r="A6" t="s">
        <v>5831</v>
      </c>
      <c r="B6" s="9">
        <v>3599</v>
      </c>
      <c r="C6" s="9">
        <v>25.326749</v>
      </c>
      <c r="D6">
        <v>2</v>
      </c>
      <c r="E6">
        <v>2</v>
      </c>
      <c r="F6">
        <v>2</v>
      </c>
      <c r="G6" s="10">
        <v>1</v>
      </c>
      <c r="H6" t="s">
        <v>46</v>
      </c>
      <c r="I6" t="s">
        <v>1957</v>
      </c>
      <c r="J6" t="s">
        <v>5829</v>
      </c>
      <c r="K6" t="s">
        <v>5830</v>
      </c>
      <c r="L6" s="11" t="s">
        <v>5829</v>
      </c>
    </row>
    <row r="7" spans="1:12">
      <c r="A7" t="s">
        <v>5832</v>
      </c>
      <c r="B7" s="9">
        <v>3589</v>
      </c>
      <c r="C7" s="9">
        <v>11.342388</v>
      </c>
      <c r="D7">
        <v>1</v>
      </c>
      <c r="E7">
        <v>1</v>
      </c>
      <c r="F7">
        <v>1</v>
      </c>
      <c r="G7" s="10">
        <v>1</v>
      </c>
      <c r="H7" t="s">
        <v>46</v>
      </c>
      <c r="I7" t="s">
        <v>1957</v>
      </c>
      <c r="J7" t="s">
        <v>5829</v>
      </c>
      <c r="K7" t="s">
        <v>5830</v>
      </c>
      <c r="L7" s="11" t="s">
        <v>5829</v>
      </c>
    </row>
    <row r="8" spans="1:12">
      <c r="A8" t="s">
        <v>5833</v>
      </c>
      <c r="B8" s="9">
        <v>3424</v>
      </c>
      <c r="C8" s="9">
        <v>5.5829620000000002</v>
      </c>
      <c r="D8">
        <v>2</v>
      </c>
      <c r="E8">
        <v>2</v>
      </c>
      <c r="F8">
        <v>2</v>
      </c>
      <c r="G8" s="10">
        <v>1</v>
      </c>
      <c r="H8" t="s">
        <v>46</v>
      </c>
      <c r="I8" t="s">
        <v>1957</v>
      </c>
      <c r="J8" t="s">
        <v>5829</v>
      </c>
      <c r="K8" t="s">
        <v>5830</v>
      </c>
      <c r="L8" s="11" t="s">
        <v>5829</v>
      </c>
    </row>
    <row r="9" spans="1:12">
      <c r="A9" t="s">
        <v>5834</v>
      </c>
      <c r="B9" s="9">
        <v>3389</v>
      </c>
      <c r="C9" s="9">
        <v>4.1340729999999999</v>
      </c>
      <c r="D9">
        <v>4</v>
      </c>
      <c r="E9">
        <v>4</v>
      </c>
      <c r="F9">
        <v>4</v>
      </c>
      <c r="G9" s="10">
        <v>1</v>
      </c>
      <c r="H9" t="s">
        <v>46</v>
      </c>
      <c r="I9" t="s">
        <v>1957</v>
      </c>
      <c r="J9" t="s">
        <v>5835</v>
      </c>
      <c r="K9" t="s">
        <v>5830</v>
      </c>
      <c r="L9" s="11" t="s">
        <v>5835</v>
      </c>
    </row>
    <row r="10" spans="1:12">
      <c r="A10" t="s">
        <v>5836</v>
      </c>
      <c r="B10" s="9">
        <v>2215</v>
      </c>
      <c r="C10" s="9">
        <v>5.7750000000000004</v>
      </c>
      <c r="D10">
        <v>1</v>
      </c>
      <c r="E10">
        <v>1</v>
      </c>
      <c r="F10">
        <v>1</v>
      </c>
      <c r="G10" s="10">
        <v>1</v>
      </c>
      <c r="H10" t="s">
        <v>46</v>
      </c>
      <c r="I10" t="s">
        <v>1957</v>
      </c>
      <c r="J10" t="s">
        <v>5829</v>
      </c>
      <c r="K10" t="s">
        <v>5830</v>
      </c>
      <c r="L10" s="11" t="s">
        <v>5829</v>
      </c>
    </row>
    <row r="11" spans="1:12">
      <c r="A11" t="s">
        <v>5837</v>
      </c>
      <c r="B11" s="9">
        <v>2705</v>
      </c>
      <c r="C11" s="9">
        <v>4.7098110000000002</v>
      </c>
      <c r="D11">
        <v>2</v>
      </c>
      <c r="E11">
        <v>2</v>
      </c>
      <c r="F11">
        <v>2</v>
      </c>
      <c r="G11" s="10">
        <v>1</v>
      </c>
      <c r="H11" t="s">
        <v>46</v>
      </c>
      <c r="I11" t="s">
        <v>1957</v>
      </c>
      <c r="J11" t="s">
        <v>5838</v>
      </c>
      <c r="K11" t="s">
        <v>5839</v>
      </c>
      <c r="L11" s="11" t="s">
        <v>5826</v>
      </c>
    </row>
    <row r="12" spans="1:12">
      <c r="A12" t="s">
        <v>5840</v>
      </c>
      <c r="B12" s="9">
        <v>3112</v>
      </c>
      <c r="C12" s="9">
        <v>7.0664049999999996</v>
      </c>
      <c r="D12">
        <v>2</v>
      </c>
      <c r="E12">
        <v>2</v>
      </c>
      <c r="F12">
        <v>2</v>
      </c>
      <c r="G12" s="10">
        <v>1</v>
      </c>
      <c r="H12" t="s">
        <v>46</v>
      </c>
      <c r="I12" t="s">
        <v>1957</v>
      </c>
      <c r="J12" t="s">
        <v>5841</v>
      </c>
      <c r="K12" t="s">
        <v>5842</v>
      </c>
      <c r="L12" s="11" t="s">
        <v>5843</v>
      </c>
    </row>
    <row r="13" spans="1:12">
      <c r="A13" t="s">
        <v>5844</v>
      </c>
      <c r="B13" s="9">
        <v>2372</v>
      </c>
      <c r="C13" s="9">
        <v>6.5640910000000003</v>
      </c>
      <c r="D13">
        <v>2</v>
      </c>
      <c r="E13">
        <v>2</v>
      </c>
      <c r="F13">
        <v>2</v>
      </c>
      <c r="G13" s="10">
        <v>1</v>
      </c>
      <c r="H13" t="s">
        <v>46</v>
      </c>
      <c r="I13" t="s">
        <v>1957</v>
      </c>
      <c r="J13" t="s">
        <v>5845</v>
      </c>
      <c r="K13" t="s">
        <v>5846</v>
      </c>
      <c r="L13" s="11" t="s">
        <v>5845</v>
      </c>
    </row>
    <row r="14" spans="1:12">
      <c r="A14" t="s">
        <v>5847</v>
      </c>
      <c r="B14" s="9">
        <v>2516</v>
      </c>
      <c r="C14" s="9">
        <v>4.6046319999999996</v>
      </c>
      <c r="D14">
        <v>2</v>
      </c>
      <c r="E14">
        <v>2</v>
      </c>
      <c r="F14">
        <v>1</v>
      </c>
      <c r="G14" s="10">
        <v>0.5</v>
      </c>
      <c r="H14" t="s">
        <v>46</v>
      </c>
      <c r="I14" t="s">
        <v>1957</v>
      </c>
      <c r="J14" t="s">
        <v>5848</v>
      </c>
      <c r="K14" t="s">
        <v>5849</v>
      </c>
      <c r="L14" s="11" t="s">
        <v>5848</v>
      </c>
    </row>
    <row r="15" spans="1:12">
      <c r="A15" t="s">
        <v>5850</v>
      </c>
      <c r="B15" s="9">
        <v>4466</v>
      </c>
      <c r="C15" s="9">
        <v>5.1376109999999997</v>
      </c>
      <c r="D15">
        <v>1</v>
      </c>
      <c r="E15">
        <v>1</v>
      </c>
      <c r="F15">
        <v>1</v>
      </c>
      <c r="G15" s="10">
        <v>1</v>
      </c>
      <c r="H15" t="s">
        <v>46</v>
      </c>
      <c r="I15" t="s">
        <v>1957</v>
      </c>
      <c r="J15" t="s">
        <v>5851</v>
      </c>
      <c r="K15" t="s">
        <v>5852</v>
      </c>
      <c r="L15" s="11" t="s">
        <v>5851</v>
      </c>
    </row>
    <row r="16" spans="1:12">
      <c r="A16" t="s">
        <v>5853</v>
      </c>
      <c r="B16" s="9">
        <v>3297</v>
      </c>
      <c r="C16" s="9">
        <v>5.5690929999999996</v>
      </c>
      <c r="D16">
        <v>2</v>
      </c>
      <c r="E16">
        <v>2</v>
      </c>
      <c r="F16">
        <v>2</v>
      </c>
      <c r="G16" s="10">
        <v>1</v>
      </c>
      <c r="H16" t="s">
        <v>46</v>
      </c>
      <c r="I16" t="s">
        <v>1957</v>
      </c>
      <c r="J16" t="s">
        <v>5854</v>
      </c>
      <c r="K16" t="s">
        <v>5855</v>
      </c>
      <c r="L16" s="11" t="s">
        <v>5854</v>
      </c>
    </row>
    <row r="17" spans="1:12">
      <c r="A17" t="s">
        <v>5856</v>
      </c>
      <c r="B17" s="9">
        <v>2079</v>
      </c>
      <c r="C17" s="9">
        <v>5.3295450000000004</v>
      </c>
      <c r="D17">
        <v>1</v>
      </c>
      <c r="E17">
        <v>1</v>
      </c>
      <c r="F17">
        <v>1</v>
      </c>
      <c r="G17" s="10">
        <v>1</v>
      </c>
      <c r="H17" t="s">
        <v>46</v>
      </c>
      <c r="I17" t="s">
        <v>1957</v>
      </c>
      <c r="J17" t="s">
        <v>5854</v>
      </c>
      <c r="K17" t="s">
        <v>5855</v>
      </c>
      <c r="L17" s="11" t="s">
        <v>5854</v>
      </c>
    </row>
    <row r="18" spans="1:12">
      <c r="A18" t="s">
        <v>5857</v>
      </c>
      <c r="B18" s="9">
        <v>4757</v>
      </c>
      <c r="C18" s="9">
        <v>5.3798380000000003</v>
      </c>
      <c r="D18">
        <v>5</v>
      </c>
      <c r="E18">
        <v>4</v>
      </c>
      <c r="F18">
        <v>2</v>
      </c>
      <c r="G18" s="10">
        <v>0.4</v>
      </c>
      <c r="H18" t="s">
        <v>46</v>
      </c>
      <c r="I18" t="s">
        <v>1957</v>
      </c>
      <c r="J18" t="s">
        <v>5858</v>
      </c>
      <c r="K18" t="s">
        <v>5859</v>
      </c>
      <c r="L18" s="11" t="s">
        <v>5860</v>
      </c>
    </row>
    <row r="19" spans="1:12">
      <c r="A19" t="s">
        <v>5861</v>
      </c>
      <c r="B19" s="9">
        <v>2065</v>
      </c>
      <c r="C19" s="9">
        <v>3.117413</v>
      </c>
      <c r="D19">
        <v>1</v>
      </c>
      <c r="E19">
        <v>1</v>
      </c>
      <c r="F19">
        <v>1</v>
      </c>
      <c r="G19" s="10">
        <v>1</v>
      </c>
      <c r="H19" t="s">
        <v>46</v>
      </c>
      <c r="I19" t="s">
        <v>1957</v>
      </c>
      <c r="J19" t="s">
        <v>5862</v>
      </c>
      <c r="K19" t="s">
        <v>5863</v>
      </c>
      <c r="L19" s="11" t="s">
        <v>5862</v>
      </c>
    </row>
    <row r="20" spans="1:12">
      <c r="A20" t="s">
        <v>5864</v>
      </c>
      <c r="B20" s="9">
        <v>3379</v>
      </c>
      <c r="C20" s="9">
        <v>12.332732</v>
      </c>
      <c r="D20">
        <v>1</v>
      </c>
      <c r="E20">
        <v>1</v>
      </c>
      <c r="F20">
        <v>1</v>
      </c>
      <c r="G20" s="10">
        <v>1</v>
      </c>
      <c r="H20" t="s">
        <v>46</v>
      </c>
      <c r="I20" t="s">
        <v>1957</v>
      </c>
      <c r="J20" t="s">
        <v>5865</v>
      </c>
      <c r="K20" t="s">
        <v>5866</v>
      </c>
      <c r="L20" s="11" t="s">
        <v>5865</v>
      </c>
    </row>
    <row r="21" spans="1:12">
      <c r="A21" t="s">
        <v>5867</v>
      </c>
      <c r="B21" s="9">
        <v>13955</v>
      </c>
      <c r="C21" s="9">
        <v>5.438777</v>
      </c>
      <c r="D21">
        <v>6</v>
      </c>
      <c r="E21">
        <v>6</v>
      </c>
      <c r="F21">
        <v>6</v>
      </c>
      <c r="G21" s="10">
        <v>1</v>
      </c>
      <c r="H21" t="s">
        <v>46</v>
      </c>
      <c r="I21" t="s">
        <v>1957</v>
      </c>
      <c r="J21" t="s">
        <v>5868</v>
      </c>
      <c r="K21" t="s">
        <v>5869</v>
      </c>
      <c r="L21" s="11" t="s">
        <v>5868</v>
      </c>
    </row>
    <row r="22" spans="1:12">
      <c r="A22" t="s">
        <v>5870</v>
      </c>
      <c r="B22" s="9">
        <v>2991</v>
      </c>
      <c r="C22" s="9">
        <v>14.101499</v>
      </c>
      <c r="D22">
        <v>2</v>
      </c>
      <c r="E22">
        <v>2</v>
      </c>
      <c r="F22">
        <v>1</v>
      </c>
      <c r="G22" s="10">
        <v>0.5</v>
      </c>
      <c r="H22" t="s">
        <v>46</v>
      </c>
      <c r="I22" t="s">
        <v>1957</v>
      </c>
      <c r="J22" t="s">
        <v>5871</v>
      </c>
      <c r="K22" t="s">
        <v>5872</v>
      </c>
      <c r="L22" s="11" t="s">
        <v>5873</v>
      </c>
    </row>
    <row r="23" spans="1:12">
      <c r="A23" t="s">
        <v>5874</v>
      </c>
      <c r="B23" s="9">
        <v>2797</v>
      </c>
      <c r="C23" s="9">
        <v>5.3278629999999998</v>
      </c>
      <c r="D23">
        <v>2</v>
      </c>
      <c r="E23">
        <v>2</v>
      </c>
      <c r="F23">
        <v>2</v>
      </c>
      <c r="G23" s="10">
        <v>1</v>
      </c>
      <c r="H23" t="s">
        <v>46</v>
      </c>
      <c r="I23" t="s">
        <v>1957</v>
      </c>
      <c r="J23" t="s">
        <v>5875</v>
      </c>
      <c r="K23" t="s">
        <v>5876</v>
      </c>
      <c r="L23" s="11" t="s">
        <v>5873</v>
      </c>
    </row>
    <row r="24" spans="1:12">
      <c r="A24" t="s">
        <v>5877</v>
      </c>
      <c r="B24" s="9">
        <v>4223</v>
      </c>
      <c r="C24" s="9">
        <v>40.475287999999999</v>
      </c>
      <c r="D24">
        <v>3</v>
      </c>
      <c r="E24">
        <v>3</v>
      </c>
      <c r="F24">
        <v>3</v>
      </c>
      <c r="G24" s="10">
        <v>1</v>
      </c>
      <c r="H24" t="s">
        <v>46</v>
      </c>
      <c r="I24" t="s">
        <v>1957</v>
      </c>
      <c r="J24" t="s">
        <v>5878</v>
      </c>
      <c r="K24" t="s">
        <v>5879</v>
      </c>
      <c r="L24" s="11" t="s">
        <v>5880</v>
      </c>
    </row>
    <row r="25" spans="1:12">
      <c r="A25" t="s">
        <v>5881</v>
      </c>
      <c r="B25" s="9">
        <v>2464</v>
      </c>
      <c r="C25" s="9">
        <v>13.495641000000001</v>
      </c>
      <c r="D25">
        <v>1</v>
      </c>
      <c r="E25">
        <v>1</v>
      </c>
      <c r="F25">
        <v>1</v>
      </c>
      <c r="G25" s="10">
        <v>1</v>
      </c>
      <c r="H25" t="s">
        <v>46</v>
      </c>
      <c r="I25" t="s">
        <v>1957</v>
      </c>
      <c r="J25" t="s">
        <v>5873</v>
      </c>
      <c r="K25" t="s">
        <v>5879</v>
      </c>
      <c r="L25" s="11" t="s">
        <v>5873</v>
      </c>
    </row>
    <row r="26" spans="1:12">
      <c r="A26" t="s">
        <v>5882</v>
      </c>
      <c r="B26" s="9">
        <v>2526</v>
      </c>
      <c r="C26" s="9">
        <v>11.376366000000001</v>
      </c>
      <c r="D26">
        <v>2</v>
      </c>
      <c r="E26">
        <v>2</v>
      </c>
      <c r="F26">
        <v>2</v>
      </c>
      <c r="G26" s="10">
        <v>1</v>
      </c>
      <c r="H26" t="s">
        <v>46</v>
      </c>
      <c r="I26" t="s">
        <v>1957</v>
      </c>
      <c r="J26" t="s">
        <v>5883</v>
      </c>
      <c r="K26" t="s">
        <v>5884</v>
      </c>
      <c r="L26" s="11" t="s">
        <v>5883</v>
      </c>
    </row>
    <row r="27" spans="1:12">
      <c r="A27" t="s">
        <v>5885</v>
      </c>
      <c r="B27" s="9">
        <v>5086</v>
      </c>
      <c r="C27" s="9">
        <v>7.4182069999999998</v>
      </c>
      <c r="D27">
        <v>1</v>
      </c>
      <c r="E27">
        <v>1</v>
      </c>
      <c r="F27">
        <v>1</v>
      </c>
      <c r="G27" s="10">
        <v>1</v>
      </c>
      <c r="H27" t="s">
        <v>46</v>
      </c>
      <c r="I27" t="s">
        <v>1957</v>
      </c>
      <c r="J27" t="s">
        <v>5886</v>
      </c>
      <c r="K27" t="s">
        <v>5887</v>
      </c>
      <c r="L27" s="11" t="s">
        <v>5886</v>
      </c>
    </row>
    <row r="28" spans="1:12">
      <c r="A28" t="s">
        <v>5888</v>
      </c>
      <c r="B28" s="9">
        <v>2583</v>
      </c>
      <c r="C28" s="9">
        <v>5.0522150000000003</v>
      </c>
      <c r="D28">
        <v>1</v>
      </c>
      <c r="E28">
        <v>1</v>
      </c>
      <c r="F28">
        <v>1</v>
      </c>
      <c r="G28" s="10">
        <v>1</v>
      </c>
      <c r="H28" t="s">
        <v>46</v>
      </c>
      <c r="I28" t="s">
        <v>1957</v>
      </c>
      <c r="J28" t="s">
        <v>5889</v>
      </c>
      <c r="K28" t="s">
        <v>5890</v>
      </c>
      <c r="L28" s="11" t="s">
        <v>5889</v>
      </c>
    </row>
    <row r="29" spans="1:12">
      <c r="A29" t="s">
        <v>5891</v>
      </c>
      <c r="B29" s="9">
        <v>3170</v>
      </c>
      <c r="C29" s="9">
        <v>28.074477999999999</v>
      </c>
      <c r="D29">
        <v>1</v>
      </c>
      <c r="E29">
        <v>1</v>
      </c>
      <c r="F29">
        <v>1</v>
      </c>
      <c r="G29" s="10">
        <v>1</v>
      </c>
      <c r="H29" t="s">
        <v>46</v>
      </c>
      <c r="I29" t="s">
        <v>1957</v>
      </c>
      <c r="J29" t="s">
        <v>5892</v>
      </c>
      <c r="K29" t="s">
        <v>5893</v>
      </c>
      <c r="L29" s="11" t="s">
        <v>5892</v>
      </c>
    </row>
    <row r="30" spans="1:12">
      <c r="A30" t="s">
        <v>5894</v>
      </c>
      <c r="B30" s="9">
        <v>3550</v>
      </c>
      <c r="C30" s="9">
        <v>43.767096000000002</v>
      </c>
      <c r="D30">
        <v>3</v>
      </c>
      <c r="E30">
        <v>3</v>
      </c>
      <c r="F30">
        <v>3</v>
      </c>
      <c r="G30" s="10">
        <v>1</v>
      </c>
      <c r="H30" t="s">
        <v>46</v>
      </c>
      <c r="I30" t="s">
        <v>1957</v>
      </c>
      <c r="J30" t="s">
        <v>5895</v>
      </c>
      <c r="K30" t="s">
        <v>5896</v>
      </c>
      <c r="L30" s="11" t="s">
        <v>5897</v>
      </c>
    </row>
    <row r="31" spans="1:12">
      <c r="A31" t="s">
        <v>5898</v>
      </c>
      <c r="B31" s="9">
        <v>2401</v>
      </c>
      <c r="C31" s="9">
        <v>4.6888319999999997</v>
      </c>
      <c r="D31">
        <v>1</v>
      </c>
      <c r="E31">
        <v>1</v>
      </c>
      <c r="F31">
        <v>1</v>
      </c>
      <c r="G31" s="10">
        <v>1</v>
      </c>
      <c r="H31" t="s">
        <v>46</v>
      </c>
      <c r="I31" t="s">
        <v>1957</v>
      </c>
      <c r="J31" t="s">
        <v>5899</v>
      </c>
      <c r="K31" t="s">
        <v>5900</v>
      </c>
      <c r="L31" s="11" t="s">
        <v>5899</v>
      </c>
    </row>
    <row r="32" spans="1:12">
      <c r="A32" t="s">
        <v>5901</v>
      </c>
      <c r="B32" s="9">
        <v>2770</v>
      </c>
      <c r="C32" s="9">
        <v>6.1023940000000003</v>
      </c>
      <c r="D32">
        <v>3</v>
      </c>
      <c r="E32">
        <v>3</v>
      </c>
      <c r="F32">
        <v>3</v>
      </c>
      <c r="G32" s="10">
        <v>1</v>
      </c>
      <c r="H32" t="s">
        <v>46</v>
      </c>
      <c r="I32" t="s">
        <v>1957</v>
      </c>
      <c r="J32" t="s">
        <v>5902</v>
      </c>
      <c r="K32" t="s">
        <v>5903</v>
      </c>
      <c r="L32" s="11" t="s">
        <v>5904</v>
      </c>
    </row>
    <row r="33" spans="1:12">
      <c r="A33" t="s">
        <v>5905</v>
      </c>
      <c r="B33" s="9">
        <v>2858</v>
      </c>
      <c r="C33" s="9">
        <v>3.8262580000000002</v>
      </c>
      <c r="D33">
        <v>3</v>
      </c>
      <c r="E33">
        <v>2</v>
      </c>
      <c r="F33">
        <v>2</v>
      </c>
      <c r="G33" s="10">
        <v>0.66666666666666663</v>
      </c>
      <c r="H33" t="s">
        <v>46</v>
      </c>
      <c r="I33" t="s">
        <v>1957</v>
      </c>
      <c r="J33" t="s">
        <v>5906</v>
      </c>
      <c r="K33" t="s">
        <v>5907</v>
      </c>
      <c r="L33" s="11" t="s">
        <v>5906</v>
      </c>
    </row>
    <row r="34" spans="1:12">
      <c r="A34" t="s">
        <v>5908</v>
      </c>
      <c r="B34" s="9">
        <v>2506</v>
      </c>
      <c r="C34" s="9">
        <v>3.952264</v>
      </c>
      <c r="D34">
        <v>2</v>
      </c>
      <c r="E34">
        <v>2</v>
      </c>
      <c r="F34">
        <v>2</v>
      </c>
      <c r="G34" s="10">
        <v>1</v>
      </c>
      <c r="H34" t="s">
        <v>46</v>
      </c>
      <c r="I34" t="s">
        <v>1957</v>
      </c>
      <c r="J34" t="s">
        <v>5909</v>
      </c>
      <c r="K34" t="s">
        <v>5910</v>
      </c>
      <c r="L34" s="11" t="s">
        <v>5909</v>
      </c>
    </row>
    <row r="35" spans="1:12">
      <c r="A35" t="s">
        <v>5911</v>
      </c>
      <c r="B35" s="9">
        <v>4173</v>
      </c>
      <c r="C35" s="9">
        <v>11.501213999999999</v>
      </c>
      <c r="D35">
        <v>2</v>
      </c>
      <c r="E35">
        <v>2</v>
      </c>
      <c r="F35">
        <v>2</v>
      </c>
      <c r="G35" s="10">
        <v>1</v>
      </c>
      <c r="H35" t="s">
        <v>46</v>
      </c>
      <c r="I35" t="s">
        <v>1957</v>
      </c>
      <c r="J35" t="s">
        <v>5912</v>
      </c>
      <c r="K35" t="s">
        <v>5913</v>
      </c>
      <c r="L35" s="11" t="s">
        <v>5912</v>
      </c>
    </row>
    <row r="36" spans="1:12">
      <c r="A36" t="s">
        <v>5914</v>
      </c>
      <c r="B36" s="9">
        <v>2010</v>
      </c>
      <c r="C36" s="9">
        <v>2.8516620000000001</v>
      </c>
      <c r="D36">
        <v>1</v>
      </c>
      <c r="E36">
        <v>1</v>
      </c>
      <c r="F36">
        <v>1</v>
      </c>
      <c r="G36" s="10">
        <v>1</v>
      </c>
      <c r="H36" t="s">
        <v>46</v>
      </c>
      <c r="I36" t="s">
        <v>1957</v>
      </c>
      <c r="J36" t="s">
        <v>5912</v>
      </c>
      <c r="K36" t="s">
        <v>5913</v>
      </c>
      <c r="L36" s="11" t="s">
        <v>5912</v>
      </c>
    </row>
    <row r="37" spans="1:12">
      <c r="A37" t="s">
        <v>5915</v>
      </c>
      <c r="B37" s="9">
        <v>2024</v>
      </c>
      <c r="C37" s="9">
        <v>2.6434739999999999</v>
      </c>
      <c r="D37">
        <v>1</v>
      </c>
      <c r="E37">
        <v>1</v>
      </c>
      <c r="F37">
        <v>1</v>
      </c>
      <c r="G37" s="10">
        <v>1</v>
      </c>
      <c r="H37" t="s">
        <v>46</v>
      </c>
      <c r="I37" t="s">
        <v>1957</v>
      </c>
      <c r="J37" t="s">
        <v>5916</v>
      </c>
      <c r="K37" t="s">
        <v>5917</v>
      </c>
      <c r="L37" s="11" t="s">
        <v>5916</v>
      </c>
    </row>
    <row r="38" spans="1:12">
      <c r="A38" t="s">
        <v>5918</v>
      </c>
      <c r="B38" s="9">
        <v>18794</v>
      </c>
      <c r="C38" s="9">
        <v>7.2631940000000004</v>
      </c>
      <c r="D38">
        <v>11</v>
      </c>
      <c r="E38">
        <v>5</v>
      </c>
      <c r="F38">
        <v>9</v>
      </c>
      <c r="G38" s="10">
        <v>0.81818181818181823</v>
      </c>
      <c r="H38" t="s">
        <v>46</v>
      </c>
      <c r="I38" t="s">
        <v>1957</v>
      </c>
      <c r="J38" t="s">
        <v>5919</v>
      </c>
      <c r="K38" t="s">
        <v>5920</v>
      </c>
      <c r="L38" s="11" t="s">
        <v>5921</v>
      </c>
    </row>
    <row r="39" spans="1:12">
      <c r="A39" t="s">
        <v>5922</v>
      </c>
      <c r="B39" s="9">
        <v>9539</v>
      </c>
      <c r="C39" s="9">
        <v>5.8568110000000004</v>
      </c>
      <c r="D39">
        <v>4</v>
      </c>
      <c r="E39">
        <v>2</v>
      </c>
      <c r="F39">
        <v>2</v>
      </c>
      <c r="G39" s="10">
        <v>0.5</v>
      </c>
      <c r="H39" t="s">
        <v>46</v>
      </c>
      <c r="I39" t="s">
        <v>1957</v>
      </c>
      <c r="J39" t="s">
        <v>5923</v>
      </c>
      <c r="K39" t="s">
        <v>5924</v>
      </c>
      <c r="L39" s="11" t="s">
        <v>5923</v>
      </c>
    </row>
    <row r="40" spans="1:12">
      <c r="A40" t="s">
        <v>5925</v>
      </c>
      <c r="B40" s="9">
        <v>2577</v>
      </c>
      <c r="C40" s="9">
        <v>3.9274390000000001</v>
      </c>
      <c r="D40">
        <v>1</v>
      </c>
      <c r="E40">
        <v>1</v>
      </c>
      <c r="F40">
        <v>1</v>
      </c>
      <c r="G40" s="10">
        <v>1</v>
      </c>
      <c r="H40" t="s">
        <v>46</v>
      </c>
      <c r="I40" t="s">
        <v>1957</v>
      </c>
      <c r="J40" t="s">
        <v>5926</v>
      </c>
      <c r="K40" t="s">
        <v>5927</v>
      </c>
      <c r="L40" s="11" t="s">
        <v>5926</v>
      </c>
    </row>
    <row r="41" spans="1:12">
      <c r="A41" t="s">
        <v>5928</v>
      </c>
      <c r="B41" s="9">
        <v>2055</v>
      </c>
      <c r="C41" s="9">
        <v>50.269500000000001</v>
      </c>
      <c r="D41">
        <v>2</v>
      </c>
      <c r="E41">
        <v>2</v>
      </c>
      <c r="F41">
        <v>2</v>
      </c>
      <c r="G41" s="10">
        <v>1</v>
      </c>
      <c r="H41" t="s">
        <v>46</v>
      </c>
      <c r="I41" t="s">
        <v>1957</v>
      </c>
      <c r="J41" t="s">
        <v>5929</v>
      </c>
      <c r="K41" t="s">
        <v>5930</v>
      </c>
      <c r="L41" s="11" t="s">
        <v>5931</v>
      </c>
    </row>
    <row r="42" spans="1:12">
      <c r="A42" t="s">
        <v>5932</v>
      </c>
      <c r="B42" s="9">
        <v>2526</v>
      </c>
      <c r="C42" s="9">
        <v>17.187778000000002</v>
      </c>
      <c r="D42">
        <v>2</v>
      </c>
      <c r="E42">
        <v>2</v>
      </c>
      <c r="F42">
        <v>2</v>
      </c>
      <c r="G42" s="10">
        <v>1</v>
      </c>
      <c r="H42" t="s">
        <v>46</v>
      </c>
      <c r="I42" t="s">
        <v>1957</v>
      </c>
      <c r="J42" t="s">
        <v>5933</v>
      </c>
      <c r="K42" t="s">
        <v>5934</v>
      </c>
      <c r="L42" s="11" t="s">
        <v>5933</v>
      </c>
    </row>
    <row r="43" spans="1:12">
      <c r="A43" t="s">
        <v>5935</v>
      </c>
      <c r="B43" s="9">
        <v>3848</v>
      </c>
      <c r="C43" s="9">
        <v>8.4521490000000004</v>
      </c>
      <c r="D43">
        <v>5</v>
      </c>
      <c r="E43">
        <v>4</v>
      </c>
      <c r="F43">
        <v>5</v>
      </c>
      <c r="G43" s="10">
        <v>1</v>
      </c>
      <c r="H43" t="s">
        <v>46</v>
      </c>
      <c r="I43" t="s">
        <v>1957</v>
      </c>
      <c r="J43" t="s">
        <v>5936</v>
      </c>
      <c r="K43" t="s">
        <v>5937</v>
      </c>
      <c r="L43" s="11" t="s">
        <v>5938</v>
      </c>
    </row>
    <row r="44" spans="1:12">
      <c r="A44" t="s">
        <v>5939</v>
      </c>
      <c r="B44" s="9">
        <v>6347</v>
      </c>
      <c r="C44" s="9">
        <v>9.2450729999999997</v>
      </c>
      <c r="D44">
        <v>1</v>
      </c>
      <c r="E44">
        <v>1</v>
      </c>
      <c r="F44">
        <v>1</v>
      </c>
      <c r="G44" s="10">
        <v>1</v>
      </c>
      <c r="H44" t="s">
        <v>46</v>
      </c>
      <c r="I44" t="s">
        <v>1957</v>
      </c>
      <c r="J44" t="s">
        <v>5940</v>
      </c>
      <c r="K44" t="s">
        <v>5941</v>
      </c>
      <c r="L44" s="11" t="s">
        <v>5940</v>
      </c>
    </row>
    <row r="45" spans="1:12">
      <c r="A45" t="s">
        <v>5942</v>
      </c>
      <c r="B45" s="9">
        <v>2724</v>
      </c>
      <c r="C45" s="9">
        <v>6.9962530000000003</v>
      </c>
      <c r="D45">
        <v>3</v>
      </c>
      <c r="E45">
        <v>3</v>
      </c>
      <c r="F45">
        <v>3</v>
      </c>
      <c r="G45" s="10">
        <v>1</v>
      </c>
      <c r="H45" t="s">
        <v>46</v>
      </c>
      <c r="I45" t="s">
        <v>1957</v>
      </c>
      <c r="J45" t="s">
        <v>5943</v>
      </c>
      <c r="K45" t="s">
        <v>5944</v>
      </c>
      <c r="L45" s="11" t="s">
        <v>5945</v>
      </c>
    </row>
    <row r="46" spans="1:12">
      <c r="A46" t="s">
        <v>5946</v>
      </c>
      <c r="B46" s="9">
        <v>3528</v>
      </c>
      <c r="C46" s="9">
        <v>6.1897489999999999</v>
      </c>
      <c r="D46">
        <v>2</v>
      </c>
      <c r="E46">
        <v>2</v>
      </c>
      <c r="F46">
        <v>1</v>
      </c>
      <c r="G46" s="10">
        <v>0.5</v>
      </c>
      <c r="H46" t="s">
        <v>46</v>
      </c>
      <c r="I46" t="s">
        <v>1957</v>
      </c>
      <c r="J46" t="s">
        <v>5947</v>
      </c>
      <c r="K46" t="s">
        <v>5948</v>
      </c>
      <c r="L46" s="11" t="s">
        <v>5947</v>
      </c>
    </row>
    <row r="47" spans="1:12">
      <c r="A47" t="s">
        <v>5949</v>
      </c>
      <c r="B47" s="9">
        <v>2468</v>
      </c>
      <c r="C47" s="9">
        <v>3.5051800000000002</v>
      </c>
      <c r="D47">
        <v>2</v>
      </c>
      <c r="E47">
        <v>2</v>
      </c>
      <c r="F47">
        <v>2</v>
      </c>
      <c r="G47" s="10">
        <v>1</v>
      </c>
      <c r="H47" t="s">
        <v>46</v>
      </c>
      <c r="I47" t="s">
        <v>1957</v>
      </c>
      <c r="J47" t="s">
        <v>5950</v>
      </c>
      <c r="K47" t="s">
        <v>5951</v>
      </c>
      <c r="L47" s="11" t="s">
        <v>5952</v>
      </c>
    </row>
    <row r="48" spans="1:12">
      <c r="A48" t="s">
        <v>5953</v>
      </c>
      <c r="B48" s="9">
        <v>2401</v>
      </c>
      <c r="C48" s="9">
        <v>3.0549870000000001</v>
      </c>
      <c r="D48">
        <v>2</v>
      </c>
      <c r="E48">
        <v>2</v>
      </c>
      <c r="F48">
        <v>1</v>
      </c>
      <c r="G48" s="10">
        <v>0.5</v>
      </c>
      <c r="H48" t="s">
        <v>46</v>
      </c>
      <c r="I48" t="s">
        <v>1957</v>
      </c>
      <c r="J48" t="s">
        <v>5954</v>
      </c>
      <c r="K48" t="s">
        <v>5955</v>
      </c>
      <c r="L48" s="11" t="s">
        <v>5954</v>
      </c>
    </row>
    <row r="49" spans="1:12">
      <c r="A49" t="s">
        <v>5956</v>
      </c>
      <c r="B49" s="9">
        <v>7822</v>
      </c>
      <c r="C49" s="9">
        <v>4.7369640000000004</v>
      </c>
      <c r="D49">
        <v>7</v>
      </c>
      <c r="E49">
        <v>3</v>
      </c>
      <c r="F49">
        <v>3</v>
      </c>
      <c r="G49" s="10">
        <v>0.42857142857142855</v>
      </c>
      <c r="H49" t="s">
        <v>46</v>
      </c>
      <c r="I49" t="s">
        <v>1957</v>
      </c>
      <c r="J49" t="s">
        <v>5957</v>
      </c>
      <c r="K49" t="s">
        <v>5958</v>
      </c>
      <c r="L49" s="11" t="s">
        <v>5957</v>
      </c>
    </row>
    <row r="50" spans="1:12">
      <c r="A50" t="s">
        <v>5959</v>
      </c>
      <c r="B50" s="9">
        <v>2467</v>
      </c>
      <c r="C50" s="9">
        <v>2.876036</v>
      </c>
      <c r="D50">
        <v>1</v>
      </c>
      <c r="E50">
        <v>1</v>
      </c>
      <c r="F50">
        <v>1</v>
      </c>
      <c r="G50" s="10">
        <v>1</v>
      </c>
      <c r="H50" t="s">
        <v>46</v>
      </c>
      <c r="I50" t="s">
        <v>1957</v>
      </c>
      <c r="J50" t="s">
        <v>5960</v>
      </c>
      <c r="K50" t="s">
        <v>5961</v>
      </c>
      <c r="L50" s="11" t="s">
        <v>5960</v>
      </c>
    </row>
    <row r="51" spans="1:12">
      <c r="A51" t="s">
        <v>5962</v>
      </c>
      <c r="B51" s="9">
        <v>2744</v>
      </c>
      <c r="C51" s="9">
        <v>4.2123470000000003</v>
      </c>
      <c r="D51">
        <v>2</v>
      </c>
      <c r="E51">
        <v>1</v>
      </c>
      <c r="F51">
        <v>2</v>
      </c>
      <c r="G51" s="10">
        <v>1</v>
      </c>
      <c r="H51" t="s">
        <v>46</v>
      </c>
      <c r="I51" t="s">
        <v>1957</v>
      </c>
      <c r="J51" t="s">
        <v>5963</v>
      </c>
      <c r="K51" t="s">
        <v>5964</v>
      </c>
      <c r="L51" s="11" t="s">
        <v>5963</v>
      </c>
    </row>
    <row r="52" spans="1:12">
      <c r="A52" t="s">
        <v>5965</v>
      </c>
      <c r="B52" s="9">
        <v>6069</v>
      </c>
      <c r="C52" s="9">
        <v>4.0891250000000001</v>
      </c>
      <c r="D52">
        <v>6</v>
      </c>
      <c r="E52">
        <v>6</v>
      </c>
      <c r="F52">
        <v>6</v>
      </c>
      <c r="G52" s="10">
        <v>1</v>
      </c>
      <c r="H52" t="s">
        <v>46</v>
      </c>
      <c r="I52" t="s">
        <v>1957</v>
      </c>
      <c r="J52" t="s">
        <v>5966</v>
      </c>
      <c r="K52" t="s">
        <v>5967</v>
      </c>
      <c r="L52" s="11" t="s">
        <v>5968</v>
      </c>
    </row>
    <row r="53" spans="1:12">
      <c r="A53" t="s">
        <v>5969</v>
      </c>
      <c r="B53" s="9">
        <v>12366</v>
      </c>
      <c r="C53" s="9">
        <v>13.326375000000001</v>
      </c>
      <c r="D53">
        <v>10</v>
      </c>
      <c r="E53">
        <v>8</v>
      </c>
      <c r="F53">
        <v>8</v>
      </c>
      <c r="G53" s="10">
        <v>0.8</v>
      </c>
      <c r="H53" t="s">
        <v>46</v>
      </c>
      <c r="I53" t="s">
        <v>1957</v>
      </c>
      <c r="J53" t="s">
        <v>5970</v>
      </c>
      <c r="K53" t="s">
        <v>5971</v>
      </c>
      <c r="L53" s="11" t="s">
        <v>5972</v>
      </c>
    </row>
    <row r="54" spans="1:12">
      <c r="A54" t="s">
        <v>5973</v>
      </c>
      <c r="B54" s="9">
        <v>3759</v>
      </c>
      <c r="C54" s="9">
        <v>8.5340170000000004</v>
      </c>
      <c r="D54">
        <v>5</v>
      </c>
      <c r="E54">
        <v>4</v>
      </c>
      <c r="F54">
        <v>5</v>
      </c>
      <c r="G54" s="10">
        <v>1</v>
      </c>
      <c r="H54" t="s">
        <v>46</v>
      </c>
      <c r="I54" t="s">
        <v>1957</v>
      </c>
      <c r="J54" t="s">
        <v>5974</v>
      </c>
      <c r="K54" t="s">
        <v>5975</v>
      </c>
      <c r="L54" s="11" t="s">
        <v>5976</v>
      </c>
    </row>
    <row r="55" spans="1:12">
      <c r="A55" t="s">
        <v>5977</v>
      </c>
      <c r="B55" s="9">
        <v>13001</v>
      </c>
      <c r="C55" s="9">
        <v>9.1148620000000005</v>
      </c>
      <c r="D55">
        <v>10</v>
      </c>
      <c r="E55">
        <v>10</v>
      </c>
      <c r="F55">
        <v>10</v>
      </c>
      <c r="G55" s="10">
        <v>1</v>
      </c>
      <c r="H55" t="s">
        <v>46</v>
      </c>
      <c r="I55" t="s">
        <v>1957</v>
      </c>
      <c r="J55" t="s">
        <v>5978</v>
      </c>
      <c r="K55" t="s">
        <v>5979</v>
      </c>
      <c r="L55" s="11" t="s">
        <v>5980</v>
      </c>
    </row>
    <row r="56" spans="1:12">
      <c r="A56" t="s">
        <v>5981</v>
      </c>
      <c r="B56" s="9">
        <v>3089</v>
      </c>
      <c r="C56" s="9">
        <v>3.8236650000000001</v>
      </c>
      <c r="D56">
        <v>3</v>
      </c>
      <c r="E56">
        <v>3</v>
      </c>
      <c r="F56">
        <v>3</v>
      </c>
      <c r="G56" s="10">
        <v>1</v>
      </c>
      <c r="H56" t="s">
        <v>46</v>
      </c>
      <c r="I56" t="s">
        <v>1957</v>
      </c>
      <c r="J56" t="s">
        <v>5982</v>
      </c>
      <c r="K56" t="s">
        <v>5983</v>
      </c>
      <c r="L56" s="11" t="s">
        <v>5982</v>
      </c>
    </row>
    <row r="57" spans="1:12">
      <c r="A57" t="s">
        <v>5984</v>
      </c>
      <c r="B57" s="9">
        <v>2836</v>
      </c>
      <c r="C57" s="9">
        <v>3.372528</v>
      </c>
      <c r="D57">
        <v>2</v>
      </c>
      <c r="E57">
        <v>2</v>
      </c>
      <c r="F57">
        <v>2</v>
      </c>
      <c r="G57" s="10">
        <v>1</v>
      </c>
      <c r="H57" t="s">
        <v>46</v>
      </c>
      <c r="I57" t="s">
        <v>1957</v>
      </c>
      <c r="J57" t="s">
        <v>5985</v>
      </c>
      <c r="K57" t="s">
        <v>5986</v>
      </c>
      <c r="L57" s="11" t="s">
        <v>5987</v>
      </c>
    </row>
    <row r="58" spans="1:12">
      <c r="A58" t="s">
        <v>5988</v>
      </c>
      <c r="B58" s="9">
        <v>2478</v>
      </c>
      <c r="C58" s="9">
        <v>4.7725960000000001</v>
      </c>
      <c r="D58">
        <v>2</v>
      </c>
      <c r="E58">
        <v>2</v>
      </c>
      <c r="F58">
        <v>2</v>
      </c>
      <c r="G58" s="10">
        <v>1</v>
      </c>
      <c r="H58" t="s">
        <v>46</v>
      </c>
      <c r="I58" t="s">
        <v>1957</v>
      </c>
      <c r="J58" t="s">
        <v>5989</v>
      </c>
      <c r="K58" t="s">
        <v>5990</v>
      </c>
      <c r="L58" s="11" t="s">
        <v>5991</v>
      </c>
    </row>
    <row r="59" spans="1:12">
      <c r="A59" t="s">
        <v>5992</v>
      </c>
      <c r="B59" s="9">
        <v>2145</v>
      </c>
      <c r="C59" s="9">
        <v>2.6334930000000001</v>
      </c>
      <c r="D59">
        <v>2</v>
      </c>
      <c r="E59">
        <v>2</v>
      </c>
      <c r="F59">
        <v>2</v>
      </c>
      <c r="G59" s="10">
        <v>1</v>
      </c>
      <c r="H59" t="s">
        <v>46</v>
      </c>
      <c r="I59" t="s">
        <v>1957</v>
      </c>
      <c r="J59" t="s">
        <v>5993</v>
      </c>
      <c r="K59" t="s">
        <v>5994</v>
      </c>
      <c r="L59" s="11" t="s">
        <v>5993</v>
      </c>
    </row>
    <row r="60" spans="1:12">
      <c r="A60" t="s">
        <v>5995</v>
      </c>
      <c r="B60" s="9">
        <v>5961</v>
      </c>
      <c r="C60" s="9">
        <v>5.1574669999999996</v>
      </c>
      <c r="D60">
        <v>4</v>
      </c>
      <c r="E60">
        <v>2</v>
      </c>
      <c r="F60">
        <v>3</v>
      </c>
      <c r="G60" s="10">
        <v>0.75</v>
      </c>
      <c r="H60" t="s">
        <v>46</v>
      </c>
      <c r="I60" t="s">
        <v>1957</v>
      </c>
      <c r="J60" t="s">
        <v>5996</v>
      </c>
      <c r="K60" t="s">
        <v>5997</v>
      </c>
      <c r="L60" s="11" t="s">
        <v>5996</v>
      </c>
    </row>
    <row r="61" spans="1:12">
      <c r="A61" t="s">
        <v>5998</v>
      </c>
      <c r="B61" s="9">
        <v>2072</v>
      </c>
      <c r="C61" s="9">
        <v>2.5185919999999999</v>
      </c>
      <c r="D61">
        <v>2</v>
      </c>
      <c r="E61">
        <v>2</v>
      </c>
      <c r="F61">
        <v>2</v>
      </c>
      <c r="G61" s="10">
        <v>1</v>
      </c>
      <c r="H61" t="s">
        <v>46</v>
      </c>
      <c r="I61" t="s">
        <v>1957</v>
      </c>
      <c r="J61" t="s">
        <v>5999</v>
      </c>
      <c r="K61" t="s">
        <v>6000</v>
      </c>
      <c r="L61" s="11" t="s">
        <v>6001</v>
      </c>
    </row>
    <row r="62" spans="1:12">
      <c r="A62" t="s">
        <v>6002</v>
      </c>
      <c r="B62" s="9">
        <v>5276</v>
      </c>
      <c r="C62" s="9">
        <v>5.215859</v>
      </c>
      <c r="D62">
        <v>2</v>
      </c>
      <c r="E62">
        <v>2</v>
      </c>
      <c r="F62">
        <v>2</v>
      </c>
      <c r="G62" s="10">
        <v>1</v>
      </c>
      <c r="H62" t="s">
        <v>46</v>
      </c>
      <c r="I62" t="s">
        <v>1957</v>
      </c>
      <c r="J62" t="s">
        <v>6003</v>
      </c>
      <c r="K62" t="s">
        <v>6004</v>
      </c>
      <c r="L62" s="11" t="s">
        <v>6003</v>
      </c>
    </row>
    <row r="63" spans="1:12">
      <c r="A63" t="s">
        <v>6005</v>
      </c>
      <c r="B63" s="9">
        <v>4951</v>
      </c>
      <c r="C63" s="9">
        <v>5.2109889999999996</v>
      </c>
      <c r="D63">
        <v>5</v>
      </c>
      <c r="E63">
        <v>4</v>
      </c>
      <c r="F63">
        <v>3</v>
      </c>
      <c r="G63" s="10">
        <v>0.6</v>
      </c>
      <c r="H63" t="s">
        <v>46</v>
      </c>
      <c r="I63" t="s">
        <v>1957</v>
      </c>
      <c r="J63" t="s">
        <v>6006</v>
      </c>
      <c r="K63" t="s">
        <v>6007</v>
      </c>
      <c r="L63" s="11" t="s">
        <v>6008</v>
      </c>
    </row>
    <row r="64" spans="1:12">
      <c r="A64" t="s">
        <v>6009</v>
      </c>
      <c r="B64" s="9">
        <v>2272</v>
      </c>
      <c r="C64" s="9">
        <v>6.2277849999999999</v>
      </c>
      <c r="D64">
        <v>2</v>
      </c>
      <c r="E64">
        <v>2</v>
      </c>
      <c r="F64">
        <v>2</v>
      </c>
      <c r="G64" s="10">
        <v>1</v>
      </c>
      <c r="H64" t="s">
        <v>46</v>
      </c>
      <c r="I64" t="s">
        <v>1957</v>
      </c>
      <c r="J64" t="s">
        <v>6010</v>
      </c>
      <c r="K64" t="s">
        <v>6011</v>
      </c>
      <c r="L64" s="11" t="s">
        <v>6010</v>
      </c>
    </row>
    <row r="65" spans="1:12">
      <c r="A65" t="s">
        <v>6012</v>
      </c>
      <c r="B65" s="9">
        <v>6821</v>
      </c>
      <c r="C65" s="9">
        <v>4.5217260000000001</v>
      </c>
      <c r="D65">
        <v>7</v>
      </c>
      <c r="E65">
        <v>7</v>
      </c>
      <c r="F65">
        <v>7</v>
      </c>
      <c r="G65" s="10">
        <v>1</v>
      </c>
      <c r="H65" t="s">
        <v>46</v>
      </c>
      <c r="I65" t="s">
        <v>1957</v>
      </c>
      <c r="J65" t="s">
        <v>6013</v>
      </c>
      <c r="K65" t="s">
        <v>6014</v>
      </c>
      <c r="L65" s="11" t="s">
        <v>6015</v>
      </c>
    </row>
    <row r="66" spans="1:12">
      <c r="A66" t="s">
        <v>6016</v>
      </c>
      <c r="B66" s="9">
        <v>4150</v>
      </c>
      <c r="C66" s="9">
        <v>4.8207570000000004</v>
      </c>
      <c r="D66">
        <v>4</v>
      </c>
      <c r="E66">
        <v>4</v>
      </c>
      <c r="F66">
        <v>4</v>
      </c>
      <c r="G66" s="10">
        <v>1</v>
      </c>
      <c r="H66" t="s">
        <v>46</v>
      </c>
      <c r="I66" t="s">
        <v>1957</v>
      </c>
      <c r="J66" t="s">
        <v>6017</v>
      </c>
      <c r="K66" t="s">
        <v>6018</v>
      </c>
      <c r="L66" s="11" t="s">
        <v>6019</v>
      </c>
    </row>
    <row r="67" spans="1:12">
      <c r="A67" t="s">
        <v>6020</v>
      </c>
      <c r="B67" s="9">
        <v>2285</v>
      </c>
      <c r="C67" s="9">
        <v>21.851569999999999</v>
      </c>
      <c r="D67">
        <v>2</v>
      </c>
      <c r="E67">
        <v>1</v>
      </c>
      <c r="F67">
        <v>1</v>
      </c>
      <c r="G67" s="10">
        <v>0.5</v>
      </c>
      <c r="H67" t="s">
        <v>46</v>
      </c>
      <c r="I67" t="s">
        <v>1957</v>
      </c>
      <c r="J67" t="s">
        <v>6021</v>
      </c>
      <c r="K67" t="s">
        <v>6022</v>
      </c>
      <c r="L67" s="11" t="s">
        <v>6021</v>
      </c>
    </row>
    <row r="68" spans="1:12">
      <c r="A68" t="s">
        <v>6023</v>
      </c>
      <c r="B68" s="9">
        <v>3366</v>
      </c>
      <c r="C68" s="9">
        <v>5.1594680000000004</v>
      </c>
      <c r="D68">
        <v>3</v>
      </c>
      <c r="E68">
        <v>2</v>
      </c>
      <c r="F68">
        <v>2</v>
      </c>
      <c r="G68" s="10">
        <v>0.66666666666666663</v>
      </c>
      <c r="H68" t="s">
        <v>46</v>
      </c>
      <c r="I68" t="s">
        <v>1957</v>
      </c>
      <c r="J68" t="s">
        <v>6024</v>
      </c>
      <c r="K68" t="s">
        <v>6025</v>
      </c>
      <c r="L68" s="11" t="s">
        <v>6024</v>
      </c>
    </row>
    <row r="69" spans="1:12">
      <c r="A69" t="s">
        <v>6026</v>
      </c>
      <c r="B69" s="9">
        <v>4393</v>
      </c>
      <c r="C69" s="9">
        <v>4.5822960000000004</v>
      </c>
      <c r="D69">
        <v>2</v>
      </c>
      <c r="E69">
        <v>2</v>
      </c>
      <c r="F69">
        <v>1</v>
      </c>
      <c r="G69" s="10">
        <v>0.5</v>
      </c>
      <c r="H69" t="s">
        <v>46</v>
      </c>
      <c r="I69" t="s">
        <v>1957</v>
      </c>
      <c r="J69" t="s">
        <v>6027</v>
      </c>
      <c r="K69" t="s">
        <v>6028</v>
      </c>
      <c r="L69" s="11" t="s">
        <v>6027</v>
      </c>
    </row>
    <row r="70" spans="1:12">
      <c r="A70" t="s">
        <v>6029</v>
      </c>
      <c r="B70" s="9">
        <v>3620</v>
      </c>
      <c r="C70" s="9">
        <v>4.2030859999999999</v>
      </c>
      <c r="D70">
        <v>3</v>
      </c>
      <c r="E70">
        <v>2</v>
      </c>
      <c r="F70">
        <v>2</v>
      </c>
      <c r="G70" s="10">
        <v>0.66666666666666663</v>
      </c>
      <c r="H70" t="s">
        <v>46</v>
      </c>
      <c r="I70" t="s">
        <v>1957</v>
      </c>
      <c r="J70" t="s">
        <v>6030</v>
      </c>
      <c r="K70" t="s">
        <v>6031</v>
      </c>
      <c r="L70" s="11" t="s">
        <v>6030</v>
      </c>
    </row>
    <row r="71" spans="1:12">
      <c r="A71" t="s">
        <v>6032</v>
      </c>
      <c r="B71" s="9">
        <v>9961</v>
      </c>
      <c r="C71" s="9">
        <v>24.236219999999999</v>
      </c>
      <c r="D71">
        <v>3</v>
      </c>
      <c r="E71">
        <v>2</v>
      </c>
      <c r="F71">
        <v>2</v>
      </c>
      <c r="G71" s="10">
        <v>0.66666666666666663</v>
      </c>
      <c r="H71" t="s">
        <v>46</v>
      </c>
      <c r="I71" t="s">
        <v>1957</v>
      </c>
      <c r="J71" t="s">
        <v>6033</v>
      </c>
      <c r="K71" t="s">
        <v>6034</v>
      </c>
      <c r="L71" s="11" t="s">
        <v>6033</v>
      </c>
    </row>
    <row r="72" spans="1:12">
      <c r="A72" t="s">
        <v>6035</v>
      </c>
      <c r="B72" s="9">
        <v>4001</v>
      </c>
      <c r="C72" s="9">
        <v>12.71997</v>
      </c>
      <c r="D72">
        <v>2</v>
      </c>
      <c r="E72">
        <v>2</v>
      </c>
      <c r="F72">
        <v>2</v>
      </c>
      <c r="G72" s="10">
        <v>1</v>
      </c>
      <c r="H72" t="s">
        <v>46</v>
      </c>
      <c r="I72" t="s">
        <v>1957</v>
      </c>
      <c r="J72" t="s">
        <v>6036</v>
      </c>
      <c r="K72" t="s">
        <v>6037</v>
      </c>
      <c r="L72" s="11" t="s">
        <v>6038</v>
      </c>
    </row>
    <row r="73" spans="1:12">
      <c r="A73" t="s">
        <v>6039</v>
      </c>
      <c r="B73" s="9">
        <v>2271</v>
      </c>
      <c r="C73" s="9">
        <v>2.2716609999999999</v>
      </c>
      <c r="D73">
        <v>2</v>
      </c>
      <c r="E73">
        <v>2</v>
      </c>
      <c r="F73">
        <v>2</v>
      </c>
      <c r="G73" s="10">
        <v>1</v>
      </c>
      <c r="H73" t="s">
        <v>46</v>
      </c>
      <c r="I73" t="s">
        <v>1957</v>
      </c>
      <c r="J73" t="s">
        <v>6040</v>
      </c>
      <c r="K73" t="s">
        <v>6041</v>
      </c>
      <c r="L73" s="11" t="s">
        <v>6040</v>
      </c>
    </row>
    <row r="74" spans="1:12">
      <c r="A74" t="s">
        <v>6042</v>
      </c>
      <c r="B74" s="9">
        <v>2127</v>
      </c>
      <c r="C74" s="9">
        <v>4.5868729999999998</v>
      </c>
      <c r="D74">
        <v>2</v>
      </c>
      <c r="E74">
        <v>2</v>
      </c>
      <c r="F74">
        <v>2</v>
      </c>
      <c r="G74" s="10">
        <v>1</v>
      </c>
      <c r="H74" t="s">
        <v>46</v>
      </c>
      <c r="I74" t="s">
        <v>1957</v>
      </c>
      <c r="J74" t="s">
        <v>6043</v>
      </c>
      <c r="K74" t="s">
        <v>6044</v>
      </c>
      <c r="L74" s="11" t="s">
        <v>6043</v>
      </c>
    </row>
    <row r="75" spans="1:12">
      <c r="A75" t="s">
        <v>6045</v>
      </c>
      <c r="B75" s="9">
        <v>2716</v>
      </c>
      <c r="C75" s="9">
        <v>4.2307399999999999</v>
      </c>
      <c r="D75">
        <v>1</v>
      </c>
      <c r="E75">
        <v>1</v>
      </c>
      <c r="F75">
        <v>1</v>
      </c>
      <c r="G75" s="10">
        <v>1</v>
      </c>
      <c r="H75" t="s">
        <v>46</v>
      </c>
      <c r="I75" t="s">
        <v>1957</v>
      </c>
      <c r="J75" t="s">
        <v>6046</v>
      </c>
      <c r="K75" t="s">
        <v>6047</v>
      </c>
      <c r="L75" s="11" t="s">
        <v>6046</v>
      </c>
    </row>
    <row r="76" spans="1:12">
      <c r="A76" t="s">
        <v>6048</v>
      </c>
      <c r="B76" s="9">
        <v>2143</v>
      </c>
      <c r="C76" s="9">
        <v>3.8232759999999999</v>
      </c>
      <c r="D76">
        <v>2</v>
      </c>
      <c r="E76">
        <v>2</v>
      </c>
      <c r="F76">
        <v>1</v>
      </c>
      <c r="G76" s="10">
        <v>0.5</v>
      </c>
      <c r="H76" t="s">
        <v>46</v>
      </c>
      <c r="I76" t="s">
        <v>1957</v>
      </c>
      <c r="J76" t="s">
        <v>6049</v>
      </c>
      <c r="K76" t="s">
        <v>6050</v>
      </c>
      <c r="L76" s="11" t="s">
        <v>6049</v>
      </c>
    </row>
    <row r="77" spans="1:12">
      <c r="A77" t="s">
        <v>6051</v>
      </c>
      <c r="B77" s="9">
        <v>3002</v>
      </c>
      <c r="C77" s="9">
        <v>5.9579230000000001</v>
      </c>
      <c r="D77">
        <v>3</v>
      </c>
      <c r="E77">
        <v>3</v>
      </c>
      <c r="F77">
        <v>3</v>
      </c>
      <c r="G77" s="10">
        <v>1</v>
      </c>
      <c r="H77" t="s">
        <v>46</v>
      </c>
      <c r="I77" t="s">
        <v>1957</v>
      </c>
      <c r="J77" t="s">
        <v>6052</v>
      </c>
      <c r="K77" t="s">
        <v>6053</v>
      </c>
      <c r="L77" s="11" t="s">
        <v>6054</v>
      </c>
    </row>
    <row r="78" spans="1:12">
      <c r="A78" t="s">
        <v>6055</v>
      </c>
      <c r="B78" s="9">
        <v>3456</v>
      </c>
      <c r="C78" s="9">
        <v>5.3863570000000003</v>
      </c>
      <c r="D78">
        <v>3</v>
      </c>
      <c r="E78">
        <v>3</v>
      </c>
      <c r="F78">
        <v>3</v>
      </c>
      <c r="G78" s="10">
        <v>1</v>
      </c>
      <c r="H78" t="s">
        <v>46</v>
      </c>
      <c r="I78" t="s">
        <v>1957</v>
      </c>
      <c r="J78" t="s">
        <v>6056</v>
      </c>
      <c r="K78" t="s">
        <v>6057</v>
      </c>
      <c r="L78" s="11" t="s">
        <v>6058</v>
      </c>
    </row>
    <row r="79" spans="1:12">
      <c r="A79" t="s">
        <v>6059</v>
      </c>
      <c r="B79" s="9">
        <v>4300</v>
      </c>
      <c r="C79" s="9">
        <v>5.7422849999999999</v>
      </c>
      <c r="D79">
        <v>5</v>
      </c>
      <c r="E79">
        <v>4</v>
      </c>
      <c r="F79">
        <v>4</v>
      </c>
      <c r="G79" s="10">
        <v>0.8</v>
      </c>
      <c r="H79" t="s">
        <v>46</v>
      </c>
      <c r="I79" t="s">
        <v>1957</v>
      </c>
      <c r="J79" t="s">
        <v>6060</v>
      </c>
      <c r="K79" t="s">
        <v>6061</v>
      </c>
      <c r="L79" s="11" t="s">
        <v>6062</v>
      </c>
    </row>
    <row r="80" spans="1:12">
      <c r="A80" t="s">
        <v>6063</v>
      </c>
      <c r="B80" s="9">
        <v>2179</v>
      </c>
      <c r="C80" s="9">
        <v>9.3681730000000005</v>
      </c>
      <c r="D80">
        <v>1</v>
      </c>
      <c r="E80">
        <v>1</v>
      </c>
      <c r="F80">
        <v>1</v>
      </c>
      <c r="G80" s="10">
        <v>1</v>
      </c>
      <c r="H80" t="s">
        <v>46</v>
      </c>
      <c r="I80" t="s">
        <v>1957</v>
      </c>
      <c r="J80" t="s">
        <v>6064</v>
      </c>
      <c r="K80" t="s">
        <v>6065</v>
      </c>
      <c r="L80" s="11" t="s">
        <v>6064</v>
      </c>
    </row>
    <row r="81" spans="1:12">
      <c r="A81" t="s">
        <v>6066</v>
      </c>
      <c r="B81" s="9">
        <v>3249</v>
      </c>
      <c r="C81" s="9">
        <v>5.4038820000000003</v>
      </c>
      <c r="D81">
        <v>2</v>
      </c>
      <c r="E81">
        <v>2</v>
      </c>
      <c r="F81">
        <v>2</v>
      </c>
      <c r="G81" s="10">
        <v>1</v>
      </c>
      <c r="H81" t="s">
        <v>46</v>
      </c>
      <c r="I81" t="s">
        <v>1957</v>
      </c>
      <c r="J81" t="s">
        <v>6067</v>
      </c>
      <c r="K81" t="s">
        <v>6068</v>
      </c>
      <c r="L81" s="11" t="s">
        <v>6067</v>
      </c>
    </row>
    <row r="82" spans="1:12">
      <c r="A82" t="s">
        <v>6069</v>
      </c>
      <c r="B82" s="9">
        <v>4739</v>
      </c>
      <c r="C82" s="9">
        <v>3.1599059999999999</v>
      </c>
      <c r="D82">
        <v>1</v>
      </c>
      <c r="E82">
        <v>1</v>
      </c>
      <c r="F82">
        <v>1</v>
      </c>
      <c r="G82" s="10">
        <v>1</v>
      </c>
      <c r="H82" t="s">
        <v>46</v>
      </c>
      <c r="I82" t="s">
        <v>1957</v>
      </c>
      <c r="J82" t="s">
        <v>6070</v>
      </c>
      <c r="K82" t="s">
        <v>6071</v>
      </c>
      <c r="L82" s="11" t="s">
        <v>6070</v>
      </c>
    </row>
    <row r="83" spans="1:12">
      <c r="A83" t="s">
        <v>6072</v>
      </c>
      <c r="B83" s="9">
        <v>4558</v>
      </c>
      <c r="C83" s="9">
        <v>5.9569179999999999</v>
      </c>
      <c r="D83">
        <v>4</v>
      </c>
      <c r="E83">
        <v>4</v>
      </c>
      <c r="F83">
        <v>4</v>
      </c>
      <c r="G83" s="10">
        <v>1</v>
      </c>
      <c r="H83" t="s">
        <v>46</v>
      </c>
      <c r="I83" t="s">
        <v>1957</v>
      </c>
      <c r="J83" t="s">
        <v>6073</v>
      </c>
      <c r="K83" t="s">
        <v>6074</v>
      </c>
      <c r="L83" s="11" t="s">
        <v>6075</v>
      </c>
    </row>
    <row r="84" spans="1:12">
      <c r="A84" t="s">
        <v>6076</v>
      </c>
      <c r="B84" s="9">
        <v>2955</v>
      </c>
      <c r="C84" s="9">
        <v>3.9965519999999999</v>
      </c>
      <c r="D84">
        <v>2</v>
      </c>
      <c r="E84">
        <v>2</v>
      </c>
      <c r="F84">
        <v>2</v>
      </c>
      <c r="G84" s="10">
        <v>1</v>
      </c>
      <c r="H84" t="s">
        <v>46</v>
      </c>
      <c r="I84" t="s">
        <v>1957</v>
      </c>
      <c r="J84" t="s">
        <v>6077</v>
      </c>
      <c r="K84" t="s">
        <v>6078</v>
      </c>
      <c r="L84" s="11" t="s">
        <v>6077</v>
      </c>
    </row>
    <row r="85" spans="1:12">
      <c r="A85" t="s">
        <v>6079</v>
      </c>
      <c r="B85" s="9">
        <v>2714</v>
      </c>
      <c r="C85" s="9">
        <v>5.1154570000000001</v>
      </c>
      <c r="D85">
        <v>2</v>
      </c>
      <c r="E85">
        <v>2</v>
      </c>
      <c r="F85">
        <v>2</v>
      </c>
      <c r="G85" s="10">
        <v>1</v>
      </c>
      <c r="H85" t="s">
        <v>46</v>
      </c>
      <c r="I85" t="s">
        <v>1957</v>
      </c>
      <c r="J85" t="s">
        <v>6080</v>
      </c>
      <c r="K85" t="s">
        <v>6081</v>
      </c>
      <c r="L85" s="11" t="s">
        <v>6082</v>
      </c>
    </row>
    <row r="86" spans="1:12">
      <c r="A86" t="s">
        <v>6083</v>
      </c>
      <c r="B86" s="9">
        <v>3830</v>
      </c>
      <c r="C86" s="9">
        <v>4.8659600000000003</v>
      </c>
      <c r="D86">
        <v>3</v>
      </c>
      <c r="E86">
        <v>2</v>
      </c>
      <c r="F86">
        <v>2</v>
      </c>
      <c r="G86" s="10">
        <v>0.66666666666666663</v>
      </c>
      <c r="H86" t="s">
        <v>46</v>
      </c>
      <c r="I86" t="s">
        <v>1957</v>
      </c>
      <c r="J86" t="s">
        <v>6084</v>
      </c>
      <c r="K86" t="s">
        <v>6085</v>
      </c>
      <c r="L86" s="11" t="s">
        <v>6086</v>
      </c>
    </row>
    <row r="87" spans="1:12">
      <c r="A87" t="s">
        <v>6087</v>
      </c>
      <c r="B87" s="9">
        <v>3479</v>
      </c>
      <c r="C87" s="9">
        <v>5.4912380000000001</v>
      </c>
      <c r="D87">
        <v>3</v>
      </c>
      <c r="E87">
        <v>2</v>
      </c>
      <c r="F87">
        <v>3</v>
      </c>
      <c r="G87" s="10">
        <v>1</v>
      </c>
      <c r="H87" t="s">
        <v>46</v>
      </c>
      <c r="I87" t="s">
        <v>1957</v>
      </c>
      <c r="J87" t="s">
        <v>6088</v>
      </c>
      <c r="K87" t="s">
        <v>6089</v>
      </c>
      <c r="L87" s="11" t="s">
        <v>6090</v>
      </c>
    </row>
    <row r="88" spans="1:12">
      <c r="A88" t="s">
        <v>6091</v>
      </c>
      <c r="B88" s="9">
        <v>5368</v>
      </c>
      <c r="C88" s="9">
        <v>56.468850000000003</v>
      </c>
      <c r="D88">
        <v>2</v>
      </c>
      <c r="E88">
        <v>2</v>
      </c>
      <c r="F88">
        <v>2</v>
      </c>
      <c r="G88" s="10">
        <v>1</v>
      </c>
      <c r="H88" t="s">
        <v>46</v>
      </c>
      <c r="I88" t="s">
        <v>1957</v>
      </c>
      <c r="J88" t="s">
        <v>6092</v>
      </c>
      <c r="K88" t="s">
        <v>6093</v>
      </c>
      <c r="L88" s="11" t="s">
        <v>6092</v>
      </c>
    </row>
    <row r="89" spans="1:12">
      <c r="A89" t="s">
        <v>6094</v>
      </c>
      <c r="B89" s="9">
        <v>3631</v>
      </c>
      <c r="C89" s="9">
        <v>3.9804249999999999</v>
      </c>
      <c r="D89">
        <v>2</v>
      </c>
      <c r="E89">
        <v>1</v>
      </c>
      <c r="F89">
        <v>2</v>
      </c>
      <c r="G89" s="10">
        <v>1</v>
      </c>
      <c r="H89" t="s">
        <v>46</v>
      </c>
      <c r="I89" t="s">
        <v>1957</v>
      </c>
      <c r="J89" t="s">
        <v>6092</v>
      </c>
      <c r="K89" t="s">
        <v>6093</v>
      </c>
      <c r="L89" s="11" t="s">
        <v>6092</v>
      </c>
    </row>
    <row r="90" spans="1:12">
      <c r="A90" t="s">
        <v>6095</v>
      </c>
      <c r="B90" s="9">
        <v>2014</v>
      </c>
      <c r="C90" s="9">
        <v>2.10975</v>
      </c>
      <c r="D90">
        <v>2</v>
      </c>
      <c r="E90">
        <v>2</v>
      </c>
      <c r="F90">
        <v>1</v>
      </c>
      <c r="G90" s="10">
        <v>0.5</v>
      </c>
      <c r="H90" t="s">
        <v>46</v>
      </c>
      <c r="I90" t="s">
        <v>1957</v>
      </c>
      <c r="J90" t="s">
        <v>6092</v>
      </c>
      <c r="K90" t="s">
        <v>6093</v>
      </c>
      <c r="L90" s="11" t="s">
        <v>6092</v>
      </c>
    </row>
    <row r="91" spans="1:12">
      <c r="A91" t="s">
        <v>6096</v>
      </c>
      <c r="B91" s="9">
        <v>2419</v>
      </c>
      <c r="C91" s="9">
        <v>2.817259</v>
      </c>
      <c r="D91">
        <v>1</v>
      </c>
      <c r="E91">
        <v>1</v>
      </c>
      <c r="F91">
        <v>1</v>
      </c>
      <c r="G91" s="10">
        <v>1</v>
      </c>
      <c r="H91" t="s">
        <v>46</v>
      </c>
      <c r="I91" t="s">
        <v>1957</v>
      </c>
      <c r="J91" t="s">
        <v>6097</v>
      </c>
      <c r="K91" t="s">
        <v>6098</v>
      </c>
      <c r="L91" s="11" t="s">
        <v>6097</v>
      </c>
    </row>
    <row r="92" spans="1:12">
      <c r="A92" t="s">
        <v>6099</v>
      </c>
      <c r="B92" s="9">
        <v>4543</v>
      </c>
      <c r="C92" s="9">
        <v>4.7736190000000001</v>
      </c>
      <c r="D92">
        <v>1</v>
      </c>
      <c r="E92">
        <v>1</v>
      </c>
      <c r="F92">
        <v>1</v>
      </c>
      <c r="G92" s="10">
        <v>1</v>
      </c>
      <c r="H92" t="s">
        <v>46</v>
      </c>
      <c r="I92" t="s">
        <v>1957</v>
      </c>
      <c r="J92" t="s">
        <v>6100</v>
      </c>
      <c r="K92" t="s">
        <v>6101</v>
      </c>
      <c r="L92" s="11" t="s">
        <v>6100</v>
      </c>
    </row>
    <row r="93" spans="1:12">
      <c r="A93" t="s">
        <v>6102</v>
      </c>
      <c r="B93" s="9">
        <v>9333</v>
      </c>
      <c r="C93" s="9">
        <v>4.2244020000000004</v>
      </c>
      <c r="D93">
        <v>3</v>
      </c>
      <c r="E93">
        <v>1</v>
      </c>
      <c r="F93">
        <v>1</v>
      </c>
      <c r="G93" s="10">
        <v>0.33333333333333331</v>
      </c>
      <c r="H93" t="s">
        <v>46</v>
      </c>
      <c r="I93" t="s">
        <v>1957</v>
      </c>
      <c r="J93" t="s">
        <v>6100</v>
      </c>
      <c r="K93" t="s">
        <v>6101</v>
      </c>
      <c r="L93" s="11" t="s">
        <v>6100</v>
      </c>
    </row>
    <row r="94" spans="1:12">
      <c r="A94" t="s">
        <v>6103</v>
      </c>
      <c r="B94" s="9">
        <v>3057</v>
      </c>
      <c r="C94" s="9">
        <v>5.2614919999999996</v>
      </c>
      <c r="D94">
        <v>2</v>
      </c>
      <c r="E94">
        <v>2</v>
      </c>
      <c r="F94">
        <v>2</v>
      </c>
      <c r="G94" s="10">
        <v>1</v>
      </c>
      <c r="H94" t="s">
        <v>46</v>
      </c>
      <c r="I94" t="s">
        <v>1957</v>
      </c>
      <c r="J94" t="s">
        <v>6104</v>
      </c>
      <c r="K94" t="s">
        <v>6105</v>
      </c>
      <c r="L94" s="11" t="s">
        <v>6104</v>
      </c>
    </row>
    <row r="95" spans="1:12">
      <c r="A95" t="s">
        <v>6106</v>
      </c>
      <c r="B95" s="9">
        <v>3587</v>
      </c>
      <c r="C95" s="9">
        <v>4.0464330000000004</v>
      </c>
      <c r="D95">
        <v>5</v>
      </c>
      <c r="E95">
        <v>3</v>
      </c>
      <c r="F95">
        <v>4</v>
      </c>
      <c r="G95" s="10">
        <v>0.8</v>
      </c>
      <c r="H95" t="s">
        <v>46</v>
      </c>
      <c r="I95" t="s">
        <v>1957</v>
      </c>
      <c r="J95" t="s">
        <v>6107</v>
      </c>
      <c r="K95" t="s">
        <v>6108</v>
      </c>
      <c r="L95" s="11" t="s">
        <v>6109</v>
      </c>
    </row>
    <row r="96" spans="1:12">
      <c r="A96" t="s">
        <v>6110</v>
      </c>
      <c r="B96" s="9">
        <v>5084</v>
      </c>
      <c r="C96" s="9">
        <v>6.0994229999999998</v>
      </c>
      <c r="D96">
        <v>5</v>
      </c>
      <c r="E96">
        <v>4</v>
      </c>
      <c r="F96">
        <v>4</v>
      </c>
      <c r="G96" s="10">
        <v>0.8</v>
      </c>
      <c r="H96" t="s">
        <v>46</v>
      </c>
      <c r="I96" t="s">
        <v>1957</v>
      </c>
      <c r="J96" t="s">
        <v>6111</v>
      </c>
      <c r="K96" t="s">
        <v>6112</v>
      </c>
      <c r="L96" s="11" t="s">
        <v>6113</v>
      </c>
    </row>
    <row r="97" spans="1:12">
      <c r="A97" t="s">
        <v>6114</v>
      </c>
      <c r="B97" s="9">
        <v>4186</v>
      </c>
      <c r="C97" s="9">
        <v>6.9552170000000002</v>
      </c>
      <c r="D97">
        <v>3</v>
      </c>
      <c r="E97">
        <v>2</v>
      </c>
      <c r="F97">
        <v>1</v>
      </c>
      <c r="G97" s="10">
        <v>0.33333333333333331</v>
      </c>
      <c r="H97" t="s">
        <v>46</v>
      </c>
      <c r="I97" t="s">
        <v>1957</v>
      </c>
      <c r="J97" t="s">
        <v>6115</v>
      </c>
      <c r="K97" t="s">
        <v>6116</v>
      </c>
      <c r="L97" s="11" t="s">
        <v>6117</v>
      </c>
    </row>
    <row r="98" spans="1:12">
      <c r="A98" t="s">
        <v>6118</v>
      </c>
      <c r="B98" s="9">
        <v>3579</v>
      </c>
      <c r="C98" s="9">
        <v>3.9895010000000002</v>
      </c>
      <c r="D98">
        <v>3</v>
      </c>
      <c r="E98">
        <v>2</v>
      </c>
      <c r="F98">
        <v>1</v>
      </c>
      <c r="G98" s="10">
        <v>0.33333333333333331</v>
      </c>
      <c r="H98" t="s">
        <v>46</v>
      </c>
      <c r="I98" t="s">
        <v>1957</v>
      </c>
      <c r="J98" t="s">
        <v>6117</v>
      </c>
      <c r="K98" t="s">
        <v>6119</v>
      </c>
      <c r="L98" s="11" t="s">
        <v>6117</v>
      </c>
    </row>
    <row r="99" spans="1:12">
      <c r="A99" t="s">
        <v>6120</v>
      </c>
      <c r="B99" s="9">
        <v>4869</v>
      </c>
      <c r="C99" s="9">
        <v>5.0270049999999999</v>
      </c>
      <c r="D99">
        <v>4</v>
      </c>
      <c r="E99">
        <v>4</v>
      </c>
      <c r="F99">
        <v>4</v>
      </c>
      <c r="G99" s="10">
        <v>1</v>
      </c>
      <c r="H99" t="s">
        <v>46</v>
      </c>
      <c r="I99" t="s">
        <v>1957</v>
      </c>
      <c r="J99" t="s">
        <v>6121</v>
      </c>
      <c r="K99" t="s">
        <v>6122</v>
      </c>
      <c r="L99" s="11" t="s">
        <v>6123</v>
      </c>
    </row>
    <row r="100" spans="1:12">
      <c r="A100" t="s">
        <v>6124</v>
      </c>
      <c r="B100" s="9">
        <v>3768</v>
      </c>
      <c r="C100" s="9">
        <v>5.5340689999999997</v>
      </c>
      <c r="D100">
        <v>4</v>
      </c>
      <c r="E100">
        <v>4</v>
      </c>
      <c r="F100">
        <v>4</v>
      </c>
      <c r="G100" s="10">
        <v>1</v>
      </c>
      <c r="H100" t="s">
        <v>46</v>
      </c>
      <c r="I100" t="s">
        <v>1957</v>
      </c>
      <c r="J100" t="s">
        <v>6121</v>
      </c>
      <c r="K100" t="s">
        <v>6122</v>
      </c>
      <c r="L100" s="11" t="s">
        <v>6125</v>
      </c>
    </row>
    <row r="101" spans="1:12">
      <c r="A101" t="s">
        <v>6126</v>
      </c>
      <c r="B101" s="9">
        <v>3418</v>
      </c>
      <c r="C101" s="9">
        <v>4.6952129999999999</v>
      </c>
      <c r="D101">
        <v>1</v>
      </c>
      <c r="E101">
        <v>1</v>
      </c>
      <c r="F101">
        <v>1</v>
      </c>
      <c r="G101" s="10">
        <v>1</v>
      </c>
      <c r="H101" t="s">
        <v>46</v>
      </c>
      <c r="I101" t="s">
        <v>1957</v>
      </c>
      <c r="J101" t="s">
        <v>6127</v>
      </c>
      <c r="K101" t="s">
        <v>6128</v>
      </c>
      <c r="L101" s="11" t="s">
        <v>6127</v>
      </c>
    </row>
    <row r="102" spans="1:12">
      <c r="A102" t="s">
        <v>6129</v>
      </c>
      <c r="B102" s="9">
        <v>2355</v>
      </c>
      <c r="C102" s="9">
        <v>4.0121739999999999</v>
      </c>
      <c r="D102">
        <v>1</v>
      </c>
      <c r="E102">
        <v>1</v>
      </c>
      <c r="F102">
        <v>1</v>
      </c>
      <c r="G102" s="10">
        <v>1</v>
      </c>
      <c r="H102" t="s">
        <v>46</v>
      </c>
      <c r="I102" t="s">
        <v>1957</v>
      </c>
      <c r="J102" t="s">
        <v>6127</v>
      </c>
      <c r="K102" t="s">
        <v>6128</v>
      </c>
      <c r="L102" s="11" t="s">
        <v>6127</v>
      </c>
    </row>
    <row r="103" spans="1:12">
      <c r="A103" t="s">
        <v>6130</v>
      </c>
      <c r="B103" s="9">
        <v>2240</v>
      </c>
      <c r="C103" s="9">
        <v>4.160641</v>
      </c>
      <c r="D103">
        <v>2</v>
      </c>
      <c r="E103">
        <v>2</v>
      </c>
      <c r="F103">
        <v>1</v>
      </c>
      <c r="G103" s="10">
        <v>0.5</v>
      </c>
      <c r="H103" t="s">
        <v>46</v>
      </c>
      <c r="I103" t="s">
        <v>1957</v>
      </c>
      <c r="J103" t="s">
        <v>6127</v>
      </c>
      <c r="K103" t="s">
        <v>6128</v>
      </c>
      <c r="L103" s="11" t="s">
        <v>6127</v>
      </c>
    </row>
    <row r="104" spans="1:12">
      <c r="A104" t="s">
        <v>6131</v>
      </c>
      <c r="B104" s="9">
        <v>2014</v>
      </c>
      <c r="C104" s="9">
        <v>3.2322609999999998</v>
      </c>
      <c r="D104">
        <v>2</v>
      </c>
      <c r="E104">
        <v>2</v>
      </c>
      <c r="F104">
        <v>2</v>
      </c>
      <c r="G104" s="10">
        <v>1</v>
      </c>
      <c r="H104" t="s">
        <v>46</v>
      </c>
      <c r="I104" t="s">
        <v>1957</v>
      </c>
      <c r="J104" t="s">
        <v>6132</v>
      </c>
      <c r="K104" t="s">
        <v>6133</v>
      </c>
      <c r="L104" s="11" t="s">
        <v>6132</v>
      </c>
    </row>
    <row r="105" spans="1:12">
      <c r="A105" t="s">
        <v>6134</v>
      </c>
      <c r="B105" s="9">
        <v>2789</v>
      </c>
      <c r="C105" s="9">
        <v>8.8215070000000004</v>
      </c>
      <c r="D105">
        <v>2</v>
      </c>
      <c r="E105">
        <v>2</v>
      </c>
      <c r="F105">
        <v>2</v>
      </c>
      <c r="G105" s="10">
        <v>1</v>
      </c>
      <c r="H105" t="s">
        <v>46</v>
      </c>
      <c r="I105" t="s">
        <v>1957</v>
      </c>
      <c r="J105" t="s">
        <v>6135</v>
      </c>
      <c r="K105" t="s">
        <v>6136</v>
      </c>
      <c r="L105" s="11" t="s">
        <v>6135</v>
      </c>
    </row>
    <row r="106" spans="1:12">
      <c r="A106" t="s">
        <v>6137</v>
      </c>
      <c r="B106" s="9">
        <v>2050</v>
      </c>
      <c r="C106" s="9">
        <v>4.4501249999999999</v>
      </c>
      <c r="D106">
        <v>2</v>
      </c>
      <c r="E106">
        <v>2</v>
      </c>
      <c r="F106">
        <v>2</v>
      </c>
      <c r="G106" s="10">
        <v>1</v>
      </c>
      <c r="H106" t="s">
        <v>46</v>
      </c>
      <c r="I106" t="s">
        <v>1957</v>
      </c>
      <c r="J106" t="s">
        <v>6138</v>
      </c>
      <c r="K106" t="s">
        <v>6139</v>
      </c>
      <c r="L106" s="11" t="s">
        <v>6138</v>
      </c>
    </row>
    <row r="107" spans="1:12">
      <c r="A107" t="s">
        <v>6140</v>
      </c>
      <c r="B107" s="9">
        <v>3656</v>
      </c>
      <c r="C107" s="9">
        <v>16.732852000000001</v>
      </c>
      <c r="D107">
        <v>3</v>
      </c>
      <c r="E107">
        <v>3</v>
      </c>
      <c r="F107">
        <v>3</v>
      </c>
      <c r="G107" s="10">
        <v>1</v>
      </c>
      <c r="H107" t="s">
        <v>46</v>
      </c>
      <c r="I107" t="s">
        <v>1957</v>
      </c>
      <c r="J107" t="s">
        <v>6141</v>
      </c>
      <c r="K107" t="s">
        <v>6142</v>
      </c>
      <c r="L107" s="11" t="s">
        <v>6143</v>
      </c>
    </row>
    <row r="108" spans="1:12">
      <c r="A108" t="s">
        <v>6144</v>
      </c>
      <c r="B108" s="9">
        <v>2819</v>
      </c>
      <c r="C108" s="9">
        <v>4.0766999999999998</v>
      </c>
      <c r="D108">
        <v>3</v>
      </c>
      <c r="E108">
        <v>3</v>
      </c>
      <c r="F108">
        <v>3</v>
      </c>
      <c r="G108" s="10">
        <v>1</v>
      </c>
      <c r="H108" t="s">
        <v>46</v>
      </c>
      <c r="I108" t="s">
        <v>1957</v>
      </c>
      <c r="J108" t="s">
        <v>6145</v>
      </c>
      <c r="K108" t="s">
        <v>6146</v>
      </c>
      <c r="L108" s="11" t="s">
        <v>6147</v>
      </c>
    </row>
    <row r="109" spans="1:12">
      <c r="A109" t="s">
        <v>6148</v>
      </c>
      <c r="B109" s="9">
        <v>6063</v>
      </c>
      <c r="C109" s="9">
        <v>3.9930089999999998</v>
      </c>
      <c r="D109">
        <v>4</v>
      </c>
      <c r="E109">
        <v>4</v>
      </c>
      <c r="F109">
        <v>4</v>
      </c>
      <c r="G109" s="10">
        <v>1</v>
      </c>
      <c r="H109" t="s">
        <v>46</v>
      </c>
      <c r="I109" t="s">
        <v>1957</v>
      </c>
      <c r="J109" t="s">
        <v>6149</v>
      </c>
      <c r="K109" t="s">
        <v>6150</v>
      </c>
      <c r="L109" s="11" t="s">
        <v>6151</v>
      </c>
    </row>
    <row r="110" spans="1:12">
      <c r="A110" t="s">
        <v>6152</v>
      </c>
      <c r="B110" s="9">
        <v>3015</v>
      </c>
      <c r="C110" s="9">
        <v>6.7165540000000004</v>
      </c>
      <c r="D110">
        <v>3</v>
      </c>
      <c r="E110">
        <v>3</v>
      </c>
      <c r="F110">
        <v>2</v>
      </c>
      <c r="G110" s="10">
        <v>0.66666666666666663</v>
      </c>
      <c r="H110" t="s">
        <v>46</v>
      </c>
      <c r="I110" t="s">
        <v>1957</v>
      </c>
      <c r="J110" t="s">
        <v>6153</v>
      </c>
      <c r="K110" t="s">
        <v>6154</v>
      </c>
      <c r="L110" s="11" t="s">
        <v>6153</v>
      </c>
    </row>
    <row r="111" spans="1:12">
      <c r="A111" t="s">
        <v>6155</v>
      </c>
      <c r="B111" s="9">
        <v>4728</v>
      </c>
      <c r="C111" s="9">
        <v>211.05392699999999</v>
      </c>
      <c r="D111">
        <v>1</v>
      </c>
      <c r="E111">
        <v>1</v>
      </c>
      <c r="F111">
        <v>1</v>
      </c>
      <c r="G111" s="10">
        <v>1</v>
      </c>
      <c r="H111" t="s">
        <v>46</v>
      </c>
      <c r="I111" t="s">
        <v>1957</v>
      </c>
      <c r="J111" t="s">
        <v>6156</v>
      </c>
      <c r="K111" t="s">
        <v>6157</v>
      </c>
      <c r="L111" s="11" t="s">
        <v>6156</v>
      </c>
    </row>
    <row r="112" spans="1:12">
      <c r="A112" t="s">
        <v>6158</v>
      </c>
      <c r="B112" s="9">
        <v>2036</v>
      </c>
      <c r="C112" s="9">
        <v>7.0368500000000003</v>
      </c>
      <c r="D112">
        <v>2</v>
      </c>
      <c r="E112">
        <v>2</v>
      </c>
      <c r="F112">
        <v>2</v>
      </c>
      <c r="G112" s="10">
        <v>1</v>
      </c>
      <c r="H112" t="s">
        <v>46</v>
      </c>
      <c r="I112" t="s">
        <v>1957</v>
      </c>
      <c r="J112" t="s">
        <v>6159</v>
      </c>
      <c r="K112" t="s">
        <v>6160</v>
      </c>
      <c r="L112" s="11" t="s">
        <v>6159</v>
      </c>
    </row>
    <row r="113" spans="1:12">
      <c r="A113" t="s">
        <v>6161</v>
      </c>
      <c r="B113" s="9">
        <v>2224</v>
      </c>
      <c r="C113" s="9">
        <v>4.2867680000000004</v>
      </c>
      <c r="D113">
        <v>2</v>
      </c>
      <c r="E113">
        <v>1</v>
      </c>
      <c r="F113">
        <v>2</v>
      </c>
      <c r="G113" s="10">
        <v>1</v>
      </c>
      <c r="H113" t="s">
        <v>46</v>
      </c>
      <c r="I113" t="s">
        <v>1957</v>
      </c>
      <c r="J113" t="s">
        <v>6162</v>
      </c>
      <c r="K113" t="s">
        <v>6163</v>
      </c>
      <c r="L113" s="11" t="s">
        <v>6162</v>
      </c>
    </row>
    <row r="114" spans="1:12">
      <c r="A114" t="s">
        <v>6164</v>
      </c>
      <c r="B114" s="9">
        <v>2274</v>
      </c>
      <c r="C114" s="9">
        <v>5.7476339999999997</v>
      </c>
      <c r="D114">
        <v>4</v>
      </c>
      <c r="E114">
        <v>4</v>
      </c>
      <c r="F114">
        <v>3</v>
      </c>
      <c r="G114" s="10">
        <v>0.75</v>
      </c>
      <c r="H114" t="s">
        <v>46</v>
      </c>
      <c r="I114" t="s">
        <v>1957</v>
      </c>
      <c r="J114" t="s">
        <v>6165</v>
      </c>
      <c r="K114" t="s">
        <v>6166</v>
      </c>
      <c r="L114" s="11" t="s">
        <v>6167</v>
      </c>
    </row>
    <row r="115" spans="1:12">
      <c r="A115" t="s">
        <v>6168</v>
      </c>
      <c r="B115" s="9">
        <v>3509</v>
      </c>
      <c r="C115" s="9">
        <v>121.95802</v>
      </c>
      <c r="D115">
        <v>4</v>
      </c>
      <c r="E115">
        <v>3</v>
      </c>
      <c r="F115">
        <v>3</v>
      </c>
      <c r="G115" s="10">
        <v>0.75</v>
      </c>
      <c r="H115" t="s">
        <v>46</v>
      </c>
      <c r="I115" t="s">
        <v>1957</v>
      </c>
      <c r="J115" t="s">
        <v>6169</v>
      </c>
      <c r="K115" t="s">
        <v>6170</v>
      </c>
      <c r="L115" s="11" t="s">
        <v>6171</v>
      </c>
    </row>
    <row r="116" spans="1:12">
      <c r="A116" t="s">
        <v>6172</v>
      </c>
      <c r="B116" s="9">
        <v>2280</v>
      </c>
      <c r="C116" s="9">
        <v>4.4031459999999996</v>
      </c>
      <c r="D116">
        <v>1</v>
      </c>
      <c r="E116">
        <v>1</v>
      </c>
      <c r="F116">
        <v>1</v>
      </c>
      <c r="G116" s="10">
        <v>1</v>
      </c>
      <c r="H116" t="s">
        <v>46</v>
      </c>
      <c r="I116" t="s">
        <v>1957</v>
      </c>
      <c r="J116" t="s">
        <v>6173</v>
      </c>
      <c r="K116" t="s">
        <v>6174</v>
      </c>
      <c r="L116" s="11" t="s">
        <v>6173</v>
      </c>
    </row>
    <row r="117" spans="1:12">
      <c r="A117" t="s">
        <v>6175</v>
      </c>
      <c r="B117" s="9">
        <v>2136</v>
      </c>
      <c r="C117" s="9">
        <v>5.8419030000000003</v>
      </c>
      <c r="D117">
        <v>1</v>
      </c>
      <c r="E117">
        <v>1</v>
      </c>
      <c r="F117">
        <v>1</v>
      </c>
      <c r="G117" s="10">
        <v>1</v>
      </c>
      <c r="H117" t="s">
        <v>46</v>
      </c>
      <c r="I117" t="s">
        <v>1957</v>
      </c>
      <c r="J117" t="s">
        <v>6176</v>
      </c>
      <c r="K117" t="s">
        <v>6177</v>
      </c>
      <c r="L117" s="11" t="s">
        <v>6176</v>
      </c>
    </row>
    <row r="118" spans="1:12">
      <c r="A118" t="s">
        <v>6178</v>
      </c>
      <c r="B118" s="9">
        <v>2032</v>
      </c>
      <c r="C118" s="9">
        <v>7.3131009999999996</v>
      </c>
      <c r="D118">
        <v>1</v>
      </c>
      <c r="E118">
        <v>1</v>
      </c>
      <c r="F118">
        <v>1</v>
      </c>
      <c r="G118" s="10">
        <v>1</v>
      </c>
      <c r="H118" t="s">
        <v>46</v>
      </c>
      <c r="I118" t="s">
        <v>1957</v>
      </c>
      <c r="J118" t="s">
        <v>6179</v>
      </c>
      <c r="K118" t="s">
        <v>6180</v>
      </c>
      <c r="L118" s="11" t="s">
        <v>6179</v>
      </c>
    </row>
    <row r="119" spans="1:12">
      <c r="A119" t="s">
        <v>6181</v>
      </c>
      <c r="B119" s="9">
        <v>8822</v>
      </c>
      <c r="C119" s="9">
        <v>7.1568379999999996</v>
      </c>
      <c r="D119">
        <v>7</v>
      </c>
      <c r="E119">
        <v>5</v>
      </c>
      <c r="F119">
        <v>4</v>
      </c>
      <c r="G119" s="10">
        <v>0.5714285714285714</v>
      </c>
      <c r="H119" t="s">
        <v>46</v>
      </c>
      <c r="I119" t="s">
        <v>1957</v>
      </c>
      <c r="J119" t="s">
        <v>6182</v>
      </c>
      <c r="K119" t="s">
        <v>6183</v>
      </c>
      <c r="L119" s="11" t="s">
        <v>6184</v>
      </c>
    </row>
    <row r="120" spans="1:12">
      <c r="A120" t="s">
        <v>6185</v>
      </c>
      <c r="B120" s="9">
        <v>2714</v>
      </c>
      <c r="C120" s="9">
        <v>6.6250470000000004</v>
      </c>
      <c r="D120">
        <v>2</v>
      </c>
      <c r="E120">
        <v>1</v>
      </c>
      <c r="F120">
        <v>2</v>
      </c>
      <c r="G120" s="10">
        <v>1</v>
      </c>
      <c r="H120" t="s">
        <v>46</v>
      </c>
      <c r="I120" t="s">
        <v>1957</v>
      </c>
      <c r="J120" t="s">
        <v>6186</v>
      </c>
      <c r="K120" t="s">
        <v>6187</v>
      </c>
      <c r="L120" s="11" t="s">
        <v>6186</v>
      </c>
    </row>
    <row r="121" spans="1:12">
      <c r="A121" t="s">
        <v>6188</v>
      </c>
      <c r="B121" s="9">
        <v>2101</v>
      </c>
      <c r="C121" s="9">
        <v>7.2130989999999997</v>
      </c>
      <c r="D121">
        <v>1</v>
      </c>
      <c r="E121">
        <v>1</v>
      </c>
      <c r="F121">
        <v>1</v>
      </c>
      <c r="G121" s="10">
        <v>1</v>
      </c>
      <c r="H121" t="s">
        <v>46</v>
      </c>
      <c r="I121" t="s">
        <v>1957</v>
      </c>
      <c r="J121" t="s">
        <v>6189</v>
      </c>
      <c r="K121" t="s">
        <v>6190</v>
      </c>
      <c r="L121" s="11" t="s">
        <v>6189</v>
      </c>
    </row>
    <row r="122" spans="1:12">
      <c r="A122" t="s">
        <v>6191</v>
      </c>
      <c r="B122" s="9">
        <v>2188</v>
      </c>
      <c r="C122" s="9">
        <v>5.7571500000000002</v>
      </c>
      <c r="D122">
        <v>2</v>
      </c>
      <c r="E122">
        <v>1</v>
      </c>
      <c r="F122">
        <v>1</v>
      </c>
      <c r="G122" s="10">
        <v>0.5</v>
      </c>
      <c r="H122" t="s">
        <v>46</v>
      </c>
      <c r="I122" t="s">
        <v>1957</v>
      </c>
      <c r="J122" t="s">
        <v>6192</v>
      </c>
      <c r="K122" t="s">
        <v>6193</v>
      </c>
      <c r="L122" s="11" t="s">
        <v>6192</v>
      </c>
    </row>
    <row r="123" spans="1:12">
      <c r="A123" t="s">
        <v>6194</v>
      </c>
      <c r="B123" s="9">
        <v>3206</v>
      </c>
      <c r="C123" s="9">
        <v>5.4928590000000002</v>
      </c>
      <c r="D123">
        <v>4</v>
      </c>
      <c r="E123">
        <v>4</v>
      </c>
      <c r="F123">
        <v>4</v>
      </c>
      <c r="G123" s="10">
        <v>1</v>
      </c>
      <c r="H123" t="s">
        <v>46</v>
      </c>
      <c r="I123" t="s">
        <v>1957</v>
      </c>
      <c r="J123" t="s">
        <v>6195</v>
      </c>
      <c r="K123" t="s">
        <v>6196</v>
      </c>
      <c r="L123" s="11" t="s">
        <v>6197</v>
      </c>
    </row>
    <row r="124" spans="1:12">
      <c r="A124" t="s">
        <v>6198</v>
      </c>
      <c r="B124" s="9">
        <v>2643</v>
      </c>
      <c r="C124" s="9">
        <v>6.101623</v>
      </c>
      <c r="D124">
        <v>2</v>
      </c>
      <c r="E124">
        <v>2</v>
      </c>
      <c r="F124">
        <v>2</v>
      </c>
      <c r="G124" s="10">
        <v>1</v>
      </c>
      <c r="H124" t="s">
        <v>46</v>
      </c>
      <c r="I124" t="s">
        <v>1957</v>
      </c>
      <c r="J124" t="s">
        <v>6199</v>
      </c>
      <c r="K124" t="s">
        <v>6200</v>
      </c>
      <c r="L124" s="11" t="s">
        <v>6201</v>
      </c>
    </row>
    <row r="125" spans="1:12">
      <c r="A125" t="s">
        <v>6202</v>
      </c>
      <c r="B125" s="9">
        <v>4492</v>
      </c>
      <c r="C125" s="9">
        <v>3.960108</v>
      </c>
      <c r="D125">
        <v>5</v>
      </c>
      <c r="E125">
        <v>4</v>
      </c>
      <c r="F125">
        <v>5</v>
      </c>
      <c r="G125" s="10">
        <v>1</v>
      </c>
      <c r="H125" t="s">
        <v>46</v>
      </c>
      <c r="I125" t="s">
        <v>1957</v>
      </c>
      <c r="J125" t="s">
        <v>6203</v>
      </c>
      <c r="K125" t="s">
        <v>6204</v>
      </c>
      <c r="L125" s="11" t="s">
        <v>6205</v>
      </c>
    </row>
    <row r="126" spans="1:12">
      <c r="A126" t="s">
        <v>6206</v>
      </c>
      <c r="B126" s="9">
        <v>2168</v>
      </c>
      <c r="C126" s="9">
        <v>4.4249879999999999</v>
      </c>
      <c r="D126">
        <v>2</v>
      </c>
      <c r="E126">
        <v>2</v>
      </c>
      <c r="F126">
        <v>2</v>
      </c>
      <c r="G126" s="10">
        <v>1</v>
      </c>
      <c r="H126" t="s">
        <v>46</v>
      </c>
      <c r="I126" t="s">
        <v>1957</v>
      </c>
      <c r="J126" t="s">
        <v>6207</v>
      </c>
      <c r="K126" t="s">
        <v>6208</v>
      </c>
      <c r="L126" s="11" t="s">
        <v>6207</v>
      </c>
    </row>
    <row r="127" spans="1:12">
      <c r="A127" t="s">
        <v>6209</v>
      </c>
      <c r="B127" s="9">
        <v>19348</v>
      </c>
      <c r="C127" s="9">
        <v>9.3470689999999994</v>
      </c>
      <c r="D127">
        <v>11</v>
      </c>
      <c r="E127">
        <v>6</v>
      </c>
      <c r="F127">
        <v>5</v>
      </c>
      <c r="G127" s="10">
        <v>0.45454545454545453</v>
      </c>
      <c r="H127" t="s">
        <v>46</v>
      </c>
      <c r="I127" t="s">
        <v>1957</v>
      </c>
      <c r="J127" t="s">
        <v>6210</v>
      </c>
      <c r="K127" t="s">
        <v>6211</v>
      </c>
      <c r="L127" s="11" t="s">
        <v>6212</v>
      </c>
    </row>
    <row r="128" spans="1:12">
      <c r="A128" t="s">
        <v>6213</v>
      </c>
      <c r="B128" s="9">
        <v>2605</v>
      </c>
      <c r="C128" s="9">
        <v>5.7329410000000003</v>
      </c>
      <c r="D128">
        <v>2</v>
      </c>
      <c r="E128">
        <v>2</v>
      </c>
      <c r="F128">
        <v>1</v>
      </c>
      <c r="G128" s="10">
        <v>0.5</v>
      </c>
      <c r="H128" t="s">
        <v>46</v>
      </c>
      <c r="I128" t="s">
        <v>1957</v>
      </c>
      <c r="J128" t="s">
        <v>6214</v>
      </c>
      <c r="K128" t="s">
        <v>6215</v>
      </c>
      <c r="L128" s="11" t="s">
        <v>6216</v>
      </c>
    </row>
    <row r="129" spans="1:12">
      <c r="A129" t="s">
        <v>6217</v>
      </c>
      <c r="B129" s="9">
        <v>2810</v>
      </c>
      <c r="C129" s="9">
        <v>29.516514999999998</v>
      </c>
      <c r="D129">
        <v>2</v>
      </c>
      <c r="E129">
        <v>2</v>
      </c>
      <c r="F129">
        <v>2</v>
      </c>
      <c r="G129" s="10">
        <v>1</v>
      </c>
      <c r="H129" t="s">
        <v>46</v>
      </c>
      <c r="I129" t="s">
        <v>1957</v>
      </c>
      <c r="J129" t="s">
        <v>6218</v>
      </c>
      <c r="K129" t="s">
        <v>6219</v>
      </c>
      <c r="L129" s="11" t="s">
        <v>6218</v>
      </c>
    </row>
    <row r="130" spans="1:12">
      <c r="A130" t="s">
        <v>6220</v>
      </c>
      <c r="B130" s="9">
        <v>3338</v>
      </c>
      <c r="C130" s="9">
        <v>18.826682999999999</v>
      </c>
      <c r="D130">
        <v>1</v>
      </c>
      <c r="E130">
        <v>1</v>
      </c>
      <c r="F130">
        <v>1</v>
      </c>
      <c r="G130" s="10">
        <v>1</v>
      </c>
      <c r="H130" t="s">
        <v>46</v>
      </c>
      <c r="I130" t="s">
        <v>1957</v>
      </c>
      <c r="J130" t="s">
        <v>6221</v>
      </c>
      <c r="K130" t="s">
        <v>6222</v>
      </c>
      <c r="L130" s="11" t="s">
        <v>6221</v>
      </c>
    </row>
    <row r="131" spans="1:12">
      <c r="A131" t="s">
        <v>6223</v>
      </c>
      <c r="B131" s="9">
        <v>2010</v>
      </c>
      <c r="C131" s="9">
        <v>37.236317</v>
      </c>
      <c r="D131">
        <v>2</v>
      </c>
      <c r="E131">
        <v>2</v>
      </c>
      <c r="F131">
        <v>1</v>
      </c>
      <c r="G131" s="10">
        <v>0.5</v>
      </c>
      <c r="H131" t="s">
        <v>46</v>
      </c>
      <c r="I131" t="s">
        <v>1957</v>
      </c>
      <c r="J131" t="s">
        <v>6224</v>
      </c>
      <c r="K131" t="s">
        <v>6225</v>
      </c>
      <c r="L131" s="11" t="s">
        <v>6224</v>
      </c>
    </row>
    <row r="132" spans="1:12">
      <c r="A132" t="s">
        <v>6226</v>
      </c>
      <c r="B132" s="9">
        <v>2357</v>
      </c>
      <c r="C132" s="9">
        <v>3.824935</v>
      </c>
      <c r="D132">
        <v>2</v>
      </c>
      <c r="E132">
        <v>2</v>
      </c>
      <c r="F132">
        <v>1</v>
      </c>
      <c r="G132" s="10">
        <v>0.5</v>
      </c>
      <c r="H132" t="s">
        <v>46</v>
      </c>
      <c r="I132" t="s">
        <v>1957</v>
      </c>
      <c r="J132" t="s">
        <v>6227</v>
      </c>
      <c r="K132" t="s">
        <v>6228</v>
      </c>
      <c r="L132" s="11" t="s">
        <v>6229</v>
      </c>
    </row>
    <row r="133" spans="1:12">
      <c r="A133" t="s">
        <v>6230</v>
      </c>
      <c r="B133" s="9">
        <v>2736</v>
      </c>
      <c r="C133" s="9">
        <v>11.111526</v>
      </c>
      <c r="D133">
        <v>2</v>
      </c>
      <c r="E133">
        <v>2</v>
      </c>
      <c r="F133">
        <v>2</v>
      </c>
      <c r="G133" s="10">
        <v>1</v>
      </c>
      <c r="H133" t="s">
        <v>46</v>
      </c>
      <c r="I133" t="s">
        <v>1957</v>
      </c>
      <c r="J133" t="s">
        <v>6231</v>
      </c>
      <c r="K133" t="s">
        <v>6232</v>
      </c>
      <c r="L133" s="11" t="s">
        <v>6231</v>
      </c>
    </row>
    <row r="134" spans="1:12">
      <c r="A134" t="s">
        <v>6233</v>
      </c>
      <c r="B134" s="9">
        <v>2317</v>
      </c>
      <c r="C134" s="9">
        <v>12.183024</v>
      </c>
      <c r="D134">
        <v>2</v>
      </c>
      <c r="E134">
        <v>2</v>
      </c>
      <c r="F134">
        <v>1</v>
      </c>
      <c r="G134" s="10">
        <v>0.5</v>
      </c>
      <c r="H134" t="s">
        <v>46</v>
      </c>
      <c r="I134" t="s">
        <v>1957</v>
      </c>
      <c r="J134" t="s">
        <v>6231</v>
      </c>
      <c r="K134" t="s">
        <v>6232</v>
      </c>
      <c r="L134" s="11" t="s">
        <v>6231</v>
      </c>
    </row>
    <row r="135" spans="1:12">
      <c r="A135" t="s">
        <v>6234</v>
      </c>
      <c r="B135" s="9">
        <v>6110</v>
      </c>
      <c r="C135" s="9">
        <v>6.7521060000000004</v>
      </c>
      <c r="D135">
        <v>6</v>
      </c>
      <c r="E135">
        <v>4</v>
      </c>
      <c r="F135">
        <v>4</v>
      </c>
      <c r="G135" s="10">
        <v>0.66666666666666663</v>
      </c>
      <c r="H135" t="s">
        <v>46</v>
      </c>
      <c r="I135" t="s">
        <v>1957</v>
      </c>
      <c r="J135" t="s">
        <v>6235</v>
      </c>
      <c r="K135" t="s">
        <v>6236</v>
      </c>
      <c r="L135" s="11" t="s">
        <v>6235</v>
      </c>
    </row>
    <row r="136" spans="1:12">
      <c r="A136" t="s">
        <v>6237</v>
      </c>
      <c r="B136" s="9">
        <v>2198</v>
      </c>
      <c r="C136" s="9">
        <v>4.1479229999999996</v>
      </c>
      <c r="D136">
        <v>2</v>
      </c>
      <c r="E136">
        <v>2</v>
      </c>
      <c r="F136">
        <v>2</v>
      </c>
      <c r="G136" s="10">
        <v>1</v>
      </c>
      <c r="H136" t="s">
        <v>46</v>
      </c>
      <c r="I136" t="s">
        <v>1957</v>
      </c>
      <c r="J136" t="s">
        <v>6238</v>
      </c>
      <c r="K136" t="s">
        <v>6239</v>
      </c>
      <c r="L136" s="11" t="s">
        <v>6240</v>
      </c>
    </row>
    <row r="137" spans="1:12">
      <c r="A137" t="s">
        <v>6241</v>
      </c>
      <c r="B137" s="9">
        <v>2134</v>
      </c>
      <c r="C137" s="9">
        <v>4.5377590000000003</v>
      </c>
      <c r="D137">
        <v>4</v>
      </c>
      <c r="E137">
        <v>4</v>
      </c>
      <c r="F137">
        <v>4</v>
      </c>
      <c r="G137" s="10">
        <v>1</v>
      </c>
      <c r="H137" t="s">
        <v>46</v>
      </c>
      <c r="I137" t="s">
        <v>1957</v>
      </c>
      <c r="J137" t="s">
        <v>6242</v>
      </c>
      <c r="K137" t="s">
        <v>6243</v>
      </c>
      <c r="L137" s="11" t="s">
        <v>6242</v>
      </c>
    </row>
    <row r="138" spans="1:12">
      <c r="A138" t="s">
        <v>6244</v>
      </c>
      <c r="B138" s="9">
        <v>23274</v>
      </c>
      <c r="C138" s="9">
        <v>154.73159899999999</v>
      </c>
      <c r="D138">
        <v>13</v>
      </c>
      <c r="E138">
        <v>7</v>
      </c>
      <c r="F138">
        <v>10</v>
      </c>
      <c r="G138" s="10">
        <v>0.76923076923076927</v>
      </c>
      <c r="H138" t="s">
        <v>46</v>
      </c>
      <c r="I138" t="s">
        <v>1957</v>
      </c>
      <c r="J138" t="s">
        <v>6245</v>
      </c>
      <c r="K138" t="s">
        <v>6246</v>
      </c>
      <c r="L138" s="11" t="s">
        <v>6247</v>
      </c>
    </row>
    <row r="139" spans="1:12">
      <c r="A139" t="s">
        <v>6248</v>
      </c>
      <c r="B139" s="9">
        <v>4387</v>
      </c>
      <c r="C139" s="9">
        <v>4.3171749999999998</v>
      </c>
      <c r="D139">
        <v>5</v>
      </c>
      <c r="E139">
        <v>4</v>
      </c>
      <c r="F139">
        <v>5</v>
      </c>
      <c r="G139" s="10">
        <v>1</v>
      </c>
      <c r="H139" t="s">
        <v>46</v>
      </c>
      <c r="I139" t="s">
        <v>1957</v>
      </c>
      <c r="J139" t="s">
        <v>6249</v>
      </c>
      <c r="K139" t="s">
        <v>6250</v>
      </c>
      <c r="L139" s="11" t="s">
        <v>6251</v>
      </c>
    </row>
    <row r="140" spans="1:12">
      <c r="A140" t="s">
        <v>6252</v>
      </c>
      <c r="B140" s="9">
        <v>5063</v>
      </c>
      <c r="C140" s="9">
        <v>5.3977639999999996</v>
      </c>
      <c r="D140">
        <v>6</v>
      </c>
      <c r="E140">
        <v>6</v>
      </c>
      <c r="F140">
        <v>6</v>
      </c>
      <c r="G140" s="10">
        <v>1</v>
      </c>
      <c r="H140" t="s">
        <v>46</v>
      </c>
      <c r="I140" t="s">
        <v>1957</v>
      </c>
      <c r="J140" t="s">
        <v>6253</v>
      </c>
      <c r="K140" t="s">
        <v>6254</v>
      </c>
      <c r="L140" s="11" t="s">
        <v>6255</v>
      </c>
    </row>
    <row r="141" spans="1:12">
      <c r="A141" t="s">
        <v>6256</v>
      </c>
      <c r="B141" s="9">
        <v>4101</v>
      </c>
      <c r="C141" s="9">
        <v>4.2684129999999998</v>
      </c>
      <c r="D141">
        <v>4</v>
      </c>
      <c r="E141">
        <v>4</v>
      </c>
      <c r="F141">
        <v>3</v>
      </c>
      <c r="G141" s="10">
        <v>0.75</v>
      </c>
      <c r="H141" t="s">
        <v>46</v>
      </c>
      <c r="I141" t="s">
        <v>1957</v>
      </c>
      <c r="J141" t="s">
        <v>6257</v>
      </c>
      <c r="K141" t="s">
        <v>6254</v>
      </c>
      <c r="L141" s="11" t="s">
        <v>6258</v>
      </c>
    </row>
    <row r="142" spans="1:12">
      <c r="A142" t="s">
        <v>6259</v>
      </c>
      <c r="B142" s="9">
        <v>7841</v>
      </c>
      <c r="C142" s="9">
        <v>4.2251479999999999</v>
      </c>
      <c r="D142">
        <v>10</v>
      </c>
      <c r="E142">
        <v>7</v>
      </c>
      <c r="F142">
        <v>9</v>
      </c>
      <c r="G142" s="10">
        <v>0.9</v>
      </c>
      <c r="H142" t="s">
        <v>46</v>
      </c>
      <c r="I142" t="s">
        <v>1957</v>
      </c>
      <c r="J142" t="s">
        <v>6260</v>
      </c>
      <c r="K142" t="s">
        <v>6261</v>
      </c>
      <c r="L142" s="11" t="s">
        <v>6262</v>
      </c>
    </row>
    <row r="143" spans="1:12">
      <c r="A143" t="s">
        <v>6263</v>
      </c>
      <c r="B143" s="9">
        <v>2481</v>
      </c>
      <c r="C143" s="9">
        <v>4.8380049999999999</v>
      </c>
      <c r="D143">
        <v>2</v>
      </c>
      <c r="E143">
        <v>2</v>
      </c>
      <c r="F143">
        <v>2</v>
      </c>
      <c r="G143" s="10">
        <v>1</v>
      </c>
      <c r="H143" t="s">
        <v>46</v>
      </c>
      <c r="I143" t="s">
        <v>1957</v>
      </c>
      <c r="J143" t="s">
        <v>6264</v>
      </c>
      <c r="K143" t="s">
        <v>6265</v>
      </c>
      <c r="L143" s="11" t="s">
        <v>6264</v>
      </c>
    </row>
    <row r="144" spans="1:12">
      <c r="A144" t="s">
        <v>6266</v>
      </c>
      <c r="B144" s="9">
        <v>2580</v>
      </c>
      <c r="C144" s="9">
        <v>6.5481189999999998</v>
      </c>
      <c r="D144">
        <v>1</v>
      </c>
      <c r="E144">
        <v>1</v>
      </c>
      <c r="F144">
        <v>1</v>
      </c>
      <c r="G144" s="10">
        <v>1</v>
      </c>
      <c r="H144" t="s">
        <v>46</v>
      </c>
      <c r="I144" t="s">
        <v>1957</v>
      </c>
      <c r="J144" t="s">
        <v>6267</v>
      </c>
      <c r="K144" t="s">
        <v>6268</v>
      </c>
      <c r="L144" s="11" t="s">
        <v>6267</v>
      </c>
    </row>
    <row r="145" spans="1:12">
      <c r="A145" t="s">
        <v>6269</v>
      </c>
      <c r="B145" s="9">
        <v>4416</v>
      </c>
      <c r="C145" s="9">
        <v>8.2068329999999996</v>
      </c>
      <c r="D145">
        <v>2</v>
      </c>
      <c r="E145">
        <v>2</v>
      </c>
      <c r="F145">
        <v>1</v>
      </c>
      <c r="G145" s="10">
        <v>0.5</v>
      </c>
      <c r="H145" t="s">
        <v>46</v>
      </c>
      <c r="I145" t="s">
        <v>1957</v>
      </c>
      <c r="J145" t="s">
        <v>6267</v>
      </c>
      <c r="K145" t="s">
        <v>6268</v>
      </c>
      <c r="L145" s="11" t="s">
        <v>6267</v>
      </c>
    </row>
    <row r="146" spans="1:12">
      <c r="A146" t="s">
        <v>6270</v>
      </c>
      <c r="B146" s="9">
        <v>3017</v>
      </c>
      <c r="C146" s="9">
        <v>5.4756919999999996</v>
      </c>
      <c r="D146">
        <v>3</v>
      </c>
      <c r="E146">
        <v>3</v>
      </c>
      <c r="F146">
        <v>2</v>
      </c>
      <c r="G146" s="10">
        <v>0.66666666666666663</v>
      </c>
      <c r="H146" t="s">
        <v>46</v>
      </c>
      <c r="I146" t="s">
        <v>1957</v>
      </c>
      <c r="J146" t="s">
        <v>6271</v>
      </c>
      <c r="K146" t="s">
        <v>6272</v>
      </c>
      <c r="L146" s="11" t="s">
        <v>6273</v>
      </c>
    </row>
    <row r="147" spans="1:12">
      <c r="A147" t="s">
        <v>6274</v>
      </c>
      <c r="B147" s="9">
        <v>2895</v>
      </c>
      <c r="C147" s="9">
        <v>5.1140850000000002</v>
      </c>
      <c r="D147">
        <v>1</v>
      </c>
      <c r="E147">
        <v>1</v>
      </c>
      <c r="F147">
        <v>1</v>
      </c>
      <c r="G147" s="10">
        <v>1</v>
      </c>
      <c r="H147" t="s">
        <v>46</v>
      </c>
      <c r="I147" t="s">
        <v>1957</v>
      </c>
      <c r="J147" t="s">
        <v>6275</v>
      </c>
      <c r="K147" t="s">
        <v>6276</v>
      </c>
      <c r="L147" s="11" t="s">
        <v>6275</v>
      </c>
    </row>
    <row r="148" spans="1:12">
      <c r="A148" t="s">
        <v>6277</v>
      </c>
      <c r="B148" s="9">
        <v>2794</v>
      </c>
      <c r="C148" s="9">
        <v>2.780942</v>
      </c>
      <c r="D148">
        <v>3</v>
      </c>
      <c r="E148">
        <v>3</v>
      </c>
      <c r="F148">
        <v>3</v>
      </c>
      <c r="G148" s="10">
        <v>1</v>
      </c>
      <c r="H148" t="s">
        <v>46</v>
      </c>
      <c r="I148" t="s">
        <v>1957</v>
      </c>
      <c r="J148" t="s">
        <v>6278</v>
      </c>
      <c r="K148" t="s">
        <v>6276</v>
      </c>
      <c r="L148" s="11" t="s">
        <v>6278</v>
      </c>
    </row>
    <row r="149" spans="1:12">
      <c r="A149" t="s">
        <v>6279</v>
      </c>
      <c r="B149" s="9">
        <v>4224</v>
      </c>
      <c r="C149" s="9">
        <v>4.190213</v>
      </c>
      <c r="D149">
        <v>3</v>
      </c>
      <c r="E149">
        <v>2</v>
      </c>
      <c r="F149">
        <v>2</v>
      </c>
      <c r="G149" s="10">
        <v>0.66666666666666663</v>
      </c>
      <c r="H149" t="s">
        <v>46</v>
      </c>
      <c r="I149" t="s">
        <v>1957</v>
      </c>
      <c r="J149" t="s">
        <v>6275</v>
      </c>
      <c r="K149" t="s">
        <v>6276</v>
      </c>
      <c r="L149" s="11" t="s">
        <v>6275</v>
      </c>
    </row>
    <row r="150" spans="1:12">
      <c r="A150" t="s">
        <v>6280</v>
      </c>
      <c r="B150" s="9">
        <v>4009</v>
      </c>
      <c r="C150" s="9">
        <v>3.0227620000000002</v>
      </c>
      <c r="D150">
        <v>6</v>
      </c>
      <c r="E150">
        <v>6</v>
      </c>
      <c r="F150">
        <v>6</v>
      </c>
      <c r="G150" s="10">
        <v>1</v>
      </c>
      <c r="H150" t="s">
        <v>46</v>
      </c>
      <c r="I150" t="s">
        <v>1957</v>
      </c>
      <c r="J150" t="s">
        <v>6281</v>
      </c>
      <c r="K150" t="s">
        <v>6282</v>
      </c>
      <c r="L150" s="11" t="s">
        <v>6281</v>
      </c>
    </row>
    <row r="151" spans="1:12">
      <c r="A151" t="s">
        <v>6283</v>
      </c>
      <c r="B151" s="9">
        <v>2149</v>
      </c>
      <c r="C151" s="9">
        <v>3.065903</v>
      </c>
      <c r="D151">
        <v>2</v>
      </c>
      <c r="E151">
        <v>2</v>
      </c>
      <c r="F151">
        <v>2</v>
      </c>
      <c r="G151" s="10">
        <v>1</v>
      </c>
      <c r="H151" t="s">
        <v>46</v>
      </c>
      <c r="I151" t="s">
        <v>1957</v>
      </c>
      <c r="J151" t="s">
        <v>6284</v>
      </c>
      <c r="K151" t="s">
        <v>6285</v>
      </c>
      <c r="L151" s="11" t="s">
        <v>6286</v>
      </c>
    </row>
    <row r="152" spans="1:12">
      <c r="A152" t="s">
        <v>6287</v>
      </c>
      <c r="B152" s="9">
        <v>22629</v>
      </c>
      <c r="C152" s="9">
        <v>4.8609910000000003</v>
      </c>
      <c r="D152">
        <v>16</v>
      </c>
      <c r="E152">
        <v>15</v>
      </c>
      <c r="F152">
        <v>13</v>
      </c>
      <c r="G152" s="10">
        <v>0.8125</v>
      </c>
      <c r="H152" t="s">
        <v>46</v>
      </c>
      <c r="I152" t="s">
        <v>1957</v>
      </c>
      <c r="J152" t="s">
        <v>6288</v>
      </c>
      <c r="K152" t="s">
        <v>6289</v>
      </c>
      <c r="L152" s="11" t="s">
        <v>6290</v>
      </c>
    </row>
    <row r="153" spans="1:12">
      <c r="A153" t="s">
        <v>6291</v>
      </c>
      <c r="B153" s="9">
        <v>3497</v>
      </c>
      <c r="C153" s="9">
        <v>5.2582800000000001</v>
      </c>
      <c r="D153">
        <v>3</v>
      </c>
      <c r="E153">
        <v>3</v>
      </c>
      <c r="F153">
        <v>3</v>
      </c>
      <c r="G153" s="10">
        <v>1</v>
      </c>
      <c r="H153" t="s">
        <v>46</v>
      </c>
      <c r="I153" t="s">
        <v>1957</v>
      </c>
      <c r="J153" t="s">
        <v>6292</v>
      </c>
      <c r="K153" t="s">
        <v>6293</v>
      </c>
      <c r="L153" s="11" t="s">
        <v>6294</v>
      </c>
    </row>
    <row r="154" spans="1:12">
      <c r="A154" t="s">
        <v>6295</v>
      </c>
      <c r="B154" s="9">
        <v>3024</v>
      </c>
      <c r="C154" s="9">
        <v>5.7015830000000003</v>
      </c>
      <c r="D154">
        <v>1</v>
      </c>
      <c r="E154">
        <v>1</v>
      </c>
      <c r="F154">
        <v>1</v>
      </c>
      <c r="G154" s="10">
        <v>1</v>
      </c>
      <c r="H154" t="s">
        <v>46</v>
      </c>
      <c r="I154" t="s">
        <v>1957</v>
      </c>
      <c r="J154" t="s">
        <v>6296</v>
      </c>
      <c r="K154" t="s">
        <v>6297</v>
      </c>
      <c r="L154" s="11" t="s">
        <v>6296</v>
      </c>
    </row>
    <row r="155" spans="1:12">
      <c r="A155" t="s">
        <v>6298</v>
      </c>
      <c r="B155" s="9">
        <v>2726</v>
      </c>
      <c r="C155" s="9">
        <v>4.8622240000000003</v>
      </c>
      <c r="D155">
        <v>3</v>
      </c>
      <c r="E155">
        <v>3</v>
      </c>
      <c r="F155">
        <v>3</v>
      </c>
      <c r="G155" s="10">
        <v>1</v>
      </c>
      <c r="H155" t="s">
        <v>46</v>
      </c>
      <c r="I155" t="s">
        <v>1957</v>
      </c>
      <c r="J155" t="s">
        <v>6299</v>
      </c>
      <c r="K155" t="s">
        <v>6297</v>
      </c>
      <c r="L155" s="11" t="s">
        <v>6300</v>
      </c>
    </row>
    <row r="156" spans="1:12">
      <c r="A156" t="s">
        <v>6301</v>
      </c>
      <c r="B156" s="9">
        <v>2015</v>
      </c>
      <c r="C156" s="9">
        <v>3.7959179999999999</v>
      </c>
      <c r="D156">
        <v>2</v>
      </c>
      <c r="E156">
        <v>1</v>
      </c>
      <c r="F156">
        <v>2</v>
      </c>
      <c r="G156" s="10">
        <v>1</v>
      </c>
      <c r="H156" t="s">
        <v>46</v>
      </c>
      <c r="I156" t="s">
        <v>1957</v>
      </c>
      <c r="J156" t="s">
        <v>6296</v>
      </c>
      <c r="K156" t="s">
        <v>6297</v>
      </c>
      <c r="L156" s="11" t="s">
        <v>6296</v>
      </c>
    </row>
    <row r="157" spans="1:12">
      <c r="A157" t="s">
        <v>6302</v>
      </c>
      <c r="B157" s="9">
        <v>2000</v>
      </c>
      <c r="C157" s="9">
        <v>4.5100259999999999</v>
      </c>
      <c r="D157">
        <v>1</v>
      </c>
      <c r="E157">
        <v>1</v>
      </c>
      <c r="F157">
        <v>1</v>
      </c>
      <c r="G157" s="10">
        <v>1</v>
      </c>
      <c r="H157" t="s">
        <v>46</v>
      </c>
      <c r="I157" t="s">
        <v>1957</v>
      </c>
      <c r="J157" t="s">
        <v>6303</v>
      </c>
      <c r="K157" t="s">
        <v>6304</v>
      </c>
      <c r="L157" s="11" t="s">
        <v>6303</v>
      </c>
    </row>
    <row r="158" spans="1:12">
      <c r="A158" t="s">
        <v>6305</v>
      </c>
      <c r="B158" s="9">
        <v>10175</v>
      </c>
      <c r="C158" s="9">
        <v>9.2362649999999995</v>
      </c>
      <c r="D158">
        <v>2</v>
      </c>
      <c r="E158">
        <v>2</v>
      </c>
      <c r="F158">
        <v>1</v>
      </c>
      <c r="G158" s="10">
        <v>0.5</v>
      </c>
      <c r="H158" t="s">
        <v>46</v>
      </c>
      <c r="I158" t="s">
        <v>1957</v>
      </c>
      <c r="J158" t="s">
        <v>6303</v>
      </c>
      <c r="K158" t="s">
        <v>6304</v>
      </c>
      <c r="L158" s="11" t="s">
        <v>6303</v>
      </c>
    </row>
    <row r="159" spans="1:12">
      <c r="A159" t="s">
        <v>6306</v>
      </c>
      <c r="B159" s="9">
        <v>3580</v>
      </c>
      <c r="C159" s="9">
        <v>3.7994330000000001</v>
      </c>
      <c r="D159">
        <v>4</v>
      </c>
      <c r="E159">
        <v>4</v>
      </c>
      <c r="F159">
        <v>4</v>
      </c>
      <c r="G159" s="10">
        <v>1</v>
      </c>
      <c r="H159" t="s">
        <v>46</v>
      </c>
      <c r="I159" t="s">
        <v>1957</v>
      </c>
      <c r="J159" t="s">
        <v>6307</v>
      </c>
      <c r="K159" t="s">
        <v>6308</v>
      </c>
      <c r="L159" s="11" t="s">
        <v>6309</v>
      </c>
    </row>
    <row r="160" spans="1:12">
      <c r="A160" t="s">
        <v>6310</v>
      </c>
      <c r="B160" s="9">
        <v>2616</v>
      </c>
      <c r="C160" s="9">
        <v>13.973447999999999</v>
      </c>
      <c r="D160">
        <v>2</v>
      </c>
      <c r="E160">
        <v>1</v>
      </c>
      <c r="F160">
        <v>2</v>
      </c>
      <c r="G160" s="10">
        <v>1</v>
      </c>
      <c r="H160" t="s">
        <v>46</v>
      </c>
      <c r="I160" t="s">
        <v>1957</v>
      </c>
      <c r="J160" t="s">
        <v>6311</v>
      </c>
      <c r="K160" t="s">
        <v>6312</v>
      </c>
      <c r="L160" s="11" t="s">
        <v>6311</v>
      </c>
    </row>
    <row r="161" spans="1:12">
      <c r="A161" t="s">
        <v>6313</v>
      </c>
      <c r="B161" s="9">
        <v>3637</v>
      </c>
      <c r="C161" s="9">
        <v>4.2618650000000002</v>
      </c>
      <c r="D161">
        <v>2</v>
      </c>
      <c r="E161">
        <v>2</v>
      </c>
      <c r="F161">
        <v>2</v>
      </c>
      <c r="G161" s="10">
        <v>1</v>
      </c>
      <c r="H161" t="s">
        <v>46</v>
      </c>
      <c r="I161" t="s">
        <v>1957</v>
      </c>
      <c r="J161" t="s">
        <v>6314</v>
      </c>
      <c r="K161" t="s">
        <v>6315</v>
      </c>
      <c r="L161" s="11" t="s">
        <v>6316</v>
      </c>
    </row>
    <row r="162" spans="1:12">
      <c r="A162" t="s">
        <v>6317</v>
      </c>
      <c r="B162" s="9">
        <v>2453</v>
      </c>
      <c r="C162" s="9">
        <v>3.972477</v>
      </c>
      <c r="D162">
        <v>2</v>
      </c>
      <c r="E162">
        <v>2</v>
      </c>
      <c r="F162">
        <v>2</v>
      </c>
      <c r="G162" s="10">
        <v>1</v>
      </c>
      <c r="H162" t="s">
        <v>46</v>
      </c>
      <c r="I162" t="s">
        <v>1957</v>
      </c>
      <c r="J162" t="s">
        <v>6318</v>
      </c>
      <c r="K162" t="s">
        <v>6319</v>
      </c>
      <c r="L162" s="11" t="s">
        <v>6318</v>
      </c>
    </row>
    <row r="163" spans="1:12">
      <c r="A163" t="s">
        <v>6320</v>
      </c>
      <c r="B163" s="9">
        <v>2479</v>
      </c>
      <c r="C163" s="9">
        <v>24.719059000000001</v>
      </c>
      <c r="D163">
        <v>4</v>
      </c>
      <c r="E163">
        <v>4</v>
      </c>
      <c r="F163">
        <v>3</v>
      </c>
      <c r="G163" s="10">
        <v>0.75</v>
      </c>
      <c r="H163" t="s">
        <v>46</v>
      </c>
      <c r="I163" t="s">
        <v>1957</v>
      </c>
      <c r="J163" t="s">
        <v>6321</v>
      </c>
      <c r="K163" t="s">
        <v>6322</v>
      </c>
      <c r="L163" s="11" t="s">
        <v>6321</v>
      </c>
    </row>
    <row r="164" spans="1:12">
      <c r="A164" t="s">
        <v>6323</v>
      </c>
      <c r="B164" s="9">
        <v>4502</v>
      </c>
      <c r="C164" s="9">
        <v>8.3658649999999994</v>
      </c>
      <c r="D164">
        <v>2</v>
      </c>
      <c r="E164">
        <v>2</v>
      </c>
      <c r="F164">
        <v>2</v>
      </c>
      <c r="G164" s="10">
        <v>1</v>
      </c>
      <c r="H164" t="s">
        <v>46</v>
      </c>
      <c r="I164" t="s">
        <v>1957</v>
      </c>
      <c r="J164" t="s">
        <v>6324</v>
      </c>
      <c r="K164" t="s">
        <v>6325</v>
      </c>
      <c r="L164" s="11" t="s">
        <v>6326</v>
      </c>
    </row>
    <row r="165" spans="1:12">
      <c r="A165" t="s">
        <v>6327</v>
      </c>
      <c r="B165" s="9">
        <v>3746</v>
      </c>
      <c r="C165" s="9">
        <v>3.7537250000000002</v>
      </c>
      <c r="D165">
        <v>4</v>
      </c>
      <c r="E165">
        <v>4</v>
      </c>
      <c r="F165">
        <v>4</v>
      </c>
      <c r="G165" s="10">
        <v>1</v>
      </c>
      <c r="H165" t="s">
        <v>46</v>
      </c>
      <c r="I165" t="s">
        <v>1957</v>
      </c>
      <c r="J165" t="s">
        <v>6328</v>
      </c>
      <c r="K165" t="s">
        <v>6329</v>
      </c>
      <c r="L165" s="11" t="s">
        <v>6328</v>
      </c>
    </row>
    <row r="166" spans="1:12">
      <c r="A166" t="s">
        <v>6330</v>
      </c>
      <c r="B166" s="9">
        <v>2521</v>
      </c>
      <c r="C166" s="9">
        <v>4.8021089999999997</v>
      </c>
      <c r="D166">
        <v>2</v>
      </c>
      <c r="E166">
        <v>2</v>
      </c>
      <c r="F166">
        <v>1</v>
      </c>
      <c r="G166" s="10">
        <v>0.5</v>
      </c>
      <c r="H166" t="s">
        <v>46</v>
      </c>
      <c r="I166" t="s">
        <v>1957</v>
      </c>
      <c r="J166" t="s">
        <v>6331</v>
      </c>
      <c r="K166" t="s">
        <v>6329</v>
      </c>
      <c r="L166" s="11" t="s">
        <v>6331</v>
      </c>
    </row>
    <row r="167" spans="1:12">
      <c r="A167" t="s">
        <v>6332</v>
      </c>
      <c r="B167" s="9">
        <v>3651</v>
      </c>
      <c r="C167" s="9">
        <v>3.1601780000000002</v>
      </c>
      <c r="D167">
        <v>4</v>
      </c>
      <c r="E167">
        <v>4</v>
      </c>
      <c r="F167">
        <v>4</v>
      </c>
      <c r="G167" s="10">
        <v>1</v>
      </c>
      <c r="H167" t="s">
        <v>46</v>
      </c>
      <c r="I167" t="s">
        <v>1957</v>
      </c>
      <c r="J167" t="s">
        <v>6333</v>
      </c>
      <c r="K167" t="s">
        <v>6334</v>
      </c>
      <c r="L167" s="11" t="s">
        <v>6333</v>
      </c>
    </row>
    <row r="168" spans="1:12">
      <c r="A168" t="s">
        <v>6335</v>
      </c>
      <c r="B168" s="9">
        <v>2366</v>
      </c>
      <c r="C168" s="9">
        <v>4.5958459999999999</v>
      </c>
      <c r="D168">
        <v>3</v>
      </c>
      <c r="E168">
        <v>3</v>
      </c>
      <c r="F168">
        <v>3</v>
      </c>
      <c r="G168" s="10">
        <v>1</v>
      </c>
      <c r="H168" t="s">
        <v>46</v>
      </c>
      <c r="I168" t="s">
        <v>1957</v>
      </c>
      <c r="J168" t="s">
        <v>6336</v>
      </c>
      <c r="K168" t="s">
        <v>6337</v>
      </c>
      <c r="L168" s="11" t="s">
        <v>6336</v>
      </c>
    </row>
    <row r="169" spans="1:12">
      <c r="A169" t="s">
        <v>6338</v>
      </c>
      <c r="B169" s="9">
        <v>4076</v>
      </c>
      <c r="C169" s="9">
        <v>4.858244</v>
      </c>
      <c r="D169">
        <v>4</v>
      </c>
      <c r="E169">
        <v>4</v>
      </c>
      <c r="F169">
        <v>4</v>
      </c>
      <c r="G169" s="10">
        <v>1</v>
      </c>
      <c r="H169" t="s">
        <v>46</v>
      </c>
      <c r="I169" t="s">
        <v>1957</v>
      </c>
      <c r="J169" t="s">
        <v>6339</v>
      </c>
      <c r="K169" t="s">
        <v>6340</v>
      </c>
      <c r="L169" s="11" t="s">
        <v>6341</v>
      </c>
    </row>
    <row r="170" spans="1:12">
      <c r="A170" t="s">
        <v>6342</v>
      </c>
      <c r="B170" s="9">
        <v>7625</v>
      </c>
      <c r="C170" s="9">
        <v>10.166181999999999</v>
      </c>
      <c r="D170">
        <v>6</v>
      </c>
      <c r="E170">
        <v>6</v>
      </c>
      <c r="F170">
        <v>6</v>
      </c>
      <c r="G170" s="10">
        <v>1</v>
      </c>
      <c r="H170" t="s">
        <v>46</v>
      </c>
      <c r="I170" t="s">
        <v>1957</v>
      </c>
      <c r="J170" t="s">
        <v>6343</v>
      </c>
      <c r="K170" t="s">
        <v>6344</v>
      </c>
      <c r="L170" s="11" t="s">
        <v>6341</v>
      </c>
    </row>
    <row r="171" spans="1:12">
      <c r="A171" t="s">
        <v>6345</v>
      </c>
      <c r="B171" s="9">
        <v>12323</v>
      </c>
      <c r="C171" s="9">
        <v>15.965683</v>
      </c>
      <c r="D171">
        <v>4</v>
      </c>
      <c r="E171">
        <v>3</v>
      </c>
      <c r="F171">
        <v>3</v>
      </c>
      <c r="G171" s="10">
        <v>0.75</v>
      </c>
      <c r="H171" t="s">
        <v>46</v>
      </c>
      <c r="I171" t="s">
        <v>1957</v>
      </c>
      <c r="J171" t="s">
        <v>6346</v>
      </c>
      <c r="K171" t="s">
        <v>6347</v>
      </c>
      <c r="L171" s="11" t="s">
        <v>6348</v>
      </c>
    </row>
    <row r="172" spans="1:12">
      <c r="A172" t="s">
        <v>6349</v>
      </c>
      <c r="B172" s="9">
        <v>3233</v>
      </c>
      <c r="C172" s="9">
        <v>8.9933920000000001</v>
      </c>
      <c r="D172">
        <v>2</v>
      </c>
      <c r="E172">
        <v>2</v>
      </c>
      <c r="F172">
        <v>2</v>
      </c>
      <c r="G172" s="10">
        <v>1</v>
      </c>
      <c r="H172" t="s">
        <v>46</v>
      </c>
      <c r="I172" t="s">
        <v>1957</v>
      </c>
      <c r="J172" t="s">
        <v>6350</v>
      </c>
      <c r="K172" t="s">
        <v>6351</v>
      </c>
      <c r="L172" s="11" t="s">
        <v>6350</v>
      </c>
    </row>
    <row r="173" spans="1:12">
      <c r="A173" t="s">
        <v>6352</v>
      </c>
      <c r="B173" s="9">
        <v>3818</v>
      </c>
      <c r="C173" s="9">
        <v>4.3303219999999998</v>
      </c>
      <c r="D173">
        <v>4</v>
      </c>
      <c r="E173">
        <v>4</v>
      </c>
      <c r="F173">
        <v>4</v>
      </c>
      <c r="G173" s="10">
        <v>1</v>
      </c>
      <c r="H173" t="s">
        <v>46</v>
      </c>
      <c r="I173" t="s">
        <v>1957</v>
      </c>
      <c r="J173" t="s">
        <v>6353</v>
      </c>
      <c r="K173" t="s">
        <v>6354</v>
      </c>
      <c r="L173" s="11" t="s">
        <v>6353</v>
      </c>
    </row>
    <row r="174" spans="1:12">
      <c r="A174" t="s">
        <v>6355</v>
      </c>
      <c r="B174" s="9">
        <v>3815</v>
      </c>
      <c r="C174" s="9">
        <v>3.5739359999999998</v>
      </c>
      <c r="D174">
        <v>3</v>
      </c>
      <c r="E174">
        <v>3</v>
      </c>
      <c r="F174">
        <v>3</v>
      </c>
      <c r="G174" s="10">
        <v>1</v>
      </c>
      <c r="H174" t="s">
        <v>46</v>
      </c>
      <c r="I174" t="s">
        <v>1957</v>
      </c>
      <c r="J174" t="s">
        <v>6356</v>
      </c>
      <c r="K174" t="s">
        <v>6354</v>
      </c>
      <c r="L174" s="11" t="s">
        <v>6356</v>
      </c>
    </row>
    <row r="175" spans="1:12">
      <c r="A175" t="s">
        <v>6357</v>
      </c>
      <c r="B175" s="9">
        <v>2869</v>
      </c>
      <c r="C175" s="9">
        <v>5.3578539999999997</v>
      </c>
      <c r="D175">
        <v>2</v>
      </c>
      <c r="E175">
        <v>2</v>
      </c>
      <c r="F175">
        <v>2</v>
      </c>
      <c r="G175" s="10">
        <v>1</v>
      </c>
      <c r="H175" t="s">
        <v>46</v>
      </c>
      <c r="I175" t="s">
        <v>1957</v>
      </c>
      <c r="J175" t="s">
        <v>6358</v>
      </c>
      <c r="K175" t="s">
        <v>6354</v>
      </c>
      <c r="L175" s="11" t="s">
        <v>6358</v>
      </c>
    </row>
    <row r="176" spans="1:12">
      <c r="A176" t="s">
        <v>6359</v>
      </c>
      <c r="B176" s="9">
        <v>2686</v>
      </c>
      <c r="C176" s="9">
        <v>6.4374760000000002</v>
      </c>
      <c r="D176">
        <v>1</v>
      </c>
      <c r="E176">
        <v>1</v>
      </c>
      <c r="F176">
        <v>1</v>
      </c>
      <c r="G176" s="10">
        <v>1</v>
      </c>
      <c r="H176" t="s">
        <v>46</v>
      </c>
      <c r="I176" t="s">
        <v>1957</v>
      </c>
      <c r="J176" t="s">
        <v>6360</v>
      </c>
      <c r="K176" t="s">
        <v>6354</v>
      </c>
      <c r="L176" s="11" t="s">
        <v>6360</v>
      </c>
    </row>
    <row r="177" spans="1:12">
      <c r="A177" t="s">
        <v>6361</v>
      </c>
      <c r="B177" s="9">
        <v>2506</v>
      </c>
      <c r="C177" s="9">
        <v>3.0881270000000001</v>
      </c>
      <c r="D177">
        <v>4</v>
      </c>
      <c r="E177">
        <v>4</v>
      </c>
      <c r="F177">
        <v>4</v>
      </c>
      <c r="G177" s="10">
        <v>1</v>
      </c>
      <c r="H177" t="s">
        <v>46</v>
      </c>
      <c r="I177" t="s">
        <v>1957</v>
      </c>
      <c r="J177" t="s">
        <v>6353</v>
      </c>
      <c r="K177" t="s">
        <v>6354</v>
      </c>
      <c r="L177" s="11" t="s">
        <v>6353</v>
      </c>
    </row>
    <row r="178" spans="1:12">
      <c r="A178" t="s">
        <v>6362</v>
      </c>
      <c r="B178" s="9">
        <v>2413</v>
      </c>
      <c r="C178" s="9">
        <v>16.659457</v>
      </c>
      <c r="D178">
        <v>1</v>
      </c>
      <c r="E178">
        <v>1</v>
      </c>
      <c r="F178">
        <v>1</v>
      </c>
      <c r="G178" s="10">
        <v>1</v>
      </c>
      <c r="H178" t="s">
        <v>46</v>
      </c>
      <c r="I178" t="s">
        <v>1957</v>
      </c>
      <c r="J178" t="s">
        <v>6360</v>
      </c>
      <c r="K178" t="s">
        <v>6354</v>
      </c>
      <c r="L178" s="11" t="s">
        <v>6360</v>
      </c>
    </row>
    <row r="179" spans="1:12">
      <c r="A179" t="s">
        <v>6363</v>
      </c>
      <c r="B179" s="9">
        <v>2142</v>
      </c>
      <c r="C179" s="9">
        <v>4.0934359999999996</v>
      </c>
      <c r="D179">
        <v>2</v>
      </c>
      <c r="E179">
        <v>2</v>
      </c>
      <c r="F179">
        <v>2</v>
      </c>
      <c r="G179" s="10">
        <v>1</v>
      </c>
      <c r="H179" t="s">
        <v>46</v>
      </c>
      <c r="I179" t="s">
        <v>1957</v>
      </c>
      <c r="J179" t="s">
        <v>6364</v>
      </c>
      <c r="K179" t="s">
        <v>6354</v>
      </c>
      <c r="L179" s="11" t="s">
        <v>6364</v>
      </c>
    </row>
    <row r="180" spans="1:12">
      <c r="A180" t="s">
        <v>6365</v>
      </c>
      <c r="B180" s="9">
        <v>2030</v>
      </c>
      <c r="C180" s="9">
        <v>2.6688610000000001</v>
      </c>
      <c r="D180">
        <v>2</v>
      </c>
      <c r="E180">
        <v>2</v>
      </c>
      <c r="F180">
        <v>2</v>
      </c>
      <c r="G180" s="10">
        <v>1</v>
      </c>
      <c r="H180" t="s">
        <v>46</v>
      </c>
      <c r="I180" t="s">
        <v>1957</v>
      </c>
      <c r="J180" t="s">
        <v>6364</v>
      </c>
      <c r="K180" t="s">
        <v>6354</v>
      </c>
      <c r="L180" s="11" t="s">
        <v>6364</v>
      </c>
    </row>
    <row r="181" spans="1:12">
      <c r="A181" t="s">
        <v>6366</v>
      </c>
      <c r="B181" s="9">
        <v>6525</v>
      </c>
      <c r="C181" s="9">
        <v>6.1686240000000003</v>
      </c>
      <c r="D181">
        <v>5</v>
      </c>
      <c r="E181">
        <v>4</v>
      </c>
      <c r="F181">
        <v>4</v>
      </c>
      <c r="G181" s="10">
        <v>0.8</v>
      </c>
      <c r="H181" t="s">
        <v>46</v>
      </c>
      <c r="I181" t="s">
        <v>1957</v>
      </c>
      <c r="J181" t="s">
        <v>6367</v>
      </c>
      <c r="K181" t="s">
        <v>6354</v>
      </c>
      <c r="L181" s="11" t="s">
        <v>6367</v>
      </c>
    </row>
    <row r="182" spans="1:12">
      <c r="A182" t="s">
        <v>6368</v>
      </c>
      <c r="B182" s="9">
        <v>2378</v>
      </c>
      <c r="C182" s="9">
        <v>43.463194000000001</v>
      </c>
      <c r="D182">
        <v>4</v>
      </c>
      <c r="E182">
        <v>3</v>
      </c>
      <c r="F182">
        <v>3</v>
      </c>
      <c r="G182" s="10">
        <v>0.75</v>
      </c>
      <c r="H182" t="s">
        <v>46</v>
      </c>
      <c r="I182" t="s">
        <v>1957</v>
      </c>
      <c r="J182" t="s">
        <v>6369</v>
      </c>
      <c r="K182" t="s">
        <v>6354</v>
      </c>
      <c r="L182" s="11" t="s">
        <v>6369</v>
      </c>
    </row>
    <row r="183" spans="1:12">
      <c r="A183" t="s">
        <v>6370</v>
      </c>
      <c r="B183" s="9">
        <v>6839</v>
      </c>
      <c r="C183" s="9">
        <v>4.2413030000000003</v>
      </c>
      <c r="D183">
        <v>6</v>
      </c>
      <c r="E183">
        <v>6</v>
      </c>
      <c r="F183">
        <v>5</v>
      </c>
      <c r="G183" s="10">
        <v>0.83333333333333337</v>
      </c>
      <c r="H183" t="s">
        <v>46</v>
      </c>
      <c r="I183" t="s">
        <v>1957</v>
      </c>
      <c r="J183" t="s">
        <v>6371</v>
      </c>
      <c r="K183" t="s">
        <v>6372</v>
      </c>
      <c r="L183" s="11" t="s">
        <v>6373</v>
      </c>
    </row>
    <row r="184" spans="1:12">
      <c r="A184" t="s">
        <v>6374</v>
      </c>
      <c r="B184" s="9">
        <v>14650</v>
      </c>
      <c r="C184" s="9">
        <v>85.783829999999995</v>
      </c>
      <c r="D184">
        <v>14</v>
      </c>
      <c r="E184">
        <v>14</v>
      </c>
      <c r="F184">
        <v>13</v>
      </c>
      <c r="G184" s="10">
        <v>0.9285714285714286</v>
      </c>
      <c r="H184" t="s">
        <v>46</v>
      </c>
      <c r="I184" t="s">
        <v>1957</v>
      </c>
      <c r="J184" t="s">
        <v>6375</v>
      </c>
      <c r="K184" t="s">
        <v>6376</v>
      </c>
      <c r="L184" s="11" t="s">
        <v>6377</v>
      </c>
    </row>
    <row r="185" spans="1:12">
      <c r="A185" t="s">
        <v>6378</v>
      </c>
      <c r="B185" s="9">
        <v>8718</v>
      </c>
      <c r="C185" s="9">
        <v>5.7592059999999998</v>
      </c>
      <c r="D185">
        <v>8</v>
      </c>
      <c r="E185">
        <v>8</v>
      </c>
      <c r="F185">
        <v>8</v>
      </c>
      <c r="G185" s="10">
        <v>1</v>
      </c>
      <c r="H185" t="s">
        <v>46</v>
      </c>
      <c r="I185" t="s">
        <v>1957</v>
      </c>
      <c r="J185" t="s">
        <v>6379</v>
      </c>
      <c r="K185" t="s">
        <v>6380</v>
      </c>
      <c r="L185" s="11" t="s">
        <v>6379</v>
      </c>
    </row>
    <row r="186" spans="1:12">
      <c r="A186" t="s">
        <v>6381</v>
      </c>
      <c r="B186" s="9">
        <v>2473</v>
      </c>
      <c r="C186" s="9">
        <v>4.9416869999999999</v>
      </c>
      <c r="D186">
        <v>4</v>
      </c>
      <c r="E186">
        <v>4</v>
      </c>
      <c r="F186">
        <v>4</v>
      </c>
      <c r="G186" s="10">
        <v>1</v>
      </c>
      <c r="H186" t="s">
        <v>46</v>
      </c>
      <c r="I186" t="s">
        <v>1957</v>
      </c>
      <c r="J186" t="s">
        <v>6382</v>
      </c>
      <c r="K186" t="s">
        <v>6383</v>
      </c>
      <c r="L186" s="11" t="s">
        <v>6384</v>
      </c>
    </row>
    <row r="187" spans="1:12">
      <c r="A187" t="s">
        <v>6385</v>
      </c>
      <c r="B187" s="9">
        <v>2531</v>
      </c>
      <c r="C187" s="9">
        <v>5.2281909999999998</v>
      </c>
      <c r="D187">
        <v>3</v>
      </c>
      <c r="E187">
        <v>2</v>
      </c>
      <c r="F187">
        <v>2</v>
      </c>
      <c r="G187" s="10">
        <v>0.66666666666666663</v>
      </c>
      <c r="H187" t="s">
        <v>46</v>
      </c>
      <c r="I187" t="s">
        <v>1957</v>
      </c>
      <c r="J187" t="s">
        <v>6386</v>
      </c>
      <c r="K187" t="s">
        <v>6387</v>
      </c>
      <c r="L187" s="11" t="s">
        <v>6388</v>
      </c>
    </row>
    <row r="188" spans="1:12">
      <c r="A188" t="s">
        <v>6389</v>
      </c>
      <c r="B188" s="9">
        <v>5687</v>
      </c>
      <c r="C188" s="9">
        <v>6.5720879999999999</v>
      </c>
      <c r="D188">
        <v>3</v>
      </c>
      <c r="E188">
        <v>1</v>
      </c>
      <c r="F188">
        <v>1</v>
      </c>
      <c r="G188" s="10">
        <v>0.33333333333333331</v>
      </c>
      <c r="H188" t="s">
        <v>46</v>
      </c>
      <c r="I188" t="s">
        <v>1957</v>
      </c>
      <c r="J188" t="s">
        <v>6390</v>
      </c>
      <c r="K188" t="s">
        <v>6391</v>
      </c>
      <c r="L188" s="11" t="s">
        <v>6390</v>
      </c>
    </row>
    <row r="189" spans="1:12">
      <c r="A189" t="s">
        <v>6392</v>
      </c>
      <c r="B189" s="9">
        <v>2369</v>
      </c>
      <c r="C189" s="9">
        <v>20.277442000000001</v>
      </c>
      <c r="D189">
        <v>2</v>
      </c>
      <c r="E189">
        <v>2</v>
      </c>
      <c r="F189">
        <v>2</v>
      </c>
      <c r="G189" s="10">
        <v>1</v>
      </c>
      <c r="H189" t="s">
        <v>46</v>
      </c>
      <c r="I189" t="s">
        <v>1957</v>
      </c>
      <c r="J189" t="s">
        <v>6393</v>
      </c>
      <c r="K189" t="s">
        <v>6394</v>
      </c>
      <c r="L189" s="11" t="s">
        <v>6393</v>
      </c>
    </row>
    <row r="190" spans="1:12">
      <c r="A190" t="s">
        <v>6395</v>
      </c>
      <c r="B190" s="9">
        <v>2028</v>
      </c>
      <c r="C190" s="9">
        <v>3.719716</v>
      </c>
      <c r="D190">
        <v>1</v>
      </c>
      <c r="E190">
        <v>1</v>
      </c>
      <c r="F190">
        <v>1</v>
      </c>
      <c r="G190" s="10">
        <v>1</v>
      </c>
      <c r="H190" t="s">
        <v>46</v>
      </c>
      <c r="I190" t="s">
        <v>1957</v>
      </c>
      <c r="J190" t="s">
        <v>6393</v>
      </c>
      <c r="K190" t="s">
        <v>6394</v>
      </c>
      <c r="L190" s="11" t="s">
        <v>6393</v>
      </c>
    </row>
    <row r="191" spans="1:12">
      <c r="A191" t="s">
        <v>6396</v>
      </c>
      <c r="B191" s="9">
        <v>2010</v>
      </c>
      <c r="C191" s="9">
        <v>4.0506390000000003</v>
      </c>
      <c r="D191">
        <v>1</v>
      </c>
      <c r="E191">
        <v>1</v>
      </c>
      <c r="F191">
        <v>1</v>
      </c>
      <c r="G191" s="10">
        <v>1</v>
      </c>
      <c r="H191" t="s">
        <v>46</v>
      </c>
      <c r="I191" t="s">
        <v>1957</v>
      </c>
      <c r="J191" t="s">
        <v>6393</v>
      </c>
      <c r="K191" t="s">
        <v>6394</v>
      </c>
      <c r="L191" s="11" t="s">
        <v>6393</v>
      </c>
    </row>
    <row r="192" spans="1:12">
      <c r="A192" t="s">
        <v>6397</v>
      </c>
      <c r="B192" s="9">
        <v>5339</v>
      </c>
      <c r="C192" s="9">
        <v>5.0045419999999998</v>
      </c>
      <c r="D192">
        <v>2</v>
      </c>
      <c r="E192">
        <v>1</v>
      </c>
      <c r="F192">
        <v>1</v>
      </c>
      <c r="G192" s="10">
        <v>0.5</v>
      </c>
      <c r="H192" t="s">
        <v>46</v>
      </c>
      <c r="I192" t="s">
        <v>1957</v>
      </c>
      <c r="J192" t="s">
        <v>6393</v>
      </c>
      <c r="K192" t="s">
        <v>6394</v>
      </c>
      <c r="L192" s="11" t="s">
        <v>6393</v>
      </c>
    </row>
    <row r="193" spans="1:12">
      <c r="A193" t="s">
        <v>6398</v>
      </c>
      <c r="B193" s="9">
        <v>2568</v>
      </c>
      <c r="C193" s="9">
        <v>5.0879430000000001</v>
      </c>
      <c r="D193">
        <v>2</v>
      </c>
      <c r="E193">
        <v>2</v>
      </c>
      <c r="F193">
        <v>2</v>
      </c>
      <c r="G193" s="10">
        <v>1</v>
      </c>
      <c r="H193" t="s">
        <v>46</v>
      </c>
      <c r="I193" t="s">
        <v>1957</v>
      </c>
      <c r="J193" t="s">
        <v>6399</v>
      </c>
      <c r="K193" t="s">
        <v>6400</v>
      </c>
      <c r="L193" s="11" t="s">
        <v>6399</v>
      </c>
    </row>
    <row r="194" spans="1:12">
      <c r="A194" t="s">
        <v>6401</v>
      </c>
      <c r="B194" s="9">
        <v>2710</v>
      </c>
      <c r="C194" s="9">
        <v>3.985687</v>
      </c>
      <c r="D194">
        <v>2</v>
      </c>
      <c r="E194">
        <v>2</v>
      </c>
      <c r="F194">
        <v>2</v>
      </c>
      <c r="G194" s="10">
        <v>1</v>
      </c>
      <c r="H194" t="s">
        <v>46</v>
      </c>
      <c r="I194" t="s">
        <v>1957</v>
      </c>
      <c r="J194" t="s">
        <v>6402</v>
      </c>
      <c r="K194" t="s">
        <v>6403</v>
      </c>
      <c r="L194" s="11" t="s">
        <v>6402</v>
      </c>
    </row>
    <row r="195" spans="1:12">
      <c r="A195" t="s">
        <v>6404</v>
      </c>
      <c r="B195" s="9">
        <v>2123</v>
      </c>
      <c r="C195" s="9">
        <v>13.27853</v>
      </c>
      <c r="D195">
        <v>3</v>
      </c>
      <c r="E195">
        <v>2</v>
      </c>
      <c r="F195">
        <v>3</v>
      </c>
      <c r="G195" s="10">
        <v>1</v>
      </c>
      <c r="H195" t="s">
        <v>46</v>
      </c>
      <c r="I195" t="s">
        <v>1957</v>
      </c>
      <c r="J195" t="s">
        <v>6405</v>
      </c>
      <c r="K195" t="s">
        <v>6406</v>
      </c>
      <c r="L195" s="11" t="s">
        <v>6405</v>
      </c>
    </row>
    <row r="196" spans="1:12">
      <c r="A196" t="s">
        <v>6407</v>
      </c>
      <c r="B196" s="9">
        <v>4913</v>
      </c>
      <c r="C196" s="9">
        <v>3.4604780000000002</v>
      </c>
      <c r="D196">
        <v>6</v>
      </c>
      <c r="E196">
        <v>6</v>
      </c>
      <c r="F196">
        <v>6</v>
      </c>
      <c r="G196" s="10">
        <v>1</v>
      </c>
      <c r="H196" t="s">
        <v>46</v>
      </c>
      <c r="I196" t="s">
        <v>1957</v>
      </c>
      <c r="J196" t="s">
        <v>6408</v>
      </c>
      <c r="K196" t="s">
        <v>6409</v>
      </c>
      <c r="L196" s="11" t="s">
        <v>6410</v>
      </c>
    </row>
    <row r="197" spans="1:12">
      <c r="A197" t="s">
        <v>6411</v>
      </c>
      <c r="B197" s="9">
        <v>2164</v>
      </c>
      <c r="C197" s="9">
        <v>3.939308</v>
      </c>
      <c r="D197">
        <v>3</v>
      </c>
      <c r="E197">
        <v>2</v>
      </c>
      <c r="F197">
        <v>3</v>
      </c>
      <c r="G197" s="10">
        <v>1</v>
      </c>
      <c r="H197" t="s">
        <v>46</v>
      </c>
      <c r="I197" t="s">
        <v>1957</v>
      </c>
      <c r="J197" t="s">
        <v>6412</v>
      </c>
      <c r="K197" t="s">
        <v>6413</v>
      </c>
      <c r="L197" s="11" t="s">
        <v>6125</v>
      </c>
    </row>
    <row r="198" spans="1:12">
      <c r="A198" t="s">
        <v>6414</v>
      </c>
      <c r="B198" s="9">
        <v>2223</v>
      </c>
      <c r="C198" s="9">
        <v>9.2587639999999993</v>
      </c>
      <c r="D198">
        <v>1</v>
      </c>
      <c r="E198">
        <v>1</v>
      </c>
      <c r="F198">
        <v>1</v>
      </c>
      <c r="G198" s="10">
        <v>1</v>
      </c>
      <c r="H198" t="s">
        <v>46</v>
      </c>
      <c r="I198" t="s">
        <v>1957</v>
      </c>
      <c r="J198" t="s">
        <v>6415</v>
      </c>
      <c r="K198" t="s">
        <v>6416</v>
      </c>
      <c r="L198" s="11" t="s">
        <v>6415</v>
      </c>
    </row>
    <row r="199" spans="1:12">
      <c r="A199" t="s">
        <v>6417</v>
      </c>
      <c r="B199" s="9">
        <v>2442</v>
      </c>
      <c r="C199" s="9">
        <v>4.2852949999999996</v>
      </c>
      <c r="D199">
        <v>4</v>
      </c>
      <c r="E199">
        <v>4</v>
      </c>
      <c r="F199">
        <v>4</v>
      </c>
      <c r="G199" s="10">
        <v>1</v>
      </c>
      <c r="H199" t="s">
        <v>46</v>
      </c>
      <c r="I199" t="s">
        <v>1957</v>
      </c>
      <c r="J199" t="s">
        <v>6418</v>
      </c>
      <c r="K199" t="s">
        <v>6419</v>
      </c>
      <c r="L199" s="11" t="s">
        <v>6418</v>
      </c>
    </row>
    <row r="200" spans="1:12">
      <c r="A200" t="s">
        <v>6420</v>
      </c>
      <c r="B200" s="9">
        <v>2832</v>
      </c>
      <c r="C200" s="9">
        <v>4.686712</v>
      </c>
      <c r="D200">
        <v>3</v>
      </c>
      <c r="E200">
        <v>2</v>
      </c>
      <c r="F200">
        <v>3</v>
      </c>
      <c r="G200" s="10">
        <v>1</v>
      </c>
      <c r="H200" t="s">
        <v>46</v>
      </c>
      <c r="I200" t="s">
        <v>1957</v>
      </c>
      <c r="J200" t="s">
        <v>6421</v>
      </c>
      <c r="K200" t="s">
        <v>6422</v>
      </c>
      <c r="L200" s="11" t="s">
        <v>6423</v>
      </c>
    </row>
    <row r="201" spans="1:12">
      <c r="A201" t="s">
        <v>6424</v>
      </c>
      <c r="B201" s="9">
        <v>2605</v>
      </c>
      <c r="C201" s="9">
        <v>4.5831369999999998</v>
      </c>
      <c r="D201">
        <v>2</v>
      </c>
      <c r="E201">
        <v>2</v>
      </c>
      <c r="F201">
        <v>2</v>
      </c>
      <c r="G201" s="10">
        <v>1</v>
      </c>
      <c r="H201" t="s">
        <v>46</v>
      </c>
      <c r="I201" t="s">
        <v>1957</v>
      </c>
      <c r="J201" t="s">
        <v>6421</v>
      </c>
      <c r="K201" t="s">
        <v>6422</v>
      </c>
      <c r="L201" s="11" t="s">
        <v>6296</v>
      </c>
    </row>
    <row r="202" spans="1:12">
      <c r="A202" t="s">
        <v>6425</v>
      </c>
      <c r="B202" s="9">
        <v>2005</v>
      </c>
      <c r="C202" s="9">
        <v>4.048718</v>
      </c>
      <c r="D202">
        <v>2</v>
      </c>
      <c r="E202">
        <v>2</v>
      </c>
      <c r="F202">
        <v>2</v>
      </c>
      <c r="G202" s="10">
        <v>1</v>
      </c>
      <c r="H202" t="s">
        <v>46</v>
      </c>
      <c r="I202" t="s">
        <v>1957</v>
      </c>
      <c r="J202" t="s">
        <v>6421</v>
      </c>
      <c r="K202" t="s">
        <v>6422</v>
      </c>
      <c r="L202" s="11" t="s">
        <v>6426</v>
      </c>
    </row>
    <row r="203" spans="1:12">
      <c r="A203" t="s">
        <v>6427</v>
      </c>
      <c r="B203" s="9">
        <v>2542</v>
      </c>
      <c r="C203" s="9">
        <v>6.2569359999999996</v>
      </c>
      <c r="D203">
        <v>3</v>
      </c>
      <c r="E203">
        <v>2</v>
      </c>
      <c r="F203">
        <v>2</v>
      </c>
      <c r="G203" s="10">
        <v>0.66666666666666663</v>
      </c>
      <c r="H203" t="s">
        <v>46</v>
      </c>
      <c r="I203" t="s">
        <v>1957</v>
      </c>
      <c r="J203" t="s">
        <v>6421</v>
      </c>
      <c r="K203" t="s">
        <v>6422</v>
      </c>
      <c r="L203" s="11" t="s">
        <v>6423</v>
      </c>
    </row>
    <row r="204" spans="1:12">
      <c r="A204" t="s">
        <v>6428</v>
      </c>
      <c r="B204" s="9">
        <v>2608</v>
      </c>
      <c r="C204" s="9">
        <v>3.1198589999999999</v>
      </c>
      <c r="D204">
        <v>3</v>
      </c>
      <c r="E204">
        <v>3</v>
      </c>
      <c r="F204">
        <v>3</v>
      </c>
      <c r="G204" s="10">
        <v>1</v>
      </c>
      <c r="H204" t="s">
        <v>46</v>
      </c>
      <c r="I204" t="s">
        <v>1957</v>
      </c>
      <c r="J204" t="s">
        <v>6429</v>
      </c>
      <c r="K204" t="s">
        <v>6430</v>
      </c>
      <c r="L204" s="11" t="s">
        <v>6431</v>
      </c>
    </row>
    <row r="205" spans="1:12">
      <c r="A205" t="s">
        <v>6432</v>
      </c>
      <c r="B205" s="9">
        <v>4186</v>
      </c>
      <c r="C205" s="9">
        <v>3.9428709999999998</v>
      </c>
      <c r="D205">
        <v>2</v>
      </c>
      <c r="E205">
        <v>2</v>
      </c>
      <c r="F205">
        <v>2</v>
      </c>
      <c r="G205" s="10">
        <v>1</v>
      </c>
      <c r="H205" t="s">
        <v>46</v>
      </c>
      <c r="I205" t="s">
        <v>1957</v>
      </c>
      <c r="J205" t="s">
        <v>6433</v>
      </c>
      <c r="K205" t="s">
        <v>6434</v>
      </c>
      <c r="L205" s="11" t="s">
        <v>6435</v>
      </c>
    </row>
    <row r="206" spans="1:12">
      <c r="A206" t="s">
        <v>6436</v>
      </c>
      <c r="B206" s="9">
        <v>3101</v>
      </c>
      <c r="C206" s="9">
        <v>4.068943</v>
      </c>
      <c r="D206">
        <v>2</v>
      </c>
      <c r="E206">
        <v>2</v>
      </c>
      <c r="F206">
        <v>2</v>
      </c>
      <c r="G206" s="10">
        <v>1</v>
      </c>
      <c r="H206" t="s">
        <v>46</v>
      </c>
      <c r="I206" t="s">
        <v>1957</v>
      </c>
      <c r="J206" t="s">
        <v>6437</v>
      </c>
      <c r="K206" t="s">
        <v>6438</v>
      </c>
      <c r="L206" s="11" t="s">
        <v>6439</v>
      </c>
    </row>
    <row r="207" spans="1:12">
      <c r="A207" t="s">
        <v>6440</v>
      </c>
      <c r="B207" s="9">
        <v>2027</v>
      </c>
      <c r="C207" s="9">
        <v>4.3605479999999996</v>
      </c>
      <c r="D207">
        <v>2</v>
      </c>
      <c r="E207">
        <v>2</v>
      </c>
      <c r="F207">
        <v>1</v>
      </c>
      <c r="G207" s="10">
        <v>0.5</v>
      </c>
      <c r="H207" t="s">
        <v>46</v>
      </c>
      <c r="I207" t="s">
        <v>1957</v>
      </c>
      <c r="J207" t="s">
        <v>6441</v>
      </c>
      <c r="K207" t="s">
        <v>6442</v>
      </c>
      <c r="L207" s="11" t="s">
        <v>6441</v>
      </c>
    </row>
    <row r="208" spans="1:12">
      <c r="A208" t="s">
        <v>6443</v>
      </c>
      <c r="B208" s="9">
        <v>2378</v>
      </c>
      <c r="C208" s="9">
        <v>8.5213090000000005</v>
      </c>
      <c r="D208">
        <v>2</v>
      </c>
      <c r="E208">
        <v>2</v>
      </c>
      <c r="F208">
        <v>2</v>
      </c>
      <c r="G208" s="10">
        <v>1</v>
      </c>
      <c r="H208" t="s">
        <v>46</v>
      </c>
      <c r="I208" t="s">
        <v>1957</v>
      </c>
      <c r="J208" t="s">
        <v>6444</v>
      </c>
      <c r="K208" t="s">
        <v>6445</v>
      </c>
      <c r="L208" s="11" t="s">
        <v>6444</v>
      </c>
    </row>
    <row r="209" spans="1:12">
      <c r="A209" t="s">
        <v>6446</v>
      </c>
      <c r="B209" s="9">
        <v>3220</v>
      </c>
      <c r="C209" s="9">
        <v>4.8467609999999999</v>
      </c>
      <c r="D209">
        <v>2</v>
      </c>
      <c r="E209">
        <v>2</v>
      </c>
      <c r="F209">
        <v>2</v>
      </c>
      <c r="G209" s="10">
        <v>1</v>
      </c>
      <c r="H209" t="s">
        <v>46</v>
      </c>
      <c r="I209" t="s">
        <v>1957</v>
      </c>
      <c r="J209" t="s">
        <v>6447</v>
      </c>
      <c r="K209" t="s">
        <v>6448</v>
      </c>
      <c r="L209" s="11" t="s">
        <v>6447</v>
      </c>
    </row>
    <row r="210" spans="1:12">
      <c r="A210" t="s">
        <v>6449</v>
      </c>
      <c r="B210" s="9">
        <v>5552</v>
      </c>
      <c r="C210" s="9">
        <v>5.3982169999999998</v>
      </c>
      <c r="D210">
        <v>2</v>
      </c>
      <c r="E210">
        <v>2</v>
      </c>
      <c r="F210">
        <v>2</v>
      </c>
      <c r="G210" s="10">
        <v>1</v>
      </c>
      <c r="H210" t="s">
        <v>46</v>
      </c>
      <c r="I210" t="s">
        <v>1957</v>
      </c>
      <c r="J210" t="s">
        <v>6450</v>
      </c>
      <c r="K210" t="s">
        <v>6451</v>
      </c>
      <c r="L210" s="11" t="s">
        <v>6450</v>
      </c>
    </row>
    <row r="211" spans="1:12">
      <c r="A211" t="s">
        <v>6452</v>
      </c>
      <c r="B211" s="9">
        <v>2708</v>
      </c>
      <c r="C211" s="9">
        <v>3.3871090000000001</v>
      </c>
      <c r="D211">
        <v>1</v>
      </c>
      <c r="E211">
        <v>1</v>
      </c>
      <c r="F211">
        <v>1</v>
      </c>
      <c r="G211" s="10">
        <v>1</v>
      </c>
      <c r="H211" t="s">
        <v>46</v>
      </c>
      <c r="I211" t="s">
        <v>1957</v>
      </c>
      <c r="J211" t="s">
        <v>6453</v>
      </c>
      <c r="K211" t="s">
        <v>6454</v>
      </c>
      <c r="L211" s="11" t="s">
        <v>6453</v>
      </c>
    </row>
    <row r="212" spans="1:12">
      <c r="A212" t="s">
        <v>6455</v>
      </c>
      <c r="B212" s="9">
        <v>3472</v>
      </c>
      <c r="C212" s="9">
        <v>4.0646769999999997</v>
      </c>
      <c r="D212">
        <v>1</v>
      </c>
      <c r="E212">
        <v>1</v>
      </c>
      <c r="F212">
        <v>1</v>
      </c>
      <c r="G212" s="10">
        <v>1</v>
      </c>
      <c r="H212" t="s">
        <v>46</v>
      </c>
      <c r="I212" t="s">
        <v>1957</v>
      </c>
      <c r="J212" t="s">
        <v>6456</v>
      </c>
      <c r="K212" t="s">
        <v>6457</v>
      </c>
      <c r="L212" s="11" t="s">
        <v>6456</v>
      </c>
    </row>
    <row r="213" spans="1:12">
      <c r="A213" t="s">
        <v>6458</v>
      </c>
      <c r="B213" s="9">
        <v>2644</v>
      </c>
      <c r="C213" s="9">
        <v>5.0710699999999997</v>
      </c>
      <c r="D213">
        <v>1</v>
      </c>
      <c r="E213">
        <v>1</v>
      </c>
      <c r="F213">
        <v>1</v>
      </c>
      <c r="G213" s="10">
        <v>1</v>
      </c>
      <c r="H213" t="s">
        <v>46</v>
      </c>
      <c r="I213" t="s">
        <v>1957</v>
      </c>
      <c r="J213" t="s">
        <v>6459</v>
      </c>
      <c r="K213" t="s">
        <v>6460</v>
      </c>
      <c r="L213" s="11" t="s">
        <v>6459</v>
      </c>
    </row>
    <row r="214" spans="1:12">
      <c r="A214" t="s">
        <v>6461</v>
      </c>
      <c r="B214" s="9">
        <v>2084</v>
      </c>
      <c r="C214" s="9">
        <v>3.8590439999999999</v>
      </c>
      <c r="D214">
        <v>1</v>
      </c>
      <c r="E214">
        <v>1</v>
      </c>
      <c r="F214">
        <v>1</v>
      </c>
      <c r="G214" s="10">
        <v>1</v>
      </c>
      <c r="H214" t="s">
        <v>46</v>
      </c>
      <c r="I214" t="s">
        <v>1957</v>
      </c>
      <c r="J214" t="s">
        <v>6459</v>
      </c>
      <c r="K214" t="s">
        <v>6460</v>
      </c>
      <c r="L214" s="11" t="s">
        <v>6459</v>
      </c>
    </row>
    <row r="215" spans="1:12">
      <c r="A215" t="s">
        <v>6462</v>
      </c>
      <c r="B215" s="9">
        <v>2977</v>
      </c>
      <c r="C215" s="9">
        <v>74.315880000000007</v>
      </c>
      <c r="D215">
        <v>2</v>
      </c>
      <c r="E215">
        <v>2</v>
      </c>
      <c r="F215">
        <v>2</v>
      </c>
      <c r="G215" s="10">
        <v>1</v>
      </c>
      <c r="H215" t="s">
        <v>46</v>
      </c>
      <c r="I215" t="s">
        <v>1957</v>
      </c>
      <c r="J215" t="s">
        <v>6463</v>
      </c>
      <c r="K215" t="s">
        <v>6464</v>
      </c>
      <c r="L215" s="11" t="s">
        <v>6393</v>
      </c>
    </row>
    <row r="216" spans="1:12">
      <c r="A216" t="s">
        <v>6465</v>
      </c>
      <c r="B216" s="9">
        <v>3396</v>
      </c>
      <c r="C216" s="9">
        <v>16.637533999999999</v>
      </c>
      <c r="D216">
        <v>2</v>
      </c>
      <c r="E216">
        <v>1</v>
      </c>
      <c r="F216">
        <v>1</v>
      </c>
      <c r="G216" s="10">
        <v>0.5</v>
      </c>
      <c r="H216" t="s">
        <v>46</v>
      </c>
      <c r="I216" t="s">
        <v>1957</v>
      </c>
      <c r="J216" t="s">
        <v>6466</v>
      </c>
      <c r="K216" t="s">
        <v>6467</v>
      </c>
      <c r="L216" s="11" t="s">
        <v>6466</v>
      </c>
    </row>
    <row r="217" spans="1:12">
      <c r="A217" t="s">
        <v>6468</v>
      </c>
      <c r="B217" s="9">
        <v>3709</v>
      </c>
      <c r="C217" s="9">
        <v>9.7775040000000004</v>
      </c>
      <c r="D217">
        <v>3</v>
      </c>
      <c r="E217">
        <v>3</v>
      </c>
      <c r="F217">
        <v>3</v>
      </c>
      <c r="G217" s="10">
        <v>1</v>
      </c>
      <c r="H217" t="s">
        <v>46</v>
      </c>
      <c r="I217" t="s">
        <v>1957</v>
      </c>
      <c r="J217" t="s">
        <v>6469</v>
      </c>
      <c r="K217" t="s">
        <v>6470</v>
      </c>
      <c r="L217" s="11" t="s">
        <v>6469</v>
      </c>
    </row>
    <row r="218" spans="1:12">
      <c r="A218" t="s">
        <v>6471</v>
      </c>
      <c r="B218" s="9">
        <v>3330</v>
      </c>
      <c r="C218" s="9">
        <v>3.2812209999999999</v>
      </c>
      <c r="D218">
        <v>3</v>
      </c>
      <c r="E218">
        <v>3</v>
      </c>
      <c r="F218">
        <v>3</v>
      </c>
      <c r="G218" s="10">
        <v>1</v>
      </c>
      <c r="H218" t="s">
        <v>46</v>
      </c>
      <c r="I218" t="s">
        <v>1957</v>
      </c>
      <c r="J218" t="s">
        <v>6472</v>
      </c>
      <c r="K218" t="s">
        <v>6470</v>
      </c>
      <c r="L218" s="11" t="s">
        <v>6472</v>
      </c>
    </row>
    <row r="219" spans="1:12">
      <c r="A219" t="s">
        <v>6473</v>
      </c>
      <c r="B219" s="9">
        <v>2776</v>
      </c>
      <c r="C219" s="9">
        <v>3.7497240000000001</v>
      </c>
      <c r="D219">
        <v>3</v>
      </c>
      <c r="E219">
        <v>3</v>
      </c>
      <c r="F219">
        <v>3</v>
      </c>
      <c r="G219" s="10">
        <v>1</v>
      </c>
      <c r="H219" t="s">
        <v>46</v>
      </c>
      <c r="I219" t="s">
        <v>1957</v>
      </c>
      <c r="J219" t="s">
        <v>6472</v>
      </c>
      <c r="K219" t="s">
        <v>6470</v>
      </c>
      <c r="L219" s="11" t="s">
        <v>6472</v>
      </c>
    </row>
    <row r="220" spans="1:12">
      <c r="A220" t="s">
        <v>6474</v>
      </c>
      <c r="B220" s="9">
        <v>2564</v>
      </c>
      <c r="C220" s="9">
        <v>4.3455560000000002</v>
      </c>
      <c r="D220">
        <v>2</v>
      </c>
      <c r="E220">
        <v>2</v>
      </c>
      <c r="F220">
        <v>2</v>
      </c>
      <c r="G220" s="10">
        <v>1</v>
      </c>
      <c r="H220" t="s">
        <v>46</v>
      </c>
      <c r="I220" t="s">
        <v>1957</v>
      </c>
      <c r="J220" t="s">
        <v>6475</v>
      </c>
      <c r="K220" t="s">
        <v>6470</v>
      </c>
      <c r="L220" s="11" t="s">
        <v>6475</v>
      </c>
    </row>
    <row r="221" spans="1:12">
      <c r="A221" t="s">
        <v>6476</v>
      </c>
      <c r="B221" s="9">
        <v>2207</v>
      </c>
      <c r="C221" s="9">
        <v>3.6998139999999999</v>
      </c>
      <c r="D221">
        <v>2</v>
      </c>
      <c r="E221">
        <v>2</v>
      </c>
      <c r="F221">
        <v>2</v>
      </c>
      <c r="G221" s="10">
        <v>1</v>
      </c>
      <c r="H221" t="s">
        <v>46</v>
      </c>
      <c r="I221" t="s">
        <v>1957</v>
      </c>
      <c r="J221" t="s">
        <v>6475</v>
      </c>
      <c r="K221" t="s">
        <v>6470</v>
      </c>
      <c r="L221" s="11" t="s">
        <v>6475</v>
      </c>
    </row>
    <row r="222" spans="1:12">
      <c r="A222" t="s">
        <v>6477</v>
      </c>
      <c r="B222" s="9">
        <v>2160</v>
      </c>
      <c r="C222" s="9">
        <v>4.8018999999999998</v>
      </c>
      <c r="D222">
        <v>2</v>
      </c>
      <c r="E222">
        <v>2</v>
      </c>
      <c r="F222">
        <v>2</v>
      </c>
      <c r="G222" s="10">
        <v>1</v>
      </c>
      <c r="H222" t="s">
        <v>46</v>
      </c>
      <c r="I222" t="s">
        <v>1957</v>
      </c>
      <c r="J222" t="s">
        <v>6475</v>
      </c>
      <c r="K222" t="s">
        <v>6470</v>
      </c>
      <c r="L222" s="11" t="s">
        <v>6475</v>
      </c>
    </row>
    <row r="223" spans="1:12">
      <c r="A223" t="s">
        <v>6478</v>
      </c>
      <c r="B223" s="9">
        <v>9651</v>
      </c>
      <c r="C223" s="9">
        <v>133.83097100000001</v>
      </c>
      <c r="D223">
        <v>4</v>
      </c>
      <c r="E223">
        <v>4</v>
      </c>
      <c r="F223">
        <v>4</v>
      </c>
      <c r="G223" s="10">
        <v>1</v>
      </c>
      <c r="H223" t="s">
        <v>46</v>
      </c>
      <c r="I223" t="s">
        <v>1957</v>
      </c>
      <c r="J223" t="s">
        <v>6479</v>
      </c>
      <c r="K223" t="s">
        <v>6480</v>
      </c>
      <c r="L223" s="11" t="s">
        <v>6481</v>
      </c>
    </row>
    <row r="224" spans="1:12">
      <c r="A224" t="s">
        <v>6482</v>
      </c>
      <c r="B224" s="9">
        <v>6061</v>
      </c>
      <c r="C224" s="9">
        <v>8.6250420000000005</v>
      </c>
      <c r="D224">
        <v>3</v>
      </c>
      <c r="E224">
        <v>3</v>
      </c>
      <c r="F224">
        <v>3</v>
      </c>
      <c r="G224" s="10">
        <v>1</v>
      </c>
      <c r="H224" t="s">
        <v>46</v>
      </c>
      <c r="I224" t="s">
        <v>1957</v>
      </c>
      <c r="J224" t="s">
        <v>6483</v>
      </c>
      <c r="K224" t="s">
        <v>6484</v>
      </c>
      <c r="L224" s="11" t="s">
        <v>6485</v>
      </c>
    </row>
    <row r="225" spans="1:12">
      <c r="A225" t="s">
        <v>6486</v>
      </c>
      <c r="B225" s="9">
        <v>6018</v>
      </c>
      <c r="C225" s="9">
        <v>5.268154</v>
      </c>
      <c r="D225">
        <v>2</v>
      </c>
      <c r="E225">
        <v>2</v>
      </c>
      <c r="F225">
        <v>2</v>
      </c>
      <c r="G225" s="10">
        <v>1</v>
      </c>
      <c r="H225" t="s">
        <v>46</v>
      </c>
      <c r="I225" t="s">
        <v>1957</v>
      </c>
      <c r="J225" t="s">
        <v>6487</v>
      </c>
      <c r="K225" t="s">
        <v>6488</v>
      </c>
      <c r="L225" s="11" t="s">
        <v>6489</v>
      </c>
    </row>
    <row r="226" spans="1:12">
      <c r="A226" t="s">
        <v>6490</v>
      </c>
      <c r="B226" s="9">
        <v>2581</v>
      </c>
      <c r="C226" s="9">
        <v>3.1349960000000001</v>
      </c>
      <c r="D226">
        <v>2</v>
      </c>
      <c r="E226">
        <v>2</v>
      </c>
      <c r="F226">
        <v>2</v>
      </c>
      <c r="G226" s="10">
        <v>1</v>
      </c>
      <c r="H226" t="s">
        <v>46</v>
      </c>
      <c r="I226" t="s">
        <v>1957</v>
      </c>
      <c r="J226" t="s">
        <v>6491</v>
      </c>
      <c r="K226" t="s">
        <v>6492</v>
      </c>
      <c r="L226" s="11" t="s">
        <v>6493</v>
      </c>
    </row>
    <row r="227" spans="1:12">
      <c r="A227" t="s">
        <v>6494</v>
      </c>
      <c r="B227" s="9">
        <v>7370</v>
      </c>
      <c r="C227" s="9">
        <v>5.5547510000000004</v>
      </c>
      <c r="D227">
        <v>3</v>
      </c>
      <c r="E227">
        <v>3</v>
      </c>
      <c r="F227">
        <v>2</v>
      </c>
      <c r="G227" s="10">
        <v>0.66666666666666663</v>
      </c>
      <c r="H227" t="s">
        <v>46</v>
      </c>
      <c r="I227" t="s">
        <v>1957</v>
      </c>
      <c r="J227" t="s">
        <v>6495</v>
      </c>
      <c r="K227" t="s">
        <v>6496</v>
      </c>
      <c r="L227" s="11" t="s">
        <v>6497</v>
      </c>
    </row>
    <row r="228" spans="1:12">
      <c r="A228" t="s">
        <v>6498</v>
      </c>
      <c r="B228" s="9">
        <v>2164</v>
      </c>
      <c r="C228" s="9">
        <v>5.6799429999999997</v>
      </c>
      <c r="D228">
        <v>2</v>
      </c>
      <c r="E228">
        <v>2</v>
      </c>
      <c r="F228">
        <v>2</v>
      </c>
      <c r="G228" s="10">
        <v>1</v>
      </c>
      <c r="H228" t="s">
        <v>46</v>
      </c>
      <c r="I228" t="s">
        <v>1957</v>
      </c>
      <c r="J228" t="s">
        <v>6499</v>
      </c>
      <c r="K228" t="s">
        <v>6500</v>
      </c>
      <c r="L228" s="11" t="s">
        <v>6501</v>
      </c>
    </row>
    <row r="229" spans="1:12">
      <c r="A229" t="s">
        <v>6502</v>
      </c>
      <c r="B229" s="9">
        <v>6013</v>
      </c>
      <c r="C229" s="9">
        <v>28.507217000000001</v>
      </c>
      <c r="D229">
        <v>3</v>
      </c>
      <c r="E229">
        <v>3</v>
      </c>
      <c r="F229">
        <v>3</v>
      </c>
      <c r="G229" s="10">
        <v>1</v>
      </c>
      <c r="H229" t="s">
        <v>46</v>
      </c>
      <c r="I229" t="s">
        <v>1957</v>
      </c>
      <c r="J229" t="s">
        <v>6503</v>
      </c>
      <c r="K229" t="s">
        <v>6504</v>
      </c>
      <c r="L229" s="11" t="s">
        <v>6505</v>
      </c>
    </row>
    <row r="230" spans="1:12">
      <c r="A230" t="s">
        <v>6506</v>
      </c>
      <c r="B230" s="9">
        <v>2688</v>
      </c>
      <c r="C230" s="9">
        <v>3.1238130000000002</v>
      </c>
      <c r="D230">
        <v>2</v>
      </c>
      <c r="E230">
        <v>2</v>
      </c>
      <c r="F230">
        <v>2</v>
      </c>
      <c r="G230" s="10">
        <v>1</v>
      </c>
      <c r="H230" t="s">
        <v>46</v>
      </c>
      <c r="I230" t="s">
        <v>1957</v>
      </c>
      <c r="J230" t="s">
        <v>6507</v>
      </c>
      <c r="K230" t="s">
        <v>6504</v>
      </c>
      <c r="L230" s="11" t="s">
        <v>6507</v>
      </c>
    </row>
    <row r="231" spans="1:12">
      <c r="A231" t="s">
        <v>6508</v>
      </c>
      <c r="B231" s="9">
        <v>21551</v>
      </c>
      <c r="C231" s="9">
        <v>17.455759</v>
      </c>
      <c r="D231">
        <v>11</v>
      </c>
      <c r="E231">
        <v>7</v>
      </c>
      <c r="F231">
        <v>8</v>
      </c>
      <c r="G231" s="10">
        <v>0.72727272727272729</v>
      </c>
      <c r="H231" t="s">
        <v>46</v>
      </c>
      <c r="I231" t="s">
        <v>1957</v>
      </c>
      <c r="J231" t="s">
        <v>6509</v>
      </c>
      <c r="K231" t="s">
        <v>6510</v>
      </c>
      <c r="L231" s="11" t="s">
        <v>6511</v>
      </c>
    </row>
    <row r="232" spans="1:12">
      <c r="A232" t="s">
        <v>6512</v>
      </c>
      <c r="B232" s="9">
        <v>2188</v>
      </c>
      <c r="C232" s="9">
        <v>3.784341</v>
      </c>
      <c r="D232">
        <v>2</v>
      </c>
      <c r="E232">
        <v>2</v>
      </c>
      <c r="F232">
        <v>2</v>
      </c>
      <c r="G232" s="10">
        <v>1</v>
      </c>
      <c r="H232" t="s">
        <v>46</v>
      </c>
      <c r="I232" t="s">
        <v>1957</v>
      </c>
      <c r="J232" t="s">
        <v>6513</v>
      </c>
      <c r="K232" t="s">
        <v>6514</v>
      </c>
      <c r="L232" s="11" t="s">
        <v>6513</v>
      </c>
    </row>
    <row r="233" spans="1:12">
      <c r="A233" t="s">
        <v>6515</v>
      </c>
      <c r="B233" s="9">
        <v>2555</v>
      </c>
      <c r="C233" s="9">
        <v>2.3435999999999999</v>
      </c>
      <c r="D233">
        <v>2</v>
      </c>
      <c r="E233">
        <v>2</v>
      </c>
      <c r="F233">
        <v>2</v>
      </c>
      <c r="G233" s="10">
        <v>1</v>
      </c>
      <c r="H233" t="s">
        <v>46</v>
      </c>
      <c r="I233" t="s">
        <v>1957</v>
      </c>
      <c r="J233" t="s">
        <v>6516</v>
      </c>
      <c r="K233" t="s">
        <v>6517</v>
      </c>
      <c r="L233" s="11" t="s">
        <v>6516</v>
      </c>
    </row>
    <row r="234" spans="1:12">
      <c r="A234" t="s">
        <v>6518</v>
      </c>
      <c r="B234" s="9">
        <v>3270</v>
      </c>
      <c r="C234" s="9">
        <v>3.9060649999999999</v>
      </c>
      <c r="D234">
        <v>2</v>
      </c>
      <c r="E234">
        <v>2</v>
      </c>
      <c r="F234">
        <v>2</v>
      </c>
      <c r="G234" s="10">
        <v>1</v>
      </c>
      <c r="H234" t="s">
        <v>46</v>
      </c>
      <c r="I234" t="s">
        <v>1957</v>
      </c>
      <c r="J234" t="s">
        <v>6519</v>
      </c>
      <c r="K234" t="s">
        <v>6520</v>
      </c>
      <c r="L234" s="11" t="s">
        <v>6519</v>
      </c>
    </row>
    <row r="235" spans="1:12">
      <c r="A235" t="s">
        <v>6521</v>
      </c>
      <c r="B235" s="9">
        <v>6323</v>
      </c>
      <c r="C235" s="9">
        <v>6.8008930000000003</v>
      </c>
      <c r="D235">
        <v>5</v>
      </c>
      <c r="E235">
        <v>4</v>
      </c>
      <c r="F235">
        <v>3</v>
      </c>
      <c r="G235" s="10">
        <v>0.6</v>
      </c>
      <c r="H235" t="s">
        <v>46</v>
      </c>
      <c r="I235" t="s">
        <v>1957</v>
      </c>
      <c r="J235" t="s">
        <v>6522</v>
      </c>
      <c r="K235" t="s">
        <v>6523</v>
      </c>
      <c r="L235" s="11" t="s">
        <v>6522</v>
      </c>
    </row>
    <row r="236" spans="1:12">
      <c r="A236" t="s">
        <v>6524</v>
      </c>
      <c r="B236" s="9">
        <v>4468</v>
      </c>
      <c r="C236" s="9">
        <v>5.0849760000000002</v>
      </c>
      <c r="D236">
        <v>2</v>
      </c>
      <c r="E236">
        <v>2</v>
      </c>
      <c r="F236">
        <v>2</v>
      </c>
      <c r="G236" s="10">
        <v>1</v>
      </c>
      <c r="H236" t="s">
        <v>46</v>
      </c>
      <c r="I236" t="s">
        <v>1957</v>
      </c>
      <c r="J236" t="s">
        <v>6525</v>
      </c>
      <c r="K236" t="s">
        <v>6526</v>
      </c>
      <c r="L236" s="11" t="s">
        <v>6525</v>
      </c>
    </row>
    <row r="237" spans="1:12">
      <c r="A237" t="s">
        <v>6527</v>
      </c>
      <c r="B237" s="9">
        <v>4163</v>
      </c>
      <c r="C237" s="9">
        <v>36.522882000000003</v>
      </c>
      <c r="D237">
        <v>3</v>
      </c>
      <c r="E237">
        <v>3</v>
      </c>
      <c r="F237">
        <v>3</v>
      </c>
      <c r="G237" s="10">
        <v>1</v>
      </c>
      <c r="H237" t="s">
        <v>46</v>
      </c>
      <c r="I237" t="s">
        <v>1957</v>
      </c>
      <c r="J237" t="s">
        <v>6528</v>
      </c>
      <c r="K237" t="s">
        <v>6529</v>
      </c>
      <c r="L237" s="11" t="s">
        <v>6530</v>
      </c>
    </row>
    <row r="238" spans="1:12">
      <c r="A238" t="s">
        <v>6531</v>
      </c>
      <c r="B238" s="9">
        <v>3714</v>
      </c>
      <c r="C238" s="9">
        <v>9.9059849999999994</v>
      </c>
      <c r="D238">
        <v>4</v>
      </c>
      <c r="E238">
        <v>4</v>
      </c>
      <c r="F238">
        <v>4</v>
      </c>
      <c r="G238" s="10">
        <v>1</v>
      </c>
      <c r="H238" t="s">
        <v>46</v>
      </c>
      <c r="I238" t="s">
        <v>1957</v>
      </c>
      <c r="J238" t="s">
        <v>6532</v>
      </c>
      <c r="K238" t="s">
        <v>6533</v>
      </c>
      <c r="L238" s="11" t="s">
        <v>6534</v>
      </c>
    </row>
    <row r="239" spans="1:12">
      <c r="A239" t="s">
        <v>6535</v>
      </c>
      <c r="B239" s="9">
        <v>2974</v>
      </c>
      <c r="C239" s="9">
        <v>3.4165809999999999</v>
      </c>
      <c r="D239">
        <v>3</v>
      </c>
      <c r="E239">
        <v>3</v>
      </c>
      <c r="F239">
        <v>3</v>
      </c>
      <c r="G239" s="10">
        <v>1</v>
      </c>
      <c r="H239" t="s">
        <v>46</v>
      </c>
      <c r="I239" t="s">
        <v>1957</v>
      </c>
      <c r="J239" t="s">
        <v>6536</v>
      </c>
      <c r="K239" t="s">
        <v>6533</v>
      </c>
      <c r="L239" s="11" t="s">
        <v>6537</v>
      </c>
    </row>
    <row r="240" spans="1:12">
      <c r="A240" t="s">
        <v>6538</v>
      </c>
      <c r="B240" s="9">
        <v>2099</v>
      </c>
      <c r="C240" s="9">
        <v>11.670254</v>
      </c>
      <c r="D240">
        <v>2</v>
      </c>
      <c r="E240">
        <v>2</v>
      </c>
      <c r="F240">
        <v>1</v>
      </c>
      <c r="G240" s="10">
        <v>0.5</v>
      </c>
      <c r="H240" t="s">
        <v>46</v>
      </c>
      <c r="I240" t="s">
        <v>1957</v>
      </c>
      <c r="J240" t="s">
        <v>6539</v>
      </c>
      <c r="K240" t="s">
        <v>6540</v>
      </c>
      <c r="L240" s="11" t="s">
        <v>6539</v>
      </c>
    </row>
    <row r="241" spans="1:12">
      <c r="A241" t="s">
        <v>6541</v>
      </c>
      <c r="B241" s="9">
        <v>3161</v>
      </c>
      <c r="C241" s="9">
        <v>4.8618800000000002</v>
      </c>
      <c r="D241">
        <v>3</v>
      </c>
      <c r="E241">
        <v>3</v>
      </c>
      <c r="F241">
        <v>3</v>
      </c>
      <c r="G241" s="10">
        <v>1</v>
      </c>
      <c r="H241" t="s">
        <v>46</v>
      </c>
      <c r="I241" t="s">
        <v>1957</v>
      </c>
      <c r="J241" t="s">
        <v>6542</v>
      </c>
      <c r="K241" t="s">
        <v>6543</v>
      </c>
      <c r="L241" s="11" t="s">
        <v>6544</v>
      </c>
    </row>
    <row r="242" spans="1:12">
      <c r="A242" t="s">
        <v>6545</v>
      </c>
      <c r="B242" s="9">
        <v>2712</v>
      </c>
      <c r="C242" s="9">
        <v>3.156568</v>
      </c>
      <c r="D242">
        <v>2</v>
      </c>
      <c r="E242">
        <v>2</v>
      </c>
      <c r="F242">
        <v>2</v>
      </c>
      <c r="G242" s="10">
        <v>1</v>
      </c>
      <c r="H242" t="s">
        <v>46</v>
      </c>
      <c r="I242" t="s">
        <v>1957</v>
      </c>
      <c r="J242" t="s">
        <v>6542</v>
      </c>
      <c r="K242" t="s">
        <v>6543</v>
      </c>
      <c r="L242" s="11" t="s">
        <v>6542</v>
      </c>
    </row>
    <row r="243" spans="1:12">
      <c r="A243" t="s">
        <v>6546</v>
      </c>
      <c r="B243" s="9">
        <v>3250</v>
      </c>
      <c r="C243" s="9">
        <v>5.20939</v>
      </c>
      <c r="D243">
        <v>2</v>
      </c>
      <c r="E243">
        <v>2</v>
      </c>
      <c r="F243">
        <v>2</v>
      </c>
      <c r="G243" s="10">
        <v>1</v>
      </c>
      <c r="H243" t="s">
        <v>46</v>
      </c>
      <c r="I243" t="s">
        <v>1957</v>
      </c>
      <c r="J243" t="s">
        <v>6547</v>
      </c>
      <c r="K243" t="s">
        <v>6548</v>
      </c>
      <c r="L243" s="11" t="s">
        <v>6547</v>
      </c>
    </row>
    <row r="244" spans="1:12">
      <c r="A244" t="s">
        <v>6549</v>
      </c>
      <c r="B244" s="9">
        <v>2092</v>
      </c>
      <c r="C244" s="9">
        <v>4.730486</v>
      </c>
      <c r="D244">
        <v>2</v>
      </c>
      <c r="E244">
        <v>2</v>
      </c>
      <c r="F244">
        <v>2</v>
      </c>
      <c r="G244" s="10">
        <v>1</v>
      </c>
      <c r="H244" t="s">
        <v>46</v>
      </c>
      <c r="I244" t="s">
        <v>1957</v>
      </c>
      <c r="J244" t="s">
        <v>6550</v>
      </c>
      <c r="K244" t="s">
        <v>6551</v>
      </c>
      <c r="L244" s="11" t="s">
        <v>6550</v>
      </c>
    </row>
    <row r="245" spans="1:12">
      <c r="A245" t="s">
        <v>6552</v>
      </c>
      <c r="B245" s="9">
        <v>3859</v>
      </c>
      <c r="C245" s="9">
        <v>4.6727129999999999</v>
      </c>
      <c r="D245">
        <v>3</v>
      </c>
      <c r="E245">
        <v>3</v>
      </c>
      <c r="F245">
        <v>3</v>
      </c>
      <c r="G245" s="10">
        <v>1</v>
      </c>
      <c r="H245" t="s">
        <v>46</v>
      </c>
      <c r="I245" t="s">
        <v>1957</v>
      </c>
      <c r="J245" t="s">
        <v>6553</v>
      </c>
      <c r="K245" t="s">
        <v>6554</v>
      </c>
      <c r="L245" s="11" t="s">
        <v>6555</v>
      </c>
    </row>
    <row r="246" spans="1:12">
      <c r="A246" t="s">
        <v>6556</v>
      </c>
      <c r="B246" s="9">
        <v>2580</v>
      </c>
      <c r="C246" s="9">
        <v>3.8380200000000002</v>
      </c>
      <c r="D246">
        <v>2</v>
      </c>
      <c r="E246">
        <v>2</v>
      </c>
      <c r="F246">
        <v>2</v>
      </c>
      <c r="G246" s="10">
        <v>1</v>
      </c>
      <c r="H246" t="s">
        <v>46</v>
      </c>
      <c r="I246" t="s">
        <v>1957</v>
      </c>
      <c r="J246" t="s">
        <v>6557</v>
      </c>
      <c r="K246" t="s">
        <v>6558</v>
      </c>
      <c r="L246" s="11" t="s">
        <v>6559</v>
      </c>
    </row>
    <row r="247" spans="1:12">
      <c r="A247" t="s">
        <v>6560</v>
      </c>
      <c r="B247" s="9">
        <v>2436</v>
      </c>
      <c r="C247" s="9">
        <v>3.9987400000000002</v>
      </c>
      <c r="D247">
        <v>1</v>
      </c>
      <c r="E247">
        <v>1</v>
      </c>
      <c r="F247">
        <v>1</v>
      </c>
      <c r="G247" s="10">
        <v>1</v>
      </c>
      <c r="H247" t="s">
        <v>46</v>
      </c>
      <c r="I247" t="s">
        <v>1957</v>
      </c>
      <c r="J247" t="s">
        <v>6561</v>
      </c>
      <c r="K247" t="s">
        <v>6558</v>
      </c>
      <c r="L247" s="11" t="s">
        <v>6561</v>
      </c>
    </row>
    <row r="248" spans="1:12">
      <c r="A248" t="s">
        <v>6562</v>
      </c>
      <c r="B248" s="9">
        <v>3117</v>
      </c>
      <c r="C248" s="9">
        <v>77.849445000000003</v>
      </c>
      <c r="D248">
        <v>1</v>
      </c>
      <c r="E248">
        <v>1</v>
      </c>
      <c r="F248">
        <v>1</v>
      </c>
      <c r="G248" s="10">
        <v>1</v>
      </c>
      <c r="H248" t="s">
        <v>46</v>
      </c>
      <c r="I248" t="s">
        <v>1957</v>
      </c>
      <c r="J248" t="s">
        <v>6563</v>
      </c>
      <c r="K248" t="s">
        <v>6564</v>
      </c>
      <c r="L248" s="11" t="s">
        <v>6563</v>
      </c>
    </row>
    <row r="249" spans="1:12">
      <c r="A249" t="s">
        <v>6565</v>
      </c>
      <c r="B249" s="9">
        <v>3660</v>
      </c>
      <c r="C249" s="9">
        <v>15.113175999999999</v>
      </c>
      <c r="D249">
        <v>3</v>
      </c>
      <c r="E249">
        <v>3</v>
      </c>
      <c r="F249">
        <v>3</v>
      </c>
      <c r="G249" s="10">
        <v>1</v>
      </c>
      <c r="H249" t="s">
        <v>46</v>
      </c>
      <c r="I249" t="s">
        <v>1957</v>
      </c>
      <c r="J249" t="s">
        <v>6566</v>
      </c>
      <c r="K249" t="s">
        <v>6567</v>
      </c>
      <c r="L249" s="11" t="s">
        <v>6568</v>
      </c>
    </row>
    <row r="250" spans="1:12">
      <c r="A250" t="s">
        <v>6569</v>
      </c>
      <c r="B250" s="9">
        <v>3568</v>
      </c>
      <c r="C250" s="9">
        <v>2.9581550000000001</v>
      </c>
      <c r="D250">
        <v>2</v>
      </c>
      <c r="E250">
        <v>2</v>
      </c>
      <c r="F250">
        <v>2</v>
      </c>
      <c r="G250" s="10">
        <v>1</v>
      </c>
      <c r="H250" t="s">
        <v>46</v>
      </c>
      <c r="I250" t="s">
        <v>1957</v>
      </c>
      <c r="J250" t="s">
        <v>6570</v>
      </c>
      <c r="K250" t="s">
        <v>6571</v>
      </c>
      <c r="L250" s="11" t="s">
        <v>6570</v>
      </c>
    </row>
    <row r="251" spans="1:12">
      <c r="A251" t="s">
        <v>6572</v>
      </c>
      <c r="B251" s="9">
        <v>2795</v>
      </c>
      <c r="C251" s="9">
        <v>5.954745</v>
      </c>
      <c r="D251">
        <v>4</v>
      </c>
      <c r="E251">
        <v>4</v>
      </c>
      <c r="F251">
        <v>3</v>
      </c>
      <c r="G251" s="10">
        <v>0.75</v>
      </c>
      <c r="H251" t="s">
        <v>46</v>
      </c>
      <c r="I251" t="s">
        <v>1957</v>
      </c>
      <c r="J251" t="s">
        <v>6573</v>
      </c>
      <c r="K251" t="s">
        <v>6574</v>
      </c>
      <c r="L251" s="11" t="s">
        <v>6575</v>
      </c>
    </row>
    <row r="252" spans="1:12">
      <c r="A252" t="s">
        <v>6576</v>
      </c>
      <c r="B252" s="9">
        <v>2711</v>
      </c>
      <c r="C252" s="9">
        <v>4.7330569999999996</v>
      </c>
      <c r="D252">
        <v>4</v>
      </c>
      <c r="E252">
        <v>3</v>
      </c>
      <c r="F252">
        <v>3</v>
      </c>
      <c r="G252" s="10">
        <v>0.75</v>
      </c>
      <c r="H252" t="s">
        <v>46</v>
      </c>
      <c r="I252" t="s">
        <v>1957</v>
      </c>
      <c r="J252" t="s">
        <v>6577</v>
      </c>
      <c r="K252" t="s">
        <v>6578</v>
      </c>
      <c r="L252" s="11" t="s">
        <v>6579</v>
      </c>
    </row>
    <row r="253" spans="1:12">
      <c r="A253" t="s">
        <v>6580</v>
      </c>
      <c r="B253" s="9">
        <v>5990</v>
      </c>
      <c r="C253" s="9">
        <v>74.160235999999998</v>
      </c>
      <c r="D253">
        <v>5</v>
      </c>
      <c r="E253">
        <v>5</v>
      </c>
      <c r="F253">
        <v>5</v>
      </c>
      <c r="G253" s="10">
        <v>1</v>
      </c>
      <c r="H253" t="s">
        <v>46</v>
      </c>
      <c r="I253" t="s">
        <v>1957</v>
      </c>
      <c r="J253" t="s">
        <v>6581</v>
      </c>
      <c r="K253" t="s">
        <v>6582</v>
      </c>
      <c r="L253" s="11" t="s">
        <v>6581</v>
      </c>
    </row>
    <row r="254" spans="1:12">
      <c r="A254" t="s">
        <v>6583</v>
      </c>
      <c r="B254" s="9">
        <v>5323</v>
      </c>
      <c r="C254" s="9">
        <v>18.882878000000002</v>
      </c>
      <c r="D254">
        <v>3</v>
      </c>
      <c r="E254">
        <v>3</v>
      </c>
      <c r="F254">
        <v>3</v>
      </c>
      <c r="G254" s="10">
        <v>1</v>
      </c>
      <c r="H254" t="s">
        <v>46</v>
      </c>
      <c r="I254" t="s">
        <v>1957</v>
      </c>
      <c r="J254" t="s">
        <v>6584</v>
      </c>
      <c r="K254" t="s">
        <v>6582</v>
      </c>
      <c r="L254" s="11" t="s">
        <v>6584</v>
      </c>
    </row>
    <row r="255" spans="1:12">
      <c r="A255" t="s">
        <v>6585</v>
      </c>
      <c r="B255" s="9">
        <v>2438</v>
      </c>
      <c r="C255" s="9">
        <v>4.6160300000000003</v>
      </c>
      <c r="D255">
        <v>1</v>
      </c>
      <c r="E255">
        <v>1</v>
      </c>
      <c r="F255">
        <v>1</v>
      </c>
      <c r="G255" s="10">
        <v>1</v>
      </c>
      <c r="H255" t="s">
        <v>46</v>
      </c>
      <c r="I255" t="s">
        <v>1957</v>
      </c>
      <c r="J255" t="s">
        <v>6586</v>
      </c>
      <c r="K255" t="s">
        <v>6582</v>
      </c>
      <c r="L255" s="11" t="s">
        <v>6586</v>
      </c>
    </row>
    <row r="256" spans="1:12">
      <c r="A256" t="s">
        <v>6587</v>
      </c>
      <c r="B256" s="9">
        <v>6215</v>
      </c>
      <c r="C256" s="9">
        <v>27.048539000000002</v>
      </c>
      <c r="D256">
        <v>5</v>
      </c>
      <c r="E256">
        <v>4</v>
      </c>
      <c r="F256">
        <v>4</v>
      </c>
      <c r="G256" s="10">
        <v>0.8</v>
      </c>
      <c r="H256" t="s">
        <v>46</v>
      </c>
      <c r="I256" t="s">
        <v>1957</v>
      </c>
      <c r="J256" t="s">
        <v>6581</v>
      </c>
      <c r="K256" t="s">
        <v>6582</v>
      </c>
      <c r="L256" s="11" t="s">
        <v>6581</v>
      </c>
    </row>
    <row r="257" spans="1:12">
      <c r="A257" t="s">
        <v>6588</v>
      </c>
      <c r="B257" s="9">
        <v>15924</v>
      </c>
      <c r="C257" s="9">
        <v>11.425043000000001</v>
      </c>
      <c r="D257">
        <v>12</v>
      </c>
      <c r="E257">
        <v>10</v>
      </c>
      <c r="F257">
        <v>9</v>
      </c>
      <c r="G257" s="10">
        <v>0.75</v>
      </c>
      <c r="H257" t="s">
        <v>46</v>
      </c>
      <c r="I257" t="s">
        <v>1957</v>
      </c>
      <c r="J257" t="s">
        <v>6589</v>
      </c>
      <c r="K257" t="s">
        <v>6590</v>
      </c>
      <c r="L257" s="11" t="s">
        <v>6591</v>
      </c>
    </row>
    <row r="258" spans="1:12">
      <c r="A258" t="s">
        <v>6592</v>
      </c>
      <c r="B258" s="9">
        <v>2955</v>
      </c>
      <c r="C258" s="9">
        <v>7.8848279999999997</v>
      </c>
      <c r="D258">
        <v>2</v>
      </c>
      <c r="E258">
        <v>2</v>
      </c>
      <c r="F258">
        <v>2</v>
      </c>
      <c r="G258" s="10">
        <v>1</v>
      </c>
      <c r="H258" t="s">
        <v>46</v>
      </c>
      <c r="I258" t="s">
        <v>1957</v>
      </c>
      <c r="J258" t="s">
        <v>6593</v>
      </c>
      <c r="K258" t="s">
        <v>6594</v>
      </c>
      <c r="L258" s="11" t="s">
        <v>6593</v>
      </c>
    </row>
    <row r="259" spans="1:12">
      <c r="A259" t="s">
        <v>6595</v>
      </c>
      <c r="B259" s="9">
        <v>2729</v>
      </c>
      <c r="C259" s="9">
        <v>60.753926999999997</v>
      </c>
      <c r="D259">
        <v>3</v>
      </c>
      <c r="E259">
        <v>2</v>
      </c>
      <c r="F259">
        <v>3</v>
      </c>
      <c r="G259" s="10">
        <v>1</v>
      </c>
      <c r="H259" t="s">
        <v>46</v>
      </c>
      <c r="I259" t="s">
        <v>1957</v>
      </c>
      <c r="J259" t="s">
        <v>6593</v>
      </c>
      <c r="K259" t="s">
        <v>6594</v>
      </c>
      <c r="L259" s="11" t="s">
        <v>6593</v>
      </c>
    </row>
    <row r="260" spans="1:12">
      <c r="A260" t="s">
        <v>6596</v>
      </c>
      <c r="B260" s="9">
        <v>2639</v>
      </c>
      <c r="C260" s="9">
        <v>7.7426469999999998</v>
      </c>
      <c r="D260">
        <v>2</v>
      </c>
      <c r="E260">
        <v>2</v>
      </c>
      <c r="F260">
        <v>2</v>
      </c>
      <c r="G260" s="10">
        <v>1</v>
      </c>
      <c r="H260" t="s">
        <v>46</v>
      </c>
      <c r="I260" t="s">
        <v>1957</v>
      </c>
      <c r="J260" t="s">
        <v>6593</v>
      </c>
      <c r="K260" t="s">
        <v>6594</v>
      </c>
      <c r="L260" s="11" t="s">
        <v>6593</v>
      </c>
    </row>
    <row r="261" spans="1:12">
      <c r="A261" t="s">
        <v>6597</v>
      </c>
      <c r="B261" s="9">
        <v>2548</v>
      </c>
      <c r="C261" s="9">
        <v>61.196950999999999</v>
      </c>
      <c r="D261">
        <v>1</v>
      </c>
      <c r="E261">
        <v>1</v>
      </c>
      <c r="F261">
        <v>1</v>
      </c>
      <c r="G261" s="10">
        <v>1</v>
      </c>
      <c r="H261" t="s">
        <v>46</v>
      </c>
      <c r="I261" t="s">
        <v>1957</v>
      </c>
      <c r="J261" t="s">
        <v>6593</v>
      </c>
      <c r="K261" t="s">
        <v>6594</v>
      </c>
      <c r="L261" s="11" t="s">
        <v>6593</v>
      </c>
    </row>
    <row r="262" spans="1:12">
      <c r="A262" t="s">
        <v>6598</v>
      </c>
      <c r="B262" s="9">
        <v>2355</v>
      </c>
      <c r="C262" s="9">
        <v>3.4982609999999998</v>
      </c>
      <c r="D262">
        <v>1</v>
      </c>
      <c r="E262">
        <v>1</v>
      </c>
      <c r="F262">
        <v>1</v>
      </c>
      <c r="G262" s="10">
        <v>1</v>
      </c>
      <c r="H262" t="s">
        <v>46</v>
      </c>
      <c r="I262" t="s">
        <v>1957</v>
      </c>
      <c r="J262" t="s">
        <v>6593</v>
      </c>
      <c r="K262" t="s">
        <v>6594</v>
      </c>
      <c r="L262" s="11" t="s">
        <v>6593</v>
      </c>
    </row>
    <row r="263" spans="1:12">
      <c r="A263" t="s">
        <v>6599</v>
      </c>
      <c r="B263" s="9">
        <v>2199</v>
      </c>
      <c r="C263" s="9">
        <v>15.528918000000001</v>
      </c>
      <c r="D263">
        <v>4</v>
      </c>
      <c r="E263">
        <v>2</v>
      </c>
      <c r="F263">
        <v>2</v>
      </c>
      <c r="G263" s="10">
        <v>0.5</v>
      </c>
      <c r="H263" t="s">
        <v>46</v>
      </c>
      <c r="I263" t="s">
        <v>1957</v>
      </c>
      <c r="J263" t="s">
        <v>6593</v>
      </c>
      <c r="K263" t="s">
        <v>6594</v>
      </c>
      <c r="L263" s="11" t="s">
        <v>6593</v>
      </c>
    </row>
    <row r="264" spans="1:12">
      <c r="A264" t="s">
        <v>6600</v>
      </c>
      <c r="B264" s="9">
        <v>2957</v>
      </c>
      <c r="C264" s="9">
        <v>6.0086149999999998</v>
      </c>
      <c r="D264">
        <v>1</v>
      </c>
      <c r="E264">
        <v>1</v>
      </c>
      <c r="F264">
        <v>1</v>
      </c>
      <c r="G264" s="10">
        <v>1</v>
      </c>
      <c r="H264" t="s">
        <v>46</v>
      </c>
      <c r="I264" t="s">
        <v>1957</v>
      </c>
      <c r="J264" t="s">
        <v>6601</v>
      </c>
      <c r="K264" t="s">
        <v>6602</v>
      </c>
      <c r="L264" s="11" t="s">
        <v>6601</v>
      </c>
    </row>
    <row r="265" spans="1:12">
      <c r="A265" t="s">
        <v>6603</v>
      </c>
      <c r="B265" s="9">
        <v>3346</v>
      </c>
      <c r="C265" s="9">
        <v>3.1786690000000002</v>
      </c>
      <c r="D265">
        <v>2</v>
      </c>
      <c r="E265">
        <v>2</v>
      </c>
      <c r="F265">
        <v>2</v>
      </c>
      <c r="G265" s="10">
        <v>1</v>
      </c>
      <c r="H265" t="s">
        <v>46</v>
      </c>
      <c r="I265" t="s">
        <v>1957</v>
      </c>
      <c r="J265" t="s">
        <v>6604</v>
      </c>
      <c r="K265" t="s">
        <v>6605</v>
      </c>
      <c r="L265" s="11" t="s">
        <v>6604</v>
      </c>
    </row>
    <row r="266" spans="1:12">
      <c r="A266" t="s">
        <v>6606</v>
      </c>
      <c r="B266" s="9">
        <v>3008</v>
      </c>
      <c r="C266" s="9">
        <v>3.9136470000000001</v>
      </c>
      <c r="D266">
        <v>2</v>
      </c>
      <c r="E266">
        <v>2</v>
      </c>
      <c r="F266">
        <v>2</v>
      </c>
      <c r="G266" s="10">
        <v>1</v>
      </c>
      <c r="H266" t="s">
        <v>46</v>
      </c>
      <c r="I266" t="s">
        <v>1957</v>
      </c>
      <c r="J266" t="s">
        <v>6604</v>
      </c>
      <c r="K266" t="s">
        <v>6605</v>
      </c>
      <c r="L266" s="11" t="s">
        <v>6604</v>
      </c>
    </row>
    <row r="267" spans="1:12">
      <c r="A267" t="s">
        <v>6607</v>
      </c>
      <c r="B267" s="9">
        <v>4495</v>
      </c>
      <c r="C267" s="9">
        <v>4.1972969999999998</v>
      </c>
      <c r="D267">
        <v>6</v>
      </c>
      <c r="E267">
        <v>5</v>
      </c>
      <c r="F267">
        <v>5</v>
      </c>
      <c r="G267" s="10">
        <v>0.83333333333333337</v>
      </c>
      <c r="H267" t="s">
        <v>46</v>
      </c>
      <c r="I267" t="s">
        <v>1957</v>
      </c>
      <c r="J267" t="s">
        <v>6608</v>
      </c>
      <c r="K267" t="s">
        <v>6609</v>
      </c>
      <c r="L267" s="11" t="s">
        <v>6610</v>
      </c>
    </row>
    <row r="268" spans="1:12">
      <c r="A268" t="s">
        <v>6611</v>
      </c>
      <c r="B268" s="9">
        <v>4274</v>
      </c>
      <c r="C268" s="9">
        <v>6.5814170000000001</v>
      </c>
      <c r="D268">
        <v>2</v>
      </c>
      <c r="E268">
        <v>2</v>
      </c>
      <c r="F268">
        <v>1</v>
      </c>
      <c r="G268" s="10">
        <v>0.5</v>
      </c>
      <c r="H268" t="s">
        <v>46</v>
      </c>
      <c r="I268" t="s">
        <v>1957</v>
      </c>
      <c r="J268" t="s">
        <v>6612</v>
      </c>
      <c r="K268" t="s">
        <v>6613</v>
      </c>
      <c r="L268" s="11" t="s">
        <v>6612</v>
      </c>
    </row>
    <row r="269" spans="1:12">
      <c r="A269" t="s">
        <v>6614</v>
      </c>
      <c r="B269" s="9">
        <v>3388</v>
      </c>
      <c r="C269" s="9">
        <v>4.5151519999999996</v>
      </c>
      <c r="D269">
        <v>3</v>
      </c>
      <c r="E269">
        <v>3</v>
      </c>
      <c r="F269">
        <v>3</v>
      </c>
      <c r="G269" s="10">
        <v>1</v>
      </c>
      <c r="H269" t="s">
        <v>46</v>
      </c>
      <c r="I269" t="s">
        <v>1957</v>
      </c>
      <c r="J269" t="s">
        <v>6615</v>
      </c>
      <c r="K269" t="s">
        <v>6616</v>
      </c>
      <c r="L269" s="11" t="s">
        <v>6617</v>
      </c>
    </row>
    <row r="270" spans="1:12">
      <c r="A270" t="s">
        <v>6618</v>
      </c>
      <c r="B270" s="9">
        <v>2701</v>
      </c>
      <c r="C270" s="9">
        <v>2.975813</v>
      </c>
      <c r="D270">
        <v>4</v>
      </c>
      <c r="E270">
        <v>4</v>
      </c>
      <c r="F270">
        <v>4</v>
      </c>
      <c r="G270" s="10">
        <v>1</v>
      </c>
      <c r="H270" t="s">
        <v>46</v>
      </c>
      <c r="I270" t="s">
        <v>1957</v>
      </c>
      <c r="J270" t="s">
        <v>6619</v>
      </c>
      <c r="K270" t="s">
        <v>6620</v>
      </c>
      <c r="L270" s="11" t="s">
        <v>6619</v>
      </c>
    </row>
    <row r="271" spans="1:12">
      <c r="A271" t="s">
        <v>6621</v>
      </c>
      <c r="B271" s="9">
        <v>2412</v>
      </c>
      <c r="C271" s="9">
        <v>2.1875270000000002</v>
      </c>
      <c r="D271">
        <v>1</v>
      </c>
      <c r="E271">
        <v>1</v>
      </c>
      <c r="F271">
        <v>1</v>
      </c>
      <c r="G271" s="10">
        <v>1</v>
      </c>
      <c r="H271" t="s">
        <v>46</v>
      </c>
      <c r="I271" t="s">
        <v>1957</v>
      </c>
      <c r="J271" t="s">
        <v>6622</v>
      </c>
      <c r="K271" t="s">
        <v>6620</v>
      </c>
      <c r="L271" s="11" t="s">
        <v>6622</v>
      </c>
    </row>
    <row r="272" spans="1:12">
      <c r="A272" t="s">
        <v>6623</v>
      </c>
      <c r="B272" s="9">
        <v>2321</v>
      </c>
      <c r="C272" s="9">
        <v>2.400706</v>
      </c>
      <c r="D272">
        <v>1</v>
      </c>
      <c r="E272">
        <v>1</v>
      </c>
      <c r="F272">
        <v>1</v>
      </c>
      <c r="G272" s="10">
        <v>1</v>
      </c>
      <c r="H272" t="s">
        <v>46</v>
      </c>
      <c r="I272" t="s">
        <v>1957</v>
      </c>
      <c r="J272" t="s">
        <v>6622</v>
      </c>
      <c r="K272" t="s">
        <v>6620</v>
      </c>
      <c r="L272" s="11" t="s">
        <v>6622</v>
      </c>
    </row>
    <row r="273" spans="1:12">
      <c r="A273" t="s">
        <v>6624</v>
      </c>
      <c r="B273" s="9">
        <v>2199</v>
      </c>
      <c r="C273" s="9">
        <v>2.8731339999999999</v>
      </c>
      <c r="D273">
        <v>1</v>
      </c>
      <c r="E273">
        <v>1</v>
      </c>
      <c r="F273">
        <v>1</v>
      </c>
      <c r="G273" s="10">
        <v>1</v>
      </c>
      <c r="H273" t="s">
        <v>46</v>
      </c>
      <c r="I273" t="s">
        <v>1957</v>
      </c>
      <c r="J273" t="s">
        <v>6622</v>
      </c>
      <c r="K273" t="s">
        <v>6620</v>
      </c>
      <c r="L273" s="11" t="s">
        <v>6622</v>
      </c>
    </row>
    <row r="274" spans="1:12">
      <c r="A274" t="s">
        <v>6625</v>
      </c>
      <c r="B274" s="9">
        <v>3560</v>
      </c>
      <c r="C274" s="9">
        <v>2.9863050000000002</v>
      </c>
      <c r="D274">
        <v>5</v>
      </c>
      <c r="E274">
        <v>5</v>
      </c>
      <c r="F274">
        <v>4</v>
      </c>
      <c r="G274" s="10">
        <v>0.8</v>
      </c>
      <c r="H274" t="s">
        <v>46</v>
      </c>
      <c r="I274" t="s">
        <v>1957</v>
      </c>
      <c r="J274" t="s">
        <v>6626</v>
      </c>
      <c r="K274" t="s">
        <v>6620</v>
      </c>
      <c r="L274" s="11" t="s">
        <v>6626</v>
      </c>
    </row>
    <row r="275" spans="1:12">
      <c r="A275" t="s">
        <v>6627</v>
      </c>
      <c r="B275" s="9">
        <v>2603</v>
      </c>
      <c r="C275" s="9">
        <v>2.5514130000000002</v>
      </c>
      <c r="D275">
        <v>2</v>
      </c>
      <c r="E275">
        <v>2</v>
      </c>
      <c r="F275">
        <v>1</v>
      </c>
      <c r="G275" s="10">
        <v>0.5</v>
      </c>
      <c r="H275" t="s">
        <v>46</v>
      </c>
      <c r="I275" t="s">
        <v>1957</v>
      </c>
      <c r="J275" t="s">
        <v>6622</v>
      </c>
      <c r="K275" t="s">
        <v>6620</v>
      </c>
      <c r="L275" s="11" t="s">
        <v>6622</v>
      </c>
    </row>
    <row r="276" spans="1:12">
      <c r="A276" t="s">
        <v>6628</v>
      </c>
      <c r="B276" s="9">
        <v>34634</v>
      </c>
      <c r="C276" s="9">
        <v>203.37277</v>
      </c>
      <c r="D276">
        <v>31</v>
      </c>
      <c r="E276">
        <v>30</v>
      </c>
      <c r="F276">
        <v>27</v>
      </c>
      <c r="G276" s="10">
        <v>0.87096774193548387</v>
      </c>
      <c r="H276" t="s">
        <v>46</v>
      </c>
      <c r="I276" t="s">
        <v>1957</v>
      </c>
      <c r="J276" t="s">
        <v>6629</v>
      </c>
      <c r="K276" t="s">
        <v>6630</v>
      </c>
      <c r="L276" s="11" t="s">
        <v>6631</v>
      </c>
    </row>
    <row r="277" spans="1:12">
      <c r="A277" t="s">
        <v>6632</v>
      </c>
      <c r="B277" s="9">
        <v>2510</v>
      </c>
      <c r="C277" s="9">
        <v>5.8460289999999997</v>
      </c>
      <c r="D277">
        <v>1</v>
      </c>
      <c r="E277">
        <v>1</v>
      </c>
      <c r="F277">
        <v>1</v>
      </c>
      <c r="G277" s="10">
        <v>1</v>
      </c>
      <c r="H277" t="s">
        <v>46</v>
      </c>
      <c r="I277" t="s">
        <v>1957</v>
      </c>
      <c r="J277" t="s">
        <v>6633</v>
      </c>
      <c r="K277" t="s">
        <v>6634</v>
      </c>
      <c r="L277" s="11" t="s">
        <v>6633</v>
      </c>
    </row>
    <row r="278" spans="1:12">
      <c r="A278" t="s">
        <v>6635</v>
      </c>
      <c r="B278" s="9">
        <v>2183</v>
      </c>
      <c r="C278" s="9">
        <v>34.203946999999999</v>
      </c>
      <c r="D278">
        <v>3</v>
      </c>
      <c r="E278">
        <v>3</v>
      </c>
      <c r="F278">
        <v>3</v>
      </c>
      <c r="G278" s="10">
        <v>1</v>
      </c>
      <c r="H278" t="s">
        <v>46</v>
      </c>
      <c r="I278" t="s">
        <v>1957</v>
      </c>
      <c r="J278" t="s">
        <v>6636</v>
      </c>
      <c r="K278" t="s">
        <v>6634</v>
      </c>
      <c r="L278" s="11" t="s">
        <v>6637</v>
      </c>
    </row>
    <row r="279" spans="1:12">
      <c r="A279" t="s">
        <v>6638</v>
      </c>
      <c r="B279" s="9">
        <v>2569</v>
      </c>
      <c r="C279" s="9">
        <v>23.72315</v>
      </c>
      <c r="D279">
        <v>2</v>
      </c>
      <c r="E279">
        <v>2</v>
      </c>
      <c r="F279">
        <v>2</v>
      </c>
      <c r="G279" s="10">
        <v>1</v>
      </c>
      <c r="H279" t="s">
        <v>46</v>
      </c>
      <c r="I279" t="s">
        <v>1957</v>
      </c>
      <c r="J279" t="s">
        <v>6639</v>
      </c>
      <c r="K279" t="s">
        <v>6640</v>
      </c>
      <c r="L279" s="11" t="s">
        <v>6639</v>
      </c>
    </row>
    <row r="280" spans="1:12">
      <c r="A280" t="s">
        <v>6641</v>
      </c>
      <c r="B280" s="9">
        <v>2451</v>
      </c>
      <c r="C280" s="9">
        <v>69.665693000000005</v>
      </c>
      <c r="D280">
        <v>2</v>
      </c>
      <c r="E280">
        <v>2</v>
      </c>
      <c r="F280">
        <v>2</v>
      </c>
      <c r="G280" s="10">
        <v>1</v>
      </c>
      <c r="H280" t="s">
        <v>46</v>
      </c>
      <c r="I280" t="s">
        <v>1957</v>
      </c>
      <c r="J280" t="s">
        <v>6639</v>
      </c>
      <c r="K280" t="s">
        <v>6640</v>
      </c>
      <c r="L280" s="11" t="s">
        <v>6639</v>
      </c>
    </row>
    <row r="281" spans="1:12">
      <c r="A281" t="s">
        <v>6642</v>
      </c>
      <c r="B281" s="9">
        <v>2401</v>
      </c>
      <c r="C281" s="9">
        <v>5.2280480000000003</v>
      </c>
      <c r="D281">
        <v>2</v>
      </c>
      <c r="E281">
        <v>2</v>
      </c>
      <c r="F281">
        <v>2</v>
      </c>
      <c r="G281" s="10">
        <v>1</v>
      </c>
      <c r="H281" t="s">
        <v>46</v>
      </c>
      <c r="I281" t="s">
        <v>1957</v>
      </c>
      <c r="J281" t="s">
        <v>6643</v>
      </c>
      <c r="K281" t="s">
        <v>6640</v>
      </c>
      <c r="L281" s="11" t="s">
        <v>6644</v>
      </c>
    </row>
    <row r="282" spans="1:12">
      <c r="A282" t="s">
        <v>6645</v>
      </c>
      <c r="B282" s="9">
        <v>2164</v>
      </c>
      <c r="C282" s="9">
        <v>36.875295999999999</v>
      </c>
      <c r="D282">
        <v>2</v>
      </c>
      <c r="E282">
        <v>2</v>
      </c>
      <c r="F282">
        <v>2</v>
      </c>
      <c r="G282" s="10">
        <v>1</v>
      </c>
      <c r="H282" t="s">
        <v>46</v>
      </c>
      <c r="I282" t="s">
        <v>1957</v>
      </c>
      <c r="J282" t="s">
        <v>6639</v>
      </c>
      <c r="K282" t="s">
        <v>6640</v>
      </c>
      <c r="L282" s="11" t="s">
        <v>6639</v>
      </c>
    </row>
    <row r="283" spans="1:12">
      <c r="A283" t="s">
        <v>6646</v>
      </c>
      <c r="B283" s="9">
        <v>2043</v>
      </c>
      <c r="C283" s="9">
        <v>4.3873239999999996</v>
      </c>
      <c r="D283">
        <v>2</v>
      </c>
      <c r="E283">
        <v>2</v>
      </c>
      <c r="F283">
        <v>2</v>
      </c>
      <c r="G283" s="10">
        <v>1</v>
      </c>
      <c r="H283" t="s">
        <v>46</v>
      </c>
      <c r="I283" t="s">
        <v>1957</v>
      </c>
      <c r="J283" t="s">
        <v>6643</v>
      </c>
      <c r="K283" t="s">
        <v>6640</v>
      </c>
      <c r="L283" s="11" t="s">
        <v>6643</v>
      </c>
    </row>
    <row r="284" spans="1:12">
      <c r="A284" t="s">
        <v>6647</v>
      </c>
      <c r="B284" s="9">
        <v>2283</v>
      </c>
      <c r="C284" s="9">
        <v>3.3877920000000001</v>
      </c>
      <c r="D284">
        <v>4</v>
      </c>
      <c r="E284">
        <v>3</v>
      </c>
      <c r="F284">
        <v>3</v>
      </c>
      <c r="G284" s="10">
        <v>0.75</v>
      </c>
      <c r="H284" t="s">
        <v>46</v>
      </c>
      <c r="I284" t="s">
        <v>1957</v>
      </c>
      <c r="J284" t="s">
        <v>6648</v>
      </c>
      <c r="K284" t="s">
        <v>6640</v>
      </c>
      <c r="L284" s="11" t="s">
        <v>6648</v>
      </c>
    </row>
    <row r="285" spans="1:12">
      <c r="A285" t="s">
        <v>6649</v>
      </c>
      <c r="B285" s="9">
        <v>2079</v>
      </c>
      <c r="C285" s="9">
        <v>3.527174</v>
      </c>
      <c r="D285">
        <v>4</v>
      </c>
      <c r="E285">
        <v>4</v>
      </c>
      <c r="F285">
        <v>3</v>
      </c>
      <c r="G285" s="10">
        <v>0.75</v>
      </c>
      <c r="H285" t="s">
        <v>46</v>
      </c>
      <c r="I285" t="s">
        <v>1957</v>
      </c>
      <c r="J285" t="s">
        <v>6650</v>
      </c>
      <c r="K285" t="s">
        <v>6640</v>
      </c>
      <c r="L285" s="11" t="s">
        <v>6651</v>
      </c>
    </row>
    <row r="286" spans="1:12">
      <c r="A286" t="s">
        <v>6652</v>
      </c>
      <c r="B286" s="9">
        <v>6944</v>
      </c>
      <c r="C286" s="9">
        <v>17.025258000000001</v>
      </c>
      <c r="D286">
        <v>7</v>
      </c>
      <c r="E286">
        <v>6</v>
      </c>
      <c r="F286">
        <v>7</v>
      </c>
      <c r="G286" s="10">
        <v>1</v>
      </c>
      <c r="H286" t="s">
        <v>46</v>
      </c>
      <c r="I286" t="s">
        <v>1957</v>
      </c>
      <c r="J286" t="s">
        <v>6653</v>
      </c>
      <c r="K286" t="s">
        <v>6654</v>
      </c>
      <c r="L286" s="11" t="s">
        <v>6653</v>
      </c>
    </row>
    <row r="287" spans="1:12">
      <c r="A287" t="s">
        <v>6655</v>
      </c>
      <c r="B287" s="9">
        <v>2013</v>
      </c>
      <c r="C287" s="9">
        <v>4.3278860000000003</v>
      </c>
      <c r="D287">
        <v>4</v>
      </c>
      <c r="E287">
        <v>2</v>
      </c>
      <c r="F287">
        <v>1</v>
      </c>
      <c r="G287" s="10">
        <v>0.25</v>
      </c>
      <c r="H287" t="s">
        <v>46</v>
      </c>
      <c r="I287" t="s">
        <v>1957</v>
      </c>
      <c r="J287" t="s">
        <v>6656</v>
      </c>
      <c r="K287" t="s">
        <v>6657</v>
      </c>
      <c r="L287" s="11" t="s">
        <v>6656</v>
      </c>
    </row>
    <row r="288" spans="1:12">
      <c r="A288" t="s">
        <v>6658</v>
      </c>
      <c r="B288" s="9">
        <v>4468</v>
      </c>
      <c r="C288" s="9">
        <v>6.2340809999999998</v>
      </c>
      <c r="D288">
        <v>2</v>
      </c>
      <c r="E288">
        <v>2</v>
      </c>
      <c r="F288">
        <v>2</v>
      </c>
      <c r="G288" s="10">
        <v>1</v>
      </c>
      <c r="H288" t="s">
        <v>46</v>
      </c>
      <c r="I288" t="s">
        <v>1957</v>
      </c>
      <c r="J288" t="s">
        <v>6659</v>
      </c>
      <c r="K288" t="s">
        <v>6660</v>
      </c>
      <c r="L288" s="11" t="s">
        <v>6661</v>
      </c>
    </row>
    <row r="289" spans="1:12">
      <c r="A289" t="s">
        <v>6662</v>
      </c>
      <c r="B289" s="9">
        <v>3743</v>
      </c>
      <c r="C289" s="9">
        <v>6.1575379999999997</v>
      </c>
      <c r="D289">
        <v>1</v>
      </c>
      <c r="E289">
        <v>1</v>
      </c>
      <c r="F289">
        <v>1</v>
      </c>
      <c r="G289" s="10">
        <v>1</v>
      </c>
      <c r="H289" t="s">
        <v>46</v>
      </c>
      <c r="I289" t="s">
        <v>1957</v>
      </c>
      <c r="J289" t="s">
        <v>6663</v>
      </c>
      <c r="K289" t="s">
        <v>6660</v>
      </c>
      <c r="L289" s="11" t="s">
        <v>6663</v>
      </c>
    </row>
    <row r="290" spans="1:12">
      <c r="A290" t="s">
        <v>6664</v>
      </c>
      <c r="B290" s="9">
        <v>2894</v>
      </c>
      <c r="C290" s="9">
        <v>32.028883</v>
      </c>
      <c r="D290">
        <v>3</v>
      </c>
      <c r="E290">
        <v>3</v>
      </c>
      <c r="F290">
        <v>3</v>
      </c>
      <c r="G290" s="10">
        <v>1</v>
      </c>
      <c r="H290" t="s">
        <v>46</v>
      </c>
      <c r="I290" t="s">
        <v>1957</v>
      </c>
      <c r="J290" t="s">
        <v>6665</v>
      </c>
      <c r="K290" t="s">
        <v>6666</v>
      </c>
      <c r="L290" s="11" t="s">
        <v>6667</v>
      </c>
    </row>
    <row r="291" spans="1:12">
      <c r="A291" t="s">
        <v>6668</v>
      </c>
      <c r="B291" s="9">
        <v>3452</v>
      </c>
      <c r="C291" s="9">
        <v>6.4957320000000003</v>
      </c>
      <c r="D291">
        <v>6</v>
      </c>
      <c r="E291">
        <v>6</v>
      </c>
      <c r="F291">
        <v>6</v>
      </c>
      <c r="G291" s="10">
        <v>1</v>
      </c>
      <c r="H291" t="s">
        <v>46</v>
      </c>
      <c r="I291" t="s">
        <v>1957</v>
      </c>
      <c r="J291" t="s">
        <v>6669</v>
      </c>
      <c r="K291" t="s">
        <v>6670</v>
      </c>
      <c r="L291" s="11" t="s">
        <v>6671</v>
      </c>
    </row>
    <row r="292" spans="1:12">
      <c r="A292" t="s">
        <v>6672</v>
      </c>
      <c r="B292" s="9">
        <v>2123</v>
      </c>
      <c r="C292" s="9">
        <v>2.6595740000000001</v>
      </c>
      <c r="D292">
        <v>1</v>
      </c>
      <c r="E292">
        <v>1</v>
      </c>
      <c r="F292">
        <v>1</v>
      </c>
      <c r="G292" s="10">
        <v>1</v>
      </c>
      <c r="H292" t="s">
        <v>46</v>
      </c>
      <c r="I292" t="s">
        <v>1957</v>
      </c>
      <c r="J292" t="s">
        <v>6673</v>
      </c>
      <c r="K292" t="s">
        <v>6674</v>
      </c>
      <c r="L292" s="11" t="s">
        <v>6673</v>
      </c>
    </row>
    <row r="293" spans="1:12">
      <c r="A293" t="s">
        <v>6675</v>
      </c>
      <c r="B293" s="9">
        <v>2752</v>
      </c>
      <c r="C293" s="9">
        <v>6.5565439999999997</v>
      </c>
      <c r="D293">
        <v>3</v>
      </c>
      <c r="E293">
        <v>1</v>
      </c>
      <c r="F293">
        <v>2</v>
      </c>
      <c r="G293" s="10">
        <v>0.66666666666666663</v>
      </c>
      <c r="H293" t="s">
        <v>46</v>
      </c>
      <c r="I293" t="s">
        <v>1957</v>
      </c>
      <c r="J293" t="s">
        <v>6673</v>
      </c>
      <c r="K293" t="s">
        <v>6674</v>
      </c>
      <c r="L293" s="11" t="s">
        <v>6673</v>
      </c>
    </row>
    <row r="294" spans="1:12">
      <c r="A294" t="s">
        <v>6676</v>
      </c>
      <c r="B294" s="9">
        <v>2812</v>
      </c>
      <c r="C294" s="9">
        <v>2.6071819999999999</v>
      </c>
      <c r="D294">
        <v>2</v>
      </c>
      <c r="E294">
        <v>2</v>
      </c>
      <c r="F294">
        <v>2</v>
      </c>
      <c r="G294" s="10">
        <v>1</v>
      </c>
      <c r="H294" t="s">
        <v>46</v>
      </c>
      <c r="I294" t="s">
        <v>1957</v>
      </c>
      <c r="J294" t="s">
        <v>6677</v>
      </c>
      <c r="K294" t="s">
        <v>6678</v>
      </c>
      <c r="L294" s="11" t="s">
        <v>6679</v>
      </c>
    </row>
    <row r="295" spans="1:12">
      <c r="A295" t="s">
        <v>6680</v>
      </c>
      <c r="B295" s="9">
        <v>3488</v>
      </c>
      <c r="C295" s="9">
        <v>7.1861350000000002</v>
      </c>
      <c r="D295">
        <v>4</v>
      </c>
      <c r="E295">
        <v>4</v>
      </c>
      <c r="F295">
        <v>4</v>
      </c>
      <c r="G295" s="10">
        <v>1</v>
      </c>
      <c r="H295" t="s">
        <v>46</v>
      </c>
      <c r="I295" t="s">
        <v>1957</v>
      </c>
      <c r="J295" t="s">
        <v>6681</v>
      </c>
      <c r="K295" t="s">
        <v>6682</v>
      </c>
      <c r="L295" s="11" t="s">
        <v>6681</v>
      </c>
    </row>
    <row r="296" spans="1:12">
      <c r="A296" t="s">
        <v>6683</v>
      </c>
      <c r="B296" s="9">
        <v>5146</v>
      </c>
      <c r="C296" s="9">
        <v>10.481241000000001</v>
      </c>
      <c r="D296">
        <v>4</v>
      </c>
      <c r="E296">
        <v>4</v>
      </c>
      <c r="F296">
        <v>4</v>
      </c>
      <c r="G296" s="10">
        <v>1</v>
      </c>
      <c r="H296" t="s">
        <v>46</v>
      </c>
      <c r="I296" t="s">
        <v>1957</v>
      </c>
      <c r="J296" t="s">
        <v>6684</v>
      </c>
      <c r="K296" t="s">
        <v>6685</v>
      </c>
      <c r="L296" s="11" t="s">
        <v>6684</v>
      </c>
    </row>
    <row r="297" spans="1:12">
      <c r="A297" t="s">
        <v>6686</v>
      </c>
      <c r="B297" s="9">
        <v>3122</v>
      </c>
      <c r="C297" s="9">
        <v>4.0952070000000003</v>
      </c>
      <c r="D297">
        <v>2</v>
      </c>
      <c r="E297">
        <v>2</v>
      </c>
      <c r="F297">
        <v>2</v>
      </c>
      <c r="G297" s="10">
        <v>1</v>
      </c>
      <c r="H297" t="s">
        <v>46</v>
      </c>
      <c r="I297" t="s">
        <v>1957</v>
      </c>
      <c r="J297" t="s">
        <v>6679</v>
      </c>
      <c r="K297" t="s">
        <v>6685</v>
      </c>
      <c r="L297" s="11" t="s">
        <v>6679</v>
      </c>
    </row>
    <row r="298" spans="1:12">
      <c r="A298" t="s">
        <v>6687</v>
      </c>
      <c r="B298" s="9">
        <v>2815</v>
      </c>
      <c r="C298" s="9">
        <v>6.5072460000000003</v>
      </c>
      <c r="D298">
        <v>3</v>
      </c>
      <c r="E298">
        <v>2</v>
      </c>
      <c r="F298">
        <v>3</v>
      </c>
      <c r="G298" s="10">
        <v>1</v>
      </c>
      <c r="H298" t="s">
        <v>46</v>
      </c>
      <c r="I298" t="s">
        <v>1957</v>
      </c>
      <c r="J298" t="s">
        <v>6688</v>
      </c>
      <c r="K298" t="s">
        <v>6689</v>
      </c>
      <c r="L298" s="11" t="s">
        <v>6688</v>
      </c>
    </row>
    <row r="299" spans="1:12">
      <c r="A299" t="s">
        <v>6690</v>
      </c>
      <c r="B299" s="9">
        <v>2445</v>
      </c>
      <c r="C299" s="9">
        <v>22.527615000000001</v>
      </c>
      <c r="D299">
        <v>1</v>
      </c>
      <c r="E299">
        <v>1</v>
      </c>
      <c r="F299">
        <v>1</v>
      </c>
      <c r="G299" s="10">
        <v>1</v>
      </c>
      <c r="H299" t="s">
        <v>46</v>
      </c>
      <c r="I299" t="s">
        <v>1957</v>
      </c>
      <c r="J299" t="s">
        <v>6688</v>
      </c>
      <c r="K299" t="s">
        <v>6689</v>
      </c>
      <c r="L299" s="11" t="s">
        <v>6688</v>
      </c>
    </row>
    <row r="300" spans="1:12">
      <c r="A300" t="s">
        <v>6691</v>
      </c>
      <c r="B300" s="9">
        <v>2567</v>
      </c>
      <c r="C300" s="9">
        <v>2.6309710000000002</v>
      </c>
      <c r="D300">
        <v>2</v>
      </c>
      <c r="E300">
        <v>2</v>
      </c>
      <c r="F300">
        <v>1</v>
      </c>
      <c r="G300" s="10">
        <v>0.5</v>
      </c>
      <c r="H300" t="s">
        <v>46</v>
      </c>
      <c r="I300" t="s">
        <v>1957</v>
      </c>
      <c r="J300" t="s">
        <v>6688</v>
      </c>
      <c r="K300" t="s">
        <v>6689</v>
      </c>
      <c r="L300" s="11" t="s">
        <v>6688</v>
      </c>
    </row>
    <row r="301" spans="1:12">
      <c r="A301" t="s">
        <v>6692</v>
      </c>
      <c r="B301" s="9">
        <v>2997</v>
      </c>
      <c r="C301" s="9">
        <v>13.380693000000001</v>
      </c>
      <c r="D301">
        <v>2</v>
      </c>
      <c r="E301">
        <v>2</v>
      </c>
      <c r="F301">
        <v>1</v>
      </c>
      <c r="G301" s="10">
        <v>0.5</v>
      </c>
      <c r="H301" t="s">
        <v>46</v>
      </c>
      <c r="I301" t="s">
        <v>1957</v>
      </c>
      <c r="J301" t="s">
        <v>6693</v>
      </c>
      <c r="K301" t="s">
        <v>6694</v>
      </c>
      <c r="L301" s="11" t="s">
        <v>6693</v>
      </c>
    </row>
    <row r="302" spans="1:12">
      <c r="A302" t="s">
        <v>6695</v>
      </c>
      <c r="B302" s="9">
        <v>42127</v>
      </c>
      <c r="C302" s="9">
        <v>14.061823</v>
      </c>
      <c r="D302">
        <v>21</v>
      </c>
      <c r="E302">
        <v>17</v>
      </c>
      <c r="F302">
        <v>17</v>
      </c>
      <c r="G302" s="10">
        <v>0.80952380952380953</v>
      </c>
      <c r="H302" t="s">
        <v>46</v>
      </c>
      <c r="I302" t="s">
        <v>1957</v>
      </c>
      <c r="J302" t="s">
        <v>6696</v>
      </c>
      <c r="K302" t="s">
        <v>6697</v>
      </c>
      <c r="L302" s="11" t="s">
        <v>6696</v>
      </c>
    </row>
    <row r="303" spans="1:12">
      <c r="A303" t="s">
        <v>6698</v>
      </c>
      <c r="B303" s="9">
        <v>6806</v>
      </c>
      <c r="C303" s="9">
        <v>5.6206490000000002</v>
      </c>
      <c r="D303">
        <v>6</v>
      </c>
      <c r="E303">
        <v>6</v>
      </c>
      <c r="F303">
        <v>6</v>
      </c>
      <c r="G303" s="10">
        <v>1</v>
      </c>
      <c r="H303" t="s">
        <v>46</v>
      </c>
      <c r="I303" t="s">
        <v>1957</v>
      </c>
      <c r="J303" t="s">
        <v>6699</v>
      </c>
      <c r="K303" t="s">
        <v>6700</v>
      </c>
      <c r="L303" s="11" t="s">
        <v>6699</v>
      </c>
    </row>
    <row r="304" spans="1:12">
      <c r="A304" t="s">
        <v>6701</v>
      </c>
      <c r="B304" s="9">
        <v>2990</v>
      </c>
      <c r="C304" s="9">
        <v>5.8385009999999999</v>
      </c>
      <c r="D304">
        <v>1</v>
      </c>
      <c r="E304">
        <v>1</v>
      </c>
      <c r="F304">
        <v>1</v>
      </c>
      <c r="G304" s="10">
        <v>1</v>
      </c>
      <c r="H304" t="s">
        <v>46</v>
      </c>
      <c r="I304" t="s">
        <v>1957</v>
      </c>
      <c r="J304" t="s">
        <v>6702</v>
      </c>
      <c r="K304" t="s">
        <v>6700</v>
      </c>
      <c r="L304" s="11" t="s">
        <v>6702</v>
      </c>
    </row>
    <row r="305" spans="1:12">
      <c r="A305" t="s">
        <v>6703</v>
      </c>
      <c r="B305" s="9">
        <v>2233</v>
      </c>
      <c r="C305" s="9">
        <v>6.5987140000000002</v>
      </c>
      <c r="D305">
        <v>1</v>
      </c>
      <c r="E305">
        <v>1</v>
      </c>
      <c r="F305">
        <v>1</v>
      </c>
      <c r="G305" s="10">
        <v>1</v>
      </c>
      <c r="H305" t="s">
        <v>46</v>
      </c>
      <c r="I305" t="s">
        <v>1957</v>
      </c>
      <c r="J305" t="s">
        <v>6702</v>
      </c>
      <c r="K305" t="s">
        <v>6700</v>
      </c>
      <c r="L305" s="11" t="s">
        <v>6702</v>
      </c>
    </row>
    <row r="306" spans="1:12">
      <c r="A306" t="s">
        <v>6704</v>
      </c>
      <c r="B306" s="9">
        <v>5193</v>
      </c>
      <c r="C306" s="9">
        <v>4.3803039999999998</v>
      </c>
      <c r="D306">
        <v>5</v>
      </c>
      <c r="E306">
        <v>4</v>
      </c>
      <c r="F306">
        <v>4</v>
      </c>
      <c r="G306" s="10">
        <v>0.8</v>
      </c>
      <c r="H306" t="s">
        <v>46</v>
      </c>
      <c r="I306" t="s">
        <v>1957</v>
      </c>
      <c r="J306" t="s">
        <v>6705</v>
      </c>
      <c r="K306" t="s">
        <v>6700</v>
      </c>
      <c r="L306" s="11" t="s">
        <v>6705</v>
      </c>
    </row>
    <row r="307" spans="1:12">
      <c r="A307" t="s">
        <v>6706</v>
      </c>
      <c r="B307" s="9">
        <v>2484</v>
      </c>
      <c r="C307" s="9">
        <v>2.406752</v>
      </c>
      <c r="D307">
        <v>3</v>
      </c>
      <c r="E307">
        <v>3</v>
      </c>
      <c r="F307">
        <v>3</v>
      </c>
      <c r="G307" s="10">
        <v>1</v>
      </c>
      <c r="H307" t="s">
        <v>46</v>
      </c>
      <c r="I307" t="s">
        <v>1957</v>
      </c>
      <c r="J307" t="s">
        <v>6707</v>
      </c>
      <c r="K307" t="s">
        <v>6708</v>
      </c>
      <c r="L307" s="11" t="s">
        <v>6709</v>
      </c>
    </row>
    <row r="308" spans="1:12">
      <c r="A308" t="s">
        <v>6710</v>
      </c>
      <c r="B308" s="9">
        <v>3823</v>
      </c>
      <c r="C308" s="9">
        <v>3.977176</v>
      </c>
      <c r="D308">
        <v>2</v>
      </c>
      <c r="E308">
        <v>2</v>
      </c>
      <c r="F308">
        <v>2</v>
      </c>
      <c r="G308" s="10">
        <v>1</v>
      </c>
      <c r="H308" t="s">
        <v>46</v>
      </c>
      <c r="I308" t="s">
        <v>1957</v>
      </c>
      <c r="J308" t="s">
        <v>6711</v>
      </c>
      <c r="K308" t="s">
        <v>6712</v>
      </c>
      <c r="L308" s="11" t="s">
        <v>6711</v>
      </c>
    </row>
    <row r="309" spans="1:12">
      <c r="A309" t="s">
        <v>6713</v>
      </c>
      <c r="B309" s="9">
        <v>2178</v>
      </c>
      <c r="C309" s="9">
        <v>4.4686760000000003</v>
      </c>
      <c r="D309">
        <v>3</v>
      </c>
      <c r="E309">
        <v>2</v>
      </c>
      <c r="F309">
        <v>3</v>
      </c>
      <c r="G309" s="10">
        <v>1</v>
      </c>
      <c r="H309" t="s">
        <v>46</v>
      </c>
      <c r="I309" t="s">
        <v>1957</v>
      </c>
      <c r="J309" t="s">
        <v>6711</v>
      </c>
      <c r="K309" t="s">
        <v>6712</v>
      </c>
      <c r="L309" s="11" t="s">
        <v>6711</v>
      </c>
    </row>
    <row r="310" spans="1:12">
      <c r="A310" t="s">
        <v>6714</v>
      </c>
      <c r="B310" s="9">
        <v>7649</v>
      </c>
      <c r="C310" s="9">
        <v>10.635237999999999</v>
      </c>
      <c r="D310">
        <v>7</v>
      </c>
      <c r="E310">
        <v>3</v>
      </c>
      <c r="F310">
        <v>3</v>
      </c>
      <c r="G310" s="10">
        <v>0.42857142857142855</v>
      </c>
      <c r="H310" t="s">
        <v>46</v>
      </c>
      <c r="I310" t="s">
        <v>1957</v>
      </c>
      <c r="J310" t="s">
        <v>6715</v>
      </c>
      <c r="K310" t="s">
        <v>6716</v>
      </c>
      <c r="L310" s="11" t="s">
        <v>6715</v>
      </c>
    </row>
    <row r="311" spans="1:12">
      <c r="A311" t="s">
        <v>6717</v>
      </c>
      <c r="B311" s="9">
        <v>2766</v>
      </c>
      <c r="C311" s="9">
        <v>2.7222430000000002</v>
      </c>
      <c r="D311">
        <v>3</v>
      </c>
      <c r="E311">
        <v>2</v>
      </c>
      <c r="F311">
        <v>2</v>
      </c>
      <c r="G311" s="10">
        <v>0.66666666666666663</v>
      </c>
      <c r="H311" t="s">
        <v>46</v>
      </c>
      <c r="I311" t="s">
        <v>1957</v>
      </c>
      <c r="J311" t="s">
        <v>6718</v>
      </c>
      <c r="K311" t="s">
        <v>6719</v>
      </c>
      <c r="L311" s="11" t="s">
        <v>6718</v>
      </c>
    </row>
    <row r="312" spans="1:12">
      <c r="A312" t="s">
        <v>6720</v>
      </c>
      <c r="B312" s="9">
        <v>5671</v>
      </c>
      <c r="C312" s="9">
        <v>7.4697290000000001</v>
      </c>
      <c r="D312">
        <v>2</v>
      </c>
      <c r="E312">
        <v>1</v>
      </c>
      <c r="F312">
        <v>1</v>
      </c>
      <c r="G312" s="10">
        <v>0.5</v>
      </c>
      <c r="H312" t="s">
        <v>46</v>
      </c>
      <c r="I312" t="s">
        <v>1957</v>
      </c>
      <c r="J312" t="s">
        <v>6718</v>
      </c>
      <c r="K312" t="s">
        <v>6719</v>
      </c>
      <c r="L312" s="11" t="s">
        <v>6718</v>
      </c>
    </row>
    <row r="313" spans="1:12">
      <c r="A313" t="s">
        <v>6721</v>
      </c>
      <c r="B313" s="9">
        <v>4608</v>
      </c>
      <c r="C313" s="9">
        <v>4.7008570000000001</v>
      </c>
      <c r="D313">
        <v>3</v>
      </c>
      <c r="E313">
        <v>3</v>
      </c>
      <c r="F313">
        <v>3</v>
      </c>
      <c r="G313" s="10">
        <v>1</v>
      </c>
      <c r="H313" t="s">
        <v>46</v>
      </c>
      <c r="I313" t="s">
        <v>1957</v>
      </c>
      <c r="J313" t="s">
        <v>6722</v>
      </c>
      <c r="K313" t="s">
        <v>6723</v>
      </c>
      <c r="L313" s="11" t="s">
        <v>6722</v>
      </c>
    </row>
    <row r="314" spans="1:12">
      <c r="A314" t="s">
        <v>6724</v>
      </c>
      <c r="B314" s="9">
        <v>4072</v>
      </c>
      <c r="C314" s="9">
        <v>3.5051030000000001</v>
      </c>
      <c r="D314">
        <v>3</v>
      </c>
      <c r="E314">
        <v>3</v>
      </c>
      <c r="F314">
        <v>3</v>
      </c>
      <c r="G314" s="10">
        <v>1</v>
      </c>
      <c r="H314" t="s">
        <v>46</v>
      </c>
      <c r="I314" t="s">
        <v>1957</v>
      </c>
      <c r="J314" t="s">
        <v>6725</v>
      </c>
      <c r="K314" t="s">
        <v>6723</v>
      </c>
      <c r="L314" s="11" t="s">
        <v>6725</v>
      </c>
    </row>
    <row r="315" spans="1:12">
      <c r="A315" t="s">
        <v>6726</v>
      </c>
      <c r="B315" s="9">
        <v>6307</v>
      </c>
      <c r="C315" s="9">
        <v>6.4750480000000001</v>
      </c>
      <c r="D315">
        <v>3</v>
      </c>
      <c r="E315">
        <v>2</v>
      </c>
      <c r="F315">
        <v>2</v>
      </c>
      <c r="G315" s="10">
        <v>0.66666666666666663</v>
      </c>
      <c r="H315" t="s">
        <v>46</v>
      </c>
      <c r="I315" t="s">
        <v>1957</v>
      </c>
      <c r="J315" t="s">
        <v>6727</v>
      </c>
      <c r="K315" t="s">
        <v>6723</v>
      </c>
      <c r="L315" s="11" t="s">
        <v>6727</v>
      </c>
    </row>
    <row r="316" spans="1:12">
      <c r="A316" t="s">
        <v>6728</v>
      </c>
      <c r="B316" s="9">
        <v>4808</v>
      </c>
      <c r="C316" s="9">
        <v>5.9608670000000004</v>
      </c>
      <c r="D316">
        <v>4</v>
      </c>
      <c r="E316">
        <v>4</v>
      </c>
      <c r="F316">
        <v>4</v>
      </c>
      <c r="G316" s="10">
        <v>1</v>
      </c>
      <c r="H316" t="s">
        <v>46</v>
      </c>
      <c r="I316" t="s">
        <v>1957</v>
      </c>
      <c r="J316" t="s">
        <v>6729</v>
      </c>
      <c r="K316" t="s">
        <v>6730</v>
      </c>
      <c r="L316" s="11" t="s">
        <v>6729</v>
      </c>
    </row>
    <row r="317" spans="1:12">
      <c r="A317" t="s">
        <v>6731</v>
      </c>
      <c r="B317" s="9">
        <v>4079</v>
      </c>
      <c r="C317" s="9">
        <v>4.0621270000000003</v>
      </c>
      <c r="D317">
        <v>2</v>
      </c>
      <c r="E317">
        <v>2</v>
      </c>
      <c r="F317">
        <v>2</v>
      </c>
      <c r="G317" s="10">
        <v>1</v>
      </c>
      <c r="H317" t="s">
        <v>46</v>
      </c>
      <c r="I317" t="s">
        <v>1957</v>
      </c>
      <c r="J317" t="s">
        <v>6732</v>
      </c>
      <c r="K317" t="s">
        <v>6733</v>
      </c>
      <c r="L317" s="11" t="s">
        <v>6732</v>
      </c>
    </row>
    <row r="318" spans="1:12">
      <c r="A318" t="s">
        <v>6734</v>
      </c>
      <c r="B318" s="9">
        <v>2374</v>
      </c>
      <c r="C318" s="9">
        <v>3.1858559999999998</v>
      </c>
      <c r="D318">
        <v>2</v>
      </c>
      <c r="E318">
        <v>2</v>
      </c>
      <c r="F318">
        <v>2</v>
      </c>
      <c r="G318" s="10">
        <v>1</v>
      </c>
      <c r="H318" t="s">
        <v>46</v>
      </c>
      <c r="I318" t="s">
        <v>1957</v>
      </c>
      <c r="J318" t="s">
        <v>6735</v>
      </c>
      <c r="K318" t="s">
        <v>6733</v>
      </c>
      <c r="L318" s="11" t="s">
        <v>6736</v>
      </c>
    </row>
    <row r="319" spans="1:12">
      <c r="A319" t="s">
        <v>6737</v>
      </c>
      <c r="B319" s="9">
        <v>2170</v>
      </c>
      <c r="C319" s="9">
        <v>18.304492</v>
      </c>
      <c r="D319">
        <v>2</v>
      </c>
      <c r="E319">
        <v>1</v>
      </c>
      <c r="F319">
        <v>2</v>
      </c>
      <c r="G319" s="10">
        <v>1</v>
      </c>
      <c r="H319" t="s">
        <v>46</v>
      </c>
      <c r="I319" t="s">
        <v>1957</v>
      </c>
      <c r="J319" t="s">
        <v>6738</v>
      </c>
      <c r="K319" t="s">
        <v>6739</v>
      </c>
      <c r="L319" s="11" t="s">
        <v>6738</v>
      </c>
    </row>
    <row r="320" spans="1:12">
      <c r="A320" t="s">
        <v>6740</v>
      </c>
      <c r="B320" s="9">
        <v>2438</v>
      </c>
      <c r="C320" s="9">
        <v>3.2819970000000001</v>
      </c>
      <c r="D320">
        <v>3</v>
      </c>
      <c r="E320">
        <v>3</v>
      </c>
      <c r="F320">
        <v>3</v>
      </c>
      <c r="G320" s="10">
        <v>1</v>
      </c>
      <c r="H320" t="s">
        <v>46</v>
      </c>
      <c r="I320" t="s">
        <v>1957</v>
      </c>
      <c r="J320" t="s">
        <v>6741</v>
      </c>
      <c r="K320" t="s">
        <v>6742</v>
      </c>
      <c r="L320" s="11" t="s">
        <v>6743</v>
      </c>
    </row>
    <row r="321" spans="1:12">
      <c r="A321" t="s">
        <v>6744</v>
      </c>
      <c r="B321" s="9">
        <v>35582</v>
      </c>
      <c r="C321" s="9">
        <v>1508.917105</v>
      </c>
      <c r="D321">
        <v>1</v>
      </c>
      <c r="E321">
        <v>1</v>
      </c>
      <c r="F321">
        <v>1</v>
      </c>
      <c r="G321" s="10">
        <v>1</v>
      </c>
      <c r="H321" t="s">
        <v>46</v>
      </c>
      <c r="I321" t="s">
        <v>1957</v>
      </c>
      <c r="J321" t="s">
        <v>6745</v>
      </c>
      <c r="K321" t="s">
        <v>6746</v>
      </c>
      <c r="L321" s="11" t="s">
        <v>6745</v>
      </c>
    </row>
    <row r="322" spans="1:12">
      <c r="A322" t="s">
        <v>6747</v>
      </c>
      <c r="B322" s="9">
        <v>3830</v>
      </c>
      <c r="C322" s="9">
        <v>14.045033</v>
      </c>
      <c r="D322">
        <v>1</v>
      </c>
      <c r="E322">
        <v>1</v>
      </c>
      <c r="F322">
        <v>1</v>
      </c>
      <c r="G322" s="10">
        <v>1</v>
      </c>
      <c r="H322" t="s">
        <v>46</v>
      </c>
      <c r="I322" t="s">
        <v>1957</v>
      </c>
      <c r="J322" t="s">
        <v>6745</v>
      </c>
      <c r="K322" t="s">
        <v>6746</v>
      </c>
      <c r="L322" s="11" t="s">
        <v>6745</v>
      </c>
    </row>
    <row r="323" spans="1:12">
      <c r="A323" t="s">
        <v>6748</v>
      </c>
      <c r="B323" s="9">
        <v>3023</v>
      </c>
      <c r="C323" s="9">
        <v>3.6967650000000001</v>
      </c>
      <c r="D323">
        <v>1</v>
      </c>
      <c r="E323">
        <v>1</v>
      </c>
      <c r="F323">
        <v>1</v>
      </c>
      <c r="G323" s="10">
        <v>1</v>
      </c>
      <c r="H323" t="s">
        <v>46</v>
      </c>
      <c r="I323" t="s">
        <v>1957</v>
      </c>
      <c r="J323" t="s">
        <v>6745</v>
      </c>
      <c r="K323" t="s">
        <v>6746</v>
      </c>
      <c r="L323" s="11" t="s">
        <v>6745</v>
      </c>
    </row>
    <row r="324" spans="1:12">
      <c r="A324" t="s">
        <v>6749</v>
      </c>
      <c r="B324" s="9">
        <v>3273</v>
      </c>
      <c r="C324" s="9">
        <v>4.709136</v>
      </c>
      <c r="D324">
        <v>3</v>
      </c>
      <c r="E324">
        <v>2</v>
      </c>
      <c r="F324">
        <v>2</v>
      </c>
      <c r="G324" s="10">
        <v>0.66666666666666663</v>
      </c>
      <c r="H324" t="s">
        <v>46</v>
      </c>
      <c r="I324" t="s">
        <v>1957</v>
      </c>
      <c r="J324" t="s">
        <v>6750</v>
      </c>
      <c r="K324" t="s">
        <v>6746</v>
      </c>
      <c r="L324" s="11" t="s">
        <v>6750</v>
      </c>
    </row>
    <row r="325" spans="1:12">
      <c r="A325" t="s">
        <v>6751</v>
      </c>
      <c r="B325" s="9">
        <v>3265</v>
      </c>
      <c r="C325" s="9">
        <v>4.6919000000000004</v>
      </c>
      <c r="D325">
        <v>3</v>
      </c>
      <c r="E325">
        <v>1</v>
      </c>
      <c r="F325">
        <v>2</v>
      </c>
      <c r="G325" s="10">
        <v>0.66666666666666663</v>
      </c>
      <c r="H325" t="s">
        <v>46</v>
      </c>
      <c r="I325" t="s">
        <v>1957</v>
      </c>
      <c r="J325" t="s">
        <v>6745</v>
      </c>
      <c r="K325" t="s">
        <v>6746</v>
      </c>
      <c r="L325" s="11" t="s">
        <v>6745</v>
      </c>
    </row>
    <row r="326" spans="1:12">
      <c r="A326" t="s">
        <v>6752</v>
      </c>
      <c r="B326" s="9">
        <v>10462</v>
      </c>
      <c r="C326" s="9">
        <v>4.7030839999999996</v>
      </c>
      <c r="D326">
        <v>8</v>
      </c>
      <c r="E326">
        <v>5</v>
      </c>
      <c r="F326">
        <v>4</v>
      </c>
      <c r="G326" s="10">
        <v>0.5</v>
      </c>
      <c r="H326" t="s">
        <v>46</v>
      </c>
      <c r="I326" t="s">
        <v>1957</v>
      </c>
      <c r="J326" t="s">
        <v>6753</v>
      </c>
      <c r="K326" t="s">
        <v>6746</v>
      </c>
      <c r="L326" s="11" t="s">
        <v>6753</v>
      </c>
    </row>
    <row r="327" spans="1:12">
      <c r="A327" t="s">
        <v>6754</v>
      </c>
      <c r="B327" s="9">
        <v>4635</v>
      </c>
      <c r="C327" s="9">
        <v>3.001528</v>
      </c>
      <c r="D327">
        <v>1</v>
      </c>
      <c r="E327">
        <v>1</v>
      </c>
      <c r="F327">
        <v>1</v>
      </c>
      <c r="G327" s="10">
        <v>1</v>
      </c>
      <c r="H327" t="s">
        <v>46</v>
      </c>
      <c r="I327" t="s">
        <v>1957</v>
      </c>
      <c r="J327" t="s">
        <v>6755</v>
      </c>
      <c r="K327" t="s">
        <v>6756</v>
      </c>
      <c r="L327" s="11" t="s">
        <v>6755</v>
      </c>
    </row>
    <row r="328" spans="1:12">
      <c r="A328" t="s">
        <v>6757</v>
      </c>
      <c r="B328" s="9">
        <v>2710</v>
      </c>
      <c r="C328" s="9">
        <v>12.889642</v>
      </c>
      <c r="D328">
        <v>1</v>
      </c>
      <c r="E328">
        <v>1</v>
      </c>
      <c r="F328">
        <v>1</v>
      </c>
      <c r="G328" s="10">
        <v>1</v>
      </c>
      <c r="H328" t="s">
        <v>46</v>
      </c>
      <c r="I328" t="s">
        <v>1957</v>
      </c>
      <c r="J328" t="s">
        <v>6755</v>
      </c>
      <c r="K328" t="s">
        <v>6756</v>
      </c>
      <c r="L328" s="11" t="s">
        <v>6755</v>
      </c>
    </row>
    <row r="329" spans="1:12">
      <c r="A329" t="s">
        <v>6758</v>
      </c>
      <c r="B329" s="9">
        <v>3249</v>
      </c>
      <c r="C329" s="9">
        <v>6.8415780000000002</v>
      </c>
      <c r="D329">
        <v>3</v>
      </c>
      <c r="E329">
        <v>1</v>
      </c>
      <c r="F329">
        <v>1</v>
      </c>
      <c r="G329" s="10">
        <v>0.33333333333333331</v>
      </c>
      <c r="H329" t="s">
        <v>46</v>
      </c>
      <c r="I329" t="s">
        <v>1957</v>
      </c>
      <c r="J329" t="s">
        <v>6755</v>
      </c>
      <c r="K329" t="s">
        <v>6756</v>
      </c>
      <c r="L329" s="11" t="s">
        <v>6755</v>
      </c>
    </row>
    <row r="330" spans="1:12">
      <c r="A330" t="s">
        <v>6759</v>
      </c>
      <c r="B330" s="9">
        <v>3097</v>
      </c>
      <c r="C330" s="9">
        <v>5.7508220000000003</v>
      </c>
      <c r="D330">
        <v>3</v>
      </c>
      <c r="E330">
        <v>3</v>
      </c>
      <c r="F330">
        <v>3</v>
      </c>
      <c r="G330" s="10">
        <v>1</v>
      </c>
      <c r="H330" t="s">
        <v>46</v>
      </c>
      <c r="I330" t="s">
        <v>1957</v>
      </c>
      <c r="J330" t="s">
        <v>6760</v>
      </c>
      <c r="K330" t="s">
        <v>6761</v>
      </c>
      <c r="L330" s="11" t="s">
        <v>6760</v>
      </c>
    </row>
    <row r="331" spans="1:12">
      <c r="A331" t="s">
        <v>6762</v>
      </c>
      <c r="B331" s="9">
        <v>3224</v>
      </c>
      <c r="C331" s="9">
        <v>4.450615</v>
      </c>
      <c r="D331">
        <v>3</v>
      </c>
      <c r="E331">
        <v>3</v>
      </c>
      <c r="F331">
        <v>3</v>
      </c>
      <c r="G331" s="10">
        <v>1</v>
      </c>
      <c r="H331" t="s">
        <v>46</v>
      </c>
      <c r="I331" t="s">
        <v>1957</v>
      </c>
      <c r="J331" t="s">
        <v>6763</v>
      </c>
      <c r="K331" t="s">
        <v>6764</v>
      </c>
      <c r="L331" s="11" t="s">
        <v>6763</v>
      </c>
    </row>
    <row r="332" spans="1:12">
      <c r="A332" t="s">
        <v>6765</v>
      </c>
      <c r="B332" s="9">
        <v>2258</v>
      </c>
      <c r="C332" s="9">
        <v>3.0063550000000001</v>
      </c>
      <c r="D332">
        <v>1</v>
      </c>
      <c r="E332">
        <v>1</v>
      </c>
      <c r="F332">
        <v>1</v>
      </c>
      <c r="G332" s="10">
        <v>1</v>
      </c>
      <c r="H332" t="s">
        <v>46</v>
      </c>
      <c r="I332" t="s">
        <v>1957</v>
      </c>
      <c r="J332" t="s">
        <v>6766</v>
      </c>
      <c r="K332" t="s">
        <v>6764</v>
      </c>
      <c r="L332" s="11" t="s">
        <v>6766</v>
      </c>
    </row>
    <row r="333" spans="1:12">
      <c r="A333" t="s">
        <v>6767</v>
      </c>
      <c r="B333" s="9">
        <v>2016</v>
      </c>
      <c r="C333" s="9">
        <v>2.521163</v>
      </c>
      <c r="D333">
        <v>2</v>
      </c>
      <c r="E333">
        <v>2</v>
      </c>
      <c r="F333">
        <v>2</v>
      </c>
      <c r="G333" s="10">
        <v>1</v>
      </c>
      <c r="H333" t="s">
        <v>46</v>
      </c>
      <c r="I333" t="s">
        <v>1957</v>
      </c>
      <c r="J333" t="s">
        <v>6766</v>
      </c>
      <c r="K333" t="s">
        <v>6764</v>
      </c>
      <c r="L333" s="11" t="s">
        <v>6766</v>
      </c>
    </row>
    <row r="334" spans="1:12">
      <c r="A334" t="s">
        <v>6768</v>
      </c>
      <c r="B334" s="9">
        <v>5121</v>
      </c>
      <c r="C334" s="9">
        <v>3.568298</v>
      </c>
      <c r="D334">
        <v>3</v>
      </c>
      <c r="E334">
        <v>2</v>
      </c>
      <c r="F334">
        <v>2</v>
      </c>
      <c r="G334" s="10">
        <v>0.66666666666666663</v>
      </c>
      <c r="H334" t="s">
        <v>46</v>
      </c>
      <c r="I334" t="s">
        <v>1957</v>
      </c>
      <c r="J334" t="s">
        <v>6769</v>
      </c>
      <c r="K334" t="s">
        <v>6764</v>
      </c>
      <c r="L334" s="11" t="s">
        <v>6770</v>
      </c>
    </row>
    <row r="335" spans="1:12">
      <c r="A335" t="s">
        <v>6771</v>
      </c>
      <c r="B335" s="9">
        <v>18205</v>
      </c>
      <c r="C335" s="9">
        <v>10.611129</v>
      </c>
      <c r="D335">
        <v>13</v>
      </c>
      <c r="E335">
        <v>11</v>
      </c>
      <c r="F335">
        <v>13</v>
      </c>
      <c r="G335" s="10">
        <v>1</v>
      </c>
      <c r="H335" t="s">
        <v>46</v>
      </c>
      <c r="I335" t="s">
        <v>1957</v>
      </c>
      <c r="J335" t="s">
        <v>6772</v>
      </c>
      <c r="K335" t="s">
        <v>6773</v>
      </c>
      <c r="L335" s="11" t="s">
        <v>6772</v>
      </c>
    </row>
    <row r="336" spans="1:12">
      <c r="A336" t="s">
        <v>6774</v>
      </c>
      <c r="B336" s="9">
        <v>2037</v>
      </c>
      <c r="C336" s="9">
        <v>2.5686179999999998</v>
      </c>
      <c r="D336">
        <v>2</v>
      </c>
      <c r="E336">
        <v>2</v>
      </c>
      <c r="F336">
        <v>1</v>
      </c>
      <c r="G336" s="10">
        <v>0.5</v>
      </c>
      <c r="H336" t="s">
        <v>46</v>
      </c>
      <c r="I336" t="s">
        <v>1957</v>
      </c>
      <c r="J336" t="s">
        <v>6775</v>
      </c>
      <c r="K336" t="s">
        <v>6776</v>
      </c>
      <c r="L336" s="11" t="s">
        <v>6775</v>
      </c>
    </row>
    <row r="337" spans="1:12">
      <c r="A337" t="s">
        <v>6777</v>
      </c>
      <c r="B337" s="9">
        <v>3512</v>
      </c>
      <c r="C337" s="9">
        <v>29.563783999999998</v>
      </c>
      <c r="D337">
        <v>2</v>
      </c>
      <c r="E337">
        <v>2</v>
      </c>
      <c r="F337">
        <v>2</v>
      </c>
      <c r="G337" s="10">
        <v>1</v>
      </c>
      <c r="H337" t="s">
        <v>46</v>
      </c>
      <c r="I337" t="s">
        <v>1957</v>
      </c>
      <c r="J337" t="s">
        <v>6778</v>
      </c>
      <c r="K337" t="s">
        <v>6779</v>
      </c>
      <c r="L337" s="11" t="s">
        <v>6778</v>
      </c>
    </row>
    <row r="338" spans="1:12">
      <c r="A338" t="s">
        <v>6780</v>
      </c>
      <c r="B338" s="9">
        <v>3595</v>
      </c>
      <c r="C338" s="9">
        <v>7.1562150000000004</v>
      </c>
      <c r="D338">
        <v>3</v>
      </c>
      <c r="E338">
        <v>1</v>
      </c>
      <c r="F338">
        <v>1</v>
      </c>
      <c r="G338" s="10">
        <v>0.33333333333333331</v>
      </c>
      <c r="H338" t="s">
        <v>46</v>
      </c>
      <c r="I338" t="s">
        <v>1957</v>
      </c>
      <c r="J338" t="s">
        <v>6781</v>
      </c>
      <c r="K338" t="s">
        <v>6782</v>
      </c>
      <c r="L338" s="11" t="s">
        <v>6781</v>
      </c>
    </row>
    <row r="339" spans="1:12">
      <c r="A339" t="s">
        <v>6783</v>
      </c>
      <c r="B339" s="9">
        <v>2010</v>
      </c>
      <c r="C339" s="9">
        <v>9.3856780000000004</v>
      </c>
      <c r="D339">
        <v>1</v>
      </c>
      <c r="E339">
        <v>1</v>
      </c>
      <c r="F339">
        <v>1</v>
      </c>
      <c r="G339" s="10">
        <v>1</v>
      </c>
      <c r="H339" t="s">
        <v>46</v>
      </c>
      <c r="I339" t="s">
        <v>1957</v>
      </c>
      <c r="J339" t="s">
        <v>6784</v>
      </c>
      <c r="K339" t="s">
        <v>6785</v>
      </c>
      <c r="L339" s="11" t="s">
        <v>6784</v>
      </c>
    </row>
    <row r="340" spans="1:12">
      <c r="A340" t="s">
        <v>6786</v>
      </c>
      <c r="B340" s="9">
        <v>2372</v>
      </c>
      <c r="C340" s="9">
        <v>3.7488130000000002</v>
      </c>
      <c r="D340">
        <v>2</v>
      </c>
      <c r="E340">
        <v>2</v>
      </c>
      <c r="F340">
        <v>2</v>
      </c>
      <c r="G340" s="10">
        <v>1</v>
      </c>
      <c r="H340" t="s">
        <v>46</v>
      </c>
      <c r="I340" t="s">
        <v>1957</v>
      </c>
      <c r="J340" t="s">
        <v>6787</v>
      </c>
      <c r="K340" t="s">
        <v>6788</v>
      </c>
      <c r="L340" s="11" t="s">
        <v>6789</v>
      </c>
    </row>
    <row r="341" spans="1:12">
      <c r="A341" t="s">
        <v>6790</v>
      </c>
      <c r="B341" s="9">
        <v>2001</v>
      </c>
      <c r="C341" s="9">
        <v>2.742035</v>
      </c>
      <c r="D341">
        <v>2</v>
      </c>
      <c r="E341">
        <v>2</v>
      </c>
      <c r="F341">
        <v>2</v>
      </c>
      <c r="G341" s="10">
        <v>1</v>
      </c>
      <c r="H341" t="s">
        <v>46</v>
      </c>
      <c r="I341" t="s">
        <v>1957</v>
      </c>
      <c r="J341" t="s">
        <v>6791</v>
      </c>
      <c r="K341" t="s">
        <v>6792</v>
      </c>
      <c r="L341" s="11" t="s">
        <v>6791</v>
      </c>
    </row>
    <row r="342" spans="1:12">
      <c r="A342" t="s">
        <v>6793</v>
      </c>
      <c r="B342" s="9">
        <v>3762</v>
      </c>
      <c r="C342" s="9">
        <v>24.779336000000001</v>
      </c>
      <c r="D342">
        <v>3</v>
      </c>
      <c r="E342">
        <v>2</v>
      </c>
      <c r="F342">
        <v>2</v>
      </c>
      <c r="G342" s="10">
        <v>0.66666666666666663</v>
      </c>
      <c r="H342" t="s">
        <v>46</v>
      </c>
      <c r="I342" t="s">
        <v>1957</v>
      </c>
      <c r="J342" t="s">
        <v>6794</v>
      </c>
      <c r="K342" t="s">
        <v>6795</v>
      </c>
      <c r="L342" s="11" t="s">
        <v>6794</v>
      </c>
    </row>
    <row r="343" spans="1:12">
      <c r="A343" t="s">
        <v>6796</v>
      </c>
      <c r="B343" s="9">
        <v>2453</v>
      </c>
      <c r="C343" s="9">
        <v>4.7093410000000002</v>
      </c>
      <c r="D343">
        <v>2</v>
      </c>
      <c r="E343">
        <v>1</v>
      </c>
      <c r="F343">
        <v>1</v>
      </c>
      <c r="G343" s="10">
        <v>0.5</v>
      </c>
      <c r="H343" t="s">
        <v>46</v>
      </c>
      <c r="I343" t="s">
        <v>1957</v>
      </c>
      <c r="J343" t="s">
        <v>6794</v>
      </c>
      <c r="K343" t="s">
        <v>6795</v>
      </c>
      <c r="L343" s="11" t="s">
        <v>6794</v>
      </c>
    </row>
    <row r="344" spans="1:12">
      <c r="A344" t="s">
        <v>6797</v>
      </c>
      <c r="B344" s="9">
        <v>3437</v>
      </c>
      <c r="C344" s="9">
        <v>12.053519</v>
      </c>
      <c r="D344">
        <v>2</v>
      </c>
      <c r="E344">
        <v>2</v>
      </c>
      <c r="F344">
        <v>2</v>
      </c>
      <c r="G344" s="10">
        <v>1</v>
      </c>
      <c r="H344" t="s">
        <v>46</v>
      </c>
      <c r="I344" t="s">
        <v>1957</v>
      </c>
      <c r="J344" t="s">
        <v>6798</v>
      </c>
      <c r="K344" t="s">
        <v>6799</v>
      </c>
      <c r="L344" s="11" t="s">
        <v>6798</v>
      </c>
    </row>
    <row r="345" spans="1:12">
      <c r="A345" t="s">
        <v>6800</v>
      </c>
      <c r="B345" s="9">
        <v>2432</v>
      </c>
      <c r="C345" s="9">
        <v>340.47749299999998</v>
      </c>
      <c r="D345">
        <v>2</v>
      </c>
      <c r="E345">
        <v>2</v>
      </c>
      <c r="F345">
        <v>2</v>
      </c>
      <c r="G345" s="10">
        <v>1</v>
      </c>
      <c r="H345" t="s">
        <v>46</v>
      </c>
      <c r="I345" t="s">
        <v>1957</v>
      </c>
      <c r="J345" t="s">
        <v>6798</v>
      </c>
      <c r="K345" t="s">
        <v>6799</v>
      </c>
      <c r="L345" s="11" t="s">
        <v>6798</v>
      </c>
    </row>
    <row r="346" spans="1:12">
      <c r="A346" t="s">
        <v>6801</v>
      </c>
      <c r="B346" s="9">
        <v>2166</v>
      </c>
      <c r="C346" s="9">
        <v>19.791094000000001</v>
      </c>
      <c r="D346">
        <v>2</v>
      </c>
      <c r="E346">
        <v>2</v>
      </c>
      <c r="F346">
        <v>2</v>
      </c>
      <c r="G346" s="10">
        <v>1</v>
      </c>
      <c r="H346" t="s">
        <v>46</v>
      </c>
      <c r="I346" t="s">
        <v>1957</v>
      </c>
      <c r="J346" t="s">
        <v>6798</v>
      </c>
      <c r="K346" t="s">
        <v>6799</v>
      </c>
      <c r="L346" s="11" t="s">
        <v>6798</v>
      </c>
    </row>
    <row r="347" spans="1:12">
      <c r="A347" t="s">
        <v>6802</v>
      </c>
      <c r="B347" s="9">
        <v>2045</v>
      </c>
      <c r="C347" s="9">
        <v>8.8185929999999999</v>
      </c>
      <c r="D347">
        <v>1</v>
      </c>
      <c r="E347">
        <v>1</v>
      </c>
      <c r="F347">
        <v>1</v>
      </c>
      <c r="G347" s="10">
        <v>1</v>
      </c>
      <c r="H347" t="s">
        <v>46</v>
      </c>
      <c r="I347" t="s">
        <v>1957</v>
      </c>
      <c r="J347" t="s">
        <v>6798</v>
      </c>
      <c r="K347" t="s">
        <v>6799</v>
      </c>
      <c r="L347" s="11" t="s">
        <v>6798</v>
      </c>
    </row>
    <row r="348" spans="1:12">
      <c r="A348" t="s">
        <v>6803</v>
      </c>
      <c r="B348" s="9">
        <v>3885</v>
      </c>
      <c r="C348" s="9">
        <v>3.2347260000000002</v>
      </c>
      <c r="D348">
        <v>4</v>
      </c>
      <c r="E348">
        <v>2</v>
      </c>
      <c r="F348">
        <v>3</v>
      </c>
      <c r="G348" s="10">
        <v>0.75</v>
      </c>
      <c r="H348" t="s">
        <v>46</v>
      </c>
      <c r="I348" t="s">
        <v>1957</v>
      </c>
      <c r="J348" t="s">
        <v>6798</v>
      </c>
      <c r="K348" t="s">
        <v>6799</v>
      </c>
      <c r="L348" s="11" t="s">
        <v>6798</v>
      </c>
    </row>
    <row r="349" spans="1:12">
      <c r="A349" t="s">
        <v>6804</v>
      </c>
      <c r="B349" s="9">
        <v>5347</v>
      </c>
      <c r="C349" s="9">
        <v>8.5806880000000003</v>
      </c>
      <c r="D349">
        <v>2</v>
      </c>
      <c r="E349">
        <v>2</v>
      </c>
      <c r="F349">
        <v>2</v>
      </c>
      <c r="G349" s="10">
        <v>1</v>
      </c>
      <c r="H349" t="s">
        <v>46</v>
      </c>
      <c r="I349" t="s">
        <v>1957</v>
      </c>
      <c r="J349" t="s">
        <v>6805</v>
      </c>
      <c r="K349" t="s">
        <v>6806</v>
      </c>
      <c r="L349" s="11" t="s">
        <v>6805</v>
      </c>
    </row>
    <row r="350" spans="1:12">
      <c r="A350" t="s">
        <v>6807</v>
      </c>
      <c r="B350" s="9">
        <v>3242</v>
      </c>
      <c r="C350" s="9">
        <v>3.2014429999999998</v>
      </c>
      <c r="D350">
        <v>2</v>
      </c>
      <c r="E350">
        <v>2</v>
      </c>
      <c r="F350">
        <v>2</v>
      </c>
      <c r="G350" s="10">
        <v>1</v>
      </c>
      <c r="H350" t="s">
        <v>46</v>
      </c>
      <c r="I350" t="s">
        <v>1957</v>
      </c>
      <c r="J350" t="s">
        <v>6805</v>
      </c>
      <c r="K350" t="s">
        <v>6806</v>
      </c>
      <c r="L350" s="11" t="s">
        <v>6805</v>
      </c>
    </row>
    <row r="351" spans="1:12">
      <c r="A351" t="s">
        <v>6808</v>
      </c>
      <c r="B351" s="9">
        <v>3034</v>
      </c>
      <c r="C351" s="9">
        <v>41.655925000000003</v>
      </c>
      <c r="D351">
        <v>4</v>
      </c>
      <c r="E351">
        <v>4</v>
      </c>
      <c r="F351">
        <v>4</v>
      </c>
      <c r="G351" s="10">
        <v>1</v>
      </c>
      <c r="H351" t="s">
        <v>46</v>
      </c>
      <c r="I351" t="s">
        <v>1957</v>
      </c>
      <c r="J351" t="s">
        <v>6809</v>
      </c>
      <c r="K351" t="s">
        <v>6806</v>
      </c>
      <c r="L351" s="11" t="s">
        <v>6644</v>
      </c>
    </row>
    <row r="352" spans="1:12">
      <c r="A352" t="s">
        <v>6810</v>
      </c>
      <c r="B352" s="9">
        <v>2944</v>
      </c>
      <c r="C352" s="9">
        <v>5.1388020000000001</v>
      </c>
      <c r="D352">
        <v>2</v>
      </c>
      <c r="E352">
        <v>2</v>
      </c>
      <c r="F352">
        <v>2</v>
      </c>
      <c r="G352" s="10">
        <v>1</v>
      </c>
      <c r="H352" t="s">
        <v>46</v>
      </c>
      <c r="I352" t="s">
        <v>1957</v>
      </c>
      <c r="J352" t="s">
        <v>6805</v>
      </c>
      <c r="K352" t="s">
        <v>6806</v>
      </c>
      <c r="L352" s="11" t="s">
        <v>6805</v>
      </c>
    </row>
    <row r="353" spans="1:12">
      <c r="A353" t="s">
        <v>6811</v>
      </c>
      <c r="B353" s="9">
        <v>2402</v>
      </c>
      <c r="C353" s="9">
        <v>20.125266</v>
      </c>
      <c r="D353">
        <v>2</v>
      </c>
      <c r="E353">
        <v>2</v>
      </c>
      <c r="F353">
        <v>2</v>
      </c>
      <c r="G353" s="10">
        <v>1</v>
      </c>
      <c r="H353" t="s">
        <v>46</v>
      </c>
      <c r="I353" t="s">
        <v>1957</v>
      </c>
      <c r="J353" t="s">
        <v>6805</v>
      </c>
      <c r="K353" t="s">
        <v>6806</v>
      </c>
      <c r="L353" s="11" t="s">
        <v>6805</v>
      </c>
    </row>
    <row r="354" spans="1:12">
      <c r="A354" t="s">
        <v>6812</v>
      </c>
      <c r="B354" s="9">
        <v>2264</v>
      </c>
      <c r="C354" s="9">
        <v>4.6373920000000002</v>
      </c>
      <c r="D354">
        <v>1</v>
      </c>
      <c r="E354">
        <v>1</v>
      </c>
      <c r="F354">
        <v>1</v>
      </c>
      <c r="G354" s="10">
        <v>1</v>
      </c>
      <c r="H354" t="s">
        <v>46</v>
      </c>
      <c r="I354" t="s">
        <v>1957</v>
      </c>
      <c r="J354" t="s">
        <v>6805</v>
      </c>
      <c r="K354" t="s">
        <v>6806</v>
      </c>
      <c r="L354" s="11" t="s">
        <v>6805</v>
      </c>
    </row>
    <row r="355" spans="1:12">
      <c r="A355" t="s">
        <v>6813</v>
      </c>
      <c r="B355" s="9">
        <v>3484</v>
      </c>
      <c r="C355" s="9">
        <v>13.392533999999999</v>
      </c>
      <c r="D355">
        <v>2</v>
      </c>
      <c r="E355">
        <v>2</v>
      </c>
      <c r="F355">
        <v>1</v>
      </c>
      <c r="G355" s="10">
        <v>0.5</v>
      </c>
      <c r="H355" t="s">
        <v>46</v>
      </c>
      <c r="I355" t="s">
        <v>1957</v>
      </c>
      <c r="J355" t="s">
        <v>6805</v>
      </c>
      <c r="K355" t="s">
        <v>6806</v>
      </c>
      <c r="L355" s="11" t="s">
        <v>6805</v>
      </c>
    </row>
    <row r="356" spans="1:12">
      <c r="A356" t="s">
        <v>6814</v>
      </c>
      <c r="B356" s="9">
        <v>3189</v>
      </c>
      <c r="C356" s="9">
        <v>3.640396</v>
      </c>
      <c r="D356">
        <v>2</v>
      </c>
      <c r="E356">
        <v>2</v>
      </c>
      <c r="F356">
        <v>2</v>
      </c>
      <c r="G356" s="10">
        <v>1</v>
      </c>
      <c r="H356" t="s">
        <v>46</v>
      </c>
      <c r="I356" t="s">
        <v>1957</v>
      </c>
      <c r="J356" t="s">
        <v>6815</v>
      </c>
      <c r="K356" t="s">
        <v>6816</v>
      </c>
      <c r="L356" s="11" t="s">
        <v>6815</v>
      </c>
    </row>
    <row r="357" spans="1:12">
      <c r="A357" t="s">
        <v>6817</v>
      </c>
      <c r="B357" s="9">
        <v>2894</v>
      </c>
      <c r="C357" s="9">
        <v>5.5671010000000001</v>
      </c>
      <c r="D357">
        <v>2</v>
      </c>
      <c r="E357">
        <v>2</v>
      </c>
      <c r="F357">
        <v>2</v>
      </c>
      <c r="G357" s="10">
        <v>1</v>
      </c>
      <c r="H357" t="s">
        <v>46</v>
      </c>
      <c r="I357" t="s">
        <v>1957</v>
      </c>
      <c r="J357" t="s">
        <v>6818</v>
      </c>
      <c r="K357" t="s">
        <v>6819</v>
      </c>
      <c r="L357" s="11" t="s">
        <v>6818</v>
      </c>
    </row>
    <row r="358" spans="1:12">
      <c r="A358" t="s">
        <v>6820</v>
      </c>
      <c r="B358" s="9">
        <v>2394</v>
      </c>
      <c r="C358" s="9">
        <v>4.1504919999999998</v>
      </c>
      <c r="D358">
        <v>4</v>
      </c>
      <c r="E358">
        <v>4</v>
      </c>
      <c r="F358">
        <v>4</v>
      </c>
      <c r="G358" s="10">
        <v>1</v>
      </c>
      <c r="H358" t="s">
        <v>46</v>
      </c>
      <c r="I358" t="s">
        <v>1957</v>
      </c>
      <c r="J358" t="s">
        <v>6821</v>
      </c>
      <c r="K358" t="s">
        <v>6819</v>
      </c>
      <c r="L358" s="11" t="s">
        <v>6821</v>
      </c>
    </row>
    <row r="359" spans="1:12">
      <c r="A359" t="s">
        <v>6822</v>
      </c>
      <c r="B359" s="9">
        <v>2003</v>
      </c>
      <c r="C359" s="9">
        <v>4.8901440000000003</v>
      </c>
      <c r="D359">
        <v>1</v>
      </c>
      <c r="E359">
        <v>1</v>
      </c>
      <c r="F359">
        <v>1</v>
      </c>
      <c r="G359" s="10">
        <v>1</v>
      </c>
      <c r="H359" t="s">
        <v>46</v>
      </c>
      <c r="I359" t="s">
        <v>1957</v>
      </c>
      <c r="J359" t="s">
        <v>6818</v>
      </c>
      <c r="K359" t="s">
        <v>6819</v>
      </c>
      <c r="L359" s="11" t="s">
        <v>6818</v>
      </c>
    </row>
    <row r="360" spans="1:12">
      <c r="A360" t="s">
        <v>6823</v>
      </c>
      <c r="B360" s="9">
        <v>3573</v>
      </c>
      <c r="C360" s="9">
        <v>19.595509</v>
      </c>
      <c r="D360">
        <v>3</v>
      </c>
      <c r="E360">
        <v>2</v>
      </c>
      <c r="F360">
        <v>2</v>
      </c>
      <c r="G360" s="10">
        <v>0.66666666666666663</v>
      </c>
      <c r="H360" t="s">
        <v>46</v>
      </c>
      <c r="I360" t="s">
        <v>1957</v>
      </c>
      <c r="J360" t="s">
        <v>6818</v>
      </c>
      <c r="K360" t="s">
        <v>6819</v>
      </c>
      <c r="L360" s="11" t="s">
        <v>6818</v>
      </c>
    </row>
    <row r="361" spans="1:12">
      <c r="A361" t="s">
        <v>6824</v>
      </c>
      <c r="B361" s="9">
        <v>6283</v>
      </c>
      <c r="C361" s="9">
        <v>4.9964680000000001</v>
      </c>
      <c r="D361">
        <v>5</v>
      </c>
      <c r="E361">
        <v>5</v>
      </c>
      <c r="F361">
        <v>5</v>
      </c>
      <c r="G361" s="10">
        <v>1</v>
      </c>
      <c r="H361" t="s">
        <v>46</v>
      </c>
      <c r="I361" t="s">
        <v>1957</v>
      </c>
      <c r="J361" t="s">
        <v>6825</v>
      </c>
      <c r="K361" t="s">
        <v>6826</v>
      </c>
      <c r="L361" s="11" t="s">
        <v>6825</v>
      </c>
    </row>
    <row r="362" spans="1:12">
      <c r="A362" t="s">
        <v>6827</v>
      </c>
      <c r="B362" s="9">
        <v>2385</v>
      </c>
      <c r="C362" s="9">
        <v>4.4721029999999997</v>
      </c>
      <c r="D362">
        <v>2</v>
      </c>
      <c r="E362">
        <v>2</v>
      </c>
      <c r="F362">
        <v>2</v>
      </c>
      <c r="G362" s="10">
        <v>1</v>
      </c>
      <c r="H362" t="s">
        <v>46</v>
      </c>
      <c r="I362" t="s">
        <v>1957</v>
      </c>
      <c r="J362" t="s">
        <v>6828</v>
      </c>
      <c r="K362" t="s">
        <v>6826</v>
      </c>
      <c r="L362" s="11" t="s">
        <v>6828</v>
      </c>
    </row>
    <row r="363" spans="1:12">
      <c r="A363" t="s">
        <v>6829</v>
      </c>
      <c r="B363" s="9">
        <v>2341</v>
      </c>
      <c r="C363" s="9">
        <v>4.421697</v>
      </c>
      <c r="D363">
        <v>2</v>
      </c>
      <c r="E363">
        <v>2</v>
      </c>
      <c r="F363">
        <v>2</v>
      </c>
      <c r="G363" s="10">
        <v>1</v>
      </c>
      <c r="H363" t="s">
        <v>46</v>
      </c>
      <c r="I363" t="s">
        <v>1957</v>
      </c>
      <c r="J363" t="s">
        <v>6828</v>
      </c>
      <c r="K363" t="s">
        <v>6826</v>
      </c>
      <c r="L363" s="11" t="s">
        <v>6828</v>
      </c>
    </row>
    <row r="364" spans="1:12">
      <c r="A364" t="s">
        <v>6830</v>
      </c>
      <c r="B364" s="9">
        <v>2817</v>
      </c>
      <c r="C364" s="9">
        <v>3.602824</v>
      </c>
      <c r="D364">
        <v>2</v>
      </c>
      <c r="E364">
        <v>2</v>
      </c>
      <c r="F364">
        <v>2</v>
      </c>
      <c r="G364" s="10">
        <v>1</v>
      </c>
      <c r="H364" t="s">
        <v>46</v>
      </c>
      <c r="I364" t="s">
        <v>1957</v>
      </c>
      <c r="J364" t="s">
        <v>6831</v>
      </c>
      <c r="K364" t="s">
        <v>6832</v>
      </c>
      <c r="L364" s="11" t="s">
        <v>6831</v>
      </c>
    </row>
    <row r="365" spans="1:12">
      <c r="A365" t="s">
        <v>6833</v>
      </c>
      <c r="B365" s="9">
        <v>2364</v>
      </c>
      <c r="C365" s="9">
        <v>6.6197489999999997</v>
      </c>
      <c r="D365">
        <v>1</v>
      </c>
      <c r="E365">
        <v>1</v>
      </c>
      <c r="F365">
        <v>1</v>
      </c>
      <c r="G365" s="10">
        <v>1</v>
      </c>
      <c r="H365" t="s">
        <v>46</v>
      </c>
      <c r="I365" t="s">
        <v>1957</v>
      </c>
      <c r="J365" t="s">
        <v>6831</v>
      </c>
      <c r="K365" t="s">
        <v>6832</v>
      </c>
      <c r="L365" s="11" t="s">
        <v>6831</v>
      </c>
    </row>
    <row r="366" spans="1:12">
      <c r="A366" t="s">
        <v>6834</v>
      </c>
      <c r="B366" s="9">
        <v>2208</v>
      </c>
      <c r="C366" s="9">
        <v>1.9958199999999999</v>
      </c>
      <c r="D366">
        <v>2</v>
      </c>
      <c r="E366">
        <v>1</v>
      </c>
      <c r="F366">
        <v>1</v>
      </c>
      <c r="G366" s="10">
        <v>0.5</v>
      </c>
      <c r="H366" t="s">
        <v>46</v>
      </c>
      <c r="I366" t="s">
        <v>1957</v>
      </c>
      <c r="J366" t="s">
        <v>6831</v>
      </c>
      <c r="K366" t="s">
        <v>6832</v>
      </c>
      <c r="L366" s="11" t="s">
        <v>6831</v>
      </c>
    </row>
    <row r="367" spans="1:12">
      <c r="A367" t="s">
        <v>6835</v>
      </c>
      <c r="B367" s="9">
        <v>2816</v>
      </c>
      <c r="C367" s="9">
        <v>4.6175300000000004</v>
      </c>
      <c r="D367">
        <v>1</v>
      </c>
      <c r="E367">
        <v>1</v>
      </c>
      <c r="F367">
        <v>1</v>
      </c>
      <c r="G367" s="10">
        <v>1</v>
      </c>
      <c r="H367" t="s">
        <v>46</v>
      </c>
      <c r="I367" t="s">
        <v>1957</v>
      </c>
      <c r="J367" t="s">
        <v>6836</v>
      </c>
      <c r="K367" t="s">
        <v>6837</v>
      </c>
      <c r="L367" s="11" t="s">
        <v>6836</v>
      </c>
    </row>
    <row r="368" spans="1:12">
      <c r="A368" t="s">
        <v>6838</v>
      </c>
      <c r="B368" s="9">
        <v>2178</v>
      </c>
      <c r="C368" s="9">
        <v>4.0904379999999998</v>
      </c>
      <c r="D368">
        <v>1</v>
      </c>
      <c r="E368">
        <v>1</v>
      </c>
      <c r="F368">
        <v>1</v>
      </c>
      <c r="G368" s="10">
        <v>1</v>
      </c>
      <c r="H368" t="s">
        <v>46</v>
      </c>
      <c r="I368" t="s">
        <v>1957</v>
      </c>
      <c r="J368" t="s">
        <v>6836</v>
      </c>
      <c r="K368" t="s">
        <v>6837</v>
      </c>
      <c r="L368" s="11" t="s">
        <v>6836</v>
      </c>
    </row>
    <row r="369" spans="1:12">
      <c r="A369" t="s">
        <v>6839</v>
      </c>
      <c r="B369" s="9">
        <v>2084</v>
      </c>
      <c r="C369" s="9">
        <v>6.9073440000000002</v>
      </c>
      <c r="D369">
        <v>2</v>
      </c>
      <c r="E369">
        <v>1</v>
      </c>
      <c r="F369">
        <v>2</v>
      </c>
      <c r="G369" s="10">
        <v>1</v>
      </c>
      <c r="H369" t="s">
        <v>46</v>
      </c>
      <c r="I369" t="s">
        <v>1957</v>
      </c>
      <c r="J369" t="s">
        <v>6836</v>
      </c>
      <c r="K369" t="s">
        <v>6837</v>
      </c>
      <c r="L369" s="11" t="s">
        <v>6836</v>
      </c>
    </row>
    <row r="370" spans="1:12">
      <c r="A370" t="s">
        <v>6840</v>
      </c>
      <c r="B370" s="9">
        <v>2081</v>
      </c>
      <c r="C370" s="9">
        <v>4.7828229999999996</v>
      </c>
      <c r="D370">
        <v>2</v>
      </c>
      <c r="E370">
        <v>2</v>
      </c>
      <c r="F370">
        <v>2</v>
      </c>
      <c r="G370" s="10">
        <v>1</v>
      </c>
      <c r="H370" t="s">
        <v>46</v>
      </c>
      <c r="I370" t="s">
        <v>1957</v>
      </c>
      <c r="J370" t="s">
        <v>6841</v>
      </c>
      <c r="K370" t="s">
        <v>6837</v>
      </c>
      <c r="L370" s="11" t="s">
        <v>6842</v>
      </c>
    </row>
    <row r="371" spans="1:12">
      <c r="A371" t="s">
        <v>6843</v>
      </c>
      <c r="B371" s="9">
        <v>8860</v>
      </c>
      <c r="C371" s="9">
        <v>9.4501989999999996</v>
      </c>
      <c r="D371">
        <v>7</v>
      </c>
      <c r="E371">
        <v>7</v>
      </c>
      <c r="F371">
        <v>7</v>
      </c>
      <c r="G371" s="10">
        <v>1</v>
      </c>
      <c r="H371" t="s">
        <v>46</v>
      </c>
      <c r="I371" t="s">
        <v>1957</v>
      </c>
      <c r="J371" t="s">
        <v>6844</v>
      </c>
      <c r="K371" t="s">
        <v>6845</v>
      </c>
      <c r="L371" s="11" t="s">
        <v>6844</v>
      </c>
    </row>
    <row r="372" spans="1:12">
      <c r="A372" t="s">
        <v>6846</v>
      </c>
      <c r="B372" s="9">
        <v>3752</v>
      </c>
      <c r="C372" s="9">
        <v>7.3126860000000002</v>
      </c>
      <c r="D372">
        <v>2</v>
      </c>
      <c r="E372">
        <v>2</v>
      </c>
      <c r="F372">
        <v>2</v>
      </c>
      <c r="G372" s="10">
        <v>1</v>
      </c>
      <c r="H372" t="s">
        <v>46</v>
      </c>
      <c r="I372" t="s">
        <v>1957</v>
      </c>
      <c r="J372" t="s">
        <v>6847</v>
      </c>
      <c r="K372" t="s">
        <v>6845</v>
      </c>
      <c r="L372" s="11" t="s">
        <v>6842</v>
      </c>
    </row>
    <row r="373" spans="1:12">
      <c r="A373" t="s">
        <v>6848</v>
      </c>
      <c r="B373" s="9">
        <v>3516</v>
      </c>
      <c r="C373" s="9">
        <v>5.2123660000000003</v>
      </c>
      <c r="D373">
        <v>1</v>
      </c>
      <c r="E373">
        <v>1</v>
      </c>
      <c r="F373">
        <v>1</v>
      </c>
      <c r="G373" s="10">
        <v>1</v>
      </c>
      <c r="H373" t="s">
        <v>46</v>
      </c>
      <c r="I373" t="s">
        <v>1957</v>
      </c>
      <c r="J373" t="s">
        <v>6849</v>
      </c>
      <c r="K373" t="s">
        <v>6845</v>
      </c>
      <c r="L373" s="11" t="s">
        <v>6849</v>
      </c>
    </row>
    <row r="374" spans="1:12">
      <c r="A374" t="s">
        <v>6850</v>
      </c>
      <c r="B374" s="9">
        <v>3374</v>
      </c>
      <c r="C374" s="9">
        <v>4.5956609999999998</v>
      </c>
      <c r="D374">
        <v>3</v>
      </c>
      <c r="E374">
        <v>3</v>
      </c>
      <c r="F374">
        <v>3</v>
      </c>
      <c r="G374" s="10">
        <v>1</v>
      </c>
      <c r="H374" t="s">
        <v>46</v>
      </c>
      <c r="I374" t="s">
        <v>1957</v>
      </c>
      <c r="J374" t="s">
        <v>6851</v>
      </c>
      <c r="K374" t="s">
        <v>6845</v>
      </c>
      <c r="L374" s="11" t="s">
        <v>6851</v>
      </c>
    </row>
    <row r="375" spans="1:12">
      <c r="A375" t="s">
        <v>6852</v>
      </c>
      <c r="B375" s="9">
        <v>3138</v>
      </c>
      <c r="C375" s="9">
        <v>4.5254620000000001</v>
      </c>
      <c r="D375">
        <v>1</v>
      </c>
      <c r="E375">
        <v>1</v>
      </c>
      <c r="F375">
        <v>1</v>
      </c>
      <c r="G375" s="10">
        <v>1</v>
      </c>
      <c r="H375" t="s">
        <v>46</v>
      </c>
      <c r="I375" t="s">
        <v>1957</v>
      </c>
      <c r="J375" t="s">
        <v>6849</v>
      </c>
      <c r="K375" t="s">
        <v>6845</v>
      </c>
      <c r="L375" s="11" t="s">
        <v>6849</v>
      </c>
    </row>
    <row r="376" spans="1:12">
      <c r="A376" t="s">
        <v>6853</v>
      </c>
      <c r="B376" s="9">
        <v>2928</v>
      </c>
      <c r="C376" s="9">
        <v>3.281587</v>
      </c>
      <c r="D376">
        <v>3</v>
      </c>
      <c r="E376">
        <v>3</v>
      </c>
      <c r="F376">
        <v>3</v>
      </c>
      <c r="G376" s="10">
        <v>1</v>
      </c>
      <c r="H376" t="s">
        <v>46</v>
      </c>
      <c r="I376" t="s">
        <v>1957</v>
      </c>
      <c r="J376" t="s">
        <v>6847</v>
      </c>
      <c r="K376" t="s">
        <v>6845</v>
      </c>
      <c r="L376" s="11" t="s">
        <v>6854</v>
      </c>
    </row>
    <row r="377" spans="1:12">
      <c r="A377" t="s">
        <v>6855</v>
      </c>
      <c r="B377" s="9">
        <v>2698</v>
      </c>
      <c r="C377" s="9">
        <v>5.3688989999999999</v>
      </c>
      <c r="D377">
        <v>4</v>
      </c>
      <c r="E377">
        <v>4</v>
      </c>
      <c r="F377">
        <v>4</v>
      </c>
      <c r="G377" s="10">
        <v>1</v>
      </c>
      <c r="H377" t="s">
        <v>46</v>
      </c>
      <c r="I377" t="s">
        <v>1957</v>
      </c>
      <c r="J377" t="s">
        <v>6856</v>
      </c>
      <c r="K377" t="s">
        <v>6845</v>
      </c>
      <c r="L377" s="11" t="s">
        <v>6857</v>
      </c>
    </row>
    <row r="378" spans="1:12">
      <c r="A378" t="s">
        <v>6858</v>
      </c>
      <c r="B378" s="9">
        <v>2507</v>
      </c>
      <c r="C378" s="9">
        <v>16.176183000000002</v>
      </c>
      <c r="D378">
        <v>2</v>
      </c>
      <c r="E378">
        <v>2</v>
      </c>
      <c r="F378">
        <v>2</v>
      </c>
      <c r="G378" s="10">
        <v>1</v>
      </c>
      <c r="H378" t="s">
        <v>46</v>
      </c>
      <c r="I378" t="s">
        <v>1957</v>
      </c>
      <c r="J378" t="s">
        <v>6849</v>
      </c>
      <c r="K378" t="s">
        <v>6845</v>
      </c>
      <c r="L378" s="11" t="s">
        <v>6849</v>
      </c>
    </row>
    <row r="379" spans="1:12">
      <c r="A379" t="s">
        <v>6859</v>
      </c>
      <c r="B379" s="9">
        <v>2145</v>
      </c>
      <c r="C379" s="9">
        <v>6.4708129999999997</v>
      </c>
      <c r="D379">
        <v>1</v>
      </c>
      <c r="E379">
        <v>1</v>
      </c>
      <c r="F379">
        <v>1</v>
      </c>
      <c r="G379" s="10">
        <v>1</v>
      </c>
      <c r="H379" t="s">
        <v>46</v>
      </c>
      <c r="I379" t="s">
        <v>1957</v>
      </c>
      <c r="J379" t="s">
        <v>6849</v>
      </c>
      <c r="K379" t="s">
        <v>6845</v>
      </c>
      <c r="L379" s="11" t="s">
        <v>6849</v>
      </c>
    </row>
    <row r="380" spans="1:12">
      <c r="A380" t="s">
        <v>6860</v>
      </c>
      <c r="B380" s="9">
        <v>2040</v>
      </c>
      <c r="C380" s="9">
        <v>2.2463479999999998</v>
      </c>
      <c r="D380">
        <v>1</v>
      </c>
      <c r="E380">
        <v>1</v>
      </c>
      <c r="F380">
        <v>1</v>
      </c>
      <c r="G380" s="10">
        <v>1</v>
      </c>
      <c r="H380" t="s">
        <v>46</v>
      </c>
      <c r="I380" t="s">
        <v>1957</v>
      </c>
      <c r="J380" t="s">
        <v>6849</v>
      </c>
      <c r="K380" t="s">
        <v>6845</v>
      </c>
      <c r="L380" s="11" t="s">
        <v>6849</v>
      </c>
    </row>
    <row r="381" spans="1:12">
      <c r="A381" t="s">
        <v>6861</v>
      </c>
      <c r="B381" s="9">
        <v>6784</v>
      </c>
      <c r="C381" s="9">
        <v>4.648536</v>
      </c>
      <c r="D381">
        <v>8</v>
      </c>
      <c r="E381">
        <v>8</v>
      </c>
      <c r="F381">
        <v>7</v>
      </c>
      <c r="G381" s="10">
        <v>0.875</v>
      </c>
      <c r="H381" t="s">
        <v>46</v>
      </c>
      <c r="I381" t="s">
        <v>1957</v>
      </c>
      <c r="J381" t="s">
        <v>6862</v>
      </c>
      <c r="K381" t="s">
        <v>6845</v>
      </c>
      <c r="L381" s="11" t="s">
        <v>6862</v>
      </c>
    </row>
    <row r="382" spans="1:12">
      <c r="A382" t="s">
        <v>6863</v>
      </c>
      <c r="B382" s="9">
        <v>5710</v>
      </c>
      <c r="C382" s="9">
        <v>5.0486300000000002</v>
      </c>
      <c r="D382">
        <v>3</v>
      </c>
      <c r="E382">
        <v>2</v>
      </c>
      <c r="F382">
        <v>2</v>
      </c>
      <c r="G382" s="10">
        <v>0.66666666666666663</v>
      </c>
      <c r="H382" t="s">
        <v>46</v>
      </c>
      <c r="I382" t="s">
        <v>1957</v>
      </c>
      <c r="J382" t="s">
        <v>6849</v>
      </c>
      <c r="K382" t="s">
        <v>6845</v>
      </c>
      <c r="L382" s="11" t="s">
        <v>6849</v>
      </c>
    </row>
    <row r="383" spans="1:12">
      <c r="A383" t="s">
        <v>6864</v>
      </c>
      <c r="B383" s="9">
        <v>5098</v>
      </c>
      <c r="C383" s="9">
        <v>4.2912949999999999</v>
      </c>
      <c r="D383">
        <v>3</v>
      </c>
      <c r="E383">
        <v>3</v>
      </c>
      <c r="F383">
        <v>3</v>
      </c>
      <c r="G383" s="10">
        <v>1</v>
      </c>
      <c r="H383" t="s">
        <v>46</v>
      </c>
      <c r="I383" t="s">
        <v>1957</v>
      </c>
      <c r="J383" t="s">
        <v>6865</v>
      </c>
      <c r="K383" t="s">
        <v>6866</v>
      </c>
      <c r="L383" s="11" t="s">
        <v>6865</v>
      </c>
    </row>
    <row r="384" spans="1:12">
      <c r="A384" t="s">
        <v>6867</v>
      </c>
      <c r="B384" s="9">
        <v>4668</v>
      </c>
      <c r="C384" s="9">
        <v>31.706482000000001</v>
      </c>
      <c r="D384">
        <v>3</v>
      </c>
      <c r="E384">
        <v>2</v>
      </c>
      <c r="F384">
        <v>3</v>
      </c>
      <c r="G384" s="10">
        <v>1</v>
      </c>
      <c r="H384" t="s">
        <v>46</v>
      </c>
      <c r="I384" t="s">
        <v>1957</v>
      </c>
      <c r="J384" t="s">
        <v>6868</v>
      </c>
      <c r="K384" t="s">
        <v>6866</v>
      </c>
      <c r="L384" s="11" t="s">
        <v>6868</v>
      </c>
    </row>
    <row r="385" spans="1:12">
      <c r="A385" t="s">
        <v>6869</v>
      </c>
      <c r="B385" s="9">
        <v>2901</v>
      </c>
      <c r="C385" s="9">
        <v>4.5983840000000002</v>
      </c>
      <c r="D385">
        <v>4</v>
      </c>
      <c r="E385">
        <v>4</v>
      </c>
      <c r="F385">
        <v>4</v>
      </c>
      <c r="G385" s="10">
        <v>1</v>
      </c>
      <c r="H385" t="s">
        <v>46</v>
      </c>
      <c r="I385" t="s">
        <v>1957</v>
      </c>
      <c r="J385" t="s">
        <v>6870</v>
      </c>
      <c r="K385" t="s">
        <v>6866</v>
      </c>
      <c r="L385" s="11" t="s">
        <v>6870</v>
      </c>
    </row>
    <row r="386" spans="1:12">
      <c r="A386" t="s">
        <v>6871</v>
      </c>
      <c r="B386" s="9">
        <v>2020</v>
      </c>
      <c r="C386" s="9">
        <v>5.5038169999999997</v>
      </c>
      <c r="D386">
        <v>1</v>
      </c>
      <c r="E386">
        <v>1</v>
      </c>
      <c r="F386">
        <v>1</v>
      </c>
      <c r="G386" s="10">
        <v>1</v>
      </c>
      <c r="H386" t="s">
        <v>46</v>
      </c>
      <c r="I386" t="s">
        <v>1957</v>
      </c>
      <c r="J386" t="s">
        <v>6868</v>
      </c>
      <c r="K386" t="s">
        <v>6866</v>
      </c>
      <c r="L386" s="11" t="s">
        <v>6868</v>
      </c>
    </row>
    <row r="387" spans="1:12">
      <c r="A387" t="s">
        <v>6872</v>
      </c>
      <c r="B387" s="9">
        <v>3074</v>
      </c>
      <c r="C387" s="9">
        <v>4.1218950000000003</v>
      </c>
      <c r="D387">
        <v>3</v>
      </c>
      <c r="E387">
        <v>3</v>
      </c>
      <c r="F387">
        <v>3</v>
      </c>
      <c r="G387" s="10">
        <v>1</v>
      </c>
      <c r="H387" t="s">
        <v>46</v>
      </c>
      <c r="I387" t="s">
        <v>1957</v>
      </c>
      <c r="J387" t="s">
        <v>6873</v>
      </c>
      <c r="K387" t="s">
        <v>6874</v>
      </c>
      <c r="L387" s="11" t="s">
        <v>6873</v>
      </c>
    </row>
    <row r="388" spans="1:12">
      <c r="A388" t="s">
        <v>6875</v>
      </c>
      <c r="B388" s="9">
        <v>3431</v>
      </c>
      <c r="C388" s="9">
        <v>3.9300950000000001</v>
      </c>
      <c r="D388">
        <v>3</v>
      </c>
      <c r="E388">
        <v>3</v>
      </c>
      <c r="F388">
        <v>3</v>
      </c>
      <c r="G388" s="10">
        <v>1</v>
      </c>
      <c r="H388" t="s">
        <v>46</v>
      </c>
      <c r="I388" t="s">
        <v>1957</v>
      </c>
      <c r="J388" t="s">
        <v>6876</v>
      </c>
      <c r="K388" t="s">
        <v>6877</v>
      </c>
      <c r="L388" s="11" t="s">
        <v>6876</v>
      </c>
    </row>
    <row r="389" spans="1:12">
      <c r="A389" t="s">
        <v>6878</v>
      </c>
      <c r="B389" s="9">
        <v>3126</v>
      </c>
      <c r="C389" s="9">
        <v>5.570824</v>
      </c>
      <c r="D389">
        <v>3</v>
      </c>
      <c r="E389">
        <v>2</v>
      </c>
      <c r="F389">
        <v>2</v>
      </c>
      <c r="G389" s="10">
        <v>0.66666666666666663</v>
      </c>
      <c r="H389" t="s">
        <v>46</v>
      </c>
      <c r="I389" t="s">
        <v>1957</v>
      </c>
      <c r="J389" t="s">
        <v>6879</v>
      </c>
      <c r="K389" t="s">
        <v>6877</v>
      </c>
      <c r="L389" s="11" t="s">
        <v>6879</v>
      </c>
    </row>
    <row r="390" spans="1:12">
      <c r="A390" t="s">
        <v>6880</v>
      </c>
      <c r="B390" s="9">
        <v>2361</v>
      </c>
      <c r="C390" s="9">
        <v>20.424544999999998</v>
      </c>
      <c r="D390">
        <v>2</v>
      </c>
      <c r="E390">
        <v>2</v>
      </c>
      <c r="F390">
        <v>2</v>
      </c>
      <c r="G390" s="10">
        <v>1</v>
      </c>
      <c r="H390" t="s">
        <v>46</v>
      </c>
      <c r="I390" t="s">
        <v>1957</v>
      </c>
      <c r="J390" t="s">
        <v>6881</v>
      </c>
      <c r="K390" t="s">
        <v>6882</v>
      </c>
      <c r="L390" s="11" t="s">
        <v>6881</v>
      </c>
    </row>
    <row r="391" spans="1:12">
      <c r="A391" t="s">
        <v>6883</v>
      </c>
      <c r="B391" s="9">
        <v>2346</v>
      </c>
      <c r="C391" s="9">
        <v>2.7586210000000002</v>
      </c>
      <c r="D391">
        <v>2</v>
      </c>
      <c r="E391">
        <v>2</v>
      </c>
      <c r="F391">
        <v>2</v>
      </c>
      <c r="G391" s="10">
        <v>1</v>
      </c>
      <c r="H391" t="s">
        <v>46</v>
      </c>
      <c r="I391" t="s">
        <v>1957</v>
      </c>
      <c r="J391" t="s">
        <v>6881</v>
      </c>
      <c r="K391" t="s">
        <v>6882</v>
      </c>
      <c r="L391" s="11" t="s">
        <v>6881</v>
      </c>
    </row>
    <row r="392" spans="1:12">
      <c r="A392" t="s">
        <v>6884</v>
      </c>
      <c r="B392" s="9">
        <v>14511</v>
      </c>
      <c r="C392" s="9">
        <v>66.561150999999995</v>
      </c>
      <c r="D392">
        <v>9</v>
      </c>
      <c r="E392">
        <v>9</v>
      </c>
      <c r="F392">
        <v>9</v>
      </c>
      <c r="G392" s="10">
        <v>1</v>
      </c>
      <c r="H392" t="s">
        <v>46</v>
      </c>
      <c r="I392" t="s">
        <v>1957</v>
      </c>
      <c r="J392" t="s">
        <v>6885</v>
      </c>
      <c r="K392" t="s">
        <v>6886</v>
      </c>
      <c r="L392" s="11" t="s">
        <v>6885</v>
      </c>
    </row>
    <row r="393" spans="1:12">
      <c r="A393" t="s">
        <v>6887</v>
      </c>
      <c r="B393" s="9">
        <v>11317</v>
      </c>
      <c r="C393" s="9">
        <v>12.783785999999999</v>
      </c>
      <c r="D393">
        <v>8</v>
      </c>
      <c r="E393">
        <v>8</v>
      </c>
      <c r="F393">
        <v>8</v>
      </c>
      <c r="G393" s="10">
        <v>1</v>
      </c>
      <c r="H393" t="s">
        <v>46</v>
      </c>
      <c r="I393" t="s">
        <v>1957</v>
      </c>
      <c r="J393" t="s">
        <v>6888</v>
      </c>
      <c r="K393" t="s">
        <v>6886</v>
      </c>
      <c r="L393" s="11" t="s">
        <v>6888</v>
      </c>
    </row>
    <row r="394" spans="1:12">
      <c r="A394" t="s">
        <v>6889</v>
      </c>
      <c r="B394" s="9">
        <v>11052</v>
      </c>
      <c r="C394" s="9">
        <v>5.3692830000000002</v>
      </c>
      <c r="D394">
        <v>4</v>
      </c>
      <c r="E394">
        <v>4</v>
      </c>
      <c r="F394">
        <v>4</v>
      </c>
      <c r="G394" s="10">
        <v>1</v>
      </c>
      <c r="H394" t="s">
        <v>46</v>
      </c>
      <c r="I394" t="s">
        <v>1957</v>
      </c>
      <c r="J394" t="s">
        <v>6890</v>
      </c>
      <c r="K394" t="s">
        <v>6886</v>
      </c>
      <c r="L394" s="11" t="s">
        <v>6890</v>
      </c>
    </row>
    <row r="395" spans="1:12">
      <c r="A395" t="s">
        <v>6891</v>
      </c>
      <c r="B395" s="9">
        <v>10378</v>
      </c>
      <c r="C395" s="9">
        <v>50.039427000000003</v>
      </c>
      <c r="D395">
        <v>4</v>
      </c>
      <c r="E395">
        <v>4</v>
      </c>
      <c r="F395">
        <v>4</v>
      </c>
      <c r="G395" s="10">
        <v>1</v>
      </c>
      <c r="H395" t="s">
        <v>46</v>
      </c>
      <c r="I395" t="s">
        <v>1957</v>
      </c>
      <c r="J395" t="s">
        <v>6892</v>
      </c>
      <c r="K395" t="s">
        <v>6886</v>
      </c>
      <c r="L395" s="11" t="s">
        <v>6892</v>
      </c>
    </row>
    <row r="396" spans="1:12">
      <c r="A396" t="s">
        <v>6893</v>
      </c>
      <c r="B396" s="9">
        <v>5493</v>
      </c>
      <c r="C396" s="9">
        <v>6.9115479999999998</v>
      </c>
      <c r="D396">
        <v>7</v>
      </c>
      <c r="E396">
        <v>6</v>
      </c>
      <c r="F396">
        <v>7</v>
      </c>
      <c r="G396" s="10">
        <v>1</v>
      </c>
      <c r="H396" t="s">
        <v>46</v>
      </c>
      <c r="I396" t="s">
        <v>1957</v>
      </c>
      <c r="J396" t="s">
        <v>6894</v>
      </c>
      <c r="K396" t="s">
        <v>6886</v>
      </c>
      <c r="L396" s="11" t="s">
        <v>6895</v>
      </c>
    </row>
    <row r="397" spans="1:12">
      <c r="A397" t="s">
        <v>6896</v>
      </c>
      <c r="B397" s="9">
        <v>5406</v>
      </c>
      <c r="C397" s="9">
        <v>21.525883</v>
      </c>
      <c r="D397">
        <v>5</v>
      </c>
      <c r="E397">
        <v>5</v>
      </c>
      <c r="F397">
        <v>5</v>
      </c>
      <c r="G397" s="10">
        <v>1</v>
      </c>
      <c r="H397" t="s">
        <v>46</v>
      </c>
      <c r="I397" t="s">
        <v>1957</v>
      </c>
      <c r="J397" t="s">
        <v>6897</v>
      </c>
      <c r="K397" t="s">
        <v>6886</v>
      </c>
      <c r="L397" s="11" t="s">
        <v>6897</v>
      </c>
    </row>
    <row r="398" spans="1:12">
      <c r="A398" t="s">
        <v>6898</v>
      </c>
      <c r="B398" s="9">
        <v>4467</v>
      </c>
      <c r="C398" s="9">
        <v>14.027424999999999</v>
      </c>
      <c r="D398">
        <v>1</v>
      </c>
      <c r="E398">
        <v>1</v>
      </c>
      <c r="F398">
        <v>1</v>
      </c>
      <c r="G398" s="10">
        <v>1</v>
      </c>
      <c r="H398" t="s">
        <v>46</v>
      </c>
      <c r="I398" t="s">
        <v>1957</v>
      </c>
      <c r="J398" t="s">
        <v>6899</v>
      </c>
      <c r="K398" t="s">
        <v>6886</v>
      </c>
      <c r="L398" s="11" t="s">
        <v>6899</v>
      </c>
    </row>
    <row r="399" spans="1:12">
      <c r="A399" t="s">
        <v>6900</v>
      </c>
      <c r="B399" s="9">
        <v>4132</v>
      </c>
      <c r="C399" s="9">
        <v>3.3215599999999998</v>
      </c>
      <c r="D399">
        <v>3</v>
      </c>
      <c r="E399">
        <v>3</v>
      </c>
      <c r="F399">
        <v>3</v>
      </c>
      <c r="G399" s="10">
        <v>1</v>
      </c>
      <c r="H399" t="s">
        <v>46</v>
      </c>
      <c r="I399" t="s">
        <v>1957</v>
      </c>
      <c r="J399" t="s">
        <v>6901</v>
      </c>
      <c r="K399" t="s">
        <v>6886</v>
      </c>
      <c r="L399" s="11" t="s">
        <v>6902</v>
      </c>
    </row>
    <row r="400" spans="1:12">
      <c r="A400" t="s">
        <v>6903</v>
      </c>
      <c r="B400" s="9">
        <v>4121</v>
      </c>
      <c r="C400" s="9">
        <v>52.645598</v>
      </c>
      <c r="D400">
        <v>4</v>
      </c>
      <c r="E400">
        <v>4</v>
      </c>
      <c r="F400">
        <v>4</v>
      </c>
      <c r="G400" s="10">
        <v>1</v>
      </c>
      <c r="H400" t="s">
        <v>46</v>
      </c>
      <c r="I400" t="s">
        <v>1957</v>
      </c>
      <c r="J400" t="s">
        <v>6904</v>
      </c>
      <c r="K400" t="s">
        <v>6886</v>
      </c>
      <c r="L400" s="11" t="s">
        <v>6904</v>
      </c>
    </row>
    <row r="401" spans="1:12">
      <c r="A401" t="s">
        <v>6905</v>
      </c>
      <c r="B401" s="9">
        <v>4048</v>
      </c>
      <c r="C401" s="9">
        <v>23.160530999999999</v>
      </c>
      <c r="D401">
        <v>2</v>
      </c>
      <c r="E401">
        <v>2</v>
      </c>
      <c r="F401">
        <v>2</v>
      </c>
      <c r="G401" s="10">
        <v>1</v>
      </c>
      <c r="H401" t="s">
        <v>46</v>
      </c>
      <c r="I401" t="s">
        <v>1957</v>
      </c>
      <c r="J401" t="s">
        <v>6899</v>
      </c>
      <c r="K401" t="s">
        <v>6886</v>
      </c>
      <c r="L401" s="11" t="s">
        <v>6899</v>
      </c>
    </row>
    <row r="402" spans="1:12">
      <c r="A402" t="s">
        <v>6906</v>
      </c>
      <c r="B402" s="9">
        <v>3821</v>
      </c>
      <c r="C402" s="9">
        <v>26.646308999999999</v>
      </c>
      <c r="D402">
        <v>3</v>
      </c>
      <c r="E402">
        <v>3</v>
      </c>
      <c r="F402">
        <v>3</v>
      </c>
      <c r="G402" s="10">
        <v>1</v>
      </c>
      <c r="H402" t="s">
        <v>46</v>
      </c>
      <c r="I402" t="s">
        <v>1957</v>
      </c>
      <c r="J402" t="s">
        <v>6892</v>
      </c>
      <c r="K402" t="s">
        <v>6886</v>
      </c>
      <c r="L402" s="11" t="s">
        <v>6892</v>
      </c>
    </row>
    <row r="403" spans="1:12">
      <c r="A403" t="s">
        <v>6907</v>
      </c>
      <c r="B403" s="9">
        <v>3528</v>
      </c>
      <c r="C403" s="9">
        <v>2.9602650000000001</v>
      </c>
      <c r="D403">
        <v>1</v>
      </c>
      <c r="E403">
        <v>1</v>
      </c>
      <c r="F403">
        <v>1</v>
      </c>
      <c r="G403" s="10">
        <v>1</v>
      </c>
      <c r="H403" t="s">
        <v>46</v>
      </c>
      <c r="I403" t="s">
        <v>1957</v>
      </c>
      <c r="J403" t="s">
        <v>6899</v>
      </c>
      <c r="K403" t="s">
        <v>6886</v>
      </c>
      <c r="L403" s="11" t="s">
        <v>6899</v>
      </c>
    </row>
    <row r="404" spans="1:12">
      <c r="A404" t="s">
        <v>6908</v>
      </c>
      <c r="B404" s="9">
        <v>2813</v>
      </c>
      <c r="C404" s="9">
        <v>3.4423499999999998</v>
      </c>
      <c r="D404">
        <v>1</v>
      </c>
      <c r="E404">
        <v>1</v>
      </c>
      <c r="F404">
        <v>1</v>
      </c>
      <c r="G404" s="10">
        <v>1</v>
      </c>
      <c r="H404" t="s">
        <v>46</v>
      </c>
      <c r="I404" t="s">
        <v>1957</v>
      </c>
      <c r="J404" t="s">
        <v>6899</v>
      </c>
      <c r="K404" t="s">
        <v>6886</v>
      </c>
      <c r="L404" s="11" t="s">
        <v>6899</v>
      </c>
    </row>
    <row r="405" spans="1:12">
      <c r="A405" t="s">
        <v>6909</v>
      </c>
      <c r="B405" s="9">
        <v>2689</v>
      </c>
      <c r="C405" s="9">
        <v>13.441534000000001</v>
      </c>
      <c r="D405">
        <v>2</v>
      </c>
      <c r="E405">
        <v>2</v>
      </c>
      <c r="F405">
        <v>2</v>
      </c>
      <c r="G405" s="10">
        <v>1</v>
      </c>
      <c r="H405" t="s">
        <v>46</v>
      </c>
      <c r="I405" t="s">
        <v>1957</v>
      </c>
      <c r="J405" t="s">
        <v>6842</v>
      </c>
      <c r="K405" t="s">
        <v>6886</v>
      </c>
      <c r="L405" s="11" t="s">
        <v>6842</v>
      </c>
    </row>
    <row r="406" spans="1:12">
      <c r="A406" t="s">
        <v>6910</v>
      </c>
      <c r="B406" s="9">
        <v>2687</v>
      </c>
      <c r="C406" s="9">
        <v>4.1337390000000003</v>
      </c>
      <c r="D406">
        <v>3</v>
      </c>
      <c r="E406">
        <v>3</v>
      </c>
      <c r="F406">
        <v>3</v>
      </c>
      <c r="G406" s="10">
        <v>1</v>
      </c>
      <c r="H406" t="s">
        <v>46</v>
      </c>
      <c r="I406" t="s">
        <v>1957</v>
      </c>
      <c r="J406" t="s">
        <v>6911</v>
      </c>
      <c r="K406" t="s">
        <v>6886</v>
      </c>
      <c r="L406" s="11" t="s">
        <v>6911</v>
      </c>
    </row>
    <row r="407" spans="1:12">
      <c r="A407" t="s">
        <v>6912</v>
      </c>
      <c r="B407" s="9">
        <v>2401</v>
      </c>
      <c r="C407" s="9">
        <v>27.733163000000001</v>
      </c>
      <c r="D407">
        <v>3</v>
      </c>
      <c r="E407">
        <v>3</v>
      </c>
      <c r="F407">
        <v>3</v>
      </c>
      <c r="G407" s="10">
        <v>1</v>
      </c>
      <c r="H407" t="s">
        <v>46</v>
      </c>
      <c r="I407" t="s">
        <v>1957</v>
      </c>
      <c r="J407" t="s">
        <v>6892</v>
      </c>
      <c r="K407" t="s">
        <v>6886</v>
      </c>
      <c r="L407" s="11" t="s">
        <v>6892</v>
      </c>
    </row>
    <row r="408" spans="1:12">
      <c r="A408" t="s">
        <v>6913</v>
      </c>
      <c r="B408" s="9">
        <v>2247</v>
      </c>
      <c r="C408" s="9">
        <v>2.9648720000000002</v>
      </c>
      <c r="D408">
        <v>1</v>
      </c>
      <c r="E408">
        <v>1</v>
      </c>
      <c r="F408">
        <v>1</v>
      </c>
      <c r="G408" s="10">
        <v>1</v>
      </c>
      <c r="H408" t="s">
        <v>46</v>
      </c>
      <c r="I408" t="s">
        <v>1957</v>
      </c>
      <c r="J408" t="s">
        <v>6899</v>
      </c>
      <c r="K408" t="s">
        <v>6886</v>
      </c>
      <c r="L408" s="11" t="s">
        <v>6899</v>
      </c>
    </row>
    <row r="409" spans="1:12">
      <c r="A409" t="s">
        <v>6914</v>
      </c>
      <c r="B409" s="9">
        <v>2076</v>
      </c>
      <c r="C409" s="9">
        <v>7.3725880000000004</v>
      </c>
      <c r="D409">
        <v>2</v>
      </c>
      <c r="E409">
        <v>2</v>
      </c>
      <c r="F409">
        <v>2</v>
      </c>
      <c r="G409" s="10">
        <v>1</v>
      </c>
      <c r="H409" t="s">
        <v>46</v>
      </c>
      <c r="I409" t="s">
        <v>1957</v>
      </c>
      <c r="J409" t="s">
        <v>6842</v>
      </c>
      <c r="K409" t="s">
        <v>6886</v>
      </c>
      <c r="L409" s="11" t="s">
        <v>6847</v>
      </c>
    </row>
    <row r="410" spans="1:12">
      <c r="A410" t="s">
        <v>6915</v>
      </c>
      <c r="B410" s="9">
        <v>3945</v>
      </c>
      <c r="C410" s="9">
        <v>12.092031</v>
      </c>
      <c r="D410">
        <v>2</v>
      </c>
      <c r="E410">
        <v>2</v>
      </c>
      <c r="F410">
        <v>1</v>
      </c>
      <c r="G410" s="10">
        <v>0.5</v>
      </c>
      <c r="H410" t="s">
        <v>46</v>
      </c>
      <c r="I410" t="s">
        <v>1957</v>
      </c>
      <c r="J410" t="s">
        <v>6899</v>
      </c>
      <c r="K410" t="s">
        <v>6886</v>
      </c>
      <c r="L410" s="11" t="s">
        <v>6899</v>
      </c>
    </row>
    <row r="411" spans="1:12">
      <c r="A411" t="s">
        <v>6916</v>
      </c>
      <c r="B411" s="9">
        <v>2874</v>
      </c>
      <c r="C411" s="9">
        <v>4.5672220000000001</v>
      </c>
      <c r="D411">
        <v>3</v>
      </c>
      <c r="E411">
        <v>1</v>
      </c>
      <c r="F411">
        <v>1</v>
      </c>
      <c r="G411" s="10">
        <v>0.33333333333333331</v>
      </c>
      <c r="H411" t="s">
        <v>46</v>
      </c>
      <c r="I411" t="s">
        <v>1957</v>
      </c>
      <c r="J411" t="s">
        <v>6899</v>
      </c>
      <c r="K411" t="s">
        <v>6886</v>
      </c>
      <c r="L411" s="11" t="s">
        <v>6899</v>
      </c>
    </row>
    <row r="412" spans="1:12">
      <c r="A412" t="s">
        <v>6917</v>
      </c>
      <c r="B412" s="9">
        <v>14791</v>
      </c>
      <c r="C412" s="9">
        <v>9.9501220000000004</v>
      </c>
      <c r="D412">
        <v>10</v>
      </c>
      <c r="E412">
        <v>10</v>
      </c>
      <c r="F412">
        <v>10</v>
      </c>
      <c r="G412" s="10">
        <v>1</v>
      </c>
      <c r="H412" t="s">
        <v>46</v>
      </c>
      <c r="I412" t="s">
        <v>1957</v>
      </c>
      <c r="J412" t="s">
        <v>6918</v>
      </c>
      <c r="K412" t="s">
        <v>6919</v>
      </c>
      <c r="L412" s="11" t="s">
        <v>6920</v>
      </c>
    </row>
    <row r="413" spans="1:12">
      <c r="A413" t="s">
        <v>6921</v>
      </c>
      <c r="B413" s="9">
        <v>5549</v>
      </c>
      <c r="C413" s="9">
        <v>3.6082999999999998</v>
      </c>
      <c r="D413">
        <v>5</v>
      </c>
      <c r="E413">
        <v>5</v>
      </c>
      <c r="F413">
        <v>5</v>
      </c>
      <c r="G413" s="10">
        <v>1</v>
      </c>
      <c r="H413" t="s">
        <v>46</v>
      </c>
      <c r="I413" t="s">
        <v>1957</v>
      </c>
      <c r="J413" t="s">
        <v>6922</v>
      </c>
      <c r="K413" t="s">
        <v>6923</v>
      </c>
      <c r="L413" s="11" t="s">
        <v>6922</v>
      </c>
    </row>
    <row r="414" spans="1:12">
      <c r="A414" t="s">
        <v>6924</v>
      </c>
      <c r="B414" s="9">
        <v>2938</v>
      </c>
      <c r="C414" s="9">
        <v>3.724939</v>
      </c>
      <c r="D414">
        <v>1</v>
      </c>
      <c r="E414">
        <v>1</v>
      </c>
      <c r="F414">
        <v>1</v>
      </c>
      <c r="G414" s="10">
        <v>1</v>
      </c>
      <c r="H414" t="s">
        <v>46</v>
      </c>
      <c r="I414" t="s">
        <v>1957</v>
      </c>
      <c r="J414" t="s">
        <v>6925</v>
      </c>
      <c r="K414" t="s">
        <v>6923</v>
      </c>
      <c r="L414" s="11" t="s">
        <v>6925</v>
      </c>
    </row>
    <row r="415" spans="1:12">
      <c r="A415" t="s">
        <v>6926</v>
      </c>
      <c r="B415" s="9">
        <v>2646</v>
      </c>
      <c r="C415" s="9">
        <v>5.586646</v>
      </c>
      <c r="D415">
        <v>3</v>
      </c>
      <c r="E415">
        <v>2</v>
      </c>
      <c r="F415">
        <v>3</v>
      </c>
      <c r="G415" s="10">
        <v>1</v>
      </c>
      <c r="H415" t="s">
        <v>46</v>
      </c>
      <c r="I415" t="s">
        <v>1957</v>
      </c>
      <c r="J415" t="s">
        <v>6925</v>
      </c>
      <c r="K415" t="s">
        <v>6923</v>
      </c>
      <c r="L415" s="11" t="s">
        <v>6925</v>
      </c>
    </row>
    <row r="416" spans="1:12">
      <c r="A416" t="s">
        <v>6927</v>
      </c>
      <c r="B416" s="9">
        <v>2181</v>
      </c>
      <c r="C416" s="9">
        <v>10.680621</v>
      </c>
      <c r="D416">
        <v>2</v>
      </c>
      <c r="E416">
        <v>2</v>
      </c>
      <c r="F416">
        <v>2</v>
      </c>
      <c r="G416" s="10">
        <v>1</v>
      </c>
      <c r="H416" t="s">
        <v>46</v>
      </c>
      <c r="I416" t="s">
        <v>1957</v>
      </c>
      <c r="J416" t="s">
        <v>6925</v>
      </c>
      <c r="K416" t="s">
        <v>6923</v>
      </c>
      <c r="L416" s="11" t="s">
        <v>6925</v>
      </c>
    </row>
    <row r="417" spans="1:12">
      <c r="A417" t="s">
        <v>6928</v>
      </c>
      <c r="B417" s="9">
        <v>2052</v>
      </c>
      <c r="C417" s="9">
        <v>2.5823740000000002</v>
      </c>
      <c r="D417">
        <v>1</v>
      </c>
      <c r="E417">
        <v>1</v>
      </c>
      <c r="F417">
        <v>1</v>
      </c>
      <c r="G417" s="10">
        <v>1</v>
      </c>
      <c r="H417" t="s">
        <v>46</v>
      </c>
      <c r="I417" t="s">
        <v>1957</v>
      </c>
      <c r="J417" t="s">
        <v>6925</v>
      </c>
      <c r="K417" t="s">
        <v>6923</v>
      </c>
      <c r="L417" s="11" t="s">
        <v>6925</v>
      </c>
    </row>
    <row r="418" spans="1:12">
      <c r="A418" t="s">
        <v>6929</v>
      </c>
      <c r="B418" s="9">
        <v>2038</v>
      </c>
      <c r="C418" s="9">
        <v>5.814927</v>
      </c>
      <c r="D418">
        <v>2</v>
      </c>
      <c r="E418">
        <v>2</v>
      </c>
      <c r="F418">
        <v>2</v>
      </c>
      <c r="G418" s="10">
        <v>1</v>
      </c>
      <c r="H418" t="s">
        <v>46</v>
      </c>
      <c r="I418" t="s">
        <v>1957</v>
      </c>
      <c r="J418" t="s">
        <v>6925</v>
      </c>
      <c r="K418" t="s">
        <v>6923</v>
      </c>
      <c r="L418" s="11" t="s">
        <v>6925</v>
      </c>
    </row>
    <row r="419" spans="1:12">
      <c r="A419" t="s">
        <v>6930</v>
      </c>
      <c r="B419" s="9">
        <v>10819</v>
      </c>
      <c r="C419" s="9">
        <v>5.9018949999999997</v>
      </c>
      <c r="D419">
        <v>9</v>
      </c>
      <c r="E419">
        <v>7</v>
      </c>
      <c r="F419">
        <v>7</v>
      </c>
      <c r="G419" s="10">
        <v>0.77777777777777779</v>
      </c>
      <c r="H419" t="s">
        <v>46</v>
      </c>
      <c r="I419" t="s">
        <v>1957</v>
      </c>
      <c r="J419" t="s">
        <v>6931</v>
      </c>
      <c r="K419" t="s">
        <v>6932</v>
      </c>
      <c r="L419" s="11" t="s">
        <v>6933</v>
      </c>
    </row>
    <row r="420" spans="1:12">
      <c r="A420" t="s">
        <v>6934</v>
      </c>
      <c r="B420" s="9">
        <v>2479</v>
      </c>
      <c r="C420" s="9">
        <v>283.64191399999999</v>
      </c>
      <c r="D420">
        <v>2</v>
      </c>
      <c r="E420">
        <v>2</v>
      </c>
      <c r="F420">
        <v>2</v>
      </c>
      <c r="G420" s="10">
        <v>1</v>
      </c>
      <c r="H420" t="s">
        <v>46</v>
      </c>
      <c r="I420" t="s">
        <v>1957</v>
      </c>
      <c r="J420" t="s">
        <v>6935</v>
      </c>
      <c r="K420" t="s">
        <v>6936</v>
      </c>
      <c r="L420" s="11" t="s">
        <v>6935</v>
      </c>
    </row>
    <row r="421" spans="1:12">
      <c r="A421" t="s">
        <v>6937</v>
      </c>
      <c r="B421" s="9">
        <v>3696</v>
      </c>
      <c r="C421" s="9">
        <v>3.0796480000000002</v>
      </c>
      <c r="D421">
        <v>4</v>
      </c>
      <c r="E421">
        <v>4</v>
      </c>
      <c r="F421">
        <v>4</v>
      </c>
      <c r="G421" s="10">
        <v>1</v>
      </c>
      <c r="H421" t="s">
        <v>46</v>
      </c>
      <c r="I421" t="s">
        <v>1957</v>
      </c>
      <c r="J421" t="s">
        <v>6938</v>
      </c>
      <c r="K421" t="s">
        <v>6939</v>
      </c>
      <c r="L421" s="11" t="s">
        <v>6938</v>
      </c>
    </row>
    <row r="422" spans="1:12">
      <c r="A422" t="s">
        <v>6940</v>
      </c>
      <c r="B422" s="9">
        <v>3293</v>
      </c>
      <c r="C422" s="9">
        <v>5.259728</v>
      </c>
      <c r="D422">
        <v>3</v>
      </c>
      <c r="E422">
        <v>2</v>
      </c>
      <c r="F422">
        <v>3</v>
      </c>
      <c r="G422" s="10">
        <v>1</v>
      </c>
      <c r="H422" t="s">
        <v>46</v>
      </c>
      <c r="I422" t="s">
        <v>1957</v>
      </c>
      <c r="J422" t="s">
        <v>6941</v>
      </c>
      <c r="K422" t="s">
        <v>6942</v>
      </c>
      <c r="L422" s="11" t="s">
        <v>6943</v>
      </c>
    </row>
    <row r="423" spans="1:12">
      <c r="A423" t="s">
        <v>6944</v>
      </c>
      <c r="B423" s="9">
        <v>5642</v>
      </c>
      <c r="C423" s="9">
        <v>11.264364</v>
      </c>
      <c r="D423">
        <v>5</v>
      </c>
      <c r="E423">
        <v>4</v>
      </c>
      <c r="F423">
        <v>5</v>
      </c>
      <c r="G423" s="10">
        <v>1</v>
      </c>
      <c r="H423" t="s">
        <v>46</v>
      </c>
      <c r="I423" t="s">
        <v>1957</v>
      </c>
      <c r="J423" t="s">
        <v>6945</v>
      </c>
      <c r="K423" t="s">
        <v>6946</v>
      </c>
      <c r="L423" s="11" t="s">
        <v>6947</v>
      </c>
    </row>
    <row r="424" spans="1:12">
      <c r="A424" t="s">
        <v>6948</v>
      </c>
      <c r="B424" s="9">
        <v>3644</v>
      </c>
      <c r="C424" s="9">
        <v>54.654499999999999</v>
      </c>
      <c r="D424">
        <v>4</v>
      </c>
      <c r="E424">
        <v>3</v>
      </c>
      <c r="F424">
        <v>3</v>
      </c>
      <c r="G424" s="10">
        <v>0.75</v>
      </c>
      <c r="H424" t="s">
        <v>46</v>
      </c>
      <c r="I424" t="s">
        <v>1957</v>
      </c>
      <c r="J424" t="s">
        <v>6945</v>
      </c>
      <c r="K424" t="s">
        <v>6946</v>
      </c>
      <c r="L424" s="11" t="s">
        <v>6949</v>
      </c>
    </row>
    <row r="425" spans="1:12">
      <c r="A425" t="s">
        <v>6950</v>
      </c>
      <c r="B425" s="9">
        <v>3247</v>
      </c>
      <c r="C425" s="9">
        <v>2.6362779999999999</v>
      </c>
      <c r="D425">
        <v>3</v>
      </c>
      <c r="E425">
        <v>3</v>
      </c>
      <c r="F425">
        <v>3</v>
      </c>
      <c r="G425" s="10">
        <v>1</v>
      </c>
      <c r="H425" t="s">
        <v>46</v>
      </c>
      <c r="I425" t="s">
        <v>1957</v>
      </c>
      <c r="J425" t="s">
        <v>6951</v>
      </c>
      <c r="K425" t="s">
        <v>6952</v>
      </c>
      <c r="L425" s="11" t="s">
        <v>6530</v>
      </c>
    </row>
    <row r="426" spans="1:12">
      <c r="A426" t="s">
        <v>6953</v>
      </c>
      <c r="B426" s="9">
        <v>2673</v>
      </c>
      <c r="C426" s="9">
        <v>31.320091999999999</v>
      </c>
      <c r="D426">
        <v>4</v>
      </c>
      <c r="E426">
        <v>3</v>
      </c>
      <c r="F426">
        <v>4</v>
      </c>
      <c r="G426" s="10">
        <v>1</v>
      </c>
      <c r="H426" t="s">
        <v>46</v>
      </c>
      <c r="I426" t="s">
        <v>1957</v>
      </c>
      <c r="J426" t="s">
        <v>6951</v>
      </c>
      <c r="K426" t="s">
        <v>6952</v>
      </c>
      <c r="L426" s="11" t="s">
        <v>6954</v>
      </c>
    </row>
    <row r="427" spans="1:12">
      <c r="A427" t="s">
        <v>6955</v>
      </c>
      <c r="B427" s="9">
        <v>14767</v>
      </c>
      <c r="C427" s="9">
        <v>18.698340999999999</v>
      </c>
      <c r="D427">
        <v>14</v>
      </c>
      <c r="E427">
        <v>13</v>
      </c>
      <c r="F427">
        <v>13</v>
      </c>
      <c r="G427" s="10">
        <v>0.9285714285714286</v>
      </c>
      <c r="H427" t="s">
        <v>46</v>
      </c>
      <c r="I427" t="s">
        <v>1957</v>
      </c>
      <c r="J427" t="s">
        <v>6956</v>
      </c>
      <c r="K427" t="s">
        <v>6957</v>
      </c>
      <c r="L427" s="11" t="s">
        <v>6958</v>
      </c>
    </row>
    <row r="428" spans="1:12">
      <c r="A428" t="s">
        <v>6959</v>
      </c>
      <c r="B428" s="9">
        <v>6045</v>
      </c>
      <c r="C428" s="9">
        <v>48.32788</v>
      </c>
      <c r="D428">
        <v>6</v>
      </c>
      <c r="E428">
        <v>6</v>
      </c>
      <c r="F428">
        <v>5</v>
      </c>
      <c r="G428" s="10">
        <v>0.83333333333333337</v>
      </c>
      <c r="H428" t="s">
        <v>46</v>
      </c>
      <c r="I428" t="s">
        <v>1957</v>
      </c>
      <c r="J428" t="s">
        <v>6960</v>
      </c>
      <c r="K428" t="s">
        <v>6961</v>
      </c>
      <c r="L428" s="11" t="s">
        <v>6962</v>
      </c>
    </row>
    <row r="429" spans="1:12">
      <c r="A429" t="s">
        <v>6963</v>
      </c>
      <c r="B429" s="9">
        <v>3006</v>
      </c>
      <c r="C429" s="9">
        <v>3.7773639999999999</v>
      </c>
      <c r="D429">
        <v>2</v>
      </c>
      <c r="E429">
        <v>2</v>
      </c>
      <c r="F429">
        <v>2</v>
      </c>
      <c r="G429" s="10">
        <v>1</v>
      </c>
      <c r="H429" t="s">
        <v>46</v>
      </c>
      <c r="I429" t="s">
        <v>1957</v>
      </c>
      <c r="J429" t="s">
        <v>6964</v>
      </c>
      <c r="K429" t="s">
        <v>6965</v>
      </c>
      <c r="L429" s="11" t="s">
        <v>6663</v>
      </c>
    </row>
    <row r="430" spans="1:12">
      <c r="A430" t="s">
        <v>6966</v>
      </c>
      <c r="B430" s="9">
        <v>2212</v>
      </c>
      <c r="C430" s="9">
        <v>3.6193789999999999</v>
      </c>
      <c r="D430">
        <v>2</v>
      </c>
      <c r="E430">
        <v>2</v>
      </c>
      <c r="F430">
        <v>2</v>
      </c>
      <c r="G430" s="10">
        <v>1</v>
      </c>
      <c r="H430" t="s">
        <v>46</v>
      </c>
      <c r="I430" t="s">
        <v>1957</v>
      </c>
      <c r="J430" t="s">
        <v>6967</v>
      </c>
      <c r="K430" t="s">
        <v>6968</v>
      </c>
      <c r="L430" s="11" t="s">
        <v>6969</v>
      </c>
    </row>
    <row r="431" spans="1:12">
      <c r="A431" t="s">
        <v>6970</v>
      </c>
      <c r="B431" s="9">
        <v>4292</v>
      </c>
      <c r="C431" s="9">
        <v>8.6955390000000001</v>
      </c>
      <c r="D431">
        <v>2</v>
      </c>
      <c r="E431">
        <v>2</v>
      </c>
      <c r="F431">
        <v>2</v>
      </c>
      <c r="G431" s="10">
        <v>1</v>
      </c>
      <c r="H431" t="s">
        <v>46</v>
      </c>
      <c r="I431" t="s">
        <v>1957</v>
      </c>
      <c r="J431" t="s">
        <v>6971</v>
      </c>
      <c r="K431" t="s">
        <v>6972</v>
      </c>
      <c r="L431" s="11" t="s">
        <v>6971</v>
      </c>
    </row>
    <row r="432" spans="1:12">
      <c r="A432" t="s">
        <v>6973</v>
      </c>
      <c r="B432" s="9">
        <v>2739</v>
      </c>
      <c r="C432" s="9">
        <v>8.3546940000000003</v>
      </c>
      <c r="D432">
        <v>1</v>
      </c>
      <c r="E432">
        <v>1</v>
      </c>
      <c r="F432">
        <v>1</v>
      </c>
      <c r="G432" s="10">
        <v>1</v>
      </c>
      <c r="H432" t="s">
        <v>46</v>
      </c>
      <c r="I432" t="s">
        <v>1957</v>
      </c>
      <c r="J432" t="s">
        <v>6971</v>
      </c>
      <c r="K432" t="s">
        <v>6972</v>
      </c>
      <c r="L432" s="11" t="s">
        <v>6971</v>
      </c>
    </row>
    <row r="433" spans="1:12">
      <c r="A433" t="s">
        <v>6974</v>
      </c>
      <c r="B433" s="9">
        <v>2544</v>
      </c>
      <c r="C433" s="9">
        <v>7.4471679999999996</v>
      </c>
      <c r="D433">
        <v>2</v>
      </c>
      <c r="E433">
        <v>1</v>
      </c>
      <c r="F433">
        <v>2</v>
      </c>
      <c r="G433" s="10">
        <v>1</v>
      </c>
      <c r="H433" t="s">
        <v>46</v>
      </c>
      <c r="I433" t="s">
        <v>1957</v>
      </c>
      <c r="J433" t="s">
        <v>6971</v>
      </c>
      <c r="K433" t="s">
        <v>6972</v>
      </c>
      <c r="L433" s="11" t="s">
        <v>6971</v>
      </c>
    </row>
    <row r="434" spans="1:12">
      <c r="A434" t="s">
        <v>6975</v>
      </c>
      <c r="B434" s="9">
        <v>2193</v>
      </c>
      <c r="C434" s="9">
        <v>3.7979419999999999</v>
      </c>
      <c r="D434">
        <v>2</v>
      </c>
      <c r="E434">
        <v>2</v>
      </c>
      <c r="F434">
        <v>1</v>
      </c>
      <c r="G434" s="10">
        <v>0.5</v>
      </c>
      <c r="H434" t="s">
        <v>46</v>
      </c>
      <c r="I434" t="s">
        <v>1957</v>
      </c>
      <c r="J434" t="s">
        <v>6976</v>
      </c>
      <c r="K434" t="s">
        <v>6977</v>
      </c>
      <c r="L434" s="11" t="s">
        <v>6976</v>
      </c>
    </row>
    <row r="435" spans="1:12">
      <c r="A435" t="s">
        <v>6978</v>
      </c>
      <c r="B435" s="9">
        <v>2587</v>
      </c>
      <c r="C435" s="9">
        <v>5.518167</v>
      </c>
      <c r="D435">
        <v>3</v>
      </c>
      <c r="E435">
        <v>2</v>
      </c>
      <c r="F435">
        <v>2</v>
      </c>
      <c r="G435" s="10">
        <v>0.66666666666666663</v>
      </c>
      <c r="H435" t="s">
        <v>46</v>
      </c>
      <c r="I435" t="s">
        <v>1957</v>
      </c>
      <c r="J435" t="s">
        <v>6979</v>
      </c>
      <c r="K435" t="s">
        <v>6980</v>
      </c>
      <c r="L435" s="11" t="s">
        <v>6979</v>
      </c>
    </row>
    <row r="436" spans="1:12">
      <c r="A436" t="s">
        <v>6981</v>
      </c>
      <c r="B436" s="9">
        <v>2863</v>
      </c>
      <c r="C436" s="9">
        <v>8.6317660000000007</v>
      </c>
      <c r="D436">
        <v>2</v>
      </c>
      <c r="E436">
        <v>2</v>
      </c>
      <c r="F436">
        <v>2</v>
      </c>
      <c r="G436" s="10">
        <v>1</v>
      </c>
      <c r="H436" t="s">
        <v>46</v>
      </c>
      <c r="I436" t="s">
        <v>1957</v>
      </c>
      <c r="J436" t="s">
        <v>6982</v>
      </c>
      <c r="K436" t="s">
        <v>6983</v>
      </c>
      <c r="L436" s="11" t="s">
        <v>6982</v>
      </c>
    </row>
    <row r="437" spans="1:12">
      <c r="A437" t="s">
        <v>6984</v>
      </c>
      <c r="B437" s="9">
        <v>2734</v>
      </c>
      <c r="C437" s="9">
        <v>5.1911160000000001</v>
      </c>
      <c r="D437">
        <v>3</v>
      </c>
      <c r="E437">
        <v>3</v>
      </c>
      <c r="F437">
        <v>3</v>
      </c>
      <c r="G437" s="10">
        <v>1</v>
      </c>
      <c r="H437" t="s">
        <v>46</v>
      </c>
      <c r="I437" t="s">
        <v>1957</v>
      </c>
      <c r="J437" t="s">
        <v>6644</v>
      </c>
      <c r="K437" t="s">
        <v>6983</v>
      </c>
      <c r="L437" s="11" t="s">
        <v>6985</v>
      </c>
    </row>
    <row r="438" spans="1:12">
      <c r="A438" t="s">
        <v>6986</v>
      </c>
      <c r="B438" s="9">
        <v>2250</v>
      </c>
      <c r="C438" s="9">
        <v>3.5621870000000002</v>
      </c>
      <c r="D438">
        <v>2</v>
      </c>
      <c r="E438">
        <v>2</v>
      </c>
      <c r="F438">
        <v>2</v>
      </c>
      <c r="G438" s="10">
        <v>1</v>
      </c>
      <c r="H438" t="s">
        <v>46</v>
      </c>
      <c r="I438" t="s">
        <v>1957</v>
      </c>
      <c r="J438" t="s">
        <v>6982</v>
      </c>
      <c r="K438" t="s">
        <v>6983</v>
      </c>
      <c r="L438" s="11" t="s">
        <v>6982</v>
      </c>
    </row>
    <row r="439" spans="1:12">
      <c r="A439" t="s">
        <v>6987</v>
      </c>
      <c r="B439" s="9">
        <v>2528</v>
      </c>
      <c r="C439" s="9">
        <v>12.724626000000001</v>
      </c>
      <c r="D439">
        <v>3</v>
      </c>
      <c r="E439">
        <v>2</v>
      </c>
      <c r="F439">
        <v>2</v>
      </c>
      <c r="G439" s="10">
        <v>0.66666666666666663</v>
      </c>
      <c r="H439" t="s">
        <v>46</v>
      </c>
      <c r="I439" t="s">
        <v>1957</v>
      </c>
      <c r="J439" t="s">
        <v>6982</v>
      </c>
      <c r="K439" t="s">
        <v>6983</v>
      </c>
      <c r="L439" s="11" t="s">
        <v>6982</v>
      </c>
    </row>
    <row r="440" spans="1:12">
      <c r="A440" t="s">
        <v>6988</v>
      </c>
      <c r="B440" s="9">
        <v>2345</v>
      </c>
      <c r="C440" s="9">
        <v>5.4227069999999999</v>
      </c>
      <c r="D440">
        <v>2</v>
      </c>
      <c r="E440">
        <v>2</v>
      </c>
      <c r="F440">
        <v>1</v>
      </c>
      <c r="G440" s="10">
        <v>0.5</v>
      </c>
      <c r="H440" t="s">
        <v>46</v>
      </c>
      <c r="I440" t="s">
        <v>1957</v>
      </c>
      <c r="J440" t="s">
        <v>6982</v>
      </c>
      <c r="K440" t="s">
        <v>6983</v>
      </c>
      <c r="L440" s="11" t="s">
        <v>6982</v>
      </c>
    </row>
    <row r="441" spans="1:12">
      <c r="A441" t="s">
        <v>6989</v>
      </c>
      <c r="B441" s="9">
        <v>2049</v>
      </c>
      <c r="C441" s="9">
        <v>4.5486459999999997</v>
      </c>
      <c r="D441">
        <v>2</v>
      </c>
      <c r="E441">
        <v>1</v>
      </c>
      <c r="F441">
        <v>1</v>
      </c>
      <c r="G441" s="10">
        <v>0.5</v>
      </c>
      <c r="H441" t="s">
        <v>46</v>
      </c>
      <c r="I441" t="s">
        <v>1957</v>
      </c>
      <c r="J441" t="s">
        <v>6982</v>
      </c>
      <c r="K441" t="s">
        <v>6983</v>
      </c>
      <c r="L441" s="11" t="s">
        <v>6982</v>
      </c>
    </row>
    <row r="442" spans="1:12">
      <c r="A442" t="s">
        <v>6990</v>
      </c>
      <c r="B442" s="9">
        <v>5878</v>
      </c>
      <c r="C442" s="9">
        <v>62.707366999999998</v>
      </c>
      <c r="D442">
        <v>4</v>
      </c>
      <c r="E442">
        <v>2</v>
      </c>
      <c r="F442">
        <v>2</v>
      </c>
      <c r="G442" s="10">
        <v>0.5</v>
      </c>
      <c r="H442" t="s">
        <v>46</v>
      </c>
      <c r="I442" t="s">
        <v>1957</v>
      </c>
      <c r="J442" t="s">
        <v>6991</v>
      </c>
      <c r="K442" t="s">
        <v>6992</v>
      </c>
      <c r="L442" s="11" t="s">
        <v>6991</v>
      </c>
    </row>
    <row r="443" spans="1:12">
      <c r="A443" t="s">
        <v>6993</v>
      </c>
      <c r="B443" s="9">
        <v>4654</v>
      </c>
      <c r="C443" s="9">
        <v>5.2098279999999999</v>
      </c>
      <c r="D443">
        <v>3</v>
      </c>
      <c r="E443">
        <v>2</v>
      </c>
      <c r="F443">
        <v>2</v>
      </c>
      <c r="G443" s="10">
        <v>0.66666666666666663</v>
      </c>
      <c r="H443" t="s">
        <v>46</v>
      </c>
      <c r="I443" t="s">
        <v>1957</v>
      </c>
      <c r="J443" t="s">
        <v>6789</v>
      </c>
      <c r="K443" t="s">
        <v>6994</v>
      </c>
      <c r="L443" s="11" t="s">
        <v>6789</v>
      </c>
    </row>
    <row r="444" spans="1:12">
      <c r="A444" t="s">
        <v>6995</v>
      </c>
      <c r="B444" s="9">
        <v>2007</v>
      </c>
      <c r="C444" s="9">
        <v>3.2223359999999999</v>
      </c>
      <c r="D444">
        <v>2</v>
      </c>
      <c r="E444">
        <v>2</v>
      </c>
      <c r="F444">
        <v>1</v>
      </c>
      <c r="G444" s="10">
        <v>0.5</v>
      </c>
      <c r="H444" t="s">
        <v>46</v>
      </c>
      <c r="I444" t="s">
        <v>1957</v>
      </c>
      <c r="J444" t="s">
        <v>6789</v>
      </c>
      <c r="K444" t="s">
        <v>6994</v>
      </c>
      <c r="L444" s="11" t="s">
        <v>6789</v>
      </c>
    </row>
    <row r="445" spans="1:12">
      <c r="A445" t="s">
        <v>6996</v>
      </c>
      <c r="B445" s="9">
        <v>5221</v>
      </c>
      <c r="C445" s="9">
        <v>6.0118080000000003</v>
      </c>
      <c r="D445">
        <v>5</v>
      </c>
      <c r="E445">
        <v>5</v>
      </c>
      <c r="F445">
        <v>5</v>
      </c>
      <c r="G445" s="10">
        <v>1</v>
      </c>
      <c r="H445" t="s">
        <v>46</v>
      </c>
      <c r="I445" t="s">
        <v>1957</v>
      </c>
      <c r="J445" t="s">
        <v>6997</v>
      </c>
      <c r="K445" t="s">
        <v>6998</v>
      </c>
      <c r="L445" s="11" t="s">
        <v>6999</v>
      </c>
    </row>
    <row r="446" spans="1:12">
      <c r="A446" t="s">
        <v>7000</v>
      </c>
      <c r="B446" s="9">
        <v>3496</v>
      </c>
      <c r="C446" s="9">
        <v>5.5727989999999998</v>
      </c>
      <c r="D446">
        <v>3</v>
      </c>
      <c r="E446">
        <v>3</v>
      </c>
      <c r="F446">
        <v>3</v>
      </c>
      <c r="G446" s="10">
        <v>1</v>
      </c>
      <c r="H446" t="s">
        <v>46</v>
      </c>
      <c r="I446" t="s">
        <v>1957</v>
      </c>
      <c r="J446" t="s">
        <v>6997</v>
      </c>
      <c r="K446" t="s">
        <v>6998</v>
      </c>
      <c r="L446" s="11" t="s">
        <v>7001</v>
      </c>
    </row>
    <row r="447" spans="1:12">
      <c r="A447" t="s">
        <v>7002</v>
      </c>
      <c r="B447" s="9">
        <v>5162</v>
      </c>
      <c r="C447" s="9">
        <v>3.5895830000000002</v>
      </c>
      <c r="D447">
        <v>3</v>
      </c>
      <c r="E447">
        <v>2</v>
      </c>
      <c r="F447">
        <v>2</v>
      </c>
      <c r="G447" s="10">
        <v>0.66666666666666663</v>
      </c>
      <c r="H447" t="s">
        <v>46</v>
      </c>
      <c r="I447" t="s">
        <v>1957</v>
      </c>
      <c r="J447" t="s">
        <v>7003</v>
      </c>
      <c r="K447" t="s">
        <v>7004</v>
      </c>
      <c r="L447" s="11" t="s">
        <v>7003</v>
      </c>
    </row>
    <row r="448" spans="1:12">
      <c r="A448" t="s">
        <v>7005</v>
      </c>
      <c r="B448" s="9">
        <v>3312</v>
      </c>
      <c r="C448" s="9">
        <v>5.407737</v>
      </c>
      <c r="D448">
        <v>2</v>
      </c>
      <c r="E448">
        <v>2</v>
      </c>
      <c r="F448">
        <v>2</v>
      </c>
      <c r="G448" s="10">
        <v>1</v>
      </c>
      <c r="H448" t="s">
        <v>46</v>
      </c>
      <c r="I448" t="s">
        <v>1957</v>
      </c>
      <c r="J448" t="s">
        <v>7006</v>
      </c>
      <c r="K448" t="s">
        <v>7007</v>
      </c>
      <c r="L448" s="11" t="s">
        <v>7008</v>
      </c>
    </row>
    <row r="449" spans="1:12">
      <c r="A449" t="s">
        <v>7009</v>
      </c>
      <c r="B449" s="9">
        <v>3132</v>
      </c>
      <c r="C449" s="9">
        <v>3.5963599999999998</v>
      </c>
      <c r="D449">
        <v>1</v>
      </c>
      <c r="E449">
        <v>1</v>
      </c>
      <c r="F449">
        <v>1</v>
      </c>
      <c r="G449" s="10">
        <v>1</v>
      </c>
      <c r="H449" t="s">
        <v>46</v>
      </c>
      <c r="I449" t="s">
        <v>1957</v>
      </c>
      <c r="J449" t="s">
        <v>7010</v>
      </c>
      <c r="K449" t="s">
        <v>7007</v>
      </c>
      <c r="L449" s="11" t="s">
        <v>7010</v>
      </c>
    </row>
    <row r="450" spans="1:12">
      <c r="A450" t="s">
        <v>7011</v>
      </c>
      <c r="B450" s="9">
        <v>2145</v>
      </c>
      <c r="C450" s="9">
        <v>3.1679430000000002</v>
      </c>
      <c r="D450">
        <v>1</v>
      </c>
      <c r="E450">
        <v>1</v>
      </c>
      <c r="F450">
        <v>1</v>
      </c>
      <c r="G450" s="10">
        <v>1</v>
      </c>
      <c r="H450" t="s">
        <v>46</v>
      </c>
      <c r="I450" t="s">
        <v>1957</v>
      </c>
      <c r="J450" t="s">
        <v>7010</v>
      </c>
      <c r="K450" t="s">
        <v>7007</v>
      </c>
      <c r="L450" s="11" t="s">
        <v>7010</v>
      </c>
    </row>
    <row r="451" spans="1:12">
      <c r="A451" t="s">
        <v>7012</v>
      </c>
      <c r="B451" s="9">
        <v>6175</v>
      </c>
      <c r="C451" s="9">
        <v>3.533007</v>
      </c>
      <c r="D451">
        <v>8</v>
      </c>
      <c r="E451">
        <v>7</v>
      </c>
      <c r="F451">
        <v>8</v>
      </c>
      <c r="G451" s="10">
        <v>1</v>
      </c>
      <c r="H451" t="s">
        <v>46</v>
      </c>
      <c r="I451" t="s">
        <v>1957</v>
      </c>
      <c r="J451" t="s">
        <v>7013</v>
      </c>
      <c r="K451" t="s">
        <v>7014</v>
      </c>
      <c r="L451" s="11" t="s">
        <v>7015</v>
      </c>
    </row>
    <row r="452" spans="1:12">
      <c r="A452" t="s">
        <v>7016</v>
      </c>
      <c r="B452" s="9">
        <v>2054</v>
      </c>
      <c r="C452" s="9">
        <v>5.3371690000000003</v>
      </c>
      <c r="D452">
        <v>2</v>
      </c>
      <c r="E452">
        <v>2</v>
      </c>
      <c r="F452">
        <v>2</v>
      </c>
      <c r="G452" s="10">
        <v>1</v>
      </c>
      <c r="H452" t="s">
        <v>46</v>
      </c>
      <c r="I452" t="s">
        <v>1957</v>
      </c>
      <c r="J452" t="s">
        <v>7017</v>
      </c>
      <c r="K452" t="s">
        <v>7018</v>
      </c>
      <c r="L452" s="11" t="s">
        <v>7019</v>
      </c>
    </row>
    <row r="453" spans="1:12">
      <c r="A453" t="s">
        <v>7020</v>
      </c>
      <c r="B453" s="9">
        <v>2114</v>
      </c>
      <c r="C453" s="9">
        <v>3.9062649999999999</v>
      </c>
      <c r="D453">
        <v>2</v>
      </c>
      <c r="E453">
        <v>2</v>
      </c>
      <c r="F453">
        <v>2</v>
      </c>
      <c r="G453" s="10">
        <v>1</v>
      </c>
      <c r="H453" t="s">
        <v>46</v>
      </c>
      <c r="I453" t="s">
        <v>1957</v>
      </c>
      <c r="J453" t="s">
        <v>7021</v>
      </c>
      <c r="K453" t="s">
        <v>7022</v>
      </c>
      <c r="L453" s="11" t="s">
        <v>7021</v>
      </c>
    </row>
    <row r="454" spans="1:12">
      <c r="A454" t="s">
        <v>7023</v>
      </c>
      <c r="B454" s="9">
        <v>3207</v>
      </c>
      <c r="C454" s="9">
        <v>11.022525</v>
      </c>
      <c r="D454">
        <v>3</v>
      </c>
      <c r="E454">
        <v>3</v>
      </c>
      <c r="F454">
        <v>3</v>
      </c>
      <c r="G454" s="10">
        <v>1</v>
      </c>
      <c r="H454" t="s">
        <v>46</v>
      </c>
      <c r="I454" t="s">
        <v>1957</v>
      </c>
      <c r="J454" t="s">
        <v>7024</v>
      </c>
      <c r="K454" t="s">
        <v>7025</v>
      </c>
      <c r="L454" s="11" t="s">
        <v>7024</v>
      </c>
    </row>
    <row r="455" spans="1:12">
      <c r="A455" t="s">
        <v>7026</v>
      </c>
      <c r="B455" s="9">
        <v>4202</v>
      </c>
      <c r="C455" s="9">
        <v>51.09525</v>
      </c>
      <c r="D455">
        <v>3</v>
      </c>
      <c r="E455">
        <v>2</v>
      </c>
      <c r="F455">
        <v>2</v>
      </c>
      <c r="G455" s="10">
        <v>0.66666666666666663</v>
      </c>
      <c r="H455" t="s">
        <v>46</v>
      </c>
      <c r="I455" t="s">
        <v>1957</v>
      </c>
      <c r="J455" t="s">
        <v>7027</v>
      </c>
      <c r="K455" t="s">
        <v>7028</v>
      </c>
      <c r="L455" s="11" t="s">
        <v>7027</v>
      </c>
    </row>
    <row r="456" spans="1:12">
      <c r="A456" t="s">
        <v>7029</v>
      </c>
      <c r="B456" s="9">
        <v>3345</v>
      </c>
      <c r="C456" s="9">
        <v>3.6592709999999999</v>
      </c>
      <c r="D456">
        <v>2</v>
      </c>
      <c r="E456">
        <v>2</v>
      </c>
      <c r="F456">
        <v>1</v>
      </c>
      <c r="G456" s="10">
        <v>0.5</v>
      </c>
      <c r="H456" t="s">
        <v>46</v>
      </c>
      <c r="I456" t="s">
        <v>1957</v>
      </c>
      <c r="J456" t="s">
        <v>7030</v>
      </c>
      <c r="K456" t="s">
        <v>7031</v>
      </c>
      <c r="L456" s="11" t="s">
        <v>7030</v>
      </c>
    </row>
    <row r="457" spans="1:12">
      <c r="A457" t="s">
        <v>7032</v>
      </c>
      <c r="B457" s="9">
        <v>6512</v>
      </c>
      <c r="C457" s="9">
        <v>5.1345830000000001</v>
      </c>
      <c r="D457">
        <v>4</v>
      </c>
      <c r="E457">
        <v>2</v>
      </c>
      <c r="F457">
        <v>2</v>
      </c>
      <c r="G457" s="10">
        <v>0.5</v>
      </c>
      <c r="H457" t="s">
        <v>46</v>
      </c>
      <c r="I457" t="s">
        <v>1957</v>
      </c>
      <c r="J457" t="s">
        <v>7033</v>
      </c>
      <c r="K457" t="s">
        <v>7034</v>
      </c>
      <c r="L457" s="11" t="s">
        <v>7033</v>
      </c>
    </row>
    <row r="458" spans="1:12">
      <c r="A458" t="s">
        <v>7035</v>
      </c>
      <c r="B458" s="9">
        <v>4529</v>
      </c>
      <c r="C458" s="9">
        <v>8.0210100000000004</v>
      </c>
      <c r="D458">
        <v>4</v>
      </c>
      <c r="E458">
        <v>3</v>
      </c>
      <c r="F458">
        <v>4</v>
      </c>
      <c r="G458" s="10">
        <v>1</v>
      </c>
      <c r="H458" t="s">
        <v>46</v>
      </c>
      <c r="I458" t="s">
        <v>1957</v>
      </c>
      <c r="J458" t="s">
        <v>7036</v>
      </c>
      <c r="K458" t="s">
        <v>7037</v>
      </c>
      <c r="L458" s="11" t="s">
        <v>7036</v>
      </c>
    </row>
    <row r="459" spans="1:12">
      <c r="A459" t="s">
        <v>7038</v>
      </c>
      <c r="B459" s="9">
        <v>3089</v>
      </c>
      <c r="C459" s="9">
        <v>3.683586</v>
      </c>
      <c r="D459">
        <v>4</v>
      </c>
      <c r="E459">
        <v>2</v>
      </c>
      <c r="F459">
        <v>2</v>
      </c>
      <c r="G459" s="10">
        <v>0.5</v>
      </c>
      <c r="H459" t="s">
        <v>46</v>
      </c>
      <c r="I459" t="s">
        <v>1957</v>
      </c>
      <c r="J459" t="s">
        <v>7039</v>
      </c>
      <c r="K459" t="s">
        <v>7037</v>
      </c>
      <c r="L459" s="11" t="s">
        <v>7039</v>
      </c>
    </row>
    <row r="460" spans="1:12">
      <c r="A460" t="s">
        <v>7040</v>
      </c>
      <c r="B460" s="9">
        <v>2575</v>
      </c>
      <c r="C460" s="9">
        <v>3.7436509999999998</v>
      </c>
      <c r="D460">
        <v>1</v>
      </c>
      <c r="E460">
        <v>1</v>
      </c>
      <c r="F460">
        <v>1</v>
      </c>
      <c r="G460" s="10">
        <v>1</v>
      </c>
      <c r="H460" t="s">
        <v>46</v>
      </c>
      <c r="I460" t="s">
        <v>1957</v>
      </c>
      <c r="J460" t="s">
        <v>7041</v>
      </c>
      <c r="K460" t="s">
        <v>7042</v>
      </c>
      <c r="L460" s="11" t="s">
        <v>7041</v>
      </c>
    </row>
    <row r="461" spans="1:12">
      <c r="A461" t="s">
        <v>7043</v>
      </c>
      <c r="B461" s="9">
        <v>2696</v>
      </c>
      <c r="C461" s="9">
        <v>4.6887540000000003</v>
      </c>
      <c r="D461">
        <v>2</v>
      </c>
      <c r="E461">
        <v>1</v>
      </c>
      <c r="F461">
        <v>1</v>
      </c>
      <c r="G461" s="10">
        <v>0.5</v>
      </c>
      <c r="H461" t="s">
        <v>46</v>
      </c>
      <c r="I461" t="s">
        <v>1957</v>
      </c>
      <c r="J461" t="s">
        <v>7041</v>
      </c>
      <c r="K461" t="s">
        <v>7042</v>
      </c>
      <c r="L461" s="11" t="s">
        <v>7041</v>
      </c>
    </row>
    <row r="462" spans="1:12">
      <c r="A462" t="s">
        <v>7044</v>
      </c>
      <c r="B462" s="9">
        <v>44587</v>
      </c>
      <c r="C462" s="9">
        <v>74.952033999999998</v>
      </c>
      <c r="D462">
        <v>30</v>
      </c>
      <c r="E462">
        <v>29</v>
      </c>
      <c r="F462">
        <v>28</v>
      </c>
      <c r="G462" s="10">
        <v>0.93333333333333335</v>
      </c>
      <c r="H462" t="s">
        <v>46</v>
      </c>
      <c r="I462" t="s">
        <v>1957</v>
      </c>
      <c r="J462" t="s">
        <v>7045</v>
      </c>
      <c r="K462" t="s">
        <v>7046</v>
      </c>
      <c r="L462" s="11" t="s">
        <v>7045</v>
      </c>
    </row>
    <row r="463" spans="1:12">
      <c r="A463" t="s">
        <v>7047</v>
      </c>
      <c r="B463" s="9">
        <v>2699</v>
      </c>
      <c r="C463" s="9">
        <v>5.3608169999999999</v>
      </c>
      <c r="D463">
        <v>2</v>
      </c>
      <c r="E463">
        <v>2</v>
      </c>
      <c r="F463">
        <v>2</v>
      </c>
      <c r="G463" s="10">
        <v>1</v>
      </c>
      <c r="H463" t="s">
        <v>46</v>
      </c>
      <c r="I463" t="s">
        <v>1957</v>
      </c>
      <c r="J463" t="s">
        <v>7048</v>
      </c>
      <c r="K463" t="s">
        <v>7049</v>
      </c>
      <c r="L463" s="11" t="s">
        <v>7048</v>
      </c>
    </row>
    <row r="464" spans="1:12">
      <c r="A464" t="s">
        <v>7050</v>
      </c>
      <c r="B464" s="9">
        <v>3447</v>
      </c>
      <c r="C464" s="9">
        <v>5.0651529999999996</v>
      </c>
      <c r="D464">
        <v>1</v>
      </c>
      <c r="E464">
        <v>1</v>
      </c>
      <c r="F464">
        <v>1</v>
      </c>
      <c r="G464" s="10">
        <v>1</v>
      </c>
      <c r="H464" t="s">
        <v>46</v>
      </c>
      <c r="I464" t="s">
        <v>1957</v>
      </c>
      <c r="J464" t="s">
        <v>7051</v>
      </c>
      <c r="K464" t="s">
        <v>7052</v>
      </c>
      <c r="L464" s="11" t="s">
        <v>7051</v>
      </c>
    </row>
    <row r="465" spans="1:12">
      <c r="A465" t="s">
        <v>7053</v>
      </c>
      <c r="B465" s="9">
        <v>9528</v>
      </c>
      <c r="C465" s="9">
        <v>4.9010870000000004</v>
      </c>
      <c r="D465">
        <v>8</v>
      </c>
      <c r="E465">
        <v>7</v>
      </c>
      <c r="F465">
        <v>7</v>
      </c>
      <c r="G465" s="10">
        <v>0.875</v>
      </c>
      <c r="H465" t="s">
        <v>46</v>
      </c>
      <c r="I465" t="s">
        <v>1957</v>
      </c>
      <c r="J465" t="s">
        <v>7054</v>
      </c>
      <c r="K465" t="s">
        <v>7055</v>
      </c>
      <c r="L465" s="11" t="s">
        <v>7054</v>
      </c>
    </row>
    <row r="466" spans="1:12">
      <c r="A466" t="s">
        <v>7056</v>
      </c>
      <c r="B466" s="9">
        <v>13531</v>
      </c>
      <c r="C466" s="9">
        <v>23.661397999999998</v>
      </c>
      <c r="D466">
        <v>8</v>
      </c>
      <c r="E466">
        <v>5</v>
      </c>
      <c r="F466">
        <v>5</v>
      </c>
      <c r="G466" s="10">
        <v>0.625</v>
      </c>
      <c r="H466" t="s">
        <v>46</v>
      </c>
      <c r="I466" t="s">
        <v>1957</v>
      </c>
      <c r="J466" t="s">
        <v>7057</v>
      </c>
      <c r="K466" t="s">
        <v>7058</v>
      </c>
      <c r="L466" s="11" t="s">
        <v>7057</v>
      </c>
    </row>
    <row r="467" spans="1:12">
      <c r="A467" t="s">
        <v>7059</v>
      </c>
      <c r="B467" s="9">
        <v>5653</v>
      </c>
      <c r="C467" s="9">
        <v>4.8538759999999996</v>
      </c>
      <c r="D467">
        <v>2</v>
      </c>
      <c r="E467">
        <v>2</v>
      </c>
      <c r="F467">
        <v>2</v>
      </c>
      <c r="G467" s="10">
        <v>1</v>
      </c>
      <c r="H467" t="s">
        <v>46</v>
      </c>
      <c r="I467" t="s">
        <v>1957</v>
      </c>
      <c r="J467" t="s">
        <v>7060</v>
      </c>
      <c r="K467" t="s">
        <v>7061</v>
      </c>
      <c r="L467" s="11" t="s">
        <v>7060</v>
      </c>
    </row>
    <row r="468" spans="1:12">
      <c r="A468" t="s">
        <v>7062</v>
      </c>
      <c r="B468" s="9">
        <v>2040</v>
      </c>
      <c r="C468" s="9">
        <v>4.8488660000000001</v>
      </c>
      <c r="D468">
        <v>2</v>
      </c>
      <c r="E468">
        <v>2</v>
      </c>
      <c r="F468">
        <v>2</v>
      </c>
      <c r="G468" s="10">
        <v>1</v>
      </c>
      <c r="H468" t="s">
        <v>46</v>
      </c>
      <c r="I468" t="s">
        <v>1957</v>
      </c>
      <c r="J468" t="s">
        <v>7060</v>
      </c>
      <c r="K468" t="s">
        <v>7061</v>
      </c>
      <c r="L468" s="11" t="s">
        <v>7060</v>
      </c>
    </row>
    <row r="469" spans="1:12">
      <c r="A469" t="s">
        <v>7063</v>
      </c>
      <c r="B469" s="9">
        <v>3072</v>
      </c>
      <c r="C469" s="9">
        <v>4.5959560000000002</v>
      </c>
      <c r="D469">
        <v>2</v>
      </c>
      <c r="E469">
        <v>2</v>
      </c>
      <c r="F469">
        <v>1</v>
      </c>
      <c r="G469" s="10">
        <v>0.5</v>
      </c>
      <c r="H469" t="s">
        <v>46</v>
      </c>
      <c r="I469" t="s">
        <v>1957</v>
      </c>
      <c r="J469" t="s">
        <v>7064</v>
      </c>
      <c r="K469" t="s">
        <v>7065</v>
      </c>
      <c r="L469" s="11" t="s">
        <v>7064</v>
      </c>
    </row>
    <row r="470" spans="1:12">
      <c r="A470" t="s">
        <v>7066</v>
      </c>
      <c r="B470" s="9">
        <v>2266</v>
      </c>
      <c r="C470" s="9">
        <v>7.394844</v>
      </c>
      <c r="D470">
        <v>3</v>
      </c>
      <c r="E470">
        <v>1</v>
      </c>
      <c r="F470">
        <v>1</v>
      </c>
      <c r="G470" s="10">
        <v>0.33333333333333331</v>
      </c>
      <c r="H470" t="s">
        <v>46</v>
      </c>
      <c r="I470" t="s">
        <v>1957</v>
      </c>
      <c r="J470" t="s">
        <v>7067</v>
      </c>
      <c r="K470" t="s">
        <v>7068</v>
      </c>
      <c r="L470" s="11" t="s">
        <v>7067</v>
      </c>
    </row>
    <row r="471" spans="1:12">
      <c r="A471" t="s">
        <v>7069</v>
      </c>
      <c r="B471" s="9">
        <v>3440</v>
      </c>
      <c r="C471" s="9">
        <v>5.264106</v>
      </c>
      <c r="D471">
        <v>3</v>
      </c>
      <c r="E471">
        <v>3</v>
      </c>
      <c r="F471">
        <v>3</v>
      </c>
      <c r="G471" s="10">
        <v>1</v>
      </c>
      <c r="H471" t="s">
        <v>46</v>
      </c>
      <c r="I471" t="s">
        <v>1957</v>
      </c>
      <c r="J471" t="s">
        <v>7070</v>
      </c>
      <c r="K471" t="s">
        <v>7071</v>
      </c>
      <c r="L471" s="11" t="s">
        <v>7070</v>
      </c>
    </row>
    <row r="472" spans="1:12">
      <c r="A472" t="s">
        <v>7072</v>
      </c>
      <c r="B472" s="9">
        <v>3417</v>
      </c>
      <c r="C472" s="9">
        <v>11.848602</v>
      </c>
      <c r="D472">
        <v>4</v>
      </c>
      <c r="E472">
        <v>4</v>
      </c>
      <c r="F472">
        <v>3</v>
      </c>
      <c r="G472" s="10">
        <v>0.75</v>
      </c>
      <c r="H472" t="s">
        <v>46</v>
      </c>
      <c r="I472" t="s">
        <v>1957</v>
      </c>
      <c r="J472" t="s">
        <v>7073</v>
      </c>
      <c r="K472" t="s">
        <v>7074</v>
      </c>
      <c r="L472" s="11" t="s">
        <v>7075</v>
      </c>
    </row>
    <row r="473" spans="1:12">
      <c r="A473" t="s">
        <v>7076</v>
      </c>
      <c r="B473" s="9">
        <v>2985</v>
      </c>
      <c r="C473" s="9">
        <v>4.4153580000000003</v>
      </c>
      <c r="D473">
        <v>1</v>
      </c>
      <c r="E473">
        <v>1</v>
      </c>
      <c r="F473">
        <v>1</v>
      </c>
      <c r="G473" s="10">
        <v>1</v>
      </c>
      <c r="H473" t="s">
        <v>46</v>
      </c>
      <c r="I473" t="s">
        <v>1957</v>
      </c>
      <c r="J473" t="s">
        <v>7077</v>
      </c>
      <c r="K473" t="s">
        <v>7078</v>
      </c>
      <c r="L473" s="11" t="s">
        <v>7077</v>
      </c>
    </row>
    <row r="474" spans="1:12">
      <c r="A474" t="s">
        <v>7079</v>
      </c>
      <c r="B474" s="9">
        <v>5631</v>
      </c>
      <c r="C474" s="9">
        <v>4.0855449999999998</v>
      </c>
      <c r="D474">
        <v>1</v>
      </c>
      <c r="E474">
        <v>1</v>
      </c>
      <c r="F474">
        <v>1</v>
      </c>
      <c r="G474" s="10">
        <v>1</v>
      </c>
      <c r="H474" t="s">
        <v>46</v>
      </c>
      <c r="I474" t="s">
        <v>1957</v>
      </c>
      <c r="J474" t="s">
        <v>7080</v>
      </c>
      <c r="K474" t="s">
        <v>7081</v>
      </c>
      <c r="L474" s="11" t="s">
        <v>7080</v>
      </c>
    </row>
    <row r="475" spans="1:12">
      <c r="A475" t="s">
        <v>7082</v>
      </c>
      <c r="B475" s="9">
        <v>2328</v>
      </c>
      <c r="C475" s="9">
        <v>4.2547290000000002</v>
      </c>
      <c r="D475">
        <v>1</v>
      </c>
      <c r="E475">
        <v>1</v>
      </c>
      <c r="F475">
        <v>1</v>
      </c>
      <c r="G475" s="10">
        <v>1</v>
      </c>
      <c r="H475" t="s">
        <v>46</v>
      </c>
      <c r="I475" t="s">
        <v>1957</v>
      </c>
      <c r="J475" t="s">
        <v>7080</v>
      </c>
      <c r="K475" t="s">
        <v>7081</v>
      </c>
      <c r="L475" s="11" t="s">
        <v>7080</v>
      </c>
    </row>
    <row r="476" spans="1:12">
      <c r="A476" t="s">
        <v>7083</v>
      </c>
      <c r="B476" s="9">
        <v>2413</v>
      </c>
      <c r="C476" s="9">
        <v>4.5580999999999996</v>
      </c>
      <c r="D476">
        <v>2</v>
      </c>
      <c r="E476">
        <v>2</v>
      </c>
      <c r="F476">
        <v>2</v>
      </c>
      <c r="G476" s="10">
        <v>1</v>
      </c>
      <c r="H476" t="s">
        <v>46</v>
      </c>
      <c r="I476" t="s">
        <v>1957</v>
      </c>
      <c r="J476" t="s">
        <v>7084</v>
      </c>
      <c r="K476" t="s">
        <v>7085</v>
      </c>
      <c r="L476" s="11" t="s">
        <v>7084</v>
      </c>
    </row>
    <row r="477" spans="1:12">
      <c r="A477" t="s">
        <v>7086</v>
      </c>
      <c r="B477" s="9">
        <v>4148</v>
      </c>
      <c r="C477" s="9">
        <v>3.799658</v>
      </c>
      <c r="D477">
        <v>4</v>
      </c>
      <c r="E477">
        <v>4</v>
      </c>
      <c r="F477">
        <v>4</v>
      </c>
      <c r="G477" s="10">
        <v>1</v>
      </c>
      <c r="H477" t="s">
        <v>46</v>
      </c>
      <c r="I477" t="s">
        <v>1957</v>
      </c>
      <c r="J477" t="s">
        <v>7087</v>
      </c>
      <c r="K477" t="s">
        <v>7088</v>
      </c>
      <c r="L477" s="11" t="s">
        <v>7089</v>
      </c>
    </row>
    <row r="478" spans="1:12">
      <c r="A478" t="s">
        <v>7090</v>
      </c>
      <c r="B478" s="9">
        <v>2275</v>
      </c>
      <c r="C478" s="9">
        <v>1.9045049999999999</v>
      </c>
      <c r="D478">
        <v>3</v>
      </c>
      <c r="E478">
        <v>3</v>
      </c>
      <c r="F478">
        <v>3</v>
      </c>
      <c r="G478" s="10">
        <v>1</v>
      </c>
      <c r="H478" t="s">
        <v>46</v>
      </c>
      <c r="I478" t="s">
        <v>1957</v>
      </c>
      <c r="J478" t="s">
        <v>7091</v>
      </c>
      <c r="K478" t="s">
        <v>7092</v>
      </c>
      <c r="L478" s="11" t="s">
        <v>7093</v>
      </c>
    </row>
    <row r="479" spans="1:12">
      <c r="A479" t="s">
        <v>7094</v>
      </c>
      <c r="B479" s="9">
        <v>10675</v>
      </c>
      <c r="C479" s="9">
        <v>8.352919</v>
      </c>
      <c r="D479">
        <v>9</v>
      </c>
      <c r="E479">
        <v>9</v>
      </c>
      <c r="F479">
        <v>8</v>
      </c>
      <c r="G479" s="10">
        <v>0.88888888888888884</v>
      </c>
      <c r="H479" t="s">
        <v>46</v>
      </c>
      <c r="I479" t="s">
        <v>1957</v>
      </c>
      <c r="J479" t="s">
        <v>7095</v>
      </c>
      <c r="K479" t="s">
        <v>7096</v>
      </c>
      <c r="L479" s="11" t="s">
        <v>7095</v>
      </c>
    </row>
    <row r="480" spans="1:12">
      <c r="A480" t="s">
        <v>7097</v>
      </c>
      <c r="B480" s="9">
        <v>15026</v>
      </c>
      <c r="C480" s="9">
        <v>7.2540909999999998</v>
      </c>
      <c r="D480">
        <v>16</v>
      </c>
      <c r="E480">
        <v>14</v>
      </c>
      <c r="F480">
        <v>16</v>
      </c>
      <c r="G480" s="10">
        <v>1</v>
      </c>
      <c r="H480" t="s">
        <v>46</v>
      </c>
      <c r="I480" t="s">
        <v>1957</v>
      </c>
      <c r="J480" t="s">
        <v>7098</v>
      </c>
      <c r="K480" t="s">
        <v>7099</v>
      </c>
      <c r="L480" s="11" t="s">
        <v>7098</v>
      </c>
    </row>
    <row r="481" spans="1:12">
      <c r="A481" t="s">
        <v>7100</v>
      </c>
      <c r="B481" s="9">
        <v>14812</v>
      </c>
      <c r="C481" s="9">
        <v>7.0452669999999999</v>
      </c>
      <c r="D481">
        <v>7</v>
      </c>
      <c r="E481">
        <v>7</v>
      </c>
      <c r="F481">
        <v>7</v>
      </c>
      <c r="G481" s="10">
        <v>1</v>
      </c>
      <c r="H481" t="s">
        <v>46</v>
      </c>
      <c r="I481" t="s">
        <v>1957</v>
      </c>
      <c r="J481" t="s">
        <v>7101</v>
      </c>
      <c r="K481" t="s">
        <v>7099</v>
      </c>
      <c r="L481" s="11" t="s">
        <v>7101</v>
      </c>
    </row>
    <row r="482" spans="1:12">
      <c r="A482" t="s">
        <v>7102</v>
      </c>
      <c r="B482" s="9">
        <v>4063</v>
      </c>
      <c r="C482" s="9">
        <v>7.1492019999999998</v>
      </c>
      <c r="D482">
        <v>3</v>
      </c>
      <c r="E482">
        <v>3</v>
      </c>
      <c r="F482">
        <v>3</v>
      </c>
      <c r="G482" s="10">
        <v>1</v>
      </c>
      <c r="H482" t="s">
        <v>46</v>
      </c>
      <c r="I482" t="s">
        <v>1957</v>
      </c>
      <c r="J482" t="s">
        <v>7103</v>
      </c>
      <c r="K482" t="s">
        <v>7104</v>
      </c>
      <c r="L482" s="11" t="s">
        <v>7103</v>
      </c>
    </row>
    <row r="483" spans="1:12">
      <c r="A483" t="s">
        <v>7105</v>
      </c>
      <c r="B483" s="9">
        <v>21756</v>
      </c>
      <c r="C483" s="9">
        <v>6.6838389999999999</v>
      </c>
      <c r="D483">
        <v>19</v>
      </c>
      <c r="E483">
        <v>19</v>
      </c>
      <c r="F483">
        <v>19</v>
      </c>
      <c r="G483" s="10">
        <v>1</v>
      </c>
      <c r="H483" t="s">
        <v>46</v>
      </c>
      <c r="I483" t="s">
        <v>1957</v>
      </c>
      <c r="J483" t="s">
        <v>7106</v>
      </c>
      <c r="K483" t="s">
        <v>7107</v>
      </c>
      <c r="L483" s="11" t="s">
        <v>7106</v>
      </c>
    </row>
    <row r="484" spans="1:12">
      <c r="A484" t="s">
        <v>7108</v>
      </c>
      <c r="B484" s="9">
        <v>2115</v>
      </c>
      <c r="C484" s="9">
        <v>2.841262</v>
      </c>
      <c r="D484">
        <v>1</v>
      </c>
      <c r="E484">
        <v>1</v>
      </c>
      <c r="F484">
        <v>1</v>
      </c>
      <c r="G484" s="10">
        <v>1</v>
      </c>
      <c r="H484" t="s">
        <v>46</v>
      </c>
      <c r="I484" t="s">
        <v>1957</v>
      </c>
      <c r="J484" t="s">
        <v>7109</v>
      </c>
      <c r="K484" t="s">
        <v>7110</v>
      </c>
      <c r="L484" s="11" t="s">
        <v>7109</v>
      </c>
    </row>
    <row r="485" spans="1:12">
      <c r="A485" t="s">
        <v>7111</v>
      </c>
      <c r="B485" s="9">
        <v>2226</v>
      </c>
      <c r="C485" s="9">
        <v>5.347766</v>
      </c>
      <c r="D485">
        <v>2</v>
      </c>
      <c r="E485">
        <v>2</v>
      </c>
      <c r="F485">
        <v>2</v>
      </c>
      <c r="G485" s="10">
        <v>1</v>
      </c>
      <c r="H485" t="s">
        <v>46</v>
      </c>
      <c r="I485" t="s">
        <v>1957</v>
      </c>
      <c r="J485" t="s">
        <v>7112</v>
      </c>
      <c r="K485" t="s">
        <v>7113</v>
      </c>
      <c r="L485" s="11" t="s">
        <v>7112</v>
      </c>
    </row>
    <row r="486" spans="1:12">
      <c r="A486" t="s">
        <v>7114</v>
      </c>
      <c r="B486" s="9">
        <v>4169</v>
      </c>
      <c r="C486" s="9">
        <v>5.4786099999999998</v>
      </c>
      <c r="D486">
        <v>3</v>
      </c>
      <c r="E486">
        <v>3</v>
      </c>
      <c r="F486">
        <v>3</v>
      </c>
      <c r="G486" s="10">
        <v>1</v>
      </c>
      <c r="H486" t="s">
        <v>46</v>
      </c>
      <c r="I486" t="s">
        <v>1957</v>
      </c>
      <c r="J486" t="s">
        <v>7115</v>
      </c>
      <c r="K486" t="s">
        <v>7116</v>
      </c>
      <c r="L486" s="11" t="s">
        <v>7117</v>
      </c>
    </row>
    <row r="487" spans="1:12">
      <c r="A487" t="s">
        <v>7118</v>
      </c>
      <c r="B487" s="9">
        <v>4566</v>
      </c>
      <c r="C487" s="9">
        <v>3.8246509999999998</v>
      </c>
      <c r="D487">
        <v>3</v>
      </c>
      <c r="E487">
        <v>2</v>
      </c>
      <c r="F487">
        <v>2</v>
      </c>
      <c r="G487" s="10">
        <v>0.66666666666666663</v>
      </c>
      <c r="H487" t="s">
        <v>46</v>
      </c>
      <c r="I487" t="s">
        <v>1957</v>
      </c>
      <c r="J487" t="s">
        <v>7119</v>
      </c>
      <c r="K487" t="s">
        <v>7120</v>
      </c>
      <c r="L487" s="11" t="s">
        <v>7119</v>
      </c>
    </row>
    <row r="488" spans="1:12">
      <c r="A488" t="s">
        <v>7121</v>
      </c>
      <c r="B488" s="9">
        <v>2438</v>
      </c>
      <c r="C488" s="9">
        <v>3.9366340000000002</v>
      </c>
      <c r="D488">
        <v>3</v>
      </c>
      <c r="E488">
        <v>3</v>
      </c>
      <c r="F488">
        <v>3</v>
      </c>
      <c r="G488" s="10">
        <v>1</v>
      </c>
      <c r="H488" t="s">
        <v>46</v>
      </c>
      <c r="I488" t="s">
        <v>1957</v>
      </c>
      <c r="J488" t="s">
        <v>7122</v>
      </c>
      <c r="K488" t="s">
        <v>7123</v>
      </c>
      <c r="L488" s="11" t="s">
        <v>7124</v>
      </c>
    </row>
    <row r="489" spans="1:12">
      <c r="A489" t="s">
        <v>7125</v>
      </c>
      <c r="B489" s="9">
        <v>2507</v>
      </c>
      <c r="C489" s="9">
        <v>4.8694940000000004</v>
      </c>
      <c r="D489">
        <v>2</v>
      </c>
      <c r="E489">
        <v>2</v>
      </c>
      <c r="F489">
        <v>2</v>
      </c>
      <c r="G489" s="10">
        <v>1</v>
      </c>
      <c r="H489" t="s">
        <v>46</v>
      </c>
      <c r="I489" t="s">
        <v>1957</v>
      </c>
      <c r="J489" t="s">
        <v>7126</v>
      </c>
      <c r="K489" t="s">
        <v>7127</v>
      </c>
      <c r="L489" s="11" t="s">
        <v>7128</v>
      </c>
    </row>
    <row r="490" spans="1:12">
      <c r="A490" t="s">
        <v>7129</v>
      </c>
      <c r="B490" s="9">
        <v>3448</v>
      </c>
      <c r="C490" s="9">
        <v>3.5010319999999999</v>
      </c>
      <c r="D490">
        <v>4</v>
      </c>
      <c r="E490">
        <v>4</v>
      </c>
      <c r="F490">
        <v>4</v>
      </c>
      <c r="G490" s="10">
        <v>1</v>
      </c>
      <c r="H490" t="s">
        <v>46</v>
      </c>
      <c r="I490" t="s">
        <v>1957</v>
      </c>
      <c r="J490" t="s">
        <v>7130</v>
      </c>
      <c r="K490" t="s">
        <v>7131</v>
      </c>
      <c r="L490" s="11" t="s">
        <v>7132</v>
      </c>
    </row>
    <row r="491" spans="1:12">
      <c r="A491" t="s">
        <v>7133</v>
      </c>
      <c r="B491" s="9">
        <v>3956</v>
      </c>
      <c r="C491" s="9">
        <v>4.7605740000000001</v>
      </c>
      <c r="D491">
        <v>4</v>
      </c>
      <c r="E491">
        <v>4</v>
      </c>
      <c r="F491">
        <v>4</v>
      </c>
      <c r="G491" s="10">
        <v>1</v>
      </c>
      <c r="H491" t="s">
        <v>46</v>
      </c>
      <c r="I491" t="s">
        <v>1957</v>
      </c>
      <c r="J491" t="s">
        <v>7134</v>
      </c>
      <c r="K491" t="s">
        <v>7135</v>
      </c>
      <c r="L491" s="11" t="s">
        <v>7136</v>
      </c>
    </row>
    <row r="492" spans="1:12">
      <c r="A492" t="s">
        <v>7137</v>
      </c>
      <c r="B492" s="9">
        <v>18061</v>
      </c>
      <c r="C492" s="9">
        <v>4.720593</v>
      </c>
      <c r="D492">
        <v>15</v>
      </c>
      <c r="E492">
        <v>15</v>
      </c>
      <c r="F492">
        <v>14</v>
      </c>
      <c r="G492" s="10">
        <v>0.93333333333333335</v>
      </c>
      <c r="H492" t="s">
        <v>46</v>
      </c>
      <c r="I492" t="s">
        <v>1957</v>
      </c>
      <c r="J492" t="s">
        <v>7138</v>
      </c>
      <c r="K492" t="s">
        <v>7139</v>
      </c>
      <c r="L492" s="11" t="s">
        <v>7140</v>
      </c>
    </row>
    <row r="493" spans="1:12">
      <c r="A493" t="s">
        <v>7141</v>
      </c>
      <c r="B493" s="9">
        <v>3383</v>
      </c>
      <c r="C493" s="9">
        <v>6.7803490000000002</v>
      </c>
      <c r="D493">
        <v>1</v>
      </c>
      <c r="E493">
        <v>1</v>
      </c>
      <c r="F493">
        <v>1</v>
      </c>
      <c r="G493" s="10">
        <v>1</v>
      </c>
      <c r="H493" t="s">
        <v>46</v>
      </c>
      <c r="I493" t="s">
        <v>1957</v>
      </c>
      <c r="J493" t="s">
        <v>7142</v>
      </c>
      <c r="K493" t="s">
        <v>7143</v>
      </c>
      <c r="L493" s="11" t="s">
        <v>7142</v>
      </c>
    </row>
    <row r="494" spans="1:12">
      <c r="A494" t="s">
        <v>7144</v>
      </c>
      <c r="B494" s="9">
        <v>2092</v>
      </c>
      <c r="C494" s="9">
        <v>6.394698</v>
      </c>
      <c r="D494">
        <v>1</v>
      </c>
      <c r="E494">
        <v>1</v>
      </c>
      <c r="F494">
        <v>1</v>
      </c>
      <c r="G494" s="10">
        <v>1</v>
      </c>
      <c r="H494" t="s">
        <v>46</v>
      </c>
      <c r="I494" t="s">
        <v>1957</v>
      </c>
      <c r="J494" t="s">
        <v>7142</v>
      </c>
      <c r="K494" t="s">
        <v>7143</v>
      </c>
      <c r="L494" s="11" t="s">
        <v>7142</v>
      </c>
    </row>
    <row r="495" spans="1:12">
      <c r="A495" t="s">
        <v>7145</v>
      </c>
      <c r="B495" s="9">
        <v>2358</v>
      </c>
      <c r="C495" s="9">
        <v>2.5423360000000002</v>
      </c>
      <c r="D495">
        <v>2</v>
      </c>
      <c r="E495">
        <v>2</v>
      </c>
      <c r="F495">
        <v>2</v>
      </c>
      <c r="G495" s="10">
        <v>1</v>
      </c>
      <c r="H495" t="s">
        <v>46</v>
      </c>
      <c r="I495" t="s">
        <v>1957</v>
      </c>
      <c r="J495" t="s">
        <v>7146</v>
      </c>
      <c r="K495" t="s">
        <v>7147</v>
      </c>
      <c r="L495" s="11" t="s">
        <v>7146</v>
      </c>
    </row>
    <row r="496" spans="1:12">
      <c r="A496" t="s">
        <v>7148</v>
      </c>
      <c r="B496" s="9">
        <v>2827</v>
      </c>
      <c r="C496" s="9">
        <v>2.9595959999999999</v>
      </c>
      <c r="D496">
        <v>3</v>
      </c>
      <c r="E496">
        <v>2</v>
      </c>
      <c r="F496">
        <v>2</v>
      </c>
      <c r="G496" s="10">
        <v>0.66666666666666663</v>
      </c>
      <c r="H496" t="s">
        <v>46</v>
      </c>
      <c r="I496" t="s">
        <v>1957</v>
      </c>
      <c r="J496" t="s">
        <v>7146</v>
      </c>
      <c r="K496" t="s">
        <v>7147</v>
      </c>
      <c r="L496" s="11" t="s">
        <v>7146</v>
      </c>
    </row>
    <row r="497" spans="1:12">
      <c r="A497" t="s">
        <v>7149</v>
      </c>
      <c r="B497" s="9">
        <v>2856</v>
      </c>
      <c r="C497" s="9">
        <v>9.2877539999999996</v>
      </c>
      <c r="D497">
        <v>3</v>
      </c>
      <c r="E497">
        <v>3</v>
      </c>
      <c r="F497">
        <v>3</v>
      </c>
      <c r="G497" s="10">
        <v>1</v>
      </c>
      <c r="H497" t="s">
        <v>46</v>
      </c>
      <c r="I497" t="s">
        <v>1957</v>
      </c>
      <c r="J497" t="s">
        <v>7150</v>
      </c>
      <c r="K497" t="s">
        <v>7151</v>
      </c>
      <c r="L497" s="11" t="s">
        <v>7152</v>
      </c>
    </row>
    <row r="498" spans="1:12">
      <c r="A498" t="s">
        <v>7153</v>
      </c>
      <c r="B498" s="9">
        <v>5974</v>
      </c>
      <c r="C498" s="9">
        <v>5.6371010000000004</v>
      </c>
      <c r="D498">
        <v>5</v>
      </c>
      <c r="E498">
        <v>2</v>
      </c>
      <c r="F498">
        <v>5</v>
      </c>
      <c r="G498" s="10">
        <v>1</v>
      </c>
      <c r="H498" t="s">
        <v>46</v>
      </c>
      <c r="I498" t="s">
        <v>1957</v>
      </c>
      <c r="J498" t="s">
        <v>7154</v>
      </c>
      <c r="K498" t="s">
        <v>7155</v>
      </c>
      <c r="L498" s="11" t="s">
        <v>7154</v>
      </c>
    </row>
    <row r="499" spans="1:12">
      <c r="A499" t="s">
        <v>7156</v>
      </c>
      <c r="B499" s="9">
        <v>3074</v>
      </c>
      <c r="C499" s="9">
        <v>6.2149720000000004</v>
      </c>
      <c r="D499">
        <v>1</v>
      </c>
      <c r="E499">
        <v>1</v>
      </c>
      <c r="F499">
        <v>1</v>
      </c>
      <c r="G499" s="10">
        <v>1</v>
      </c>
      <c r="H499" t="s">
        <v>46</v>
      </c>
      <c r="I499" t="s">
        <v>1957</v>
      </c>
      <c r="J499" t="s">
        <v>7157</v>
      </c>
      <c r="K499" t="s">
        <v>7158</v>
      </c>
      <c r="L499" s="11" t="s">
        <v>7157</v>
      </c>
    </row>
    <row r="500" spans="1:12">
      <c r="A500" t="s">
        <v>7159</v>
      </c>
      <c r="B500" s="9">
        <v>4017</v>
      </c>
      <c r="C500" s="9">
        <v>42.620393999999997</v>
      </c>
      <c r="D500">
        <v>1</v>
      </c>
      <c r="E500">
        <v>1</v>
      </c>
      <c r="F500">
        <v>1</v>
      </c>
      <c r="G500" s="10">
        <v>1</v>
      </c>
      <c r="H500" t="s">
        <v>46</v>
      </c>
      <c r="I500" t="s">
        <v>1957</v>
      </c>
      <c r="J500" t="s">
        <v>7160</v>
      </c>
      <c r="K500" t="s">
        <v>7161</v>
      </c>
      <c r="L500" s="11" t="s">
        <v>7160</v>
      </c>
    </row>
    <row r="501" spans="1:12">
      <c r="A501" t="s">
        <v>7162</v>
      </c>
      <c r="B501" s="9">
        <v>2641</v>
      </c>
      <c r="C501" s="9">
        <v>8.048724</v>
      </c>
      <c r="D501">
        <v>3</v>
      </c>
      <c r="E501">
        <v>2</v>
      </c>
      <c r="F501">
        <v>2</v>
      </c>
      <c r="G501" s="10">
        <v>0.66666666666666663</v>
      </c>
      <c r="H501" t="s">
        <v>46</v>
      </c>
      <c r="I501" t="s">
        <v>1957</v>
      </c>
      <c r="J501" t="s">
        <v>7163</v>
      </c>
      <c r="K501" t="s">
        <v>7164</v>
      </c>
      <c r="L501" s="11" t="s">
        <v>7165</v>
      </c>
    </row>
    <row r="502" spans="1:12">
      <c r="A502" t="s">
        <v>7166</v>
      </c>
      <c r="B502" s="9">
        <v>2364</v>
      </c>
      <c r="C502" s="9">
        <v>5.6466000000000003</v>
      </c>
      <c r="D502">
        <v>1</v>
      </c>
      <c r="E502">
        <v>1</v>
      </c>
      <c r="F502">
        <v>1</v>
      </c>
      <c r="G502" s="10">
        <v>1</v>
      </c>
      <c r="H502" t="s">
        <v>46</v>
      </c>
      <c r="I502" t="s">
        <v>1957</v>
      </c>
      <c r="J502" t="s">
        <v>7167</v>
      </c>
      <c r="K502" t="s">
        <v>7168</v>
      </c>
      <c r="L502" s="11" t="s">
        <v>7167</v>
      </c>
    </row>
    <row r="503" spans="1:12">
      <c r="A503" t="s">
        <v>7169</v>
      </c>
      <c r="B503" s="9">
        <v>2923</v>
      </c>
      <c r="C503" s="9">
        <v>4.1440029999999997</v>
      </c>
      <c r="D503">
        <v>1</v>
      </c>
      <c r="E503">
        <v>1</v>
      </c>
      <c r="F503">
        <v>1</v>
      </c>
      <c r="G503" s="10">
        <v>1</v>
      </c>
      <c r="H503" t="s">
        <v>46</v>
      </c>
      <c r="I503" t="s">
        <v>1957</v>
      </c>
      <c r="J503" t="s">
        <v>7170</v>
      </c>
      <c r="K503" t="s">
        <v>7171</v>
      </c>
      <c r="L503" s="11" t="s">
        <v>7170</v>
      </c>
    </row>
    <row r="504" spans="1:12">
      <c r="A504" t="s">
        <v>7172</v>
      </c>
      <c r="B504" s="9">
        <v>2079</v>
      </c>
      <c r="C504" s="9">
        <v>2.8344860000000001</v>
      </c>
      <c r="D504">
        <v>1</v>
      </c>
      <c r="E504">
        <v>1</v>
      </c>
      <c r="F504">
        <v>1</v>
      </c>
      <c r="G504" s="10">
        <v>1</v>
      </c>
      <c r="H504" t="s">
        <v>46</v>
      </c>
      <c r="I504" t="s">
        <v>1957</v>
      </c>
      <c r="J504" t="s">
        <v>7173</v>
      </c>
      <c r="K504" t="s">
        <v>7174</v>
      </c>
      <c r="L504" s="11" t="s">
        <v>7173</v>
      </c>
    </row>
    <row r="505" spans="1:12">
      <c r="A505" t="s">
        <v>7175</v>
      </c>
      <c r="B505" s="9">
        <v>2007</v>
      </c>
      <c r="C505" s="9">
        <v>22.942623000000001</v>
      </c>
      <c r="D505">
        <v>2</v>
      </c>
      <c r="E505">
        <v>2</v>
      </c>
      <c r="F505">
        <v>2</v>
      </c>
      <c r="G505" s="10">
        <v>1</v>
      </c>
      <c r="H505" t="s">
        <v>46</v>
      </c>
      <c r="I505" t="s">
        <v>1957</v>
      </c>
      <c r="J505" t="s">
        <v>7176</v>
      </c>
      <c r="K505" t="s">
        <v>7177</v>
      </c>
      <c r="L505" s="11" t="s">
        <v>7176</v>
      </c>
    </row>
    <row r="506" spans="1:12">
      <c r="A506" t="s">
        <v>7178</v>
      </c>
      <c r="B506" s="9">
        <v>3244</v>
      </c>
      <c r="C506" s="9">
        <v>5.7485109999999997</v>
      </c>
      <c r="D506">
        <v>2</v>
      </c>
      <c r="E506">
        <v>2</v>
      </c>
      <c r="F506">
        <v>2</v>
      </c>
      <c r="G506" s="10">
        <v>1</v>
      </c>
      <c r="H506" t="s">
        <v>46</v>
      </c>
      <c r="I506" t="s">
        <v>1957</v>
      </c>
      <c r="J506" t="s">
        <v>7179</v>
      </c>
      <c r="K506" t="s">
        <v>7180</v>
      </c>
      <c r="L506" s="11" t="s">
        <v>7181</v>
      </c>
    </row>
    <row r="507" spans="1:12">
      <c r="A507" t="s">
        <v>7182</v>
      </c>
      <c r="B507" s="9">
        <v>2301</v>
      </c>
      <c r="C507" s="9">
        <v>4.0756899999999998</v>
      </c>
      <c r="D507">
        <v>4</v>
      </c>
      <c r="E507">
        <v>1</v>
      </c>
      <c r="F507">
        <v>2</v>
      </c>
      <c r="G507" s="10">
        <v>0.5</v>
      </c>
      <c r="H507" t="s">
        <v>46</v>
      </c>
      <c r="I507" t="s">
        <v>1957</v>
      </c>
      <c r="J507" t="s">
        <v>7183</v>
      </c>
      <c r="K507" t="s">
        <v>7184</v>
      </c>
      <c r="L507" s="11" t="s">
        <v>7183</v>
      </c>
    </row>
    <row r="508" spans="1:12">
      <c r="A508" t="s">
        <v>7185</v>
      </c>
      <c r="B508" s="9">
        <v>3333</v>
      </c>
      <c r="C508" s="9">
        <v>6.5741310000000004</v>
      </c>
      <c r="D508">
        <v>2</v>
      </c>
      <c r="E508">
        <v>2</v>
      </c>
      <c r="F508">
        <v>2</v>
      </c>
      <c r="G508" s="10">
        <v>1</v>
      </c>
      <c r="H508" t="s">
        <v>46</v>
      </c>
      <c r="I508" t="s">
        <v>1957</v>
      </c>
      <c r="J508" t="s">
        <v>7186</v>
      </c>
      <c r="K508" t="s">
        <v>7187</v>
      </c>
      <c r="L508" s="11" t="s">
        <v>7186</v>
      </c>
    </row>
    <row r="509" spans="1:12">
      <c r="A509" t="s">
        <v>7188</v>
      </c>
      <c r="B509" s="9">
        <v>5235</v>
      </c>
      <c r="C509" s="9">
        <v>67.917180999999999</v>
      </c>
      <c r="D509">
        <v>2</v>
      </c>
      <c r="E509">
        <v>2</v>
      </c>
      <c r="F509">
        <v>2</v>
      </c>
      <c r="G509" s="10">
        <v>1</v>
      </c>
      <c r="H509" t="s">
        <v>46</v>
      </c>
      <c r="I509" t="s">
        <v>1957</v>
      </c>
      <c r="J509" t="s">
        <v>7189</v>
      </c>
      <c r="K509" t="s">
        <v>7190</v>
      </c>
      <c r="L509" s="11" t="s">
        <v>7189</v>
      </c>
    </row>
    <row r="510" spans="1:12">
      <c r="A510" t="s">
        <v>7191</v>
      </c>
      <c r="B510" s="9">
        <v>2910</v>
      </c>
      <c r="C510" s="9">
        <v>88.390192999999996</v>
      </c>
      <c r="D510">
        <v>1</v>
      </c>
      <c r="E510">
        <v>1</v>
      </c>
      <c r="F510">
        <v>1</v>
      </c>
      <c r="G510" s="10">
        <v>1</v>
      </c>
      <c r="H510" t="s">
        <v>46</v>
      </c>
      <c r="I510" t="s">
        <v>1957</v>
      </c>
      <c r="J510" t="s">
        <v>7192</v>
      </c>
      <c r="K510" t="s">
        <v>7193</v>
      </c>
      <c r="L510" s="11" t="s">
        <v>7192</v>
      </c>
    </row>
    <row r="511" spans="1:12">
      <c r="A511" t="s">
        <v>7194</v>
      </c>
      <c r="B511" s="9">
        <v>4341</v>
      </c>
      <c r="C511" s="9">
        <v>8.2379840000000009</v>
      </c>
      <c r="D511">
        <v>4</v>
      </c>
      <c r="E511">
        <v>4</v>
      </c>
      <c r="F511">
        <v>3</v>
      </c>
      <c r="G511" s="10">
        <v>0.75</v>
      </c>
      <c r="H511" t="s">
        <v>46</v>
      </c>
      <c r="I511" t="s">
        <v>1957</v>
      </c>
      <c r="J511" t="s">
        <v>7195</v>
      </c>
      <c r="K511" t="s">
        <v>7196</v>
      </c>
      <c r="L511" s="11" t="s">
        <v>7197</v>
      </c>
    </row>
    <row r="512" spans="1:12">
      <c r="A512" t="s">
        <v>7198</v>
      </c>
      <c r="B512" s="9">
        <v>2185</v>
      </c>
      <c r="C512" s="9">
        <v>2.7018779999999998</v>
      </c>
      <c r="D512">
        <v>2</v>
      </c>
      <c r="E512">
        <v>2</v>
      </c>
      <c r="F512">
        <v>2</v>
      </c>
      <c r="G512" s="10">
        <v>1</v>
      </c>
      <c r="H512" t="s">
        <v>46</v>
      </c>
      <c r="I512" t="s">
        <v>1957</v>
      </c>
      <c r="J512" t="s">
        <v>7199</v>
      </c>
      <c r="K512" t="s">
        <v>7200</v>
      </c>
      <c r="L512" s="11" t="s">
        <v>7199</v>
      </c>
    </row>
    <row r="513" spans="1:12">
      <c r="A513" t="s">
        <v>7201</v>
      </c>
      <c r="B513" s="9">
        <v>2158</v>
      </c>
      <c r="C513" s="9">
        <v>2.932477</v>
      </c>
      <c r="D513">
        <v>1</v>
      </c>
      <c r="E513">
        <v>1</v>
      </c>
      <c r="F513">
        <v>1</v>
      </c>
      <c r="G513" s="10">
        <v>1</v>
      </c>
      <c r="H513" t="s">
        <v>46</v>
      </c>
      <c r="I513" t="s">
        <v>1957</v>
      </c>
      <c r="J513" t="s">
        <v>7199</v>
      </c>
      <c r="K513" t="s">
        <v>7200</v>
      </c>
      <c r="L513" s="11" t="s">
        <v>7199</v>
      </c>
    </row>
    <row r="514" spans="1:12">
      <c r="A514" t="s">
        <v>7202</v>
      </c>
      <c r="B514" s="9">
        <v>5859</v>
      </c>
      <c r="C514" s="9">
        <v>6.8285669999999996</v>
      </c>
      <c r="D514">
        <v>5</v>
      </c>
      <c r="E514">
        <v>4</v>
      </c>
      <c r="F514">
        <v>4</v>
      </c>
      <c r="G514" s="10">
        <v>0.8</v>
      </c>
      <c r="H514" t="s">
        <v>46</v>
      </c>
      <c r="I514" t="s">
        <v>1957</v>
      </c>
      <c r="J514" t="s">
        <v>7203</v>
      </c>
      <c r="K514" t="s">
        <v>7200</v>
      </c>
      <c r="L514" s="11" t="s">
        <v>7204</v>
      </c>
    </row>
    <row r="515" spans="1:12">
      <c r="A515" t="s">
        <v>7205</v>
      </c>
      <c r="B515" s="9">
        <v>3503</v>
      </c>
      <c r="C515" s="9">
        <v>17.456786999999998</v>
      </c>
      <c r="D515">
        <v>1</v>
      </c>
      <c r="E515">
        <v>1</v>
      </c>
      <c r="F515">
        <v>1</v>
      </c>
      <c r="G515" s="10">
        <v>1</v>
      </c>
      <c r="H515" t="s">
        <v>46</v>
      </c>
      <c r="I515" t="s">
        <v>1957</v>
      </c>
      <c r="J515" t="s">
        <v>7206</v>
      </c>
      <c r="K515" t="s">
        <v>7207</v>
      </c>
      <c r="L515" s="11" t="s">
        <v>7206</v>
      </c>
    </row>
    <row r="516" spans="1:12">
      <c r="A516" t="s">
        <v>7208</v>
      </c>
      <c r="B516" s="9">
        <v>2056</v>
      </c>
      <c r="C516" s="9">
        <v>10.415292000000001</v>
      </c>
      <c r="D516">
        <v>2</v>
      </c>
      <c r="E516">
        <v>2</v>
      </c>
      <c r="F516">
        <v>2</v>
      </c>
      <c r="G516" s="10">
        <v>1</v>
      </c>
      <c r="H516" t="s">
        <v>46</v>
      </c>
      <c r="I516" t="s">
        <v>1957</v>
      </c>
      <c r="J516" t="s">
        <v>7209</v>
      </c>
      <c r="K516" t="s">
        <v>7210</v>
      </c>
      <c r="L516" s="11" t="s">
        <v>7209</v>
      </c>
    </row>
    <row r="517" spans="1:12">
      <c r="A517" t="s">
        <v>7211</v>
      </c>
      <c r="B517" s="9">
        <v>4353</v>
      </c>
      <c r="C517" s="9">
        <v>4.6286639999999997</v>
      </c>
      <c r="D517">
        <v>3</v>
      </c>
      <c r="E517">
        <v>3</v>
      </c>
      <c r="F517">
        <v>3</v>
      </c>
      <c r="G517" s="10">
        <v>1</v>
      </c>
      <c r="H517" t="s">
        <v>46</v>
      </c>
      <c r="I517" t="s">
        <v>1957</v>
      </c>
      <c r="J517" t="s">
        <v>7212</v>
      </c>
      <c r="K517" t="s">
        <v>7213</v>
      </c>
      <c r="L517" s="11" t="s">
        <v>7214</v>
      </c>
    </row>
    <row r="518" spans="1:12">
      <c r="A518" t="s">
        <v>7215</v>
      </c>
      <c r="B518" s="9">
        <v>2165</v>
      </c>
      <c r="C518" s="9">
        <v>2.527962</v>
      </c>
      <c r="D518">
        <v>2</v>
      </c>
      <c r="E518">
        <v>2</v>
      </c>
      <c r="F518">
        <v>2</v>
      </c>
      <c r="G518" s="10">
        <v>1</v>
      </c>
      <c r="H518" t="s">
        <v>46</v>
      </c>
      <c r="I518" t="s">
        <v>1957</v>
      </c>
      <c r="J518" t="s">
        <v>7216</v>
      </c>
      <c r="K518" t="s">
        <v>7217</v>
      </c>
      <c r="L518" s="11" t="s">
        <v>7216</v>
      </c>
    </row>
    <row r="519" spans="1:12">
      <c r="A519" t="s">
        <v>7218</v>
      </c>
      <c r="B519" s="9">
        <v>2955</v>
      </c>
      <c r="C519" s="9">
        <v>3.7289659999999998</v>
      </c>
      <c r="D519">
        <v>2</v>
      </c>
      <c r="E519">
        <v>2</v>
      </c>
      <c r="F519">
        <v>2</v>
      </c>
      <c r="G519" s="10">
        <v>1</v>
      </c>
      <c r="H519" t="s">
        <v>46</v>
      </c>
      <c r="I519" t="s">
        <v>1957</v>
      </c>
      <c r="J519" t="s">
        <v>7219</v>
      </c>
      <c r="K519" t="s">
        <v>7220</v>
      </c>
      <c r="L519" s="11" t="s">
        <v>7219</v>
      </c>
    </row>
    <row r="520" spans="1:12">
      <c r="A520" t="s">
        <v>7221</v>
      </c>
      <c r="B520" s="9">
        <v>2927</v>
      </c>
      <c r="C520" s="9">
        <v>264.01636500000001</v>
      </c>
      <c r="D520">
        <v>2</v>
      </c>
      <c r="E520">
        <v>2</v>
      </c>
      <c r="F520">
        <v>2</v>
      </c>
      <c r="G520" s="10">
        <v>1</v>
      </c>
      <c r="H520" t="s">
        <v>46</v>
      </c>
      <c r="I520" t="s">
        <v>1957</v>
      </c>
      <c r="J520" t="s">
        <v>7219</v>
      </c>
      <c r="K520" t="s">
        <v>7220</v>
      </c>
      <c r="L520" s="11" t="s">
        <v>7219</v>
      </c>
    </row>
    <row r="521" spans="1:12">
      <c r="A521" t="s">
        <v>7222</v>
      </c>
      <c r="B521" s="9">
        <v>2687</v>
      </c>
      <c r="C521" s="9">
        <v>7.6299390000000002</v>
      </c>
      <c r="D521">
        <v>2</v>
      </c>
      <c r="E521">
        <v>2</v>
      </c>
      <c r="F521">
        <v>2</v>
      </c>
      <c r="G521" s="10">
        <v>1</v>
      </c>
      <c r="H521" t="s">
        <v>46</v>
      </c>
      <c r="I521" t="s">
        <v>1957</v>
      </c>
      <c r="J521" t="s">
        <v>7223</v>
      </c>
      <c r="K521" t="s">
        <v>7224</v>
      </c>
      <c r="L521" s="11" t="s">
        <v>7223</v>
      </c>
    </row>
    <row r="522" spans="1:12">
      <c r="A522" t="s">
        <v>7225</v>
      </c>
      <c r="B522" s="9">
        <v>2032</v>
      </c>
      <c r="C522" s="9">
        <v>51.548305999999997</v>
      </c>
      <c r="D522">
        <v>3</v>
      </c>
      <c r="E522">
        <v>1</v>
      </c>
      <c r="F522">
        <v>2</v>
      </c>
      <c r="G522" s="10">
        <v>0.66666666666666663</v>
      </c>
      <c r="H522" t="s">
        <v>46</v>
      </c>
      <c r="I522" t="s">
        <v>1957</v>
      </c>
      <c r="J522" t="s">
        <v>7226</v>
      </c>
      <c r="K522" t="s">
        <v>7227</v>
      </c>
      <c r="L522" s="11" t="s">
        <v>7226</v>
      </c>
    </row>
    <row r="523" spans="1:12">
      <c r="A523" t="s">
        <v>7228</v>
      </c>
      <c r="B523" s="9">
        <v>3016</v>
      </c>
      <c r="C523" s="9">
        <v>16.233028999999998</v>
      </c>
      <c r="D523">
        <v>4</v>
      </c>
      <c r="E523">
        <v>4</v>
      </c>
      <c r="F523">
        <v>3</v>
      </c>
      <c r="G523" s="10">
        <v>0.75</v>
      </c>
      <c r="H523" t="s">
        <v>46</v>
      </c>
      <c r="I523" t="s">
        <v>1957</v>
      </c>
      <c r="J523" t="s">
        <v>7229</v>
      </c>
      <c r="K523" t="s">
        <v>7230</v>
      </c>
      <c r="L523" s="11" t="s">
        <v>7231</v>
      </c>
    </row>
    <row r="524" spans="1:12">
      <c r="A524" t="s">
        <v>7232</v>
      </c>
      <c r="B524" s="9">
        <v>2396</v>
      </c>
      <c r="C524" s="9">
        <v>5.0474160000000001</v>
      </c>
      <c r="D524">
        <v>1</v>
      </c>
      <c r="E524">
        <v>1</v>
      </c>
      <c r="F524">
        <v>1</v>
      </c>
      <c r="G524" s="10">
        <v>1</v>
      </c>
      <c r="H524" t="s">
        <v>46</v>
      </c>
      <c r="I524" t="s">
        <v>1957</v>
      </c>
      <c r="J524" t="s">
        <v>7233</v>
      </c>
      <c r="K524" t="s">
        <v>7234</v>
      </c>
      <c r="L524" s="11" t="s">
        <v>7233</v>
      </c>
    </row>
    <row r="525" spans="1:12">
      <c r="A525" t="s">
        <v>7235</v>
      </c>
      <c r="B525" s="9">
        <v>2133</v>
      </c>
      <c r="C525" s="9">
        <v>4.9802689999999998</v>
      </c>
      <c r="D525">
        <v>1</v>
      </c>
      <c r="E525">
        <v>1</v>
      </c>
      <c r="F525">
        <v>1</v>
      </c>
      <c r="G525" s="10">
        <v>1</v>
      </c>
      <c r="H525" t="s">
        <v>46</v>
      </c>
      <c r="I525" t="s">
        <v>1957</v>
      </c>
      <c r="J525" t="s">
        <v>7233</v>
      </c>
      <c r="K525" t="s">
        <v>7234</v>
      </c>
      <c r="L525" s="11" t="s">
        <v>7233</v>
      </c>
    </row>
    <row r="526" spans="1:12">
      <c r="A526" t="s">
        <v>7236</v>
      </c>
      <c r="B526" s="9">
        <v>4343</v>
      </c>
      <c r="C526" s="9">
        <v>5.73834</v>
      </c>
      <c r="D526">
        <v>3</v>
      </c>
      <c r="E526">
        <v>3</v>
      </c>
      <c r="F526">
        <v>2</v>
      </c>
      <c r="G526" s="10">
        <v>0.66666666666666663</v>
      </c>
      <c r="H526" t="s">
        <v>46</v>
      </c>
      <c r="I526" t="s">
        <v>1957</v>
      </c>
      <c r="J526" t="s">
        <v>7237</v>
      </c>
      <c r="K526" t="s">
        <v>7238</v>
      </c>
      <c r="L526" s="11" t="s">
        <v>7239</v>
      </c>
    </row>
    <row r="527" spans="1:12">
      <c r="A527" t="s">
        <v>7240</v>
      </c>
      <c r="B527" s="9">
        <v>3588</v>
      </c>
      <c r="C527" s="9">
        <v>5.8471549999999999</v>
      </c>
      <c r="D527">
        <v>1</v>
      </c>
      <c r="E527">
        <v>1</v>
      </c>
      <c r="F527">
        <v>1</v>
      </c>
      <c r="G527" s="10">
        <v>1</v>
      </c>
      <c r="H527" t="s">
        <v>46</v>
      </c>
      <c r="I527" t="s">
        <v>1957</v>
      </c>
      <c r="J527" t="s">
        <v>7181</v>
      </c>
      <c r="K527" t="s">
        <v>7241</v>
      </c>
      <c r="L527" s="11" t="s">
        <v>7181</v>
      </c>
    </row>
    <row r="528" spans="1:12">
      <c r="A528" t="s">
        <v>7242</v>
      </c>
      <c r="B528" s="9">
        <v>2101</v>
      </c>
      <c r="C528" s="9">
        <v>2.4320629999999999</v>
      </c>
      <c r="D528">
        <v>1</v>
      </c>
      <c r="E528">
        <v>1</v>
      </c>
      <c r="F528">
        <v>1</v>
      </c>
      <c r="G528" s="10">
        <v>1</v>
      </c>
      <c r="H528" t="s">
        <v>46</v>
      </c>
      <c r="I528" t="s">
        <v>1957</v>
      </c>
      <c r="J528" t="s">
        <v>7181</v>
      </c>
      <c r="K528" t="s">
        <v>7241</v>
      </c>
      <c r="L528" s="11" t="s">
        <v>7181</v>
      </c>
    </row>
    <row r="529" spans="1:12">
      <c r="A529" t="s">
        <v>7243</v>
      </c>
      <c r="B529" s="9">
        <v>3752</v>
      </c>
      <c r="C529" s="9">
        <v>6.2986209999999998</v>
      </c>
      <c r="D529">
        <v>4</v>
      </c>
      <c r="E529">
        <v>4</v>
      </c>
      <c r="F529">
        <v>3</v>
      </c>
      <c r="G529" s="10">
        <v>0.75</v>
      </c>
      <c r="H529" t="s">
        <v>46</v>
      </c>
      <c r="I529" t="s">
        <v>1957</v>
      </c>
      <c r="J529" t="s">
        <v>7244</v>
      </c>
      <c r="K529" t="s">
        <v>7245</v>
      </c>
      <c r="L529" s="11" t="s">
        <v>7244</v>
      </c>
    </row>
    <row r="530" spans="1:12">
      <c r="A530" t="s">
        <v>7246</v>
      </c>
      <c r="B530" s="9">
        <v>2577</v>
      </c>
      <c r="C530" s="9">
        <v>6.2819190000000003</v>
      </c>
      <c r="D530">
        <v>2</v>
      </c>
      <c r="E530">
        <v>2</v>
      </c>
      <c r="F530">
        <v>1</v>
      </c>
      <c r="G530" s="10">
        <v>0.5</v>
      </c>
      <c r="H530" t="s">
        <v>46</v>
      </c>
      <c r="I530" t="s">
        <v>1957</v>
      </c>
      <c r="J530" t="s">
        <v>7247</v>
      </c>
      <c r="K530" t="s">
        <v>7248</v>
      </c>
      <c r="L530" s="11" t="s">
        <v>7249</v>
      </c>
    </row>
    <row r="531" spans="1:12">
      <c r="A531" t="s">
        <v>7250</v>
      </c>
      <c r="B531" s="9">
        <v>3706</v>
      </c>
      <c r="C531" s="9">
        <v>7.2569160000000004</v>
      </c>
      <c r="D531">
        <v>2</v>
      </c>
      <c r="E531">
        <v>1</v>
      </c>
      <c r="F531">
        <v>2</v>
      </c>
      <c r="G531" s="10">
        <v>1</v>
      </c>
      <c r="H531" t="s">
        <v>46</v>
      </c>
      <c r="I531" t="s">
        <v>1957</v>
      </c>
      <c r="J531" t="s">
        <v>7251</v>
      </c>
      <c r="K531" t="s">
        <v>7252</v>
      </c>
      <c r="L531" s="11" t="s">
        <v>7251</v>
      </c>
    </row>
    <row r="532" spans="1:12">
      <c r="A532" t="s">
        <v>7253</v>
      </c>
      <c r="B532" s="9">
        <v>2712</v>
      </c>
      <c r="C532" s="9">
        <v>7.3865259999999999</v>
      </c>
      <c r="D532">
        <v>2</v>
      </c>
      <c r="E532">
        <v>2</v>
      </c>
      <c r="F532">
        <v>2</v>
      </c>
      <c r="G532" s="10">
        <v>1</v>
      </c>
      <c r="H532" t="s">
        <v>46</v>
      </c>
      <c r="I532" t="s">
        <v>1957</v>
      </c>
      <c r="J532" t="s">
        <v>7254</v>
      </c>
      <c r="K532" t="s">
        <v>7252</v>
      </c>
      <c r="L532" s="11" t="s">
        <v>7255</v>
      </c>
    </row>
    <row r="533" spans="1:12">
      <c r="A533" t="s">
        <v>7256</v>
      </c>
      <c r="B533" s="9">
        <v>8580</v>
      </c>
      <c r="C533" s="9">
        <v>50.966920999999999</v>
      </c>
      <c r="D533">
        <v>6</v>
      </c>
      <c r="E533">
        <v>6</v>
      </c>
      <c r="F533">
        <v>6</v>
      </c>
      <c r="G533" s="10">
        <v>1</v>
      </c>
      <c r="H533" t="s">
        <v>46</v>
      </c>
      <c r="I533" t="s">
        <v>1957</v>
      </c>
      <c r="J533" t="s">
        <v>7257</v>
      </c>
      <c r="K533" t="s">
        <v>7258</v>
      </c>
      <c r="L533" s="11" t="s">
        <v>7257</v>
      </c>
    </row>
    <row r="534" spans="1:12">
      <c r="A534" t="s">
        <v>7259</v>
      </c>
      <c r="B534" s="9">
        <v>5013</v>
      </c>
      <c r="C534" s="9">
        <v>24.733764000000001</v>
      </c>
      <c r="D534">
        <v>4</v>
      </c>
      <c r="E534">
        <v>4</v>
      </c>
      <c r="F534">
        <v>4</v>
      </c>
      <c r="G534" s="10">
        <v>1</v>
      </c>
      <c r="H534" t="s">
        <v>46</v>
      </c>
      <c r="I534" t="s">
        <v>1957</v>
      </c>
      <c r="J534" t="s">
        <v>7260</v>
      </c>
      <c r="K534" t="s">
        <v>7258</v>
      </c>
      <c r="L534" s="11" t="s">
        <v>7260</v>
      </c>
    </row>
    <row r="535" spans="1:12">
      <c r="A535" t="s">
        <v>7261</v>
      </c>
      <c r="B535" s="9">
        <v>4081</v>
      </c>
      <c r="C535" s="9">
        <v>9.0685540000000007</v>
      </c>
      <c r="D535">
        <v>4</v>
      </c>
      <c r="E535">
        <v>4</v>
      </c>
      <c r="F535">
        <v>4</v>
      </c>
      <c r="G535" s="10">
        <v>1</v>
      </c>
      <c r="H535" t="s">
        <v>46</v>
      </c>
      <c r="I535" t="s">
        <v>1957</v>
      </c>
      <c r="J535" t="s">
        <v>7257</v>
      </c>
      <c r="K535" t="s">
        <v>7258</v>
      </c>
      <c r="L535" s="11" t="s">
        <v>7257</v>
      </c>
    </row>
    <row r="536" spans="1:12">
      <c r="A536" t="s">
        <v>7262</v>
      </c>
      <c r="B536" s="9">
        <v>3306</v>
      </c>
      <c r="C536" s="9">
        <v>8.7286990000000007</v>
      </c>
      <c r="D536">
        <v>3</v>
      </c>
      <c r="E536">
        <v>3</v>
      </c>
      <c r="F536">
        <v>3</v>
      </c>
      <c r="G536" s="10">
        <v>1</v>
      </c>
      <c r="H536" t="s">
        <v>46</v>
      </c>
      <c r="I536" t="s">
        <v>1957</v>
      </c>
      <c r="J536" t="s">
        <v>7263</v>
      </c>
      <c r="K536" t="s">
        <v>7258</v>
      </c>
      <c r="L536" s="11" t="s">
        <v>7263</v>
      </c>
    </row>
    <row r="537" spans="1:12">
      <c r="A537" t="s">
        <v>7264</v>
      </c>
      <c r="B537" s="9">
        <v>2799</v>
      </c>
      <c r="C537" s="9">
        <v>6.6865889999999997</v>
      </c>
      <c r="D537">
        <v>3</v>
      </c>
      <c r="E537">
        <v>1</v>
      </c>
      <c r="F537">
        <v>3</v>
      </c>
      <c r="G537" s="10">
        <v>1</v>
      </c>
      <c r="H537" t="s">
        <v>46</v>
      </c>
      <c r="I537" t="s">
        <v>1957</v>
      </c>
      <c r="J537" t="s">
        <v>7265</v>
      </c>
      <c r="K537" t="s">
        <v>7258</v>
      </c>
      <c r="L537" s="11" t="s">
        <v>7265</v>
      </c>
    </row>
    <row r="538" spans="1:12">
      <c r="A538" t="s">
        <v>7266</v>
      </c>
      <c r="B538" s="9">
        <v>2181</v>
      </c>
      <c r="C538" s="9">
        <v>33.964722000000002</v>
      </c>
      <c r="D538">
        <v>4</v>
      </c>
      <c r="E538">
        <v>4</v>
      </c>
      <c r="F538">
        <v>4</v>
      </c>
      <c r="G538" s="10">
        <v>1</v>
      </c>
      <c r="H538" t="s">
        <v>46</v>
      </c>
      <c r="I538" t="s">
        <v>1957</v>
      </c>
      <c r="J538" t="s">
        <v>7267</v>
      </c>
      <c r="K538" t="s">
        <v>7258</v>
      </c>
      <c r="L538" s="11" t="s">
        <v>7267</v>
      </c>
    </row>
    <row r="539" spans="1:12">
      <c r="A539" t="s">
        <v>7268</v>
      </c>
      <c r="B539" s="9">
        <v>7514</v>
      </c>
      <c r="C539" s="9">
        <v>8.1536399999999993</v>
      </c>
      <c r="D539">
        <v>6</v>
      </c>
      <c r="E539">
        <v>6</v>
      </c>
      <c r="F539">
        <v>5</v>
      </c>
      <c r="G539" s="10">
        <v>0.83333333333333337</v>
      </c>
      <c r="H539" t="s">
        <v>46</v>
      </c>
      <c r="I539" t="s">
        <v>1957</v>
      </c>
      <c r="J539" t="s">
        <v>7269</v>
      </c>
      <c r="K539" t="s">
        <v>7258</v>
      </c>
      <c r="L539" s="11" t="s">
        <v>7269</v>
      </c>
    </row>
    <row r="540" spans="1:12">
      <c r="A540" t="s">
        <v>7270</v>
      </c>
      <c r="B540" s="9">
        <v>5216</v>
      </c>
      <c r="C540" s="9">
        <v>47.007168999999998</v>
      </c>
      <c r="D540">
        <v>2</v>
      </c>
      <c r="E540">
        <v>2</v>
      </c>
      <c r="F540">
        <v>2</v>
      </c>
      <c r="G540" s="10">
        <v>1</v>
      </c>
      <c r="H540" t="s">
        <v>46</v>
      </c>
      <c r="I540" t="s">
        <v>1957</v>
      </c>
      <c r="J540" t="s">
        <v>7271</v>
      </c>
      <c r="K540" t="s">
        <v>7272</v>
      </c>
      <c r="L540" s="11" t="s">
        <v>7251</v>
      </c>
    </row>
    <row r="541" spans="1:12">
      <c r="A541" t="s">
        <v>7273</v>
      </c>
      <c r="B541" s="9">
        <v>2035</v>
      </c>
      <c r="C541" s="9">
        <v>12.999495</v>
      </c>
      <c r="D541">
        <v>2</v>
      </c>
      <c r="E541">
        <v>1</v>
      </c>
      <c r="F541">
        <v>2</v>
      </c>
      <c r="G541" s="10">
        <v>1</v>
      </c>
      <c r="H541" t="s">
        <v>46</v>
      </c>
      <c r="I541" t="s">
        <v>1957</v>
      </c>
      <c r="J541" t="s">
        <v>7274</v>
      </c>
      <c r="K541" t="s">
        <v>7275</v>
      </c>
      <c r="L541" s="11" t="s">
        <v>7274</v>
      </c>
    </row>
    <row r="542" spans="1:12">
      <c r="A542" t="s">
        <v>7276</v>
      </c>
      <c r="B542" s="9">
        <v>2205</v>
      </c>
      <c r="C542" s="9">
        <v>4.455349</v>
      </c>
      <c r="D542">
        <v>2</v>
      </c>
      <c r="E542">
        <v>2</v>
      </c>
      <c r="F542">
        <v>2</v>
      </c>
      <c r="G542" s="10">
        <v>1</v>
      </c>
      <c r="H542" t="s">
        <v>46</v>
      </c>
      <c r="I542" t="s">
        <v>1957</v>
      </c>
      <c r="J542" t="s">
        <v>7277</v>
      </c>
      <c r="K542" t="s">
        <v>7278</v>
      </c>
      <c r="L542" s="11" t="s">
        <v>7277</v>
      </c>
    </row>
    <row r="543" spans="1:12">
      <c r="A543" t="s">
        <v>7279</v>
      </c>
      <c r="B543" s="9">
        <v>2186</v>
      </c>
      <c r="C543" s="9">
        <v>2.5715629999999998</v>
      </c>
      <c r="D543">
        <v>2</v>
      </c>
      <c r="E543">
        <v>2</v>
      </c>
      <c r="F543">
        <v>2</v>
      </c>
      <c r="G543" s="10">
        <v>1</v>
      </c>
      <c r="H543" t="s">
        <v>46</v>
      </c>
      <c r="I543" t="s">
        <v>1957</v>
      </c>
      <c r="J543" t="s">
        <v>7280</v>
      </c>
      <c r="K543" t="s">
        <v>7281</v>
      </c>
      <c r="L543" s="11" t="s">
        <v>7280</v>
      </c>
    </row>
    <row r="544" spans="1:12">
      <c r="A544" t="s">
        <v>7282</v>
      </c>
      <c r="B544" s="9">
        <v>2682</v>
      </c>
      <c r="C544" s="9">
        <v>5.1161019999999997</v>
      </c>
      <c r="D544">
        <v>3</v>
      </c>
      <c r="E544">
        <v>3</v>
      </c>
      <c r="F544">
        <v>3</v>
      </c>
      <c r="G544" s="10">
        <v>1</v>
      </c>
      <c r="H544" t="s">
        <v>46</v>
      </c>
      <c r="I544" t="s">
        <v>1957</v>
      </c>
      <c r="J544" t="s">
        <v>7283</v>
      </c>
      <c r="K544" t="s">
        <v>7284</v>
      </c>
      <c r="L544" s="11" t="s">
        <v>7285</v>
      </c>
    </row>
    <row r="545" spans="1:12">
      <c r="A545" t="s">
        <v>7286</v>
      </c>
      <c r="B545" s="9">
        <v>4270</v>
      </c>
      <c r="C545" s="9">
        <v>3.8246739999999999</v>
      </c>
      <c r="D545">
        <v>1</v>
      </c>
      <c r="E545">
        <v>1</v>
      </c>
      <c r="F545">
        <v>1</v>
      </c>
      <c r="G545" s="10">
        <v>1</v>
      </c>
      <c r="H545" t="s">
        <v>46</v>
      </c>
      <c r="I545" t="s">
        <v>1957</v>
      </c>
      <c r="J545" t="s">
        <v>7287</v>
      </c>
      <c r="K545" t="s">
        <v>7288</v>
      </c>
      <c r="L545" s="11" t="s">
        <v>7287</v>
      </c>
    </row>
    <row r="546" spans="1:12">
      <c r="A546" t="s">
        <v>7289</v>
      </c>
      <c r="B546" s="9">
        <v>3261</v>
      </c>
      <c r="C546" s="9">
        <v>5.1568930000000002</v>
      </c>
      <c r="D546">
        <v>1</v>
      </c>
      <c r="E546">
        <v>1</v>
      </c>
      <c r="F546">
        <v>1</v>
      </c>
      <c r="G546" s="10">
        <v>1</v>
      </c>
      <c r="H546" t="s">
        <v>46</v>
      </c>
      <c r="I546" t="s">
        <v>1957</v>
      </c>
      <c r="J546" t="s">
        <v>7287</v>
      </c>
      <c r="K546" t="s">
        <v>7288</v>
      </c>
      <c r="L546" s="11" t="s">
        <v>7287</v>
      </c>
    </row>
    <row r="547" spans="1:12">
      <c r="A547" t="s">
        <v>7290</v>
      </c>
      <c r="B547" s="9">
        <v>3505</v>
      </c>
      <c r="C547" s="9">
        <v>3.183478</v>
      </c>
      <c r="D547">
        <v>4</v>
      </c>
      <c r="E547">
        <v>4</v>
      </c>
      <c r="F547">
        <v>4</v>
      </c>
      <c r="G547" s="10">
        <v>1</v>
      </c>
      <c r="H547" t="s">
        <v>46</v>
      </c>
      <c r="I547" t="s">
        <v>1957</v>
      </c>
      <c r="J547" t="s">
        <v>7291</v>
      </c>
      <c r="K547" t="s">
        <v>7292</v>
      </c>
      <c r="L547" s="11" t="s">
        <v>7293</v>
      </c>
    </row>
    <row r="548" spans="1:12">
      <c r="A548" t="s">
        <v>7294</v>
      </c>
      <c r="B548" s="9">
        <v>2980</v>
      </c>
      <c r="C548" s="9">
        <v>3.7049569999999998</v>
      </c>
      <c r="D548">
        <v>1</v>
      </c>
      <c r="E548">
        <v>1</v>
      </c>
      <c r="F548">
        <v>1</v>
      </c>
      <c r="G548" s="10">
        <v>1</v>
      </c>
      <c r="H548" t="s">
        <v>46</v>
      </c>
      <c r="I548" t="s">
        <v>1957</v>
      </c>
      <c r="J548" t="s">
        <v>7295</v>
      </c>
      <c r="K548" t="s">
        <v>7296</v>
      </c>
      <c r="L548" s="11" t="s">
        <v>7295</v>
      </c>
    </row>
    <row r="549" spans="1:12">
      <c r="A549" t="s">
        <v>7297</v>
      </c>
      <c r="B549" s="9">
        <v>4052</v>
      </c>
      <c r="C549" s="9">
        <v>2.9814859999999999</v>
      </c>
      <c r="D549">
        <v>3</v>
      </c>
      <c r="E549">
        <v>2</v>
      </c>
      <c r="F549">
        <v>1</v>
      </c>
      <c r="G549" s="10">
        <v>0.33333333333333331</v>
      </c>
      <c r="H549" t="s">
        <v>46</v>
      </c>
      <c r="I549" t="s">
        <v>1957</v>
      </c>
      <c r="J549" t="s">
        <v>7295</v>
      </c>
      <c r="K549" t="s">
        <v>7296</v>
      </c>
      <c r="L549" s="11" t="s">
        <v>7295</v>
      </c>
    </row>
    <row r="550" spans="1:12">
      <c r="A550" t="s">
        <v>7298</v>
      </c>
      <c r="B550" s="9">
        <v>5279</v>
      </c>
      <c r="C550" s="9">
        <v>22.366194</v>
      </c>
      <c r="D550">
        <v>3</v>
      </c>
      <c r="E550">
        <v>3</v>
      </c>
      <c r="F550">
        <v>3</v>
      </c>
      <c r="G550" s="10">
        <v>1</v>
      </c>
      <c r="H550" t="s">
        <v>46</v>
      </c>
      <c r="I550" t="s">
        <v>1957</v>
      </c>
      <c r="J550" t="s">
        <v>7299</v>
      </c>
      <c r="K550" t="s">
        <v>7300</v>
      </c>
      <c r="L550" s="11" t="s">
        <v>7301</v>
      </c>
    </row>
    <row r="551" spans="1:12">
      <c r="A551" t="s">
        <v>7302</v>
      </c>
      <c r="B551" s="9">
        <v>3001</v>
      </c>
      <c r="C551" s="9">
        <v>4.5278340000000004</v>
      </c>
      <c r="D551">
        <v>2</v>
      </c>
      <c r="E551">
        <v>2</v>
      </c>
      <c r="F551">
        <v>2</v>
      </c>
      <c r="G551" s="10">
        <v>1</v>
      </c>
      <c r="H551" t="s">
        <v>46</v>
      </c>
      <c r="I551" t="s">
        <v>1957</v>
      </c>
      <c r="J551" t="s">
        <v>7303</v>
      </c>
      <c r="K551" t="s">
        <v>7304</v>
      </c>
      <c r="L551" s="11" t="s">
        <v>7305</v>
      </c>
    </row>
    <row r="552" spans="1:12">
      <c r="A552" t="s">
        <v>7306</v>
      </c>
      <c r="B552" s="9">
        <v>2146</v>
      </c>
      <c r="C552" s="9">
        <v>2.2592059999999998</v>
      </c>
      <c r="D552">
        <v>2</v>
      </c>
      <c r="E552">
        <v>2</v>
      </c>
      <c r="F552">
        <v>2</v>
      </c>
      <c r="G552" s="10">
        <v>1</v>
      </c>
      <c r="H552" t="s">
        <v>46</v>
      </c>
      <c r="I552" t="s">
        <v>1957</v>
      </c>
      <c r="J552" t="s">
        <v>7307</v>
      </c>
      <c r="K552" t="s">
        <v>7308</v>
      </c>
      <c r="L552" s="11" t="s">
        <v>7309</v>
      </c>
    </row>
    <row r="553" spans="1:12">
      <c r="A553" t="s">
        <v>7310</v>
      </c>
      <c r="B553" s="9">
        <v>5257</v>
      </c>
      <c r="C553" s="9">
        <v>7.2439450000000001</v>
      </c>
      <c r="D553">
        <v>3</v>
      </c>
      <c r="E553">
        <v>3</v>
      </c>
      <c r="F553">
        <v>3</v>
      </c>
      <c r="G553" s="10">
        <v>1</v>
      </c>
      <c r="H553" t="s">
        <v>46</v>
      </c>
      <c r="I553" t="s">
        <v>1957</v>
      </c>
      <c r="J553" t="s">
        <v>7311</v>
      </c>
      <c r="K553" t="s">
        <v>7312</v>
      </c>
      <c r="L553" s="11" t="s">
        <v>7311</v>
      </c>
    </row>
    <row r="554" spans="1:12">
      <c r="A554" t="s">
        <v>7313</v>
      </c>
      <c r="B554" s="9">
        <v>4519</v>
      </c>
      <c r="C554" s="9">
        <v>5.5461470000000004</v>
      </c>
      <c r="D554">
        <v>2</v>
      </c>
      <c r="E554">
        <v>2</v>
      </c>
      <c r="F554">
        <v>2</v>
      </c>
      <c r="G554" s="10">
        <v>1</v>
      </c>
      <c r="H554" t="s">
        <v>46</v>
      </c>
      <c r="I554" t="s">
        <v>1957</v>
      </c>
      <c r="J554" t="s">
        <v>7314</v>
      </c>
      <c r="K554" t="s">
        <v>7315</v>
      </c>
      <c r="L554" s="11" t="s">
        <v>7314</v>
      </c>
    </row>
    <row r="555" spans="1:12">
      <c r="A555" t="s">
        <v>7316</v>
      </c>
      <c r="B555" s="9">
        <v>4216</v>
      </c>
      <c r="C555" s="9">
        <v>3.5719780000000001</v>
      </c>
      <c r="D555">
        <v>2</v>
      </c>
      <c r="E555">
        <v>2</v>
      </c>
      <c r="F555">
        <v>1</v>
      </c>
      <c r="G555" s="10">
        <v>0.5</v>
      </c>
      <c r="H555" t="s">
        <v>46</v>
      </c>
      <c r="I555" t="s">
        <v>1957</v>
      </c>
      <c r="J555" t="s">
        <v>7317</v>
      </c>
      <c r="K555" t="s">
        <v>7318</v>
      </c>
      <c r="L555" s="11" t="s">
        <v>7317</v>
      </c>
    </row>
    <row r="556" spans="1:12">
      <c r="A556" t="s">
        <v>7319</v>
      </c>
      <c r="B556" s="9">
        <v>3656</v>
      </c>
      <c r="C556" s="9">
        <v>3.4143289999999999</v>
      </c>
      <c r="D556">
        <v>2</v>
      </c>
      <c r="E556">
        <v>1</v>
      </c>
      <c r="F556">
        <v>1</v>
      </c>
      <c r="G556" s="10">
        <v>0.5</v>
      </c>
      <c r="H556" t="s">
        <v>46</v>
      </c>
      <c r="I556" t="s">
        <v>1957</v>
      </c>
      <c r="J556" t="s">
        <v>7317</v>
      </c>
      <c r="K556" t="s">
        <v>7318</v>
      </c>
      <c r="L556" s="11" t="s">
        <v>7317</v>
      </c>
    </row>
    <row r="557" spans="1:12">
      <c r="A557" t="s">
        <v>7320</v>
      </c>
      <c r="B557" s="9">
        <v>6947</v>
      </c>
      <c r="C557" s="9">
        <v>10.871734999999999</v>
      </c>
      <c r="D557">
        <v>6</v>
      </c>
      <c r="E557">
        <v>3</v>
      </c>
      <c r="F557">
        <v>5</v>
      </c>
      <c r="G557" s="10">
        <v>0.83333333333333337</v>
      </c>
      <c r="H557" t="s">
        <v>46</v>
      </c>
      <c r="I557" t="s">
        <v>1957</v>
      </c>
      <c r="J557" t="s">
        <v>7321</v>
      </c>
      <c r="K557" t="s">
        <v>7322</v>
      </c>
      <c r="L557" s="11" t="s">
        <v>7323</v>
      </c>
    </row>
    <row r="558" spans="1:12">
      <c r="A558" t="s">
        <v>7324</v>
      </c>
      <c r="B558" s="9">
        <v>2463</v>
      </c>
      <c r="C558" s="9">
        <v>139.291944</v>
      </c>
      <c r="D558">
        <v>1</v>
      </c>
      <c r="E558">
        <v>1</v>
      </c>
      <c r="F558">
        <v>1</v>
      </c>
      <c r="G558" s="10">
        <v>1</v>
      </c>
      <c r="H558" t="s">
        <v>46</v>
      </c>
      <c r="I558" t="s">
        <v>1957</v>
      </c>
      <c r="J558" t="s">
        <v>7325</v>
      </c>
      <c r="K558" t="s">
        <v>7326</v>
      </c>
      <c r="L558" s="11" t="s">
        <v>7325</v>
      </c>
    </row>
    <row r="559" spans="1:12">
      <c r="A559" t="s">
        <v>7327</v>
      </c>
      <c r="B559" s="9">
        <v>2426</v>
      </c>
      <c r="C559" s="9">
        <v>4.2939689999999997</v>
      </c>
      <c r="D559">
        <v>3</v>
      </c>
      <c r="E559">
        <v>1</v>
      </c>
      <c r="F559">
        <v>1</v>
      </c>
      <c r="G559" s="10">
        <v>0.33333333333333331</v>
      </c>
      <c r="H559" t="s">
        <v>46</v>
      </c>
      <c r="I559" t="s">
        <v>1957</v>
      </c>
      <c r="J559" t="s">
        <v>7325</v>
      </c>
      <c r="K559" t="s">
        <v>7326</v>
      </c>
      <c r="L559" s="11" t="s">
        <v>7325</v>
      </c>
    </row>
    <row r="560" spans="1:12">
      <c r="A560" t="s">
        <v>7328</v>
      </c>
      <c r="B560" s="9">
        <v>3211</v>
      </c>
      <c r="C560" s="9">
        <v>3.4949300000000001</v>
      </c>
      <c r="D560">
        <v>5</v>
      </c>
      <c r="E560">
        <v>4</v>
      </c>
      <c r="F560">
        <v>5</v>
      </c>
      <c r="G560" s="10">
        <v>1</v>
      </c>
      <c r="H560" t="s">
        <v>46</v>
      </c>
      <c r="I560" t="s">
        <v>1957</v>
      </c>
      <c r="J560" t="s">
        <v>7329</v>
      </c>
      <c r="K560" t="s">
        <v>7330</v>
      </c>
      <c r="L560" s="11" t="s">
        <v>7331</v>
      </c>
    </row>
    <row r="561" spans="1:12">
      <c r="A561" t="s">
        <v>7332</v>
      </c>
      <c r="B561" s="9">
        <v>2747</v>
      </c>
      <c r="C561" s="9">
        <v>21.088038999999998</v>
      </c>
      <c r="D561">
        <v>4</v>
      </c>
      <c r="E561">
        <v>1</v>
      </c>
      <c r="F561">
        <v>1</v>
      </c>
      <c r="G561" s="10">
        <v>0.25</v>
      </c>
      <c r="H561" t="s">
        <v>46</v>
      </c>
      <c r="I561" t="s">
        <v>1957</v>
      </c>
      <c r="J561" t="s">
        <v>7333</v>
      </c>
      <c r="K561" t="s">
        <v>7330</v>
      </c>
      <c r="L561" s="11" t="s">
        <v>7333</v>
      </c>
    </row>
    <row r="562" spans="1:12">
      <c r="A562" t="s">
        <v>7334</v>
      </c>
      <c r="B562" s="9">
        <v>2131</v>
      </c>
      <c r="C562" s="9">
        <v>3.6156069999999998</v>
      </c>
      <c r="D562">
        <v>2</v>
      </c>
      <c r="E562">
        <v>2</v>
      </c>
      <c r="F562">
        <v>2</v>
      </c>
      <c r="G562" s="10">
        <v>1</v>
      </c>
      <c r="H562" t="s">
        <v>46</v>
      </c>
      <c r="I562" t="s">
        <v>1957</v>
      </c>
      <c r="J562" t="s">
        <v>7335</v>
      </c>
      <c r="K562" t="s">
        <v>7336</v>
      </c>
      <c r="L562" s="11" t="s">
        <v>7337</v>
      </c>
    </row>
    <row r="563" spans="1:12">
      <c r="A563" t="s">
        <v>7338</v>
      </c>
      <c r="B563" s="9">
        <v>6849</v>
      </c>
      <c r="C563" s="9">
        <v>4.6042100000000001</v>
      </c>
      <c r="D563">
        <v>6</v>
      </c>
      <c r="E563">
        <v>4</v>
      </c>
      <c r="F563">
        <v>4</v>
      </c>
      <c r="G563" s="10">
        <v>0.66666666666666663</v>
      </c>
      <c r="H563" t="s">
        <v>46</v>
      </c>
      <c r="I563" t="s">
        <v>1957</v>
      </c>
      <c r="J563" t="s">
        <v>7339</v>
      </c>
      <c r="K563" t="s">
        <v>7340</v>
      </c>
      <c r="L563" s="11" t="s">
        <v>7341</v>
      </c>
    </row>
    <row r="564" spans="1:12">
      <c r="A564" t="s">
        <v>7342</v>
      </c>
      <c r="B564" s="9">
        <v>3926</v>
      </c>
      <c r="C564" s="9">
        <v>4.1495740000000003</v>
      </c>
      <c r="D564">
        <v>2</v>
      </c>
      <c r="E564">
        <v>2</v>
      </c>
      <c r="F564">
        <v>2</v>
      </c>
      <c r="G564" s="10">
        <v>1</v>
      </c>
      <c r="H564" t="s">
        <v>46</v>
      </c>
      <c r="I564" t="s">
        <v>1957</v>
      </c>
      <c r="J564" t="s">
        <v>7343</v>
      </c>
      <c r="K564" t="s">
        <v>7344</v>
      </c>
      <c r="L564" s="11" t="s">
        <v>7343</v>
      </c>
    </row>
    <row r="565" spans="1:12">
      <c r="A565" t="s">
        <v>7345</v>
      </c>
      <c r="B565" s="9">
        <v>2232</v>
      </c>
      <c r="C565" s="9">
        <v>29.663757</v>
      </c>
      <c r="D565">
        <v>2</v>
      </c>
      <c r="E565">
        <v>2</v>
      </c>
      <c r="F565">
        <v>2</v>
      </c>
      <c r="G565" s="10">
        <v>1</v>
      </c>
      <c r="H565" t="s">
        <v>46</v>
      </c>
      <c r="I565" t="s">
        <v>1957</v>
      </c>
      <c r="J565" t="s">
        <v>7346</v>
      </c>
      <c r="K565" t="s">
        <v>7347</v>
      </c>
      <c r="L565" s="11" t="s">
        <v>7346</v>
      </c>
    </row>
    <row r="566" spans="1:12">
      <c r="A566" t="s">
        <v>7348</v>
      </c>
      <c r="B566" s="9">
        <v>2481</v>
      </c>
      <c r="C566" s="9">
        <v>4.4130260000000003</v>
      </c>
      <c r="D566">
        <v>2</v>
      </c>
      <c r="E566">
        <v>2</v>
      </c>
      <c r="F566">
        <v>2</v>
      </c>
      <c r="G566" s="10">
        <v>1</v>
      </c>
      <c r="H566" t="s">
        <v>46</v>
      </c>
      <c r="I566" t="s">
        <v>1957</v>
      </c>
      <c r="J566" t="s">
        <v>7349</v>
      </c>
      <c r="K566" t="s">
        <v>7350</v>
      </c>
      <c r="L566" s="11" t="s">
        <v>7349</v>
      </c>
    </row>
    <row r="567" spans="1:12">
      <c r="A567" t="s">
        <v>7351</v>
      </c>
      <c r="B567" s="9">
        <v>2814</v>
      </c>
      <c r="C567" s="9">
        <v>7.513592</v>
      </c>
      <c r="D567">
        <v>2</v>
      </c>
      <c r="E567">
        <v>2</v>
      </c>
      <c r="F567">
        <v>2</v>
      </c>
      <c r="G567" s="10">
        <v>1</v>
      </c>
      <c r="H567" t="s">
        <v>46</v>
      </c>
      <c r="I567" t="s">
        <v>1957</v>
      </c>
      <c r="J567" t="s">
        <v>7352</v>
      </c>
      <c r="K567" t="s">
        <v>7353</v>
      </c>
      <c r="L567" s="11" t="s">
        <v>7354</v>
      </c>
    </row>
    <row r="568" spans="1:12">
      <c r="A568" t="s">
        <v>7355</v>
      </c>
      <c r="B568" s="9">
        <v>2573</v>
      </c>
      <c r="C568" s="9">
        <v>4.2557590000000003</v>
      </c>
      <c r="D568">
        <v>4</v>
      </c>
      <c r="E568">
        <v>4</v>
      </c>
      <c r="F568">
        <v>4</v>
      </c>
      <c r="G568" s="10">
        <v>1</v>
      </c>
      <c r="H568" t="s">
        <v>46</v>
      </c>
      <c r="I568" t="s">
        <v>1957</v>
      </c>
      <c r="J568" t="s">
        <v>7356</v>
      </c>
      <c r="K568" t="s">
        <v>7357</v>
      </c>
      <c r="L568" s="11" t="s">
        <v>7358</v>
      </c>
    </row>
    <row r="569" spans="1:12">
      <c r="A569" t="s">
        <v>7359</v>
      </c>
      <c r="B569" s="9">
        <v>4133</v>
      </c>
      <c r="C569" s="9">
        <v>7.223884</v>
      </c>
      <c r="D569">
        <v>4</v>
      </c>
      <c r="E569">
        <v>4</v>
      </c>
      <c r="F569">
        <v>4</v>
      </c>
      <c r="G569" s="10">
        <v>1</v>
      </c>
      <c r="H569" t="s">
        <v>46</v>
      </c>
      <c r="I569" t="s">
        <v>1957</v>
      </c>
      <c r="J569" t="s">
        <v>7360</v>
      </c>
      <c r="K569" t="s">
        <v>7361</v>
      </c>
      <c r="L569" s="11" t="s">
        <v>7362</v>
      </c>
    </row>
    <row r="570" spans="1:12">
      <c r="A570" t="s">
        <v>7363</v>
      </c>
      <c r="B570" s="9">
        <v>3863</v>
      </c>
      <c r="C570" s="9">
        <v>4.0052519999999996</v>
      </c>
      <c r="D570">
        <v>2</v>
      </c>
      <c r="E570">
        <v>2</v>
      </c>
      <c r="F570">
        <v>2</v>
      </c>
      <c r="G570" s="10">
        <v>1</v>
      </c>
      <c r="H570" t="s">
        <v>46</v>
      </c>
      <c r="I570" t="s">
        <v>1957</v>
      </c>
      <c r="J570" t="s">
        <v>7364</v>
      </c>
      <c r="K570" t="s">
        <v>7365</v>
      </c>
      <c r="L570" s="11" t="s">
        <v>7366</v>
      </c>
    </row>
    <row r="571" spans="1:12">
      <c r="A571" t="s">
        <v>7367</v>
      </c>
      <c r="B571" s="9">
        <v>2984</v>
      </c>
      <c r="C571" s="9">
        <v>5.2471829999999997</v>
      </c>
      <c r="D571">
        <v>2</v>
      </c>
      <c r="E571">
        <v>2</v>
      </c>
      <c r="F571">
        <v>2</v>
      </c>
      <c r="G571" s="10">
        <v>1</v>
      </c>
      <c r="H571" t="s">
        <v>46</v>
      </c>
      <c r="I571" t="s">
        <v>1957</v>
      </c>
      <c r="J571" t="s">
        <v>7368</v>
      </c>
      <c r="K571" t="s">
        <v>7369</v>
      </c>
      <c r="L571" s="11" t="s">
        <v>7370</v>
      </c>
    </row>
    <row r="572" spans="1:12">
      <c r="A572" t="s">
        <v>7371</v>
      </c>
      <c r="B572" s="9">
        <v>2394</v>
      </c>
      <c r="C572" s="9">
        <v>2.8554940000000002</v>
      </c>
      <c r="D572">
        <v>4</v>
      </c>
      <c r="E572">
        <v>4</v>
      </c>
      <c r="F572">
        <v>4</v>
      </c>
      <c r="G572" s="10">
        <v>1</v>
      </c>
      <c r="H572" t="s">
        <v>46</v>
      </c>
      <c r="I572" t="s">
        <v>1957</v>
      </c>
      <c r="J572" t="s">
        <v>7372</v>
      </c>
      <c r="K572" t="s">
        <v>7373</v>
      </c>
      <c r="L572" s="11" t="s">
        <v>7374</v>
      </c>
    </row>
    <row r="573" spans="1:12">
      <c r="A573" t="s">
        <v>7375</v>
      </c>
      <c r="B573" s="9">
        <v>6791</v>
      </c>
      <c r="C573" s="9">
        <v>4.7606890000000002</v>
      </c>
      <c r="D573">
        <v>3</v>
      </c>
      <c r="E573">
        <v>3</v>
      </c>
      <c r="F573">
        <v>2</v>
      </c>
      <c r="G573" s="10">
        <v>0.66666666666666663</v>
      </c>
      <c r="H573" t="s">
        <v>46</v>
      </c>
      <c r="I573" t="s">
        <v>1957</v>
      </c>
      <c r="J573" t="s">
        <v>7376</v>
      </c>
      <c r="K573" t="s">
        <v>7377</v>
      </c>
      <c r="L573" s="11" t="s">
        <v>7378</v>
      </c>
    </row>
    <row r="574" spans="1:12">
      <c r="A574" t="s">
        <v>7379</v>
      </c>
      <c r="B574" s="9">
        <v>2617</v>
      </c>
      <c r="C574" s="9">
        <v>10.218970000000001</v>
      </c>
      <c r="D574">
        <v>3</v>
      </c>
      <c r="E574">
        <v>2</v>
      </c>
      <c r="F574">
        <v>2</v>
      </c>
      <c r="G574" s="10">
        <v>0.66666666666666663</v>
      </c>
      <c r="H574" t="s">
        <v>46</v>
      </c>
      <c r="I574" t="s">
        <v>1957</v>
      </c>
      <c r="J574" t="s">
        <v>7380</v>
      </c>
      <c r="K574" t="s">
        <v>7381</v>
      </c>
      <c r="L574" s="11" t="s">
        <v>7380</v>
      </c>
    </row>
    <row r="575" spans="1:12">
      <c r="A575" t="s">
        <v>7382</v>
      </c>
      <c r="B575" s="9">
        <v>2303</v>
      </c>
      <c r="C575" s="9">
        <v>3.2068509999999999</v>
      </c>
      <c r="D575">
        <v>2</v>
      </c>
      <c r="E575">
        <v>2</v>
      </c>
      <c r="F575">
        <v>2</v>
      </c>
      <c r="G575" s="10">
        <v>1</v>
      </c>
      <c r="H575" t="s">
        <v>46</v>
      </c>
      <c r="I575" t="s">
        <v>1957</v>
      </c>
      <c r="J575" t="s">
        <v>7383</v>
      </c>
      <c r="K575" t="s">
        <v>7384</v>
      </c>
      <c r="L575" s="11" t="s">
        <v>7383</v>
      </c>
    </row>
    <row r="576" spans="1:12">
      <c r="A576" t="s">
        <v>7385</v>
      </c>
      <c r="B576" s="9">
        <v>2366</v>
      </c>
      <c r="C576" s="9">
        <v>6.1112070000000003</v>
      </c>
      <c r="D576">
        <v>2</v>
      </c>
      <c r="E576">
        <v>2</v>
      </c>
      <c r="F576">
        <v>2</v>
      </c>
      <c r="G576" s="10">
        <v>1</v>
      </c>
      <c r="H576" t="s">
        <v>46</v>
      </c>
      <c r="I576" t="s">
        <v>1957</v>
      </c>
      <c r="J576" t="s">
        <v>7386</v>
      </c>
      <c r="K576" t="s">
        <v>7387</v>
      </c>
      <c r="L576" s="11" t="s">
        <v>7386</v>
      </c>
    </row>
    <row r="577" spans="1:12">
      <c r="A577" t="s">
        <v>7388</v>
      </c>
      <c r="B577" s="9">
        <v>2404</v>
      </c>
      <c r="C577" s="9">
        <v>1.783312</v>
      </c>
      <c r="D577">
        <v>5</v>
      </c>
      <c r="E577">
        <v>5</v>
      </c>
      <c r="F577">
        <v>5</v>
      </c>
      <c r="G577" s="10">
        <v>1</v>
      </c>
      <c r="H577" t="s">
        <v>46</v>
      </c>
      <c r="I577" t="s">
        <v>1957</v>
      </c>
      <c r="J577" t="s">
        <v>7389</v>
      </c>
      <c r="K577" t="s">
        <v>7390</v>
      </c>
      <c r="L577" s="11" t="s">
        <v>7389</v>
      </c>
    </row>
    <row r="578" spans="1:12">
      <c r="A578" t="s">
        <v>7391</v>
      </c>
      <c r="B578" s="9">
        <v>2112</v>
      </c>
      <c r="C578" s="9">
        <v>7.2464750000000002</v>
      </c>
      <c r="D578">
        <v>2</v>
      </c>
      <c r="E578">
        <v>2</v>
      </c>
      <c r="F578">
        <v>2</v>
      </c>
      <c r="G578" s="10">
        <v>1</v>
      </c>
      <c r="H578" t="s">
        <v>46</v>
      </c>
      <c r="I578" t="s">
        <v>1957</v>
      </c>
      <c r="J578" t="s">
        <v>7392</v>
      </c>
      <c r="K578" t="s">
        <v>7390</v>
      </c>
      <c r="L578" s="11" t="s">
        <v>7392</v>
      </c>
    </row>
    <row r="579" spans="1:12">
      <c r="A579" t="s">
        <v>7393</v>
      </c>
      <c r="B579" s="9">
        <v>2402</v>
      </c>
      <c r="C579" s="9">
        <v>3.330635</v>
      </c>
      <c r="D579">
        <v>1</v>
      </c>
      <c r="E579">
        <v>1</v>
      </c>
      <c r="F579">
        <v>1</v>
      </c>
      <c r="G579" s="10">
        <v>1</v>
      </c>
      <c r="H579" t="s">
        <v>46</v>
      </c>
      <c r="I579" t="s">
        <v>1957</v>
      </c>
      <c r="J579" t="s">
        <v>7394</v>
      </c>
      <c r="K579" t="s">
        <v>7395</v>
      </c>
      <c r="L579" s="11" t="s">
        <v>7394</v>
      </c>
    </row>
    <row r="580" spans="1:12">
      <c r="A580" t="s">
        <v>7396</v>
      </c>
      <c r="B580" s="9">
        <v>2236</v>
      </c>
      <c r="C580" s="9">
        <v>6.0398899999999998</v>
      </c>
      <c r="D580">
        <v>2</v>
      </c>
      <c r="E580">
        <v>2</v>
      </c>
      <c r="F580">
        <v>1</v>
      </c>
      <c r="G580" s="10">
        <v>0.5</v>
      </c>
      <c r="H580" t="s">
        <v>46</v>
      </c>
      <c r="I580" t="s">
        <v>1957</v>
      </c>
      <c r="J580" t="s">
        <v>7397</v>
      </c>
      <c r="K580" t="s">
        <v>7398</v>
      </c>
      <c r="L580" s="11" t="s">
        <v>7397</v>
      </c>
    </row>
    <row r="581" spans="1:12">
      <c r="A581" t="s">
        <v>7399</v>
      </c>
      <c r="B581" s="9">
        <v>8077</v>
      </c>
      <c r="C581" s="9">
        <v>45.465969000000001</v>
      </c>
      <c r="D581">
        <v>6</v>
      </c>
      <c r="E581">
        <v>5</v>
      </c>
      <c r="F581">
        <v>5</v>
      </c>
      <c r="G581" s="10">
        <v>0.83333333333333337</v>
      </c>
      <c r="H581" t="s">
        <v>46</v>
      </c>
      <c r="I581" t="s">
        <v>1957</v>
      </c>
      <c r="J581" t="s">
        <v>7400</v>
      </c>
      <c r="K581" t="s">
        <v>7401</v>
      </c>
      <c r="L581" s="11" t="s">
        <v>7400</v>
      </c>
    </row>
    <row r="582" spans="1:12">
      <c r="A582" t="s">
        <v>7402</v>
      </c>
      <c r="B582" s="9">
        <v>2688</v>
      </c>
      <c r="C582" s="9">
        <v>5.2191419999999997</v>
      </c>
      <c r="D582">
        <v>3</v>
      </c>
      <c r="E582">
        <v>1</v>
      </c>
      <c r="F582">
        <v>1</v>
      </c>
      <c r="G582" s="10">
        <v>0.33333333333333331</v>
      </c>
      <c r="H582" t="s">
        <v>46</v>
      </c>
      <c r="I582" t="s">
        <v>1957</v>
      </c>
      <c r="J582" t="s">
        <v>7403</v>
      </c>
      <c r="K582" t="s">
        <v>7404</v>
      </c>
      <c r="L582" s="11" t="s">
        <v>7403</v>
      </c>
    </row>
    <row r="583" spans="1:12">
      <c r="A583" t="s">
        <v>7405</v>
      </c>
      <c r="B583" s="9">
        <v>4401</v>
      </c>
      <c r="C583" s="9">
        <v>29.219742</v>
      </c>
      <c r="D583">
        <v>2</v>
      </c>
      <c r="E583">
        <v>2</v>
      </c>
      <c r="F583">
        <v>1</v>
      </c>
      <c r="G583" s="10">
        <v>0.5</v>
      </c>
      <c r="H583" t="s">
        <v>46</v>
      </c>
      <c r="I583" t="s">
        <v>1957</v>
      </c>
      <c r="J583" t="s">
        <v>7406</v>
      </c>
      <c r="K583" t="s">
        <v>7407</v>
      </c>
      <c r="L583" s="11" t="s">
        <v>7406</v>
      </c>
    </row>
    <row r="584" spans="1:12">
      <c r="A584" t="s">
        <v>7408</v>
      </c>
      <c r="B584" s="9">
        <v>2707</v>
      </c>
      <c r="C584" s="9">
        <v>3.9490949999999998</v>
      </c>
      <c r="D584">
        <v>1</v>
      </c>
      <c r="E584">
        <v>1</v>
      </c>
      <c r="F584">
        <v>1</v>
      </c>
      <c r="G584" s="10">
        <v>1</v>
      </c>
      <c r="H584" t="s">
        <v>46</v>
      </c>
      <c r="I584" t="s">
        <v>1957</v>
      </c>
      <c r="J584" t="s">
        <v>7409</v>
      </c>
      <c r="K584" t="s">
        <v>7410</v>
      </c>
      <c r="L584" s="11" t="s">
        <v>7409</v>
      </c>
    </row>
    <row r="585" spans="1:12">
      <c r="A585" t="s">
        <v>7411</v>
      </c>
      <c r="B585" s="9">
        <v>2569</v>
      </c>
      <c r="C585" s="9">
        <v>23.758154000000001</v>
      </c>
      <c r="D585">
        <v>2</v>
      </c>
      <c r="E585">
        <v>2</v>
      </c>
      <c r="F585">
        <v>2</v>
      </c>
      <c r="G585" s="10">
        <v>1</v>
      </c>
      <c r="H585" t="s">
        <v>46</v>
      </c>
      <c r="I585" t="s">
        <v>1957</v>
      </c>
      <c r="J585" t="s">
        <v>7409</v>
      </c>
      <c r="K585" t="s">
        <v>7410</v>
      </c>
      <c r="L585" s="11" t="s">
        <v>7409</v>
      </c>
    </row>
    <row r="586" spans="1:12">
      <c r="A586" t="s">
        <v>7412</v>
      </c>
      <c r="B586" s="9">
        <v>2339</v>
      </c>
      <c r="C586" s="9">
        <v>2.9233799999999999</v>
      </c>
      <c r="D586">
        <v>2</v>
      </c>
      <c r="E586">
        <v>2</v>
      </c>
      <c r="F586">
        <v>2</v>
      </c>
      <c r="G586" s="10">
        <v>1</v>
      </c>
      <c r="H586" t="s">
        <v>46</v>
      </c>
      <c r="I586" t="s">
        <v>1957</v>
      </c>
      <c r="J586" t="s">
        <v>7413</v>
      </c>
      <c r="K586" t="s">
        <v>7410</v>
      </c>
      <c r="L586" s="11" t="s">
        <v>7414</v>
      </c>
    </row>
    <row r="587" spans="1:12">
      <c r="A587" t="s">
        <v>7415</v>
      </c>
      <c r="B587" s="9">
        <v>3601</v>
      </c>
      <c r="C587" s="9">
        <v>8.6717429999999993</v>
      </c>
      <c r="D587">
        <v>2</v>
      </c>
      <c r="E587">
        <v>2</v>
      </c>
      <c r="F587">
        <v>2</v>
      </c>
      <c r="G587" s="10">
        <v>1</v>
      </c>
      <c r="H587" t="s">
        <v>46</v>
      </c>
      <c r="I587" t="s">
        <v>1957</v>
      </c>
      <c r="J587" t="s">
        <v>7416</v>
      </c>
      <c r="K587" t="s">
        <v>7417</v>
      </c>
      <c r="L587" s="11" t="s">
        <v>7418</v>
      </c>
    </row>
    <row r="588" spans="1:12">
      <c r="A588" t="s">
        <v>7419</v>
      </c>
      <c r="B588" s="9">
        <v>2584</v>
      </c>
      <c r="C588" s="9">
        <v>21.173586</v>
      </c>
      <c r="D588">
        <v>2</v>
      </c>
      <c r="E588">
        <v>2</v>
      </c>
      <c r="F588">
        <v>2</v>
      </c>
      <c r="G588" s="10">
        <v>1</v>
      </c>
      <c r="H588" t="s">
        <v>46</v>
      </c>
      <c r="I588" t="s">
        <v>1957</v>
      </c>
      <c r="J588" t="s">
        <v>7420</v>
      </c>
      <c r="K588" t="s">
        <v>7421</v>
      </c>
      <c r="L588" s="11" t="s">
        <v>7420</v>
      </c>
    </row>
    <row r="589" spans="1:12">
      <c r="A589" t="s">
        <v>7422</v>
      </c>
      <c r="B589" s="9">
        <v>7268</v>
      </c>
      <c r="C589" s="9">
        <v>8.9693609999999993</v>
      </c>
      <c r="D589">
        <v>4</v>
      </c>
      <c r="E589">
        <v>4</v>
      </c>
      <c r="F589">
        <v>2</v>
      </c>
      <c r="G589" s="10">
        <v>0.5</v>
      </c>
      <c r="H589" t="s">
        <v>46</v>
      </c>
      <c r="I589" t="s">
        <v>1957</v>
      </c>
      <c r="J589" t="s">
        <v>7423</v>
      </c>
      <c r="K589" t="s">
        <v>7424</v>
      </c>
      <c r="L589" s="11" t="s">
        <v>7425</v>
      </c>
    </row>
    <row r="590" spans="1:12">
      <c r="A590" t="s">
        <v>7426</v>
      </c>
      <c r="B590" s="9">
        <v>2292</v>
      </c>
      <c r="C590" s="9">
        <v>5.6651769999999999</v>
      </c>
      <c r="D590">
        <v>2</v>
      </c>
      <c r="E590">
        <v>2</v>
      </c>
      <c r="F590">
        <v>2</v>
      </c>
      <c r="G590" s="10">
        <v>1</v>
      </c>
      <c r="H590" t="s">
        <v>46</v>
      </c>
      <c r="I590" t="s">
        <v>1957</v>
      </c>
      <c r="J590" t="s">
        <v>7427</v>
      </c>
      <c r="K590" t="s">
        <v>7428</v>
      </c>
      <c r="L590" s="11" t="s">
        <v>7427</v>
      </c>
    </row>
    <row r="591" spans="1:12">
      <c r="A591" t="s">
        <v>7429</v>
      </c>
      <c r="B591" s="9">
        <v>4288</v>
      </c>
      <c r="C591" s="9">
        <v>7.5690999999999997</v>
      </c>
      <c r="D591">
        <v>2</v>
      </c>
      <c r="E591">
        <v>2</v>
      </c>
      <c r="F591">
        <v>2</v>
      </c>
      <c r="G591" s="10">
        <v>1</v>
      </c>
      <c r="H591" t="s">
        <v>46</v>
      </c>
      <c r="I591" t="s">
        <v>1957</v>
      </c>
      <c r="J591" t="s">
        <v>7430</v>
      </c>
      <c r="K591" t="s">
        <v>7431</v>
      </c>
      <c r="L591" s="11" t="s">
        <v>7430</v>
      </c>
    </row>
    <row r="592" spans="1:12">
      <c r="A592" t="s">
        <v>7432</v>
      </c>
      <c r="B592" s="9">
        <v>4381</v>
      </c>
      <c r="C592" s="9">
        <v>42.417707</v>
      </c>
      <c r="D592">
        <v>3</v>
      </c>
      <c r="E592">
        <v>2</v>
      </c>
      <c r="F592">
        <v>1</v>
      </c>
      <c r="G592" s="10">
        <v>0.33333333333333331</v>
      </c>
      <c r="H592" t="s">
        <v>46</v>
      </c>
      <c r="I592" t="s">
        <v>1957</v>
      </c>
      <c r="J592" t="s">
        <v>7430</v>
      </c>
      <c r="K592" t="s">
        <v>7431</v>
      </c>
      <c r="L592" s="11" t="s">
        <v>7430</v>
      </c>
    </row>
    <row r="593" spans="1:12">
      <c r="A593" t="s">
        <v>7433</v>
      </c>
      <c r="B593" s="9">
        <v>2500</v>
      </c>
      <c r="C593" s="9">
        <v>3.598773</v>
      </c>
      <c r="D593">
        <v>2</v>
      </c>
      <c r="E593">
        <v>2</v>
      </c>
      <c r="F593">
        <v>2</v>
      </c>
      <c r="G593" s="10">
        <v>1</v>
      </c>
      <c r="H593" t="s">
        <v>46</v>
      </c>
      <c r="I593" t="s">
        <v>1957</v>
      </c>
      <c r="J593" t="s">
        <v>7434</v>
      </c>
      <c r="K593" t="s">
        <v>7435</v>
      </c>
      <c r="L593" s="11" t="s">
        <v>7434</v>
      </c>
    </row>
    <row r="594" spans="1:12">
      <c r="A594" t="s">
        <v>7436</v>
      </c>
      <c r="B594" s="9">
        <v>2430</v>
      </c>
      <c r="C594" s="9">
        <v>9.0134740000000004</v>
      </c>
      <c r="D594">
        <v>2</v>
      </c>
      <c r="E594">
        <v>2</v>
      </c>
      <c r="F594">
        <v>2</v>
      </c>
      <c r="G594" s="10">
        <v>1</v>
      </c>
      <c r="H594" t="s">
        <v>46</v>
      </c>
      <c r="I594" t="s">
        <v>1957</v>
      </c>
      <c r="J594" t="s">
        <v>7437</v>
      </c>
      <c r="K594" t="s">
        <v>7435</v>
      </c>
      <c r="L594" s="11" t="s">
        <v>7437</v>
      </c>
    </row>
    <row r="595" spans="1:12">
      <c r="A595" t="s">
        <v>7438</v>
      </c>
      <c r="B595" s="9">
        <v>2293</v>
      </c>
      <c r="C595" s="9">
        <v>5.6621980000000001</v>
      </c>
      <c r="D595">
        <v>2</v>
      </c>
      <c r="E595">
        <v>2</v>
      </c>
      <c r="F595">
        <v>2</v>
      </c>
      <c r="G595" s="10">
        <v>1</v>
      </c>
      <c r="H595" t="s">
        <v>46</v>
      </c>
      <c r="I595" t="s">
        <v>1957</v>
      </c>
      <c r="J595" t="s">
        <v>7434</v>
      </c>
      <c r="K595" t="s">
        <v>7435</v>
      </c>
      <c r="L595" s="11" t="s">
        <v>7434</v>
      </c>
    </row>
    <row r="596" spans="1:12">
      <c r="A596" t="s">
        <v>7439</v>
      </c>
      <c r="B596" s="9">
        <v>2192</v>
      </c>
      <c r="C596" s="9">
        <v>7.8086099999999998</v>
      </c>
      <c r="D596">
        <v>2</v>
      </c>
      <c r="E596">
        <v>2</v>
      </c>
      <c r="F596">
        <v>2</v>
      </c>
      <c r="G596" s="10">
        <v>1</v>
      </c>
      <c r="H596" t="s">
        <v>46</v>
      </c>
      <c r="I596" t="s">
        <v>1957</v>
      </c>
      <c r="J596" t="s">
        <v>7440</v>
      </c>
      <c r="K596" t="s">
        <v>7435</v>
      </c>
      <c r="L596" s="11" t="s">
        <v>7440</v>
      </c>
    </row>
    <row r="597" spans="1:12">
      <c r="A597" t="s">
        <v>7441</v>
      </c>
      <c r="B597" s="9">
        <v>10179</v>
      </c>
      <c r="C597" s="9">
        <v>6.9693800000000001</v>
      </c>
      <c r="D597">
        <v>8</v>
      </c>
      <c r="E597">
        <v>8</v>
      </c>
      <c r="F597">
        <v>8</v>
      </c>
      <c r="G597" s="10">
        <v>1</v>
      </c>
      <c r="H597" t="s">
        <v>46</v>
      </c>
      <c r="I597" t="s">
        <v>1957</v>
      </c>
      <c r="J597" t="s">
        <v>7442</v>
      </c>
      <c r="K597" t="s">
        <v>7443</v>
      </c>
      <c r="L597" s="11" t="s">
        <v>7442</v>
      </c>
    </row>
    <row r="598" spans="1:12">
      <c r="A598" t="s">
        <v>7444</v>
      </c>
      <c r="B598" s="9">
        <v>13113</v>
      </c>
      <c r="C598" s="9">
        <v>12.225301999999999</v>
      </c>
      <c r="D598">
        <v>12</v>
      </c>
      <c r="E598">
        <v>11</v>
      </c>
      <c r="F598">
        <v>11</v>
      </c>
      <c r="G598" s="10">
        <v>0.91666666666666663</v>
      </c>
      <c r="H598" t="s">
        <v>46</v>
      </c>
      <c r="I598" t="s">
        <v>1957</v>
      </c>
      <c r="J598" t="s">
        <v>7445</v>
      </c>
      <c r="K598" t="s">
        <v>7446</v>
      </c>
      <c r="L598" s="11" t="s">
        <v>7447</v>
      </c>
    </row>
    <row r="599" spans="1:12">
      <c r="A599" t="s">
        <v>7448</v>
      </c>
      <c r="B599" s="9">
        <v>37560</v>
      </c>
      <c r="C599" s="9">
        <v>23.634315000000001</v>
      </c>
      <c r="D599">
        <v>31</v>
      </c>
      <c r="E599">
        <v>31</v>
      </c>
      <c r="F599">
        <v>28</v>
      </c>
      <c r="G599" s="10">
        <v>0.90322580645161288</v>
      </c>
      <c r="H599" t="s">
        <v>46</v>
      </c>
      <c r="I599" t="s">
        <v>1957</v>
      </c>
      <c r="J599" t="s">
        <v>7449</v>
      </c>
      <c r="K599" t="s">
        <v>7450</v>
      </c>
      <c r="L599" s="11" t="s">
        <v>7451</v>
      </c>
    </row>
    <row r="600" spans="1:12">
      <c r="A600" t="s">
        <v>7452</v>
      </c>
      <c r="B600" s="9">
        <v>2906</v>
      </c>
      <c r="C600" s="9">
        <v>219.42055400000001</v>
      </c>
      <c r="D600">
        <v>2</v>
      </c>
      <c r="E600">
        <v>2</v>
      </c>
      <c r="F600">
        <v>2</v>
      </c>
      <c r="G600" s="10">
        <v>1</v>
      </c>
      <c r="H600" t="s">
        <v>46</v>
      </c>
      <c r="I600" t="s">
        <v>1957</v>
      </c>
      <c r="J600" t="s">
        <v>7453</v>
      </c>
      <c r="K600" t="s">
        <v>7454</v>
      </c>
      <c r="L600" s="11" t="s">
        <v>7453</v>
      </c>
    </row>
    <row r="601" spans="1:12">
      <c r="A601" t="s">
        <v>7455</v>
      </c>
      <c r="B601" s="9">
        <v>2310</v>
      </c>
      <c r="C601" s="9">
        <v>3.903769</v>
      </c>
      <c r="D601">
        <v>2</v>
      </c>
      <c r="E601">
        <v>2</v>
      </c>
      <c r="F601">
        <v>2</v>
      </c>
      <c r="G601" s="10">
        <v>1</v>
      </c>
      <c r="H601" t="s">
        <v>46</v>
      </c>
      <c r="I601" t="s">
        <v>1957</v>
      </c>
      <c r="J601" t="s">
        <v>7453</v>
      </c>
      <c r="K601" t="s">
        <v>7454</v>
      </c>
      <c r="L601" s="11" t="s">
        <v>7453</v>
      </c>
    </row>
    <row r="602" spans="1:12">
      <c r="A602" t="s">
        <v>7456</v>
      </c>
      <c r="B602" s="9">
        <v>3735</v>
      </c>
      <c r="C602" s="9">
        <v>357.21712000000002</v>
      </c>
      <c r="D602">
        <v>4</v>
      </c>
      <c r="E602">
        <v>4</v>
      </c>
      <c r="F602">
        <v>3</v>
      </c>
      <c r="G602" s="10">
        <v>0.75</v>
      </c>
      <c r="H602" t="s">
        <v>46</v>
      </c>
      <c r="I602" t="s">
        <v>1957</v>
      </c>
      <c r="J602" t="s">
        <v>7457</v>
      </c>
      <c r="K602" t="s">
        <v>7458</v>
      </c>
      <c r="L602" s="11" t="s">
        <v>7459</v>
      </c>
    </row>
    <row r="603" spans="1:12">
      <c r="A603" t="s">
        <v>7460</v>
      </c>
      <c r="B603" s="9">
        <v>7564</v>
      </c>
      <c r="C603" s="9">
        <v>4.2061529999999996</v>
      </c>
      <c r="D603">
        <v>11</v>
      </c>
      <c r="E603">
        <v>11</v>
      </c>
      <c r="F603">
        <v>11</v>
      </c>
      <c r="G603" s="10">
        <v>1</v>
      </c>
      <c r="H603" t="s">
        <v>46</v>
      </c>
      <c r="I603" t="s">
        <v>1957</v>
      </c>
      <c r="J603" t="s">
        <v>7461</v>
      </c>
      <c r="K603" t="s">
        <v>7462</v>
      </c>
      <c r="L603" s="11" t="s">
        <v>7461</v>
      </c>
    </row>
    <row r="604" spans="1:12">
      <c r="A604" t="s">
        <v>7463</v>
      </c>
      <c r="B604" s="9">
        <v>3334</v>
      </c>
      <c r="C604" s="9">
        <v>3.4196399999999998</v>
      </c>
      <c r="D604">
        <v>2</v>
      </c>
      <c r="E604">
        <v>2</v>
      </c>
      <c r="F604">
        <v>2</v>
      </c>
      <c r="G604" s="10">
        <v>1</v>
      </c>
      <c r="H604" t="s">
        <v>46</v>
      </c>
      <c r="I604" t="s">
        <v>1957</v>
      </c>
      <c r="J604" t="s">
        <v>7464</v>
      </c>
      <c r="K604" t="s">
        <v>7462</v>
      </c>
      <c r="L604" s="11" t="s">
        <v>7464</v>
      </c>
    </row>
    <row r="605" spans="1:12">
      <c r="A605" t="s">
        <v>7465</v>
      </c>
      <c r="B605" s="9">
        <v>2416</v>
      </c>
      <c r="C605" s="9">
        <v>3.9635750000000001</v>
      </c>
      <c r="D605">
        <v>2</v>
      </c>
      <c r="E605">
        <v>2</v>
      </c>
      <c r="F605">
        <v>2</v>
      </c>
      <c r="G605" s="10">
        <v>1</v>
      </c>
      <c r="H605" t="s">
        <v>46</v>
      </c>
      <c r="I605" t="s">
        <v>1957</v>
      </c>
      <c r="J605" t="s">
        <v>7466</v>
      </c>
      <c r="K605" t="s">
        <v>7462</v>
      </c>
      <c r="L605" s="11" t="s">
        <v>7466</v>
      </c>
    </row>
    <row r="606" spans="1:12">
      <c r="A606" t="s">
        <v>7467</v>
      </c>
      <c r="B606" s="9">
        <v>6563</v>
      </c>
      <c r="C606" s="9">
        <v>4.2908730000000004</v>
      </c>
      <c r="D606">
        <v>5</v>
      </c>
      <c r="E606">
        <v>5</v>
      </c>
      <c r="F606">
        <v>4</v>
      </c>
      <c r="G606" s="10">
        <v>0.8</v>
      </c>
      <c r="H606" t="s">
        <v>46</v>
      </c>
      <c r="I606" t="s">
        <v>1957</v>
      </c>
      <c r="J606" t="s">
        <v>7468</v>
      </c>
      <c r="K606" t="s">
        <v>7462</v>
      </c>
      <c r="L606" s="11" t="s">
        <v>7468</v>
      </c>
    </row>
    <row r="607" spans="1:12">
      <c r="A607" t="s">
        <v>7469</v>
      </c>
      <c r="B607" s="9">
        <v>2078</v>
      </c>
      <c r="C607" s="9">
        <v>8.0894709999999996</v>
      </c>
      <c r="D607">
        <v>2</v>
      </c>
      <c r="E607">
        <v>2</v>
      </c>
      <c r="F607">
        <v>2</v>
      </c>
      <c r="G607" s="10">
        <v>1</v>
      </c>
      <c r="H607" t="s">
        <v>46</v>
      </c>
      <c r="I607" t="s">
        <v>1957</v>
      </c>
      <c r="J607" t="s">
        <v>7470</v>
      </c>
      <c r="K607" t="s">
        <v>7471</v>
      </c>
      <c r="L607" s="11" t="s">
        <v>7453</v>
      </c>
    </row>
    <row r="608" spans="1:12">
      <c r="A608" t="s">
        <v>7472</v>
      </c>
      <c r="B608" s="9">
        <v>4649</v>
      </c>
      <c r="C608" s="9">
        <v>14.321942</v>
      </c>
      <c r="D608">
        <v>3</v>
      </c>
      <c r="E608">
        <v>3</v>
      </c>
      <c r="F608">
        <v>3</v>
      </c>
      <c r="G608" s="10">
        <v>1</v>
      </c>
      <c r="H608" t="s">
        <v>46</v>
      </c>
      <c r="I608" t="s">
        <v>1957</v>
      </c>
      <c r="J608" t="s">
        <v>7473</v>
      </c>
      <c r="K608" t="s">
        <v>7474</v>
      </c>
      <c r="L608" s="11" t="s">
        <v>7475</v>
      </c>
    </row>
    <row r="609" spans="1:12">
      <c r="A609" t="s">
        <v>7476</v>
      </c>
      <c r="B609" s="9">
        <v>9701</v>
      </c>
      <c r="C609" s="9">
        <v>8.4923280000000005</v>
      </c>
      <c r="D609">
        <v>9</v>
      </c>
      <c r="E609">
        <v>9</v>
      </c>
      <c r="F609">
        <v>9</v>
      </c>
      <c r="G609" s="10">
        <v>1</v>
      </c>
      <c r="H609" t="s">
        <v>46</v>
      </c>
      <c r="I609" t="s">
        <v>1957</v>
      </c>
      <c r="J609" t="s">
        <v>7477</v>
      </c>
      <c r="K609" t="s">
        <v>7478</v>
      </c>
      <c r="L609" s="11" t="s">
        <v>7477</v>
      </c>
    </row>
    <row r="610" spans="1:12">
      <c r="A610" t="s">
        <v>7479</v>
      </c>
      <c r="B610" s="9">
        <v>3735</v>
      </c>
      <c r="C610" s="9">
        <v>8.3543479999999999</v>
      </c>
      <c r="D610">
        <v>5</v>
      </c>
      <c r="E610">
        <v>5</v>
      </c>
      <c r="F610">
        <v>5</v>
      </c>
      <c r="G610" s="10">
        <v>1</v>
      </c>
      <c r="H610" t="s">
        <v>46</v>
      </c>
      <c r="I610" t="s">
        <v>1957</v>
      </c>
      <c r="J610" t="s">
        <v>7480</v>
      </c>
      <c r="K610" t="s">
        <v>7481</v>
      </c>
      <c r="L610" s="11" t="s">
        <v>7480</v>
      </c>
    </row>
    <row r="611" spans="1:12">
      <c r="A611" t="s">
        <v>7482</v>
      </c>
      <c r="B611" s="9">
        <v>2107</v>
      </c>
      <c r="C611" s="9">
        <v>2.9459059999999999</v>
      </c>
      <c r="D611">
        <v>2</v>
      </c>
      <c r="E611">
        <v>2</v>
      </c>
      <c r="F611">
        <v>2</v>
      </c>
      <c r="G611" s="10">
        <v>1</v>
      </c>
      <c r="H611" t="s">
        <v>46</v>
      </c>
      <c r="I611" t="s">
        <v>1957</v>
      </c>
      <c r="J611" t="s">
        <v>7483</v>
      </c>
      <c r="K611" t="s">
        <v>7481</v>
      </c>
      <c r="L611" s="11" t="s">
        <v>7483</v>
      </c>
    </row>
    <row r="612" spans="1:12">
      <c r="A612" t="s">
        <v>7484</v>
      </c>
      <c r="B612" s="9">
        <v>2475</v>
      </c>
      <c r="C612" s="9">
        <v>3.6665290000000001</v>
      </c>
      <c r="D612">
        <v>2</v>
      </c>
      <c r="E612">
        <v>2</v>
      </c>
      <c r="F612">
        <v>1</v>
      </c>
      <c r="G612" s="10">
        <v>0.5</v>
      </c>
      <c r="H612" t="s">
        <v>46</v>
      </c>
      <c r="I612" t="s">
        <v>1957</v>
      </c>
      <c r="J612" t="s">
        <v>7485</v>
      </c>
      <c r="K612" t="s">
        <v>7481</v>
      </c>
      <c r="L612" s="11" t="s">
        <v>7485</v>
      </c>
    </row>
    <row r="613" spans="1:12">
      <c r="A613" t="s">
        <v>7486</v>
      </c>
      <c r="B613" s="9">
        <v>6063</v>
      </c>
      <c r="C613" s="9">
        <v>7.7777960000000004</v>
      </c>
      <c r="D613">
        <v>4</v>
      </c>
      <c r="E613">
        <v>4</v>
      </c>
      <c r="F613">
        <v>3</v>
      </c>
      <c r="G613" s="10">
        <v>0.75</v>
      </c>
      <c r="H613" t="s">
        <v>46</v>
      </c>
      <c r="I613" t="s">
        <v>1957</v>
      </c>
      <c r="J613" t="s">
        <v>7487</v>
      </c>
      <c r="K613" t="s">
        <v>7488</v>
      </c>
      <c r="L613" s="11" t="s">
        <v>7480</v>
      </c>
    </row>
    <row r="614" spans="1:12">
      <c r="A614" t="s">
        <v>7489</v>
      </c>
      <c r="B614" s="9">
        <v>10434</v>
      </c>
      <c r="C614" s="9">
        <v>4.9986509999999997</v>
      </c>
      <c r="D614">
        <v>7</v>
      </c>
      <c r="E614">
        <v>4</v>
      </c>
      <c r="F614">
        <v>2</v>
      </c>
      <c r="G614" s="10">
        <v>0.2857142857142857</v>
      </c>
      <c r="H614" t="s">
        <v>46</v>
      </c>
      <c r="I614" t="s">
        <v>1957</v>
      </c>
      <c r="J614" t="s">
        <v>7490</v>
      </c>
      <c r="K614" t="s">
        <v>7491</v>
      </c>
      <c r="L614" s="11" t="s">
        <v>7490</v>
      </c>
    </row>
    <row r="615" spans="1:12">
      <c r="A615" t="s">
        <v>7492</v>
      </c>
      <c r="B615" s="9">
        <v>3840</v>
      </c>
      <c r="C615" s="9">
        <v>18.272919000000002</v>
      </c>
      <c r="D615">
        <v>2</v>
      </c>
      <c r="E615">
        <v>2</v>
      </c>
      <c r="F615">
        <v>2</v>
      </c>
      <c r="G615" s="10">
        <v>1</v>
      </c>
      <c r="H615" t="s">
        <v>46</v>
      </c>
      <c r="I615" t="s">
        <v>1957</v>
      </c>
      <c r="J615" t="s">
        <v>7493</v>
      </c>
      <c r="K615" t="s">
        <v>7494</v>
      </c>
      <c r="L615" s="11" t="s">
        <v>7493</v>
      </c>
    </row>
    <row r="616" spans="1:12">
      <c r="A616" t="s">
        <v>7495</v>
      </c>
      <c r="B616" s="9">
        <v>2056</v>
      </c>
      <c r="C616" s="9">
        <v>3.8405800000000001</v>
      </c>
      <c r="D616">
        <v>2</v>
      </c>
      <c r="E616">
        <v>2</v>
      </c>
      <c r="F616">
        <v>2</v>
      </c>
      <c r="G616" s="10">
        <v>1</v>
      </c>
      <c r="H616" t="s">
        <v>46</v>
      </c>
      <c r="I616" t="s">
        <v>1957</v>
      </c>
      <c r="J616" t="s">
        <v>7496</v>
      </c>
      <c r="K616" t="s">
        <v>7497</v>
      </c>
      <c r="L616" s="11" t="s">
        <v>7496</v>
      </c>
    </row>
    <row r="617" spans="1:12">
      <c r="A617" t="s">
        <v>7498</v>
      </c>
      <c r="B617" s="9">
        <v>3269</v>
      </c>
      <c r="C617" s="9">
        <v>95.570006000000006</v>
      </c>
      <c r="D617">
        <v>2</v>
      </c>
      <c r="E617">
        <v>2</v>
      </c>
      <c r="F617">
        <v>1</v>
      </c>
      <c r="G617" s="10">
        <v>0.5</v>
      </c>
      <c r="H617" t="s">
        <v>46</v>
      </c>
      <c r="I617" t="s">
        <v>1957</v>
      </c>
      <c r="J617" t="s">
        <v>7496</v>
      </c>
      <c r="K617" t="s">
        <v>7497</v>
      </c>
      <c r="L617" s="11" t="s">
        <v>7496</v>
      </c>
    </row>
    <row r="618" spans="1:12">
      <c r="A618" t="s">
        <v>7499</v>
      </c>
      <c r="B618" s="9">
        <v>5056</v>
      </c>
      <c r="C618" s="9">
        <v>157.01479699999999</v>
      </c>
      <c r="D618">
        <v>5</v>
      </c>
      <c r="E618">
        <v>5</v>
      </c>
      <c r="F618">
        <v>5</v>
      </c>
      <c r="G618" s="10">
        <v>1</v>
      </c>
      <c r="H618" t="s">
        <v>46</v>
      </c>
      <c r="I618" t="s">
        <v>1957</v>
      </c>
      <c r="J618" t="s">
        <v>7500</v>
      </c>
      <c r="K618" t="s">
        <v>7501</v>
      </c>
      <c r="L618" s="11" t="s">
        <v>7502</v>
      </c>
    </row>
    <row r="619" spans="1:12">
      <c r="A619" t="s">
        <v>7503</v>
      </c>
      <c r="B619" s="9">
        <v>2784</v>
      </c>
      <c r="C619" s="9">
        <v>3.1982409999999999</v>
      </c>
      <c r="D619">
        <v>3</v>
      </c>
      <c r="E619">
        <v>2</v>
      </c>
      <c r="F619">
        <v>1</v>
      </c>
      <c r="G619" s="10">
        <v>0.33333333333333331</v>
      </c>
      <c r="H619" t="s">
        <v>46</v>
      </c>
      <c r="I619" t="s">
        <v>1957</v>
      </c>
      <c r="J619" t="s">
        <v>7504</v>
      </c>
      <c r="K619" t="s">
        <v>7505</v>
      </c>
      <c r="L619" s="11" t="s">
        <v>7504</v>
      </c>
    </row>
    <row r="620" spans="1:12">
      <c r="A620" t="s">
        <v>7506</v>
      </c>
      <c r="B620" s="9">
        <v>3682</v>
      </c>
      <c r="C620" s="9">
        <v>8.2329749999999997</v>
      </c>
      <c r="D620">
        <v>2</v>
      </c>
      <c r="E620">
        <v>2</v>
      </c>
      <c r="F620">
        <v>2</v>
      </c>
      <c r="G620" s="10">
        <v>1</v>
      </c>
      <c r="H620" t="s">
        <v>46</v>
      </c>
      <c r="I620" t="s">
        <v>1957</v>
      </c>
      <c r="J620" t="s">
        <v>7507</v>
      </c>
      <c r="K620" t="s">
        <v>7508</v>
      </c>
      <c r="L620" s="11" t="s">
        <v>7507</v>
      </c>
    </row>
    <row r="621" spans="1:12">
      <c r="A621" t="s">
        <v>7509</v>
      </c>
      <c r="B621" s="9">
        <v>2853</v>
      </c>
      <c r="C621" s="9">
        <v>5.1847750000000001</v>
      </c>
      <c r="D621">
        <v>1</v>
      </c>
      <c r="E621">
        <v>1</v>
      </c>
      <c r="F621">
        <v>1</v>
      </c>
      <c r="G621" s="10">
        <v>1</v>
      </c>
      <c r="H621" t="s">
        <v>46</v>
      </c>
      <c r="I621" t="s">
        <v>1957</v>
      </c>
      <c r="J621" t="s">
        <v>7507</v>
      </c>
      <c r="K621" t="s">
        <v>7508</v>
      </c>
      <c r="L621" s="11" t="s">
        <v>7507</v>
      </c>
    </row>
    <row r="622" spans="1:12">
      <c r="A622" t="s">
        <v>7510</v>
      </c>
      <c r="B622" s="9">
        <v>2558</v>
      </c>
      <c r="C622" s="9">
        <v>5.4051140000000002</v>
      </c>
      <c r="D622">
        <v>1</v>
      </c>
      <c r="E622">
        <v>1</v>
      </c>
      <c r="F622">
        <v>1</v>
      </c>
      <c r="G622" s="10">
        <v>1</v>
      </c>
      <c r="H622" t="s">
        <v>46</v>
      </c>
      <c r="I622" t="s">
        <v>1957</v>
      </c>
      <c r="J622" t="s">
        <v>7507</v>
      </c>
      <c r="K622" t="s">
        <v>7508</v>
      </c>
      <c r="L622" s="11" t="s">
        <v>7507</v>
      </c>
    </row>
    <row r="623" spans="1:12">
      <c r="A623" t="s">
        <v>7511</v>
      </c>
      <c r="B623" s="9">
        <v>2476</v>
      </c>
      <c r="C623" s="9">
        <v>4.2259399999999996</v>
      </c>
      <c r="D623">
        <v>2</v>
      </c>
      <c r="E623">
        <v>2</v>
      </c>
      <c r="F623">
        <v>2</v>
      </c>
      <c r="G623" s="10">
        <v>1</v>
      </c>
      <c r="H623" t="s">
        <v>46</v>
      </c>
      <c r="I623" t="s">
        <v>1957</v>
      </c>
      <c r="J623" t="s">
        <v>7507</v>
      </c>
      <c r="K623" t="s">
        <v>7508</v>
      </c>
      <c r="L623" s="11" t="s">
        <v>7507</v>
      </c>
    </row>
    <row r="624" spans="1:12">
      <c r="A624" t="s">
        <v>7512</v>
      </c>
      <c r="B624" s="9">
        <v>2137</v>
      </c>
      <c r="C624" s="9">
        <v>5.329491</v>
      </c>
      <c r="D624">
        <v>2</v>
      </c>
      <c r="E624">
        <v>2</v>
      </c>
      <c r="F624">
        <v>2</v>
      </c>
      <c r="G624" s="10">
        <v>1</v>
      </c>
      <c r="H624" t="s">
        <v>46</v>
      </c>
      <c r="I624" t="s">
        <v>1957</v>
      </c>
      <c r="J624" t="s">
        <v>7507</v>
      </c>
      <c r="K624" t="s">
        <v>7508</v>
      </c>
      <c r="L624" s="11" t="s">
        <v>7507</v>
      </c>
    </row>
    <row r="625" spans="1:12">
      <c r="A625" t="s">
        <v>7513</v>
      </c>
      <c r="B625" s="9">
        <v>2090</v>
      </c>
      <c r="C625" s="9">
        <v>3.5292379999999999</v>
      </c>
      <c r="D625">
        <v>3</v>
      </c>
      <c r="E625">
        <v>3</v>
      </c>
      <c r="F625">
        <v>3</v>
      </c>
      <c r="G625" s="10">
        <v>1</v>
      </c>
      <c r="H625" t="s">
        <v>46</v>
      </c>
      <c r="I625" t="s">
        <v>1957</v>
      </c>
      <c r="J625" t="s">
        <v>7514</v>
      </c>
      <c r="K625" t="s">
        <v>7508</v>
      </c>
      <c r="L625" s="11" t="s">
        <v>7514</v>
      </c>
    </row>
    <row r="626" spans="1:12">
      <c r="A626" t="s">
        <v>7515</v>
      </c>
      <c r="B626" s="9">
        <v>4596</v>
      </c>
      <c r="C626" s="9">
        <v>7.4710419999999997</v>
      </c>
      <c r="D626">
        <v>7</v>
      </c>
      <c r="E626">
        <v>6</v>
      </c>
      <c r="F626">
        <v>4</v>
      </c>
      <c r="G626" s="10">
        <v>0.5714285714285714</v>
      </c>
      <c r="H626" t="s">
        <v>46</v>
      </c>
      <c r="I626" t="s">
        <v>1957</v>
      </c>
      <c r="J626" t="s">
        <v>7516</v>
      </c>
      <c r="K626" t="s">
        <v>7508</v>
      </c>
      <c r="L626" s="11" t="s">
        <v>7517</v>
      </c>
    </row>
    <row r="627" spans="1:12">
      <c r="A627" t="s">
        <v>7518</v>
      </c>
      <c r="B627" s="9">
        <v>3581</v>
      </c>
      <c r="C627" s="9">
        <v>2.8057289999999999</v>
      </c>
      <c r="D627">
        <v>2</v>
      </c>
      <c r="E627">
        <v>2</v>
      </c>
      <c r="F627">
        <v>2</v>
      </c>
      <c r="G627" s="10">
        <v>1</v>
      </c>
      <c r="H627" t="s">
        <v>46</v>
      </c>
      <c r="I627" t="s">
        <v>1957</v>
      </c>
      <c r="J627" t="s">
        <v>7519</v>
      </c>
      <c r="K627" t="s">
        <v>7520</v>
      </c>
      <c r="L627" s="11" t="s">
        <v>7519</v>
      </c>
    </row>
    <row r="628" spans="1:12">
      <c r="A628" t="s">
        <v>7521</v>
      </c>
      <c r="B628" s="9">
        <v>3440</v>
      </c>
      <c r="C628" s="9">
        <v>4.2218609999999996</v>
      </c>
      <c r="D628">
        <v>2</v>
      </c>
      <c r="E628">
        <v>2</v>
      </c>
      <c r="F628">
        <v>1</v>
      </c>
      <c r="G628" s="10">
        <v>0.5</v>
      </c>
      <c r="H628" t="s">
        <v>46</v>
      </c>
      <c r="I628" t="s">
        <v>1957</v>
      </c>
      <c r="J628" t="s">
        <v>7522</v>
      </c>
      <c r="K628" t="s">
        <v>7523</v>
      </c>
      <c r="L628" s="11" t="s">
        <v>7434</v>
      </c>
    </row>
    <row r="629" spans="1:12">
      <c r="A629" t="s">
        <v>7524</v>
      </c>
      <c r="B629" s="9">
        <v>3660</v>
      </c>
      <c r="C629" s="9">
        <v>163.42357799999999</v>
      </c>
      <c r="D629">
        <v>3</v>
      </c>
      <c r="E629">
        <v>2</v>
      </c>
      <c r="F629">
        <v>3</v>
      </c>
      <c r="G629" s="10">
        <v>1</v>
      </c>
      <c r="H629" t="s">
        <v>46</v>
      </c>
      <c r="I629" t="s">
        <v>1957</v>
      </c>
      <c r="J629" t="s">
        <v>7525</v>
      </c>
      <c r="K629" t="s">
        <v>7526</v>
      </c>
      <c r="L629" s="11" t="s">
        <v>7527</v>
      </c>
    </row>
    <row r="630" spans="1:12">
      <c r="A630" t="s">
        <v>7528</v>
      </c>
      <c r="B630" s="9">
        <v>4464</v>
      </c>
      <c r="C630" s="9">
        <v>3.849399</v>
      </c>
      <c r="D630">
        <v>4</v>
      </c>
      <c r="E630">
        <v>2</v>
      </c>
      <c r="F630">
        <v>3</v>
      </c>
      <c r="G630" s="10">
        <v>0.75</v>
      </c>
      <c r="H630" t="s">
        <v>46</v>
      </c>
      <c r="I630" t="s">
        <v>1957</v>
      </c>
      <c r="J630" t="s">
        <v>7529</v>
      </c>
      <c r="K630" t="s">
        <v>7530</v>
      </c>
      <c r="L630" s="11" t="s">
        <v>7531</v>
      </c>
    </row>
    <row r="631" spans="1:12">
      <c r="A631" t="s">
        <v>7532</v>
      </c>
      <c r="B631" s="9">
        <v>2160</v>
      </c>
      <c r="C631" s="9">
        <v>3.7752970000000001</v>
      </c>
      <c r="D631">
        <v>3</v>
      </c>
      <c r="E631">
        <v>2</v>
      </c>
      <c r="F631">
        <v>2</v>
      </c>
      <c r="G631" s="10">
        <v>0.66666666666666663</v>
      </c>
      <c r="H631" t="s">
        <v>46</v>
      </c>
      <c r="I631" t="s">
        <v>1957</v>
      </c>
      <c r="J631" t="s">
        <v>7533</v>
      </c>
      <c r="K631" t="s">
        <v>7534</v>
      </c>
      <c r="L631" s="11" t="s">
        <v>7533</v>
      </c>
    </row>
    <row r="632" spans="1:12">
      <c r="A632" t="s">
        <v>7535</v>
      </c>
      <c r="B632" s="9">
        <v>3571</v>
      </c>
      <c r="C632" s="9">
        <v>22.388224999999998</v>
      </c>
      <c r="D632">
        <v>2</v>
      </c>
      <c r="E632">
        <v>1</v>
      </c>
      <c r="F632">
        <v>1</v>
      </c>
      <c r="G632" s="10">
        <v>0.5</v>
      </c>
      <c r="H632" t="s">
        <v>46</v>
      </c>
      <c r="I632" t="s">
        <v>1957</v>
      </c>
      <c r="J632" t="s">
        <v>7533</v>
      </c>
      <c r="K632" t="s">
        <v>7534</v>
      </c>
      <c r="L632" s="11" t="s">
        <v>7533</v>
      </c>
    </row>
    <row r="633" spans="1:12">
      <c r="A633" t="s">
        <v>7536</v>
      </c>
      <c r="B633" s="9">
        <v>2044</v>
      </c>
      <c r="C633" s="9">
        <v>2.9678230000000001</v>
      </c>
      <c r="D633">
        <v>1</v>
      </c>
      <c r="E633">
        <v>1</v>
      </c>
      <c r="F633">
        <v>1</v>
      </c>
      <c r="G633" s="10">
        <v>1</v>
      </c>
      <c r="H633" t="s">
        <v>46</v>
      </c>
      <c r="I633" t="s">
        <v>1957</v>
      </c>
      <c r="J633" t="s">
        <v>7537</v>
      </c>
      <c r="K633" t="s">
        <v>7538</v>
      </c>
      <c r="L633" s="11" t="s">
        <v>7537</v>
      </c>
    </row>
    <row r="634" spans="1:12">
      <c r="A634" t="s">
        <v>7539</v>
      </c>
      <c r="B634" s="9">
        <v>5539</v>
      </c>
      <c r="C634" s="9">
        <v>11.167396</v>
      </c>
      <c r="D634">
        <v>4</v>
      </c>
      <c r="E634">
        <v>2</v>
      </c>
      <c r="F634">
        <v>2</v>
      </c>
      <c r="G634" s="10">
        <v>0.5</v>
      </c>
      <c r="H634" t="s">
        <v>46</v>
      </c>
      <c r="I634" t="s">
        <v>1957</v>
      </c>
      <c r="J634" t="s">
        <v>7540</v>
      </c>
      <c r="K634" t="s">
        <v>7541</v>
      </c>
      <c r="L634" s="11" t="s">
        <v>7542</v>
      </c>
    </row>
    <row r="635" spans="1:12">
      <c r="A635" t="s">
        <v>7543</v>
      </c>
      <c r="B635" s="9">
        <v>3679</v>
      </c>
      <c r="C635" s="9">
        <v>12.935706</v>
      </c>
      <c r="D635">
        <v>2</v>
      </c>
      <c r="E635">
        <v>2</v>
      </c>
      <c r="F635">
        <v>1</v>
      </c>
      <c r="G635" s="10">
        <v>0.5</v>
      </c>
      <c r="H635" t="s">
        <v>46</v>
      </c>
      <c r="I635" t="s">
        <v>1957</v>
      </c>
      <c r="J635" t="s">
        <v>7544</v>
      </c>
      <c r="K635" t="s">
        <v>7545</v>
      </c>
      <c r="L635" s="11" t="s">
        <v>7546</v>
      </c>
    </row>
    <row r="636" spans="1:12">
      <c r="A636" t="s">
        <v>7547</v>
      </c>
      <c r="B636" s="9">
        <v>6951</v>
      </c>
      <c r="C636" s="9">
        <v>4.5936769999999996</v>
      </c>
      <c r="D636">
        <v>4</v>
      </c>
      <c r="E636">
        <v>3</v>
      </c>
      <c r="F636">
        <v>2</v>
      </c>
      <c r="G636" s="10">
        <v>0.5</v>
      </c>
      <c r="H636" t="s">
        <v>46</v>
      </c>
      <c r="I636" t="s">
        <v>1957</v>
      </c>
      <c r="J636" t="s">
        <v>7548</v>
      </c>
      <c r="K636" t="s">
        <v>7549</v>
      </c>
      <c r="L636" s="11" t="s">
        <v>7550</v>
      </c>
    </row>
    <row r="637" spans="1:12">
      <c r="A637" t="s">
        <v>7551</v>
      </c>
      <c r="B637" s="9">
        <v>4026</v>
      </c>
      <c r="C637" s="9">
        <v>3.9428359999999998</v>
      </c>
      <c r="D637">
        <v>3</v>
      </c>
      <c r="E637">
        <v>2</v>
      </c>
      <c r="F637">
        <v>2</v>
      </c>
      <c r="G637" s="10">
        <v>0.66666666666666663</v>
      </c>
      <c r="H637" t="s">
        <v>46</v>
      </c>
      <c r="I637" t="s">
        <v>1957</v>
      </c>
      <c r="J637" t="s">
        <v>7552</v>
      </c>
      <c r="K637" t="s">
        <v>7553</v>
      </c>
      <c r="L637" s="11" t="s">
        <v>7552</v>
      </c>
    </row>
    <row r="638" spans="1:12">
      <c r="A638" t="s">
        <v>7554</v>
      </c>
      <c r="B638" s="9">
        <v>2259</v>
      </c>
      <c r="C638" s="9">
        <v>56.051724</v>
      </c>
      <c r="D638">
        <v>1</v>
      </c>
      <c r="E638">
        <v>1</v>
      </c>
      <c r="F638">
        <v>1</v>
      </c>
      <c r="G638" s="10">
        <v>1</v>
      </c>
      <c r="H638" t="s">
        <v>46</v>
      </c>
      <c r="I638" t="s">
        <v>1957</v>
      </c>
      <c r="J638" t="s">
        <v>7555</v>
      </c>
      <c r="K638" t="s">
        <v>7556</v>
      </c>
      <c r="L638" s="11" t="s">
        <v>7555</v>
      </c>
    </row>
    <row r="639" spans="1:12">
      <c r="A639" t="s">
        <v>7557</v>
      </c>
      <c r="B639" s="9">
        <v>2453</v>
      </c>
      <c r="C639" s="9">
        <v>4.6451209999999996</v>
      </c>
      <c r="D639">
        <v>2</v>
      </c>
      <c r="E639">
        <v>1</v>
      </c>
      <c r="F639">
        <v>1</v>
      </c>
      <c r="G639" s="10">
        <v>0.5</v>
      </c>
      <c r="H639" t="s">
        <v>46</v>
      </c>
      <c r="I639" t="s">
        <v>1957</v>
      </c>
      <c r="J639" t="s">
        <v>7558</v>
      </c>
      <c r="K639" t="s">
        <v>7559</v>
      </c>
      <c r="L639" s="11" t="s">
        <v>7558</v>
      </c>
    </row>
    <row r="640" spans="1:12">
      <c r="A640" t="s">
        <v>7560</v>
      </c>
      <c r="B640" s="9">
        <v>2430</v>
      </c>
      <c r="C640" s="9">
        <v>4.0661050000000003</v>
      </c>
      <c r="D640">
        <v>2</v>
      </c>
      <c r="E640">
        <v>2</v>
      </c>
      <c r="F640">
        <v>2</v>
      </c>
      <c r="G640" s="10">
        <v>1</v>
      </c>
      <c r="H640" t="s">
        <v>46</v>
      </c>
      <c r="I640" t="s">
        <v>1957</v>
      </c>
      <c r="J640" t="s">
        <v>7561</v>
      </c>
      <c r="K640" t="s">
        <v>7562</v>
      </c>
      <c r="L640" s="11" t="s">
        <v>7561</v>
      </c>
    </row>
    <row r="641" spans="1:12">
      <c r="A641" t="s">
        <v>7563</v>
      </c>
      <c r="B641" s="9">
        <v>2676</v>
      </c>
      <c r="C641" s="9">
        <v>11.22396</v>
      </c>
      <c r="D641">
        <v>2</v>
      </c>
      <c r="E641">
        <v>2</v>
      </c>
      <c r="F641">
        <v>2</v>
      </c>
      <c r="G641" s="10">
        <v>1</v>
      </c>
      <c r="H641" t="s">
        <v>46</v>
      </c>
      <c r="I641" t="s">
        <v>1957</v>
      </c>
      <c r="J641" t="s">
        <v>7564</v>
      </c>
      <c r="K641" t="s">
        <v>7565</v>
      </c>
      <c r="L641" s="11" t="s">
        <v>7564</v>
      </c>
    </row>
    <row r="642" spans="1:12">
      <c r="A642" t="s">
        <v>7566</v>
      </c>
      <c r="B642" s="9">
        <v>2429</v>
      </c>
      <c r="C642" s="9">
        <v>4.0690819999999999</v>
      </c>
      <c r="D642">
        <v>2</v>
      </c>
      <c r="E642">
        <v>1</v>
      </c>
      <c r="F642">
        <v>1</v>
      </c>
      <c r="G642" s="10">
        <v>0.5</v>
      </c>
      <c r="H642" t="s">
        <v>46</v>
      </c>
      <c r="I642" t="s">
        <v>1957</v>
      </c>
      <c r="J642" t="s">
        <v>7567</v>
      </c>
      <c r="K642" t="s">
        <v>7568</v>
      </c>
      <c r="L642" s="11" t="s">
        <v>7567</v>
      </c>
    </row>
    <row r="643" spans="1:12">
      <c r="A643" t="s">
        <v>7569</v>
      </c>
      <c r="B643" s="9">
        <v>2423</v>
      </c>
      <c r="C643" s="9">
        <v>4.5434970000000003</v>
      </c>
      <c r="D643">
        <v>2</v>
      </c>
      <c r="E643">
        <v>2</v>
      </c>
      <c r="F643">
        <v>2</v>
      </c>
      <c r="G643" s="10">
        <v>1</v>
      </c>
      <c r="H643" t="s">
        <v>46</v>
      </c>
      <c r="I643" t="s">
        <v>1957</v>
      </c>
      <c r="J643" t="s">
        <v>7570</v>
      </c>
      <c r="K643" t="s">
        <v>7571</v>
      </c>
      <c r="L643" s="11" t="s">
        <v>7570</v>
      </c>
    </row>
    <row r="644" spans="1:12">
      <c r="A644" t="s">
        <v>7572</v>
      </c>
      <c r="B644" s="9">
        <v>2726</v>
      </c>
      <c r="C644" s="9">
        <v>2.4058410000000001</v>
      </c>
      <c r="D644">
        <v>2</v>
      </c>
      <c r="E644">
        <v>2</v>
      </c>
      <c r="F644">
        <v>2</v>
      </c>
      <c r="G644" s="10">
        <v>1</v>
      </c>
      <c r="H644" t="s">
        <v>46</v>
      </c>
      <c r="I644" t="s">
        <v>1957</v>
      </c>
      <c r="J644" t="s">
        <v>7573</v>
      </c>
      <c r="K644" t="s">
        <v>7574</v>
      </c>
      <c r="L644" s="11" t="s">
        <v>7573</v>
      </c>
    </row>
    <row r="645" spans="1:12">
      <c r="A645" t="s">
        <v>7575</v>
      </c>
      <c r="B645" s="9">
        <v>43814</v>
      </c>
      <c r="C645" s="9">
        <v>20.924267</v>
      </c>
      <c r="D645">
        <v>37</v>
      </c>
      <c r="E645">
        <v>36</v>
      </c>
      <c r="F645">
        <v>34</v>
      </c>
      <c r="G645" s="10">
        <v>0.91891891891891897</v>
      </c>
      <c r="H645" t="s">
        <v>46</v>
      </c>
      <c r="I645" t="s">
        <v>1957</v>
      </c>
      <c r="J645" t="s">
        <v>7576</v>
      </c>
      <c r="K645" t="s">
        <v>7577</v>
      </c>
      <c r="L645" s="11" t="s">
        <v>7576</v>
      </c>
    </row>
    <row r="646" spans="1:12">
      <c r="A646" t="s">
        <v>7578</v>
      </c>
      <c r="B646" s="9">
        <v>3342</v>
      </c>
      <c r="C646" s="9">
        <v>6.057499</v>
      </c>
      <c r="D646">
        <v>2</v>
      </c>
      <c r="E646">
        <v>2</v>
      </c>
      <c r="F646">
        <v>2</v>
      </c>
      <c r="G646" s="10">
        <v>1</v>
      </c>
      <c r="H646" t="s">
        <v>46</v>
      </c>
      <c r="I646" t="s">
        <v>1957</v>
      </c>
      <c r="J646" t="s">
        <v>7579</v>
      </c>
      <c r="K646" t="s">
        <v>7580</v>
      </c>
      <c r="L646" s="11" t="s">
        <v>7579</v>
      </c>
    </row>
    <row r="647" spans="1:12">
      <c r="A647" t="s">
        <v>7581</v>
      </c>
      <c r="B647" s="9">
        <v>2123</v>
      </c>
      <c r="C647" s="9">
        <v>6.7572530000000004</v>
      </c>
      <c r="D647">
        <v>1</v>
      </c>
      <c r="E647">
        <v>1</v>
      </c>
      <c r="F647">
        <v>1</v>
      </c>
      <c r="G647" s="10">
        <v>1</v>
      </c>
      <c r="H647" t="s">
        <v>46</v>
      </c>
      <c r="I647" t="s">
        <v>1957</v>
      </c>
      <c r="J647" t="s">
        <v>7579</v>
      </c>
      <c r="K647" t="s">
        <v>7580</v>
      </c>
      <c r="L647" s="11" t="s">
        <v>7579</v>
      </c>
    </row>
    <row r="648" spans="1:12">
      <c r="A648" t="s">
        <v>7582</v>
      </c>
      <c r="B648" s="9">
        <v>2376</v>
      </c>
      <c r="C648" s="9">
        <v>6.8677289999999998</v>
      </c>
      <c r="D648">
        <v>1</v>
      </c>
      <c r="E648">
        <v>1</v>
      </c>
      <c r="F648">
        <v>1</v>
      </c>
      <c r="G648" s="10">
        <v>1</v>
      </c>
      <c r="H648" t="s">
        <v>46</v>
      </c>
      <c r="I648" t="s">
        <v>1957</v>
      </c>
      <c r="J648" t="s">
        <v>7583</v>
      </c>
      <c r="K648" t="s">
        <v>7584</v>
      </c>
      <c r="L648" s="11" t="s">
        <v>7583</v>
      </c>
    </row>
    <row r="649" spans="1:12">
      <c r="A649" t="s">
        <v>7585</v>
      </c>
      <c r="B649" s="9">
        <v>2062</v>
      </c>
      <c r="C649" s="9">
        <v>3.6287989999999999</v>
      </c>
      <c r="D649">
        <v>2</v>
      </c>
      <c r="E649">
        <v>2</v>
      </c>
      <c r="F649">
        <v>1</v>
      </c>
      <c r="G649" s="10">
        <v>0.5</v>
      </c>
      <c r="H649" t="s">
        <v>46</v>
      </c>
      <c r="I649" t="s">
        <v>1957</v>
      </c>
      <c r="J649" t="s">
        <v>7583</v>
      </c>
      <c r="K649" t="s">
        <v>7584</v>
      </c>
      <c r="L649" s="11" t="s">
        <v>7583</v>
      </c>
    </row>
    <row r="650" spans="1:12">
      <c r="A650" t="s">
        <v>7586</v>
      </c>
      <c r="B650" s="9">
        <v>3355</v>
      </c>
      <c r="C650" s="9">
        <v>6.0054550000000004</v>
      </c>
      <c r="D650">
        <v>3</v>
      </c>
      <c r="E650">
        <v>3</v>
      </c>
      <c r="F650">
        <v>3</v>
      </c>
      <c r="G650" s="10">
        <v>1</v>
      </c>
      <c r="H650" t="s">
        <v>46</v>
      </c>
      <c r="I650" t="s">
        <v>1957</v>
      </c>
      <c r="J650" t="s">
        <v>7587</v>
      </c>
      <c r="K650" t="s">
        <v>7588</v>
      </c>
      <c r="L650" s="11" t="s">
        <v>7589</v>
      </c>
    </row>
    <row r="651" spans="1:12">
      <c r="A651" t="s">
        <v>7590</v>
      </c>
      <c r="B651" s="9">
        <v>2713</v>
      </c>
      <c r="C651" s="9">
        <v>9.9484569999999994</v>
      </c>
      <c r="D651">
        <v>2</v>
      </c>
      <c r="E651">
        <v>2</v>
      </c>
      <c r="F651">
        <v>2</v>
      </c>
      <c r="G651" s="10">
        <v>1</v>
      </c>
      <c r="H651" t="s">
        <v>46</v>
      </c>
      <c r="I651" t="s">
        <v>1957</v>
      </c>
      <c r="J651" t="s">
        <v>7591</v>
      </c>
      <c r="K651" t="s">
        <v>7588</v>
      </c>
      <c r="L651" s="11" t="s">
        <v>7592</v>
      </c>
    </row>
    <row r="652" spans="1:12">
      <c r="A652" t="s">
        <v>7593</v>
      </c>
      <c r="B652" s="9">
        <v>17063</v>
      </c>
      <c r="C652" s="9">
        <v>9.8496590000000008</v>
      </c>
      <c r="D652">
        <v>10</v>
      </c>
      <c r="E652">
        <v>7</v>
      </c>
      <c r="F652">
        <v>8</v>
      </c>
      <c r="G652" s="10">
        <v>0.8</v>
      </c>
      <c r="H652" t="s">
        <v>46</v>
      </c>
      <c r="I652" t="s">
        <v>1957</v>
      </c>
      <c r="J652" t="s">
        <v>7594</v>
      </c>
      <c r="K652" t="s">
        <v>7595</v>
      </c>
      <c r="L652" s="11" t="s">
        <v>7596</v>
      </c>
    </row>
    <row r="653" spans="1:12">
      <c r="A653" t="s">
        <v>7597</v>
      </c>
      <c r="B653" s="9">
        <v>6248</v>
      </c>
      <c r="C653" s="9">
        <v>19.530922</v>
      </c>
      <c r="D653">
        <v>4</v>
      </c>
      <c r="E653">
        <v>3</v>
      </c>
      <c r="F653">
        <v>4</v>
      </c>
      <c r="G653" s="10">
        <v>1</v>
      </c>
      <c r="H653" t="s">
        <v>46</v>
      </c>
      <c r="I653" t="s">
        <v>1957</v>
      </c>
      <c r="J653" t="s">
        <v>7598</v>
      </c>
      <c r="K653" t="s">
        <v>7599</v>
      </c>
      <c r="L653" s="11" t="s">
        <v>7600</v>
      </c>
    </row>
    <row r="654" spans="1:12">
      <c r="A654" t="s">
        <v>7601</v>
      </c>
      <c r="B654" s="9">
        <v>3982</v>
      </c>
      <c r="C654" s="9">
        <v>4.8408449999999998</v>
      </c>
      <c r="D654">
        <v>4</v>
      </c>
      <c r="E654">
        <v>4</v>
      </c>
      <c r="F654">
        <v>4</v>
      </c>
      <c r="G654" s="10">
        <v>1</v>
      </c>
      <c r="H654" t="s">
        <v>46</v>
      </c>
      <c r="I654" t="s">
        <v>1957</v>
      </c>
      <c r="J654" t="s">
        <v>7602</v>
      </c>
      <c r="K654" t="s">
        <v>7603</v>
      </c>
      <c r="L654" s="11" t="s">
        <v>7604</v>
      </c>
    </row>
    <row r="655" spans="1:12">
      <c r="A655" t="s">
        <v>7605</v>
      </c>
      <c r="B655" s="9">
        <v>9238</v>
      </c>
      <c r="C655" s="9">
        <v>8.7550910000000002</v>
      </c>
      <c r="D655">
        <v>8</v>
      </c>
      <c r="E655">
        <v>5</v>
      </c>
      <c r="F655">
        <v>5</v>
      </c>
      <c r="G655" s="10">
        <v>0.625</v>
      </c>
      <c r="H655" t="s">
        <v>46</v>
      </c>
      <c r="I655" t="s">
        <v>1957</v>
      </c>
      <c r="J655" t="s">
        <v>7606</v>
      </c>
      <c r="K655" t="s">
        <v>7607</v>
      </c>
      <c r="L655" s="11" t="s">
        <v>7606</v>
      </c>
    </row>
    <row r="656" spans="1:12">
      <c r="A656" t="s">
        <v>7608</v>
      </c>
      <c r="B656" s="9">
        <v>2850</v>
      </c>
      <c r="C656" s="9">
        <v>3.5101969999999998</v>
      </c>
      <c r="D656">
        <v>3</v>
      </c>
      <c r="E656">
        <v>2</v>
      </c>
      <c r="F656">
        <v>1</v>
      </c>
      <c r="G656" s="10">
        <v>0.33333333333333331</v>
      </c>
      <c r="H656" t="s">
        <v>46</v>
      </c>
      <c r="I656" t="s">
        <v>1957</v>
      </c>
      <c r="J656" t="s">
        <v>7609</v>
      </c>
      <c r="K656" t="s">
        <v>7610</v>
      </c>
      <c r="L656" s="11" t="s">
        <v>7609</v>
      </c>
    </row>
    <row r="657" spans="1:12">
      <c r="A657" t="s">
        <v>7611</v>
      </c>
      <c r="B657" s="9">
        <v>14145</v>
      </c>
      <c r="C657" s="9">
        <v>13.486231</v>
      </c>
      <c r="D657">
        <v>10</v>
      </c>
      <c r="E657">
        <v>10</v>
      </c>
      <c r="F657">
        <v>10</v>
      </c>
      <c r="G657" s="10">
        <v>1</v>
      </c>
      <c r="H657" t="s">
        <v>46</v>
      </c>
      <c r="I657" t="s">
        <v>1957</v>
      </c>
      <c r="J657" t="s">
        <v>7612</v>
      </c>
      <c r="K657" t="s">
        <v>7613</v>
      </c>
      <c r="L657" s="11" t="s">
        <v>7612</v>
      </c>
    </row>
    <row r="658" spans="1:12">
      <c r="A658" t="s">
        <v>7614</v>
      </c>
      <c r="B658" s="9">
        <v>11404</v>
      </c>
      <c r="C658" s="9">
        <v>3.4388049999999999</v>
      </c>
      <c r="D658">
        <v>8</v>
      </c>
      <c r="E658">
        <v>8</v>
      </c>
      <c r="F658">
        <v>8</v>
      </c>
      <c r="G658" s="10">
        <v>1</v>
      </c>
      <c r="H658" t="s">
        <v>46</v>
      </c>
      <c r="I658" t="s">
        <v>1957</v>
      </c>
      <c r="J658" t="s">
        <v>7615</v>
      </c>
      <c r="K658" t="s">
        <v>7613</v>
      </c>
      <c r="L658" s="11" t="s">
        <v>7615</v>
      </c>
    </row>
    <row r="659" spans="1:12">
      <c r="A659" t="s">
        <v>7616</v>
      </c>
      <c r="B659" s="9">
        <v>11255</v>
      </c>
      <c r="C659" s="9">
        <v>7.7632139999999996</v>
      </c>
      <c r="D659">
        <v>8</v>
      </c>
      <c r="E659">
        <v>8</v>
      </c>
      <c r="F659">
        <v>8</v>
      </c>
      <c r="G659" s="10">
        <v>1</v>
      </c>
      <c r="H659" t="s">
        <v>46</v>
      </c>
      <c r="I659" t="s">
        <v>1957</v>
      </c>
      <c r="J659" t="s">
        <v>7617</v>
      </c>
      <c r="K659" t="s">
        <v>7613</v>
      </c>
      <c r="L659" s="11" t="s">
        <v>7617</v>
      </c>
    </row>
    <row r="660" spans="1:12">
      <c r="A660" t="s">
        <v>7618</v>
      </c>
      <c r="B660" s="9">
        <v>10239</v>
      </c>
      <c r="C660" s="9">
        <v>19.502848</v>
      </c>
      <c r="D660">
        <v>8</v>
      </c>
      <c r="E660">
        <v>8</v>
      </c>
      <c r="F660">
        <v>8</v>
      </c>
      <c r="G660" s="10">
        <v>1</v>
      </c>
      <c r="H660" t="s">
        <v>46</v>
      </c>
      <c r="I660" t="s">
        <v>1957</v>
      </c>
      <c r="J660" t="s">
        <v>7619</v>
      </c>
      <c r="K660" t="s">
        <v>7613</v>
      </c>
      <c r="L660" s="11" t="s">
        <v>7619</v>
      </c>
    </row>
    <row r="661" spans="1:12">
      <c r="A661" t="s">
        <v>7620</v>
      </c>
      <c r="B661" s="9">
        <v>7901</v>
      </c>
      <c r="C661" s="9">
        <v>110.415498</v>
      </c>
      <c r="D661">
        <v>5</v>
      </c>
      <c r="E661">
        <v>5</v>
      </c>
      <c r="F661">
        <v>5</v>
      </c>
      <c r="G661" s="10">
        <v>1</v>
      </c>
      <c r="H661" t="s">
        <v>46</v>
      </c>
      <c r="I661" t="s">
        <v>1957</v>
      </c>
      <c r="J661" t="s">
        <v>7621</v>
      </c>
      <c r="K661" t="s">
        <v>7613</v>
      </c>
      <c r="L661" s="11" t="s">
        <v>7621</v>
      </c>
    </row>
    <row r="662" spans="1:12">
      <c r="A662" t="s">
        <v>7622</v>
      </c>
      <c r="B662" s="9">
        <v>7666</v>
      </c>
      <c r="C662" s="9">
        <v>114.641966</v>
      </c>
      <c r="D662">
        <v>6</v>
      </c>
      <c r="E662">
        <v>6</v>
      </c>
      <c r="F662">
        <v>6</v>
      </c>
      <c r="G662" s="10">
        <v>1</v>
      </c>
      <c r="H662" t="s">
        <v>46</v>
      </c>
      <c r="I662" t="s">
        <v>1957</v>
      </c>
      <c r="J662" t="s">
        <v>7621</v>
      </c>
      <c r="K662" t="s">
        <v>7613</v>
      </c>
      <c r="L662" s="11" t="s">
        <v>7621</v>
      </c>
    </row>
    <row r="663" spans="1:12">
      <c r="A663" t="s">
        <v>7623</v>
      </c>
      <c r="B663" s="9">
        <v>6152</v>
      </c>
      <c r="C663" s="9">
        <v>30.397736999999999</v>
      </c>
      <c r="D663">
        <v>6</v>
      </c>
      <c r="E663">
        <v>6</v>
      </c>
      <c r="F663">
        <v>6</v>
      </c>
      <c r="G663" s="10">
        <v>1</v>
      </c>
      <c r="H663" t="s">
        <v>46</v>
      </c>
      <c r="I663" t="s">
        <v>1957</v>
      </c>
      <c r="J663" t="s">
        <v>7621</v>
      </c>
      <c r="K663" t="s">
        <v>7613</v>
      </c>
      <c r="L663" s="11" t="s">
        <v>7621</v>
      </c>
    </row>
    <row r="664" spans="1:12">
      <c r="A664" t="s">
        <v>7624</v>
      </c>
      <c r="B664" s="9">
        <v>5234</v>
      </c>
      <c r="C664" s="9">
        <v>18.622320999999999</v>
      </c>
      <c r="D664">
        <v>4</v>
      </c>
      <c r="E664">
        <v>4</v>
      </c>
      <c r="F664">
        <v>4</v>
      </c>
      <c r="G664" s="10">
        <v>1</v>
      </c>
      <c r="H664" t="s">
        <v>46</v>
      </c>
      <c r="I664" t="s">
        <v>1957</v>
      </c>
      <c r="J664" t="s">
        <v>7625</v>
      </c>
      <c r="K664" t="s">
        <v>7613</v>
      </c>
      <c r="L664" s="11" t="s">
        <v>7625</v>
      </c>
    </row>
    <row r="665" spans="1:12">
      <c r="A665" t="s">
        <v>7626</v>
      </c>
      <c r="B665" s="9">
        <v>4838</v>
      </c>
      <c r="C665" s="9">
        <v>123.874765</v>
      </c>
      <c r="D665">
        <v>5</v>
      </c>
      <c r="E665">
        <v>4</v>
      </c>
      <c r="F665">
        <v>5</v>
      </c>
      <c r="G665" s="10">
        <v>1</v>
      </c>
      <c r="H665" t="s">
        <v>46</v>
      </c>
      <c r="I665" t="s">
        <v>1957</v>
      </c>
      <c r="J665" t="s">
        <v>7625</v>
      </c>
      <c r="K665" t="s">
        <v>7613</v>
      </c>
      <c r="L665" s="11" t="s">
        <v>7625</v>
      </c>
    </row>
    <row r="666" spans="1:12">
      <c r="A666" t="s">
        <v>7627</v>
      </c>
      <c r="B666" s="9">
        <v>4711</v>
      </c>
      <c r="C666" s="9">
        <v>5.97079</v>
      </c>
      <c r="D666">
        <v>3</v>
      </c>
      <c r="E666">
        <v>1</v>
      </c>
      <c r="F666">
        <v>3</v>
      </c>
      <c r="G666" s="10">
        <v>1</v>
      </c>
      <c r="H666" t="s">
        <v>46</v>
      </c>
      <c r="I666" t="s">
        <v>1957</v>
      </c>
      <c r="J666" t="s">
        <v>7527</v>
      </c>
      <c r="K666" t="s">
        <v>7613</v>
      </c>
      <c r="L666" s="11" t="s">
        <v>7527</v>
      </c>
    </row>
    <row r="667" spans="1:12">
      <c r="A667" t="s">
        <v>7628</v>
      </c>
      <c r="B667" s="9">
        <v>4577</v>
      </c>
      <c r="C667" s="9">
        <v>7.1990270000000001</v>
      </c>
      <c r="D667">
        <v>3</v>
      </c>
      <c r="E667">
        <v>3</v>
      </c>
      <c r="F667">
        <v>3</v>
      </c>
      <c r="G667" s="10">
        <v>1</v>
      </c>
      <c r="H667" t="s">
        <v>46</v>
      </c>
      <c r="I667" t="s">
        <v>1957</v>
      </c>
      <c r="J667" t="s">
        <v>7629</v>
      </c>
      <c r="K667" t="s">
        <v>7613</v>
      </c>
      <c r="L667" s="11" t="s">
        <v>7629</v>
      </c>
    </row>
    <row r="668" spans="1:12">
      <c r="A668" t="s">
        <v>7630</v>
      </c>
      <c r="B668" s="9">
        <v>4415</v>
      </c>
      <c r="C668" s="9">
        <v>54.653899000000003</v>
      </c>
      <c r="D668">
        <v>3</v>
      </c>
      <c r="E668">
        <v>3</v>
      </c>
      <c r="F668">
        <v>3</v>
      </c>
      <c r="G668" s="10">
        <v>1</v>
      </c>
      <c r="H668" t="s">
        <v>46</v>
      </c>
      <c r="I668" t="s">
        <v>1957</v>
      </c>
      <c r="J668" t="s">
        <v>7625</v>
      </c>
      <c r="K668" t="s">
        <v>7613</v>
      </c>
      <c r="L668" s="11" t="s">
        <v>7625</v>
      </c>
    </row>
    <row r="669" spans="1:12">
      <c r="A669" t="s">
        <v>7631</v>
      </c>
      <c r="B669" s="9">
        <v>4315</v>
      </c>
      <c r="C669" s="9">
        <v>8.8617369999999998</v>
      </c>
      <c r="D669">
        <v>3</v>
      </c>
      <c r="E669">
        <v>3</v>
      </c>
      <c r="F669">
        <v>3</v>
      </c>
      <c r="G669" s="10">
        <v>1</v>
      </c>
      <c r="H669" t="s">
        <v>46</v>
      </c>
      <c r="I669" t="s">
        <v>1957</v>
      </c>
      <c r="J669" t="s">
        <v>7625</v>
      </c>
      <c r="K669" t="s">
        <v>7613</v>
      </c>
      <c r="L669" s="11" t="s">
        <v>7625</v>
      </c>
    </row>
    <row r="670" spans="1:12">
      <c r="A670" t="s">
        <v>7632</v>
      </c>
      <c r="B670" s="9">
        <v>4131</v>
      </c>
      <c r="C670" s="9">
        <v>12.314524</v>
      </c>
      <c r="D670">
        <v>4</v>
      </c>
      <c r="E670">
        <v>4</v>
      </c>
      <c r="F670">
        <v>4</v>
      </c>
      <c r="G670" s="10">
        <v>1</v>
      </c>
      <c r="H670" t="s">
        <v>46</v>
      </c>
      <c r="I670" t="s">
        <v>1957</v>
      </c>
      <c r="J670" t="s">
        <v>7625</v>
      </c>
      <c r="K670" t="s">
        <v>7613</v>
      </c>
      <c r="L670" s="11" t="s">
        <v>7625</v>
      </c>
    </row>
    <row r="671" spans="1:12">
      <c r="A671" t="s">
        <v>7633</v>
      </c>
      <c r="B671" s="9">
        <v>4130</v>
      </c>
      <c r="C671" s="9">
        <v>204.28515300000001</v>
      </c>
      <c r="D671">
        <v>2</v>
      </c>
      <c r="E671">
        <v>2</v>
      </c>
      <c r="F671">
        <v>2</v>
      </c>
      <c r="G671" s="10">
        <v>1</v>
      </c>
      <c r="H671" t="s">
        <v>46</v>
      </c>
      <c r="I671" t="s">
        <v>1957</v>
      </c>
      <c r="J671" t="s">
        <v>7527</v>
      </c>
      <c r="K671" t="s">
        <v>7613</v>
      </c>
      <c r="L671" s="11" t="s">
        <v>7527</v>
      </c>
    </row>
    <row r="672" spans="1:12">
      <c r="A672" t="s">
        <v>7634</v>
      </c>
      <c r="B672" s="9">
        <v>3928</v>
      </c>
      <c r="C672" s="9">
        <v>21.540150000000001</v>
      </c>
      <c r="D672">
        <v>4</v>
      </c>
      <c r="E672">
        <v>4</v>
      </c>
      <c r="F672">
        <v>4</v>
      </c>
      <c r="G672" s="10">
        <v>1</v>
      </c>
      <c r="H672" t="s">
        <v>46</v>
      </c>
      <c r="I672" t="s">
        <v>1957</v>
      </c>
      <c r="J672" t="s">
        <v>7621</v>
      </c>
      <c r="K672" t="s">
        <v>7613</v>
      </c>
      <c r="L672" s="11" t="s">
        <v>7621</v>
      </c>
    </row>
    <row r="673" spans="1:12">
      <c r="A673" t="s">
        <v>7635</v>
      </c>
      <c r="B673" s="9">
        <v>3892</v>
      </c>
      <c r="C673" s="9">
        <v>3.7920250000000002</v>
      </c>
      <c r="D673">
        <v>5</v>
      </c>
      <c r="E673">
        <v>4</v>
      </c>
      <c r="F673">
        <v>5</v>
      </c>
      <c r="G673" s="10">
        <v>1</v>
      </c>
      <c r="H673" t="s">
        <v>46</v>
      </c>
      <c r="I673" t="s">
        <v>1957</v>
      </c>
      <c r="J673" t="s">
        <v>7621</v>
      </c>
      <c r="K673" t="s">
        <v>7613</v>
      </c>
      <c r="L673" s="11" t="s">
        <v>7621</v>
      </c>
    </row>
    <row r="674" spans="1:12">
      <c r="A674" t="s">
        <v>7636</v>
      </c>
      <c r="B674" s="9">
        <v>3416</v>
      </c>
      <c r="C674" s="9">
        <v>14.138351999999999</v>
      </c>
      <c r="D674">
        <v>4</v>
      </c>
      <c r="E674">
        <v>4</v>
      </c>
      <c r="F674">
        <v>4</v>
      </c>
      <c r="G674" s="10">
        <v>1</v>
      </c>
      <c r="H674" t="s">
        <v>46</v>
      </c>
      <c r="I674" t="s">
        <v>1957</v>
      </c>
      <c r="J674" t="s">
        <v>7625</v>
      </c>
      <c r="K674" t="s">
        <v>7613</v>
      </c>
      <c r="L674" s="11" t="s">
        <v>7625</v>
      </c>
    </row>
    <row r="675" spans="1:12">
      <c r="A675" t="s">
        <v>7637</v>
      </c>
      <c r="B675" s="9">
        <v>3201</v>
      </c>
      <c r="C675" s="9">
        <v>59.065480000000001</v>
      </c>
      <c r="D675">
        <v>3</v>
      </c>
      <c r="E675">
        <v>3</v>
      </c>
      <c r="F675">
        <v>3</v>
      </c>
      <c r="G675" s="10">
        <v>1</v>
      </c>
      <c r="H675" t="s">
        <v>46</v>
      </c>
      <c r="I675" t="s">
        <v>1957</v>
      </c>
      <c r="J675" t="s">
        <v>7625</v>
      </c>
      <c r="K675" t="s">
        <v>7613</v>
      </c>
      <c r="L675" s="11" t="s">
        <v>7625</v>
      </c>
    </row>
    <row r="676" spans="1:12">
      <c r="A676" t="s">
        <v>7638</v>
      </c>
      <c r="B676" s="9">
        <v>3016</v>
      </c>
      <c r="C676" s="9">
        <v>20.448497</v>
      </c>
      <c r="D676">
        <v>3</v>
      </c>
      <c r="E676">
        <v>3</v>
      </c>
      <c r="F676">
        <v>3</v>
      </c>
      <c r="G676" s="10">
        <v>1</v>
      </c>
      <c r="H676" t="s">
        <v>46</v>
      </c>
      <c r="I676" t="s">
        <v>1957</v>
      </c>
      <c r="J676" t="s">
        <v>7625</v>
      </c>
      <c r="K676" t="s">
        <v>7613</v>
      </c>
      <c r="L676" s="11" t="s">
        <v>7625</v>
      </c>
    </row>
    <row r="677" spans="1:12">
      <c r="A677" t="s">
        <v>7639</v>
      </c>
      <c r="B677" s="9">
        <v>2938</v>
      </c>
      <c r="C677" s="9">
        <v>5.1279919999999999</v>
      </c>
      <c r="D677">
        <v>5</v>
      </c>
      <c r="E677">
        <v>4</v>
      </c>
      <c r="F677">
        <v>5</v>
      </c>
      <c r="G677" s="10">
        <v>1</v>
      </c>
      <c r="H677" t="s">
        <v>46</v>
      </c>
      <c r="I677" t="s">
        <v>1957</v>
      </c>
      <c r="J677" t="s">
        <v>7640</v>
      </c>
      <c r="K677" t="s">
        <v>7613</v>
      </c>
      <c r="L677" s="11" t="s">
        <v>7640</v>
      </c>
    </row>
    <row r="678" spans="1:12">
      <c r="A678" t="s">
        <v>7641</v>
      </c>
      <c r="B678" s="9">
        <v>2848</v>
      </c>
      <c r="C678" s="9">
        <v>175.96383800000001</v>
      </c>
      <c r="D678">
        <v>4</v>
      </c>
      <c r="E678">
        <v>3</v>
      </c>
      <c r="F678">
        <v>4</v>
      </c>
      <c r="G678" s="10">
        <v>1</v>
      </c>
      <c r="H678" t="s">
        <v>46</v>
      </c>
      <c r="I678" t="s">
        <v>1957</v>
      </c>
      <c r="J678" t="s">
        <v>7625</v>
      </c>
      <c r="K678" t="s">
        <v>7613</v>
      </c>
      <c r="L678" s="11" t="s">
        <v>7625</v>
      </c>
    </row>
    <row r="679" spans="1:12">
      <c r="A679" t="s">
        <v>7642</v>
      </c>
      <c r="B679" s="9">
        <v>2822</v>
      </c>
      <c r="C679" s="9">
        <v>14.986267</v>
      </c>
      <c r="D679">
        <v>4</v>
      </c>
      <c r="E679">
        <v>3</v>
      </c>
      <c r="F679">
        <v>4</v>
      </c>
      <c r="G679" s="10">
        <v>1</v>
      </c>
      <c r="H679" t="s">
        <v>46</v>
      </c>
      <c r="I679" t="s">
        <v>1957</v>
      </c>
      <c r="J679" t="s">
        <v>7640</v>
      </c>
      <c r="K679" t="s">
        <v>7613</v>
      </c>
      <c r="L679" s="11" t="s">
        <v>7640</v>
      </c>
    </row>
    <row r="680" spans="1:12">
      <c r="A680" t="s">
        <v>7643</v>
      </c>
      <c r="B680" s="9">
        <v>2751</v>
      </c>
      <c r="C680" s="9">
        <v>26.977744999999999</v>
      </c>
      <c r="D680">
        <v>2</v>
      </c>
      <c r="E680">
        <v>2</v>
      </c>
      <c r="F680">
        <v>2</v>
      </c>
      <c r="G680" s="10">
        <v>1</v>
      </c>
      <c r="H680" t="s">
        <v>46</v>
      </c>
      <c r="I680" t="s">
        <v>1957</v>
      </c>
      <c r="J680" t="s">
        <v>7527</v>
      </c>
      <c r="K680" t="s">
        <v>7613</v>
      </c>
      <c r="L680" s="11" t="s">
        <v>7527</v>
      </c>
    </row>
    <row r="681" spans="1:12">
      <c r="A681" t="s">
        <v>7644</v>
      </c>
      <c r="B681" s="9">
        <v>2685</v>
      </c>
      <c r="C681" s="9">
        <v>4.7528519999999999</v>
      </c>
      <c r="D681">
        <v>1</v>
      </c>
      <c r="E681">
        <v>1</v>
      </c>
      <c r="F681">
        <v>1</v>
      </c>
      <c r="G681" s="10">
        <v>1</v>
      </c>
      <c r="H681" t="s">
        <v>46</v>
      </c>
      <c r="I681" t="s">
        <v>1957</v>
      </c>
      <c r="J681" t="s">
        <v>7527</v>
      </c>
      <c r="K681" t="s">
        <v>7613</v>
      </c>
      <c r="L681" s="11" t="s">
        <v>7527</v>
      </c>
    </row>
    <row r="682" spans="1:12">
      <c r="A682" t="s">
        <v>7645</v>
      </c>
      <c r="B682" s="9">
        <v>2638</v>
      </c>
      <c r="C682" s="9">
        <v>25.454896999999999</v>
      </c>
      <c r="D682">
        <v>2</v>
      </c>
      <c r="E682">
        <v>2</v>
      </c>
      <c r="F682">
        <v>2</v>
      </c>
      <c r="G682" s="10">
        <v>1</v>
      </c>
      <c r="H682" t="s">
        <v>46</v>
      </c>
      <c r="I682" t="s">
        <v>1957</v>
      </c>
      <c r="J682" t="s">
        <v>7527</v>
      </c>
      <c r="K682" t="s">
        <v>7613</v>
      </c>
      <c r="L682" s="11" t="s">
        <v>7527</v>
      </c>
    </row>
    <row r="683" spans="1:12">
      <c r="A683" t="s">
        <v>7646</v>
      </c>
      <c r="B683" s="9">
        <v>2597</v>
      </c>
      <c r="C683" s="9">
        <v>3.4236819999999999</v>
      </c>
      <c r="D683">
        <v>3</v>
      </c>
      <c r="E683">
        <v>3</v>
      </c>
      <c r="F683">
        <v>3</v>
      </c>
      <c r="G683" s="10">
        <v>1</v>
      </c>
      <c r="H683" t="s">
        <v>46</v>
      </c>
      <c r="I683" t="s">
        <v>1957</v>
      </c>
      <c r="J683" t="s">
        <v>7640</v>
      </c>
      <c r="K683" t="s">
        <v>7613</v>
      </c>
      <c r="L683" s="11" t="s">
        <v>7640</v>
      </c>
    </row>
    <row r="684" spans="1:12">
      <c r="A684" t="s">
        <v>7647</v>
      </c>
      <c r="B684" s="9">
        <v>2335</v>
      </c>
      <c r="C684" s="9">
        <v>3.8201749999999999</v>
      </c>
      <c r="D684">
        <v>2</v>
      </c>
      <c r="E684">
        <v>2</v>
      </c>
      <c r="F684">
        <v>2</v>
      </c>
      <c r="G684" s="10">
        <v>1</v>
      </c>
      <c r="H684" t="s">
        <v>46</v>
      </c>
      <c r="I684" t="s">
        <v>1957</v>
      </c>
      <c r="J684" t="s">
        <v>7527</v>
      </c>
      <c r="K684" t="s">
        <v>7613</v>
      </c>
      <c r="L684" s="11" t="s">
        <v>7527</v>
      </c>
    </row>
    <row r="685" spans="1:12">
      <c r="A685" t="s">
        <v>7648</v>
      </c>
      <c r="B685" s="9">
        <v>2230</v>
      </c>
      <c r="C685" s="9">
        <v>2.7926440000000001</v>
      </c>
      <c r="D685">
        <v>2</v>
      </c>
      <c r="E685">
        <v>2</v>
      </c>
      <c r="F685">
        <v>2</v>
      </c>
      <c r="G685" s="10">
        <v>1</v>
      </c>
      <c r="H685" t="s">
        <v>46</v>
      </c>
      <c r="I685" t="s">
        <v>1957</v>
      </c>
      <c r="J685" t="s">
        <v>7640</v>
      </c>
      <c r="K685" t="s">
        <v>7613</v>
      </c>
      <c r="L685" s="11" t="s">
        <v>7640</v>
      </c>
    </row>
    <row r="686" spans="1:12">
      <c r="A686" t="s">
        <v>7649</v>
      </c>
      <c r="B686" s="9">
        <v>2108</v>
      </c>
      <c r="C686" s="9">
        <v>3.121286</v>
      </c>
      <c r="D686">
        <v>2</v>
      </c>
      <c r="E686">
        <v>2</v>
      </c>
      <c r="F686">
        <v>2</v>
      </c>
      <c r="G686" s="10">
        <v>1</v>
      </c>
      <c r="H686" t="s">
        <v>46</v>
      </c>
      <c r="I686" t="s">
        <v>1957</v>
      </c>
      <c r="J686" t="s">
        <v>7640</v>
      </c>
      <c r="K686" t="s">
        <v>7613</v>
      </c>
      <c r="L686" s="11" t="s">
        <v>7640</v>
      </c>
    </row>
    <row r="687" spans="1:12">
      <c r="A687" t="s">
        <v>7650</v>
      </c>
      <c r="B687" s="9">
        <v>2053</v>
      </c>
      <c r="C687" s="9">
        <v>12.045045</v>
      </c>
      <c r="D687">
        <v>1</v>
      </c>
      <c r="E687">
        <v>1</v>
      </c>
      <c r="F687">
        <v>1</v>
      </c>
      <c r="G687" s="10">
        <v>1</v>
      </c>
      <c r="H687" t="s">
        <v>46</v>
      </c>
      <c r="I687" t="s">
        <v>1957</v>
      </c>
      <c r="J687" t="s">
        <v>7527</v>
      </c>
      <c r="K687" t="s">
        <v>7613</v>
      </c>
      <c r="L687" s="11" t="s">
        <v>7527</v>
      </c>
    </row>
    <row r="688" spans="1:12">
      <c r="A688" t="s">
        <v>7651</v>
      </c>
      <c r="B688" s="9">
        <v>2006</v>
      </c>
      <c r="C688" s="9">
        <v>45.664786999999997</v>
      </c>
      <c r="D688">
        <v>2</v>
      </c>
      <c r="E688">
        <v>2</v>
      </c>
      <c r="F688">
        <v>2</v>
      </c>
      <c r="G688" s="10">
        <v>1</v>
      </c>
      <c r="H688" t="s">
        <v>46</v>
      </c>
      <c r="I688" t="s">
        <v>1957</v>
      </c>
      <c r="J688" t="s">
        <v>7640</v>
      </c>
      <c r="K688" t="s">
        <v>7613</v>
      </c>
      <c r="L688" s="11" t="s">
        <v>7640</v>
      </c>
    </row>
    <row r="689" spans="1:12">
      <c r="A689" t="s">
        <v>7652</v>
      </c>
      <c r="B689" s="9">
        <v>3976</v>
      </c>
      <c r="C689" s="9">
        <v>14.713082999999999</v>
      </c>
      <c r="D689">
        <v>6</v>
      </c>
      <c r="E689">
        <v>6</v>
      </c>
      <c r="F689">
        <v>6</v>
      </c>
      <c r="G689" s="10">
        <v>1</v>
      </c>
      <c r="H689" t="s">
        <v>46</v>
      </c>
      <c r="I689" t="s">
        <v>1957</v>
      </c>
      <c r="J689" t="s">
        <v>7653</v>
      </c>
      <c r="K689" t="s">
        <v>7654</v>
      </c>
      <c r="L689" s="11" t="s">
        <v>7653</v>
      </c>
    </row>
    <row r="690" spans="1:12">
      <c r="A690" t="s">
        <v>7655</v>
      </c>
      <c r="B690" s="9">
        <v>5912</v>
      </c>
      <c r="C690" s="9">
        <v>87.377155999999999</v>
      </c>
      <c r="D690">
        <v>5</v>
      </c>
      <c r="E690">
        <v>4</v>
      </c>
      <c r="F690">
        <v>4</v>
      </c>
      <c r="G690" s="10">
        <v>0.8</v>
      </c>
      <c r="H690" t="s">
        <v>46</v>
      </c>
      <c r="I690" t="s">
        <v>1957</v>
      </c>
      <c r="J690" t="s">
        <v>7656</v>
      </c>
      <c r="K690" t="s">
        <v>7657</v>
      </c>
      <c r="L690" s="11" t="s">
        <v>7656</v>
      </c>
    </row>
    <row r="691" spans="1:12">
      <c r="A691" t="s">
        <v>7658</v>
      </c>
      <c r="B691" s="9">
        <v>30916</v>
      </c>
      <c r="C691" s="9">
        <v>12.81718</v>
      </c>
      <c r="D691">
        <v>27</v>
      </c>
      <c r="E691">
        <v>26</v>
      </c>
      <c r="F691">
        <v>26</v>
      </c>
      <c r="G691" s="10">
        <v>0.96296296296296291</v>
      </c>
      <c r="H691" t="s">
        <v>46</v>
      </c>
      <c r="I691" t="s">
        <v>1957</v>
      </c>
      <c r="J691" t="s">
        <v>7659</v>
      </c>
      <c r="K691" t="s">
        <v>7660</v>
      </c>
      <c r="L691" s="11" t="s">
        <v>7661</v>
      </c>
    </row>
    <row r="692" spans="1:12">
      <c r="A692" t="s">
        <v>7662</v>
      </c>
      <c r="B692" s="9">
        <v>15916</v>
      </c>
      <c r="C692" s="9">
        <v>7.9102829999999997</v>
      </c>
      <c r="D692">
        <v>16</v>
      </c>
      <c r="E692">
        <v>14</v>
      </c>
      <c r="F692">
        <v>14</v>
      </c>
      <c r="G692" s="10">
        <v>0.875</v>
      </c>
      <c r="H692" t="s">
        <v>46</v>
      </c>
      <c r="I692" t="s">
        <v>1957</v>
      </c>
      <c r="J692" t="s">
        <v>7663</v>
      </c>
      <c r="K692" t="s">
        <v>7664</v>
      </c>
      <c r="L692" s="11" t="s">
        <v>7663</v>
      </c>
    </row>
    <row r="693" spans="1:12">
      <c r="A693" t="s">
        <v>7665</v>
      </c>
      <c r="B693" s="9">
        <v>17198</v>
      </c>
      <c r="C693" s="9">
        <v>74.588403</v>
      </c>
      <c r="D693">
        <v>13</v>
      </c>
      <c r="E693">
        <v>12</v>
      </c>
      <c r="F693">
        <v>12</v>
      </c>
      <c r="G693" s="10">
        <v>0.92307692307692313</v>
      </c>
      <c r="H693" t="s">
        <v>46</v>
      </c>
      <c r="I693" t="s">
        <v>1957</v>
      </c>
      <c r="J693" t="s">
        <v>7666</v>
      </c>
      <c r="K693" t="s">
        <v>7667</v>
      </c>
      <c r="L693" s="11" t="s">
        <v>7666</v>
      </c>
    </row>
    <row r="694" spans="1:12">
      <c r="A694" t="s">
        <v>7668</v>
      </c>
      <c r="B694" s="9">
        <v>19049</v>
      </c>
      <c r="C694" s="9">
        <v>12.264082999999999</v>
      </c>
      <c r="D694">
        <v>16</v>
      </c>
      <c r="E694">
        <v>16</v>
      </c>
      <c r="F694">
        <v>16</v>
      </c>
      <c r="G694" s="10">
        <v>1</v>
      </c>
      <c r="H694" t="s">
        <v>46</v>
      </c>
      <c r="I694" t="s">
        <v>1957</v>
      </c>
      <c r="J694" t="s">
        <v>7669</v>
      </c>
      <c r="K694" t="s">
        <v>7670</v>
      </c>
      <c r="L694" s="11" t="s">
        <v>7669</v>
      </c>
    </row>
    <row r="695" spans="1:12">
      <c r="A695" t="s">
        <v>7671</v>
      </c>
      <c r="B695" s="9">
        <v>16573</v>
      </c>
      <c r="C695" s="9">
        <v>22.332425000000001</v>
      </c>
      <c r="D695">
        <v>13</v>
      </c>
      <c r="E695">
        <v>11</v>
      </c>
      <c r="F695">
        <v>12</v>
      </c>
      <c r="G695" s="10">
        <v>0.92307692307692313</v>
      </c>
      <c r="H695" t="s">
        <v>46</v>
      </c>
      <c r="I695" t="s">
        <v>1957</v>
      </c>
      <c r="J695" t="s">
        <v>7672</v>
      </c>
      <c r="K695" t="s">
        <v>7673</v>
      </c>
      <c r="L695" s="11" t="s">
        <v>7674</v>
      </c>
    </row>
    <row r="696" spans="1:12">
      <c r="A696" t="s">
        <v>7675</v>
      </c>
      <c r="B696" s="9">
        <v>11702</v>
      </c>
      <c r="C696" s="9">
        <v>94.511891000000006</v>
      </c>
      <c r="D696">
        <v>11</v>
      </c>
      <c r="E696">
        <v>10</v>
      </c>
      <c r="F696">
        <v>10</v>
      </c>
      <c r="G696" s="10">
        <v>0.90909090909090906</v>
      </c>
      <c r="H696" t="s">
        <v>46</v>
      </c>
      <c r="I696" t="s">
        <v>1957</v>
      </c>
      <c r="J696" t="s">
        <v>7676</v>
      </c>
      <c r="K696" t="s">
        <v>7673</v>
      </c>
      <c r="L696" s="11" t="s">
        <v>7677</v>
      </c>
    </row>
    <row r="697" spans="1:12">
      <c r="A697" t="s">
        <v>7678</v>
      </c>
      <c r="B697" s="9">
        <v>6664</v>
      </c>
      <c r="C697" s="9">
        <v>346.980481</v>
      </c>
      <c r="D697">
        <v>5</v>
      </c>
      <c r="E697">
        <v>5</v>
      </c>
      <c r="F697">
        <v>5</v>
      </c>
      <c r="G697" s="10">
        <v>1</v>
      </c>
      <c r="H697" t="s">
        <v>46</v>
      </c>
      <c r="I697" t="s">
        <v>1957</v>
      </c>
      <c r="J697" t="s">
        <v>7679</v>
      </c>
      <c r="K697" t="s">
        <v>7680</v>
      </c>
      <c r="L697" s="11" t="s">
        <v>7621</v>
      </c>
    </row>
    <row r="698" spans="1:12">
      <c r="A698" t="s">
        <v>7681</v>
      </c>
      <c r="B698" s="9">
        <v>16458</v>
      </c>
      <c r="C698" s="9">
        <v>100.39382999999999</v>
      </c>
      <c r="D698">
        <v>13</v>
      </c>
      <c r="E698">
        <v>12</v>
      </c>
      <c r="F698">
        <v>11</v>
      </c>
      <c r="G698" s="10">
        <v>0.84615384615384615</v>
      </c>
      <c r="H698" t="s">
        <v>46</v>
      </c>
      <c r="I698" t="s">
        <v>1957</v>
      </c>
      <c r="J698" t="s">
        <v>7682</v>
      </c>
      <c r="K698" t="s">
        <v>7683</v>
      </c>
      <c r="L698" s="11" t="s">
        <v>7684</v>
      </c>
    </row>
    <row r="699" spans="1:12">
      <c r="A699" t="s">
        <v>7685</v>
      </c>
      <c r="B699" s="9">
        <v>2004</v>
      </c>
      <c r="C699" s="9">
        <v>26.268856</v>
      </c>
      <c r="D699">
        <v>3</v>
      </c>
      <c r="E699">
        <v>3</v>
      </c>
      <c r="F699">
        <v>2</v>
      </c>
      <c r="G699" s="10">
        <v>0.66666666666666663</v>
      </c>
      <c r="H699" t="s">
        <v>46</v>
      </c>
      <c r="I699" t="s">
        <v>1957</v>
      </c>
      <c r="J699" t="s">
        <v>7686</v>
      </c>
      <c r="K699" t="s">
        <v>7687</v>
      </c>
      <c r="L699" s="11" t="s">
        <v>7688</v>
      </c>
    </row>
    <row r="700" spans="1:12">
      <c r="A700" t="s">
        <v>7689</v>
      </c>
      <c r="B700" s="9">
        <v>2477</v>
      </c>
      <c r="C700" s="9">
        <v>6.8682910000000001</v>
      </c>
      <c r="D700">
        <v>2</v>
      </c>
      <c r="E700">
        <v>2</v>
      </c>
      <c r="F700">
        <v>2</v>
      </c>
      <c r="G700" s="10">
        <v>1</v>
      </c>
      <c r="H700" t="s">
        <v>46</v>
      </c>
      <c r="I700" t="s">
        <v>1957</v>
      </c>
      <c r="J700" t="s">
        <v>7690</v>
      </c>
      <c r="K700" t="s">
        <v>7691</v>
      </c>
      <c r="L700" s="11" t="s">
        <v>7692</v>
      </c>
    </row>
    <row r="701" spans="1:12">
      <c r="A701" t="s">
        <v>7693</v>
      </c>
      <c r="B701" s="9">
        <v>12199</v>
      </c>
      <c r="C701" s="9">
        <v>36.904974000000003</v>
      </c>
      <c r="D701">
        <v>6</v>
      </c>
      <c r="E701">
        <v>6</v>
      </c>
      <c r="F701">
        <v>6</v>
      </c>
      <c r="G701" s="10">
        <v>1</v>
      </c>
      <c r="H701" t="s">
        <v>46</v>
      </c>
      <c r="I701" t="s">
        <v>1957</v>
      </c>
      <c r="J701" t="s">
        <v>7694</v>
      </c>
      <c r="K701" t="s">
        <v>7695</v>
      </c>
      <c r="L701" s="11" t="s">
        <v>7694</v>
      </c>
    </row>
    <row r="702" spans="1:12">
      <c r="A702" t="s">
        <v>7696</v>
      </c>
      <c r="B702" s="9">
        <v>4527</v>
      </c>
      <c r="C702" s="9">
        <v>9.5693199999999994</v>
      </c>
      <c r="D702">
        <v>3</v>
      </c>
      <c r="E702">
        <v>3</v>
      </c>
      <c r="F702">
        <v>3</v>
      </c>
      <c r="G702" s="10">
        <v>1</v>
      </c>
      <c r="H702" t="s">
        <v>46</v>
      </c>
      <c r="I702" t="s">
        <v>1957</v>
      </c>
      <c r="J702" t="s">
        <v>7697</v>
      </c>
      <c r="K702" t="s">
        <v>7695</v>
      </c>
      <c r="L702" s="11" t="s">
        <v>7697</v>
      </c>
    </row>
    <row r="703" spans="1:12">
      <c r="A703" t="s">
        <v>7698</v>
      </c>
      <c r="B703" s="9">
        <v>4481</v>
      </c>
      <c r="C703" s="9">
        <v>3.3474919999999999</v>
      </c>
      <c r="D703">
        <v>4</v>
      </c>
      <c r="E703">
        <v>4</v>
      </c>
      <c r="F703">
        <v>4</v>
      </c>
      <c r="G703" s="10">
        <v>1</v>
      </c>
      <c r="H703" t="s">
        <v>46</v>
      </c>
      <c r="I703" t="s">
        <v>1957</v>
      </c>
      <c r="J703" t="s">
        <v>7699</v>
      </c>
      <c r="K703" t="s">
        <v>7695</v>
      </c>
      <c r="L703" s="11" t="s">
        <v>7699</v>
      </c>
    </row>
    <row r="704" spans="1:12">
      <c r="A704" t="s">
        <v>7700</v>
      </c>
      <c r="B704" s="9">
        <v>3599</v>
      </c>
      <c r="C704" s="9">
        <v>6.0459930000000002</v>
      </c>
      <c r="D704">
        <v>3</v>
      </c>
      <c r="E704">
        <v>3</v>
      </c>
      <c r="F704">
        <v>3</v>
      </c>
      <c r="G704" s="10">
        <v>1</v>
      </c>
      <c r="H704" t="s">
        <v>46</v>
      </c>
      <c r="I704" t="s">
        <v>1957</v>
      </c>
      <c r="J704" t="s">
        <v>7697</v>
      </c>
      <c r="K704" t="s">
        <v>7695</v>
      </c>
      <c r="L704" s="11" t="s">
        <v>7697</v>
      </c>
    </row>
    <row r="705" spans="1:12">
      <c r="A705" t="s">
        <v>7701</v>
      </c>
      <c r="B705" s="9">
        <v>3201</v>
      </c>
      <c r="C705" s="9">
        <v>3.7523840000000002</v>
      </c>
      <c r="D705">
        <v>4</v>
      </c>
      <c r="E705">
        <v>3</v>
      </c>
      <c r="F705">
        <v>4</v>
      </c>
      <c r="G705" s="10">
        <v>1</v>
      </c>
      <c r="H705" t="s">
        <v>46</v>
      </c>
      <c r="I705" t="s">
        <v>1957</v>
      </c>
      <c r="J705" t="s">
        <v>7694</v>
      </c>
      <c r="K705" t="s">
        <v>7695</v>
      </c>
      <c r="L705" s="11" t="s">
        <v>7694</v>
      </c>
    </row>
    <row r="706" spans="1:12">
      <c r="A706" t="s">
        <v>7702</v>
      </c>
      <c r="B706" s="9">
        <v>2678</v>
      </c>
      <c r="C706" s="9">
        <v>12.062905000000001</v>
      </c>
      <c r="D706">
        <v>2</v>
      </c>
      <c r="E706">
        <v>2</v>
      </c>
      <c r="F706">
        <v>2</v>
      </c>
      <c r="G706" s="10">
        <v>1</v>
      </c>
      <c r="H706" t="s">
        <v>46</v>
      </c>
      <c r="I706" t="s">
        <v>1957</v>
      </c>
      <c r="J706" t="s">
        <v>7703</v>
      </c>
      <c r="K706" t="s">
        <v>7695</v>
      </c>
      <c r="L706" s="11" t="s">
        <v>7703</v>
      </c>
    </row>
    <row r="707" spans="1:12">
      <c r="A707" t="s">
        <v>7704</v>
      </c>
      <c r="B707" s="9">
        <v>2547</v>
      </c>
      <c r="C707" s="9">
        <v>39.919742999999997</v>
      </c>
      <c r="D707">
        <v>2</v>
      </c>
      <c r="E707">
        <v>2</v>
      </c>
      <c r="F707">
        <v>2</v>
      </c>
      <c r="G707" s="10">
        <v>1</v>
      </c>
      <c r="H707" t="s">
        <v>46</v>
      </c>
      <c r="I707" t="s">
        <v>1957</v>
      </c>
      <c r="J707" t="s">
        <v>7475</v>
      </c>
      <c r="K707" t="s">
        <v>7695</v>
      </c>
      <c r="L707" s="11" t="s">
        <v>7705</v>
      </c>
    </row>
    <row r="708" spans="1:12">
      <c r="A708" t="s">
        <v>7706</v>
      </c>
      <c r="B708" s="9">
        <v>12354</v>
      </c>
      <c r="C708" s="9">
        <v>19.229368000000001</v>
      </c>
      <c r="D708">
        <v>8</v>
      </c>
      <c r="E708">
        <v>8</v>
      </c>
      <c r="F708">
        <v>7</v>
      </c>
      <c r="G708" s="10">
        <v>0.875</v>
      </c>
      <c r="H708" t="s">
        <v>46</v>
      </c>
      <c r="I708" t="s">
        <v>1957</v>
      </c>
      <c r="J708" t="s">
        <v>7707</v>
      </c>
      <c r="K708" t="s">
        <v>7695</v>
      </c>
      <c r="L708" s="11" t="s">
        <v>7707</v>
      </c>
    </row>
    <row r="709" spans="1:12">
      <c r="A709" t="s">
        <v>7708</v>
      </c>
      <c r="B709" s="9">
        <v>7382</v>
      </c>
      <c r="C709" s="9">
        <v>6.5975159999999997</v>
      </c>
      <c r="D709">
        <v>6</v>
      </c>
      <c r="E709">
        <v>6</v>
      </c>
      <c r="F709">
        <v>6</v>
      </c>
      <c r="G709" s="10">
        <v>1</v>
      </c>
      <c r="H709" t="s">
        <v>46</v>
      </c>
      <c r="I709" t="s">
        <v>1957</v>
      </c>
      <c r="J709" t="s">
        <v>7709</v>
      </c>
      <c r="K709" t="s">
        <v>7710</v>
      </c>
      <c r="L709" s="11" t="s">
        <v>7709</v>
      </c>
    </row>
    <row r="710" spans="1:12">
      <c r="A710" t="s">
        <v>7711</v>
      </c>
      <c r="B710" s="9">
        <v>3538</v>
      </c>
      <c r="C710" s="9">
        <v>7.4295150000000003</v>
      </c>
      <c r="D710">
        <v>2</v>
      </c>
      <c r="E710">
        <v>2</v>
      </c>
      <c r="F710">
        <v>2</v>
      </c>
      <c r="G710" s="10">
        <v>1</v>
      </c>
      <c r="H710" t="s">
        <v>46</v>
      </c>
      <c r="I710" t="s">
        <v>1957</v>
      </c>
      <c r="J710" t="s">
        <v>7712</v>
      </c>
      <c r="K710" t="s">
        <v>7710</v>
      </c>
      <c r="L710" s="11" t="s">
        <v>7712</v>
      </c>
    </row>
    <row r="711" spans="1:12">
      <c r="A711" t="s">
        <v>7713</v>
      </c>
      <c r="B711" s="9">
        <v>3118</v>
      </c>
      <c r="C711" s="9">
        <v>4.5377080000000003</v>
      </c>
      <c r="D711">
        <v>3</v>
      </c>
      <c r="E711">
        <v>3</v>
      </c>
      <c r="F711">
        <v>3</v>
      </c>
      <c r="G711" s="10">
        <v>1</v>
      </c>
      <c r="H711" t="s">
        <v>46</v>
      </c>
      <c r="I711" t="s">
        <v>1957</v>
      </c>
      <c r="J711" t="s">
        <v>7714</v>
      </c>
      <c r="K711" t="s">
        <v>7710</v>
      </c>
      <c r="L711" s="11" t="s">
        <v>7714</v>
      </c>
    </row>
    <row r="712" spans="1:12">
      <c r="A712" t="s">
        <v>7715</v>
      </c>
      <c r="B712" s="9">
        <v>2159</v>
      </c>
      <c r="C712" s="9">
        <v>5.0817490000000003</v>
      </c>
      <c r="D712">
        <v>1</v>
      </c>
      <c r="E712">
        <v>1</v>
      </c>
      <c r="F712">
        <v>1</v>
      </c>
      <c r="G712" s="10">
        <v>1</v>
      </c>
      <c r="H712" t="s">
        <v>46</v>
      </c>
      <c r="I712" t="s">
        <v>1957</v>
      </c>
      <c r="J712" t="s">
        <v>7712</v>
      </c>
      <c r="K712" t="s">
        <v>7710</v>
      </c>
      <c r="L712" s="11" t="s">
        <v>7712</v>
      </c>
    </row>
    <row r="713" spans="1:12">
      <c r="A713" t="s">
        <v>7716</v>
      </c>
      <c r="B713" s="9">
        <v>4909</v>
      </c>
      <c r="C713" s="9">
        <v>6.0391430000000001</v>
      </c>
      <c r="D713">
        <v>3</v>
      </c>
      <c r="E713">
        <v>2</v>
      </c>
      <c r="F713">
        <v>2</v>
      </c>
      <c r="G713" s="10">
        <v>0.66666666666666663</v>
      </c>
      <c r="H713" t="s">
        <v>46</v>
      </c>
      <c r="I713" t="s">
        <v>1957</v>
      </c>
      <c r="J713" t="s">
        <v>7712</v>
      </c>
      <c r="K713" t="s">
        <v>7710</v>
      </c>
      <c r="L713" s="11" t="s">
        <v>7712</v>
      </c>
    </row>
    <row r="714" spans="1:12">
      <c r="A714" t="s">
        <v>7717</v>
      </c>
      <c r="B714" s="9">
        <v>4867</v>
      </c>
      <c r="C714" s="9">
        <v>9.7533250000000002</v>
      </c>
      <c r="D714">
        <v>4</v>
      </c>
      <c r="E714">
        <v>4</v>
      </c>
      <c r="F714">
        <v>3</v>
      </c>
      <c r="G714" s="10">
        <v>0.75</v>
      </c>
      <c r="H714" t="s">
        <v>46</v>
      </c>
      <c r="I714" t="s">
        <v>1957</v>
      </c>
      <c r="J714" t="s">
        <v>7718</v>
      </c>
      <c r="K714" t="s">
        <v>7719</v>
      </c>
      <c r="L714" s="11" t="s">
        <v>7718</v>
      </c>
    </row>
    <row r="715" spans="1:12">
      <c r="A715" t="s">
        <v>7720</v>
      </c>
      <c r="B715" s="9">
        <v>5507</v>
      </c>
      <c r="C715" s="9">
        <v>6.2122159999999997</v>
      </c>
      <c r="D715">
        <v>5</v>
      </c>
      <c r="E715">
        <v>5</v>
      </c>
      <c r="F715">
        <v>5</v>
      </c>
      <c r="G715" s="10">
        <v>1</v>
      </c>
      <c r="H715" t="s">
        <v>46</v>
      </c>
      <c r="I715" t="s">
        <v>1957</v>
      </c>
      <c r="J715" t="s">
        <v>7721</v>
      </c>
      <c r="K715" t="s">
        <v>7722</v>
      </c>
      <c r="L715" s="11" t="s">
        <v>7723</v>
      </c>
    </row>
    <row r="716" spans="1:12">
      <c r="A716" t="s">
        <v>7724</v>
      </c>
      <c r="B716" s="9">
        <v>4436</v>
      </c>
      <c r="C716" s="9">
        <v>4.1273679999999997</v>
      </c>
      <c r="D716">
        <v>3</v>
      </c>
      <c r="E716">
        <v>3</v>
      </c>
      <c r="F716">
        <v>3</v>
      </c>
      <c r="G716" s="10">
        <v>1</v>
      </c>
      <c r="H716" t="s">
        <v>46</v>
      </c>
      <c r="I716" t="s">
        <v>1957</v>
      </c>
      <c r="J716" t="s">
        <v>7705</v>
      </c>
      <c r="K716" t="s">
        <v>7725</v>
      </c>
      <c r="L716" s="11" t="s">
        <v>7705</v>
      </c>
    </row>
    <row r="717" spans="1:12">
      <c r="A717" t="s">
        <v>7726</v>
      </c>
      <c r="B717" s="9">
        <v>3851</v>
      </c>
      <c r="C717" s="9">
        <v>5.4765540000000001</v>
      </c>
      <c r="D717">
        <v>2</v>
      </c>
      <c r="E717">
        <v>2</v>
      </c>
      <c r="F717">
        <v>2</v>
      </c>
      <c r="G717" s="10">
        <v>1</v>
      </c>
      <c r="H717" t="s">
        <v>46</v>
      </c>
      <c r="I717" t="s">
        <v>1957</v>
      </c>
      <c r="J717" t="s">
        <v>7727</v>
      </c>
      <c r="K717" t="s">
        <v>7725</v>
      </c>
      <c r="L717" s="11" t="s">
        <v>7727</v>
      </c>
    </row>
    <row r="718" spans="1:12">
      <c r="A718" t="s">
        <v>7728</v>
      </c>
      <c r="B718" s="9">
        <v>4460</v>
      </c>
      <c r="C718" s="9">
        <v>23.935981999999999</v>
      </c>
      <c r="D718">
        <v>5</v>
      </c>
      <c r="E718">
        <v>5</v>
      </c>
      <c r="F718">
        <v>4</v>
      </c>
      <c r="G718" s="10">
        <v>0.8</v>
      </c>
      <c r="H718" t="s">
        <v>46</v>
      </c>
      <c r="I718" t="s">
        <v>1957</v>
      </c>
      <c r="J718" t="s">
        <v>7729</v>
      </c>
      <c r="K718" t="s">
        <v>7725</v>
      </c>
      <c r="L718" s="11" t="s">
        <v>7729</v>
      </c>
    </row>
    <row r="719" spans="1:12">
      <c r="A719" t="s">
        <v>7730</v>
      </c>
      <c r="B719" s="9">
        <v>2179</v>
      </c>
      <c r="C719" s="9">
        <v>4.4006590000000001</v>
      </c>
      <c r="D719">
        <v>2</v>
      </c>
      <c r="E719">
        <v>2</v>
      </c>
      <c r="F719">
        <v>2</v>
      </c>
      <c r="G719" s="10">
        <v>1</v>
      </c>
      <c r="H719" t="s">
        <v>46</v>
      </c>
      <c r="I719" t="s">
        <v>1957</v>
      </c>
      <c r="J719" t="s">
        <v>7731</v>
      </c>
      <c r="K719" t="s">
        <v>7732</v>
      </c>
      <c r="L719" s="11" t="s">
        <v>7731</v>
      </c>
    </row>
    <row r="720" spans="1:12">
      <c r="A720" t="s">
        <v>7733</v>
      </c>
      <c r="B720" s="9">
        <v>6860</v>
      </c>
      <c r="C720" s="9">
        <v>56.172078999999997</v>
      </c>
      <c r="D720">
        <v>6</v>
      </c>
      <c r="E720">
        <v>6</v>
      </c>
      <c r="F720">
        <v>6</v>
      </c>
      <c r="G720" s="10">
        <v>1</v>
      </c>
      <c r="H720" t="s">
        <v>46</v>
      </c>
      <c r="I720" t="s">
        <v>1957</v>
      </c>
      <c r="J720" t="s">
        <v>7734</v>
      </c>
      <c r="K720" t="s">
        <v>7735</v>
      </c>
      <c r="L720" s="11" t="s">
        <v>7734</v>
      </c>
    </row>
    <row r="721" spans="1:12">
      <c r="A721" t="s">
        <v>7736</v>
      </c>
      <c r="B721" s="9">
        <v>2714</v>
      </c>
      <c r="C721" s="9">
        <v>3.0507710000000001</v>
      </c>
      <c r="D721">
        <v>1</v>
      </c>
      <c r="E721">
        <v>1</v>
      </c>
      <c r="F721">
        <v>1</v>
      </c>
      <c r="G721" s="10">
        <v>1</v>
      </c>
      <c r="H721" t="s">
        <v>46</v>
      </c>
      <c r="I721" t="s">
        <v>1957</v>
      </c>
      <c r="J721" t="s">
        <v>7737</v>
      </c>
      <c r="K721" t="s">
        <v>7738</v>
      </c>
      <c r="L721" s="11" t="s">
        <v>7737</v>
      </c>
    </row>
    <row r="722" spans="1:12">
      <c r="A722" t="s">
        <v>7739</v>
      </c>
      <c r="B722" s="9">
        <v>2192</v>
      </c>
      <c r="C722" s="9">
        <v>4.9335519999999997</v>
      </c>
      <c r="D722">
        <v>2</v>
      </c>
      <c r="E722">
        <v>2</v>
      </c>
      <c r="F722">
        <v>2</v>
      </c>
      <c r="G722" s="10">
        <v>1</v>
      </c>
      <c r="H722" t="s">
        <v>46</v>
      </c>
      <c r="I722" t="s">
        <v>1957</v>
      </c>
      <c r="J722" t="s">
        <v>7740</v>
      </c>
      <c r="K722" t="s">
        <v>7741</v>
      </c>
      <c r="L722" s="11" t="s">
        <v>7740</v>
      </c>
    </row>
    <row r="723" spans="1:12">
      <c r="A723" t="s">
        <v>7742</v>
      </c>
      <c r="B723" s="9">
        <v>3051</v>
      </c>
      <c r="C723" s="9">
        <v>5.697597</v>
      </c>
      <c r="D723">
        <v>3</v>
      </c>
      <c r="E723">
        <v>3</v>
      </c>
      <c r="F723">
        <v>3</v>
      </c>
      <c r="G723" s="10">
        <v>1</v>
      </c>
      <c r="H723" t="s">
        <v>46</v>
      </c>
      <c r="I723" t="s">
        <v>1957</v>
      </c>
      <c r="J723" t="s">
        <v>7743</v>
      </c>
      <c r="K723" t="s">
        <v>7744</v>
      </c>
      <c r="L723" s="11" t="s">
        <v>7745</v>
      </c>
    </row>
    <row r="724" spans="1:12">
      <c r="A724" t="s">
        <v>7746</v>
      </c>
      <c r="B724" s="9">
        <v>4386</v>
      </c>
      <c r="C724" s="9">
        <v>44.822443</v>
      </c>
      <c r="D724">
        <v>4</v>
      </c>
      <c r="E724">
        <v>3</v>
      </c>
      <c r="F724">
        <v>2</v>
      </c>
      <c r="G724" s="10">
        <v>0.5</v>
      </c>
      <c r="H724" t="s">
        <v>46</v>
      </c>
      <c r="I724" t="s">
        <v>1957</v>
      </c>
      <c r="J724" t="s">
        <v>7747</v>
      </c>
      <c r="K724" t="s">
        <v>7748</v>
      </c>
      <c r="L724" s="11" t="s">
        <v>7749</v>
      </c>
    </row>
    <row r="725" spans="1:12">
      <c r="A725" t="s">
        <v>7750</v>
      </c>
      <c r="B725" s="9">
        <v>2017</v>
      </c>
      <c r="C725" s="9">
        <v>6.0412840000000001</v>
      </c>
      <c r="D725">
        <v>1</v>
      </c>
      <c r="E725">
        <v>1</v>
      </c>
      <c r="F725">
        <v>1</v>
      </c>
      <c r="G725" s="10">
        <v>1</v>
      </c>
      <c r="H725" t="s">
        <v>46</v>
      </c>
      <c r="I725" t="s">
        <v>1957</v>
      </c>
      <c r="J725" t="s">
        <v>7751</v>
      </c>
      <c r="K725" t="s">
        <v>7752</v>
      </c>
      <c r="L725" s="11" t="s">
        <v>7751</v>
      </c>
    </row>
    <row r="726" spans="1:12">
      <c r="A726" t="s">
        <v>7753</v>
      </c>
      <c r="B726" s="9">
        <v>2073</v>
      </c>
      <c r="C726" s="9">
        <v>3.9226960000000002</v>
      </c>
      <c r="D726">
        <v>1</v>
      </c>
      <c r="E726">
        <v>1</v>
      </c>
      <c r="F726">
        <v>1</v>
      </c>
      <c r="G726" s="10">
        <v>1</v>
      </c>
      <c r="H726" t="s">
        <v>46</v>
      </c>
      <c r="I726" t="s">
        <v>1957</v>
      </c>
      <c r="J726" t="s">
        <v>7754</v>
      </c>
      <c r="K726" t="s">
        <v>7755</v>
      </c>
      <c r="L726" s="11" t="s">
        <v>7754</v>
      </c>
    </row>
    <row r="727" spans="1:12">
      <c r="A727" t="s">
        <v>7756</v>
      </c>
      <c r="B727" s="9">
        <v>2440</v>
      </c>
      <c r="C727" s="9">
        <v>4.059539</v>
      </c>
      <c r="D727">
        <v>2</v>
      </c>
      <c r="E727">
        <v>2</v>
      </c>
      <c r="F727">
        <v>1</v>
      </c>
      <c r="G727" s="10">
        <v>0.5</v>
      </c>
      <c r="H727" t="s">
        <v>46</v>
      </c>
      <c r="I727" t="s">
        <v>1957</v>
      </c>
      <c r="J727" t="s">
        <v>7757</v>
      </c>
      <c r="K727" t="s">
        <v>7758</v>
      </c>
      <c r="L727" s="11" t="s">
        <v>7757</v>
      </c>
    </row>
    <row r="728" spans="1:12">
      <c r="A728" t="s">
        <v>7759</v>
      </c>
      <c r="B728" s="9">
        <v>2310</v>
      </c>
      <c r="C728" s="9">
        <v>3.0541019999999999</v>
      </c>
      <c r="D728">
        <v>2</v>
      </c>
      <c r="E728">
        <v>1</v>
      </c>
      <c r="F728">
        <v>2</v>
      </c>
      <c r="G728" s="10">
        <v>1</v>
      </c>
      <c r="H728" t="s">
        <v>46</v>
      </c>
      <c r="I728" t="s">
        <v>1957</v>
      </c>
      <c r="J728" t="s">
        <v>7760</v>
      </c>
      <c r="K728" t="s">
        <v>7761</v>
      </c>
      <c r="L728" s="11" t="s">
        <v>7760</v>
      </c>
    </row>
    <row r="729" spans="1:12">
      <c r="A729" t="s">
        <v>7762</v>
      </c>
      <c r="B729" s="9">
        <v>4605</v>
      </c>
      <c r="C729" s="9">
        <v>6.112527</v>
      </c>
      <c r="D729">
        <v>4</v>
      </c>
      <c r="E729">
        <v>4</v>
      </c>
      <c r="F729">
        <v>4</v>
      </c>
      <c r="G729" s="10">
        <v>1</v>
      </c>
      <c r="H729" t="s">
        <v>46</v>
      </c>
      <c r="I729" t="s">
        <v>1957</v>
      </c>
      <c r="J729" t="s">
        <v>7763</v>
      </c>
      <c r="K729" t="s">
        <v>7764</v>
      </c>
      <c r="L729" s="11" t="s">
        <v>7763</v>
      </c>
    </row>
    <row r="730" spans="1:12">
      <c r="A730" t="s">
        <v>7765</v>
      </c>
      <c r="B730" s="9">
        <v>5713</v>
      </c>
      <c r="C730" s="9">
        <v>27.266349000000002</v>
      </c>
      <c r="D730">
        <v>5</v>
      </c>
      <c r="E730">
        <v>5</v>
      </c>
      <c r="F730">
        <v>4</v>
      </c>
      <c r="G730" s="10">
        <v>0.8</v>
      </c>
      <c r="H730" t="s">
        <v>46</v>
      </c>
      <c r="I730" t="s">
        <v>1957</v>
      </c>
      <c r="J730" t="s">
        <v>7766</v>
      </c>
      <c r="K730" t="s">
        <v>7767</v>
      </c>
      <c r="L730" s="11" t="s">
        <v>7766</v>
      </c>
    </row>
    <row r="731" spans="1:12">
      <c r="A731" t="s">
        <v>7768</v>
      </c>
      <c r="B731" s="9">
        <v>4799</v>
      </c>
      <c r="C731" s="9">
        <v>82.955734000000007</v>
      </c>
      <c r="D731">
        <v>4</v>
      </c>
      <c r="E731">
        <v>4</v>
      </c>
      <c r="F731">
        <v>4</v>
      </c>
      <c r="G731" s="10">
        <v>1</v>
      </c>
      <c r="H731" t="s">
        <v>46</v>
      </c>
      <c r="I731" t="s">
        <v>1957</v>
      </c>
      <c r="J731" t="s">
        <v>7769</v>
      </c>
      <c r="K731" t="s">
        <v>7770</v>
      </c>
      <c r="L731" s="11" t="s">
        <v>7771</v>
      </c>
    </row>
    <row r="732" spans="1:12">
      <c r="A732" t="s">
        <v>7772</v>
      </c>
      <c r="B732" s="9">
        <v>2396</v>
      </c>
      <c r="C732" s="9">
        <v>3.3199489999999998</v>
      </c>
      <c r="D732">
        <v>2</v>
      </c>
      <c r="E732">
        <v>2</v>
      </c>
      <c r="F732">
        <v>2</v>
      </c>
      <c r="G732" s="10">
        <v>1</v>
      </c>
      <c r="H732" t="s">
        <v>46</v>
      </c>
      <c r="I732" t="s">
        <v>1957</v>
      </c>
      <c r="J732" t="s">
        <v>7773</v>
      </c>
      <c r="K732" t="s">
        <v>7774</v>
      </c>
      <c r="L732" s="11" t="s">
        <v>7773</v>
      </c>
    </row>
    <row r="733" spans="1:12">
      <c r="A733" t="s">
        <v>7775</v>
      </c>
      <c r="B733" s="9">
        <v>4893</v>
      </c>
      <c r="C733" s="9">
        <v>5.145308</v>
      </c>
      <c r="D733">
        <v>4</v>
      </c>
      <c r="E733">
        <v>3</v>
      </c>
      <c r="F733">
        <v>3</v>
      </c>
      <c r="G733" s="10">
        <v>0.75</v>
      </c>
      <c r="H733" t="s">
        <v>46</v>
      </c>
      <c r="I733" t="s">
        <v>1957</v>
      </c>
      <c r="J733" t="s">
        <v>7776</v>
      </c>
      <c r="K733" t="s">
        <v>7777</v>
      </c>
      <c r="L733" s="11" t="s">
        <v>7778</v>
      </c>
    </row>
    <row r="734" spans="1:12">
      <c r="A734" t="s">
        <v>7779</v>
      </c>
      <c r="B734" s="9">
        <v>2598</v>
      </c>
      <c r="C734" s="9">
        <v>4.3055450000000004</v>
      </c>
      <c r="D734">
        <v>2</v>
      </c>
      <c r="E734">
        <v>1</v>
      </c>
      <c r="F734">
        <v>1</v>
      </c>
      <c r="G734" s="10">
        <v>0.5</v>
      </c>
      <c r="H734" t="s">
        <v>46</v>
      </c>
      <c r="I734" t="s">
        <v>1957</v>
      </c>
      <c r="J734" t="s">
        <v>7780</v>
      </c>
      <c r="K734" t="s">
        <v>7781</v>
      </c>
      <c r="L734" s="11" t="s">
        <v>7780</v>
      </c>
    </row>
    <row r="735" spans="1:12">
      <c r="A735" t="s">
        <v>7782</v>
      </c>
      <c r="B735" s="9">
        <v>2288</v>
      </c>
      <c r="C735" s="9">
        <v>2.989252</v>
      </c>
      <c r="D735">
        <v>1</v>
      </c>
      <c r="E735">
        <v>1</v>
      </c>
      <c r="F735">
        <v>1</v>
      </c>
      <c r="G735" s="10">
        <v>1</v>
      </c>
      <c r="H735" t="s">
        <v>46</v>
      </c>
      <c r="I735" t="s">
        <v>1957</v>
      </c>
      <c r="J735" t="s">
        <v>7783</v>
      </c>
      <c r="K735" t="s">
        <v>7784</v>
      </c>
      <c r="L735" s="11" t="s">
        <v>7783</v>
      </c>
    </row>
    <row r="736" spans="1:12">
      <c r="A736" t="s">
        <v>7785</v>
      </c>
      <c r="B736" s="9">
        <v>2965</v>
      </c>
      <c r="C736" s="9">
        <v>6.3058420000000002</v>
      </c>
      <c r="D736">
        <v>2</v>
      </c>
      <c r="E736">
        <v>2</v>
      </c>
      <c r="F736">
        <v>2</v>
      </c>
      <c r="G736" s="10">
        <v>1</v>
      </c>
      <c r="H736" t="s">
        <v>46</v>
      </c>
      <c r="I736" t="s">
        <v>1957</v>
      </c>
      <c r="J736" t="s">
        <v>7786</v>
      </c>
      <c r="K736" t="s">
        <v>7787</v>
      </c>
      <c r="L736" s="11" t="s">
        <v>7786</v>
      </c>
    </row>
    <row r="737" spans="1:12">
      <c r="A737" t="s">
        <v>7788</v>
      </c>
      <c r="B737" s="9">
        <v>3411</v>
      </c>
      <c r="C737" s="9">
        <v>3.678188</v>
      </c>
      <c r="D737">
        <v>3</v>
      </c>
      <c r="E737">
        <v>3</v>
      </c>
      <c r="F737">
        <v>2</v>
      </c>
      <c r="G737" s="10">
        <v>0.66666666666666663</v>
      </c>
      <c r="H737" t="s">
        <v>46</v>
      </c>
      <c r="I737" t="s">
        <v>1957</v>
      </c>
      <c r="J737" t="s">
        <v>7789</v>
      </c>
      <c r="K737" t="s">
        <v>7790</v>
      </c>
      <c r="L737" s="11" t="s">
        <v>7791</v>
      </c>
    </row>
    <row r="738" spans="1:12">
      <c r="A738" t="s">
        <v>7792</v>
      </c>
      <c r="B738" s="9">
        <v>8728</v>
      </c>
      <c r="C738" s="9">
        <v>5.3636569999999999</v>
      </c>
      <c r="D738">
        <v>9</v>
      </c>
      <c r="E738">
        <v>9</v>
      </c>
      <c r="F738">
        <v>8</v>
      </c>
      <c r="G738" s="10">
        <v>0.88888888888888884</v>
      </c>
      <c r="H738" t="s">
        <v>46</v>
      </c>
      <c r="I738" t="s">
        <v>1957</v>
      </c>
      <c r="J738" t="s">
        <v>7793</v>
      </c>
      <c r="K738" t="s">
        <v>7794</v>
      </c>
      <c r="L738" s="11" t="s">
        <v>7795</v>
      </c>
    </row>
    <row r="739" spans="1:12">
      <c r="A739" t="s">
        <v>7796</v>
      </c>
      <c r="B739" s="9">
        <v>3912</v>
      </c>
      <c r="C739" s="9">
        <v>2.7443610000000001</v>
      </c>
      <c r="D739">
        <v>3</v>
      </c>
      <c r="E739">
        <v>3</v>
      </c>
      <c r="F739">
        <v>3</v>
      </c>
      <c r="G739" s="10">
        <v>1</v>
      </c>
      <c r="H739" t="s">
        <v>46</v>
      </c>
      <c r="I739" t="s">
        <v>1957</v>
      </c>
      <c r="J739" t="s">
        <v>7797</v>
      </c>
      <c r="K739" t="s">
        <v>7798</v>
      </c>
      <c r="L739" s="11" t="s">
        <v>7797</v>
      </c>
    </row>
    <row r="740" spans="1:12">
      <c r="A740" t="s">
        <v>7799</v>
      </c>
      <c r="B740" s="9">
        <v>2155</v>
      </c>
      <c r="C740" s="9">
        <v>40.975714000000004</v>
      </c>
      <c r="D740">
        <v>2</v>
      </c>
      <c r="E740">
        <v>2</v>
      </c>
      <c r="F740">
        <v>1</v>
      </c>
      <c r="G740" s="10">
        <v>0.5</v>
      </c>
      <c r="H740" t="s">
        <v>46</v>
      </c>
      <c r="I740" t="s">
        <v>1957</v>
      </c>
      <c r="J740" t="s">
        <v>7800</v>
      </c>
      <c r="K740" t="s">
        <v>7801</v>
      </c>
      <c r="L740" s="11" t="s">
        <v>7800</v>
      </c>
    </row>
    <row r="741" spans="1:12">
      <c r="A741" t="s">
        <v>7802</v>
      </c>
      <c r="B741" s="9">
        <v>2232</v>
      </c>
      <c r="C741" s="9">
        <v>3.7528709999999998</v>
      </c>
      <c r="D741">
        <v>2</v>
      </c>
      <c r="E741">
        <v>2</v>
      </c>
      <c r="F741">
        <v>1</v>
      </c>
      <c r="G741" s="10">
        <v>0.5</v>
      </c>
      <c r="H741" t="s">
        <v>46</v>
      </c>
      <c r="I741" t="s">
        <v>1957</v>
      </c>
      <c r="J741" t="s">
        <v>7803</v>
      </c>
      <c r="K741" t="s">
        <v>7804</v>
      </c>
      <c r="L741" s="11" t="s">
        <v>7712</v>
      </c>
    </row>
    <row r="742" spans="1:12">
      <c r="A742" t="s">
        <v>7805</v>
      </c>
      <c r="B742" s="9">
        <v>4053</v>
      </c>
      <c r="C742" s="9">
        <v>6.845923</v>
      </c>
      <c r="D742">
        <v>2</v>
      </c>
      <c r="E742">
        <v>2</v>
      </c>
      <c r="F742">
        <v>2</v>
      </c>
      <c r="G742" s="10">
        <v>1</v>
      </c>
      <c r="H742" t="s">
        <v>46</v>
      </c>
      <c r="I742" t="s">
        <v>1957</v>
      </c>
      <c r="J742" t="s">
        <v>7806</v>
      </c>
      <c r="K742" t="s">
        <v>7807</v>
      </c>
      <c r="L742" s="11" t="s">
        <v>7806</v>
      </c>
    </row>
    <row r="743" spans="1:12">
      <c r="A743" t="s">
        <v>7808</v>
      </c>
      <c r="B743" s="9">
        <v>2719</v>
      </c>
      <c r="C743" s="9">
        <v>4.7879129999999996</v>
      </c>
      <c r="D743">
        <v>2</v>
      </c>
      <c r="E743">
        <v>2</v>
      </c>
      <c r="F743">
        <v>2</v>
      </c>
      <c r="G743" s="10">
        <v>1</v>
      </c>
      <c r="H743" t="s">
        <v>46</v>
      </c>
      <c r="I743" t="s">
        <v>1957</v>
      </c>
      <c r="J743" t="s">
        <v>7809</v>
      </c>
      <c r="K743" t="s">
        <v>7810</v>
      </c>
      <c r="L743" s="11" t="s">
        <v>7809</v>
      </c>
    </row>
    <row r="744" spans="1:12">
      <c r="A744" t="s">
        <v>7811</v>
      </c>
      <c r="B744" s="9">
        <v>2581</v>
      </c>
      <c r="C744" s="9">
        <v>8.8131430000000002</v>
      </c>
      <c r="D744">
        <v>3</v>
      </c>
      <c r="E744">
        <v>2</v>
      </c>
      <c r="F744">
        <v>2</v>
      </c>
      <c r="G744" s="10">
        <v>0.66666666666666663</v>
      </c>
      <c r="H744" t="s">
        <v>46</v>
      </c>
      <c r="I744" t="s">
        <v>1957</v>
      </c>
      <c r="J744" t="s">
        <v>7809</v>
      </c>
      <c r="K744" t="s">
        <v>7810</v>
      </c>
      <c r="L744" s="11" t="s">
        <v>7809</v>
      </c>
    </row>
    <row r="745" spans="1:12">
      <c r="A745" t="s">
        <v>7812</v>
      </c>
      <c r="B745" s="9">
        <v>5917</v>
      </c>
      <c r="C745" s="9">
        <v>12.410610999999999</v>
      </c>
      <c r="D745">
        <v>4</v>
      </c>
      <c r="E745">
        <v>3</v>
      </c>
      <c r="F745">
        <v>3</v>
      </c>
      <c r="G745" s="10">
        <v>0.75</v>
      </c>
      <c r="H745" t="s">
        <v>46</v>
      </c>
      <c r="I745" t="s">
        <v>1957</v>
      </c>
      <c r="J745" t="s">
        <v>7813</v>
      </c>
      <c r="K745" t="s">
        <v>7814</v>
      </c>
      <c r="L745" s="11" t="s">
        <v>7815</v>
      </c>
    </row>
    <row r="746" spans="1:12">
      <c r="A746" t="s">
        <v>7816</v>
      </c>
      <c r="B746" s="9">
        <v>7538</v>
      </c>
      <c r="C746" s="9">
        <v>4.8190569999999999</v>
      </c>
      <c r="D746">
        <v>2</v>
      </c>
      <c r="E746">
        <v>2</v>
      </c>
      <c r="F746">
        <v>2</v>
      </c>
      <c r="G746" s="10">
        <v>1</v>
      </c>
      <c r="H746" t="s">
        <v>46</v>
      </c>
      <c r="I746" t="s">
        <v>1957</v>
      </c>
      <c r="J746" t="s">
        <v>7817</v>
      </c>
      <c r="K746" t="s">
        <v>7818</v>
      </c>
      <c r="L746" s="11" t="s">
        <v>7819</v>
      </c>
    </row>
    <row r="747" spans="1:12">
      <c r="A747" t="s">
        <v>7820</v>
      </c>
      <c r="B747" s="9">
        <v>6686</v>
      </c>
      <c r="C747" s="9">
        <v>5.0147789999999999</v>
      </c>
      <c r="D747">
        <v>4</v>
      </c>
      <c r="E747">
        <v>4</v>
      </c>
      <c r="F747">
        <v>4</v>
      </c>
      <c r="G747" s="10">
        <v>1</v>
      </c>
      <c r="H747" t="s">
        <v>46</v>
      </c>
      <c r="I747" t="s">
        <v>1957</v>
      </c>
      <c r="J747" t="s">
        <v>7821</v>
      </c>
      <c r="K747" t="s">
        <v>7818</v>
      </c>
      <c r="L747" s="11" t="s">
        <v>7821</v>
      </c>
    </row>
    <row r="748" spans="1:12">
      <c r="A748" t="s">
        <v>7822</v>
      </c>
      <c r="B748" s="9">
        <v>3279</v>
      </c>
      <c r="C748" s="9">
        <v>9.05335</v>
      </c>
      <c r="D748">
        <v>2</v>
      </c>
      <c r="E748">
        <v>2</v>
      </c>
      <c r="F748">
        <v>2</v>
      </c>
      <c r="G748" s="10">
        <v>1</v>
      </c>
      <c r="H748" t="s">
        <v>46</v>
      </c>
      <c r="I748" t="s">
        <v>1957</v>
      </c>
      <c r="J748" t="s">
        <v>7823</v>
      </c>
      <c r="K748" t="s">
        <v>7824</v>
      </c>
      <c r="L748" s="11" t="s">
        <v>7823</v>
      </c>
    </row>
    <row r="749" spans="1:12">
      <c r="A749" t="s">
        <v>7825</v>
      </c>
      <c r="B749" s="9">
        <v>23028</v>
      </c>
      <c r="C749" s="9">
        <v>12.499021000000001</v>
      </c>
      <c r="D749">
        <v>8</v>
      </c>
      <c r="E749">
        <v>6</v>
      </c>
      <c r="F749">
        <v>5</v>
      </c>
      <c r="G749" s="10">
        <v>0.625</v>
      </c>
      <c r="H749" t="s">
        <v>46</v>
      </c>
      <c r="I749" t="s">
        <v>1957</v>
      </c>
      <c r="J749" t="s">
        <v>7826</v>
      </c>
      <c r="K749" t="s">
        <v>7827</v>
      </c>
      <c r="L749" s="11" t="s">
        <v>7828</v>
      </c>
    </row>
    <row r="750" spans="1:12">
      <c r="A750" t="s">
        <v>7829</v>
      </c>
      <c r="B750" s="9">
        <v>2085</v>
      </c>
      <c r="C750" s="9">
        <v>3.404433</v>
      </c>
      <c r="D750">
        <v>2</v>
      </c>
      <c r="E750">
        <v>2</v>
      </c>
      <c r="F750">
        <v>2</v>
      </c>
      <c r="G750" s="10">
        <v>1</v>
      </c>
      <c r="H750" t="s">
        <v>46</v>
      </c>
      <c r="I750" t="s">
        <v>1957</v>
      </c>
      <c r="J750" t="s">
        <v>7830</v>
      </c>
      <c r="K750" t="s">
        <v>7831</v>
      </c>
      <c r="L750" s="11" t="s">
        <v>7830</v>
      </c>
    </row>
    <row r="751" spans="1:12">
      <c r="A751" t="s">
        <v>7832</v>
      </c>
      <c r="B751" s="9">
        <v>3283</v>
      </c>
      <c r="C751" s="9">
        <v>4.5142499999999997</v>
      </c>
      <c r="D751">
        <v>5</v>
      </c>
      <c r="E751">
        <v>5</v>
      </c>
      <c r="F751">
        <v>4</v>
      </c>
      <c r="G751" s="10">
        <v>0.8</v>
      </c>
      <c r="H751" t="s">
        <v>46</v>
      </c>
      <c r="I751" t="s">
        <v>1957</v>
      </c>
      <c r="J751" t="s">
        <v>7833</v>
      </c>
      <c r="K751" t="s">
        <v>7831</v>
      </c>
      <c r="L751" s="11" t="s">
        <v>7833</v>
      </c>
    </row>
    <row r="752" spans="1:12">
      <c r="A752" t="s">
        <v>7834</v>
      </c>
      <c r="B752" s="9">
        <v>2619</v>
      </c>
      <c r="C752" s="9">
        <v>4.4278469999999999</v>
      </c>
      <c r="D752">
        <v>3</v>
      </c>
      <c r="E752">
        <v>2</v>
      </c>
      <c r="F752">
        <v>2</v>
      </c>
      <c r="G752" s="10">
        <v>0.66666666666666663</v>
      </c>
      <c r="H752" t="s">
        <v>46</v>
      </c>
      <c r="I752" t="s">
        <v>1957</v>
      </c>
      <c r="J752" t="s">
        <v>7830</v>
      </c>
      <c r="K752" t="s">
        <v>7831</v>
      </c>
      <c r="L752" s="11" t="s">
        <v>7830</v>
      </c>
    </row>
    <row r="753" spans="1:12">
      <c r="A753" t="s">
        <v>7835</v>
      </c>
      <c r="B753" s="9">
        <v>27614</v>
      </c>
      <c r="C753" s="9">
        <v>18.965347000000001</v>
      </c>
      <c r="D753">
        <v>20</v>
      </c>
      <c r="E753">
        <v>18</v>
      </c>
      <c r="F753">
        <v>15</v>
      </c>
      <c r="G753" s="10">
        <v>0.75</v>
      </c>
      <c r="H753" t="s">
        <v>46</v>
      </c>
      <c r="I753" t="s">
        <v>1957</v>
      </c>
      <c r="J753" t="s">
        <v>7836</v>
      </c>
      <c r="K753" t="s">
        <v>7837</v>
      </c>
      <c r="L753" s="11" t="s">
        <v>7838</v>
      </c>
    </row>
    <row r="754" spans="1:12">
      <c r="A754" t="s">
        <v>7839</v>
      </c>
      <c r="B754" s="9">
        <v>4831</v>
      </c>
      <c r="C754" s="9">
        <v>6.1277220000000003</v>
      </c>
      <c r="D754">
        <v>3</v>
      </c>
      <c r="E754">
        <v>2</v>
      </c>
      <c r="F754">
        <v>3</v>
      </c>
      <c r="G754" s="10">
        <v>1</v>
      </c>
      <c r="H754" t="s">
        <v>46</v>
      </c>
      <c r="I754" t="s">
        <v>1957</v>
      </c>
      <c r="J754" t="s">
        <v>7840</v>
      </c>
      <c r="K754" t="s">
        <v>7841</v>
      </c>
      <c r="L754" s="11" t="s">
        <v>7830</v>
      </c>
    </row>
    <row r="755" spans="1:12">
      <c r="A755" t="s">
        <v>7842</v>
      </c>
      <c r="B755" s="9">
        <v>2097</v>
      </c>
      <c r="C755" s="9">
        <v>3.3579819999999998</v>
      </c>
      <c r="D755">
        <v>1</v>
      </c>
      <c r="E755">
        <v>1</v>
      </c>
      <c r="F755">
        <v>1</v>
      </c>
      <c r="G755" s="10">
        <v>1</v>
      </c>
      <c r="H755" t="s">
        <v>46</v>
      </c>
      <c r="I755" t="s">
        <v>1957</v>
      </c>
      <c r="J755" t="s">
        <v>7843</v>
      </c>
      <c r="K755" t="s">
        <v>7844</v>
      </c>
      <c r="L755" s="11" t="s">
        <v>7843</v>
      </c>
    </row>
    <row r="756" spans="1:12">
      <c r="A756" t="s">
        <v>7845</v>
      </c>
      <c r="B756" s="9">
        <v>2224</v>
      </c>
      <c r="C756" s="9">
        <v>3.1945600000000001</v>
      </c>
      <c r="D756">
        <v>3</v>
      </c>
      <c r="E756">
        <v>2</v>
      </c>
      <c r="F756">
        <v>1</v>
      </c>
      <c r="G756" s="10">
        <v>0.33333333333333331</v>
      </c>
      <c r="H756" t="s">
        <v>46</v>
      </c>
      <c r="I756" t="s">
        <v>1957</v>
      </c>
      <c r="J756" t="s">
        <v>7843</v>
      </c>
      <c r="K756" t="s">
        <v>7844</v>
      </c>
      <c r="L756" s="11" t="s">
        <v>7843</v>
      </c>
    </row>
    <row r="757" spans="1:12">
      <c r="A757" t="s">
        <v>7846</v>
      </c>
      <c r="B757" s="9">
        <v>4594</v>
      </c>
      <c r="C757" s="9">
        <v>3.888522</v>
      </c>
      <c r="D757">
        <v>3</v>
      </c>
      <c r="E757">
        <v>3</v>
      </c>
      <c r="F757">
        <v>3</v>
      </c>
      <c r="G757" s="10">
        <v>1</v>
      </c>
      <c r="H757" t="s">
        <v>46</v>
      </c>
      <c r="I757" t="s">
        <v>1957</v>
      </c>
      <c r="J757" t="s">
        <v>7847</v>
      </c>
      <c r="K757" t="s">
        <v>7848</v>
      </c>
      <c r="L757" s="11" t="s">
        <v>7849</v>
      </c>
    </row>
    <row r="758" spans="1:12">
      <c r="A758" t="s">
        <v>7850</v>
      </c>
      <c r="B758" s="9">
        <v>3585</v>
      </c>
      <c r="C758" s="9">
        <v>3.4328609999999999</v>
      </c>
      <c r="D758">
        <v>4</v>
      </c>
      <c r="E758">
        <v>3</v>
      </c>
      <c r="F758">
        <v>4</v>
      </c>
      <c r="G758" s="10">
        <v>1</v>
      </c>
      <c r="H758" t="s">
        <v>46</v>
      </c>
      <c r="I758" t="s">
        <v>1957</v>
      </c>
      <c r="J758" t="s">
        <v>7851</v>
      </c>
      <c r="K758" t="s">
        <v>7852</v>
      </c>
      <c r="L758" s="11" t="s">
        <v>7851</v>
      </c>
    </row>
    <row r="759" spans="1:12">
      <c r="A759" t="s">
        <v>7853</v>
      </c>
      <c r="B759" s="9">
        <v>2112</v>
      </c>
      <c r="C759" s="9">
        <v>80.614973000000006</v>
      </c>
      <c r="D759">
        <v>1</v>
      </c>
      <c r="E759">
        <v>1</v>
      </c>
      <c r="F759">
        <v>1</v>
      </c>
      <c r="G759" s="10">
        <v>1</v>
      </c>
      <c r="H759" t="s">
        <v>46</v>
      </c>
      <c r="I759" t="s">
        <v>1957</v>
      </c>
      <c r="J759" t="s">
        <v>7851</v>
      </c>
      <c r="K759" t="s">
        <v>7852</v>
      </c>
      <c r="L759" s="11" t="s">
        <v>7851</v>
      </c>
    </row>
    <row r="760" spans="1:12">
      <c r="A760" t="s">
        <v>7854</v>
      </c>
      <c r="B760" s="9">
        <v>20518</v>
      </c>
      <c r="C760" s="9">
        <v>10.265748</v>
      </c>
      <c r="D760">
        <v>17</v>
      </c>
      <c r="E760">
        <v>15</v>
      </c>
      <c r="F760">
        <v>14</v>
      </c>
      <c r="G760" s="10">
        <v>0.82352941176470584</v>
      </c>
      <c r="H760" t="s">
        <v>46</v>
      </c>
      <c r="I760" t="s">
        <v>1957</v>
      </c>
      <c r="J760" t="s">
        <v>7855</v>
      </c>
      <c r="K760" t="s">
        <v>7856</v>
      </c>
      <c r="L760" s="11" t="s">
        <v>7855</v>
      </c>
    </row>
    <row r="761" spans="1:12">
      <c r="A761" t="s">
        <v>7857</v>
      </c>
      <c r="B761" s="9">
        <v>14003</v>
      </c>
      <c r="C761" s="9">
        <v>6.2023950000000001</v>
      </c>
      <c r="D761">
        <v>13</v>
      </c>
      <c r="E761">
        <v>13</v>
      </c>
      <c r="F761">
        <v>13</v>
      </c>
      <c r="G761" s="10">
        <v>1</v>
      </c>
      <c r="H761" t="s">
        <v>46</v>
      </c>
      <c r="I761" t="s">
        <v>1957</v>
      </c>
      <c r="J761" t="s">
        <v>7858</v>
      </c>
      <c r="K761" t="s">
        <v>7859</v>
      </c>
      <c r="L761" s="11" t="s">
        <v>7860</v>
      </c>
    </row>
    <row r="762" spans="1:12">
      <c r="A762" t="s">
        <v>7861</v>
      </c>
      <c r="B762" s="9">
        <v>5574</v>
      </c>
      <c r="C762" s="9">
        <v>4.8333029999999999</v>
      </c>
      <c r="D762">
        <v>3</v>
      </c>
      <c r="E762">
        <v>3</v>
      </c>
      <c r="F762">
        <v>3</v>
      </c>
      <c r="G762" s="10">
        <v>1</v>
      </c>
      <c r="H762" t="s">
        <v>46</v>
      </c>
      <c r="I762" t="s">
        <v>1957</v>
      </c>
      <c r="J762" t="s">
        <v>7862</v>
      </c>
      <c r="K762" t="s">
        <v>7863</v>
      </c>
      <c r="L762" s="11" t="s">
        <v>7864</v>
      </c>
    </row>
    <row r="763" spans="1:12">
      <c r="A763" t="s">
        <v>7865</v>
      </c>
      <c r="B763" s="9">
        <v>37390</v>
      </c>
      <c r="C763" s="9">
        <v>21.424507999999999</v>
      </c>
      <c r="D763">
        <v>27</v>
      </c>
      <c r="E763">
        <v>24</v>
      </c>
      <c r="F763">
        <v>24</v>
      </c>
      <c r="G763" s="10">
        <v>0.88888888888888884</v>
      </c>
      <c r="H763" t="s">
        <v>46</v>
      </c>
      <c r="I763" t="s">
        <v>1957</v>
      </c>
      <c r="J763" t="s">
        <v>7866</v>
      </c>
      <c r="K763" t="s">
        <v>7867</v>
      </c>
      <c r="L763" s="11" t="s">
        <v>7866</v>
      </c>
    </row>
    <row r="764" spans="1:12">
      <c r="A764" t="s">
        <v>7868</v>
      </c>
      <c r="B764" s="9">
        <v>2673</v>
      </c>
      <c r="C764" s="9">
        <v>4.0366689999999998</v>
      </c>
      <c r="D764">
        <v>1</v>
      </c>
      <c r="E764">
        <v>1</v>
      </c>
      <c r="F764">
        <v>1</v>
      </c>
      <c r="G764" s="10">
        <v>1</v>
      </c>
      <c r="H764" t="s">
        <v>46</v>
      </c>
      <c r="I764" t="s">
        <v>1957</v>
      </c>
      <c r="J764" t="s">
        <v>7869</v>
      </c>
      <c r="K764" t="s">
        <v>7870</v>
      </c>
      <c r="L764" s="11" t="s">
        <v>7869</v>
      </c>
    </row>
    <row r="765" spans="1:12">
      <c r="A765" t="s">
        <v>7871</v>
      </c>
      <c r="B765" s="9">
        <v>2189</v>
      </c>
      <c r="C765" s="9">
        <v>4.7760069999999999</v>
      </c>
      <c r="D765">
        <v>2</v>
      </c>
      <c r="E765">
        <v>2</v>
      </c>
      <c r="F765">
        <v>2</v>
      </c>
      <c r="G765" s="10">
        <v>1</v>
      </c>
      <c r="H765" t="s">
        <v>46</v>
      </c>
      <c r="I765" t="s">
        <v>1957</v>
      </c>
      <c r="J765" t="s">
        <v>7872</v>
      </c>
      <c r="K765" t="s">
        <v>7873</v>
      </c>
      <c r="L765" s="11" t="s">
        <v>7874</v>
      </c>
    </row>
    <row r="766" spans="1:12">
      <c r="A766" t="s">
        <v>7875</v>
      </c>
      <c r="B766" s="9">
        <v>2065</v>
      </c>
      <c r="C766" s="9">
        <v>4.4756220000000004</v>
      </c>
      <c r="D766">
        <v>2</v>
      </c>
      <c r="E766">
        <v>2</v>
      </c>
      <c r="F766">
        <v>2</v>
      </c>
      <c r="G766" s="10">
        <v>1</v>
      </c>
      <c r="H766" t="s">
        <v>46</v>
      </c>
      <c r="I766" t="s">
        <v>1957</v>
      </c>
      <c r="J766" t="s">
        <v>7876</v>
      </c>
      <c r="K766" t="s">
        <v>7877</v>
      </c>
      <c r="L766" s="11" t="s">
        <v>7876</v>
      </c>
    </row>
    <row r="767" spans="1:12">
      <c r="A767" t="s">
        <v>7878</v>
      </c>
      <c r="B767" s="9">
        <v>3031</v>
      </c>
      <c r="C767" s="9">
        <v>4.0440189999999996</v>
      </c>
      <c r="D767">
        <v>2</v>
      </c>
      <c r="E767">
        <v>2</v>
      </c>
      <c r="F767">
        <v>2</v>
      </c>
      <c r="G767" s="10">
        <v>1</v>
      </c>
      <c r="H767" t="s">
        <v>46</v>
      </c>
      <c r="I767" t="s">
        <v>1957</v>
      </c>
      <c r="J767" t="s">
        <v>7879</v>
      </c>
      <c r="K767" t="s">
        <v>7880</v>
      </c>
      <c r="L767" s="11" t="s">
        <v>7879</v>
      </c>
    </row>
    <row r="768" spans="1:12">
      <c r="A768" t="s">
        <v>7881</v>
      </c>
      <c r="B768" s="9">
        <v>3472</v>
      </c>
      <c r="C768" s="9">
        <v>83.769681000000006</v>
      </c>
      <c r="D768">
        <v>2</v>
      </c>
      <c r="E768">
        <v>2</v>
      </c>
      <c r="F768">
        <v>1</v>
      </c>
      <c r="G768" s="10">
        <v>0.5</v>
      </c>
      <c r="H768" t="s">
        <v>46</v>
      </c>
      <c r="I768" t="s">
        <v>1957</v>
      </c>
      <c r="J768" t="s">
        <v>7879</v>
      </c>
      <c r="K768" t="s">
        <v>7880</v>
      </c>
      <c r="L768" s="11" t="s">
        <v>7879</v>
      </c>
    </row>
    <row r="769" spans="1:12">
      <c r="A769" t="s">
        <v>7882</v>
      </c>
      <c r="B769" s="9">
        <v>3950</v>
      </c>
      <c r="C769" s="9">
        <v>11.532734</v>
      </c>
      <c r="D769">
        <v>1</v>
      </c>
      <c r="E769">
        <v>1</v>
      </c>
      <c r="F769">
        <v>1</v>
      </c>
      <c r="G769" s="10">
        <v>1</v>
      </c>
      <c r="H769" t="s">
        <v>46</v>
      </c>
      <c r="I769" t="s">
        <v>1957</v>
      </c>
      <c r="J769" t="s">
        <v>7883</v>
      </c>
      <c r="K769" t="s">
        <v>7884</v>
      </c>
      <c r="L769" s="11" t="s">
        <v>7883</v>
      </c>
    </row>
    <row r="770" spans="1:12">
      <c r="A770" t="s">
        <v>7885</v>
      </c>
      <c r="B770" s="9">
        <v>2720</v>
      </c>
      <c r="C770" s="9">
        <v>6.3883679999999998</v>
      </c>
      <c r="D770">
        <v>1</v>
      </c>
      <c r="E770">
        <v>1</v>
      </c>
      <c r="F770">
        <v>1</v>
      </c>
      <c r="G770" s="10">
        <v>1</v>
      </c>
      <c r="H770" t="s">
        <v>46</v>
      </c>
      <c r="I770" t="s">
        <v>1957</v>
      </c>
      <c r="J770" t="s">
        <v>7883</v>
      </c>
      <c r="K770" t="s">
        <v>7884</v>
      </c>
      <c r="L770" s="11" t="s">
        <v>7883</v>
      </c>
    </row>
    <row r="771" spans="1:12">
      <c r="A771" t="s">
        <v>7886</v>
      </c>
      <c r="B771" s="9">
        <v>2120</v>
      </c>
      <c r="C771" s="9">
        <v>3.249879</v>
      </c>
      <c r="D771">
        <v>2</v>
      </c>
      <c r="E771">
        <v>2</v>
      </c>
      <c r="F771">
        <v>2</v>
      </c>
      <c r="G771" s="10">
        <v>1</v>
      </c>
      <c r="H771" t="s">
        <v>46</v>
      </c>
      <c r="I771" t="s">
        <v>1957</v>
      </c>
      <c r="J771" t="s">
        <v>7883</v>
      </c>
      <c r="K771" t="s">
        <v>7884</v>
      </c>
      <c r="L771" s="11" t="s">
        <v>7883</v>
      </c>
    </row>
    <row r="772" spans="1:12">
      <c r="A772" t="s">
        <v>7887</v>
      </c>
      <c r="B772" s="9">
        <v>2066</v>
      </c>
      <c r="C772" s="9">
        <v>8.3157630000000005</v>
      </c>
      <c r="D772">
        <v>1</v>
      </c>
      <c r="E772">
        <v>1</v>
      </c>
      <c r="F772">
        <v>1</v>
      </c>
      <c r="G772" s="10">
        <v>1</v>
      </c>
      <c r="H772" t="s">
        <v>46</v>
      </c>
      <c r="I772" t="s">
        <v>1957</v>
      </c>
      <c r="J772" t="s">
        <v>7883</v>
      </c>
      <c r="K772" t="s">
        <v>7884</v>
      </c>
      <c r="L772" s="11" t="s">
        <v>7883</v>
      </c>
    </row>
    <row r="773" spans="1:12">
      <c r="A773" t="s">
        <v>7888</v>
      </c>
      <c r="B773" s="9">
        <v>4257</v>
      </c>
      <c r="C773" s="9">
        <v>5.4650169999999996</v>
      </c>
      <c r="D773">
        <v>2</v>
      </c>
      <c r="E773">
        <v>2</v>
      </c>
      <c r="F773">
        <v>1</v>
      </c>
      <c r="G773" s="10">
        <v>0.5</v>
      </c>
      <c r="H773" t="s">
        <v>46</v>
      </c>
      <c r="I773" t="s">
        <v>1957</v>
      </c>
      <c r="J773" t="s">
        <v>7883</v>
      </c>
      <c r="K773" t="s">
        <v>7884</v>
      </c>
      <c r="L773" s="11" t="s">
        <v>7883</v>
      </c>
    </row>
    <row r="774" spans="1:12">
      <c r="A774" t="s">
        <v>7889</v>
      </c>
      <c r="B774" s="9">
        <v>2108</v>
      </c>
      <c r="C774" s="9">
        <v>10.620555</v>
      </c>
      <c r="D774">
        <v>2</v>
      </c>
      <c r="E774">
        <v>2</v>
      </c>
      <c r="F774">
        <v>2</v>
      </c>
      <c r="G774" s="10">
        <v>1</v>
      </c>
      <c r="H774" t="s">
        <v>46</v>
      </c>
      <c r="I774" t="s">
        <v>1957</v>
      </c>
      <c r="J774" t="s">
        <v>7890</v>
      </c>
      <c r="K774" t="s">
        <v>7891</v>
      </c>
      <c r="L774" s="11" t="s">
        <v>7883</v>
      </c>
    </row>
    <row r="775" spans="1:12">
      <c r="A775" t="s">
        <v>7892</v>
      </c>
      <c r="B775" s="9">
        <v>3024</v>
      </c>
      <c r="C775" s="9">
        <v>5.0293029999999996</v>
      </c>
      <c r="D775">
        <v>2</v>
      </c>
      <c r="E775">
        <v>2</v>
      </c>
      <c r="F775">
        <v>1</v>
      </c>
      <c r="G775" s="10">
        <v>0.5</v>
      </c>
      <c r="H775" t="s">
        <v>46</v>
      </c>
      <c r="I775" t="s">
        <v>1957</v>
      </c>
      <c r="J775" t="s">
        <v>7893</v>
      </c>
      <c r="K775" t="s">
        <v>7894</v>
      </c>
      <c r="L775" s="11" t="s">
        <v>7883</v>
      </c>
    </row>
    <row r="776" spans="1:12">
      <c r="A776" t="s">
        <v>7895</v>
      </c>
      <c r="B776" s="9">
        <v>3135</v>
      </c>
      <c r="C776" s="9">
        <v>27.82987</v>
      </c>
      <c r="D776">
        <v>2</v>
      </c>
      <c r="E776">
        <v>2</v>
      </c>
      <c r="F776">
        <v>2</v>
      </c>
      <c r="G776" s="10">
        <v>1</v>
      </c>
      <c r="H776" t="s">
        <v>46</v>
      </c>
      <c r="I776" t="s">
        <v>1957</v>
      </c>
      <c r="J776" t="s">
        <v>7896</v>
      </c>
      <c r="K776" t="s">
        <v>7897</v>
      </c>
      <c r="L776" s="11" t="s">
        <v>7896</v>
      </c>
    </row>
    <row r="777" spans="1:12">
      <c r="A777" t="s">
        <v>7898</v>
      </c>
      <c r="B777" s="9">
        <v>3218</v>
      </c>
      <c r="C777" s="9">
        <v>139.556118</v>
      </c>
      <c r="D777">
        <v>2</v>
      </c>
      <c r="E777">
        <v>2</v>
      </c>
      <c r="F777">
        <v>2</v>
      </c>
      <c r="G777" s="10">
        <v>1</v>
      </c>
      <c r="H777" t="s">
        <v>46</v>
      </c>
      <c r="I777" t="s">
        <v>1957</v>
      </c>
      <c r="J777" t="s">
        <v>7899</v>
      </c>
      <c r="K777" t="s">
        <v>7900</v>
      </c>
      <c r="L777" s="11" t="s">
        <v>7899</v>
      </c>
    </row>
    <row r="778" spans="1:12">
      <c r="A778" t="s">
        <v>7901</v>
      </c>
      <c r="B778" s="9">
        <v>2742</v>
      </c>
      <c r="C778" s="9">
        <v>151.868255</v>
      </c>
      <c r="D778">
        <v>2</v>
      </c>
      <c r="E778">
        <v>2</v>
      </c>
      <c r="F778">
        <v>2</v>
      </c>
      <c r="G778" s="10">
        <v>1</v>
      </c>
      <c r="H778" t="s">
        <v>46</v>
      </c>
      <c r="I778" t="s">
        <v>1957</v>
      </c>
      <c r="J778" t="s">
        <v>7899</v>
      </c>
      <c r="K778" t="s">
        <v>7900</v>
      </c>
      <c r="L778" s="11" t="s">
        <v>7899</v>
      </c>
    </row>
    <row r="779" spans="1:12">
      <c r="A779" t="s">
        <v>7902</v>
      </c>
      <c r="B779" s="9">
        <v>2536</v>
      </c>
      <c r="C779" s="9">
        <v>7.0233780000000001</v>
      </c>
      <c r="D779">
        <v>2</v>
      </c>
      <c r="E779">
        <v>2</v>
      </c>
      <c r="F779">
        <v>2</v>
      </c>
      <c r="G779" s="10">
        <v>1</v>
      </c>
      <c r="H779" t="s">
        <v>46</v>
      </c>
      <c r="I779" t="s">
        <v>1957</v>
      </c>
      <c r="J779" t="s">
        <v>7899</v>
      </c>
      <c r="K779" t="s">
        <v>7900</v>
      </c>
      <c r="L779" s="11" t="s">
        <v>7899</v>
      </c>
    </row>
    <row r="780" spans="1:12">
      <c r="A780" t="s">
        <v>7903</v>
      </c>
      <c r="B780" s="9">
        <v>4838</v>
      </c>
      <c r="C780" s="9">
        <v>17.350617</v>
      </c>
      <c r="D780">
        <v>4</v>
      </c>
      <c r="E780">
        <v>4</v>
      </c>
      <c r="F780">
        <v>4</v>
      </c>
      <c r="G780" s="10">
        <v>1</v>
      </c>
      <c r="H780" t="s">
        <v>46</v>
      </c>
      <c r="I780" t="s">
        <v>1957</v>
      </c>
      <c r="J780" t="s">
        <v>7904</v>
      </c>
      <c r="K780" t="s">
        <v>7905</v>
      </c>
      <c r="L780" s="11" t="s">
        <v>7906</v>
      </c>
    </row>
    <row r="781" spans="1:12">
      <c r="A781" t="s">
        <v>7907</v>
      </c>
      <c r="B781" s="9">
        <v>3389</v>
      </c>
      <c r="C781" s="9">
        <v>4.8134370000000004</v>
      </c>
      <c r="D781">
        <v>1</v>
      </c>
      <c r="E781">
        <v>1</v>
      </c>
      <c r="F781">
        <v>1</v>
      </c>
      <c r="G781" s="10">
        <v>1</v>
      </c>
      <c r="H781" t="s">
        <v>46</v>
      </c>
      <c r="I781" t="s">
        <v>1957</v>
      </c>
      <c r="J781" t="s">
        <v>7908</v>
      </c>
      <c r="K781" t="s">
        <v>7905</v>
      </c>
      <c r="L781" s="11" t="s">
        <v>7908</v>
      </c>
    </row>
    <row r="782" spans="1:12">
      <c r="A782" t="s">
        <v>7909</v>
      </c>
      <c r="B782" s="9">
        <v>3226</v>
      </c>
      <c r="C782" s="9">
        <v>3.3491010000000001</v>
      </c>
      <c r="D782">
        <v>2</v>
      </c>
      <c r="E782">
        <v>2</v>
      </c>
      <c r="F782">
        <v>2</v>
      </c>
      <c r="G782" s="10">
        <v>1</v>
      </c>
      <c r="H782" t="s">
        <v>46</v>
      </c>
      <c r="I782" t="s">
        <v>1957</v>
      </c>
      <c r="J782" t="s">
        <v>7910</v>
      </c>
      <c r="K782" t="s">
        <v>7905</v>
      </c>
      <c r="L782" s="11" t="s">
        <v>7910</v>
      </c>
    </row>
    <row r="783" spans="1:12">
      <c r="A783" t="s">
        <v>7911</v>
      </c>
      <c r="B783" s="9">
        <v>2411</v>
      </c>
      <c r="C783" s="9">
        <v>7.2763159999999996</v>
      </c>
      <c r="D783">
        <v>2</v>
      </c>
      <c r="E783">
        <v>1</v>
      </c>
      <c r="F783">
        <v>1</v>
      </c>
      <c r="G783" s="10">
        <v>0.5</v>
      </c>
      <c r="H783" t="s">
        <v>46</v>
      </c>
      <c r="I783" t="s">
        <v>1957</v>
      </c>
      <c r="J783" t="s">
        <v>7908</v>
      </c>
      <c r="K783" t="s">
        <v>7905</v>
      </c>
      <c r="L783" s="11" t="s">
        <v>7908</v>
      </c>
    </row>
    <row r="784" spans="1:12">
      <c r="A784" t="s">
        <v>7912</v>
      </c>
      <c r="B784" s="9">
        <v>5014</v>
      </c>
      <c r="C784" s="9">
        <v>6.2512600000000003</v>
      </c>
      <c r="D784">
        <v>5</v>
      </c>
      <c r="E784">
        <v>2</v>
      </c>
      <c r="F784">
        <v>1</v>
      </c>
      <c r="G784" s="10">
        <v>0.2</v>
      </c>
      <c r="H784" t="s">
        <v>46</v>
      </c>
      <c r="I784" t="s">
        <v>1957</v>
      </c>
      <c r="J784" t="s">
        <v>7913</v>
      </c>
      <c r="K784" t="s">
        <v>7914</v>
      </c>
      <c r="L784" s="11" t="s">
        <v>7567</v>
      </c>
    </row>
    <row r="785" spans="1:12">
      <c r="A785" t="s">
        <v>7915</v>
      </c>
      <c r="B785" s="9">
        <v>4190</v>
      </c>
      <c r="C785" s="9">
        <v>8.9642079999999993</v>
      </c>
      <c r="D785">
        <v>3</v>
      </c>
      <c r="E785">
        <v>3</v>
      </c>
      <c r="F785">
        <v>3</v>
      </c>
      <c r="G785" s="10">
        <v>1</v>
      </c>
      <c r="H785" t="s">
        <v>46</v>
      </c>
      <c r="I785" t="s">
        <v>1957</v>
      </c>
      <c r="J785" t="s">
        <v>7916</v>
      </c>
      <c r="K785" t="s">
        <v>7917</v>
      </c>
      <c r="L785" s="11" t="s">
        <v>7918</v>
      </c>
    </row>
    <row r="786" spans="1:12">
      <c r="A786" t="s">
        <v>7919</v>
      </c>
      <c r="B786" s="9">
        <v>4158</v>
      </c>
      <c r="C786" s="9">
        <v>3.637826</v>
      </c>
      <c r="D786">
        <v>2</v>
      </c>
      <c r="E786">
        <v>2</v>
      </c>
      <c r="F786">
        <v>2</v>
      </c>
      <c r="G786" s="10">
        <v>1</v>
      </c>
      <c r="H786" t="s">
        <v>46</v>
      </c>
      <c r="I786" t="s">
        <v>1957</v>
      </c>
      <c r="J786" t="s">
        <v>7920</v>
      </c>
      <c r="K786" t="s">
        <v>7917</v>
      </c>
      <c r="L786" s="11" t="s">
        <v>7920</v>
      </c>
    </row>
    <row r="787" spans="1:12">
      <c r="A787" t="s">
        <v>7921</v>
      </c>
      <c r="B787" s="9">
        <v>2144</v>
      </c>
      <c r="C787" s="9">
        <v>5.6720920000000001</v>
      </c>
      <c r="D787">
        <v>2</v>
      </c>
      <c r="E787">
        <v>1</v>
      </c>
      <c r="F787">
        <v>1</v>
      </c>
      <c r="G787" s="10">
        <v>0.5</v>
      </c>
      <c r="H787" t="s">
        <v>46</v>
      </c>
      <c r="I787" t="s">
        <v>1957</v>
      </c>
      <c r="J787" t="s">
        <v>7922</v>
      </c>
      <c r="K787" t="s">
        <v>7923</v>
      </c>
      <c r="L787" s="11" t="s">
        <v>7922</v>
      </c>
    </row>
    <row r="788" spans="1:12">
      <c r="A788" t="s">
        <v>7924</v>
      </c>
      <c r="B788" s="9">
        <v>3128</v>
      </c>
      <c r="C788" s="9">
        <v>4.0426289999999998</v>
      </c>
      <c r="D788">
        <v>3</v>
      </c>
      <c r="E788">
        <v>3</v>
      </c>
      <c r="F788">
        <v>2</v>
      </c>
      <c r="G788" s="10">
        <v>0.66666666666666663</v>
      </c>
      <c r="H788" t="s">
        <v>46</v>
      </c>
      <c r="I788" t="s">
        <v>1957</v>
      </c>
      <c r="J788" t="s">
        <v>7925</v>
      </c>
      <c r="K788" t="s">
        <v>7926</v>
      </c>
      <c r="L788" s="11" t="s">
        <v>7927</v>
      </c>
    </row>
    <row r="789" spans="1:12">
      <c r="A789" t="s">
        <v>7928</v>
      </c>
      <c r="B789" s="9">
        <v>3251</v>
      </c>
      <c r="C789" s="9">
        <v>6.2643930000000001</v>
      </c>
      <c r="D789">
        <v>4</v>
      </c>
      <c r="E789">
        <v>4</v>
      </c>
      <c r="F789">
        <v>4</v>
      </c>
      <c r="G789" s="10">
        <v>1</v>
      </c>
      <c r="H789" t="s">
        <v>46</v>
      </c>
      <c r="I789" t="s">
        <v>1957</v>
      </c>
      <c r="J789" t="s">
        <v>7929</v>
      </c>
      <c r="K789" t="s">
        <v>7930</v>
      </c>
      <c r="L789" s="11" t="s">
        <v>7931</v>
      </c>
    </row>
    <row r="790" spans="1:12">
      <c r="A790" t="s">
        <v>7932</v>
      </c>
      <c r="B790" s="9">
        <v>9019</v>
      </c>
      <c r="C790" s="9">
        <v>13.456604</v>
      </c>
      <c r="D790">
        <v>6</v>
      </c>
      <c r="E790">
        <v>6</v>
      </c>
      <c r="F790">
        <v>6</v>
      </c>
      <c r="G790" s="10">
        <v>1</v>
      </c>
      <c r="H790" t="s">
        <v>46</v>
      </c>
      <c r="I790" t="s">
        <v>1957</v>
      </c>
      <c r="J790" t="s">
        <v>7933</v>
      </c>
      <c r="K790" t="s">
        <v>7934</v>
      </c>
      <c r="L790" s="11" t="s">
        <v>7933</v>
      </c>
    </row>
    <row r="791" spans="1:12">
      <c r="A791" t="s">
        <v>7935</v>
      </c>
      <c r="B791" s="9">
        <v>2640</v>
      </c>
      <c r="C791" s="9">
        <v>3.9682789999999999</v>
      </c>
      <c r="D791">
        <v>2</v>
      </c>
      <c r="E791">
        <v>2</v>
      </c>
      <c r="F791">
        <v>2</v>
      </c>
      <c r="G791" s="10">
        <v>1</v>
      </c>
      <c r="H791" t="s">
        <v>46</v>
      </c>
      <c r="I791" t="s">
        <v>1957</v>
      </c>
      <c r="J791" t="s">
        <v>7936</v>
      </c>
      <c r="K791" t="s">
        <v>7937</v>
      </c>
      <c r="L791" s="11" t="s">
        <v>7453</v>
      </c>
    </row>
    <row r="792" spans="1:12">
      <c r="A792" t="s">
        <v>7938</v>
      </c>
      <c r="B792" s="9">
        <v>3695</v>
      </c>
      <c r="C792" s="9">
        <v>3.051374</v>
      </c>
      <c r="D792">
        <v>3</v>
      </c>
      <c r="E792">
        <v>2</v>
      </c>
      <c r="F792">
        <v>2</v>
      </c>
      <c r="G792" s="10">
        <v>0.66666666666666663</v>
      </c>
      <c r="H792" t="s">
        <v>46</v>
      </c>
      <c r="I792" t="s">
        <v>1957</v>
      </c>
      <c r="J792" t="s">
        <v>7939</v>
      </c>
      <c r="K792" t="s">
        <v>7940</v>
      </c>
      <c r="L792" s="11" t="s">
        <v>7941</v>
      </c>
    </row>
    <row r="793" spans="1:12">
      <c r="A793" t="s">
        <v>7942</v>
      </c>
      <c r="B793" s="9">
        <v>4480</v>
      </c>
      <c r="C793" s="9">
        <v>4.20791</v>
      </c>
      <c r="D793">
        <v>1</v>
      </c>
      <c r="E793">
        <v>1</v>
      </c>
      <c r="F793">
        <v>1</v>
      </c>
      <c r="G793" s="10">
        <v>1</v>
      </c>
      <c r="H793" t="s">
        <v>46</v>
      </c>
      <c r="I793" t="s">
        <v>1957</v>
      </c>
      <c r="J793" t="s">
        <v>7943</v>
      </c>
      <c r="K793" t="s">
        <v>7944</v>
      </c>
      <c r="L793" s="11" t="s">
        <v>7943</v>
      </c>
    </row>
    <row r="794" spans="1:12">
      <c r="A794" t="s">
        <v>7945</v>
      </c>
      <c r="B794" s="9">
        <v>2603</v>
      </c>
      <c r="C794" s="9">
        <v>24.306515000000001</v>
      </c>
      <c r="D794">
        <v>1</v>
      </c>
      <c r="E794">
        <v>1</v>
      </c>
      <c r="F794">
        <v>1</v>
      </c>
      <c r="G794" s="10">
        <v>1</v>
      </c>
      <c r="H794" t="s">
        <v>46</v>
      </c>
      <c r="I794" t="s">
        <v>1957</v>
      </c>
      <c r="J794" t="s">
        <v>7943</v>
      </c>
      <c r="K794" t="s">
        <v>7944</v>
      </c>
      <c r="L794" s="11" t="s">
        <v>7943</v>
      </c>
    </row>
    <row r="795" spans="1:12">
      <c r="A795" t="s">
        <v>7946</v>
      </c>
      <c r="B795" s="9">
        <v>2486</v>
      </c>
      <c r="C795" s="9">
        <v>6.1735910000000001</v>
      </c>
      <c r="D795">
        <v>2</v>
      </c>
      <c r="E795">
        <v>2</v>
      </c>
      <c r="F795">
        <v>2</v>
      </c>
      <c r="G795" s="10">
        <v>1</v>
      </c>
      <c r="H795" t="s">
        <v>46</v>
      </c>
      <c r="I795" t="s">
        <v>1957</v>
      </c>
      <c r="J795" t="s">
        <v>7943</v>
      </c>
      <c r="K795" t="s">
        <v>7944</v>
      </c>
      <c r="L795" s="11" t="s">
        <v>7943</v>
      </c>
    </row>
    <row r="796" spans="1:12">
      <c r="A796" t="s">
        <v>7947</v>
      </c>
      <c r="B796" s="9">
        <v>2659</v>
      </c>
      <c r="C796" s="9">
        <v>7.129416</v>
      </c>
      <c r="D796">
        <v>2</v>
      </c>
      <c r="E796">
        <v>1</v>
      </c>
      <c r="F796">
        <v>1</v>
      </c>
      <c r="G796" s="10">
        <v>0.5</v>
      </c>
      <c r="H796" t="s">
        <v>46</v>
      </c>
      <c r="I796" t="s">
        <v>1957</v>
      </c>
      <c r="J796" t="s">
        <v>7943</v>
      </c>
      <c r="K796" t="s">
        <v>7944</v>
      </c>
      <c r="L796" s="11" t="s">
        <v>7943</v>
      </c>
    </row>
    <row r="797" spans="1:12">
      <c r="A797" t="s">
        <v>7948</v>
      </c>
      <c r="B797" s="9">
        <v>4816</v>
      </c>
      <c r="C797" s="9">
        <v>100.873136</v>
      </c>
      <c r="D797">
        <v>3</v>
      </c>
      <c r="E797">
        <v>2</v>
      </c>
      <c r="F797">
        <v>1</v>
      </c>
      <c r="G797" s="10">
        <v>0.33333333333333331</v>
      </c>
      <c r="H797" t="s">
        <v>46</v>
      </c>
      <c r="I797" t="s">
        <v>1957</v>
      </c>
      <c r="J797" t="s">
        <v>7943</v>
      </c>
      <c r="K797" t="s">
        <v>7944</v>
      </c>
      <c r="L797" s="11" t="s">
        <v>7943</v>
      </c>
    </row>
    <row r="798" spans="1:12">
      <c r="A798" t="s">
        <v>7949</v>
      </c>
      <c r="B798" s="9">
        <v>2593</v>
      </c>
      <c r="C798" s="9">
        <v>4.8435779999999999</v>
      </c>
      <c r="D798">
        <v>1</v>
      </c>
      <c r="E798">
        <v>1</v>
      </c>
      <c r="F798">
        <v>1</v>
      </c>
      <c r="G798" s="10">
        <v>1</v>
      </c>
      <c r="H798" t="s">
        <v>46</v>
      </c>
      <c r="I798" t="s">
        <v>1957</v>
      </c>
      <c r="J798" t="s">
        <v>7950</v>
      </c>
      <c r="K798" t="s">
        <v>7951</v>
      </c>
      <c r="L798" s="11" t="s">
        <v>7950</v>
      </c>
    </row>
    <row r="799" spans="1:12">
      <c r="A799" t="s">
        <v>7952</v>
      </c>
      <c r="B799" s="9">
        <v>6083</v>
      </c>
      <c r="C799" s="9">
        <v>195.37640999999999</v>
      </c>
      <c r="D799">
        <v>4</v>
      </c>
      <c r="E799">
        <v>4</v>
      </c>
      <c r="F799">
        <v>4</v>
      </c>
      <c r="G799" s="10">
        <v>1</v>
      </c>
      <c r="H799" t="s">
        <v>46</v>
      </c>
      <c r="I799" t="s">
        <v>1957</v>
      </c>
      <c r="J799" t="s">
        <v>7953</v>
      </c>
      <c r="K799" t="s">
        <v>7954</v>
      </c>
      <c r="L799" s="11" t="s">
        <v>7955</v>
      </c>
    </row>
    <row r="800" spans="1:12">
      <c r="A800" t="s">
        <v>7956</v>
      </c>
      <c r="B800" s="9">
        <v>2334</v>
      </c>
      <c r="C800" s="9">
        <v>2.720491</v>
      </c>
      <c r="D800">
        <v>2</v>
      </c>
      <c r="E800">
        <v>2</v>
      </c>
      <c r="F800">
        <v>2</v>
      </c>
      <c r="G800" s="10">
        <v>1</v>
      </c>
      <c r="H800" t="s">
        <v>46</v>
      </c>
      <c r="I800" t="s">
        <v>1957</v>
      </c>
      <c r="J800" t="s">
        <v>7957</v>
      </c>
      <c r="K800" t="s">
        <v>7954</v>
      </c>
      <c r="L800" s="11" t="s">
        <v>7958</v>
      </c>
    </row>
    <row r="801" spans="1:12">
      <c r="A801" t="s">
        <v>7959</v>
      </c>
      <c r="B801" s="9">
        <v>2024</v>
      </c>
      <c r="C801" s="9">
        <v>3.3869980000000002</v>
      </c>
      <c r="D801">
        <v>2</v>
      </c>
      <c r="E801">
        <v>2</v>
      </c>
      <c r="F801">
        <v>2</v>
      </c>
      <c r="G801" s="10">
        <v>1</v>
      </c>
      <c r="H801" t="s">
        <v>46</v>
      </c>
      <c r="I801" t="s">
        <v>1957</v>
      </c>
      <c r="J801" t="s">
        <v>7960</v>
      </c>
      <c r="K801" t="s">
        <v>7961</v>
      </c>
      <c r="L801" s="11" t="s">
        <v>7960</v>
      </c>
    </row>
    <row r="802" spans="1:12">
      <c r="A802" t="s">
        <v>7962</v>
      </c>
      <c r="B802" s="9">
        <v>4328</v>
      </c>
      <c r="C802" s="9">
        <v>13.072782999999999</v>
      </c>
      <c r="D802">
        <v>2</v>
      </c>
      <c r="E802">
        <v>2</v>
      </c>
      <c r="F802">
        <v>2</v>
      </c>
      <c r="G802" s="10">
        <v>1</v>
      </c>
      <c r="H802" t="s">
        <v>46</v>
      </c>
      <c r="I802" t="s">
        <v>1957</v>
      </c>
      <c r="J802" t="s">
        <v>7963</v>
      </c>
      <c r="K802" t="s">
        <v>7964</v>
      </c>
      <c r="L802" s="11" t="s">
        <v>7963</v>
      </c>
    </row>
    <row r="803" spans="1:12">
      <c r="A803" t="s">
        <v>7965</v>
      </c>
      <c r="B803" s="9">
        <v>2598</v>
      </c>
      <c r="C803" s="9">
        <v>2.8969719999999999</v>
      </c>
      <c r="D803">
        <v>2</v>
      </c>
      <c r="E803">
        <v>2</v>
      </c>
      <c r="F803">
        <v>2</v>
      </c>
      <c r="G803" s="10">
        <v>1</v>
      </c>
      <c r="H803" t="s">
        <v>46</v>
      </c>
      <c r="I803" t="s">
        <v>1957</v>
      </c>
      <c r="J803" t="s">
        <v>7966</v>
      </c>
      <c r="K803" t="s">
        <v>7967</v>
      </c>
      <c r="L803" s="11" t="s">
        <v>7966</v>
      </c>
    </row>
    <row r="804" spans="1:12">
      <c r="A804" t="s">
        <v>7968</v>
      </c>
      <c r="B804" s="9">
        <v>3297</v>
      </c>
      <c r="C804" s="9">
        <v>2.6520670000000002</v>
      </c>
      <c r="D804">
        <v>2</v>
      </c>
      <c r="E804">
        <v>2</v>
      </c>
      <c r="F804">
        <v>2</v>
      </c>
      <c r="G804" s="10">
        <v>1</v>
      </c>
      <c r="H804" t="s">
        <v>46</v>
      </c>
      <c r="I804" t="s">
        <v>1957</v>
      </c>
      <c r="J804" t="s">
        <v>7969</v>
      </c>
      <c r="K804" t="s">
        <v>7970</v>
      </c>
      <c r="L804" s="11" t="s">
        <v>7969</v>
      </c>
    </row>
    <row r="805" spans="1:12">
      <c r="A805" t="s">
        <v>7971</v>
      </c>
      <c r="B805" s="9">
        <v>2797</v>
      </c>
      <c r="C805" s="9">
        <v>2.6287379999999998</v>
      </c>
      <c r="D805">
        <v>1</v>
      </c>
      <c r="E805">
        <v>1</v>
      </c>
      <c r="F805">
        <v>1</v>
      </c>
      <c r="G805" s="10">
        <v>1</v>
      </c>
      <c r="H805" t="s">
        <v>46</v>
      </c>
      <c r="I805" t="s">
        <v>1957</v>
      </c>
      <c r="J805" t="s">
        <v>7972</v>
      </c>
      <c r="K805" t="s">
        <v>7973</v>
      </c>
      <c r="L805" s="11" t="s">
        <v>7972</v>
      </c>
    </row>
    <row r="806" spans="1:12">
      <c r="A806" t="s">
        <v>7974</v>
      </c>
      <c r="B806" s="9">
        <v>3932</v>
      </c>
      <c r="C806" s="9">
        <v>4.9197829999999998</v>
      </c>
      <c r="D806">
        <v>2</v>
      </c>
      <c r="E806">
        <v>2</v>
      </c>
      <c r="F806">
        <v>2</v>
      </c>
      <c r="G806" s="10">
        <v>1</v>
      </c>
      <c r="H806" t="s">
        <v>46</v>
      </c>
      <c r="I806" t="s">
        <v>1957</v>
      </c>
      <c r="J806" t="s">
        <v>7975</v>
      </c>
      <c r="K806" t="s">
        <v>7976</v>
      </c>
      <c r="L806" s="11" t="s">
        <v>7975</v>
      </c>
    </row>
    <row r="807" spans="1:12">
      <c r="A807" t="s">
        <v>7977</v>
      </c>
      <c r="B807" s="9">
        <v>2259</v>
      </c>
      <c r="C807" s="9">
        <v>2.8434659999999998</v>
      </c>
      <c r="D807">
        <v>1</v>
      </c>
      <c r="E807">
        <v>1</v>
      </c>
      <c r="F807">
        <v>1</v>
      </c>
      <c r="G807" s="10">
        <v>1</v>
      </c>
      <c r="H807" t="s">
        <v>46</v>
      </c>
      <c r="I807" t="s">
        <v>1957</v>
      </c>
      <c r="J807" t="s">
        <v>7978</v>
      </c>
      <c r="K807" t="s">
        <v>7979</v>
      </c>
      <c r="L807" s="11" t="s">
        <v>7978</v>
      </c>
    </row>
    <row r="808" spans="1:12">
      <c r="A808" t="s">
        <v>7980</v>
      </c>
      <c r="B808" s="9">
        <v>2672</v>
      </c>
      <c r="C808" s="9">
        <v>3.7172329999999998</v>
      </c>
      <c r="D808">
        <v>2</v>
      </c>
      <c r="E808">
        <v>2</v>
      </c>
      <c r="F808">
        <v>2</v>
      </c>
      <c r="G808" s="10">
        <v>1</v>
      </c>
      <c r="H808" t="s">
        <v>46</v>
      </c>
      <c r="I808" t="s">
        <v>1957</v>
      </c>
      <c r="J808" t="s">
        <v>7981</v>
      </c>
      <c r="K808" t="s">
        <v>7982</v>
      </c>
      <c r="L808" s="11" t="s">
        <v>7983</v>
      </c>
    </row>
    <row r="809" spans="1:12">
      <c r="A809" t="s">
        <v>7984</v>
      </c>
      <c r="B809" s="9">
        <v>2233</v>
      </c>
      <c r="C809" s="9">
        <v>3.5872359999999999</v>
      </c>
      <c r="D809">
        <v>2</v>
      </c>
      <c r="E809">
        <v>2</v>
      </c>
      <c r="F809">
        <v>2</v>
      </c>
      <c r="G809" s="10">
        <v>1</v>
      </c>
      <c r="H809" t="s">
        <v>46</v>
      </c>
      <c r="I809" t="s">
        <v>1957</v>
      </c>
      <c r="J809" t="s">
        <v>7985</v>
      </c>
      <c r="K809" t="s">
        <v>7986</v>
      </c>
      <c r="L809" s="11" t="s">
        <v>7985</v>
      </c>
    </row>
    <row r="810" spans="1:12">
      <c r="A810" t="s">
        <v>7987</v>
      </c>
      <c r="B810" s="9">
        <v>5004</v>
      </c>
      <c r="C810" s="9">
        <v>3.915943</v>
      </c>
      <c r="D810">
        <v>1</v>
      </c>
      <c r="E810">
        <v>1</v>
      </c>
      <c r="F810">
        <v>1</v>
      </c>
      <c r="G810" s="10">
        <v>1</v>
      </c>
      <c r="H810" t="s">
        <v>46</v>
      </c>
      <c r="I810" t="s">
        <v>1957</v>
      </c>
      <c r="J810" t="s">
        <v>7988</v>
      </c>
      <c r="K810" t="s">
        <v>7989</v>
      </c>
      <c r="L810" s="11" t="s">
        <v>7988</v>
      </c>
    </row>
    <row r="811" spans="1:12">
      <c r="A811" t="s">
        <v>7990</v>
      </c>
      <c r="B811" s="9">
        <v>4410</v>
      </c>
      <c r="C811" s="9">
        <v>5.0750859999999998</v>
      </c>
      <c r="D811">
        <v>2</v>
      </c>
      <c r="E811">
        <v>2</v>
      </c>
      <c r="F811">
        <v>1</v>
      </c>
      <c r="G811" s="10">
        <v>0.5</v>
      </c>
      <c r="H811" t="s">
        <v>46</v>
      </c>
      <c r="I811" t="s">
        <v>1957</v>
      </c>
      <c r="J811" t="s">
        <v>7988</v>
      </c>
      <c r="K811" t="s">
        <v>7989</v>
      </c>
      <c r="L811" s="11" t="s">
        <v>7988</v>
      </c>
    </row>
    <row r="812" spans="1:12">
      <c r="A812" t="s">
        <v>7991</v>
      </c>
      <c r="B812" s="9">
        <v>3794</v>
      </c>
      <c r="C812" s="9">
        <v>146.25835799999999</v>
      </c>
      <c r="D812">
        <v>2</v>
      </c>
      <c r="E812">
        <v>1</v>
      </c>
      <c r="F812">
        <v>1</v>
      </c>
      <c r="G812" s="10">
        <v>0.5</v>
      </c>
      <c r="H812" t="s">
        <v>46</v>
      </c>
      <c r="I812" t="s">
        <v>1957</v>
      </c>
      <c r="J812" t="s">
        <v>7992</v>
      </c>
      <c r="K812" t="s">
        <v>7993</v>
      </c>
      <c r="L812" s="11" t="s">
        <v>7992</v>
      </c>
    </row>
    <row r="813" spans="1:12">
      <c r="A813" t="s">
        <v>7994</v>
      </c>
      <c r="B813" s="9">
        <v>2471</v>
      </c>
      <c r="C813" s="9">
        <v>8.2052980000000009</v>
      </c>
      <c r="D813">
        <v>2</v>
      </c>
      <c r="E813">
        <v>1</v>
      </c>
      <c r="F813">
        <v>1</v>
      </c>
      <c r="G813" s="10">
        <v>0.5</v>
      </c>
      <c r="H813" t="s">
        <v>46</v>
      </c>
      <c r="I813" t="s">
        <v>1957</v>
      </c>
      <c r="J813" t="s">
        <v>7995</v>
      </c>
      <c r="K813" t="s">
        <v>7996</v>
      </c>
      <c r="L813" s="11" t="s">
        <v>7995</v>
      </c>
    </row>
    <row r="814" spans="1:12">
      <c r="A814" t="s">
        <v>7997</v>
      </c>
      <c r="B814" s="9">
        <v>3954</v>
      </c>
      <c r="C814" s="9">
        <v>5.803026</v>
      </c>
      <c r="D814">
        <v>1</v>
      </c>
      <c r="E814">
        <v>1</v>
      </c>
      <c r="F814">
        <v>1</v>
      </c>
      <c r="G814" s="10">
        <v>1</v>
      </c>
      <c r="H814" t="s">
        <v>46</v>
      </c>
      <c r="I814" t="s">
        <v>1957</v>
      </c>
      <c r="J814" t="s">
        <v>7998</v>
      </c>
      <c r="K814" t="s">
        <v>7999</v>
      </c>
      <c r="L814" s="11" t="s">
        <v>7998</v>
      </c>
    </row>
    <row r="815" spans="1:12">
      <c r="A815" t="s">
        <v>8000</v>
      </c>
      <c r="B815" s="9">
        <v>3438</v>
      </c>
      <c r="C815" s="9">
        <v>4.2926399999999996</v>
      </c>
      <c r="D815">
        <v>2</v>
      </c>
      <c r="E815">
        <v>2</v>
      </c>
      <c r="F815">
        <v>2</v>
      </c>
      <c r="G815" s="10">
        <v>1</v>
      </c>
      <c r="H815" t="s">
        <v>46</v>
      </c>
      <c r="I815" t="s">
        <v>1957</v>
      </c>
      <c r="J815" t="s">
        <v>8001</v>
      </c>
      <c r="K815" t="s">
        <v>7999</v>
      </c>
      <c r="L815" s="11" t="s">
        <v>8002</v>
      </c>
    </row>
    <row r="816" spans="1:12">
      <c r="A816" t="s">
        <v>8003</v>
      </c>
      <c r="B816" s="9">
        <v>2066</v>
      </c>
      <c r="C816" s="9">
        <v>3.3361510000000001</v>
      </c>
      <c r="D816">
        <v>2</v>
      </c>
      <c r="E816">
        <v>2</v>
      </c>
      <c r="F816">
        <v>2</v>
      </c>
      <c r="G816" s="10">
        <v>1</v>
      </c>
      <c r="H816" t="s">
        <v>46</v>
      </c>
      <c r="I816" t="s">
        <v>1957</v>
      </c>
      <c r="J816" t="s">
        <v>8004</v>
      </c>
      <c r="K816" t="s">
        <v>7999</v>
      </c>
      <c r="L816" s="11" t="s">
        <v>8004</v>
      </c>
    </row>
    <row r="817" spans="1:12">
      <c r="A817" t="s">
        <v>8005</v>
      </c>
      <c r="B817" s="9">
        <v>5775</v>
      </c>
      <c r="C817" s="9">
        <v>5.3085659999999999</v>
      </c>
      <c r="D817">
        <v>4</v>
      </c>
      <c r="E817">
        <v>2</v>
      </c>
      <c r="F817">
        <v>3</v>
      </c>
      <c r="G817" s="10">
        <v>0.75</v>
      </c>
      <c r="H817" t="s">
        <v>46</v>
      </c>
      <c r="I817" t="s">
        <v>1957</v>
      </c>
      <c r="J817" t="s">
        <v>7998</v>
      </c>
      <c r="K817" t="s">
        <v>7999</v>
      </c>
      <c r="L817" s="11" t="s">
        <v>7998</v>
      </c>
    </row>
    <row r="818" spans="1:12">
      <c r="A818" t="s">
        <v>8006</v>
      </c>
      <c r="B818" s="9">
        <v>2781</v>
      </c>
      <c r="C818" s="9">
        <v>2.9614820000000002</v>
      </c>
      <c r="D818">
        <v>2</v>
      </c>
      <c r="E818">
        <v>2</v>
      </c>
      <c r="F818">
        <v>1</v>
      </c>
      <c r="G818" s="10">
        <v>0.5</v>
      </c>
      <c r="H818" t="s">
        <v>46</v>
      </c>
      <c r="I818" t="s">
        <v>1957</v>
      </c>
      <c r="J818" t="s">
        <v>7998</v>
      </c>
      <c r="K818" t="s">
        <v>7999</v>
      </c>
      <c r="L818" s="11" t="s">
        <v>7998</v>
      </c>
    </row>
    <row r="819" spans="1:12">
      <c r="A819" t="s">
        <v>8007</v>
      </c>
      <c r="B819" s="9">
        <v>2063</v>
      </c>
      <c r="C819" s="9">
        <v>2.9591630000000002</v>
      </c>
      <c r="D819">
        <v>2</v>
      </c>
      <c r="E819">
        <v>2</v>
      </c>
      <c r="F819">
        <v>1</v>
      </c>
      <c r="G819" s="10">
        <v>0.5</v>
      </c>
      <c r="H819" t="s">
        <v>46</v>
      </c>
      <c r="I819" t="s">
        <v>1957</v>
      </c>
      <c r="J819" t="s">
        <v>7998</v>
      </c>
      <c r="K819" t="s">
        <v>7999</v>
      </c>
      <c r="L819" s="11" t="s">
        <v>7998</v>
      </c>
    </row>
    <row r="820" spans="1:12">
      <c r="A820" t="s">
        <v>8008</v>
      </c>
      <c r="B820" s="9">
        <v>2396</v>
      </c>
      <c r="C820" s="9">
        <v>3.6591200000000002</v>
      </c>
      <c r="D820">
        <v>4</v>
      </c>
      <c r="E820">
        <v>4</v>
      </c>
      <c r="F820">
        <v>4</v>
      </c>
      <c r="G820" s="10">
        <v>1</v>
      </c>
      <c r="H820" t="s">
        <v>46</v>
      </c>
      <c r="I820" t="s">
        <v>1957</v>
      </c>
      <c r="J820" t="s">
        <v>8009</v>
      </c>
      <c r="K820" t="s">
        <v>8010</v>
      </c>
      <c r="L820" s="11" t="s">
        <v>8011</v>
      </c>
    </row>
    <row r="821" spans="1:12">
      <c r="A821" t="s">
        <v>8012</v>
      </c>
      <c r="B821" s="9">
        <v>17648</v>
      </c>
      <c r="C821" s="9">
        <v>6.645257</v>
      </c>
      <c r="D821">
        <v>18</v>
      </c>
      <c r="E821">
        <v>15</v>
      </c>
      <c r="F821">
        <v>16</v>
      </c>
      <c r="G821" s="10">
        <v>0.88888888888888884</v>
      </c>
      <c r="H821" t="s">
        <v>46</v>
      </c>
      <c r="I821" t="s">
        <v>1957</v>
      </c>
      <c r="J821" t="s">
        <v>8013</v>
      </c>
      <c r="K821" t="s">
        <v>8014</v>
      </c>
      <c r="L821" s="11" t="s">
        <v>8015</v>
      </c>
    </row>
    <row r="822" spans="1:12">
      <c r="A822" t="s">
        <v>8016</v>
      </c>
      <c r="B822" s="9">
        <v>2795</v>
      </c>
      <c r="C822" s="9">
        <v>2.7638690000000001</v>
      </c>
      <c r="D822">
        <v>2</v>
      </c>
      <c r="E822">
        <v>2</v>
      </c>
      <c r="F822">
        <v>2</v>
      </c>
      <c r="G822" s="10">
        <v>1</v>
      </c>
      <c r="H822" t="s">
        <v>46</v>
      </c>
      <c r="I822" t="s">
        <v>1957</v>
      </c>
      <c r="J822" t="s">
        <v>8017</v>
      </c>
      <c r="K822" t="s">
        <v>8018</v>
      </c>
      <c r="L822" s="11" t="s">
        <v>8019</v>
      </c>
    </row>
    <row r="823" spans="1:12">
      <c r="A823" t="s">
        <v>8020</v>
      </c>
      <c r="B823" s="9">
        <v>4036</v>
      </c>
      <c r="C823" s="9">
        <v>2.8264260000000001</v>
      </c>
      <c r="D823">
        <v>3</v>
      </c>
      <c r="E823">
        <v>3</v>
      </c>
      <c r="F823">
        <v>3</v>
      </c>
      <c r="G823" s="10">
        <v>1</v>
      </c>
      <c r="H823" t="s">
        <v>46</v>
      </c>
      <c r="I823" t="s">
        <v>1957</v>
      </c>
      <c r="J823" t="s">
        <v>8021</v>
      </c>
      <c r="K823" t="s">
        <v>8022</v>
      </c>
      <c r="L823" s="11" t="s">
        <v>8021</v>
      </c>
    </row>
    <row r="824" spans="1:12">
      <c r="A824" t="s">
        <v>8023</v>
      </c>
      <c r="B824" s="9">
        <v>3788</v>
      </c>
      <c r="C824" s="9">
        <v>3.8657919999999999</v>
      </c>
      <c r="D824">
        <v>2</v>
      </c>
      <c r="E824">
        <v>2</v>
      </c>
      <c r="F824">
        <v>2</v>
      </c>
      <c r="G824" s="10">
        <v>1</v>
      </c>
      <c r="H824" t="s">
        <v>46</v>
      </c>
      <c r="I824" t="s">
        <v>1957</v>
      </c>
      <c r="J824" t="s">
        <v>8024</v>
      </c>
      <c r="K824" t="s">
        <v>8025</v>
      </c>
      <c r="L824" s="11" t="s">
        <v>8026</v>
      </c>
    </row>
    <row r="825" spans="1:12">
      <c r="A825" t="s">
        <v>8027</v>
      </c>
      <c r="B825" s="9">
        <v>2956</v>
      </c>
      <c r="C825" s="9">
        <v>4.0579109999999998</v>
      </c>
      <c r="D825">
        <v>5</v>
      </c>
      <c r="E825">
        <v>5</v>
      </c>
      <c r="F825">
        <v>5</v>
      </c>
      <c r="G825" s="10">
        <v>1</v>
      </c>
      <c r="H825" t="s">
        <v>46</v>
      </c>
      <c r="I825" t="s">
        <v>1957</v>
      </c>
      <c r="J825" t="s">
        <v>8028</v>
      </c>
      <c r="K825" t="s">
        <v>8029</v>
      </c>
      <c r="L825" s="11" t="s">
        <v>8030</v>
      </c>
    </row>
    <row r="826" spans="1:12">
      <c r="A826" t="s">
        <v>8031</v>
      </c>
      <c r="B826" s="9">
        <v>2066</v>
      </c>
      <c r="C826" s="9">
        <v>8.262556</v>
      </c>
      <c r="D826">
        <v>3</v>
      </c>
      <c r="E826">
        <v>3</v>
      </c>
      <c r="F826">
        <v>2</v>
      </c>
      <c r="G826" s="10">
        <v>0.66666666666666663</v>
      </c>
      <c r="H826" t="s">
        <v>46</v>
      </c>
      <c r="I826" t="s">
        <v>1957</v>
      </c>
      <c r="J826" t="s">
        <v>8032</v>
      </c>
      <c r="K826" t="s">
        <v>8033</v>
      </c>
      <c r="L826" s="11" t="s">
        <v>8034</v>
      </c>
    </row>
    <row r="827" spans="1:12">
      <c r="A827" t="s">
        <v>8035</v>
      </c>
      <c r="B827" s="9">
        <v>5365</v>
      </c>
      <c r="C827" s="9">
        <v>6.6171369999999996</v>
      </c>
      <c r="D827">
        <v>5</v>
      </c>
      <c r="E827">
        <v>5</v>
      </c>
      <c r="F827">
        <v>5</v>
      </c>
      <c r="G827" s="10">
        <v>1</v>
      </c>
      <c r="H827" t="s">
        <v>46</v>
      </c>
      <c r="I827" t="s">
        <v>1957</v>
      </c>
      <c r="J827" t="s">
        <v>8036</v>
      </c>
      <c r="K827" t="s">
        <v>8037</v>
      </c>
      <c r="L827" s="11" t="s">
        <v>8036</v>
      </c>
    </row>
    <row r="828" spans="1:12">
      <c r="A828" t="s">
        <v>8038</v>
      </c>
      <c r="B828" s="9">
        <v>2796</v>
      </c>
      <c r="C828" s="9">
        <v>3.6687340000000002</v>
      </c>
      <c r="D828">
        <v>1</v>
      </c>
      <c r="E828">
        <v>1</v>
      </c>
      <c r="F828">
        <v>1</v>
      </c>
      <c r="G828" s="10">
        <v>1</v>
      </c>
      <c r="H828" t="s">
        <v>46</v>
      </c>
      <c r="I828" t="s">
        <v>1957</v>
      </c>
      <c r="J828" t="s">
        <v>8039</v>
      </c>
      <c r="K828" t="s">
        <v>8037</v>
      </c>
      <c r="L828" s="11" t="s">
        <v>8039</v>
      </c>
    </row>
    <row r="829" spans="1:12">
      <c r="A829" t="s">
        <v>8040</v>
      </c>
      <c r="B829" s="9">
        <v>2764</v>
      </c>
      <c r="C829" s="9">
        <v>3.3750460000000002</v>
      </c>
      <c r="D829">
        <v>1</v>
      </c>
      <c r="E829">
        <v>1</v>
      </c>
      <c r="F829">
        <v>1</v>
      </c>
      <c r="G829" s="10">
        <v>1</v>
      </c>
      <c r="H829" t="s">
        <v>46</v>
      </c>
      <c r="I829" t="s">
        <v>1957</v>
      </c>
      <c r="J829" t="s">
        <v>8039</v>
      </c>
      <c r="K829" t="s">
        <v>8037</v>
      </c>
      <c r="L829" s="11" t="s">
        <v>8039</v>
      </c>
    </row>
    <row r="830" spans="1:12">
      <c r="A830" t="s">
        <v>8041</v>
      </c>
      <c r="B830" s="9">
        <v>2432</v>
      </c>
      <c r="C830" s="9">
        <v>5.0176689999999997</v>
      </c>
      <c r="D830">
        <v>2</v>
      </c>
      <c r="E830">
        <v>2</v>
      </c>
      <c r="F830">
        <v>2</v>
      </c>
      <c r="G830" s="10">
        <v>1</v>
      </c>
      <c r="H830" t="s">
        <v>46</v>
      </c>
      <c r="I830" t="s">
        <v>1957</v>
      </c>
      <c r="J830" t="s">
        <v>8039</v>
      </c>
      <c r="K830" t="s">
        <v>8037</v>
      </c>
      <c r="L830" s="11" t="s">
        <v>8039</v>
      </c>
    </row>
    <row r="831" spans="1:12">
      <c r="A831" t="s">
        <v>8042</v>
      </c>
      <c r="B831" s="9">
        <v>2197</v>
      </c>
      <c r="C831" s="9">
        <v>15.773576</v>
      </c>
      <c r="D831">
        <v>1</v>
      </c>
      <c r="E831">
        <v>1</v>
      </c>
      <c r="F831">
        <v>1</v>
      </c>
      <c r="G831" s="10">
        <v>1</v>
      </c>
      <c r="H831" t="s">
        <v>46</v>
      </c>
      <c r="I831" t="s">
        <v>1957</v>
      </c>
      <c r="J831" t="s">
        <v>8039</v>
      </c>
      <c r="K831" t="s">
        <v>8037</v>
      </c>
      <c r="L831" s="11" t="s">
        <v>8039</v>
      </c>
    </row>
    <row r="832" spans="1:12">
      <c r="A832" t="s">
        <v>8043</v>
      </c>
      <c r="B832" s="9">
        <v>3513</v>
      </c>
      <c r="C832" s="9">
        <v>4.836322</v>
      </c>
      <c r="D832">
        <v>2</v>
      </c>
      <c r="E832">
        <v>2</v>
      </c>
      <c r="F832">
        <v>2</v>
      </c>
      <c r="G832" s="10">
        <v>1</v>
      </c>
      <c r="H832" t="s">
        <v>46</v>
      </c>
      <c r="I832" t="s">
        <v>1957</v>
      </c>
      <c r="J832" t="s">
        <v>8044</v>
      </c>
      <c r="K832" t="s">
        <v>8045</v>
      </c>
      <c r="L832" s="11" t="s">
        <v>8044</v>
      </c>
    </row>
    <row r="833" spans="1:12">
      <c r="A833" t="s">
        <v>8046</v>
      </c>
      <c r="B833" s="9">
        <v>2713</v>
      </c>
      <c r="C833" s="9">
        <v>4.4119640000000002</v>
      </c>
      <c r="D833">
        <v>2</v>
      </c>
      <c r="E833">
        <v>2</v>
      </c>
      <c r="F833">
        <v>2</v>
      </c>
      <c r="G833" s="10">
        <v>1</v>
      </c>
      <c r="H833" t="s">
        <v>46</v>
      </c>
      <c r="I833" t="s">
        <v>1957</v>
      </c>
      <c r="J833" t="s">
        <v>8047</v>
      </c>
      <c r="K833" t="s">
        <v>8048</v>
      </c>
      <c r="L833" s="11" t="s">
        <v>8049</v>
      </c>
    </row>
    <row r="834" spans="1:12">
      <c r="A834" t="s">
        <v>8050</v>
      </c>
      <c r="B834" s="9">
        <v>2125</v>
      </c>
      <c r="C834" s="9">
        <v>3.6652170000000002</v>
      </c>
      <c r="D834">
        <v>2</v>
      </c>
      <c r="E834">
        <v>2</v>
      </c>
      <c r="F834">
        <v>2</v>
      </c>
      <c r="G834" s="10">
        <v>1</v>
      </c>
      <c r="H834" t="s">
        <v>46</v>
      </c>
      <c r="I834" t="s">
        <v>1957</v>
      </c>
      <c r="J834" t="s">
        <v>8051</v>
      </c>
      <c r="K834" t="s">
        <v>8052</v>
      </c>
      <c r="L834" s="11" t="s">
        <v>8049</v>
      </c>
    </row>
    <row r="835" spans="1:12">
      <c r="A835" t="s">
        <v>8053</v>
      </c>
      <c r="B835" s="9">
        <v>2011</v>
      </c>
      <c r="C835" s="9">
        <v>2.9309820000000002</v>
      </c>
      <c r="D835">
        <v>2</v>
      </c>
      <c r="E835">
        <v>1</v>
      </c>
      <c r="F835">
        <v>1</v>
      </c>
      <c r="G835" s="10">
        <v>0.5</v>
      </c>
      <c r="H835" t="s">
        <v>46</v>
      </c>
      <c r="I835" t="s">
        <v>1957</v>
      </c>
      <c r="J835" t="s">
        <v>8054</v>
      </c>
      <c r="K835" t="s">
        <v>8055</v>
      </c>
      <c r="L835" s="11" t="s">
        <v>8054</v>
      </c>
    </row>
    <row r="836" spans="1:12">
      <c r="A836" t="s">
        <v>8056</v>
      </c>
      <c r="B836" s="9">
        <v>6712</v>
      </c>
      <c r="C836" s="9">
        <v>4.809374</v>
      </c>
      <c r="D836">
        <v>4</v>
      </c>
      <c r="E836">
        <v>4</v>
      </c>
      <c r="F836">
        <v>4</v>
      </c>
      <c r="G836" s="10">
        <v>1</v>
      </c>
      <c r="H836" t="s">
        <v>46</v>
      </c>
      <c r="I836" t="s">
        <v>1957</v>
      </c>
      <c r="J836" t="s">
        <v>8057</v>
      </c>
      <c r="K836" t="s">
        <v>8058</v>
      </c>
      <c r="L836" s="11" t="s">
        <v>8059</v>
      </c>
    </row>
    <row r="837" spans="1:12">
      <c r="A837" t="s">
        <v>8060</v>
      </c>
      <c r="B837" s="9">
        <v>3175</v>
      </c>
      <c r="C837" s="9">
        <v>23.453205000000001</v>
      </c>
      <c r="D837">
        <v>2</v>
      </c>
      <c r="E837">
        <v>2</v>
      </c>
      <c r="F837">
        <v>2</v>
      </c>
      <c r="G837" s="10">
        <v>1</v>
      </c>
      <c r="H837" t="s">
        <v>46</v>
      </c>
      <c r="I837" t="s">
        <v>1957</v>
      </c>
      <c r="J837" t="s">
        <v>8061</v>
      </c>
      <c r="K837" t="s">
        <v>8062</v>
      </c>
      <c r="L837" s="11" t="s">
        <v>8039</v>
      </c>
    </row>
    <row r="838" spans="1:12">
      <c r="A838" t="s">
        <v>8063</v>
      </c>
      <c r="B838" s="9">
        <v>5798</v>
      </c>
      <c r="C838" s="9">
        <v>6.4142429999999999</v>
      </c>
      <c r="D838">
        <v>5</v>
      </c>
      <c r="E838">
        <v>4</v>
      </c>
      <c r="F838">
        <v>4</v>
      </c>
      <c r="G838" s="10">
        <v>0.8</v>
      </c>
      <c r="H838" t="s">
        <v>46</v>
      </c>
      <c r="I838" t="s">
        <v>1957</v>
      </c>
      <c r="J838" t="s">
        <v>8064</v>
      </c>
      <c r="K838" t="s">
        <v>8065</v>
      </c>
      <c r="L838" s="11" t="s">
        <v>8066</v>
      </c>
    </row>
    <row r="839" spans="1:12">
      <c r="A839" t="s">
        <v>8067</v>
      </c>
      <c r="B839" s="9">
        <v>2216</v>
      </c>
      <c r="C839" s="9">
        <v>4.825081</v>
      </c>
      <c r="D839">
        <v>2</v>
      </c>
      <c r="E839">
        <v>2</v>
      </c>
      <c r="F839">
        <v>2</v>
      </c>
      <c r="G839" s="10">
        <v>1</v>
      </c>
      <c r="H839" t="s">
        <v>46</v>
      </c>
      <c r="I839" t="s">
        <v>1957</v>
      </c>
      <c r="J839" t="s">
        <v>8068</v>
      </c>
      <c r="K839" t="s">
        <v>8069</v>
      </c>
      <c r="L839" s="11" t="s">
        <v>8070</v>
      </c>
    </row>
    <row r="840" spans="1:12">
      <c r="A840" t="s">
        <v>8071</v>
      </c>
      <c r="B840" s="9">
        <v>5327</v>
      </c>
      <c r="C840" s="9">
        <v>4.4960170000000002</v>
      </c>
      <c r="D840">
        <v>7</v>
      </c>
      <c r="E840">
        <v>6</v>
      </c>
      <c r="F840">
        <v>7</v>
      </c>
      <c r="G840" s="10">
        <v>1</v>
      </c>
      <c r="H840" t="s">
        <v>46</v>
      </c>
      <c r="I840" t="s">
        <v>1957</v>
      </c>
      <c r="J840" t="s">
        <v>8072</v>
      </c>
      <c r="K840" t="s">
        <v>8073</v>
      </c>
      <c r="L840" s="11" t="s">
        <v>8072</v>
      </c>
    </row>
    <row r="841" spans="1:12">
      <c r="A841" t="s">
        <v>8074</v>
      </c>
      <c r="B841" s="9">
        <v>5302</v>
      </c>
      <c r="C841" s="9">
        <v>38.608347999999999</v>
      </c>
      <c r="D841">
        <v>7</v>
      </c>
      <c r="E841">
        <v>6</v>
      </c>
      <c r="F841">
        <v>7</v>
      </c>
      <c r="G841" s="10">
        <v>1</v>
      </c>
      <c r="H841" t="s">
        <v>46</v>
      </c>
      <c r="I841" t="s">
        <v>1957</v>
      </c>
      <c r="J841" t="s">
        <v>8072</v>
      </c>
      <c r="K841" t="s">
        <v>8073</v>
      </c>
      <c r="L841" s="11" t="s">
        <v>8072</v>
      </c>
    </row>
    <row r="842" spans="1:12">
      <c r="A842" t="s">
        <v>8075</v>
      </c>
      <c r="B842" s="9">
        <v>5243</v>
      </c>
      <c r="C842" s="9">
        <v>4.9564380000000003</v>
      </c>
      <c r="D842">
        <v>4</v>
      </c>
      <c r="E842">
        <v>4</v>
      </c>
      <c r="F842">
        <v>4</v>
      </c>
      <c r="G842" s="10">
        <v>1</v>
      </c>
      <c r="H842" t="s">
        <v>46</v>
      </c>
      <c r="I842" t="s">
        <v>1957</v>
      </c>
      <c r="J842" t="s">
        <v>8076</v>
      </c>
      <c r="K842" t="s">
        <v>8073</v>
      </c>
      <c r="L842" s="11" t="s">
        <v>8076</v>
      </c>
    </row>
    <row r="843" spans="1:12">
      <c r="A843" t="s">
        <v>8077</v>
      </c>
      <c r="B843" s="9">
        <v>4543</v>
      </c>
      <c r="C843" s="9">
        <v>48.328876999999999</v>
      </c>
      <c r="D843">
        <v>3</v>
      </c>
      <c r="E843">
        <v>3</v>
      </c>
      <c r="F843">
        <v>3</v>
      </c>
      <c r="G843" s="10">
        <v>1</v>
      </c>
      <c r="H843" t="s">
        <v>46</v>
      </c>
      <c r="I843" t="s">
        <v>1957</v>
      </c>
      <c r="J843" t="s">
        <v>8076</v>
      </c>
      <c r="K843" t="s">
        <v>8073</v>
      </c>
      <c r="L843" s="11" t="s">
        <v>8076</v>
      </c>
    </row>
    <row r="844" spans="1:12">
      <c r="A844" t="s">
        <v>8078</v>
      </c>
      <c r="B844" s="9">
        <v>4368</v>
      </c>
      <c r="C844" s="9">
        <v>3.0790630000000001</v>
      </c>
      <c r="D844">
        <v>5</v>
      </c>
      <c r="E844">
        <v>4</v>
      </c>
      <c r="F844">
        <v>5</v>
      </c>
      <c r="G844" s="10">
        <v>1</v>
      </c>
      <c r="H844" t="s">
        <v>46</v>
      </c>
      <c r="I844" t="s">
        <v>1957</v>
      </c>
      <c r="J844" t="s">
        <v>8079</v>
      </c>
      <c r="K844" t="s">
        <v>8073</v>
      </c>
      <c r="L844" s="11" t="s">
        <v>8079</v>
      </c>
    </row>
    <row r="845" spans="1:12">
      <c r="A845" t="s">
        <v>8080</v>
      </c>
      <c r="B845" s="9">
        <v>4045</v>
      </c>
      <c r="C845" s="9">
        <v>5.0162909999999998</v>
      </c>
      <c r="D845">
        <v>3</v>
      </c>
      <c r="E845">
        <v>3</v>
      </c>
      <c r="F845">
        <v>3</v>
      </c>
      <c r="G845" s="10">
        <v>1</v>
      </c>
      <c r="H845" t="s">
        <v>46</v>
      </c>
      <c r="I845" t="s">
        <v>1957</v>
      </c>
      <c r="J845" t="s">
        <v>8076</v>
      </c>
      <c r="K845" t="s">
        <v>8073</v>
      </c>
      <c r="L845" s="11" t="s">
        <v>8076</v>
      </c>
    </row>
    <row r="846" spans="1:12">
      <c r="A846" t="s">
        <v>8081</v>
      </c>
      <c r="B846" s="9">
        <v>3919</v>
      </c>
      <c r="C846" s="9">
        <v>55.502588000000003</v>
      </c>
      <c r="D846">
        <v>6</v>
      </c>
      <c r="E846">
        <v>6</v>
      </c>
      <c r="F846">
        <v>6</v>
      </c>
      <c r="G846" s="10">
        <v>1</v>
      </c>
      <c r="H846" t="s">
        <v>46</v>
      </c>
      <c r="I846" t="s">
        <v>1957</v>
      </c>
      <c r="J846" t="s">
        <v>8072</v>
      </c>
      <c r="K846" t="s">
        <v>8073</v>
      </c>
      <c r="L846" s="11" t="s">
        <v>8072</v>
      </c>
    </row>
    <row r="847" spans="1:12">
      <c r="A847" t="s">
        <v>8082</v>
      </c>
      <c r="B847" s="9">
        <v>3540</v>
      </c>
      <c r="C847" s="9">
        <v>4.7824960000000001</v>
      </c>
      <c r="D847">
        <v>3</v>
      </c>
      <c r="E847">
        <v>3</v>
      </c>
      <c r="F847">
        <v>3</v>
      </c>
      <c r="G847" s="10">
        <v>1</v>
      </c>
      <c r="H847" t="s">
        <v>46</v>
      </c>
      <c r="I847" t="s">
        <v>1957</v>
      </c>
      <c r="J847" t="s">
        <v>8079</v>
      </c>
      <c r="K847" t="s">
        <v>8073</v>
      </c>
      <c r="L847" s="11" t="s">
        <v>8079</v>
      </c>
    </row>
    <row r="848" spans="1:12">
      <c r="A848" t="s">
        <v>8083</v>
      </c>
      <c r="B848" s="9">
        <v>3525</v>
      </c>
      <c r="C848" s="9">
        <v>47.200865</v>
      </c>
      <c r="D848">
        <v>3</v>
      </c>
      <c r="E848">
        <v>3</v>
      </c>
      <c r="F848">
        <v>3</v>
      </c>
      <c r="G848" s="10">
        <v>1</v>
      </c>
      <c r="H848" t="s">
        <v>46</v>
      </c>
      <c r="I848" t="s">
        <v>1957</v>
      </c>
      <c r="J848" t="s">
        <v>8079</v>
      </c>
      <c r="K848" t="s">
        <v>8073</v>
      </c>
      <c r="L848" s="11" t="s">
        <v>8079</v>
      </c>
    </row>
    <row r="849" spans="1:12">
      <c r="A849" t="s">
        <v>8084</v>
      </c>
      <c r="B849" s="9">
        <v>3314</v>
      </c>
      <c r="C849" s="9">
        <v>83.189014999999998</v>
      </c>
      <c r="D849">
        <v>4</v>
      </c>
      <c r="E849">
        <v>4</v>
      </c>
      <c r="F849">
        <v>4</v>
      </c>
      <c r="G849" s="10">
        <v>1</v>
      </c>
      <c r="H849" t="s">
        <v>46</v>
      </c>
      <c r="I849" t="s">
        <v>1957</v>
      </c>
      <c r="J849" t="s">
        <v>8085</v>
      </c>
      <c r="K849" t="s">
        <v>8073</v>
      </c>
      <c r="L849" s="11" t="s">
        <v>8085</v>
      </c>
    </row>
    <row r="850" spans="1:12">
      <c r="A850" t="s">
        <v>8086</v>
      </c>
      <c r="B850" s="9">
        <v>3271</v>
      </c>
      <c r="C850" s="9">
        <v>5.4819649999999998</v>
      </c>
      <c r="D850">
        <v>3</v>
      </c>
      <c r="E850">
        <v>3</v>
      </c>
      <c r="F850">
        <v>3</v>
      </c>
      <c r="G850" s="10">
        <v>1</v>
      </c>
      <c r="H850" t="s">
        <v>46</v>
      </c>
      <c r="I850" t="s">
        <v>1957</v>
      </c>
      <c r="J850" t="s">
        <v>8079</v>
      </c>
      <c r="K850" t="s">
        <v>8073</v>
      </c>
      <c r="L850" s="11" t="s">
        <v>8079</v>
      </c>
    </row>
    <row r="851" spans="1:12">
      <c r="A851" t="s">
        <v>8087</v>
      </c>
      <c r="B851" s="9">
        <v>3012</v>
      </c>
      <c r="C851" s="9">
        <v>4.8356440000000003</v>
      </c>
      <c r="D851">
        <v>1</v>
      </c>
      <c r="E851">
        <v>1</v>
      </c>
      <c r="F851">
        <v>1</v>
      </c>
      <c r="G851" s="10">
        <v>1</v>
      </c>
      <c r="H851" t="s">
        <v>46</v>
      </c>
      <c r="I851" t="s">
        <v>1957</v>
      </c>
      <c r="J851" t="s">
        <v>8070</v>
      </c>
      <c r="K851" t="s">
        <v>8073</v>
      </c>
      <c r="L851" s="11" t="s">
        <v>8070</v>
      </c>
    </row>
    <row r="852" spans="1:12">
      <c r="A852" t="s">
        <v>8088</v>
      </c>
      <c r="B852" s="9">
        <v>2873</v>
      </c>
      <c r="C852" s="9">
        <v>2.9048970000000001</v>
      </c>
      <c r="D852">
        <v>1</v>
      </c>
      <c r="E852">
        <v>1</v>
      </c>
      <c r="F852">
        <v>1</v>
      </c>
      <c r="G852" s="10">
        <v>1</v>
      </c>
      <c r="H852" t="s">
        <v>46</v>
      </c>
      <c r="I852" t="s">
        <v>1957</v>
      </c>
      <c r="J852" t="s">
        <v>8070</v>
      </c>
      <c r="K852" t="s">
        <v>8073</v>
      </c>
      <c r="L852" s="11" t="s">
        <v>8070</v>
      </c>
    </row>
    <row r="853" spans="1:12">
      <c r="A853" t="s">
        <v>8089</v>
      </c>
      <c r="B853" s="9">
        <v>2841</v>
      </c>
      <c r="C853" s="9">
        <v>26.779612</v>
      </c>
      <c r="D853">
        <v>2</v>
      </c>
      <c r="E853">
        <v>2</v>
      </c>
      <c r="F853">
        <v>2</v>
      </c>
      <c r="G853" s="10">
        <v>1</v>
      </c>
      <c r="H853" t="s">
        <v>46</v>
      </c>
      <c r="I853" t="s">
        <v>1957</v>
      </c>
      <c r="J853" t="s">
        <v>8070</v>
      </c>
      <c r="K853" t="s">
        <v>8073</v>
      </c>
      <c r="L853" s="11" t="s">
        <v>8070</v>
      </c>
    </row>
    <row r="854" spans="1:12">
      <c r="A854" t="s">
        <v>8090</v>
      </c>
      <c r="B854" s="9">
        <v>2666</v>
      </c>
      <c r="C854" s="9">
        <v>5.3014169999999998</v>
      </c>
      <c r="D854">
        <v>3</v>
      </c>
      <c r="E854">
        <v>3</v>
      </c>
      <c r="F854">
        <v>3</v>
      </c>
      <c r="G854" s="10">
        <v>1</v>
      </c>
      <c r="H854" t="s">
        <v>46</v>
      </c>
      <c r="I854" t="s">
        <v>1957</v>
      </c>
      <c r="J854" t="s">
        <v>8079</v>
      </c>
      <c r="K854" t="s">
        <v>8073</v>
      </c>
      <c r="L854" s="11" t="s">
        <v>8079</v>
      </c>
    </row>
    <row r="855" spans="1:12">
      <c r="A855" t="s">
        <v>8091</v>
      </c>
      <c r="B855" s="9">
        <v>2626</v>
      </c>
      <c r="C855" s="9">
        <v>3.1135739999999998</v>
      </c>
      <c r="D855">
        <v>4</v>
      </c>
      <c r="E855">
        <v>4</v>
      </c>
      <c r="F855">
        <v>4</v>
      </c>
      <c r="G855" s="10">
        <v>1</v>
      </c>
      <c r="H855" t="s">
        <v>46</v>
      </c>
      <c r="I855" t="s">
        <v>1957</v>
      </c>
      <c r="J855" t="s">
        <v>8085</v>
      </c>
      <c r="K855" t="s">
        <v>8073</v>
      </c>
      <c r="L855" s="11" t="s">
        <v>8085</v>
      </c>
    </row>
    <row r="856" spans="1:12">
      <c r="A856" t="s">
        <v>8092</v>
      </c>
      <c r="B856" s="9">
        <v>2610</v>
      </c>
      <c r="C856" s="9">
        <v>5.4872800000000002</v>
      </c>
      <c r="D856">
        <v>2</v>
      </c>
      <c r="E856">
        <v>2</v>
      </c>
      <c r="F856">
        <v>2</v>
      </c>
      <c r="G856" s="10">
        <v>1</v>
      </c>
      <c r="H856" t="s">
        <v>46</v>
      </c>
      <c r="I856" t="s">
        <v>1957</v>
      </c>
      <c r="J856" t="s">
        <v>8070</v>
      </c>
      <c r="K856" t="s">
        <v>8073</v>
      </c>
      <c r="L856" s="11" t="s">
        <v>8070</v>
      </c>
    </row>
    <row r="857" spans="1:12">
      <c r="A857" t="s">
        <v>8093</v>
      </c>
      <c r="B857" s="9">
        <v>2473</v>
      </c>
      <c r="C857" s="9">
        <v>50.272539000000002</v>
      </c>
      <c r="D857">
        <v>2</v>
      </c>
      <c r="E857">
        <v>2</v>
      </c>
      <c r="F857">
        <v>2</v>
      </c>
      <c r="G857" s="10">
        <v>1</v>
      </c>
      <c r="H857" t="s">
        <v>46</v>
      </c>
      <c r="I857" t="s">
        <v>1957</v>
      </c>
      <c r="J857" t="s">
        <v>8076</v>
      </c>
      <c r="K857" t="s">
        <v>8073</v>
      </c>
      <c r="L857" s="11" t="s">
        <v>8076</v>
      </c>
    </row>
    <row r="858" spans="1:12">
      <c r="A858" t="s">
        <v>8094</v>
      </c>
      <c r="B858" s="9">
        <v>2365</v>
      </c>
      <c r="C858" s="9">
        <v>7.9640690000000003</v>
      </c>
      <c r="D858">
        <v>2</v>
      </c>
      <c r="E858">
        <v>2</v>
      </c>
      <c r="F858">
        <v>2</v>
      </c>
      <c r="G858" s="10">
        <v>1</v>
      </c>
      <c r="H858" t="s">
        <v>46</v>
      </c>
      <c r="I858" t="s">
        <v>1957</v>
      </c>
      <c r="J858" t="s">
        <v>8076</v>
      </c>
      <c r="K858" t="s">
        <v>8073</v>
      </c>
      <c r="L858" s="11" t="s">
        <v>8076</v>
      </c>
    </row>
    <row r="859" spans="1:12">
      <c r="A859" t="s">
        <v>8095</v>
      </c>
      <c r="B859" s="9">
        <v>2332</v>
      </c>
      <c r="C859" s="9">
        <v>3.3759329999999999</v>
      </c>
      <c r="D859">
        <v>3</v>
      </c>
      <c r="E859">
        <v>3</v>
      </c>
      <c r="F859">
        <v>3</v>
      </c>
      <c r="G859" s="10">
        <v>1</v>
      </c>
      <c r="H859" t="s">
        <v>46</v>
      </c>
      <c r="I859" t="s">
        <v>1957</v>
      </c>
      <c r="J859" t="s">
        <v>8079</v>
      </c>
      <c r="K859" t="s">
        <v>8073</v>
      </c>
      <c r="L859" s="11" t="s">
        <v>8079</v>
      </c>
    </row>
    <row r="860" spans="1:12">
      <c r="A860" t="s">
        <v>8096</v>
      </c>
      <c r="B860" s="9">
        <v>2322</v>
      </c>
      <c r="C860" s="9">
        <v>28.526246</v>
      </c>
      <c r="D860">
        <v>1</v>
      </c>
      <c r="E860">
        <v>1</v>
      </c>
      <c r="F860">
        <v>1</v>
      </c>
      <c r="G860" s="10">
        <v>1</v>
      </c>
      <c r="H860" t="s">
        <v>46</v>
      </c>
      <c r="I860" t="s">
        <v>1957</v>
      </c>
      <c r="J860" t="s">
        <v>8070</v>
      </c>
      <c r="K860" t="s">
        <v>8073</v>
      </c>
      <c r="L860" s="11" t="s">
        <v>8070</v>
      </c>
    </row>
    <row r="861" spans="1:12">
      <c r="A861" t="s">
        <v>8097</v>
      </c>
      <c r="B861" s="9">
        <v>2292</v>
      </c>
      <c r="C861" s="9">
        <v>3.9119359999999999</v>
      </c>
      <c r="D861">
        <v>3</v>
      </c>
      <c r="E861">
        <v>3</v>
      </c>
      <c r="F861">
        <v>3</v>
      </c>
      <c r="G861" s="10">
        <v>1</v>
      </c>
      <c r="H861" t="s">
        <v>46</v>
      </c>
      <c r="I861" t="s">
        <v>1957</v>
      </c>
      <c r="J861" t="s">
        <v>8079</v>
      </c>
      <c r="K861" t="s">
        <v>8073</v>
      </c>
      <c r="L861" s="11" t="s">
        <v>8079</v>
      </c>
    </row>
    <row r="862" spans="1:12">
      <c r="A862" t="s">
        <v>8098</v>
      </c>
      <c r="B862" s="9">
        <v>2269</v>
      </c>
      <c r="C862" s="9">
        <v>27.45664</v>
      </c>
      <c r="D862">
        <v>4</v>
      </c>
      <c r="E862">
        <v>4</v>
      </c>
      <c r="F862">
        <v>4</v>
      </c>
      <c r="G862" s="10">
        <v>1</v>
      </c>
      <c r="H862" t="s">
        <v>46</v>
      </c>
      <c r="I862" t="s">
        <v>1957</v>
      </c>
      <c r="J862" t="s">
        <v>8079</v>
      </c>
      <c r="K862" t="s">
        <v>8073</v>
      </c>
      <c r="L862" s="11" t="s">
        <v>8079</v>
      </c>
    </row>
    <row r="863" spans="1:12">
      <c r="A863" t="s">
        <v>8099</v>
      </c>
      <c r="B863" s="9">
        <v>2268</v>
      </c>
      <c r="C863" s="9">
        <v>6.4396750000000003</v>
      </c>
      <c r="D863">
        <v>1</v>
      </c>
      <c r="E863">
        <v>1</v>
      </c>
      <c r="F863">
        <v>1</v>
      </c>
      <c r="G863" s="10">
        <v>1</v>
      </c>
      <c r="H863" t="s">
        <v>46</v>
      </c>
      <c r="I863" t="s">
        <v>1957</v>
      </c>
      <c r="J863" t="s">
        <v>8070</v>
      </c>
      <c r="K863" t="s">
        <v>8073</v>
      </c>
      <c r="L863" s="11" t="s">
        <v>8070</v>
      </c>
    </row>
    <row r="864" spans="1:12">
      <c r="A864" t="s">
        <v>8100</v>
      </c>
      <c r="B864" s="9">
        <v>2231</v>
      </c>
      <c r="C864" s="9">
        <v>35.210937999999999</v>
      </c>
      <c r="D864">
        <v>2</v>
      </c>
      <c r="E864">
        <v>2</v>
      </c>
      <c r="F864">
        <v>2</v>
      </c>
      <c r="G864" s="10">
        <v>1</v>
      </c>
      <c r="H864" t="s">
        <v>46</v>
      </c>
      <c r="I864" t="s">
        <v>1957</v>
      </c>
      <c r="J864" t="s">
        <v>8076</v>
      </c>
      <c r="K864" t="s">
        <v>8073</v>
      </c>
      <c r="L864" s="11" t="s">
        <v>8076</v>
      </c>
    </row>
    <row r="865" spans="1:12">
      <c r="A865" t="s">
        <v>8101</v>
      </c>
      <c r="B865" s="9">
        <v>2221</v>
      </c>
      <c r="C865" s="9">
        <v>4.5115420000000004</v>
      </c>
      <c r="D865">
        <v>2</v>
      </c>
      <c r="E865">
        <v>2</v>
      </c>
      <c r="F865">
        <v>2</v>
      </c>
      <c r="G865" s="10">
        <v>1</v>
      </c>
      <c r="H865" t="s">
        <v>46</v>
      </c>
      <c r="I865" t="s">
        <v>1957</v>
      </c>
      <c r="J865" t="s">
        <v>8070</v>
      </c>
      <c r="K865" t="s">
        <v>8073</v>
      </c>
      <c r="L865" s="11" t="s">
        <v>8070</v>
      </c>
    </row>
    <row r="866" spans="1:12">
      <c r="A866" t="s">
        <v>8102</v>
      </c>
      <c r="B866" s="9">
        <v>2150</v>
      </c>
      <c r="C866" s="9">
        <v>5.4095469999999999</v>
      </c>
      <c r="D866">
        <v>2</v>
      </c>
      <c r="E866">
        <v>2</v>
      </c>
      <c r="F866">
        <v>2</v>
      </c>
      <c r="G866" s="10">
        <v>1</v>
      </c>
      <c r="H866" t="s">
        <v>46</v>
      </c>
      <c r="I866" t="s">
        <v>1957</v>
      </c>
      <c r="J866" t="s">
        <v>8070</v>
      </c>
      <c r="K866" t="s">
        <v>8073</v>
      </c>
      <c r="L866" s="11" t="s">
        <v>8070</v>
      </c>
    </row>
    <row r="867" spans="1:12">
      <c r="A867" t="s">
        <v>8103</v>
      </c>
      <c r="B867" s="9">
        <v>2092</v>
      </c>
      <c r="C867" s="9">
        <v>10.956799</v>
      </c>
      <c r="D867">
        <v>2</v>
      </c>
      <c r="E867">
        <v>2</v>
      </c>
      <c r="F867">
        <v>2</v>
      </c>
      <c r="G867" s="10">
        <v>1</v>
      </c>
      <c r="H867" t="s">
        <v>46</v>
      </c>
      <c r="I867" t="s">
        <v>1957</v>
      </c>
      <c r="J867" t="s">
        <v>8076</v>
      </c>
      <c r="K867" t="s">
        <v>8073</v>
      </c>
      <c r="L867" s="11" t="s">
        <v>8076</v>
      </c>
    </row>
    <row r="868" spans="1:12">
      <c r="A868" t="s">
        <v>8104</v>
      </c>
      <c r="B868" s="9">
        <v>2087</v>
      </c>
      <c r="C868" s="9">
        <v>41.862696999999997</v>
      </c>
      <c r="D868">
        <v>3</v>
      </c>
      <c r="E868">
        <v>3</v>
      </c>
      <c r="F868">
        <v>3</v>
      </c>
      <c r="G868" s="10">
        <v>1</v>
      </c>
      <c r="H868" t="s">
        <v>46</v>
      </c>
      <c r="I868" t="s">
        <v>1957</v>
      </c>
      <c r="J868" t="s">
        <v>8079</v>
      </c>
      <c r="K868" t="s">
        <v>8073</v>
      </c>
      <c r="L868" s="11" t="s">
        <v>8079</v>
      </c>
    </row>
    <row r="869" spans="1:12">
      <c r="A869" t="s">
        <v>8105</v>
      </c>
      <c r="B869" s="9">
        <v>5194</v>
      </c>
      <c r="C869" s="9">
        <v>58.192450000000001</v>
      </c>
      <c r="D869">
        <v>5</v>
      </c>
      <c r="E869">
        <v>4</v>
      </c>
      <c r="F869">
        <v>4</v>
      </c>
      <c r="G869" s="10">
        <v>0.8</v>
      </c>
      <c r="H869" t="s">
        <v>46</v>
      </c>
      <c r="I869" t="s">
        <v>1957</v>
      </c>
      <c r="J869" t="s">
        <v>8076</v>
      </c>
      <c r="K869" t="s">
        <v>8073</v>
      </c>
      <c r="L869" s="11" t="s">
        <v>8076</v>
      </c>
    </row>
    <row r="870" spans="1:12">
      <c r="A870" t="s">
        <v>8106</v>
      </c>
      <c r="B870" s="9">
        <v>2995</v>
      </c>
      <c r="C870" s="9">
        <v>3.1673469999999999</v>
      </c>
      <c r="D870">
        <v>3</v>
      </c>
      <c r="E870">
        <v>2</v>
      </c>
      <c r="F870">
        <v>2</v>
      </c>
      <c r="G870" s="10">
        <v>0.66666666666666663</v>
      </c>
      <c r="H870" t="s">
        <v>46</v>
      </c>
      <c r="I870" t="s">
        <v>1957</v>
      </c>
      <c r="J870" t="s">
        <v>8070</v>
      </c>
      <c r="K870" t="s">
        <v>8073</v>
      </c>
      <c r="L870" s="11" t="s">
        <v>8070</v>
      </c>
    </row>
    <row r="871" spans="1:12">
      <c r="A871" t="s">
        <v>8107</v>
      </c>
      <c r="B871" s="9">
        <v>2477</v>
      </c>
      <c r="C871" s="9">
        <v>5.3307180000000001</v>
      </c>
      <c r="D871">
        <v>3</v>
      </c>
      <c r="E871">
        <v>2</v>
      </c>
      <c r="F871">
        <v>2</v>
      </c>
      <c r="G871" s="10">
        <v>0.66666666666666663</v>
      </c>
      <c r="H871" t="s">
        <v>46</v>
      </c>
      <c r="I871" t="s">
        <v>1957</v>
      </c>
      <c r="J871" t="s">
        <v>8070</v>
      </c>
      <c r="K871" t="s">
        <v>8073</v>
      </c>
      <c r="L871" s="11" t="s">
        <v>8070</v>
      </c>
    </row>
    <row r="872" spans="1:12">
      <c r="A872" t="s">
        <v>8108</v>
      </c>
      <c r="B872" s="9">
        <v>2187</v>
      </c>
      <c r="C872" s="9">
        <v>38.373826999999999</v>
      </c>
      <c r="D872">
        <v>2</v>
      </c>
      <c r="E872">
        <v>1</v>
      </c>
      <c r="F872">
        <v>1</v>
      </c>
      <c r="G872" s="10">
        <v>0.5</v>
      </c>
      <c r="H872" t="s">
        <v>46</v>
      </c>
      <c r="I872" t="s">
        <v>1957</v>
      </c>
      <c r="J872" t="s">
        <v>8070</v>
      </c>
      <c r="K872" t="s">
        <v>8073</v>
      </c>
      <c r="L872" s="11" t="s">
        <v>8070</v>
      </c>
    </row>
    <row r="873" spans="1:12">
      <c r="A873" t="s">
        <v>8109</v>
      </c>
      <c r="B873" s="9">
        <v>2167</v>
      </c>
      <c r="C873" s="9">
        <v>3.5643940000000001</v>
      </c>
      <c r="D873">
        <v>2</v>
      </c>
      <c r="E873">
        <v>2</v>
      </c>
      <c r="F873">
        <v>1</v>
      </c>
      <c r="G873" s="10">
        <v>0.5</v>
      </c>
      <c r="H873" t="s">
        <v>46</v>
      </c>
      <c r="I873" t="s">
        <v>1957</v>
      </c>
      <c r="J873" t="s">
        <v>8070</v>
      </c>
      <c r="K873" t="s">
        <v>8073</v>
      </c>
      <c r="L873" s="11" t="s">
        <v>8070</v>
      </c>
    </row>
    <row r="874" spans="1:12">
      <c r="A874" t="s">
        <v>8110</v>
      </c>
      <c r="B874" s="9">
        <v>2123</v>
      </c>
      <c r="C874" s="9">
        <v>3.812379</v>
      </c>
      <c r="D874">
        <v>2</v>
      </c>
      <c r="E874">
        <v>2</v>
      </c>
      <c r="F874">
        <v>1</v>
      </c>
      <c r="G874" s="10">
        <v>0.5</v>
      </c>
      <c r="H874" t="s">
        <v>46</v>
      </c>
      <c r="I874" t="s">
        <v>1957</v>
      </c>
      <c r="J874" t="s">
        <v>8070</v>
      </c>
      <c r="K874" t="s">
        <v>8073</v>
      </c>
      <c r="L874" s="11" t="s">
        <v>8070</v>
      </c>
    </row>
    <row r="875" spans="1:12">
      <c r="A875" t="s">
        <v>8111</v>
      </c>
      <c r="B875" s="9">
        <v>11061</v>
      </c>
      <c r="C875" s="9">
        <v>47.852535000000003</v>
      </c>
      <c r="D875">
        <v>15</v>
      </c>
      <c r="E875">
        <v>14</v>
      </c>
      <c r="F875">
        <v>12</v>
      </c>
      <c r="G875" s="10">
        <v>0.8</v>
      </c>
      <c r="H875" t="s">
        <v>46</v>
      </c>
      <c r="I875" t="s">
        <v>1957</v>
      </c>
      <c r="J875" t="s">
        <v>8112</v>
      </c>
      <c r="K875" t="s">
        <v>8113</v>
      </c>
      <c r="L875" s="11" t="s">
        <v>8112</v>
      </c>
    </row>
    <row r="876" spans="1:12">
      <c r="A876" t="s">
        <v>8114</v>
      </c>
      <c r="B876" s="9">
        <v>11288</v>
      </c>
      <c r="C876" s="9">
        <v>54.707825</v>
      </c>
      <c r="D876">
        <v>9</v>
      </c>
      <c r="E876">
        <v>9</v>
      </c>
      <c r="F876">
        <v>9</v>
      </c>
      <c r="G876" s="10">
        <v>1</v>
      </c>
      <c r="H876" t="s">
        <v>46</v>
      </c>
      <c r="I876" t="s">
        <v>1957</v>
      </c>
      <c r="J876" t="s">
        <v>8115</v>
      </c>
      <c r="K876" t="s">
        <v>8116</v>
      </c>
      <c r="L876" s="11" t="s">
        <v>8115</v>
      </c>
    </row>
    <row r="877" spans="1:12">
      <c r="A877" t="s">
        <v>8117</v>
      </c>
      <c r="B877" s="9">
        <v>15339</v>
      </c>
      <c r="C877" s="9">
        <v>5.617051</v>
      </c>
      <c r="D877">
        <v>16</v>
      </c>
      <c r="E877">
        <v>15</v>
      </c>
      <c r="F877">
        <v>16</v>
      </c>
      <c r="G877" s="10">
        <v>1</v>
      </c>
      <c r="H877" t="s">
        <v>46</v>
      </c>
      <c r="I877" t="s">
        <v>1957</v>
      </c>
      <c r="J877" t="s">
        <v>8118</v>
      </c>
      <c r="K877" t="s">
        <v>8119</v>
      </c>
      <c r="L877" s="11" t="s">
        <v>8120</v>
      </c>
    </row>
    <row r="878" spans="1:12">
      <c r="A878" t="s">
        <v>8121</v>
      </c>
      <c r="B878" s="9">
        <v>6951</v>
      </c>
      <c r="C878" s="9">
        <v>5.2423140000000004</v>
      </c>
      <c r="D878">
        <v>12</v>
      </c>
      <c r="E878">
        <v>11</v>
      </c>
      <c r="F878">
        <v>12</v>
      </c>
      <c r="G878" s="10">
        <v>1</v>
      </c>
      <c r="H878" t="s">
        <v>46</v>
      </c>
      <c r="I878" t="s">
        <v>1957</v>
      </c>
      <c r="J878" t="s">
        <v>8122</v>
      </c>
      <c r="K878" t="s">
        <v>8119</v>
      </c>
      <c r="L878" s="11" t="s">
        <v>8123</v>
      </c>
    </row>
    <row r="879" spans="1:12">
      <c r="A879" t="s">
        <v>8124</v>
      </c>
      <c r="B879" s="9">
        <v>5950</v>
      </c>
      <c r="C879" s="9">
        <v>4.9423240000000002</v>
      </c>
      <c r="D879">
        <v>7</v>
      </c>
      <c r="E879">
        <v>6</v>
      </c>
      <c r="F879">
        <v>7</v>
      </c>
      <c r="G879" s="10">
        <v>1</v>
      </c>
      <c r="H879" t="s">
        <v>46</v>
      </c>
      <c r="I879" t="s">
        <v>1957</v>
      </c>
      <c r="J879" t="s">
        <v>8125</v>
      </c>
      <c r="K879" t="s">
        <v>8126</v>
      </c>
      <c r="L879" s="11" t="s">
        <v>8125</v>
      </c>
    </row>
    <row r="880" spans="1:12">
      <c r="A880" t="s">
        <v>8127</v>
      </c>
      <c r="B880" s="9">
        <v>4263</v>
      </c>
      <c r="C880" s="9">
        <v>5.6048</v>
      </c>
      <c r="D880">
        <v>5</v>
      </c>
      <c r="E880">
        <v>5</v>
      </c>
      <c r="F880">
        <v>5</v>
      </c>
      <c r="G880" s="10">
        <v>1</v>
      </c>
      <c r="H880" t="s">
        <v>46</v>
      </c>
      <c r="I880" t="s">
        <v>1957</v>
      </c>
      <c r="J880" t="s">
        <v>8128</v>
      </c>
      <c r="K880" t="s">
        <v>8126</v>
      </c>
      <c r="L880" s="11" t="s">
        <v>8128</v>
      </c>
    </row>
    <row r="881" spans="1:12">
      <c r="A881" t="s">
        <v>8129</v>
      </c>
      <c r="B881" s="9">
        <v>10780</v>
      </c>
      <c r="C881" s="9">
        <v>6.0154779999999999</v>
      </c>
      <c r="D881">
        <v>11</v>
      </c>
      <c r="E881">
        <v>10</v>
      </c>
      <c r="F881">
        <v>10</v>
      </c>
      <c r="G881" s="10">
        <v>0.90909090909090906</v>
      </c>
      <c r="H881" t="s">
        <v>46</v>
      </c>
      <c r="I881" t="s">
        <v>1957</v>
      </c>
      <c r="J881" t="s">
        <v>8130</v>
      </c>
      <c r="K881" t="s">
        <v>8131</v>
      </c>
      <c r="L881" s="11" t="s">
        <v>8130</v>
      </c>
    </row>
    <row r="882" spans="1:12">
      <c r="A882" t="s">
        <v>8132</v>
      </c>
      <c r="B882" s="9">
        <v>4490</v>
      </c>
      <c r="C882" s="9">
        <v>4.1508459999999996</v>
      </c>
      <c r="D882">
        <v>4</v>
      </c>
      <c r="E882">
        <v>4</v>
      </c>
      <c r="F882">
        <v>4</v>
      </c>
      <c r="G882" s="10">
        <v>1</v>
      </c>
      <c r="H882" t="s">
        <v>46</v>
      </c>
      <c r="I882" t="s">
        <v>1957</v>
      </c>
      <c r="J882" t="s">
        <v>8133</v>
      </c>
      <c r="K882" t="s">
        <v>8134</v>
      </c>
      <c r="L882" s="11" t="s">
        <v>8133</v>
      </c>
    </row>
    <row r="883" spans="1:12">
      <c r="A883" t="s">
        <v>8135</v>
      </c>
      <c r="B883" s="9">
        <v>52184</v>
      </c>
      <c r="C883" s="9">
        <v>14.862667999999999</v>
      </c>
      <c r="D883">
        <v>43</v>
      </c>
      <c r="E883">
        <v>40</v>
      </c>
      <c r="F883">
        <v>37</v>
      </c>
      <c r="G883" s="10">
        <v>0.86046511627906974</v>
      </c>
      <c r="H883" t="s">
        <v>46</v>
      </c>
      <c r="I883" t="s">
        <v>1957</v>
      </c>
      <c r="J883" t="s">
        <v>8136</v>
      </c>
      <c r="K883" t="s">
        <v>8137</v>
      </c>
      <c r="L883" s="11" t="s">
        <v>8138</v>
      </c>
    </row>
    <row r="884" spans="1:12">
      <c r="A884" t="s">
        <v>8139</v>
      </c>
      <c r="B884" s="9">
        <v>46600</v>
      </c>
      <c r="C884" s="9">
        <v>10.230895</v>
      </c>
      <c r="D884">
        <v>41</v>
      </c>
      <c r="E884">
        <v>38</v>
      </c>
      <c r="F884">
        <v>35</v>
      </c>
      <c r="G884" s="10">
        <v>0.85365853658536583</v>
      </c>
      <c r="H884" t="s">
        <v>46</v>
      </c>
      <c r="I884" t="s">
        <v>1957</v>
      </c>
      <c r="J884" t="s">
        <v>8140</v>
      </c>
      <c r="K884" t="s">
        <v>8137</v>
      </c>
      <c r="L884" s="11" t="s">
        <v>8141</v>
      </c>
    </row>
    <row r="885" spans="1:12">
      <c r="A885" t="s">
        <v>8142</v>
      </c>
      <c r="B885" s="9">
        <v>2438</v>
      </c>
      <c r="C885" s="9">
        <v>13.607218</v>
      </c>
      <c r="D885">
        <v>2</v>
      </c>
      <c r="E885">
        <v>2</v>
      </c>
      <c r="F885">
        <v>2</v>
      </c>
      <c r="G885" s="10">
        <v>1</v>
      </c>
      <c r="H885" t="s">
        <v>46</v>
      </c>
      <c r="I885" t="s">
        <v>1957</v>
      </c>
      <c r="J885" t="s">
        <v>8143</v>
      </c>
      <c r="K885" t="s">
        <v>8144</v>
      </c>
      <c r="L885" s="11" t="s">
        <v>8070</v>
      </c>
    </row>
    <row r="886" spans="1:12">
      <c r="A886" t="s">
        <v>8145</v>
      </c>
      <c r="B886" s="9">
        <v>2587</v>
      </c>
      <c r="C886" s="9">
        <v>19.943128000000002</v>
      </c>
      <c r="D886">
        <v>2</v>
      </c>
      <c r="E886">
        <v>2</v>
      </c>
      <c r="F886">
        <v>2</v>
      </c>
      <c r="G886" s="10">
        <v>1</v>
      </c>
      <c r="H886" t="s">
        <v>46</v>
      </c>
      <c r="I886" t="s">
        <v>1957</v>
      </c>
      <c r="J886" t="s">
        <v>8146</v>
      </c>
      <c r="K886" t="s">
        <v>8147</v>
      </c>
      <c r="L886" s="11" t="s">
        <v>8148</v>
      </c>
    </row>
    <row r="887" spans="1:12">
      <c r="A887" t="s">
        <v>8149</v>
      </c>
      <c r="B887" s="9">
        <v>2385</v>
      </c>
      <c r="C887" s="9">
        <v>5.0321889999999998</v>
      </c>
      <c r="D887">
        <v>2</v>
      </c>
      <c r="E887">
        <v>2</v>
      </c>
      <c r="F887">
        <v>2</v>
      </c>
      <c r="G887" s="10">
        <v>1</v>
      </c>
      <c r="H887" t="s">
        <v>46</v>
      </c>
      <c r="I887" t="s">
        <v>1957</v>
      </c>
      <c r="J887" t="s">
        <v>8146</v>
      </c>
      <c r="K887" t="s">
        <v>8147</v>
      </c>
      <c r="L887" s="11" t="s">
        <v>8148</v>
      </c>
    </row>
    <row r="888" spans="1:12">
      <c r="A888" t="s">
        <v>8150</v>
      </c>
      <c r="B888" s="9">
        <v>3038</v>
      </c>
      <c r="C888" s="9">
        <v>4.3053970000000001</v>
      </c>
      <c r="D888">
        <v>3</v>
      </c>
      <c r="E888">
        <v>2</v>
      </c>
      <c r="F888">
        <v>2</v>
      </c>
      <c r="G888" s="10">
        <v>0.66666666666666663</v>
      </c>
      <c r="H888" t="s">
        <v>46</v>
      </c>
      <c r="I888" t="s">
        <v>1957</v>
      </c>
      <c r="J888" t="s">
        <v>8151</v>
      </c>
      <c r="K888" t="s">
        <v>8152</v>
      </c>
      <c r="L888" s="11" t="s">
        <v>6489</v>
      </c>
    </row>
    <row r="889" spans="1:12">
      <c r="A889" t="s">
        <v>8153</v>
      </c>
      <c r="B889" s="9">
        <v>2068</v>
      </c>
      <c r="C889" s="9">
        <v>5.778937</v>
      </c>
      <c r="D889">
        <v>2</v>
      </c>
      <c r="E889">
        <v>2</v>
      </c>
      <c r="F889">
        <v>2</v>
      </c>
      <c r="G889" s="10">
        <v>1</v>
      </c>
      <c r="H889" t="s">
        <v>46</v>
      </c>
      <c r="I889" t="s">
        <v>1957</v>
      </c>
      <c r="J889" t="s">
        <v>8154</v>
      </c>
      <c r="K889" t="s">
        <v>8155</v>
      </c>
      <c r="L889" s="11" t="s">
        <v>8156</v>
      </c>
    </row>
    <row r="890" spans="1:12">
      <c r="A890" t="s">
        <v>8157</v>
      </c>
      <c r="B890" s="9">
        <v>5251</v>
      </c>
      <c r="C890" s="9">
        <v>6.4794070000000001</v>
      </c>
      <c r="D890">
        <v>4</v>
      </c>
      <c r="E890">
        <v>3</v>
      </c>
      <c r="F890">
        <v>4</v>
      </c>
      <c r="G890" s="10">
        <v>1</v>
      </c>
      <c r="H890" t="s">
        <v>46</v>
      </c>
      <c r="I890" t="s">
        <v>1957</v>
      </c>
      <c r="J890" t="s">
        <v>8158</v>
      </c>
      <c r="K890" t="s">
        <v>8159</v>
      </c>
      <c r="L890" s="11" t="s">
        <v>6769</v>
      </c>
    </row>
    <row r="891" spans="1:12">
      <c r="A891" t="s">
        <v>8160</v>
      </c>
      <c r="B891" s="9">
        <v>3006</v>
      </c>
      <c r="C891" s="9">
        <v>4.1189429999999998</v>
      </c>
      <c r="D891">
        <v>5</v>
      </c>
      <c r="E891">
        <v>5</v>
      </c>
      <c r="F891">
        <v>5</v>
      </c>
      <c r="G891" s="10">
        <v>1</v>
      </c>
      <c r="H891" t="s">
        <v>46</v>
      </c>
      <c r="I891" t="s">
        <v>1957</v>
      </c>
      <c r="J891" t="s">
        <v>8161</v>
      </c>
      <c r="K891" t="s">
        <v>8162</v>
      </c>
      <c r="L891" s="11" t="s">
        <v>8163</v>
      </c>
    </row>
    <row r="892" spans="1:12">
      <c r="A892" t="s">
        <v>8164</v>
      </c>
      <c r="B892" s="9">
        <v>5158</v>
      </c>
      <c r="C892" s="9">
        <v>5.0615319999999997</v>
      </c>
      <c r="D892">
        <v>4</v>
      </c>
      <c r="E892">
        <v>3</v>
      </c>
      <c r="F892">
        <v>3</v>
      </c>
      <c r="G892" s="10">
        <v>0.75</v>
      </c>
      <c r="H892" t="s">
        <v>46</v>
      </c>
      <c r="I892" t="s">
        <v>1957</v>
      </c>
      <c r="J892" t="s">
        <v>8165</v>
      </c>
      <c r="K892" t="s">
        <v>8166</v>
      </c>
      <c r="L892" s="11" t="s">
        <v>8165</v>
      </c>
    </row>
    <row r="893" spans="1:12">
      <c r="A893" t="s">
        <v>8167</v>
      </c>
      <c r="B893" s="9">
        <v>2761</v>
      </c>
      <c r="C893" s="9">
        <v>5.2594240000000001</v>
      </c>
      <c r="D893">
        <v>4</v>
      </c>
      <c r="E893">
        <v>3</v>
      </c>
      <c r="F893">
        <v>3</v>
      </c>
      <c r="G893" s="10">
        <v>0.75</v>
      </c>
      <c r="H893" t="s">
        <v>46</v>
      </c>
      <c r="I893" t="s">
        <v>1957</v>
      </c>
      <c r="J893" t="s">
        <v>8168</v>
      </c>
      <c r="K893" t="s">
        <v>8169</v>
      </c>
      <c r="L893" s="11" t="s">
        <v>8170</v>
      </c>
    </row>
    <row r="894" spans="1:12">
      <c r="A894" t="s">
        <v>8171</v>
      </c>
      <c r="B894" s="9">
        <v>2145</v>
      </c>
      <c r="C894" s="9">
        <v>4.3425840000000004</v>
      </c>
      <c r="D894">
        <v>2</v>
      </c>
      <c r="E894">
        <v>2</v>
      </c>
      <c r="F894">
        <v>2</v>
      </c>
      <c r="G894" s="10">
        <v>1</v>
      </c>
      <c r="H894" t="s">
        <v>46</v>
      </c>
      <c r="I894" t="s">
        <v>1957</v>
      </c>
      <c r="J894" t="s">
        <v>8172</v>
      </c>
      <c r="K894" t="s">
        <v>8173</v>
      </c>
      <c r="L894" s="11" t="s">
        <v>8174</v>
      </c>
    </row>
    <row r="895" spans="1:12">
      <c r="A895" t="s">
        <v>8175</v>
      </c>
      <c r="B895" s="9">
        <v>3133</v>
      </c>
      <c r="C895" s="9">
        <v>7.1260560000000002</v>
      </c>
      <c r="D895">
        <v>2</v>
      </c>
      <c r="E895">
        <v>2</v>
      </c>
      <c r="F895">
        <v>2</v>
      </c>
      <c r="G895" s="10">
        <v>1</v>
      </c>
      <c r="H895" t="s">
        <v>46</v>
      </c>
      <c r="I895" t="s">
        <v>1957</v>
      </c>
      <c r="J895" t="s">
        <v>8176</v>
      </c>
      <c r="K895" t="s">
        <v>8177</v>
      </c>
      <c r="L895" s="11" t="s">
        <v>8049</v>
      </c>
    </row>
    <row r="896" spans="1:12">
      <c r="A896" t="s">
        <v>8178</v>
      </c>
      <c r="B896" s="9">
        <v>4079</v>
      </c>
      <c r="C896" s="9">
        <v>4.1901089999999996</v>
      </c>
      <c r="D896">
        <v>4</v>
      </c>
      <c r="E896">
        <v>4</v>
      </c>
      <c r="F896">
        <v>4</v>
      </c>
      <c r="G896" s="10">
        <v>1</v>
      </c>
      <c r="H896" t="s">
        <v>46</v>
      </c>
      <c r="I896" t="s">
        <v>1957</v>
      </c>
      <c r="J896" t="s">
        <v>8179</v>
      </c>
      <c r="K896" t="s">
        <v>8180</v>
      </c>
      <c r="L896" s="11" t="s">
        <v>8181</v>
      </c>
    </row>
    <row r="897" spans="1:12">
      <c r="A897" t="s">
        <v>8182</v>
      </c>
      <c r="B897" s="9">
        <v>2903</v>
      </c>
      <c r="C897" s="9">
        <v>6.4504919999999997</v>
      </c>
      <c r="D897">
        <v>3</v>
      </c>
      <c r="E897">
        <v>3</v>
      </c>
      <c r="F897">
        <v>3</v>
      </c>
      <c r="G897" s="10">
        <v>1</v>
      </c>
      <c r="H897" t="s">
        <v>46</v>
      </c>
      <c r="I897" t="s">
        <v>1957</v>
      </c>
      <c r="J897" t="s">
        <v>8183</v>
      </c>
      <c r="K897" t="s">
        <v>8184</v>
      </c>
      <c r="L897" s="11" t="s">
        <v>8185</v>
      </c>
    </row>
    <row r="898" spans="1:12">
      <c r="A898" t="s">
        <v>8186</v>
      </c>
      <c r="B898" s="9">
        <v>2774</v>
      </c>
      <c r="C898" s="9">
        <v>5.3755059999999997</v>
      </c>
      <c r="D898">
        <v>1</v>
      </c>
      <c r="E898">
        <v>1</v>
      </c>
      <c r="F898">
        <v>1</v>
      </c>
      <c r="G898" s="10">
        <v>1</v>
      </c>
      <c r="H898" t="s">
        <v>46</v>
      </c>
      <c r="I898" t="s">
        <v>1957</v>
      </c>
      <c r="J898" t="s">
        <v>8187</v>
      </c>
      <c r="K898" t="s">
        <v>8184</v>
      </c>
      <c r="L898" s="11" t="s">
        <v>8187</v>
      </c>
    </row>
    <row r="899" spans="1:12">
      <c r="A899" t="s">
        <v>8188</v>
      </c>
      <c r="B899" s="9">
        <v>2346</v>
      </c>
      <c r="C899" s="9">
        <v>15.811436</v>
      </c>
      <c r="D899">
        <v>2</v>
      </c>
      <c r="E899">
        <v>2</v>
      </c>
      <c r="F899">
        <v>2</v>
      </c>
      <c r="G899" s="10">
        <v>1</v>
      </c>
      <c r="H899" t="s">
        <v>46</v>
      </c>
      <c r="I899" t="s">
        <v>1957</v>
      </c>
      <c r="J899" t="s">
        <v>8187</v>
      </c>
      <c r="K899" t="s">
        <v>8184</v>
      </c>
      <c r="L899" s="11" t="s">
        <v>8187</v>
      </c>
    </row>
    <row r="900" spans="1:12">
      <c r="A900" t="s">
        <v>8189</v>
      </c>
      <c r="B900" s="9">
        <v>6523</v>
      </c>
      <c r="C900" s="9">
        <v>52.40569</v>
      </c>
      <c r="D900">
        <v>4</v>
      </c>
      <c r="E900">
        <v>3</v>
      </c>
      <c r="F900">
        <v>4</v>
      </c>
      <c r="G900" s="10">
        <v>1</v>
      </c>
      <c r="H900" t="s">
        <v>46</v>
      </c>
      <c r="I900" t="s">
        <v>1957</v>
      </c>
      <c r="J900" t="s">
        <v>8190</v>
      </c>
      <c r="K900" t="s">
        <v>8191</v>
      </c>
      <c r="L900" s="11" t="s">
        <v>8190</v>
      </c>
    </row>
    <row r="901" spans="1:12">
      <c r="A901" t="s">
        <v>8192</v>
      </c>
      <c r="B901" s="9">
        <v>5515</v>
      </c>
      <c r="C901" s="9">
        <v>20.092673999999999</v>
      </c>
      <c r="D901">
        <v>4</v>
      </c>
      <c r="E901">
        <v>4</v>
      </c>
      <c r="F901">
        <v>4</v>
      </c>
      <c r="G901" s="10">
        <v>1</v>
      </c>
      <c r="H901" t="s">
        <v>46</v>
      </c>
      <c r="I901" t="s">
        <v>1957</v>
      </c>
      <c r="J901" t="s">
        <v>8193</v>
      </c>
      <c r="K901" t="s">
        <v>8191</v>
      </c>
      <c r="L901" s="11" t="s">
        <v>8194</v>
      </c>
    </row>
    <row r="902" spans="1:12">
      <c r="A902" t="s">
        <v>8195</v>
      </c>
      <c r="B902" s="9">
        <v>3616</v>
      </c>
      <c r="C902" s="9">
        <v>3.9623699999999999</v>
      </c>
      <c r="D902">
        <v>2</v>
      </c>
      <c r="E902">
        <v>2</v>
      </c>
      <c r="F902">
        <v>2</v>
      </c>
      <c r="G902" s="10">
        <v>1</v>
      </c>
      <c r="H902" t="s">
        <v>46</v>
      </c>
      <c r="I902" t="s">
        <v>1957</v>
      </c>
      <c r="J902" t="s">
        <v>8196</v>
      </c>
      <c r="K902" t="s">
        <v>8191</v>
      </c>
      <c r="L902" s="11" t="s">
        <v>8196</v>
      </c>
    </row>
    <row r="903" spans="1:12">
      <c r="A903" t="s">
        <v>8197</v>
      </c>
      <c r="B903" s="9">
        <v>3304</v>
      </c>
      <c r="C903" s="9">
        <v>5.498615</v>
      </c>
      <c r="D903">
        <v>2</v>
      </c>
      <c r="E903">
        <v>2</v>
      </c>
      <c r="F903">
        <v>2</v>
      </c>
      <c r="G903" s="10">
        <v>1</v>
      </c>
      <c r="H903" t="s">
        <v>46</v>
      </c>
      <c r="I903" t="s">
        <v>1957</v>
      </c>
      <c r="J903" t="s">
        <v>8196</v>
      </c>
      <c r="K903" t="s">
        <v>8191</v>
      </c>
      <c r="L903" s="11" t="s">
        <v>8196</v>
      </c>
    </row>
    <row r="904" spans="1:12">
      <c r="A904" t="s">
        <v>8198</v>
      </c>
      <c r="B904" s="9">
        <v>2160</v>
      </c>
      <c r="C904" s="9">
        <v>3.9486940000000001</v>
      </c>
      <c r="D904">
        <v>1</v>
      </c>
      <c r="E904">
        <v>1</v>
      </c>
      <c r="F904">
        <v>1</v>
      </c>
      <c r="G904" s="10">
        <v>1</v>
      </c>
      <c r="H904" t="s">
        <v>46</v>
      </c>
      <c r="I904" t="s">
        <v>1957</v>
      </c>
      <c r="J904" t="s">
        <v>8196</v>
      </c>
      <c r="K904" t="s">
        <v>8191</v>
      </c>
      <c r="L904" s="11" t="s">
        <v>8196</v>
      </c>
    </row>
    <row r="905" spans="1:12">
      <c r="A905" t="s">
        <v>8199</v>
      </c>
      <c r="B905" s="9">
        <v>11549</v>
      </c>
      <c r="C905" s="9">
        <v>14.463633</v>
      </c>
      <c r="D905">
        <v>8</v>
      </c>
      <c r="E905">
        <v>7</v>
      </c>
      <c r="F905">
        <v>8</v>
      </c>
      <c r="G905" s="10">
        <v>1</v>
      </c>
      <c r="H905" t="s">
        <v>46</v>
      </c>
      <c r="I905" t="s">
        <v>1957</v>
      </c>
      <c r="J905" t="s">
        <v>8200</v>
      </c>
      <c r="K905" t="s">
        <v>8201</v>
      </c>
      <c r="L905" s="11" t="s">
        <v>8202</v>
      </c>
    </row>
    <row r="906" spans="1:12">
      <c r="A906" t="s">
        <v>8203</v>
      </c>
      <c r="B906" s="9">
        <v>4496</v>
      </c>
      <c r="C906" s="9">
        <v>5.266832</v>
      </c>
      <c r="D906">
        <v>5</v>
      </c>
      <c r="E906">
        <v>4</v>
      </c>
      <c r="F906">
        <v>5</v>
      </c>
      <c r="G906" s="10">
        <v>1</v>
      </c>
      <c r="H906" t="s">
        <v>46</v>
      </c>
      <c r="I906" t="s">
        <v>1957</v>
      </c>
      <c r="J906" t="s">
        <v>8204</v>
      </c>
      <c r="K906" t="s">
        <v>8205</v>
      </c>
      <c r="L906" s="11" t="s">
        <v>8204</v>
      </c>
    </row>
    <row r="907" spans="1:12">
      <c r="A907" t="s">
        <v>8206</v>
      </c>
      <c r="B907" s="9">
        <v>3571</v>
      </c>
      <c r="C907" s="9">
        <v>8.6245729999999998</v>
      </c>
      <c r="D907">
        <v>2</v>
      </c>
      <c r="E907">
        <v>2</v>
      </c>
      <c r="F907">
        <v>2</v>
      </c>
      <c r="G907" s="10">
        <v>1</v>
      </c>
      <c r="H907" t="s">
        <v>46</v>
      </c>
      <c r="I907" t="s">
        <v>1957</v>
      </c>
      <c r="J907" t="s">
        <v>8207</v>
      </c>
      <c r="K907" t="s">
        <v>8208</v>
      </c>
      <c r="L907" s="11" t="s">
        <v>8207</v>
      </c>
    </row>
    <row r="908" spans="1:12">
      <c r="A908" t="s">
        <v>8209</v>
      </c>
      <c r="B908" s="9">
        <v>2436</v>
      </c>
      <c r="C908" s="9">
        <v>3.341453</v>
      </c>
      <c r="D908">
        <v>2</v>
      </c>
      <c r="E908">
        <v>2</v>
      </c>
      <c r="F908">
        <v>2</v>
      </c>
      <c r="G908" s="10">
        <v>1</v>
      </c>
      <c r="H908" t="s">
        <v>46</v>
      </c>
      <c r="I908" t="s">
        <v>1957</v>
      </c>
      <c r="J908" t="s">
        <v>8210</v>
      </c>
      <c r="K908" t="s">
        <v>8211</v>
      </c>
      <c r="L908" s="11" t="s">
        <v>8210</v>
      </c>
    </row>
    <row r="909" spans="1:12">
      <c r="A909" t="s">
        <v>8212</v>
      </c>
      <c r="B909" s="9">
        <v>2325</v>
      </c>
      <c r="C909" s="9">
        <v>3.579736</v>
      </c>
      <c r="D909">
        <v>4</v>
      </c>
      <c r="E909">
        <v>4</v>
      </c>
      <c r="F909">
        <v>4</v>
      </c>
      <c r="G909" s="10">
        <v>1</v>
      </c>
      <c r="H909" t="s">
        <v>46</v>
      </c>
      <c r="I909" t="s">
        <v>1957</v>
      </c>
      <c r="J909" t="s">
        <v>8213</v>
      </c>
      <c r="K909" t="s">
        <v>8214</v>
      </c>
      <c r="L909" s="11" t="s">
        <v>8215</v>
      </c>
    </row>
    <row r="910" spans="1:12">
      <c r="A910" t="s">
        <v>8216</v>
      </c>
      <c r="B910" s="9">
        <v>14357</v>
      </c>
      <c r="C910" s="9">
        <v>113.549504</v>
      </c>
      <c r="D910">
        <v>13</v>
      </c>
      <c r="E910">
        <v>13</v>
      </c>
      <c r="F910">
        <v>13</v>
      </c>
      <c r="G910" s="10">
        <v>1</v>
      </c>
      <c r="H910" t="s">
        <v>46</v>
      </c>
      <c r="I910" t="s">
        <v>1957</v>
      </c>
      <c r="J910" t="s">
        <v>8217</v>
      </c>
      <c r="K910" t="s">
        <v>8218</v>
      </c>
      <c r="L910" s="11" t="s">
        <v>8217</v>
      </c>
    </row>
    <row r="911" spans="1:12">
      <c r="A911" t="s">
        <v>8219</v>
      </c>
      <c r="B911" s="9">
        <v>4346</v>
      </c>
      <c r="C911" s="9">
        <v>19.135400000000001</v>
      </c>
      <c r="D911">
        <v>6</v>
      </c>
      <c r="E911">
        <v>6</v>
      </c>
      <c r="F911">
        <v>6</v>
      </c>
      <c r="G911" s="10">
        <v>1</v>
      </c>
      <c r="H911" t="s">
        <v>46</v>
      </c>
      <c r="I911" t="s">
        <v>1957</v>
      </c>
      <c r="J911" t="s">
        <v>8220</v>
      </c>
      <c r="K911" t="s">
        <v>8218</v>
      </c>
      <c r="L911" s="11" t="s">
        <v>8220</v>
      </c>
    </row>
    <row r="912" spans="1:12">
      <c r="A912" t="s">
        <v>8221</v>
      </c>
      <c r="B912" s="9">
        <v>4250</v>
      </c>
      <c r="C912" s="9">
        <v>4.2676999999999996</v>
      </c>
      <c r="D912">
        <v>4</v>
      </c>
      <c r="E912">
        <v>4</v>
      </c>
      <c r="F912">
        <v>4</v>
      </c>
      <c r="G912" s="10">
        <v>1</v>
      </c>
      <c r="H912" t="s">
        <v>46</v>
      </c>
      <c r="I912" t="s">
        <v>1957</v>
      </c>
      <c r="J912" t="s">
        <v>8222</v>
      </c>
      <c r="K912" t="s">
        <v>8218</v>
      </c>
      <c r="L912" s="11" t="s">
        <v>8222</v>
      </c>
    </row>
    <row r="913" spans="1:12">
      <c r="A913" t="s">
        <v>8223</v>
      </c>
      <c r="B913" s="9">
        <v>3542</v>
      </c>
      <c r="C913" s="9">
        <v>7.167192</v>
      </c>
      <c r="D913">
        <v>2</v>
      </c>
      <c r="E913">
        <v>2</v>
      </c>
      <c r="F913">
        <v>2</v>
      </c>
      <c r="G913" s="10">
        <v>1</v>
      </c>
      <c r="H913" t="s">
        <v>46</v>
      </c>
      <c r="I913" t="s">
        <v>1957</v>
      </c>
      <c r="J913" t="s">
        <v>8224</v>
      </c>
      <c r="K913" t="s">
        <v>8218</v>
      </c>
      <c r="L913" s="11" t="s">
        <v>8224</v>
      </c>
    </row>
    <row r="914" spans="1:12">
      <c r="A914" t="s">
        <v>8225</v>
      </c>
      <c r="B914" s="9">
        <v>3414</v>
      </c>
      <c r="C914" s="9">
        <v>4.0908009999999999</v>
      </c>
      <c r="D914">
        <v>2</v>
      </c>
      <c r="E914">
        <v>2</v>
      </c>
      <c r="F914">
        <v>2</v>
      </c>
      <c r="G914" s="10">
        <v>1</v>
      </c>
      <c r="H914" t="s">
        <v>46</v>
      </c>
      <c r="I914" t="s">
        <v>1957</v>
      </c>
      <c r="J914" t="s">
        <v>8224</v>
      </c>
      <c r="K914" t="s">
        <v>8218</v>
      </c>
      <c r="L914" s="11" t="s">
        <v>8224</v>
      </c>
    </row>
    <row r="915" spans="1:12">
      <c r="A915" t="s">
        <v>8226</v>
      </c>
      <c r="B915" s="9">
        <v>3385</v>
      </c>
      <c r="C915" s="9">
        <v>4.1888889999999996</v>
      </c>
      <c r="D915">
        <v>4</v>
      </c>
      <c r="E915">
        <v>4</v>
      </c>
      <c r="F915">
        <v>4</v>
      </c>
      <c r="G915" s="10">
        <v>1</v>
      </c>
      <c r="H915" t="s">
        <v>46</v>
      </c>
      <c r="I915" t="s">
        <v>1957</v>
      </c>
      <c r="J915" t="s">
        <v>8227</v>
      </c>
      <c r="K915" t="s">
        <v>8218</v>
      </c>
      <c r="L915" s="11" t="s">
        <v>8228</v>
      </c>
    </row>
    <row r="916" spans="1:12">
      <c r="A916" t="s">
        <v>8229</v>
      </c>
      <c r="B916" s="9">
        <v>2827</v>
      </c>
      <c r="C916" s="9">
        <v>3.3784269999999998</v>
      </c>
      <c r="D916">
        <v>2</v>
      </c>
      <c r="E916">
        <v>1</v>
      </c>
      <c r="F916">
        <v>2</v>
      </c>
      <c r="G916" s="10">
        <v>1</v>
      </c>
      <c r="H916" t="s">
        <v>46</v>
      </c>
      <c r="I916" t="s">
        <v>1957</v>
      </c>
      <c r="J916" t="s">
        <v>8230</v>
      </c>
      <c r="K916" t="s">
        <v>8218</v>
      </c>
      <c r="L916" s="11" t="s">
        <v>8230</v>
      </c>
    </row>
    <row r="917" spans="1:12">
      <c r="A917" t="s">
        <v>8231</v>
      </c>
      <c r="B917" s="9">
        <v>2766</v>
      </c>
      <c r="C917" s="9">
        <v>30.631501</v>
      </c>
      <c r="D917">
        <v>4</v>
      </c>
      <c r="E917">
        <v>4</v>
      </c>
      <c r="F917">
        <v>4</v>
      </c>
      <c r="G917" s="10">
        <v>1</v>
      </c>
      <c r="H917" t="s">
        <v>46</v>
      </c>
      <c r="I917" t="s">
        <v>1957</v>
      </c>
      <c r="J917" t="s">
        <v>8227</v>
      </c>
      <c r="K917" t="s">
        <v>8218</v>
      </c>
      <c r="L917" s="11" t="s">
        <v>8227</v>
      </c>
    </row>
    <row r="918" spans="1:12">
      <c r="A918" t="s">
        <v>8232</v>
      </c>
      <c r="B918" s="9">
        <v>2731</v>
      </c>
      <c r="C918" s="9">
        <v>3.2421519999999999</v>
      </c>
      <c r="D918">
        <v>3</v>
      </c>
      <c r="E918">
        <v>2</v>
      </c>
      <c r="F918">
        <v>3</v>
      </c>
      <c r="G918" s="10">
        <v>1</v>
      </c>
      <c r="H918" t="s">
        <v>46</v>
      </c>
      <c r="I918" t="s">
        <v>1957</v>
      </c>
      <c r="J918" t="s">
        <v>8230</v>
      </c>
      <c r="K918" t="s">
        <v>8218</v>
      </c>
      <c r="L918" s="11" t="s">
        <v>8230</v>
      </c>
    </row>
    <row r="919" spans="1:12">
      <c r="A919" t="s">
        <v>8233</v>
      </c>
      <c r="B919" s="9">
        <v>2723</v>
      </c>
      <c r="C919" s="9">
        <v>49.754123</v>
      </c>
      <c r="D919">
        <v>3</v>
      </c>
      <c r="E919">
        <v>2</v>
      </c>
      <c r="F919">
        <v>3</v>
      </c>
      <c r="G919" s="10">
        <v>1</v>
      </c>
      <c r="H919" t="s">
        <v>46</v>
      </c>
      <c r="I919" t="s">
        <v>1957</v>
      </c>
      <c r="J919" t="s">
        <v>6954</v>
      </c>
      <c r="K919" t="s">
        <v>8218</v>
      </c>
      <c r="L919" s="11" t="s">
        <v>8234</v>
      </c>
    </row>
    <row r="920" spans="1:12">
      <c r="A920" t="s">
        <v>8235</v>
      </c>
      <c r="B920" s="9">
        <v>2596</v>
      </c>
      <c r="C920" s="9">
        <v>3.403384</v>
      </c>
      <c r="D920">
        <v>4</v>
      </c>
      <c r="E920">
        <v>4</v>
      </c>
      <c r="F920">
        <v>4</v>
      </c>
      <c r="G920" s="10">
        <v>1</v>
      </c>
      <c r="H920" t="s">
        <v>46</v>
      </c>
      <c r="I920" t="s">
        <v>1957</v>
      </c>
      <c r="J920" t="s">
        <v>8227</v>
      </c>
      <c r="K920" t="s">
        <v>8218</v>
      </c>
      <c r="L920" s="11" t="s">
        <v>8236</v>
      </c>
    </row>
    <row r="921" spans="1:12">
      <c r="A921" t="s">
        <v>8237</v>
      </c>
      <c r="B921" s="9">
        <v>2582</v>
      </c>
      <c r="C921" s="9">
        <v>2.048279</v>
      </c>
      <c r="D921">
        <v>3</v>
      </c>
      <c r="E921">
        <v>3</v>
      </c>
      <c r="F921">
        <v>3</v>
      </c>
      <c r="G921" s="10">
        <v>1</v>
      </c>
      <c r="H921" t="s">
        <v>46</v>
      </c>
      <c r="I921" t="s">
        <v>1957</v>
      </c>
      <c r="J921" t="s">
        <v>8238</v>
      </c>
      <c r="K921" t="s">
        <v>8218</v>
      </c>
      <c r="L921" s="11" t="s">
        <v>8238</v>
      </c>
    </row>
    <row r="922" spans="1:12">
      <c r="A922" t="s">
        <v>8239</v>
      </c>
      <c r="B922" s="9">
        <v>2475</v>
      </c>
      <c r="C922" s="9">
        <v>2.0537190000000001</v>
      </c>
      <c r="D922">
        <v>1</v>
      </c>
      <c r="E922">
        <v>1</v>
      </c>
      <c r="F922">
        <v>1</v>
      </c>
      <c r="G922" s="10">
        <v>1</v>
      </c>
      <c r="H922" t="s">
        <v>46</v>
      </c>
      <c r="I922" t="s">
        <v>1957</v>
      </c>
      <c r="J922" t="s">
        <v>8230</v>
      </c>
      <c r="K922" t="s">
        <v>8218</v>
      </c>
      <c r="L922" s="11" t="s">
        <v>8230</v>
      </c>
    </row>
    <row r="923" spans="1:12">
      <c r="A923" t="s">
        <v>8240</v>
      </c>
      <c r="B923" s="9">
        <v>2150</v>
      </c>
      <c r="C923" s="9">
        <v>3.641527</v>
      </c>
      <c r="D923">
        <v>2</v>
      </c>
      <c r="E923">
        <v>2</v>
      </c>
      <c r="F923">
        <v>2</v>
      </c>
      <c r="G923" s="10">
        <v>1</v>
      </c>
      <c r="H923" t="s">
        <v>46</v>
      </c>
      <c r="I923" t="s">
        <v>1957</v>
      </c>
      <c r="J923" t="s">
        <v>8224</v>
      </c>
      <c r="K923" t="s">
        <v>8218</v>
      </c>
      <c r="L923" s="11" t="s">
        <v>8224</v>
      </c>
    </row>
    <row r="924" spans="1:12">
      <c r="A924" t="s">
        <v>8241</v>
      </c>
      <c r="B924" s="9">
        <v>2080</v>
      </c>
      <c r="C924" s="9">
        <v>2.9644439999999999</v>
      </c>
      <c r="D924">
        <v>2</v>
      </c>
      <c r="E924">
        <v>2</v>
      </c>
      <c r="F924">
        <v>2</v>
      </c>
      <c r="G924" s="10">
        <v>1</v>
      </c>
      <c r="H924" t="s">
        <v>46</v>
      </c>
      <c r="I924" t="s">
        <v>1957</v>
      </c>
      <c r="J924" t="s">
        <v>8224</v>
      </c>
      <c r="K924" t="s">
        <v>8218</v>
      </c>
      <c r="L924" s="11" t="s">
        <v>8224</v>
      </c>
    </row>
    <row r="925" spans="1:12">
      <c r="A925" t="s">
        <v>8242</v>
      </c>
      <c r="B925" s="9">
        <v>21524</v>
      </c>
      <c r="C925" s="9">
        <v>20.230844000000001</v>
      </c>
      <c r="D925">
        <v>13</v>
      </c>
      <c r="E925">
        <v>12</v>
      </c>
      <c r="F925">
        <v>12</v>
      </c>
      <c r="G925" s="10">
        <v>0.92307692307692313</v>
      </c>
      <c r="H925" t="s">
        <v>46</v>
      </c>
      <c r="I925" t="s">
        <v>1957</v>
      </c>
      <c r="J925" t="s">
        <v>8243</v>
      </c>
      <c r="K925" t="s">
        <v>8218</v>
      </c>
      <c r="L925" s="11" t="s">
        <v>8244</v>
      </c>
    </row>
    <row r="926" spans="1:12">
      <c r="A926" t="s">
        <v>8245</v>
      </c>
      <c r="B926" s="9">
        <v>5209</v>
      </c>
      <c r="C926" s="9">
        <v>6.7508730000000003</v>
      </c>
      <c r="D926">
        <v>5</v>
      </c>
      <c r="E926">
        <v>4</v>
      </c>
      <c r="F926">
        <v>4</v>
      </c>
      <c r="G926" s="10">
        <v>0.8</v>
      </c>
      <c r="H926" t="s">
        <v>46</v>
      </c>
      <c r="I926" t="s">
        <v>1957</v>
      </c>
      <c r="J926" t="s">
        <v>8246</v>
      </c>
      <c r="K926" t="s">
        <v>8218</v>
      </c>
      <c r="L926" s="11" t="s">
        <v>8247</v>
      </c>
    </row>
    <row r="927" spans="1:12">
      <c r="A927" t="s">
        <v>8248</v>
      </c>
      <c r="B927" s="9">
        <v>2012</v>
      </c>
      <c r="C927" s="9">
        <v>8.5380680000000009</v>
      </c>
      <c r="D927">
        <v>2</v>
      </c>
      <c r="E927">
        <v>2</v>
      </c>
      <c r="F927">
        <v>1</v>
      </c>
      <c r="G927" s="10">
        <v>0.5</v>
      </c>
      <c r="H927" t="s">
        <v>46</v>
      </c>
      <c r="I927" t="s">
        <v>1957</v>
      </c>
      <c r="J927" t="s">
        <v>8230</v>
      </c>
      <c r="K927" t="s">
        <v>8218</v>
      </c>
      <c r="L927" s="11" t="s">
        <v>8230</v>
      </c>
    </row>
    <row r="928" spans="1:12">
      <c r="A928" t="s">
        <v>8249</v>
      </c>
      <c r="B928" s="9">
        <v>9838</v>
      </c>
      <c r="C928" s="9">
        <v>12.978840999999999</v>
      </c>
      <c r="D928">
        <v>6</v>
      </c>
      <c r="E928">
        <v>5</v>
      </c>
      <c r="F928">
        <v>6</v>
      </c>
      <c r="G928" s="10">
        <v>1</v>
      </c>
      <c r="H928" t="s">
        <v>46</v>
      </c>
      <c r="I928" t="s">
        <v>1957</v>
      </c>
      <c r="J928" t="s">
        <v>8250</v>
      </c>
      <c r="K928" t="s">
        <v>8251</v>
      </c>
      <c r="L928" s="11" t="s">
        <v>8250</v>
      </c>
    </row>
    <row r="929" spans="1:12">
      <c r="A929" t="s">
        <v>8252</v>
      </c>
      <c r="B929" s="9">
        <v>5057</v>
      </c>
      <c r="C929" s="9">
        <v>43.348461</v>
      </c>
      <c r="D929">
        <v>1</v>
      </c>
      <c r="E929">
        <v>1</v>
      </c>
      <c r="F929">
        <v>1</v>
      </c>
      <c r="G929" s="10">
        <v>1</v>
      </c>
      <c r="H929" t="s">
        <v>46</v>
      </c>
      <c r="I929" t="s">
        <v>1957</v>
      </c>
      <c r="J929" t="s">
        <v>8253</v>
      </c>
      <c r="K929" t="s">
        <v>8251</v>
      </c>
      <c r="L929" s="11" t="s">
        <v>8253</v>
      </c>
    </row>
    <row r="930" spans="1:12">
      <c r="A930" t="s">
        <v>8254</v>
      </c>
      <c r="B930" s="9">
        <v>4519</v>
      </c>
      <c r="C930" s="9">
        <v>52.705421000000001</v>
      </c>
      <c r="D930">
        <v>5</v>
      </c>
      <c r="E930">
        <v>5</v>
      </c>
      <c r="F930">
        <v>5</v>
      </c>
      <c r="G930" s="10">
        <v>1</v>
      </c>
      <c r="H930" t="s">
        <v>46</v>
      </c>
      <c r="I930" t="s">
        <v>1957</v>
      </c>
      <c r="J930" t="s">
        <v>8255</v>
      </c>
      <c r="K930" t="s">
        <v>8251</v>
      </c>
      <c r="L930" s="11" t="s">
        <v>8255</v>
      </c>
    </row>
    <row r="931" spans="1:12">
      <c r="A931" t="s">
        <v>8256</v>
      </c>
      <c r="B931" s="9">
        <v>4033</v>
      </c>
      <c r="C931" s="9">
        <v>4.4464560000000004</v>
      </c>
      <c r="D931">
        <v>1</v>
      </c>
      <c r="E931">
        <v>1</v>
      </c>
      <c r="F931">
        <v>1</v>
      </c>
      <c r="G931" s="10">
        <v>1</v>
      </c>
      <c r="H931" t="s">
        <v>46</v>
      </c>
      <c r="I931" t="s">
        <v>1957</v>
      </c>
      <c r="J931" t="s">
        <v>8253</v>
      </c>
      <c r="K931" t="s">
        <v>8251</v>
      </c>
      <c r="L931" s="11" t="s">
        <v>8253</v>
      </c>
    </row>
    <row r="932" spans="1:12">
      <c r="A932" t="s">
        <v>8257</v>
      </c>
      <c r="B932" s="9">
        <v>3459</v>
      </c>
      <c r="C932" s="9">
        <v>5.7652760000000001</v>
      </c>
      <c r="D932">
        <v>4</v>
      </c>
      <c r="E932">
        <v>4</v>
      </c>
      <c r="F932">
        <v>4</v>
      </c>
      <c r="G932" s="10">
        <v>1</v>
      </c>
      <c r="H932" t="s">
        <v>46</v>
      </c>
      <c r="I932" t="s">
        <v>1957</v>
      </c>
      <c r="J932" t="s">
        <v>8258</v>
      </c>
      <c r="K932" t="s">
        <v>8251</v>
      </c>
      <c r="L932" s="11" t="s">
        <v>8258</v>
      </c>
    </row>
    <row r="933" spans="1:12">
      <c r="A933" t="s">
        <v>8259</v>
      </c>
      <c r="B933" s="9">
        <v>2813</v>
      </c>
      <c r="C933" s="9">
        <v>5.3034809999999997</v>
      </c>
      <c r="D933">
        <v>3</v>
      </c>
      <c r="E933">
        <v>2</v>
      </c>
      <c r="F933">
        <v>3</v>
      </c>
      <c r="G933" s="10">
        <v>1</v>
      </c>
      <c r="H933" t="s">
        <v>46</v>
      </c>
      <c r="I933" t="s">
        <v>1957</v>
      </c>
      <c r="J933" t="s">
        <v>8260</v>
      </c>
      <c r="K933" t="s">
        <v>8251</v>
      </c>
      <c r="L933" s="11" t="s">
        <v>8260</v>
      </c>
    </row>
    <row r="934" spans="1:12">
      <c r="A934" t="s">
        <v>8261</v>
      </c>
      <c r="B934" s="9">
        <v>2417</v>
      </c>
      <c r="C934" s="9">
        <v>31.851396999999999</v>
      </c>
      <c r="D934">
        <v>1</v>
      </c>
      <c r="E934">
        <v>1</v>
      </c>
      <c r="F934">
        <v>1</v>
      </c>
      <c r="G934" s="10">
        <v>1</v>
      </c>
      <c r="H934" t="s">
        <v>46</v>
      </c>
      <c r="I934" t="s">
        <v>1957</v>
      </c>
      <c r="J934" t="s">
        <v>8253</v>
      </c>
      <c r="K934" t="s">
        <v>8251</v>
      </c>
      <c r="L934" s="11" t="s">
        <v>8253</v>
      </c>
    </row>
    <row r="935" spans="1:12">
      <c r="A935" t="s">
        <v>8262</v>
      </c>
      <c r="B935" s="9">
        <v>2269</v>
      </c>
      <c r="C935" s="9">
        <v>4.6621499999999996</v>
      </c>
      <c r="D935">
        <v>3</v>
      </c>
      <c r="E935">
        <v>3</v>
      </c>
      <c r="F935">
        <v>3</v>
      </c>
      <c r="G935" s="10">
        <v>1</v>
      </c>
      <c r="H935" t="s">
        <v>46</v>
      </c>
      <c r="I935" t="s">
        <v>1957</v>
      </c>
      <c r="J935" t="s">
        <v>8263</v>
      </c>
      <c r="K935" t="s">
        <v>8251</v>
      </c>
      <c r="L935" s="11" t="s">
        <v>8263</v>
      </c>
    </row>
    <row r="936" spans="1:12">
      <c r="A936" t="s">
        <v>8264</v>
      </c>
      <c r="B936" s="9">
        <v>2262</v>
      </c>
      <c r="C936" s="9">
        <v>3.1033080000000002</v>
      </c>
      <c r="D936">
        <v>1</v>
      </c>
      <c r="E936">
        <v>1</v>
      </c>
      <c r="F936">
        <v>1</v>
      </c>
      <c r="G936" s="10">
        <v>1</v>
      </c>
      <c r="H936" t="s">
        <v>46</v>
      </c>
      <c r="I936" t="s">
        <v>1957</v>
      </c>
      <c r="J936" t="s">
        <v>8253</v>
      </c>
      <c r="K936" t="s">
        <v>8251</v>
      </c>
      <c r="L936" s="11" t="s">
        <v>8253</v>
      </c>
    </row>
    <row r="937" spans="1:12">
      <c r="A937" t="s">
        <v>8265</v>
      </c>
      <c r="B937" s="9">
        <v>2199</v>
      </c>
      <c r="C937" s="9">
        <v>50.671174999999998</v>
      </c>
      <c r="D937">
        <v>2</v>
      </c>
      <c r="E937">
        <v>1</v>
      </c>
      <c r="F937">
        <v>2</v>
      </c>
      <c r="G937" s="10">
        <v>1</v>
      </c>
      <c r="H937" t="s">
        <v>46</v>
      </c>
      <c r="I937" t="s">
        <v>1957</v>
      </c>
      <c r="J937" t="s">
        <v>8253</v>
      </c>
      <c r="K937" t="s">
        <v>8251</v>
      </c>
      <c r="L937" s="11" t="s">
        <v>8253</v>
      </c>
    </row>
    <row r="938" spans="1:12">
      <c r="A938" t="s">
        <v>8266</v>
      </c>
      <c r="B938" s="9">
        <v>2145</v>
      </c>
      <c r="C938" s="9">
        <v>2.6425839999999998</v>
      </c>
      <c r="D938">
        <v>1</v>
      </c>
      <c r="E938">
        <v>1</v>
      </c>
      <c r="F938">
        <v>1</v>
      </c>
      <c r="G938" s="10">
        <v>1</v>
      </c>
      <c r="H938" t="s">
        <v>46</v>
      </c>
      <c r="I938" t="s">
        <v>1957</v>
      </c>
      <c r="J938" t="s">
        <v>8253</v>
      </c>
      <c r="K938" t="s">
        <v>8251</v>
      </c>
      <c r="L938" s="11" t="s">
        <v>8253</v>
      </c>
    </row>
    <row r="939" spans="1:12">
      <c r="A939" t="s">
        <v>8267</v>
      </c>
      <c r="B939" s="9">
        <v>2097</v>
      </c>
      <c r="C939" s="9">
        <v>5.296278</v>
      </c>
      <c r="D939">
        <v>2</v>
      </c>
      <c r="E939">
        <v>2</v>
      </c>
      <c r="F939">
        <v>2</v>
      </c>
      <c r="G939" s="10">
        <v>1</v>
      </c>
      <c r="H939" t="s">
        <v>46</v>
      </c>
      <c r="I939" t="s">
        <v>1957</v>
      </c>
      <c r="J939" t="s">
        <v>8268</v>
      </c>
      <c r="K939" t="s">
        <v>8251</v>
      </c>
      <c r="L939" s="11" t="s">
        <v>8269</v>
      </c>
    </row>
    <row r="940" spans="1:12">
      <c r="A940" t="s">
        <v>8270</v>
      </c>
      <c r="B940" s="9">
        <v>2010</v>
      </c>
      <c r="C940" s="9">
        <v>2.5186700000000002</v>
      </c>
      <c r="D940">
        <v>1</v>
      </c>
      <c r="E940">
        <v>1</v>
      </c>
      <c r="F940">
        <v>1</v>
      </c>
      <c r="G940" s="10">
        <v>1</v>
      </c>
      <c r="H940" t="s">
        <v>46</v>
      </c>
      <c r="I940" t="s">
        <v>1957</v>
      </c>
      <c r="J940" t="s">
        <v>8253</v>
      </c>
      <c r="K940" t="s">
        <v>8251</v>
      </c>
      <c r="L940" s="11" t="s">
        <v>8253</v>
      </c>
    </row>
    <row r="941" spans="1:12">
      <c r="A941" t="s">
        <v>8271</v>
      </c>
      <c r="B941" s="9">
        <v>2313</v>
      </c>
      <c r="C941" s="9">
        <v>3.4353410000000002</v>
      </c>
      <c r="D941">
        <v>3</v>
      </c>
      <c r="E941">
        <v>2</v>
      </c>
      <c r="F941">
        <v>2</v>
      </c>
      <c r="G941" s="10">
        <v>0.66666666666666663</v>
      </c>
      <c r="H941" t="s">
        <v>46</v>
      </c>
      <c r="I941" t="s">
        <v>1957</v>
      </c>
      <c r="J941" t="s">
        <v>8253</v>
      </c>
      <c r="K941" t="s">
        <v>8251</v>
      </c>
      <c r="L941" s="11" t="s">
        <v>8253</v>
      </c>
    </row>
    <row r="942" spans="1:12">
      <c r="A942" t="s">
        <v>8272</v>
      </c>
      <c r="B942" s="9">
        <v>24806</v>
      </c>
      <c r="C942" s="9">
        <v>10.877177</v>
      </c>
      <c r="D942">
        <v>19</v>
      </c>
      <c r="E942">
        <v>18</v>
      </c>
      <c r="F942">
        <v>19</v>
      </c>
      <c r="G942" s="10">
        <v>1</v>
      </c>
      <c r="H942" t="s">
        <v>46</v>
      </c>
      <c r="I942" t="s">
        <v>1957</v>
      </c>
      <c r="J942" t="s">
        <v>8273</v>
      </c>
      <c r="K942" t="s">
        <v>8274</v>
      </c>
      <c r="L942" s="11" t="s">
        <v>8273</v>
      </c>
    </row>
    <row r="943" spans="1:12">
      <c r="A943" t="s">
        <v>8275</v>
      </c>
      <c r="B943" s="9">
        <v>5543</v>
      </c>
      <c r="C943" s="9">
        <v>50.885750999999999</v>
      </c>
      <c r="D943">
        <v>4</v>
      </c>
      <c r="E943">
        <v>4</v>
      </c>
      <c r="F943">
        <v>4</v>
      </c>
      <c r="G943" s="10">
        <v>1</v>
      </c>
      <c r="H943" t="s">
        <v>46</v>
      </c>
      <c r="I943" t="s">
        <v>1957</v>
      </c>
      <c r="J943" t="s">
        <v>8276</v>
      </c>
      <c r="K943" t="s">
        <v>8274</v>
      </c>
      <c r="L943" s="11" t="s">
        <v>8277</v>
      </c>
    </row>
    <row r="944" spans="1:12">
      <c r="A944" t="s">
        <v>8278</v>
      </c>
      <c r="B944" s="9">
        <v>3201</v>
      </c>
      <c r="C944" s="9">
        <v>4.2565160000000004</v>
      </c>
      <c r="D944">
        <v>2</v>
      </c>
      <c r="E944">
        <v>2</v>
      </c>
      <c r="F944">
        <v>2</v>
      </c>
      <c r="G944" s="10">
        <v>1</v>
      </c>
      <c r="H944" t="s">
        <v>46</v>
      </c>
      <c r="I944" t="s">
        <v>1957</v>
      </c>
      <c r="J944" t="s">
        <v>8279</v>
      </c>
      <c r="K944" t="s">
        <v>8274</v>
      </c>
      <c r="L944" s="11" t="s">
        <v>8279</v>
      </c>
    </row>
    <row r="945" spans="1:12">
      <c r="A945" t="s">
        <v>8280</v>
      </c>
      <c r="B945" s="9">
        <v>3154</v>
      </c>
      <c r="C945" s="9">
        <v>47.408842</v>
      </c>
      <c r="D945">
        <v>3</v>
      </c>
      <c r="E945">
        <v>3</v>
      </c>
      <c r="F945">
        <v>3</v>
      </c>
      <c r="G945" s="10">
        <v>1</v>
      </c>
      <c r="H945" t="s">
        <v>46</v>
      </c>
      <c r="I945" t="s">
        <v>1957</v>
      </c>
      <c r="J945" t="s">
        <v>8281</v>
      </c>
      <c r="K945" t="s">
        <v>8274</v>
      </c>
      <c r="L945" s="11" t="s">
        <v>8281</v>
      </c>
    </row>
    <row r="946" spans="1:12">
      <c r="A946" t="s">
        <v>8282</v>
      </c>
      <c r="B946" s="9">
        <v>2826</v>
      </c>
      <c r="C946" s="9">
        <v>3.7253699999999998</v>
      </c>
      <c r="D946">
        <v>3</v>
      </c>
      <c r="E946">
        <v>3</v>
      </c>
      <c r="F946">
        <v>3</v>
      </c>
      <c r="G946" s="10">
        <v>1</v>
      </c>
      <c r="H946" t="s">
        <v>46</v>
      </c>
      <c r="I946" t="s">
        <v>1957</v>
      </c>
      <c r="J946" t="s">
        <v>8283</v>
      </c>
      <c r="K946" t="s">
        <v>8274</v>
      </c>
      <c r="L946" s="11" t="s">
        <v>8283</v>
      </c>
    </row>
    <row r="947" spans="1:12">
      <c r="A947" t="s">
        <v>8284</v>
      </c>
      <c r="B947" s="9">
        <v>2493</v>
      </c>
      <c r="C947" s="9">
        <v>14.631254999999999</v>
      </c>
      <c r="D947">
        <v>2</v>
      </c>
      <c r="E947">
        <v>2</v>
      </c>
      <c r="F947">
        <v>2</v>
      </c>
      <c r="G947" s="10">
        <v>1</v>
      </c>
      <c r="H947" t="s">
        <v>46</v>
      </c>
      <c r="I947" t="s">
        <v>1957</v>
      </c>
      <c r="J947" t="s">
        <v>8285</v>
      </c>
      <c r="K947" t="s">
        <v>8274</v>
      </c>
      <c r="L947" s="11" t="s">
        <v>8286</v>
      </c>
    </row>
    <row r="948" spans="1:12">
      <c r="A948" t="s">
        <v>8287</v>
      </c>
      <c r="B948" s="9">
        <v>2350</v>
      </c>
      <c r="C948" s="9">
        <v>3.8108930000000001</v>
      </c>
      <c r="D948">
        <v>1</v>
      </c>
      <c r="E948">
        <v>1</v>
      </c>
      <c r="F948">
        <v>1</v>
      </c>
      <c r="G948" s="10">
        <v>1</v>
      </c>
      <c r="H948" t="s">
        <v>46</v>
      </c>
      <c r="I948" t="s">
        <v>1957</v>
      </c>
      <c r="J948" t="s">
        <v>8279</v>
      </c>
      <c r="K948" t="s">
        <v>8274</v>
      </c>
      <c r="L948" s="11" t="s">
        <v>8279</v>
      </c>
    </row>
    <row r="949" spans="1:12">
      <c r="A949" t="s">
        <v>8288</v>
      </c>
      <c r="B949" s="9">
        <v>2242</v>
      </c>
      <c r="C949" s="9">
        <v>3.3081849999999999</v>
      </c>
      <c r="D949">
        <v>3</v>
      </c>
      <c r="E949">
        <v>3</v>
      </c>
      <c r="F949">
        <v>3</v>
      </c>
      <c r="G949" s="10">
        <v>1</v>
      </c>
      <c r="H949" t="s">
        <v>46</v>
      </c>
      <c r="I949" t="s">
        <v>1957</v>
      </c>
      <c r="J949" t="s">
        <v>8283</v>
      </c>
      <c r="K949" t="s">
        <v>8274</v>
      </c>
      <c r="L949" s="11" t="s">
        <v>8283</v>
      </c>
    </row>
    <row r="950" spans="1:12">
      <c r="A950" t="s">
        <v>8289</v>
      </c>
      <c r="B950" s="9">
        <v>3351</v>
      </c>
      <c r="C950" s="9">
        <v>4.2490899999999998</v>
      </c>
      <c r="D950">
        <v>3</v>
      </c>
      <c r="E950">
        <v>3</v>
      </c>
      <c r="F950">
        <v>3</v>
      </c>
      <c r="G950" s="10">
        <v>1</v>
      </c>
      <c r="H950" t="s">
        <v>46</v>
      </c>
      <c r="I950" t="s">
        <v>1957</v>
      </c>
      <c r="J950" t="s">
        <v>8290</v>
      </c>
      <c r="K950" t="s">
        <v>8291</v>
      </c>
      <c r="L950" s="11" t="s">
        <v>8290</v>
      </c>
    </row>
    <row r="951" spans="1:12">
      <c r="A951" t="s">
        <v>8292</v>
      </c>
      <c r="B951" s="9">
        <v>2867</v>
      </c>
      <c r="C951" s="9">
        <v>5.1497159999999997</v>
      </c>
      <c r="D951">
        <v>2</v>
      </c>
      <c r="E951">
        <v>2</v>
      </c>
      <c r="F951">
        <v>2</v>
      </c>
      <c r="G951" s="10">
        <v>1</v>
      </c>
      <c r="H951" t="s">
        <v>46</v>
      </c>
      <c r="I951" t="s">
        <v>1957</v>
      </c>
      <c r="J951" t="s">
        <v>8293</v>
      </c>
      <c r="K951" t="s">
        <v>8294</v>
      </c>
      <c r="L951" s="11" t="s">
        <v>8293</v>
      </c>
    </row>
    <row r="952" spans="1:12">
      <c r="A952" t="s">
        <v>8295</v>
      </c>
      <c r="B952" s="9">
        <v>3626</v>
      </c>
      <c r="C952" s="9">
        <v>6.4788569999999996</v>
      </c>
      <c r="D952">
        <v>2</v>
      </c>
      <c r="E952">
        <v>2</v>
      </c>
      <c r="F952">
        <v>2</v>
      </c>
      <c r="G952" s="10">
        <v>1</v>
      </c>
      <c r="H952" t="s">
        <v>46</v>
      </c>
      <c r="I952" t="s">
        <v>1957</v>
      </c>
      <c r="J952" t="s">
        <v>8296</v>
      </c>
      <c r="K952" t="s">
        <v>8297</v>
      </c>
      <c r="L952" s="11" t="s">
        <v>8296</v>
      </c>
    </row>
    <row r="953" spans="1:12">
      <c r="A953" t="s">
        <v>8298</v>
      </c>
      <c r="B953" s="9">
        <v>5418</v>
      </c>
      <c r="C953" s="9">
        <v>5.9457389999999997</v>
      </c>
      <c r="D953">
        <v>5</v>
      </c>
      <c r="E953">
        <v>5</v>
      </c>
      <c r="F953">
        <v>4</v>
      </c>
      <c r="G953" s="10">
        <v>0.8</v>
      </c>
      <c r="H953" t="s">
        <v>46</v>
      </c>
      <c r="I953" t="s">
        <v>1957</v>
      </c>
      <c r="J953" t="s">
        <v>8299</v>
      </c>
      <c r="K953" t="s">
        <v>8300</v>
      </c>
      <c r="L953" s="11" t="s">
        <v>8301</v>
      </c>
    </row>
    <row r="954" spans="1:12">
      <c r="A954" t="s">
        <v>8302</v>
      </c>
      <c r="B954" s="9">
        <v>2411</v>
      </c>
      <c r="C954" s="9">
        <v>2.9698639999999998</v>
      </c>
      <c r="D954">
        <v>2</v>
      </c>
      <c r="E954">
        <v>2</v>
      </c>
      <c r="F954">
        <v>2</v>
      </c>
      <c r="G954" s="10">
        <v>1</v>
      </c>
      <c r="H954" t="s">
        <v>46</v>
      </c>
      <c r="I954" t="s">
        <v>1957</v>
      </c>
      <c r="J954" t="s">
        <v>8303</v>
      </c>
      <c r="K954" t="s">
        <v>8304</v>
      </c>
      <c r="L954" s="11" t="s">
        <v>8305</v>
      </c>
    </row>
    <row r="955" spans="1:12">
      <c r="A955" t="s">
        <v>8306</v>
      </c>
      <c r="B955" s="9">
        <v>2225</v>
      </c>
      <c r="C955" s="9">
        <v>6.8147469999999997</v>
      </c>
      <c r="D955">
        <v>2</v>
      </c>
      <c r="E955">
        <v>2</v>
      </c>
      <c r="F955">
        <v>2</v>
      </c>
      <c r="G955" s="10">
        <v>1</v>
      </c>
      <c r="H955" t="s">
        <v>46</v>
      </c>
      <c r="I955" t="s">
        <v>1957</v>
      </c>
      <c r="J955" t="s">
        <v>8307</v>
      </c>
      <c r="K955" t="s">
        <v>8304</v>
      </c>
      <c r="L955" s="11" t="s">
        <v>8307</v>
      </c>
    </row>
    <row r="956" spans="1:12">
      <c r="A956" t="s">
        <v>8308</v>
      </c>
      <c r="B956" s="9">
        <v>5988</v>
      </c>
      <c r="C956" s="9">
        <v>4.6061009999999998</v>
      </c>
      <c r="D956">
        <v>6</v>
      </c>
      <c r="E956">
        <v>6</v>
      </c>
      <c r="F956">
        <v>6</v>
      </c>
      <c r="G956" s="10">
        <v>1</v>
      </c>
      <c r="H956" t="s">
        <v>46</v>
      </c>
      <c r="I956" t="s">
        <v>1957</v>
      </c>
      <c r="J956" t="s">
        <v>8309</v>
      </c>
      <c r="K956" t="s">
        <v>8310</v>
      </c>
      <c r="L956" s="11" t="s">
        <v>8311</v>
      </c>
    </row>
    <row r="957" spans="1:12">
      <c r="A957" t="s">
        <v>8312</v>
      </c>
      <c r="B957" s="9">
        <v>4767</v>
      </c>
      <c r="C957" s="9">
        <v>6.8109080000000004</v>
      </c>
      <c r="D957">
        <v>5</v>
      </c>
      <c r="E957">
        <v>4</v>
      </c>
      <c r="F957">
        <v>5</v>
      </c>
      <c r="G957" s="10">
        <v>1</v>
      </c>
      <c r="H957" t="s">
        <v>46</v>
      </c>
      <c r="I957" t="s">
        <v>1957</v>
      </c>
      <c r="J957" t="s">
        <v>8313</v>
      </c>
      <c r="K957" t="s">
        <v>8314</v>
      </c>
      <c r="L957" s="11" t="s">
        <v>8315</v>
      </c>
    </row>
    <row r="958" spans="1:12">
      <c r="A958" t="s">
        <v>8316</v>
      </c>
      <c r="B958" s="9">
        <v>2939</v>
      </c>
      <c r="C958" s="9">
        <v>4.3318310000000002</v>
      </c>
      <c r="D958">
        <v>3</v>
      </c>
      <c r="E958">
        <v>3</v>
      </c>
      <c r="F958">
        <v>3</v>
      </c>
      <c r="G958" s="10">
        <v>1</v>
      </c>
      <c r="H958" t="s">
        <v>46</v>
      </c>
      <c r="I958" t="s">
        <v>1957</v>
      </c>
      <c r="J958" t="s">
        <v>8317</v>
      </c>
      <c r="K958" t="s">
        <v>8318</v>
      </c>
      <c r="L958" s="11" t="s">
        <v>8319</v>
      </c>
    </row>
    <row r="959" spans="1:12">
      <c r="A959" t="s">
        <v>8320</v>
      </c>
      <c r="B959" s="9">
        <v>12909</v>
      </c>
      <c r="C959" s="9">
        <v>13.241403</v>
      </c>
      <c r="D959">
        <v>9</v>
      </c>
      <c r="E959">
        <v>8</v>
      </c>
      <c r="F959">
        <v>8</v>
      </c>
      <c r="G959" s="10">
        <v>0.88888888888888884</v>
      </c>
      <c r="H959" t="s">
        <v>46</v>
      </c>
      <c r="I959" t="s">
        <v>1957</v>
      </c>
      <c r="J959" t="s">
        <v>8321</v>
      </c>
      <c r="K959" t="s">
        <v>8322</v>
      </c>
      <c r="L959" s="11" t="s">
        <v>8323</v>
      </c>
    </row>
    <row r="960" spans="1:12">
      <c r="A960" t="s">
        <v>8324</v>
      </c>
      <c r="B960" s="9">
        <v>2520</v>
      </c>
      <c r="C960" s="9">
        <v>9.5456389999999995</v>
      </c>
      <c r="D960">
        <v>3</v>
      </c>
      <c r="E960">
        <v>3</v>
      </c>
      <c r="F960">
        <v>3</v>
      </c>
      <c r="G960" s="10">
        <v>1</v>
      </c>
      <c r="H960" t="s">
        <v>46</v>
      </c>
      <c r="I960" t="s">
        <v>1957</v>
      </c>
      <c r="J960" t="s">
        <v>8325</v>
      </c>
      <c r="K960" t="s">
        <v>8326</v>
      </c>
      <c r="L960" s="11" t="s">
        <v>8327</v>
      </c>
    </row>
    <row r="961" spans="1:12">
      <c r="A961" t="s">
        <v>8328</v>
      </c>
      <c r="B961" s="9">
        <v>6250</v>
      </c>
      <c r="C961" s="9">
        <v>22.793059</v>
      </c>
      <c r="D961">
        <v>3</v>
      </c>
      <c r="E961">
        <v>3</v>
      </c>
      <c r="F961">
        <v>3</v>
      </c>
      <c r="G961" s="10">
        <v>1</v>
      </c>
      <c r="H961" t="s">
        <v>46</v>
      </c>
      <c r="I961" t="s">
        <v>1957</v>
      </c>
      <c r="J961" t="s">
        <v>8329</v>
      </c>
      <c r="K961" t="s">
        <v>8330</v>
      </c>
      <c r="L961" s="11" t="s">
        <v>8331</v>
      </c>
    </row>
    <row r="962" spans="1:12">
      <c r="A962" t="s">
        <v>8332</v>
      </c>
      <c r="B962" s="9">
        <v>2561</v>
      </c>
      <c r="C962" s="9">
        <v>4.8507579999999999</v>
      </c>
      <c r="D962">
        <v>2</v>
      </c>
      <c r="E962">
        <v>2</v>
      </c>
      <c r="F962">
        <v>2</v>
      </c>
      <c r="G962" s="10">
        <v>1</v>
      </c>
      <c r="H962" t="s">
        <v>46</v>
      </c>
      <c r="I962" t="s">
        <v>1957</v>
      </c>
      <c r="J962" t="s">
        <v>8333</v>
      </c>
      <c r="K962" t="s">
        <v>8334</v>
      </c>
      <c r="L962" s="11" t="s">
        <v>8333</v>
      </c>
    </row>
    <row r="963" spans="1:12">
      <c r="A963" t="s">
        <v>8335</v>
      </c>
      <c r="B963" s="9">
        <v>4902</v>
      </c>
      <c r="C963" s="9">
        <v>5.2960589999999996</v>
      </c>
      <c r="D963">
        <v>3</v>
      </c>
      <c r="E963">
        <v>2</v>
      </c>
      <c r="F963">
        <v>3</v>
      </c>
      <c r="G963" s="10">
        <v>1</v>
      </c>
      <c r="H963" t="s">
        <v>46</v>
      </c>
      <c r="I963" t="s">
        <v>1957</v>
      </c>
      <c r="J963" t="s">
        <v>8336</v>
      </c>
      <c r="K963" t="s">
        <v>8337</v>
      </c>
      <c r="L963" s="11" t="s">
        <v>8336</v>
      </c>
    </row>
    <row r="964" spans="1:12">
      <c r="A964" t="s">
        <v>8338</v>
      </c>
      <c r="B964" s="9">
        <v>3105</v>
      </c>
      <c r="C964" s="9">
        <v>4.120984</v>
      </c>
      <c r="D964">
        <v>2</v>
      </c>
      <c r="E964">
        <v>2</v>
      </c>
      <c r="F964">
        <v>2</v>
      </c>
      <c r="G964" s="10">
        <v>1</v>
      </c>
      <c r="H964" t="s">
        <v>46</v>
      </c>
      <c r="I964" t="s">
        <v>1957</v>
      </c>
      <c r="J964" t="s">
        <v>8339</v>
      </c>
      <c r="K964" t="s">
        <v>8340</v>
      </c>
      <c r="L964" s="11" t="s">
        <v>8339</v>
      </c>
    </row>
    <row r="965" spans="1:12">
      <c r="A965" t="s">
        <v>8341</v>
      </c>
      <c r="B965" s="9">
        <v>2435</v>
      </c>
      <c r="C965" s="9">
        <v>3.6390760000000002</v>
      </c>
      <c r="D965">
        <v>1</v>
      </c>
      <c r="E965">
        <v>1</v>
      </c>
      <c r="F965">
        <v>1</v>
      </c>
      <c r="G965" s="10">
        <v>1</v>
      </c>
      <c r="H965" t="s">
        <v>46</v>
      </c>
      <c r="I965" t="s">
        <v>1957</v>
      </c>
      <c r="J965" t="s">
        <v>8342</v>
      </c>
      <c r="K965" t="s">
        <v>8343</v>
      </c>
      <c r="L965" s="11" t="s">
        <v>8342</v>
      </c>
    </row>
    <row r="966" spans="1:12">
      <c r="A966" t="s">
        <v>8344</v>
      </c>
      <c r="B966" s="9">
        <v>2145</v>
      </c>
      <c r="C966" s="9">
        <v>7.6430619999999996</v>
      </c>
      <c r="D966">
        <v>1</v>
      </c>
      <c r="E966">
        <v>1</v>
      </c>
      <c r="F966">
        <v>1</v>
      </c>
      <c r="G966" s="10">
        <v>1</v>
      </c>
      <c r="H966" t="s">
        <v>46</v>
      </c>
      <c r="I966" t="s">
        <v>1957</v>
      </c>
      <c r="J966" t="s">
        <v>8342</v>
      </c>
      <c r="K966" t="s">
        <v>8343</v>
      </c>
      <c r="L966" s="11" t="s">
        <v>8342</v>
      </c>
    </row>
    <row r="967" spans="1:12">
      <c r="A967" t="s">
        <v>8345</v>
      </c>
      <c r="B967" s="9">
        <v>3665</v>
      </c>
      <c r="C967" s="9">
        <v>6.4495839999999998</v>
      </c>
      <c r="D967">
        <v>2</v>
      </c>
      <c r="E967">
        <v>2</v>
      </c>
      <c r="F967">
        <v>2</v>
      </c>
      <c r="G967" s="10">
        <v>1</v>
      </c>
      <c r="H967" t="s">
        <v>46</v>
      </c>
      <c r="I967" t="s">
        <v>1957</v>
      </c>
      <c r="J967" t="s">
        <v>8346</v>
      </c>
      <c r="K967" t="s">
        <v>8347</v>
      </c>
      <c r="L967" s="11" t="s">
        <v>8342</v>
      </c>
    </row>
    <row r="968" spans="1:12">
      <c r="A968" t="s">
        <v>8348</v>
      </c>
      <c r="B968" s="9">
        <v>2210</v>
      </c>
      <c r="C968" s="9">
        <v>2.688167</v>
      </c>
      <c r="D968">
        <v>2</v>
      </c>
      <c r="E968">
        <v>2</v>
      </c>
      <c r="F968">
        <v>2</v>
      </c>
      <c r="G968" s="10">
        <v>1</v>
      </c>
      <c r="H968" t="s">
        <v>46</v>
      </c>
      <c r="I968" t="s">
        <v>1957</v>
      </c>
      <c r="J968" t="s">
        <v>8349</v>
      </c>
      <c r="K968" t="s">
        <v>8350</v>
      </c>
      <c r="L968" s="11" t="s">
        <v>8349</v>
      </c>
    </row>
    <row r="969" spans="1:12">
      <c r="A969" t="s">
        <v>8351</v>
      </c>
      <c r="B969" s="9">
        <v>4059</v>
      </c>
      <c r="C969" s="9">
        <v>7.9517980000000001</v>
      </c>
      <c r="D969">
        <v>2</v>
      </c>
      <c r="E969">
        <v>2</v>
      </c>
      <c r="F969">
        <v>2</v>
      </c>
      <c r="G969" s="10">
        <v>1</v>
      </c>
      <c r="H969" t="s">
        <v>46</v>
      </c>
      <c r="I969" t="s">
        <v>1957</v>
      </c>
      <c r="J969" t="s">
        <v>8352</v>
      </c>
      <c r="K969" t="s">
        <v>8353</v>
      </c>
      <c r="L969" s="11" t="s">
        <v>8354</v>
      </c>
    </row>
    <row r="970" spans="1:12">
      <c r="A970" t="s">
        <v>8355</v>
      </c>
      <c r="B970" s="9">
        <v>3055</v>
      </c>
      <c r="C970" s="9">
        <v>5.1669999999999998</v>
      </c>
      <c r="D970">
        <v>1</v>
      </c>
      <c r="E970">
        <v>1</v>
      </c>
      <c r="F970">
        <v>1</v>
      </c>
      <c r="G970" s="10">
        <v>1</v>
      </c>
      <c r="H970" t="s">
        <v>46</v>
      </c>
      <c r="I970" t="s">
        <v>1957</v>
      </c>
      <c r="J970" t="s">
        <v>8356</v>
      </c>
      <c r="K970" t="s">
        <v>8357</v>
      </c>
      <c r="L970" s="11" t="s">
        <v>8356</v>
      </c>
    </row>
    <row r="971" spans="1:12">
      <c r="A971" t="s">
        <v>8358</v>
      </c>
      <c r="B971" s="9">
        <v>2082</v>
      </c>
      <c r="C971" s="9">
        <v>3.6887029999999998</v>
      </c>
      <c r="D971">
        <v>1</v>
      </c>
      <c r="E971">
        <v>1</v>
      </c>
      <c r="F971">
        <v>1</v>
      </c>
      <c r="G971" s="10">
        <v>1</v>
      </c>
      <c r="H971" t="s">
        <v>46</v>
      </c>
      <c r="I971" t="s">
        <v>1957</v>
      </c>
      <c r="J971" t="s">
        <v>8356</v>
      </c>
      <c r="K971" t="s">
        <v>8357</v>
      </c>
      <c r="L971" s="11" t="s">
        <v>8356</v>
      </c>
    </row>
    <row r="972" spans="1:12">
      <c r="A972" t="s">
        <v>8359</v>
      </c>
      <c r="B972" s="9">
        <v>4300</v>
      </c>
      <c r="C972" s="9">
        <v>14.209894</v>
      </c>
      <c r="D972">
        <v>2</v>
      </c>
      <c r="E972">
        <v>2</v>
      </c>
      <c r="F972">
        <v>2</v>
      </c>
      <c r="G972" s="10">
        <v>1</v>
      </c>
      <c r="H972" t="s">
        <v>46</v>
      </c>
      <c r="I972" t="s">
        <v>1957</v>
      </c>
      <c r="J972" t="s">
        <v>8360</v>
      </c>
      <c r="K972" t="s">
        <v>8361</v>
      </c>
      <c r="L972" s="11" t="s">
        <v>8362</v>
      </c>
    </row>
    <row r="973" spans="1:12">
      <c r="A973" t="s">
        <v>8363</v>
      </c>
      <c r="B973" s="9">
        <v>2914</v>
      </c>
      <c r="C973" s="9">
        <v>4.0958379999999996</v>
      </c>
      <c r="D973">
        <v>1</v>
      </c>
      <c r="E973">
        <v>1</v>
      </c>
      <c r="F973">
        <v>1</v>
      </c>
      <c r="G973" s="10">
        <v>1</v>
      </c>
      <c r="H973" t="s">
        <v>46</v>
      </c>
      <c r="I973" t="s">
        <v>1957</v>
      </c>
      <c r="J973" t="s">
        <v>8364</v>
      </c>
      <c r="K973" t="s">
        <v>8365</v>
      </c>
      <c r="L973" s="11" t="s">
        <v>8364</v>
      </c>
    </row>
    <row r="974" spans="1:12">
      <c r="A974" t="s">
        <v>8366</v>
      </c>
      <c r="B974" s="9">
        <v>5451</v>
      </c>
      <c r="C974" s="9">
        <v>5.569496</v>
      </c>
      <c r="D974">
        <v>4</v>
      </c>
      <c r="E974">
        <v>4</v>
      </c>
      <c r="F974">
        <v>4</v>
      </c>
      <c r="G974" s="10">
        <v>1</v>
      </c>
      <c r="H974" t="s">
        <v>46</v>
      </c>
      <c r="I974" t="s">
        <v>1957</v>
      </c>
      <c r="J974" t="s">
        <v>8367</v>
      </c>
      <c r="K974" t="s">
        <v>8368</v>
      </c>
      <c r="L974" s="11" t="s">
        <v>8367</v>
      </c>
    </row>
    <row r="975" spans="1:12">
      <c r="A975" t="s">
        <v>8369</v>
      </c>
      <c r="B975" s="9">
        <v>12026</v>
      </c>
      <c r="C975" s="9">
        <v>10.026897999999999</v>
      </c>
      <c r="D975">
        <v>10</v>
      </c>
      <c r="E975">
        <v>10</v>
      </c>
      <c r="F975">
        <v>9</v>
      </c>
      <c r="G975" s="10">
        <v>0.9</v>
      </c>
      <c r="H975" t="s">
        <v>46</v>
      </c>
      <c r="I975" t="s">
        <v>1957</v>
      </c>
      <c r="J975" t="s">
        <v>8370</v>
      </c>
      <c r="K975" t="s">
        <v>8368</v>
      </c>
      <c r="L975" s="11" t="s">
        <v>8370</v>
      </c>
    </row>
    <row r="976" spans="1:12">
      <c r="A976" t="s">
        <v>8371</v>
      </c>
      <c r="B976" s="9">
        <v>3998</v>
      </c>
      <c r="C976" s="9">
        <v>12.299518000000001</v>
      </c>
      <c r="D976">
        <v>3</v>
      </c>
      <c r="E976">
        <v>2</v>
      </c>
      <c r="F976">
        <v>1</v>
      </c>
      <c r="G976" s="10">
        <v>0.33333333333333331</v>
      </c>
      <c r="H976" t="s">
        <v>46</v>
      </c>
      <c r="I976" t="s">
        <v>1957</v>
      </c>
      <c r="J976" t="s">
        <v>8372</v>
      </c>
      <c r="K976" t="s">
        <v>8373</v>
      </c>
      <c r="L976" s="11" t="s">
        <v>8364</v>
      </c>
    </row>
    <row r="977" spans="1:12">
      <c r="A977" t="s">
        <v>8374</v>
      </c>
      <c r="B977" s="9">
        <v>13160</v>
      </c>
      <c r="C977" s="9">
        <v>10.999694999999999</v>
      </c>
      <c r="D977">
        <v>1</v>
      </c>
      <c r="E977">
        <v>1</v>
      </c>
      <c r="F977">
        <v>1</v>
      </c>
      <c r="G977" s="10">
        <v>1</v>
      </c>
      <c r="H977" t="s">
        <v>46</v>
      </c>
      <c r="I977" t="s">
        <v>1957</v>
      </c>
      <c r="J977" t="s">
        <v>8375</v>
      </c>
      <c r="K977" t="s">
        <v>8376</v>
      </c>
      <c r="L977" s="11" t="s">
        <v>8375</v>
      </c>
    </row>
    <row r="978" spans="1:12">
      <c r="A978" t="s">
        <v>8377</v>
      </c>
      <c r="B978" s="9">
        <v>4258</v>
      </c>
      <c r="C978" s="9">
        <v>6.0559120000000002</v>
      </c>
      <c r="D978">
        <v>1</v>
      </c>
      <c r="E978">
        <v>1</v>
      </c>
      <c r="F978">
        <v>1</v>
      </c>
      <c r="G978" s="10">
        <v>1</v>
      </c>
      <c r="H978" t="s">
        <v>46</v>
      </c>
      <c r="I978" t="s">
        <v>1957</v>
      </c>
      <c r="J978" t="s">
        <v>8375</v>
      </c>
      <c r="K978" t="s">
        <v>8376</v>
      </c>
      <c r="L978" s="11" t="s">
        <v>8375</v>
      </c>
    </row>
    <row r="979" spans="1:12">
      <c r="A979" t="s">
        <v>8378</v>
      </c>
      <c r="B979" s="9">
        <v>2956</v>
      </c>
      <c r="C979" s="9">
        <v>7.0486040000000001</v>
      </c>
      <c r="D979">
        <v>1</v>
      </c>
      <c r="E979">
        <v>1</v>
      </c>
      <c r="F979">
        <v>1</v>
      </c>
      <c r="G979" s="10">
        <v>1</v>
      </c>
      <c r="H979" t="s">
        <v>46</v>
      </c>
      <c r="I979" t="s">
        <v>1957</v>
      </c>
      <c r="J979" t="s">
        <v>8379</v>
      </c>
      <c r="K979" t="s">
        <v>8380</v>
      </c>
      <c r="L979" s="11" t="s">
        <v>8379</v>
      </c>
    </row>
    <row r="980" spans="1:12">
      <c r="A980" t="s">
        <v>8381</v>
      </c>
      <c r="B980" s="9">
        <v>5642</v>
      </c>
      <c r="C980" s="9">
        <v>15.155898000000001</v>
      </c>
      <c r="D980">
        <v>3</v>
      </c>
      <c r="E980">
        <v>3</v>
      </c>
      <c r="F980">
        <v>3</v>
      </c>
      <c r="G980" s="10">
        <v>1</v>
      </c>
      <c r="H980" t="s">
        <v>46</v>
      </c>
      <c r="I980" t="s">
        <v>1957</v>
      </c>
      <c r="J980" t="s">
        <v>8382</v>
      </c>
      <c r="K980" t="s">
        <v>8383</v>
      </c>
      <c r="L980" s="11" t="s">
        <v>8382</v>
      </c>
    </row>
    <row r="981" spans="1:12">
      <c r="A981" t="s">
        <v>8384</v>
      </c>
      <c r="B981" s="9">
        <v>5523</v>
      </c>
      <c r="C981" s="9">
        <v>24.101865</v>
      </c>
      <c r="D981">
        <v>2</v>
      </c>
      <c r="E981">
        <v>2</v>
      </c>
      <c r="F981">
        <v>2</v>
      </c>
      <c r="G981" s="10">
        <v>1</v>
      </c>
      <c r="H981" t="s">
        <v>46</v>
      </c>
      <c r="I981" t="s">
        <v>1957</v>
      </c>
      <c r="J981" t="s">
        <v>8385</v>
      </c>
      <c r="K981" t="s">
        <v>8386</v>
      </c>
      <c r="L981" s="11" t="s">
        <v>8387</v>
      </c>
    </row>
    <row r="982" spans="1:12">
      <c r="A982" t="s">
        <v>8388</v>
      </c>
      <c r="B982" s="9">
        <v>2188</v>
      </c>
      <c r="C982" s="9">
        <v>7.6516640000000002</v>
      </c>
      <c r="D982">
        <v>1</v>
      </c>
      <c r="E982">
        <v>1</v>
      </c>
      <c r="F982">
        <v>1</v>
      </c>
      <c r="G982" s="10">
        <v>1</v>
      </c>
      <c r="H982" t="s">
        <v>46</v>
      </c>
      <c r="I982" t="s">
        <v>1957</v>
      </c>
      <c r="J982" t="s">
        <v>8389</v>
      </c>
      <c r="K982" t="s">
        <v>8390</v>
      </c>
      <c r="L982" s="11" t="s">
        <v>8389</v>
      </c>
    </row>
    <row r="983" spans="1:12">
      <c r="A983" t="s">
        <v>8391</v>
      </c>
      <c r="B983" s="9">
        <v>5611</v>
      </c>
      <c r="C983" s="9">
        <v>11.271058</v>
      </c>
      <c r="D983">
        <v>4</v>
      </c>
      <c r="E983">
        <v>4</v>
      </c>
      <c r="F983">
        <v>3</v>
      </c>
      <c r="G983" s="10">
        <v>0.75</v>
      </c>
      <c r="H983" t="s">
        <v>46</v>
      </c>
      <c r="I983" t="s">
        <v>1957</v>
      </c>
      <c r="J983" t="s">
        <v>8392</v>
      </c>
      <c r="K983" t="s">
        <v>8393</v>
      </c>
      <c r="L983" s="11" t="s">
        <v>8394</v>
      </c>
    </row>
    <row r="984" spans="1:12">
      <c r="A984" t="s">
        <v>8395</v>
      </c>
      <c r="B984" s="9">
        <v>2865</v>
      </c>
      <c r="C984" s="9">
        <v>4.6448400000000003</v>
      </c>
      <c r="D984">
        <v>4</v>
      </c>
      <c r="E984">
        <v>4</v>
      </c>
      <c r="F984">
        <v>3</v>
      </c>
      <c r="G984" s="10">
        <v>0.75</v>
      </c>
      <c r="H984" t="s">
        <v>46</v>
      </c>
      <c r="I984" t="s">
        <v>1957</v>
      </c>
      <c r="J984" t="s">
        <v>8396</v>
      </c>
      <c r="K984" t="s">
        <v>8397</v>
      </c>
      <c r="L984" s="11" t="s">
        <v>8396</v>
      </c>
    </row>
    <row r="985" spans="1:12">
      <c r="A985" t="s">
        <v>8398</v>
      </c>
      <c r="B985" s="9">
        <v>6834</v>
      </c>
      <c r="C985" s="9">
        <v>14.617495</v>
      </c>
      <c r="D985">
        <v>3</v>
      </c>
      <c r="E985">
        <v>3</v>
      </c>
      <c r="F985">
        <v>3</v>
      </c>
      <c r="G985" s="10">
        <v>1</v>
      </c>
      <c r="H985" t="s">
        <v>46</v>
      </c>
      <c r="I985" t="s">
        <v>1957</v>
      </c>
      <c r="J985" t="s">
        <v>8399</v>
      </c>
      <c r="K985" t="s">
        <v>8400</v>
      </c>
      <c r="L985" s="11" t="s">
        <v>8399</v>
      </c>
    </row>
    <row r="986" spans="1:12">
      <c r="A986" t="s">
        <v>8401</v>
      </c>
      <c r="B986" s="9">
        <v>5977</v>
      </c>
      <c r="C986" s="9">
        <v>5.4414049999999996</v>
      </c>
      <c r="D986">
        <v>2</v>
      </c>
      <c r="E986">
        <v>2</v>
      </c>
      <c r="F986">
        <v>2</v>
      </c>
      <c r="G986" s="10">
        <v>1</v>
      </c>
      <c r="H986" t="s">
        <v>46</v>
      </c>
      <c r="I986" t="s">
        <v>1957</v>
      </c>
      <c r="J986" t="s">
        <v>8402</v>
      </c>
      <c r="K986" t="s">
        <v>8400</v>
      </c>
      <c r="L986" s="11" t="s">
        <v>8403</v>
      </c>
    </row>
    <row r="987" spans="1:12">
      <c r="A987" t="s">
        <v>8404</v>
      </c>
      <c r="B987" s="9">
        <v>5034</v>
      </c>
      <c r="C987" s="9">
        <v>3.3072910000000002</v>
      </c>
      <c r="D987">
        <v>2</v>
      </c>
      <c r="E987">
        <v>2</v>
      </c>
      <c r="F987">
        <v>2</v>
      </c>
      <c r="G987" s="10">
        <v>1</v>
      </c>
      <c r="H987" t="s">
        <v>46</v>
      </c>
      <c r="I987" t="s">
        <v>1957</v>
      </c>
      <c r="J987" t="s">
        <v>8405</v>
      </c>
      <c r="K987" t="s">
        <v>8400</v>
      </c>
      <c r="L987" s="11" t="s">
        <v>8405</v>
      </c>
    </row>
    <row r="988" spans="1:12">
      <c r="A988" t="s">
        <v>8406</v>
      </c>
      <c r="B988" s="9">
        <v>3411</v>
      </c>
      <c r="C988" s="9">
        <v>8.2175209999999996</v>
      </c>
      <c r="D988">
        <v>1</v>
      </c>
      <c r="E988">
        <v>1</v>
      </c>
      <c r="F988">
        <v>1</v>
      </c>
      <c r="G988" s="10">
        <v>1</v>
      </c>
      <c r="H988" t="s">
        <v>46</v>
      </c>
      <c r="I988" t="s">
        <v>1957</v>
      </c>
      <c r="J988" t="s">
        <v>8407</v>
      </c>
      <c r="K988" t="s">
        <v>8400</v>
      </c>
      <c r="L988" s="11" t="s">
        <v>8407</v>
      </c>
    </row>
    <row r="989" spans="1:12">
      <c r="A989" t="s">
        <v>8408</v>
      </c>
      <c r="B989" s="9">
        <v>2425</v>
      </c>
      <c r="C989" s="9">
        <v>4.9869199999999996</v>
      </c>
      <c r="D989">
        <v>2</v>
      </c>
      <c r="E989">
        <v>2</v>
      </c>
      <c r="F989">
        <v>2</v>
      </c>
      <c r="G989" s="10">
        <v>1</v>
      </c>
      <c r="H989" t="s">
        <v>46</v>
      </c>
      <c r="I989" t="s">
        <v>1957</v>
      </c>
      <c r="J989" t="s">
        <v>8405</v>
      </c>
      <c r="K989" t="s">
        <v>8400</v>
      </c>
      <c r="L989" s="11" t="s">
        <v>8405</v>
      </c>
    </row>
    <row r="990" spans="1:12">
      <c r="A990" t="s">
        <v>8409</v>
      </c>
      <c r="B990" s="9">
        <v>2302</v>
      </c>
      <c r="C990" s="9">
        <v>4.3159770000000002</v>
      </c>
      <c r="D990">
        <v>2</v>
      </c>
      <c r="E990">
        <v>1</v>
      </c>
      <c r="F990">
        <v>2</v>
      </c>
      <c r="G990" s="10">
        <v>1</v>
      </c>
      <c r="H990" t="s">
        <v>46</v>
      </c>
      <c r="I990" t="s">
        <v>1957</v>
      </c>
      <c r="J990" t="s">
        <v>8407</v>
      </c>
      <c r="K990" t="s">
        <v>8400</v>
      </c>
      <c r="L990" s="11" t="s">
        <v>8407</v>
      </c>
    </row>
    <row r="991" spans="1:12">
      <c r="A991" t="s">
        <v>8410</v>
      </c>
      <c r="B991" s="9">
        <v>11881</v>
      </c>
      <c r="C991" s="9">
        <v>7.2384579999999996</v>
      </c>
      <c r="D991">
        <v>4</v>
      </c>
      <c r="E991">
        <v>3</v>
      </c>
      <c r="F991">
        <v>2</v>
      </c>
      <c r="G991" s="10">
        <v>0.5</v>
      </c>
      <c r="H991" t="s">
        <v>46</v>
      </c>
      <c r="I991" t="s">
        <v>1957</v>
      </c>
      <c r="J991" t="s">
        <v>8402</v>
      </c>
      <c r="K991" t="s">
        <v>8400</v>
      </c>
      <c r="L991" s="11" t="s">
        <v>8411</v>
      </c>
    </row>
    <row r="992" spans="1:12">
      <c r="A992" t="s">
        <v>8412</v>
      </c>
      <c r="B992" s="9">
        <v>3561</v>
      </c>
      <c r="C992" s="9">
        <v>4.1557329999999997</v>
      </c>
      <c r="D992">
        <v>2</v>
      </c>
      <c r="E992">
        <v>2</v>
      </c>
      <c r="F992">
        <v>1</v>
      </c>
      <c r="G992" s="10">
        <v>0.5</v>
      </c>
      <c r="H992" t="s">
        <v>46</v>
      </c>
      <c r="I992" t="s">
        <v>1957</v>
      </c>
      <c r="J992" t="s">
        <v>8413</v>
      </c>
      <c r="K992" t="s">
        <v>8414</v>
      </c>
      <c r="L992" s="11" t="s">
        <v>8407</v>
      </c>
    </row>
    <row r="993" spans="1:12">
      <c r="A993" t="s">
        <v>8415</v>
      </c>
      <c r="B993" s="9">
        <v>13573</v>
      </c>
      <c r="C993" s="9">
        <v>6.3278590000000001</v>
      </c>
      <c r="D993">
        <v>3</v>
      </c>
      <c r="E993">
        <v>2</v>
      </c>
      <c r="F993">
        <v>2</v>
      </c>
      <c r="G993" s="10">
        <v>0.66666666666666663</v>
      </c>
      <c r="H993" t="s">
        <v>46</v>
      </c>
      <c r="I993" t="s">
        <v>1957</v>
      </c>
      <c r="J993" t="s">
        <v>8416</v>
      </c>
      <c r="K993" t="s">
        <v>8417</v>
      </c>
      <c r="L993" s="11" t="s">
        <v>8407</v>
      </c>
    </row>
    <row r="994" spans="1:12">
      <c r="A994" t="s">
        <v>8418</v>
      </c>
      <c r="B994" s="9">
        <v>7406</v>
      </c>
      <c r="C994" s="9">
        <v>8.2100390000000001</v>
      </c>
      <c r="D994">
        <v>4</v>
      </c>
      <c r="E994">
        <v>4</v>
      </c>
      <c r="F994">
        <v>3</v>
      </c>
      <c r="G994" s="10">
        <v>0.75</v>
      </c>
      <c r="H994" t="s">
        <v>46</v>
      </c>
      <c r="I994" t="s">
        <v>1957</v>
      </c>
      <c r="J994" t="s">
        <v>8419</v>
      </c>
      <c r="K994" t="s">
        <v>8420</v>
      </c>
      <c r="L994" s="11" t="s">
        <v>8419</v>
      </c>
    </row>
    <row r="995" spans="1:12">
      <c r="A995" t="s">
        <v>8421</v>
      </c>
      <c r="B995" s="9">
        <v>6539</v>
      </c>
      <c r="C995" s="9">
        <v>18.505706</v>
      </c>
      <c r="D995">
        <v>7</v>
      </c>
      <c r="E995">
        <v>6</v>
      </c>
      <c r="F995">
        <v>6</v>
      </c>
      <c r="G995" s="10">
        <v>0.8571428571428571</v>
      </c>
      <c r="H995" t="s">
        <v>46</v>
      </c>
      <c r="I995" t="s">
        <v>1957</v>
      </c>
      <c r="J995" t="s">
        <v>8422</v>
      </c>
      <c r="K995" t="s">
        <v>8423</v>
      </c>
      <c r="L995" s="11" t="s">
        <v>8419</v>
      </c>
    </row>
    <row r="996" spans="1:12">
      <c r="A996" t="s">
        <v>8424</v>
      </c>
      <c r="B996" s="9">
        <v>3103</v>
      </c>
      <c r="C996" s="9">
        <v>3.2024279999999998</v>
      </c>
      <c r="D996">
        <v>3</v>
      </c>
      <c r="E996">
        <v>3</v>
      </c>
      <c r="F996">
        <v>2</v>
      </c>
      <c r="G996" s="10">
        <v>0.66666666666666663</v>
      </c>
      <c r="H996" t="s">
        <v>46</v>
      </c>
      <c r="I996" t="s">
        <v>1957</v>
      </c>
      <c r="J996" t="s">
        <v>8425</v>
      </c>
      <c r="K996" t="s">
        <v>8426</v>
      </c>
      <c r="L996" s="11" t="s">
        <v>8405</v>
      </c>
    </row>
    <row r="997" spans="1:12">
      <c r="A997" t="s">
        <v>8427</v>
      </c>
      <c r="B997" s="9">
        <v>4736</v>
      </c>
      <c r="C997" s="9">
        <v>4.8320869999999996</v>
      </c>
      <c r="D997">
        <v>5</v>
      </c>
      <c r="E997">
        <v>5</v>
      </c>
      <c r="F997">
        <v>5</v>
      </c>
      <c r="G997" s="10">
        <v>1</v>
      </c>
      <c r="H997" t="s">
        <v>46</v>
      </c>
      <c r="I997" t="s">
        <v>1957</v>
      </c>
      <c r="J997" t="s">
        <v>8428</v>
      </c>
      <c r="K997" t="s">
        <v>8429</v>
      </c>
      <c r="L997" s="11" t="s">
        <v>8430</v>
      </c>
    </row>
    <row r="998" spans="1:12">
      <c r="A998" t="s">
        <v>8431</v>
      </c>
      <c r="B998" s="9">
        <v>2554</v>
      </c>
      <c r="C998" s="9">
        <v>5.5618249999999998</v>
      </c>
      <c r="D998">
        <v>3</v>
      </c>
      <c r="E998">
        <v>3</v>
      </c>
      <c r="F998">
        <v>3</v>
      </c>
      <c r="G998" s="10">
        <v>1</v>
      </c>
      <c r="H998" t="s">
        <v>46</v>
      </c>
      <c r="I998" t="s">
        <v>1957</v>
      </c>
      <c r="J998" t="s">
        <v>8432</v>
      </c>
      <c r="K998" t="s">
        <v>8429</v>
      </c>
      <c r="L998" s="11" t="s">
        <v>8405</v>
      </c>
    </row>
    <row r="999" spans="1:12">
      <c r="A999" t="s">
        <v>8433</v>
      </c>
      <c r="B999" s="9">
        <v>2256</v>
      </c>
      <c r="C999" s="9">
        <v>3.7046800000000002</v>
      </c>
      <c r="D999">
        <v>4</v>
      </c>
      <c r="E999">
        <v>3</v>
      </c>
      <c r="F999">
        <v>4</v>
      </c>
      <c r="G999" s="10">
        <v>1</v>
      </c>
      <c r="H999" t="s">
        <v>46</v>
      </c>
      <c r="I999" t="s">
        <v>1957</v>
      </c>
      <c r="J999" t="s">
        <v>8432</v>
      </c>
      <c r="K999" t="s">
        <v>8429</v>
      </c>
      <c r="L999" s="11" t="s">
        <v>8405</v>
      </c>
    </row>
    <row r="1000" spans="1:12">
      <c r="A1000" t="s">
        <v>8434</v>
      </c>
      <c r="B1000" s="9">
        <v>8067</v>
      </c>
      <c r="C1000" s="9">
        <v>5.7326509999999997</v>
      </c>
      <c r="D1000">
        <v>8</v>
      </c>
      <c r="E1000">
        <v>8</v>
      </c>
      <c r="F1000">
        <v>6</v>
      </c>
      <c r="G1000" s="10">
        <v>0.75</v>
      </c>
      <c r="H1000" t="s">
        <v>46</v>
      </c>
      <c r="I1000" t="s">
        <v>1957</v>
      </c>
      <c r="J1000" t="s">
        <v>8435</v>
      </c>
      <c r="K1000" t="s">
        <v>8436</v>
      </c>
      <c r="L1000" s="11" t="s">
        <v>8437</v>
      </c>
    </row>
    <row r="1001" spans="1:12">
      <c r="A1001" t="s">
        <v>8438</v>
      </c>
      <c r="B1001" s="9">
        <v>3794</v>
      </c>
      <c r="C1001" s="9">
        <v>9.7416420000000006</v>
      </c>
      <c r="D1001">
        <v>3</v>
      </c>
      <c r="E1001">
        <v>3</v>
      </c>
      <c r="F1001">
        <v>2</v>
      </c>
      <c r="G1001" s="10">
        <v>0.66666666666666663</v>
      </c>
      <c r="H1001" t="s">
        <v>46</v>
      </c>
      <c r="I1001" t="s">
        <v>1957</v>
      </c>
      <c r="J1001" t="s">
        <v>8439</v>
      </c>
      <c r="K1001" t="s">
        <v>8440</v>
      </c>
      <c r="L1001" s="11" t="s">
        <v>8441</v>
      </c>
    </row>
    <row r="1002" spans="1:12">
      <c r="A1002" t="s">
        <v>8442</v>
      </c>
      <c r="B1002" s="9">
        <v>3329</v>
      </c>
      <c r="C1002" s="9">
        <v>6.1802080000000004</v>
      </c>
      <c r="D1002">
        <v>3</v>
      </c>
      <c r="E1002">
        <v>2</v>
      </c>
      <c r="F1002">
        <v>1</v>
      </c>
      <c r="G1002" s="10">
        <v>0.33333333333333331</v>
      </c>
      <c r="H1002" t="s">
        <v>46</v>
      </c>
      <c r="I1002" t="s">
        <v>1957</v>
      </c>
      <c r="J1002" t="s">
        <v>8443</v>
      </c>
      <c r="K1002" t="s">
        <v>8444</v>
      </c>
      <c r="L1002" s="11" t="s">
        <v>8445</v>
      </c>
    </row>
    <row r="1003" spans="1:12">
      <c r="A1003" t="s">
        <v>8446</v>
      </c>
      <c r="B1003" s="9">
        <v>17099</v>
      </c>
      <c r="C1003" s="9">
        <v>19.283795000000001</v>
      </c>
      <c r="D1003">
        <v>5</v>
      </c>
      <c r="E1003">
        <v>4</v>
      </c>
      <c r="F1003">
        <v>5</v>
      </c>
      <c r="G1003" s="10">
        <v>1</v>
      </c>
      <c r="H1003" t="s">
        <v>46</v>
      </c>
      <c r="I1003" t="s">
        <v>1957</v>
      </c>
      <c r="J1003" t="s">
        <v>8447</v>
      </c>
      <c r="K1003" t="s">
        <v>8448</v>
      </c>
      <c r="L1003" s="11" t="s">
        <v>8447</v>
      </c>
    </row>
    <row r="1004" spans="1:12">
      <c r="A1004" t="s">
        <v>8449</v>
      </c>
      <c r="B1004" s="9">
        <v>5668</v>
      </c>
      <c r="C1004" s="9">
        <v>10.280241999999999</v>
      </c>
      <c r="D1004">
        <v>3</v>
      </c>
      <c r="E1004">
        <v>3</v>
      </c>
      <c r="F1004">
        <v>3</v>
      </c>
      <c r="G1004" s="10">
        <v>1</v>
      </c>
      <c r="H1004" t="s">
        <v>46</v>
      </c>
      <c r="I1004" t="s">
        <v>1957</v>
      </c>
      <c r="J1004" t="s">
        <v>8450</v>
      </c>
      <c r="K1004" t="s">
        <v>8451</v>
      </c>
      <c r="L1004" s="11" t="s">
        <v>8450</v>
      </c>
    </row>
    <row r="1005" spans="1:12">
      <c r="A1005" t="s">
        <v>8452</v>
      </c>
      <c r="B1005" s="9">
        <v>3511</v>
      </c>
      <c r="C1005" s="9">
        <v>3.2424770000000001</v>
      </c>
      <c r="D1005">
        <v>3</v>
      </c>
      <c r="E1005">
        <v>3</v>
      </c>
      <c r="F1005">
        <v>3</v>
      </c>
      <c r="G1005" s="10">
        <v>1</v>
      </c>
      <c r="H1005" t="s">
        <v>46</v>
      </c>
      <c r="I1005" t="s">
        <v>1957</v>
      </c>
      <c r="J1005" t="s">
        <v>8453</v>
      </c>
      <c r="K1005" t="s">
        <v>8451</v>
      </c>
      <c r="L1005" s="11" t="s">
        <v>8454</v>
      </c>
    </row>
    <row r="1006" spans="1:12">
      <c r="A1006" t="s">
        <v>8455</v>
      </c>
      <c r="B1006" s="9">
        <v>2351</v>
      </c>
      <c r="C1006" s="9">
        <v>9.3053139999999992</v>
      </c>
      <c r="D1006">
        <v>1</v>
      </c>
      <c r="E1006">
        <v>1</v>
      </c>
      <c r="F1006">
        <v>1</v>
      </c>
      <c r="G1006" s="10">
        <v>1</v>
      </c>
      <c r="H1006" t="s">
        <v>46</v>
      </c>
      <c r="I1006" t="s">
        <v>1957</v>
      </c>
      <c r="J1006" t="s">
        <v>8456</v>
      </c>
      <c r="K1006" t="s">
        <v>8451</v>
      </c>
      <c r="L1006" s="11" t="s">
        <v>8456</v>
      </c>
    </row>
    <row r="1007" spans="1:12">
      <c r="A1007" t="s">
        <v>8457</v>
      </c>
      <c r="B1007" s="9">
        <v>2329</v>
      </c>
      <c r="C1007" s="9">
        <v>4.6939310000000001</v>
      </c>
      <c r="D1007">
        <v>2</v>
      </c>
      <c r="E1007">
        <v>2</v>
      </c>
      <c r="F1007">
        <v>2</v>
      </c>
      <c r="G1007" s="10">
        <v>1</v>
      </c>
      <c r="H1007" t="s">
        <v>46</v>
      </c>
      <c r="I1007" t="s">
        <v>1957</v>
      </c>
      <c r="J1007" t="s">
        <v>8458</v>
      </c>
      <c r="K1007" t="s">
        <v>8451</v>
      </c>
      <c r="L1007" s="11" t="s">
        <v>8458</v>
      </c>
    </row>
    <row r="1008" spans="1:12">
      <c r="A1008" t="s">
        <v>8459</v>
      </c>
      <c r="B1008" s="9">
        <v>2205</v>
      </c>
      <c r="C1008" s="9">
        <v>5.7576739999999997</v>
      </c>
      <c r="D1008">
        <v>1</v>
      </c>
      <c r="E1008">
        <v>1</v>
      </c>
      <c r="F1008">
        <v>1</v>
      </c>
      <c r="G1008" s="10">
        <v>1</v>
      </c>
      <c r="H1008" t="s">
        <v>46</v>
      </c>
      <c r="I1008" t="s">
        <v>1957</v>
      </c>
      <c r="J1008" t="s">
        <v>8456</v>
      </c>
      <c r="K1008" t="s">
        <v>8451</v>
      </c>
      <c r="L1008" s="11" t="s">
        <v>8456</v>
      </c>
    </row>
    <row r="1009" spans="1:12">
      <c r="A1009" t="s">
        <v>8460</v>
      </c>
      <c r="B1009" s="9">
        <v>2169</v>
      </c>
      <c r="C1009" s="9">
        <v>3.3599809999999999</v>
      </c>
      <c r="D1009">
        <v>1</v>
      </c>
      <c r="E1009">
        <v>1</v>
      </c>
      <c r="F1009">
        <v>1</v>
      </c>
      <c r="G1009" s="10">
        <v>1</v>
      </c>
      <c r="H1009" t="s">
        <v>46</v>
      </c>
      <c r="I1009" t="s">
        <v>1957</v>
      </c>
      <c r="J1009" t="s">
        <v>8456</v>
      </c>
      <c r="K1009" t="s">
        <v>8451</v>
      </c>
      <c r="L1009" s="11" t="s">
        <v>8456</v>
      </c>
    </row>
    <row r="1010" spans="1:12">
      <c r="A1010" t="s">
        <v>8461</v>
      </c>
      <c r="B1010" s="9">
        <v>5845</v>
      </c>
      <c r="C1010" s="9">
        <v>16.757339999999999</v>
      </c>
      <c r="D1010">
        <v>3</v>
      </c>
      <c r="E1010">
        <v>2</v>
      </c>
      <c r="F1010">
        <v>2</v>
      </c>
      <c r="G1010" s="10">
        <v>0.66666666666666663</v>
      </c>
      <c r="H1010" t="s">
        <v>46</v>
      </c>
      <c r="I1010" t="s">
        <v>1957</v>
      </c>
      <c r="J1010" t="s">
        <v>8456</v>
      </c>
      <c r="K1010" t="s">
        <v>8451</v>
      </c>
      <c r="L1010" s="11" t="s">
        <v>8456</v>
      </c>
    </row>
    <row r="1011" spans="1:12">
      <c r="A1011" t="s">
        <v>8462</v>
      </c>
      <c r="B1011" s="9">
        <v>5446</v>
      </c>
      <c r="C1011" s="9">
        <v>9.5869040000000005</v>
      </c>
      <c r="D1011">
        <v>4</v>
      </c>
      <c r="E1011">
        <v>3</v>
      </c>
      <c r="F1011">
        <v>2</v>
      </c>
      <c r="G1011" s="10">
        <v>0.5</v>
      </c>
      <c r="H1011" t="s">
        <v>46</v>
      </c>
      <c r="I1011" t="s">
        <v>1957</v>
      </c>
      <c r="J1011" t="s">
        <v>8463</v>
      </c>
      <c r="K1011" t="s">
        <v>8451</v>
      </c>
      <c r="L1011" s="11" t="s">
        <v>8463</v>
      </c>
    </row>
    <row r="1012" spans="1:12">
      <c r="A1012" t="s">
        <v>8464</v>
      </c>
      <c r="B1012" s="9">
        <v>16915</v>
      </c>
      <c r="C1012" s="9">
        <v>22.927758000000001</v>
      </c>
      <c r="D1012">
        <v>7</v>
      </c>
      <c r="E1012">
        <v>5</v>
      </c>
      <c r="F1012">
        <v>3</v>
      </c>
      <c r="G1012" s="10">
        <v>0.42857142857142855</v>
      </c>
      <c r="H1012" t="s">
        <v>46</v>
      </c>
      <c r="I1012" t="s">
        <v>1957</v>
      </c>
      <c r="J1012" t="s">
        <v>8450</v>
      </c>
      <c r="K1012" t="s">
        <v>8451</v>
      </c>
      <c r="L1012" s="11" t="s">
        <v>8450</v>
      </c>
    </row>
    <row r="1013" spans="1:12">
      <c r="A1013" t="s">
        <v>8465</v>
      </c>
      <c r="B1013" s="9">
        <v>3511</v>
      </c>
      <c r="C1013" s="9">
        <v>7.8553240000000004</v>
      </c>
      <c r="D1013">
        <v>1</v>
      </c>
      <c r="E1013">
        <v>1</v>
      </c>
      <c r="F1013">
        <v>1</v>
      </c>
      <c r="G1013" s="10">
        <v>1</v>
      </c>
      <c r="H1013" t="s">
        <v>46</v>
      </c>
      <c r="I1013" t="s">
        <v>1957</v>
      </c>
      <c r="J1013" t="s">
        <v>8466</v>
      </c>
      <c r="K1013" t="s">
        <v>8467</v>
      </c>
      <c r="L1013" s="11" t="s">
        <v>8466</v>
      </c>
    </row>
    <row r="1014" spans="1:12">
      <c r="A1014" t="s">
        <v>8468</v>
      </c>
      <c r="B1014" s="9">
        <v>3252</v>
      </c>
      <c r="C1014" s="9">
        <v>4.48827</v>
      </c>
      <c r="D1014">
        <v>1</v>
      </c>
      <c r="E1014">
        <v>1</v>
      </c>
      <c r="F1014">
        <v>1</v>
      </c>
      <c r="G1014" s="10">
        <v>1</v>
      </c>
      <c r="H1014" t="s">
        <v>46</v>
      </c>
      <c r="I1014" t="s">
        <v>1957</v>
      </c>
      <c r="J1014" t="s">
        <v>8466</v>
      </c>
      <c r="K1014" t="s">
        <v>8467</v>
      </c>
      <c r="L1014" s="11" t="s">
        <v>8466</v>
      </c>
    </row>
    <row r="1015" spans="1:12">
      <c r="A1015" t="s">
        <v>8469</v>
      </c>
      <c r="B1015" s="9">
        <v>2219</v>
      </c>
      <c r="C1015" s="9">
        <v>10.707485999999999</v>
      </c>
      <c r="D1015">
        <v>1</v>
      </c>
      <c r="E1015">
        <v>1</v>
      </c>
      <c r="F1015">
        <v>1</v>
      </c>
      <c r="G1015" s="10">
        <v>1</v>
      </c>
      <c r="H1015" t="s">
        <v>46</v>
      </c>
      <c r="I1015" t="s">
        <v>1957</v>
      </c>
      <c r="J1015" t="s">
        <v>8470</v>
      </c>
      <c r="K1015" t="s">
        <v>8471</v>
      </c>
      <c r="L1015" s="11" t="s">
        <v>8470</v>
      </c>
    </row>
    <row r="1016" spans="1:12">
      <c r="A1016" t="s">
        <v>8472</v>
      </c>
      <c r="B1016" s="9">
        <v>2640</v>
      </c>
      <c r="C1016" s="9">
        <v>8.724952</v>
      </c>
      <c r="D1016">
        <v>1</v>
      </c>
      <c r="E1016">
        <v>1</v>
      </c>
      <c r="F1016">
        <v>1</v>
      </c>
      <c r="G1016" s="10">
        <v>1</v>
      </c>
      <c r="H1016" t="s">
        <v>46</v>
      </c>
      <c r="I1016" t="s">
        <v>1957</v>
      </c>
      <c r="J1016" t="s">
        <v>8473</v>
      </c>
      <c r="K1016" t="s">
        <v>8474</v>
      </c>
      <c r="L1016" s="11" t="s">
        <v>8473</v>
      </c>
    </row>
    <row r="1017" spans="1:12">
      <c r="A1017" t="s">
        <v>8475</v>
      </c>
      <c r="B1017" s="9">
        <v>2210</v>
      </c>
      <c r="C1017" s="9">
        <v>3.1935030000000002</v>
      </c>
      <c r="D1017">
        <v>2</v>
      </c>
      <c r="E1017">
        <v>2</v>
      </c>
      <c r="F1017">
        <v>2</v>
      </c>
      <c r="G1017" s="10">
        <v>1</v>
      </c>
      <c r="H1017" t="s">
        <v>46</v>
      </c>
      <c r="I1017" t="s">
        <v>1957</v>
      </c>
      <c r="J1017" t="s">
        <v>8476</v>
      </c>
      <c r="K1017" t="s">
        <v>8477</v>
      </c>
      <c r="L1017" s="11" t="s">
        <v>8478</v>
      </c>
    </row>
    <row r="1018" spans="1:12">
      <c r="A1018" t="s">
        <v>8479</v>
      </c>
      <c r="B1018" s="9">
        <v>8063</v>
      </c>
      <c r="C1018" s="9">
        <v>18.327172999999998</v>
      </c>
      <c r="D1018">
        <v>5</v>
      </c>
      <c r="E1018">
        <v>4</v>
      </c>
      <c r="F1018">
        <v>4</v>
      </c>
      <c r="G1018" s="10">
        <v>0.8</v>
      </c>
      <c r="H1018" t="s">
        <v>46</v>
      </c>
      <c r="I1018" t="s">
        <v>1957</v>
      </c>
      <c r="J1018" t="s">
        <v>8480</v>
      </c>
      <c r="K1018" t="s">
        <v>8481</v>
      </c>
      <c r="L1018" s="11" t="s">
        <v>8482</v>
      </c>
    </row>
    <row r="1019" spans="1:12">
      <c r="A1019" t="s">
        <v>8483</v>
      </c>
      <c r="B1019" s="9">
        <v>2954</v>
      </c>
      <c r="C1019" s="9">
        <v>2.9323899999999998</v>
      </c>
      <c r="D1019">
        <v>3</v>
      </c>
      <c r="E1019">
        <v>3</v>
      </c>
      <c r="F1019">
        <v>3</v>
      </c>
      <c r="G1019" s="10">
        <v>1</v>
      </c>
      <c r="H1019" t="s">
        <v>46</v>
      </c>
      <c r="I1019" t="s">
        <v>1957</v>
      </c>
      <c r="J1019" t="s">
        <v>8484</v>
      </c>
      <c r="K1019" t="s">
        <v>8485</v>
      </c>
      <c r="L1019" s="11" t="s">
        <v>8034</v>
      </c>
    </row>
    <row r="1020" spans="1:12">
      <c r="A1020" t="s">
        <v>8486</v>
      </c>
      <c r="B1020" s="9">
        <v>6842</v>
      </c>
      <c r="C1020" s="9">
        <v>6.606306</v>
      </c>
      <c r="D1020">
        <v>3</v>
      </c>
      <c r="E1020">
        <v>3</v>
      </c>
      <c r="F1020">
        <v>3</v>
      </c>
      <c r="G1020" s="10">
        <v>1</v>
      </c>
      <c r="H1020" t="s">
        <v>46</v>
      </c>
      <c r="I1020" t="s">
        <v>1957</v>
      </c>
      <c r="J1020" t="s">
        <v>8487</v>
      </c>
      <c r="K1020" t="s">
        <v>8488</v>
      </c>
      <c r="L1020" s="11" t="s">
        <v>8403</v>
      </c>
    </row>
    <row r="1021" spans="1:12">
      <c r="A1021" t="s">
        <v>8489</v>
      </c>
      <c r="B1021" s="9">
        <v>3118</v>
      </c>
      <c r="C1021" s="9">
        <v>13.625857</v>
      </c>
      <c r="D1021">
        <v>3</v>
      </c>
      <c r="E1021">
        <v>3</v>
      </c>
      <c r="F1021">
        <v>3</v>
      </c>
      <c r="G1021" s="10">
        <v>1</v>
      </c>
      <c r="H1021" t="s">
        <v>46</v>
      </c>
      <c r="I1021" t="s">
        <v>1957</v>
      </c>
      <c r="J1021" t="s">
        <v>8487</v>
      </c>
      <c r="K1021" t="s">
        <v>8488</v>
      </c>
      <c r="L1021" s="11" t="s">
        <v>8403</v>
      </c>
    </row>
    <row r="1022" spans="1:12">
      <c r="A1022" t="s">
        <v>8490</v>
      </c>
      <c r="B1022" s="9">
        <v>3412</v>
      </c>
      <c r="C1022" s="9">
        <v>32.277926999999998</v>
      </c>
      <c r="D1022">
        <v>5</v>
      </c>
      <c r="E1022">
        <v>4</v>
      </c>
      <c r="F1022">
        <v>3</v>
      </c>
      <c r="G1022" s="10">
        <v>0.6</v>
      </c>
      <c r="H1022" t="s">
        <v>46</v>
      </c>
      <c r="I1022" t="s">
        <v>1957</v>
      </c>
      <c r="J1022" t="s">
        <v>8491</v>
      </c>
      <c r="K1022" t="s">
        <v>8492</v>
      </c>
      <c r="L1022" s="11" t="s">
        <v>8493</v>
      </c>
    </row>
    <row r="1023" spans="1:12">
      <c r="A1023" t="s">
        <v>8494</v>
      </c>
      <c r="B1023" s="9">
        <v>7901</v>
      </c>
      <c r="C1023" s="9">
        <v>6.7513379999999996</v>
      </c>
      <c r="D1023">
        <v>4</v>
      </c>
      <c r="E1023">
        <v>4</v>
      </c>
      <c r="F1023">
        <v>2</v>
      </c>
      <c r="G1023" s="10">
        <v>0.5</v>
      </c>
      <c r="H1023" t="s">
        <v>46</v>
      </c>
      <c r="I1023" t="s">
        <v>1957</v>
      </c>
      <c r="J1023" t="s">
        <v>8495</v>
      </c>
      <c r="K1023" t="s">
        <v>8496</v>
      </c>
      <c r="L1023" s="11" t="s">
        <v>8497</v>
      </c>
    </row>
    <row r="1024" spans="1:12">
      <c r="A1024" t="s">
        <v>8498</v>
      </c>
      <c r="B1024" s="9">
        <v>4493</v>
      </c>
      <c r="C1024" s="9">
        <v>110.82199199999999</v>
      </c>
      <c r="D1024">
        <v>5</v>
      </c>
      <c r="E1024">
        <v>4</v>
      </c>
      <c r="F1024">
        <v>5</v>
      </c>
      <c r="G1024" s="10">
        <v>1</v>
      </c>
      <c r="H1024" t="s">
        <v>46</v>
      </c>
      <c r="I1024" t="s">
        <v>1957</v>
      </c>
      <c r="J1024" t="s">
        <v>8499</v>
      </c>
      <c r="K1024" t="s">
        <v>8500</v>
      </c>
      <c r="L1024" s="11" t="s">
        <v>8501</v>
      </c>
    </row>
    <row r="1025" spans="1:12">
      <c r="A1025" t="s">
        <v>8502</v>
      </c>
      <c r="B1025" s="9">
        <v>11400</v>
      </c>
      <c r="C1025" s="9">
        <v>102.05614799999999</v>
      </c>
      <c r="D1025">
        <v>12</v>
      </c>
      <c r="E1025">
        <v>12</v>
      </c>
      <c r="F1025">
        <v>12</v>
      </c>
      <c r="G1025" s="10">
        <v>1</v>
      </c>
      <c r="H1025" t="s">
        <v>46</v>
      </c>
      <c r="I1025" t="s">
        <v>1957</v>
      </c>
      <c r="J1025" t="s">
        <v>8503</v>
      </c>
      <c r="K1025" t="s">
        <v>8504</v>
      </c>
      <c r="L1025" s="11" t="s">
        <v>8505</v>
      </c>
    </row>
    <row r="1026" spans="1:12">
      <c r="A1026" t="s">
        <v>8506</v>
      </c>
      <c r="B1026" s="9">
        <v>6217</v>
      </c>
      <c r="C1026" s="9">
        <v>7.7664720000000003</v>
      </c>
      <c r="D1026">
        <v>8</v>
      </c>
      <c r="E1026">
        <v>8</v>
      </c>
      <c r="F1026">
        <v>5</v>
      </c>
      <c r="G1026" s="10">
        <v>0.625</v>
      </c>
      <c r="H1026" t="s">
        <v>46</v>
      </c>
      <c r="I1026" t="s">
        <v>1957</v>
      </c>
      <c r="J1026" t="s">
        <v>8507</v>
      </c>
      <c r="K1026" t="s">
        <v>8508</v>
      </c>
      <c r="L1026" s="11" t="s">
        <v>8509</v>
      </c>
    </row>
    <row r="1027" spans="1:12">
      <c r="A1027" t="s">
        <v>8510</v>
      </c>
      <c r="B1027" s="9">
        <v>2410</v>
      </c>
      <c r="C1027" s="9">
        <v>4.1447979999999998</v>
      </c>
      <c r="D1027">
        <v>2</v>
      </c>
      <c r="E1027">
        <v>2</v>
      </c>
      <c r="F1027">
        <v>2</v>
      </c>
      <c r="G1027" s="10">
        <v>1</v>
      </c>
      <c r="H1027" t="s">
        <v>46</v>
      </c>
      <c r="I1027" t="s">
        <v>5751</v>
      </c>
      <c r="J1027" t="s">
        <v>8511</v>
      </c>
      <c r="K1027" t="s">
        <v>8512</v>
      </c>
      <c r="L1027" s="11" t="s">
        <v>8513</v>
      </c>
    </row>
    <row r="1028" spans="1:12">
      <c r="A1028" t="s">
        <v>8514</v>
      </c>
      <c r="B1028" s="9">
        <v>2375</v>
      </c>
      <c r="C1028" s="9">
        <v>5.5094830000000004</v>
      </c>
      <c r="D1028">
        <v>3</v>
      </c>
      <c r="E1028">
        <v>2</v>
      </c>
      <c r="F1028">
        <v>3</v>
      </c>
      <c r="G1028" s="10">
        <v>1</v>
      </c>
      <c r="H1028" t="s">
        <v>46</v>
      </c>
      <c r="I1028" t="s">
        <v>5751</v>
      </c>
      <c r="J1028" t="s">
        <v>8515</v>
      </c>
      <c r="K1028" t="s">
        <v>8516</v>
      </c>
      <c r="L1028" s="11" t="s">
        <v>8513</v>
      </c>
    </row>
    <row r="1029" spans="1:12">
      <c r="A1029" t="s">
        <v>8517</v>
      </c>
      <c r="B1029" s="9">
        <v>3164</v>
      </c>
      <c r="C1029" s="9">
        <v>5.1035700000000004</v>
      </c>
      <c r="D1029">
        <v>3</v>
      </c>
      <c r="E1029">
        <v>1</v>
      </c>
      <c r="F1029">
        <v>1</v>
      </c>
      <c r="G1029" s="10">
        <v>0.33333333333333331</v>
      </c>
      <c r="H1029" t="s">
        <v>46</v>
      </c>
      <c r="I1029" t="s">
        <v>5751</v>
      </c>
      <c r="J1029" t="s">
        <v>8518</v>
      </c>
      <c r="K1029" t="s">
        <v>8519</v>
      </c>
      <c r="L1029" s="11" t="s">
        <v>8518</v>
      </c>
    </row>
    <row r="1030" spans="1:12">
      <c r="A1030" t="s">
        <v>8520</v>
      </c>
      <c r="B1030" s="9">
        <v>2200</v>
      </c>
      <c r="C1030" s="9">
        <v>84.219579999999993</v>
      </c>
      <c r="D1030">
        <v>2</v>
      </c>
      <c r="E1030">
        <v>2</v>
      </c>
      <c r="F1030">
        <v>2</v>
      </c>
      <c r="G1030" s="10">
        <v>1</v>
      </c>
      <c r="H1030" t="s">
        <v>46</v>
      </c>
      <c r="I1030" t="s">
        <v>5751</v>
      </c>
      <c r="J1030" t="s">
        <v>8521</v>
      </c>
      <c r="K1030" t="s">
        <v>8522</v>
      </c>
      <c r="L1030" s="11" t="s">
        <v>8513</v>
      </c>
    </row>
    <row r="1031" spans="1:12">
      <c r="A1031" t="s">
        <v>8523</v>
      </c>
      <c r="B1031" s="9">
        <v>11057</v>
      </c>
      <c r="C1031" s="9">
        <v>190.63315800000001</v>
      </c>
      <c r="D1031">
        <v>11</v>
      </c>
      <c r="E1031">
        <v>10</v>
      </c>
      <c r="F1031">
        <v>10</v>
      </c>
      <c r="G1031" s="10">
        <v>0.90909090909090906</v>
      </c>
      <c r="H1031" t="s">
        <v>46</v>
      </c>
      <c r="I1031" t="s">
        <v>5751</v>
      </c>
      <c r="J1031" t="s">
        <v>8524</v>
      </c>
      <c r="K1031" t="s">
        <v>8525</v>
      </c>
      <c r="L1031" s="11" t="s">
        <v>8505</v>
      </c>
    </row>
    <row r="1032" spans="1:12">
      <c r="A1032" t="s">
        <v>8526</v>
      </c>
      <c r="B1032" s="9">
        <v>5250</v>
      </c>
      <c r="C1032" s="9">
        <v>136.07680500000001</v>
      </c>
      <c r="D1032">
        <v>8</v>
      </c>
      <c r="E1032">
        <v>7</v>
      </c>
      <c r="F1032">
        <v>8</v>
      </c>
      <c r="G1032" s="10">
        <v>1</v>
      </c>
      <c r="H1032" t="s">
        <v>46</v>
      </c>
      <c r="I1032" t="s">
        <v>1957</v>
      </c>
      <c r="J1032" t="s">
        <v>8527</v>
      </c>
      <c r="K1032" t="s">
        <v>8528</v>
      </c>
      <c r="L1032" s="11" t="s">
        <v>8527</v>
      </c>
    </row>
    <row r="1033" spans="1:12">
      <c r="A1033" t="s">
        <v>8529</v>
      </c>
      <c r="B1033" s="9">
        <v>14630</v>
      </c>
      <c r="C1033" s="9">
        <v>10.497976</v>
      </c>
      <c r="D1033">
        <v>8</v>
      </c>
      <c r="E1033">
        <v>5</v>
      </c>
      <c r="F1033">
        <v>4</v>
      </c>
      <c r="G1033" s="10">
        <v>0.5</v>
      </c>
      <c r="H1033" t="s">
        <v>46</v>
      </c>
      <c r="I1033" t="s">
        <v>1957</v>
      </c>
      <c r="J1033" t="s">
        <v>8530</v>
      </c>
      <c r="K1033" t="s">
        <v>8531</v>
      </c>
      <c r="L1033" s="11" t="s">
        <v>8532</v>
      </c>
    </row>
    <row r="1034" spans="1:12">
      <c r="A1034" t="s">
        <v>8533</v>
      </c>
      <c r="B1034" s="9">
        <v>2484</v>
      </c>
      <c r="C1034" s="9">
        <v>6.0646360000000001</v>
      </c>
      <c r="D1034">
        <v>3</v>
      </c>
      <c r="E1034">
        <v>2</v>
      </c>
      <c r="F1034">
        <v>2</v>
      </c>
      <c r="G1034" s="10">
        <v>0.66666666666666663</v>
      </c>
      <c r="H1034" t="s">
        <v>46</v>
      </c>
      <c r="I1034" t="s">
        <v>5751</v>
      </c>
      <c r="J1034" t="s">
        <v>8534</v>
      </c>
      <c r="K1034" t="s">
        <v>8535</v>
      </c>
      <c r="L1034" s="11" t="s">
        <v>8513</v>
      </c>
    </row>
    <row r="1035" spans="1:12">
      <c r="A1035" t="s">
        <v>8536</v>
      </c>
      <c r="B1035" s="9">
        <v>3249</v>
      </c>
      <c r="C1035" s="9">
        <v>13.837194999999999</v>
      </c>
      <c r="D1035">
        <v>4</v>
      </c>
      <c r="E1035">
        <v>4</v>
      </c>
      <c r="F1035">
        <v>3</v>
      </c>
      <c r="G1035" s="10">
        <v>0.75</v>
      </c>
      <c r="H1035" t="s">
        <v>46</v>
      </c>
      <c r="I1035" t="s">
        <v>5751</v>
      </c>
      <c r="J1035" t="s">
        <v>8537</v>
      </c>
      <c r="K1035" t="s">
        <v>8538</v>
      </c>
      <c r="L1035" s="11" t="s">
        <v>8539</v>
      </c>
    </row>
    <row r="1036" spans="1:12">
      <c r="A1036" t="s">
        <v>8540</v>
      </c>
      <c r="B1036" s="9">
        <v>2757</v>
      </c>
      <c r="C1036" s="9">
        <v>5.1547000000000001</v>
      </c>
      <c r="D1036">
        <v>2</v>
      </c>
      <c r="E1036">
        <v>2</v>
      </c>
      <c r="F1036">
        <v>2</v>
      </c>
      <c r="G1036" s="10">
        <v>1</v>
      </c>
      <c r="H1036" t="s">
        <v>46</v>
      </c>
      <c r="I1036" t="s">
        <v>5751</v>
      </c>
      <c r="J1036" t="s">
        <v>8541</v>
      </c>
      <c r="K1036" t="s">
        <v>8542</v>
      </c>
      <c r="L1036" s="11" t="s">
        <v>8541</v>
      </c>
    </row>
    <row r="1037" spans="1:12">
      <c r="A1037" t="s">
        <v>8543</v>
      </c>
      <c r="B1037" s="9">
        <v>2218</v>
      </c>
      <c r="C1037" s="9">
        <v>7.1410080000000002</v>
      </c>
      <c r="D1037">
        <v>3</v>
      </c>
      <c r="E1037">
        <v>3</v>
      </c>
      <c r="F1037">
        <v>3</v>
      </c>
      <c r="G1037" s="10">
        <v>1</v>
      </c>
      <c r="H1037" t="s">
        <v>46</v>
      </c>
      <c r="I1037" t="s">
        <v>5751</v>
      </c>
      <c r="J1037" t="s">
        <v>8544</v>
      </c>
      <c r="K1037" t="s">
        <v>8545</v>
      </c>
      <c r="L1037" s="11" t="s">
        <v>8546</v>
      </c>
    </row>
    <row r="1038" spans="1:12">
      <c r="A1038" t="s">
        <v>8547</v>
      </c>
      <c r="B1038" s="9">
        <v>2884</v>
      </c>
      <c r="C1038" s="9">
        <v>5.8024040000000001</v>
      </c>
      <c r="D1038">
        <v>2</v>
      </c>
      <c r="E1038">
        <v>2</v>
      </c>
      <c r="F1038">
        <v>2</v>
      </c>
      <c r="G1038" s="10">
        <v>1</v>
      </c>
      <c r="H1038" t="s">
        <v>46</v>
      </c>
      <c r="I1038" t="s">
        <v>8548</v>
      </c>
      <c r="J1038" t="s">
        <v>8549</v>
      </c>
      <c r="K1038" t="s">
        <v>8550</v>
      </c>
      <c r="L1038" s="11" t="s">
        <v>8549</v>
      </c>
    </row>
    <row r="1039" spans="1:12">
      <c r="A1039" t="s">
        <v>8551</v>
      </c>
      <c r="B1039" s="9">
        <v>2384</v>
      </c>
      <c r="C1039" s="9">
        <v>4.3361960000000002</v>
      </c>
      <c r="D1039">
        <v>2</v>
      </c>
      <c r="E1039">
        <v>2</v>
      </c>
      <c r="F1039">
        <v>2</v>
      </c>
      <c r="G1039" s="10">
        <v>1</v>
      </c>
      <c r="H1039" t="s">
        <v>46</v>
      </c>
      <c r="I1039" t="s">
        <v>8548</v>
      </c>
      <c r="J1039" t="s">
        <v>8549</v>
      </c>
      <c r="K1039" t="s">
        <v>8550</v>
      </c>
      <c r="L1039" s="11" t="s">
        <v>8549</v>
      </c>
    </row>
    <row r="1040" spans="1:12">
      <c r="A1040" t="s">
        <v>8552</v>
      </c>
      <c r="B1040" s="9">
        <v>2322</v>
      </c>
      <c r="C1040" s="9">
        <v>3.2121749999999998</v>
      </c>
      <c r="D1040">
        <v>5</v>
      </c>
      <c r="E1040">
        <v>1</v>
      </c>
      <c r="F1040">
        <v>1</v>
      </c>
      <c r="G1040" s="10">
        <v>0.2</v>
      </c>
      <c r="H1040" t="s">
        <v>46</v>
      </c>
      <c r="I1040" t="s">
        <v>8548</v>
      </c>
      <c r="J1040" t="s">
        <v>8553</v>
      </c>
      <c r="K1040" t="s">
        <v>8550</v>
      </c>
      <c r="L1040" s="11" t="s">
        <v>8553</v>
      </c>
    </row>
    <row r="1041" spans="1:12">
      <c r="A1041" t="s">
        <v>8554</v>
      </c>
      <c r="B1041" s="9">
        <v>2439</v>
      </c>
      <c r="C1041" s="9">
        <v>4.1619130000000002</v>
      </c>
      <c r="D1041">
        <v>3</v>
      </c>
      <c r="E1041">
        <v>3</v>
      </c>
      <c r="F1041">
        <v>3</v>
      </c>
      <c r="G1041" s="10">
        <v>1</v>
      </c>
      <c r="H1041" t="s">
        <v>46</v>
      </c>
      <c r="I1041" t="s">
        <v>8548</v>
      </c>
      <c r="J1041" t="s">
        <v>8555</v>
      </c>
      <c r="K1041" t="s">
        <v>8556</v>
      </c>
      <c r="L1041" s="11" t="s">
        <v>8549</v>
      </c>
    </row>
    <row r="1042" spans="1:12">
      <c r="A1042" t="s">
        <v>8557</v>
      </c>
      <c r="B1042" s="9">
        <v>11333</v>
      </c>
      <c r="C1042" s="9">
        <v>11.630254000000001</v>
      </c>
      <c r="D1042">
        <v>7</v>
      </c>
      <c r="E1042">
        <v>7</v>
      </c>
      <c r="F1042">
        <v>6</v>
      </c>
      <c r="G1042" s="10">
        <v>0.8571428571428571</v>
      </c>
      <c r="H1042" t="s">
        <v>46</v>
      </c>
      <c r="I1042" t="s">
        <v>8548</v>
      </c>
      <c r="J1042" t="s">
        <v>8558</v>
      </c>
      <c r="K1042" t="s">
        <v>8559</v>
      </c>
      <c r="L1042" s="11" t="s">
        <v>8558</v>
      </c>
    </row>
    <row r="1043" spans="1:12">
      <c r="A1043" t="s">
        <v>8560</v>
      </c>
      <c r="B1043" s="9">
        <v>4647</v>
      </c>
      <c r="C1043" s="9">
        <v>5.5675090000000003</v>
      </c>
      <c r="D1043">
        <v>4</v>
      </c>
      <c r="E1043">
        <v>4</v>
      </c>
      <c r="F1043">
        <v>3</v>
      </c>
      <c r="G1043" s="10">
        <v>0.75</v>
      </c>
      <c r="H1043" t="s">
        <v>46</v>
      </c>
      <c r="I1043" t="s">
        <v>5719</v>
      </c>
      <c r="J1043" t="s">
        <v>8561</v>
      </c>
      <c r="K1043" t="s">
        <v>8562</v>
      </c>
      <c r="L1043" s="11" t="s">
        <v>8563</v>
      </c>
    </row>
    <row r="1044" spans="1:12">
      <c r="A1044" t="s">
        <v>8564</v>
      </c>
      <c r="B1044" s="9">
        <v>3349</v>
      </c>
      <c r="C1044" s="9">
        <v>6.9001210000000004</v>
      </c>
      <c r="D1044">
        <v>2</v>
      </c>
      <c r="E1044">
        <v>2</v>
      </c>
      <c r="F1044">
        <v>2</v>
      </c>
      <c r="G1044" s="10">
        <v>1</v>
      </c>
      <c r="H1044" t="s">
        <v>46</v>
      </c>
      <c r="I1044" t="s">
        <v>5719</v>
      </c>
      <c r="J1044" t="s">
        <v>8565</v>
      </c>
      <c r="K1044" t="s">
        <v>8566</v>
      </c>
      <c r="L1044" s="11" t="s">
        <v>8565</v>
      </c>
    </row>
    <row r="1045" spans="1:12">
      <c r="A1045" t="s">
        <v>8567</v>
      </c>
      <c r="B1045" s="9">
        <v>3680</v>
      </c>
      <c r="C1045" s="9">
        <v>5.7398619999999996</v>
      </c>
      <c r="D1045">
        <v>3</v>
      </c>
      <c r="E1045">
        <v>2</v>
      </c>
      <c r="F1045">
        <v>3</v>
      </c>
      <c r="G1045" s="10">
        <v>1</v>
      </c>
      <c r="H1045" t="s">
        <v>46</v>
      </c>
      <c r="I1045" t="s">
        <v>8568</v>
      </c>
      <c r="J1045" t="s">
        <v>8569</v>
      </c>
      <c r="K1045" t="s">
        <v>8570</v>
      </c>
      <c r="L1045" s="11" t="s">
        <v>8571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2441B-2757-A94E-B2CF-C49AB70DA021}">
  <dimension ref="A1:R47"/>
  <sheetViews>
    <sheetView workbookViewId="0">
      <selection sqref="A1:R47"/>
    </sheetView>
  </sheetViews>
  <sheetFormatPr baseColWidth="10" defaultRowHeight="16"/>
  <sheetData>
    <row r="1" spans="1:18">
      <c r="A1" s="13"/>
      <c r="I1" s="13"/>
    </row>
    <row r="2" spans="1:18" ht="43">
      <c r="A2" s="14" t="s">
        <v>8572</v>
      </c>
      <c r="B2" s="15" t="s">
        <v>8573</v>
      </c>
      <c r="C2" s="15" t="s">
        <v>1880</v>
      </c>
      <c r="D2" s="15" t="s">
        <v>8574</v>
      </c>
      <c r="E2" s="15" t="s">
        <v>46</v>
      </c>
      <c r="F2" s="15" t="s">
        <v>1871</v>
      </c>
      <c r="G2" s="15" t="s">
        <v>8575</v>
      </c>
      <c r="H2" s="15" t="s">
        <v>8576</v>
      </c>
      <c r="I2" s="16" t="s">
        <v>8577</v>
      </c>
      <c r="J2" s="15" t="s">
        <v>8573</v>
      </c>
      <c r="K2" s="15" t="s">
        <v>1880</v>
      </c>
      <c r="L2" s="15" t="s">
        <v>8574</v>
      </c>
      <c r="M2" s="15" t="s">
        <v>46</v>
      </c>
      <c r="N2" s="15" t="s">
        <v>1871</v>
      </c>
      <c r="O2" s="15" t="s">
        <v>8575</v>
      </c>
      <c r="P2" s="15" t="s">
        <v>8576</v>
      </c>
      <c r="Q2" s="17"/>
      <c r="R2" s="17"/>
    </row>
    <row r="3" spans="1:18">
      <c r="A3" s="18" t="s">
        <v>8578</v>
      </c>
      <c r="B3">
        <v>262378</v>
      </c>
      <c r="C3">
        <v>14055623</v>
      </c>
      <c r="D3">
        <v>405088</v>
      </c>
      <c r="E3">
        <v>199119</v>
      </c>
      <c r="F3">
        <v>827599</v>
      </c>
      <c r="H3">
        <v>255018</v>
      </c>
      <c r="I3" s="19">
        <f t="shared" ref="I3:I22" si="0">SUM(B3:H3)</f>
        <v>16004825</v>
      </c>
      <c r="J3" s="20">
        <f t="shared" ref="J3:P22" si="1">B3/$I3</f>
        <v>1.6393681280488851E-2</v>
      </c>
      <c r="K3" s="20">
        <f t="shared" si="1"/>
        <v>0.87821160181382807</v>
      </c>
      <c r="L3" s="20">
        <f t="shared" si="1"/>
        <v>2.5310367342348324E-2</v>
      </c>
      <c r="M3" s="20">
        <f t="shared" si="1"/>
        <v>1.2441185704935855E-2</v>
      </c>
      <c r="N3" s="20">
        <f t="shared" si="1"/>
        <v>5.1709343900979858E-2</v>
      </c>
      <c r="O3" s="20">
        <f t="shared" si="1"/>
        <v>0</v>
      </c>
      <c r="P3" s="20">
        <f t="shared" si="1"/>
        <v>1.593381995741909E-2</v>
      </c>
      <c r="Q3" s="21">
        <f t="shared" ref="Q3:Q22" si="2">SUM(M3:O3)</f>
        <v>6.4150529605915718E-2</v>
      </c>
    </row>
    <row r="4" spans="1:18">
      <c r="A4" s="18" t="s">
        <v>8579</v>
      </c>
      <c r="B4">
        <v>51840</v>
      </c>
      <c r="C4">
        <v>79246059</v>
      </c>
      <c r="D4">
        <v>199461</v>
      </c>
      <c r="E4">
        <v>425817</v>
      </c>
      <c r="F4">
        <v>827203</v>
      </c>
      <c r="G4">
        <v>2767</v>
      </c>
      <c r="H4">
        <v>228258</v>
      </c>
      <c r="I4" s="19">
        <f t="shared" si="0"/>
        <v>80981405</v>
      </c>
      <c r="J4" s="20">
        <f t="shared" si="1"/>
        <v>6.4014695719344459E-4</v>
      </c>
      <c r="K4" s="20">
        <f t="shared" si="1"/>
        <v>0.97857105591092175</v>
      </c>
      <c r="L4" s="20">
        <f t="shared" si="1"/>
        <v>2.4630469179930873E-3</v>
      </c>
      <c r="M4" s="20">
        <f t="shared" si="1"/>
        <v>5.2582071155717787E-3</v>
      </c>
      <c r="N4" s="20">
        <f t="shared" si="1"/>
        <v>1.0214727689646777E-2</v>
      </c>
      <c r="O4" s="20">
        <f t="shared" si="1"/>
        <v>3.4168337780753497E-5</v>
      </c>
      <c r="P4" s="20">
        <f t="shared" si="1"/>
        <v>2.8186470708923858E-3</v>
      </c>
      <c r="Q4" s="21">
        <f t="shared" si="2"/>
        <v>1.550710314299931E-2</v>
      </c>
    </row>
    <row r="5" spans="1:18">
      <c r="A5" s="18" t="s">
        <v>8580</v>
      </c>
      <c r="B5">
        <v>15072</v>
      </c>
      <c r="C5">
        <v>23329336</v>
      </c>
      <c r="D5">
        <v>138194</v>
      </c>
      <c r="E5">
        <v>138250</v>
      </c>
      <c r="F5">
        <v>28123</v>
      </c>
      <c r="H5">
        <v>67341</v>
      </c>
      <c r="I5" s="19">
        <f t="shared" si="0"/>
        <v>23716316</v>
      </c>
      <c r="J5" s="20">
        <f t="shared" si="1"/>
        <v>6.3551185605723926E-4</v>
      </c>
      <c r="K5" s="20">
        <f t="shared" si="1"/>
        <v>0.98368296323931592</v>
      </c>
      <c r="L5" s="20">
        <f t="shared" si="1"/>
        <v>5.8269589593931874E-3</v>
      </c>
      <c r="M5" s="20">
        <f t="shared" si="1"/>
        <v>5.8293202030197267E-3</v>
      </c>
      <c r="N5" s="20">
        <f t="shared" si="1"/>
        <v>1.1858081162352534E-3</v>
      </c>
      <c r="O5" s="20">
        <f t="shared" si="1"/>
        <v>0</v>
      </c>
      <c r="P5" s="20">
        <f t="shared" si="1"/>
        <v>2.8394376259786723E-3</v>
      </c>
      <c r="Q5" s="21">
        <f t="shared" si="2"/>
        <v>7.0151283192549799E-3</v>
      </c>
    </row>
    <row r="6" spans="1:18">
      <c r="A6" s="18" t="s">
        <v>8581</v>
      </c>
      <c r="B6">
        <v>71764</v>
      </c>
      <c r="C6">
        <v>18439297</v>
      </c>
      <c r="D6">
        <v>163749</v>
      </c>
      <c r="E6">
        <v>820889</v>
      </c>
      <c r="F6">
        <v>889019</v>
      </c>
      <c r="G6">
        <v>5003</v>
      </c>
      <c r="H6">
        <v>154264</v>
      </c>
      <c r="I6" s="19">
        <f t="shared" si="0"/>
        <v>20543985</v>
      </c>
      <c r="J6" s="20">
        <f t="shared" si="1"/>
        <v>3.4931879087723243E-3</v>
      </c>
      <c r="K6" s="20">
        <f t="shared" si="1"/>
        <v>0.89755210588403367</v>
      </c>
      <c r="L6" s="20">
        <f t="shared" si="1"/>
        <v>7.9706541841809177E-3</v>
      </c>
      <c r="M6" s="20">
        <f t="shared" si="1"/>
        <v>3.995763236781958E-2</v>
      </c>
      <c r="N6" s="20">
        <f t="shared" si="1"/>
        <v>4.3273931518154826E-2</v>
      </c>
      <c r="O6" s="20">
        <f t="shared" si="1"/>
        <v>2.4352626815099407E-4</v>
      </c>
      <c r="P6" s="20">
        <f t="shared" si="1"/>
        <v>7.5089618688876578E-3</v>
      </c>
      <c r="Q6" s="21">
        <f t="shared" si="2"/>
        <v>8.3475090154125409E-2</v>
      </c>
    </row>
    <row r="7" spans="1:18">
      <c r="A7" s="18" t="s">
        <v>8582</v>
      </c>
      <c r="B7">
        <v>21047</v>
      </c>
      <c r="C7">
        <v>19734929</v>
      </c>
      <c r="D7">
        <v>367526</v>
      </c>
      <c r="E7">
        <v>116013</v>
      </c>
      <c r="F7">
        <v>625808</v>
      </c>
      <c r="H7">
        <v>140591</v>
      </c>
      <c r="I7" s="19">
        <f t="shared" si="0"/>
        <v>21005914</v>
      </c>
      <c r="J7" s="20">
        <f t="shared" si="1"/>
        <v>1.0019559253646377E-3</v>
      </c>
      <c r="K7" s="20">
        <f t="shared" si="1"/>
        <v>0.9394939444196525</v>
      </c>
      <c r="L7" s="20">
        <f t="shared" si="1"/>
        <v>1.7496310800853513E-2</v>
      </c>
      <c r="M7" s="20">
        <f t="shared" si="1"/>
        <v>5.5228732251307892E-3</v>
      </c>
      <c r="N7" s="20">
        <f t="shared" si="1"/>
        <v>2.9791990960260049E-2</v>
      </c>
      <c r="O7" s="20">
        <f t="shared" si="1"/>
        <v>0</v>
      </c>
      <c r="P7" s="20">
        <f t="shared" si="1"/>
        <v>6.6929246687385275E-3</v>
      </c>
      <c r="Q7" s="21">
        <f t="shared" si="2"/>
        <v>3.5314864185390836E-2</v>
      </c>
    </row>
    <row r="8" spans="1:18">
      <c r="A8" s="18" t="s">
        <v>8583</v>
      </c>
      <c r="B8">
        <v>37148</v>
      </c>
      <c r="C8">
        <v>39716528</v>
      </c>
      <c r="D8">
        <v>130519</v>
      </c>
      <c r="E8">
        <v>110471</v>
      </c>
      <c r="F8">
        <v>17324</v>
      </c>
      <c r="H8">
        <v>98148</v>
      </c>
      <c r="I8" s="19">
        <f t="shared" si="0"/>
        <v>40110138</v>
      </c>
      <c r="J8" s="20">
        <f t="shared" si="1"/>
        <v>9.261498925782803E-4</v>
      </c>
      <c r="K8" s="20">
        <f t="shared" si="1"/>
        <v>0.99018677023748958</v>
      </c>
      <c r="L8" s="20">
        <f t="shared" si="1"/>
        <v>3.2540152317601101E-3</v>
      </c>
      <c r="M8" s="20">
        <f t="shared" si="1"/>
        <v>2.7541914714928179E-3</v>
      </c>
      <c r="N8" s="20">
        <f t="shared" si="1"/>
        <v>4.3191075533073457E-4</v>
      </c>
      <c r="O8" s="20">
        <f t="shared" si="1"/>
        <v>0</v>
      </c>
      <c r="P8" s="20">
        <f t="shared" si="1"/>
        <v>2.4469624113484727E-3</v>
      </c>
      <c r="Q8" s="21">
        <f t="shared" si="2"/>
        <v>3.1861022268235527E-3</v>
      </c>
    </row>
    <row r="9" spans="1:18">
      <c r="A9" s="18" t="s">
        <v>8584</v>
      </c>
      <c r="B9">
        <v>14980</v>
      </c>
      <c r="C9">
        <v>7145934</v>
      </c>
      <c r="D9">
        <v>262199</v>
      </c>
      <c r="E9">
        <v>171564</v>
      </c>
      <c r="F9">
        <v>637596</v>
      </c>
      <c r="H9">
        <v>15528</v>
      </c>
      <c r="I9" s="19">
        <f t="shared" si="0"/>
        <v>8247801</v>
      </c>
      <c r="J9" s="20">
        <f t="shared" si="1"/>
        <v>1.8162416867235278E-3</v>
      </c>
      <c r="K9" s="20">
        <f t="shared" si="1"/>
        <v>0.86640475443090836</v>
      </c>
      <c r="L9" s="20">
        <f t="shared" si="1"/>
        <v>3.1790170495141677E-2</v>
      </c>
      <c r="M9" s="20">
        <f t="shared" si="1"/>
        <v>2.0801180823834135E-2</v>
      </c>
      <c r="N9" s="20">
        <f t="shared" si="1"/>
        <v>7.7304968924444231E-2</v>
      </c>
      <c r="O9" s="20">
        <f t="shared" si="1"/>
        <v>0</v>
      </c>
      <c r="P9" s="20">
        <f t="shared" si="1"/>
        <v>1.8826836389481268E-3</v>
      </c>
      <c r="Q9" s="21">
        <f t="shared" si="2"/>
        <v>9.810614974827836E-2</v>
      </c>
    </row>
    <row r="10" spans="1:18">
      <c r="A10" s="18" t="s">
        <v>8585</v>
      </c>
      <c r="C10">
        <v>13769036</v>
      </c>
      <c r="D10">
        <v>18413</v>
      </c>
      <c r="E10">
        <v>295286</v>
      </c>
      <c r="H10">
        <v>35083</v>
      </c>
      <c r="I10" s="19">
        <f t="shared" si="0"/>
        <v>14117818</v>
      </c>
      <c r="J10" s="20">
        <f t="shared" si="1"/>
        <v>0</v>
      </c>
      <c r="K10" s="20">
        <f t="shared" si="1"/>
        <v>0.9752949074708287</v>
      </c>
      <c r="L10" s="20">
        <f t="shared" si="1"/>
        <v>1.3042383745136819E-3</v>
      </c>
      <c r="M10" s="20">
        <f t="shared" si="1"/>
        <v>2.0915838410723243E-2</v>
      </c>
      <c r="N10" s="20">
        <f t="shared" si="1"/>
        <v>0</v>
      </c>
      <c r="O10" s="20">
        <f t="shared" si="1"/>
        <v>0</v>
      </c>
      <c r="P10" s="20">
        <f t="shared" si="1"/>
        <v>2.4850157439343674E-3</v>
      </c>
      <c r="Q10" s="21">
        <f t="shared" si="2"/>
        <v>2.0915838410723243E-2</v>
      </c>
    </row>
    <row r="11" spans="1:18">
      <c r="A11" s="18" t="s">
        <v>8586</v>
      </c>
      <c r="B11">
        <v>56912</v>
      </c>
      <c r="C11">
        <v>6236034</v>
      </c>
      <c r="D11">
        <v>566894</v>
      </c>
      <c r="E11">
        <v>266524</v>
      </c>
      <c r="F11">
        <v>1271185</v>
      </c>
      <c r="H11">
        <v>30487</v>
      </c>
      <c r="I11" s="19">
        <f t="shared" si="0"/>
        <v>8428036</v>
      </c>
      <c r="J11" s="20">
        <f t="shared" si="1"/>
        <v>6.7527001545793115E-3</v>
      </c>
      <c r="K11" s="20">
        <f t="shared" si="1"/>
        <v>0.73991544412007737</v>
      </c>
      <c r="L11" s="20">
        <f t="shared" si="1"/>
        <v>6.7262883072639931E-2</v>
      </c>
      <c r="M11" s="20">
        <f t="shared" si="1"/>
        <v>3.1623500421687802E-2</v>
      </c>
      <c r="N11" s="20">
        <f t="shared" si="1"/>
        <v>0.15082814074358486</v>
      </c>
      <c r="O11" s="20">
        <f t="shared" si="1"/>
        <v>0</v>
      </c>
      <c r="P11" s="20">
        <f t="shared" si="1"/>
        <v>3.6173314874307608E-3</v>
      </c>
      <c r="Q11" s="21">
        <f t="shared" si="2"/>
        <v>0.18245164116527265</v>
      </c>
    </row>
    <row r="12" spans="1:18">
      <c r="A12" s="18" t="s">
        <v>8587</v>
      </c>
      <c r="B12">
        <v>6708</v>
      </c>
      <c r="C12">
        <v>7462520</v>
      </c>
      <c r="D12">
        <v>758985</v>
      </c>
      <c r="E12">
        <v>358968</v>
      </c>
      <c r="F12">
        <v>2355211</v>
      </c>
      <c r="H12">
        <v>78852</v>
      </c>
      <c r="I12" s="19">
        <f t="shared" si="0"/>
        <v>11021244</v>
      </c>
      <c r="J12" s="20">
        <f t="shared" si="1"/>
        <v>6.0864272671941571E-4</v>
      </c>
      <c r="K12" s="20">
        <f t="shared" si="1"/>
        <v>0.67710323807366934</v>
      </c>
      <c r="L12" s="20">
        <f t="shared" si="1"/>
        <v>6.8865638035053037E-2</v>
      </c>
      <c r="M12" s="20">
        <f t="shared" si="1"/>
        <v>3.2570551926806086E-2</v>
      </c>
      <c r="N12" s="20">
        <f t="shared" si="1"/>
        <v>0.21369738298144927</v>
      </c>
      <c r="O12" s="20">
        <f t="shared" si="1"/>
        <v>0</v>
      </c>
      <c r="P12" s="20">
        <f t="shared" si="1"/>
        <v>7.1545462563028274E-3</v>
      </c>
      <c r="Q12" s="21">
        <f t="shared" si="2"/>
        <v>0.24626793490825535</v>
      </c>
    </row>
    <row r="13" spans="1:18">
      <c r="A13" s="18" t="s">
        <v>8588</v>
      </c>
      <c r="B13">
        <v>840067</v>
      </c>
      <c r="C13">
        <v>21680644</v>
      </c>
      <c r="D13">
        <v>834317</v>
      </c>
      <c r="E13">
        <v>120173</v>
      </c>
      <c r="F13">
        <v>2333506</v>
      </c>
      <c r="H13">
        <v>231147</v>
      </c>
      <c r="I13" s="19">
        <f t="shared" si="0"/>
        <v>26039854</v>
      </c>
      <c r="J13" s="20">
        <f t="shared" si="1"/>
        <v>3.2260818359427054E-2</v>
      </c>
      <c r="K13" s="20">
        <f t="shared" si="1"/>
        <v>0.8325946835185789</v>
      </c>
      <c r="L13" s="20">
        <f t="shared" si="1"/>
        <v>3.2040002989264071E-2</v>
      </c>
      <c r="M13" s="20">
        <f t="shared" si="1"/>
        <v>4.6149644310601746E-3</v>
      </c>
      <c r="N13" s="20">
        <f t="shared" si="1"/>
        <v>8.9612868029137177E-2</v>
      </c>
      <c r="O13" s="20">
        <f t="shared" si="1"/>
        <v>0</v>
      </c>
      <c r="P13" s="20">
        <f t="shared" si="1"/>
        <v>8.8766626725326498E-3</v>
      </c>
      <c r="Q13" s="21">
        <f t="shared" si="2"/>
        <v>9.422783246019735E-2</v>
      </c>
    </row>
    <row r="14" spans="1:18">
      <c r="A14" s="18" t="s">
        <v>8589</v>
      </c>
      <c r="B14">
        <v>125860</v>
      </c>
      <c r="C14">
        <v>73373024</v>
      </c>
      <c r="D14">
        <v>768455</v>
      </c>
      <c r="E14">
        <f>329314+4503</f>
        <v>333817</v>
      </c>
      <c r="F14">
        <v>526415</v>
      </c>
      <c r="G14">
        <v>2517</v>
      </c>
      <c r="H14">
        <v>93955</v>
      </c>
      <c r="I14" s="19">
        <f t="shared" si="0"/>
        <v>75224043</v>
      </c>
      <c r="J14" s="20">
        <f t="shared" si="1"/>
        <v>1.6731352767093361E-3</v>
      </c>
      <c r="K14" s="20">
        <f t="shared" si="1"/>
        <v>0.97539325292579659</v>
      </c>
      <c r="L14" s="20">
        <f t="shared" si="1"/>
        <v>1.0215550365991363E-2</v>
      </c>
      <c r="M14" s="20">
        <f t="shared" si="1"/>
        <v>4.4376370464427181E-3</v>
      </c>
      <c r="N14" s="20">
        <f t="shared" si="1"/>
        <v>6.9979620744394181E-3</v>
      </c>
      <c r="O14" s="20">
        <f t="shared" si="1"/>
        <v>3.3460046809767991E-5</v>
      </c>
      <c r="P14" s="20">
        <f t="shared" si="1"/>
        <v>1.2490022638107872E-3</v>
      </c>
      <c r="Q14" s="21">
        <f t="shared" si="2"/>
        <v>1.1469059167691904E-2</v>
      </c>
    </row>
    <row r="15" spans="1:18">
      <c r="A15" s="18" t="s">
        <v>8590</v>
      </c>
      <c r="C15">
        <v>5426839</v>
      </c>
      <c r="D15">
        <v>70489</v>
      </c>
      <c r="E15">
        <v>44428</v>
      </c>
      <c r="F15">
        <v>57011</v>
      </c>
      <c r="H15">
        <v>5728</v>
      </c>
      <c r="I15" s="19">
        <f t="shared" si="0"/>
        <v>5604495</v>
      </c>
      <c r="J15" s="20">
        <f t="shared" si="1"/>
        <v>0</v>
      </c>
      <c r="K15" s="20">
        <f t="shared" si="1"/>
        <v>0.9683011582667127</v>
      </c>
      <c r="L15" s="20">
        <f t="shared" si="1"/>
        <v>1.257722595880628E-2</v>
      </c>
      <c r="M15" s="20">
        <f t="shared" si="1"/>
        <v>7.9272084282348363E-3</v>
      </c>
      <c r="N15" s="20">
        <f t="shared" si="1"/>
        <v>1.0172370570408217E-2</v>
      </c>
      <c r="O15" s="20">
        <f t="shared" si="1"/>
        <v>0</v>
      </c>
      <c r="P15" s="20">
        <f t="shared" si="1"/>
        <v>1.0220367758379657E-3</v>
      </c>
      <c r="Q15" s="21">
        <f t="shared" si="2"/>
        <v>1.8099578998643055E-2</v>
      </c>
    </row>
    <row r="16" spans="1:18">
      <c r="A16" s="22" t="s">
        <v>8591</v>
      </c>
      <c r="B16" s="23">
        <v>16010</v>
      </c>
      <c r="C16" s="23">
        <v>39175802</v>
      </c>
      <c r="D16" s="23">
        <v>120088</v>
      </c>
      <c r="E16" s="23">
        <v>225378</v>
      </c>
      <c r="F16" s="23">
        <v>86466</v>
      </c>
      <c r="G16" s="23"/>
      <c r="H16" s="23">
        <v>85616</v>
      </c>
      <c r="I16" s="24">
        <f t="shared" si="0"/>
        <v>39709360</v>
      </c>
      <c r="J16" s="25">
        <f t="shared" si="1"/>
        <v>4.031795022634462E-4</v>
      </c>
      <c r="K16" s="25">
        <f t="shared" si="1"/>
        <v>0.98656341980832729</v>
      </c>
      <c r="L16" s="25">
        <f t="shared" si="1"/>
        <v>3.0241736457097268E-3</v>
      </c>
      <c r="M16" s="25">
        <f t="shared" si="1"/>
        <v>5.6756895603454699E-3</v>
      </c>
      <c r="N16" s="25">
        <f t="shared" si="1"/>
        <v>2.1774715079769607E-3</v>
      </c>
      <c r="O16" s="25">
        <f t="shared" si="1"/>
        <v>0</v>
      </c>
      <c r="P16" s="25">
        <f t="shared" si="1"/>
        <v>2.1560659753770898E-3</v>
      </c>
      <c r="Q16" s="21">
        <f t="shared" si="2"/>
        <v>7.8531610683224302E-3</v>
      </c>
    </row>
    <row r="17" spans="1:18">
      <c r="A17" s="18" t="s">
        <v>8592</v>
      </c>
      <c r="B17">
        <v>39348</v>
      </c>
      <c r="C17">
        <v>7790196</v>
      </c>
      <c r="D17">
        <v>43824</v>
      </c>
      <c r="E17">
        <v>1122399</v>
      </c>
      <c r="F17">
        <v>24336</v>
      </c>
      <c r="G17">
        <v>10726</v>
      </c>
      <c r="H17">
        <v>246663</v>
      </c>
      <c r="I17" s="19">
        <f t="shared" si="0"/>
        <v>9277492</v>
      </c>
      <c r="J17" s="20">
        <f t="shared" si="1"/>
        <v>4.2412324365248711E-3</v>
      </c>
      <c r="K17" s="20">
        <f t="shared" si="1"/>
        <v>0.83968770870403342</v>
      </c>
      <c r="L17" s="20">
        <f t="shared" si="1"/>
        <v>4.7236904111585326E-3</v>
      </c>
      <c r="M17" s="20">
        <f t="shared" si="1"/>
        <v>0.12098086422494356</v>
      </c>
      <c r="N17" s="20">
        <f t="shared" si="1"/>
        <v>2.6231227146302038E-3</v>
      </c>
      <c r="O17" s="20">
        <f t="shared" si="1"/>
        <v>1.1561314200001466E-3</v>
      </c>
      <c r="P17" s="20">
        <f t="shared" si="1"/>
        <v>2.6587250088709321E-2</v>
      </c>
      <c r="Q17" s="21">
        <f t="shared" si="2"/>
        <v>0.12476011835957392</v>
      </c>
    </row>
    <row r="18" spans="1:18">
      <c r="A18" s="18" t="s">
        <v>8593</v>
      </c>
      <c r="B18">
        <v>19958</v>
      </c>
      <c r="C18">
        <v>6934134</v>
      </c>
      <c r="D18">
        <v>10893</v>
      </c>
      <c r="E18">
        <v>470022</v>
      </c>
      <c r="F18">
        <v>16104</v>
      </c>
      <c r="G18">
        <v>9842</v>
      </c>
      <c r="H18">
        <v>115442</v>
      </c>
      <c r="I18" s="19">
        <f t="shared" si="0"/>
        <v>7576395</v>
      </c>
      <c r="J18" s="20">
        <f t="shared" si="1"/>
        <v>2.6342343555213264E-3</v>
      </c>
      <c r="K18" s="20">
        <f t="shared" si="1"/>
        <v>0.91522868065880936</v>
      </c>
      <c r="L18" s="20">
        <f t="shared" si="1"/>
        <v>1.4377550272920037E-3</v>
      </c>
      <c r="M18" s="20">
        <f t="shared" si="1"/>
        <v>6.203768414925568E-2</v>
      </c>
      <c r="N18" s="20">
        <f t="shared" si="1"/>
        <v>2.1255491562939895E-3</v>
      </c>
      <c r="O18" s="20">
        <f t="shared" si="1"/>
        <v>1.2990346992204076E-3</v>
      </c>
      <c r="P18" s="20">
        <f t="shared" si="1"/>
        <v>1.5237061953607224E-2</v>
      </c>
      <c r="Q18" s="21">
        <f t="shared" si="2"/>
        <v>6.5462268004770077E-2</v>
      </c>
    </row>
    <row r="19" spans="1:18">
      <c r="A19" s="18" t="s">
        <v>8594</v>
      </c>
      <c r="C19">
        <v>203971</v>
      </c>
      <c r="E19">
        <v>67698</v>
      </c>
      <c r="F19">
        <v>23408</v>
      </c>
      <c r="H19">
        <v>7081</v>
      </c>
      <c r="I19" s="19">
        <f t="shared" si="0"/>
        <v>302158</v>
      </c>
      <c r="J19" s="20">
        <f t="shared" si="1"/>
        <v>0</v>
      </c>
      <c r="K19" s="20">
        <f t="shared" si="1"/>
        <v>0.67504749170963541</v>
      </c>
      <c r="L19" s="20">
        <f t="shared" si="1"/>
        <v>0</v>
      </c>
      <c r="M19" s="20">
        <f t="shared" si="1"/>
        <v>0.22404834556755074</v>
      </c>
      <c r="N19" s="20">
        <f t="shared" si="1"/>
        <v>7.7469403424698338E-2</v>
      </c>
      <c r="O19" s="20">
        <f t="shared" si="1"/>
        <v>0</v>
      </c>
      <c r="P19" s="20">
        <f t="shared" si="1"/>
        <v>2.3434759298115556E-2</v>
      </c>
      <c r="Q19" s="21">
        <f t="shared" si="2"/>
        <v>0.30151774899224909</v>
      </c>
    </row>
    <row r="20" spans="1:18">
      <c r="A20" s="18" t="s">
        <v>8595</v>
      </c>
      <c r="B20">
        <v>4364</v>
      </c>
      <c r="C20">
        <v>5524240</v>
      </c>
      <c r="D20">
        <v>89617</v>
      </c>
      <c r="E20">
        <v>1187590</v>
      </c>
      <c r="F20">
        <v>79388</v>
      </c>
      <c r="G20">
        <v>23348</v>
      </c>
      <c r="H20">
        <v>105535</v>
      </c>
      <c r="I20" s="19">
        <f t="shared" si="0"/>
        <v>7014082</v>
      </c>
      <c r="J20" s="20">
        <f t="shared" si="1"/>
        <v>6.2217692921183411E-4</v>
      </c>
      <c r="K20" s="20">
        <f t="shared" si="1"/>
        <v>0.78759273130824536</v>
      </c>
      <c r="L20" s="20">
        <f t="shared" si="1"/>
        <v>1.2776725450315522E-2</v>
      </c>
      <c r="M20" s="20">
        <f t="shared" si="1"/>
        <v>0.16931510067889141</v>
      </c>
      <c r="N20" s="20">
        <f t="shared" si="1"/>
        <v>1.1318373523434714E-2</v>
      </c>
      <c r="O20" s="20">
        <f t="shared" si="1"/>
        <v>3.3287321134825628E-3</v>
      </c>
      <c r="P20" s="20">
        <f t="shared" si="1"/>
        <v>1.5046159996418633E-2</v>
      </c>
      <c r="Q20" s="21">
        <f t="shared" si="2"/>
        <v>0.18396220631580867</v>
      </c>
    </row>
    <row r="21" spans="1:18">
      <c r="A21" s="18" t="s">
        <v>8596</v>
      </c>
      <c r="B21">
        <v>28049</v>
      </c>
      <c r="C21">
        <v>8337532</v>
      </c>
      <c r="D21">
        <v>121995</v>
      </c>
      <c r="E21">
        <v>1874075</v>
      </c>
      <c r="F21">
        <v>109075</v>
      </c>
      <c r="G21">
        <v>12772</v>
      </c>
      <c r="H21">
        <v>144714</v>
      </c>
      <c r="I21" s="19">
        <f t="shared" si="0"/>
        <v>10628212</v>
      </c>
      <c r="J21" s="20">
        <f t="shared" si="1"/>
        <v>2.6391080644608896E-3</v>
      </c>
      <c r="K21" s="20">
        <f t="shared" si="1"/>
        <v>0.7844717436949884</v>
      </c>
      <c r="L21" s="20">
        <f t="shared" si="1"/>
        <v>1.1478412361364264E-2</v>
      </c>
      <c r="M21" s="20">
        <f t="shared" si="1"/>
        <v>0.17633022374788912</v>
      </c>
      <c r="N21" s="20">
        <f t="shared" si="1"/>
        <v>1.0262779854221952E-2</v>
      </c>
      <c r="O21" s="20">
        <f t="shared" si="1"/>
        <v>1.2017073050481115E-3</v>
      </c>
      <c r="P21" s="20">
        <f t="shared" si="1"/>
        <v>1.3616024972027279E-2</v>
      </c>
      <c r="Q21" s="21">
        <f t="shared" si="2"/>
        <v>0.18779471090715918</v>
      </c>
    </row>
    <row r="22" spans="1:18">
      <c r="A22" s="22" t="s">
        <v>16</v>
      </c>
      <c r="B22" s="23">
        <v>89913</v>
      </c>
      <c r="C22" s="23">
        <v>61796269</v>
      </c>
      <c r="D22" s="23">
        <v>368316</v>
      </c>
      <c r="E22" s="23">
        <f>8817270+27680</f>
        <v>8844950</v>
      </c>
      <c r="F22" s="23">
        <v>268488</v>
      </c>
      <c r="G22" s="23">
        <v>16821</v>
      </c>
      <c r="H22" s="23">
        <v>499906</v>
      </c>
      <c r="I22" s="24">
        <f t="shared" si="0"/>
        <v>71884663</v>
      </c>
      <c r="J22" s="25">
        <f t="shared" si="1"/>
        <v>1.250795319162865E-3</v>
      </c>
      <c r="K22" s="25">
        <f t="shared" si="1"/>
        <v>0.85965860339360567</v>
      </c>
      <c r="L22" s="25">
        <f t="shared" si="1"/>
        <v>5.1237076815676243E-3</v>
      </c>
      <c r="M22" s="25">
        <f t="shared" si="1"/>
        <v>0.12304363171320704</v>
      </c>
      <c r="N22" s="25">
        <f t="shared" si="1"/>
        <v>3.7349830797704371E-3</v>
      </c>
      <c r="O22" s="25">
        <f t="shared" si="1"/>
        <v>2.339998450017078E-4</v>
      </c>
      <c r="P22" s="25">
        <f t="shared" si="1"/>
        <v>6.9542789676846645E-3</v>
      </c>
      <c r="Q22" s="21">
        <f t="shared" si="2"/>
        <v>0.12701261463797919</v>
      </c>
    </row>
    <row r="23" spans="1:18">
      <c r="A23" s="13"/>
      <c r="I23" s="13"/>
    </row>
    <row r="24" spans="1:18">
      <c r="A24" s="16" t="s">
        <v>8597</v>
      </c>
      <c r="B24" s="15" t="s">
        <v>8573</v>
      </c>
      <c r="C24" s="15" t="s">
        <v>1880</v>
      </c>
      <c r="D24" s="15" t="s">
        <v>8574</v>
      </c>
      <c r="E24" s="15" t="s">
        <v>46</v>
      </c>
      <c r="F24" s="15" t="s">
        <v>1871</v>
      </c>
      <c r="G24" s="15" t="s">
        <v>8575</v>
      </c>
      <c r="H24" s="15" t="s">
        <v>8576</v>
      </c>
      <c r="I24" s="16" t="s">
        <v>8577</v>
      </c>
      <c r="J24" s="15" t="s">
        <v>8573</v>
      </c>
      <c r="K24" s="15" t="s">
        <v>1880</v>
      </c>
      <c r="L24" s="15" t="s">
        <v>8574</v>
      </c>
      <c r="M24" s="15" t="s">
        <v>46</v>
      </c>
      <c r="N24" s="15" t="s">
        <v>1871</v>
      </c>
      <c r="O24" s="15" t="s">
        <v>8575</v>
      </c>
      <c r="P24" s="15" t="s">
        <v>8576</v>
      </c>
      <c r="Q24" s="17"/>
      <c r="R24" s="17"/>
    </row>
    <row r="25" spans="1:18">
      <c r="A25" s="18" t="s">
        <v>8578</v>
      </c>
      <c r="B25">
        <v>38</v>
      </c>
      <c r="C25">
        <v>1999</v>
      </c>
      <c r="D25">
        <v>57</v>
      </c>
      <c r="E25">
        <v>35</v>
      </c>
      <c r="F25">
        <v>115</v>
      </c>
      <c r="H25">
        <v>61</v>
      </c>
      <c r="I25" s="19">
        <f t="shared" ref="I25:I44" si="3">SUM(B25:H25)</f>
        <v>2305</v>
      </c>
      <c r="J25" s="20">
        <f t="shared" ref="J25:P44" si="4">B25/$I25</f>
        <v>1.648590021691974E-2</v>
      </c>
      <c r="K25" s="20">
        <f t="shared" si="4"/>
        <v>0.86724511930585679</v>
      </c>
      <c r="L25" s="20">
        <f t="shared" si="4"/>
        <v>2.4728850325379609E-2</v>
      </c>
      <c r="M25" s="20">
        <f t="shared" si="4"/>
        <v>1.5184381778741865E-2</v>
      </c>
      <c r="N25" s="20">
        <f t="shared" si="4"/>
        <v>4.9891540130151846E-2</v>
      </c>
      <c r="O25" s="20">
        <f t="shared" si="4"/>
        <v>0</v>
      </c>
      <c r="P25" s="20">
        <f t="shared" si="4"/>
        <v>2.6464208242950107E-2</v>
      </c>
    </row>
    <row r="26" spans="1:18">
      <c r="A26" s="18" t="s">
        <v>8579</v>
      </c>
      <c r="B26">
        <v>16</v>
      </c>
      <c r="C26">
        <v>9635</v>
      </c>
      <c r="D26">
        <v>46</v>
      </c>
      <c r="E26">
        <v>56</v>
      </c>
      <c r="F26">
        <v>105</v>
      </c>
      <c r="G26">
        <v>1</v>
      </c>
      <c r="H26">
        <v>58</v>
      </c>
      <c r="I26" s="19">
        <f t="shared" si="3"/>
        <v>9917</v>
      </c>
      <c r="J26" s="20">
        <f t="shared" si="4"/>
        <v>1.6133911465160836E-3</v>
      </c>
      <c r="K26" s="20">
        <f t="shared" si="4"/>
        <v>0.97156398104265407</v>
      </c>
      <c r="L26" s="20">
        <f t="shared" si="4"/>
        <v>4.6384995462337405E-3</v>
      </c>
      <c r="M26" s="20">
        <f t="shared" si="4"/>
        <v>5.6468690128062922E-3</v>
      </c>
      <c r="N26" s="20">
        <f t="shared" si="4"/>
        <v>1.0587879399011797E-2</v>
      </c>
      <c r="O26" s="20">
        <f t="shared" si="4"/>
        <v>1.0083694665725522E-4</v>
      </c>
      <c r="P26" s="20">
        <f t="shared" si="4"/>
        <v>5.8485429061208025E-3</v>
      </c>
    </row>
    <row r="27" spans="1:18">
      <c r="A27" s="18" t="s">
        <v>8580</v>
      </c>
      <c r="B27">
        <v>4</v>
      </c>
      <c r="C27">
        <v>2670</v>
      </c>
      <c r="D27">
        <v>28</v>
      </c>
      <c r="E27">
        <v>27</v>
      </c>
      <c r="F27">
        <v>8</v>
      </c>
      <c r="H27">
        <v>14</v>
      </c>
      <c r="I27" s="19">
        <f t="shared" si="3"/>
        <v>2751</v>
      </c>
      <c r="J27" s="20">
        <f t="shared" si="4"/>
        <v>1.4540167211922936E-3</v>
      </c>
      <c r="K27" s="20">
        <f t="shared" si="4"/>
        <v>0.9705561613958561</v>
      </c>
      <c r="L27" s="20">
        <f t="shared" si="4"/>
        <v>1.0178117048346057E-2</v>
      </c>
      <c r="M27" s="20">
        <f t="shared" si="4"/>
        <v>9.8146128680479828E-3</v>
      </c>
      <c r="N27" s="20">
        <f t="shared" si="4"/>
        <v>2.9080334423845873E-3</v>
      </c>
      <c r="O27" s="20">
        <f t="shared" si="4"/>
        <v>0</v>
      </c>
      <c r="P27" s="20">
        <f t="shared" si="4"/>
        <v>5.0890585241730284E-3</v>
      </c>
    </row>
    <row r="28" spans="1:18">
      <c r="A28" s="18" t="s">
        <v>8581</v>
      </c>
      <c r="B28">
        <v>13</v>
      </c>
      <c r="C28">
        <v>1737</v>
      </c>
      <c r="D28">
        <v>30</v>
      </c>
      <c r="E28">
        <v>123</v>
      </c>
      <c r="F28">
        <v>110</v>
      </c>
      <c r="G28">
        <v>1</v>
      </c>
      <c r="H28">
        <v>32</v>
      </c>
      <c r="I28" s="19">
        <f t="shared" si="3"/>
        <v>2046</v>
      </c>
      <c r="J28" s="20">
        <f t="shared" si="4"/>
        <v>6.3538611925708704E-3</v>
      </c>
      <c r="K28" s="20">
        <f t="shared" si="4"/>
        <v>0.84897360703812319</v>
      </c>
      <c r="L28" s="20">
        <f t="shared" si="4"/>
        <v>1.466275659824047E-2</v>
      </c>
      <c r="M28" s="20">
        <f t="shared" si="4"/>
        <v>6.0117302052785926E-2</v>
      </c>
      <c r="N28" s="20">
        <f t="shared" si="4"/>
        <v>5.3763440860215055E-2</v>
      </c>
      <c r="O28" s="20">
        <f t="shared" si="4"/>
        <v>4.8875855327468231E-4</v>
      </c>
      <c r="P28" s="20">
        <f t="shared" si="4"/>
        <v>1.5640273704789834E-2</v>
      </c>
    </row>
    <row r="29" spans="1:18">
      <c r="A29" s="18" t="s">
        <v>8582</v>
      </c>
      <c r="B29">
        <v>6</v>
      </c>
      <c r="C29">
        <v>2571</v>
      </c>
      <c r="D29">
        <v>56</v>
      </c>
      <c r="E29">
        <v>19</v>
      </c>
      <c r="F29">
        <v>112</v>
      </c>
      <c r="H29">
        <v>31</v>
      </c>
      <c r="I29" s="19">
        <f t="shared" si="3"/>
        <v>2795</v>
      </c>
      <c r="J29" s="20">
        <f t="shared" si="4"/>
        <v>2.1466905187835419E-3</v>
      </c>
      <c r="K29" s="20">
        <f t="shared" si="4"/>
        <v>0.91985688729874782</v>
      </c>
      <c r="L29" s="20">
        <f t="shared" si="4"/>
        <v>2.003577817531306E-2</v>
      </c>
      <c r="M29" s="20">
        <f t="shared" si="4"/>
        <v>6.7978533094812162E-3</v>
      </c>
      <c r="N29" s="20">
        <f t="shared" si="4"/>
        <v>4.007155635062612E-2</v>
      </c>
      <c r="O29" s="20">
        <f t="shared" si="4"/>
        <v>0</v>
      </c>
      <c r="P29" s="20">
        <f t="shared" si="4"/>
        <v>1.10912343470483E-2</v>
      </c>
    </row>
    <row r="30" spans="1:18">
      <c r="A30" s="18" t="s">
        <v>8583</v>
      </c>
      <c r="B30">
        <v>9</v>
      </c>
      <c r="C30">
        <v>4935</v>
      </c>
      <c r="D30">
        <v>28</v>
      </c>
      <c r="E30">
        <v>15</v>
      </c>
      <c r="F30">
        <v>3</v>
      </c>
      <c r="H30">
        <v>26</v>
      </c>
      <c r="I30" s="19">
        <f t="shared" si="3"/>
        <v>5016</v>
      </c>
      <c r="J30" s="20">
        <f t="shared" si="4"/>
        <v>1.7942583732057417E-3</v>
      </c>
      <c r="K30" s="20">
        <f t="shared" si="4"/>
        <v>0.98385167464114831</v>
      </c>
      <c r="L30" s="20">
        <f t="shared" si="4"/>
        <v>5.5821371610845294E-3</v>
      </c>
      <c r="M30" s="20">
        <f t="shared" si="4"/>
        <v>2.9904306220095694E-3</v>
      </c>
      <c r="N30" s="20">
        <f t="shared" si="4"/>
        <v>5.9808612440191385E-4</v>
      </c>
      <c r="O30" s="20">
        <f t="shared" si="4"/>
        <v>0</v>
      </c>
      <c r="P30" s="20">
        <f t="shared" si="4"/>
        <v>5.1834130781499201E-3</v>
      </c>
    </row>
    <row r="31" spans="1:18">
      <c r="A31" s="18" t="s">
        <v>8584</v>
      </c>
      <c r="B31">
        <v>4</v>
      </c>
      <c r="C31">
        <v>974</v>
      </c>
      <c r="D31">
        <v>25</v>
      </c>
      <c r="E31">
        <v>28</v>
      </c>
      <c r="F31">
        <v>59</v>
      </c>
      <c r="H31">
        <v>6</v>
      </c>
      <c r="I31" s="19">
        <f t="shared" si="3"/>
        <v>1096</v>
      </c>
      <c r="J31" s="20">
        <f t="shared" si="4"/>
        <v>3.6496350364963502E-3</v>
      </c>
      <c r="K31" s="20">
        <f t="shared" si="4"/>
        <v>0.88868613138686137</v>
      </c>
      <c r="L31" s="20">
        <f t="shared" si="4"/>
        <v>2.281021897810219E-2</v>
      </c>
      <c r="M31" s="20">
        <f t="shared" si="4"/>
        <v>2.5547445255474453E-2</v>
      </c>
      <c r="N31" s="20">
        <f t="shared" si="4"/>
        <v>5.3832116788321165E-2</v>
      </c>
      <c r="O31" s="20">
        <f t="shared" si="4"/>
        <v>0</v>
      </c>
      <c r="P31" s="20">
        <f t="shared" si="4"/>
        <v>5.4744525547445258E-3</v>
      </c>
    </row>
    <row r="32" spans="1:18">
      <c r="A32" s="18" t="s">
        <v>8585</v>
      </c>
      <c r="C32">
        <v>1807</v>
      </c>
      <c r="D32">
        <v>5</v>
      </c>
      <c r="E32">
        <v>39</v>
      </c>
      <c r="H32">
        <v>10</v>
      </c>
      <c r="I32" s="19">
        <f t="shared" si="3"/>
        <v>1861</v>
      </c>
      <c r="J32" s="20">
        <f t="shared" si="4"/>
        <v>0</v>
      </c>
      <c r="K32" s="20">
        <f t="shared" si="4"/>
        <v>0.97098334228909189</v>
      </c>
      <c r="L32" s="20">
        <f t="shared" si="4"/>
        <v>2.6867275658248252E-3</v>
      </c>
      <c r="M32" s="20">
        <f t="shared" si="4"/>
        <v>2.0956475013433638E-2</v>
      </c>
      <c r="N32" s="20">
        <f t="shared" si="4"/>
        <v>0</v>
      </c>
      <c r="O32" s="20">
        <f t="shared" si="4"/>
        <v>0</v>
      </c>
      <c r="P32" s="20">
        <f t="shared" si="4"/>
        <v>5.3734551316496505E-3</v>
      </c>
    </row>
    <row r="33" spans="1:16">
      <c r="A33" s="18" t="s">
        <v>8586</v>
      </c>
      <c r="B33">
        <v>13</v>
      </c>
      <c r="C33">
        <v>940</v>
      </c>
      <c r="D33">
        <v>102</v>
      </c>
      <c r="E33">
        <v>51</v>
      </c>
      <c r="F33">
        <v>203</v>
      </c>
      <c r="H33">
        <v>6</v>
      </c>
      <c r="I33" s="19">
        <f t="shared" si="3"/>
        <v>1315</v>
      </c>
      <c r="J33" s="20">
        <f t="shared" si="4"/>
        <v>9.8859315589353604E-3</v>
      </c>
      <c r="K33" s="20">
        <f t="shared" si="4"/>
        <v>0.71482889733840305</v>
      </c>
      <c r="L33" s="20">
        <f t="shared" si="4"/>
        <v>7.7566539923954375E-2</v>
      </c>
      <c r="M33" s="20">
        <f t="shared" si="4"/>
        <v>3.8783269961977188E-2</v>
      </c>
      <c r="N33" s="20">
        <f t="shared" si="4"/>
        <v>0.1543726235741445</v>
      </c>
      <c r="O33" s="20">
        <f t="shared" si="4"/>
        <v>0</v>
      </c>
      <c r="P33" s="20">
        <f t="shared" si="4"/>
        <v>4.5627376425855515E-3</v>
      </c>
    </row>
    <row r="34" spans="1:16">
      <c r="A34" s="18" t="s">
        <v>8587</v>
      </c>
      <c r="B34">
        <v>2</v>
      </c>
      <c r="C34">
        <v>995</v>
      </c>
      <c r="D34">
        <v>148</v>
      </c>
      <c r="E34">
        <v>61</v>
      </c>
      <c r="F34">
        <v>361</v>
      </c>
      <c r="H34">
        <v>21</v>
      </c>
      <c r="I34" s="19">
        <f t="shared" si="3"/>
        <v>1588</v>
      </c>
      <c r="J34" s="20">
        <f t="shared" si="4"/>
        <v>1.2594458438287153E-3</v>
      </c>
      <c r="K34" s="20">
        <f t="shared" si="4"/>
        <v>0.62657430730478592</v>
      </c>
      <c r="L34" s="20">
        <f t="shared" si="4"/>
        <v>9.3198992443324941E-2</v>
      </c>
      <c r="M34" s="20">
        <f t="shared" si="4"/>
        <v>3.8413098236775821E-2</v>
      </c>
      <c r="N34" s="20">
        <f t="shared" si="4"/>
        <v>0.22732997481108314</v>
      </c>
      <c r="O34" s="20">
        <f t="shared" si="4"/>
        <v>0</v>
      </c>
      <c r="P34" s="20">
        <f t="shared" si="4"/>
        <v>1.3224181360201511E-2</v>
      </c>
    </row>
    <row r="35" spans="1:16">
      <c r="A35" s="18" t="s">
        <v>8588</v>
      </c>
      <c r="B35">
        <v>97</v>
      </c>
      <c r="C35">
        <v>2365</v>
      </c>
      <c r="D35">
        <v>100</v>
      </c>
      <c r="E35">
        <v>26</v>
      </c>
      <c r="F35">
        <v>225</v>
      </c>
      <c r="H35">
        <v>57</v>
      </c>
      <c r="I35" s="19">
        <f t="shared" si="3"/>
        <v>2870</v>
      </c>
      <c r="J35" s="20">
        <f t="shared" si="4"/>
        <v>3.3797909407665506E-2</v>
      </c>
      <c r="K35" s="20">
        <f t="shared" si="4"/>
        <v>0.8240418118466899</v>
      </c>
      <c r="L35" s="20">
        <f t="shared" si="4"/>
        <v>3.484320557491289E-2</v>
      </c>
      <c r="M35" s="20">
        <f t="shared" si="4"/>
        <v>9.0592334494773528E-3</v>
      </c>
      <c r="N35" s="20">
        <f t="shared" si="4"/>
        <v>7.8397212543554001E-2</v>
      </c>
      <c r="O35" s="20">
        <f t="shared" si="4"/>
        <v>0</v>
      </c>
      <c r="P35" s="20">
        <f t="shared" si="4"/>
        <v>1.986062717770035E-2</v>
      </c>
    </row>
    <row r="36" spans="1:16">
      <c r="A36" s="18" t="s">
        <v>8589</v>
      </c>
      <c r="B36">
        <v>22</v>
      </c>
      <c r="C36">
        <v>7170</v>
      </c>
      <c r="D36">
        <v>116</v>
      </c>
      <c r="E36">
        <v>42</v>
      </c>
      <c r="F36">
        <v>68</v>
      </c>
      <c r="G36">
        <v>1</v>
      </c>
      <c r="H36">
        <v>28</v>
      </c>
      <c r="I36" s="19">
        <f t="shared" si="3"/>
        <v>7447</v>
      </c>
      <c r="J36" s="20">
        <f t="shared" si="4"/>
        <v>2.9542097488921715E-3</v>
      </c>
      <c r="K36" s="20">
        <f t="shared" si="4"/>
        <v>0.96280381361622125</v>
      </c>
      <c r="L36" s="20">
        <f t="shared" si="4"/>
        <v>1.557674231234054E-2</v>
      </c>
      <c r="M36" s="20">
        <f t="shared" si="4"/>
        <v>5.6398549751577815E-3</v>
      </c>
      <c r="N36" s="20">
        <f t="shared" si="4"/>
        <v>9.1311937693030754E-3</v>
      </c>
      <c r="O36" s="20">
        <f t="shared" si="4"/>
        <v>1.342822613132805E-4</v>
      </c>
      <c r="P36" s="20">
        <f t="shared" si="4"/>
        <v>3.7599033167718546E-3</v>
      </c>
    </row>
    <row r="37" spans="1:16">
      <c r="A37" s="18" t="s">
        <v>8590</v>
      </c>
      <c r="C37">
        <v>687</v>
      </c>
      <c r="D37">
        <v>16</v>
      </c>
      <c r="E37">
        <v>10</v>
      </c>
      <c r="F37">
        <v>11</v>
      </c>
      <c r="H37">
        <v>2</v>
      </c>
      <c r="I37" s="19">
        <f t="shared" si="3"/>
        <v>726</v>
      </c>
      <c r="J37" s="20">
        <f t="shared" si="4"/>
        <v>0</v>
      </c>
      <c r="K37" s="20">
        <f t="shared" si="4"/>
        <v>0.94628099173553715</v>
      </c>
      <c r="L37" s="20">
        <f t="shared" si="4"/>
        <v>2.2038567493112948E-2</v>
      </c>
      <c r="M37" s="20">
        <f t="shared" si="4"/>
        <v>1.3774104683195593E-2</v>
      </c>
      <c r="N37" s="20">
        <f t="shared" si="4"/>
        <v>1.5151515151515152E-2</v>
      </c>
      <c r="O37" s="20">
        <f t="shared" si="4"/>
        <v>0</v>
      </c>
      <c r="P37" s="20">
        <f t="shared" si="4"/>
        <v>2.7548209366391185E-3</v>
      </c>
    </row>
    <row r="38" spans="1:16">
      <c r="A38" s="22" t="s">
        <v>8591</v>
      </c>
      <c r="B38" s="23">
        <v>5</v>
      </c>
      <c r="C38" s="23">
        <v>5172</v>
      </c>
      <c r="D38" s="23">
        <v>30</v>
      </c>
      <c r="E38" s="23">
        <v>44</v>
      </c>
      <c r="F38" s="23">
        <v>18</v>
      </c>
      <c r="G38" s="23"/>
      <c r="H38" s="23">
        <v>22</v>
      </c>
      <c r="I38" s="24">
        <f t="shared" si="3"/>
        <v>5291</v>
      </c>
      <c r="J38" s="25">
        <f t="shared" si="4"/>
        <v>9.4500094500094499E-4</v>
      </c>
      <c r="K38" s="25">
        <f t="shared" si="4"/>
        <v>0.97750897750897747</v>
      </c>
      <c r="L38" s="25">
        <f t="shared" si="4"/>
        <v>5.6700056700056704E-3</v>
      </c>
      <c r="M38" s="25">
        <f t="shared" si="4"/>
        <v>8.3160083160083165E-3</v>
      </c>
      <c r="N38" s="25">
        <f t="shared" si="4"/>
        <v>3.4020034020034022E-3</v>
      </c>
      <c r="O38" s="25">
        <f t="shared" si="4"/>
        <v>0</v>
      </c>
      <c r="P38" s="25">
        <f t="shared" si="4"/>
        <v>4.1580041580041582E-3</v>
      </c>
    </row>
    <row r="39" spans="1:16">
      <c r="A39" s="18" t="s">
        <v>8592</v>
      </c>
      <c r="B39">
        <v>5</v>
      </c>
      <c r="C39">
        <v>1187</v>
      </c>
      <c r="D39">
        <v>9</v>
      </c>
      <c r="E39">
        <v>210</v>
      </c>
      <c r="F39">
        <v>8</v>
      </c>
      <c r="G39">
        <v>2</v>
      </c>
      <c r="H39">
        <v>77</v>
      </c>
      <c r="I39" s="19">
        <f t="shared" si="3"/>
        <v>1498</v>
      </c>
      <c r="J39" s="20">
        <f t="shared" si="4"/>
        <v>3.3377837116154874E-3</v>
      </c>
      <c r="K39" s="20">
        <f t="shared" si="4"/>
        <v>0.79238985313751664</v>
      </c>
      <c r="L39" s="20">
        <f t="shared" si="4"/>
        <v>6.0080106809078772E-3</v>
      </c>
      <c r="M39" s="20">
        <f t="shared" si="4"/>
        <v>0.14018691588785046</v>
      </c>
      <c r="N39" s="20">
        <f t="shared" si="4"/>
        <v>5.3404539385847796E-3</v>
      </c>
      <c r="O39" s="20">
        <f t="shared" si="4"/>
        <v>1.3351134846461949E-3</v>
      </c>
      <c r="P39" s="20">
        <f t="shared" si="4"/>
        <v>5.1401869158878503E-2</v>
      </c>
    </row>
    <row r="40" spans="1:16">
      <c r="A40" s="18" t="s">
        <v>8593</v>
      </c>
      <c r="B40">
        <v>6</v>
      </c>
      <c r="C40">
        <v>980</v>
      </c>
      <c r="D40">
        <v>4</v>
      </c>
      <c r="E40">
        <v>129</v>
      </c>
      <c r="F40">
        <v>4</v>
      </c>
      <c r="G40">
        <v>2</v>
      </c>
      <c r="H40">
        <v>40</v>
      </c>
      <c r="I40" s="19">
        <f t="shared" si="3"/>
        <v>1165</v>
      </c>
      <c r="J40" s="20">
        <f t="shared" si="4"/>
        <v>5.1502145922746783E-3</v>
      </c>
      <c r="K40" s="20">
        <f t="shared" si="4"/>
        <v>0.84120171673819744</v>
      </c>
      <c r="L40" s="20">
        <f t="shared" si="4"/>
        <v>3.4334763948497852E-3</v>
      </c>
      <c r="M40" s="20">
        <f t="shared" si="4"/>
        <v>0.11072961373390558</v>
      </c>
      <c r="N40" s="20">
        <f t="shared" si="4"/>
        <v>3.4334763948497852E-3</v>
      </c>
      <c r="O40" s="20">
        <f t="shared" si="4"/>
        <v>1.7167381974248926E-3</v>
      </c>
      <c r="P40" s="20">
        <f t="shared" si="4"/>
        <v>3.4334763948497854E-2</v>
      </c>
    </row>
    <row r="41" spans="1:16">
      <c r="A41" s="18" t="s">
        <v>8594</v>
      </c>
      <c r="C41">
        <v>48</v>
      </c>
      <c r="E41">
        <v>19</v>
      </c>
      <c r="F41">
        <v>2</v>
      </c>
      <c r="H41">
        <v>3</v>
      </c>
      <c r="I41" s="19">
        <f t="shared" si="3"/>
        <v>72</v>
      </c>
      <c r="J41" s="20">
        <f t="shared" si="4"/>
        <v>0</v>
      </c>
      <c r="K41" s="20">
        <f t="shared" si="4"/>
        <v>0.66666666666666663</v>
      </c>
      <c r="L41" s="20">
        <f t="shared" si="4"/>
        <v>0</v>
      </c>
      <c r="M41" s="20">
        <f t="shared" si="4"/>
        <v>0.2638888888888889</v>
      </c>
      <c r="N41" s="20">
        <f t="shared" si="4"/>
        <v>2.7777777777777776E-2</v>
      </c>
      <c r="O41" s="20">
        <f t="shared" si="4"/>
        <v>0</v>
      </c>
      <c r="P41" s="20">
        <f t="shared" si="4"/>
        <v>4.1666666666666664E-2</v>
      </c>
    </row>
    <row r="42" spans="1:16">
      <c r="A42" s="18" t="s">
        <v>8595</v>
      </c>
      <c r="B42">
        <v>2</v>
      </c>
      <c r="C42">
        <v>855</v>
      </c>
      <c r="D42">
        <v>10</v>
      </c>
      <c r="E42">
        <v>266</v>
      </c>
      <c r="F42">
        <v>21</v>
      </c>
      <c r="G42">
        <v>7</v>
      </c>
      <c r="H42">
        <v>40</v>
      </c>
      <c r="I42" s="19">
        <f t="shared" si="3"/>
        <v>1201</v>
      </c>
      <c r="J42" s="20">
        <f t="shared" si="4"/>
        <v>1.6652789342214821E-3</v>
      </c>
      <c r="K42" s="20">
        <f t="shared" si="4"/>
        <v>0.7119067443796836</v>
      </c>
      <c r="L42" s="20">
        <f t="shared" si="4"/>
        <v>8.3263946711074101E-3</v>
      </c>
      <c r="M42" s="20">
        <f t="shared" si="4"/>
        <v>0.22148209825145712</v>
      </c>
      <c r="N42" s="20">
        <f t="shared" si="4"/>
        <v>1.7485428809325562E-2</v>
      </c>
      <c r="O42" s="20">
        <f t="shared" si="4"/>
        <v>5.8284762697751874E-3</v>
      </c>
      <c r="P42" s="20">
        <f t="shared" si="4"/>
        <v>3.330557868442964E-2</v>
      </c>
    </row>
    <row r="43" spans="1:16">
      <c r="A43" s="18" t="s">
        <v>8596</v>
      </c>
      <c r="B43">
        <v>8</v>
      </c>
      <c r="C43">
        <v>1355</v>
      </c>
      <c r="D43">
        <v>20</v>
      </c>
      <c r="E43">
        <v>413</v>
      </c>
      <c r="F43">
        <v>27</v>
      </c>
      <c r="G43">
        <v>4</v>
      </c>
      <c r="H43">
        <v>48</v>
      </c>
      <c r="I43" s="19">
        <f t="shared" si="3"/>
        <v>1875</v>
      </c>
      <c r="J43" s="20">
        <f t="shared" si="4"/>
        <v>4.2666666666666669E-3</v>
      </c>
      <c r="K43" s="20">
        <f t="shared" si="4"/>
        <v>0.72266666666666668</v>
      </c>
      <c r="L43" s="20">
        <f t="shared" si="4"/>
        <v>1.0666666666666666E-2</v>
      </c>
      <c r="M43" s="20">
        <f t="shared" si="4"/>
        <v>0.22026666666666667</v>
      </c>
      <c r="N43" s="20">
        <f t="shared" si="4"/>
        <v>1.44E-2</v>
      </c>
      <c r="O43" s="20">
        <f t="shared" si="4"/>
        <v>2.1333333333333334E-3</v>
      </c>
      <c r="P43" s="20">
        <f t="shared" si="4"/>
        <v>2.5600000000000001E-2</v>
      </c>
    </row>
    <row r="44" spans="1:16">
      <c r="A44" s="22" t="s">
        <v>16</v>
      </c>
      <c r="B44" s="23">
        <v>16</v>
      </c>
      <c r="C44" s="23">
        <v>7092</v>
      </c>
      <c r="D44" s="23">
        <v>47</v>
      </c>
      <c r="E44" s="23">
        <f>1228+7</f>
        <v>1235</v>
      </c>
      <c r="F44" s="23">
        <v>47</v>
      </c>
      <c r="G44" s="23">
        <v>6</v>
      </c>
      <c r="H44" s="23">
        <v>141</v>
      </c>
      <c r="I44" s="24">
        <f t="shared" si="3"/>
        <v>8584</v>
      </c>
      <c r="J44" s="25">
        <f t="shared" si="4"/>
        <v>1.863932898415657E-3</v>
      </c>
      <c r="K44" s="25">
        <f t="shared" si="4"/>
        <v>0.82618825722274003</v>
      </c>
      <c r="L44" s="25">
        <f t="shared" si="4"/>
        <v>5.4753028890959926E-3</v>
      </c>
      <c r="M44" s="25">
        <f t="shared" si="4"/>
        <v>0.14387232059645852</v>
      </c>
      <c r="N44" s="25">
        <f t="shared" si="4"/>
        <v>5.4753028890959926E-3</v>
      </c>
      <c r="O44" s="25">
        <f t="shared" si="4"/>
        <v>6.9897483690587142E-4</v>
      </c>
      <c r="P44" s="25">
        <f t="shared" si="4"/>
        <v>1.6425908667287978E-2</v>
      </c>
    </row>
    <row r="45" spans="1:16">
      <c r="A45" s="13"/>
      <c r="I45" s="13"/>
    </row>
    <row r="46" spans="1:16">
      <c r="A46" s="13"/>
      <c r="I46" s="13"/>
    </row>
    <row r="47" spans="1:16">
      <c r="A47" s="13"/>
      <c r="I47" s="13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57705-FB5F-524F-A2C6-952CDFACC07B}">
  <dimension ref="A1:H4371"/>
  <sheetViews>
    <sheetView workbookViewId="0">
      <selection sqref="A1:H4371"/>
    </sheetView>
  </sheetViews>
  <sheetFormatPr baseColWidth="10" defaultRowHeight="16"/>
  <sheetData>
    <row r="1" spans="1:8">
      <c r="A1" s="26" t="s">
        <v>8598</v>
      </c>
      <c r="B1" s="26" t="s">
        <v>8599</v>
      </c>
      <c r="C1" s="26" t="s">
        <v>8600</v>
      </c>
      <c r="D1" s="27" t="s">
        <v>8601</v>
      </c>
      <c r="E1" s="26" t="s">
        <v>8602</v>
      </c>
      <c r="F1" s="26" t="s">
        <v>8603</v>
      </c>
      <c r="G1" s="26" t="s">
        <v>8604</v>
      </c>
      <c r="H1" s="26" t="s">
        <v>8605</v>
      </c>
    </row>
    <row r="2" spans="1:8">
      <c r="A2" s="29" t="s">
        <v>8606</v>
      </c>
      <c r="B2" s="29"/>
      <c r="C2" s="29" t="s">
        <v>8607</v>
      </c>
      <c r="D2" s="29" t="s">
        <v>8608</v>
      </c>
      <c r="E2" s="30"/>
      <c r="F2" s="30"/>
      <c r="G2" s="30" t="s">
        <v>8609</v>
      </c>
      <c r="H2" s="30" t="s">
        <v>8610</v>
      </c>
    </row>
    <row r="3" spans="1:8">
      <c r="A3" s="29" t="s">
        <v>8611</v>
      </c>
      <c r="B3" s="29"/>
      <c r="C3" s="29" t="s">
        <v>8607</v>
      </c>
      <c r="D3" s="29" t="s">
        <v>8612</v>
      </c>
      <c r="E3" s="30"/>
      <c r="F3" s="30"/>
      <c r="G3" s="30" t="s">
        <v>8613</v>
      </c>
      <c r="H3" s="30" t="s">
        <v>8614</v>
      </c>
    </row>
    <row r="4" spans="1:8">
      <c r="A4" s="29" t="s">
        <v>8615</v>
      </c>
      <c r="B4" s="29"/>
      <c r="C4" s="30"/>
      <c r="D4" s="31" t="s">
        <v>8616</v>
      </c>
      <c r="E4" s="30" t="s">
        <v>8617</v>
      </c>
      <c r="F4" s="30" t="s">
        <v>8618</v>
      </c>
      <c r="G4" s="30"/>
      <c r="H4" s="30" t="s">
        <v>8619</v>
      </c>
    </row>
    <row r="5" spans="1:8">
      <c r="A5" s="30" t="s">
        <v>8620</v>
      </c>
      <c r="B5" s="30" t="s">
        <v>8621</v>
      </c>
      <c r="C5" s="30" t="s">
        <v>8607</v>
      </c>
      <c r="D5" s="30"/>
      <c r="E5" s="30" t="s">
        <v>8622</v>
      </c>
      <c r="F5" s="30" t="s">
        <v>8618</v>
      </c>
      <c r="G5" s="30" t="s">
        <v>8623</v>
      </c>
      <c r="H5" s="30" t="s">
        <v>8624</v>
      </c>
    </row>
    <row r="6" spans="1:8">
      <c r="A6" s="30" t="s">
        <v>8625</v>
      </c>
      <c r="B6" s="30" t="s">
        <v>8621</v>
      </c>
      <c r="C6" s="30" t="s">
        <v>8626</v>
      </c>
      <c r="D6" s="30" t="s">
        <v>8627</v>
      </c>
      <c r="E6" s="30" t="s">
        <v>8628</v>
      </c>
      <c r="F6" s="30" t="e">
        <v>#VALUE!</v>
      </c>
      <c r="G6" s="30" t="s">
        <v>8629</v>
      </c>
      <c r="H6" s="30" t="s">
        <v>8630</v>
      </c>
    </row>
    <row r="7" spans="1:8">
      <c r="A7" s="30" t="s">
        <v>8631</v>
      </c>
      <c r="B7" s="30" t="s">
        <v>8621</v>
      </c>
      <c r="C7" s="30" t="s">
        <v>8607</v>
      </c>
      <c r="D7" s="30" t="s">
        <v>8632</v>
      </c>
      <c r="E7" s="30"/>
      <c r="F7" s="30"/>
      <c r="G7" s="30" t="s">
        <v>8633</v>
      </c>
      <c r="H7" s="30" t="s">
        <v>8634</v>
      </c>
    </row>
    <row r="8" spans="1:8">
      <c r="A8" s="30" t="s">
        <v>8635</v>
      </c>
      <c r="B8" s="30" t="s">
        <v>8621</v>
      </c>
      <c r="C8" s="30" t="s">
        <v>8607</v>
      </c>
      <c r="D8" s="30"/>
      <c r="E8" s="30" t="s">
        <v>8636</v>
      </c>
      <c r="F8" s="30" t="e">
        <v>#VALUE!</v>
      </c>
      <c r="G8" s="30" t="s">
        <v>8637</v>
      </c>
      <c r="H8" s="30" t="s">
        <v>8638</v>
      </c>
    </row>
    <row r="9" spans="1:8">
      <c r="A9" s="30" t="s">
        <v>8639</v>
      </c>
      <c r="B9" s="30" t="s">
        <v>8621</v>
      </c>
      <c r="C9" s="30"/>
      <c r="D9" s="32" t="s">
        <v>8640</v>
      </c>
      <c r="E9" s="30" t="s">
        <v>8641</v>
      </c>
      <c r="F9" s="30" t="s">
        <v>8642</v>
      </c>
      <c r="G9" s="30"/>
      <c r="H9" s="30" t="s">
        <v>8643</v>
      </c>
    </row>
    <row r="10" spans="1:8">
      <c r="A10" s="30" t="s">
        <v>8644</v>
      </c>
      <c r="B10" s="30" t="s">
        <v>8645</v>
      </c>
      <c r="C10" s="30" t="s">
        <v>8607</v>
      </c>
      <c r="D10" s="30"/>
      <c r="E10" s="30"/>
      <c r="F10" s="30"/>
      <c r="G10" s="30" t="s">
        <v>8646</v>
      </c>
      <c r="H10" s="30" t="s">
        <v>8647</v>
      </c>
    </row>
    <row r="11" spans="1:8">
      <c r="A11" s="30" t="s">
        <v>8648</v>
      </c>
      <c r="B11" s="30" t="s">
        <v>8645</v>
      </c>
      <c r="C11" s="30" t="s">
        <v>8607</v>
      </c>
      <c r="D11" s="30"/>
      <c r="E11" s="30"/>
      <c r="F11" s="30"/>
      <c r="G11" s="30" t="s">
        <v>8649</v>
      </c>
      <c r="H11" s="30" t="s">
        <v>8650</v>
      </c>
    </row>
    <row r="12" spans="1:8">
      <c r="A12" s="30" t="s">
        <v>8651</v>
      </c>
      <c r="B12" s="30" t="s">
        <v>8645</v>
      </c>
      <c r="C12" s="30" t="s">
        <v>8626</v>
      </c>
      <c r="D12" s="30"/>
      <c r="E12" s="30" t="s">
        <v>8628</v>
      </c>
      <c r="F12" s="30" t="e">
        <v>#VALUE!</v>
      </c>
      <c r="G12" s="30" t="s">
        <v>8623</v>
      </c>
      <c r="H12" s="30" t="s">
        <v>8652</v>
      </c>
    </row>
    <row r="13" spans="1:8">
      <c r="A13" s="30" t="s">
        <v>8653</v>
      </c>
      <c r="B13" s="30" t="s">
        <v>8645</v>
      </c>
      <c r="C13" s="30" t="s">
        <v>8607</v>
      </c>
      <c r="D13" s="30" t="s">
        <v>8654</v>
      </c>
      <c r="E13" s="30" t="s">
        <v>8655</v>
      </c>
      <c r="F13" s="30" t="s">
        <v>8618</v>
      </c>
      <c r="G13" s="30" t="s">
        <v>8656</v>
      </c>
      <c r="H13" s="30" t="s">
        <v>8657</v>
      </c>
    </row>
    <row r="14" spans="1:8">
      <c r="A14" s="30" t="s">
        <v>8658</v>
      </c>
      <c r="B14" s="30" t="s">
        <v>8645</v>
      </c>
      <c r="C14" s="30" t="s">
        <v>8607</v>
      </c>
      <c r="D14" s="30"/>
      <c r="E14" s="30"/>
      <c r="F14" s="30"/>
      <c r="G14" s="30" t="s">
        <v>8659</v>
      </c>
      <c r="H14" s="30" t="s">
        <v>8660</v>
      </c>
    </row>
    <row r="15" spans="1:8">
      <c r="A15" s="30" t="s">
        <v>8661</v>
      </c>
      <c r="B15" s="30" t="s">
        <v>8645</v>
      </c>
      <c r="C15" s="30"/>
      <c r="D15" s="32" t="s">
        <v>8662</v>
      </c>
      <c r="E15" s="30" t="s">
        <v>8663</v>
      </c>
      <c r="F15" s="30" t="s">
        <v>8642</v>
      </c>
      <c r="G15" s="30"/>
      <c r="H15" s="30" t="s">
        <v>8664</v>
      </c>
    </row>
    <row r="16" spans="1:8">
      <c r="A16" s="30" t="s">
        <v>8665</v>
      </c>
      <c r="B16" s="30" t="s">
        <v>8645</v>
      </c>
      <c r="C16" s="30" t="s">
        <v>8607</v>
      </c>
      <c r="D16" s="30" t="s">
        <v>8666</v>
      </c>
      <c r="E16" s="30"/>
      <c r="F16" s="30"/>
      <c r="G16" s="30" t="s">
        <v>8667</v>
      </c>
      <c r="H16" s="30" t="s">
        <v>8668</v>
      </c>
    </row>
    <row r="17" spans="1:8">
      <c r="A17" s="30" t="s">
        <v>8669</v>
      </c>
      <c r="B17" s="30" t="s">
        <v>8645</v>
      </c>
      <c r="C17" s="30" t="s">
        <v>8626</v>
      </c>
      <c r="D17" s="30" t="s">
        <v>8670</v>
      </c>
      <c r="E17" s="30" t="s">
        <v>8671</v>
      </c>
      <c r="F17" s="30" t="s">
        <v>8672</v>
      </c>
      <c r="G17" s="30" t="s">
        <v>8673</v>
      </c>
      <c r="H17" s="30" t="s">
        <v>8674</v>
      </c>
    </row>
    <row r="18" spans="1:8">
      <c r="A18" s="30" t="s">
        <v>8675</v>
      </c>
      <c r="B18" s="30" t="s">
        <v>8645</v>
      </c>
      <c r="C18" s="30" t="s">
        <v>8607</v>
      </c>
      <c r="D18" s="30" t="s">
        <v>8676</v>
      </c>
      <c r="E18" s="30" t="s">
        <v>8677</v>
      </c>
      <c r="F18" s="30" t="e">
        <v>#VALUE!</v>
      </c>
      <c r="G18" s="30" t="s">
        <v>8678</v>
      </c>
      <c r="H18" s="30" t="s">
        <v>8679</v>
      </c>
    </row>
    <row r="19" spans="1:8">
      <c r="A19" s="30" t="s">
        <v>8680</v>
      </c>
      <c r="B19" s="30" t="s">
        <v>8645</v>
      </c>
      <c r="C19" s="30" t="s">
        <v>8607</v>
      </c>
      <c r="D19" s="30"/>
      <c r="E19" s="30"/>
      <c r="F19" s="30"/>
      <c r="G19" s="30" t="s">
        <v>8681</v>
      </c>
      <c r="H19" s="30" t="s">
        <v>8682</v>
      </c>
    </row>
    <row r="20" spans="1:8">
      <c r="A20" s="30" t="s">
        <v>8683</v>
      </c>
      <c r="B20" s="30" t="s">
        <v>8645</v>
      </c>
      <c r="C20" s="30" t="s">
        <v>8626</v>
      </c>
      <c r="D20" s="30" t="s">
        <v>8684</v>
      </c>
      <c r="E20" s="30" t="s">
        <v>8685</v>
      </c>
      <c r="F20" s="30" t="s">
        <v>8618</v>
      </c>
      <c r="G20" s="30" t="s">
        <v>8686</v>
      </c>
      <c r="H20" s="30" t="s">
        <v>8687</v>
      </c>
    </row>
    <row r="21" spans="1:8">
      <c r="A21" s="30" t="s">
        <v>8688</v>
      </c>
      <c r="B21" s="30" t="s">
        <v>8645</v>
      </c>
      <c r="C21" s="30" t="s">
        <v>8626</v>
      </c>
      <c r="D21" s="30" t="s">
        <v>8689</v>
      </c>
      <c r="E21" s="30" t="s">
        <v>8690</v>
      </c>
      <c r="F21" s="30" t="e">
        <v>#VALUE!</v>
      </c>
      <c r="G21" s="30" t="s">
        <v>8691</v>
      </c>
      <c r="H21" s="30" t="s">
        <v>8692</v>
      </c>
    </row>
    <row r="22" spans="1:8">
      <c r="A22" s="30" t="s">
        <v>8693</v>
      </c>
      <c r="B22" s="30" t="s">
        <v>8645</v>
      </c>
      <c r="C22" s="30" t="s">
        <v>8607</v>
      </c>
      <c r="D22" s="30" t="s">
        <v>8694</v>
      </c>
      <c r="E22" s="30"/>
      <c r="F22" s="30"/>
      <c r="G22" s="30" t="s">
        <v>8695</v>
      </c>
      <c r="H22" s="30" t="s">
        <v>8696</v>
      </c>
    </row>
    <row r="23" spans="1:8">
      <c r="A23" s="30" t="s">
        <v>8697</v>
      </c>
      <c r="B23" s="30" t="s">
        <v>8645</v>
      </c>
      <c r="C23" s="30" t="s">
        <v>8607</v>
      </c>
      <c r="D23" s="30"/>
      <c r="E23" s="30"/>
      <c r="F23" s="30"/>
      <c r="G23" s="30" t="s">
        <v>8698</v>
      </c>
      <c r="H23" s="30" t="s">
        <v>8699</v>
      </c>
    </row>
    <row r="24" spans="1:8">
      <c r="A24" s="30" t="s">
        <v>8700</v>
      </c>
      <c r="B24" s="30" t="s">
        <v>8645</v>
      </c>
      <c r="C24" s="30"/>
      <c r="D24" s="32"/>
      <c r="E24" s="30"/>
      <c r="F24" s="30"/>
      <c r="G24" s="30"/>
      <c r="H24" s="30" t="s">
        <v>8701</v>
      </c>
    </row>
    <row r="25" spans="1:8">
      <c r="A25" s="30" t="s">
        <v>8702</v>
      </c>
      <c r="B25" s="30" t="s">
        <v>8645</v>
      </c>
      <c r="C25" s="30" t="s">
        <v>8607</v>
      </c>
      <c r="D25" s="30" t="s">
        <v>8703</v>
      </c>
      <c r="E25" s="30"/>
      <c r="F25" s="30"/>
      <c r="G25" s="30" t="s">
        <v>8704</v>
      </c>
      <c r="H25" s="30" t="s">
        <v>8705</v>
      </c>
    </row>
    <row r="26" spans="1:8">
      <c r="A26" s="30" t="s">
        <v>8706</v>
      </c>
      <c r="B26" s="30" t="s">
        <v>8645</v>
      </c>
      <c r="C26" s="30" t="s">
        <v>8607</v>
      </c>
      <c r="D26" s="30" t="s">
        <v>8707</v>
      </c>
      <c r="E26" s="30"/>
      <c r="F26" s="30"/>
      <c r="G26" s="30" t="s">
        <v>8708</v>
      </c>
      <c r="H26" s="30" t="s">
        <v>8709</v>
      </c>
    </row>
    <row r="27" spans="1:8">
      <c r="A27" s="30" t="s">
        <v>8710</v>
      </c>
      <c r="B27" s="30" t="s">
        <v>8645</v>
      </c>
      <c r="C27" s="30" t="s">
        <v>8607</v>
      </c>
      <c r="D27" s="30"/>
      <c r="E27" s="30"/>
      <c r="F27" s="30"/>
      <c r="G27" s="30" t="s">
        <v>8711</v>
      </c>
      <c r="H27" s="30" t="s">
        <v>8712</v>
      </c>
    </row>
    <row r="28" spans="1:8">
      <c r="A28" s="30" t="s">
        <v>8713</v>
      </c>
      <c r="B28" s="30" t="s">
        <v>8645</v>
      </c>
      <c r="C28" s="30" t="s">
        <v>8626</v>
      </c>
      <c r="D28" s="30"/>
      <c r="E28" s="30"/>
      <c r="F28" s="30"/>
      <c r="G28" s="30" t="s">
        <v>8714</v>
      </c>
      <c r="H28" s="30" t="s">
        <v>8715</v>
      </c>
    </row>
    <row r="29" spans="1:8">
      <c r="A29" s="30" t="s">
        <v>8716</v>
      </c>
      <c r="B29" s="30" t="s">
        <v>8645</v>
      </c>
      <c r="C29" s="30" t="s">
        <v>8607</v>
      </c>
      <c r="D29" s="30"/>
      <c r="E29" s="30"/>
      <c r="F29" s="30"/>
      <c r="G29" s="30" t="s">
        <v>8717</v>
      </c>
      <c r="H29" s="30" t="s">
        <v>8718</v>
      </c>
    </row>
    <row r="30" spans="1:8">
      <c r="A30" s="30" t="s">
        <v>8719</v>
      </c>
      <c r="B30" s="30" t="s">
        <v>8645</v>
      </c>
      <c r="C30" s="30" t="s">
        <v>8607</v>
      </c>
      <c r="D30" s="30"/>
      <c r="E30" s="30" t="s">
        <v>8720</v>
      </c>
      <c r="F30" s="30" t="e">
        <v>#VALUE!</v>
      </c>
      <c r="G30" s="30" t="s">
        <v>8721</v>
      </c>
      <c r="H30" s="30" t="s">
        <v>8722</v>
      </c>
    </row>
    <row r="31" spans="1:8">
      <c r="A31" s="30" t="s">
        <v>8723</v>
      </c>
      <c r="B31" s="30" t="s">
        <v>8645</v>
      </c>
      <c r="C31" s="30" t="s">
        <v>8607</v>
      </c>
      <c r="D31" s="30"/>
      <c r="E31" s="30"/>
      <c r="F31" s="30"/>
      <c r="G31" s="30" t="s">
        <v>8721</v>
      </c>
      <c r="H31" s="30" t="s">
        <v>8724</v>
      </c>
    </row>
    <row r="32" spans="1:8">
      <c r="A32" s="30" t="s">
        <v>8725</v>
      </c>
      <c r="B32" s="30" t="s">
        <v>8645</v>
      </c>
      <c r="C32" s="30" t="s">
        <v>8607</v>
      </c>
      <c r="D32" s="30"/>
      <c r="E32" s="30"/>
      <c r="F32" s="30"/>
      <c r="G32" s="30" t="s">
        <v>8726</v>
      </c>
      <c r="H32" s="30" t="s">
        <v>8727</v>
      </c>
    </row>
    <row r="33" spans="1:8">
      <c r="A33" s="30" t="s">
        <v>8728</v>
      </c>
      <c r="B33" s="30" t="s">
        <v>8645</v>
      </c>
      <c r="C33" s="30" t="s">
        <v>8607</v>
      </c>
      <c r="D33" s="30"/>
      <c r="E33" s="30"/>
      <c r="F33" s="30"/>
      <c r="G33" s="30" t="s">
        <v>8729</v>
      </c>
      <c r="H33" s="30" t="s">
        <v>8730</v>
      </c>
    </row>
    <row r="34" spans="1:8">
      <c r="A34" s="30" t="s">
        <v>8731</v>
      </c>
      <c r="B34" s="30" t="s">
        <v>8645</v>
      </c>
      <c r="C34" s="30" t="s">
        <v>8626</v>
      </c>
      <c r="D34" s="30" t="s">
        <v>8732</v>
      </c>
      <c r="E34" s="30" t="s">
        <v>8733</v>
      </c>
      <c r="F34" s="30" t="e">
        <v>#VALUE!</v>
      </c>
      <c r="G34" s="30" t="s">
        <v>8691</v>
      </c>
      <c r="H34" s="30" t="s">
        <v>8734</v>
      </c>
    </row>
    <row r="35" spans="1:8">
      <c r="A35" s="30" t="s">
        <v>8735</v>
      </c>
      <c r="B35" s="30" t="s">
        <v>8621</v>
      </c>
      <c r="C35" s="30" t="s">
        <v>8626</v>
      </c>
      <c r="D35" s="30" t="s">
        <v>8736</v>
      </c>
      <c r="E35" s="30"/>
      <c r="F35" s="30"/>
      <c r="G35" s="30" t="s">
        <v>8737</v>
      </c>
      <c r="H35" s="30" t="s">
        <v>8738</v>
      </c>
    </row>
    <row r="36" spans="1:8">
      <c r="A36" s="30" t="s">
        <v>8739</v>
      </c>
      <c r="B36" s="30" t="s">
        <v>8621</v>
      </c>
      <c r="C36" s="30"/>
      <c r="D36" s="32" t="s">
        <v>8740</v>
      </c>
      <c r="E36" s="30"/>
      <c r="F36" s="30"/>
      <c r="G36" s="30"/>
      <c r="H36" s="30" t="s">
        <v>8741</v>
      </c>
    </row>
    <row r="37" spans="1:8">
      <c r="A37" s="30" t="s">
        <v>8742</v>
      </c>
      <c r="B37" s="30" t="s">
        <v>8621</v>
      </c>
      <c r="C37" s="30" t="s">
        <v>8607</v>
      </c>
      <c r="D37" s="30"/>
      <c r="E37" s="30"/>
      <c r="F37" s="30"/>
      <c r="G37" s="30" t="s">
        <v>8743</v>
      </c>
      <c r="H37" s="30" t="s">
        <v>8744</v>
      </c>
    </row>
    <row r="38" spans="1:8">
      <c r="A38" s="30" t="s">
        <v>8745</v>
      </c>
      <c r="B38" s="30" t="s">
        <v>8621</v>
      </c>
      <c r="C38" s="30" t="s">
        <v>8607</v>
      </c>
      <c r="D38" s="30" t="s">
        <v>8736</v>
      </c>
      <c r="E38" s="30"/>
      <c r="F38" s="30"/>
      <c r="G38" s="30" t="s">
        <v>8737</v>
      </c>
      <c r="H38" s="30" t="s">
        <v>8746</v>
      </c>
    </row>
    <row r="39" spans="1:8">
      <c r="A39" s="30" t="s">
        <v>8747</v>
      </c>
      <c r="B39" s="30" t="s">
        <v>8621</v>
      </c>
      <c r="C39" s="30"/>
      <c r="D39" s="32" t="s">
        <v>8740</v>
      </c>
      <c r="E39" s="30"/>
      <c r="F39" s="30"/>
      <c r="G39" s="30"/>
      <c r="H39" s="30" t="s">
        <v>8741</v>
      </c>
    </row>
    <row r="40" spans="1:8">
      <c r="A40" s="30" t="s">
        <v>8748</v>
      </c>
      <c r="B40" s="30" t="s">
        <v>8621</v>
      </c>
      <c r="C40" s="30" t="s">
        <v>8607</v>
      </c>
      <c r="D40" s="30"/>
      <c r="E40" s="30"/>
      <c r="F40" s="30"/>
      <c r="G40" s="30" t="s">
        <v>8743</v>
      </c>
      <c r="H40" s="30" t="s">
        <v>8744</v>
      </c>
    </row>
    <row r="41" spans="1:8">
      <c r="A41" s="30" t="s">
        <v>8749</v>
      </c>
      <c r="B41" s="30" t="s">
        <v>8621</v>
      </c>
      <c r="C41" s="30" t="s">
        <v>8626</v>
      </c>
      <c r="D41" s="30" t="s">
        <v>8736</v>
      </c>
      <c r="E41" s="30"/>
      <c r="F41" s="30"/>
      <c r="G41" s="30" t="s">
        <v>8737</v>
      </c>
      <c r="H41" s="30" t="s">
        <v>8738</v>
      </c>
    </row>
    <row r="42" spans="1:8">
      <c r="A42" s="30" t="s">
        <v>8750</v>
      </c>
      <c r="B42" s="30" t="s">
        <v>8621</v>
      </c>
      <c r="C42" s="30" t="s">
        <v>8607</v>
      </c>
      <c r="D42" s="30" t="s">
        <v>8736</v>
      </c>
      <c r="E42" s="30"/>
      <c r="F42" s="30"/>
      <c r="G42" s="30" t="s">
        <v>8737</v>
      </c>
      <c r="H42" s="30" t="s">
        <v>8746</v>
      </c>
    </row>
    <row r="43" spans="1:8">
      <c r="A43" s="30" t="s">
        <v>8751</v>
      </c>
      <c r="B43" s="30" t="s">
        <v>8621</v>
      </c>
      <c r="C43" s="30" t="s">
        <v>8607</v>
      </c>
      <c r="D43" s="30" t="s">
        <v>8752</v>
      </c>
      <c r="E43" s="30" t="s">
        <v>8753</v>
      </c>
      <c r="F43" s="30" t="e">
        <v>#VALUE!</v>
      </c>
      <c r="G43" s="30" t="s">
        <v>8754</v>
      </c>
      <c r="H43" s="30" t="s">
        <v>8755</v>
      </c>
    </row>
    <row r="44" spans="1:8">
      <c r="A44" s="30" t="s">
        <v>8756</v>
      </c>
      <c r="B44" s="30" t="s">
        <v>8621</v>
      </c>
      <c r="C44" s="30" t="s">
        <v>8626</v>
      </c>
      <c r="D44" s="30" t="s">
        <v>8736</v>
      </c>
      <c r="E44" s="30"/>
      <c r="F44" s="30"/>
      <c r="G44" s="30" t="s">
        <v>8737</v>
      </c>
      <c r="H44" s="30" t="s">
        <v>8738</v>
      </c>
    </row>
    <row r="45" spans="1:8">
      <c r="A45" s="30" t="s">
        <v>8757</v>
      </c>
      <c r="B45" s="30" t="s">
        <v>8621</v>
      </c>
      <c r="C45" s="30" t="s">
        <v>8607</v>
      </c>
      <c r="D45" s="30" t="s">
        <v>8736</v>
      </c>
      <c r="E45" s="30"/>
      <c r="F45" s="30"/>
      <c r="G45" s="30" t="s">
        <v>8737</v>
      </c>
      <c r="H45" s="30" t="s">
        <v>8746</v>
      </c>
    </row>
    <row r="46" spans="1:8">
      <c r="A46" s="30" t="s">
        <v>8758</v>
      </c>
      <c r="B46" s="30" t="s">
        <v>8621</v>
      </c>
      <c r="C46" s="30"/>
      <c r="D46" s="32" t="s">
        <v>8740</v>
      </c>
      <c r="E46" s="30"/>
      <c r="F46" s="30"/>
      <c r="G46" s="30"/>
      <c r="H46" s="30" t="s">
        <v>8741</v>
      </c>
    </row>
    <row r="47" spans="1:8">
      <c r="A47" s="30" t="s">
        <v>8759</v>
      </c>
      <c r="B47" s="30" t="s">
        <v>8621</v>
      </c>
      <c r="C47" s="30" t="s">
        <v>8626</v>
      </c>
      <c r="D47" s="30" t="s">
        <v>8760</v>
      </c>
      <c r="E47" s="30" t="s">
        <v>8761</v>
      </c>
      <c r="F47" s="30" t="e">
        <v>#VALUE!</v>
      </c>
      <c r="G47" s="30" t="s">
        <v>8754</v>
      </c>
      <c r="H47" s="30" t="s">
        <v>8762</v>
      </c>
    </row>
    <row r="48" spans="1:8">
      <c r="A48" s="30" t="s">
        <v>8763</v>
      </c>
      <c r="B48" s="30" t="s">
        <v>8621</v>
      </c>
      <c r="C48" s="30" t="s">
        <v>8607</v>
      </c>
      <c r="D48" s="30"/>
      <c r="E48" s="30"/>
      <c r="F48" s="30"/>
      <c r="G48" s="30" t="s">
        <v>8743</v>
      </c>
      <c r="H48" s="30" t="s">
        <v>8764</v>
      </c>
    </row>
    <row r="49" spans="1:8">
      <c r="A49" s="30" t="s">
        <v>8765</v>
      </c>
      <c r="B49" s="30" t="s">
        <v>8621</v>
      </c>
      <c r="C49" s="30" t="s">
        <v>8607</v>
      </c>
      <c r="D49" s="30" t="s">
        <v>8736</v>
      </c>
      <c r="E49" s="30"/>
      <c r="F49" s="30"/>
      <c r="G49" s="30" t="s">
        <v>8737</v>
      </c>
      <c r="H49" s="30" t="s">
        <v>8766</v>
      </c>
    </row>
    <row r="50" spans="1:8">
      <c r="A50" s="30" t="s">
        <v>8767</v>
      </c>
      <c r="B50" s="30" t="s">
        <v>8645</v>
      </c>
      <c r="C50" s="30"/>
      <c r="D50" s="32"/>
      <c r="E50" s="30"/>
      <c r="F50" s="30"/>
      <c r="G50" s="30"/>
      <c r="H50" s="30" t="s">
        <v>8768</v>
      </c>
    </row>
    <row r="51" spans="1:8">
      <c r="A51" s="30" t="s">
        <v>8769</v>
      </c>
      <c r="B51" s="30" t="s">
        <v>8621</v>
      </c>
      <c r="C51" s="30" t="s">
        <v>8607</v>
      </c>
      <c r="D51" s="30" t="s">
        <v>8770</v>
      </c>
      <c r="E51" s="30" t="s">
        <v>8771</v>
      </c>
      <c r="F51" s="30" t="s">
        <v>8672</v>
      </c>
      <c r="G51" s="30" t="s">
        <v>8659</v>
      </c>
      <c r="H51" s="30" t="s">
        <v>8772</v>
      </c>
    </row>
    <row r="52" spans="1:8">
      <c r="A52" s="30" t="s">
        <v>8773</v>
      </c>
      <c r="B52" s="30" t="s">
        <v>8621</v>
      </c>
      <c r="C52" s="30" t="s">
        <v>8607</v>
      </c>
      <c r="D52" s="30"/>
      <c r="E52" s="30"/>
      <c r="F52" s="30"/>
      <c r="G52" s="30" t="s">
        <v>8774</v>
      </c>
      <c r="H52" s="30" t="s">
        <v>8775</v>
      </c>
    </row>
    <row r="53" spans="1:8">
      <c r="A53" s="30" t="s">
        <v>8776</v>
      </c>
      <c r="B53" s="30" t="s">
        <v>8621</v>
      </c>
      <c r="C53" s="30" t="s">
        <v>8607</v>
      </c>
      <c r="D53" s="30"/>
      <c r="E53" s="30"/>
      <c r="F53" s="30"/>
      <c r="G53" s="30" t="s">
        <v>8774</v>
      </c>
      <c r="H53" s="30" t="s">
        <v>8777</v>
      </c>
    </row>
    <row r="54" spans="1:8">
      <c r="A54" s="30" t="s">
        <v>8778</v>
      </c>
      <c r="B54" s="30" t="s">
        <v>8621</v>
      </c>
      <c r="C54" s="30" t="s">
        <v>8607</v>
      </c>
      <c r="D54" s="30"/>
      <c r="E54" s="30"/>
      <c r="F54" s="30"/>
      <c r="G54" s="30"/>
      <c r="H54" s="30" t="s">
        <v>8779</v>
      </c>
    </row>
    <row r="55" spans="1:8">
      <c r="A55" s="30" t="s">
        <v>8780</v>
      </c>
      <c r="B55" s="30" t="s">
        <v>8621</v>
      </c>
      <c r="C55" s="30"/>
      <c r="D55" s="32" t="s">
        <v>8781</v>
      </c>
      <c r="E55" s="30" t="s">
        <v>8782</v>
      </c>
      <c r="F55" s="30" t="e">
        <v>#VALUE!</v>
      </c>
      <c r="G55" s="30"/>
      <c r="H55" s="30" t="s">
        <v>8783</v>
      </c>
    </row>
    <row r="56" spans="1:8">
      <c r="A56" s="30" t="s">
        <v>8784</v>
      </c>
      <c r="B56" s="30" t="s">
        <v>8621</v>
      </c>
      <c r="C56" s="30" t="s">
        <v>8607</v>
      </c>
      <c r="D56" s="30" t="s">
        <v>8785</v>
      </c>
      <c r="E56" s="30" t="s">
        <v>8786</v>
      </c>
      <c r="F56" s="30" t="e">
        <v>#VALUE!</v>
      </c>
      <c r="G56" s="30" t="s">
        <v>8637</v>
      </c>
      <c r="H56" s="30" t="s">
        <v>8787</v>
      </c>
    </row>
    <row r="57" spans="1:8">
      <c r="A57" s="30" t="s">
        <v>8788</v>
      </c>
      <c r="B57" s="30" t="s">
        <v>8621</v>
      </c>
      <c r="C57" s="30" t="s">
        <v>8607</v>
      </c>
      <c r="D57" s="30" t="s">
        <v>8789</v>
      </c>
      <c r="E57" s="30"/>
      <c r="F57" s="30"/>
      <c r="G57" s="30" t="s">
        <v>8633</v>
      </c>
      <c r="H57" s="30" t="s">
        <v>8790</v>
      </c>
    </row>
    <row r="58" spans="1:8">
      <c r="A58" s="30" t="s">
        <v>8791</v>
      </c>
      <c r="B58" s="30" t="s">
        <v>8621</v>
      </c>
      <c r="C58" s="30"/>
      <c r="D58" s="32" t="s">
        <v>8640</v>
      </c>
      <c r="E58" s="30" t="s">
        <v>8641</v>
      </c>
      <c r="F58" s="30" t="s">
        <v>8642</v>
      </c>
      <c r="G58" s="30"/>
      <c r="H58" s="30" t="s">
        <v>8792</v>
      </c>
    </row>
    <row r="59" spans="1:8">
      <c r="A59" s="30" t="s">
        <v>8793</v>
      </c>
      <c r="B59" s="30" t="s">
        <v>8621</v>
      </c>
      <c r="C59" s="30" t="s">
        <v>8607</v>
      </c>
      <c r="D59" s="30"/>
      <c r="E59" s="30"/>
      <c r="F59" s="30"/>
      <c r="G59" s="30" t="s">
        <v>8623</v>
      </c>
      <c r="H59" s="30" t="s">
        <v>8794</v>
      </c>
    </row>
    <row r="60" spans="1:8">
      <c r="A60" s="30" t="s">
        <v>8795</v>
      </c>
      <c r="B60" s="30" t="s">
        <v>8621</v>
      </c>
      <c r="C60" s="30" t="s">
        <v>8626</v>
      </c>
      <c r="D60" s="30"/>
      <c r="E60" s="30" t="s">
        <v>8796</v>
      </c>
      <c r="F60" s="30" t="s">
        <v>8618</v>
      </c>
      <c r="G60" s="30" t="s">
        <v>8797</v>
      </c>
      <c r="H60" s="30" t="s">
        <v>8798</v>
      </c>
    </row>
    <row r="61" spans="1:8">
      <c r="A61" s="30" t="s">
        <v>8799</v>
      </c>
      <c r="B61" s="30" t="s">
        <v>8645</v>
      </c>
      <c r="C61" s="30" t="s">
        <v>8607</v>
      </c>
      <c r="D61" s="30" t="s">
        <v>8736</v>
      </c>
      <c r="E61" s="30"/>
      <c r="F61" s="30"/>
      <c r="G61" s="30" t="s">
        <v>8737</v>
      </c>
      <c r="H61" s="30" t="s">
        <v>8800</v>
      </c>
    </row>
    <row r="62" spans="1:8">
      <c r="A62" s="30" t="s">
        <v>8801</v>
      </c>
      <c r="B62" s="30" t="s">
        <v>8645</v>
      </c>
      <c r="C62" s="30" t="s">
        <v>8607</v>
      </c>
      <c r="D62" s="30"/>
      <c r="E62" s="30"/>
      <c r="F62" s="30"/>
      <c r="G62" s="30"/>
      <c r="H62" s="30" t="s">
        <v>8802</v>
      </c>
    </row>
    <row r="63" spans="1:8">
      <c r="A63" s="30" t="s">
        <v>8803</v>
      </c>
      <c r="B63" s="30" t="s">
        <v>8645</v>
      </c>
      <c r="C63" s="30" t="s">
        <v>8607</v>
      </c>
      <c r="D63" s="30"/>
      <c r="E63" s="30"/>
      <c r="F63" s="30"/>
      <c r="G63" s="30" t="s">
        <v>8804</v>
      </c>
      <c r="H63" s="30" t="s">
        <v>8805</v>
      </c>
    </row>
    <row r="64" spans="1:8">
      <c r="A64" s="30" t="s">
        <v>8806</v>
      </c>
      <c r="B64" s="30" t="s">
        <v>8645</v>
      </c>
      <c r="C64" s="30" t="s">
        <v>8607</v>
      </c>
      <c r="D64" s="30"/>
      <c r="E64" s="30"/>
      <c r="F64" s="30"/>
      <c r="G64" s="30" t="s">
        <v>8807</v>
      </c>
      <c r="H64" s="30" t="s">
        <v>8808</v>
      </c>
    </row>
    <row r="65" spans="1:8">
      <c r="A65" s="30" t="s">
        <v>8809</v>
      </c>
      <c r="B65" s="30" t="s">
        <v>8645</v>
      </c>
      <c r="C65" s="30" t="s">
        <v>8626</v>
      </c>
      <c r="D65" s="30" t="s">
        <v>8810</v>
      </c>
      <c r="E65" s="30" t="s">
        <v>8811</v>
      </c>
      <c r="F65" s="30" t="e">
        <v>#VALUE!</v>
      </c>
      <c r="G65" s="30" t="s">
        <v>8754</v>
      </c>
      <c r="H65" s="30" t="s">
        <v>8812</v>
      </c>
    </row>
    <row r="66" spans="1:8">
      <c r="A66" s="30" t="s">
        <v>8813</v>
      </c>
      <c r="B66" s="30" t="s">
        <v>8645</v>
      </c>
      <c r="C66" s="30" t="s">
        <v>8607</v>
      </c>
      <c r="D66" s="30"/>
      <c r="E66" s="30"/>
      <c r="F66" s="30"/>
      <c r="G66" s="30" t="s">
        <v>8814</v>
      </c>
      <c r="H66" s="30" t="s">
        <v>8815</v>
      </c>
    </row>
    <row r="67" spans="1:8">
      <c r="A67" s="30" t="s">
        <v>8816</v>
      </c>
      <c r="B67" s="30" t="s">
        <v>8645</v>
      </c>
      <c r="C67" s="30"/>
      <c r="D67" s="32" t="s">
        <v>8817</v>
      </c>
      <c r="E67" s="30" t="s">
        <v>8818</v>
      </c>
      <c r="F67" s="30" t="s">
        <v>8642</v>
      </c>
      <c r="G67" s="30"/>
      <c r="H67" s="30" t="s">
        <v>8819</v>
      </c>
    </row>
    <row r="68" spans="1:8">
      <c r="A68" s="30" t="s">
        <v>8820</v>
      </c>
      <c r="B68" s="30" t="s">
        <v>8645</v>
      </c>
      <c r="C68" s="30" t="s">
        <v>8607</v>
      </c>
      <c r="D68" s="30" t="s">
        <v>8821</v>
      </c>
      <c r="E68" s="30"/>
      <c r="F68" s="30"/>
      <c r="G68" s="30" t="s">
        <v>8737</v>
      </c>
      <c r="H68" s="30" t="s">
        <v>8822</v>
      </c>
    </row>
    <row r="69" spans="1:8">
      <c r="A69" s="30" t="s">
        <v>8823</v>
      </c>
      <c r="B69" s="30" t="s">
        <v>8645</v>
      </c>
      <c r="C69" s="30" t="s">
        <v>8626</v>
      </c>
      <c r="D69" s="30" t="s">
        <v>8824</v>
      </c>
      <c r="E69" s="30" t="s">
        <v>8825</v>
      </c>
      <c r="F69" s="30" t="e">
        <v>#VALUE!</v>
      </c>
      <c r="G69" s="30" t="s">
        <v>8826</v>
      </c>
      <c r="H69" s="30" t="s">
        <v>8827</v>
      </c>
    </row>
    <row r="70" spans="1:8">
      <c r="A70" s="30" t="s">
        <v>8828</v>
      </c>
      <c r="B70" s="30" t="s">
        <v>8645</v>
      </c>
      <c r="C70" s="30" t="s">
        <v>8607</v>
      </c>
      <c r="D70" s="30"/>
      <c r="E70" s="30"/>
      <c r="F70" s="30"/>
      <c r="G70" s="30"/>
      <c r="H70" s="30" t="s">
        <v>8829</v>
      </c>
    </row>
    <row r="71" spans="1:8">
      <c r="A71" s="30" t="s">
        <v>8830</v>
      </c>
      <c r="B71" s="30" t="s">
        <v>8645</v>
      </c>
      <c r="C71" s="30" t="s">
        <v>8607</v>
      </c>
      <c r="D71" s="30"/>
      <c r="E71" s="30"/>
      <c r="F71" s="30"/>
      <c r="G71" s="30" t="s">
        <v>8804</v>
      </c>
      <c r="H71" s="30" t="s">
        <v>8831</v>
      </c>
    </row>
    <row r="72" spans="1:8">
      <c r="A72" s="30" t="s">
        <v>8832</v>
      </c>
      <c r="B72" s="30" t="s">
        <v>8645</v>
      </c>
      <c r="C72" s="30" t="s">
        <v>8607</v>
      </c>
      <c r="D72" s="30"/>
      <c r="E72" s="30"/>
      <c r="F72" s="30"/>
      <c r="G72" s="30" t="s">
        <v>8807</v>
      </c>
      <c r="H72" s="30" t="s">
        <v>8833</v>
      </c>
    </row>
    <row r="73" spans="1:8">
      <c r="A73" s="30" t="s">
        <v>8834</v>
      </c>
      <c r="B73" s="30" t="s">
        <v>8645</v>
      </c>
      <c r="C73" s="30" t="s">
        <v>8607</v>
      </c>
      <c r="D73" s="30"/>
      <c r="E73" s="30"/>
      <c r="F73" s="30"/>
      <c r="G73" s="30" t="s">
        <v>8814</v>
      </c>
      <c r="H73" s="30" t="s">
        <v>8835</v>
      </c>
    </row>
    <row r="74" spans="1:8">
      <c r="A74" s="30" t="s">
        <v>8836</v>
      </c>
      <c r="B74" s="30" t="s">
        <v>8645</v>
      </c>
      <c r="C74" s="30"/>
      <c r="D74" s="32" t="s">
        <v>8817</v>
      </c>
      <c r="E74" s="30" t="s">
        <v>8818</v>
      </c>
      <c r="F74" s="30" t="s">
        <v>8642</v>
      </c>
      <c r="G74" s="30"/>
      <c r="H74" s="30" t="s">
        <v>8837</v>
      </c>
    </row>
    <row r="75" spans="1:8">
      <c r="A75" s="30" t="s">
        <v>8838</v>
      </c>
      <c r="B75" s="30" t="s">
        <v>8645</v>
      </c>
      <c r="C75" s="30" t="s">
        <v>8607</v>
      </c>
      <c r="D75" s="30" t="s">
        <v>8821</v>
      </c>
      <c r="E75" s="30"/>
      <c r="F75" s="30"/>
      <c r="G75" s="30" t="s">
        <v>8737</v>
      </c>
      <c r="H75" s="30" t="s">
        <v>8822</v>
      </c>
    </row>
    <row r="76" spans="1:8">
      <c r="A76" s="30" t="s">
        <v>8839</v>
      </c>
      <c r="B76" s="30" t="s">
        <v>8645</v>
      </c>
      <c r="C76" s="30" t="s">
        <v>8607</v>
      </c>
      <c r="D76" s="30" t="s">
        <v>8736</v>
      </c>
      <c r="E76" s="30"/>
      <c r="F76" s="30"/>
      <c r="G76" s="30" t="s">
        <v>8737</v>
      </c>
      <c r="H76" s="30" t="s">
        <v>8800</v>
      </c>
    </row>
    <row r="77" spans="1:8">
      <c r="A77" s="30" t="s">
        <v>8840</v>
      </c>
      <c r="B77" s="30" t="s">
        <v>8645</v>
      </c>
      <c r="C77" s="30" t="s">
        <v>8607</v>
      </c>
      <c r="D77" s="30"/>
      <c r="E77" s="30"/>
      <c r="F77" s="30"/>
      <c r="G77" s="30"/>
      <c r="H77" s="30" t="s">
        <v>8802</v>
      </c>
    </row>
    <row r="78" spans="1:8">
      <c r="A78" s="30" t="s">
        <v>8841</v>
      </c>
      <c r="B78" s="30" t="s">
        <v>8645</v>
      </c>
      <c r="C78" s="30"/>
      <c r="D78" s="32"/>
      <c r="E78" s="30"/>
      <c r="F78" s="30"/>
      <c r="G78" s="30"/>
      <c r="H78" s="30" t="s">
        <v>8842</v>
      </c>
    </row>
    <row r="79" spans="1:8">
      <c r="A79" s="30" t="s">
        <v>8843</v>
      </c>
      <c r="B79" s="30" t="s">
        <v>8645</v>
      </c>
      <c r="C79" s="30" t="s">
        <v>8626</v>
      </c>
      <c r="D79" s="30" t="s">
        <v>8844</v>
      </c>
      <c r="E79" s="30" t="s">
        <v>8845</v>
      </c>
      <c r="F79" s="30" t="s">
        <v>8672</v>
      </c>
      <c r="G79" s="30" t="s">
        <v>8846</v>
      </c>
      <c r="H79" s="30" t="s">
        <v>8847</v>
      </c>
    </row>
    <row r="80" spans="1:8">
      <c r="A80" s="30" t="s">
        <v>8848</v>
      </c>
      <c r="B80" s="30" t="s">
        <v>8645</v>
      </c>
      <c r="C80" s="30" t="s">
        <v>8607</v>
      </c>
      <c r="D80" s="30" t="s">
        <v>8849</v>
      </c>
      <c r="E80" s="30" t="s">
        <v>8850</v>
      </c>
      <c r="F80" s="30" t="s">
        <v>8672</v>
      </c>
      <c r="G80" s="30" t="s">
        <v>8851</v>
      </c>
      <c r="H80" s="30" t="s">
        <v>8852</v>
      </c>
    </row>
    <row r="81" spans="1:8">
      <c r="A81" s="30" t="s">
        <v>8853</v>
      </c>
      <c r="B81" s="30" t="s">
        <v>8645</v>
      </c>
      <c r="C81" s="30"/>
      <c r="D81" s="32"/>
      <c r="E81" s="30"/>
      <c r="F81" s="30"/>
      <c r="G81" s="30"/>
      <c r="H81" s="30" t="s">
        <v>8854</v>
      </c>
    </row>
    <row r="82" spans="1:8">
      <c r="A82" s="30" t="s">
        <v>8855</v>
      </c>
      <c r="B82" s="30" t="s">
        <v>8621</v>
      </c>
      <c r="C82" s="30" t="s">
        <v>8626</v>
      </c>
      <c r="D82" s="30" t="s">
        <v>8856</v>
      </c>
      <c r="E82" s="30" t="s">
        <v>8857</v>
      </c>
      <c r="F82" s="30" t="s">
        <v>8618</v>
      </c>
      <c r="G82" s="30" t="s">
        <v>8858</v>
      </c>
      <c r="H82" s="30" t="s">
        <v>8859</v>
      </c>
    </row>
    <row r="83" spans="1:8">
      <c r="A83" s="30" t="s">
        <v>8860</v>
      </c>
      <c r="B83" s="30" t="s">
        <v>8621</v>
      </c>
      <c r="C83" s="30" t="s">
        <v>8626</v>
      </c>
      <c r="D83" s="30" t="s">
        <v>8861</v>
      </c>
      <c r="E83" s="30" t="s">
        <v>8862</v>
      </c>
      <c r="F83" s="30" t="s">
        <v>8672</v>
      </c>
      <c r="G83" s="30" t="s">
        <v>8863</v>
      </c>
      <c r="H83" s="30" t="s">
        <v>8864</v>
      </c>
    </row>
    <row r="84" spans="1:8">
      <c r="A84" s="30" t="s">
        <v>8865</v>
      </c>
      <c r="B84" s="30" t="s">
        <v>8621</v>
      </c>
      <c r="C84" s="30" t="s">
        <v>8607</v>
      </c>
      <c r="D84" s="30"/>
      <c r="E84" s="30"/>
      <c r="F84" s="30"/>
      <c r="G84" s="30" t="s">
        <v>8743</v>
      </c>
      <c r="H84" s="30" t="s">
        <v>8744</v>
      </c>
    </row>
    <row r="85" spans="1:8">
      <c r="A85" s="30" t="s">
        <v>8866</v>
      </c>
      <c r="B85" s="30" t="s">
        <v>8621</v>
      </c>
      <c r="C85" s="30"/>
      <c r="D85" s="32" t="s">
        <v>8867</v>
      </c>
      <c r="E85" s="30" t="s">
        <v>8868</v>
      </c>
      <c r="F85" s="30" t="e">
        <v>#VALUE!</v>
      </c>
      <c r="G85" s="30"/>
      <c r="H85" s="30" t="s">
        <v>8741</v>
      </c>
    </row>
    <row r="86" spans="1:8">
      <c r="A86" s="30" t="s">
        <v>8869</v>
      </c>
      <c r="B86" s="30" t="s">
        <v>8621</v>
      </c>
      <c r="C86" s="30" t="s">
        <v>8607</v>
      </c>
      <c r="D86" s="30"/>
      <c r="E86" s="30" t="s">
        <v>8636</v>
      </c>
      <c r="F86" s="30" t="e">
        <v>#VALUE!</v>
      </c>
      <c r="G86" s="30" t="s">
        <v>8637</v>
      </c>
      <c r="H86" s="30" t="s">
        <v>8638</v>
      </c>
    </row>
    <row r="87" spans="1:8">
      <c r="A87" s="30" t="s">
        <v>8870</v>
      </c>
      <c r="B87" s="30" t="s">
        <v>8621</v>
      </c>
      <c r="C87" s="30"/>
      <c r="D87" s="32" t="s">
        <v>8871</v>
      </c>
      <c r="E87" s="30" t="s">
        <v>8872</v>
      </c>
      <c r="F87" s="30" t="s">
        <v>8618</v>
      </c>
      <c r="G87" s="30"/>
      <c r="H87" s="30" t="s">
        <v>8873</v>
      </c>
    </row>
    <row r="88" spans="1:8">
      <c r="A88" s="30" t="s">
        <v>8874</v>
      </c>
      <c r="B88" s="30" t="s">
        <v>8621</v>
      </c>
      <c r="C88" s="30" t="s">
        <v>8607</v>
      </c>
      <c r="D88" s="30" t="s">
        <v>8632</v>
      </c>
      <c r="E88" s="30"/>
      <c r="F88" s="30"/>
      <c r="G88" s="30" t="s">
        <v>8633</v>
      </c>
      <c r="H88" s="30" t="s">
        <v>8634</v>
      </c>
    </row>
    <row r="89" spans="1:8">
      <c r="A89" s="30" t="s">
        <v>8875</v>
      </c>
      <c r="B89" s="30" t="s">
        <v>8621</v>
      </c>
      <c r="C89" s="30"/>
      <c r="D89" s="32" t="s">
        <v>8640</v>
      </c>
      <c r="E89" s="30" t="s">
        <v>8641</v>
      </c>
      <c r="F89" s="30" t="s">
        <v>8642</v>
      </c>
      <c r="G89" s="30"/>
      <c r="H89" s="30" t="s">
        <v>8876</v>
      </c>
    </row>
    <row r="90" spans="1:8">
      <c r="A90" s="30" t="s">
        <v>8877</v>
      </c>
      <c r="B90" s="30" t="s">
        <v>8621</v>
      </c>
      <c r="C90" s="30" t="s">
        <v>8607</v>
      </c>
      <c r="D90" s="30"/>
      <c r="E90" s="30" t="s">
        <v>8636</v>
      </c>
      <c r="F90" s="30" t="e">
        <v>#VALUE!</v>
      </c>
      <c r="G90" s="30" t="s">
        <v>8637</v>
      </c>
      <c r="H90" s="30" t="s">
        <v>8638</v>
      </c>
    </row>
    <row r="91" spans="1:8">
      <c r="A91" s="30" t="s">
        <v>8878</v>
      </c>
      <c r="B91" s="30" t="s">
        <v>8621</v>
      </c>
      <c r="C91" s="30"/>
      <c r="D91" s="32" t="s">
        <v>8871</v>
      </c>
      <c r="E91" s="30" t="s">
        <v>8872</v>
      </c>
      <c r="F91" s="30" t="s">
        <v>8618</v>
      </c>
      <c r="G91" s="30"/>
      <c r="H91" s="30" t="s">
        <v>8873</v>
      </c>
    </row>
    <row r="92" spans="1:8">
      <c r="A92" s="30" t="s">
        <v>8879</v>
      </c>
      <c r="B92" s="30" t="s">
        <v>8621</v>
      </c>
      <c r="C92" s="30" t="s">
        <v>8607</v>
      </c>
      <c r="D92" s="30" t="s">
        <v>8632</v>
      </c>
      <c r="E92" s="30"/>
      <c r="F92" s="30"/>
      <c r="G92" s="30" t="s">
        <v>8633</v>
      </c>
      <c r="H92" s="30" t="s">
        <v>8634</v>
      </c>
    </row>
    <row r="93" spans="1:8">
      <c r="A93" s="30" t="s">
        <v>8880</v>
      </c>
      <c r="B93" s="30" t="s">
        <v>8621</v>
      </c>
      <c r="C93" s="30"/>
      <c r="D93" s="32" t="s">
        <v>8640</v>
      </c>
      <c r="E93" s="30" t="s">
        <v>8641</v>
      </c>
      <c r="F93" s="30" t="s">
        <v>8642</v>
      </c>
      <c r="G93" s="30"/>
      <c r="H93" s="30" t="s">
        <v>8881</v>
      </c>
    </row>
    <row r="94" spans="1:8">
      <c r="A94" s="30" t="s">
        <v>8882</v>
      </c>
      <c r="B94" s="30" t="s">
        <v>8645</v>
      </c>
      <c r="C94" s="30" t="s">
        <v>8607</v>
      </c>
      <c r="D94" s="30" t="s">
        <v>8883</v>
      </c>
      <c r="E94" s="30" t="s">
        <v>8884</v>
      </c>
      <c r="F94" s="30" t="s">
        <v>8672</v>
      </c>
      <c r="G94" s="30" t="s">
        <v>8885</v>
      </c>
      <c r="H94" s="30" t="s">
        <v>8886</v>
      </c>
    </row>
    <row r="95" spans="1:8">
      <c r="A95" s="30" t="s">
        <v>8887</v>
      </c>
      <c r="B95" s="30" t="s">
        <v>8645</v>
      </c>
      <c r="C95" s="30" t="s">
        <v>8626</v>
      </c>
      <c r="D95" s="30"/>
      <c r="E95" s="30"/>
      <c r="F95" s="30"/>
      <c r="G95" s="30" t="s">
        <v>8888</v>
      </c>
      <c r="H95" s="30" t="s">
        <v>8889</v>
      </c>
    </row>
    <row r="96" spans="1:8">
      <c r="A96" s="30" t="s">
        <v>8890</v>
      </c>
      <c r="B96" s="30" t="s">
        <v>8645</v>
      </c>
      <c r="C96" s="30" t="s">
        <v>8607</v>
      </c>
      <c r="D96" s="30"/>
      <c r="E96" s="30"/>
      <c r="F96" s="30"/>
      <c r="G96" s="30" t="s">
        <v>8891</v>
      </c>
      <c r="H96" s="30" t="s">
        <v>8892</v>
      </c>
    </row>
    <row r="97" spans="1:8">
      <c r="A97" s="30" t="s">
        <v>8893</v>
      </c>
      <c r="B97" s="30" t="s">
        <v>8645</v>
      </c>
      <c r="C97" s="30" t="s">
        <v>8607</v>
      </c>
      <c r="D97" s="30" t="s">
        <v>8894</v>
      </c>
      <c r="E97" s="30"/>
      <c r="F97" s="30"/>
      <c r="G97" s="30" t="s">
        <v>8895</v>
      </c>
      <c r="H97" s="30" t="s">
        <v>8896</v>
      </c>
    </row>
    <row r="98" spans="1:8">
      <c r="A98" s="30" t="s">
        <v>8897</v>
      </c>
      <c r="B98" s="30" t="s">
        <v>8645</v>
      </c>
      <c r="C98" s="30" t="s">
        <v>8626</v>
      </c>
      <c r="D98" s="30" t="s">
        <v>8898</v>
      </c>
      <c r="E98" s="30" t="s">
        <v>8899</v>
      </c>
      <c r="F98" s="30" t="e">
        <v>#VALUE!</v>
      </c>
      <c r="G98" s="30" t="s">
        <v>8900</v>
      </c>
      <c r="H98" s="30" t="s">
        <v>8901</v>
      </c>
    </row>
    <row r="99" spans="1:8">
      <c r="A99" s="30" t="s">
        <v>8902</v>
      </c>
      <c r="B99" s="30" t="s">
        <v>8645</v>
      </c>
      <c r="C99" s="30"/>
      <c r="D99" s="32" t="s">
        <v>8903</v>
      </c>
      <c r="E99" s="30" t="s">
        <v>8904</v>
      </c>
      <c r="F99" s="30" t="s">
        <v>8642</v>
      </c>
      <c r="G99" s="30"/>
      <c r="H99" s="30" t="s">
        <v>8905</v>
      </c>
    </row>
    <row r="100" spans="1:8">
      <c r="A100" s="30" t="s">
        <v>8906</v>
      </c>
      <c r="B100" s="30" t="s">
        <v>8645</v>
      </c>
      <c r="C100" s="30" t="s">
        <v>8607</v>
      </c>
      <c r="D100" s="30"/>
      <c r="E100" s="30" t="s">
        <v>8907</v>
      </c>
      <c r="F100" s="30" t="s">
        <v>8618</v>
      </c>
      <c r="G100" s="30" t="s">
        <v>8908</v>
      </c>
      <c r="H100" s="30" t="s">
        <v>8909</v>
      </c>
    </row>
    <row r="101" spans="1:8">
      <c r="A101" s="30" t="s">
        <v>8910</v>
      </c>
      <c r="B101" s="30" t="s">
        <v>8645</v>
      </c>
      <c r="C101" s="30" t="s">
        <v>8626</v>
      </c>
      <c r="D101" s="30" t="s">
        <v>8911</v>
      </c>
      <c r="E101" s="30" t="s">
        <v>8912</v>
      </c>
      <c r="F101" s="30" t="s">
        <v>8672</v>
      </c>
      <c r="G101" s="30" t="s">
        <v>8913</v>
      </c>
      <c r="H101" s="30" t="s">
        <v>8914</v>
      </c>
    </row>
    <row r="102" spans="1:8">
      <c r="A102" s="30" t="s">
        <v>8915</v>
      </c>
      <c r="B102" s="30" t="s">
        <v>8645</v>
      </c>
      <c r="C102" s="30" t="s">
        <v>8607</v>
      </c>
      <c r="D102" s="30" t="s">
        <v>8916</v>
      </c>
      <c r="E102" s="30" t="s">
        <v>8655</v>
      </c>
      <c r="F102" s="30" t="s">
        <v>8618</v>
      </c>
      <c r="G102" s="30" t="s">
        <v>8656</v>
      </c>
      <c r="H102" s="30" t="s">
        <v>8917</v>
      </c>
    </row>
    <row r="103" spans="1:8">
      <c r="A103" s="30" t="s">
        <v>8918</v>
      </c>
      <c r="B103" s="30" t="s">
        <v>8645</v>
      </c>
      <c r="C103" s="30" t="s">
        <v>8607</v>
      </c>
      <c r="D103" s="30"/>
      <c r="E103" s="30"/>
      <c r="F103" s="30"/>
      <c r="G103" s="30"/>
      <c r="H103" s="30" t="s">
        <v>8919</v>
      </c>
    </row>
    <row r="104" spans="1:8">
      <c r="A104" s="30" t="s">
        <v>8920</v>
      </c>
      <c r="B104" s="30" t="s">
        <v>8645</v>
      </c>
      <c r="C104" s="30"/>
      <c r="D104" s="32" t="s">
        <v>8921</v>
      </c>
      <c r="E104" s="30" t="s">
        <v>8922</v>
      </c>
      <c r="F104" s="30" t="s">
        <v>8642</v>
      </c>
      <c r="G104" s="30"/>
      <c r="H104" s="30" t="s">
        <v>8923</v>
      </c>
    </row>
    <row r="105" spans="1:8">
      <c r="A105" s="30" t="s">
        <v>8924</v>
      </c>
      <c r="B105" s="30" t="s">
        <v>8645</v>
      </c>
      <c r="C105" s="30" t="s">
        <v>8607</v>
      </c>
      <c r="D105" s="30"/>
      <c r="E105" s="30"/>
      <c r="F105" s="30"/>
      <c r="G105" s="30" t="s">
        <v>8925</v>
      </c>
      <c r="H105" s="30" t="s">
        <v>8926</v>
      </c>
    </row>
    <row r="106" spans="1:8">
      <c r="A106" s="30" t="s">
        <v>8927</v>
      </c>
      <c r="B106" s="30" t="s">
        <v>8645</v>
      </c>
      <c r="C106" s="30" t="s">
        <v>8607</v>
      </c>
      <c r="D106" s="30" t="s">
        <v>8928</v>
      </c>
      <c r="E106" s="30" t="s">
        <v>8929</v>
      </c>
      <c r="F106" s="30" t="e">
        <v>#VALUE!</v>
      </c>
      <c r="G106" s="30" t="s">
        <v>8930</v>
      </c>
      <c r="H106" s="30" t="s">
        <v>8931</v>
      </c>
    </row>
    <row r="107" spans="1:8">
      <c r="A107" s="30" t="s">
        <v>8932</v>
      </c>
      <c r="B107" s="30" t="s">
        <v>8645</v>
      </c>
      <c r="C107" s="30" t="s">
        <v>8607</v>
      </c>
      <c r="D107" s="30"/>
      <c r="E107" s="30"/>
      <c r="F107" s="30"/>
      <c r="G107" s="30"/>
      <c r="H107" s="30" t="s">
        <v>8779</v>
      </c>
    </row>
    <row r="108" spans="1:8">
      <c r="A108" s="30" t="s">
        <v>8933</v>
      </c>
      <c r="B108" s="30" t="s">
        <v>8645</v>
      </c>
      <c r="C108" s="30"/>
      <c r="D108" s="32" t="s">
        <v>8934</v>
      </c>
      <c r="E108" s="30" t="s">
        <v>8935</v>
      </c>
      <c r="F108" s="30" t="s">
        <v>8642</v>
      </c>
      <c r="G108" s="30"/>
      <c r="H108" s="30" t="s">
        <v>8936</v>
      </c>
    </row>
    <row r="109" spans="1:8">
      <c r="A109" s="30" t="s">
        <v>8937</v>
      </c>
      <c r="B109" s="30" t="s">
        <v>8645</v>
      </c>
      <c r="C109" s="30" t="s">
        <v>8607</v>
      </c>
      <c r="D109" s="30" t="s">
        <v>8938</v>
      </c>
      <c r="E109" s="30"/>
      <c r="F109" s="30"/>
      <c r="G109" s="30" t="s">
        <v>8737</v>
      </c>
      <c r="H109" s="30" t="s">
        <v>8939</v>
      </c>
    </row>
    <row r="110" spans="1:8">
      <c r="A110" s="30" t="s">
        <v>8940</v>
      </c>
      <c r="B110" s="30" t="s">
        <v>8645</v>
      </c>
      <c r="C110" s="30" t="s">
        <v>8607</v>
      </c>
      <c r="D110" s="30" t="s">
        <v>8941</v>
      </c>
      <c r="E110" s="30" t="s">
        <v>8942</v>
      </c>
      <c r="F110" s="30" t="s">
        <v>8618</v>
      </c>
      <c r="G110" s="30" t="s">
        <v>8943</v>
      </c>
      <c r="H110" s="30" t="s">
        <v>8944</v>
      </c>
    </row>
    <row r="111" spans="1:8">
      <c r="A111" s="30" t="s">
        <v>8945</v>
      </c>
      <c r="B111" s="30" t="s">
        <v>8645</v>
      </c>
      <c r="C111" s="30"/>
      <c r="D111" s="32"/>
      <c r="E111" s="30" t="s">
        <v>8946</v>
      </c>
      <c r="F111" s="30" t="e">
        <v>#VALUE!</v>
      </c>
      <c r="G111" s="30"/>
      <c r="H111" s="30" t="s">
        <v>8947</v>
      </c>
    </row>
    <row r="112" spans="1:8">
      <c r="A112" s="30" t="s">
        <v>8948</v>
      </c>
      <c r="B112" s="30" t="s">
        <v>8645</v>
      </c>
      <c r="C112" s="30" t="s">
        <v>8626</v>
      </c>
      <c r="D112" s="30"/>
      <c r="E112" s="30"/>
      <c r="F112" s="30"/>
      <c r="G112" s="30" t="s">
        <v>8949</v>
      </c>
      <c r="H112" s="30" t="s">
        <v>8950</v>
      </c>
    </row>
    <row r="113" spans="1:8">
      <c r="A113" s="30" t="s">
        <v>8951</v>
      </c>
      <c r="B113" s="30" t="s">
        <v>8645</v>
      </c>
      <c r="C113" s="30" t="s">
        <v>8626</v>
      </c>
      <c r="D113" s="30"/>
      <c r="E113" s="30"/>
      <c r="F113" s="30"/>
      <c r="G113" s="30"/>
      <c r="H113" s="30" t="s">
        <v>8952</v>
      </c>
    </row>
    <row r="114" spans="1:8">
      <c r="A114" s="30" t="s">
        <v>8953</v>
      </c>
      <c r="B114" s="30" t="s">
        <v>8645</v>
      </c>
      <c r="C114" s="30" t="s">
        <v>8607</v>
      </c>
      <c r="D114" s="30" t="s">
        <v>8770</v>
      </c>
      <c r="E114" s="30" t="s">
        <v>8771</v>
      </c>
      <c r="F114" s="30" t="s">
        <v>8672</v>
      </c>
      <c r="G114" s="30" t="s">
        <v>8659</v>
      </c>
      <c r="H114" s="30" t="s">
        <v>8772</v>
      </c>
    </row>
    <row r="115" spans="1:8">
      <c r="A115" s="30" t="s">
        <v>8954</v>
      </c>
      <c r="B115" s="30" t="s">
        <v>8645</v>
      </c>
      <c r="C115" s="30" t="s">
        <v>8607</v>
      </c>
      <c r="D115" s="30"/>
      <c r="E115" s="30"/>
      <c r="F115" s="30"/>
      <c r="G115" s="30" t="s">
        <v>8774</v>
      </c>
      <c r="H115" s="30" t="s">
        <v>8775</v>
      </c>
    </row>
    <row r="116" spans="1:8">
      <c r="A116" s="30" t="s">
        <v>8955</v>
      </c>
      <c r="B116" s="30" t="s">
        <v>8645</v>
      </c>
      <c r="C116" s="30"/>
      <c r="D116" s="32" t="s">
        <v>8956</v>
      </c>
      <c r="E116" s="30" t="s">
        <v>8957</v>
      </c>
      <c r="F116" s="30" t="s">
        <v>8642</v>
      </c>
      <c r="G116" s="30" t="s">
        <v>8958</v>
      </c>
      <c r="H116" s="30" t="s">
        <v>8959</v>
      </c>
    </row>
    <row r="117" spans="1:8">
      <c r="A117" s="30" t="s">
        <v>8960</v>
      </c>
      <c r="B117" s="30" t="s">
        <v>8645</v>
      </c>
      <c r="C117" s="30" t="s">
        <v>8607</v>
      </c>
      <c r="D117" s="30" t="s">
        <v>8961</v>
      </c>
      <c r="E117" s="30" t="s">
        <v>8962</v>
      </c>
      <c r="F117" s="30" t="e">
        <v>#VALUE!</v>
      </c>
      <c r="G117" s="30" t="s">
        <v>8691</v>
      </c>
      <c r="H117" s="30" t="s">
        <v>8963</v>
      </c>
    </row>
    <row r="118" spans="1:8">
      <c r="A118" s="30" t="s">
        <v>8964</v>
      </c>
      <c r="B118" s="30" t="s">
        <v>8645</v>
      </c>
      <c r="C118" s="30" t="s">
        <v>8607</v>
      </c>
      <c r="D118" s="30"/>
      <c r="E118" s="30"/>
      <c r="F118" s="30"/>
      <c r="G118" s="30" t="s">
        <v>8965</v>
      </c>
      <c r="H118" s="30" t="s">
        <v>8966</v>
      </c>
    </row>
    <row r="119" spans="1:8">
      <c r="A119" s="30" t="s">
        <v>8967</v>
      </c>
      <c r="B119" s="30" t="s">
        <v>8645</v>
      </c>
      <c r="C119" s="30" t="s">
        <v>8607</v>
      </c>
      <c r="D119" s="30" t="s">
        <v>8968</v>
      </c>
      <c r="E119" s="30" t="s">
        <v>8969</v>
      </c>
      <c r="F119" s="30" t="e">
        <v>#VALUE!</v>
      </c>
      <c r="G119" s="30" t="s">
        <v>8970</v>
      </c>
      <c r="H119" s="30" t="s">
        <v>8971</v>
      </c>
    </row>
    <row r="120" spans="1:8">
      <c r="A120" s="30" t="s">
        <v>8972</v>
      </c>
      <c r="B120" s="30" t="s">
        <v>8645</v>
      </c>
      <c r="C120" s="30" t="s">
        <v>8607</v>
      </c>
      <c r="D120" s="30" t="s">
        <v>8973</v>
      </c>
      <c r="E120" s="30" t="s">
        <v>8974</v>
      </c>
      <c r="F120" s="30" t="e">
        <v>#VALUE!</v>
      </c>
      <c r="G120" s="30" t="s">
        <v>8975</v>
      </c>
      <c r="H120" s="30" t="s">
        <v>8976</v>
      </c>
    </row>
    <row r="121" spans="1:8">
      <c r="A121" s="30" t="s">
        <v>8977</v>
      </c>
      <c r="B121" s="30" t="s">
        <v>8645</v>
      </c>
      <c r="C121" s="30" t="s">
        <v>8607</v>
      </c>
      <c r="D121" s="30"/>
      <c r="E121" s="30"/>
      <c r="F121" s="30"/>
      <c r="G121" s="30"/>
      <c r="H121" s="30" t="s">
        <v>8978</v>
      </c>
    </row>
    <row r="122" spans="1:8">
      <c r="A122" s="30" t="s">
        <v>8979</v>
      </c>
      <c r="B122" s="30" t="s">
        <v>8645</v>
      </c>
      <c r="C122" s="30" t="s">
        <v>8607</v>
      </c>
      <c r="D122" s="30"/>
      <c r="E122" s="30"/>
      <c r="F122" s="30"/>
      <c r="G122" s="30"/>
      <c r="H122" s="30" t="s">
        <v>8980</v>
      </c>
    </row>
    <row r="123" spans="1:8">
      <c r="A123" s="30" t="s">
        <v>8981</v>
      </c>
      <c r="B123" s="30" t="s">
        <v>8645</v>
      </c>
      <c r="C123" s="30" t="s">
        <v>8607</v>
      </c>
      <c r="D123" s="30" t="s">
        <v>8982</v>
      </c>
      <c r="E123" s="30" t="s">
        <v>8983</v>
      </c>
      <c r="F123" s="30" t="e">
        <v>#VALUE!</v>
      </c>
      <c r="G123" s="30" t="s">
        <v>8984</v>
      </c>
      <c r="H123" s="30" t="s">
        <v>8985</v>
      </c>
    </row>
    <row r="124" spans="1:8">
      <c r="A124" s="30" t="s">
        <v>8986</v>
      </c>
      <c r="B124" s="30" t="s">
        <v>8645</v>
      </c>
      <c r="C124" s="30" t="s">
        <v>8607</v>
      </c>
      <c r="D124" s="30" t="s">
        <v>8987</v>
      </c>
      <c r="E124" s="30" t="s">
        <v>8988</v>
      </c>
      <c r="F124" s="30" t="s">
        <v>8618</v>
      </c>
      <c r="G124" s="30" t="s">
        <v>8989</v>
      </c>
      <c r="H124" s="30" t="s">
        <v>8990</v>
      </c>
    </row>
    <row r="125" spans="1:8">
      <c r="A125" s="30" t="s">
        <v>8991</v>
      </c>
      <c r="B125" s="30" t="s">
        <v>8645</v>
      </c>
      <c r="C125" s="30" t="s">
        <v>8607</v>
      </c>
      <c r="D125" s="30"/>
      <c r="E125" s="30"/>
      <c r="F125" s="30"/>
      <c r="G125" s="30" t="s">
        <v>8646</v>
      </c>
      <c r="H125" s="30" t="s">
        <v>8992</v>
      </c>
    </row>
    <row r="126" spans="1:8">
      <c r="A126" s="30" t="s">
        <v>8993</v>
      </c>
      <c r="B126" s="30" t="s">
        <v>8645</v>
      </c>
      <c r="C126" s="30" t="s">
        <v>8607</v>
      </c>
      <c r="D126" s="30"/>
      <c r="E126" s="30"/>
      <c r="F126" s="30"/>
      <c r="G126" s="30"/>
      <c r="H126" s="30" t="s">
        <v>8994</v>
      </c>
    </row>
    <row r="127" spans="1:8">
      <c r="A127" s="30" t="s">
        <v>8995</v>
      </c>
      <c r="B127" s="30" t="s">
        <v>8645</v>
      </c>
      <c r="C127" s="30" t="s">
        <v>8607</v>
      </c>
      <c r="D127" s="30"/>
      <c r="E127" s="30"/>
      <c r="F127" s="30"/>
      <c r="G127" s="30" t="s">
        <v>8659</v>
      </c>
      <c r="H127" s="30" t="s">
        <v>8996</v>
      </c>
    </row>
    <row r="128" spans="1:8">
      <c r="A128" s="30" t="s">
        <v>8997</v>
      </c>
      <c r="B128" s="30" t="s">
        <v>8645</v>
      </c>
      <c r="C128" s="30" t="s">
        <v>8607</v>
      </c>
      <c r="D128" s="30" t="s">
        <v>8938</v>
      </c>
      <c r="E128" s="30"/>
      <c r="F128" s="30"/>
      <c r="G128" s="30" t="s">
        <v>8737</v>
      </c>
      <c r="H128" s="30" t="s">
        <v>8998</v>
      </c>
    </row>
    <row r="129" spans="1:8">
      <c r="A129" s="30" t="s">
        <v>8999</v>
      </c>
      <c r="B129" s="30" t="s">
        <v>8645</v>
      </c>
      <c r="C129" s="30" t="s">
        <v>8607</v>
      </c>
      <c r="D129" s="30" t="s">
        <v>9000</v>
      </c>
      <c r="E129" s="30" t="s">
        <v>9001</v>
      </c>
      <c r="F129" s="30" t="e">
        <v>#VALUE!</v>
      </c>
      <c r="G129" s="30" t="s">
        <v>9002</v>
      </c>
      <c r="H129" s="30" t="s">
        <v>9003</v>
      </c>
    </row>
    <row r="130" spans="1:8">
      <c r="A130" s="30" t="s">
        <v>9004</v>
      </c>
      <c r="B130" s="30" t="s">
        <v>8645</v>
      </c>
      <c r="C130" s="30" t="s">
        <v>8607</v>
      </c>
      <c r="D130" s="30" t="s">
        <v>9005</v>
      </c>
      <c r="E130" s="30" t="s">
        <v>9006</v>
      </c>
      <c r="F130" s="30" t="e">
        <v>#VALUE!</v>
      </c>
      <c r="G130" s="30" t="s">
        <v>9007</v>
      </c>
      <c r="H130" s="30" t="s">
        <v>9008</v>
      </c>
    </row>
    <row r="131" spans="1:8">
      <c r="A131" s="30" t="s">
        <v>9009</v>
      </c>
      <c r="B131" s="30" t="s">
        <v>8645</v>
      </c>
      <c r="C131" s="30" t="s">
        <v>8607</v>
      </c>
      <c r="D131" s="30" t="s">
        <v>8654</v>
      </c>
      <c r="E131" s="30" t="s">
        <v>8655</v>
      </c>
      <c r="F131" s="30" t="s">
        <v>8618</v>
      </c>
      <c r="G131" s="30" t="s">
        <v>8656</v>
      </c>
      <c r="H131" s="30" t="s">
        <v>9010</v>
      </c>
    </row>
    <row r="132" spans="1:8">
      <c r="A132" s="30" t="s">
        <v>9011</v>
      </c>
      <c r="B132" s="30" t="s">
        <v>8645</v>
      </c>
      <c r="C132" s="30" t="s">
        <v>8607</v>
      </c>
      <c r="D132" s="30" t="s">
        <v>9012</v>
      </c>
      <c r="E132" s="30" t="s">
        <v>9013</v>
      </c>
      <c r="F132" s="30" t="s">
        <v>8672</v>
      </c>
      <c r="G132" s="30" t="s">
        <v>9014</v>
      </c>
      <c r="H132" s="30" t="s">
        <v>9015</v>
      </c>
    </row>
    <row r="133" spans="1:8">
      <c r="A133" s="30" t="s">
        <v>9016</v>
      </c>
      <c r="B133" s="30" t="s">
        <v>8645</v>
      </c>
      <c r="C133" s="30" t="s">
        <v>8607</v>
      </c>
      <c r="D133" s="30" t="s">
        <v>9017</v>
      </c>
      <c r="E133" s="30"/>
      <c r="F133" s="30"/>
      <c r="G133" s="30" t="s">
        <v>9018</v>
      </c>
      <c r="H133" s="30" t="s">
        <v>9019</v>
      </c>
    </row>
    <row r="134" spans="1:8">
      <c r="A134" s="30" t="s">
        <v>9020</v>
      </c>
      <c r="B134" s="30" t="s">
        <v>8645</v>
      </c>
      <c r="C134" s="30" t="s">
        <v>8607</v>
      </c>
      <c r="D134" s="30" t="s">
        <v>9021</v>
      </c>
      <c r="E134" s="30" t="s">
        <v>9022</v>
      </c>
      <c r="F134" s="30" t="s">
        <v>8672</v>
      </c>
      <c r="G134" s="30" t="s">
        <v>9023</v>
      </c>
      <c r="H134" s="30" t="s">
        <v>9024</v>
      </c>
    </row>
    <row r="135" spans="1:8">
      <c r="A135" s="30" t="s">
        <v>9025</v>
      </c>
      <c r="B135" s="30" t="s">
        <v>8645</v>
      </c>
      <c r="C135" s="30" t="s">
        <v>8607</v>
      </c>
      <c r="D135" s="30"/>
      <c r="E135" s="30"/>
      <c r="F135" s="30"/>
      <c r="G135" s="30" t="s">
        <v>9026</v>
      </c>
      <c r="H135" s="30" t="s">
        <v>9027</v>
      </c>
    </row>
    <row r="136" spans="1:8">
      <c r="A136" s="30" t="s">
        <v>9028</v>
      </c>
      <c r="B136" s="30" t="s">
        <v>8645</v>
      </c>
      <c r="C136" s="30" t="s">
        <v>8607</v>
      </c>
      <c r="D136" s="30" t="s">
        <v>8894</v>
      </c>
      <c r="E136" s="30"/>
      <c r="F136" s="30"/>
      <c r="G136" s="30" t="s">
        <v>8895</v>
      </c>
      <c r="H136" s="30" t="s">
        <v>9029</v>
      </c>
    </row>
    <row r="137" spans="1:8">
      <c r="A137" s="30" t="s">
        <v>9030</v>
      </c>
      <c r="B137" s="30" t="s">
        <v>8645</v>
      </c>
      <c r="C137" s="30" t="s">
        <v>8607</v>
      </c>
      <c r="D137" s="30"/>
      <c r="E137" s="30"/>
      <c r="F137" s="30"/>
      <c r="G137" s="30" t="s">
        <v>9031</v>
      </c>
      <c r="H137" s="30" t="s">
        <v>9032</v>
      </c>
    </row>
    <row r="138" spans="1:8">
      <c r="A138" s="30" t="s">
        <v>9033</v>
      </c>
      <c r="B138" s="30" t="s">
        <v>8645</v>
      </c>
      <c r="C138" s="30" t="s">
        <v>8607</v>
      </c>
      <c r="D138" s="30" t="s">
        <v>9034</v>
      </c>
      <c r="E138" s="30"/>
      <c r="F138" s="30"/>
      <c r="G138" s="30" t="s">
        <v>8667</v>
      </c>
      <c r="H138" s="30" t="s">
        <v>9035</v>
      </c>
    </row>
    <row r="139" spans="1:8">
      <c r="A139" s="30" t="s">
        <v>9036</v>
      </c>
      <c r="B139" s="30" t="s">
        <v>8645</v>
      </c>
      <c r="C139" s="30" t="s">
        <v>8607</v>
      </c>
      <c r="D139" s="30" t="s">
        <v>9037</v>
      </c>
      <c r="E139" s="30" t="s">
        <v>9038</v>
      </c>
      <c r="F139" s="30" t="s">
        <v>8672</v>
      </c>
      <c r="G139" s="30" t="s">
        <v>9039</v>
      </c>
      <c r="H139" s="30" t="s">
        <v>9040</v>
      </c>
    </row>
    <row r="140" spans="1:8">
      <c r="A140" s="30" t="s">
        <v>9041</v>
      </c>
      <c r="B140" s="30" t="s">
        <v>8645</v>
      </c>
      <c r="C140" s="30" t="s">
        <v>8607</v>
      </c>
      <c r="D140" s="30"/>
      <c r="E140" s="30"/>
      <c r="F140" s="30"/>
      <c r="G140" s="30"/>
      <c r="H140" s="30" t="s">
        <v>9042</v>
      </c>
    </row>
    <row r="141" spans="1:8">
      <c r="A141" s="30" t="s">
        <v>9043</v>
      </c>
      <c r="B141" s="30" t="s">
        <v>8645</v>
      </c>
      <c r="C141" s="30" t="s">
        <v>8626</v>
      </c>
      <c r="D141" s="30"/>
      <c r="E141" s="30"/>
      <c r="F141" s="30"/>
      <c r="G141" s="30"/>
      <c r="H141" s="30" t="s">
        <v>9044</v>
      </c>
    </row>
    <row r="142" spans="1:8">
      <c r="A142" s="30" t="s">
        <v>9045</v>
      </c>
      <c r="B142" s="30" t="s">
        <v>8645</v>
      </c>
      <c r="C142" s="30" t="s">
        <v>8607</v>
      </c>
      <c r="D142" s="30" t="s">
        <v>9046</v>
      </c>
      <c r="E142" s="30" t="s">
        <v>9047</v>
      </c>
      <c r="F142" s="30" t="s">
        <v>8618</v>
      </c>
      <c r="G142" s="30"/>
      <c r="H142" s="30" t="s">
        <v>9048</v>
      </c>
    </row>
    <row r="143" spans="1:8">
      <c r="A143" s="30" t="s">
        <v>9049</v>
      </c>
      <c r="B143" s="30" t="s">
        <v>8645</v>
      </c>
      <c r="C143" s="30" t="s">
        <v>8607</v>
      </c>
      <c r="D143" s="30" t="s">
        <v>9050</v>
      </c>
      <c r="E143" s="30" t="s">
        <v>9051</v>
      </c>
      <c r="F143" s="30" t="s">
        <v>8672</v>
      </c>
      <c r="G143" s="30" t="s">
        <v>9052</v>
      </c>
      <c r="H143" s="30" t="s">
        <v>9053</v>
      </c>
    </row>
    <row r="144" spans="1:8">
      <c r="A144" s="30" t="s">
        <v>9054</v>
      </c>
      <c r="B144" s="30" t="s">
        <v>8645</v>
      </c>
      <c r="C144" s="30"/>
      <c r="D144" s="32" t="s">
        <v>9055</v>
      </c>
      <c r="E144" s="30" t="s">
        <v>9056</v>
      </c>
      <c r="F144" s="30" t="s">
        <v>8642</v>
      </c>
      <c r="G144" s="30" t="s">
        <v>8958</v>
      </c>
      <c r="H144" s="30" t="s">
        <v>9057</v>
      </c>
    </row>
    <row r="145" spans="1:8">
      <c r="A145" s="30" t="s">
        <v>9058</v>
      </c>
      <c r="B145" s="30" t="s">
        <v>8645</v>
      </c>
      <c r="C145" s="30" t="s">
        <v>8607</v>
      </c>
      <c r="D145" s="30" t="s">
        <v>9059</v>
      </c>
      <c r="E145" s="30"/>
      <c r="F145" s="30"/>
      <c r="G145" s="30" t="s">
        <v>8737</v>
      </c>
      <c r="H145" s="30" t="s">
        <v>9060</v>
      </c>
    </row>
    <row r="146" spans="1:8">
      <c r="A146" s="30" t="s">
        <v>9061</v>
      </c>
      <c r="B146" s="30"/>
      <c r="C146" s="30" t="s">
        <v>8607</v>
      </c>
      <c r="D146" s="30"/>
      <c r="E146" s="30"/>
      <c r="F146" s="30"/>
      <c r="G146" s="30" t="s">
        <v>8711</v>
      </c>
      <c r="H146" s="30" t="s">
        <v>9062</v>
      </c>
    </row>
    <row r="147" spans="1:8">
      <c r="A147" s="30" t="s">
        <v>9063</v>
      </c>
      <c r="B147" s="30"/>
      <c r="C147" s="30"/>
      <c r="D147" s="32" t="s">
        <v>9064</v>
      </c>
      <c r="E147" s="30" t="s">
        <v>9065</v>
      </c>
      <c r="F147" s="30" t="s">
        <v>9066</v>
      </c>
      <c r="G147" s="30"/>
      <c r="H147" s="30" t="s">
        <v>9067</v>
      </c>
    </row>
    <row r="148" spans="1:8">
      <c r="A148" s="30" t="s">
        <v>9068</v>
      </c>
      <c r="B148" s="30"/>
      <c r="C148" s="30" t="s">
        <v>8626</v>
      </c>
      <c r="D148" s="30" t="s">
        <v>9069</v>
      </c>
      <c r="E148" s="30" t="s">
        <v>9070</v>
      </c>
      <c r="F148" s="30" t="s">
        <v>8672</v>
      </c>
      <c r="G148" s="30" t="s">
        <v>9071</v>
      </c>
      <c r="H148" s="30" t="s">
        <v>9072</v>
      </c>
    </row>
    <row r="149" spans="1:8">
      <c r="A149" s="30" t="s">
        <v>9073</v>
      </c>
      <c r="B149" s="30"/>
      <c r="C149" s="30" t="s">
        <v>8626</v>
      </c>
      <c r="D149" s="30" t="s">
        <v>9074</v>
      </c>
      <c r="E149" s="30" t="s">
        <v>9075</v>
      </c>
      <c r="F149" s="30" t="e">
        <v>#VALUE!</v>
      </c>
      <c r="G149" s="30" t="s">
        <v>8637</v>
      </c>
      <c r="H149" s="30" t="s">
        <v>9076</v>
      </c>
    </row>
    <row r="150" spans="1:8">
      <c r="A150" s="30" t="s">
        <v>9077</v>
      </c>
      <c r="B150" s="30"/>
      <c r="C150" s="30" t="s">
        <v>8607</v>
      </c>
      <c r="D150" s="30" t="s">
        <v>9078</v>
      </c>
      <c r="E150" s="30" t="s">
        <v>9079</v>
      </c>
      <c r="F150" s="30" t="s">
        <v>8672</v>
      </c>
      <c r="G150" s="30" t="s">
        <v>9080</v>
      </c>
      <c r="H150" s="30" t="s">
        <v>9081</v>
      </c>
    </row>
    <row r="151" spans="1:8">
      <c r="A151" s="30" t="s">
        <v>9082</v>
      </c>
      <c r="B151" s="30"/>
      <c r="C151" s="30" t="s">
        <v>8607</v>
      </c>
      <c r="D151" s="30" t="s">
        <v>9083</v>
      </c>
      <c r="E151" s="30"/>
      <c r="F151" s="30"/>
      <c r="G151" s="30" t="s">
        <v>9084</v>
      </c>
      <c r="H151" s="30" t="s">
        <v>9085</v>
      </c>
    </row>
    <row r="152" spans="1:8">
      <c r="A152" s="30" t="s">
        <v>9086</v>
      </c>
      <c r="B152" s="30"/>
      <c r="C152" s="30" t="s">
        <v>8607</v>
      </c>
      <c r="D152" s="30" t="s">
        <v>9087</v>
      </c>
      <c r="E152" s="30" t="s">
        <v>9051</v>
      </c>
      <c r="F152" s="30" t="s">
        <v>8672</v>
      </c>
      <c r="G152" s="30" t="s">
        <v>9052</v>
      </c>
      <c r="H152" s="30" t="s">
        <v>9088</v>
      </c>
    </row>
    <row r="153" spans="1:8">
      <c r="A153" s="30" t="s">
        <v>9089</v>
      </c>
      <c r="B153" s="30"/>
      <c r="C153" s="30" t="s">
        <v>8626</v>
      </c>
      <c r="D153" s="30" t="s">
        <v>9090</v>
      </c>
      <c r="E153" s="30" t="s">
        <v>9051</v>
      </c>
      <c r="F153" s="30" t="s">
        <v>8672</v>
      </c>
      <c r="G153" s="30" t="s">
        <v>9052</v>
      </c>
      <c r="H153" s="30" t="s">
        <v>9091</v>
      </c>
    </row>
    <row r="154" spans="1:8">
      <c r="A154" s="30" t="s">
        <v>9092</v>
      </c>
      <c r="B154" s="30"/>
      <c r="C154" s="30" t="s">
        <v>8607</v>
      </c>
      <c r="D154" s="30"/>
      <c r="E154" s="30"/>
      <c r="F154" s="30"/>
      <c r="G154" s="30" t="s">
        <v>9084</v>
      </c>
      <c r="H154" s="30" t="s">
        <v>9093</v>
      </c>
    </row>
    <row r="155" spans="1:8">
      <c r="A155" s="30" t="s">
        <v>9094</v>
      </c>
      <c r="B155" s="30"/>
      <c r="C155" s="30" t="s">
        <v>8607</v>
      </c>
      <c r="D155" s="30"/>
      <c r="E155" s="30"/>
      <c r="F155" s="30"/>
      <c r="G155" s="30" t="s">
        <v>9084</v>
      </c>
      <c r="H155" s="30" t="s">
        <v>9093</v>
      </c>
    </row>
    <row r="156" spans="1:8">
      <c r="A156" s="30" t="s">
        <v>9095</v>
      </c>
      <c r="B156" s="30"/>
      <c r="C156" s="30" t="s">
        <v>8626</v>
      </c>
      <c r="D156" s="30" t="s">
        <v>9096</v>
      </c>
      <c r="E156" s="30" t="s">
        <v>9097</v>
      </c>
      <c r="F156" s="30" t="s">
        <v>8618</v>
      </c>
      <c r="G156" s="30" t="s">
        <v>9098</v>
      </c>
      <c r="H156" s="30" t="s">
        <v>9099</v>
      </c>
    </row>
    <row r="157" spans="1:8">
      <c r="A157" s="30" t="s">
        <v>9100</v>
      </c>
      <c r="B157" s="30"/>
      <c r="C157" s="30" t="s">
        <v>8607</v>
      </c>
      <c r="D157" s="30" t="s">
        <v>9101</v>
      </c>
      <c r="E157" s="30" t="s">
        <v>8845</v>
      </c>
      <c r="F157" s="30" t="s">
        <v>8672</v>
      </c>
      <c r="G157" s="30" t="s">
        <v>8846</v>
      </c>
      <c r="H157" s="30" t="s">
        <v>9102</v>
      </c>
    </row>
    <row r="158" spans="1:8">
      <c r="A158" s="30" t="s">
        <v>9103</v>
      </c>
      <c r="B158" s="30"/>
      <c r="C158" s="30" t="s">
        <v>8607</v>
      </c>
      <c r="D158" s="30" t="s">
        <v>9104</v>
      </c>
      <c r="E158" s="30" t="s">
        <v>9105</v>
      </c>
      <c r="F158" s="30" t="e">
        <v>#VALUE!</v>
      </c>
      <c r="G158" s="30" t="s">
        <v>8678</v>
      </c>
      <c r="H158" s="30" t="s">
        <v>9106</v>
      </c>
    </row>
    <row r="159" spans="1:8">
      <c r="A159" s="30" t="s">
        <v>9107</v>
      </c>
      <c r="B159" s="30"/>
      <c r="C159" s="30" t="s">
        <v>8607</v>
      </c>
      <c r="D159" s="30" t="s">
        <v>9108</v>
      </c>
      <c r="E159" s="30"/>
      <c r="F159" s="30"/>
      <c r="G159" s="30" t="s">
        <v>9109</v>
      </c>
      <c r="H159" s="30" t="s">
        <v>9110</v>
      </c>
    </row>
    <row r="160" spans="1:8">
      <c r="A160" s="30" t="s">
        <v>9111</v>
      </c>
      <c r="B160" s="30"/>
      <c r="C160" s="30" t="s">
        <v>8607</v>
      </c>
      <c r="D160" s="30" t="s">
        <v>9112</v>
      </c>
      <c r="E160" s="30" t="s">
        <v>9113</v>
      </c>
      <c r="F160" s="30" t="s">
        <v>8672</v>
      </c>
      <c r="G160" s="30" t="s">
        <v>9114</v>
      </c>
      <c r="H160" s="30" t="s">
        <v>9115</v>
      </c>
    </row>
    <row r="161" spans="1:8">
      <c r="A161" s="30" t="s">
        <v>9116</v>
      </c>
      <c r="B161" s="30"/>
      <c r="C161" s="30" t="s">
        <v>8607</v>
      </c>
      <c r="D161" s="30"/>
      <c r="E161" s="30"/>
      <c r="F161" s="30"/>
      <c r="G161" s="30" t="s">
        <v>8659</v>
      </c>
      <c r="H161" s="30" t="s">
        <v>8996</v>
      </c>
    </row>
    <row r="162" spans="1:8">
      <c r="A162" s="30" t="s">
        <v>9117</v>
      </c>
      <c r="B162" s="30"/>
      <c r="C162" s="30" t="s">
        <v>8607</v>
      </c>
      <c r="D162" s="30" t="s">
        <v>9000</v>
      </c>
      <c r="E162" s="30"/>
      <c r="F162" s="30"/>
      <c r="G162" s="30" t="s">
        <v>9002</v>
      </c>
      <c r="H162" s="30" t="s">
        <v>9118</v>
      </c>
    </row>
    <row r="163" spans="1:8">
      <c r="A163" s="30" t="s">
        <v>9119</v>
      </c>
      <c r="B163" s="30"/>
      <c r="C163" s="30" t="s">
        <v>8607</v>
      </c>
      <c r="D163" s="30" t="s">
        <v>9120</v>
      </c>
      <c r="E163" s="30" t="s">
        <v>9121</v>
      </c>
      <c r="F163" s="30" t="s">
        <v>8618</v>
      </c>
      <c r="G163" s="30" t="s">
        <v>9122</v>
      </c>
      <c r="H163" s="30" t="s">
        <v>9123</v>
      </c>
    </row>
    <row r="164" spans="1:8">
      <c r="A164" s="30" t="s">
        <v>9124</v>
      </c>
      <c r="B164" s="30"/>
      <c r="C164" s="30" t="s">
        <v>8607</v>
      </c>
      <c r="D164" s="30" t="s">
        <v>9125</v>
      </c>
      <c r="E164" s="30"/>
      <c r="F164" s="30"/>
      <c r="G164" s="30" t="s">
        <v>8659</v>
      </c>
      <c r="H164" s="30" t="s">
        <v>9126</v>
      </c>
    </row>
    <row r="165" spans="1:8">
      <c r="A165" s="30" t="s">
        <v>9127</v>
      </c>
      <c r="B165" s="30"/>
      <c r="C165" s="30" t="s">
        <v>8607</v>
      </c>
      <c r="D165" s="30"/>
      <c r="E165" s="30"/>
      <c r="F165" s="30"/>
      <c r="G165" s="30"/>
      <c r="H165" s="30" t="s">
        <v>9128</v>
      </c>
    </row>
    <row r="166" spans="1:8">
      <c r="A166" s="30" t="s">
        <v>9129</v>
      </c>
      <c r="B166" s="30"/>
      <c r="C166" s="30" t="s">
        <v>8607</v>
      </c>
      <c r="D166" s="30" t="s">
        <v>9130</v>
      </c>
      <c r="E166" s="30" t="s">
        <v>9131</v>
      </c>
      <c r="F166" s="30" t="s">
        <v>8618</v>
      </c>
      <c r="G166" s="30" t="s">
        <v>8900</v>
      </c>
      <c r="H166" s="30" t="s">
        <v>9132</v>
      </c>
    </row>
    <row r="167" spans="1:8">
      <c r="A167" s="30" t="s">
        <v>9133</v>
      </c>
      <c r="B167" s="30"/>
      <c r="C167" s="30" t="s">
        <v>8607</v>
      </c>
      <c r="D167" s="30" t="s">
        <v>9134</v>
      </c>
      <c r="E167" s="30" t="s">
        <v>9135</v>
      </c>
      <c r="F167" s="30" t="e">
        <v>#VALUE!</v>
      </c>
      <c r="G167" s="30" t="s">
        <v>8975</v>
      </c>
      <c r="H167" s="30" t="s">
        <v>9136</v>
      </c>
    </row>
    <row r="168" spans="1:8">
      <c r="A168" s="30" t="s">
        <v>9137</v>
      </c>
      <c r="B168" s="30"/>
      <c r="C168" s="30" t="s">
        <v>8607</v>
      </c>
      <c r="D168" s="30" t="s">
        <v>9138</v>
      </c>
      <c r="E168" s="30" t="s">
        <v>9139</v>
      </c>
      <c r="F168" s="30" t="s">
        <v>8672</v>
      </c>
      <c r="G168" s="30" t="s">
        <v>9140</v>
      </c>
      <c r="H168" s="30" t="s">
        <v>9141</v>
      </c>
    </row>
    <row r="169" spans="1:8">
      <c r="A169" s="30" t="s">
        <v>9142</v>
      </c>
      <c r="B169" s="30"/>
      <c r="C169" s="30" t="s">
        <v>8607</v>
      </c>
      <c r="D169" s="30" t="s">
        <v>9143</v>
      </c>
      <c r="E169" s="30" t="s">
        <v>9144</v>
      </c>
      <c r="F169" s="30" t="e">
        <v>#VALUE!</v>
      </c>
      <c r="G169" s="30" t="s">
        <v>9145</v>
      </c>
      <c r="H169" s="30" t="s">
        <v>9146</v>
      </c>
    </row>
    <row r="170" spans="1:8">
      <c r="A170" s="30" t="s">
        <v>9147</v>
      </c>
      <c r="B170" s="30"/>
      <c r="C170" s="30" t="s">
        <v>8626</v>
      </c>
      <c r="D170" s="30" t="s">
        <v>9148</v>
      </c>
      <c r="E170" s="30" t="s">
        <v>9149</v>
      </c>
      <c r="F170" s="30" t="s">
        <v>8672</v>
      </c>
      <c r="G170" s="30" t="s">
        <v>9002</v>
      </c>
      <c r="H170" s="30" t="s">
        <v>9150</v>
      </c>
    </row>
    <row r="171" spans="1:8">
      <c r="A171" s="30" t="s">
        <v>9151</v>
      </c>
      <c r="B171" s="30"/>
      <c r="C171" s="30" t="s">
        <v>8607</v>
      </c>
      <c r="D171" s="30" t="s">
        <v>9152</v>
      </c>
      <c r="E171" s="30"/>
      <c r="F171" s="30"/>
      <c r="G171" s="30" t="s">
        <v>8698</v>
      </c>
      <c r="H171" s="30" t="s">
        <v>9153</v>
      </c>
    </row>
    <row r="172" spans="1:8">
      <c r="A172" s="30" t="s">
        <v>9154</v>
      </c>
      <c r="B172" s="30"/>
      <c r="C172" s="30" t="s">
        <v>8607</v>
      </c>
      <c r="D172" s="30"/>
      <c r="E172" s="30"/>
      <c r="F172" s="30"/>
      <c r="G172" s="30" t="s">
        <v>9155</v>
      </c>
      <c r="H172" s="30" t="s">
        <v>9156</v>
      </c>
    </row>
    <row r="173" spans="1:8">
      <c r="A173" s="30" t="s">
        <v>9157</v>
      </c>
      <c r="B173" s="30"/>
      <c r="C173" s="30" t="s">
        <v>8607</v>
      </c>
      <c r="D173" s="30" t="s">
        <v>9158</v>
      </c>
      <c r="E173" s="30" t="s">
        <v>9159</v>
      </c>
      <c r="F173" s="30" t="s">
        <v>8672</v>
      </c>
      <c r="G173" s="30" t="s">
        <v>9160</v>
      </c>
      <c r="H173" s="30" t="s">
        <v>9161</v>
      </c>
    </row>
    <row r="174" spans="1:8">
      <c r="A174" s="30" t="s">
        <v>9162</v>
      </c>
      <c r="B174" s="30"/>
      <c r="C174" s="30" t="s">
        <v>8626</v>
      </c>
      <c r="D174" s="30"/>
      <c r="E174" s="30" t="s">
        <v>9163</v>
      </c>
      <c r="F174" s="30" t="e">
        <v>#VALUE!</v>
      </c>
      <c r="G174" s="30"/>
      <c r="H174" s="30" t="s">
        <v>9164</v>
      </c>
    </row>
    <row r="175" spans="1:8">
      <c r="A175" s="30" t="s">
        <v>9165</v>
      </c>
      <c r="B175" s="30"/>
      <c r="C175" s="30" t="s">
        <v>8607</v>
      </c>
      <c r="D175" s="30"/>
      <c r="E175" s="30"/>
      <c r="F175" s="30"/>
      <c r="G175" s="30"/>
      <c r="H175" s="30" t="s">
        <v>9166</v>
      </c>
    </row>
    <row r="176" spans="1:8">
      <c r="A176" s="30" t="s">
        <v>9167</v>
      </c>
      <c r="B176" s="30"/>
      <c r="C176" s="30" t="s">
        <v>8607</v>
      </c>
      <c r="D176" s="30"/>
      <c r="E176" s="30"/>
      <c r="F176" s="30"/>
      <c r="G176" s="30" t="s">
        <v>9168</v>
      </c>
      <c r="H176" s="30" t="s">
        <v>9169</v>
      </c>
    </row>
    <row r="177" spans="1:8">
      <c r="A177" s="30" t="s">
        <v>9170</v>
      </c>
      <c r="B177" s="30"/>
      <c r="C177" s="30" t="s">
        <v>8607</v>
      </c>
      <c r="D177" s="30"/>
      <c r="E177" s="30"/>
      <c r="F177" s="30"/>
      <c r="G177" s="30" t="s">
        <v>9171</v>
      </c>
      <c r="H177" s="30" t="s">
        <v>9172</v>
      </c>
    </row>
    <row r="178" spans="1:8">
      <c r="A178" s="30" t="s">
        <v>9173</v>
      </c>
      <c r="B178" s="30"/>
      <c r="C178" s="30" t="s">
        <v>8607</v>
      </c>
      <c r="D178" s="30" t="s">
        <v>9174</v>
      </c>
      <c r="E178" s="30"/>
      <c r="F178" s="30"/>
      <c r="G178" s="30" t="s">
        <v>9175</v>
      </c>
      <c r="H178" s="30" t="s">
        <v>9176</v>
      </c>
    </row>
    <row r="179" spans="1:8">
      <c r="A179" s="30" t="s">
        <v>9177</v>
      </c>
      <c r="B179" s="30"/>
      <c r="C179" s="30" t="s">
        <v>8607</v>
      </c>
      <c r="D179" s="30" t="s">
        <v>9178</v>
      </c>
      <c r="E179" s="30"/>
      <c r="F179" s="30"/>
      <c r="G179" s="30" t="s">
        <v>9002</v>
      </c>
      <c r="H179" s="30" t="s">
        <v>9179</v>
      </c>
    </row>
    <row r="180" spans="1:8">
      <c r="A180" s="30" t="s">
        <v>9180</v>
      </c>
      <c r="B180" s="30"/>
      <c r="C180" s="30"/>
      <c r="D180" s="32"/>
      <c r="E180" s="30" t="s">
        <v>9181</v>
      </c>
      <c r="F180" s="30" t="e">
        <v>#VALUE!</v>
      </c>
      <c r="G180" s="30"/>
      <c r="H180" s="30" t="s">
        <v>9182</v>
      </c>
    </row>
    <row r="181" spans="1:8">
      <c r="A181" s="30" t="s">
        <v>9183</v>
      </c>
      <c r="B181" s="30"/>
      <c r="C181" s="30" t="s">
        <v>8607</v>
      </c>
      <c r="D181" s="30"/>
      <c r="E181" s="30"/>
      <c r="F181" s="30"/>
      <c r="G181" s="30"/>
      <c r="H181" s="30" t="s">
        <v>9184</v>
      </c>
    </row>
    <row r="182" spans="1:8">
      <c r="A182" s="30" t="s">
        <v>9185</v>
      </c>
      <c r="B182" s="30"/>
      <c r="C182" s="30" t="s">
        <v>8607</v>
      </c>
      <c r="D182" s="30" t="s">
        <v>9186</v>
      </c>
      <c r="E182" s="30" t="s">
        <v>9187</v>
      </c>
      <c r="F182" s="30" t="s">
        <v>8672</v>
      </c>
      <c r="G182" s="30" t="s">
        <v>8885</v>
      </c>
      <c r="H182" s="30" t="s">
        <v>9188</v>
      </c>
    </row>
    <row r="183" spans="1:8">
      <c r="A183" s="30" t="s">
        <v>9189</v>
      </c>
      <c r="B183" s="30"/>
      <c r="C183" s="30" t="s">
        <v>8607</v>
      </c>
      <c r="D183" s="30"/>
      <c r="E183" s="30"/>
      <c r="F183" s="30"/>
      <c r="G183" s="30" t="s">
        <v>9190</v>
      </c>
      <c r="H183" s="30" t="s">
        <v>9191</v>
      </c>
    </row>
    <row r="184" spans="1:8">
      <c r="A184" s="30" t="s">
        <v>9192</v>
      </c>
      <c r="B184" s="30"/>
      <c r="C184" s="30" t="s">
        <v>8607</v>
      </c>
      <c r="D184" s="30"/>
      <c r="E184" s="30"/>
      <c r="F184" s="30"/>
      <c r="G184" s="30" t="s">
        <v>8708</v>
      </c>
      <c r="H184" s="30" t="s">
        <v>9193</v>
      </c>
    </row>
    <row r="185" spans="1:8">
      <c r="A185" s="30" t="s">
        <v>9194</v>
      </c>
      <c r="B185" s="30"/>
      <c r="C185" s="30" t="s">
        <v>8607</v>
      </c>
      <c r="D185" s="30" t="s">
        <v>9195</v>
      </c>
      <c r="E185" s="30"/>
      <c r="F185" s="30"/>
      <c r="G185" s="30" t="s">
        <v>8717</v>
      </c>
      <c r="H185" s="30" t="s">
        <v>9196</v>
      </c>
    </row>
    <row r="186" spans="1:8">
      <c r="A186" s="30" t="s">
        <v>9197</v>
      </c>
      <c r="B186" s="30"/>
      <c r="C186" s="30" t="s">
        <v>8626</v>
      </c>
      <c r="D186" s="30" t="s">
        <v>9198</v>
      </c>
      <c r="E186" s="30" t="s">
        <v>9199</v>
      </c>
      <c r="F186" s="30" t="s">
        <v>8618</v>
      </c>
      <c r="G186" s="30"/>
      <c r="H186" s="30" t="s">
        <v>9200</v>
      </c>
    </row>
    <row r="187" spans="1:8">
      <c r="A187" s="30" t="s">
        <v>9201</v>
      </c>
      <c r="B187" s="30"/>
      <c r="C187" s="30" t="s">
        <v>8607</v>
      </c>
      <c r="D187" s="30" t="s">
        <v>9202</v>
      </c>
      <c r="E187" s="30" t="s">
        <v>9203</v>
      </c>
      <c r="F187" s="30" t="e">
        <v>#VALUE!</v>
      </c>
      <c r="G187" s="30" t="s">
        <v>8691</v>
      </c>
      <c r="H187" s="30" t="s">
        <v>9204</v>
      </c>
    </row>
    <row r="188" spans="1:8">
      <c r="A188" s="30" t="s">
        <v>9205</v>
      </c>
      <c r="B188" s="30"/>
      <c r="C188" s="30" t="s">
        <v>8607</v>
      </c>
      <c r="D188" s="30"/>
      <c r="E188" s="30"/>
      <c r="F188" s="30"/>
      <c r="G188" s="30" t="s">
        <v>9206</v>
      </c>
      <c r="H188" s="30" t="s">
        <v>9207</v>
      </c>
    </row>
    <row r="189" spans="1:8">
      <c r="A189" s="30" t="s">
        <v>9208</v>
      </c>
      <c r="B189" s="30"/>
      <c r="C189" s="30" t="s">
        <v>8607</v>
      </c>
      <c r="D189" s="30"/>
      <c r="E189" s="30"/>
      <c r="F189" s="30"/>
      <c r="G189" s="30" t="s">
        <v>9209</v>
      </c>
      <c r="H189" s="30" t="s">
        <v>9210</v>
      </c>
    </row>
    <row r="190" spans="1:8">
      <c r="A190" s="30" t="s">
        <v>9211</v>
      </c>
      <c r="B190" s="30"/>
      <c r="C190" s="30" t="s">
        <v>8626</v>
      </c>
      <c r="D190" s="30" t="s">
        <v>9212</v>
      </c>
      <c r="E190" s="30" t="s">
        <v>9213</v>
      </c>
      <c r="F190" s="30" t="s">
        <v>8672</v>
      </c>
      <c r="G190" s="30" t="s">
        <v>9214</v>
      </c>
      <c r="H190" s="30" t="s">
        <v>9215</v>
      </c>
    </row>
    <row r="191" spans="1:8">
      <c r="A191" s="30" t="s">
        <v>9216</v>
      </c>
      <c r="B191" s="30"/>
      <c r="C191" s="30" t="s">
        <v>8626</v>
      </c>
      <c r="D191" s="30" t="s">
        <v>9217</v>
      </c>
      <c r="E191" s="30" t="s">
        <v>9218</v>
      </c>
      <c r="F191" s="30" t="s">
        <v>8618</v>
      </c>
      <c r="G191" s="30" t="s">
        <v>9219</v>
      </c>
      <c r="H191" s="30" t="s">
        <v>9220</v>
      </c>
    </row>
    <row r="192" spans="1:8">
      <c r="A192" s="30" t="s">
        <v>9221</v>
      </c>
      <c r="B192" s="30"/>
      <c r="C192" s="30" t="s">
        <v>8607</v>
      </c>
      <c r="D192" s="30" t="s">
        <v>9222</v>
      </c>
      <c r="E192" s="30" t="s">
        <v>9223</v>
      </c>
      <c r="F192" s="30" t="e">
        <v>#VALUE!</v>
      </c>
      <c r="G192" s="30" t="s">
        <v>9002</v>
      </c>
      <c r="H192" s="30" t="s">
        <v>9224</v>
      </c>
    </row>
    <row r="193" spans="1:8">
      <c r="A193" s="30" t="s">
        <v>9225</v>
      </c>
      <c r="B193" s="30"/>
      <c r="C193" s="30" t="s">
        <v>8626</v>
      </c>
      <c r="D193" s="30"/>
      <c r="E193" s="30" t="s">
        <v>9226</v>
      </c>
      <c r="F193" s="30" t="e">
        <v>#VALUE!</v>
      </c>
      <c r="G193" s="30" t="s">
        <v>9227</v>
      </c>
      <c r="H193" s="30" t="s">
        <v>9228</v>
      </c>
    </row>
    <row r="194" spans="1:8">
      <c r="A194" s="30" t="s">
        <v>9229</v>
      </c>
      <c r="B194" s="30"/>
      <c r="C194" s="30" t="s">
        <v>8607</v>
      </c>
      <c r="D194" s="30"/>
      <c r="E194" s="30" t="s">
        <v>9230</v>
      </c>
      <c r="F194" s="30" t="e">
        <v>#VALUE!</v>
      </c>
      <c r="G194" s="30" t="s">
        <v>9231</v>
      </c>
      <c r="H194" s="30" t="s">
        <v>9232</v>
      </c>
    </row>
    <row r="195" spans="1:8">
      <c r="A195" s="30" t="s">
        <v>9233</v>
      </c>
      <c r="B195" s="30"/>
      <c r="C195" s="30" t="s">
        <v>8607</v>
      </c>
      <c r="D195" s="30"/>
      <c r="E195" s="30"/>
      <c r="F195" s="30"/>
      <c r="G195" s="30"/>
      <c r="H195" s="30" t="s">
        <v>9234</v>
      </c>
    </row>
    <row r="196" spans="1:8">
      <c r="A196" s="30" t="s">
        <v>9235</v>
      </c>
      <c r="B196" s="30"/>
      <c r="C196" s="30" t="s">
        <v>8607</v>
      </c>
      <c r="D196" s="30"/>
      <c r="E196" s="30"/>
      <c r="F196" s="30"/>
      <c r="G196" s="30" t="s">
        <v>8925</v>
      </c>
      <c r="H196" s="30" t="s">
        <v>8926</v>
      </c>
    </row>
    <row r="197" spans="1:8">
      <c r="A197" s="30" t="s">
        <v>9236</v>
      </c>
      <c r="B197" s="30"/>
      <c r="C197" s="30" t="s">
        <v>8607</v>
      </c>
      <c r="D197" s="30" t="s">
        <v>9237</v>
      </c>
      <c r="E197" s="30" t="s">
        <v>9238</v>
      </c>
      <c r="F197" s="30" t="s">
        <v>8672</v>
      </c>
      <c r="G197" s="30" t="s">
        <v>9239</v>
      </c>
      <c r="H197" s="30" t="s">
        <v>9240</v>
      </c>
    </row>
    <row r="198" spans="1:8">
      <c r="A198" s="30" t="s">
        <v>9241</v>
      </c>
      <c r="B198" s="30"/>
      <c r="C198" s="30"/>
      <c r="D198" s="32" t="s">
        <v>9242</v>
      </c>
      <c r="E198" s="30" t="s">
        <v>9243</v>
      </c>
      <c r="F198" s="30" t="s">
        <v>8642</v>
      </c>
      <c r="G198" s="30"/>
      <c r="H198" s="30" t="s">
        <v>9244</v>
      </c>
    </row>
    <row r="199" spans="1:8">
      <c r="A199" s="30" t="s">
        <v>9245</v>
      </c>
      <c r="B199" s="30"/>
      <c r="C199" s="30" t="s">
        <v>8626</v>
      </c>
      <c r="D199" s="30"/>
      <c r="E199" s="30"/>
      <c r="F199" s="30"/>
      <c r="G199" s="30"/>
      <c r="H199" s="30" t="s">
        <v>9246</v>
      </c>
    </row>
    <row r="200" spans="1:8">
      <c r="A200" s="30" t="s">
        <v>9247</v>
      </c>
      <c r="B200" s="30"/>
      <c r="C200" s="30" t="s">
        <v>8607</v>
      </c>
      <c r="D200" s="30" t="s">
        <v>9248</v>
      </c>
      <c r="E200" s="30" t="s">
        <v>9249</v>
      </c>
      <c r="F200" s="30" t="s">
        <v>8672</v>
      </c>
      <c r="G200" s="30" t="s">
        <v>9250</v>
      </c>
      <c r="H200" s="30" t="s">
        <v>9251</v>
      </c>
    </row>
    <row r="201" spans="1:8">
      <c r="A201" s="30" t="s">
        <v>9252</v>
      </c>
      <c r="B201" s="30"/>
      <c r="C201" s="30" t="s">
        <v>8607</v>
      </c>
      <c r="D201" s="30" t="s">
        <v>9253</v>
      </c>
      <c r="E201" s="30"/>
      <c r="F201" s="30"/>
      <c r="G201" s="30" t="s">
        <v>9254</v>
      </c>
      <c r="H201" s="30" t="s">
        <v>9255</v>
      </c>
    </row>
    <row r="202" spans="1:8">
      <c r="A202" s="30" t="s">
        <v>9256</v>
      </c>
      <c r="B202" s="30"/>
      <c r="C202" s="30" t="s">
        <v>8626</v>
      </c>
      <c r="D202" s="30" t="s">
        <v>9257</v>
      </c>
      <c r="E202" s="30" t="s">
        <v>9258</v>
      </c>
      <c r="F202" s="30" t="s">
        <v>8618</v>
      </c>
      <c r="G202" s="30" t="s">
        <v>9259</v>
      </c>
      <c r="H202" s="30" t="s">
        <v>9260</v>
      </c>
    </row>
    <row r="203" spans="1:8">
      <c r="A203" s="30" t="s">
        <v>9261</v>
      </c>
      <c r="B203" s="30"/>
      <c r="C203" s="30" t="s">
        <v>8607</v>
      </c>
      <c r="D203" s="30" t="s">
        <v>9262</v>
      </c>
      <c r="E203" s="30" t="s">
        <v>9263</v>
      </c>
      <c r="F203" s="30" t="s">
        <v>8672</v>
      </c>
      <c r="G203" s="30" t="s">
        <v>9002</v>
      </c>
      <c r="H203" s="30" t="s">
        <v>9264</v>
      </c>
    </row>
    <row r="204" spans="1:8">
      <c r="A204" s="30" t="s">
        <v>9265</v>
      </c>
      <c r="B204" s="30"/>
      <c r="C204" s="30" t="s">
        <v>8607</v>
      </c>
      <c r="D204" s="30" t="s">
        <v>9266</v>
      </c>
      <c r="E204" s="30" t="s">
        <v>9267</v>
      </c>
      <c r="F204" s="30" t="s">
        <v>8672</v>
      </c>
      <c r="G204" s="30" t="s">
        <v>9268</v>
      </c>
      <c r="H204" s="30" t="s">
        <v>9269</v>
      </c>
    </row>
    <row r="205" spans="1:8">
      <c r="A205" s="30" t="s">
        <v>9270</v>
      </c>
      <c r="B205" s="30"/>
      <c r="C205" s="30" t="s">
        <v>8607</v>
      </c>
      <c r="D205" s="30"/>
      <c r="E205" s="30"/>
      <c r="F205" s="30"/>
      <c r="G205" s="30" t="s">
        <v>9271</v>
      </c>
      <c r="H205" s="30" t="s">
        <v>9272</v>
      </c>
    </row>
    <row r="206" spans="1:8">
      <c r="A206" s="30" t="s">
        <v>9273</v>
      </c>
      <c r="B206" s="30"/>
      <c r="C206" s="30" t="s">
        <v>8607</v>
      </c>
      <c r="D206" s="30" t="s">
        <v>9274</v>
      </c>
      <c r="E206" s="30"/>
      <c r="F206" s="30"/>
      <c r="G206" s="30" t="s">
        <v>9275</v>
      </c>
      <c r="H206" s="30" t="s">
        <v>9276</v>
      </c>
    </row>
    <row r="207" spans="1:8">
      <c r="A207" s="30" t="s">
        <v>9277</v>
      </c>
      <c r="B207" s="30"/>
      <c r="C207" s="30" t="s">
        <v>8607</v>
      </c>
      <c r="D207" s="30" t="s">
        <v>9278</v>
      </c>
      <c r="E207" s="30" t="s">
        <v>9279</v>
      </c>
      <c r="F207" s="30" t="s">
        <v>8672</v>
      </c>
      <c r="G207" s="30" t="s">
        <v>9071</v>
      </c>
      <c r="H207" s="30" t="s">
        <v>9280</v>
      </c>
    </row>
    <row r="208" spans="1:8">
      <c r="A208" s="30" t="s">
        <v>9281</v>
      </c>
      <c r="B208" s="30"/>
      <c r="C208" s="30" t="s">
        <v>8607</v>
      </c>
      <c r="D208" s="30" t="s">
        <v>9282</v>
      </c>
      <c r="E208" s="30" t="s">
        <v>9283</v>
      </c>
      <c r="F208" s="30" t="e">
        <v>#VALUE!</v>
      </c>
      <c r="G208" s="30" t="s">
        <v>8975</v>
      </c>
      <c r="H208" s="30" t="s">
        <v>9284</v>
      </c>
    </row>
    <row r="209" spans="1:8">
      <c r="A209" s="30" t="s">
        <v>9285</v>
      </c>
      <c r="B209" s="30"/>
      <c r="C209" s="30" t="s">
        <v>8626</v>
      </c>
      <c r="D209" s="30" t="s">
        <v>9286</v>
      </c>
      <c r="E209" s="30" t="s">
        <v>9287</v>
      </c>
      <c r="F209" s="30" t="e">
        <v>#VALUE!</v>
      </c>
      <c r="G209" s="30" t="s">
        <v>9288</v>
      </c>
      <c r="H209" s="30" t="s">
        <v>9289</v>
      </c>
    </row>
    <row r="210" spans="1:8">
      <c r="A210" s="30" t="s">
        <v>9290</v>
      </c>
      <c r="B210" s="30"/>
      <c r="C210" s="30" t="s">
        <v>8607</v>
      </c>
      <c r="D210" s="30" t="s">
        <v>9291</v>
      </c>
      <c r="E210" s="30" t="s">
        <v>9292</v>
      </c>
      <c r="F210" s="30" t="e">
        <v>#VALUE!</v>
      </c>
      <c r="G210" s="30" t="s">
        <v>9293</v>
      </c>
      <c r="H210" s="30" t="s">
        <v>9294</v>
      </c>
    </row>
    <row r="211" spans="1:8">
      <c r="A211" s="30" t="s">
        <v>9295</v>
      </c>
      <c r="B211" s="30"/>
      <c r="C211" s="30" t="s">
        <v>8607</v>
      </c>
      <c r="D211" s="30" t="s">
        <v>8968</v>
      </c>
      <c r="E211" s="30" t="s">
        <v>9296</v>
      </c>
      <c r="F211" s="30" t="e">
        <v>#VALUE!</v>
      </c>
      <c r="G211" s="30" t="s">
        <v>8970</v>
      </c>
      <c r="H211" s="30" t="s">
        <v>9297</v>
      </c>
    </row>
    <row r="212" spans="1:8">
      <c r="A212" s="30" t="s">
        <v>9298</v>
      </c>
      <c r="B212" s="30"/>
      <c r="C212" s="30" t="s">
        <v>8607</v>
      </c>
      <c r="D212" s="30"/>
      <c r="E212" s="30" t="s">
        <v>9299</v>
      </c>
      <c r="F212" s="30" t="s">
        <v>8618</v>
      </c>
      <c r="G212" s="30" t="s">
        <v>9300</v>
      </c>
      <c r="H212" s="30" t="s">
        <v>9301</v>
      </c>
    </row>
    <row r="213" spans="1:8">
      <c r="A213" s="30" t="s">
        <v>9302</v>
      </c>
      <c r="B213" s="30"/>
      <c r="C213" s="30" t="s">
        <v>8607</v>
      </c>
      <c r="D213" s="30"/>
      <c r="E213" s="30"/>
      <c r="F213" s="30"/>
      <c r="G213" s="30" t="s">
        <v>9303</v>
      </c>
      <c r="H213" s="30" t="s">
        <v>9304</v>
      </c>
    </row>
    <row r="214" spans="1:8">
      <c r="A214" s="30" t="s">
        <v>9305</v>
      </c>
      <c r="B214" s="30"/>
      <c r="C214" s="30" t="s">
        <v>8626</v>
      </c>
      <c r="D214" s="30" t="s">
        <v>9306</v>
      </c>
      <c r="E214" s="30" t="s">
        <v>9307</v>
      </c>
      <c r="F214" s="30" t="e">
        <v>#VALUE!</v>
      </c>
      <c r="G214" s="30" t="s">
        <v>9308</v>
      </c>
      <c r="H214" s="30" t="s">
        <v>9309</v>
      </c>
    </row>
    <row r="215" spans="1:8">
      <c r="A215" s="30" t="s">
        <v>9310</v>
      </c>
      <c r="B215" s="30"/>
      <c r="C215" s="30" t="s">
        <v>8626</v>
      </c>
      <c r="D215" s="30"/>
      <c r="E215" s="30" t="s">
        <v>9299</v>
      </c>
      <c r="F215" s="30" t="s">
        <v>8618</v>
      </c>
      <c r="G215" s="30" t="s">
        <v>9300</v>
      </c>
      <c r="H215" s="30" t="s">
        <v>9311</v>
      </c>
    </row>
    <row r="216" spans="1:8">
      <c r="A216" s="30" t="s">
        <v>9312</v>
      </c>
      <c r="B216" s="30"/>
      <c r="C216" s="30" t="s">
        <v>8626</v>
      </c>
      <c r="D216" s="30" t="s">
        <v>9313</v>
      </c>
      <c r="E216" s="30" t="s">
        <v>9314</v>
      </c>
      <c r="F216" s="30" t="e">
        <v>#VALUE!</v>
      </c>
      <c r="G216" s="30" t="s">
        <v>9315</v>
      </c>
      <c r="H216" s="30" t="s">
        <v>9316</v>
      </c>
    </row>
    <row r="217" spans="1:8">
      <c r="A217" s="30" t="s">
        <v>9317</v>
      </c>
      <c r="B217" s="30"/>
      <c r="C217" s="30" t="s">
        <v>8626</v>
      </c>
      <c r="D217" s="30"/>
      <c r="E217" s="30"/>
      <c r="F217" s="30"/>
      <c r="G217" s="30"/>
      <c r="H217" s="30" t="s">
        <v>9318</v>
      </c>
    </row>
    <row r="218" spans="1:8">
      <c r="A218" s="30" t="s">
        <v>9319</v>
      </c>
      <c r="B218" s="30"/>
      <c r="C218" s="30" t="s">
        <v>8607</v>
      </c>
      <c r="D218" s="30"/>
      <c r="E218" s="30" t="s">
        <v>9320</v>
      </c>
      <c r="F218" s="30" t="e">
        <v>#VALUE!</v>
      </c>
      <c r="G218" s="30" t="s">
        <v>9300</v>
      </c>
      <c r="H218" s="30" t="s">
        <v>9321</v>
      </c>
    </row>
    <row r="219" spans="1:8">
      <c r="A219" s="30" t="s">
        <v>9322</v>
      </c>
      <c r="B219" s="30"/>
      <c r="C219" s="30"/>
      <c r="D219" s="32" t="s">
        <v>9323</v>
      </c>
      <c r="E219" s="30" t="s">
        <v>9324</v>
      </c>
      <c r="F219" s="30" t="s">
        <v>8642</v>
      </c>
      <c r="G219" s="30"/>
      <c r="H219" s="30" t="s">
        <v>9325</v>
      </c>
    </row>
    <row r="220" spans="1:8">
      <c r="A220" s="30" t="s">
        <v>9326</v>
      </c>
      <c r="B220" s="30"/>
      <c r="C220" s="30" t="s">
        <v>8626</v>
      </c>
      <c r="D220" s="30" t="s">
        <v>9327</v>
      </c>
      <c r="E220" s="30"/>
      <c r="F220" s="30"/>
      <c r="G220" s="30" t="s">
        <v>9328</v>
      </c>
      <c r="H220" s="30" t="s">
        <v>9329</v>
      </c>
    </row>
    <row r="221" spans="1:8">
      <c r="A221" s="30" t="s">
        <v>9330</v>
      </c>
      <c r="B221" s="30"/>
      <c r="C221" s="30" t="s">
        <v>8607</v>
      </c>
      <c r="D221" s="30" t="s">
        <v>9331</v>
      </c>
      <c r="E221" s="30" t="s">
        <v>9332</v>
      </c>
      <c r="F221" s="30" t="s">
        <v>8672</v>
      </c>
      <c r="G221" s="30" t="s">
        <v>9333</v>
      </c>
      <c r="H221" s="30" t="s">
        <v>9334</v>
      </c>
    </row>
    <row r="222" spans="1:8">
      <c r="A222" s="30" t="s">
        <v>9335</v>
      </c>
      <c r="B222" s="30"/>
      <c r="C222" s="30" t="s">
        <v>8607</v>
      </c>
      <c r="D222" s="30" t="s">
        <v>9336</v>
      </c>
      <c r="E222" s="30" t="s">
        <v>9337</v>
      </c>
      <c r="F222" s="30" t="s">
        <v>8672</v>
      </c>
      <c r="G222" s="30" t="s">
        <v>9338</v>
      </c>
      <c r="H222" s="30" t="s">
        <v>9339</v>
      </c>
    </row>
    <row r="223" spans="1:8">
      <c r="A223" s="30" t="s">
        <v>9340</v>
      </c>
      <c r="B223" s="30"/>
      <c r="C223" s="30"/>
      <c r="D223" s="32" t="s">
        <v>9341</v>
      </c>
      <c r="E223" s="30" t="s">
        <v>9342</v>
      </c>
      <c r="F223" s="30" t="s">
        <v>8672</v>
      </c>
      <c r="G223" s="30"/>
      <c r="H223" s="30" t="s">
        <v>9343</v>
      </c>
    </row>
    <row r="224" spans="1:8">
      <c r="A224" s="30" t="s">
        <v>9344</v>
      </c>
      <c r="B224" s="30"/>
      <c r="C224" s="30" t="s">
        <v>8626</v>
      </c>
      <c r="D224" s="30" t="s">
        <v>9345</v>
      </c>
      <c r="E224" s="30" t="s">
        <v>9346</v>
      </c>
      <c r="F224" s="30" t="e">
        <v>#VALUE!</v>
      </c>
      <c r="G224" s="30" t="s">
        <v>9347</v>
      </c>
      <c r="H224" s="30" t="s">
        <v>9348</v>
      </c>
    </row>
    <row r="225" spans="1:8">
      <c r="A225" s="30" t="s">
        <v>9349</v>
      </c>
      <c r="B225" s="30"/>
      <c r="C225" s="30" t="s">
        <v>8626</v>
      </c>
      <c r="D225" s="30"/>
      <c r="E225" s="30" t="s">
        <v>9350</v>
      </c>
      <c r="F225" s="30" t="s">
        <v>8618</v>
      </c>
      <c r="G225" s="30" t="s">
        <v>8623</v>
      </c>
      <c r="H225" s="30" t="s">
        <v>9351</v>
      </c>
    </row>
    <row r="226" spans="1:8">
      <c r="A226" s="30" t="s">
        <v>9352</v>
      </c>
      <c r="B226" s="30"/>
      <c r="C226" s="30" t="s">
        <v>8626</v>
      </c>
      <c r="D226" s="30"/>
      <c r="E226" s="30"/>
      <c r="F226" s="30"/>
      <c r="G226" s="30" t="s">
        <v>8623</v>
      </c>
      <c r="H226" s="30" t="s">
        <v>9353</v>
      </c>
    </row>
    <row r="227" spans="1:8">
      <c r="A227" s="30" t="s">
        <v>9354</v>
      </c>
      <c r="B227" s="30"/>
      <c r="C227" s="30" t="s">
        <v>8607</v>
      </c>
      <c r="D227" s="30"/>
      <c r="E227" s="30"/>
      <c r="F227" s="30"/>
      <c r="G227" s="30"/>
      <c r="H227" s="30" t="s">
        <v>9355</v>
      </c>
    </row>
    <row r="228" spans="1:8">
      <c r="A228" s="30" t="s">
        <v>9356</v>
      </c>
      <c r="B228" s="30"/>
      <c r="C228" s="30" t="s">
        <v>8607</v>
      </c>
      <c r="D228" s="30" t="s">
        <v>9357</v>
      </c>
      <c r="E228" s="30"/>
      <c r="F228" s="30"/>
      <c r="G228" s="30" t="s">
        <v>9358</v>
      </c>
      <c r="H228" s="30" t="s">
        <v>9359</v>
      </c>
    </row>
    <row r="229" spans="1:8">
      <c r="A229" s="30" t="s">
        <v>9360</v>
      </c>
      <c r="B229" s="30"/>
      <c r="C229" s="30" t="s">
        <v>8607</v>
      </c>
      <c r="D229" s="30"/>
      <c r="E229" s="30"/>
      <c r="F229" s="30"/>
      <c r="G229" s="30"/>
      <c r="H229" s="30" t="s">
        <v>9361</v>
      </c>
    </row>
    <row r="230" spans="1:8">
      <c r="A230" s="30" t="s">
        <v>9362</v>
      </c>
      <c r="B230" s="30"/>
      <c r="C230" s="30" t="s">
        <v>8607</v>
      </c>
      <c r="D230" s="30"/>
      <c r="E230" s="30"/>
      <c r="F230" s="30"/>
      <c r="G230" s="30" t="s">
        <v>9363</v>
      </c>
      <c r="H230" s="30" t="s">
        <v>9364</v>
      </c>
    </row>
    <row r="231" spans="1:8">
      <c r="A231" s="30" t="s">
        <v>9365</v>
      </c>
      <c r="B231" s="30"/>
      <c r="C231" s="30" t="s">
        <v>8607</v>
      </c>
      <c r="D231" s="30"/>
      <c r="E231" s="30"/>
      <c r="F231" s="30"/>
      <c r="G231" s="30" t="s">
        <v>9366</v>
      </c>
      <c r="H231" s="30" t="s">
        <v>9367</v>
      </c>
    </row>
    <row r="232" spans="1:8">
      <c r="A232" s="30" t="s">
        <v>9368</v>
      </c>
      <c r="B232" s="30"/>
      <c r="C232" s="30" t="s">
        <v>8607</v>
      </c>
      <c r="D232" s="30" t="s">
        <v>9369</v>
      </c>
      <c r="E232" s="30"/>
      <c r="F232" s="30"/>
      <c r="G232" s="30" t="s">
        <v>9366</v>
      </c>
      <c r="H232" s="30" t="s">
        <v>9370</v>
      </c>
    </row>
    <row r="233" spans="1:8">
      <c r="A233" s="30" t="s">
        <v>9371</v>
      </c>
      <c r="B233" s="30"/>
      <c r="C233" s="30" t="s">
        <v>8626</v>
      </c>
      <c r="D233" s="30"/>
      <c r="E233" s="30" t="s">
        <v>9372</v>
      </c>
      <c r="F233" s="30" t="e">
        <v>#VALUE!</v>
      </c>
      <c r="G233" s="30" t="s">
        <v>9373</v>
      </c>
      <c r="H233" s="30" t="s">
        <v>9374</v>
      </c>
    </row>
    <row r="234" spans="1:8">
      <c r="A234" s="30" t="s">
        <v>9375</v>
      </c>
      <c r="B234" s="30"/>
      <c r="C234" s="30" t="s">
        <v>8607</v>
      </c>
      <c r="D234" s="30" t="s">
        <v>9376</v>
      </c>
      <c r="E234" s="30" t="s">
        <v>9377</v>
      </c>
      <c r="F234" s="30" t="s">
        <v>8672</v>
      </c>
      <c r="G234" s="30" t="s">
        <v>9378</v>
      </c>
      <c r="H234" s="30" t="s">
        <v>9379</v>
      </c>
    </row>
    <row r="235" spans="1:8">
      <c r="A235" s="30" t="s">
        <v>9380</v>
      </c>
      <c r="B235" s="30"/>
      <c r="C235" s="30" t="s">
        <v>8607</v>
      </c>
      <c r="D235" s="30" t="s">
        <v>9381</v>
      </c>
      <c r="E235" s="30"/>
      <c r="F235" s="30"/>
      <c r="G235" s="30" t="s">
        <v>9378</v>
      </c>
      <c r="H235" s="30" t="s">
        <v>9379</v>
      </c>
    </row>
    <row r="236" spans="1:8">
      <c r="A236" s="30" t="s">
        <v>9382</v>
      </c>
      <c r="B236" s="30"/>
      <c r="C236" s="30" t="s">
        <v>8607</v>
      </c>
      <c r="D236" s="30" t="s">
        <v>9383</v>
      </c>
      <c r="E236" s="30"/>
      <c r="F236" s="30"/>
      <c r="G236" s="30" t="s">
        <v>9384</v>
      </c>
      <c r="H236" s="30" t="s">
        <v>9385</v>
      </c>
    </row>
    <row r="237" spans="1:8">
      <c r="A237" s="30" t="s">
        <v>9386</v>
      </c>
      <c r="B237" s="30"/>
      <c r="C237" s="30" t="s">
        <v>8607</v>
      </c>
      <c r="D237" s="30"/>
      <c r="E237" s="30"/>
      <c r="F237" s="30"/>
      <c r="G237" s="30" t="s">
        <v>9387</v>
      </c>
      <c r="H237" s="30" t="s">
        <v>9388</v>
      </c>
    </row>
    <row r="238" spans="1:8">
      <c r="A238" s="30" t="s">
        <v>9389</v>
      </c>
      <c r="B238" s="30"/>
      <c r="C238" s="30" t="s">
        <v>8607</v>
      </c>
      <c r="D238" s="30" t="s">
        <v>9390</v>
      </c>
      <c r="E238" s="30" t="s">
        <v>9391</v>
      </c>
      <c r="F238" s="30" t="s">
        <v>8618</v>
      </c>
      <c r="G238" s="30" t="s">
        <v>9392</v>
      </c>
      <c r="H238" s="30" t="s">
        <v>9393</v>
      </c>
    </row>
    <row r="239" spans="1:8">
      <c r="A239" s="30" t="s">
        <v>9394</v>
      </c>
      <c r="B239" s="30"/>
      <c r="C239" s="30" t="s">
        <v>8607</v>
      </c>
      <c r="D239" s="30" t="s">
        <v>9395</v>
      </c>
      <c r="E239" s="30" t="s">
        <v>9396</v>
      </c>
      <c r="F239" s="30" t="e">
        <v>#VALUE!</v>
      </c>
      <c r="G239" s="30" t="s">
        <v>9002</v>
      </c>
      <c r="H239" s="30" t="s">
        <v>9224</v>
      </c>
    </row>
    <row r="240" spans="1:8">
      <c r="A240" s="30" t="s">
        <v>9397</v>
      </c>
      <c r="B240" s="30"/>
      <c r="C240" s="30" t="s">
        <v>8607</v>
      </c>
      <c r="D240" s="30" t="s">
        <v>9398</v>
      </c>
      <c r="E240" s="30" t="s">
        <v>9399</v>
      </c>
      <c r="F240" s="30" t="s">
        <v>8672</v>
      </c>
      <c r="G240" s="30" t="s">
        <v>9400</v>
      </c>
      <c r="H240" s="30" t="s">
        <v>9401</v>
      </c>
    </row>
    <row r="241" spans="1:8">
      <c r="A241" s="30" t="s">
        <v>9402</v>
      </c>
      <c r="B241" s="30"/>
      <c r="C241" s="30" t="s">
        <v>8607</v>
      </c>
      <c r="D241" s="30" t="s">
        <v>9403</v>
      </c>
      <c r="E241" s="30"/>
      <c r="F241" s="30"/>
      <c r="G241" s="30" t="s">
        <v>9404</v>
      </c>
      <c r="H241" s="30" t="s">
        <v>9405</v>
      </c>
    </row>
    <row r="242" spans="1:8">
      <c r="A242" s="30" t="s">
        <v>9406</v>
      </c>
      <c r="B242" s="30"/>
      <c r="C242" s="30" t="s">
        <v>8607</v>
      </c>
      <c r="D242" s="30"/>
      <c r="E242" s="30"/>
      <c r="F242" s="30"/>
      <c r="G242" s="30"/>
      <c r="H242" s="30" t="s">
        <v>9407</v>
      </c>
    </row>
    <row r="243" spans="1:8">
      <c r="A243" s="30" t="s">
        <v>9408</v>
      </c>
      <c r="B243" s="30"/>
      <c r="C243" s="30" t="s">
        <v>8626</v>
      </c>
      <c r="D243" s="30" t="s">
        <v>9409</v>
      </c>
      <c r="E243" s="30" t="s">
        <v>9410</v>
      </c>
      <c r="F243" s="30" t="e">
        <v>#VALUE!</v>
      </c>
      <c r="G243" s="30"/>
      <c r="H243" s="30" t="s">
        <v>9411</v>
      </c>
    </row>
    <row r="244" spans="1:8">
      <c r="A244" s="30" t="s">
        <v>9412</v>
      </c>
      <c r="B244" s="30"/>
      <c r="C244" s="30" t="s">
        <v>8626</v>
      </c>
      <c r="D244" s="30"/>
      <c r="E244" s="30" t="s">
        <v>9413</v>
      </c>
      <c r="F244" s="30" t="s">
        <v>8672</v>
      </c>
      <c r="G244" s="30" t="s">
        <v>9414</v>
      </c>
      <c r="H244" s="30" t="s">
        <v>9415</v>
      </c>
    </row>
    <row r="245" spans="1:8">
      <c r="A245" s="30" t="s">
        <v>9416</v>
      </c>
      <c r="B245" s="30"/>
      <c r="C245" s="30" t="s">
        <v>8607</v>
      </c>
      <c r="D245" s="30" t="s">
        <v>9417</v>
      </c>
      <c r="E245" s="30" t="s">
        <v>9418</v>
      </c>
      <c r="F245" s="30" t="s">
        <v>8618</v>
      </c>
      <c r="G245" s="30" t="s">
        <v>9419</v>
      </c>
      <c r="H245" s="30" t="s">
        <v>9420</v>
      </c>
    </row>
    <row r="246" spans="1:8">
      <c r="A246" s="30" t="s">
        <v>9421</v>
      </c>
      <c r="B246" s="30"/>
      <c r="C246" s="30" t="s">
        <v>8607</v>
      </c>
      <c r="D246" s="30" t="s">
        <v>9422</v>
      </c>
      <c r="E246" s="30" t="s">
        <v>8655</v>
      </c>
      <c r="F246" s="30" t="s">
        <v>8618</v>
      </c>
      <c r="G246" s="30" t="s">
        <v>8656</v>
      </c>
      <c r="H246" s="30" t="s">
        <v>9423</v>
      </c>
    </row>
    <row r="247" spans="1:8">
      <c r="A247" s="30" t="s">
        <v>9424</v>
      </c>
      <c r="B247" s="30"/>
      <c r="C247" s="30" t="s">
        <v>8607</v>
      </c>
      <c r="D247" s="30"/>
      <c r="E247" s="30"/>
      <c r="F247" s="30"/>
      <c r="G247" s="30" t="s">
        <v>9425</v>
      </c>
      <c r="H247" s="30" t="s">
        <v>9426</v>
      </c>
    </row>
    <row r="248" spans="1:8">
      <c r="A248" s="30" t="s">
        <v>9427</v>
      </c>
      <c r="B248" s="30"/>
      <c r="C248" s="30" t="s">
        <v>8607</v>
      </c>
      <c r="D248" s="30"/>
      <c r="E248" s="30"/>
      <c r="F248" s="30"/>
      <c r="G248" s="30" t="s">
        <v>9428</v>
      </c>
      <c r="H248" s="30" t="s">
        <v>9429</v>
      </c>
    </row>
    <row r="249" spans="1:8">
      <c r="A249" s="30" t="s">
        <v>9430</v>
      </c>
      <c r="B249" s="30"/>
      <c r="C249" s="30" t="s">
        <v>8607</v>
      </c>
      <c r="D249" s="30"/>
      <c r="E249" s="30"/>
      <c r="F249" s="30"/>
      <c r="G249" s="30" t="s">
        <v>9431</v>
      </c>
      <c r="H249" s="30" t="s">
        <v>9432</v>
      </c>
    </row>
    <row r="250" spans="1:8">
      <c r="A250" s="30" t="s">
        <v>9433</v>
      </c>
      <c r="B250" s="30"/>
      <c r="C250" s="30" t="s">
        <v>8607</v>
      </c>
      <c r="D250" s="30"/>
      <c r="E250" s="30" t="s">
        <v>9434</v>
      </c>
      <c r="F250" s="30" t="e">
        <v>#VALUE!</v>
      </c>
      <c r="G250" s="30" t="s">
        <v>9435</v>
      </c>
      <c r="H250" s="30" t="s">
        <v>9436</v>
      </c>
    </row>
    <row r="251" spans="1:8">
      <c r="A251" s="30" t="s">
        <v>9437</v>
      </c>
      <c r="B251" s="30"/>
      <c r="C251" s="30" t="s">
        <v>8607</v>
      </c>
      <c r="D251" s="30"/>
      <c r="E251" s="30" t="s">
        <v>9438</v>
      </c>
      <c r="F251" s="30" t="e">
        <v>#VALUE!</v>
      </c>
      <c r="G251" s="30" t="s">
        <v>9439</v>
      </c>
      <c r="H251" s="30" t="s">
        <v>9440</v>
      </c>
    </row>
    <row r="252" spans="1:8">
      <c r="A252" s="30" t="s">
        <v>9441</v>
      </c>
      <c r="B252" s="30"/>
      <c r="C252" s="30" t="s">
        <v>8607</v>
      </c>
      <c r="D252" s="30"/>
      <c r="E252" s="30"/>
      <c r="F252" s="30"/>
      <c r="G252" s="30"/>
      <c r="H252" s="30" t="s">
        <v>9042</v>
      </c>
    </row>
    <row r="253" spans="1:8">
      <c r="A253" s="30" t="s">
        <v>9442</v>
      </c>
      <c r="B253" s="30"/>
      <c r="C253" s="30" t="s">
        <v>8607</v>
      </c>
      <c r="D253" s="30"/>
      <c r="E253" s="30"/>
      <c r="F253" s="30"/>
      <c r="G253" s="30"/>
      <c r="H253" s="30" t="s">
        <v>9443</v>
      </c>
    </row>
    <row r="254" spans="1:8">
      <c r="A254" s="30" t="s">
        <v>9444</v>
      </c>
      <c r="B254" s="30"/>
      <c r="C254" s="30" t="s">
        <v>8607</v>
      </c>
      <c r="D254" s="30" t="s">
        <v>9445</v>
      </c>
      <c r="E254" s="30" t="s">
        <v>9218</v>
      </c>
      <c r="F254" s="30" t="s">
        <v>8618</v>
      </c>
      <c r="G254" s="30" t="s">
        <v>9219</v>
      </c>
      <c r="H254" s="30" t="s">
        <v>9446</v>
      </c>
    </row>
    <row r="255" spans="1:8">
      <c r="A255" s="30" t="s">
        <v>9447</v>
      </c>
      <c r="B255" s="30"/>
      <c r="C255" s="30" t="s">
        <v>8607</v>
      </c>
      <c r="D255" s="30" t="s">
        <v>9448</v>
      </c>
      <c r="E255" s="30" t="s">
        <v>9449</v>
      </c>
      <c r="F255" s="30" t="s">
        <v>8618</v>
      </c>
      <c r="G255" s="30" t="s">
        <v>9450</v>
      </c>
      <c r="H255" s="30" t="s">
        <v>9451</v>
      </c>
    </row>
    <row r="256" spans="1:8">
      <c r="A256" s="30" t="s">
        <v>9452</v>
      </c>
      <c r="B256" s="30"/>
      <c r="C256" s="30" t="s">
        <v>8607</v>
      </c>
      <c r="D256" s="30"/>
      <c r="E256" s="30"/>
      <c r="F256" s="30"/>
      <c r="G256" s="30" t="s">
        <v>9453</v>
      </c>
      <c r="H256" s="30" t="s">
        <v>9454</v>
      </c>
    </row>
    <row r="257" spans="1:8">
      <c r="A257" s="30" t="s">
        <v>9455</v>
      </c>
      <c r="B257" s="30"/>
      <c r="C257" s="30" t="s">
        <v>8607</v>
      </c>
      <c r="D257" s="30"/>
      <c r="E257" s="30"/>
      <c r="F257" s="30"/>
      <c r="G257" s="30" t="s">
        <v>8633</v>
      </c>
      <c r="H257" s="30" t="s">
        <v>9456</v>
      </c>
    </row>
    <row r="258" spans="1:8">
      <c r="A258" s="30" t="s">
        <v>9457</v>
      </c>
      <c r="B258" s="30"/>
      <c r="C258" s="30" t="s">
        <v>8607</v>
      </c>
      <c r="D258" s="30"/>
      <c r="E258" s="30"/>
      <c r="F258" s="30"/>
      <c r="G258" s="30"/>
      <c r="H258" s="30" t="s">
        <v>9458</v>
      </c>
    </row>
    <row r="259" spans="1:8">
      <c r="A259" s="30" t="s">
        <v>9459</v>
      </c>
      <c r="B259" s="30"/>
      <c r="C259" s="30" t="s">
        <v>8607</v>
      </c>
      <c r="D259" s="30"/>
      <c r="E259" s="30"/>
      <c r="F259" s="30"/>
      <c r="G259" s="30"/>
      <c r="H259" s="30" t="s">
        <v>9460</v>
      </c>
    </row>
    <row r="260" spans="1:8">
      <c r="A260" s="30" t="s">
        <v>9461</v>
      </c>
      <c r="B260" s="30"/>
      <c r="C260" s="30" t="s">
        <v>8607</v>
      </c>
      <c r="D260" s="30"/>
      <c r="E260" s="30"/>
      <c r="F260" s="30"/>
      <c r="G260" s="30"/>
      <c r="H260" s="30" t="s">
        <v>9462</v>
      </c>
    </row>
    <row r="261" spans="1:8">
      <c r="A261" s="30" t="s">
        <v>9463</v>
      </c>
      <c r="B261" s="30"/>
      <c r="C261" s="30" t="s">
        <v>8607</v>
      </c>
      <c r="D261" s="30"/>
      <c r="E261" s="30"/>
      <c r="F261" s="30"/>
      <c r="G261" s="30"/>
      <c r="H261" s="30" t="s">
        <v>9464</v>
      </c>
    </row>
    <row r="262" spans="1:8">
      <c r="A262" s="30" t="s">
        <v>9465</v>
      </c>
      <c r="B262" s="30"/>
      <c r="C262" s="30" t="s">
        <v>8607</v>
      </c>
      <c r="D262" s="30" t="s">
        <v>9466</v>
      </c>
      <c r="E262" s="30" t="s">
        <v>9467</v>
      </c>
      <c r="F262" s="30" t="s">
        <v>8672</v>
      </c>
      <c r="G262" s="30" t="s">
        <v>9468</v>
      </c>
      <c r="H262" s="30" t="s">
        <v>9469</v>
      </c>
    </row>
    <row r="263" spans="1:8">
      <c r="A263" s="30" t="s">
        <v>9470</v>
      </c>
      <c r="B263" s="30"/>
      <c r="C263" s="30" t="s">
        <v>8607</v>
      </c>
      <c r="D263" s="30" t="s">
        <v>9471</v>
      </c>
      <c r="E263" s="30" t="s">
        <v>9472</v>
      </c>
      <c r="F263" s="30" t="e">
        <v>#VALUE!</v>
      </c>
      <c r="G263" s="30" t="s">
        <v>9473</v>
      </c>
      <c r="H263" s="30" t="s">
        <v>9474</v>
      </c>
    </row>
    <row r="264" spans="1:8">
      <c r="A264" s="30" t="s">
        <v>9475</v>
      </c>
      <c r="B264" s="30"/>
      <c r="C264" s="30" t="s">
        <v>8607</v>
      </c>
      <c r="D264" s="30"/>
      <c r="E264" s="30"/>
      <c r="F264" s="30"/>
      <c r="G264" s="30" t="s">
        <v>9476</v>
      </c>
      <c r="H264" s="30" t="s">
        <v>9477</v>
      </c>
    </row>
    <row r="265" spans="1:8">
      <c r="A265" s="30" t="s">
        <v>9478</v>
      </c>
      <c r="B265" s="30"/>
      <c r="C265" s="30" t="s">
        <v>8607</v>
      </c>
      <c r="D265" s="30"/>
      <c r="E265" s="30"/>
      <c r="F265" s="30"/>
      <c r="G265" s="30" t="s">
        <v>9479</v>
      </c>
      <c r="H265" s="30" t="s">
        <v>9480</v>
      </c>
    </row>
    <row r="266" spans="1:8">
      <c r="A266" s="30" t="s">
        <v>9481</v>
      </c>
      <c r="B266" s="30"/>
      <c r="C266" s="30" t="s">
        <v>8607</v>
      </c>
      <c r="D266" s="30"/>
      <c r="E266" s="30"/>
      <c r="F266" s="30"/>
      <c r="G266" s="30" t="s">
        <v>9482</v>
      </c>
      <c r="H266" s="30" t="s">
        <v>9483</v>
      </c>
    </row>
    <row r="267" spans="1:8">
      <c r="A267" s="30" t="s">
        <v>9484</v>
      </c>
      <c r="B267" s="30"/>
      <c r="C267" s="30" t="s">
        <v>8607</v>
      </c>
      <c r="D267" s="30"/>
      <c r="E267" s="30"/>
      <c r="F267" s="30"/>
      <c r="G267" s="30" t="s">
        <v>9485</v>
      </c>
      <c r="H267" s="30" t="s">
        <v>9486</v>
      </c>
    </row>
    <row r="268" spans="1:8">
      <c r="A268" s="30" t="s">
        <v>9487</v>
      </c>
      <c r="B268" s="30"/>
      <c r="C268" s="30" t="s">
        <v>8607</v>
      </c>
      <c r="D268" s="30"/>
      <c r="E268" s="30"/>
      <c r="F268" s="30"/>
      <c r="G268" s="30" t="s">
        <v>8659</v>
      </c>
      <c r="H268" s="30" t="s">
        <v>9488</v>
      </c>
    </row>
    <row r="269" spans="1:8">
      <c r="A269" s="30" t="s">
        <v>9489</v>
      </c>
      <c r="B269" s="30"/>
      <c r="C269" s="30" t="s">
        <v>8607</v>
      </c>
      <c r="D269" s="30" t="s">
        <v>9490</v>
      </c>
      <c r="E269" s="30" t="s">
        <v>9491</v>
      </c>
      <c r="F269" s="30" t="s">
        <v>8672</v>
      </c>
      <c r="G269" s="30" t="s">
        <v>8659</v>
      </c>
      <c r="H269" s="30" t="s">
        <v>9488</v>
      </c>
    </row>
    <row r="270" spans="1:8">
      <c r="A270" s="30" t="s">
        <v>9492</v>
      </c>
      <c r="B270" s="30"/>
      <c r="C270" s="30" t="s">
        <v>8607</v>
      </c>
      <c r="D270" s="30"/>
      <c r="E270" s="30"/>
      <c r="F270" s="30"/>
      <c r="G270" s="30"/>
      <c r="H270" s="30" t="s">
        <v>9493</v>
      </c>
    </row>
    <row r="271" spans="1:8">
      <c r="A271" s="30" t="s">
        <v>9494</v>
      </c>
      <c r="B271" s="30"/>
      <c r="C271" s="30" t="s">
        <v>8607</v>
      </c>
      <c r="D271" s="30"/>
      <c r="E271" s="30"/>
      <c r="F271" s="30"/>
      <c r="G271" s="30"/>
      <c r="H271" s="30" t="s">
        <v>9495</v>
      </c>
    </row>
    <row r="272" spans="1:8">
      <c r="A272" s="30" t="s">
        <v>9496</v>
      </c>
      <c r="B272" s="30"/>
      <c r="C272" s="30" t="s">
        <v>8607</v>
      </c>
      <c r="D272" s="30"/>
      <c r="E272" s="30"/>
      <c r="F272" s="30"/>
      <c r="G272" s="30" t="s">
        <v>9497</v>
      </c>
      <c r="H272" s="30" t="s">
        <v>9498</v>
      </c>
    </row>
    <row r="273" spans="1:8">
      <c r="A273" s="30" t="s">
        <v>9499</v>
      </c>
      <c r="B273" s="30"/>
      <c r="C273" s="30" t="s">
        <v>8607</v>
      </c>
      <c r="D273" s="30" t="s">
        <v>9500</v>
      </c>
      <c r="E273" s="30" t="s">
        <v>9501</v>
      </c>
      <c r="F273" s="30" t="s">
        <v>8672</v>
      </c>
      <c r="G273" s="30" t="s">
        <v>9039</v>
      </c>
      <c r="H273" s="30" t="s">
        <v>9502</v>
      </c>
    </row>
    <row r="274" spans="1:8">
      <c r="A274" s="30" t="s">
        <v>9503</v>
      </c>
      <c r="B274" s="30"/>
      <c r="C274" s="30" t="s">
        <v>8607</v>
      </c>
      <c r="D274" s="30"/>
      <c r="E274" s="30"/>
      <c r="F274" s="30"/>
      <c r="G274" s="30" t="s">
        <v>9504</v>
      </c>
      <c r="H274" s="30" t="s">
        <v>9505</v>
      </c>
    </row>
    <row r="275" spans="1:8">
      <c r="A275" s="30" t="s">
        <v>9506</v>
      </c>
      <c r="B275" s="30"/>
      <c r="C275" s="30" t="s">
        <v>8607</v>
      </c>
      <c r="D275" s="30" t="s">
        <v>9507</v>
      </c>
      <c r="E275" s="30" t="s">
        <v>9139</v>
      </c>
      <c r="F275" s="30" t="s">
        <v>8672</v>
      </c>
      <c r="G275" s="30" t="s">
        <v>9140</v>
      </c>
      <c r="H275" s="30" t="s">
        <v>9508</v>
      </c>
    </row>
    <row r="276" spans="1:8">
      <c r="A276" s="30" t="s">
        <v>9509</v>
      </c>
      <c r="B276" s="30"/>
      <c r="C276" s="30" t="s">
        <v>8626</v>
      </c>
      <c r="D276" s="30" t="s">
        <v>9510</v>
      </c>
      <c r="E276" s="30" t="s">
        <v>9511</v>
      </c>
      <c r="F276" s="30" t="s">
        <v>8672</v>
      </c>
      <c r="G276" s="30" t="s">
        <v>9512</v>
      </c>
      <c r="H276" s="30" t="s">
        <v>9513</v>
      </c>
    </row>
    <row r="277" spans="1:8">
      <c r="A277" s="30" t="s">
        <v>9514</v>
      </c>
      <c r="B277" s="30"/>
      <c r="C277" s="30" t="s">
        <v>8607</v>
      </c>
      <c r="D277" s="30" t="s">
        <v>9515</v>
      </c>
      <c r="E277" s="30" t="s">
        <v>9516</v>
      </c>
      <c r="F277" s="30" t="s">
        <v>8618</v>
      </c>
      <c r="G277" s="30" t="s">
        <v>9517</v>
      </c>
      <c r="H277" s="30" t="s">
        <v>9518</v>
      </c>
    </row>
    <row r="278" spans="1:8">
      <c r="A278" s="30" t="s">
        <v>9519</v>
      </c>
      <c r="B278" s="30"/>
      <c r="C278" s="30" t="s">
        <v>8607</v>
      </c>
      <c r="D278" s="30"/>
      <c r="E278" s="30" t="s">
        <v>9520</v>
      </c>
      <c r="F278" s="30" t="s">
        <v>8618</v>
      </c>
      <c r="G278" s="30" t="s">
        <v>9521</v>
      </c>
      <c r="H278" s="30" t="s">
        <v>9522</v>
      </c>
    </row>
    <row r="279" spans="1:8">
      <c r="A279" s="30" t="s">
        <v>9523</v>
      </c>
      <c r="B279" s="30"/>
      <c r="C279" s="30"/>
      <c r="D279" s="32"/>
      <c r="E279" s="30"/>
      <c r="F279" s="30"/>
      <c r="G279" s="30"/>
      <c r="H279" s="30" t="s">
        <v>9524</v>
      </c>
    </row>
    <row r="280" spans="1:8">
      <c r="A280" s="30" t="s">
        <v>9525</v>
      </c>
      <c r="B280" s="30"/>
      <c r="C280" s="30" t="s">
        <v>8626</v>
      </c>
      <c r="D280" s="30" t="s">
        <v>9069</v>
      </c>
      <c r="E280" s="30" t="s">
        <v>9070</v>
      </c>
      <c r="F280" s="30" t="s">
        <v>8672</v>
      </c>
      <c r="G280" s="30" t="s">
        <v>9071</v>
      </c>
      <c r="H280" s="30" t="s">
        <v>9526</v>
      </c>
    </row>
    <row r="281" spans="1:8">
      <c r="A281" s="30" t="s">
        <v>9527</v>
      </c>
      <c r="B281" s="30"/>
      <c r="C281" s="30" t="s">
        <v>8607</v>
      </c>
      <c r="D281" s="30" t="s">
        <v>9078</v>
      </c>
      <c r="E281" s="30" t="s">
        <v>9079</v>
      </c>
      <c r="F281" s="30" t="s">
        <v>8672</v>
      </c>
      <c r="G281" s="30" t="s">
        <v>9080</v>
      </c>
      <c r="H281" s="30" t="s">
        <v>9081</v>
      </c>
    </row>
    <row r="282" spans="1:8">
      <c r="A282" s="30" t="s">
        <v>9528</v>
      </c>
      <c r="B282" s="30"/>
      <c r="C282" s="30" t="s">
        <v>8607</v>
      </c>
      <c r="D282" s="30" t="s">
        <v>9529</v>
      </c>
      <c r="E282" s="30" t="s">
        <v>9530</v>
      </c>
      <c r="F282" s="30" t="s">
        <v>8672</v>
      </c>
      <c r="G282" s="30" t="s">
        <v>9250</v>
      </c>
      <c r="H282" s="30" t="s">
        <v>9531</v>
      </c>
    </row>
    <row r="283" spans="1:8">
      <c r="A283" s="30" t="s">
        <v>9532</v>
      </c>
      <c r="B283" s="30"/>
      <c r="C283" s="30" t="s">
        <v>8607</v>
      </c>
      <c r="D283" s="30" t="s">
        <v>9533</v>
      </c>
      <c r="E283" s="30" t="s">
        <v>9534</v>
      </c>
      <c r="F283" s="30" t="s">
        <v>8618</v>
      </c>
      <c r="G283" s="30" t="s">
        <v>9535</v>
      </c>
      <c r="H283" s="30" t="s">
        <v>9536</v>
      </c>
    </row>
    <row r="284" spans="1:8">
      <c r="A284" s="30" t="s">
        <v>9537</v>
      </c>
      <c r="B284" s="30"/>
      <c r="C284" s="30" t="s">
        <v>8607</v>
      </c>
      <c r="D284" s="30" t="s">
        <v>9538</v>
      </c>
      <c r="E284" s="30" t="s">
        <v>9539</v>
      </c>
      <c r="F284" s="30" t="s">
        <v>8672</v>
      </c>
      <c r="G284" s="30" t="s">
        <v>9384</v>
      </c>
      <c r="H284" s="30" t="s">
        <v>9540</v>
      </c>
    </row>
    <row r="285" spans="1:8">
      <c r="A285" s="30" t="s">
        <v>9541</v>
      </c>
      <c r="B285" s="30"/>
      <c r="C285" s="30" t="s">
        <v>8607</v>
      </c>
      <c r="D285" s="30" t="s">
        <v>9542</v>
      </c>
      <c r="E285" s="30"/>
      <c r="F285" s="30"/>
      <c r="G285" s="30" t="s">
        <v>9543</v>
      </c>
      <c r="H285" s="30" t="s">
        <v>9544</v>
      </c>
    </row>
    <row r="286" spans="1:8">
      <c r="A286" s="30" t="s">
        <v>9545</v>
      </c>
      <c r="B286" s="30"/>
      <c r="C286" s="30" t="s">
        <v>8607</v>
      </c>
      <c r="D286" s="30" t="s">
        <v>9546</v>
      </c>
      <c r="E286" s="30" t="s">
        <v>9547</v>
      </c>
      <c r="F286" s="30" t="s">
        <v>8672</v>
      </c>
      <c r="G286" s="30" t="s">
        <v>9366</v>
      </c>
      <c r="H286" s="30" t="s">
        <v>9548</v>
      </c>
    </row>
    <row r="287" spans="1:8">
      <c r="A287" s="30" t="s">
        <v>9549</v>
      </c>
      <c r="B287" s="30"/>
      <c r="C287" s="30" t="s">
        <v>8607</v>
      </c>
      <c r="D287" s="30" t="s">
        <v>9550</v>
      </c>
      <c r="E287" s="30"/>
      <c r="F287" s="30"/>
      <c r="G287" s="30" t="s">
        <v>8807</v>
      </c>
      <c r="H287" s="30" t="s">
        <v>9551</v>
      </c>
    </row>
    <row r="288" spans="1:8">
      <c r="A288" s="30" t="s">
        <v>9552</v>
      </c>
      <c r="B288" s="30"/>
      <c r="C288" s="30" t="s">
        <v>8607</v>
      </c>
      <c r="D288" s="30" t="s">
        <v>9553</v>
      </c>
      <c r="E288" s="30" t="s">
        <v>9554</v>
      </c>
      <c r="F288" s="30" t="s">
        <v>8672</v>
      </c>
      <c r="G288" s="30" t="s">
        <v>9555</v>
      </c>
      <c r="H288" s="30" t="s">
        <v>9556</v>
      </c>
    </row>
    <row r="289" spans="1:8">
      <c r="A289" s="30" t="s">
        <v>9557</v>
      </c>
      <c r="B289" s="30"/>
      <c r="C289" s="30"/>
      <c r="D289" s="32"/>
      <c r="E289" s="30"/>
      <c r="F289" s="30"/>
      <c r="G289" s="30"/>
      <c r="H289" s="30" t="s">
        <v>9558</v>
      </c>
    </row>
    <row r="290" spans="1:8">
      <c r="A290" s="30" t="s">
        <v>9559</v>
      </c>
      <c r="B290" s="30"/>
      <c r="C290" s="30" t="s">
        <v>8626</v>
      </c>
      <c r="D290" s="30" t="s">
        <v>9560</v>
      </c>
      <c r="E290" s="30" t="s">
        <v>9561</v>
      </c>
      <c r="F290" s="30" t="s">
        <v>8672</v>
      </c>
      <c r="G290" s="30" t="s">
        <v>9562</v>
      </c>
      <c r="H290" s="30" t="s">
        <v>9563</v>
      </c>
    </row>
    <row r="291" spans="1:8">
      <c r="A291" s="30" t="s">
        <v>9564</v>
      </c>
      <c r="B291" s="30"/>
      <c r="C291" s="30" t="s">
        <v>8607</v>
      </c>
      <c r="D291" s="30" t="s">
        <v>9565</v>
      </c>
      <c r="E291" s="30" t="s">
        <v>9566</v>
      </c>
      <c r="F291" s="30" t="s">
        <v>8618</v>
      </c>
      <c r="G291" s="30" t="s">
        <v>9567</v>
      </c>
      <c r="H291" s="30" t="s">
        <v>9568</v>
      </c>
    </row>
    <row r="292" spans="1:8">
      <c r="A292" s="30" t="s">
        <v>9569</v>
      </c>
      <c r="B292" s="30"/>
      <c r="C292" s="30" t="s">
        <v>8626</v>
      </c>
      <c r="D292" s="30" t="s">
        <v>9570</v>
      </c>
      <c r="E292" s="30" t="s">
        <v>9571</v>
      </c>
      <c r="F292" s="30" t="s">
        <v>8618</v>
      </c>
      <c r="G292" s="30" t="s">
        <v>9572</v>
      </c>
      <c r="H292" s="30" t="s">
        <v>9573</v>
      </c>
    </row>
    <row r="293" spans="1:8">
      <c r="A293" s="30" t="s">
        <v>9574</v>
      </c>
      <c r="B293" s="30"/>
      <c r="C293" s="30"/>
      <c r="D293" s="32"/>
      <c r="E293" s="30"/>
      <c r="F293" s="30"/>
      <c r="G293" s="30"/>
      <c r="H293" s="30" t="s">
        <v>9575</v>
      </c>
    </row>
    <row r="294" spans="1:8">
      <c r="A294" s="30" t="s">
        <v>9576</v>
      </c>
      <c r="B294" s="30"/>
      <c r="C294" s="30" t="s">
        <v>8607</v>
      </c>
      <c r="D294" s="30" t="s">
        <v>8961</v>
      </c>
      <c r="E294" s="30" t="s">
        <v>8962</v>
      </c>
      <c r="F294" s="30" t="e">
        <v>#VALUE!</v>
      </c>
      <c r="G294" s="30" t="s">
        <v>8691</v>
      </c>
      <c r="H294" s="30" t="s">
        <v>9577</v>
      </c>
    </row>
    <row r="295" spans="1:8">
      <c r="A295" s="30" t="s">
        <v>9578</v>
      </c>
      <c r="B295" s="30"/>
      <c r="C295" s="30" t="s">
        <v>8607</v>
      </c>
      <c r="D295" s="30"/>
      <c r="E295" s="30"/>
      <c r="F295" s="30"/>
      <c r="G295" s="30" t="s">
        <v>9579</v>
      </c>
      <c r="H295" s="30" t="s">
        <v>9580</v>
      </c>
    </row>
    <row r="296" spans="1:8">
      <c r="A296" s="30" t="s">
        <v>9581</v>
      </c>
      <c r="B296" s="30"/>
      <c r="C296" s="30" t="s">
        <v>8607</v>
      </c>
      <c r="D296" s="30"/>
      <c r="E296" s="30"/>
      <c r="F296" s="30"/>
      <c r="G296" s="30" t="s">
        <v>9363</v>
      </c>
      <c r="H296" s="30" t="s">
        <v>9582</v>
      </c>
    </row>
    <row r="297" spans="1:8">
      <c r="A297" s="30" t="s">
        <v>9583</v>
      </c>
      <c r="B297" s="30"/>
      <c r="C297" s="30" t="s">
        <v>8607</v>
      </c>
      <c r="D297" s="30"/>
      <c r="E297" s="30"/>
      <c r="F297" s="30"/>
      <c r="G297" s="30" t="s">
        <v>9521</v>
      </c>
      <c r="H297" s="30" t="s">
        <v>9584</v>
      </c>
    </row>
    <row r="298" spans="1:8">
      <c r="A298" s="30" t="s">
        <v>9585</v>
      </c>
      <c r="B298" s="30"/>
      <c r="C298" s="30" t="s">
        <v>8607</v>
      </c>
      <c r="D298" s="30"/>
      <c r="E298" s="30"/>
      <c r="F298" s="30"/>
      <c r="G298" s="30"/>
      <c r="H298" s="30" t="s">
        <v>9586</v>
      </c>
    </row>
    <row r="299" spans="1:8">
      <c r="A299" s="30" t="s">
        <v>9587</v>
      </c>
      <c r="B299" s="30"/>
      <c r="C299" s="30" t="s">
        <v>8626</v>
      </c>
      <c r="D299" s="30" t="s">
        <v>9588</v>
      </c>
      <c r="E299" s="30" t="s">
        <v>9589</v>
      </c>
      <c r="F299" s="30" t="s">
        <v>8618</v>
      </c>
      <c r="G299" s="30" t="s">
        <v>9590</v>
      </c>
      <c r="H299" s="30" t="s">
        <v>9591</v>
      </c>
    </row>
    <row r="300" spans="1:8">
      <c r="A300" s="30" t="s">
        <v>9592</v>
      </c>
      <c r="B300" s="30"/>
      <c r="C300" s="30" t="s">
        <v>8626</v>
      </c>
      <c r="D300" s="30" t="s">
        <v>9593</v>
      </c>
      <c r="E300" s="30" t="s">
        <v>9594</v>
      </c>
      <c r="F300" s="30" t="s">
        <v>8618</v>
      </c>
      <c r="G300" s="30" t="s">
        <v>9595</v>
      </c>
      <c r="H300" s="30" t="s">
        <v>9596</v>
      </c>
    </row>
    <row r="301" spans="1:8">
      <c r="A301" s="30" t="s">
        <v>9597</v>
      </c>
      <c r="B301" s="30"/>
      <c r="C301" s="30" t="s">
        <v>8607</v>
      </c>
      <c r="D301" s="30"/>
      <c r="E301" s="30"/>
      <c r="F301" s="30"/>
      <c r="G301" s="30" t="s">
        <v>9155</v>
      </c>
      <c r="H301" s="30" t="s">
        <v>9598</v>
      </c>
    </row>
    <row r="302" spans="1:8">
      <c r="A302" s="30" t="s">
        <v>9599</v>
      </c>
      <c r="B302" s="30"/>
      <c r="C302" s="30" t="s">
        <v>8626</v>
      </c>
      <c r="D302" s="30" t="s">
        <v>9600</v>
      </c>
      <c r="E302" s="30" t="s">
        <v>9601</v>
      </c>
      <c r="F302" s="30" t="s">
        <v>8618</v>
      </c>
      <c r="G302" s="30" t="s">
        <v>9595</v>
      </c>
      <c r="H302" s="30" t="s">
        <v>9602</v>
      </c>
    </row>
    <row r="303" spans="1:8">
      <c r="A303" s="30" t="s">
        <v>9603</v>
      </c>
      <c r="B303" s="30"/>
      <c r="C303" s="30" t="s">
        <v>8626</v>
      </c>
      <c r="D303" s="30" t="s">
        <v>9604</v>
      </c>
      <c r="E303" s="30" t="s">
        <v>9605</v>
      </c>
      <c r="F303" s="30" t="s">
        <v>8618</v>
      </c>
      <c r="G303" s="30" t="s">
        <v>9606</v>
      </c>
      <c r="H303" s="30" t="s">
        <v>9607</v>
      </c>
    </row>
    <row r="304" spans="1:8">
      <c r="A304" s="30" t="s">
        <v>9608</v>
      </c>
      <c r="B304" s="30"/>
      <c r="C304" s="30" t="s">
        <v>8607</v>
      </c>
      <c r="D304" s="30" t="s">
        <v>9609</v>
      </c>
      <c r="E304" s="30" t="s">
        <v>9566</v>
      </c>
      <c r="F304" s="30" t="s">
        <v>8618</v>
      </c>
      <c r="G304" s="30" t="s">
        <v>9567</v>
      </c>
      <c r="H304" s="30" t="s">
        <v>9610</v>
      </c>
    </row>
    <row r="305" spans="1:8">
      <c r="A305" s="30" t="s">
        <v>9611</v>
      </c>
      <c r="B305" s="30"/>
      <c r="C305" s="30" t="s">
        <v>8607</v>
      </c>
      <c r="D305" s="30" t="s">
        <v>9612</v>
      </c>
      <c r="E305" s="30" t="s">
        <v>9613</v>
      </c>
      <c r="F305" s="30" t="s">
        <v>8618</v>
      </c>
      <c r="G305" s="30" t="s">
        <v>9595</v>
      </c>
      <c r="H305" s="30" t="s">
        <v>9614</v>
      </c>
    </row>
    <row r="306" spans="1:8">
      <c r="A306" s="30" t="s">
        <v>9615</v>
      </c>
      <c r="B306" s="30"/>
      <c r="C306" s="30" t="s">
        <v>8607</v>
      </c>
      <c r="D306" s="30"/>
      <c r="E306" s="30"/>
      <c r="F306" s="30"/>
      <c r="G306" s="30" t="s">
        <v>9616</v>
      </c>
      <c r="H306" s="30" t="s">
        <v>9617</v>
      </c>
    </row>
    <row r="307" spans="1:8">
      <c r="A307" s="30" t="s">
        <v>9618</v>
      </c>
      <c r="B307" s="30"/>
      <c r="C307" s="30" t="s">
        <v>8607</v>
      </c>
      <c r="D307" s="30"/>
      <c r="E307" s="30"/>
      <c r="F307" s="30"/>
      <c r="G307" s="30" t="s">
        <v>9619</v>
      </c>
      <c r="H307" s="30" t="s">
        <v>9620</v>
      </c>
    </row>
    <row r="308" spans="1:8">
      <c r="A308" s="30" t="s">
        <v>9621</v>
      </c>
      <c r="B308" s="30"/>
      <c r="C308" s="30" t="s">
        <v>8607</v>
      </c>
      <c r="D308" s="30"/>
      <c r="E308" s="30"/>
      <c r="F308" s="30"/>
      <c r="G308" s="30" t="s">
        <v>9622</v>
      </c>
      <c r="H308" s="30" t="s">
        <v>9623</v>
      </c>
    </row>
    <row r="309" spans="1:8">
      <c r="A309" s="30" t="s">
        <v>9624</v>
      </c>
      <c r="B309" s="30"/>
      <c r="C309" s="30" t="s">
        <v>8607</v>
      </c>
      <c r="D309" s="30" t="s">
        <v>9625</v>
      </c>
      <c r="E309" s="30"/>
      <c r="F309" s="30"/>
      <c r="G309" s="30" t="s">
        <v>9626</v>
      </c>
      <c r="H309" s="30" t="s">
        <v>9627</v>
      </c>
    </row>
    <row r="310" spans="1:8">
      <c r="A310" s="30" t="s">
        <v>9628</v>
      </c>
      <c r="B310" s="30"/>
      <c r="C310" s="30" t="s">
        <v>8607</v>
      </c>
      <c r="D310" s="30" t="s">
        <v>9195</v>
      </c>
      <c r="E310" s="30"/>
      <c r="F310" s="30"/>
      <c r="G310" s="30" t="s">
        <v>8717</v>
      </c>
      <c r="H310" s="30" t="s">
        <v>9629</v>
      </c>
    </row>
    <row r="311" spans="1:8">
      <c r="A311" s="30" t="s">
        <v>9630</v>
      </c>
      <c r="B311" s="30"/>
      <c r="C311" s="30" t="s">
        <v>8607</v>
      </c>
      <c r="D311" s="30" t="s">
        <v>9631</v>
      </c>
      <c r="E311" s="30"/>
      <c r="F311" s="30"/>
      <c r="G311" s="30" t="s">
        <v>9632</v>
      </c>
      <c r="H311" s="30" t="s">
        <v>9633</v>
      </c>
    </row>
    <row r="312" spans="1:8">
      <c r="A312" s="30" t="s">
        <v>9634</v>
      </c>
      <c r="B312" s="30"/>
      <c r="C312" s="30" t="s">
        <v>8607</v>
      </c>
      <c r="D312" s="30" t="s">
        <v>9635</v>
      </c>
      <c r="E312" s="30" t="s">
        <v>9636</v>
      </c>
      <c r="F312" s="30" t="s">
        <v>8672</v>
      </c>
      <c r="G312" s="30" t="s">
        <v>9023</v>
      </c>
      <c r="H312" s="30" t="s">
        <v>9637</v>
      </c>
    </row>
    <row r="313" spans="1:8">
      <c r="A313" s="30" t="s">
        <v>9638</v>
      </c>
      <c r="B313" s="30"/>
      <c r="C313" s="30" t="s">
        <v>8607</v>
      </c>
      <c r="D313" s="30"/>
      <c r="E313" s="30"/>
      <c r="F313" s="30"/>
      <c r="G313" s="30" t="s">
        <v>9639</v>
      </c>
      <c r="H313" s="30" t="s">
        <v>9640</v>
      </c>
    </row>
    <row r="314" spans="1:8">
      <c r="A314" s="30" t="s">
        <v>9641</v>
      </c>
      <c r="B314" s="30"/>
      <c r="C314" s="30" t="s">
        <v>8626</v>
      </c>
      <c r="D314" s="30"/>
      <c r="E314" s="30"/>
      <c r="F314" s="30"/>
      <c r="G314" s="30" t="s">
        <v>9642</v>
      </c>
      <c r="H314" s="30" t="s">
        <v>9643</v>
      </c>
    </row>
    <row r="315" spans="1:8">
      <c r="A315" s="30" t="s">
        <v>9644</v>
      </c>
      <c r="B315" s="30"/>
      <c r="C315" s="30" t="s">
        <v>8607</v>
      </c>
      <c r="D315" s="30"/>
      <c r="E315" s="30"/>
      <c r="F315" s="30"/>
      <c r="G315" s="30" t="s">
        <v>9645</v>
      </c>
      <c r="H315" s="30" t="s">
        <v>9646</v>
      </c>
    </row>
    <row r="316" spans="1:8">
      <c r="A316" s="30" t="s">
        <v>9647</v>
      </c>
      <c r="B316" s="30"/>
      <c r="C316" s="30" t="s">
        <v>8607</v>
      </c>
      <c r="D316" s="30" t="s">
        <v>9648</v>
      </c>
      <c r="E316" s="30" t="s">
        <v>9649</v>
      </c>
      <c r="F316" s="30" t="s">
        <v>8618</v>
      </c>
      <c r="G316" s="30" t="s">
        <v>9517</v>
      </c>
      <c r="H316" s="30" t="s">
        <v>9650</v>
      </c>
    </row>
    <row r="317" spans="1:8">
      <c r="A317" s="30" t="s">
        <v>9651</v>
      </c>
      <c r="B317" s="30"/>
      <c r="C317" s="30" t="s">
        <v>8607</v>
      </c>
      <c r="D317" s="30"/>
      <c r="E317" s="30"/>
      <c r="F317" s="30"/>
      <c r="G317" s="30" t="s">
        <v>9476</v>
      </c>
      <c r="H317" s="30" t="s">
        <v>9652</v>
      </c>
    </row>
    <row r="318" spans="1:8">
      <c r="A318" s="30" t="s">
        <v>9653</v>
      </c>
      <c r="B318" s="30"/>
      <c r="C318" s="30" t="s">
        <v>8607</v>
      </c>
      <c r="D318" s="30"/>
      <c r="E318" s="30"/>
      <c r="F318" s="30"/>
      <c r="G318" s="30" t="s">
        <v>9654</v>
      </c>
      <c r="H318" s="30" t="s">
        <v>9655</v>
      </c>
    </row>
    <row r="319" spans="1:8">
      <c r="A319" s="30" t="s">
        <v>9656</v>
      </c>
      <c r="B319" s="30"/>
      <c r="C319" s="30" t="s">
        <v>8607</v>
      </c>
      <c r="D319" s="30"/>
      <c r="E319" s="30"/>
      <c r="F319" s="30"/>
      <c r="G319" s="30" t="s">
        <v>9657</v>
      </c>
      <c r="H319" s="30" t="s">
        <v>9658</v>
      </c>
    </row>
    <row r="320" spans="1:8">
      <c r="A320" s="30" t="s">
        <v>9659</v>
      </c>
      <c r="B320" s="30"/>
      <c r="C320" s="30" t="s">
        <v>8626</v>
      </c>
      <c r="D320" s="30"/>
      <c r="E320" s="30"/>
      <c r="F320" s="30"/>
      <c r="G320" s="30"/>
      <c r="H320" s="30" t="s">
        <v>9660</v>
      </c>
    </row>
    <row r="321" spans="1:8">
      <c r="A321" s="30" t="s">
        <v>9661</v>
      </c>
      <c r="B321" s="30"/>
      <c r="C321" s="30" t="s">
        <v>8607</v>
      </c>
      <c r="D321" s="30"/>
      <c r="E321" s="30"/>
      <c r="F321" s="30"/>
      <c r="G321" s="30" t="s">
        <v>9428</v>
      </c>
      <c r="H321" s="30" t="s">
        <v>9429</v>
      </c>
    </row>
    <row r="322" spans="1:8">
      <c r="A322" s="30" t="s">
        <v>9662</v>
      </c>
      <c r="B322" s="30"/>
      <c r="C322" s="30" t="s">
        <v>8607</v>
      </c>
      <c r="D322" s="30"/>
      <c r="E322" s="30"/>
      <c r="F322" s="30"/>
      <c r="G322" s="30" t="s">
        <v>9431</v>
      </c>
      <c r="H322" s="30" t="s">
        <v>9663</v>
      </c>
    </row>
    <row r="323" spans="1:8">
      <c r="A323" s="30" t="s">
        <v>9664</v>
      </c>
      <c r="B323" s="30"/>
      <c r="C323" s="30" t="s">
        <v>8626</v>
      </c>
      <c r="D323" s="30" t="s">
        <v>9665</v>
      </c>
      <c r="E323" s="30" t="s">
        <v>9666</v>
      </c>
      <c r="F323" s="30" t="s">
        <v>8618</v>
      </c>
      <c r="G323" s="30" t="s">
        <v>9667</v>
      </c>
      <c r="H323" s="30" t="s">
        <v>9668</v>
      </c>
    </row>
    <row r="324" spans="1:8">
      <c r="A324" s="30" t="s">
        <v>9669</v>
      </c>
      <c r="B324" s="30"/>
      <c r="C324" s="30" t="s">
        <v>8626</v>
      </c>
      <c r="D324" s="30" t="s">
        <v>9670</v>
      </c>
      <c r="E324" s="30" t="s">
        <v>9671</v>
      </c>
      <c r="F324" s="30" t="s">
        <v>8618</v>
      </c>
      <c r="G324" s="30" t="s">
        <v>9672</v>
      </c>
      <c r="H324" s="30" t="s">
        <v>9673</v>
      </c>
    </row>
    <row r="325" spans="1:8">
      <c r="A325" s="30" t="s">
        <v>9674</v>
      </c>
      <c r="B325" s="30"/>
      <c r="C325" s="30" t="s">
        <v>8607</v>
      </c>
      <c r="D325" s="30" t="s">
        <v>9675</v>
      </c>
      <c r="E325" s="30" t="s">
        <v>9676</v>
      </c>
      <c r="F325" s="30" t="s">
        <v>8672</v>
      </c>
      <c r="G325" s="30" t="s">
        <v>9677</v>
      </c>
      <c r="H325" s="30" t="s">
        <v>9678</v>
      </c>
    </row>
    <row r="326" spans="1:8">
      <c r="A326" s="30" t="s">
        <v>9679</v>
      </c>
      <c r="B326" s="30"/>
      <c r="C326" s="30" t="s">
        <v>8626</v>
      </c>
      <c r="D326" s="30" t="s">
        <v>9680</v>
      </c>
      <c r="E326" s="30" t="s">
        <v>9681</v>
      </c>
      <c r="F326" s="30" t="e">
        <v>#VALUE!</v>
      </c>
      <c r="G326" s="30" t="s">
        <v>9682</v>
      </c>
      <c r="H326" s="30" t="s">
        <v>9683</v>
      </c>
    </row>
    <row r="327" spans="1:8">
      <c r="A327" s="30" t="s">
        <v>9684</v>
      </c>
      <c r="B327" s="30"/>
      <c r="C327" s="30" t="s">
        <v>8626</v>
      </c>
      <c r="D327" s="30"/>
      <c r="E327" s="30"/>
      <c r="F327" s="30"/>
      <c r="G327" s="30"/>
      <c r="H327" s="30" t="s">
        <v>9685</v>
      </c>
    </row>
    <row r="328" spans="1:8">
      <c r="A328" s="30" t="s">
        <v>9686</v>
      </c>
      <c r="B328" s="30"/>
      <c r="C328" s="30" t="s">
        <v>8607</v>
      </c>
      <c r="D328" s="30" t="s">
        <v>9687</v>
      </c>
      <c r="E328" s="30" t="s">
        <v>9688</v>
      </c>
      <c r="F328" s="30" t="s">
        <v>8618</v>
      </c>
      <c r="G328" s="30"/>
      <c r="H328" s="30" t="s">
        <v>9689</v>
      </c>
    </row>
    <row r="329" spans="1:8">
      <c r="A329" s="30" t="s">
        <v>9690</v>
      </c>
      <c r="B329" s="30"/>
      <c r="C329" s="30" t="s">
        <v>8607</v>
      </c>
      <c r="D329" s="30"/>
      <c r="E329" s="30"/>
      <c r="F329" s="30"/>
      <c r="G329" s="30"/>
      <c r="H329" s="30" t="s">
        <v>9691</v>
      </c>
    </row>
    <row r="330" spans="1:8">
      <c r="A330" s="30" t="s">
        <v>9692</v>
      </c>
      <c r="B330" s="30"/>
      <c r="C330" s="30" t="s">
        <v>8626</v>
      </c>
      <c r="D330" s="30" t="s">
        <v>9693</v>
      </c>
      <c r="E330" s="30" t="s">
        <v>9694</v>
      </c>
      <c r="F330" s="30" t="e">
        <v>#VALUE!</v>
      </c>
      <c r="G330" s="30" t="s">
        <v>9695</v>
      </c>
      <c r="H330" s="30" t="s">
        <v>9696</v>
      </c>
    </row>
    <row r="331" spans="1:8">
      <c r="A331" s="30" t="s">
        <v>9697</v>
      </c>
      <c r="B331" s="30"/>
      <c r="C331" s="30" t="s">
        <v>8607</v>
      </c>
      <c r="D331" s="30"/>
      <c r="E331" s="30"/>
      <c r="F331" s="30"/>
      <c r="G331" s="30" t="s">
        <v>9698</v>
      </c>
      <c r="H331" s="30" t="s">
        <v>9699</v>
      </c>
    </row>
    <row r="332" spans="1:8">
      <c r="A332" s="30" t="s">
        <v>9700</v>
      </c>
      <c r="B332" s="30"/>
      <c r="C332" s="30" t="s">
        <v>8607</v>
      </c>
      <c r="D332" s="30"/>
      <c r="E332" s="30"/>
      <c r="F332" s="30"/>
      <c r="G332" s="30" t="s">
        <v>9701</v>
      </c>
      <c r="H332" s="30" t="s">
        <v>9702</v>
      </c>
    </row>
    <row r="333" spans="1:8">
      <c r="A333" s="30" t="s">
        <v>9703</v>
      </c>
      <c r="B333" s="30"/>
      <c r="C333" s="30" t="s">
        <v>8626</v>
      </c>
      <c r="D333" s="30"/>
      <c r="E333" s="30"/>
      <c r="F333" s="30"/>
      <c r="G333" s="30" t="s">
        <v>8629</v>
      </c>
      <c r="H333" s="30" t="s">
        <v>9704</v>
      </c>
    </row>
    <row r="334" spans="1:8">
      <c r="A334" s="30" t="s">
        <v>9705</v>
      </c>
      <c r="B334" s="30"/>
      <c r="C334" s="30" t="s">
        <v>8607</v>
      </c>
      <c r="D334" s="30" t="s">
        <v>9000</v>
      </c>
      <c r="E334" s="30" t="s">
        <v>9706</v>
      </c>
      <c r="F334" s="30" t="s">
        <v>8672</v>
      </c>
      <c r="G334" s="30" t="s">
        <v>9002</v>
      </c>
      <c r="H334" s="30" t="s">
        <v>9707</v>
      </c>
    </row>
    <row r="335" spans="1:8">
      <c r="A335" s="30" t="s">
        <v>9708</v>
      </c>
      <c r="B335" s="30"/>
      <c r="C335" s="30" t="s">
        <v>8607</v>
      </c>
      <c r="D335" s="30"/>
      <c r="E335" s="30"/>
      <c r="F335" s="30"/>
      <c r="G335" s="30" t="s">
        <v>9190</v>
      </c>
      <c r="H335" s="30" t="s">
        <v>9709</v>
      </c>
    </row>
    <row r="336" spans="1:8">
      <c r="A336" s="30" t="s">
        <v>9710</v>
      </c>
      <c r="B336" s="30"/>
      <c r="C336" s="30" t="s">
        <v>8626</v>
      </c>
      <c r="D336" s="30"/>
      <c r="E336" s="30"/>
      <c r="F336" s="30"/>
      <c r="G336" s="30"/>
      <c r="H336" s="30" t="s">
        <v>9711</v>
      </c>
    </row>
    <row r="337" spans="1:8">
      <c r="A337" s="30" t="s">
        <v>9712</v>
      </c>
      <c r="B337" s="30"/>
      <c r="C337" s="30" t="s">
        <v>8607</v>
      </c>
      <c r="D337" s="30"/>
      <c r="E337" s="30"/>
      <c r="F337" s="30"/>
      <c r="G337" s="30" t="s">
        <v>9713</v>
      </c>
      <c r="H337" s="30" t="s">
        <v>9714</v>
      </c>
    </row>
    <row r="338" spans="1:8">
      <c r="A338" s="30" t="s">
        <v>9715</v>
      </c>
      <c r="B338" s="30"/>
      <c r="C338" s="30" t="s">
        <v>8626</v>
      </c>
      <c r="D338" s="30"/>
      <c r="E338" s="30"/>
      <c r="F338" s="30"/>
      <c r="G338" s="30" t="s">
        <v>9716</v>
      </c>
      <c r="H338" s="30" t="s">
        <v>9717</v>
      </c>
    </row>
    <row r="339" spans="1:8">
      <c r="A339" s="30" t="s">
        <v>9718</v>
      </c>
      <c r="B339" s="30"/>
      <c r="C339" s="30" t="s">
        <v>8607</v>
      </c>
      <c r="D339" s="30"/>
      <c r="E339" s="30"/>
      <c r="F339" s="30"/>
      <c r="G339" s="30" t="s">
        <v>9018</v>
      </c>
      <c r="H339" s="30" t="s">
        <v>9719</v>
      </c>
    </row>
    <row r="340" spans="1:8">
      <c r="A340" s="30" t="s">
        <v>9720</v>
      </c>
      <c r="B340" s="30"/>
      <c r="C340" s="30" t="s">
        <v>8607</v>
      </c>
      <c r="D340" s="30"/>
      <c r="E340" s="30"/>
      <c r="F340" s="30"/>
      <c r="G340" s="30"/>
      <c r="H340" s="30" t="s">
        <v>9721</v>
      </c>
    </row>
    <row r="341" spans="1:8">
      <c r="A341" s="30" t="s">
        <v>9722</v>
      </c>
      <c r="B341" s="30"/>
      <c r="C341" s="30" t="s">
        <v>8626</v>
      </c>
      <c r="D341" s="30" t="s">
        <v>9723</v>
      </c>
      <c r="E341" s="30" t="s">
        <v>8929</v>
      </c>
      <c r="F341" s="30" t="e">
        <v>#VALUE!</v>
      </c>
      <c r="G341" s="30" t="s">
        <v>8930</v>
      </c>
      <c r="H341" s="30" t="s">
        <v>9724</v>
      </c>
    </row>
    <row r="342" spans="1:8">
      <c r="A342" s="30" t="s">
        <v>9725</v>
      </c>
      <c r="B342" s="30"/>
      <c r="C342" s="30"/>
      <c r="D342" s="32"/>
      <c r="E342" s="30" t="s">
        <v>9726</v>
      </c>
      <c r="F342" s="30" t="e">
        <v>#VALUE!</v>
      </c>
      <c r="G342" s="30"/>
      <c r="H342" s="30" t="s">
        <v>9727</v>
      </c>
    </row>
    <row r="343" spans="1:8">
      <c r="A343" s="30" t="s">
        <v>9728</v>
      </c>
      <c r="B343" s="30"/>
      <c r="C343" s="30" t="s">
        <v>8626</v>
      </c>
      <c r="D343" s="30" t="s">
        <v>9729</v>
      </c>
      <c r="E343" s="30" t="s">
        <v>9730</v>
      </c>
      <c r="F343" s="30" t="e">
        <v>#VALUE!</v>
      </c>
      <c r="G343" s="30"/>
      <c r="H343" s="30" t="s">
        <v>9731</v>
      </c>
    </row>
    <row r="344" spans="1:8">
      <c r="A344" s="30" t="s">
        <v>9732</v>
      </c>
      <c r="B344" s="30"/>
      <c r="C344" s="30" t="s">
        <v>8626</v>
      </c>
      <c r="D344" s="30" t="s">
        <v>9733</v>
      </c>
      <c r="E344" s="30" t="s">
        <v>9734</v>
      </c>
      <c r="F344" s="30" t="s">
        <v>8618</v>
      </c>
      <c r="G344" s="30" t="s">
        <v>9735</v>
      </c>
      <c r="H344" s="30" t="s">
        <v>9736</v>
      </c>
    </row>
    <row r="345" spans="1:8">
      <c r="A345" s="30" t="s">
        <v>9737</v>
      </c>
      <c r="B345" s="30"/>
      <c r="C345" s="30" t="s">
        <v>8607</v>
      </c>
      <c r="D345" s="30"/>
      <c r="E345" s="30" t="s">
        <v>9738</v>
      </c>
      <c r="F345" s="30" t="e">
        <v>#VALUE!</v>
      </c>
      <c r="G345" s="30" t="s">
        <v>9739</v>
      </c>
      <c r="H345" s="30" t="s">
        <v>9740</v>
      </c>
    </row>
    <row r="346" spans="1:8">
      <c r="A346" s="30" t="s">
        <v>9741</v>
      </c>
      <c r="B346" s="30"/>
      <c r="C346" s="30" t="s">
        <v>8607</v>
      </c>
      <c r="D346" s="30" t="s">
        <v>9742</v>
      </c>
      <c r="E346" s="30" t="s">
        <v>8850</v>
      </c>
      <c r="F346" s="30" t="s">
        <v>8672</v>
      </c>
      <c r="G346" s="30" t="s">
        <v>8851</v>
      </c>
      <c r="H346" s="30" t="s">
        <v>9743</v>
      </c>
    </row>
    <row r="347" spans="1:8">
      <c r="A347" s="30" t="s">
        <v>9744</v>
      </c>
      <c r="B347" s="30"/>
      <c r="C347" s="30" t="s">
        <v>8607</v>
      </c>
      <c r="D347" s="30" t="s">
        <v>9745</v>
      </c>
      <c r="E347" s="30"/>
      <c r="F347" s="30"/>
      <c r="G347" s="30"/>
      <c r="H347" s="30" t="s">
        <v>9746</v>
      </c>
    </row>
    <row r="348" spans="1:8">
      <c r="A348" s="30" t="s">
        <v>9747</v>
      </c>
      <c r="B348" s="30"/>
      <c r="C348" s="30" t="s">
        <v>8626</v>
      </c>
      <c r="D348" s="30" t="s">
        <v>9748</v>
      </c>
      <c r="E348" s="30" t="s">
        <v>9749</v>
      </c>
      <c r="F348" s="30" t="e">
        <v>#VALUE!</v>
      </c>
      <c r="G348" s="30" t="s">
        <v>9750</v>
      </c>
      <c r="H348" s="30" t="s">
        <v>9751</v>
      </c>
    </row>
    <row r="349" spans="1:8">
      <c r="A349" s="30" t="s">
        <v>9752</v>
      </c>
      <c r="B349" s="30"/>
      <c r="C349" s="30" t="s">
        <v>8626</v>
      </c>
      <c r="D349" s="30" t="s">
        <v>9753</v>
      </c>
      <c r="E349" s="30" t="s">
        <v>9754</v>
      </c>
      <c r="F349" s="30" t="e">
        <v>#VALUE!</v>
      </c>
      <c r="G349" s="30" t="s">
        <v>9755</v>
      </c>
      <c r="H349" s="30" t="s">
        <v>9756</v>
      </c>
    </row>
    <row r="350" spans="1:8">
      <c r="A350" s="30" t="s">
        <v>9757</v>
      </c>
      <c r="B350" s="30"/>
      <c r="C350" s="30" t="s">
        <v>8607</v>
      </c>
      <c r="D350" s="30" t="s">
        <v>9758</v>
      </c>
      <c r="E350" s="30" t="s">
        <v>9759</v>
      </c>
      <c r="F350" s="30" t="s">
        <v>8618</v>
      </c>
      <c r="G350" s="30" t="s">
        <v>9002</v>
      </c>
      <c r="H350" s="30" t="s">
        <v>9760</v>
      </c>
    </row>
    <row r="351" spans="1:8">
      <c r="A351" s="30" t="s">
        <v>9761</v>
      </c>
      <c r="B351" s="30"/>
      <c r="C351" s="30" t="s">
        <v>8607</v>
      </c>
      <c r="D351" s="30"/>
      <c r="E351" s="30" t="s">
        <v>9762</v>
      </c>
      <c r="F351" s="30" t="s">
        <v>8618</v>
      </c>
      <c r="G351" s="30" t="s">
        <v>9419</v>
      </c>
      <c r="H351" s="30" t="s">
        <v>9763</v>
      </c>
    </row>
    <row r="352" spans="1:8">
      <c r="A352" s="30" t="s">
        <v>9764</v>
      </c>
      <c r="B352" s="30"/>
      <c r="C352" s="30" t="s">
        <v>8626</v>
      </c>
      <c r="D352" s="30" t="s">
        <v>9765</v>
      </c>
      <c r="E352" s="30" t="s">
        <v>9766</v>
      </c>
      <c r="F352" s="30" t="s">
        <v>8618</v>
      </c>
      <c r="G352" s="30" t="s">
        <v>9767</v>
      </c>
      <c r="H352" s="30" t="s">
        <v>9768</v>
      </c>
    </row>
    <row r="353" spans="1:8">
      <c r="A353" s="30" t="s">
        <v>9769</v>
      </c>
      <c r="B353" s="30"/>
      <c r="C353" s="30" t="s">
        <v>8607</v>
      </c>
      <c r="D353" s="30"/>
      <c r="E353" s="30"/>
      <c r="F353" s="30"/>
      <c r="G353" s="30" t="s">
        <v>9190</v>
      </c>
      <c r="H353" s="30" t="s">
        <v>9770</v>
      </c>
    </row>
    <row r="354" spans="1:8">
      <c r="A354" s="30" t="s">
        <v>9771</v>
      </c>
      <c r="B354" s="30"/>
      <c r="C354" s="30" t="s">
        <v>8626</v>
      </c>
      <c r="D354" s="30" t="s">
        <v>9772</v>
      </c>
      <c r="E354" s="30" t="s">
        <v>9773</v>
      </c>
      <c r="F354" s="30" t="s">
        <v>8618</v>
      </c>
      <c r="G354" s="30"/>
      <c r="H354" s="30" t="s">
        <v>9774</v>
      </c>
    </row>
    <row r="355" spans="1:8">
      <c r="A355" s="30" t="s">
        <v>9775</v>
      </c>
      <c r="B355" s="30"/>
      <c r="C355" s="30" t="s">
        <v>8607</v>
      </c>
      <c r="D355" s="30"/>
      <c r="E355" s="30"/>
      <c r="F355" s="30"/>
      <c r="G355" s="30" t="s">
        <v>9776</v>
      </c>
      <c r="H355" s="30" t="s">
        <v>9777</v>
      </c>
    </row>
    <row r="356" spans="1:8">
      <c r="A356" s="30" t="s">
        <v>9778</v>
      </c>
      <c r="B356" s="30"/>
      <c r="C356" s="30" t="s">
        <v>8607</v>
      </c>
      <c r="D356" s="30"/>
      <c r="E356" s="30"/>
      <c r="F356" s="30"/>
      <c r="G356" s="30"/>
      <c r="H356" s="30" t="s">
        <v>9779</v>
      </c>
    </row>
    <row r="357" spans="1:8">
      <c r="A357" s="30" t="s">
        <v>9780</v>
      </c>
      <c r="B357" s="30"/>
      <c r="C357" s="30" t="s">
        <v>8626</v>
      </c>
      <c r="D357" s="30" t="s">
        <v>9104</v>
      </c>
      <c r="E357" s="30" t="s">
        <v>9781</v>
      </c>
      <c r="F357" s="30" t="e">
        <v>#VALUE!</v>
      </c>
      <c r="G357" s="30" t="s">
        <v>8678</v>
      </c>
      <c r="H357" s="30" t="s">
        <v>9782</v>
      </c>
    </row>
    <row r="358" spans="1:8">
      <c r="A358" s="30" t="s">
        <v>9783</v>
      </c>
      <c r="B358" s="30"/>
      <c r="C358" s="30" t="s">
        <v>8626</v>
      </c>
      <c r="D358" s="30" t="s">
        <v>9784</v>
      </c>
      <c r="E358" s="30" t="s">
        <v>9785</v>
      </c>
      <c r="F358" s="30" t="s">
        <v>8672</v>
      </c>
      <c r="G358" s="30" t="s">
        <v>9002</v>
      </c>
      <c r="H358" s="30" t="s">
        <v>9786</v>
      </c>
    </row>
    <row r="359" spans="1:8">
      <c r="A359" s="30" t="s">
        <v>9787</v>
      </c>
      <c r="B359" s="30"/>
      <c r="C359" s="30" t="s">
        <v>8626</v>
      </c>
      <c r="D359" s="30"/>
      <c r="E359" s="30"/>
      <c r="F359" s="30"/>
      <c r="G359" s="30"/>
      <c r="H359" s="30" t="s">
        <v>9788</v>
      </c>
    </row>
    <row r="360" spans="1:8">
      <c r="A360" s="30" t="s">
        <v>9789</v>
      </c>
      <c r="B360" s="30"/>
      <c r="C360" s="30" t="s">
        <v>8607</v>
      </c>
      <c r="D360" s="30" t="s">
        <v>9790</v>
      </c>
      <c r="E360" s="30" t="s">
        <v>9791</v>
      </c>
      <c r="F360" s="30" t="s">
        <v>8672</v>
      </c>
      <c r="G360" s="30" t="s">
        <v>9275</v>
      </c>
      <c r="H360" s="30" t="s">
        <v>9792</v>
      </c>
    </row>
    <row r="361" spans="1:8">
      <c r="A361" s="30" t="s">
        <v>9793</v>
      </c>
      <c r="B361" s="30"/>
      <c r="C361" s="30" t="s">
        <v>8626</v>
      </c>
      <c r="D361" s="30" t="s">
        <v>9794</v>
      </c>
      <c r="E361" s="30" t="s">
        <v>9795</v>
      </c>
      <c r="F361" s="30" t="s">
        <v>8618</v>
      </c>
      <c r="G361" s="30" t="s">
        <v>9796</v>
      </c>
      <c r="H361" s="30" t="s">
        <v>9797</v>
      </c>
    </row>
    <row r="362" spans="1:8">
      <c r="A362" s="30" t="s">
        <v>9798</v>
      </c>
      <c r="B362" s="30"/>
      <c r="C362" s="30" t="s">
        <v>8607</v>
      </c>
      <c r="D362" s="30" t="s">
        <v>9799</v>
      </c>
      <c r="E362" s="30"/>
      <c r="F362" s="30"/>
      <c r="G362" s="30" t="s">
        <v>8695</v>
      </c>
      <c r="H362" s="30" t="s">
        <v>9800</v>
      </c>
    </row>
    <row r="363" spans="1:8">
      <c r="A363" s="30" t="s">
        <v>9801</v>
      </c>
      <c r="B363" s="30"/>
      <c r="C363" s="30" t="s">
        <v>8607</v>
      </c>
      <c r="D363" s="30" t="s">
        <v>9802</v>
      </c>
      <c r="E363" s="30"/>
      <c r="F363" s="30"/>
      <c r="G363" s="30" t="s">
        <v>9803</v>
      </c>
      <c r="H363" s="30" t="s">
        <v>9804</v>
      </c>
    </row>
    <row r="364" spans="1:8">
      <c r="A364" s="30" t="s">
        <v>9805</v>
      </c>
      <c r="B364" s="30"/>
      <c r="C364" s="30" t="s">
        <v>8607</v>
      </c>
      <c r="D364" s="30"/>
      <c r="E364" s="30" t="s">
        <v>9738</v>
      </c>
      <c r="F364" s="30" t="e">
        <v>#VALUE!</v>
      </c>
      <c r="G364" s="30" t="s">
        <v>9739</v>
      </c>
      <c r="H364" s="30" t="s">
        <v>9740</v>
      </c>
    </row>
    <row r="365" spans="1:8">
      <c r="A365" s="30" t="s">
        <v>9806</v>
      </c>
      <c r="B365" s="30"/>
      <c r="C365" s="30" t="s">
        <v>8626</v>
      </c>
      <c r="D365" s="30" t="s">
        <v>9807</v>
      </c>
      <c r="E365" s="30" t="s">
        <v>9808</v>
      </c>
      <c r="F365" s="30" t="s">
        <v>8618</v>
      </c>
      <c r="G365" s="30" t="s">
        <v>9672</v>
      </c>
      <c r="H365" s="30" t="s">
        <v>9809</v>
      </c>
    </row>
    <row r="366" spans="1:8">
      <c r="A366" s="30" t="s">
        <v>9810</v>
      </c>
      <c r="B366" s="30"/>
      <c r="C366" s="30" t="s">
        <v>8607</v>
      </c>
      <c r="D366" s="30" t="s">
        <v>9811</v>
      </c>
      <c r="E366" s="30" t="s">
        <v>9812</v>
      </c>
      <c r="F366" s="30" t="s">
        <v>8672</v>
      </c>
      <c r="G366" s="30"/>
      <c r="H366" s="30" t="s">
        <v>9813</v>
      </c>
    </row>
    <row r="367" spans="1:8">
      <c r="A367" s="30" t="s">
        <v>9814</v>
      </c>
      <c r="B367" s="30"/>
      <c r="C367" s="30" t="s">
        <v>8607</v>
      </c>
      <c r="D367" s="30"/>
      <c r="E367" s="30"/>
      <c r="F367" s="30"/>
      <c r="G367" s="30"/>
      <c r="H367" s="30" t="s">
        <v>9815</v>
      </c>
    </row>
    <row r="368" spans="1:8">
      <c r="A368" s="30" t="s">
        <v>9816</v>
      </c>
      <c r="B368" s="30"/>
      <c r="C368" s="30" t="s">
        <v>8607</v>
      </c>
      <c r="D368" s="30"/>
      <c r="E368" s="30"/>
      <c r="F368" s="30"/>
      <c r="G368" s="30" t="s">
        <v>8678</v>
      </c>
      <c r="H368" s="30" t="s">
        <v>9817</v>
      </c>
    </row>
    <row r="369" spans="1:8">
      <c r="A369" s="30" t="s">
        <v>9818</v>
      </c>
      <c r="B369" s="30"/>
      <c r="C369" s="30" t="s">
        <v>8607</v>
      </c>
      <c r="D369" s="30" t="s">
        <v>9819</v>
      </c>
      <c r="E369" s="30" t="s">
        <v>9820</v>
      </c>
      <c r="F369" s="30" t="s">
        <v>8618</v>
      </c>
      <c r="G369" s="30" t="s">
        <v>9821</v>
      </c>
      <c r="H369" s="30" t="s">
        <v>9822</v>
      </c>
    </row>
    <row r="370" spans="1:8">
      <c r="A370" s="30" t="s">
        <v>9823</v>
      </c>
      <c r="B370" s="30"/>
      <c r="C370" s="30" t="s">
        <v>8607</v>
      </c>
      <c r="D370" s="30" t="s">
        <v>9824</v>
      </c>
      <c r="E370" s="30"/>
      <c r="F370" s="30"/>
      <c r="G370" s="30" t="s">
        <v>9002</v>
      </c>
      <c r="H370" s="30" t="s">
        <v>9825</v>
      </c>
    </row>
    <row r="371" spans="1:8">
      <c r="A371" s="30" t="s">
        <v>9826</v>
      </c>
      <c r="B371" s="30"/>
      <c r="C371" s="30" t="s">
        <v>8607</v>
      </c>
      <c r="D371" s="30"/>
      <c r="E371" s="30" t="s">
        <v>9827</v>
      </c>
      <c r="F371" s="30" t="s">
        <v>8672</v>
      </c>
      <c r="G371" s="30" t="s">
        <v>9414</v>
      </c>
      <c r="H371" s="30" t="s">
        <v>9828</v>
      </c>
    </row>
    <row r="372" spans="1:8">
      <c r="A372" s="30" t="s">
        <v>9829</v>
      </c>
      <c r="B372" s="30"/>
      <c r="C372" s="30"/>
      <c r="D372" s="32" t="s">
        <v>9830</v>
      </c>
      <c r="E372" s="30"/>
      <c r="F372" s="30"/>
      <c r="G372" s="30"/>
      <c r="H372" s="30" t="s">
        <v>9831</v>
      </c>
    </row>
    <row r="373" spans="1:8">
      <c r="A373" s="30" t="s">
        <v>9832</v>
      </c>
      <c r="B373" s="30"/>
      <c r="C373" s="30" t="s">
        <v>8607</v>
      </c>
      <c r="D373" s="30" t="s">
        <v>9833</v>
      </c>
      <c r="E373" s="30" t="s">
        <v>9834</v>
      </c>
      <c r="F373" s="30" t="s">
        <v>8618</v>
      </c>
      <c r="G373" s="30" t="s">
        <v>9835</v>
      </c>
      <c r="H373" s="30" t="s">
        <v>9836</v>
      </c>
    </row>
    <row r="374" spans="1:8">
      <c r="A374" s="30" t="s">
        <v>9837</v>
      </c>
      <c r="B374" s="30"/>
      <c r="C374" s="30" t="s">
        <v>8607</v>
      </c>
      <c r="D374" s="30" t="s">
        <v>9838</v>
      </c>
      <c r="E374" s="30"/>
      <c r="F374" s="30"/>
      <c r="G374" s="30" t="s">
        <v>9839</v>
      </c>
      <c r="H374" s="30" t="s">
        <v>9840</v>
      </c>
    </row>
    <row r="375" spans="1:8">
      <c r="A375" s="30" t="s">
        <v>9841</v>
      </c>
      <c r="B375" s="30"/>
      <c r="C375" s="30" t="s">
        <v>8607</v>
      </c>
      <c r="D375" s="30" t="s">
        <v>9842</v>
      </c>
      <c r="E375" s="30" t="s">
        <v>9843</v>
      </c>
      <c r="F375" s="30" t="s">
        <v>8672</v>
      </c>
      <c r="G375" s="30" t="s">
        <v>9844</v>
      </c>
      <c r="H375" s="30" t="s">
        <v>9845</v>
      </c>
    </row>
    <row r="376" spans="1:8">
      <c r="A376" s="30" t="s">
        <v>9846</v>
      </c>
      <c r="B376" s="30"/>
      <c r="C376" s="30" t="s">
        <v>8607</v>
      </c>
      <c r="D376" s="30"/>
      <c r="E376" s="30"/>
      <c r="F376" s="30"/>
      <c r="G376" s="30" t="s">
        <v>9847</v>
      </c>
      <c r="H376" s="30" t="s">
        <v>9848</v>
      </c>
    </row>
    <row r="377" spans="1:8">
      <c r="A377" s="30" t="s">
        <v>9849</v>
      </c>
      <c r="B377" s="30"/>
      <c r="C377" s="30" t="s">
        <v>8626</v>
      </c>
      <c r="D377" s="30" t="s">
        <v>9850</v>
      </c>
      <c r="E377" s="30" t="s">
        <v>9226</v>
      </c>
      <c r="F377" s="30" t="e">
        <v>#VALUE!</v>
      </c>
      <c r="G377" s="30" t="s">
        <v>9227</v>
      </c>
      <c r="H377" s="30" t="s">
        <v>9851</v>
      </c>
    </row>
    <row r="378" spans="1:8">
      <c r="A378" s="30" t="s">
        <v>9852</v>
      </c>
      <c r="B378" s="30"/>
      <c r="C378" s="30" t="s">
        <v>8626</v>
      </c>
      <c r="D378" s="30" t="s">
        <v>9853</v>
      </c>
      <c r="E378" s="30" t="s">
        <v>9854</v>
      </c>
      <c r="F378" s="30" t="s">
        <v>8618</v>
      </c>
      <c r="G378" s="30" t="s">
        <v>9855</v>
      </c>
      <c r="H378" s="30" t="s">
        <v>9856</v>
      </c>
    </row>
    <row r="379" spans="1:8">
      <c r="A379" s="30" t="s">
        <v>9857</v>
      </c>
      <c r="B379" s="30"/>
      <c r="C379" s="30" t="s">
        <v>8607</v>
      </c>
      <c r="D379" s="30"/>
      <c r="E379" s="30"/>
      <c r="F379" s="30"/>
      <c r="G379" s="30" t="s">
        <v>8623</v>
      </c>
      <c r="H379" s="30" t="s">
        <v>9858</v>
      </c>
    </row>
    <row r="380" spans="1:8">
      <c r="A380" s="30" t="s">
        <v>9859</v>
      </c>
      <c r="B380" s="30"/>
      <c r="C380" s="30" t="s">
        <v>8607</v>
      </c>
      <c r="D380" s="30"/>
      <c r="E380" s="30"/>
      <c r="F380" s="30"/>
      <c r="G380" s="30" t="s">
        <v>9860</v>
      </c>
      <c r="H380" s="30" t="s">
        <v>9861</v>
      </c>
    </row>
    <row r="381" spans="1:8">
      <c r="A381" s="30" t="s">
        <v>9862</v>
      </c>
      <c r="B381" s="30"/>
      <c r="C381" s="30" t="s">
        <v>8607</v>
      </c>
      <c r="D381" s="30"/>
      <c r="E381" s="30"/>
      <c r="F381" s="30"/>
      <c r="G381" s="30" t="s">
        <v>9860</v>
      </c>
      <c r="H381" s="30" t="s">
        <v>9861</v>
      </c>
    </row>
    <row r="382" spans="1:8">
      <c r="A382" s="30" t="s">
        <v>9863</v>
      </c>
      <c r="B382" s="30"/>
      <c r="C382" s="30" t="s">
        <v>8607</v>
      </c>
      <c r="D382" s="30" t="s">
        <v>9000</v>
      </c>
      <c r="E382" s="30" t="s">
        <v>9864</v>
      </c>
      <c r="F382" s="30" t="e">
        <v>#VALUE!</v>
      </c>
      <c r="G382" s="30" t="s">
        <v>9002</v>
      </c>
      <c r="H382" s="30" t="s">
        <v>9865</v>
      </c>
    </row>
    <row r="383" spans="1:8">
      <c r="A383" s="30" t="s">
        <v>9866</v>
      </c>
      <c r="B383" s="30"/>
      <c r="C383" s="30" t="s">
        <v>8607</v>
      </c>
      <c r="D383" s="30" t="s">
        <v>9867</v>
      </c>
      <c r="E383" s="30" t="s">
        <v>9868</v>
      </c>
      <c r="F383" s="30" t="s">
        <v>8672</v>
      </c>
      <c r="G383" s="30" t="s">
        <v>9378</v>
      </c>
      <c r="H383" s="30" t="s">
        <v>9869</v>
      </c>
    </row>
    <row r="384" spans="1:8">
      <c r="A384" s="30" t="s">
        <v>9870</v>
      </c>
      <c r="B384" s="30"/>
      <c r="C384" s="30" t="s">
        <v>8607</v>
      </c>
      <c r="D384" s="30" t="s">
        <v>9871</v>
      </c>
      <c r="E384" s="30" t="s">
        <v>9872</v>
      </c>
      <c r="F384" s="30" t="s">
        <v>8672</v>
      </c>
      <c r="G384" s="30" t="s">
        <v>9378</v>
      </c>
      <c r="H384" s="30" t="s">
        <v>9873</v>
      </c>
    </row>
    <row r="385" spans="1:8">
      <c r="A385" s="30" t="s">
        <v>9874</v>
      </c>
      <c r="B385" s="30"/>
      <c r="C385" s="30" t="s">
        <v>8607</v>
      </c>
      <c r="D385" s="30" t="s">
        <v>9875</v>
      </c>
      <c r="E385" s="30" t="s">
        <v>9876</v>
      </c>
      <c r="F385" s="30" t="e">
        <v>#VALUE!</v>
      </c>
      <c r="G385" s="30" t="s">
        <v>9877</v>
      </c>
      <c r="H385" s="30" t="s">
        <v>9878</v>
      </c>
    </row>
    <row r="386" spans="1:8">
      <c r="A386" s="30" t="s">
        <v>9879</v>
      </c>
      <c r="B386" s="30"/>
      <c r="C386" s="30" t="s">
        <v>8607</v>
      </c>
      <c r="D386" s="30"/>
      <c r="E386" s="30"/>
      <c r="F386" s="30"/>
      <c r="G386" s="30" t="s">
        <v>9622</v>
      </c>
      <c r="H386" s="30" t="s">
        <v>9880</v>
      </c>
    </row>
    <row r="387" spans="1:8">
      <c r="A387" s="30" t="s">
        <v>9881</v>
      </c>
      <c r="B387" s="30"/>
      <c r="C387" s="30" t="s">
        <v>8607</v>
      </c>
      <c r="D387" s="30" t="s">
        <v>9665</v>
      </c>
      <c r="E387" s="30" t="s">
        <v>9882</v>
      </c>
      <c r="F387" s="30" t="s">
        <v>8618</v>
      </c>
      <c r="G387" s="30" t="s">
        <v>9667</v>
      </c>
      <c r="H387" s="30" t="s">
        <v>9883</v>
      </c>
    </row>
    <row r="388" spans="1:8">
      <c r="A388" s="30" t="s">
        <v>9884</v>
      </c>
      <c r="B388" s="30"/>
      <c r="C388" s="30"/>
      <c r="D388" s="32"/>
      <c r="E388" s="30" t="s">
        <v>9885</v>
      </c>
      <c r="F388" s="30" t="s">
        <v>8618</v>
      </c>
      <c r="G388" s="30"/>
      <c r="H388" s="30" t="s">
        <v>9886</v>
      </c>
    </row>
    <row r="389" spans="1:8">
      <c r="A389" s="30" t="s">
        <v>9887</v>
      </c>
      <c r="B389" s="30"/>
      <c r="C389" s="30" t="s">
        <v>8626</v>
      </c>
      <c r="D389" s="30"/>
      <c r="E389" s="30" t="s">
        <v>9888</v>
      </c>
      <c r="F389" s="30" t="s">
        <v>8618</v>
      </c>
      <c r="G389" s="30" t="s">
        <v>8623</v>
      </c>
      <c r="H389" s="30" t="s">
        <v>9889</v>
      </c>
    </row>
    <row r="390" spans="1:8">
      <c r="A390" s="30" t="s">
        <v>9890</v>
      </c>
      <c r="B390" s="30"/>
      <c r="C390" s="30"/>
      <c r="D390" s="32"/>
      <c r="E390" s="30"/>
      <c r="F390" s="30"/>
      <c r="G390" s="30"/>
      <c r="H390" s="30" t="s">
        <v>9891</v>
      </c>
    </row>
    <row r="391" spans="1:8">
      <c r="A391" s="30" t="s">
        <v>9892</v>
      </c>
      <c r="B391" s="30"/>
      <c r="C391" s="30" t="s">
        <v>8626</v>
      </c>
      <c r="D391" s="30"/>
      <c r="E391" s="30"/>
      <c r="F391" s="30"/>
      <c r="G391" s="30" t="s">
        <v>9893</v>
      </c>
      <c r="H391" s="30" t="s">
        <v>9894</v>
      </c>
    </row>
    <row r="392" spans="1:8">
      <c r="A392" s="30" t="s">
        <v>9895</v>
      </c>
      <c r="B392" s="30"/>
      <c r="C392" s="30" t="s">
        <v>8607</v>
      </c>
      <c r="D392" s="30"/>
      <c r="E392" s="30" t="s">
        <v>9896</v>
      </c>
      <c r="F392" s="30" t="s">
        <v>8618</v>
      </c>
      <c r="G392" s="30" t="s">
        <v>9897</v>
      </c>
      <c r="H392" s="30" t="s">
        <v>9898</v>
      </c>
    </row>
    <row r="393" spans="1:8">
      <c r="A393" s="30" t="s">
        <v>9899</v>
      </c>
      <c r="B393" s="30"/>
      <c r="C393" s="30" t="s">
        <v>8626</v>
      </c>
      <c r="D393" s="30"/>
      <c r="E393" s="30" t="s">
        <v>9900</v>
      </c>
      <c r="F393" s="30" t="s">
        <v>8618</v>
      </c>
      <c r="G393" s="30" t="s">
        <v>9667</v>
      </c>
      <c r="H393" s="30" t="s">
        <v>9901</v>
      </c>
    </row>
    <row r="394" spans="1:8">
      <c r="A394" s="30" t="s">
        <v>9902</v>
      </c>
      <c r="B394" s="30"/>
      <c r="C394" s="30" t="s">
        <v>8607</v>
      </c>
      <c r="D394" s="30" t="s">
        <v>9903</v>
      </c>
      <c r="E394" s="30" t="s">
        <v>9467</v>
      </c>
      <c r="F394" s="30" t="s">
        <v>8672</v>
      </c>
      <c r="G394" s="30" t="s">
        <v>9904</v>
      </c>
      <c r="H394" s="30" t="s">
        <v>9905</v>
      </c>
    </row>
    <row r="395" spans="1:8">
      <c r="A395" s="30" t="s">
        <v>9906</v>
      </c>
      <c r="B395" s="30"/>
      <c r="C395" s="30" t="s">
        <v>8607</v>
      </c>
      <c r="D395" s="30" t="s">
        <v>9907</v>
      </c>
      <c r="E395" s="30" t="s">
        <v>8850</v>
      </c>
      <c r="F395" s="30" t="s">
        <v>8672</v>
      </c>
      <c r="G395" s="30" t="s">
        <v>8851</v>
      </c>
      <c r="H395" s="30" t="s">
        <v>9743</v>
      </c>
    </row>
    <row r="396" spans="1:8">
      <c r="A396" s="30" t="s">
        <v>9908</v>
      </c>
      <c r="B396" s="30"/>
      <c r="C396" s="30" t="s">
        <v>8607</v>
      </c>
      <c r="D396" s="30" t="s">
        <v>9909</v>
      </c>
      <c r="E396" s="30" t="s">
        <v>8850</v>
      </c>
      <c r="F396" s="30" t="s">
        <v>8672</v>
      </c>
      <c r="G396" s="30" t="s">
        <v>8851</v>
      </c>
      <c r="H396" s="30" t="s">
        <v>9910</v>
      </c>
    </row>
    <row r="397" spans="1:8">
      <c r="A397" s="30" t="s">
        <v>9911</v>
      </c>
      <c r="B397" s="30"/>
      <c r="C397" s="30" t="s">
        <v>8607</v>
      </c>
      <c r="D397" s="30"/>
      <c r="E397" s="30" t="s">
        <v>9912</v>
      </c>
      <c r="F397" s="30" t="s">
        <v>8618</v>
      </c>
      <c r="G397" s="30" t="s">
        <v>9913</v>
      </c>
      <c r="H397" s="30" t="s">
        <v>9914</v>
      </c>
    </row>
    <row r="398" spans="1:8">
      <c r="A398" s="30" t="s">
        <v>9915</v>
      </c>
      <c r="B398" s="30"/>
      <c r="C398" s="30" t="s">
        <v>8626</v>
      </c>
      <c r="D398" s="30" t="s">
        <v>9916</v>
      </c>
      <c r="E398" s="30" t="s">
        <v>9808</v>
      </c>
      <c r="F398" s="30" t="s">
        <v>8618</v>
      </c>
      <c r="G398" s="30" t="s">
        <v>9672</v>
      </c>
      <c r="H398" s="30" t="s">
        <v>9917</v>
      </c>
    </row>
    <row r="399" spans="1:8">
      <c r="A399" s="30" t="s">
        <v>9918</v>
      </c>
      <c r="B399" s="30"/>
      <c r="C399" s="30" t="s">
        <v>8607</v>
      </c>
      <c r="D399" s="30" t="s">
        <v>9919</v>
      </c>
      <c r="E399" s="30"/>
      <c r="F399" s="30"/>
      <c r="G399" s="30" t="s">
        <v>9920</v>
      </c>
      <c r="H399" s="30" t="s">
        <v>9921</v>
      </c>
    </row>
    <row r="400" spans="1:8">
      <c r="A400" s="30" t="s">
        <v>9922</v>
      </c>
      <c r="B400" s="30"/>
      <c r="C400" s="30" t="s">
        <v>8607</v>
      </c>
      <c r="D400" s="30"/>
      <c r="E400" s="30"/>
      <c r="F400" s="30"/>
      <c r="G400" s="30" t="s">
        <v>9920</v>
      </c>
      <c r="H400" s="30" t="s">
        <v>9923</v>
      </c>
    </row>
    <row r="401" spans="1:8">
      <c r="A401" s="30" t="s">
        <v>9924</v>
      </c>
      <c r="B401" s="30"/>
      <c r="C401" s="30" t="s">
        <v>8607</v>
      </c>
      <c r="D401" s="30" t="s">
        <v>9919</v>
      </c>
      <c r="E401" s="30"/>
      <c r="F401" s="30"/>
      <c r="G401" s="30" t="s">
        <v>9920</v>
      </c>
      <c r="H401" s="30" t="s">
        <v>9921</v>
      </c>
    </row>
    <row r="402" spans="1:8">
      <c r="A402" s="30" t="s">
        <v>9925</v>
      </c>
      <c r="B402" s="30"/>
      <c r="C402" s="30" t="s">
        <v>8626</v>
      </c>
      <c r="D402" s="30" t="s">
        <v>9926</v>
      </c>
      <c r="E402" s="30" t="s">
        <v>9927</v>
      </c>
      <c r="F402" s="30" t="e">
        <v>#VALUE!</v>
      </c>
      <c r="G402" s="30"/>
      <c r="H402" s="30" t="s">
        <v>9928</v>
      </c>
    </row>
    <row r="403" spans="1:8">
      <c r="A403" s="30" t="s">
        <v>9929</v>
      </c>
      <c r="B403" s="30"/>
      <c r="C403" s="30" t="s">
        <v>8607</v>
      </c>
      <c r="D403" s="30" t="s">
        <v>8938</v>
      </c>
      <c r="E403" s="30"/>
      <c r="F403" s="30"/>
      <c r="G403" s="30" t="s">
        <v>8737</v>
      </c>
      <c r="H403" s="30" t="s">
        <v>9930</v>
      </c>
    </row>
    <row r="404" spans="1:8">
      <c r="A404" s="30" t="s">
        <v>9931</v>
      </c>
      <c r="B404" s="30"/>
      <c r="C404" s="30" t="s">
        <v>8626</v>
      </c>
      <c r="D404" s="30"/>
      <c r="E404" s="30"/>
      <c r="F404" s="30"/>
      <c r="G404" s="30" t="s">
        <v>9932</v>
      </c>
      <c r="H404" s="30" t="s">
        <v>9933</v>
      </c>
    </row>
    <row r="405" spans="1:8">
      <c r="A405" s="30" t="s">
        <v>9934</v>
      </c>
      <c r="B405" s="30"/>
      <c r="C405" s="30" t="s">
        <v>8607</v>
      </c>
      <c r="D405" s="30"/>
      <c r="E405" s="30"/>
      <c r="F405" s="30"/>
      <c r="G405" s="30" t="s">
        <v>9935</v>
      </c>
      <c r="H405" s="30" t="s">
        <v>9936</v>
      </c>
    </row>
    <row r="406" spans="1:8">
      <c r="A406" s="30" t="s">
        <v>9937</v>
      </c>
      <c r="B406" s="30"/>
      <c r="C406" s="30" t="s">
        <v>8607</v>
      </c>
      <c r="D406" s="30" t="s">
        <v>9938</v>
      </c>
      <c r="E406" s="30" t="s">
        <v>9939</v>
      </c>
      <c r="F406" s="30" t="s">
        <v>8672</v>
      </c>
      <c r="G406" s="30" t="s">
        <v>9512</v>
      </c>
      <c r="H406" s="30" t="s">
        <v>9940</v>
      </c>
    </row>
    <row r="407" spans="1:8">
      <c r="A407" s="30" t="s">
        <v>9941</v>
      </c>
      <c r="B407" s="30"/>
      <c r="C407" s="30" t="s">
        <v>8607</v>
      </c>
      <c r="D407" s="30" t="s">
        <v>9942</v>
      </c>
      <c r="E407" s="30" t="s">
        <v>9943</v>
      </c>
      <c r="F407" s="30" t="s">
        <v>8672</v>
      </c>
      <c r="G407" s="30" t="s">
        <v>9140</v>
      </c>
      <c r="H407" s="30" t="s">
        <v>9944</v>
      </c>
    </row>
    <row r="408" spans="1:8">
      <c r="A408" s="30" t="s">
        <v>9945</v>
      </c>
      <c r="B408" s="30"/>
      <c r="C408" s="30" t="s">
        <v>8607</v>
      </c>
      <c r="D408" s="30" t="s">
        <v>9946</v>
      </c>
      <c r="E408" s="30" t="s">
        <v>9947</v>
      </c>
      <c r="F408" s="30" t="s">
        <v>8618</v>
      </c>
      <c r="G408" s="30" t="s">
        <v>9948</v>
      </c>
      <c r="H408" s="30" t="s">
        <v>9949</v>
      </c>
    </row>
    <row r="409" spans="1:8">
      <c r="A409" s="30" t="s">
        <v>9950</v>
      </c>
      <c r="B409" s="30"/>
      <c r="C409" s="30" t="s">
        <v>8626</v>
      </c>
      <c r="D409" s="30" t="s">
        <v>9951</v>
      </c>
      <c r="E409" s="30" t="s">
        <v>9952</v>
      </c>
      <c r="F409" s="30" t="e">
        <v>#VALUE!</v>
      </c>
      <c r="G409" s="30" t="s">
        <v>9953</v>
      </c>
      <c r="H409" s="30" t="s">
        <v>9954</v>
      </c>
    </row>
    <row r="410" spans="1:8">
      <c r="A410" s="30" t="s">
        <v>9955</v>
      </c>
      <c r="B410" s="30"/>
      <c r="C410" s="30" t="s">
        <v>8607</v>
      </c>
      <c r="D410" s="30" t="s">
        <v>9956</v>
      </c>
      <c r="E410" s="30" t="s">
        <v>9876</v>
      </c>
      <c r="F410" s="30" t="e">
        <v>#VALUE!</v>
      </c>
      <c r="G410" s="30" t="s">
        <v>9877</v>
      </c>
      <c r="H410" s="30" t="s">
        <v>9957</v>
      </c>
    </row>
    <row r="411" spans="1:8">
      <c r="A411" s="30" t="s">
        <v>9958</v>
      </c>
      <c r="B411" s="30"/>
      <c r="C411" s="30" t="s">
        <v>8607</v>
      </c>
      <c r="D411" s="30" t="s">
        <v>9959</v>
      </c>
      <c r="E411" s="30" t="s">
        <v>9960</v>
      </c>
      <c r="F411" s="30" t="s">
        <v>8618</v>
      </c>
      <c r="G411" s="30" t="s">
        <v>9961</v>
      </c>
      <c r="H411" s="30" t="s">
        <v>9962</v>
      </c>
    </row>
    <row r="412" spans="1:8">
      <c r="A412" s="30" t="s">
        <v>9963</v>
      </c>
      <c r="B412" s="30"/>
      <c r="C412" s="30" t="s">
        <v>8626</v>
      </c>
      <c r="D412" s="30"/>
      <c r="E412" s="30"/>
      <c r="F412" s="30"/>
      <c r="G412" s="30"/>
      <c r="H412" s="30" t="s">
        <v>9964</v>
      </c>
    </row>
    <row r="413" spans="1:8">
      <c r="A413" s="30" t="s">
        <v>9965</v>
      </c>
      <c r="B413" s="30"/>
      <c r="C413" s="30"/>
      <c r="D413" s="32" t="s">
        <v>9966</v>
      </c>
      <c r="E413" s="30" t="s">
        <v>9967</v>
      </c>
      <c r="F413" s="30" t="s">
        <v>9066</v>
      </c>
      <c r="G413" s="30"/>
      <c r="H413" s="30" t="s">
        <v>9968</v>
      </c>
    </row>
    <row r="414" spans="1:8">
      <c r="A414" s="30" t="s">
        <v>9969</v>
      </c>
      <c r="B414" s="30"/>
      <c r="C414" s="30" t="s">
        <v>8607</v>
      </c>
      <c r="D414" s="30" t="s">
        <v>9970</v>
      </c>
      <c r="E414" s="30" t="s">
        <v>9971</v>
      </c>
      <c r="F414" s="30" t="s">
        <v>8672</v>
      </c>
      <c r="G414" s="30" t="s">
        <v>9972</v>
      </c>
      <c r="H414" s="30" t="s">
        <v>9973</v>
      </c>
    </row>
    <row r="415" spans="1:8">
      <c r="A415" s="30" t="s">
        <v>9974</v>
      </c>
      <c r="B415" s="30"/>
      <c r="C415" s="30" t="s">
        <v>8607</v>
      </c>
      <c r="D415" s="30" t="s">
        <v>9975</v>
      </c>
      <c r="E415" s="30"/>
      <c r="F415" s="30"/>
      <c r="G415" s="30" t="s">
        <v>9976</v>
      </c>
      <c r="H415" s="30" t="s">
        <v>9977</v>
      </c>
    </row>
    <row r="416" spans="1:8">
      <c r="A416" s="30" t="s">
        <v>9978</v>
      </c>
      <c r="B416" s="30"/>
      <c r="C416" s="30" t="s">
        <v>8607</v>
      </c>
      <c r="D416" s="30"/>
      <c r="E416" s="30"/>
      <c r="F416" s="30"/>
      <c r="G416" s="30" t="s">
        <v>8729</v>
      </c>
      <c r="H416" s="30" t="s">
        <v>9979</v>
      </c>
    </row>
    <row r="417" spans="1:8">
      <c r="A417" s="30" t="s">
        <v>9980</v>
      </c>
      <c r="B417" s="30"/>
      <c r="C417" s="30" t="s">
        <v>8607</v>
      </c>
      <c r="D417" s="30"/>
      <c r="E417" s="30"/>
      <c r="F417" s="30"/>
      <c r="G417" s="30"/>
      <c r="H417" s="30" t="s">
        <v>9981</v>
      </c>
    </row>
    <row r="418" spans="1:8">
      <c r="A418" s="30" t="s">
        <v>9982</v>
      </c>
      <c r="B418" s="30"/>
      <c r="C418" s="30" t="s">
        <v>8607</v>
      </c>
      <c r="D418" s="30" t="s">
        <v>9983</v>
      </c>
      <c r="E418" s="30"/>
      <c r="F418" s="30"/>
      <c r="G418" s="30" t="s">
        <v>8681</v>
      </c>
      <c r="H418" s="30" t="s">
        <v>9984</v>
      </c>
    </row>
    <row r="419" spans="1:8">
      <c r="A419" s="30" t="s">
        <v>9985</v>
      </c>
      <c r="B419" s="30"/>
      <c r="C419" s="30" t="s">
        <v>8607</v>
      </c>
      <c r="D419" s="30" t="s">
        <v>9986</v>
      </c>
      <c r="E419" s="30" t="s">
        <v>9987</v>
      </c>
      <c r="F419" s="30" t="s">
        <v>8618</v>
      </c>
      <c r="G419" s="30" t="s">
        <v>9988</v>
      </c>
      <c r="H419" s="30" t="s">
        <v>9989</v>
      </c>
    </row>
    <row r="420" spans="1:8">
      <c r="A420" s="30" t="s">
        <v>9990</v>
      </c>
      <c r="B420" s="30"/>
      <c r="C420" s="30" t="s">
        <v>8607</v>
      </c>
      <c r="D420" s="30"/>
      <c r="E420" s="30" t="s">
        <v>9991</v>
      </c>
      <c r="F420" s="30" t="e">
        <v>#VALUE!</v>
      </c>
      <c r="G420" s="30" t="s">
        <v>9992</v>
      </c>
      <c r="H420" s="30" t="s">
        <v>9993</v>
      </c>
    </row>
    <row r="421" spans="1:8">
      <c r="A421" s="30" t="s">
        <v>9994</v>
      </c>
      <c r="B421" s="30"/>
      <c r="C421" s="30" t="s">
        <v>8607</v>
      </c>
      <c r="D421" s="30"/>
      <c r="E421" s="30"/>
      <c r="F421" s="30"/>
      <c r="G421" s="30"/>
      <c r="H421" s="30" t="s">
        <v>9995</v>
      </c>
    </row>
    <row r="422" spans="1:8">
      <c r="A422" s="30" t="s">
        <v>9996</v>
      </c>
      <c r="B422" s="30"/>
      <c r="C422" s="30" t="s">
        <v>8626</v>
      </c>
      <c r="D422" s="30"/>
      <c r="E422" s="30"/>
      <c r="F422" s="30"/>
      <c r="G422" s="30" t="s">
        <v>9997</v>
      </c>
      <c r="H422" s="30" t="s">
        <v>9998</v>
      </c>
    </row>
    <row r="423" spans="1:8">
      <c r="A423" s="30" t="s">
        <v>9999</v>
      </c>
      <c r="B423" s="30"/>
      <c r="C423" s="30" t="s">
        <v>8607</v>
      </c>
      <c r="D423" s="30"/>
      <c r="E423" s="30" t="s">
        <v>10000</v>
      </c>
      <c r="F423" s="30" t="e">
        <v>#VALUE!</v>
      </c>
      <c r="G423" s="30" t="s">
        <v>9175</v>
      </c>
      <c r="H423" s="30" t="s">
        <v>10001</v>
      </c>
    </row>
    <row r="424" spans="1:8">
      <c r="A424" s="30" t="s">
        <v>10002</v>
      </c>
      <c r="B424" s="30"/>
      <c r="C424" s="30" t="s">
        <v>8626</v>
      </c>
      <c r="D424" s="30" t="s">
        <v>10003</v>
      </c>
      <c r="E424" s="30" t="s">
        <v>10004</v>
      </c>
      <c r="F424" s="30" t="s">
        <v>8672</v>
      </c>
      <c r="G424" s="30" t="s">
        <v>9160</v>
      </c>
      <c r="H424" s="30" t="s">
        <v>10005</v>
      </c>
    </row>
    <row r="425" spans="1:8">
      <c r="A425" s="30" t="s">
        <v>10006</v>
      </c>
      <c r="B425" s="30"/>
      <c r="C425" s="30" t="s">
        <v>8626</v>
      </c>
      <c r="D425" s="30" t="s">
        <v>10007</v>
      </c>
      <c r="E425" s="30" t="s">
        <v>10008</v>
      </c>
      <c r="F425" s="30" t="e">
        <v>#VALUE!</v>
      </c>
      <c r="G425" s="30" t="s">
        <v>10009</v>
      </c>
      <c r="H425" s="30" t="s">
        <v>10010</v>
      </c>
    </row>
    <row r="426" spans="1:8">
      <c r="A426" s="30" t="s">
        <v>10011</v>
      </c>
      <c r="B426" s="30"/>
      <c r="C426" s="30" t="s">
        <v>8607</v>
      </c>
      <c r="D426" s="30"/>
      <c r="E426" s="30"/>
      <c r="F426" s="30"/>
      <c r="G426" s="30"/>
      <c r="H426" s="30" t="s">
        <v>10012</v>
      </c>
    </row>
    <row r="427" spans="1:8">
      <c r="A427" s="30" t="s">
        <v>10013</v>
      </c>
      <c r="B427" s="30"/>
      <c r="C427" s="30" t="s">
        <v>8626</v>
      </c>
      <c r="D427" s="30" t="s">
        <v>10014</v>
      </c>
      <c r="E427" s="30" t="s">
        <v>10015</v>
      </c>
      <c r="F427" s="30" t="e">
        <v>#VALUE!</v>
      </c>
      <c r="G427" s="30"/>
      <c r="H427" s="30" t="s">
        <v>10016</v>
      </c>
    </row>
    <row r="428" spans="1:8">
      <c r="A428" s="30" t="s">
        <v>10017</v>
      </c>
      <c r="B428" s="30"/>
      <c r="C428" s="30"/>
      <c r="D428" s="32"/>
      <c r="E428" s="30" t="s">
        <v>10018</v>
      </c>
      <c r="F428" s="30" t="s">
        <v>8618</v>
      </c>
      <c r="G428" s="30"/>
      <c r="H428" s="30" t="s">
        <v>10019</v>
      </c>
    </row>
    <row r="429" spans="1:8">
      <c r="A429" s="30" t="s">
        <v>10020</v>
      </c>
      <c r="B429" s="30"/>
      <c r="C429" s="30" t="s">
        <v>8626</v>
      </c>
      <c r="D429" s="30"/>
      <c r="E429" s="30" t="s">
        <v>9320</v>
      </c>
      <c r="F429" s="30" t="e">
        <v>#VALUE!</v>
      </c>
      <c r="G429" s="30" t="s">
        <v>9300</v>
      </c>
      <c r="H429" s="30" t="s">
        <v>10021</v>
      </c>
    </row>
    <row r="430" spans="1:8" ht="239">
      <c r="A430" s="30" t="s">
        <v>10022</v>
      </c>
      <c r="B430" s="30"/>
      <c r="C430" s="30"/>
      <c r="D430" s="32" t="s">
        <v>10023</v>
      </c>
      <c r="E430" s="30"/>
      <c r="F430" s="33" t="s">
        <v>10024</v>
      </c>
      <c r="G430" s="30"/>
      <c r="H430" s="30" t="s">
        <v>10025</v>
      </c>
    </row>
    <row r="431" spans="1:8">
      <c r="A431" s="30" t="s">
        <v>10026</v>
      </c>
      <c r="B431" s="30"/>
      <c r="C431" s="30" t="s">
        <v>8607</v>
      </c>
      <c r="D431" s="30" t="s">
        <v>9357</v>
      </c>
      <c r="E431" s="30"/>
      <c r="F431" s="30"/>
      <c r="G431" s="30" t="s">
        <v>9358</v>
      </c>
      <c r="H431" s="30" t="s">
        <v>10027</v>
      </c>
    </row>
    <row r="432" spans="1:8">
      <c r="A432" s="30" t="s">
        <v>10028</v>
      </c>
      <c r="B432" s="30"/>
      <c r="C432" s="30" t="s">
        <v>8626</v>
      </c>
      <c r="D432" s="30"/>
      <c r="E432" s="30" t="s">
        <v>10029</v>
      </c>
      <c r="F432" s="30" t="e">
        <v>#VALUE!</v>
      </c>
      <c r="G432" s="30" t="s">
        <v>9439</v>
      </c>
      <c r="H432" s="30" t="s">
        <v>10030</v>
      </c>
    </row>
    <row r="433" spans="1:8">
      <c r="A433" s="30" t="s">
        <v>10031</v>
      </c>
      <c r="B433" s="30"/>
      <c r="C433" s="30" t="s">
        <v>8607</v>
      </c>
      <c r="D433" s="30" t="s">
        <v>10032</v>
      </c>
      <c r="E433" s="30"/>
      <c r="F433" s="30"/>
      <c r="G433" s="30" t="s">
        <v>10033</v>
      </c>
      <c r="H433" s="30" t="s">
        <v>10034</v>
      </c>
    </row>
    <row r="434" spans="1:8">
      <c r="A434" s="30" t="s">
        <v>10035</v>
      </c>
      <c r="B434" s="30"/>
      <c r="C434" s="30" t="s">
        <v>8626</v>
      </c>
      <c r="D434" s="30" t="s">
        <v>10036</v>
      </c>
      <c r="E434" s="30" t="s">
        <v>10037</v>
      </c>
      <c r="F434" s="30" t="s">
        <v>8618</v>
      </c>
      <c r="G434" s="30" t="s">
        <v>9347</v>
      </c>
      <c r="H434" s="30" t="s">
        <v>10038</v>
      </c>
    </row>
    <row r="435" spans="1:8">
      <c r="A435" s="30" t="s">
        <v>10039</v>
      </c>
      <c r="B435" s="30"/>
      <c r="C435" s="30" t="s">
        <v>8607</v>
      </c>
      <c r="D435" s="30" t="s">
        <v>9533</v>
      </c>
      <c r="E435" s="30" t="s">
        <v>9534</v>
      </c>
      <c r="F435" s="30" t="s">
        <v>8618</v>
      </c>
      <c r="G435" s="30" t="s">
        <v>9535</v>
      </c>
      <c r="H435" s="30" t="s">
        <v>10040</v>
      </c>
    </row>
    <row r="436" spans="1:8">
      <c r="A436" s="30" t="s">
        <v>10041</v>
      </c>
      <c r="B436" s="30"/>
      <c r="C436" s="30"/>
      <c r="D436" s="32"/>
      <c r="E436" s="30"/>
      <c r="F436" s="30"/>
      <c r="G436" s="30"/>
      <c r="H436" s="30" t="s">
        <v>10042</v>
      </c>
    </row>
    <row r="437" spans="1:8">
      <c r="A437" s="30" t="s">
        <v>10043</v>
      </c>
      <c r="B437" s="30"/>
      <c r="C437" s="30" t="s">
        <v>8626</v>
      </c>
      <c r="D437" s="30"/>
      <c r="E437" s="30"/>
      <c r="F437" s="30"/>
      <c r="G437" s="30"/>
      <c r="H437" s="30" t="s">
        <v>10044</v>
      </c>
    </row>
    <row r="438" spans="1:8">
      <c r="A438" s="30" t="s">
        <v>10045</v>
      </c>
      <c r="B438" s="30"/>
      <c r="C438" s="30" t="s">
        <v>8607</v>
      </c>
      <c r="D438" s="30"/>
      <c r="E438" s="30"/>
      <c r="F438" s="30"/>
      <c r="G438" s="30"/>
      <c r="H438" s="30" t="s">
        <v>10046</v>
      </c>
    </row>
    <row r="439" spans="1:8">
      <c r="A439" s="30" t="s">
        <v>10047</v>
      </c>
      <c r="B439" s="30"/>
      <c r="C439" s="30" t="s">
        <v>8626</v>
      </c>
      <c r="D439" s="30" t="s">
        <v>10048</v>
      </c>
      <c r="E439" s="30" t="s">
        <v>10049</v>
      </c>
      <c r="F439" s="30" t="s">
        <v>8618</v>
      </c>
      <c r="G439" s="30"/>
      <c r="H439" s="30" t="s">
        <v>10050</v>
      </c>
    </row>
    <row r="440" spans="1:8">
      <c r="A440" s="30" t="s">
        <v>10051</v>
      </c>
      <c r="B440" s="30"/>
      <c r="C440" s="30" t="s">
        <v>8607</v>
      </c>
      <c r="D440" s="30" t="s">
        <v>10052</v>
      </c>
      <c r="E440" s="30" t="s">
        <v>10053</v>
      </c>
      <c r="F440" s="30" t="s">
        <v>8672</v>
      </c>
      <c r="G440" s="30" t="s">
        <v>9002</v>
      </c>
      <c r="H440" s="30" t="s">
        <v>10054</v>
      </c>
    </row>
    <row r="441" spans="1:8">
      <c r="A441" s="30" t="s">
        <v>10055</v>
      </c>
      <c r="B441" s="30"/>
      <c r="C441" s="30" t="s">
        <v>8607</v>
      </c>
      <c r="D441" s="30"/>
      <c r="E441" s="30"/>
      <c r="F441" s="30"/>
      <c r="G441" s="30"/>
      <c r="H441" s="30" t="s">
        <v>10056</v>
      </c>
    </row>
    <row r="442" spans="1:8">
      <c r="A442" s="30" t="s">
        <v>10057</v>
      </c>
      <c r="B442" s="30"/>
      <c r="C442" s="30" t="s">
        <v>8607</v>
      </c>
      <c r="D442" s="30" t="s">
        <v>10058</v>
      </c>
      <c r="E442" s="30" t="s">
        <v>10059</v>
      </c>
      <c r="F442" s="30" t="e">
        <v>#VALUE!</v>
      </c>
      <c r="G442" s="30" t="s">
        <v>10060</v>
      </c>
      <c r="H442" s="30" t="s">
        <v>10061</v>
      </c>
    </row>
    <row r="443" spans="1:8">
      <c r="A443" s="30" t="s">
        <v>10062</v>
      </c>
      <c r="B443" s="30"/>
      <c r="C443" s="30" t="s">
        <v>8626</v>
      </c>
      <c r="D443" s="30"/>
      <c r="E443" s="30"/>
      <c r="F443" s="30"/>
      <c r="G443" s="30" t="s">
        <v>10063</v>
      </c>
      <c r="H443" s="30" t="s">
        <v>10064</v>
      </c>
    </row>
    <row r="444" spans="1:8">
      <c r="A444" s="30" t="s">
        <v>10065</v>
      </c>
      <c r="B444" s="30"/>
      <c r="C444" s="30" t="s">
        <v>8607</v>
      </c>
      <c r="D444" s="30" t="s">
        <v>9034</v>
      </c>
      <c r="E444" s="30"/>
      <c r="F444" s="30"/>
      <c r="G444" s="30" t="s">
        <v>8667</v>
      </c>
      <c r="H444" s="30" t="s">
        <v>10066</v>
      </c>
    </row>
    <row r="445" spans="1:8">
      <c r="A445" s="30" t="s">
        <v>10067</v>
      </c>
      <c r="B445" s="30"/>
      <c r="C445" s="30" t="s">
        <v>8607</v>
      </c>
      <c r="D445" s="30" t="s">
        <v>10068</v>
      </c>
      <c r="E445" s="30" t="s">
        <v>10069</v>
      </c>
      <c r="F445" s="30" t="e">
        <v>#VALUE!</v>
      </c>
      <c r="G445" s="30" t="s">
        <v>8637</v>
      </c>
      <c r="H445" s="30" t="s">
        <v>10070</v>
      </c>
    </row>
    <row r="446" spans="1:8">
      <c r="A446" s="30" t="s">
        <v>10071</v>
      </c>
      <c r="B446" s="30"/>
      <c r="C446" s="30" t="s">
        <v>8626</v>
      </c>
      <c r="D446" s="30"/>
      <c r="E446" s="30"/>
      <c r="F446" s="30"/>
      <c r="G446" s="30"/>
      <c r="H446" s="30" t="s">
        <v>10072</v>
      </c>
    </row>
    <row r="447" spans="1:8">
      <c r="A447" s="30" t="s">
        <v>10073</v>
      </c>
      <c r="B447" s="30"/>
      <c r="C447" s="30" t="s">
        <v>8626</v>
      </c>
      <c r="D447" s="30" t="s">
        <v>10074</v>
      </c>
      <c r="E447" s="30" t="s">
        <v>10075</v>
      </c>
      <c r="F447" s="30" t="s">
        <v>8672</v>
      </c>
      <c r="G447" s="30" t="s">
        <v>10076</v>
      </c>
      <c r="H447" s="30" t="s">
        <v>10077</v>
      </c>
    </row>
    <row r="448" spans="1:8">
      <c r="A448" s="30" t="s">
        <v>10078</v>
      </c>
      <c r="B448" s="30"/>
      <c r="C448" s="30" t="s">
        <v>8607</v>
      </c>
      <c r="D448" s="30"/>
      <c r="E448" s="30"/>
      <c r="F448" s="30"/>
      <c r="G448" s="30" t="s">
        <v>8891</v>
      </c>
      <c r="H448" s="30" t="s">
        <v>10079</v>
      </c>
    </row>
    <row r="449" spans="1:8">
      <c r="A449" s="30" t="s">
        <v>10080</v>
      </c>
      <c r="B449" s="30"/>
      <c r="C449" s="30" t="s">
        <v>8607</v>
      </c>
      <c r="D449" s="30" t="s">
        <v>10081</v>
      </c>
      <c r="E449" s="30" t="s">
        <v>10049</v>
      </c>
      <c r="F449" s="30" t="s">
        <v>8618</v>
      </c>
      <c r="G449" s="30" t="s">
        <v>9796</v>
      </c>
      <c r="H449" s="30" t="s">
        <v>10082</v>
      </c>
    </row>
    <row r="450" spans="1:8">
      <c r="A450" s="30" t="s">
        <v>10083</v>
      </c>
      <c r="B450" s="30"/>
      <c r="C450" s="30" t="s">
        <v>8607</v>
      </c>
      <c r="D450" s="30" t="s">
        <v>8938</v>
      </c>
      <c r="E450" s="30"/>
      <c r="F450" s="30"/>
      <c r="G450" s="30" t="s">
        <v>8737</v>
      </c>
      <c r="H450" s="30" t="s">
        <v>10084</v>
      </c>
    </row>
    <row r="451" spans="1:8">
      <c r="A451" s="30" t="s">
        <v>10085</v>
      </c>
      <c r="B451" s="30"/>
      <c r="C451" s="30" t="s">
        <v>8626</v>
      </c>
      <c r="D451" s="30" t="s">
        <v>10086</v>
      </c>
      <c r="E451" s="30"/>
      <c r="F451" s="30"/>
      <c r="G451" s="30"/>
      <c r="H451" s="30" t="s">
        <v>10087</v>
      </c>
    </row>
    <row r="452" spans="1:8">
      <c r="A452" s="30" t="s">
        <v>10088</v>
      </c>
      <c r="B452" s="30"/>
      <c r="C452" s="30" t="s">
        <v>8607</v>
      </c>
      <c r="D452" s="30"/>
      <c r="E452" s="30" t="s">
        <v>10089</v>
      </c>
      <c r="F452" s="30" t="e">
        <v>#VALUE!</v>
      </c>
      <c r="G452" s="30" t="s">
        <v>10060</v>
      </c>
      <c r="H452" s="30" t="s">
        <v>10090</v>
      </c>
    </row>
    <row r="453" spans="1:8">
      <c r="A453" s="30" t="s">
        <v>10091</v>
      </c>
      <c r="B453" s="30"/>
      <c r="C453" s="30" t="s">
        <v>8626</v>
      </c>
      <c r="D453" s="30" t="s">
        <v>9723</v>
      </c>
      <c r="E453" s="30" t="s">
        <v>10092</v>
      </c>
      <c r="F453" s="30" t="e">
        <v>#VALUE!</v>
      </c>
      <c r="G453" s="30" t="s">
        <v>8930</v>
      </c>
      <c r="H453" s="30" t="s">
        <v>10093</v>
      </c>
    </row>
    <row r="454" spans="1:8">
      <c r="A454" s="30" t="s">
        <v>10094</v>
      </c>
      <c r="B454" s="30"/>
      <c r="C454" s="30" t="s">
        <v>8626</v>
      </c>
      <c r="D454" s="30"/>
      <c r="E454" s="30"/>
      <c r="F454" s="30"/>
      <c r="G454" s="30"/>
      <c r="H454" s="30" t="s">
        <v>10095</v>
      </c>
    </row>
    <row r="455" spans="1:8">
      <c r="A455" s="30" t="s">
        <v>10096</v>
      </c>
      <c r="B455" s="30"/>
      <c r="C455" s="30"/>
      <c r="D455" s="32"/>
      <c r="E455" s="30" t="s">
        <v>10097</v>
      </c>
      <c r="F455" s="30" t="s">
        <v>8672</v>
      </c>
      <c r="G455" s="30"/>
      <c r="H455" s="30" t="s">
        <v>10098</v>
      </c>
    </row>
    <row r="456" spans="1:8">
      <c r="A456" s="30" t="s">
        <v>10099</v>
      </c>
      <c r="B456" s="30"/>
      <c r="C456" s="30"/>
      <c r="D456" s="32" t="s">
        <v>10100</v>
      </c>
      <c r="E456" s="30" t="s">
        <v>10101</v>
      </c>
      <c r="F456" s="30" t="s">
        <v>9066</v>
      </c>
      <c r="G456" s="30"/>
      <c r="H456" s="30" t="s">
        <v>10102</v>
      </c>
    </row>
    <row r="457" spans="1:8">
      <c r="A457" s="30" t="s">
        <v>10103</v>
      </c>
      <c r="B457" s="30"/>
      <c r="C457" s="30" t="s">
        <v>8607</v>
      </c>
      <c r="D457" s="30" t="s">
        <v>8894</v>
      </c>
      <c r="E457" s="30"/>
      <c r="F457" s="30"/>
      <c r="G457" s="30" t="s">
        <v>8895</v>
      </c>
      <c r="H457" s="30" t="s">
        <v>10104</v>
      </c>
    </row>
    <row r="458" spans="1:8">
      <c r="A458" s="30" t="s">
        <v>10105</v>
      </c>
      <c r="B458" s="30"/>
      <c r="C458" s="30" t="s">
        <v>8626</v>
      </c>
      <c r="D458" s="30" t="s">
        <v>10106</v>
      </c>
      <c r="E458" s="30" t="s">
        <v>10107</v>
      </c>
      <c r="F458" s="30" t="e">
        <v>#VALUE!</v>
      </c>
      <c r="G458" s="30"/>
      <c r="H458" s="30" t="s">
        <v>10108</v>
      </c>
    </row>
    <row r="459" spans="1:8">
      <c r="A459" s="30" t="s">
        <v>10109</v>
      </c>
      <c r="B459" s="30"/>
      <c r="C459" s="30" t="s">
        <v>8626</v>
      </c>
      <c r="D459" s="30" t="s">
        <v>10110</v>
      </c>
      <c r="E459" s="30" t="s">
        <v>10111</v>
      </c>
      <c r="F459" s="30" t="e">
        <v>#VALUE!</v>
      </c>
      <c r="G459" s="30" t="s">
        <v>8754</v>
      </c>
      <c r="H459" s="30" t="s">
        <v>10112</v>
      </c>
    </row>
    <row r="460" spans="1:8">
      <c r="A460" s="30" t="s">
        <v>10113</v>
      </c>
      <c r="B460" s="30"/>
      <c r="C460" s="30" t="s">
        <v>8607</v>
      </c>
      <c r="D460" s="30" t="s">
        <v>10114</v>
      </c>
      <c r="E460" s="30" t="s">
        <v>10115</v>
      </c>
      <c r="F460" s="30" t="s">
        <v>8672</v>
      </c>
      <c r="G460" s="30" t="s">
        <v>9002</v>
      </c>
      <c r="H460" s="30" t="s">
        <v>10116</v>
      </c>
    </row>
    <row r="461" spans="1:8">
      <c r="A461" s="30" t="s">
        <v>10117</v>
      </c>
      <c r="B461" s="30"/>
      <c r="C461" s="30"/>
      <c r="D461" s="32" t="s">
        <v>10118</v>
      </c>
      <c r="E461" s="30" t="s">
        <v>10119</v>
      </c>
      <c r="F461" s="30" t="s">
        <v>8642</v>
      </c>
      <c r="G461" s="30"/>
      <c r="H461" s="30" t="s">
        <v>10120</v>
      </c>
    </row>
    <row r="462" spans="1:8">
      <c r="A462" s="30" t="s">
        <v>10121</v>
      </c>
      <c r="B462" s="30"/>
      <c r="C462" s="30" t="s">
        <v>8626</v>
      </c>
      <c r="D462" s="30"/>
      <c r="E462" s="30" t="s">
        <v>10122</v>
      </c>
      <c r="F462" s="30" t="s">
        <v>8672</v>
      </c>
      <c r="G462" s="30" t="s">
        <v>9002</v>
      </c>
      <c r="H462" s="30" t="s">
        <v>10123</v>
      </c>
    </row>
    <row r="463" spans="1:8">
      <c r="A463" s="30" t="s">
        <v>10124</v>
      </c>
      <c r="B463" s="30"/>
      <c r="C463" s="30"/>
      <c r="D463" s="32"/>
      <c r="E463" s="30"/>
      <c r="F463" s="30"/>
      <c r="G463" s="30"/>
      <c r="H463" s="30" t="s">
        <v>10125</v>
      </c>
    </row>
    <row r="464" spans="1:8">
      <c r="A464" s="30" t="s">
        <v>10126</v>
      </c>
      <c r="B464" s="30"/>
      <c r="C464" s="30" t="s">
        <v>8626</v>
      </c>
      <c r="D464" s="30" t="s">
        <v>9395</v>
      </c>
      <c r="E464" s="30" t="s">
        <v>10127</v>
      </c>
      <c r="F464" s="30" t="s">
        <v>8672</v>
      </c>
      <c r="G464" s="30" t="s">
        <v>9002</v>
      </c>
      <c r="H464" s="30" t="s">
        <v>10123</v>
      </c>
    </row>
    <row r="465" spans="1:8">
      <c r="A465" s="30" t="s">
        <v>10128</v>
      </c>
      <c r="B465" s="30"/>
      <c r="C465" s="30" t="s">
        <v>8607</v>
      </c>
      <c r="D465" s="30" t="s">
        <v>8894</v>
      </c>
      <c r="E465" s="30"/>
      <c r="F465" s="30"/>
      <c r="G465" s="30" t="s">
        <v>8895</v>
      </c>
      <c r="H465" s="30" t="s">
        <v>10104</v>
      </c>
    </row>
    <row r="466" spans="1:8">
      <c r="A466" s="30" t="s">
        <v>10129</v>
      </c>
      <c r="B466" s="30"/>
      <c r="C466" s="30" t="s">
        <v>8607</v>
      </c>
      <c r="D466" s="30" t="s">
        <v>9069</v>
      </c>
      <c r="E466" s="30" t="s">
        <v>9279</v>
      </c>
      <c r="F466" s="30" t="s">
        <v>8672</v>
      </c>
      <c r="G466" s="30" t="s">
        <v>9071</v>
      </c>
      <c r="H466" s="30" t="s">
        <v>9280</v>
      </c>
    </row>
    <row r="467" spans="1:8">
      <c r="A467" s="30" t="s">
        <v>10130</v>
      </c>
      <c r="B467" s="30"/>
      <c r="C467" s="30" t="s">
        <v>8607</v>
      </c>
      <c r="D467" s="30" t="s">
        <v>8968</v>
      </c>
      <c r="E467" s="30"/>
      <c r="F467" s="30"/>
      <c r="G467" s="30" t="s">
        <v>8970</v>
      </c>
      <c r="H467" s="30" t="s">
        <v>8971</v>
      </c>
    </row>
    <row r="468" spans="1:8">
      <c r="A468" s="30" t="s">
        <v>10131</v>
      </c>
      <c r="B468" s="30"/>
      <c r="C468" s="30" t="s">
        <v>8626</v>
      </c>
      <c r="D468" s="30" t="s">
        <v>10132</v>
      </c>
      <c r="E468" s="30" t="s">
        <v>10133</v>
      </c>
      <c r="F468" s="30" t="e">
        <v>#VALUE!</v>
      </c>
      <c r="G468" s="30" t="s">
        <v>8975</v>
      </c>
      <c r="H468" s="30" t="s">
        <v>10134</v>
      </c>
    </row>
    <row r="469" spans="1:8">
      <c r="A469" s="30" t="s">
        <v>10135</v>
      </c>
      <c r="B469" s="30"/>
      <c r="C469" s="30" t="s">
        <v>8607</v>
      </c>
      <c r="D469" s="30"/>
      <c r="E469" s="30"/>
      <c r="F469" s="30"/>
      <c r="G469" s="30" t="s">
        <v>9026</v>
      </c>
      <c r="H469" s="30" t="s">
        <v>10136</v>
      </c>
    </row>
    <row r="470" spans="1:8">
      <c r="A470" s="30" t="s">
        <v>10137</v>
      </c>
      <c r="B470" s="30"/>
      <c r="C470" s="30" t="s">
        <v>8607</v>
      </c>
      <c r="D470" s="30"/>
      <c r="E470" s="30"/>
      <c r="F470" s="30"/>
      <c r="G470" s="30" t="s">
        <v>10138</v>
      </c>
      <c r="H470" s="30" t="s">
        <v>10139</v>
      </c>
    </row>
    <row r="471" spans="1:8">
      <c r="A471" s="30" t="s">
        <v>10140</v>
      </c>
      <c r="B471" s="30"/>
      <c r="C471" s="30" t="s">
        <v>8607</v>
      </c>
      <c r="D471" s="30" t="s">
        <v>10141</v>
      </c>
      <c r="E471" s="30"/>
      <c r="F471" s="30"/>
      <c r="G471" s="30" t="s">
        <v>10142</v>
      </c>
      <c r="H471" s="30" t="s">
        <v>10143</v>
      </c>
    </row>
    <row r="472" spans="1:8">
      <c r="A472" s="30" t="s">
        <v>10144</v>
      </c>
      <c r="B472" s="30"/>
      <c r="C472" s="30"/>
      <c r="D472" s="32"/>
      <c r="E472" s="30"/>
      <c r="F472" s="30"/>
      <c r="G472" s="30"/>
      <c r="H472" s="30" t="s">
        <v>10145</v>
      </c>
    </row>
    <row r="473" spans="1:8">
      <c r="A473" s="30" t="s">
        <v>10146</v>
      </c>
      <c r="B473" s="30"/>
      <c r="C473" s="30" t="s">
        <v>8607</v>
      </c>
      <c r="D473" s="30"/>
      <c r="E473" s="30"/>
      <c r="F473" s="30"/>
      <c r="G473" s="30" t="s">
        <v>9698</v>
      </c>
      <c r="H473" s="30" t="s">
        <v>10147</v>
      </c>
    </row>
    <row r="474" spans="1:8">
      <c r="A474" s="30" t="s">
        <v>10148</v>
      </c>
      <c r="B474" s="30"/>
      <c r="C474" s="30" t="s">
        <v>8607</v>
      </c>
      <c r="D474" s="30"/>
      <c r="E474" s="30" t="s">
        <v>10149</v>
      </c>
      <c r="F474" s="30" t="e">
        <v>#VALUE!</v>
      </c>
      <c r="G474" s="30" t="s">
        <v>9698</v>
      </c>
      <c r="H474" s="30" t="s">
        <v>10147</v>
      </c>
    </row>
    <row r="475" spans="1:8">
      <c r="A475" s="30" t="s">
        <v>10150</v>
      </c>
      <c r="B475" s="30"/>
      <c r="C475" s="30" t="s">
        <v>8607</v>
      </c>
      <c r="D475" s="30"/>
      <c r="E475" s="30"/>
      <c r="F475" s="30"/>
      <c r="G475" s="30" t="s">
        <v>10138</v>
      </c>
      <c r="H475" s="30" t="s">
        <v>10139</v>
      </c>
    </row>
    <row r="476" spans="1:8">
      <c r="A476" s="30" t="s">
        <v>10151</v>
      </c>
      <c r="B476" s="30"/>
      <c r="C476" s="30" t="s">
        <v>8607</v>
      </c>
      <c r="D476" s="30" t="s">
        <v>10152</v>
      </c>
      <c r="E476" s="30" t="s">
        <v>10153</v>
      </c>
      <c r="F476" s="30" t="s">
        <v>8672</v>
      </c>
      <c r="G476" s="30" t="s">
        <v>9039</v>
      </c>
      <c r="H476" s="30" t="s">
        <v>10154</v>
      </c>
    </row>
    <row r="477" spans="1:8">
      <c r="A477" s="30" t="s">
        <v>10155</v>
      </c>
      <c r="B477" s="30"/>
      <c r="C477" s="30" t="s">
        <v>8607</v>
      </c>
      <c r="D477" s="30" t="s">
        <v>10156</v>
      </c>
      <c r="E477" s="30" t="s">
        <v>10157</v>
      </c>
      <c r="F477" s="30" t="s">
        <v>8672</v>
      </c>
      <c r="G477" s="30" t="s">
        <v>9275</v>
      </c>
      <c r="H477" s="30" t="s">
        <v>10158</v>
      </c>
    </row>
    <row r="478" spans="1:8">
      <c r="A478" s="30" t="s">
        <v>10159</v>
      </c>
      <c r="B478" s="30"/>
      <c r="C478" s="30" t="s">
        <v>8607</v>
      </c>
      <c r="D478" s="30"/>
      <c r="E478" s="30"/>
      <c r="F478" s="30"/>
      <c r="G478" s="30"/>
      <c r="H478" s="30" t="s">
        <v>10160</v>
      </c>
    </row>
    <row r="479" spans="1:8">
      <c r="A479" s="30" t="s">
        <v>10161</v>
      </c>
      <c r="B479" s="30"/>
      <c r="C479" s="30" t="s">
        <v>8607</v>
      </c>
      <c r="D479" s="30"/>
      <c r="E479" s="30"/>
      <c r="F479" s="30"/>
      <c r="G479" s="30"/>
      <c r="H479" s="30" t="s">
        <v>10162</v>
      </c>
    </row>
    <row r="480" spans="1:8">
      <c r="A480" s="30" t="s">
        <v>10163</v>
      </c>
      <c r="B480" s="30"/>
      <c r="C480" s="30" t="s">
        <v>8607</v>
      </c>
      <c r="D480" s="30" t="s">
        <v>10164</v>
      </c>
      <c r="E480" s="30"/>
      <c r="F480" s="30"/>
      <c r="G480" s="30" t="s">
        <v>8814</v>
      </c>
      <c r="H480" s="30" t="s">
        <v>10165</v>
      </c>
    </row>
    <row r="481" spans="1:8">
      <c r="A481" s="30" t="s">
        <v>10166</v>
      </c>
      <c r="B481" s="30"/>
      <c r="C481" s="30" t="s">
        <v>8626</v>
      </c>
      <c r="D481" s="30" t="s">
        <v>10167</v>
      </c>
      <c r="E481" s="30"/>
      <c r="F481" s="30"/>
      <c r="G481" s="30"/>
      <c r="H481" s="30" t="s">
        <v>10168</v>
      </c>
    </row>
    <row r="482" spans="1:8">
      <c r="A482" s="30" t="s">
        <v>10169</v>
      </c>
      <c r="B482" s="30"/>
      <c r="C482" s="30" t="s">
        <v>8607</v>
      </c>
      <c r="D482" s="30" t="s">
        <v>10170</v>
      </c>
      <c r="E482" s="30" t="s">
        <v>10171</v>
      </c>
      <c r="F482" s="30" t="e">
        <v>#VALUE!</v>
      </c>
      <c r="G482" s="30" t="s">
        <v>9007</v>
      </c>
      <c r="H482" s="30" t="s">
        <v>10172</v>
      </c>
    </row>
    <row r="483" spans="1:8">
      <c r="A483" s="30" t="s">
        <v>10173</v>
      </c>
      <c r="B483" s="30"/>
      <c r="C483" s="30" t="s">
        <v>8626</v>
      </c>
      <c r="D483" s="30" t="s">
        <v>10174</v>
      </c>
      <c r="E483" s="30" t="s">
        <v>10175</v>
      </c>
      <c r="F483" s="30" t="s">
        <v>8618</v>
      </c>
      <c r="G483" s="30" t="s">
        <v>9308</v>
      </c>
      <c r="H483" s="30" t="s">
        <v>10176</v>
      </c>
    </row>
    <row r="484" spans="1:8">
      <c r="A484" s="30" t="s">
        <v>10177</v>
      </c>
      <c r="B484" s="30"/>
      <c r="C484" s="30" t="s">
        <v>8626</v>
      </c>
      <c r="D484" s="30" t="s">
        <v>10178</v>
      </c>
      <c r="E484" s="30" t="s">
        <v>10179</v>
      </c>
      <c r="F484" s="30" t="s">
        <v>8618</v>
      </c>
      <c r="G484" s="30" t="s">
        <v>9976</v>
      </c>
      <c r="H484" s="30" t="s">
        <v>10180</v>
      </c>
    </row>
    <row r="485" spans="1:8">
      <c r="A485" s="30" t="s">
        <v>10181</v>
      </c>
      <c r="B485" s="30"/>
      <c r="C485" s="30" t="s">
        <v>8607</v>
      </c>
      <c r="D485" s="30"/>
      <c r="E485" s="30"/>
      <c r="F485" s="30"/>
      <c r="G485" s="30" t="s">
        <v>8646</v>
      </c>
      <c r="H485" s="30" t="s">
        <v>10182</v>
      </c>
    </row>
    <row r="486" spans="1:8">
      <c r="A486" s="30" t="s">
        <v>10183</v>
      </c>
      <c r="B486" s="30"/>
      <c r="C486" s="30" t="s">
        <v>8607</v>
      </c>
      <c r="D486" s="30"/>
      <c r="E486" s="30"/>
      <c r="F486" s="30"/>
      <c r="G486" s="30"/>
      <c r="H486" s="30" t="s">
        <v>10184</v>
      </c>
    </row>
    <row r="487" spans="1:8">
      <c r="A487" s="30" t="s">
        <v>10185</v>
      </c>
      <c r="B487" s="30"/>
      <c r="C487" s="30" t="s">
        <v>8626</v>
      </c>
      <c r="D487" s="30" t="s">
        <v>10110</v>
      </c>
      <c r="E487" s="30" t="s">
        <v>8811</v>
      </c>
      <c r="F487" s="30" t="e">
        <v>#VALUE!</v>
      </c>
      <c r="G487" s="30" t="s">
        <v>8754</v>
      </c>
      <c r="H487" s="30" t="s">
        <v>10186</v>
      </c>
    </row>
    <row r="488" spans="1:8">
      <c r="A488" s="30" t="s">
        <v>10187</v>
      </c>
      <c r="B488" s="30"/>
      <c r="C488" s="30" t="s">
        <v>8607</v>
      </c>
      <c r="D488" s="30" t="s">
        <v>8736</v>
      </c>
      <c r="E488" s="30"/>
      <c r="F488" s="30"/>
      <c r="G488" s="30" t="s">
        <v>8737</v>
      </c>
      <c r="H488" s="30" t="s">
        <v>8800</v>
      </c>
    </row>
    <row r="489" spans="1:8">
      <c r="A489" s="30" t="s">
        <v>10188</v>
      </c>
      <c r="B489" s="30"/>
      <c r="C489" s="30" t="s">
        <v>8607</v>
      </c>
      <c r="D489" s="30"/>
      <c r="E489" s="30"/>
      <c r="F489" s="30"/>
      <c r="G489" s="30"/>
      <c r="H489" s="30" t="s">
        <v>8802</v>
      </c>
    </row>
    <row r="490" spans="1:8">
      <c r="A490" s="30" t="s">
        <v>10189</v>
      </c>
      <c r="B490" s="30"/>
      <c r="C490" s="30"/>
      <c r="D490" s="32"/>
      <c r="E490" s="30"/>
      <c r="F490" s="30"/>
      <c r="G490" s="30"/>
      <c r="H490" s="30" t="s">
        <v>8842</v>
      </c>
    </row>
    <row r="491" spans="1:8">
      <c r="A491" s="30" t="s">
        <v>10190</v>
      </c>
      <c r="B491" s="30"/>
      <c r="C491" s="30" t="s">
        <v>8626</v>
      </c>
      <c r="D491" s="30" t="s">
        <v>8689</v>
      </c>
      <c r="E491" s="30" t="s">
        <v>10191</v>
      </c>
      <c r="F491" s="30" t="e">
        <v>#VALUE!</v>
      </c>
      <c r="G491" s="30" t="s">
        <v>8691</v>
      </c>
      <c r="H491" s="30" t="s">
        <v>10192</v>
      </c>
    </row>
    <row r="492" spans="1:8">
      <c r="A492" s="30" t="s">
        <v>10193</v>
      </c>
      <c r="B492" s="30"/>
      <c r="C492" s="30" t="s">
        <v>8607</v>
      </c>
      <c r="D492" s="30"/>
      <c r="E492" s="30"/>
      <c r="F492" s="30"/>
      <c r="G492" s="30" t="s">
        <v>8726</v>
      </c>
      <c r="H492" s="30" t="s">
        <v>8727</v>
      </c>
    </row>
    <row r="493" spans="1:8">
      <c r="A493" s="30" t="s">
        <v>10194</v>
      </c>
      <c r="B493" s="30"/>
      <c r="C493" s="30" t="s">
        <v>8607</v>
      </c>
      <c r="D493" s="30"/>
      <c r="E493" s="30"/>
      <c r="F493" s="30"/>
      <c r="G493" s="30" t="s">
        <v>8729</v>
      </c>
      <c r="H493" s="30" t="s">
        <v>10195</v>
      </c>
    </row>
    <row r="494" spans="1:8">
      <c r="A494" s="30" t="s">
        <v>10196</v>
      </c>
      <c r="B494" s="30"/>
      <c r="C494" s="30" t="s">
        <v>8607</v>
      </c>
      <c r="D494" s="30"/>
      <c r="E494" s="30"/>
      <c r="F494" s="30"/>
      <c r="G494" s="30" t="s">
        <v>10197</v>
      </c>
      <c r="H494" s="30" t="s">
        <v>10198</v>
      </c>
    </row>
    <row r="495" spans="1:8">
      <c r="A495" s="30" t="s">
        <v>10199</v>
      </c>
      <c r="B495" s="30"/>
      <c r="C495" s="30" t="s">
        <v>8607</v>
      </c>
      <c r="D495" s="30"/>
      <c r="E495" s="30" t="s">
        <v>10200</v>
      </c>
      <c r="F495" s="30" t="e">
        <v>#VALUE!</v>
      </c>
      <c r="G495" s="30" t="s">
        <v>8678</v>
      </c>
      <c r="H495" s="30" t="s">
        <v>10201</v>
      </c>
    </row>
    <row r="496" spans="1:8">
      <c r="A496" s="30" t="s">
        <v>10202</v>
      </c>
      <c r="B496" s="30"/>
      <c r="C496" s="30" t="s">
        <v>8607</v>
      </c>
      <c r="D496" s="30"/>
      <c r="E496" s="30"/>
      <c r="F496" s="30"/>
      <c r="G496" s="30" t="s">
        <v>8681</v>
      </c>
      <c r="H496" s="30" t="s">
        <v>10203</v>
      </c>
    </row>
    <row r="497" spans="1:8">
      <c r="A497" s="30" t="s">
        <v>10204</v>
      </c>
      <c r="B497" s="30"/>
      <c r="C497" s="30" t="s">
        <v>8607</v>
      </c>
      <c r="D497" s="30"/>
      <c r="E497" s="30"/>
      <c r="F497" s="30"/>
      <c r="G497" s="30" t="s">
        <v>10205</v>
      </c>
      <c r="H497" s="30" t="s">
        <v>10206</v>
      </c>
    </row>
    <row r="498" spans="1:8">
      <c r="A498" s="30" t="s">
        <v>10207</v>
      </c>
      <c r="B498" s="30"/>
      <c r="C498" s="30" t="s">
        <v>8626</v>
      </c>
      <c r="D498" s="30" t="s">
        <v>10208</v>
      </c>
      <c r="E498" s="30" t="s">
        <v>10209</v>
      </c>
      <c r="F498" s="30" t="s">
        <v>8672</v>
      </c>
      <c r="G498" s="30" t="s">
        <v>9002</v>
      </c>
      <c r="H498" s="30" t="s">
        <v>10210</v>
      </c>
    </row>
    <row r="499" spans="1:8">
      <c r="A499" s="30" t="s">
        <v>10211</v>
      </c>
      <c r="B499" s="30"/>
      <c r="C499" s="30"/>
      <c r="D499" s="32"/>
      <c r="E499" s="30"/>
      <c r="F499" s="30"/>
      <c r="G499" s="30"/>
      <c r="H499" s="30" t="s">
        <v>10212</v>
      </c>
    </row>
    <row r="500" spans="1:8">
      <c r="A500" s="30" t="s">
        <v>10213</v>
      </c>
      <c r="B500" s="30"/>
      <c r="C500" s="30" t="s">
        <v>8626</v>
      </c>
      <c r="D500" s="30"/>
      <c r="E500" s="30" t="s">
        <v>10214</v>
      </c>
      <c r="F500" s="30" t="e">
        <v>#VALUE!</v>
      </c>
      <c r="G500" s="30" t="s">
        <v>8714</v>
      </c>
      <c r="H500" s="30" t="s">
        <v>8715</v>
      </c>
    </row>
    <row r="501" spans="1:8">
      <c r="A501" s="30" t="s">
        <v>10215</v>
      </c>
      <c r="B501" s="30"/>
      <c r="C501" s="30" t="s">
        <v>8607</v>
      </c>
      <c r="D501" s="30" t="s">
        <v>8707</v>
      </c>
      <c r="E501" s="30"/>
      <c r="F501" s="30"/>
      <c r="G501" s="30" t="s">
        <v>8708</v>
      </c>
      <c r="H501" s="30" t="s">
        <v>10216</v>
      </c>
    </row>
    <row r="502" spans="1:8">
      <c r="A502" s="30" t="s">
        <v>10217</v>
      </c>
      <c r="B502" s="30"/>
      <c r="C502" s="30" t="s">
        <v>8607</v>
      </c>
      <c r="D502" s="30"/>
      <c r="E502" s="30"/>
      <c r="F502" s="30"/>
      <c r="G502" s="30" t="s">
        <v>8711</v>
      </c>
      <c r="H502" s="30" t="s">
        <v>10218</v>
      </c>
    </row>
    <row r="503" spans="1:8">
      <c r="A503" s="30" t="s">
        <v>10219</v>
      </c>
      <c r="B503" s="30"/>
      <c r="C503" s="30" t="s">
        <v>8607</v>
      </c>
      <c r="D503" s="30"/>
      <c r="E503" s="30"/>
      <c r="F503" s="30"/>
      <c r="G503" s="30" t="s">
        <v>10220</v>
      </c>
      <c r="H503" s="30" t="s">
        <v>10221</v>
      </c>
    </row>
    <row r="504" spans="1:8">
      <c r="A504" s="30" t="s">
        <v>10222</v>
      </c>
      <c r="B504" s="30"/>
      <c r="C504" s="30" t="s">
        <v>8626</v>
      </c>
      <c r="D504" s="30" t="s">
        <v>10223</v>
      </c>
      <c r="E504" s="30" t="s">
        <v>10224</v>
      </c>
      <c r="F504" s="30" t="e">
        <v>#VALUE!</v>
      </c>
      <c r="G504" s="30" t="s">
        <v>8826</v>
      </c>
      <c r="H504" s="30" t="s">
        <v>10225</v>
      </c>
    </row>
    <row r="505" spans="1:8">
      <c r="A505" s="30" t="s">
        <v>10226</v>
      </c>
      <c r="B505" s="30"/>
      <c r="C505" s="30" t="s">
        <v>8626</v>
      </c>
      <c r="D505" s="30"/>
      <c r="E505" s="30" t="s">
        <v>10227</v>
      </c>
      <c r="F505" s="30" t="e">
        <v>#VALUE!</v>
      </c>
      <c r="G505" s="30"/>
      <c r="H505" s="30" t="s">
        <v>10228</v>
      </c>
    </row>
    <row r="506" spans="1:8">
      <c r="A506" s="30" t="s">
        <v>10229</v>
      </c>
      <c r="B506" s="30"/>
      <c r="C506" s="30" t="s">
        <v>8607</v>
      </c>
      <c r="D506" s="30" t="s">
        <v>8736</v>
      </c>
      <c r="E506" s="30"/>
      <c r="F506" s="30"/>
      <c r="G506" s="30" t="s">
        <v>8737</v>
      </c>
      <c r="H506" s="30" t="s">
        <v>10230</v>
      </c>
    </row>
    <row r="507" spans="1:8">
      <c r="A507" s="30" t="s">
        <v>10231</v>
      </c>
      <c r="B507" s="30"/>
      <c r="C507" s="30" t="s">
        <v>8626</v>
      </c>
      <c r="D507" s="30" t="s">
        <v>10232</v>
      </c>
      <c r="E507" s="30" t="s">
        <v>10233</v>
      </c>
      <c r="F507" s="30" t="s">
        <v>8618</v>
      </c>
      <c r="G507" s="30" t="s">
        <v>10234</v>
      </c>
      <c r="H507" s="30" t="s">
        <v>10235</v>
      </c>
    </row>
    <row r="508" spans="1:8">
      <c r="A508" s="30" t="s">
        <v>10236</v>
      </c>
      <c r="B508" s="30"/>
      <c r="C508" s="30" t="s">
        <v>8626</v>
      </c>
      <c r="D508" s="30"/>
      <c r="E508" s="30"/>
      <c r="F508" s="30"/>
      <c r="G508" s="30" t="s">
        <v>8804</v>
      </c>
      <c r="H508" s="30" t="s">
        <v>10237</v>
      </c>
    </row>
    <row r="509" spans="1:8">
      <c r="A509" s="30" t="s">
        <v>10238</v>
      </c>
      <c r="B509" s="30"/>
      <c r="C509" s="30" t="s">
        <v>8607</v>
      </c>
      <c r="D509" s="30"/>
      <c r="E509" s="30"/>
      <c r="F509" s="30"/>
      <c r="G509" s="30" t="s">
        <v>8807</v>
      </c>
      <c r="H509" s="30" t="s">
        <v>10239</v>
      </c>
    </row>
    <row r="510" spans="1:8">
      <c r="A510" s="30" t="s">
        <v>10240</v>
      </c>
      <c r="B510" s="30"/>
      <c r="C510" s="30" t="s">
        <v>8607</v>
      </c>
      <c r="D510" s="30" t="s">
        <v>8844</v>
      </c>
      <c r="E510" s="30" t="s">
        <v>8845</v>
      </c>
      <c r="F510" s="30" t="s">
        <v>8672</v>
      </c>
      <c r="G510" s="30" t="s">
        <v>8846</v>
      </c>
      <c r="H510" s="30" t="s">
        <v>10241</v>
      </c>
    </row>
    <row r="511" spans="1:8">
      <c r="A511" s="30" t="s">
        <v>10242</v>
      </c>
      <c r="B511" s="30"/>
      <c r="C511" s="30" t="s">
        <v>8607</v>
      </c>
      <c r="D511" s="30" t="s">
        <v>10243</v>
      </c>
      <c r="E511" s="30" t="s">
        <v>8850</v>
      </c>
      <c r="F511" s="30" t="s">
        <v>8672</v>
      </c>
      <c r="G511" s="30" t="s">
        <v>8851</v>
      </c>
      <c r="H511" s="30" t="s">
        <v>10244</v>
      </c>
    </row>
    <row r="512" spans="1:8">
      <c r="A512" s="30" t="s">
        <v>10245</v>
      </c>
      <c r="B512" s="30"/>
      <c r="C512" s="30" t="s">
        <v>8607</v>
      </c>
      <c r="D512" s="30"/>
      <c r="E512" s="30"/>
      <c r="F512" s="30"/>
      <c r="G512" s="30" t="s">
        <v>10205</v>
      </c>
      <c r="H512" s="30" t="s">
        <v>10246</v>
      </c>
    </row>
    <row r="513" spans="1:8">
      <c r="A513" s="30" t="s">
        <v>10247</v>
      </c>
      <c r="B513" s="30"/>
      <c r="C513" s="30" t="s">
        <v>8626</v>
      </c>
      <c r="D513" s="30"/>
      <c r="E513" s="30"/>
      <c r="F513" s="30"/>
      <c r="G513" s="30" t="s">
        <v>8714</v>
      </c>
      <c r="H513" s="30" t="s">
        <v>10248</v>
      </c>
    </row>
    <row r="514" spans="1:8">
      <c r="A514" s="30" t="s">
        <v>10249</v>
      </c>
      <c r="B514" s="30"/>
      <c r="C514" s="30" t="s">
        <v>8607</v>
      </c>
      <c r="D514" s="30"/>
      <c r="E514" s="30"/>
      <c r="F514" s="30"/>
      <c r="G514" s="30" t="s">
        <v>10250</v>
      </c>
      <c r="H514" s="30" t="s">
        <v>10251</v>
      </c>
    </row>
    <row r="515" spans="1:8">
      <c r="A515" s="30" t="s">
        <v>10252</v>
      </c>
      <c r="B515" s="30"/>
      <c r="C515" s="30" t="s">
        <v>8626</v>
      </c>
      <c r="D515" s="30" t="s">
        <v>10253</v>
      </c>
      <c r="E515" s="30"/>
      <c r="F515" s="30"/>
      <c r="G515" s="30" t="s">
        <v>10254</v>
      </c>
      <c r="H515" s="30" t="s">
        <v>10255</v>
      </c>
    </row>
    <row r="516" spans="1:8">
      <c r="A516" s="30" t="s">
        <v>10256</v>
      </c>
      <c r="B516" s="30"/>
      <c r="C516" s="30" t="s">
        <v>8607</v>
      </c>
      <c r="D516" s="30"/>
      <c r="E516" s="30"/>
      <c r="F516" s="30"/>
      <c r="G516" s="30" t="s">
        <v>8708</v>
      </c>
      <c r="H516" s="30" t="s">
        <v>10257</v>
      </c>
    </row>
    <row r="517" spans="1:8">
      <c r="A517" s="30" t="s">
        <v>10258</v>
      </c>
      <c r="B517" s="30"/>
      <c r="C517" s="30" t="s">
        <v>8626</v>
      </c>
      <c r="D517" s="30"/>
      <c r="E517" s="30"/>
      <c r="F517" s="30"/>
      <c r="G517" s="30" t="s">
        <v>8711</v>
      </c>
      <c r="H517" s="30" t="s">
        <v>10259</v>
      </c>
    </row>
    <row r="518" spans="1:8">
      <c r="A518" s="30" t="s">
        <v>10260</v>
      </c>
      <c r="B518" s="30"/>
      <c r="C518" s="30" t="s">
        <v>8607</v>
      </c>
      <c r="D518" s="30" t="s">
        <v>10261</v>
      </c>
      <c r="E518" s="30" t="s">
        <v>10262</v>
      </c>
      <c r="F518" s="30" t="s">
        <v>8672</v>
      </c>
      <c r="G518" s="30" t="s">
        <v>10234</v>
      </c>
      <c r="H518" s="30" t="s">
        <v>10263</v>
      </c>
    </row>
    <row r="519" spans="1:8">
      <c r="A519" s="30" t="s">
        <v>10264</v>
      </c>
      <c r="B519" s="30"/>
      <c r="C519" s="30" t="s">
        <v>8607</v>
      </c>
      <c r="D519" s="30" t="s">
        <v>9005</v>
      </c>
      <c r="E519" s="30" t="s">
        <v>10265</v>
      </c>
      <c r="F519" s="30" t="e">
        <v>#VALUE!</v>
      </c>
      <c r="G519" s="30" t="s">
        <v>9007</v>
      </c>
      <c r="H519" s="30" t="s">
        <v>10266</v>
      </c>
    </row>
    <row r="520" spans="1:8">
      <c r="A520" s="30" t="s">
        <v>10267</v>
      </c>
      <c r="B520" s="30"/>
      <c r="C520" s="30" t="s">
        <v>8626</v>
      </c>
      <c r="D520" s="30" t="s">
        <v>10268</v>
      </c>
      <c r="E520" s="30" t="s">
        <v>10269</v>
      </c>
      <c r="F520" s="30" t="s">
        <v>8618</v>
      </c>
      <c r="G520" s="30" t="s">
        <v>9392</v>
      </c>
      <c r="H520" s="30" t="s">
        <v>10270</v>
      </c>
    </row>
    <row r="521" spans="1:8">
      <c r="A521" s="30" t="s">
        <v>10271</v>
      </c>
      <c r="B521" s="30"/>
      <c r="C521" s="30" t="s">
        <v>8626</v>
      </c>
      <c r="D521" s="30"/>
      <c r="E521" s="30"/>
      <c r="F521" s="30"/>
      <c r="G521" s="30" t="s">
        <v>9847</v>
      </c>
      <c r="H521" s="30" t="s">
        <v>10272</v>
      </c>
    </row>
    <row r="522" spans="1:8">
      <c r="A522" s="30" t="s">
        <v>10273</v>
      </c>
      <c r="B522" s="30"/>
      <c r="C522" s="30" t="s">
        <v>8607</v>
      </c>
      <c r="D522" s="30"/>
      <c r="E522" s="30"/>
      <c r="F522" s="30"/>
      <c r="G522" s="30"/>
      <c r="H522" s="30" t="s">
        <v>10274</v>
      </c>
    </row>
    <row r="523" spans="1:8">
      <c r="A523" s="30" t="s">
        <v>10275</v>
      </c>
      <c r="B523" s="30"/>
      <c r="C523" s="30" t="s">
        <v>8626</v>
      </c>
      <c r="D523" s="30"/>
      <c r="E523" s="30"/>
      <c r="F523" s="30"/>
      <c r="G523" s="30" t="s">
        <v>9358</v>
      </c>
      <c r="H523" s="30" t="s">
        <v>10276</v>
      </c>
    </row>
    <row r="524" spans="1:8">
      <c r="A524" s="30" t="s">
        <v>10277</v>
      </c>
      <c r="B524" s="30"/>
      <c r="C524" s="30" t="s">
        <v>8626</v>
      </c>
      <c r="D524" s="30"/>
      <c r="E524" s="30"/>
      <c r="F524" s="30"/>
      <c r="G524" s="30" t="s">
        <v>10220</v>
      </c>
      <c r="H524" s="30" t="s">
        <v>10278</v>
      </c>
    </row>
    <row r="525" spans="1:8">
      <c r="A525" s="30" t="s">
        <v>10279</v>
      </c>
      <c r="B525" s="30"/>
      <c r="C525" s="30" t="s">
        <v>8626</v>
      </c>
      <c r="D525" s="30" t="s">
        <v>10280</v>
      </c>
      <c r="E525" s="30" t="s">
        <v>10281</v>
      </c>
      <c r="F525" s="30" t="s">
        <v>8672</v>
      </c>
      <c r="G525" s="30" t="s">
        <v>8858</v>
      </c>
      <c r="H525" s="30" t="s">
        <v>10282</v>
      </c>
    </row>
    <row r="526" spans="1:8">
      <c r="A526" s="30" t="s">
        <v>10283</v>
      </c>
      <c r="B526" s="30"/>
      <c r="C526" s="30" t="s">
        <v>8626</v>
      </c>
      <c r="D526" s="30"/>
      <c r="E526" s="30"/>
      <c r="F526" s="30"/>
      <c r="G526" s="30" t="s">
        <v>10138</v>
      </c>
      <c r="H526" s="30" t="s">
        <v>10284</v>
      </c>
    </row>
    <row r="527" spans="1:8">
      <c r="A527" s="30" t="s">
        <v>10285</v>
      </c>
      <c r="B527" s="30"/>
      <c r="C527" s="30" t="s">
        <v>8626</v>
      </c>
      <c r="D527" s="30"/>
      <c r="E527" s="30" t="s">
        <v>10286</v>
      </c>
      <c r="F527" s="30" t="s">
        <v>8672</v>
      </c>
      <c r="G527" s="30" t="s">
        <v>9512</v>
      </c>
      <c r="H527" s="30" t="s">
        <v>10287</v>
      </c>
    </row>
    <row r="528" spans="1:8">
      <c r="A528" s="30" t="s">
        <v>10288</v>
      </c>
      <c r="B528" s="30"/>
      <c r="C528" s="30" t="s">
        <v>8626</v>
      </c>
      <c r="D528" s="30"/>
      <c r="E528" s="30" t="s">
        <v>10286</v>
      </c>
      <c r="F528" s="30" t="s">
        <v>8672</v>
      </c>
      <c r="G528" s="30" t="s">
        <v>9512</v>
      </c>
      <c r="H528" s="30" t="s">
        <v>10287</v>
      </c>
    </row>
    <row r="529" spans="1:8">
      <c r="A529" s="30" t="s">
        <v>10289</v>
      </c>
      <c r="B529" s="30"/>
      <c r="C529" s="30" t="s">
        <v>8607</v>
      </c>
      <c r="D529" s="30" t="s">
        <v>10290</v>
      </c>
      <c r="E529" s="30" t="s">
        <v>10291</v>
      </c>
      <c r="F529" s="30" t="s">
        <v>8618</v>
      </c>
      <c r="G529" s="30" t="s">
        <v>10292</v>
      </c>
      <c r="H529" s="30" t="s">
        <v>10293</v>
      </c>
    </row>
    <row r="530" spans="1:8">
      <c r="A530" s="30" t="s">
        <v>10294</v>
      </c>
      <c r="B530" s="30"/>
      <c r="C530" s="30" t="s">
        <v>8607</v>
      </c>
      <c r="D530" s="30"/>
      <c r="E530" s="30"/>
      <c r="F530" s="30"/>
      <c r="G530" s="30" t="s">
        <v>8698</v>
      </c>
      <c r="H530" s="30" t="s">
        <v>10295</v>
      </c>
    </row>
    <row r="531" spans="1:8">
      <c r="A531" s="30" t="s">
        <v>10296</v>
      </c>
      <c r="B531" s="30"/>
      <c r="C531" s="30" t="s">
        <v>8607</v>
      </c>
      <c r="D531" s="30" t="s">
        <v>10280</v>
      </c>
      <c r="E531" s="30" t="s">
        <v>10297</v>
      </c>
      <c r="F531" s="30" t="s">
        <v>8618</v>
      </c>
      <c r="G531" s="30" t="s">
        <v>10292</v>
      </c>
      <c r="H531" s="30" t="s">
        <v>10293</v>
      </c>
    </row>
    <row r="532" spans="1:8">
      <c r="A532" s="30" t="s">
        <v>10298</v>
      </c>
      <c r="B532" s="30"/>
      <c r="C532" s="30" t="s">
        <v>8607</v>
      </c>
      <c r="D532" s="30"/>
      <c r="E532" s="30"/>
      <c r="F532" s="30"/>
      <c r="G532" s="30" t="s">
        <v>8698</v>
      </c>
      <c r="H532" s="30" t="s">
        <v>10295</v>
      </c>
    </row>
    <row r="533" spans="1:8">
      <c r="A533" s="30" t="s">
        <v>10299</v>
      </c>
      <c r="B533" s="30"/>
      <c r="C533" s="30"/>
      <c r="D533" s="32" t="s">
        <v>10300</v>
      </c>
      <c r="E533" s="32"/>
      <c r="F533" s="30"/>
      <c r="G533" s="30"/>
      <c r="H533" s="30" t="s">
        <v>10301</v>
      </c>
    </row>
    <row r="534" spans="1:8">
      <c r="A534" s="30" t="s">
        <v>10302</v>
      </c>
      <c r="B534" s="30"/>
      <c r="C534" s="30" t="s">
        <v>8607</v>
      </c>
      <c r="D534" s="30" t="s">
        <v>9758</v>
      </c>
      <c r="E534" s="30" t="s">
        <v>9706</v>
      </c>
      <c r="F534" s="30" t="s">
        <v>8672</v>
      </c>
      <c r="G534" s="30" t="s">
        <v>9002</v>
      </c>
      <c r="H534" s="30" t="s">
        <v>10303</v>
      </c>
    </row>
    <row r="535" spans="1:8">
      <c r="A535" s="30" t="s">
        <v>10304</v>
      </c>
      <c r="B535" s="30"/>
      <c r="C535" s="30" t="s">
        <v>8626</v>
      </c>
      <c r="D535" s="30"/>
      <c r="E535" s="30" t="s">
        <v>10214</v>
      </c>
      <c r="F535" s="30" t="e">
        <v>#VALUE!</v>
      </c>
      <c r="G535" s="30" t="s">
        <v>8714</v>
      </c>
      <c r="H535" s="30" t="s">
        <v>10305</v>
      </c>
    </row>
    <row r="536" spans="1:8">
      <c r="A536" s="30" t="s">
        <v>10306</v>
      </c>
      <c r="B536" s="30"/>
      <c r="C536" s="30" t="s">
        <v>8626</v>
      </c>
      <c r="D536" s="30" t="s">
        <v>8883</v>
      </c>
      <c r="E536" s="30" t="s">
        <v>10307</v>
      </c>
      <c r="F536" s="30" t="s">
        <v>8672</v>
      </c>
      <c r="G536" s="30" t="s">
        <v>8885</v>
      </c>
      <c r="H536" s="30" t="s">
        <v>10308</v>
      </c>
    </row>
    <row r="537" spans="1:8">
      <c r="A537" s="30" t="s">
        <v>10309</v>
      </c>
      <c r="B537" s="30"/>
      <c r="C537" s="30" t="s">
        <v>8626</v>
      </c>
      <c r="D537" s="30" t="s">
        <v>10310</v>
      </c>
      <c r="E537" s="30" t="s">
        <v>10311</v>
      </c>
      <c r="F537" s="30" t="s">
        <v>8672</v>
      </c>
      <c r="G537" s="30" t="s">
        <v>10076</v>
      </c>
      <c r="H537" s="30" t="s">
        <v>10312</v>
      </c>
    </row>
    <row r="538" spans="1:8">
      <c r="A538" s="30" t="s">
        <v>10313</v>
      </c>
      <c r="B538" s="30"/>
      <c r="C538" s="30" t="s">
        <v>8607</v>
      </c>
      <c r="D538" s="30"/>
      <c r="E538" s="30"/>
      <c r="F538" s="30"/>
      <c r="G538" s="30" t="s">
        <v>8774</v>
      </c>
      <c r="H538" s="30" t="s">
        <v>10314</v>
      </c>
    </row>
    <row r="539" spans="1:8">
      <c r="A539" s="30" t="s">
        <v>10315</v>
      </c>
      <c r="B539" s="30"/>
      <c r="C539" s="30" t="s">
        <v>8626</v>
      </c>
      <c r="D539" s="30" t="s">
        <v>10316</v>
      </c>
      <c r="E539" s="30"/>
      <c r="F539" s="30"/>
      <c r="G539" s="30" t="s">
        <v>10317</v>
      </c>
      <c r="H539" s="30" t="s">
        <v>10318</v>
      </c>
    </row>
    <row r="540" spans="1:8">
      <c r="A540" s="30" t="s">
        <v>10319</v>
      </c>
      <c r="B540" s="30"/>
      <c r="C540" s="30" t="s">
        <v>8607</v>
      </c>
      <c r="D540" s="30"/>
      <c r="E540" s="30"/>
      <c r="F540" s="30"/>
      <c r="G540" s="30" t="s">
        <v>10320</v>
      </c>
      <c r="H540" s="30" t="s">
        <v>10321</v>
      </c>
    </row>
    <row r="541" spans="1:8">
      <c r="A541" s="30" t="s">
        <v>10322</v>
      </c>
      <c r="B541" s="30"/>
      <c r="C541" s="30" t="s">
        <v>8626</v>
      </c>
      <c r="D541" s="30" t="s">
        <v>10310</v>
      </c>
      <c r="E541" s="30" t="s">
        <v>10323</v>
      </c>
      <c r="F541" s="30" t="s">
        <v>8672</v>
      </c>
      <c r="G541" s="30" t="s">
        <v>10076</v>
      </c>
      <c r="H541" s="30" t="s">
        <v>10312</v>
      </c>
    </row>
    <row r="542" spans="1:8">
      <c r="A542" s="30" t="s">
        <v>10324</v>
      </c>
      <c r="B542" s="30"/>
      <c r="C542" s="30" t="s">
        <v>8607</v>
      </c>
      <c r="D542" s="30"/>
      <c r="E542" s="30"/>
      <c r="F542" s="30"/>
      <c r="G542" s="30" t="s">
        <v>8726</v>
      </c>
      <c r="H542" s="30" t="s">
        <v>8727</v>
      </c>
    </row>
    <row r="543" spans="1:8">
      <c r="A543" s="30" t="s">
        <v>10325</v>
      </c>
      <c r="B543" s="30"/>
      <c r="C543" s="30" t="s">
        <v>8607</v>
      </c>
      <c r="D543" s="30"/>
      <c r="E543" s="30"/>
      <c r="F543" s="30"/>
      <c r="G543" s="30" t="s">
        <v>8729</v>
      </c>
      <c r="H543" s="30" t="s">
        <v>10195</v>
      </c>
    </row>
    <row r="544" spans="1:8">
      <c r="A544" s="30" t="s">
        <v>10326</v>
      </c>
      <c r="B544" s="30"/>
      <c r="C544" s="30" t="s">
        <v>8626</v>
      </c>
      <c r="D544" s="30" t="s">
        <v>10327</v>
      </c>
      <c r="E544" s="30" t="s">
        <v>8685</v>
      </c>
      <c r="F544" s="30" t="s">
        <v>8618</v>
      </c>
      <c r="G544" s="30" t="s">
        <v>8686</v>
      </c>
      <c r="H544" s="30" t="s">
        <v>10328</v>
      </c>
    </row>
    <row r="545" spans="1:8">
      <c r="A545" s="30" t="s">
        <v>10329</v>
      </c>
      <c r="B545" s="30"/>
      <c r="C545" s="30" t="s">
        <v>8626</v>
      </c>
      <c r="D545" s="30" t="s">
        <v>8689</v>
      </c>
      <c r="E545" s="30" t="s">
        <v>10191</v>
      </c>
      <c r="F545" s="30" t="e">
        <v>#VALUE!</v>
      </c>
      <c r="G545" s="30" t="s">
        <v>8691</v>
      </c>
      <c r="H545" s="30" t="s">
        <v>8692</v>
      </c>
    </row>
    <row r="546" spans="1:8">
      <c r="A546" s="30" t="s">
        <v>10330</v>
      </c>
      <c r="B546" s="30"/>
      <c r="C546" s="30" t="s">
        <v>8607</v>
      </c>
      <c r="D546" s="30"/>
      <c r="E546" s="30"/>
      <c r="F546" s="30"/>
      <c r="G546" s="30" t="s">
        <v>8726</v>
      </c>
      <c r="H546" s="30" t="s">
        <v>8727</v>
      </c>
    </row>
    <row r="547" spans="1:8">
      <c r="A547" s="30" t="s">
        <v>10331</v>
      </c>
      <c r="B547" s="30"/>
      <c r="C547" s="30" t="s">
        <v>8607</v>
      </c>
      <c r="D547" s="30"/>
      <c r="E547" s="30"/>
      <c r="F547" s="30"/>
      <c r="G547" s="30" t="s">
        <v>8729</v>
      </c>
      <c r="H547" s="30" t="s">
        <v>10195</v>
      </c>
    </row>
    <row r="548" spans="1:8">
      <c r="A548" s="30" t="s">
        <v>10332</v>
      </c>
      <c r="B548" s="30"/>
      <c r="C548" s="30" t="s">
        <v>8626</v>
      </c>
      <c r="D548" s="30" t="s">
        <v>8689</v>
      </c>
      <c r="E548" s="30" t="s">
        <v>10191</v>
      </c>
      <c r="F548" s="30" t="e">
        <v>#VALUE!</v>
      </c>
      <c r="G548" s="30" t="s">
        <v>8691</v>
      </c>
      <c r="H548" s="30" t="s">
        <v>8692</v>
      </c>
    </row>
    <row r="549" spans="1:8">
      <c r="A549" s="30" t="s">
        <v>10333</v>
      </c>
      <c r="B549" s="30"/>
      <c r="C549" s="30" t="s">
        <v>8626</v>
      </c>
      <c r="D549" s="30" t="s">
        <v>10334</v>
      </c>
      <c r="E549" s="30"/>
      <c r="F549" s="30"/>
      <c r="G549" s="30" t="s">
        <v>8695</v>
      </c>
      <c r="H549" s="30" t="s">
        <v>10335</v>
      </c>
    </row>
    <row r="550" spans="1:8">
      <c r="A550" s="30" t="s">
        <v>10336</v>
      </c>
      <c r="B550" s="30"/>
      <c r="C550" s="30"/>
      <c r="D550" s="32"/>
      <c r="E550" s="30"/>
      <c r="F550" s="30"/>
      <c r="G550" s="30"/>
      <c r="H550" s="30" t="s">
        <v>10337</v>
      </c>
    </row>
    <row r="551" spans="1:8">
      <c r="A551" s="30" t="s">
        <v>10338</v>
      </c>
      <c r="B551" s="30"/>
      <c r="C551" s="30" t="s">
        <v>8626</v>
      </c>
      <c r="D551" s="30"/>
      <c r="E551" s="30" t="s">
        <v>10214</v>
      </c>
      <c r="F551" s="30" t="e">
        <v>#VALUE!</v>
      </c>
      <c r="G551" s="30" t="s">
        <v>8714</v>
      </c>
      <c r="H551" s="30" t="s">
        <v>10305</v>
      </c>
    </row>
    <row r="552" spans="1:8">
      <c r="A552" s="30" t="s">
        <v>10339</v>
      </c>
      <c r="B552" s="30"/>
      <c r="C552" s="30" t="s">
        <v>8607</v>
      </c>
      <c r="D552" s="30" t="s">
        <v>8707</v>
      </c>
      <c r="E552" s="30"/>
      <c r="F552" s="30"/>
      <c r="G552" s="30" t="s">
        <v>8708</v>
      </c>
      <c r="H552" s="30" t="s">
        <v>10340</v>
      </c>
    </row>
    <row r="553" spans="1:8">
      <c r="A553" s="30" t="s">
        <v>10341</v>
      </c>
      <c r="B553" s="30"/>
      <c r="C553" s="30" t="s">
        <v>8607</v>
      </c>
      <c r="D553" s="30"/>
      <c r="E553" s="30"/>
      <c r="F553" s="30"/>
      <c r="G553" s="30" t="s">
        <v>8711</v>
      </c>
      <c r="H553" s="30" t="s">
        <v>10342</v>
      </c>
    </row>
    <row r="554" spans="1:8">
      <c r="A554" s="30" t="s">
        <v>10343</v>
      </c>
      <c r="B554" s="30"/>
      <c r="C554" s="30" t="s">
        <v>8607</v>
      </c>
      <c r="D554" s="30"/>
      <c r="E554" s="30"/>
      <c r="F554" s="30"/>
      <c r="G554" s="30" t="s">
        <v>8717</v>
      </c>
      <c r="H554" s="30" t="s">
        <v>10344</v>
      </c>
    </row>
    <row r="555" spans="1:8">
      <c r="A555" s="30" t="s">
        <v>10345</v>
      </c>
      <c r="B555" s="30"/>
      <c r="C555" s="30" t="s">
        <v>8626</v>
      </c>
      <c r="D555" s="30"/>
      <c r="E555" s="30"/>
      <c r="F555" s="30"/>
      <c r="G555" s="30" t="s">
        <v>8698</v>
      </c>
      <c r="H555" s="30" t="s">
        <v>10346</v>
      </c>
    </row>
    <row r="556" spans="1:8">
      <c r="A556" s="30" t="s">
        <v>10347</v>
      </c>
      <c r="B556" s="30"/>
      <c r="C556" s="30" t="s">
        <v>8607</v>
      </c>
      <c r="D556" s="30"/>
      <c r="E556" s="30" t="s">
        <v>10348</v>
      </c>
      <c r="F556" s="30" t="e">
        <v>#VALUE!</v>
      </c>
      <c r="G556" s="30" t="s">
        <v>8637</v>
      </c>
      <c r="H556" s="30" t="s">
        <v>10349</v>
      </c>
    </row>
    <row r="557" spans="1:8">
      <c r="A557" s="30" t="s">
        <v>10350</v>
      </c>
      <c r="B557" s="30"/>
      <c r="C557" s="30"/>
      <c r="D557" s="32" t="s">
        <v>10351</v>
      </c>
      <c r="E557" s="30"/>
      <c r="F557" s="30"/>
      <c r="G557" s="30"/>
      <c r="H557" s="30" t="s">
        <v>10352</v>
      </c>
    </row>
    <row r="558" spans="1:8">
      <c r="A558" s="30" t="s">
        <v>10353</v>
      </c>
      <c r="B558" s="30"/>
      <c r="C558" s="30"/>
      <c r="D558" s="32"/>
      <c r="E558" s="30"/>
      <c r="F558" s="30"/>
      <c r="G558" s="30"/>
      <c r="H558" s="30" t="s">
        <v>10354</v>
      </c>
    </row>
    <row r="559" spans="1:8">
      <c r="A559" s="30" t="s">
        <v>10355</v>
      </c>
      <c r="B559" s="30"/>
      <c r="C559" s="30" t="s">
        <v>8607</v>
      </c>
      <c r="D559" s="30"/>
      <c r="E559" s="30"/>
      <c r="F559" s="30"/>
      <c r="G559" s="30" t="s">
        <v>10356</v>
      </c>
      <c r="H559" s="30" t="s">
        <v>10357</v>
      </c>
    </row>
    <row r="560" spans="1:8">
      <c r="A560" s="30" t="s">
        <v>10358</v>
      </c>
      <c r="B560" s="30"/>
      <c r="C560" s="30" t="s">
        <v>8607</v>
      </c>
      <c r="D560" s="30" t="s">
        <v>8632</v>
      </c>
      <c r="E560" s="30"/>
      <c r="F560" s="30"/>
      <c r="G560" s="30" t="s">
        <v>8633</v>
      </c>
      <c r="H560" s="30" t="s">
        <v>8790</v>
      </c>
    </row>
    <row r="561" spans="1:8">
      <c r="A561" s="30" t="s">
        <v>10359</v>
      </c>
      <c r="B561" s="30"/>
      <c r="C561" s="30"/>
      <c r="D561" s="32" t="s">
        <v>10360</v>
      </c>
      <c r="E561" s="30" t="s">
        <v>10361</v>
      </c>
      <c r="F561" s="30" t="s">
        <v>8618</v>
      </c>
      <c r="G561" s="30"/>
      <c r="H561" s="30" t="s">
        <v>10362</v>
      </c>
    </row>
    <row r="562" spans="1:8">
      <c r="A562" s="30" t="s">
        <v>10363</v>
      </c>
      <c r="B562" s="30"/>
      <c r="C562" s="30" t="s">
        <v>8626</v>
      </c>
      <c r="D562" s="30"/>
      <c r="E562" s="30"/>
      <c r="F562" s="30"/>
      <c r="G562" s="30"/>
      <c r="H562" s="30" t="s">
        <v>10364</v>
      </c>
    </row>
    <row r="563" spans="1:8">
      <c r="A563" s="30" t="s">
        <v>10365</v>
      </c>
      <c r="B563" s="30"/>
      <c r="C563" s="30" t="s">
        <v>8626</v>
      </c>
      <c r="D563" s="30" t="s">
        <v>10366</v>
      </c>
      <c r="E563" s="30"/>
      <c r="F563" s="30"/>
      <c r="G563" s="30" t="s">
        <v>8943</v>
      </c>
      <c r="H563" s="30" t="s">
        <v>10367</v>
      </c>
    </row>
    <row r="564" spans="1:8">
      <c r="A564" s="30" t="s">
        <v>10368</v>
      </c>
      <c r="B564" s="30"/>
      <c r="C564" s="30" t="s">
        <v>8626</v>
      </c>
      <c r="D564" s="30" t="s">
        <v>10369</v>
      </c>
      <c r="E564" s="30" t="s">
        <v>10370</v>
      </c>
      <c r="F564" s="30" t="s">
        <v>8618</v>
      </c>
      <c r="G564" s="30" t="s">
        <v>10234</v>
      </c>
      <c r="H564" s="30" t="s">
        <v>10371</v>
      </c>
    </row>
    <row r="565" spans="1:8">
      <c r="A565" s="30" t="s">
        <v>10372</v>
      </c>
      <c r="B565" s="30"/>
      <c r="C565" s="30" t="s">
        <v>8626</v>
      </c>
      <c r="D565" s="30" t="s">
        <v>10373</v>
      </c>
      <c r="E565" s="30" t="s">
        <v>10374</v>
      </c>
      <c r="F565" s="30" t="s">
        <v>8618</v>
      </c>
      <c r="G565" s="30" t="s">
        <v>10234</v>
      </c>
      <c r="H565" s="30" t="s">
        <v>10375</v>
      </c>
    </row>
    <row r="566" spans="1:8">
      <c r="A566" s="30" t="s">
        <v>10376</v>
      </c>
      <c r="B566" s="30"/>
      <c r="C566" s="30" t="s">
        <v>8607</v>
      </c>
      <c r="D566" s="30" t="s">
        <v>10377</v>
      </c>
      <c r="E566" s="30"/>
      <c r="F566" s="30"/>
      <c r="G566" s="30" t="s">
        <v>8737</v>
      </c>
      <c r="H566" s="30" t="s">
        <v>8939</v>
      </c>
    </row>
    <row r="567" spans="1:8">
      <c r="A567" s="30" t="s">
        <v>10378</v>
      </c>
      <c r="B567" s="30"/>
      <c r="C567" s="30" t="s">
        <v>8626</v>
      </c>
      <c r="D567" s="30" t="s">
        <v>10379</v>
      </c>
      <c r="E567" s="30" t="s">
        <v>8862</v>
      </c>
      <c r="F567" s="30" t="s">
        <v>8672</v>
      </c>
      <c r="G567" s="30" t="s">
        <v>8863</v>
      </c>
      <c r="H567" s="30" t="s">
        <v>10380</v>
      </c>
    </row>
    <row r="568" spans="1:8">
      <c r="A568" s="30" t="s">
        <v>10381</v>
      </c>
      <c r="B568" s="30"/>
      <c r="C568" s="30" t="s">
        <v>8626</v>
      </c>
      <c r="D568" s="30"/>
      <c r="E568" s="30"/>
      <c r="F568" s="30"/>
      <c r="G568" s="30" t="s">
        <v>10382</v>
      </c>
      <c r="H568" s="30" t="s">
        <v>10383</v>
      </c>
    </row>
    <row r="569" spans="1:8">
      <c r="A569" s="30" t="s">
        <v>10384</v>
      </c>
      <c r="B569" s="30"/>
      <c r="C569" s="30" t="s">
        <v>8607</v>
      </c>
      <c r="D569" s="30"/>
      <c r="E569" s="30"/>
      <c r="F569" s="30"/>
      <c r="G569" s="30" t="s">
        <v>10385</v>
      </c>
      <c r="H569" s="30" t="s">
        <v>10386</v>
      </c>
    </row>
    <row r="570" spans="1:8">
      <c r="A570" s="30" t="s">
        <v>10387</v>
      </c>
      <c r="B570" s="30"/>
      <c r="C570" s="30" t="s">
        <v>8607</v>
      </c>
      <c r="D570" s="30" t="s">
        <v>9546</v>
      </c>
      <c r="E570" s="30" t="s">
        <v>9547</v>
      </c>
      <c r="F570" s="30" t="s">
        <v>8672</v>
      </c>
      <c r="G570" s="30" t="s">
        <v>9366</v>
      </c>
      <c r="H570" s="30" t="s">
        <v>10388</v>
      </c>
    </row>
    <row r="571" spans="1:8">
      <c r="A571" s="30" t="s">
        <v>10389</v>
      </c>
      <c r="B571" s="30"/>
      <c r="C571" s="30" t="s">
        <v>8626</v>
      </c>
      <c r="D571" s="30" t="s">
        <v>10390</v>
      </c>
      <c r="E571" s="30" t="s">
        <v>10391</v>
      </c>
      <c r="F571" s="30" t="e">
        <v>#VALUE!</v>
      </c>
      <c r="G571" s="30" t="s">
        <v>10392</v>
      </c>
      <c r="H571" s="30" t="s">
        <v>10393</v>
      </c>
    </row>
    <row r="572" spans="1:8">
      <c r="A572" s="30" t="s">
        <v>10394</v>
      </c>
      <c r="B572" s="30"/>
      <c r="C572" s="30" t="s">
        <v>8607</v>
      </c>
      <c r="D572" s="30"/>
      <c r="E572" s="30"/>
      <c r="F572" s="30"/>
      <c r="G572" s="30" t="s">
        <v>10395</v>
      </c>
      <c r="H572" s="30" t="s">
        <v>10396</v>
      </c>
    </row>
    <row r="573" spans="1:8">
      <c r="A573" s="30" t="s">
        <v>10397</v>
      </c>
      <c r="B573" s="30"/>
      <c r="C573" s="30" t="s">
        <v>8607</v>
      </c>
      <c r="D573" s="30" t="s">
        <v>10377</v>
      </c>
      <c r="E573" s="30"/>
      <c r="F573" s="30"/>
      <c r="G573" s="30" t="s">
        <v>8737</v>
      </c>
      <c r="H573" s="30" t="s">
        <v>10398</v>
      </c>
    </row>
    <row r="574" spans="1:8">
      <c r="A574" s="30" t="s">
        <v>10399</v>
      </c>
      <c r="B574" s="30"/>
      <c r="C574" s="30" t="s">
        <v>8626</v>
      </c>
      <c r="D574" s="30" t="s">
        <v>10400</v>
      </c>
      <c r="E574" s="30" t="s">
        <v>10401</v>
      </c>
      <c r="F574" s="30" t="s">
        <v>8618</v>
      </c>
      <c r="G574" s="30" t="s">
        <v>8989</v>
      </c>
      <c r="H574" s="30" t="s">
        <v>10402</v>
      </c>
    </row>
    <row r="575" spans="1:8">
      <c r="A575" s="30" t="s">
        <v>10403</v>
      </c>
      <c r="B575" s="30"/>
      <c r="C575" s="30" t="s">
        <v>8607</v>
      </c>
      <c r="D575" s="30" t="s">
        <v>10404</v>
      </c>
      <c r="E575" s="30" t="s">
        <v>10405</v>
      </c>
      <c r="F575" s="30" t="s">
        <v>8618</v>
      </c>
      <c r="G575" s="30" t="s">
        <v>8943</v>
      </c>
      <c r="H575" s="30" t="s">
        <v>8944</v>
      </c>
    </row>
    <row r="576" spans="1:8">
      <c r="A576" s="30" t="s">
        <v>10406</v>
      </c>
      <c r="B576" s="30"/>
      <c r="C576" s="30" t="s">
        <v>8607</v>
      </c>
      <c r="D576" s="30" t="s">
        <v>8736</v>
      </c>
      <c r="E576" s="30"/>
      <c r="F576" s="30"/>
      <c r="G576" s="30" t="s">
        <v>8737</v>
      </c>
      <c r="H576" s="30" t="s">
        <v>10407</v>
      </c>
    </row>
    <row r="577" spans="1:8">
      <c r="A577" s="30" t="s">
        <v>10408</v>
      </c>
      <c r="B577" s="30"/>
      <c r="C577" s="30" t="s">
        <v>8626</v>
      </c>
      <c r="D577" s="30" t="s">
        <v>8736</v>
      </c>
      <c r="E577" s="30"/>
      <c r="F577" s="30"/>
      <c r="G577" s="30" t="s">
        <v>8737</v>
      </c>
      <c r="H577" s="30" t="s">
        <v>8738</v>
      </c>
    </row>
    <row r="578" spans="1:8">
      <c r="A578" s="30" t="s">
        <v>10409</v>
      </c>
      <c r="B578" s="30"/>
      <c r="C578" s="30" t="s">
        <v>8607</v>
      </c>
      <c r="D578" s="30"/>
      <c r="E578" s="30"/>
      <c r="F578" s="30"/>
      <c r="G578" s="30" t="s">
        <v>10410</v>
      </c>
      <c r="H578" s="30" t="s">
        <v>10411</v>
      </c>
    </row>
    <row r="579" spans="1:8">
      <c r="A579" s="30" t="s">
        <v>10412</v>
      </c>
      <c r="B579" s="30"/>
      <c r="C579" s="30"/>
      <c r="D579" s="32"/>
      <c r="E579" s="30"/>
      <c r="F579" s="30"/>
      <c r="G579" s="30"/>
      <c r="H579" s="30" t="s">
        <v>10413</v>
      </c>
    </row>
    <row r="580" spans="1:8">
      <c r="A580" s="30" t="s">
        <v>10414</v>
      </c>
      <c r="B580" s="30"/>
      <c r="C580" s="30"/>
      <c r="D580" s="32"/>
      <c r="E580" s="30"/>
      <c r="F580" s="30"/>
      <c r="G580" s="30"/>
      <c r="H580" s="30" t="s">
        <v>10415</v>
      </c>
    </row>
    <row r="581" spans="1:8">
      <c r="A581" s="30" t="s">
        <v>10416</v>
      </c>
      <c r="B581" s="30"/>
      <c r="C581" s="30" t="s">
        <v>8607</v>
      </c>
      <c r="D581" s="30"/>
      <c r="E581" s="30"/>
      <c r="F581" s="30"/>
      <c r="G581" s="30"/>
      <c r="H581" s="30" t="s">
        <v>10417</v>
      </c>
    </row>
    <row r="582" spans="1:8">
      <c r="A582" s="30" t="s">
        <v>10418</v>
      </c>
      <c r="B582" s="30"/>
      <c r="C582" s="30" t="s">
        <v>8626</v>
      </c>
      <c r="D582" s="30" t="s">
        <v>10132</v>
      </c>
      <c r="E582" s="30" t="s">
        <v>10419</v>
      </c>
      <c r="F582" s="30" t="e">
        <v>#VALUE!</v>
      </c>
      <c r="G582" s="30" t="s">
        <v>8975</v>
      </c>
      <c r="H582" s="30" t="s">
        <v>10420</v>
      </c>
    </row>
    <row r="583" spans="1:8">
      <c r="A583" s="30" t="s">
        <v>10421</v>
      </c>
      <c r="B583" s="30"/>
      <c r="C583" s="30" t="s">
        <v>8626</v>
      </c>
      <c r="D583" s="30"/>
      <c r="E583" s="30" t="s">
        <v>10422</v>
      </c>
      <c r="F583" s="30" t="s">
        <v>8618</v>
      </c>
      <c r="G583" s="30" t="s">
        <v>8623</v>
      </c>
      <c r="H583" s="30" t="s">
        <v>10423</v>
      </c>
    </row>
    <row r="584" spans="1:8">
      <c r="A584" s="30" t="s">
        <v>10424</v>
      </c>
      <c r="B584" s="30"/>
      <c r="C584" s="30" t="s">
        <v>8607</v>
      </c>
      <c r="D584" s="30" t="s">
        <v>10425</v>
      </c>
      <c r="E584" s="30" t="s">
        <v>10426</v>
      </c>
      <c r="F584" s="30" t="s">
        <v>8618</v>
      </c>
      <c r="G584" s="30" t="s">
        <v>10427</v>
      </c>
      <c r="H584" s="30" t="s">
        <v>10428</v>
      </c>
    </row>
    <row r="585" spans="1:8">
      <c r="A585" s="30" t="s">
        <v>10429</v>
      </c>
      <c r="B585" s="30"/>
      <c r="C585" s="30" t="s">
        <v>8607</v>
      </c>
      <c r="D585" s="30"/>
      <c r="E585" s="30"/>
      <c r="F585" s="30"/>
      <c r="G585" s="30" t="s">
        <v>8726</v>
      </c>
      <c r="H585" s="30" t="s">
        <v>8727</v>
      </c>
    </row>
    <row r="586" spans="1:8">
      <c r="A586" s="30" t="s">
        <v>10430</v>
      </c>
      <c r="B586" s="30"/>
      <c r="C586" s="30" t="s">
        <v>8607</v>
      </c>
      <c r="D586" s="30"/>
      <c r="E586" s="30"/>
      <c r="F586" s="30"/>
      <c r="G586" s="30" t="s">
        <v>8729</v>
      </c>
      <c r="H586" s="30" t="s">
        <v>10195</v>
      </c>
    </row>
    <row r="587" spans="1:8">
      <c r="A587" s="30" t="s">
        <v>10431</v>
      </c>
      <c r="B587" s="30"/>
      <c r="C587" s="30" t="s">
        <v>8607</v>
      </c>
      <c r="D587" s="30"/>
      <c r="E587" s="30"/>
      <c r="F587" s="30"/>
      <c r="G587" s="30" t="s">
        <v>10197</v>
      </c>
      <c r="H587" s="30" t="s">
        <v>10198</v>
      </c>
    </row>
    <row r="588" spans="1:8">
      <c r="A588" s="30" t="s">
        <v>10432</v>
      </c>
      <c r="B588" s="30"/>
      <c r="C588" s="30" t="s">
        <v>8607</v>
      </c>
      <c r="D588" s="30"/>
      <c r="E588" s="30"/>
      <c r="F588" s="30"/>
      <c r="G588" s="30" t="s">
        <v>8646</v>
      </c>
      <c r="H588" s="30" t="s">
        <v>8647</v>
      </c>
    </row>
    <row r="589" spans="1:8">
      <c r="A589" s="30" t="s">
        <v>10433</v>
      </c>
      <c r="B589" s="30"/>
      <c r="C589" s="30" t="s">
        <v>8607</v>
      </c>
      <c r="D589" s="30" t="s">
        <v>10434</v>
      </c>
      <c r="E589" s="30"/>
      <c r="F589" s="30"/>
      <c r="G589" s="30" t="s">
        <v>8649</v>
      </c>
      <c r="H589" s="30" t="s">
        <v>8650</v>
      </c>
    </row>
    <row r="590" spans="1:8">
      <c r="A590" s="30" t="s">
        <v>10435</v>
      </c>
      <c r="B590" s="30"/>
      <c r="C590" s="30" t="s">
        <v>8626</v>
      </c>
      <c r="D590" s="30" t="s">
        <v>10436</v>
      </c>
      <c r="E590" s="30"/>
      <c r="F590" s="30"/>
      <c r="G590" s="30" t="s">
        <v>9847</v>
      </c>
      <c r="H590" s="30" t="s">
        <v>10272</v>
      </c>
    </row>
    <row r="591" spans="1:8">
      <c r="A591" s="30" t="s">
        <v>10437</v>
      </c>
      <c r="B591" s="30"/>
      <c r="C591" s="30" t="s">
        <v>8607</v>
      </c>
      <c r="D591" s="30"/>
      <c r="E591" s="30"/>
      <c r="F591" s="30"/>
      <c r="G591" s="30" t="s">
        <v>10438</v>
      </c>
      <c r="H591" s="30" t="s">
        <v>10439</v>
      </c>
    </row>
    <row r="592" spans="1:8">
      <c r="A592" s="30" t="s">
        <v>10440</v>
      </c>
      <c r="B592" s="30"/>
      <c r="C592" s="30" t="s">
        <v>8626</v>
      </c>
      <c r="D592" s="30" t="s">
        <v>10441</v>
      </c>
      <c r="E592" s="30" t="s">
        <v>8671</v>
      </c>
      <c r="F592" s="30" t="s">
        <v>8672</v>
      </c>
      <c r="G592" s="30" t="s">
        <v>8673</v>
      </c>
      <c r="H592" s="30" t="s">
        <v>10442</v>
      </c>
    </row>
    <row r="593" spans="1:8">
      <c r="A593" s="30" t="s">
        <v>10443</v>
      </c>
      <c r="B593" s="30"/>
      <c r="C593" s="30" t="s">
        <v>8607</v>
      </c>
      <c r="D593" s="30"/>
      <c r="E593" s="30" t="s">
        <v>10200</v>
      </c>
      <c r="F593" s="30" t="e">
        <v>#VALUE!</v>
      </c>
      <c r="G593" s="30" t="s">
        <v>8678</v>
      </c>
      <c r="H593" s="30" t="s">
        <v>8679</v>
      </c>
    </row>
    <row r="594" spans="1:8">
      <c r="A594" s="30" t="s">
        <v>10444</v>
      </c>
      <c r="B594" s="30"/>
      <c r="C594" s="30" t="s">
        <v>8607</v>
      </c>
      <c r="D594" s="30"/>
      <c r="E594" s="30"/>
      <c r="F594" s="30"/>
      <c r="G594" s="30" t="s">
        <v>8681</v>
      </c>
      <c r="H594" s="30" t="s">
        <v>10445</v>
      </c>
    </row>
    <row r="595" spans="1:8">
      <c r="A595" s="30" t="s">
        <v>10446</v>
      </c>
      <c r="B595" s="30"/>
      <c r="C595" s="30" t="s">
        <v>8626</v>
      </c>
      <c r="D595" s="30" t="s">
        <v>8689</v>
      </c>
      <c r="E595" s="30" t="s">
        <v>10191</v>
      </c>
      <c r="F595" s="30" t="e">
        <v>#VALUE!</v>
      </c>
      <c r="G595" s="30" t="s">
        <v>8691</v>
      </c>
      <c r="H595" s="30" t="s">
        <v>10447</v>
      </c>
    </row>
    <row r="596" spans="1:8">
      <c r="A596" s="30" t="s">
        <v>10448</v>
      </c>
      <c r="B596" s="30"/>
      <c r="C596" s="30" t="s">
        <v>8626</v>
      </c>
      <c r="D596" s="30" t="s">
        <v>10449</v>
      </c>
      <c r="E596" s="30" t="s">
        <v>10450</v>
      </c>
      <c r="F596" s="30" t="e">
        <v>#VALUE!</v>
      </c>
      <c r="G596" s="30" t="s">
        <v>10451</v>
      </c>
      <c r="H596" s="30" t="s">
        <v>10452</v>
      </c>
    </row>
    <row r="597" spans="1:8">
      <c r="A597" s="30" t="s">
        <v>10453</v>
      </c>
      <c r="B597" s="30"/>
      <c r="C597" s="30" t="s">
        <v>8626</v>
      </c>
      <c r="D597" s="30" t="s">
        <v>8824</v>
      </c>
      <c r="E597" s="30" t="s">
        <v>10454</v>
      </c>
      <c r="F597" s="30" t="e">
        <v>#VALUE!</v>
      </c>
      <c r="G597" s="30" t="s">
        <v>8826</v>
      </c>
      <c r="H597" s="30" t="s">
        <v>8827</v>
      </c>
    </row>
    <row r="598" spans="1:8">
      <c r="A598" s="30" t="s">
        <v>10455</v>
      </c>
      <c r="B598" s="30"/>
      <c r="C598" s="30" t="s">
        <v>8607</v>
      </c>
      <c r="D598" s="30" t="s">
        <v>8849</v>
      </c>
      <c r="E598" s="30" t="s">
        <v>10456</v>
      </c>
      <c r="F598" s="30" t="s">
        <v>8672</v>
      </c>
      <c r="G598" s="30" t="s">
        <v>8851</v>
      </c>
      <c r="H598" s="30" t="s">
        <v>10457</v>
      </c>
    </row>
    <row r="599" spans="1:8">
      <c r="A599" s="30" t="s">
        <v>10458</v>
      </c>
      <c r="B599" s="30"/>
      <c r="C599" s="30"/>
      <c r="D599" s="32"/>
      <c r="E599" s="30"/>
      <c r="F599" s="30"/>
      <c r="G599" s="30"/>
      <c r="H599" s="30" t="s">
        <v>8854</v>
      </c>
    </row>
    <row r="600" spans="1:8">
      <c r="A600" s="30" t="s">
        <v>10459</v>
      </c>
      <c r="B600" s="30"/>
      <c r="C600" s="30" t="s">
        <v>8607</v>
      </c>
      <c r="D600" s="30"/>
      <c r="E600" s="30"/>
      <c r="F600" s="30"/>
      <c r="G600" s="30" t="s">
        <v>8729</v>
      </c>
      <c r="H600" s="30" t="s">
        <v>10195</v>
      </c>
    </row>
    <row r="601" spans="1:8">
      <c r="A601" s="30" t="s">
        <v>10460</v>
      </c>
      <c r="B601" s="30"/>
      <c r="C601" s="30" t="s">
        <v>8607</v>
      </c>
      <c r="D601" s="30"/>
      <c r="E601" s="30"/>
      <c r="F601" s="30"/>
      <c r="G601" s="30" t="s">
        <v>10197</v>
      </c>
      <c r="H601" s="30" t="s">
        <v>10198</v>
      </c>
    </row>
    <row r="602" spans="1:8">
      <c r="A602" s="30" t="s">
        <v>10461</v>
      </c>
      <c r="B602" s="30"/>
      <c r="C602" s="30" t="s">
        <v>8607</v>
      </c>
      <c r="D602" s="30"/>
      <c r="E602" s="30"/>
      <c r="F602" s="30"/>
      <c r="G602" s="30" t="s">
        <v>8646</v>
      </c>
      <c r="H602" s="30" t="s">
        <v>10462</v>
      </c>
    </row>
    <row r="603" spans="1:8">
      <c r="A603" s="30" t="s">
        <v>10463</v>
      </c>
      <c r="B603" s="30"/>
      <c r="C603" s="30" t="s">
        <v>8607</v>
      </c>
      <c r="D603" s="30"/>
      <c r="E603" s="30"/>
      <c r="F603" s="30"/>
      <c r="G603" s="30" t="s">
        <v>8649</v>
      </c>
      <c r="H603" s="30" t="s">
        <v>10464</v>
      </c>
    </row>
    <row r="604" spans="1:8">
      <c r="A604" s="30" t="s">
        <v>10465</v>
      </c>
      <c r="B604" s="30"/>
      <c r="C604" s="30" t="s">
        <v>8607</v>
      </c>
      <c r="D604" s="30"/>
      <c r="E604" s="30"/>
      <c r="F604" s="30"/>
      <c r="G604" s="30" t="s">
        <v>9847</v>
      </c>
      <c r="H604" s="30" t="s">
        <v>10466</v>
      </c>
    </row>
    <row r="605" spans="1:8">
      <c r="A605" s="30" t="s">
        <v>10467</v>
      </c>
      <c r="B605" s="30"/>
      <c r="C605" s="30" t="s">
        <v>8626</v>
      </c>
      <c r="D605" s="30" t="s">
        <v>9357</v>
      </c>
      <c r="E605" s="30"/>
      <c r="F605" s="30"/>
      <c r="G605" s="30" t="s">
        <v>9358</v>
      </c>
      <c r="H605" s="30" t="s">
        <v>10276</v>
      </c>
    </row>
    <row r="606" spans="1:8">
      <c r="A606" s="30" t="s">
        <v>10468</v>
      </c>
      <c r="B606" s="30"/>
      <c r="C606" s="30" t="s">
        <v>8626</v>
      </c>
      <c r="D606" s="30"/>
      <c r="E606" s="30" t="s">
        <v>10469</v>
      </c>
      <c r="F606" s="30" t="e">
        <v>#VALUE!</v>
      </c>
      <c r="G606" s="30" t="s">
        <v>9007</v>
      </c>
      <c r="H606" s="30" t="s">
        <v>10470</v>
      </c>
    </row>
    <row r="607" spans="1:8">
      <c r="A607" s="30" t="s">
        <v>10471</v>
      </c>
      <c r="B607" s="30"/>
      <c r="C607" s="30" t="s">
        <v>8626</v>
      </c>
      <c r="D607" s="30"/>
      <c r="E607" s="30"/>
      <c r="F607" s="30"/>
      <c r="G607" s="30"/>
      <c r="H607" s="30" t="s">
        <v>10472</v>
      </c>
    </row>
    <row r="608" spans="1:8">
      <c r="A608" s="30" t="s">
        <v>10473</v>
      </c>
      <c r="B608" s="30"/>
      <c r="C608" s="30" t="s">
        <v>8607</v>
      </c>
      <c r="D608" s="30"/>
      <c r="E608" s="30" t="s">
        <v>10474</v>
      </c>
      <c r="F608" s="30" t="e">
        <v>#VALUE!</v>
      </c>
      <c r="G608" s="30" t="s">
        <v>8678</v>
      </c>
      <c r="H608" s="30" t="s">
        <v>10475</v>
      </c>
    </row>
    <row r="609" spans="1:8">
      <c r="A609" s="30" t="s">
        <v>10476</v>
      </c>
      <c r="B609" s="30"/>
      <c r="C609" s="30" t="s">
        <v>8607</v>
      </c>
      <c r="D609" s="30"/>
      <c r="E609" s="30"/>
      <c r="F609" s="30"/>
      <c r="G609" s="30" t="s">
        <v>8681</v>
      </c>
      <c r="H609" s="30" t="s">
        <v>10477</v>
      </c>
    </row>
    <row r="610" spans="1:8">
      <c r="A610" s="30" t="s">
        <v>10478</v>
      </c>
      <c r="B610" s="30"/>
      <c r="C610" s="30" t="s">
        <v>8626</v>
      </c>
      <c r="D610" s="30"/>
      <c r="E610" s="30"/>
      <c r="F610" s="30"/>
      <c r="G610" s="30" t="s">
        <v>8698</v>
      </c>
      <c r="H610" s="30" t="s">
        <v>10346</v>
      </c>
    </row>
    <row r="611" spans="1:8">
      <c r="A611" s="30" t="s">
        <v>10479</v>
      </c>
      <c r="B611" s="30"/>
      <c r="C611" s="30"/>
      <c r="D611" s="32"/>
      <c r="E611" s="30"/>
      <c r="F611" s="30"/>
      <c r="G611" s="30"/>
      <c r="H611" s="30" t="s">
        <v>10480</v>
      </c>
    </row>
    <row r="612" spans="1:8">
      <c r="A612" s="30" t="s">
        <v>10481</v>
      </c>
      <c r="B612" s="30"/>
      <c r="C612" s="30" t="s">
        <v>8607</v>
      </c>
      <c r="D612" s="30"/>
      <c r="E612" s="30"/>
      <c r="F612" s="30"/>
      <c r="G612" s="30" t="s">
        <v>8729</v>
      </c>
      <c r="H612" s="30" t="s">
        <v>10195</v>
      </c>
    </row>
    <row r="613" spans="1:8">
      <c r="A613" s="30" t="s">
        <v>10482</v>
      </c>
      <c r="B613" s="30"/>
      <c r="C613" s="30" t="s">
        <v>8607</v>
      </c>
      <c r="D613" s="30"/>
      <c r="E613" s="30"/>
      <c r="F613" s="30"/>
      <c r="G613" s="30" t="s">
        <v>8646</v>
      </c>
      <c r="H613" s="30" t="s">
        <v>10483</v>
      </c>
    </row>
    <row r="614" spans="1:8">
      <c r="A614" s="30" t="s">
        <v>10484</v>
      </c>
      <c r="B614" s="30"/>
      <c r="C614" s="30" t="s">
        <v>8607</v>
      </c>
      <c r="D614" s="30"/>
      <c r="E614" s="30"/>
      <c r="F614" s="30"/>
      <c r="G614" s="30" t="s">
        <v>8649</v>
      </c>
      <c r="H614" s="30" t="s">
        <v>10485</v>
      </c>
    </row>
    <row r="615" spans="1:8">
      <c r="A615" s="30" t="s">
        <v>10486</v>
      </c>
      <c r="B615" s="30"/>
      <c r="C615" s="30" t="s">
        <v>8626</v>
      </c>
      <c r="D615" s="30"/>
      <c r="E615" s="30"/>
      <c r="F615" s="30"/>
      <c r="G615" s="30" t="s">
        <v>9847</v>
      </c>
      <c r="H615" s="30" t="s">
        <v>10487</v>
      </c>
    </row>
    <row r="616" spans="1:8">
      <c r="A616" s="30" t="s">
        <v>10488</v>
      </c>
      <c r="B616" s="30"/>
      <c r="C616" s="30" t="s">
        <v>8607</v>
      </c>
      <c r="D616" s="30"/>
      <c r="E616" s="30"/>
      <c r="F616" s="30"/>
      <c r="G616" s="30"/>
      <c r="H616" s="30" t="s">
        <v>10439</v>
      </c>
    </row>
    <row r="617" spans="1:8">
      <c r="A617" s="30" t="s">
        <v>10489</v>
      </c>
      <c r="B617" s="30"/>
      <c r="C617" s="30" t="s">
        <v>8626</v>
      </c>
      <c r="D617" s="30"/>
      <c r="E617" s="30"/>
      <c r="F617" s="30"/>
      <c r="G617" s="30" t="s">
        <v>9358</v>
      </c>
      <c r="H617" s="30" t="s">
        <v>10276</v>
      </c>
    </row>
    <row r="618" spans="1:8">
      <c r="A618" s="30" t="s">
        <v>10490</v>
      </c>
      <c r="B618" s="30"/>
      <c r="C618" s="30" t="s">
        <v>8607</v>
      </c>
      <c r="D618" s="30" t="s">
        <v>10491</v>
      </c>
      <c r="E618" s="30" t="s">
        <v>10265</v>
      </c>
      <c r="F618" s="30" t="e">
        <v>#VALUE!</v>
      </c>
      <c r="G618" s="30" t="s">
        <v>9007</v>
      </c>
      <c r="H618" s="30" t="s">
        <v>10492</v>
      </c>
    </row>
    <row r="619" spans="1:8">
      <c r="A619" s="30" t="s">
        <v>10493</v>
      </c>
      <c r="B619" s="30"/>
      <c r="C619" s="30" t="s">
        <v>8626</v>
      </c>
      <c r="D619" s="30" t="s">
        <v>10494</v>
      </c>
      <c r="E619" s="30" t="s">
        <v>8671</v>
      </c>
      <c r="F619" s="30" t="s">
        <v>8672</v>
      </c>
      <c r="G619" s="30" t="s">
        <v>8673</v>
      </c>
      <c r="H619" s="30" t="s">
        <v>10495</v>
      </c>
    </row>
    <row r="620" spans="1:8">
      <c r="A620" s="30" t="s">
        <v>10496</v>
      </c>
      <c r="B620" s="30"/>
      <c r="C620" s="30" t="s">
        <v>8607</v>
      </c>
      <c r="D620" s="30"/>
      <c r="E620" s="30"/>
      <c r="F620" s="30"/>
      <c r="G620" s="30" t="s">
        <v>8726</v>
      </c>
      <c r="H620" s="30" t="s">
        <v>10497</v>
      </c>
    </row>
    <row r="621" spans="1:8">
      <c r="A621" s="30" t="s">
        <v>10498</v>
      </c>
      <c r="B621" s="30"/>
      <c r="C621" s="30" t="s">
        <v>8607</v>
      </c>
      <c r="D621" s="30"/>
      <c r="E621" s="30" t="s">
        <v>10499</v>
      </c>
      <c r="F621" s="30" t="e">
        <v>#VALUE!</v>
      </c>
      <c r="G621" s="30" t="s">
        <v>8678</v>
      </c>
      <c r="H621" s="30" t="s">
        <v>10500</v>
      </c>
    </row>
    <row r="622" spans="1:8">
      <c r="A622" s="30" t="s">
        <v>10501</v>
      </c>
      <c r="B622" s="30"/>
      <c r="C622" s="30" t="s">
        <v>8626</v>
      </c>
      <c r="D622" s="30"/>
      <c r="E622" s="30"/>
      <c r="F622" s="30"/>
      <c r="G622" s="30" t="s">
        <v>8681</v>
      </c>
      <c r="H622" s="30" t="s">
        <v>10502</v>
      </c>
    </row>
    <row r="623" spans="1:8">
      <c r="A623" s="30" t="s">
        <v>10503</v>
      </c>
      <c r="B623" s="30"/>
      <c r="C623" s="30" t="s">
        <v>8626</v>
      </c>
      <c r="D623" s="30" t="s">
        <v>10504</v>
      </c>
      <c r="E623" s="30" t="s">
        <v>10191</v>
      </c>
      <c r="F623" s="30" t="e">
        <v>#VALUE!</v>
      </c>
      <c r="G623" s="30" t="s">
        <v>8691</v>
      </c>
      <c r="H623" s="30" t="s">
        <v>10192</v>
      </c>
    </row>
    <row r="624" spans="1:8">
      <c r="A624" s="30" t="s">
        <v>10505</v>
      </c>
      <c r="B624" s="30"/>
      <c r="C624" s="30" t="s">
        <v>8607</v>
      </c>
      <c r="D624" s="30"/>
      <c r="E624" s="30" t="s">
        <v>10506</v>
      </c>
      <c r="F624" s="30" t="e">
        <v>#VALUE!</v>
      </c>
      <c r="G624" s="30" t="s">
        <v>8678</v>
      </c>
      <c r="H624" s="30" t="s">
        <v>10500</v>
      </c>
    </row>
    <row r="625" spans="1:8">
      <c r="A625" s="30" t="s">
        <v>10507</v>
      </c>
      <c r="B625" s="30"/>
      <c r="C625" s="30" t="s">
        <v>8607</v>
      </c>
      <c r="D625" s="30"/>
      <c r="E625" s="30"/>
      <c r="F625" s="30"/>
      <c r="G625" s="30" t="s">
        <v>8681</v>
      </c>
      <c r="H625" s="30" t="s">
        <v>10508</v>
      </c>
    </row>
    <row r="626" spans="1:8">
      <c r="A626" s="30" t="s">
        <v>10509</v>
      </c>
      <c r="B626" s="30"/>
      <c r="C626" s="30" t="s">
        <v>8626</v>
      </c>
      <c r="D626" s="30" t="s">
        <v>8689</v>
      </c>
      <c r="E626" s="30" t="s">
        <v>10191</v>
      </c>
      <c r="F626" s="30" t="e">
        <v>#VALUE!</v>
      </c>
      <c r="G626" s="30"/>
      <c r="H626" s="30" t="s">
        <v>10192</v>
      </c>
    </row>
    <row r="627" spans="1:8">
      <c r="A627" s="30" t="s">
        <v>10510</v>
      </c>
      <c r="B627" s="30"/>
      <c r="C627" s="30" t="s">
        <v>8607</v>
      </c>
      <c r="D627" s="30"/>
      <c r="E627" s="30"/>
      <c r="F627" s="30"/>
      <c r="G627" s="30" t="s">
        <v>8726</v>
      </c>
      <c r="H627" s="30" t="s">
        <v>8727</v>
      </c>
    </row>
    <row r="628" spans="1:8">
      <c r="A628" s="30" t="s">
        <v>10511</v>
      </c>
      <c r="B628" s="30"/>
      <c r="C628" s="30" t="s">
        <v>8607</v>
      </c>
      <c r="D628" s="30"/>
      <c r="E628" s="30"/>
      <c r="F628" s="30"/>
      <c r="G628" s="30" t="s">
        <v>8729</v>
      </c>
      <c r="H628" s="30" t="s">
        <v>10512</v>
      </c>
    </row>
    <row r="629" spans="1:8">
      <c r="A629" s="30" t="s">
        <v>10513</v>
      </c>
      <c r="B629" s="30"/>
      <c r="C629" s="30" t="s">
        <v>8607</v>
      </c>
      <c r="D629" s="30" t="s">
        <v>10514</v>
      </c>
      <c r="E629" s="30"/>
      <c r="F629" s="30"/>
      <c r="G629" s="30" t="s">
        <v>8646</v>
      </c>
      <c r="H629" s="30" t="s">
        <v>10483</v>
      </c>
    </row>
    <row r="630" spans="1:8">
      <c r="A630" s="30" t="s">
        <v>10515</v>
      </c>
      <c r="B630" s="30"/>
      <c r="C630" s="30" t="s">
        <v>8607</v>
      </c>
      <c r="D630" s="30"/>
      <c r="E630" s="30"/>
      <c r="F630" s="30"/>
      <c r="G630" s="30" t="s">
        <v>8649</v>
      </c>
      <c r="H630" s="30" t="s">
        <v>10464</v>
      </c>
    </row>
    <row r="631" spans="1:8">
      <c r="A631" s="30" t="s">
        <v>10516</v>
      </c>
      <c r="B631" s="30"/>
      <c r="C631" s="30" t="s">
        <v>8626</v>
      </c>
      <c r="D631" s="30" t="s">
        <v>10436</v>
      </c>
      <c r="E631" s="30"/>
      <c r="F631" s="30"/>
      <c r="G631" s="30" t="s">
        <v>9847</v>
      </c>
      <c r="H631" s="30" t="s">
        <v>10272</v>
      </c>
    </row>
    <row r="632" spans="1:8">
      <c r="A632" s="30" t="s">
        <v>10517</v>
      </c>
      <c r="B632" s="30"/>
      <c r="C632" s="30" t="s">
        <v>8626</v>
      </c>
      <c r="D632" s="30"/>
      <c r="E632" s="30"/>
      <c r="F632" s="30"/>
      <c r="G632" s="30" t="s">
        <v>9358</v>
      </c>
      <c r="H632" s="30" t="s">
        <v>10276</v>
      </c>
    </row>
    <row r="633" spans="1:8">
      <c r="A633" s="30" t="s">
        <v>10518</v>
      </c>
      <c r="B633" s="30"/>
      <c r="C633" s="30" t="s">
        <v>8607</v>
      </c>
      <c r="D633" s="30" t="s">
        <v>9005</v>
      </c>
      <c r="E633" s="30" t="s">
        <v>9006</v>
      </c>
      <c r="F633" s="30" t="e">
        <v>#VALUE!</v>
      </c>
      <c r="G633" s="30" t="s">
        <v>9007</v>
      </c>
      <c r="H633" s="30" t="s">
        <v>10266</v>
      </c>
    </row>
    <row r="634" spans="1:8">
      <c r="A634" s="30" t="s">
        <v>10519</v>
      </c>
      <c r="B634" s="30"/>
      <c r="C634" s="30"/>
      <c r="D634" s="32"/>
      <c r="E634" s="30"/>
      <c r="F634" s="30"/>
      <c r="G634" s="30"/>
      <c r="H634" s="30" t="s">
        <v>10520</v>
      </c>
    </row>
    <row r="635" spans="1:8">
      <c r="A635" s="30" t="s">
        <v>10521</v>
      </c>
      <c r="B635" s="30"/>
      <c r="C635" s="30" t="s">
        <v>8626</v>
      </c>
      <c r="D635" s="30" t="s">
        <v>10522</v>
      </c>
      <c r="E635" s="30" t="s">
        <v>10523</v>
      </c>
      <c r="F635" s="30" t="s">
        <v>8672</v>
      </c>
      <c r="G635" s="30" t="s">
        <v>8673</v>
      </c>
      <c r="H635" s="30" t="s">
        <v>10495</v>
      </c>
    </row>
    <row r="636" spans="1:8">
      <c r="A636" s="30" t="s">
        <v>10524</v>
      </c>
      <c r="B636" s="30"/>
      <c r="C636" s="30" t="s">
        <v>8607</v>
      </c>
      <c r="D636" s="30"/>
      <c r="E636" s="30" t="s">
        <v>10348</v>
      </c>
      <c r="F636" s="30" t="e">
        <v>#VALUE!</v>
      </c>
      <c r="G636" s="30" t="s">
        <v>8637</v>
      </c>
      <c r="H636" s="30" t="s">
        <v>10349</v>
      </c>
    </row>
    <row r="637" spans="1:8">
      <c r="A637" s="30" t="s">
        <v>10525</v>
      </c>
      <c r="B637" s="30"/>
      <c r="C637" s="30" t="s">
        <v>8607</v>
      </c>
      <c r="D637" s="30" t="s">
        <v>8632</v>
      </c>
      <c r="E637" s="30"/>
      <c r="F637" s="30"/>
      <c r="G637" s="30" t="s">
        <v>8633</v>
      </c>
      <c r="H637" s="30" t="s">
        <v>8790</v>
      </c>
    </row>
    <row r="638" spans="1:8">
      <c r="A638" s="30" t="s">
        <v>10526</v>
      </c>
      <c r="B638" s="30"/>
      <c r="C638" s="30" t="s">
        <v>8626</v>
      </c>
      <c r="D638" s="30" t="s">
        <v>10527</v>
      </c>
      <c r="E638" s="30" t="s">
        <v>10528</v>
      </c>
      <c r="F638" s="30" t="s">
        <v>8618</v>
      </c>
      <c r="G638" s="30" t="s">
        <v>8989</v>
      </c>
      <c r="H638" s="30" t="s">
        <v>10362</v>
      </c>
    </row>
    <row r="639" spans="1:8">
      <c r="A639" s="30" t="s">
        <v>10529</v>
      </c>
      <c r="B639" s="30"/>
      <c r="C639" s="30" t="s">
        <v>8607</v>
      </c>
      <c r="D639" s="30" t="s">
        <v>10377</v>
      </c>
      <c r="E639" s="30"/>
      <c r="F639" s="30"/>
      <c r="G639" s="30" t="s">
        <v>8737</v>
      </c>
      <c r="H639" s="30" t="s">
        <v>8939</v>
      </c>
    </row>
    <row r="640" spans="1:8">
      <c r="A640" s="30" t="s">
        <v>10530</v>
      </c>
      <c r="B640" s="30"/>
      <c r="C640" s="30" t="s">
        <v>8607</v>
      </c>
      <c r="D640" s="30" t="s">
        <v>10377</v>
      </c>
      <c r="E640" s="30"/>
      <c r="F640" s="30"/>
      <c r="G640" s="30" t="s">
        <v>8737</v>
      </c>
      <c r="H640" s="30" t="s">
        <v>8939</v>
      </c>
    </row>
    <row r="641" spans="1:8">
      <c r="A641" s="30" t="s">
        <v>10531</v>
      </c>
      <c r="B641" s="30"/>
      <c r="C641" s="30" t="s">
        <v>8607</v>
      </c>
      <c r="D641" s="30"/>
      <c r="E641" s="30" t="s">
        <v>10348</v>
      </c>
      <c r="F641" s="30" t="e">
        <v>#VALUE!</v>
      </c>
      <c r="G641" s="30" t="s">
        <v>8637</v>
      </c>
      <c r="H641" s="30" t="s">
        <v>10349</v>
      </c>
    </row>
    <row r="642" spans="1:8">
      <c r="A642" s="30" t="s">
        <v>10532</v>
      </c>
      <c r="B642" s="30"/>
      <c r="C642" s="30" t="s">
        <v>8607</v>
      </c>
      <c r="D642" s="30" t="s">
        <v>8632</v>
      </c>
      <c r="E642" s="30"/>
      <c r="F642" s="30"/>
      <c r="G642" s="30" t="s">
        <v>8633</v>
      </c>
      <c r="H642" s="30" t="s">
        <v>8790</v>
      </c>
    </row>
    <row r="643" spans="1:8">
      <c r="A643" s="30" t="s">
        <v>10533</v>
      </c>
      <c r="B643" s="30"/>
      <c r="C643" s="30" t="s">
        <v>8626</v>
      </c>
      <c r="D643" s="30" t="s">
        <v>10527</v>
      </c>
      <c r="E643" s="30" t="s">
        <v>10528</v>
      </c>
      <c r="F643" s="30" t="s">
        <v>8618</v>
      </c>
      <c r="G643" s="30" t="s">
        <v>8989</v>
      </c>
      <c r="H643" s="30" t="s">
        <v>10362</v>
      </c>
    </row>
    <row r="644" spans="1:8">
      <c r="A644" s="30" t="s">
        <v>10534</v>
      </c>
      <c r="B644" s="30"/>
      <c r="C644" s="30" t="s">
        <v>8626</v>
      </c>
      <c r="D644" s="30" t="s">
        <v>10535</v>
      </c>
      <c r="E644" s="30" t="s">
        <v>9754</v>
      </c>
      <c r="F644" s="30" t="e">
        <v>#VALUE!</v>
      </c>
      <c r="G644" s="30" t="s">
        <v>9755</v>
      </c>
      <c r="H644" s="30" t="s">
        <v>10536</v>
      </c>
    </row>
    <row r="645" spans="1:8">
      <c r="A645" s="30" t="s">
        <v>10537</v>
      </c>
      <c r="B645" s="30"/>
      <c r="C645" s="30" t="s">
        <v>8607</v>
      </c>
      <c r="D645" s="30"/>
      <c r="E645" s="30"/>
      <c r="F645" s="30"/>
      <c r="G645" s="30" t="s">
        <v>8717</v>
      </c>
      <c r="H645" s="30" t="s">
        <v>10538</v>
      </c>
    </row>
    <row r="646" spans="1:8">
      <c r="A646" s="30" t="s">
        <v>10539</v>
      </c>
      <c r="B646" s="30"/>
      <c r="C646" s="30"/>
      <c r="D646" s="32"/>
      <c r="E646" s="30"/>
      <c r="F646" s="30"/>
      <c r="G646" s="30"/>
      <c r="H646" s="30" t="s">
        <v>10337</v>
      </c>
    </row>
    <row r="647" spans="1:8">
      <c r="A647" s="30" t="s">
        <v>10540</v>
      </c>
      <c r="B647" s="30"/>
      <c r="C647" s="30" t="s">
        <v>8626</v>
      </c>
      <c r="D647" s="30"/>
      <c r="E647" s="30" t="s">
        <v>10214</v>
      </c>
      <c r="F647" s="30" t="e">
        <v>#VALUE!</v>
      </c>
      <c r="G647" s="30" t="s">
        <v>8714</v>
      </c>
      <c r="H647" s="30" t="s">
        <v>8715</v>
      </c>
    </row>
    <row r="648" spans="1:8">
      <c r="A648" s="30" t="s">
        <v>10541</v>
      </c>
      <c r="B648" s="30"/>
      <c r="C648" s="30" t="s">
        <v>8607</v>
      </c>
      <c r="D648" s="30" t="s">
        <v>8707</v>
      </c>
      <c r="E648" s="30"/>
      <c r="F648" s="30"/>
      <c r="G648" s="30" t="s">
        <v>8708</v>
      </c>
      <c r="H648" s="30" t="s">
        <v>10542</v>
      </c>
    </row>
    <row r="649" spans="1:8">
      <c r="A649" s="30" t="s">
        <v>10543</v>
      </c>
      <c r="B649" s="30"/>
      <c r="C649" s="30" t="s">
        <v>8607</v>
      </c>
      <c r="D649" s="30"/>
      <c r="E649" s="30"/>
      <c r="F649" s="30"/>
      <c r="G649" s="30" t="s">
        <v>8711</v>
      </c>
      <c r="H649" s="30" t="s">
        <v>10218</v>
      </c>
    </row>
    <row r="650" spans="1:8">
      <c r="A650" s="30" t="s">
        <v>10544</v>
      </c>
      <c r="B650" s="30"/>
      <c r="C650" s="30" t="s">
        <v>8607</v>
      </c>
      <c r="D650" s="30"/>
      <c r="E650" s="30"/>
      <c r="F650" s="30"/>
      <c r="G650" s="30" t="s">
        <v>10205</v>
      </c>
      <c r="H650" s="30" t="s">
        <v>10206</v>
      </c>
    </row>
    <row r="651" spans="1:8">
      <c r="A651" s="30" t="s">
        <v>10545</v>
      </c>
      <c r="B651" s="30"/>
      <c r="C651" s="30" t="s">
        <v>8626</v>
      </c>
      <c r="D651" s="30" t="s">
        <v>10208</v>
      </c>
      <c r="E651" s="30" t="s">
        <v>10209</v>
      </c>
      <c r="F651" s="30" t="s">
        <v>8672</v>
      </c>
      <c r="G651" s="30" t="s">
        <v>9002</v>
      </c>
      <c r="H651" s="30" t="s">
        <v>10546</v>
      </c>
    </row>
    <row r="652" spans="1:8">
      <c r="A652" s="30" t="s">
        <v>10547</v>
      </c>
      <c r="B652" s="30"/>
      <c r="C652" s="30" t="s">
        <v>8607</v>
      </c>
      <c r="D652" s="30"/>
      <c r="E652" s="30"/>
      <c r="F652" s="30"/>
      <c r="G652" s="30" t="s">
        <v>8804</v>
      </c>
      <c r="H652" s="30" t="s">
        <v>8831</v>
      </c>
    </row>
    <row r="653" spans="1:8">
      <c r="A653" s="30" t="s">
        <v>10548</v>
      </c>
      <c r="B653" s="30"/>
      <c r="C653" s="30" t="s">
        <v>8607</v>
      </c>
      <c r="D653" s="30"/>
      <c r="E653" s="30"/>
      <c r="F653" s="30"/>
      <c r="G653" s="30" t="s">
        <v>8807</v>
      </c>
      <c r="H653" s="30" t="s">
        <v>10549</v>
      </c>
    </row>
    <row r="654" spans="1:8">
      <c r="A654" s="30" t="s">
        <v>10550</v>
      </c>
      <c r="B654" s="30"/>
      <c r="C654" s="30" t="s">
        <v>8607</v>
      </c>
      <c r="D654" s="30"/>
      <c r="E654" s="30"/>
      <c r="F654" s="30"/>
      <c r="G654" s="30" t="s">
        <v>8814</v>
      </c>
      <c r="H654" s="30" t="s">
        <v>10551</v>
      </c>
    </row>
    <row r="655" spans="1:8">
      <c r="A655" s="30" t="s">
        <v>10552</v>
      </c>
      <c r="B655" s="30"/>
      <c r="C655" s="30" t="s">
        <v>8626</v>
      </c>
      <c r="D655" s="30" t="s">
        <v>10553</v>
      </c>
      <c r="E655" s="30" t="s">
        <v>8818</v>
      </c>
      <c r="F655" s="30" t="e">
        <v>#VALUE!</v>
      </c>
      <c r="G655" s="30"/>
      <c r="H655" s="30" t="s">
        <v>10554</v>
      </c>
    </row>
    <row r="656" spans="1:8">
      <c r="A656" s="30" t="s">
        <v>10555</v>
      </c>
      <c r="B656" s="30"/>
      <c r="C656" s="30" t="s">
        <v>8626</v>
      </c>
      <c r="D656" s="30" t="s">
        <v>10556</v>
      </c>
      <c r="E656" s="30" t="s">
        <v>10557</v>
      </c>
      <c r="F656" s="30" t="e">
        <v>#VALUE!</v>
      </c>
      <c r="G656" s="30" t="s">
        <v>8826</v>
      </c>
      <c r="H656" s="30" t="s">
        <v>10558</v>
      </c>
    </row>
    <row r="657" spans="1:8">
      <c r="A657" s="30" t="s">
        <v>10559</v>
      </c>
      <c r="B657" s="30"/>
      <c r="C657" s="30" t="s">
        <v>8607</v>
      </c>
      <c r="D657" s="30" t="s">
        <v>8821</v>
      </c>
      <c r="E657" s="30"/>
      <c r="F657" s="30"/>
      <c r="G657" s="30" t="s">
        <v>8737</v>
      </c>
      <c r="H657" s="30" t="s">
        <v>8822</v>
      </c>
    </row>
    <row r="658" spans="1:8">
      <c r="A658" s="30" t="s">
        <v>10560</v>
      </c>
      <c r="B658" s="30"/>
      <c r="C658" s="30" t="s">
        <v>8607</v>
      </c>
      <c r="D658" s="30" t="s">
        <v>8736</v>
      </c>
      <c r="E658" s="30"/>
      <c r="F658" s="30"/>
      <c r="G658" s="30" t="s">
        <v>8737</v>
      </c>
      <c r="H658" s="30" t="s">
        <v>10561</v>
      </c>
    </row>
    <row r="659" spans="1:8">
      <c r="A659" s="30" t="s">
        <v>10562</v>
      </c>
      <c r="B659" s="30"/>
      <c r="C659" s="30" t="s">
        <v>8607</v>
      </c>
      <c r="D659" s="30"/>
      <c r="E659" s="30"/>
      <c r="F659" s="30"/>
      <c r="G659" s="30"/>
      <c r="H659" s="30" t="s">
        <v>8802</v>
      </c>
    </row>
    <row r="660" spans="1:8">
      <c r="A660" s="30" t="s">
        <v>10563</v>
      </c>
      <c r="B660" s="30"/>
      <c r="C660" s="30" t="s">
        <v>8626</v>
      </c>
      <c r="D660" s="30"/>
      <c r="E660" s="30"/>
      <c r="F660" s="30"/>
      <c r="G660" s="30" t="s">
        <v>10220</v>
      </c>
      <c r="H660" s="30" t="s">
        <v>8842</v>
      </c>
    </row>
    <row r="661" spans="1:8">
      <c r="A661" s="30" t="s">
        <v>10564</v>
      </c>
      <c r="B661" s="30"/>
      <c r="C661" s="30" t="s">
        <v>8626</v>
      </c>
      <c r="D661" s="30" t="s">
        <v>8844</v>
      </c>
      <c r="E661" s="30" t="s">
        <v>8845</v>
      </c>
      <c r="F661" s="30" t="s">
        <v>8672</v>
      </c>
      <c r="G661" s="30" t="s">
        <v>8846</v>
      </c>
      <c r="H661" s="30" t="s">
        <v>10565</v>
      </c>
    </row>
    <row r="662" spans="1:8">
      <c r="A662" s="30" t="s">
        <v>10566</v>
      </c>
      <c r="B662" s="30"/>
      <c r="C662" s="30" t="s">
        <v>8607</v>
      </c>
      <c r="D662" s="30" t="s">
        <v>10243</v>
      </c>
      <c r="E662" s="30" t="s">
        <v>8850</v>
      </c>
      <c r="F662" s="30" t="s">
        <v>8672</v>
      </c>
      <c r="G662" s="30" t="s">
        <v>8851</v>
      </c>
      <c r="H662" s="30" t="s">
        <v>10567</v>
      </c>
    </row>
    <row r="663" spans="1:8">
      <c r="A663" s="30" t="s">
        <v>10568</v>
      </c>
      <c r="B663" s="30"/>
      <c r="C663" s="30" t="s">
        <v>8626</v>
      </c>
      <c r="D663" s="30"/>
      <c r="E663" s="30"/>
      <c r="F663" s="30"/>
      <c r="G663" s="30"/>
      <c r="H663" s="30" t="s">
        <v>8854</v>
      </c>
    </row>
    <row r="664" spans="1:8">
      <c r="A664" s="30" t="s">
        <v>10569</v>
      </c>
      <c r="B664" s="30"/>
      <c r="C664" s="30" t="s">
        <v>8626</v>
      </c>
      <c r="D664" s="30"/>
      <c r="E664" s="30" t="s">
        <v>10214</v>
      </c>
      <c r="F664" s="30" t="e">
        <v>#VALUE!</v>
      </c>
      <c r="G664" s="30" t="s">
        <v>8714</v>
      </c>
      <c r="H664" s="30" t="s">
        <v>10570</v>
      </c>
    </row>
    <row r="665" spans="1:8">
      <c r="A665" s="30" t="s">
        <v>10571</v>
      </c>
      <c r="B665" s="30"/>
      <c r="C665" s="30" t="s">
        <v>8626</v>
      </c>
      <c r="D665" s="30"/>
      <c r="E665" s="30"/>
      <c r="F665" s="30"/>
      <c r="G665" s="30" t="s">
        <v>8888</v>
      </c>
      <c r="H665" s="30" t="s">
        <v>8889</v>
      </c>
    </row>
    <row r="666" spans="1:8">
      <c r="A666" s="30" t="s">
        <v>10572</v>
      </c>
      <c r="B666" s="30"/>
      <c r="C666" s="30" t="s">
        <v>8626</v>
      </c>
      <c r="D666" s="30" t="s">
        <v>10573</v>
      </c>
      <c r="E666" s="30" t="s">
        <v>9547</v>
      </c>
      <c r="F666" s="30" t="s">
        <v>8672</v>
      </c>
      <c r="G666" s="30"/>
      <c r="H666" s="30" t="s">
        <v>10574</v>
      </c>
    </row>
    <row r="667" spans="1:8">
      <c r="A667" s="30" t="s">
        <v>10575</v>
      </c>
      <c r="B667" s="30"/>
      <c r="C667" s="30" t="s">
        <v>8607</v>
      </c>
      <c r="D667" s="30"/>
      <c r="E667" s="30"/>
      <c r="F667" s="30"/>
      <c r="G667" s="30" t="s">
        <v>10576</v>
      </c>
      <c r="H667" s="30" t="s">
        <v>10577</v>
      </c>
    </row>
    <row r="668" spans="1:8">
      <c r="A668" s="30" t="s">
        <v>10578</v>
      </c>
      <c r="B668" s="30"/>
      <c r="C668" s="30" t="s">
        <v>8626</v>
      </c>
      <c r="D668" s="30" t="s">
        <v>10579</v>
      </c>
      <c r="E668" s="30"/>
      <c r="F668" s="30"/>
      <c r="G668" s="30" t="s">
        <v>9209</v>
      </c>
      <c r="H668" s="30" t="s">
        <v>10580</v>
      </c>
    </row>
    <row r="669" spans="1:8">
      <c r="A669" s="30" t="s">
        <v>10581</v>
      </c>
      <c r="B669" s="30"/>
      <c r="C669" s="30" t="s">
        <v>8626</v>
      </c>
      <c r="D669" s="30" t="s">
        <v>10582</v>
      </c>
      <c r="E669" s="30" t="s">
        <v>10583</v>
      </c>
      <c r="F669" s="30" t="e">
        <v>#VALUE!</v>
      </c>
      <c r="G669" s="30" t="s">
        <v>9219</v>
      </c>
      <c r="H669" s="30" t="s">
        <v>10584</v>
      </c>
    </row>
    <row r="670" spans="1:8">
      <c r="A670" s="30" t="s">
        <v>10585</v>
      </c>
      <c r="B670" s="30"/>
      <c r="C670" s="30" t="s">
        <v>8626</v>
      </c>
      <c r="D670" s="30" t="s">
        <v>10586</v>
      </c>
      <c r="E670" s="30" t="s">
        <v>10587</v>
      </c>
      <c r="F670" s="30" t="e">
        <v>#VALUE!</v>
      </c>
      <c r="G670" s="30" t="s">
        <v>9145</v>
      </c>
      <c r="H670" s="30" t="s">
        <v>10588</v>
      </c>
    </row>
    <row r="671" spans="1:8">
      <c r="A671" s="30" t="s">
        <v>10589</v>
      </c>
      <c r="B671" s="30"/>
      <c r="C671" s="30" t="s">
        <v>8607</v>
      </c>
      <c r="D671" s="30" t="s">
        <v>8770</v>
      </c>
      <c r="E671" s="30" t="s">
        <v>8771</v>
      </c>
      <c r="F671" s="30" t="s">
        <v>8672</v>
      </c>
      <c r="G671" s="30" t="s">
        <v>8659</v>
      </c>
      <c r="H671" s="30" t="s">
        <v>10590</v>
      </c>
    </row>
    <row r="672" spans="1:8">
      <c r="A672" s="30" t="s">
        <v>10591</v>
      </c>
      <c r="B672" s="30"/>
      <c r="C672" s="30" t="s">
        <v>8626</v>
      </c>
      <c r="D672" s="30" t="s">
        <v>8883</v>
      </c>
      <c r="E672" s="30" t="s">
        <v>10592</v>
      </c>
      <c r="F672" s="30" t="s">
        <v>8672</v>
      </c>
      <c r="G672" s="30" t="s">
        <v>8885</v>
      </c>
      <c r="H672" s="30" t="s">
        <v>10308</v>
      </c>
    </row>
    <row r="673" spans="1:8">
      <c r="A673" s="30" t="s">
        <v>10593</v>
      </c>
      <c r="B673" s="30"/>
      <c r="C673" s="30" t="s">
        <v>8607</v>
      </c>
      <c r="D673" s="30"/>
      <c r="E673" s="30"/>
      <c r="F673" s="30"/>
      <c r="G673" s="30" t="s">
        <v>8774</v>
      </c>
      <c r="H673" s="30" t="s">
        <v>10594</v>
      </c>
    </row>
    <row r="674" spans="1:8">
      <c r="A674" s="30" t="s">
        <v>10595</v>
      </c>
      <c r="B674" s="30"/>
      <c r="C674" s="30" t="s">
        <v>8607</v>
      </c>
      <c r="D674" s="30"/>
      <c r="E674" s="30" t="s">
        <v>10596</v>
      </c>
      <c r="F674" s="30" t="s">
        <v>8618</v>
      </c>
      <c r="G674" s="30" t="s">
        <v>10597</v>
      </c>
      <c r="H674" s="30" t="s">
        <v>10598</v>
      </c>
    </row>
    <row r="675" spans="1:8">
      <c r="A675" s="30" t="s">
        <v>10599</v>
      </c>
      <c r="B675" s="30"/>
      <c r="C675" s="30" t="s">
        <v>8626</v>
      </c>
      <c r="D675" s="30" t="s">
        <v>9758</v>
      </c>
      <c r="E675" s="30" t="s">
        <v>10600</v>
      </c>
      <c r="F675" s="30" t="e">
        <v>#VALUE!</v>
      </c>
      <c r="G675" s="30" t="s">
        <v>9002</v>
      </c>
      <c r="H675" s="30" t="s">
        <v>10601</v>
      </c>
    </row>
    <row r="676" spans="1:8">
      <c r="A676" s="30" t="s">
        <v>10602</v>
      </c>
      <c r="B676" s="30"/>
      <c r="C676" s="30" t="s">
        <v>8626</v>
      </c>
      <c r="D676" s="30" t="s">
        <v>8689</v>
      </c>
      <c r="E676" s="30" t="s">
        <v>10191</v>
      </c>
      <c r="F676" s="30" t="e">
        <v>#VALUE!</v>
      </c>
      <c r="G676" s="30" t="s">
        <v>8691</v>
      </c>
      <c r="H676" s="30" t="s">
        <v>10192</v>
      </c>
    </row>
    <row r="677" spans="1:8">
      <c r="A677" s="30" t="s">
        <v>10603</v>
      </c>
      <c r="B677" s="30"/>
      <c r="C677" s="30"/>
      <c r="D677" s="32"/>
      <c r="E677" s="30"/>
      <c r="F677" s="30"/>
      <c r="G677" s="30"/>
      <c r="H677" s="30" t="s">
        <v>10604</v>
      </c>
    </row>
    <row r="678" spans="1:8">
      <c r="A678" s="30" t="s">
        <v>10605</v>
      </c>
      <c r="B678" s="30"/>
      <c r="C678" s="30" t="s">
        <v>8626</v>
      </c>
      <c r="D678" s="30" t="s">
        <v>10606</v>
      </c>
      <c r="E678" s="30" t="s">
        <v>10209</v>
      </c>
      <c r="F678" s="30" t="s">
        <v>8672</v>
      </c>
      <c r="G678" s="30" t="s">
        <v>9002</v>
      </c>
      <c r="H678" s="30" t="s">
        <v>10607</v>
      </c>
    </row>
    <row r="679" spans="1:8">
      <c r="A679" s="30" t="s">
        <v>10608</v>
      </c>
      <c r="B679" s="30"/>
      <c r="C679" s="30" t="s">
        <v>8607</v>
      </c>
      <c r="D679" s="30" t="s">
        <v>10334</v>
      </c>
      <c r="E679" s="30"/>
      <c r="F679" s="30"/>
      <c r="G679" s="30" t="s">
        <v>8695</v>
      </c>
      <c r="H679" s="30" t="s">
        <v>10609</v>
      </c>
    </row>
    <row r="680" spans="1:8">
      <c r="A680" s="30" t="s">
        <v>10610</v>
      </c>
      <c r="B680" s="30"/>
      <c r="C680" s="30" t="s">
        <v>8607</v>
      </c>
      <c r="D680" s="30"/>
      <c r="E680" s="30"/>
      <c r="F680" s="30"/>
      <c r="G680" s="30" t="s">
        <v>10205</v>
      </c>
      <c r="H680" s="30" t="s">
        <v>10611</v>
      </c>
    </row>
    <row r="681" spans="1:8">
      <c r="A681" s="30" t="s">
        <v>10612</v>
      </c>
      <c r="B681" s="30"/>
      <c r="C681" s="30" t="s">
        <v>8607</v>
      </c>
      <c r="D681" s="30"/>
      <c r="E681" s="30" t="s">
        <v>8720</v>
      </c>
      <c r="F681" s="30" t="e">
        <v>#VALUE!</v>
      </c>
      <c r="G681" s="30" t="s">
        <v>8721</v>
      </c>
      <c r="H681" s="30" t="s">
        <v>10613</v>
      </c>
    </row>
    <row r="682" spans="1:8">
      <c r="A682" s="30" t="s">
        <v>10614</v>
      </c>
      <c r="B682" s="30"/>
      <c r="C682" s="30" t="s">
        <v>8626</v>
      </c>
      <c r="D682" s="30"/>
      <c r="E682" s="30"/>
      <c r="F682" s="30"/>
      <c r="G682" s="30" t="s">
        <v>8726</v>
      </c>
      <c r="H682" s="30" t="s">
        <v>10615</v>
      </c>
    </row>
    <row r="683" spans="1:8">
      <c r="A683" s="30" t="s">
        <v>10616</v>
      </c>
      <c r="B683" s="30"/>
      <c r="C683" s="30" t="s">
        <v>8607</v>
      </c>
      <c r="D683" s="30"/>
      <c r="E683" s="30"/>
      <c r="F683" s="30"/>
      <c r="G683" s="30" t="s">
        <v>8943</v>
      </c>
      <c r="H683" s="30" t="s">
        <v>10617</v>
      </c>
    </row>
    <row r="684" spans="1:8">
      <c r="A684" s="30" t="s">
        <v>10618</v>
      </c>
      <c r="B684" s="30"/>
      <c r="C684" s="30" t="s">
        <v>8607</v>
      </c>
      <c r="D684" s="30" t="s">
        <v>10377</v>
      </c>
      <c r="E684" s="30"/>
      <c r="F684" s="30"/>
      <c r="G684" s="30" t="s">
        <v>8737</v>
      </c>
      <c r="H684" s="30" t="s">
        <v>10619</v>
      </c>
    </row>
    <row r="685" spans="1:8">
      <c r="A685" s="30" t="s">
        <v>10620</v>
      </c>
      <c r="B685" s="30"/>
      <c r="C685" s="30" t="s">
        <v>8607</v>
      </c>
      <c r="D685" s="30"/>
      <c r="E685" s="30" t="s">
        <v>8720</v>
      </c>
      <c r="F685" s="30" t="e">
        <v>#VALUE!</v>
      </c>
      <c r="G685" s="30" t="s">
        <v>8721</v>
      </c>
      <c r="H685" s="30" t="s">
        <v>10621</v>
      </c>
    </row>
    <row r="686" spans="1:8">
      <c r="A686" s="30" t="s">
        <v>10622</v>
      </c>
      <c r="B686" s="30"/>
      <c r="C686" s="30" t="s">
        <v>8626</v>
      </c>
      <c r="D686" s="30" t="s">
        <v>10623</v>
      </c>
      <c r="E686" s="30" t="s">
        <v>10624</v>
      </c>
      <c r="F686" s="30" t="s">
        <v>8672</v>
      </c>
      <c r="G686" s="30" t="s">
        <v>9002</v>
      </c>
      <c r="H686" s="30" t="s">
        <v>10625</v>
      </c>
    </row>
    <row r="687" spans="1:8">
      <c r="A687" s="30" t="s">
        <v>10626</v>
      </c>
      <c r="B687" s="30"/>
      <c r="C687" s="30" t="s">
        <v>8607</v>
      </c>
      <c r="D687" s="30"/>
      <c r="E687" s="30"/>
      <c r="F687" s="30"/>
      <c r="G687" s="30" t="s">
        <v>8891</v>
      </c>
      <c r="H687" s="30" t="s">
        <v>10627</v>
      </c>
    </row>
    <row r="688" spans="1:8">
      <c r="A688" s="30" t="s">
        <v>10628</v>
      </c>
      <c r="B688" s="30"/>
      <c r="C688" s="30" t="s">
        <v>8607</v>
      </c>
      <c r="D688" s="30"/>
      <c r="E688" s="30"/>
      <c r="F688" s="30"/>
      <c r="G688" s="30" t="s">
        <v>8774</v>
      </c>
      <c r="H688" s="30" t="s">
        <v>10629</v>
      </c>
    </row>
    <row r="689" spans="1:8">
      <c r="A689" s="30" t="s">
        <v>10630</v>
      </c>
      <c r="B689" s="30"/>
      <c r="C689" s="30" t="s">
        <v>8626</v>
      </c>
      <c r="D689" s="30"/>
      <c r="E689" s="30"/>
      <c r="F689" s="30"/>
      <c r="G689" s="30" t="s">
        <v>8888</v>
      </c>
      <c r="H689" s="30" t="s">
        <v>8889</v>
      </c>
    </row>
    <row r="690" spans="1:8">
      <c r="A690" s="30" t="s">
        <v>10631</v>
      </c>
      <c r="B690" s="30"/>
      <c r="C690" s="30" t="s">
        <v>8607</v>
      </c>
      <c r="D690" s="30"/>
      <c r="E690" s="30"/>
      <c r="F690" s="30"/>
      <c r="G690" s="30"/>
      <c r="H690" s="30" t="s">
        <v>10632</v>
      </c>
    </row>
    <row r="691" spans="1:8">
      <c r="A691" s="30" t="s">
        <v>10633</v>
      </c>
      <c r="B691" s="30"/>
      <c r="C691" s="30" t="s">
        <v>8626</v>
      </c>
      <c r="D691" s="30" t="s">
        <v>9357</v>
      </c>
      <c r="E691" s="30"/>
      <c r="F691" s="30"/>
      <c r="G691" s="30" t="s">
        <v>9358</v>
      </c>
      <c r="H691" s="30" t="s">
        <v>10276</v>
      </c>
    </row>
    <row r="692" spans="1:8">
      <c r="A692" s="30" t="s">
        <v>10634</v>
      </c>
      <c r="B692" s="30"/>
      <c r="C692" s="30" t="s">
        <v>8626</v>
      </c>
      <c r="D692" s="30"/>
      <c r="E692" s="30"/>
      <c r="F692" s="30"/>
      <c r="G692" s="30" t="s">
        <v>9363</v>
      </c>
      <c r="H692" s="30" t="s">
        <v>10520</v>
      </c>
    </row>
    <row r="693" spans="1:8">
      <c r="A693" s="30" t="s">
        <v>10635</v>
      </c>
      <c r="B693" s="30"/>
      <c r="C693" s="30" t="s">
        <v>8607</v>
      </c>
      <c r="D693" s="30"/>
      <c r="E693" s="30"/>
      <c r="F693" s="30"/>
      <c r="G693" s="30" t="s">
        <v>8908</v>
      </c>
      <c r="H693" s="30" t="s">
        <v>10636</v>
      </c>
    </row>
    <row r="694" spans="1:8">
      <c r="A694" s="30" t="s">
        <v>10637</v>
      </c>
      <c r="B694" s="30"/>
      <c r="C694" s="30" t="s">
        <v>8607</v>
      </c>
      <c r="D694" s="30" t="s">
        <v>10491</v>
      </c>
      <c r="E694" s="30" t="s">
        <v>10638</v>
      </c>
      <c r="F694" s="30" t="e">
        <v>#VALUE!</v>
      </c>
      <c r="G694" s="30" t="s">
        <v>9007</v>
      </c>
      <c r="H694" s="30" t="s">
        <v>10639</v>
      </c>
    </row>
    <row r="695" spans="1:8">
      <c r="A695" s="30" t="s">
        <v>10640</v>
      </c>
      <c r="B695" s="30"/>
      <c r="C695" s="30" t="s">
        <v>8626</v>
      </c>
      <c r="D695" s="30"/>
      <c r="E695" s="30"/>
      <c r="F695" s="30"/>
      <c r="G695" s="30" t="s">
        <v>9363</v>
      </c>
      <c r="H695" s="30" t="s">
        <v>10520</v>
      </c>
    </row>
    <row r="696" spans="1:8">
      <c r="A696" s="30" t="s">
        <v>10641</v>
      </c>
      <c r="B696" s="30"/>
      <c r="C696" s="30" t="s">
        <v>8607</v>
      </c>
      <c r="D696" s="30"/>
      <c r="E696" s="30"/>
      <c r="F696" s="30"/>
      <c r="G696" s="30"/>
      <c r="H696" s="30" t="s">
        <v>10642</v>
      </c>
    </row>
    <row r="697" spans="1:8">
      <c r="A697" s="30" t="s">
        <v>10643</v>
      </c>
      <c r="B697" s="30"/>
      <c r="C697" s="30" t="s">
        <v>8626</v>
      </c>
      <c r="D697" s="30"/>
      <c r="E697" s="30" t="s">
        <v>10644</v>
      </c>
      <c r="F697" s="30" t="s">
        <v>8618</v>
      </c>
      <c r="G697" s="30" t="s">
        <v>10645</v>
      </c>
      <c r="H697" s="30" t="s">
        <v>10646</v>
      </c>
    </row>
    <row r="698" spans="1:8">
      <c r="A698" s="30" t="s">
        <v>10647</v>
      </c>
      <c r="B698" s="30"/>
      <c r="C698" s="30" t="s">
        <v>8626</v>
      </c>
      <c r="D698" s="30"/>
      <c r="E698" s="30"/>
      <c r="F698" s="30"/>
      <c r="G698" s="30" t="s">
        <v>10648</v>
      </c>
      <c r="H698" s="30" t="s">
        <v>10649</v>
      </c>
    </row>
    <row r="699" spans="1:8">
      <c r="A699" s="30" t="s">
        <v>10650</v>
      </c>
      <c r="B699" s="30"/>
      <c r="C699" s="30" t="s">
        <v>8626</v>
      </c>
      <c r="D699" s="30"/>
      <c r="E699" s="30"/>
      <c r="F699" s="30"/>
      <c r="G699" s="30" t="s">
        <v>8714</v>
      </c>
      <c r="H699" s="30" t="s">
        <v>10305</v>
      </c>
    </row>
    <row r="700" spans="1:8">
      <c r="A700" s="30" t="s">
        <v>10651</v>
      </c>
      <c r="B700" s="30"/>
      <c r="C700" s="30" t="s">
        <v>8626</v>
      </c>
      <c r="D700" s="30" t="s">
        <v>10579</v>
      </c>
      <c r="E700" s="30"/>
      <c r="F700" s="30"/>
      <c r="G700" s="30" t="s">
        <v>9209</v>
      </c>
      <c r="H700" s="30" t="s">
        <v>10580</v>
      </c>
    </row>
    <row r="701" spans="1:8">
      <c r="A701" s="30" t="s">
        <v>10652</v>
      </c>
      <c r="B701" s="30"/>
      <c r="C701" s="30" t="s">
        <v>8607</v>
      </c>
      <c r="D701" s="30" t="s">
        <v>10653</v>
      </c>
      <c r="E701" s="30" t="s">
        <v>10583</v>
      </c>
      <c r="F701" s="30" t="e">
        <v>#VALUE!</v>
      </c>
      <c r="G701" s="30" t="s">
        <v>9219</v>
      </c>
      <c r="H701" s="30" t="s">
        <v>10654</v>
      </c>
    </row>
    <row r="702" spans="1:8">
      <c r="A702" s="30" t="s">
        <v>10655</v>
      </c>
      <c r="B702" s="30"/>
      <c r="C702" s="30" t="s">
        <v>8607</v>
      </c>
      <c r="D702" s="30" t="s">
        <v>10653</v>
      </c>
      <c r="E702" s="30" t="s">
        <v>10583</v>
      </c>
      <c r="F702" s="30" t="e">
        <v>#VALUE!</v>
      </c>
      <c r="G702" s="30" t="s">
        <v>9219</v>
      </c>
      <c r="H702" s="30" t="s">
        <v>10654</v>
      </c>
    </row>
    <row r="703" spans="1:8">
      <c r="A703" s="30" t="s">
        <v>10656</v>
      </c>
      <c r="B703" s="30"/>
      <c r="C703" s="30" t="s">
        <v>8607</v>
      </c>
      <c r="D703" s="30"/>
      <c r="E703" s="30"/>
      <c r="F703" s="30"/>
      <c r="G703" s="30" t="s">
        <v>8891</v>
      </c>
      <c r="H703" s="30" t="s">
        <v>10627</v>
      </c>
    </row>
    <row r="704" spans="1:8">
      <c r="A704" s="30" t="s">
        <v>10657</v>
      </c>
      <c r="B704" s="30"/>
      <c r="C704" s="30" t="s">
        <v>8607</v>
      </c>
      <c r="D704" s="30" t="s">
        <v>10243</v>
      </c>
      <c r="E704" s="30"/>
      <c r="F704" s="30"/>
      <c r="G704" s="30" t="s">
        <v>8851</v>
      </c>
      <c r="H704" s="30" t="s">
        <v>10658</v>
      </c>
    </row>
    <row r="705" spans="1:8">
      <c r="A705" s="30" t="s">
        <v>10659</v>
      </c>
      <c r="B705" s="30"/>
      <c r="C705" s="30" t="s">
        <v>8607</v>
      </c>
      <c r="D705" s="30"/>
      <c r="E705" s="30"/>
      <c r="F705" s="30"/>
      <c r="G705" s="30"/>
      <c r="H705" s="30" t="s">
        <v>10660</v>
      </c>
    </row>
    <row r="706" spans="1:8">
      <c r="A706" s="30" t="s">
        <v>10661</v>
      </c>
      <c r="B706" s="30"/>
      <c r="C706" s="30" t="s">
        <v>8607</v>
      </c>
      <c r="D706" s="30"/>
      <c r="E706" s="30"/>
      <c r="F706" s="30"/>
      <c r="G706" s="30" t="s">
        <v>8804</v>
      </c>
      <c r="H706" s="30" t="s">
        <v>10662</v>
      </c>
    </row>
    <row r="707" spans="1:8">
      <c r="A707" s="30" t="s">
        <v>10663</v>
      </c>
      <c r="B707" s="30"/>
      <c r="C707" s="30" t="s">
        <v>8626</v>
      </c>
      <c r="D707" s="30" t="s">
        <v>10664</v>
      </c>
      <c r="E707" s="30" t="s">
        <v>8845</v>
      </c>
      <c r="F707" s="30" t="s">
        <v>8672</v>
      </c>
      <c r="G707" s="30" t="s">
        <v>8846</v>
      </c>
      <c r="H707" s="30" t="s">
        <v>10665</v>
      </c>
    </row>
    <row r="708" spans="1:8">
      <c r="A708" s="30" t="s">
        <v>10666</v>
      </c>
      <c r="B708" s="30"/>
      <c r="C708" s="30" t="s">
        <v>8607</v>
      </c>
      <c r="D708" s="30" t="s">
        <v>10667</v>
      </c>
      <c r="E708" s="30"/>
      <c r="F708" s="30"/>
      <c r="G708" s="30" t="s">
        <v>10668</v>
      </c>
      <c r="H708" s="30" t="s">
        <v>10669</v>
      </c>
    </row>
    <row r="709" spans="1:8">
      <c r="A709" s="30" t="s">
        <v>10670</v>
      </c>
      <c r="B709" s="30"/>
      <c r="C709" s="30" t="s">
        <v>8607</v>
      </c>
      <c r="D709" s="30" t="s">
        <v>10667</v>
      </c>
      <c r="E709" s="30"/>
      <c r="F709" s="30"/>
      <c r="G709" s="30" t="s">
        <v>10668</v>
      </c>
      <c r="H709" s="30" t="s">
        <v>10669</v>
      </c>
    </row>
    <row r="710" spans="1:8">
      <c r="A710" s="30" t="s">
        <v>10671</v>
      </c>
      <c r="B710" s="30"/>
      <c r="C710" s="30" t="s">
        <v>8626</v>
      </c>
      <c r="D710" s="30"/>
      <c r="E710" s="30" t="s">
        <v>10672</v>
      </c>
      <c r="F710" s="30" t="s">
        <v>8618</v>
      </c>
      <c r="G710" s="30"/>
      <c r="H710" s="30" t="s">
        <v>10673</v>
      </c>
    </row>
    <row r="711" spans="1:8">
      <c r="A711" s="30" t="s">
        <v>10674</v>
      </c>
      <c r="B711" s="30"/>
      <c r="C711" s="30" t="s">
        <v>8607</v>
      </c>
      <c r="D711" s="30" t="s">
        <v>10675</v>
      </c>
      <c r="E711" s="30"/>
      <c r="F711" s="30"/>
      <c r="G711" s="30" t="s">
        <v>10676</v>
      </c>
      <c r="H711" s="30" t="s">
        <v>10677</v>
      </c>
    </row>
    <row r="712" spans="1:8">
      <c r="A712" s="30" t="s">
        <v>10678</v>
      </c>
      <c r="B712" s="30"/>
      <c r="C712" s="30" t="s">
        <v>8607</v>
      </c>
      <c r="D712" s="30"/>
      <c r="E712" s="30" t="s">
        <v>8720</v>
      </c>
      <c r="F712" s="30" t="e">
        <v>#VALUE!</v>
      </c>
      <c r="G712" s="30" t="s">
        <v>8721</v>
      </c>
      <c r="H712" s="30" t="s">
        <v>10679</v>
      </c>
    </row>
    <row r="713" spans="1:8">
      <c r="A713" s="30" t="s">
        <v>10680</v>
      </c>
      <c r="B713" s="30"/>
      <c r="C713" s="30" t="s">
        <v>8607</v>
      </c>
      <c r="D713" s="30" t="s">
        <v>10681</v>
      </c>
      <c r="E713" s="30" t="s">
        <v>10682</v>
      </c>
      <c r="F713" s="30" t="s">
        <v>8618</v>
      </c>
      <c r="G713" s="30" t="s">
        <v>8858</v>
      </c>
      <c r="H713" s="30" t="s">
        <v>10683</v>
      </c>
    </row>
    <row r="714" spans="1:8">
      <c r="A714" s="30" t="s">
        <v>10684</v>
      </c>
      <c r="B714" s="30"/>
      <c r="C714" s="30" t="s">
        <v>8626</v>
      </c>
      <c r="D714" s="30" t="s">
        <v>8817</v>
      </c>
      <c r="E714" s="30" t="s">
        <v>8818</v>
      </c>
      <c r="F714" s="30" t="e">
        <v>#VALUE!</v>
      </c>
      <c r="G714" s="30"/>
      <c r="H714" s="30" t="s">
        <v>10685</v>
      </c>
    </row>
    <row r="715" spans="1:8">
      <c r="A715" s="30" t="s">
        <v>10686</v>
      </c>
      <c r="B715" s="30"/>
      <c r="C715" s="30" t="s">
        <v>8607</v>
      </c>
      <c r="D715" s="30" t="s">
        <v>8894</v>
      </c>
      <c r="E715" s="30"/>
      <c r="F715" s="30"/>
      <c r="G715" s="30" t="s">
        <v>8895</v>
      </c>
      <c r="H715" s="30" t="s">
        <v>10687</v>
      </c>
    </row>
    <row r="716" spans="1:8">
      <c r="A716" s="30" t="s">
        <v>10688</v>
      </c>
      <c r="B716" s="30"/>
      <c r="C716" s="30" t="s">
        <v>8607</v>
      </c>
      <c r="D716" s="30"/>
      <c r="E716" s="30"/>
      <c r="F716" s="30"/>
      <c r="G716" s="30" t="s">
        <v>8891</v>
      </c>
      <c r="H716" s="30" t="s">
        <v>10627</v>
      </c>
    </row>
    <row r="717" spans="1:8">
      <c r="A717" s="30" t="s">
        <v>10689</v>
      </c>
      <c r="B717" s="30"/>
      <c r="C717" s="30" t="s">
        <v>8607</v>
      </c>
      <c r="D717" s="30" t="s">
        <v>8654</v>
      </c>
      <c r="E717" s="30" t="s">
        <v>8655</v>
      </c>
      <c r="F717" s="30" t="s">
        <v>8618</v>
      </c>
      <c r="G717" s="30" t="s">
        <v>8656</v>
      </c>
      <c r="H717" s="30" t="s">
        <v>10690</v>
      </c>
    </row>
    <row r="718" spans="1:8">
      <c r="A718" s="30" t="s">
        <v>10691</v>
      </c>
      <c r="B718" s="30"/>
      <c r="C718" s="30" t="s">
        <v>8607</v>
      </c>
      <c r="D718" s="30"/>
      <c r="E718" s="30"/>
      <c r="F718" s="30"/>
      <c r="G718" s="30"/>
      <c r="H718" s="30" t="s">
        <v>10692</v>
      </c>
    </row>
    <row r="719" spans="1:8">
      <c r="A719" s="30" t="s">
        <v>10693</v>
      </c>
      <c r="B719" s="30"/>
      <c r="C719" s="30" t="s">
        <v>8626</v>
      </c>
      <c r="D719" s="30"/>
      <c r="E719" s="30" t="s">
        <v>10694</v>
      </c>
      <c r="F719" s="30" t="s">
        <v>8618</v>
      </c>
      <c r="G719" s="30" t="s">
        <v>10695</v>
      </c>
      <c r="H719" s="30" t="s">
        <v>10696</v>
      </c>
    </row>
    <row r="720" spans="1:8">
      <c r="A720" s="30" t="s">
        <v>10697</v>
      </c>
      <c r="B720" s="30"/>
      <c r="C720" s="30" t="s">
        <v>8607</v>
      </c>
      <c r="D720" s="30"/>
      <c r="E720" s="30"/>
      <c r="F720" s="30"/>
      <c r="G720" s="30" t="s">
        <v>10220</v>
      </c>
      <c r="H720" s="30" t="s">
        <v>10698</v>
      </c>
    </row>
    <row r="721" spans="1:8">
      <c r="A721" s="30" t="s">
        <v>10699</v>
      </c>
      <c r="B721" s="30"/>
      <c r="C721" s="30" t="s">
        <v>8626</v>
      </c>
      <c r="D721" s="30"/>
      <c r="E721" s="30"/>
      <c r="F721" s="30"/>
      <c r="G721" s="30" t="s">
        <v>8623</v>
      </c>
      <c r="H721" s="30" t="s">
        <v>10700</v>
      </c>
    </row>
    <row r="722" spans="1:8">
      <c r="A722" s="30" t="s">
        <v>10701</v>
      </c>
      <c r="B722" s="30"/>
      <c r="C722" s="30" t="s">
        <v>8607</v>
      </c>
      <c r="D722" s="30"/>
      <c r="E722" s="30"/>
      <c r="F722" s="30"/>
      <c r="G722" s="30" t="s">
        <v>8623</v>
      </c>
      <c r="H722" s="30" t="s">
        <v>10702</v>
      </c>
    </row>
    <row r="723" spans="1:8">
      <c r="A723" s="30" t="s">
        <v>10703</v>
      </c>
      <c r="B723" s="30"/>
      <c r="C723" s="30" t="s">
        <v>8607</v>
      </c>
      <c r="D723" s="30"/>
      <c r="E723" s="30"/>
      <c r="F723" s="30"/>
      <c r="G723" s="30" t="s">
        <v>8623</v>
      </c>
      <c r="H723" s="30" t="s">
        <v>10704</v>
      </c>
    </row>
    <row r="724" spans="1:8">
      <c r="A724" s="30" t="s">
        <v>10705</v>
      </c>
      <c r="B724" s="30"/>
      <c r="C724" s="30" t="s">
        <v>8607</v>
      </c>
      <c r="D724" s="30" t="s">
        <v>10706</v>
      </c>
      <c r="E724" s="30" t="s">
        <v>10707</v>
      </c>
      <c r="F724" s="30" t="s">
        <v>8618</v>
      </c>
      <c r="G724" s="30" t="s">
        <v>8943</v>
      </c>
      <c r="H724" s="30" t="s">
        <v>10708</v>
      </c>
    </row>
    <row r="725" spans="1:8">
      <c r="A725" s="30" t="s">
        <v>10709</v>
      </c>
      <c r="B725" s="30"/>
      <c r="C725" s="30" t="s">
        <v>8607</v>
      </c>
      <c r="D725" s="30" t="s">
        <v>10377</v>
      </c>
      <c r="E725" s="30"/>
      <c r="F725" s="30"/>
      <c r="G725" s="30" t="s">
        <v>8737</v>
      </c>
      <c r="H725" s="30" t="s">
        <v>10710</v>
      </c>
    </row>
    <row r="726" spans="1:8">
      <c r="A726" s="30" t="s">
        <v>10711</v>
      </c>
      <c r="B726" s="30"/>
      <c r="C726" s="30" t="s">
        <v>8607</v>
      </c>
      <c r="D726" s="30"/>
      <c r="E726" s="30" t="s">
        <v>10712</v>
      </c>
      <c r="F726" s="30" t="e">
        <v>#VALUE!</v>
      </c>
      <c r="G726" s="30" t="s">
        <v>8678</v>
      </c>
      <c r="H726" s="30" t="s">
        <v>10475</v>
      </c>
    </row>
    <row r="727" spans="1:8">
      <c r="A727" s="30" t="s">
        <v>10713</v>
      </c>
      <c r="B727" s="30"/>
      <c r="C727" s="30" t="s">
        <v>8607</v>
      </c>
      <c r="D727" s="30"/>
      <c r="E727" s="30"/>
      <c r="F727" s="30"/>
      <c r="G727" s="30" t="s">
        <v>8681</v>
      </c>
      <c r="H727" s="30" t="s">
        <v>10714</v>
      </c>
    </row>
    <row r="728" spans="1:8">
      <c r="A728" s="30" t="s">
        <v>10715</v>
      </c>
      <c r="B728" s="30"/>
      <c r="C728" s="30"/>
      <c r="D728" s="32" t="s">
        <v>10351</v>
      </c>
      <c r="E728" s="30" t="s">
        <v>10716</v>
      </c>
      <c r="F728" s="30" t="s">
        <v>8618</v>
      </c>
      <c r="G728" s="30"/>
      <c r="H728" s="30" t="s">
        <v>10717</v>
      </c>
    </row>
    <row r="729" spans="1:8">
      <c r="A729" s="30" t="s">
        <v>10718</v>
      </c>
      <c r="B729" s="30"/>
      <c r="C729" s="30" t="s">
        <v>8626</v>
      </c>
      <c r="D729" s="30" t="s">
        <v>8684</v>
      </c>
      <c r="E729" s="30" t="s">
        <v>8685</v>
      </c>
      <c r="F729" s="30" t="s">
        <v>8618</v>
      </c>
      <c r="G729" s="30"/>
      <c r="H729" s="30" t="s">
        <v>10719</v>
      </c>
    </row>
    <row r="730" spans="1:8">
      <c r="A730" s="30" t="s">
        <v>10720</v>
      </c>
      <c r="B730" s="30"/>
      <c r="C730" s="30" t="s">
        <v>8607</v>
      </c>
      <c r="D730" s="30"/>
      <c r="E730" s="30"/>
      <c r="F730" s="30"/>
      <c r="G730" s="30" t="s">
        <v>10356</v>
      </c>
      <c r="H730" s="30" t="s">
        <v>10357</v>
      </c>
    </row>
    <row r="731" spans="1:8">
      <c r="A731" s="30" t="s">
        <v>10721</v>
      </c>
      <c r="B731" s="30"/>
      <c r="C731" s="30" t="s">
        <v>8607</v>
      </c>
      <c r="D731" s="30" t="s">
        <v>10722</v>
      </c>
      <c r="E731" s="30" t="s">
        <v>10723</v>
      </c>
      <c r="F731" s="30" t="e">
        <v>#VALUE!</v>
      </c>
      <c r="G731" s="30" t="s">
        <v>9145</v>
      </c>
      <c r="H731" s="30" t="s">
        <v>10724</v>
      </c>
    </row>
    <row r="732" spans="1:8">
      <c r="A732" s="30" t="s">
        <v>10725</v>
      </c>
      <c r="B732" s="30"/>
      <c r="C732" s="30" t="s">
        <v>8626</v>
      </c>
      <c r="D732" s="30" t="s">
        <v>10726</v>
      </c>
      <c r="E732" s="30" t="s">
        <v>10583</v>
      </c>
      <c r="F732" s="30" t="e">
        <v>#VALUE!</v>
      </c>
      <c r="G732" s="30" t="s">
        <v>9219</v>
      </c>
      <c r="H732" s="30" t="s">
        <v>10727</v>
      </c>
    </row>
    <row r="733" spans="1:8">
      <c r="A733" s="30" t="s">
        <v>10728</v>
      </c>
      <c r="B733" s="30"/>
      <c r="C733" s="30"/>
      <c r="D733" s="32"/>
      <c r="E733" s="30" t="s">
        <v>8868</v>
      </c>
      <c r="F733" s="30" t="e">
        <v>#VALUE!</v>
      </c>
      <c r="G733" s="30"/>
      <c r="H733" s="30" t="s">
        <v>8741</v>
      </c>
    </row>
    <row r="734" spans="1:8">
      <c r="A734" s="30" t="s">
        <v>10729</v>
      </c>
      <c r="B734" s="30"/>
      <c r="C734" s="30" t="s">
        <v>8607</v>
      </c>
      <c r="D734" s="30"/>
      <c r="E734" s="30"/>
      <c r="F734" s="30"/>
      <c r="G734" s="30" t="s">
        <v>8743</v>
      </c>
      <c r="H734" s="30" t="s">
        <v>8744</v>
      </c>
    </row>
    <row r="735" spans="1:8">
      <c r="A735" s="30" t="s">
        <v>10730</v>
      </c>
      <c r="B735" s="30"/>
      <c r="C735" s="30" t="s">
        <v>8607</v>
      </c>
      <c r="D735" s="30" t="s">
        <v>9152</v>
      </c>
      <c r="E735" s="30"/>
      <c r="F735" s="30"/>
      <c r="G735" s="30" t="s">
        <v>8698</v>
      </c>
      <c r="H735" s="30" t="s">
        <v>9153</v>
      </c>
    </row>
    <row r="736" spans="1:8">
      <c r="A736" s="30" t="s">
        <v>10731</v>
      </c>
      <c r="B736" s="30"/>
      <c r="C736" s="30" t="s">
        <v>8607</v>
      </c>
      <c r="D736" s="30" t="s">
        <v>10732</v>
      </c>
      <c r="E736" s="30" t="s">
        <v>10733</v>
      </c>
      <c r="F736" s="30" t="s">
        <v>8672</v>
      </c>
      <c r="G736" s="30" t="s">
        <v>9338</v>
      </c>
      <c r="H736" s="30" t="s">
        <v>10734</v>
      </c>
    </row>
    <row r="737" spans="1:8">
      <c r="A737" s="30" t="s">
        <v>10735</v>
      </c>
      <c r="B737" s="30"/>
      <c r="C737" s="30" t="s">
        <v>8607</v>
      </c>
      <c r="D737" s="30" t="s">
        <v>10736</v>
      </c>
      <c r="E737" s="30" t="s">
        <v>10737</v>
      </c>
      <c r="F737" s="30" t="s">
        <v>8618</v>
      </c>
      <c r="G737" s="30" t="s">
        <v>9667</v>
      </c>
      <c r="H737" s="30" t="s">
        <v>10738</v>
      </c>
    </row>
    <row r="738" spans="1:8">
      <c r="A738" s="30" t="s">
        <v>10739</v>
      </c>
      <c r="B738" s="30"/>
      <c r="C738" s="30" t="s">
        <v>8607</v>
      </c>
      <c r="D738" s="30"/>
      <c r="E738" s="30"/>
      <c r="F738" s="30"/>
      <c r="G738" s="30" t="s">
        <v>8807</v>
      </c>
      <c r="H738" s="30" t="s">
        <v>10740</v>
      </c>
    </row>
    <row r="739" spans="1:8">
      <c r="A739" s="30" t="s">
        <v>10741</v>
      </c>
      <c r="B739" s="30"/>
      <c r="C739" s="30" t="s">
        <v>8607</v>
      </c>
      <c r="D739" s="30"/>
      <c r="E739" s="30"/>
      <c r="F739" s="30"/>
      <c r="G739" s="30" t="s">
        <v>8814</v>
      </c>
      <c r="H739" s="30" t="s">
        <v>10742</v>
      </c>
    </row>
    <row r="740" spans="1:8">
      <c r="A740" s="30" t="s">
        <v>10743</v>
      </c>
      <c r="B740" s="30"/>
      <c r="C740" s="30" t="s">
        <v>8607</v>
      </c>
      <c r="D740" s="30"/>
      <c r="E740" s="30"/>
      <c r="F740" s="30"/>
      <c r="G740" s="30" t="s">
        <v>10385</v>
      </c>
      <c r="H740" s="30" t="s">
        <v>10744</v>
      </c>
    </row>
    <row r="741" spans="1:8">
      <c r="A741" s="30" t="s">
        <v>10745</v>
      </c>
      <c r="B741" s="30"/>
      <c r="C741" s="30" t="s">
        <v>8607</v>
      </c>
      <c r="D741" s="30" t="s">
        <v>9546</v>
      </c>
      <c r="E741" s="30" t="s">
        <v>9547</v>
      </c>
      <c r="F741" s="30" t="s">
        <v>8672</v>
      </c>
      <c r="G741" s="30" t="s">
        <v>9366</v>
      </c>
      <c r="H741" s="30" t="s">
        <v>10746</v>
      </c>
    </row>
    <row r="742" spans="1:8">
      <c r="A742" s="30" t="s">
        <v>10747</v>
      </c>
      <c r="B742" s="30"/>
      <c r="C742" s="30" t="s">
        <v>8607</v>
      </c>
      <c r="D742" s="30" t="s">
        <v>10748</v>
      </c>
      <c r="E742" s="30" t="s">
        <v>10749</v>
      </c>
      <c r="F742" s="30" t="s">
        <v>8672</v>
      </c>
      <c r="G742" s="30" t="s">
        <v>9468</v>
      </c>
      <c r="H742" s="30" t="s">
        <v>9469</v>
      </c>
    </row>
    <row r="743" spans="1:8">
      <c r="A743" s="30" t="s">
        <v>10750</v>
      </c>
      <c r="B743" s="30"/>
      <c r="C743" s="30" t="s">
        <v>8626</v>
      </c>
      <c r="D743" s="30" t="s">
        <v>8736</v>
      </c>
      <c r="E743" s="30"/>
      <c r="F743" s="30"/>
      <c r="G743" s="30" t="s">
        <v>8737</v>
      </c>
      <c r="H743" s="30" t="s">
        <v>8738</v>
      </c>
    </row>
    <row r="744" spans="1:8">
      <c r="A744" s="30" t="s">
        <v>10751</v>
      </c>
      <c r="B744" s="30"/>
      <c r="C744" s="30" t="s">
        <v>8607</v>
      </c>
      <c r="D744" s="30" t="s">
        <v>8736</v>
      </c>
      <c r="E744" s="30"/>
      <c r="F744" s="30"/>
      <c r="G744" s="30" t="s">
        <v>8737</v>
      </c>
      <c r="H744" s="30" t="s">
        <v>10752</v>
      </c>
    </row>
    <row r="745" spans="1:8">
      <c r="A745" s="30" t="s">
        <v>10753</v>
      </c>
      <c r="B745" s="30"/>
      <c r="C745" s="30" t="s">
        <v>8607</v>
      </c>
      <c r="D745" s="30" t="s">
        <v>8736</v>
      </c>
      <c r="E745" s="30"/>
      <c r="F745" s="30"/>
      <c r="G745" s="30" t="s">
        <v>8737</v>
      </c>
      <c r="H745" s="30" t="s">
        <v>8746</v>
      </c>
    </row>
    <row r="746" spans="1:8">
      <c r="A746" s="30" t="s">
        <v>10754</v>
      </c>
      <c r="B746" s="30"/>
      <c r="C746" s="30" t="s">
        <v>8607</v>
      </c>
      <c r="D746" s="30" t="s">
        <v>8968</v>
      </c>
      <c r="E746" s="30"/>
      <c r="F746" s="30"/>
      <c r="G746" s="30" t="s">
        <v>8774</v>
      </c>
      <c r="H746" s="30" t="s">
        <v>10629</v>
      </c>
    </row>
    <row r="747" spans="1:8">
      <c r="A747" s="30" t="s">
        <v>10755</v>
      </c>
      <c r="B747" s="30"/>
      <c r="C747" s="30" t="s">
        <v>8607</v>
      </c>
      <c r="D747" s="30"/>
      <c r="E747" s="30"/>
      <c r="F747" s="30"/>
      <c r="G747" s="30" t="s">
        <v>8711</v>
      </c>
      <c r="H747" s="30" t="s">
        <v>10342</v>
      </c>
    </row>
    <row r="748" spans="1:8">
      <c r="A748" s="30" t="s">
        <v>10756</v>
      </c>
      <c r="B748" s="30"/>
      <c r="C748" s="30" t="s">
        <v>8607</v>
      </c>
      <c r="D748" s="30"/>
      <c r="E748" s="30"/>
      <c r="F748" s="30"/>
      <c r="G748" s="30" t="s">
        <v>8717</v>
      </c>
      <c r="H748" s="30" t="s">
        <v>10757</v>
      </c>
    </row>
    <row r="749" spans="1:8">
      <c r="A749" s="30" t="s">
        <v>10758</v>
      </c>
      <c r="B749" s="30"/>
      <c r="C749" s="30" t="s">
        <v>8607</v>
      </c>
      <c r="D749" s="30"/>
      <c r="E749" s="30" t="s">
        <v>8720</v>
      </c>
      <c r="F749" s="30" t="e">
        <v>#VALUE!</v>
      </c>
      <c r="G749" s="30" t="s">
        <v>8721</v>
      </c>
      <c r="H749" s="30" t="s">
        <v>10613</v>
      </c>
    </row>
    <row r="750" spans="1:8">
      <c r="A750" s="30" t="s">
        <v>10759</v>
      </c>
      <c r="B750" s="30"/>
      <c r="C750" s="30" t="s">
        <v>8607</v>
      </c>
      <c r="D750" s="30"/>
      <c r="E750" s="30"/>
      <c r="F750" s="30"/>
      <c r="G750" s="30" t="s">
        <v>8726</v>
      </c>
      <c r="H750" s="30" t="s">
        <v>8727</v>
      </c>
    </row>
    <row r="751" spans="1:8">
      <c r="A751" s="30" t="s">
        <v>10760</v>
      </c>
      <c r="B751" s="30"/>
      <c r="C751" s="30" t="s">
        <v>8607</v>
      </c>
      <c r="D751" s="30"/>
      <c r="E751" s="30"/>
      <c r="F751" s="30"/>
      <c r="G751" s="30" t="s">
        <v>8729</v>
      </c>
      <c r="H751" s="30" t="s">
        <v>10761</v>
      </c>
    </row>
    <row r="752" spans="1:8">
      <c r="A752" s="30" t="s">
        <v>10762</v>
      </c>
      <c r="B752" s="30"/>
      <c r="C752" s="30" t="s">
        <v>8607</v>
      </c>
      <c r="D752" s="30"/>
      <c r="E752" s="30" t="s">
        <v>10499</v>
      </c>
      <c r="F752" s="30" t="e">
        <v>#VALUE!</v>
      </c>
      <c r="G752" s="30" t="s">
        <v>8678</v>
      </c>
      <c r="H752" s="30" t="s">
        <v>10763</v>
      </c>
    </row>
    <row r="753" spans="1:8">
      <c r="A753" s="30" t="s">
        <v>10764</v>
      </c>
      <c r="B753" s="30"/>
      <c r="C753" s="30" t="s">
        <v>8607</v>
      </c>
      <c r="D753" s="30"/>
      <c r="E753" s="30"/>
      <c r="F753" s="30"/>
      <c r="G753" s="30" t="s">
        <v>8681</v>
      </c>
      <c r="H753" s="30" t="s">
        <v>10765</v>
      </c>
    </row>
    <row r="754" spans="1:8">
      <c r="A754" s="30" t="s">
        <v>10766</v>
      </c>
      <c r="B754" s="30"/>
      <c r="C754" s="30" t="s">
        <v>8626</v>
      </c>
      <c r="D754" s="30" t="s">
        <v>9291</v>
      </c>
      <c r="E754" s="30" t="s">
        <v>8962</v>
      </c>
      <c r="F754" s="30" t="e">
        <v>#VALUE!</v>
      </c>
      <c r="G754" s="30" t="s">
        <v>8691</v>
      </c>
      <c r="H754" s="30" t="s">
        <v>10447</v>
      </c>
    </row>
    <row r="755" spans="1:8">
      <c r="A755" s="30" t="s">
        <v>10767</v>
      </c>
      <c r="B755" s="30"/>
      <c r="C755" s="30" t="s">
        <v>8626</v>
      </c>
      <c r="D755" s="30" t="s">
        <v>10334</v>
      </c>
      <c r="E755" s="30"/>
      <c r="F755" s="30"/>
      <c r="G755" s="30" t="s">
        <v>8695</v>
      </c>
      <c r="H755" s="30" t="s">
        <v>10768</v>
      </c>
    </row>
    <row r="756" spans="1:8">
      <c r="A756" s="30" t="s">
        <v>10769</v>
      </c>
      <c r="B756" s="30"/>
      <c r="C756" s="30" t="s">
        <v>8626</v>
      </c>
      <c r="D756" s="30"/>
      <c r="E756" s="30"/>
      <c r="F756" s="30"/>
      <c r="G756" s="30" t="s">
        <v>8698</v>
      </c>
      <c r="H756" s="30" t="s">
        <v>10346</v>
      </c>
    </row>
    <row r="757" spans="1:8">
      <c r="A757" s="30" t="s">
        <v>10770</v>
      </c>
      <c r="B757" s="30"/>
      <c r="C757" s="30"/>
      <c r="D757" s="32"/>
      <c r="E757" s="30"/>
      <c r="F757" s="30"/>
      <c r="G757" s="30"/>
      <c r="H757" s="30" t="s">
        <v>10337</v>
      </c>
    </row>
    <row r="758" spans="1:8">
      <c r="A758" s="30" t="s">
        <v>10771</v>
      </c>
      <c r="B758" s="30"/>
      <c r="C758" s="30" t="s">
        <v>8626</v>
      </c>
      <c r="D758" s="30"/>
      <c r="E758" s="30" t="s">
        <v>10214</v>
      </c>
      <c r="F758" s="30" t="e">
        <v>#VALUE!</v>
      </c>
      <c r="G758" s="30" t="s">
        <v>8714</v>
      </c>
      <c r="H758" s="30" t="s">
        <v>8715</v>
      </c>
    </row>
    <row r="759" spans="1:8">
      <c r="A759" s="30" t="s">
        <v>10772</v>
      </c>
      <c r="B759" s="30"/>
      <c r="C759" s="30" t="s">
        <v>8607</v>
      </c>
      <c r="D759" s="30"/>
      <c r="E759" s="30"/>
      <c r="F759" s="30"/>
      <c r="G759" s="30" t="s">
        <v>8708</v>
      </c>
      <c r="H759" s="30" t="s">
        <v>10773</v>
      </c>
    </row>
    <row r="760" spans="1:8">
      <c r="A760" s="30" t="s">
        <v>10774</v>
      </c>
      <c r="B760" s="30"/>
      <c r="C760" s="30" t="s">
        <v>8607</v>
      </c>
      <c r="D760" s="30"/>
      <c r="E760" s="30"/>
      <c r="F760" s="30"/>
      <c r="G760" s="30" t="s">
        <v>10395</v>
      </c>
      <c r="H760" s="30" t="s">
        <v>10775</v>
      </c>
    </row>
    <row r="761" spans="1:8">
      <c r="A761" s="30" t="s">
        <v>10776</v>
      </c>
      <c r="B761" s="30"/>
      <c r="C761" s="30" t="s">
        <v>8607</v>
      </c>
      <c r="D761" s="30" t="s">
        <v>10243</v>
      </c>
      <c r="E761" s="30" t="s">
        <v>8850</v>
      </c>
      <c r="F761" s="30" t="s">
        <v>8672</v>
      </c>
      <c r="G761" s="30" t="s">
        <v>8851</v>
      </c>
      <c r="H761" s="30" t="s">
        <v>10777</v>
      </c>
    </row>
    <row r="762" spans="1:8">
      <c r="A762" s="30" t="s">
        <v>10778</v>
      </c>
      <c r="B762" s="30"/>
      <c r="C762" s="30" t="s">
        <v>8626</v>
      </c>
      <c r="D762" s="30"/>
      <c r="E762" s="30"/>
      <c r="F762" s="30"/>
      <c r="G762" s="30" t="s">
        <v>8726</v>
      </c>
      <c r="H762" s="30" t="s">
        <v>10615</v>
      </c>
    </row>
    <row r="763" spans="1:8">
      <c r="A763" s="30" t="s">
        <v>10779</v>
      </c>
      <c r="B763" s="30"/>
      <c r="C763" s="30" t="s">
        <v>8607</v>
      </c>
      <c r="D763" s="30" t="s">
        <v>10780</v>
      </c>
      <c r="E763" s="30"/>
      <c r="F763" s="30"/>
      <c r="G763" s="30" t="s">
        <v>10395</v>
      </c>
      <c r="H763" s="30" t="s">
        <v>10781</v>
      </c>
    </row>
    <row r="764" spans="1:8">
      <c r="A764" s="30" t="s">
        <v>10782</v>
      </c>
      <c r="B764" s="30"/>
      <c r="C764" s="30" t="s">
        <v>8607</v>
      </c>
      <c r="D764" s="30" t="s">
        <v>10783</v>
      </c>
      <c r="E764" s="30" t="s">
        <v>8929</v>
      </c>
      <c r="F764" s="30" t="e">
        <v>#VALUE!</v>
      </c>
      <c r="G764" s="30" t="s">
        <v>8930</v>
      </c>
      <c r="H764" s="30" t="s">
        <v>8931</v>
      </c>
    </row>
    <row r="765" spans="1:8">
      <c r="A765" s="30" t="s">
        <v>10784</v>
      </c>
      <c r="B765" s="30"/>
      <c r="C765" s="30" t="s">
        <v>8607</v>
      </c>
      <c r="D765" s="30" t="s">
        <v>8736</v>
      </c>
      <c r="E765" s="30"/>
      <c r="F765" s="30"/>
      <c r="G765" s="30" t="s">
        <v>8737</v>
      </c>
      <c r="H765" s="30" t="s">
        <v>10785</v>
      </c>
    </row>
    <row r="766" spans="1:8">
      <c r="A766" s="30" t="s">
        <v>10786</v>
      </c>
      <c r="B766" s="30"/>
      <c r="C766" s="30"/>
      <c r="D766" s="32"/>
      <c r="E766" s="30"/>
      <c r="F766" s="30"/>
      <c r="G766" s="30"/>
      <c r="H766" s="30" t="s">
        <v>10787</v>
      </c>
    </row>
    <row r="767" spans="1:8">
      <c r="A767" s="30" t="s">
        <v>10788</v>
      </c>
      <c r="B767" s="30"/>
      <c r="C767" s="30" t="s">
        <v>8626</v>
      </c>
      <c r="D767" s="30"/>
      <c r="E767" s="30"/>
      <c r="F767" s="30"/>
      <c r="G767" s="30" t="s">
        <v>10789</v>
      </c>
      <c r="H767" s="30" t="s">
        <v>10790</v>
      </c>
    </row>
    <row r="768" spans="1:8">
      <c r="A768" s="30" t="s">
        <v>10791</v>
      </c>
      <c r="B768" s="30"/>
      <c r="C768" s="30" t="s">
        <v>8607</v>
      </c>
      <c r="D768" s="30" t="s">
        <v>10792</v>
      </c>
      <c r="E768" s="30" t="s">
        <v>10793</v>
      </c>
      <c r="F768" s="30" t="s">
        <v>8672</v>
      </c>
      <c r="G768" s="30" t="s">
        <v>10789</v>
      </c>
      <c r="H768" s="30" t="s">
        <v>10794</v>
      </c>
    </row>
    <row r="769" spans="1:8">
      <c r="A769" s="30" t="s">
        <v>10795</v>
      </c>
      <c r="B769" s="30"/>
      <c r="C769" s="30" t="s">
        <v>8626</v>
      </c>
      <c r="D769" s="30" t="s">
        <v>10796</v>
      </c>
      <c r="E769" s="30" t="s">
        <v>10797</v>
      </c>
      <c r="F769" s="30" t="s">
        <v>8672</v>
      </c>
      <c r="G769" s="30" t="s">
        <v>10789</v>
      </c>
      <c r="H769" s="30" t="s">
        <v>10798</v>
      </c>
    </row>
    <row r="770" spans="1:8">
      <c r="A770" s="30" t="s">
        <v>10799</v>
      </c>
      <c r="B770" s="30"/>
      <c r="C770" s="30" t="s">
        <v>8607</v>
      </c>
      <c r="D770" s="30" t="s">
        <v>8821</v>
      </c>
      <c r="E770" s="30"/>
      <c r="F770" s="30"/>
      <c r="G770" s="30" t="s">
        <v>8737</v>
      </c>
      <c r="H770" s="30" t="s">
        <v>10800</v>
      </c>
    </row>
    <row r="771" spans="1:8">
      <c r="A771" s="30" t="s">
        <v>10801</v>
      </c>
      <c r="B771" s="30"/>
      <c r="C771" s="30" t="s">
        <v>8607</v>
      </c>
      <c r="D771" s="30"/>
      <c r="E771" s="30"/>
      <c r="F771" s="30"/>
      <c r="G771" s="30" t="s">
        <v>9363</v>
      </c>
      <c r="H771" s="30" t="s">
        <v>10802</v>
      </c>
    </row>
    <row r="772" spans="1:8">
      <c r="A772" s="30" t="s">
        <v>10803</v>
      </c>
      <c r="B772" s="30"/>
      <c r="C772" s="30" t="s">
        <v>8607</v>
      </c>
      <c r="D772" s="30"/>
      <c r="E772" s="30"/>
      <c r="F772" s="30"/>
      <c r="G772" s="30" t="s">
        <v>9007</v>
      </c>
      <c r="H772" s="30" t="s">
        <v>10804</v>
      </c>
    </row>
    <row r="773" spans="1:8">
      <c r="A773" s="30" t="s">
        <v>10805</v>
      </c>
      <c r="B773" s="30"/>
      <c r="C773" s="30" t="s">
        <v>8607</v>
      </c>
      <c r="D773" s="30"/>
      <c r="E773" s="30"/>
      <c r="F773" s="30"/>
      <c r="G773" s="30" t="s">
        <v>9358</v>
      </c>
      <c r="H773" s="30" t="s">
        <v>10806</v>
      </c>
    </row>
    <row r="774" spans="1:8">
      <c r="A774" s="30" t="s">
        <v>10807</v>
      </c>
      <c r="B774" s="30"/>
      <c r="C774" s="30" t="s">
        <v>8607</v>
      </c>
      <c r="D774" s="30"/>
      <c r="E774" s="30"/>
      <c r="F774" s="30"/>
      <c r="G774" s="30"/>
      <c r="H774" s="30" t="s">
        <v>10808</v>
      </c>
    </row>
    <row r="775" spans="1:8">
      <c r="A775" s="30" t="s">
        <v>10809</v>
      </c>
      <c r="B775" s="30"/>
      <c r="C775" s="30" t="s">
        <v>8626</v>
      </c>
      <c r="D775" s="30"/>
      <c r="E775" s="30"/>
      <c r="F775" s="30"/>
      <c r="G775" s="30"/>
      <c r="H775" s="30" t="s">
        <v>10810</v>
      </c>
    </row>
    <row r="776" spans="1:8">
      <c r="A776" s="30" t="s">
        <v>10811</v>
      </c>
      <c r="B776" s="30"/>
      <c r="C776" s="30" t="s">
        <v>8607</v>
      </c>
      <c r="D776" s="30"/>
      <c r="E776" s="30"/>
      <c r="F776" s="30"/>
      <c r="G776" s="30"/>
      <c r="H776" s="30" t="s">
        <v>10812</v>
      </c>
    </row>
    <row r="777" spans="1:8">
      <c r="A777" s="30" t="s">
        <v>10813</v>
      </c>
      <c r="B777" s="30"/>
      <c r="C777" s="30" t="s">
        <v>8607</v>
      </c>
      <c r="D777" s="30"/>
      <c r="E777" s="30"/>
      <c r="F777" s="30"/>
      <c r="G777" s="30"/>
      <c r="H777" s="30" t="s">
        <v>10814</v>
      </c>
    </row>
    <row r="778" spans="1:8">
      <c r="A778" s="30" t="s">
        <v>10815</v>
      </c>
      <c r="B778" s="30"/>
      <c r="C778" s="30" t="s">
        <v>8607</v>
      </c>
      <c r="D778" s="30" t="s">
        <v>10816</v>
      </c>
      <c r="E778" s="30" t="s">
        <v>10817</v>
      </c>
      <c r="F778" s="30" t="e">
        <v>#VALUE!</v>
      </c>
      <c r="G778" s="30" t="s">
        <v>8975</v>
      </c>
      <c r="H778" s="30" t="s">
        <v>10818</v>
      </c>
    </row>
    <row r="779" spans="1:8">
      <c r="A779" s="30" t="s">
        <v>10819</v>
      </c>
      <c r="B779" s="30"/>
      <c r="C779" s="30" t="s">
        <v>8607</v>
      </c>
      <c r="D779" s="30" t="s">
        <v>10243</v>
      </c>
      <c r="E779" s="30" t="s">
        <v>8850</v>
      </c>
      <c r="F779" s="30" t="s">
        <v>8672</v>
      </c>
      <c r="G779" s="30" t="s">
        <v>8851</v>
      </c>
      <c r="H779" s="30" t="s">
        <v>10820</v>
      </c>
    </row>
    <row r="780" spans="1:8">
      <c r="A780" s="30" t="s">
        <v>10821</v>
      </c>
      <c r="B780" s="30"/>
      <c r="C780" s="30" t="s">
        <v>8626</v>
      </c>
      <c r="D780" s="30"/>
      <c r="E780" s="30"/>
      <c r="F780" s="30"/>
      <c r="G780" s="30" t="s">
        <v>10648</v>
      </c>
      <c r="H780" s="30" t="s">
        <v>8854</v>
      </c>
    </row>
    <row r="781" spans="1:8">
      <c r="A781" s="30" t="s">
        <v>10822</v>
      </c>
      <c r="B781" s="30"/>
      <c r="C781" s="30" t="s">
        <v>8607</v>
      </c>
      <c r="D781" s="30" t="s">
        <v>8666</v>
      </c>
      <c r="E781" s="30"/>
      <c r="F781" s="30"/>
      <c r="G781" s="30" t="s">
        <v>8667</v>
      </c>
      <c r="H781" s="30" t="s">
        <v>10823</v>
      </c>
    </row>
    <row r="782" spans="1:8">
      <c r="A782" s="30" t="s">
        <v>10824</v>
      </c>
      <c r="B782" s="30"/>
      <c r="C782" s="30" t="s">
        <v>8607</v>
      </c>
      <c r="D782" s="30" t="s">
        <v>10825</v>
      </c>
      <c r="E782" s="30" t="s">
        <v>10707</v>
      </c>
      <c r="F782" s="30" t="s">
        <v>8618</v>
      </c>
      <c r="G782" s="30" t="s">
        <v>8943</v>
      </c>
      <c r="H782" s="30" t="s">
        <v>10826</v>
      </c>
    </row>
    <row r="783" spans="1:8">
      <c r="A783" s="30" t="s">
        <v>10827</v>
      </c>
      <c r="B783" s="30"/>
      <c r="C783" s="30" t="s">
        <v>8607</v>
      </c>
      <c r="D783" s="30" t="s">
        <v>8938</v>
      </c>
      <c r="E783" s="30"/>
      <c r="F783" s="30"/>
      <c r="G783" s="30" t="s">
        <v>8737</v>
      </c>
      <c r="H783" s="30" t="s">
        <v>10828</v>
      </c>
    </row>
    <row r="784" spans="1:8">
      <c r="A784" s="30" t="s">
        <v>10829</v>
      </c>
      <c r="B784" s="30"/>
      <c r="C784" s="30" t="s">
        <v>8607</v>
      </c>
      <c r="D784" s="30"/>
      <c r="E784" s="30" t="s">
        <v>10830</v>
      </c>
      <c r="F784" s="30" t="s">
        <v>8672</v>
      </c>
      <c r="G784" s="30" t="s">
        <v>9002</v>
      </c>
      <c r="H784" s="30" t="s">
        <v>10831</v>
      </c>
    </row>
    <row r="785" spans="1:8">
      <c r="A785" s="30" t="s">
        <v>10832</v>
      </c>
      <c r="B785" s="30"/>
      <c r="C785" s="30" t="s">
        <v>8607</v>
      </c>
      <c r="D785" s="30" t="s">
        <v>8894</v>
      </c>
      <c r="E785" s="30"/>
      <c r="F785" s="30"/>
      <c r="G785" s="30" t="s">
        <v>8895</v>
      </c>
      <c r="H785" s="30" t="s">
        <v>10833</v>
      </c>
    </row>
    <row r="786" spans="1:8">
      <c r="A786" s="30" t="s">
        <v>10834</v>
      </c>
      <c r="B786" s="30"/>
      <c r="C786" s="30" t="s">
        <v>8607</v>
      </c>
      <c r="D786" s="30"/>
      <c r="E786" s="30"/>
      <c r="F786" s="30"/>
      <c r="G786" s="30" t="s">
        <v>8814</v>
      </c>
      <c r="H786" s="30" t="s">
        <v>10835</v>
      </c>
    </row>
    <row r="787" spans="1:8">
      <c r="A787" s="30" t="s">
        <v>10836</v>
      </c>
      <c r="B787" s="30"/>
      <c r="C787" s="30" t="s">
        <v>8626</v>
      </c>
      <c r="D787" s="30" t="s">
        <v>10837</v>
      </c>
      <c r="E787" s="30" t="s">
        <v>10838</v>
      </c>
      <c r="F787" s="30" t="s">
        <v>8618</v>
      </c>
      <c r="G787" s="30" t="s">
        <v>10234</v>
      </c>
      <c r="H787" s="30" t="s">
        <v>10839</v>
      </c>
    </row>
    <row r="788" spans="1:8">
      <c r="A788" s="30" t="s">
        <v>10840</v>
      </c>
      <c r="B788" s="30"/>
      <c r="C788" s="30"/>
      <c r="D788" s="32"/>
      <c r="E788" s="30"/>
      <c r="F788" s="30"/>
      <c r="G788" s="30"/>
      <c r="H788" s="30" t="s">
        <v>10841</v>
      </c>
    </row>
    <row r="789" spans="1:8">
      <c r="A789" s="30" t="s">
        <v>10842</v>
      </c>
      <c r="B789" s="30"/>
      <c r="C789" s="30" t="s">
        <v>8607</v>
      </c>
      <c r="D789" s="30" t="s">
        <v>9000</v>
      </c>
      <c r="E789" s="30" t="s">
        <v>10843</v>
      </c>
      <c r="F789" s="30" t="e">
        <v>#VALUE!</v>
      </c>
      <c r="G789" s="30" t="s">
        <v>9002</v>
      </c>
      <c r="H789" s="30" t="s">
        <v>10844</v>
      </c>
    </row>
    <row r="790" spans="1:8">
      <c r="A790" s="30" t="s">
        <v>10845</v>
      </c>
      <c r="B790" s="30"/>
      <c r="C790" s="30" t="s">
        <v>8626</v>
      </c>
      <c r="D790" s="30" t="s">
        <v>10846</v>
      </c>
      <c r="E790" s="30" t="s">
        <v>8942</v>
      </c>
      <c r="F790" s="30" t="s">
        <v>8618</v>
      </c>
      <c r="G790" s="30" t="s">
        <v>8943</v>
      </c>
      <c r="H790" s="30" t="s">
        <v>10847</v>
      </c>
    </row>
    <row r="791" spans="1:8">
      <c r="A791" s="30" t="s">
        <v>10848</v>
      </c>
      <c r="B791" s="30"/>
      <c r="C791" s="30" t="s">
        <v>8607</v>
      </c>
      <c r="D791" s="30"/>
      <c r="E791" s="30"/>
      <c r="F791" s="30"/>
      <c r="G791" s="30" t="s">
        <v>8943</v>
      </c>
      <c r="H791" s="30" t="s">
        <v>10849</v>
      </c>
    </row>
    <row r="792" spans="1:8">
      <c r="A792" s="30" t="s">
        <v>10850</v>
      </c>
      <c r="B792" s="30"/>
      <c r="C792" s="30" t="s">
        <v>8607</v>
      </c>
      <c r="D792" s="30" t="s">
        <v>10377</v>
      </c>
      <c r="E792" s="30"/>
      <c r="F792" s="30"/>
      <c r="G792" s="30" t="s">
        <v>8737</v>
      </c>
      <c r="H792" s="30" t="s">
        <v>10851</v>
      </c>
    </row>
    <row r="793" spans="1:8">
      <c r="A793" s="30" t="s">
        <v>10852</v>
      </c>
      <c r="B793" s="30"/>
      <c r="C793" s="30" t="s">
        <v>8607</v>
      </c>
      <c r="D793" s="30"/>
      <c r="E793" s="30"/>
      <c r="F793" s="30"/>
      <c r="G793" s="30" t="s">
        <v>8649</v>
      </c>
      <c r="H793" s="30" t="s">
        <v>10464</v>
      </c>
    </row>
    <row r="794" spans="1:8">
      <c r="A794" s="30" t="s">
        <v>10853</v>
      </c>
      <c r="B794" s="30"/>
      <c r="C794" s="30" t="s">
        <v>8626</v>
      </c>
      <c r="D794" s="30"/>
      <c r="E794" s="30"/>
      <c r="F794" s="30"/>
      <c r="G794" s="30"/>
      <c r="H794" s="30" t="s">
        <v>10854</v>
      </c>
    </row>
    <row r="795" spans="1:8">
      <c r="A795" s="30" t="s">
        <v>10855</v>
      </c>
      <c r="B795" s="30"/>
      <c r="C795" s="30" t="s">
        <v>8607</v>
      </c>
      <c r="D795" s="30"/>
      <c r="E795" s="30"/>
      <c r="F795" s="30"/>
      <c r="G795" s="30" t="s">
        <v>9847</v>
      </c>
      <c r="H795" s="30" t="s">
        <v>10856</v>
      </c>
    </row>
    <row r="796" spans="1:8">
      <c r="A796" s="30" t="s">
        <v>10857</v>
      </c>
      <c r="B796" s="30"/>
      <c r="C796" s="30" t="s">
        <v>8626</v>
      </c>
      <c r="D796" s="30" t="s">
        <v>10858</v>
      </c>
      <c r="E796" s="30" t="s">
        <v>10859</v>
      </c>
      <c r="F796" s="30" t="e">
        <v>#VALUE!</v>
      </c>
      <c r="G796" s="30" t="s">
        <v>10860</v>
      </c>
      <c r="H796" s="30" t="s">
        <v>10861</v>
      </c>
    </row>
    <row r="797" spans="1:8">
      <c r="A797" s="30" t="s">
        <v>10862</v>
      </c>
      <c r="B797" s="30"/>
      <c r="C797" s="30" t="s">
        <v>8626</v>
      </c>
      <c r="D797" s="30"/>
      <c r="E797" s="30"/>
      <c r="F797" s="30"/>
      <c r="G797" s="30" t="s">
        <v>8623</v>
      </c>
      <c r="H797" s="30" t="s">
        <v>10863</v>
      </c>
    </row>
    <row r="798" spans="1:8">
      <c r="A798" s="30" t="s">
        <v>10864</v>
      </c>
      <c r="B798" s="30"/>
      <c r="C798" s="30" t="s">
        <v>8607</v>
      </c>
      <c r="D798" s="30"/>
      <c r="E798" s="30"/>
      <c r="F798" s="30"/>
      <c r="G798" s="30" t="s">
        <v>10865</v>
      </c>
      <c r="H798" s="30" t="s">
        <v>10866</v>
      </c>
    </row>
    <row r="799" spans="1:8">
      <c r="A799" s="30" t="s">
        <v>10867</v>
      </c>
      <c r="B799" s="30"/>
      <c r="C799" s="30" t="s">
        <v>8607</v>
      </c>
      <c r="D799" s="30"/>
      <c r="E799" s="30" t="s">
        <v>10868</v>
      </c>
      <c r="F799" s="30" t="s">
        <v>8618</v>
      </c>
      <c r="G799" s="30" t="s">
        <v>8949</v>
      </c>
      <c r="H799" s="30" t="s">
        <v>10869</v>
      </c>
    </row>
    <row r="800" spans="1:8">
      <c r="A800" s="30" t="s">
        <v>10870</v>
      </c>
      <c r="B800" s="30"/>
      <c r="C800" s="30" t="s">
        <v>8626</v>
      </c>
      <c r="D800" s="30" t="s">
        <v>9357</v>
      </c>
      <c r="E800" s="30"/>
      <c r="F800" s="30"/>
      <c r="G800" s="30" t="s">
        <v>9358</v>
      </c>
      <c r="H800" s="30" t="s">
        <v>10276</v>
      </c>
    </row>
    <row r="801" spans="1:8">
      <c r="A801" s="30" t="s">
        <v>10871</v>
      </c>
      <c r="B801" s="30"/>
      <c r="C801" s="30" t="s">
        <v>8607</v>
      </c>
      <c r="D801" s="30" t="s">
        <v>10491</v>
      </c>
      <c r="E801" s="30" t="s">
        <v>10638</v>
      </c>
      <c r="F801" s="30" t="e">
        <v>#VALUE!</v>
      </c>
      <c r="G801" s="30" t="s">
        <v>9007</v>
      </c>
      <c r="H801" s="30" t="s">
        <v>10639</v>
      </c>
    </row>
    <row r="802" spans="1:8">
      <c r="A802" s="30" t="s">
        <v>10872</v>
      </c>
      <c r="B802" s="30"/>
      <c r="C802" s="30" t="s">
        <v>8626</v>
      </c>
      <c r="D802" s="30"/>
      <c r="E802" s="30"/>
      <c r="F802" s="30"/>
      <c r="G802" s="30" t="s">
        <v>9363</v>
      </c>
      <c r="H802" s="30" t="s">
        <v>10520</v>
      </c>
    </row>
    <row r="803" spans="1:8">
      <c r="A803" s="30" t="s">
        <v>10873</v>
      </c>
      <c r="B803" s="30"/>
      <c r="C803" s="30" t="s">
        <v>8607</v>
      </c>
      <c r="D803" s="30"/>
      <c r="E803" s="30"/>
      <c r="F803" s="30"/>
      <c r="G803" s="30" t="s">
        <v>8726</v>
      </c>
      <c r="H803" s="30" t="s">
        <v>8727</v>
      </c>
    </row>
    <row r="804" spans="1:8">
      <c r="A804" s="30" t="s">
        <v>10874</v>
      </c>
      <c r="B804" s="30"/>
      <c r="C804" s="30" t="s">
        <v>8607</v>
      </c>
      <c r="D804" s="30"/>
      <c r="E804" s="30" t="s">
        <v>8720</v>
      </c>
      <c r="F804" s="30" t="e">
        <v>#VALUE!</v>
      </c>
      <c r="G804" s="30" t="s">
        <v>8721</v>
      </c>
      <c r="H804" s="30" t="s">
        <v>8722</v>
      </c>
    </row>
    <row r="805" spans="1:8">
      <c r="A805" s="30" t="s">
        <v>10875</v>
      </c>
      <c r="B805" s="30"/>
      <c r="C805" s="30" t="s">
        <v>8607</v>
      </c>
      <c r="D805" s="30"/>
      <c r="E805" s="30"/>
      <c r="F805" s="30"/>
      <c r="G805" s="30" t="s">
        <v>8649</v>
      </c>
      <c r="H805" s="30" t="s">
        <v>10464</v>
      </c>
    </row>
    <row r="806" spans="1:8">
      <c r="A806" s="30" t="s">
        <v>10876</v>
      </c>
      <c r="B806" s="30"/>
      <c r="C806" s="30" t="s">
        <v>8607</v>
      </c>
      <c r="D806" s="30"/>
      <c r="E806" s="30"/>
      <c r="F806" s="30"/>
      <c r="G806" s="30" t="s">
        <v>9847</v>
      </c>
      <c r="H806" s="30" t="s">
        <v>10877</v>
      </c>
    </row>
    <row r="807" spans="1:8">
      <c r="A807" s="30" t="s">
        <v>10878</v>
      </c>
      <c r="B807" s="30"/>
      <c r="C807" s="30" t="s">
        <v>8607</v>
      </c>
      <c r="D807" s="30"/>
      <c r="E807" s="30"/>
      <c r="F807" s="30"/>
      <c r="G807" s="30" t="s">
        <v>8649</v>
      </c>
      <c r="H807" s="30" t="s">
        <v>10464</v>
      </c>
    </row>
    <row r="808" spans="1:8">
      <c r="A808" s="30" t="s">
        <v>10879</v>
      </c>
      <c r="B808" s="30"/>
      <c r="C808" s="30" t="s">
        <v>8607</v>
      </c>
      <c r="D808" s="30"/>
      <c r="E808" s="30"/>
      <c r="F808" s="30"/>
      <c r="G808" s="30" t="s">
        <v>9847</v>
      </c>
      <c r="H808" s="30" t="s">
        <v>10877</v>
      </c>
    </row>
    <row r="809" spans="1:8">
      <c r="A809" s="30" t="s">
        <v>10880</v>
      </c>
      <c r="B809" s="30"/>
      <c r="C809" s="30" t="s">
        <v>8607</v>
      </c>
      <c r="D809" s="30" t="s">
        <v>8654</v>
      </c>
      <c r="E809" s="30" t="s">
        <v>8655</v>
      </c>
      <c r="F809" s="30" t="s">
        <v>8618</v>
      </c>
      <c r="G809" s="30" t="s">
        <v>8656</v>
      </c>
      <c r="H809" s="30" t="s">
        <v>10881</v>
      </c>
    </row>
    <row r="810" spans="1:8">
      <c r="A810" s="30" t="s">
        <v>10882</v>
      </c>
      <c r="B810" s="30"/>
      <c r="C810" s="30" t="s">
        <v>8607</v>
      </c>
      <c r="D810" s="30" t="s">
        <v>8770</v>
      </c>
      <c r="E810" s="30" t="s">
        <v>8771</v>
      </c>
      <c r="F810" s="30" t="s">
        <v>8672</v>
      </c>
      <c r="G810" s="30" t="s">
        <v>8659</v>
      </c>
      <c r="H810" s="30" t="s">
        <v>10883</v>
      </c>
    </row>
    <row r="811" spans="1:8">
      <c r="A811" s="30" t="s">
        <v>10884</v>
      </c>
      <c r="B811" s="30"/>
      <c r="C811" s="30" t="s">
        <v>8626</v>
      </c>
      <c r="D811" s="30"/>
      <c r="E811" s="30"/>
      <c r="F811" s="30"/>
      <c r="G811" s="30" t="s">
        <v>8888</v>
      </c>
      <c r="H811" s="30" t="s">
        <v>8889</v>
      </c>
    </row>
    <row r="812" spans="1:8">
      <c r="A812" s="30" t="s">
        <v>10885</v>
      </c>
      <c r="B812" s="30"/>
      <c r="C812" s="30"/>
      <c r="D812" s="32"/>
      <c r="E812" s="30"/>
      <c r="F812" s="30"/>
      <c r="G812" s="30"/>
      <c r="H812" s="30" t="s">
        <v>10886</v>
      </c>
    </row>
    <row r="813" spans="1:8">
      <c r="A813" s="30" t="s">
        <v>10887</v>
      </c>
      <c r="B813" s="30"/>
      <c r="C813" s="30" t="s">
        <v>8607</v>
      </c>
      <c r="D813" s="30"/>
      <c r="E813" s="30"/>
      <c r="F813" s="30"/>
      <c r="G813" s="30" t="s">
        <v>10395</v>
      </c>
      <c r="H813" s="30" t="s">
        <v>10775</v>
      </c>
    </row>
    <row r="814" spans="1:8">
      <c r="A814" s="30" t="s">
        <v>10888</v>
      </c>
      <c r="B814" s="30"/>
      <c r="C814" s="30" t="s">
        <v>8607</v>
      </c>
      <c r="D814" s="30"/>
      <c r="E814" s="30"/>
      <c r="F814" s="30"/>
      <c r="G814" s="30" t="s">
        <v>8717</v>
      </c>
      <c r="H814" s="30" t="s">
        <v>10757</v>
      </c>
    </row>
    <row r="815" spans="1:8">
      <c r="A815" s="30" t="s">
        <v>10889</v>
      </c>
      <c r="B815" s="30"/>
      <c r="C815" s="30" t="s">
        <v>8626</v>
      </c>
      <c r="D815" s="30"/>
      <c r="E815" s="30"/>
      <c r="F815" s="30"/>
      <c r="G815" s="30" t="s">
        <v>8714</v>
      </c>
      <c r="H815" s="30" t="s">
        <v>10248</v>
      </c>
    </row>
    <row r="816" spans="1:8">
      <c r="A816" s="30" t="s">
        <v>10890</v>
      </c>
      <c r="B816" s="30"/>
      <c r="C816" s="30" t="s">
        <v>8607</v>
      </c>
      <c r="D816" s="30" t="s">
        <v>8707</v>
      </c>
      <c r="E816" s="30"/>
      <c r="F816" s="30"/>
      <c r="G816" s="30" t="s">
        <v>8708</v>
      </c>
      <c r="H816" s="30" t="s">
        <v>10340</v>
      </c>
    </row>
    <row r="817" spans="1:8">
      <c r="A817" s="30" t="s">
        <v>10891</v>
      </c>
      <c r="B817" s="30"/>
      <c r="C817" s="30" t="s">
        <v>8626</v>
      </c>
      <c r="D817" s="30"/>
      <c r="E817" s="30"/>
      <c r="F817" s="30"/>
      <c r="G817" s="30" t="s">
        <v>8711</v>
      </c>
      <c r="H817" s="30" t="s">
        <v>10259</v>
      </c>
    </row>
    <row r="818" spans="1:8">
      <c r="A818" s="30" t="s">
        <v>10892</v>
      </c>
      <c r="B818" s="30"/>
      <c r="C818" s="30" t="s">
        <v>8626</v>
      </c>
      <c r="D818" s="30"/>
      <c r="E818" s="30"/>
      <c r="F818" s="30"/>
      <c r="G818" s="30" t="s">
        <v>9358</v>
      </c>
      <c r="H818" s="30" t="s">
        <v>10276</v>
      </c>
    </row>
    <row r="819" spans="1:8">
      <c r="A819" s="30" t="s">
        <v>10893</v>
      </c>
      <c r="B819" s="30"/>
      <c r="C819" s="30" t="s">
        <v>8607</v>
      </c>
      <c r="D819" s="30" t="s">
        <v>10491</v>
      </c>
      <c r="E819" s="30" t="s">
        <v>10894</v>
      </c>
      <c r="F819" s="30" t="e">
        <v>#VALUE!</v>
      </c>
      <c r="G819" s="30" t="s">
        <v>9007</v>
      </c>
      <c r="H819" s="30" t="s">
        <v>10895</v>
      </c>
    </row>
    <row r="820" spans="1:8">
      <c r="A820" s="30" t="s">
        <v>10896</v>
      </c>
      <c r="B820" s="30"/>
      <c r="C820" s="30"/>
      <c r="D820" s="32"/>
      <c r="E820" s="30"/>
      <c r="F820" s="30"/>
      <c r="G820" s="30"/>
      <c r="H820" s="30" t="s">
        <v>10520</v>
      </c>
    </row>
    <row r="821" spans="1:8">
      <c r="A821" s="30" t="s">
        <v>10897</v>
      </c>
      <c r="B821" s="30"/>
      <c r="C821" s="30" t="s">
        <v>8607</v>
      </c>
      <c r="D821" s="30" t="s">
        <v>8666</v>
      </c>
      <c r="E821" s="30"/>
      <c r="F821" s="30"/>
      <c r="G821" s="30" t="s">
        <v>8667</v>
      </c>
      <c r="H821" s="30" t="s">
        <v>10823</v>
      </c>
    </row>
    <row r="822" spans="1:8">
      <c r="A822" s="30" t="s">
        <v>10898</v>
      </c>
      <c r="B822" s="30"/>
      <c r="C822" s="30"/>
      <c r="D822" s="32"/>
      <c r="E822" s="30"/>
      <c r="F822" s="30"/>
      <c r="G822" s="30"/>
      <c r="H822" s="30" t="s">
        <v>10899</v>
      </c>
    </row>
    <row r="823" spans="1:8">
      <c r="A823" s="30" t="s">
        <v>10900</v>
      </c>
      <c r="B823" s="30"/>
      <c r="C823" s="30"/>
      <c r="D823" s="32" t="s">
        <v>10901</v>
      </c>
      <c r="E823" s="30"/>
      <c r="F823" s="30"/>
      <c r="G823" s="30"/>
      <c r="H823" s="30" t="s">
        <v>10902</v>
      </c>
    </row>
    <row r="824" spans="1:8">
      <c r="A824" s="30" t="s">
        <v>10903</v>
      </c>
      <c r="B824" s="30"/>
      <c r="C824" s="30" t="s">
        <v>8607</v>
      </c>
      <c r="D824" s="30" t="s">
        <v>10904</v>
      </c>
      <c r="E824" s="30" t="s">
        <v>8845</v>
      </c>
      <c r="F824" s="30" t="s">
        <v>8672</v>
      </c>
      <c r="G824" s="30" t="s">
        <v>8846</v>
      </c>
      <c r="H824" s="30" t="s">
        <v>10905</v>
      </c>
    </row>
    <row r="825" spans="1:8">
      <c r="A825" s="30" t="s">
        <v>10906</v>
      </c>
      <c r="B825" s="30"/>
      <c r="C825" s="30" t="s">
        <v>8607</v>
      </c>
      <c r="D825" s="30" t="s">
        <v>10907</v>
      </c>
      <c r="E825" s="30"/>
      <c r="F825" s="30"/>
      <c r="G825" s="30" t="s">
        <v>8851</v>
      </c>
      <c r="H825" s="30" t="s">
        <v>10908</v>
      </c>
    </row>
    <row r="826" spans="1:8">
      <c r="A826" s="30" t="s">
        <v>10909</v>
      </c>
      <c r="B826" s="30"/>
      <c r="C826" s="30" t="s">
        <v>8607</v>
      </c>
      <c r="D826" s="30"/>
      <c r="E826" s="30"/>
      <c r="F826" s="30"/>
      <c r="G826" s="30" t="s">
        <v>8804</v>
      </c>
      <c r="H826" s="30" t="s">
        <v>8805</v>
      </c>
    </row>
    <row r="827" spans="1:8">
      <c r="A827" s="30" t="s">
        <v>10910</v>
      </c>
      <c r="B827" s="30"/>
      <c r="C827" s="30" t="s">
        <v>8607</v>
      </c>
      <c r="D827" s="30"/>
      <c r="E827" s="30"/>
      <c r="F827" s="30"/>
      <c r="G827" s="30" t="s">
        <v>8807</v>
      </c>
      <c r="H827" s="30" t="s">
        <v>8833</v>
      </c>
    </row>
    <row r="828" spans="1:8">
      <c r="A828" s="30" t="s">
        <v>10911</v>
      </c>
      <c r="B828" s="30"/>
      <c r="C828" s="30" t="s">
        <v>8626</v>
      </c>
      <c r="D828" s="30"/>
      <c r="E828" s="30"/>
      <c r="F828" s="30"/>
      <c r="G828" s="30" t="s">
        <v>8804</v>
      </c>
      <c r="H828" s="30" t="s">
        <v>10237</v>
      </c>
    </row>
    <row r="829" spans="1:8">
      <c r="A829" s="30" t="s">
        <v>10912</v>
      </c>
      <c r="B829" s="30"/>
      <c r="C829" s="30" t="s">
        <v>8626</v>
      </c>
      <c r="D829" s="30" t="s">
        <v>10913</v>
      </c>
      <c r="E829" s="30" t="s">
        <v>10914</v>
      </c>
      <c r="F829" s="30" t="s">
        <v>8672</v>
      </c>
      <c r="G829" s="30" t="s">
        <v>10076</v>
      </c>
      <c r="H829" s="30" t="s">
        <v>10915</v>
      </c>
    </row>
    <row r="830" spans="1:8">
      <c r="A830" s="30" t="s">
        <v>10916</v>
      </c>
      <c r="B830" s="30"/>
      <c r="C830" s="30" t="s">
        <v>8607</v>
      </c>
      <c r="D830" s="30" t="s">
        <v>10917</v>
      </c>
      <c r="E830" s="30" t="s">
        <v>8845</v>
      </c>
      <c r="F830" s="30" t="s">
        <v>8672</v>
      </c>
      <c r="G830" s="30" t="s">
        <v>8846</v>
      </c>
      <c r="H830" s="30" t="s">
        <v>10918</v>
      </c>
    </row>
    <row r="831" spans="1:8">
      <c r="A831" s="30" t="s">
        <v>10919</v>
      </c>
      <c r="B831" s="30"/>
      <c r="C831" s="30" t="s">
        <v>8607</v>
      </c>
      <c r="D831" s="30"/>
      <c r="E831" s="30"/>
      <c r="F831" s="30"/>
      <c r="G831" s="30" t="s">
        <v>8659</v>
      </c>
      <c r="H831" s="30" t="s">
        <v>10920</v>
      </c>
    </row>
    <row r="832" spans="1:8">
      <c r="A832" s="30" t="s">
        <v>10921</v>
      </c>
      <c r="B832" s="30"/>
      <c r="C832" s="30" t="s">
        <v>8626</v>
      </c>
      <c r="D832" s="30"/>
      <c r="E832" s="30"/>
      <c r="F832" s="30"/>
      <c r="G832" s="30" t="s">
        <v>8888</v>
      </c>
      <c r="H832" s="30" t="s">
        <v>8889</v>
      </c>
    </row>
    <row r="833" spans="1:8">
      <c r="A833" s="30" t="s">
        <v>10922</v>
      </c>
      <c r="B833" s="30"/>
      <c r="C833" s="30" t="s">
        <v>8626</v>
      </c>
      <c r="D833" s="30" t="s">
        <v>10923</v>
      </c>
      <c r="E833" s="30" t="s">
        <v>9547</v>
      </c>
      <c r="F833" s="30" t="s">
        <v>8672</v>
      </c>
      <c r="G833" s="30" t="s">
        <v>9366</v>
      </c>
      <c r="H833" s="30" t="s">
        <v>10924</v>
      </c>
    </row>
    <row r="834" spans="1:8">
      <c r="A834" s="30" t="s">
        <v>10925</v>
      </c>
      <c r="B834" s="30"/>
      <c r="C834" s="30" t="s">
        <v>8626</v>
      </c>
      <c r="D834" s="30" t="s">
        <v>10926</v>
      </c>
      <c r="E834" s="30" t="s">
        <v>10927</v>
      </c>
      <c r="F834" s="30" t="e">
        <v>#VALUE!</v>
      </c>
      <c r="G834" s="30" t="s">
        <v>10928</v>
      </c>
      <c r="H834" s="30" t="s">
        <v>10929</v>
      </c>
    </row>
    <row r="835" spans="1:8">
      <c r="A835" s="30" t="s">
        <v>10930</v>
      </c>
      <c r="B835" s="30"/>
      <c r="C835" s="30" t="s">
        <v>8607</v>
      </c>
      <c r="D835" s="30"/>
      <c r="E835" s="30" t="s">
        <v>10931</v>
      </c>
      <c r="F835" s="30" t="s">
        <v>8672</v>
      </c>
      <c r="G835" s="30" t="s">
        <v>9002</v>
      </c>
      <c r="H835" s="30" t="s">
        <v>10932</v>
      </c>
    </row>
    <row r="836" spans="1:8">
      <c r="A836" s="30" t="s">
        <v>10933</v>
      </c>
      <c r="B836" s="30"/>
      <c r="C836" s="30"/>
      <c r="D836" s="32"/>
      <c r="E836" s="30"/>
      <c r="F836" s="30"/>
      <c r="G836" s="30"/>
      <c r="H836" s="30" t="s">
        <v>8715</v>
      </c>
    </row>
    <row r="837" spans="1:8">
      <c r="A837" s="30" t="s">
        <v>10934</v>
      </c>
      <c r="B837" s="30"/>
      <c r="C837" s="30" t="s">
        <v>8607</v>
      </c>
      <c r="D837" s="30" t="s">
        <v>8707</v>
      </c>
      <c r="E837" s="30"/>
      <c r="F837" s="30"/>
      <c r="G837" s="30" t="s">
        <v>8708</v>
      </c>
      <c r="H837" s="30" t="s">
        <v>10216</v>
      </c>
    </row>
    <row r="838" spans="1:8">
      <c r="A838" s="30" t="s">
        <v>10935</v>
      </c>
      <c r="B838" s="30"/>
      <c r="C838" s="30" t="s">
        <v>8607</v>
      </c>
      <c r="D838" s="30"/>
      <c r="E838" s="30"/>
      <c r="F838" s="30"/>
      <c r="G838" s="30" t="s">
        <v>8711</v>
      </c>
      <c r="H838" s="30" t="s">
        <v>10218</v>
      </c>
    </row>
    <row r="839" spans="1:8">
      <c r="A839" s="30" t="s">
        <v>10936</v>
      </c>
      <c r="B839" s="30"/>
      <c r="C839" s="30" t="s">
        <v>8607</v>
      </c>
      <c r="D839" s="30" t="s">
        <v>10937</v>
      </c>
      <c r="E839" s="30" t="s">
        <v>10938</v>
      </c>
      <c r="F839" s="30" t="s">
        <v>8618</v>
      </c>
      <c r="G839" s="30" t="s">
        <v>10939</v>
      </c>
      <c r="H839" s="30" t="s">
        <v>10940</v>
      </c>
    </row>
    <row r="840" spans="1:8">
      <c r="A840" s="30" t="s">
        <v>10941</v>
      </c>
      <c r="B840" s="30"/>
      <c r="C840" s="30" t="s">
        <v>8626</v>
      </c>
      <c r="D840" s="30"/>
      <c r="E840" s="30"/>
      <c r="F840" s="30"/>
      <c r="G840" s="30"/>
      <c r="H840" s="30" t="s">
        <v>10278</v>
      </c>
    </row>
    <row r="841" spans="1:8">
      <c r="A841" s="30" t="s">
        <v>10942</v>
      </c>
      <c r="B841" s="30"/>
      <c r="C841" s="30" t="s">
        <v>8626</v>
      </c>
      <c r="D841" s="30"/>
      <c r="E841" s="30" t="s">
        <v>10943</v>
      </c>
      <c r="F841" s="30" t="e">
        <v>#VALUE!</v>
      </c>
      <c r="G841" s="30" t="s">
        <v>10944</v>
      </c>
      <c r="H841" s="30" t="s">
        <v>10945</v>
      </c>
    </row>
    <row r="842" spans="1:8">
      <c r="A842" s="30" t="s">
        <v>10946</v>
      </c>
      <c r="B842" s="30"/>
      <c r="C842" s="30" t="s">
        <v>8607</v>
      </c>
      <c r="D842" s="30"/>
      <c r="E842" s="30" t="s">
        <v>8907</v>
      </c>
      <c r="F842" s="30" t="s">
        <v>8618</v>
      </c>
      <c r="G842" s="30" t="s">
        <v>8908</v>
      </c>
      <c r="H842" s="30" t="s">
        <v>8909</v>
      </c>
    </row>
    <row r="843" spans="1:8">
      <c r="A843" s="30" t="s">
        <v>10947</v>
      </c>
      <c r="B843" s="30"/>
      <c r="C843" s="30" t="s">
        <v>8607</v>
      </c>
      <c r="D843" s="30" t="s">
        <v>9186</v>
      </c>
      <c r="E843" s="30" t="s">
        <v>8884</v>
      </c>
      <c r="F843" s="30" t="s">
        <v>8672</v>
      </c>
      <c r="G843" s="30" t="s">
        <v>8885</v>
      </c>
      <c r="H843" s="30" t="s">
        <v>8886</v>
      </c>
    </row>
    <row r="844" spans="1:8">
      <c r="A844" s="30" t="s">
        <v>10948</v>
      </c>
      <c r="B844" s="30"/>
      <c r="C844" s="30" t="s">
        <v>8607</v>
      </c>
      <c r="D844" s="30" t="s">
        <v>9546</v>
      </c>
      <c r="E844" s="30" t="s">
        <v>9547</v>
      </c>
      <c r="F844" s="30" t="s">
        <v>8672</v>
      </c>
      <c r="G844" s="30" t="s">
        <v>9366</v>
      </c>
      <c r="H844" s="30" t="s">
        <v>10949</v>
      </c>
    </row>
    <row r="845" spans="1:8">
      <c r="A845" s="30" t="s">
        <v>10950</v>
      </c>
      <c r="B845" s="30"/>
      <c r="C845" s="30" t="s">
        <v>8607</v>
      </c>
      <c r="D845" s="30" t="s">
        <v>8789</v>
      </c>
      <c r="E845" s="30"/>
      <c r="F845" s="30"/>
      <c r="G845" s="30" t="s">
        <v>8633</v>
      </c>
      <c r="H845" s="30" t="s">
        <v>10951</v>
      </c>
    </row>
    <row r="846" spans="1:8">
      <c r="A846" s="30" t="s">
        <v>10952</v>
      </c>
      <c r="B846" s="30"/>
      <c r="C846" s="30" t="s">
        <v>8626</v>
      </c>
      <c r="D846" s="30"/>
      <c r="E846" s="30" t="s">
        <v>10953</v>
      </c>
      <c r="F846" s="30" t="e">
        <v>#VALUE!</v>
      </c>
      <c r="G846" s="30" t="s">
        <v>10944</v>
      </c>
      <c r="H846" s="30" t="s">
        <v>10954</v>
      </c>
    </row>
    <row r="847" spans="1:8">
      <c r="A847" s="30" t="s">
        <v>10955</v>
      </c>
      <c r="B847" s="30"/>
      <c r="C847" s="30" t="s">
        <v>8607</v>
      </c>
      <c r="D847" s="30" t="s">
        <v>8844</v>
      </c>
      <c r="E847" s="30" t="s">
        <v>8845</v>
      </c>
      <c r="F847" s="30" t="s">
        <v>8672</v>
      </c>
      <c r="G847" s="30" t="s">
        <v>8846</v>
      </c>
      <c r="H847" s="30" t="s">
        <v>10956</v>
      </c>
    </row>
    <row r="848" spans="1:8">
      <c r="A848" s="30" t="s">
        <v>10957</v>
      </c>
      <c r="B848" s="30"/>
      <c r="C848" s="30" t="s">
        <v>8626</v>
      </c>
      <c r="D848" s="30" t="s">
        <v>8740</v>
      </c>
      <c r="E848" s="30" t="s">
        <v>8868</v>
      </c>
      <c r="F848" s="30" t="e">
        <v>#VALUE!</v>
      </c>
      <c r="G848" s="30" t="s">
        <v>10958</v>
      </c>
      <c r="H848" s="30" t="s">
        <v>8741</v>
      </c>
    </row>
    <row r="849" spans="1:8">
      <c r="A849" s="30" t="s">
        <v>10959</v>
      </c>
      <c r="B849" s="30"/>
      <c r="C849" s="30" t="s">
        <v>8607</v>
      </c>
      <c r="D849" s="30"/>
      <c r="E849" s="30"/>
      <c r="F849" s="30"/>
      <c r="G849" s="30" t="s">
        <v>8743</v>
      </c>
      <c r="H849" s="30" t="s">
        <v>8744</v>
      </c>
    </row>
    <row r="850" spans="1:8">
      <c r="A850" s="30" t="s">
        <v>10960</v>
      </c>
      <c r="B850" s="30"/>
      <c r="C850" s="30" t="s">
        <v>8626</v>
      </c>
      <c r="D850" s="30" t="s">
        <v>10961</v>
      </c>
      <c r="E850" s="30" t="s">
        <v>10962</v>
      </c>
      <c r="F850" s="30" t="s">
        <v>8618</v>
      </c>
      <c r="G850" s="30" t="s">
        <v>9755</v>
      </c>
      <c r="H850" s="30" t="s">
        <v>10963</v>
      </c>
    </row>
    <row r="851" spans="1:8">
      <c r="A851" s="30" t="s">
        <v>10964</v>
      </c>
      <c r="B851" s="30"/>
      <c r="C851" s="30" t="s">
        <v>8607</v>
      </c>
      <c r="D851" s="30" t="s">
        <v>10667</v>
      </c>
      <c r="E851" s="30"/>
      <c r="F851" s="30"/>
      <c r="G851" s="30" t="s">
        <v>10668</v>
      </c>
      <c r="H851" s="30" t="s">
        <v>10965</v>
      </c>
    </row>
    <row r="852" spans="1:8">
      <c r="A852" s="30" t="s">
        <v>10966</v>
      </c>
      <c r="B852" s="30"/>
      <c r="C852" s="30" t="s">
        <v>8626</v>
      </c>
      <c r="D852" s="30" t="s">
        <v>10961</v>
      </c>
      <c r="E852" s="30" t="s">
        <v>10962</v>
      </c>
      <c r="F852" s="30" t="s">
        <v>8618</v>
      </c>
      <c r="G852" s="30" t="s">
        <v>9672</v>
      </c>
      <c r="H852" s="30" t="s">
        <v>10963</v>
      </c>
    </row>
    <row r="853" spans="1:8">
      <c r="A853" s="30" t="s">
        <v>10967</v>
      </c>
      <c r="B853" s="30"/>
      <c r="C853" s="30" t="s">
        <v>8607</v>
      </c>
      <c r="D853" s="30"/>
      <c r="E853" s="30"/>
      <c r="F853" s="30"/>
      <c r="G853" s="30" t="s">
        <v>10668</v>
      </c>
      <c r="H853" s="30" t="s">
        <v>10968</v>
      </c>
    </row>
    <row r="854" spans="1:8">
      <c r="A854" s="30" t="s">
        <v>10969</v>
      </c>
      <c r="B854" s="30"/>
      <c r="C854" s="30" t="s">
        <v>8607</v>
      </c>
      <c r="D854" s="30" t="s">
        <v>8666</v>
      </c>
      <c r="E854" s="30"/>
      <c r="F854" s="30"/>
      <c r="G854" s="30" t="s">
        <v>8667</v>
      </c>
      <c r="H854" s="30" t="s">
        <v>10970</v>
      </c>
    </row>
    <row r="855" spans="1:8">
      <c r="A855" s="30" t="s">
        <v>10971</v>
      </c>
      <c r="B855" s="30"/>
      <c r="C855" s="30" t="s">
        <v>8626</v>
      </c>
      <c r="D855" s="30"/>
      <c r="E855" s="30" t="s">
        <v>10972</v>
      </c>
      <c r="F855" s="30" t="s">
        <v>8618</v>
      </c>
      <c r="G855" s="30" t="s">
        <v>10973</v>
      </c>
      <c r="H855" s="30" t="s">
        <v>10974</v>
      </c>
    </row>
    <row r="856" spans="1:8">
      <c r="A856" s="30" t="s">
        <v>10975</v>
      </c>
      <c r="B856" s="30"/>
      <c r="C856" s="30"/>
      <c r="D856" s="32" t="s">
        <v>10901</v>
      </c>
      <c r="E856" s="30"/>
      <c r="F856" s="30"/>
      <c r="G856" s="30"/>
      <c r="H856" s="30" t="s">
        <v>10902</v>
      </c>
    </row>
    <row r="857" spans="1:8">
      <c r="A857" s="30" t="s">
        <v>10976</v>
      </c>
      <c r="B857" s="30"/>
      <c r="C857" s="30" t="s">
        <v>8626</v>
      </c>
      <c r="D857" s="30"/>
      <c r="E857" s="30"/>
      <c r="F857" s="30"/>
      <c r="G857" s="30" t="s">
        <v>9209</v>
      </c>
      <c r="H857" s="30" t="s">
        <v>10580</v>
      </c>
    </row>
    <row r="858" spans="1:8">
      <c r="A858" s="30" t="s">
        <v>10977</v>
      </c>
      <c r="B858" s="30"/>
      <c r="C858" s="30" t="s">
        <v>8607</v>
      </c>
      <c r="D858" s="30" t="s">
        <v>10653</v>
      </c>
      <c r="E858" s="30" t="s">
        <v>10583</v>
      </c>
      <c r="F858" s="30" t="e">
        <v>#VALUE!</v>
      </c>
      <c r="G858" s="30" t="s">
        <v>9219</v>
      </c>
      <c r="H858" s="30" t="s">
        <v>10654</v>
      </c>
    </row>
    <row r="859" spans="1:8">
      <c r="A859" s="30" t="s">
        <v>10978</v>
      </c>
      <c r="B859" s="30"/>
      <c r="C859" s="30" t="s">
        <v>8607</v>
      </c>
      <c r="D859" s="30"/>
      <c r="E859" s="30"/>
      <c r="F859" s="30"/>
      <c r="G859" s="30"/>
      <c r="H859" s="30" t="s">
        <v>10979</v>
      </c>
    </row>
    <row r="860" spans="1:8">
      <c r="A860" s="30" t="s">
        <v>10980</v>
      </c>
      <c r="B860" s="30"/>
      <c r="C860" s="30" t="s">
        <v>8607</v>
      </c>
      <c r="D860" s="30" t="s">
        <v>8770</v>
      </c>
      <c r="E860" s="30" t="s">
        <v>8771</v>
      </c>
      <c r="F860" s="30" t="s">
        <v>8672</v>
      </c>
      <c r="G860" s="30" t="s">
        <v>8659</v>
      </c>
      <c r="H860" s="30" t="s">
        <v>8772</v>
      </c>
    </row>
    <row r="861" spans="1:8">
      <c r="A861" s="30" t="s">
        <v>10981</v>
      </c>
      <c r="B861" s="30"/>
      <c r="C861" s="30" t="s">
        <v>8607</v>
      </c>
      <c r="D861" s="30"/>
      <c r="E861" s="30"/>
      <c r="F861" s="30"/>
      <c r="G861" s="30" t="s">
        <v>8774</v>
      </c>
      <c r="H861" s="30" t="s">
        <v>10629</v>
      </c>
    </row>
    <row r="862" spans="1:8">
      <c r="A862" s="30" t="s">
        <v>10982</v>
      </c>
      <c r="B862" s="30"/>
      <c r="C862" s="30" t="s">
        <v>8626</v>
      </c>
      <c r="D862" s="30" t="s">
        <v>10983</v>
      </c>
      <c r="E862" s="30" t="s">
        <v>10723</v>
      </c>
      <c r="F862" s="30" t="e">
        <v>#VALUE!</v>
      </c>
      <c r="G862" s="30" t="s">
        <v>9145</v>
      </c>
      <c r="H862" s="30" t="s">
        <v>10984</v>
      </c>
    </row>
    <row r="863" spans="1:8">
      <c r="A863" s="30" t="s">
        <v>10985</v>
      </c>
      <c r="B863" s="30"/>
      <c r="C863" s="30" t="s">
        <v>8607</v>
      </c>
      <c r="D863" s="30" t="s">
        <v>10926</v>
      </c>
      <c r="E863" s="30" t="s">
        <v>10927</v>
      </c>
      <c r="F863" s="30" t="e">
        <v>#VALUE!</v>
      </c>
      <c r="G863" s="30" t="s">
        <v>10928</v>
      </c>
      <c r="H863" s="30" t="s">
        <v>10986</v>
      </c>
    </row>
    <row r="864" spans="1:8">
      <c r="A864" s="30" t="s">
        <v>10987</v>
      </c>
      <c r="B864" s="30"/>
      <c r="C864" s="30" t="s">
        <v>8607</v>
      </c>
      <c r="D864" s="30" t="s">
        <v>9000</v>
      </c>
      <c r="E864" s="30" t="s">
        <v>10988</v>
      </c>
      <c r="F864" s="30" t="e">
        <v>#VALUE!</v>
      </c>
      <c r="G864" s="30" t="s">
        <v>9002</v>
      </c>
      <c r="H864" s="30" t="s">
        <v>10989</v>
      </c>
    </row>
    <row r="865" spans="1:8">
      <c r="A865" s="30" t="s">
        <v>10990</v>
      </c>
      <c r="B865" s="30"/>
      <c r="C865" s="30" t="s">
        <v>8607</v>
      </c>
      <c r="D865" s="30" t="s">
        <v>8894</v>
      </c>
      <c r="E865" s="30"/>
      <c r="F865" s="30"/>
      <c r="G865" s="30" t="s">
        <v>8895</v>
      </c>
      <c r="H865" s="30" t="s">
        <v>10991</v>
      </c>
    </row>
    <row r="866" spans="1:8">
      <c r="A866" s="30" t="s">
        <v>10992</v>
      </c>
      <c r="B866" s="30"/>
      <c r="C866" s="30" t="s">
        <v>8626</v>
      </c>
      <c r="D866" s="30" t="s">
        <v>10993</v>
      </c>
      <c r="E866" s="30" t="s">
        <v>10209</v>
      </c>
      <c r="F866" s="30" t="s">
        <v>8672</v>
      </c>
      <c r="G866" s="30" t="s">
        <v>9002</v>
      </c>
      <c r="H866" s="30" t="s">
        <v>10994</v>
      </c>
    </row>
    <row r="867" spans="1:8">
      <c r="A867" s="30" t="s">
        <v>10995</v>
      </c>
      <c r="B867" s="30"/>
      <c r="C867" s="30" t="s">
        <v>8607</v>
      </c>
      <c r="D867" s="30" t="s">
        <v>10996</v>
      </c>
      <c r="E867" s="30" t="s">
        <v>10997</v>
      </c>
      <c r="F867" s="30" t="s">
        <v>8618</v>
      </c>
      <c r="G867" s="30" t="s">
        <v>10427</v>
      </c>
      <c r="H867" s="30" t="s">
        <v>10998</v>
      </c>
    </row>
    <row r="868" spans="1:8">
      <c r="A868" s="30" t="s">
        <v>10999</v>
      </c>
      <c r="B868" s="30"/>
      <c r="C868" s="30" t="s">
        <v>8626</v>
      </c>
      <c r="D868" s="30"/>
      <c r="E868" s="30" t="s">
        <v>11000</v>
      </c>
      <c r="F868" s="30" t="e">
        <v>#VALUE!</v>
      </c>
      <c r="G868" s="30" t="s">
        <v>8623</v>
      </c>
      <c r="H868" s="30" t="s">
        <v>11001</v>
      </c>
    </row>
    <row r="869" spans="1:8">
      <c r="A869" s="30" t="s">
        <v>11002</v>
      </c>
      <c r="B869" s="30"/>
      <c r="C869" s="30" t="s">
        <v>8626</v>
      </c>
      <c r="D869" s="30" t="s">
        <v>11003</v>
      </c>
      <c r="E869" s="30" t="s">
        <v>10374</v>
      </c>
      <c r="F869" s="30" t="s">
        <v>8618</v>
      </c>
      <c r="G869" s="30" t="s">
        <v>10234</v>
      </c>
      <c r="H869" s="30" t="s">
        <v>11004</v>
      </c>
    </row>
    <row r="870" spans="1:8">
      <c r="A870" s="30" t="s">
        <v>11005</v>
      </c>
      <c r="B870" s="30"/>
      <c r="C870" s="30" t="s">
        <v>8626</v>
      </c>
      <c r="D870" s="30"/>
      <c r="E870" s="30" t="s">
        <v>10214</v>
      </c>
      <c r="F870" s="30" t="e">
        <v>#VALUE!</v>
      </c>
      <c r="G870" s="30" t="s">
        <v>8714</v>
      </c>
      <c r="H870" s="30" t="s">
        <v>11006</v>
      </c>
    </row>
    <row r="871" spans="1:8">
      <c r="A871" s="30" t="s">
        <v>11007</v>
      </c>
      <c r="B871" s="30"/>
      <c r="C871" s="30" t="s">
        <v>8626</v>
      </c>
      <c r="D871" s="30" t="s">
        <v>8883</v>
      </c>
      <c r="E871" s="30" t="s">
        <v>11008</v>
      </c>
      <c r="F871" s="30" t="s">
        <v>8672</v>
      </c>
      <c r="G871" s="30" t="s">
        <v>8885</v>
      </c>
      <c r="H871" s="30" t="s">
        <v>10308</v>
      </c>
    </row>
    <row r="872" spans="1:8">
      <c r="A872" s="30" t="s">
        <v>11009</v>
      </c>
      <c r="B872" s="30"/>
      <c r="C872" s="30" t="s">
        <v>8626</v>
      </c>
      <c r="D872" s="30"/>
      <c r="E872" s="30"/>
      <c r="F872" s="30"/>
      <c r="G872" s="30" t="s">
        <v>11010</v>
      </c>
      <c r="H872" s="30" t="s">
        <v>11011</v>
      </c>
    </row>
    <row r="873" spans="1:8">
      <c r="A873" s="30" t="s">
        <v>11012</v>
      </c>
      <c r="B873" s="30"/>
      <c r="C873" s="30" t="s">
        <v>8607</v>
      </c>
      <c r="D873" s="30"/>
      <c r="E873" s="30"/>
      <c r="F873" s="30"/>
      <c r="G873" s="30"/>
      <c r="H873" s="30" t="s">
        <v>11013</v>
      </c>
    </row>
    <row r="874" spans="1:8">
      <c r="A874" s="30" t="s">
        <v>11014</v>
      </c>
      <c r="B874" s="30"/>
      <c r="C874" s="30" t="s">
        <v>8626</v>
      </c>
      <c r="D874" s="30"/>
      <c r="E874" s="30"/>
      <c r="F874" s="30"/>
      <c r="G874" s="30" t="s">
        <v>8888</v>
      </c>
      <c r="H874" s="30" t="s">
        <v>8889</v>
      </c>
    </row>
    <row r="875" spans="1:8">
      <c r="A875" s="30" t="s">
        <v>11015</v>
      </c>
      <c r="B875" s="30"/>
      <c r="C875" s="30" t="s">
        <v>8626</v>
      </c>
      <c r="D875" s="30" t="s">
        <v>10923</v>
      </c>
      <c r="E875" s="30" t="s">
        <v>9547</v>
      </c>
      <c r="F875" s="30" t="s">
        <v>8672</v>
      </c>
      <c r="G875" s="30"/>
      <c r="H875" s="30" t="s">
        <v>11016</v>
      </c>
    </row>
    <row r="876" spans="1:8">
      <c r="A876" s="30" t="s">
        <v>11017</v>
      </c>
      <c r="B876" s="30"/>
      <c r="C876" s="30" t="s">
        <v>8607</v>
      </c>
      <c r="D876" s="30"/>
      <c r="E876" s="30"/>
      <c r="F876" s="30"/>
      <c r="G876" s="30" t="s">
        <v>10576</v>
      </c>
      <c r="H876" s="30" t="s">
        <v>10577</v>
      </c>
    </row>
    <row r="877" spans="1:8">
      <c r="A877" s="30" t="s">
        <v>11018</v>
      </c>
      <c r="B877" s="30"/>
      <c r="C877" s="30" t="s">
        <v>8626</v>
      </c>
      <c r="D877" s="30"/>
      <c r="E877" s="30" t="s">
        <v>10214</v>
      </c>
      <c r="F877" s="30" t="e">
        <v>#VALUE!</v>
      </c>
      <c r="G877" s="30" t="s">
        <v>8714</v>
      </c>
      <c r="H877" s="30" t="s">
        <v>10305</v>
      </c>
    </row>
    <row r="878" spans="1:8">
      <c r="A878" s="30" t="s">
        <v>11019</v>
      </c>
      <c r="B878" s="30"/>
      <c r="C878" s="30" t="s">
        <v>8626</v>
      </c>
      <c r="D878" s="30" t="s">
        <v>8883</v>
      </c>
      <c r="E878" s="30" t="s">
        <v>11008</v>
      </c>
      <c r="F878" s="30" t="s">
        <v>8672</v>
      </c>
      <c r="G878" s="30" t="s">
        <v>8885</v>
      </c>
      <c r="H878" s="30" t="s">
        <v>10308</v>
      </c>
    </row>
    <row r="879" spans="1:8">
      <c r="A879" s="30" t="s">
        <v>11020</v>
      </c>
      <c r="B879" s="30"/>
      <c r="C879" s="30" t="s">
        <v>8626</v>
      </c>
      <c r="D879" s="30"/>
      <c r="E879" s="30" t="s">
        <v>11021</v>
      </c>
      <c r="F879" s="30" t="e">
        <v>#VALUE!</v>
      </c>
      <c r="G879" s="30"/>
      <c r="H879" s="30" t="s">
        <v>11022</v>
      </c>
    </row>
    <row r="880" spans="1:8">
      <c r="A880" s="30" t="s">
        <v>11023</v>
      </c>
      <c r="B880" s="30"/>
      <c r="C880" s="30" t="s">
        <v>8626</v>
      </c>
      <c r="D880" s="30"/>
      <c r="E880" s="30"/>
      <c r="F880" s="30"/>
      <c r="G880" s="30" t="s">
        <v>10220</v>
      </c>
      <c r="H880" s="30" t="s">
        <v>10278</v>
      </c>
    </row>
    <row r="881" spans="1:8">
      <c r="A881" s="30" t="s">
        <v>11024</v>
      </c>
      <c r="B881" s="30"/>
      <c r="C881" s="30" t="s">
        <v>8607</v>
      </c>
      <c r="D881" s="30"/>
      <c r="E881" s="30" t="s">
        <v>10348</v>
      </c>
      <c r="F881" s="30" t="e">
        <v>#VALUE!</v>
      </c>
      <c r="G881" s="30" t="s">
        <v>8637</v>
      </c>
      <c r="H881" s="30" t="s">
        <v>10349</v>
      </c>
    </row>
    <row r="882" spans="1:8">
      <c r="A882" s="30" t="s">
        <v>11025</v>
      </c>
      <c r="B882" s="30"/>
      <c r="C882" s="30" t="s">
        <v>8607</v>
      </c>
      <c r="D882" s="30" t="s">
        <v>8789</v>
      </c>
      <c r="E882" s="30"/>
      <c r="F882" s="30"/>
      <c r="G882" s="30" t="s">
        <v>8633</v>
      </c>
      <c r="H882" s="30" t="s">
        <v>8790</v>
      </c>
    </row>
    <row r="883" spans="1:8">
      <c r="A883" s="30" t="s">
        <v>11026</v>
      </c>
      <c r="B883" s="30"/>
      <c r="C883" s="30" t="s">
        <v>8607</v>
      </c>
      <c r="D883" s="30" t="s">
        <v>11027</v>
      </c>
      <c r="E883" s="30"/>
      <c r="F883" s="30"/>
      <c r="G883" s="30" t="s">
        <v>8623</v>
      </c>
      <c r="H883" s="30" t="s">
        <v>11028</v>
      </c>
    </row>
    <row r="884" spans="1:8">
      <c r="A884" s="30" t="s">
        <v>11029</v>
      </c>
      <c r="B884" s="30"/>
      <c r="C884" s="30" t="s">
        <v>8607</v>
      </c>
      <c r="D884" s="30"/>
      <c r="E884" s="30"/>
      <c r="F884" s="30"/>
      <c r="G884" s="30" t="s">
        <v>10395</v>
      </c>
      <c r="H884" s="30" t="s">
        <v>11030</v>
      </c>
    </row>
    <row r="885" spans="1:8">
      <c r="A885" s="30" t="s">
        <v>11031</v>
      </c>
      <c r="B885" s="30"/>
      <c r="C885" s="30" t="s">
        <v>8626</v>
      </c>
      <c r="D885" s="30" t="s">
        <v>11032</v>
      </c>
      <c r="E885" s="30" t="s">
        <v>10209</v>
      </c>
      <c r="F885" s="30" t="s">
        <v>8672</v>
      </c>
      <c r="G885" s="30" t="s">
        <v>9002</v>
      </c>
      <c r="H885" s="30" t="s">
        <v>10546</v>
      </c>
    </row>
    <row r="886" spans="1:8">
      <c r="A886" s="30" t="s">
        <v>11033</v>
      </c>
      <c r="B886" s="30"/>
      <c r="C886" s="30" t="s">
        <v>8607</v>
      </c>
      <c r="D886" s="30"/>
      <c r="E886" s="30"/>
      <c r="F886" s="30"/>
      <c r="G886" s="30" t="s">
        <v>10205</v>
      </c>
      <c r="H886" s="30" t="s">
        <v>11034</v>
      </c>
    </row>
    <row r="887" spans="1:8">
      <c r="A887" s="30" t="s">
        <v>11035</v>
      </c>
      <c r="B887" s="30"/>
      <c r="C887" s="30" t="s">
        <v>8607</v>
      </c>
      <c r="D887" s="30" t="s">
        <v>10334</v>
      </c>
      <c r="E887" s="30"/>
      <c r="F887" s="30"/>
      <c r="G887" s="30" t="s">
        <v>8695</v>
      </c>
      <c r="H887" s="30" t="s">
        <v>11036</v>
      </c>
    </row>
    <row r="888" spans="1:8">
      <c r="A888" s="30" t="s">
        <v>11037</v>
      </c>
      <c r="B888" s="30"/>
      <c r="C888" s="30" t="s">
        <v>8626</v>
      </c>
      <c r="D888" s="30"/>
      <c r="E888" s="30"/>
      <c r="F888" s="30"/>
      <c r="G888" s="30" t="s">
        <v>8698</v>
      </c>
      <c r="H888" s="30" t="s">
        <v>10346</v>
      </c>
    </row>
    <row r="889" spans="1:8">
      <c r="A889" s="30" t="s">
        <v>11038</v>
      </c>
      <c r="B889" s="30"/>
      <c r="C889" s="30" t="s">
        <v>8626</v>
      </c>
      <c r="D889" s="30" t="s">
        <v>11003</v>
      </c>
      <c r="E889" s="30" t="s">
        <v>11039</v>
      </c>
      <c r="F889" s="30" t="s">
        <v>8618</v>
      </c>
      <c r="G889" s="30" t="s">
        <v>10234</v>
      </c>
      <c r="H889" s="30" t="s">
        <v>11040</v>
      </c>
    </row>
    <row r="890" spans="1:8">
      <c r="A890" s="30" t="s">
        <v>11041</v>
      </c>
      <c r="B890" s="30"/>
      <c r="C890" s="30" t="s">
        <v>8607</v>
      </c>
      <c r="D890" s="30"/>
      <c r="E890" s="30"/>
      <c r="F890" s="30"/>
      <c r="G890" s="30" t="s">
        <v>8891</v>
      </c>
      <c r="H890" s="30" t="s">
        <v>11042</v>
      </c>
    </row>
    <row r="891" spans="1:8">
      <c r="A891" s="30" t="s">
        <v>11043</v>
      </c>
      <c r="B891" s="30"/>
      <c r="C891" s="30" t="s">
        <v>8626</v>
      </c>
      <c r="D891" s="30" t="s">
        <v>10167</v>
      </c>
      <c r="E891" s="30"/>
      <c r="F891" s="30"/>
      <c r="G891" s="30"/>
      <c r="H891" s="30" t="s">
        <v>11044</v>
      </c>
    </row>
    <row r="892" spans="1:8">
      <c r="A892" s="30" t="s">
        <v>11045</v>
      </c>
      <c r="B892" s="30"/>
      <c r="C892" s="30" t="s">
        <v>8607</v>
      </c>
      <c r="D892" s="30"/>
      <c r="E892" s="30"/>
      <c r="F892" s="30"/>
      <c r="G892" s="30" t="s">
        <v>10668</v>
      </c>
      <c r="H892" s="30" t="s">
        <v>11046</v>
      </c>
    </row>
    <row r="893" spans="1:8">
      <c r="A893" s="30" t="s">
        <v>11047</v>
      </c>
      <c r="B893" s="30"/>
      <c r="C893" s="30" t="s">
        <v>8607</v>
      </c>
      <c r="D893" s="30" t="s">
        <v>11048</v>
      </c>
      <c r="E893" s="30" t="s">
        <v>10426</v>
      </c>
      <c r="F893" s="30" t="s">
        <v>8618</v>
      </c>
      <c r="G893" s="30" t="s">
        <v>10427</v>
      </c>
      <c r="H893" s="30" t="s">
        <v>11049</v>
      </c>
    </row>
    <row r="894" spans="1:8">
      <c r="A894" s="30" t="s">
        <v>11050</v>
      </c>
      <c r="B894" s="30"/>
      <c r="C894" s="30" t="s">
        <v>8626</v>
      </c>
      <c r="D894" s="30" t="s">
        <v>10579</v>
      </c>
      <c r="E894" s="30"/>
      <c r="F894" s="30"/>
      <c r="G894" s="30"/>
      <c r="H894" s="30" t="s">
        <v>10580</v>
      </c>
    </row>
    <row r="895" spans="1:8">
      <c r="A895" s="30" t="s">
        <v>11051</v>
      </c>
      <c r="B895" s="30"/>
      <c r="C895" s="30" t="s">
        <v>8607</v>
      </c>
      <c r="D895" s="30"/>
      <c r="E895" s="30"/>
      <c r="F895" s="30"/>
      <c r="G895" s="30"/>
      <c r="H895" s="30" t="s">
        <v>11052</v>
      </c>
    </row>
    <row r="896" spans="1:8">
      <c r="A896" s="30" t="s">
        <v>11053</v>
      </c>
      <c r="B896" s="30"/>
      <c r="C896" s="30" t="s">
        <v>8607</v>
      </c>
      <c r="D896" s="30"/>
      <c r="E896" s="30"/>
      <c r="F896" s="30"/>
      <c r="G896" s="30"/>
      <c r="H896" s="30" t="s">
        <v>11052</v>
      </c>
    </row>
    <row r="897" spans="1:8">
      <c r="A897" s="30" t="s">
        <v>11054</v>
      </c>
      <c r="B897" s="30"/>
      <c r="C897" s="30" t="s">
        <v>8607</v>
      </c>
      <c r="D897" s="30"/>
      <c r="E897" s="30"/>
      <c r="F897" s="30"/>
      <c r="G897" s="30" t="s">
        <v>8908</v>
      </c>
      <c r="H897" s="30" t="s">
        <v>11055</v>
      </c>
    </row>
    <row r="898" spans="1:8">
      <c r="A898" s="30" t="s">
        <v>11056</v>
      </c>
      <c r="B898" s="30"/>
      <c r="C898" s="30" t="s">
        <v>8626</v>
      </c>
      <c r="D898" s="30" t="s">
        <v>10586</v>
      </c>
      <c r="E898" s="30" t="s">
        <v>11057</v>
      </c>
      <c r="F898" s="30" t="e">
        <v>#VALUE!</v>
      </c>
      <c r="G898" s="30" t="s">
        <v>9145</v>
      </c>
      <c r="H898" s="30" t="s">
        <v>10588</v>
      </c>
    </row>
    <row r="899" spans="1:8">
      <c r="A899" s="30" t="s">
        <v>11058</v>
      </c>
      <c r="B899" s="30"/>
      <c r="C899" s="30" t="s">
        <v>8626</v>
      </c>
      <c r="D899" s="30" t="s">
        <v>11059</v>
      </c>
      <c r="E899" s="30" t="s">
        <v>10269</v>
      </c>
      <c r="F899" s="30" t="s">
        <v>8618</v>
      </c>
      <c r="G899" s="30" t="s">
        <v>10234</v>
      </c>
      <c r="H899" s="30" t="s">
        <v>11060</v>
      </c>
    </row>
    <row r="900" spans="1:8">
      <c r="A900" s="30" t="s">
        <v>11061</v>
      </c>
      <c r="B900" s="30"/>
      <c r="C900" s="30" t="s">
        <v>8607</v>
      </c>
      <c r="D900" s="30" t="s">
        <v>8736</v>
      </c>
      <c r="E900" s="30"/>
      <c r="F900" s="30"/>
      <c r="G900" s="30" t="s">
        <v>8737</v>
      </c>
      <c r="H900" s="30" t="s">
        <v>11062</v>
      </c>
    </row>
    <row r="901" spans="1:8">
      <c r="A901" s="30" t="s">
        <v>11063</v>
      </c>
      <c r="B901" s="30"/>
      <c r="C901" s="30" t="s">
        <v>8607</v>
      </c>
      <c r="D901" s="30"/>
      <c r="E901" s="30"/>
      <c r="F901" s="30"/>
      <c r="G901" s="30" t="s">
        <v>8743</v>
      </c>
      <c r="H901" s="30" t="s">
        <v>11064</v>
      </c>
    </row>
    <row r="902" spans="1:8">
      <c r="A902" s="30" t="s">
        <v>11065</v>
      </c>
      <c r="B902" s="30"/>
      <c r="C902" s="30" t="s">
        <v>8607</v>
      </c>
      <c r="D902" s="30" t="s">
        <v>8736</v>
      </c>
      <c r="E902" s="30"/>
      <c r="F902" s="30"/>
      <c r="G902" s="30" t="s">
        <v>8737</v>
      </c>
      <c r="H902" s="30" t="s">
        <v>11066</v>
      </c>
    </row>
    <row r="903" spans="1:8">
      <c r="A903" s="30" t="s">
        <v>11067</v>
      </c>
      <c r="B903" s="30"/>
      <c r="C903" s="30" t="s">
        <v>8607</v>
      </c>
      <c r="D903" s="30" t="s">
        <v>8736</v>
      </c>
      <c r="E903" s="30"/>
      <c r="F903" s="30"/>
      <c r="G903" s="30" t="s">
        <v>8737</v>
      </c>
      <c r="H903" s="30" t="s">
        <v>8746</v>
      </c>
    </row>
    <row r="904" spans="1:8">
      <c r="A904" s="30" t="s">
        <v>11068</v>
      </c>
      <c r="B904" s="30"/>
      <c r="C904" s="30" t="s">
        <v>8626</v>
      </c>
      <c r="D904" s="30" t="s">
        <v>10606</v>
      </c>
      <c r="E904" s="30" t="s">
        <v>10209</v>
      </c>
      <c r="F904" s="30" t="s">
        <v>8672</v>
      </c>
      <c r="G904" s="30" t="s">
        <v>9002</v>
      </c>
      <c r="H904" s="30" t="s">
        <v>11069</v>
      </c>
    </row>
    <row r="905" spans="1:8">
      <c r="A905" s="30" t="s">
        <v>11070</v>
      </c>
      <c r="B905" s="30"/>
      <c r="C905" s="30" t="s">
        <v>8607</v>
      </c>
      <c r="D905" s="30"/>
      <c r="E905" s="30"/>
      <c r="F905" s="30"/>
      <c r="G905" s="30" t="s">
        <v>10250</v>
      </c>
      <c r="H905" s="30" t="s">
        <v>10251</v>
      </c>
    </row>
    <row r="906" spans="1:8">
      <c r="A906" s="30" t="s">
        <v>11071</v>
      </c>
      <c r="B906" s="30"/>
      <c r="C906" s="30" t="s">
        <v>8607</v>
      </c>
      <c r="D906" s="30"/>
      <c r="E906" s="30"/>
      <c r="F906" s="30"/>
      <c r="G906" s="30" t="s">
        <v>10205</v>
      </c>
      <c r="H906" s="30" t="s">
        <v>10611</v>
      </c>
    </row>
    <row r="907" spans="1:8">
      <c r="A907" s="30" t="s">
        <v>11072</v>
      </c>
      <c r="B907" s="30"/>
      <c r="C907" s="30" t="s">
        <v>8607</v>
      </c>
      <c r="D907" s="30"/>
      <c r="E907" s="30"/>
      <c r="F907" s="30"/>
      <c r="G907" s="30" t="s">
        <v>10648</v>
      </c>
      <c r="H907" s="30" t="s">
        <v>11073</v>
      </c>
    </row>
    <row r="908" spans="1:8">
      <c r="A908" s="30" t="s">
        <v>11074</v>
      </c>
      <c r="B908" s="30"/>
      <c r="C908" s="30" t="s">
        <v>8607</v>
      </c>
      <c r="D908" s="30" t="s">
        <v>10243</v>
      </c>
      <c r="E908" s="30" t="s">
        <v>8850</v>
      </c>
      <c r="F908" s="30" t="s">
        <v>8672</v>
      </c>
      <c r="G908" s="30" t="s">
        <v>8851</v>
      </c>
      <c r="H908" s="30" t="s">
        <v>10908</v>
      </c>
    </row>
    <row r="909" spans="1:8">
      <c r="A909" s="30" t="s">
        <v>11075</v>
      </c>
      <c r="B909" s="30"/>
      <c r="C909" s="30" t="s">
        <v>8607</v>
      </c>
      <c r="D909" s="30" t="s">
        <v>9546</v>
      </c>
      <c r="E909" s="30" t="s">
        <v>9547</v>
      </c>
      <c r="F909" s="30" t="s">
        <v>8672</v>
      </c>
      <c r="G909" s="30" t="s">
        <v>9366</v>
      </c>
      <c r="H909" s="30" t="s">
        <v>11076</v>
      </c>
    </row>
    <row r="910" spans="1:8">
      <c r="A910" s="30" t="s">
        <v>11077</v>
      </c>
      <c r="B910" s="30"/>
      <c r="C910" s="30" t="s">
        <v>8607</v>
      </c>
      <c r="D910" s="30"/>
      <c r="E910" s="30"/>
      <c r="F910" s="30"/>
      <c r="G910" s="30" t="s">
        <v>8659</v>
      </c>
      <c r="H910" s="30" t="s">
        <v>10920</v>
      </c>
    </row>
    <row r="911" spans="1:8">
      <c r="A911" s="30" t="s">
        <v>11078</v>
      </c>
      <c r="B911" s="30"/>
      <c r="C911" s="30" t="s">
        <v>8626</v>
      </c>
      <c r="D911" s="30"/>
      <c r="E911" s="30"/>
      <c r="F911" s="30"/>
      <c r="G911" s="30" t="s">
        <v>8888</v>
      </c>
      <c r="H911" s="30" t="s">
        <v>8889</v>
      </c>
    </row>
    <row r="912" spans="1:8">
      <c r="A912" s="30" t="s">
        <v>11079</v>
      </c>
      <c r="B912" s="30"/>
      <c r="C912" s="30" t="s">
        <v>8626</v>
      </c>
      <c r="D912" s="30" t="s">
        <v>11080</v>
      </c>
      <c r="E912" s="30" t="s">
        <v>9547</v>
      </c>
      <c r="F912" s="30" t="s">
        <v>8672</v>
      </c>
      <c r="G912" s="30"/>
      <c r="H912" s="30" t="s">
        <v>10574</v>
      </c>
    </row>
    <row r="913" spans="1:8">
      <c r="A913" s="30" t="s">
        <v>11081</v>
      </c>
      <c r="B913" s="30"/>
      <c r="C913" s="30" t="s">
        <v>8607</v>
      </c>
      <c r="D913" s="30"/>
      <c r="E913" s="30"/>
      <c r="F913" s="30"/>
      <c r="G913" s="30" t="s">
        <v>8774</v>
      </c>
      <c r="H913" s="30" t="s">
        <v>10594</v>
      </c>
    </row>
    <row r="914" spans="1:8">
      <c r="A914" s="30" t="s">
        <v>11082</v>
      </c>
      <c r="B914" s="30"/>
      <c r="C914" s="30" t="s">
        <v>8607</v>
      </c>
      <c r="D914" s="30"/>
      <c r="E914" s="30"/>
      <c r="F914" s="30"/>
      <c r="G914" s="30" t="s">
        <v>8804</v>
      </c>
      <c r="H914" s="30" t="s">
        <v>11083</v>
      </c>
    </row>
    <row r="915" spans="1:8">
      <c r="A915" s="30" t="s">
        <v>11084</v>
      </c>
      <c r="B915" s="30"/>
      <c r="C915" s="30" t="s">
        <v>8607</v>
      </c>
      <c r="D915" s="30"/>
      <c r="E915" s="30"/>
      <c r="F915" s="30"/>
      <c r="G915" s="30" t="s">
        <v>8807</v>
      </c>
      <c r="H915" s="30" t="s">
        <v>8808</v>
      </c>
    </row>
    <row r="916" spans="1:8">
      <c r="A916" s="30" t="s">
        <v>11085</v>
      </c>
      <c r="B916" s="30"/>
      <c r="C916" s="30" t="s">
        <v>8607</v>
      </c>
      <c r="D916" s="30"/>
      <c r="E916" s="30"/>
      <c r="F916" s="30"/>
      <c r="G916" s="30" t="s">
        <v>8814</v>
      </c>
      <c r="H916" s="30" t="s">
        <v>11086</v>
      </c>
    </row>
    <row r="917" spans="1:8">
      <c r="A917" s="30" t="s">
        <v>11087</v>
      </c>
      <c r="B917" s="30"/>
      <c r="C917" s="30" t="s">
        <v>8626</v>
      </c>
      <c r="D917" s="30"/>
      <c r="E917" s="30"/>
      <c r="F917" s="30"/>
      <c r="G917" s="30" t="s">
        <v>8888</v>
      </c>
      <c r="H917" s="30" t="s">
        <v>8889</v>
      </c>
    </row>
    <row r="918" spans="1:8">
      <c r="A918" s="30" t="s">
        <v>11088</v>
      </c>
      <c r="B918" s="30"/>
      <c r="C918" s="30" t="s">
        <v>8607</v>
      </c>
      <c r="D918" s="30"/>
      <c r="E918" s="30"/>
      <c r="F918" s="30"/>
      <c r="G918" s="30" t="s">
        <v>10576</v>
      </c>
      <c r="H918" s="30" t="s">
        <v>11089</v>
      </c>
    </row>
    <row r="919" spans="1:8">
      <c r="A919" s="30" t="s">
        <v>11090</v>
      </c>
      <c r="B919" s="30"/>
      <c r="C919" s="30" t="s">
        <v>8607</v>
      </c>
      <c r="D919" s="30" t="s">
        <v>8770</v>
      </c>
      <c r="E919" s="30" t="s">
        <v>8771</v>
      </c>
      <c r="F919" s="30" t="s">
        <v>8672</v>
      </c>
      <c r="G919" s="30" t="s">
        <v>8659</v>
      </c>
      <c r="H919" s="30" t="s">
        <v>8772</v>
      </c>
    </row>
    <row r="920" spans="1:8">
      <c r="A920" s="30" t="s">
        <v>11091</v>
      </c>
      <c r="B920" s="30"/>
      <c r="C920" s="30" t="s">
        <v>8607</v>
      </c>
      <c r="D920" s="30" t="s">
        <v>10243</v>
      </c>
      <c r="E920" s="30" t="s">
        <v>8850</v>
      </c>
      <c r="F920" s="30" t="s">
        <v>8672</v>
      </c>
      <c r="G920" s="30" t="s">
        <v>8851</v>
      </c>
      <c r="H920" s="30" t="s">
        <v>10777</v>
      </c>
    </row>
    <row r="921" spans="1:8">
      <c r="A921" s="30" t="s">
        <v>11092</v>
      </c>
      <c r="B921" s="30"/>
      <c r="C921" s="30" t="s">
        <v>8626</v>
      </c>
      <c r="D921" s="30"/>
      <c r="E921" s="30"/>
      <c r="F921" s="30"/>
      <c r="G921" s="30"/>
      <c r="H921" s="30" t="s">
        <v>8854</v>
      </c>
    </row>
    <row r="922" spans="1:8">
      <c r="A922" s="30" t="s">
        <v>11093</v>
      </c>
      <c r="B922" s="30"/>
      <c r="C922" s="30" t="s">
        <v>8607</v>
      </c>
      <c r="D922" s="30"/>
      <c r="E922" s="30"/>
      <c r="F922" s="30"/>
      <c r="G922" s="30" t="s">
        <v>8891</v>
      </c>
      <c r="H922" s="30" t="s">
        <v>10627</v>
      </c>
    </row>
    <row r="923" spans="1:8">
      <c r="A923" s="30" t="s">
        <v>11094</v>
      </c>
      <c r="B923" s="30"/>
      <c r="C923" s="30" t="s">
        <v>8626</v>
      </c>
      <c r="D923" s="30" t="s">
        <v>11095</v>
      </c>
      <c r="E923" s="30" t="s">
        <v>11096</v>
      </c>
      <c r="F923" s="30" t="e">
        <v>#VALUE!</v>
      </c>
      <c r="G923" s="30" t="s">
        <v>8975</v>
      </c>
      <c r="H923" s="30" t="s">
        <v>11097</v>
      </c>
    </row>
    <row r="924" spans="1:8">
      <c r="A924" s="30" t="s">
        <v>11098</v>
      </c>
      <c r="B924" s="30"/>
      <c r="C924" s="30" t="s">
        <v>8607</v>
      </c>
      <c r="D924" s="30" t="s">
        <v>8654</v>
      </c>
      <c r="E924" s="30"/>
      <c r="F924" s="30"/>
      <c r="G924" s="30" t="s">
        <v>8656</v>
      </c>
      <c r="H924" s="30" t="s">
        <v>11099</v>
      </c>
    </row>
    <row r="925" spans="1:8">
      <c r="A925" s="30" t="s">
        <v>11100</v>
      </c>
      <c r="B925" s="30"/>
      <c r="C925" s="30" t="s">
        <v>8607</v>
      </c>
      <c r="D925" s="30" t="s">
        <v>8654</v>
      </c>
      <c r="E925" s="30"/>
      <c r="F925" s="30"/>
      <c r="G925" s="30" t="s">
        <v>8656</v>
      </c>
      <c r="H925" s="30" t="s">
        <v>11099</v>
      </c>
    </row>
    <row r="926" spans="1:8">
      <c r="A926" s="30" t="s">
        <v>11101</v>
      </c>
      <c r="B926" s="30"/>
      <c r="C926" s="30" t="s">
        <v>8607</v>
      </c>
      <c r="D926" s="30"/>
      <c r="E926" s="30"/>
      <c r="F926" s="30"/>
      <c r="G926" s="30" t="s">
        <v>10789</v>
      </c>
      <c r="H926" s="30" t="s">
        <v>11102</v>
      </c>
    </row>
    <row r="927" spans="1:8">
      <c r="A927" s="30" t="s">
        <v>11103</v>
      </c>
      <c r="B927" s="30"/>
      <c r="C927" s="30" t="s">
        <v>8626</v>
      </c>
      <c r="D927" s="30"/>
      <c r="E927" s="30"/>
      <c r="F927" s="30"/>
      <c r="G927" s="30" t="s">
        <v>10789</v>
      </c>
      <c r="H927" s="30" t="s">
        <v>11104</v>
      </c>
    </row>
    <row r="928" spans="1:8">
      <c r="A928" s="30" t="s">
        <v>11105</v>
      </c>
      <c r="B928" s="30"/>
      <c r="C928" s="30" t="s">
        <v>8607</v>
      </c>
      <c r="D928" s="30"/>
      <c r="E928" s="30" t="s">
        <v>8907</v>
      </c>
      <c r="F928" s="30" t="s">
        <v>8618</v>
      </c>
      <c r="G928" s="30" t="s">
        <v>8908</v>
      </c>
      <c r="H928" s="30" t="s">
        <v>8909</v>
      </c>
    </row>
    <row r="929" spans="1:8">
      <c r="A929" s="30" t="s">
        <v>11106</v>
      </c>
      <c r="B929" s="30"/>
      <c r="C929" s="30" t="s">
        <v>8626</v>
      </c>
      <c r="D929" s="30" t="s">
        <v>11107</v>
      </c>
      <c r="E929" s="30" t="s">
        <v>11108</v>
      </c>
      <c r="F929" s="30" t="e">
        <v>#VALUE!</v>
      </c>
      <c r="G929" s="30" t="s">
        <v>11109</v>
      </c>
      <c r="H929" s="30" t="s">
        <v>11110</v>
      </c>
    </row>
    <row r="930" spans="1:8">
      <c r="A930" s="30" t="s">
        <v>11111</v>
      </c>
      <c r="B930" s="30"/>
      <c r="C930" s="30" t="s">
        <v>8626</v>
      </c>
      <c r="D930" s="30"/>
      <c r="E930" s="30"/>
      <c r="F930" s="30"/>
      <c r="G930" s="30" t="s">
        <v>10648</v>
      </c>
      <c r="H930" s="30" t="s">
        <v>8854</v>
      </c>
    </row>
    <row r="931" spans="1:8">
      <c r="A931" s="30" t="s">
        <v>11112</v>
      </c>
      <c r="B931" s="30"/>
      <c r="C931" s="30" t="s">
        <v>8607</v>
      </c>
      <c r="D931" s="30" t="s">
        <v>8849</v>
      </c>
      <c r="E931" s="30" t="s">
        <v>8850</v>
      </c>
      <c r="F931" s="30" t="s">
        <v>8672</v>
      </c>
      <c r="G931" s="30" t="s">
        <v>8851</v>
      </c>
      <c r="H931" s="30" t="s">
        <v>11113</v>
      </c>
    </row>
    <row r="932" spans="1:8">
      <c r="A932" s="30" t="s">
        <v>11114</v>
      </c>
      <c r="B932" s="30"/>
      <c r="C932" s="30" t="s">
        <v>8607</v>
      </c>
      <c r="D932" s="30" t="s">
        <v>10907</v>
      </c>
      <c r="E932" s="30" t="s">
        <v>11115</v>
      </c>
      <c r="F932" s="30" t="s">
        <v>8672</v>
      </c>
      <c r="G932" s="30" t="s">
        <v>8851</v>
      </c>
      <c r="H932" s="30" t="s">
        <v>10567</v>
      </c>
    </row>
    <row r="933" spans="1:8">
      <c r="A933" s="30" t="s">
        <v>11116</v>
      </c>
      <c r="B933" s="30"/>
      <c r="C933" s="30" t="s">
        <v>8626</v>
      </c>
      <c r="D933" s="30"/>
      <c r="E933" s="30"/>
      <c r="F933" s="30"/>
      <c r="G933" s="30" t="s">
        <v>10597</v>
      </c>
      <c r="H933" s="30" t="s">
        <v>11117</v>
      </c>
    </row>
    <row r="934" spans="1:8">
      <c r="A934" s="30" t="s">
        <v>11118</v>
      </c>
      <c r="B934" s="30"/>
      <c r="C934" s="30" t="s">
        <v>8626</v>
      </c>
      <c r="D934" s="30"/>
      <c r="E934" s="30"/>
      <c r="F934" s="30"/>
      <c r="G934" s="30" t="s">
        <v>8888</v>
      </c>
      <c r="H934" s="30" t="s">
        <v>8889</v>
      </c>
    </row>
    <row r="935" spans="1:8">
      <c r="A935" s="30" t="s">
        <v>11119</v>
      </c>
      <c r="B935" s="30"/>
      <c r="C935" s="30" t="s">
        <v>8607</v>
      </c>
      <c r="D935" s="30"/>
      <c r="E935" s="30"/>
      <c r="F935" s="30"/>
      <c r="G935" s="30" t="s">
        <v>8774</v>
      </c>
      <c r="H935" s="30" t="s">
        <v>10629</v>
      </c>
    </row>
    <row r="936" spans="1:8">
      <c r="A936" s="30" t="s">
        <v>11120</v>
      </c>
      <c r="B936" s="30"/>
      <c r="C936" s="30" t="s">
        <v>8607</v>
      </c>
      <c r="D936" s="30" t="s">
        <v>8736</v>
      </c>
      <c r="E936" s="30"/>
      <c r="F936" s="30"/>
      <c r="G936" s="30" t="s">
        <v>8737</v>
      </c>
      <c r="H936" s="30" t="s">
        <v>11121</v>
      </c>
    </row>
    <row r="937" spans="1:8">
      <c r="A937" s="30" t="s">
        <v>11122</v>
      </c>
      <c r="B937" s="30"/>
      <c r="C937" s="30" t="s">
        <v>8607</v>
      </c>
      <c r="D937" s="30"/>
      <c r="E937" s="30"/>
      <c r="F937" s="30"/>
      <c r="G937" s="30"/>
      <c r="H937" s="30" t="s">
        <v>8802</v>
      </c>
    </row>
    <row r="938" spans="1:8">
      <c r="A938" s="30" t="s">
        <v>11123</v>
      </c>
      <c r="B938" s="30"/>
      <c r="C938" s="30" t="s">
        <v>8626</v>
      </c>
      <c r="D938" s="30"/>
      <c r="E938" s="30"/>
      <c r="F938" s="30"/>
      <c r="G938" s="30" t="s">
        <v>10220</v>
      </c>
      <c r="H938" s="30" t="s">
        <v>8842</v>
      </c>
    </row>
    <row r="939" spans="1:8">
      <c r="A939" s="30" t="s">
        <v>11124</v>
      </c>
      <c r="B939" s="30"/>
      <c r="C939" s="30" t="s">
        <v>8626</v>
      </c>
      <c r="D939" s="30"/>
      <c r="E939" s="30"/>
      <c r="F939" s="30"/>
      <c r="G939" s="30"/>
      <c r="H939" s="30" t="s">
        <v>8842</v>
      </c>
    </row>
    <row r="940" spans="1:8">
      <c r="A940" s="30" t="s">
        <v>11125</v>
      </c>
      <c r="B940" s="30"/>
      <c r="C940" s="30"/>
      <c r="D940" s="32"/>
      <c r="E940" s="30"/>
      <c r="F940" s="30"/>
      <c r="G940" s="30"/>
      <c r="H940" s="30" t="s">
        <v>11126</v>
      </c>
    </row>
    <row r="941" spans="1:8">
      <c r="A941" s="30" t="s">
        <v>11127</v>
      </c>
      <c r="B941" s="30"/>
      <c r="C941" s="30" t="s">
        <v>8607</v>
      </c>
      <c r="D941" s="30" t="s">
        <v>8736</v>
      </c>
      <c r="E941" s="30"/>
      <c r="F941" s="30"/>
      <c r="G941" s="30" t="s">
        <v>8737</v>
      </c>
      <c r="H941" s="30" t="s">
        <v>10230</v>
      </c>
    </row>
    <row r="942" spans="1:8">
      <c r="A942" s="30" t="s">
        <v>11128</v>
      </c>
      <c r="B942" s="30"/>
      <c r="C942" s="30" t="s">
        <v>8607</v>
      </c>
      <c r="D942" s="30"/>
      <c r="E942" s="30"/>
      <c r="F942" s="30"/>
      <c r="G942" s="30"/>
      <c r="H942" s="30" t="s">
        <v>8802</v>
      </c>
    </row>
    <row r="943" spans="1:8">
      <c r="A943" s="30" t="s">
        <v>11129</v>
      </c>
      <c r="B943" s="30"/>
      <c r="C943" s="30" t="s">
        <v>8607</v>
      </c>
      <c r="D943" s="30" t="s">
        <v>11130</v>
      </c>
      <c r="E943" s="30" t="s">
        <v>11131</v>
      </c>
      <c r="F943" s="30" t="s">
        <v>8672</v>
      </c>
      <c r="G943" s="30" t="s">
        <v>9002</v>
      </c>
      <c r="H943" s="30" t="s">
        <v>11132</v>
      </c>
    </row>
    <row r="944" spans="1:8">
      <c r="A944" s="30" t="s">
        <v>11133</v>
      </c>
      <c r="B944" s="30"/>
      <c r="C944" s="30" t="s">
        <v>8607</v>
      </c>
      <c r="D944" s="30"/>
      <c r="E944" s="30"/>
      <c r="F944" s="30"/>
      <c r="G944" s="30" t="s">
        <v>8717</v>
      </c>
      <c r="H944" s="30" t="s">
        <v>10538</v>
      </c>
    </row>
    <row r="945" spans="1:8">
      <c r="A945" s="30" t="s">
        <v>11134</v>
      </c>
      <c r="B945" s="30"/>
      <c r="C945" s="30"/>
      <c r="D945" s="32"/>
      <c r="E945" s="30"/>
      <c r="F945" s="30"/>
      <c r="G945" s="30"/>
      <c r="H945" s="30" t="s">
        <v>10346</v>
      </c>
    </row>
    <row r="946" spans="1:8">
      <c r="A946" s="30" t="s">
        <v>11135</v>
      </c>
      <c r="B946" s="30"/>
      <c r="C946" s="30" t="s">
        <v>8607</v>
      </c>
      <c r="D946" s="30" t="s">
        <v>11136</v>
      </c>
      <c r="E946" s="30" t="s">
        <v>10209</v>
      </c>
      <c r="F946" s="30" t="s">
        <v>8672</v>
      </c>
      <c r="G946" s="30" t="s">
        <v>9002</v>
      </c>
      <c r="H946" s="30" t="s">
        <v>11137</v>
      </c>
    </row>
    <row r="947" spans="1:8">
      <c r="A947" s="30" t="s">
        <v>11138</v>
      </c>
      <c r="B947" s="30"/>
      <c r="C947" s="30" t="s">
        <v>8607</v>
      </c>
      <c r="D947" s="30" t="s">
        <v>11139</v>
      </c>
      <c r="E947" s="30" t="s">
        <v>11140</v>
      </c>
      <c r="F947" s="30" t="s">
        <v>8672</v>
      </c>
      <c r="G947" s="30" t="s">
        <v>9002</v>
      </c>
      <c r="H947" s="30" t="s">
        <v>11141</v>
      </c>
    </row>
    <row r="948" spans="1:8">
      <c r="A948" s="30" t="s">
        <v>11142</v>
      </c>
      <c r="B948" s="30"/>
      <c r="C948" s="30" t="s">
        <v>8607</v>
      </c>
      <c r="D948" s="30" t="s">
        <v>8736</v>
      </c>
      <c r="E948" s="30"/>
      <c r="F948" s="30"/>
      <c r="G948" s="30" t="s">
        <v>8737</v>
      </c>
      <c r="H948" s="30" t="s">
        <v>11143</v>
      </c>
    </row>
    <row r="949" spans="1:8">
      <c r="A949" s="30" t="s">
        <v>11144</v>
      </c>
      <c r="B949" s="30"/>
      <c r="C949" s="30" t="s">
        <v>8607</v>
      </c>
      <c r="D949" s="30"/>
      <c r="E949" s="30"/>
      <c r="F949" s="30"/>
      <c r="G949" s="30"/>
      <c r="H949" s="30" t="s">
        <v>8802</v>
      </c>
    </row>
    <row r="950" spans="1:8">
      <c r="A950" s="30" t="s">
        <v>11145</v>
      </c>
      <c r="B950" s="30"/>
      <c r="C950" s="30" t="s">
        <v>8626</v>
      </c>
      <c r="D950" s="30"/>
      <c r="E950" s="30"/>
      <c r="F950" s="30"/>
      <c r="G950" s="30" t="s">
        <v>10220</v>
      </c>
      <c r="H950" s="30" t="s">
        <v>11146</v>
      </c>
    </row>
    <row r="951" spans="1:8">
      <c r="A951" s="30" t="s">
        <v>11147</v>
      </c>
      <c r="B951" s="30"/>
      <c r="C951" s="30" t="s">
        <v>8607</v>
      </c>
      <c r="D951" s="30" t="s">
        <v>8736</v>
      </c>
      <c r="E951" s="30"/>
      <c r="F951" s="30"/>
      <c r="G951" s="30" t="s">
        <v>8737</v>
      </c>
      <c r="H951" s="30" t="s">
        <v>11148</v>
      </c>
    </row>
    <row r="952" spans="1:8">
      <c r="A952" s="30" t="s">
        <v>11149</v>
      </c>
      <c r="B952" s="30"/>
      <c r="C952" s="30" t="s">
        <v>8607</v>
      </c>
      <c r="D952" s="30" t="s">
        <v>11150</v>
      </c>
      <c r="E952" s="30"/>
      <c r="F952" s="30"/>
      <c r="G952" s="30" t="s">
        <v>11151</v>
      </c>
      <c r="H952" s="30" t="s">
        <v>11152</v>
      </c>
    </row>
    <row r="953" spans="1:8">
      <c r="A953" s="30" t="s">
        <v>11153</v>
      </c>
      <c r="B953" s="30"/>
      <c r="C953" s="30" t="s">
        <v>8626</v>
      </c>
      <c r="D953" s="30"/>
      <c r="E953" s="30"/>
      <c r="F953" s="30"/>
      <c r="G953" s="30" t="s">
        <v>10138</v>
      </c>
      <c r="H953" s="30" t="s">
        <v>10284</v>
      </c>
    </row>
    <row r="954" spans="1:8">
      <c r="A954" s="30" t="s">
        <v>11154</v>
      </c>
      <c r="B954" s="30"/>
      <c r="C954" s="30" t="s">
        <v>8626</v>
      </c>
      <c r="D954" s="30" t="s">
        <v>11155</v>
      </c>
      <c r="E954" s="30" t="s">
        <v>11156</v>
      </c>
      <c r="F954" s="30" t="s">
        <v>8618</v>
      </c>
      <c r="G954" s="30"/>
      <c r="H954" s="30" t="s">
        <v>11157</v>
      </c>
    </row>
    <row r="955" spans="1:8">
      <c r="A955" s="30" t="s">
        <v>11158</v>
      </c>
      <c r="B955" s="30"/>
      <c r="C955" s="30" t="s">
        <v>8607</v>
      </c>
      <c r="D955" s="30"/>
      <c r="E955" s="30" t="s">
        <v>11159</v>
      </c>
      <c r="F955" s="30" t="e">
        <v>#VALUE!</v>
      </c>
      <c r="G955" s="30" t="s">
        <v>8678</v>
      </c>
      <c r="H955" s="30" t="s">
        <v>11160</v>
      </c>
    </row>
    <row r="956" spans="1:8">
      <c r="A956" s="30" t="s">
        <v>11161</v>
      </c>
      <c r="B956" s="30"/>
      <c r="C956" s="30" t="s">
        <v>8607</v>
      </c>
      <c r="D956" s="30"/>
      <c r="E956" s="30" t="s">
        <v>10499</v>
      </c>
      <c r="F956" s="30" t="e">
        <v>#VALUE!</v>
      </c>
      <c r="G956" s="30" t="s">
        <v>8678</v>
      </c>
      <c r="H956" s="30" t="s">
        <v>8679</v>
      </c>
    </row>
    <row r="957" spans="1:8">
      <c r="A957" s="30" t="s">
        <v>11162</v>
      </c>
      <c r="B957" s="30"/>
      <c r="C957" s="30" t="s">
        <v>8626</v>
      </c>
      <c r="D957" s="30"/>
      <c r="E957" s="30"/>
      <c r="F957" s="30"/>
      <c r="G957" s="30" t="s">
        <v>8681</v>
      </c>
      <c r="H957" s="30" t="s">
        <v>10502</v>
      </c>
    </row>
    <row r="958" spans="1:8">
      <c r="A958" s="30" t="s">
        <v>11163</v>
      </c>
      <c r="B958" s="30"/>
      <c r="C958" s="30" t="s">
        <v>8607</v>
      </c>
      <c r="D958" s="30"/>
      <c r="E958" s="30"/>
      <c r="F958" s="30"/>
      <c r="G958" s="30" t="s">
        <v>8646</v>
      </c>
      <c r="H958" s="30" t="s">
        <v>11164</v>
      </c>
    </row>
    <row r="959" spans="1:8">
      <c r="A959" s="30" t="s">
        <v>11165</v>
      </c>
      <c r="B959" s="30"/>
      <c r="C959" s="30"/>
      <c r="D959" s="32"/>
      <c r="E959" s="30"/>
      <c r="F959" s="30"/>
      <c r="G959" s="30"/>
      <c r="H959" s="30" t="s">
        <v>11166</v>
      </c>
    </row>
    <row r="960" spans="1:8">
      <c r="A960" s="30" t="s">
        <v>11167</v>
      </c>
      <c r="B960" s="30"/>
      <c r="C960" s="30" t="s">
        <v>8607</v>
      </c>
      <c r="D960" s="30"/>
      <c r="E960" s="30"/>
      <c r="F960" s="30"/>
      <c r="G960" s="30" t="s">
        <v>8891</v>
      </c>
      <c r="H960" s="30" t="s">
        <v>11168</v>
      </c>
    </row>
    <row r="961" spans="1:8">
      <c r="A961" s="30" t="s">
        <v>11169</v>
      </c>
      <c r="B961" s="30"/>
      <c r="C961" s="30" t="s">
        <v>8626</v>
      </c>
      <c r="D961" s="30" t="s">
        <v>11170</v>
      </c>
      <c r="E961" s="30" t="s">
        <v>11171</v>
      </c>
      <c r="F961" s="30" t="e">
        <v>#VALUE!</v>
      </c>
      <c r="G961" s="30" t="s">
        <v>8975</v>
      </c>
      <c r="H961" s="30" t="s">
        <v>11172</v>
      </c>
    </row>
    <row r="962" spans="1:8">
      <c r="A962" s="30" t="s">
        <v>11173</v>
      </c>
      <c r="B962" s="30"/>
      <c r="C962" s="30" t="s">
        <v>8626</v>
      </c>
      <c r="D962" s="30" t="s">
        <v>11174</v>
      </c>
      <c r="E962" s="30" t="s">
        <v>11175</v>
      </c>
      <c r="F962" s="30" t="s">
        <v>8672</v>
      </c>
      <c r="G962" s="30" t="s">
        <v>9002</v>
      </c>
      <c r="H962" s="30" t="s">
        <v>11176</v>
      </c>
    </row>
    <row r="963" spans="1:8">
      <c r="A963" s="30" t="s">
        <v>11177</v>
      </c>
      <c r="B963" s="30"/>
      <c r="C963" s="30" t="s">
        <v>8607</v>
      </c>
      <c r="D963" s="30" t="s">
        <v>11178</v>
      </c>
      <c r="E963" s="30" t="s">
        <v>10209</v>
      </c>
      <c r="F963" s="30" t="s">
        <v>8672</v>
      </c>
      <c r="G963" s="30" t="s">
        <v>9002</v>
      </c>
      <c r="H963" s="30" t="s">
        <v>11179</v>
      </c>
    </row>
    <row r="964" spans="1:8">
      <c r="A964" s="30" t="s">
        <v>11180</v>
      </c>
      <c r="B964" s="30"/>
      <c r="C964" s="30" t="s">
        <v>8607</v>
      </c>
      <c r="D964" s="30" t="s">
        <v>10907</v>
      </c>
      <c r="E964" s="30" t="s">
        <v>8850</v>
      </c>
      <c r="F964" s="30" t="s">
        <v>8672</v>
      </c>
      <c r="G964" s="30" t="s">
        <v>8851</v>
      </c>
      <c r="H964" s="30" t="s">
        <v>11181</v>
      </c>
    </row>
    <row r="965" spans="1:8">
      <c r="A965" s="30" t="s">
        <v>11182</v>
      </c>
      <c r="B965" s="30"/>
      <c r="C965" s="30" t="s">
        <v>8626</v>
      </c>
      <c r="D965" s="30" t="s">
        <v>11183</v>
      </c>
      <c r="E965" s="30" t="s">
        <v>11184</v>
      </c>
      <c r="F965" s="30" t="s">
        <v>8672</v>
      </c>
      <c r="G965" s="30" t="s">
        <v>9002</v>
      </c>
      <c r="H965" s="30" t="s">
        <v>11185</v>
      </c>
    </row>
    <row r="966" spans="1:8">
      <c r="A966" s="30" t="s">
        <v>11186</v>
      </c>
      <c r="B966" s="30"/>
      <c r="C966" s="30" t="s">
        <v>8626</v>
      </c>
      <c r="D966" s="30" t="s">
        <v>11174</v>
      </c>
      <c r="E966" s="30" t="s">
        <v>11175</v>
      </c>
      <c r="F966" s="30" t="s">
        <v>8672</v>
      </c>
      <c r="G966" s="30" t="s">
        <v>9002</v>
      </c>
      <c r="H966" s="30" t="s">
        <v>11176</v>
      </c>
    </row>
    <row r="967" spans="1:8">
      <c r="A967" s="30" t="s">
        <v>11187</v>
      </c>
      <c r="B967" s="30"/>
      <c r="C967" s="30" t="s">
        <v>8607</v>
      </c>
      <c r="D967" s="30" t="s">
        <v>10907</v>
      </c>
      <c r="E967" s="30" t="s">
        <v>8850</v>
      </c>
      <c r="F967" s="30" t="s">
        <v>8672</v>
      </c>
      <c r="G967" s="30" t="s">
        <v>8851</v>
      </c>
      <c r="H967" s="30" t="s">
        <v>11181</v>
      </c>
    </row>
    <row r="968" spans="1:8">
      <c r="A968" s="30" t="s">
        <v>11188</v>
      </c>
      <c r="B968" s="30"/>
      <c r="C968" s="30" t="s">
        <v>8607</v>
      </c>
      <c r="D968" s="30"/>
      <c r="E968" s="30"/>
      <c r="F968" s="30"/>
      <c r="G968" s="30" t="s">
        <v>10576</v>
      </c>
      <c r="H968" s="30" t="s">
        <v>11189</v>
      </c>
    </row>
    <row r="969" spans="1:8">
      <c r="A969" s="30" t="s">
        <v>11190</v>
      </c>
      <c r="B969" s="30"/>
      <c r="C969" s="30" t="s">
        <v>8607</v>
      </c>
      <c r="D969" s="30"/>
      <c r="E969" s="30"/>
      <c r="F969" s="30"/>
      <c r="G969" s="30" t="s">
        <v>11191</v>
      </c>
      <c r="H969" s="30" t="s">
        <v>11192</v>
      </c>
    </row>
    <row r="970" spans="1:8">
      <c r="A970" s="30" t="s">
        <v>11193</v>
      </c>
      <c r="B970" s="30"/>
      <c r="C970" s="30" t="s">
        <v>8607</v>
      </c>
      <c r="D970" s="30"/>
      <c r="E970" s="30"/>
      <c r="F970" s="30"/>
      <c r="G970" s="30" t="s">
        <v>8646</v>
      </c>
      <c r="H970" s="30" t="s">
        <v>11194</v>
      </c>
    </row>
    <row r="971" spans="1:8">
      <c r="A971" s="30" t="s">
        <v>11195</v>
      </c>
      <c r="B971" s="30"/>
      <c r="C971" s="30" t="s">
        <v>8607</v>
      </c>
      <c r="D971" s="30"/>
      <c r="E971" s="30"/>
      <c r="F971" s="30"/>
      <c r="G971" s="30" t="s">
        <v>8649</v>
      </c>
      <c r="H971" s="30" t="s">
        <v>10464</v>
      </c>
    </row>
    <row r="972" spans="1:8">
      <c r="A972" s="30" t="s">
        <v>11196</v>
      </c>
      <c r="B972" s="30"/>
      <c r="C972" s="30" t="s">
        <v>8607</v>
      </c>
      <c r="D972" s="30"/>
      <c r="E972" s="30"/>
      <c r="F972" s="30"/>
      <c r="G972" s="30" t="s">
        <v>10395</v>
      </c>
      <c r="H972" s="30" t="s">
        <v>11197</v>
      </c>
    </row>
    <row r="973" spans="1:8">
      <c r="A973" s="30" t="s">
        <v>11198</v>
      </c>
      <c r="B973" s="30"/>
      <c r="C973" s="30" t="s">
        <v>8626</v>
      </c>
      <c r="D973" s="30"/>
      <c r="E973" s="30"/>
      <c r="F973" s="30"/>
      <c r="G973" s="30" t="s">
        <v>8888</v>
      </c>
      <c r="H973" s="30" t="s">
        <v>8889</v>
      </c>
    </row>
    <row r="974" spans="1:8">
      <c r="A974" s="30" t="s">
        <v>11199</v>
      </c>
      <c r="B974" s="30"/>
      <c r="C974" s="30" t="s">
        <v>8607</v>
      </c>
      <c r="D974" s="30"/>
      <c r="E974" s="30"/>
      <c r="F974" s="30"/>
      <c r="G974" s="30"/>
      <c r="H974" s="30" t="s">
        <v>10698</v>
      </c>
    </row>
    <row r="975" spans="1:8">
      <c r="A975" s="30" t="s">
        <v>11200</v>
      </c>
      <c r="B975" s="30"/>
      <c r="C975" s="30" t="s">
        <v>8607</v>
      </c>
      <c r="D975" s="30" t="s">
        <v>8654</v>
      </c>
      <c r="E975" s="30"/>
      <c r="F975" s="30"/>
      <c r="G975" s="30" t="s">
        <v>8656</v>
      </c>
      <c r="H975" s="30" t="s">
        <v>11201</v>
      </c>
    </row>
    <row r="976" spans="1:8">
      <c r="A976" s="30" t="s">
        <v>11202</v>
      </c>
      <c r="B976" s="30"/>
      <c r="C976" s="30" t="s">
        <v>8607</v>
      </c>
      <c r="D976" s="30"/>
      <c r="E976" s="30"/>
      <c r="F976" s="30"/>
      <c r="G976" s="30" t="s">
        <v>8717</v>
      </c>
      <c r="H976" s="30" t="s">
        <v>11203</v>
      </c>
    </row>
    <row r="977" spans="1:8">
      <c r="A977" s="30" t="s">
        <v>11204</v>
      </c>
      <c r="B977" s="30"/>
      <c r="C977" s="30" t="s">
        <v>8626</v>
      </c>
      <c r="D977" s="30" t="s">
        <v>10208</v>
      </c>
      <c r="E977" s="30" t="s">
        <v>10209</v>
      </c>
      <c r="F977" s="30" t="s">
        <v>8672</v>
      </c>
      <c r="G977" s="30" t="s">
        <v>9002</v>
      </c>
      <c r="H977" s="30" t="s">
        <v>10546</v>
      </c>
    </row>
    <row r="978" spans="1:8">
      <c r="A978" s="30" t="s">
        <v>11205</v>
      </c>
      <c r="B978" s="30"/>
      <c r="C978" s="30" t="s">
        <v>8607</v>
      </c>
      <c r="D978" s="30"/>
      <c r="E978" s="30"/>
      <c r="F978" s="30"/>
      <c r="G978" s="30" t="s">
        <v>10205</v>
      </c>
      <c r="H978" s="30" t="s">
        <v>10206</v>
      </c>
    </row>
    <row r="979" spans="1:8">
      <c r="A979" s="30" t="s">
        <v>11206</v>
      </c>
      <c r="B979" s="30"/>
      <c r="C979" s="30" t="s">
        <v>8626</v>
      </c>
      <c r="D979" s="30"/>
      <c r="E979" s="30"/>
      <c r="F979" s="30"/>
      <c r="G979" s="30" t="s">
        <v>9358</v>
      </c>
      <c r="H979" s="30" t="s">
        <v>10276</v>
      </c>
    </row>
    <row r="980" spans="1:8">
      <c r="A980" s="30" t="s">
        <v>11207</v>
      </c>
      <c r="B980" s="30"/>
      <c r="C980" s="30" t="s">
        <v>8607</v>
      </c>
      <c r="D980" s="30" t="s">
        <v>10491</v>
      </c>
      <c r="E980" s="30" t="s">
        <v>10638</v>
      </c>
      <c r="F980" s="30" t="e">
        <v>#VALUE!</v>
      </c>
      <c r="G980" s="30" t="s">
        <v>9007</v>
      </c>
      <c r="H980" s="30" t="s">
        <v>11208</v>
      </c>
    </row>
    <row r="981" spans="1:8">
      <c r="A981" s="30" t="s">
        <v>11209</v>
      </c>
      <c r="B981" s="30"/>
      <c r="C981" s="30" t="s">
        <v>8626</v>
      </c>
      <c r="D981" s="30" t="s">
        <v>11210</v>
      </c>
      <c r="E981" s="30" t="s">
        <v>8671</v>
      </c>
      <c r="F981" s="30" t="s">
        <v>8672</v>
      </c>
      <c r="G981" s="30" t="s">
        <v>8673</v>
      </c>
      <c r="H981" s="30" t="s">
        <v>11211</v>
      </c>
    </row>
    <row r="982" spans="1:8">
      <c r="A982" s="30" t="s">
        <v>11212</v>
      </c>
      <c r="B982" s="30"/>
      <c r="C982" s="30" t="s">
        <v>8607</v>
      </c>
      <c r="D982" s="30"/>
      <c r="E982" s="30"/>
      <c r="F982" s="30"/>
      <c r="G982" s="30" t="s">
        <v>10438</v>
      </c>
      <c r="H982" s="30" t="s">
        <v>11213</v>
      </c>
    </row>
    <row r="983" spans="1:8">
      <c r="A983" s="30" t="s">
        <v>11214</v>
      </c>
      <c r="B983" s="30"/>
      <c r="C983" s="30" t="s">
        <v>8626</v>
      </c>
      <c r="D983" s="30" t="s">
        <v>10436</v>
      </c>
      <c r="E983" s="30"/>
      <c r="F983" s="30"/>
      <c r="G983" s="30" t="s">
        <v>9847</v>
      </c>
      <c r="H983" s="30" t="s">
        <v>10272</v>
      </c>
    </row>
    <row r="984" spans="1:8">
      <c r="A984" s="30" t="s">
        <v>11215</v>
      </c>
      <c r="B984" s="30"/>
      <c r="C984" s="30" t="s">
        <v>8607</v>
      </c>
      <c r="D984" s="30"/>
      <c r="E984" s="30"/>
      <c r="F984" s="30"/>
      <c r="G984" s="30" t="s">
        <v>10438</v>
      </c>
      <c r="H984" s="30" t="s">
        <v>11213</v>
      </c>
    </row>
    <row r="985" spans="1:8">
      <c r="A985" s="30" t="s">
        <v>11216</v>
      </c>
      <c r="B985" s="30"/>
      <c r="C985" s="30" t="s">
        <v>8626</v>
      </c>
      <c r="D985" s="30"/>
      <c r="E985" s="30"/>
      <c r="F985" s="30"/>
      <c r="G985" s="30" t="s">
        <v>9847</v>
      </c>
      <c r="H985" s="30" t="s">
        <v>11217</v>
      </c>
    </row>
    <row r="986" spans="1:8">
      <c r="A986" s="30" t="s">
        <v>11218</v>
      </c>
      <c r="B986" s="30"/>
      <c r="C986" s="30" t="s">
        <v>8626</v>
      </c>
      <c r="D986" s="30"/>
      <c r="E986" s="30"/>
      <c r="F986" s="30"/>
      <c r="G986" s="30" t="s">
        <v>9358</v>
      </c>
      <c r="H986" s="30" t="s">
        <v>10276</v>
      </c>
    </row>
    <row r="987" spans="1:8">
      <c r="A987" s="30" t="s">
        <v>11219</v>
      </c>
      <c r="B987" s="30"/>
      <c r="C987" s="30" t="s">
        <v>8607</v>
      </c>
      <c r="D987" s="30" t="s">
        <v>10491</v>
      </c>
      <c r="E987" s="30" t="s">
        <v>9006</v>
      </c>
      <c r="F987" s="30" t="e">
        <v>#VALUE!</v>
      </c>
      <c r="G987" s="30" t="s">
        <v>9007</v>
      </c>
      <c r="H987" s="30" t="s">
        <v>11208</v>
      </c>
    </row>
    <row r="988" spans="1:8">
      <c r="A988" s="30" t="s">
        <v>11220</v>
      </c>
      <c r="B988" s="30"/>
      <c r="C988" s="30" t="s">
        <v>8626</v>
      </c>
      <c r="D988" s="30"/>
      <c r="E988" s="30"/>
      <c r="F988" s="30"/>
      <c r="G988" s="30" t="s">
        <v>9847</v>
      </c>
      <c r="H988" s="30" t="s">
        <v>10272</v>
      </c>
    </row>
    <row r="989" spans="1:8">
      <c r="A989" s="30" t="s">
        <v>11221</v>
      </c>
      <c r="B989" s="30"/>
      <c r="C989" s="30" t="s">
        <v>8626</v>
      </c>
      <c r="D989" s="30"/>
      <c r="E989" s="30"/>
      <c r="F989" s="30"/>
      <c r="G989" s="30" t="s">
        <v>9358</v>
      </c>
      <c r="H989" s="30" t="s">
        <v>10276</v>
      </c>
    </row>
    <row r="990" spans="1:8">
      <c r="A990" s="30" t="s">
        <v>11222</v>
      </c>
      <c r="B990" s="30"/>
      <c r="C990" s="30" t="s">
        <v>8607</v>
      </c>
      <c r="D990" s="30" t="s">
        <v>10491</v>
      </c>
      <c r="E990" s="30" t="s">
        <v>9006</v>
      </c>
      <c r="F990" s="30" t="e">
        <v>#VALUE!</v>
      </c>
      <c r="G990" s="30" t="s">
        <v>9007</v>
      </c>
      <c r="H990" s="30" t="s">
        <v>11208</v>
      </c>
    </row>
    <row r="991" spans="1:8">
      <c r="A991" s="30" t="s">
        <v>11223</v>
      </c>
      <c r="B991" s="30"/>
      <c r="C991" s="30" t="s">
        <v>8607</v>
      </c>
      <c r="D991" s="30" t="s">
        <v>10377</v>
      </c>
      <c r="E991" s="30"/>
      <c r="F991" s="30"/>
      <c r="G991" s="30" t="s">
        <v>8737</v>
      </c>
      <c r="H991" s="30" t="s">
        <v>11224</v>
      </c>
    </row>
    <row r="992" spans="1:8">
      <c r="A992" s="30" t="s">
        <v>11225</v>
      </c>
      <c r="B992" s="30"/>
      <c r="C992" s="30" t="s">
        <v>8626</v>
      </c>
      <c r="D992" s="30" t="s">
        <v>11226</v>
      </c>
      <c r="E992" s="30" t="s">
        <v>10401</v>
      </c>
      <c r="F992" s="30" t="s">
        <v>8618</v>
      </c>
      <c r="G992" s="30"/>
      <c r="H992" s="30" t="s">
        <v>11227</v>
      </c>
    </row>
    <row r="993" spans="1:8">
      <c r="A993" s="30" t="s">
        <v>11228</v>
      </c>
      <c r="B993" s="30"/>
      <c r="C993" s="30" t="s">
        <v>8607</v>
      </c>
      <c r="D993" s="30" t="s">
        <v>10404</v>
      </c>
      <c r="E993" s="30" t="s">
        <v>10405</v>
      </c>
      <c r="F993" s="30" t="s">
        <v>8618</v>
      </c>
      <c r="G993" s="30" t="s">
        <v>8943</v>
      </c>
      <c r="H993" s="30" t="s">
        <v>11229</v>
      </c>
    </row>
    <row r="994" spans="1:8">
      <c r="A994" s="30" t="s">
        <v>11230</v>
      </c>
      <c r="B994" s="30"/>
      <c r="C994" s="30" t="s">
        <v>8607</v>
      </c>
      <c r="D994" s="30" t="s">
        <v>10334</v>
      </c>
      <c r="E994" s="30"/>
      <c r="F994" s="30"/>
      <c r="G994" s="30" t="s">
        <v>8695</v>
      </c>
      <c r="H994" s="30" t="s">
        <v>11231</v>
      </c>
    </row>
    <row r="995" spans="1:8">
      <c r="A995" s="30" t="s">
        <v>11232</v>
      </c>
      <c r="B995" s="30"/>
      <c r="C995" s="30" t="s">
        <v>8626</v>
      </c>
      <c r="D995" s="30"/>
      <c r="E995" s="30"/>
      <c r="F995" s="30"/>
      <c r="G995" s="30" t="s">
        <v>8698</v>
      </c>
      <c r="H995" s="30" t="s">
        <v>10346</v>
      </c>
    </row>
    <row r="996" spans="1:8">
      <c r="A996" s="30" t="s">
        <v>11233</v>
      </c>
      <c r="B996" s="30"/>
      <c r="C996" s="30" t="s">
        <v>8607</v>
      </c>
      <c r="D996" s="30" t="s">
        <v>10334</v>
      </c>
      <c r="E996" s="30"/>
      <c r="F996" s="30"/>
      <c r="G996" s="30" t="s">
        <v>8695</v>
      </c>
      <c r="H996" s="30" t="s">
        <v>11231</v>
      </c>
    </row>
    <row r="997" spans="1:8">
      <c r="A997" s="30" t="s">
        <v>11234</v>
      </c>
      <c r="B997" s="30"/>
      <c r="C997" s="30" t="s">
        <v>8626</v>
      </c>
      <c r="D997" s="30"/>
      <c r="E997" s="30"/>
      <c r="F997" s="30"/>
      <c r="G997" s="30" t="s">
        <v>8698</v>
      </c>
      <c r="H997" s="30" t="s">
        <v>10346</v>
      </c>
    </row>
    <row r="998" spans="1:8">
      <c r="A998" s="30" t="s">
        <v>11235</v>
      </c>
      <c r="B998" s="30"/>
      <c r="C998" s="30" t="s">
        <v>8607</v>
      </c>
      <c r="D998" s="30"/>
      <c r="E998" s="30" t="s">
        <v>8720</v>
      </c>
      <c r="F998" s="30" t="e">
        <v>#VALUE!</v>
      </c>
      <c r="G998" s="30" t="s">
        <v>8721</v>
      </c>
      <c r="H998" s="30" t="s">
        <v>8722</v>
      </c>
    </row>
    <row r="999" spans="1:8">
      <c r="A999" s="30" t="s">
        <v>11236</v>
      </c>
      <c r="B999" s="30"/>
      <c r="C999" s="30" t="s">
        <v>8626</v>
      </c>
      <c r="D999" s="30" t="s">
        <v>10334</v>
      </c>
      <c r="E999" s="30"/>
      <c r="F999" s="30"/>
      <c r="G999" s="30" t="s">
        <v>8695</v>
      </c>
      <c r="H999" s="30" t="s">
        <v>10768</v>
      </c>
    </row>
    <row r="1000" spans="1:8">
      <c r="A1000" s="30" t="s">
        <v>11237</v>
      </c>
      <c r="B1000" s="30"/>
      <c r="C1000" s="30" t="s">
        <v>8626</v>
      </c>
      <c r="D1000" s="30"/>
      <c r="E1000" s="30"/>
      <c r="F1000" s="30"/>
      <c r="G1000" s="30" t="s">
        <v>8698</v>
      </c>
      <c r="H1000" s="30" t="s">
        <v>10346</v>
      </c>
    </row>
    <row r="1001" spans="1:8">
      <c r="A1001" s="30" t="s">
        <v>11238</v>
      </c>
      <c r="B1001" s="30"/>
      <c r="C1001" s="30"/>
      <c r="D1001" s="32" t="s">
        <v>11239</v>
      </c>
      <c r="E1001" s="30"/>
      <c r="F1001" s="30"/>
      <c r="G1001" s="30"/>
      <c r="H1001" s="30" t="s">
        <v>11240</v>
      </c>
    </row>
    <row r="1002" spans="1:8">
      <c r="A1002" s="30" t="s">
        <v>11241</v>
      </c>
      <c r="B1002" s="30"/>
      <c r="C1002" s="30" t="s">
        <v>8626</v>
      </c>
      <c r="D1002" s="30" t="s">
        <v>8883</v>
      </c>
      <c r="E1002" s="30" t="s">
        <v>10307</v>
      </c>
      <c r="F1002" s="30" t="s">
        <v>8672</v>
      </c>
      <c r="G1002" s="30" t="s">
        <v>8885</v>
      </c>
      <c r="H1002" s="30" t="s">
        <v>10308</v>
      </c>
    </row>
    <row r="1003" spans="1:8">
      <c r="A1003" s="30" t="s">
        <v>11242</v>
      </c>
      <c r="B1003" s="30"/>
      <c r="C1003" s="30"/>
      <c r="D1003" s="32"/>
      <c r="E1003" s="30"/>
      <c r="F1003" s="30"/>
      <c r="G1003" s="30"/>
      <c r="H1003" s="30" t="s">
        <v>11243</v>
      </c>
    </row>
    <row r="1004" spans="1:8">
      <c r="A1004" s="30" t="s">
        <v>11244</v>
      </c>
      <c r="B1004" s="30"/>
      <c r="C1004" s="30" t="s">
        <v>8607</v>
      </c>
      <c r="D1004" s="30" t="s">
        <v>11245</v>
      </c>
      <c r="E1004" s="30" t="s">
        <v>10707</v>
      </c>
      <c r="F1004" s="30" t="s">
        <v>8618</v>
      </c>
      <c r="G1004" s="30" t="s">
        <v>8943</v>
      </c>
      <c r="H1004" s="30" t="s">
        <v>11246</v>
      </c>
    </row>
    <row r="1005" spans="1:8">
      <c r="A1005" s="30" t="s">
        <v>11247</v>
      </c>
      <c r="B1005" s="30"/>
      <c r="C1005" s="30" t="s">
        <v>8607</v>
      </c>
      <c r="D1005" s="30"/>
      <c r="E1005" s="30"/>
      <c r="F1005" s="30"/>
      <c r="G1005" s="30" t="s">
        <v>10395</v>
      </c>
      <c r="H1005" s="30" t="s">
        <v>11248</v>
      </c>
    </row>
    <row r="1006" spans="1:8">
      <c r="A1006" s="30" t="s">
        <v>11249</v>
      </c>
      <c r="B1006" s="30"/>
      <c r="C1006" s="30" t="s">
        <v>8607</v>
      </c>
      <c r="D1006" s="30" t="s">
        <v>8844</v>
      </c>
      <c r="E1006" s="30" t="s">
        <v>8845</v>
      </c>
      <c r="F1006" s="30" t="s">
        <v>8672</v>
      </c>
      <c r="G1006" s="30" t="s">
        <v>8846</v>
      </c>
      <c r="H1006" s="30" t="s">
        <v>10241</v>
      </c>
    </row>
    <row r="1007" spans="1:8">
      <c r="A1007" s="30" t="s">
        <v>11250</v>
      </c>
      <c r="B1007" s="30"/>
      <c r="C1007" s="30" t="s">
        <v>8607</v>
      </c>
      <c r="D1007" s="30" t="s">
        <v>10243</v>
      </c>
      <c r="E1007" s="30" t="s">
        <v>8850</v>
      </c>
      <c r="F1007" s="30" t="s">
        <v>8672</v>
      </c>
      <c r="G1007" s="30" t="s">
        <v>8851</v>
      </c>
      <c r="H1007" s="30" t="s">
        <v>10777</v>
      </c>
    </row>
    <row r="1008" spans="1:8">
      <c r="A1008" s="30" t="s">
        <v>11251</v>
      </c>
      <c r="B1008" s="30"/>
      <c r="C1008" s="30" t="s">
        <v>8607</v>
      </c>
      <c r="D1008" s="30" t="s">
        <v>10907</v>
      </c>
      <c r="E1008" s="30" t="s">
        <v>8850</v>
      </c>
      <c r="F1008" s="30" t="s">
        <v>8672</v>
      </c>
      <c r="G1008" s="30" t="s">
        <v>8851</v>
      </c>
      <c r="H1008" s="30" t="s">
        <v>10244</v>
      </c>
    </row>
    <row r="1009" spans="1:8">
      <c r="A1009" s="30" t="s">
        <v>11252</v>
      </c>
      <c r="B1009" s="30"/>
      <c r="C1009" s="30" t="s">
        <v>8626</v>
      </c>
      <c r="D1009" s="30" t="s">
        <v>9390</v>
      </c>
      <c r="E1009" s="30" t="s">
        <v>11253</v>
      </c>
      <c r="F1009" s="30" t="s">
        <v>8618</v>
      </c>
      <c r="G1009" s="30" t="s">
        <v>10234</v>
      </c>
      <c r="H1009" s="30" t="s">
        <v>11254</v>
      </c>
    </row>
    <row r="1010" spans="1:8">
      <c r="A1010" s="30" t="s">
        <v>11255</v>
      </c>
      <c r="B1010" s="30"/>
      <c r="C1010" s="30" t="s">
        <v>8607</v>
      </c>
      <c r="D1010" s="30"/>
      <c r="E1010" s="30"/>
      <c r="F1010" s="30"/>
      <c r="G1010" s="30" t="s">
        <v>8807</v>
      </c>
      <c r="H1010" s="30" t="s">
        <v>11256</v>
      </c>
    </row>
    <row r="1011" spans="1:8">
      <c r="A1011" s="30" t="s">
        <v>11257</v>
      </c>
      <c r="B1011" s="30"/>
      <c r="C1011" s="30" t="s">
        <v>8607</v>
      </c>
      <c r="D1011" s="30" t="s">
        <v>10907</v>
      </c>
      <c r="E1011" s="30" t="s">
        <v>8850</v>
      </c>
      <c r="F1011" s="30" t="s">
        <v>8672</v>
      </c>
      <c r="G1011" s="30" t="s">
        <v>8851</v>
      </c>
      <c r="H1011" s="30" t="s">
        <v>11181</v>
      </c>
    </row>
    <row r="1012" spans="1:8">
      <c r="A1012" s="30" t="s">
        <v>11258</v>
      </c>
      <c r="B1012" s="30"/>
      <c r="C1012" s="30" t="s">
        <v>8607</v>
      </c>
      <c r="D1012" s="30" t="s">
        <v>10243</v>
      </c>
      <c r="E1012" s="30" t="s">
        <v>8850</v>
      </c>
      <c r="F1012" s="30" t="s">
        <v>8672</v>
      </c>
      <c r="G1012" s="30" t="s">
        <v>8851</v>
      </c>
      <c r="H1012" s="30" t="s">
        <v>11259</v>
      </c>
    </row>
    <row r="1013" spans="1:8">
      <c r="A1013" s="30" t="s">
        <v>11260</v>
      </c>
      <c r="B1013" s="30"/>
      <c r="C1013" s="30" t="s">
        <v>8607</v>
      </c>
      <c r="D1013" s="30"/>
      <c r="E1013" s="30"/>
      <c r="F1013" s="30"/>
      <c r="G1013" s="30" t="s">
        <v>10205</v>
      </c>
      <c r="H1013" s="30" t="s">
        <v>11261</v>
      </c>
    </row>
    <row r="1014" spans="1:8">
      <c r="A1014" s="30" t="s">
        <v>11262</v>
      </c>
      <c r="B1014" s="30"/>
      <c r="C1014" s="30" t="s">
        <v>8607</v>
      </c>
      <c r="D1014" s="30"/>
      <c r="E1014" s="30"/>
      <c r="F1014" s="30"/>
      <c r="G1014" s="30"/>
      <c r="H1014" s="30" t="s">
        <v>11263</v>
      </c>
    </row>
    <row r="1015" spans="1:8">
      <c r="A1015" s="30" t="s">
        <v>11264</v>
      </c>
      <c r="B1015" s="30"/>
      <c r="C1015" s="30" t="s">
        <v>8607</v>
      </c>
      <c r="D1015" s="30"/>
      <c r="E1015" s="30" t="s">
        <v>8720</v>
      </c>
      <c r="F1015" s="30" t="e">
        <v>#VALUE!</v>
      </c>
      <c r="G1015" s="30" t="s">
        <v>8721</v>
      </c>
      <c r="H1015" s="30" t="s">
        <v>8722</v>
      </c>
    </row>
    <row r="1016" spans="1:8">
      <c r="A1016" s="30" t="s">
        <v>11265</v>
      </c>
      <c r="B1016" s="30"/>
      <c r="C1016" s="30" t="s">
        <v>8607</v>
      </c>
      <c r="D1016" s="30"/>
      <c r="E1016" s="30"/>
      <c r="F1016" s="30"/>
      <c r="G1016" s="30" t="s">
        <v>8721</v>
      </c>
      <c r="H1016" s="30" t="s">
        <v>8724</v>
      </c>
    </row>
    <row r="1017" spans="1:8">
      <c r="A1017" s="30" t="s">
        <v>11266</v>
      </c>
      <c r="B1017" s="30"/>
      <c r="C1017" s="30" t="s">
        <v>8626</v>
      </c>
      <c r="D1017" s="30" t="s">
        <v>11267</v>
      </c>
      <c r="E1017" s="30" t="s">
        <v>10209</v>
      </c>
      <c r="F1017" s="30" t="s">
        <v>8672</v>
      </c>
      <c r="G1017" s="30" t="s">
        <v>9002</v>
      </c>
      <c r="H1017" s="30" t="s">
        <v>11268</v>
      </c>
    </row>
    <row r="1018" spans="1:8">
      <c r="A1018" s="30" t="s">
        <v>11269</v>
      </c>
      <c r="B1018" s="30"/>
      <c r="C1018" s="30" t="s">
        <v>8626</v>
      </c>
      <c r="D1018" s="30" t="s">
        <v>11270</v>
      </c>
      <c r="E1018" s="30" t="s">
        <v>11271</v>
      </c>
      <c r="F1018" s="30" t="s">
        <v>8672</v>
      </c>
      <c r="G1018" s="30" t="s">
        <v>11272</v>
      </c>
      <c r="H1018" s="30" t="s">
        <v>11273</v>
      </c>
    </row>
    <row r="1019" spans="1:8">
      <c r="A1019" s="30" t="s">
        <v>11274</v>
      </c>
      <c r="B1019" s="30"/>
      <c r="C1019" s="30" t="s">
        <v>8607</v>
      </c>
      <c r="D1019" s="30" t="s">
        <v>10243</v>
      </c>
      <c r="E1019" s="30" t="s">
        <v>8850</v>
      </c>
      <c r="F1019" s="30" t="s">
        <v>8672</v>
      </c>
      <c r="G1019" s="30" t="s">
        <v>8851</v>
      </c>
      <c r="H1019" s="30" t="s">
        <v>11275</v>
      </c>
    </row>
    <row r="1020" spans="1:8">
      <c r="A1020" s="30" t="s">
        <v>11276</v>
      </c>
      <c r="B1020" s="30"/>
      <c r="C1020" s="30" t="s">
        <v>8607</v>
      </c>
      <c r="D1020" s="30"/>
      <c r="E1020" s="30"/>
      <c r="F1020" s="30"/>
      <c r="G1020" s="30" t="s">
        <v>8814</v>
      </c>
      <c r="H1020" s="30" t="s">
        <v>11277</v>
      </c>
    </row>
    <row r="1021" spans="1:8">
      <c r="A1021" s="30" t="s">
        <v>11278</v>
      </c>
      <c r="B1021" s="30"/>
      <c r="C1021" s="30" t="s">
        <v>8607</v>
      </c>
      <c r="D1021" s="30"/>
      <c r="E1021" s="30"/>
      <c r="F1021" s="30"/>
      <c r="G1021" s="30" t="s">
        <v>8807</v>
      </c>
      <c r="H1021" s="30" t="s">
        <v>11279</v>
      </c>
    </row>
    <row r="1022" spans="1:8">
      <c r="A1022" s="30" t="s">
        <v>11280</v>
      </c>
      <c r="B1022" s="30"/>
      <c r="C1022" s="30" t="s">
        <v>8607</v>
      </c>
      <c r="D1022" s="30" t="s">
        <v>8736</v>
      </c>
      <c r="E1022" s="30"/>
      <c r="F1022" s="30"/>
      <c r="G1022" s="30" t="s">
        <v>8737</v>
      </c>
      <c r="H1022" s="30" t="s">
        <v>11281</v>
      </c>
    </row>
    <row r="1023" spans="1:8">
      <c r="A1023" s="30" t="s">
        <v>11282</v>
      </c>
      <c r="B1023" s="30"/>
      <c r="C1023" s="30" t="s">
        <v>8607</v>
      </c>
      <c r="D1023" s="30" t="s">
        <v>8736</v>
      </c>
      <c r="E1023" s="30"/>
      <c r="F1023" s="30"/>
      <c r="G1023" s="30" t="s">
        <v>8737</v>
      </c>
      <c r="H1023" s="30" t="s">
        <v>11281</v>
      </c>
    </row>
    <row r="1024" spans="1:8">
      <c r="A1024" s="30" t="s">
        <v>11283</v>
      </c>
      <c r="B1024" s="30"/>
      <c r="C1024" s="30" t="s">
        <v>8607</v>
      </c>
      <c r="D1024" s="30"/>
      <c r="E1024" s="30" t="s">
        <v>11284</v>
      </c>
      <c r="F1024" s="30" t="s">
        <v>8618</v>
      </c>
      <c r="G1024" s="30" t="s">
        <v>8858</v>
      </c>
      <c r="H1024" s="30" t="s">
        <v>11285</v>
      </c>
    </row>
    <row r="1025" spans="1:8">
      <c r="A1025" s="30" t="s">
        <v>11286</v>
      </c>
      <c r="B1025" s="30"/>
      <c r="C1025" s="30" t="s">
        <v>8626</v>
      </c>
      <c r="D1025" s="30" t="s">
        <v>11287</v>
      </c>
      <c r="E1025" s="30" t="s">
        <v>11288</v>
      </c>
      <c r="F1025" s="30" t="s">
        <v>8618</v>
      </c>
      <c r="G1025" s="30" t="s">
        <v>10668</v>
      </c>
      <c r="H1025" s="30" t="s">
        <v>11289</v>
      </c>
    </row>
    <row r="1026" spans="1:8">
      <c r="A1026" s="30" t="s">
        <v>11290</v>
      </c>
      <c r="B1026" s="30"/>
      <c r="C1026" s="30" t="s">
        <v>8607</v>
      </c>
      <c r="D1026" s="30" t="s">
        <v>10780</v>
      </c>
      <c r="E1026" s="30"/>
      <c r="F1026" s="30"/>
      <c r="G1026" s="30" t="s">
        <v>10395</v>
      </c>
      <c r="H1026" s="30" t="s">
        <v>10781</v>
      </c>
    </row>
    <row r="1027" spans="1:8">
      <c r="A1027" s="30" t="s">
        <v>11291</v>
      </c>
      <c r="B1027" s="30"/>
      <c r="C1027" s="30" t="s">
        <v>8607</v>
      </c>
      <c r="D1027" s="30"/>
      <c r="E1027" s="30"/>
      <c r="F1027" s="30"/>
      <c r="G1027" s="30" t="s">
        <v>10320</v>
      </c>
      <c r="H1027" s="30" t="s">
        <v>10321</v>
      </c>
    </row>
    <row r="1028" spans="1:8">
      <c r="A1028" s="30" t="s">
        <v>11292</v>
      </c>
      <c r="B1028" s="30"/>
      <c r="C1028" s="30" t="s">
        <v>8607</v>
      </c>
      <c r="D1028" s="30"/>
      <c r="E1028" s="30"/>
      <c r="F1028" s="30"/>
      <c r="G1028" s="30" t="s">
        <v>10356</v>
      </c>
      <c r="H1028" s="30" t="s">
        <v>11293</v>
      </c>
    </row>
    <row r="1029" spans="1:8">
      <c r="A1029" s="30" t="s">
        <v>11294</v>
      </c>
      <c r="B1029" s="30"/>
      <c r="C1029" s="30"/>
      <c r="D1029" s="32" t="s">
        <v>11295</v>
      </c>
      <c r="E1029" s="30" t="s">
        <v>11296</v>
      </c>
      <c r="F1029" s="30" t="s">
        <v>8618</v>
      </c>
      <c r="G1029" s="30"/>
      <c r="H1029" s="30" t="s">
        <v>11297</v>
      </c>
    </row>
    <row r="1030" spans="1:8">
      <c r="A1030" s="30" t="s">
        <v>11298</v>
      </c>
      <c r="B1030" s="30"/>
      <c r="C1030" s="30" t="s">
        <v>8607</v>
      </c>
      <c r="D1030" s="30" t="s">
        <v>8894</v>
      </c>
      <c r="E1030" s="30"/>
      <c r="F1030" s="30"/>
      <c r="G1030" s="30" t="s">
        <v>8895</v>
      </c>
      <c r="H1030" s="30" t="s">
        <v>11299</v>
      </c>
    </row>
    <row r="1031" spans="1:8">
      <c r="A1031" s="30" t="s">
        <v>11300</v>
      </c>
      <c r="B1031" s="30"/>
      <c r="C1031" s="30" t="s">
        <v>8607</v>
      </c>
      <c r="D1031" s="30" t="s">
        <v>8894</v>
      </c>
      <c r="E1031" s="30"/>
      <c r="F1031" s="30"/>
      <c r="G1031" s="30" t="s">
        <v>8895</v>
      </c>
      <c r="H1031" s="30" t="s">
        <v>11299</v>
      </c>
    </row>
    <row r="1032" spans="1:8">
      <c r="A1032" s="30" t="s">
        <v>11301</v>
      </c>
      <c r="B1032" s="30"/>
      <c r="C1032" s="30" t="s">
        <v>8607</v>
      </c>
      <c r="D1032" s="30" t="s">
        <v>10404</v>
      </c>
      <c r="E1032" s="30" t="s">
        <v>10405</v>
      </c>
      <c r="F1032" s="30" t="s">
        <v>8618</v>
      </c>
      <c r="G1032" s="30" t="s">
        <v>8943</v>
      </c>
      <c r="H1032" s="30" t="s">
        <v>10617</v>
      </c>
    </row>
    <row r="1033" spans="1:8">
      <c r="A1033" s="30" t="s">
        <v>11302</v>
      </c>
      <c r="B1033" s="30"/>
      <c r="C1033" s="30" t="s">
        <v>8607</v>
      </c>
      <c r="D1033" s="30" t="s">
        <v>10377</v>
      </c>
      <c r="E1033" s="30"/>
      <c r="F1033" s="30"/>
      <c r="G1033" s="30" t="s">
        <v>8737</v>
      </c>
      <c r="H1033" s="30" t="s">
        <v>11303</v>
      </c>
    </row>
    <row r="1034" spans="1:8">
      <c r="A1034" s="30" t="s">
        <v>11304</v>
      </c>
      <c r="B1034" s="30"/>
      <c r="C1034" s="30" t="s">
        <v>8607</v>
      </c>
      <c r="D1034" s="30"/>
      <c r="E1034" s="30" t="s">
        <v>11305</v>
      </c>
      <c r="F1034" s="30" t="s">
        <v>8618</v>
      </c>
      <c r="G1034" s="30" t="s">
        <v>8908</v>
      </c>
      <c r="H1034" s="30" t="s">
        <v>8909</v>
      </c>
    </row>
    <row r="1035" spans="1:8">
      <c r="A1035" s="30" t="s">
        <v>11306</v>
      </c>
      <c r="B1035" s="30"/>
      <c r="C1035" s="30" t="s">
        <v>8626</v>
      </c>
      <c r="D1035" s="30" t="s">
        <v>11307</v>
      </c>
      <c r="E1035" s="30" t="s">
        <v>11308</v>
      </c>
      <c r="F1035" s="30" t="s">
        <v>8618</v>
      </c>
      <c r="G1035" s="30" t="s">
        <v>10234</v>
      </c>
      <c r="H1035" s="30" t="s">
        <v>11309</v>
      </c>
    </row>
    <row r="1036" spans="1:8">
      <c r="A1036" s="30" t="s">
        <v>11310</v>
      </c>
      <c r="B1036" s="30"/>
      <c r="C1036" s="30" t="s">
        <v>8607</v>
      </c>
      <c r="D1036" s="30" t="s">
        <v>8821</v>
      </c>
      <c r="E1036" s="30"/>
      <c r="F1036" s="30"/>
      <c r="G1036" s="30" t="s">
        <v>8737</v>
      </c>
      <c r="H1036" s="30" t="s">
        <v>11311</v>
      </c>
    </row>
    <row r="1037" spans="1:8">
      <c r="A1037" s="30" t="s">
        <v>11312</v>
      </c>
      <c r="B1037" s="30"/>
      <c r="C1037" s="30" t="s">
        <v>8626</v>
      </c>
      <c r="D1037" s="30"/>
      <c r="E1037" s="30"/>
      <c r="F1037" s="30"/>
      <c r="G1037" s="30" t="s">
        <v>11313</v>
      </c>
      <c r="H1037" s="30" t="s">
        <v>10305</v>
      </c>
    </row>
    <row r="1038" spans="1:8">
      <c r="A1038" s="30" t="s">
        <v>11314</v>
      </c>
      <c r="B1038" s="30"/>
      <c r="C1038" s="30" t="s">
        <v>8626</v>
      </c>
      <c r="D1038" s="30" t="s">
        <v>10310</v>
      </c>
      <c r="E1038" s="30" t="s">
        <v>11315</v>
      </c>
      <c r="F1038" s="30" t="s">
        <v>8672</v>
      </c>
      <c r="G1038" s="30" t="s">
        <v>10076</v>
      </c>
      <c r="H1038" s="30" t="s">
        <v>11316</v>
      </c>
    </row>
    <row r="1039" spans="1:8">
      <c r="A1039" s="30" t="s">
        <v>11317</v>
      </c>
      <c r="B1039" s="30"/>
      <c r="C1039" s="30" t="s">
        <v>8626</v>
      </c>
      <c r="D1039" s="30" t="s">
        <v>10310</v>
      </c>
      <c r="E1039" s="30" t="s">
        <v>11315</v>
      </c>
      <c r="F1039" s="30" t="s">
        <v>8672</v>
      </c>
      <c r="G1039" s="30" t="s">
        <v>10076</v>
      </c>
      <c r="H1039" s="30" t="s">
        <v>11316</v>
      </c>
    </row>
    <row r="1040" spans="1:8">
      <c r="A1040" s="30" t="s">
        <v>11318</v>
      </c>
      <c r="B1040" s="30"/>
      <c r="C1040" s="30" t="s">
        <v>8626</v>
      </c>
      <c r="D1040" s="30"/>
      <c r="E1040" s="30"/>
      <c r="F1040" s="30"/>
      <c r="G1040" s="30" t="s">
        <v>11313</v>
      </c>
      <c r="H1040" s="30" t="s">
        <v>10305</v>
      </c>
    </row>
    <row r="1041" spans="1:8">
      <c r="A1041" s="30" t="s">
        <v>11319</v>
      </c>
      <c r="B1041" s="30"/>
      <c r="C1041" s="30" t="s">
        <v>8607</v>
      </c>
      <c r="D1041" s="30"/>
      <c r="E1041" s="30"/>
      <c r="F1041" s="30"/>
      <c r="G1041" s="30" t="s">
        <v>8814</v>
      </c>
      <c r="H1041" s="30" t="s">
        <v>11320</v>
      </c>
    </row>
    <row r="1042" spans="1:8">
      <c r="A1042" s="30" t="s">
        <v>11321</v>
      </c>
      <c r="B1042" s="30"/>
      <c r="C1042" s="30" t="s">
        <v>8626</v>
      </c>
      <c r="D1042" s="30" t="s">
        <v>11322</v>
      </c>
      <c r="E1042" s="30" t="s">
        <v>11323</v>
      </c>
      <c r="F1042" s="30" t="s">
        <v>8618</v>
      </c>
      <c r="G1042" s="30" t="s">
        <v>9672</v>
      </c>
      <c r="H1042" s="30" t="s">
        <v>11324</v>
      </c>
    </row>
    <row r="1043" spans="1:8">
      <c r="A1043" s="30" t="s">
        <v>11325</v>
      </c>
      <c r="B1043" s="30"/>
      <c r="C1043" s="30" t="s">
        <v>8626</v>
      </c>
      <c r="D1043" s="30" t="s">
        <v>8821</v>
      </c>
      <c r="E1043" s="30"/>
      <c r="F1043" s="30"/>
      <c r="G1043" s="30" t="s">
        <v>8737</v>
      </c>
      <c r="H1043" s="30" t="s">
        <v>11326</v>
      </c>
    </row>
    <row r="1044" spans="1:8">
      <c r="A1044" s="30" t="s">
        <v>11327</v>
      </c>
      <c r="B1044" s="30"/>
      <c r="C1044" s="30" t="s">
        <v>8626</v>
      </c>
      <c r="D1044" s="30" t="s">
        <v>11328</v>
      </c>
      <c r="E1044" s="30" t="s">
        <v>8811</v>
      </c>
      <c r="F1044" s="30" t="e">
        <v>#VALUE!</v>
      </c>
      <c r="G1044" s="30" t="s">
        <v>8754</v>
      </c>
      <c r="H1044" s="30" t="s">
        <v>11329</v>
      </c>
    </row>
    <row r="1045" spans="1:8">
      <c r="A1045" s="30" t="s">
        <v>11330</v>
      </c>
      <c r="B1045" s="30"/>
      <c r="C1045" s="30" t="s">
        <v>8607</v>
      </c>
      <c r="D1045" s="30"/>
      <c r="E1045" s="30"/>
      <c r="F1045" s="30"/>
      <c r="G1045" s="30" t="s">
        <v>11331</v>
      </c>
      <c r="H1045" s="30" t="s">
        <v>11332</v>
      </c>
    </row>
    <row r="1046" spans="1:8">
      <c r="A1046" s="30" t="s">
        <v>11333</v>
      </c>
      <c r="B1046" s="30"/>
      <c r="C1046" s="30" t="s">
        <v>8607</v>
      </c>
      <c r="D1046" s="30"/>
      <c r="E1046" s="30"/>
      <c r="F1046" s="30"/>
      <c r="G1046" s="30" t="s">
        <v>11334</v>
      </c>
      <c r="H1046" s="30" t="s">
        <v>11335</v>
      </c>
    </row>
    <row r="1047" spans="1:8">
      <c r="A1047" s="30" t="s">
        <v>11336</v>
      </c>
      <c r="B1047" s="30"/>
      <c r="C1047" s="30" t="s">
        <v>8607</v>
      </c>
      <c r="D1047" s="30"/>
      <c r="E1047" s="30"/>
      <c r="F1047" s="30"/>
      <c r="G1047" s="30" t="s">
        <v>10205</v>
      </c>
      <c r="H1047" s="30" t="s">
        <v>10611</v>
      </c>
    </row>
    <row r="1048" spans="1:8">
      <c r="A1048" s="30" t="s">
        <v>11337</v>
      </c>
      <c r="B1048" s="30"/>
      <c r="C1048" s="30" t="s">
        <v>8626</v>
      </c>
      <c r="D1048" s="30" t="s">
        <v>10606</v>
      </c>
      <c r="E1048" s="30" t="s">
        <v>10209</v>
      </c>
      <c r="F1048" s="30" t="s">
        <v>8672</v>
      </c>
      <c r="G1048" s="30" t="s">
        <v>9002</v>
      </c>
      <c r="H1048" s="30" t="s">
        <v>11069</v>
      </c>
    </row>
    <row r="1049" spans="1:8">
      <c r="A1049" s="30" t="s">
        <v>11338</v>
      </c>
      <c r="B1049" s="30"/>
      <c r="C1049" s="30"/>
      <c r="D1049" s="32"/>
      <c r="E1049" s="30" t="s">
        <v>8868</v>
      </c>
      <c r="F1049" s="30" t="e">
        <v>#VALUE!</v>
      </c>
      <c r="G1049" s="30"/>
      <c r="H1049" s="30" t="s">
        <v>8741</v>
      </c>
    </row>
    <row r="1050" spans="1:8">
      <c r="A1050" s="30" t="s">
        <v>11339</v>
      </c>
      <c r="B1050" s="30"/>
      <c r="C1050" s="30" t="s">
        <v>8626</v>
      </c>
      <c r="D1050" s="30"/>
      <c r="E1050" s="30" t="s">
        <v>11340</v>
      </c>
      <c r="F1050" s="30" t="s">
        <v>8672</v>
      </c>
      <c r="G1050" s="30"/>
      <c r="H1050" s="30" t="s">
        <v>10886</v>
      </c>
    </row>
    <row r="1051" spans="1:8">
      <c r="A1051" s="30" t="s">
        <v>11341</v>
      </c>
      <c r="B1051" s="30"/>
      <c r="C1051" s="30" t="s">
        <v>8607</v>
      </c>
      <c r="D1051" s="30" t="s">
        <v>8736</v>
      </c>
      <c r="E1051" s="30"/>
      <c r="F1051" s="30"/>
      <c r="G1051" s="30" t="s">
        <v>8737</v>
      </c>
      <c r="H1051" s="30" t="s">
        <v>10407</v>
      </c>
    </row>
    <row r="1052" spans="1:8">
      <c r="A1052" s="30" t="s">
        <v>11342</v>
      </c>
      <c r="B1052" s="30"/>
      <c r="C1052" s="30" t="s">
        <v>8626</v>
      </c>
      <c r="D1052" s="30" t="s">
        <v>8736</v>
      </c>
      <c r="E1052" s="30"/>
      <c r="F1052" s="30"/>
      <c r="G1052" s="30" t="s">
        <v>8737</v>
      </c>
      <c r="H1052" s="30" t="s">
        <v>8738</v>
      </c>
    </row>
    <row r="1053" spans="1:8">
      <c r="A1053" s="30" t="s">
        <v>11343</v>
      </c>
      <c r="B1053" s="30"/>
      <c r="C1053" s="30" t="s">
        <v>8607</v>
      </c>
      <c r="D1053" s="30"/>
      <c r="E1053" s="30"/>
      <c r="F1053" s="30"/>
      <c r="G1053" s="30" t="s">
        <v>10395</v>
      </c>
      <c r="H1053" s="30" t="s">
        <v>10775</v>
      </c>
    </row>
    <row r="1054" spans="1:8">
      <c r="A1054" s="30" t="s">
        <v>11344</v>
      </c>
      <c r="B1054" s="30"/>
      <c r="C1054" s="30" t="s">
        <v>8607</v>
      </c>
      <c r="D1054" s="30"/>
      <c r="E1054" s="30" t="s">
        <v>10868</v>
      </c>
      <c r="F1054" s="30" t="s">
        <v>8618</v>
      </c>
      <c r="G1054" s="30" t="s">
        <v>8797</v>
      </c>
      <c r="H1054" s="30" t="s">
        <v>11345</v>
      </c>
    </row>
    <row r="1055" spans="1:8">
      <c r="A1055" s="30" t="s">
        <v>11346</v>
      </c>
      <c r="B1055" s="30"/>
      <c r="C1055" s="30" t="s">
        <v>8607</v>
      </c>
      <c r="D1055" s="30"/>
      <c r="E1055" s="30"/>
      <c r="F1055" s="30"/>
      <c r="G1055" s="30" t="s">
        <v>8737</v>
      </c>
      <c r="H1055" s="30" t="s">
        <v>11347</v>
      </c>
    </row>
    <row r="1056" spans="1:8">
      <c r="A1056" s="30" t="s">
        <v>11348</v>
      </c>
      <c r="B1056" s="30"/>
      <c r="C1056" s="30" t="s">
        <v>8607</v>
      </c>
      <c r="D1056" s="30" t="s">
        <v>11349</v>
      </c>
      <c r="E1056" s="30" t="s">
        <v>11350</v>
      </c>
      <c r="F1056" s="30" t="s">
        <v>8618</v>
      </c>
      <c r="G1056" s="30" t="s">
        <v>10292</v>
      </c>
      <c r="H1056" s="30" t="s">
        <v>11351</v>
      </c>
    </row>
    <row r="1057" spans="1:8">
      <c r="A1057" s="30" t="s">
        <v>11352</v>
      </c>
      <c r="B1057" s="30"/>
      <c r="C1057" s="30" t="s">
        <v>8626</v>
      </c>
      <c r="D1057" s="30" t="s">
        <v>11353</v>
      </c>
      <c r="E1057" s="30" t="s">
        <v>11354</v>
      </c>
      <c r="F1057" s="30" t="s">
        <v>8618</v>
      </c>
      <c r="G1057" s="30" t="s">
        <v>9672</v>
      </c>
      <c r="H1057" s="30" t="s">
        <v>11355</v>
      </c>
    </row>
    <row r="1058" spans="1:8">
      <c r="A1058" s="30" t="s">
        <v>11356</v>
      </c>
      <c r="B1058" s="30"/>
      <c r="C1058" s="30" t="s">
        <v>8607</v>
      </c>
      <c r="D1058" s="30" t="s">
        <v>8736</v>
      </c>
      <c r="E1058" s="30"/>
      <c r="F1058" s="30"/>
      <c r="G1058" s="30" t="s">
        <v>8737</v>
      </c>
      <c r="H1058" s="30" t="s">
        <v>8800</v>
      </c>
    </row>
    <row r="1059" spans="1:8">
      <c r="A1059" s="30" t="s">
        <v>11357</v>
      </c>
      <c r="B1059" s="30"/>
      <c r="C1059" s="30" t="s">
        <v>8607</v>
      </c>
      <c r="D1059" s="30"/>
      <c r="E1059" s="30"/>
      <c r="F1059" s="30"/>
      <c r="G1059" s="30"/>
      <c r="H1059" s="30" t="s">
        <v>8802</v>
      </c>
    </row>
    <row r="1060" spans="1:8">
      <c r="A1060" s="30" t="s">
        <v>11358</v>
      </c>
      <c r="B1060" s="30"/>
      <c r="C1060" s="30" t="s">
        <v>8607</v>
      </c>
      <c r="D1060" s="30" t="s">
        <v>8821</v>
      </c>
      <c r="E1060" s="30"/>
      <c r="F1060" s="30"/>
      <c r="G1060" s="30" t="s">
        <v>8737</v>
      </c>
      <c r="H1060" s="30" t="s">
        <v>11359</v>
      </c>
    </row>
    <row r="1061" spans="1:8">
      <c r="A1061" s="30" t="s">
        <v>11360</v>
      </c>
      <c r="B1061" s="30"/>
      <c r="C1061" s="30" t="s">
        <v>8607</v>
      </c>
      <c r="D1061" s="30" t="s">
        <v>8938</v>
      </c>
      <c r="E1061" s="30"/>
      <c r="F1061" s="30"/>
      <c r="G1061" s="30" t="s">
        <v>8737</v>
      </c>
      <c r="H1061" s="30" t="s">
        <v>10851</v>
      </c>
    </row>
    <row r="1062" spans="1:8">
      <c r="A1062" s="30" t="s">
        <v>11361</v>
      </c>
      <c r="B1062" s="30"/>
      <c r="C1062" s="30" t="s">
        <v>8626</v>
      </c>
      <c r="D1062" s="30" t="s">
        <v>11362</v>
      </c>
      <c r="E1062" s="30" t="s">
        <v>11363</v>
      </c>
      <c r="F1062" s="30" t="e">
        <v>#VALUE!</v>
      </c>
      <c r="G1062" s="30" t="s">
        <v>11364</v>
      </c>
      <c r="H1062" s="30" t="s">
        <v>11365</v>
      </c>
    </row>
    <row r="1063" spans="1:8">
      <c r="A1063" s="30" t="s">
        <v>11366</v>
      </c>
      <c r="B1063" s="30"/>
      <c r="C1063" s="30" t="s">
        <v>8626</v>
      </c>
      <c r="D1063" s="30" t="s">
        <v>11362</v>
      </c>
      <c r="E1063" s="30" t="s">
        <v>11363</v>
      </c>
      <c r="F1063" s="30" t="e">
        <v>#VALUE!</v>
      </c>
      <c r="G1063" s="30" t="s">
        <v>11364</v>
      </c>
      <c r="H1063" s="30" t="s">
        <v>11365</v>
      </c>
    </row>
    <row r="1064" spans="1:8">
      <c r="A1064" s="30" t="s">
        <v>11367</v>
      </c>
      <c r="B1064" s="30"/>
      <c r="C1064" s="30" t="s">
        <v>8607</v>
      </c>
      <c r="D1064" s="30" t="s">
        <v>8938</v>
      </c>
      <c r="E1064" s="30"/>
      <c r="F1064" s="30"/>
      <c r="G1064" s="30" t="s">
        <v>8737</v>
      </c>
      <c r="H1064" s="30" t="s">
        <v>10851</v>
      </c>
    </row>
    <row r="1065" spans="1:8">
      <c r="A1065" s="30" t="s">
        <v>11368</v>
      </c>
      <c r="B1065" s="30"/>
      <c r="C1065" s="30" t="s">
        <v>8607</v>
      </c>
      <c r="D1065" s="30"/>
      <c r="E1065" s="30" t="s">
        <v>11305</v>
      </c>
      <c r="F1065" s="30" t="s">
        <v>8618</v>
      </c>
      <c r="G1065" s="30" t="s">
        <v>8908</v>
      </c>
      <c r="H1065" s="30" t="s">
        <v>10636</v>
      </c>
    </row>
    <row r="1066" spans="1:8">
      <c r="A1066" s="30" t="s">
        <v>11369</v>
      </c>
      <c r="B1066" s="30"/>
      <c r="C1066" s="30" t="s">
        <v>8607</v>
      </c>
      <c r="D1066" s="30" t="s">
        <v>9799</v>
      </c>
      <c r="E1066" s="30"/>
      <c r="F1066" s="30"/>
      <c r="G1066" s="30" t="s">
        <v>8695</v>
      </c>
      <c r="H1066" s="30" t="s">
        <v>11370</v>
      </c>
    </row>
    <row r="1067" spans="1:8">
      <c r="A1067" s="30" t="s">
        <v>11371</v>
      </c>
      <c r="B1067" s="30"/>
      <c r="C1067" s="30" t="s">
        <v>8607</v>
      </c>
      <c r="D1067" s="30" t="s">
        <v>9799</v>
      </c>
      <c r="E1067" s="30"/>
      <c r="F1067" s="30"/>
      <c r="G1067" s="30" t="s">
        <v>8695</v>
      </c>
      <c r="H1067" s="30" t="s">
        <v>11370</v>
      </c>
    </row>
    <row r="1068" spans="1:8">
      <c r="A1068" s="30" t="s">
        <v>11372</v>
      </c>
      <c r="B1068" s="30"/>
      <c r="C1068" s="30" t="s">
        <v>8626</v>
      </c>
      <c r="D1068" s="30" t="s">
        <v>11373</v>
      </c>
      <c r="E1068" s="30" t="s">
        <v>11374</v>
      </c>
      <c r="F1068" s="30" t="s">
        <v>8672</v>
      </c>
      <c r="G1068" s="30" t="s">
        <v>11375</v>
      </c>
      <c r="H1068" s="30" t="s">
        <v>11376</v>
      </c>
    </row>
    <row r="1069" spans="1:8">
      <c r="A1069" s="30" t="s">
        <v>11377</v>
      </c>
      <c r="B1069" s="30"/>
      <c r="C1069" s="30" t="s">
        <v>8607</v>
      </c>
      <c r="D1069" s="30" t="s">
        <v>11378</v>
      </c>
      <c r="E1069" s="30" t="s">
        <v>11379</v>
      </c>
      <c r="F1069" s="30" t="s">
        <v>8672</v>
      </c>
      <c r="G1069" s="30" t="s">
        <v>9839</v>
      </c>
      <c r="H1069" s="30" t="s">
        <v>11380</v>
      </c>
    </row>
    <row r="1070" spans="1:8">
      <c r="A1070" s="30" t="s">
        <v>11381</v>
      </c>
      <c r="B1070" s="30"/>
      <c r="C1070" s="30"/>
      <c r="D1070" s="32" t="s">
        <v>11382</v>
      </c>
      <c r="E1070" s="30"/>
      <c r="F1070" s="30"/>
      <c r="G1070" s="30"/>
      <c r="H1070" s="30" t="s">
        <v>11383</v>
      </c>
    </row>
    <row r="1071" spans="1:8">
      <c r="A1071" s="30" t="s">
        <v>11384</v>
      </c>
      <c r="B1071" s="30"/>
      <c r="C1071" s="30" t="s">
        <v>8607</v>
      </c>
      <c r="D1071" s="30"/>
      <c r="E1071" s="30"/>
      <c r="F1071" s="30"/>
      <c r="G1071" s="30" t="s">
        <v>10220</v>
      </c>
      <c r="H1071" s="30" t="s">
        <v>10698</v>
      </c>
    </row>
    <row r="1072" spans="1:8">
      <c r="A1072" s="30" t="s">
        <v>11385</v>
      </c>
      <c r="B1072" s="30"/>
      <c r="C1072" s="30" t="s">
        <v>8626</v>
      </c>
      <c r="D1072" s="30" t="s">
        <v>9753</v>
      </c>
      <c r="E1072" s="30" t="s">
        <v>9754</v>
      </c>
      <c r="F1072" s="30" t="e">
        <v>#VALUE!</v>
      </c>
      <c r="G1072" s="30" t="s">
        <v>9755</v>
      </c>
      <c r="H1072" s="30" t="s">
        <v>11386</v>
      </c>
    </row>
    <row r="1073" spans="1:8">
      <c r="A1073" s="30" t="s">
        <v>11387</v>
      </c>
      <c r="B1073" s="30"/>
      <c r="C1073" s="30" t="s">
        <v>8626</v>
      </c>
      <c r="D1073" s="30" t="s">
        <v>10167</v>
      </c>
      <c r="E1073" s="30"/>
      <c r="F1073" s="30"/>
      <c r="G1073" s="30" t="s">
        <v>11388</v>
      </c>
      <c r="H1073" s="30" t="s">
        <v>11389</v>
      </c>
    </row>
    <row r="1074" spans="1:8">
      <c r="A1074" s="30" t="s">
        <v>11390</v>
      </c>
      <c r="B1074" s="30"/>
      <c r="C1074" s="30" t="s">
        <v>8607</v>
      </c>
      <c r="D1074" s="30" t="s">
        <v>8789</v>
      </c>
      <c r="E1074" s="30"/>
      <c r="F1074" s="30"/>
      <c r="G1074" s="30" t="s">
        <v>8633</v>
      </c>
      <c r="H1074" s="30" t="s">
        <v>11391</v>
      </c>
    </row>
    <row r="1075" spans="1:8">
      <c r="A1075" s="30" t="s">
        <v>11392</v>
      </c>
      <c r="B1075" s="30"/>
      <c r="C1075" s="30" t="s">
        <v>8607</v>
      </c>
      <c r="D1075" s="30"/>
      <c r="E1075" s="30"/>
      <c r="F1075" s="30"/>
      <c r="G1075" s="30" t="s">
        <v>8908</v>
      </c>
      <c r="H1075" s="30" t="s">
        <v>11393</v>
      </c>
    </row>
    <row r="1076" spans="1:8">
      <c r="A1076" s="30" t="s">
        <v>11394</v>
      </c>
      <c r="B1076" s="30"/>
      <c r="C1076" s="30" t="s">
        <v>8607</v>
      </c>
      <c r="D1076" s="30" t="s">
        <v>8654</v>
      </c>
      <c r="E1076" s="30"/>
      <c r="F1076" s="30"/>
      <c r="G1076" s="30" t="s">
        <v>8656</v>
      </c>
      <c r="H1076" s="30" t="s">
        <v>10690</v>
      </c>
    </row>
    <row r="1077" spans="1:8">
      <c r="A1077" s="30" t="s">
        <v>11395</v>
      </c>
      <c r="B1077" s="30"/>
      <c r="C1077" s="30" t="s">
        <v>8607</v>
      </c>
      <c r="D1077" s="30" t="s">
        <v>8736</v>
      </c>
      <c r="E1077" s="30"/>
      <c r="F1077" s="30"/>
      <c r="G1077" s="30" t="s">
        <v>8737</v>
      </c>
      <c r="H1077" s="30" t="s">
        <v>11396</v>
      </c>
    </row>
    <row r="1078" spans="1:8">
      <c r="A1078" s="30" t="s">
        <v>11397</v>
      </c>
      <c r="B1078" s="30"/>
      <c r="C1078" s="30" t="s">
        <v>8607</v>
      </c>
      <c r="D1078" s="30"/>
      <c r="E1078" s="30"/>
      <c r="F1078" s="30"/>
      <c r="G1078" s="30"/>
      <c r="H1078" s="30" t="s">
        <v>8802</v>
      </c>
    </row>
    <row r="1079" spans="1:8">
      <c r="A1079" s="30" t="s">
        <v>11398</v>
      </c>
      <c r="B1079" s="30"/>
      <c r="C1079" s="30" t="s">
        <v>8607</v>
      </c>
      <c r="D1079" s="30"/>
      <c r="E1079" s="30"/>
      <c r="F1079" s="30"/>
      <c r="G1079" s="30" t="s">
        <v>10220</v>
      </c>
      <c r="H1079" s="30" t="s">
        <v>11399</v>
      </c>
    </row>
    <row r="1080" spans="1:8">
      <c r="A1080" s="30" t="s">
        <v>11400</v>
      </c>
      <c r="B1080" s="30"/>
      <c r="C1080" s="30" t="s">
        <v>8626</v>
      </c>
      <c r="D1080" s="30" t="s">
        <v>11401</v>
      </c>
      <c r="E1080" s="30" t="s">
        <v>10374</v>
      </c>
      <c r="F1080" s="30" t="s">
        <v>8618</v>
      </c>
      <c r="G1080" s="30" t="s">
        <v>10234</v>
      </c>
      <c r="H1080" s="30" t="s">
        <v>11402</v>
      </c>
    </row>
    <row r="1081" spans="1:8">
      <c r="A1081" s="30" t="s">
        <v>11403</v>
      </c>
      <c r="B1081" s="30"/>
      <c r="C1081" s="30" t="s">
        <v>8607</v>
      </c>
      <c r="D1081" s="30"/>
      <c r="E1081" s="30"/>
      <c r="F1081" s="30"/>
      <c r="G1081" s="30" t="s">
        <v>8737</v>
      </c>
      <c r="H1081" s="30" t="s">
        <v>10084</v>
      </c>
    </row>
    <row r="1082" spans="1:8">
      <c r="A1082" s="30" t="s">
        <v>11404</v>
      </c>
      <c r="B1082" s="30"/>
      <c r="C1082" s="30" t="s">
        <v>8607</v>
      </c>
      <c r="D1082" s="30" t="s">
        <v>8632</v>
      </c>
      <c r="E1082" s="30"/>
      <c r="F1082" s="30"/>
      <c r="G1082" s="30" t="s">
        <v>8633</v>
      </c>
      <c r="H1082" s="30" t="s">
        <v>8790</v>
      </c>
    </row>
    <row r="1083" spans="1:8">
      <c r="A1083" s="30" t="s">
        <v>11405</v>
      </c>
      <c r="B1083" s="30"/>
      <c r="C1083" s="30" t="s">
        <v>8607</v>
      </c>
      <c r="D1083" s="30"/>
      <c r="E1083" s="30" t="s">
        <v>8636</v>
      </c>
      <c r="F1083" s="30" t="e">
        <v>#VALUE!</v>
      </c>
      <c r="G1083" s="30" t="s">
        <v>8637</v>
      </c>
      <c r="H1083" s="30" t="s">
        <v>8638</v>
      </c>
    </row>
    <row r="1084" spans="1:8">
      <c r="A1084" s="30" t="s">
        <v>11406</v>
      </c>
      <c r="B1084" s="30"/>
      <c r="C1084" s="30"/>
      <c r="D1084" s="32" t="s">
        <v>8871</v>
      </c>
      <c r="E1084" s="30" t="s">
        <v>11407</v>
      </c>
      <c r="F1084" s="30" t="s">
        <v>8618</v>
      </c>
      <c r="G1084" s="30"/>
      <c r="H1084" s="30" t="s">
        <v>11408</v>
      </c>
    </row>
    <row r="1085" spans="1:8">
      <c r="A1085" s="30" t="s">
        <v>11409</v>
      </c>
      <c r="B1085" s="30"/>
      <c r="C1085" s="30" t="s">
        <v>8626</v>
      </c>
      <c r="D1085" s="30"/>
      <c r="E1085" s="30"/>
      <c r="F1085" s="30"/>
      <c r="G1085" s="30" t="s">
        <v>10220</v>
      </c>
      <c r="H1085" s="30" t="s">
        <v>10278</v>
      </c>
    </row>
    <row r="1086" spans="1:8">
      <c r="A1086" s="30" t="s">
        <v>11410</v>
      </c>
      <c r="B1086" s="30"/>
      <c r="C1086" s="30" t="s">
        <v>8626</v>
      </c>
      <c r="D1086" s="30"/>
      <c r="E1086" s="30" t="s">
        <v>11411</v>
      </c>
      <c r="F1086" s="30" t="e">
        <v>#VALUE!</v>
      </c>
      <c r="G1086" s="30"/>
      <c r="H1086" s="30" t="s">
        <v>11412</v>
      </c>
    </row>
    <row r="1087" spans="1:8">
      <c r="A1087" s="30" t="s">
        <v>11413</v>
      </c>
      <c r="B1087" s="30"/>
      <c r="C1087" s="30"/>
      <c r="D1087" s="32"/>
      <c r="E1087" s="30"/>
      <c r="F1087" s="30"/>
      <c r="G1087" s="30"/>
      <c r="H1087" s="30" t="s">
        <v>11414</v>
      </c>
    </row>
    <row r="1088" spans="1:8">
      <c r="A1088" s="30" t="s">
        <v>11415</v>
      </c>
      <c r="B1088" s="30"/>
      <c r="C1088" s="30" t="s">
        <v>8626</v>
      </c>
      <c r="D1088" s="30" t="s">
        <v>10441</v>
      </c>
      <c r="E1088" s="30" t="s">
        <v>8671</v>
      </c>
      <c r="F1088" s="30" t="s">
        <v>8672</v>
      </c>
      <c r="G1088" s="30" t="s">
        <v>8673</v>
      </c>
      <c r="H1088" s="30" t="s">
        <v>11416</v>
      </c>
    </row>
    <row r="1089" spans="1:8">
      <c r="A1089" s="30" t="s">
        <v>11417</v>
      </c>
      <c r="B1089" s="30"/>
      <c r="C1089" s="30" t="s">
        <v>8626</v>
      </c>
      <c r="D1089" s="30" t="s">
        <v>10436</v>
      </c>
      <c r="E1089" s="30"/>
      <c r="F1089" s="30"/>
      <c r="G1089" s="30" t="s">
        <v>9847</v>
      </c>
      <c r="H1089" s="30" t="s">
        <v>10272</v>
      </c>
    </row>
    <row r="1090" spans="1:8">
      <c r="A1090" s="30" t="s">
        <v>11418</v>
      </c>
      <c r="B1090" s="30"/>
      <c r="C1090" s="30" t="s">
        <v>8607</v>
      </c>
      <c r="D1090" s="30"/>
      <c r="E1090" s="30"/>
      <c r="F1090" s="30"/>
      <c r="G1090" s="30" t="s">
        <v>10438</v>
      </c>
      <c r="H1090" s="30" t="s">
        <v>10439</v>
      </c>
    </row>
    <row r="1091" spans="1:8">
      <c r="A1091" s="30" t="s">
        <v>11419</v>
      </c>
      <c r="B1091" s="30"/>
      <c r="C1091" s="30" t="s">
        <v>8626</v>
      </c>
      <c r="D1091" s="30"/>
      <c r="E1091" s="30"/>
      <c r="F1091" s="30"/>
      <c r="G1091" s="30" t="s">
        <v>9358</v>
      </c>
      <c r="H1091" s="30" t="s">
        <v>10276</v>
      </c>
    </row>
    <row r="1092" spans="1:8">
      <c r="A1092" s="30" t="s">
        <v>11420</v>
      </c>
      <c r="B1092" s="30"/>
      <c r="C1092" s="30" t="s">
        <v>8607</v>
      </c>
      <c r="D1092" s="30" t="s">
        <v>10491</v>
      </c>
      <c r="E1092" s="30" t="s">
        <v>10638</v>
      </c>
      <c r="F1092" s="30" t="e">
        <v>#VALUE!</v>
      </c>
      <c r="G1092" s="30" t="s">
        <v>9007</v>
      </c>
      <c r="H1092" s="30" t="s">
        <v>11208</v>
      </c>
    </row>
    <row r="1093" spans="1:8">
      <c r="A1093" s="30" t="s">
        <v>11421</v>
      </c>
      <c r="B1093" s="30"/>
      <c r="C1093" s="30" t="s">
        <v>8626</v>
      </c>
      <c r="D1093" s="30"/>
      <c r="E1093" s="30" t="s">
        <v>11422</v>
      </c>
      <c r="F1093" s="30" t="e">
        <v>#VALUE!</v>
      </c>
      <c r="G1093" s="30"/>
      <c r="H1093" s="30" t="s">
        <v>11423</v>
      </c>
    </row>
    <row r="1094" spans="1:8">
      <c r="A1094" s="30" t="s">
        <v>11424</v>
      </c>
      <c r="B1094" s="30"/>
      <c r="C1094" s="30" t="s">
        <v>8626</v>
      </c>
      <c r="D1094" s="30"/>
      <c r="E1094" s="30"/>
      <c r="F1094" s="30"/>
      <c r="G1094" s="30" t="s">
        <v>9363</v>
      </c>
      <c r="H1094" s="30" t="s">
        <v>10520</v>
      </c>
    </row>
    <row r="1095" spans="1:8">
      <c r="A1095" s="30" t="s">
        <v>11425</v>
      </c>
      <c r="B1095" s="30"/>
      <c r="C1095" s="30" t="s">
        <v>8607</v>
      </c>
      <c r="D1095" s="30" t="s">
        <v>11426</v>
      </c>
      <c r="E1095" s="30"/>
      <c r="F1095" s="30"/>
      <c r="G1095" s="30" t="s">
        <v>8704</v>
      </c>
      <c r="H1095" s="30" t="s">
        <v>11427</v>
      </c>
    </row>
    <row r="1096" spans="1:8">
      <c r="A1096" s="30" t="s">
        <v>11428</v>
      </c>
      <c r="B1096" s="30"/>
      <c r="C1096" s="30" t="s">
        <v>8626</v>
      </c>
      <c r="D1096" s="30"/>
      <c r="E1096" s="30"/>
      <c r="F1096" s="30"/>
      <c r="G1096" s="30" t="s">
        <v>11010</v>
      </c>
      <c r="H1096" s="30" t="s">
        <v>11011</v>
      </c>
    </row>
    <row r="1097" spans="1:8">
      <c r="A1097" s="30" t="s">
        <v>11429</v>
      </c>
      <c r="B1097" s="30"/>
      <c r="C1097" s="30" t="s">
        <v>8607</v>
      </c>
      <c r="D1097" s="30"/>
      <c r="E1097" s="30"/>
      <c r="F1097" s="30"/>
      <c r="G1097" s="30" t="s">
        <v>10576</v>
      </c>
      <c r="H1097" s="30" t="s">
        <v>10577</v>
      </c>
    </row>
    <row r="1098" spans="1:8">
      <c r="A1098" s="30" t="s">
        <v>11430</v>
      </c>
      <c r="B1098" s="30"/>
      <c r="C1098" s="30" t="s">
        <v>8626</v>
      </c>
      <c r="D1098" s="30"/>
      <c r="E1098" s="30"/>
      <c r="F1098" s="30"/>
      <c r="G1098" s="30" t="s">
        <v>9209</v>
      </c>
      <c r="H1098" s="30" t="s">
        <v>10580</v>
      </c>
    </row>
    <row r="1099" spans="1:8">
      <c r="A1099" s="30" t="s">
        <v>11431</v>
      </c>
      <c r="B1099" s="30"/>
      <c r="C1099" s="30" t="s">
        <v>8607</v>
      </c>
      <c r="D1099" s="30" t="s">
        <v>11432</v>
      </c>
      <c r="E1099" s="30" t="s">
        <v>10583</v>
      </c>
      <c r="F1099" s="30" t="e">
        <v>#VALUE!</v>
      </c>
      <c r="G1099" s="30" t="s">
        <v>9219</v>
      </c>
      <c r="H1099" s="30" t="s">
        <v>10654</v>
      </c>
    </row>
    <row r="1100" spans="1:8">
      <c r="A1100" s="30" t="s">
        <v>11433</v>
      </c>
      <c r="B1100" s="30"/>
      <c r="C1100" s="30" t="s">
        <v>8607</v>
      </c>
      <c r="D1100" s="30" t="s">
        <v>8770</v>
      </c>
      <c r="E1100" s="30" t="s">
        <v>8771</v>
      </c>
      <c r="F1100" s="30" t="s">
        <v>8672</v>
      </c>
      <c r="G1100" s="30" t="s">
        <v>8659</v>
      </c>
      <c r="H1100" s="30" t="s">
        <v>8772</v>
      </c>
    </row>
    <row r="1101" spans="1:8">
      <c r="A1101" s="30" t="s">
        <v>11434</v>
      </c>
      <c r="B1101" s="30"/>
      <c r="C1101" s="30" t="s">
        <v>8607</v>
      </c>
      <c r="D1101" s="30"/>
      <c r="E1101" s="30"/>
      <c r="F1101" s="30"/>
      <c r="G1101" s="30" t="s">
        <v>8774</v>
      </c>
      <c r="H1101" s="30" t="s">
        <v>10594</v>
      </c>
    </row>
    <row r="1102" spans="1:8">
      <c r="A1102" s="30" t="s">
        <v>11435</v>
      </c>
      <c r="B1102" s="30"/>
      <c r="C1102" s="30" t="s">
        <v>8626</v>
      </c>
      <c r="D1102" s="30"/>
      <c r="E1102" s="30"/>
      <c r="F1102" s="30"/>
      <c r="G1102" s="30" t="s">
        <v>8888</v>
      </c>
      <c r="H1102" s="30" t="s">
        <v>8889</v>
      </c>
    </row>
    <row r="1103" spans="1:8">
      <c r="A1103" s="30" t="s">
        <v>11436</v>
      </c>
      <c r="B1103" s="30"/>
      <c r="C1103" s="30" t="s">
        <v>8626</v>
      </c>
      <c r="D1103" s="30" t="s">
        <v>10923</v>
      </c>
      <c r="E1103" s="30" t="s">
        <v>9547</v>
      </c>
      <c r="F1103" s="30" t="s">
        <v>8672</v>
      </c>
      <c r="G1103" s="30" t="s">
        <v>9366</v>
      </c>
      <c r="H1103" s="30" t="s">
        <v>11437</v>
      </c>
    </row>
    <row r="1104" spans="1:8">
      <c r="A1104" s="30" t="s">
        <v>11438</v>
      </c>
      <c r="B1104" s="30"/>
      <c r="C1104" s="30" t="s">
        <v>8626</v>
      </c>
      <c r="D1104" s="30"/>
      <c r="E1104" s="30"/>
      <c r="F1104" s="30"/>
      <c r="G1104" s="30" t="s">
        <v>10220</v>
      </c>
      <c r="H1104" s="30" t="s">
        <v>10278</v>
      </c>
    </row>
    <row r="1105" spans="1:8">
      <c r="A1105" s="30" t="s">
        <v>11439</v>
      </c>
      <c r="B1105" s="30"/>
      <c r="C1105" s="30"/>
      <c r="D1105" s="32"/>
      <c r="E1105" s="30"/>
      <c r="F1105" s="30"/>
      <c r="G1105" s="30"/>
      <c r="H1105" s="30" t="s">
        <v>11440</v>
      </c>
    </row>
    <row r="1106" spans="1:8">
      <c r="A1106" s="30" t="s">
        <v>11441</v>
      </c>
      <c r="B1106" s="30"/>
      <c r="C1106" s="30" t="s">
        <v>8626</v>
      </c>
      <c r="D1106" s="30"/>
      <c r="E1106" s="30"/>
      <c r="F1106" s="30"/>
      <c r="G1106" s="30"/>
      <c r="H1106" s="30" t="s">
        <v>11442</v>
      </c>
    </row>
    <row r="1107" spans="1:8">
      <c r="A1107" s="30" t="s">
        <v>11443</v>
      </c>
      <c r="B1107" s="30"/>
      <c r="C1107" s="30" t="s">
        <v>8607</v>
      </c>
      <c r="D1107" s="30" t="s">
        <v>9000</v>
      </c>
      <c r="E1107" s="30" t="s">
        <v>11444</v>
      </c>
      <c r="F1107" s="30" t="e">
        <v>#VALUE!</v>
      </c>
      <c r="G1107" s="30" t="s">
        <v>9002</v>
      </c>
      <c r="H1107" s="30" t="s">
        <v>11445</v>
      </c>
    </row>
    <row r="1108" spans="1:8">
      <c r="A1108" s="30" t="s">
        <v>11446</v>
      </c>
      <c r="B1108" s="30"/>
      <c r="C1108" s="30"/>
      <c r="D1108" s="32"/>
      <c r="E1108" s="30"/>
      <c r="F1108" s="30"/>
      <c r="G1108" s="30"/>
      <c r="H1108" s="30" t="s">
        <v>11447</v>
      </c>
    </row>
    <row r="1109" spans="1:8">
      <c r="A1109" s="30" t="s">
        <v>11448</v>
      </c>
      <c r="B1109" s="30"/>
      <c r="C1109" s="30" t="s">
        <v>8607</v>
      </c>
      <c r="D1109" s="30"/>
      <c r="E1109" s="30"/>
      <c r="F1109" s="30"/>
      <c r="G1109" s="30" t="s">
        <v>8623</v>
      </c>
      <c r="H1109" s="30" t="s">
        <v>11449</v>
      </c>
    </row>
    <row r="1110" spans="1:8">
      <c r="A1110" s="30" t="s">
        <v>11450</v>
      </c>
      <c r="B1110" s="30"/>
      <c r="C1110" s="30" t="s">
        <v>8607</v>
      </c>
      <c r="D1110" s="30" t="s">
        <v>8894</v>
      </c>
      <c r="E1110" s="30"/>
      <c r="F1110" s="30"/>
      <c r="G1110" s="30" t="s">
        <v>8895</v>
      </c>
      <c r="H1110" s="30" t="s">
        <v>10833</v>
      </c>
    </row>
    <row r="1111" spans="1:8">
      <c r="A1111" s="30" t="s">
        <v>11451</v>
      </c>
      <c r="B1111" s="30"/>
      <c r="C1111" s="30" t="s">
        <v>8607</v>
      </c>
      <c r="D1111" s="30"/>
      <c r="E1111" s="30"/>
      <c r="F1111" s="30"/>
      <c r="G1111" s="30" t="s">
        <v>8814</v>
      </c>
      <c r="H1111" s="30" t="s">
        <v>11086</v>
      </c>
    </row>
    <row r="1112" spans="1:8">
      <c r="A1112" s="30" t="s">
        <v>11452</v>
      </c>
      <c r="B1112" s="30"/>
      <c r="C1112" s="30" t="s">
        <v>8607</v>
      </c>
      <c r="D1112" s="30" t="s">
        <v>8821</v>
      </c>
      <c r="E1112" s="30"/>
      <c r="F1112" s="30"/>
      <c r="G1112" s="30" t="s">
        <v>8737</v>
      </c>
      <c r="H1112" s="30" t="s">
        <v>8822</v>
      </c>
    </row>
    <row r="1113" spans="1:8">
      <c r="A1113" s="30" t="s">
        <v>11453</v>
      </c>
      <c r="B1113" s="30"/>
      <c r="C1113" s="30" t="s">
        <v>8607</v>
      </c>
      <c r="D1113" s="30"/>
      <c r="E1113" s="30"/>
      <c r="F1113" s="30"/>
      <c r="G1113" s="30" t="s">
        <v>8804</v>
      </c>
      <c r="H1113" s="30" t="s">
        <v>8831</v>
      </c>
    </row>
    <row r="1114" spans="1:8">
      <c r="A1114" s="30" t="s">
        <v>11454</v>
      </c>
      <c r="B1114" s="30"/>
      <c r="C1114" s="30" t="s">
        <v>8607</v>
      </c>
      <c r="D1114" s="30" t="s">
        <v>8736</v>
      </c>
      <c r="E1114" s="30"/>
      <c r="F1114" s="30"/>
      <c r="G1114" s="30" t="s">
        <v>8737</v>
      </c>
      <c r="H1114" s="30" t="s">
        <v>11121</v>
      </c>
    </row>
    <row r="1115" spans="1:8">
      <c r="A1115" s="30" t="s">
        <v>11455</v>
      </c>
      <c r="B1115" s="30"/>
      <c r="C1115" s="30" t="s">
        <v>8607</v>
      </c>
      <c r="D1115" s="30"/>
      <c r="E1115" s="30"/>
      <c r="F1115" s="30"/>
      <c r="G1115" s="30"/>
      <c r="H1115" s="30" t="s">
        <v>8802</v>
      </c>
    </row>
    <row r="1116" spans="1:8">
      <c r="A1116" s="30" t="s">
        <v>11456</v>
      </c>
      <c r="B1116" s="30"/>
      <c r="C1116" s="30" t="s">
        <v>8626</v>
      </c>
      <c r="D1116" s="30"/>
      <c r="E1116" s="30"/>
      <c r="F1116" s="30"/>
      <c r="G1116" s="30" t="s">
        <v>10220</v>
      </c>
      <c r="H1116" s="30" t="s">
        <v>8842</v>
      </c>
    </row>
    <row r="1117" spans="1:8">
      <c r="A1117" s="30" t="s">
        <v>11457</v>
      </c>
      <c r="B1117" s="30"/>
      <c r="C1117" s="30" t="s">
        <v>8607</v>
      </c>
      <c r="D1117" s="30"/>
      <c r="E1117" s="30"/>
      <c r="F1117" s="30"/>
      <c r="G1117" s="30" t="s">
        <v>8807</v>
      </c>
      <c r="H1117" s="30" t="s">
        <v>8808</v>
      </c>
    </row>
    <row r="1118" spans="1:8">
      <c r="A1118" s="30" t="s">
        <v>11458</v>
      </c>
      <c r="B1118" s="30"/>
      <c r="C1118" s="30" t="s">
        <v>8626</v>
      </c>
      <c r="D1118" s="30"/>
      <c r="E1118" s="30"/>
      <c r="F1118" s="30"/>
      <c r="G1118" s="30" t="s">
        <v>9358</v>
      </c>
      <c r="H1118" s="30" t="s">
        <v>10276</v>
      </c>
    </row>
    <row r="1119" spans="1:8">
      <c r="A1119" s="30" t="s">
        <v>11459</v>
      </c>
      <c r="B1119" s="30"/>
      <c r="C1119" s="30" t="s">
        <v>8607</v>
      </c>
      <c r="D1119" s="30" t="s">
        <v>8666</v>
      </c>
      <c r="E1119" s="30"/>
      <c r="F1119" s="30"/>
      <c r="G1119" s="30" t="s">
        <v>8667</v>
      </c>
      <c r="H1119" s="30" t="s">
        <v>10970</v>
      </c>
    </row>
    <row r="1120" spans="1:8">
      <c r="A1120" s="30" t="s">
        <v>11460</v>
      </c>
      <c r="B1120" s="30"/>
      <c r="C1120" s="30" t="s">
        <v>8626</v>
      </c>
      <c r="D1120" s="30"/>
      <c r="E1120" s="30" t="s">
        <v>10972</v>
      </c>
      <c r="F1120" s="30" t="s">
        <v>8618</v>
      </c>
      <c r="G1120" s="30" t="s">
        <v>10973</v>
      </c>
      <c r="H1120" s="30" t="s">
        <v>10974</v>
      </c>
    </row>
    <row r="1121" spans="1:8">
      <c r="A1121" s="30" t="s">
        <v>11461</v>
      </c>
      <c r="B1121" s="30"/>
      <c r="C1121" s="30" t="s">
        <v>8607</v>
      </c>
      <c r="D1121" s="30" t="s">
        <v>10491</v>
      </c>
      <c r="E1121" s="30" t="s">
        <v>10638</v>
      </c>
      <c r="F1121" s="30" t="e">
        <v>#VALUE!</v>
      </c>
      <c r="G1121" s="30" t="s">
        <v>9007</v>
      </c>
      <c r="H1121" s="30" t="s">
        <v>11208</v>
      </c>
    </row>
    <row r="1122" spans="1:8">
      <c r="A1122" s="30" t="s">
        <v>11462</v>
      </c>
      <c r="B1122" s="30"/>
      <c r="C1122" s="30" t="s">
        <v>8607</v>
      </c>
      <c r="D1122" s="30" t="s">
        <v>11463</v>
      </c>
      <c r="E1122" s="30" t="s">
        <v>11464</v>
      </c>
      <c r="F1122" s="30" t="e">
        <v>#VALUE!</v>
      </c>
      <c r="G1122" s="30"/>
      <c r="H1122" s="30" t="s">
        <v>11465</v>
      </c>
    </row>
    <row r="1123" spans="1:8">
      <c r="A1123" s="30" t="s">
        <v>11466</v>
      </c>
      <c r="B1123" s="30"/>
      <c r="C1123" s="30" t="s">
        <v>8626</v>
      </c>
      <c r="D1123" s="30"/>
      <c r="E1123" s="30"/>
      <c r="F1123" s="30"/>
      <c r="G1123" s="30"/>
      <c r="H1123" s="30" t="s">
        <v>10520</v>
      </c>
    </row>
    <row r="1124" spans="1:8">
      <c r="A1124" s="30" t="s">
        <v>11467</v>
      </c>
      <c r="B1124" s="30"/>
      <c r="C1124" s="30" t="s">
        <v>8607</v>
      </c>
      <c r="D1124" s="30" t="s">
        <v>11468</v>
      </c>
      <c r="E1124" s="30"/>
      <c r="F1124" s="30"/>
      <c r="G1124" s="30" t="s">
        <v>8704</v>
      </c>
      <c r="H1124" s="30" t="s">
        <v>11469</v>
      </c>
    </row>
    <row r="1125" spans="1:8">
      <c r="A1125" s="30" t="s">
        <v>11470</v>
      </c>
      <c r="B1125" s="30"/>
      <c r="C1125" s="30" t="s">
        <v>8626</v>
      </c>
      <c r="D1125" s="30" t="s">
        <v>11471</v>
      </c>
      <c r="E1125" s="30" t="s">
        <v>11422</v>
      </c>
      <c r="F1125" s="30" t="e">
        <v>#VALUE!</v>
      </c>
      <c r="G1125" s="30" t="s">
        <v>8797</v>
      </c>
      <c r="H1125" s="30" t="s">
        <v>11472</v>
      </c>
    </row>
    <row r="1126" spans="1:8">
      <c r="A1126" s="30" t="s">
        <v>11473</v>
      </c>
      <c r="B1126" s="30"/>
      <c r="C1126" s="30" t="s">
        <v>8626</v>
      </c>
      <c r="D1126" s="30"/>
      <c r="E1126" s="30"/>
      <c r="F1126" s="30"/>
      <c r="G1126" s="30" t="s">
        <v>10220</v>
      </c>
      <c r="H1126" s="30" t="s">
        <v>10278</v>
      </c>
    </row>
    <row r="1127" spans="1:8">
      <c r="A1127" s="30" t="s">
        <v>11474</v>
      </c>
      <c r="B1127" s="30"/>
      <c r="C1127" s="30" t="s">
        <v>8607</v>
      </c>
      <c r="D1127" s="30" t="s">
        <v>8654</v>
      </c>
      <c r="E1127" s="30"/>
      <c r="F1127" s="30"/>
      <c r="G1127" s="30" t="s">
        <v>8656</v>
      </c>
      <c r="H1127" s="30" t="s">
        <v>10690</v>
      </c>
    </row>
    <row r="1128" spans="1:8">
      <c r="A1128" s="30" t="s">
        <v>11475</v>
      </c>
      <c r="B1128" s="30"/>
      <c r="C1128" s="30" t="s">
        <v>8607</v>
      </c>
      <c r="D1128" s="30"/>
      <c r="E1128" s="30" t="s">
        <v>11476</v>
      </c>
      <c r="F1128" s="30" t="e">
        <v>#VALUE!</v>
      </c>
      <c r="G1128" s="30" t="s">
        <v>8908</v>
      </c>
      <c r="H1128" s="30" t="s">
        <v>11477</v>
      </c>
    </row>
    <row r="1129" spans="1:8">
      <c r="A1129" s="30" t="s">
        <v>11478</v>
      </c>
      <c r="B1129" s="30"/>
      <c r="C1129" s="30" t="s">
        <v>8607</v>
      </c>
      <c r="D1129" s="30" t="s">
        <v>10334</v>
      </c>
      <c r="E1129" s="30"/>
      <c r="F1129" s="30"/>
      <c r="G1129" s="30" t="s">
        <v>8695</v>
      </c>
      <c r="H1129" s="30" t="s">
        <v>11479</v>
      </c>
    </row>
    <row r="1130" spans="1:8">
      <c r="A1130" s="30" t="s">
        <v>11480</v>
      </c>
      <c r="B1130" s="30"/>
      <c r="C1130" s="30" t="s">
        <v>8626</v>
      </c>
      <c r="D1130" s="30"/>
      <c r="E1130" s="30"/>
      <c r="F1130" s="30"/>
      <c r="G1130" s="30" t="s">
        <v>8698</v>
      </c>
      <c r="H1130" s="30" t="s">
        <v>10346</v>
      </c>
    </row>
    <row r="1131" spans="1:8">
      <c r="A1131" s="30" t="s">
        <v>11481</v>
      </c>
      <c r="B1131" s="30"/>
      <c r="C1131" s="30"/>
      <c r="D1131" s="32"/>
      <c r="E1131" s="30"/>
      <c r="F1131" s="30"/>
      <c r="G1131" s="30"/>
      <c r="H1131" s="30" t="s">
        <v>10337</v>
      </c>
    </row>
    <row r="1132" spans="1:8">
      <c r="A1132" s="30" t="s">
        <v>11482</v>
      </c>
      <c r="B1132" s="30"/>
      <c r="C1132" s="30" t="s">
        <v>8626</v>
      </c>
      <c r="D1132" s="30"/>
      <c r="E1132" s="30"/>
      <c r="F1132" s="30"/>
      <c r="G1132" s="30" t="s">
        <v>8714</v>
      </c>
      <c r="H1132" s="30" t="s">
        <v>8715</v>
      </c>
    </row>
    <row r="1133" spans="1:8">
      <c r="A1133" s="30" t="s">
        <v>11483</v>
      </c>
      <c r="B1133" s="30"/>
      <c r="C1133" s="30" t="s">
        <v>8607</v>
      </c>
      <c r="D1133" s="30"/>
      <c r="E1133" s="30"/>
      <c r="F1133" s="30"/>
      <c r="G1133" s="30" t="s">
        <v>8717</v>
      </c>
      <c r="H1133" s="30" t="s">
        <v>10344</v>
      </c>
    </row>
    <row r="1134" spans="1:8">
      <c r="A1134" s="30" t="s">
        <v>11484</v>
      </c>
      <c r="B1134" s="30"/>
      <c r="C1134" s="30" t="s">
        <v>8607</v>
      </c>
      <c r="D1134" s="30"/>
      <c r="E1134" s="30"/>
      <c r="F1134" s="30"/>
      <c r="G1134" s="30" t="s">
        <v>10395</v>
      </c>
      <c r="H1134" s="30" t="s">
        <v>11485</v>
      </c>
    </row>
    <row r="1135" spans="1:8">
      <c r="A1135" s="30" t="s">
        <v>11486</v>
      </c>
      <c r="B1135" s="30"/>
      <c r="C1135" s="30"/>
      <c r="D1135" s="32"/>
      <c r="E1135" s="30"/>
      <c r="F1135" s="30"/>
      <c r="G1135" s="30"/>
      <c r="H1135" s="30" t="s">
        <v>11487</v>
      </c>
    </row>
    <row r="1136" spans="1:8">
      <c r="A1136" s="30" t="s">
        <v>11488</v>
      </c>
      <c r="B1136" s="30"/>
      <c r="C1136" s="30" t="s">
        <v>8607</v>
      </c>
      <c r="D1136" s="30" t="s">
        <v>8938</v>
      </c>
      <c r="E1136" s="30"/>
      <c r="F1136" s="30"/>
      <c r="G1136" s="30" t="s">
        <v>8737</v>
      </c>
      <c r="H1136" s="30" t="s">
        <v>11224</v>
      </c>
    </row>
    <row r="1137" spans="1:8">
      <c r="A1137" s="30" t="s">
        <v>11489</v>
      </c>
      <c r="B1137" s="30"/>
      <c r="C1137" s="30" t="s">
        <v>8607</v>
      </c>
      <c r="D1137" s="30" t="s">
        <v>10404</v>
      </c>
      <c r="E1137" s="30" t="s">
        <v>10405</v>
      </c>
      <c r="F1137" s="30" t="s">
        <v>8618</v>
      </c>
      <c r="G1137" s="30" t="s">
        <v>8943</v>
      </c>
      <c r="H1137" s="30" t="s">
        <v>11229</v>
      </c>
    </row>
    <row r="1138" spans="1:8">
      <c r="A1138" s="30" t="s">
        <v>11490</v>
      </c>
      <c r="B1138" s="30"/>
      <c r="C1138" s="30" t="s">
        <v>8607</v>
      </c>
      <c r="D1138" s="30" t="s">
        <v>8654</v>
      </c>
      <c r="E1138" s="30"/>
      <c r="F1138" s="30"/>
      <c r="G1138" s="30" t="s">
        <v>8656</v>
      </c>
      <c r="H1138" s="30" t="s">
        <v>10690</v>
      </c>
    </row>
    <row r="1139" spans="1:8">
      <c r="A1139" s="30" t="s">
        <v>11491</v>
      </c>
      <c r="B1139" s="30"/>
      <c r="C1139" s="30" t="s">
        <v>8607</v>
      </c>
      <c r="D1139" s="30" t="s">
        <v>8654</v>
      </c>
      <c r="E1139" s="30"/>
      <c r="F1139" s="30"/>
      <c r="G1139" s="30" t="s">
        <v>8656</v>
      </c>
      <c r="H1139" s="30" t="s">
        <v>10690</v>
      </c>
    </row>
    <row r="1140" spans="1:8">
      <c r="A1140" s="30" t="s">
        <v>11492</v>
      </c>
      <c r="B1140" s="30"/>
      <c r="C1140" s="30" t="s">
        <v>8626</v>
      </c>
      <c r="D1140" s="30" t="s">
        <v>11493</v>
      </c>
      <c r="E1140" s="30" t="s">
        <v>9097</v>
      </c>
      <c r="F1140" s="30" t="s">
        <v>8618</v>
      </c>
      <c r="G1140" s="30" t="s">
        <v>9098</v>
      </c>
      <c r="H1140" s="30" t="s">
        <v>11494</v>
      </c>
    </row>
    <row r="1141" spans="1:8">
      <c r="A1141" s="30" t="s">
        <v>11495</v>
      </c>
      <c r="B1141" s="30"/>
      <c r="C1141" s="30" t="s">
        <v>8607</v>
      </c>
      <c r="D1141" s="30" t="s">
        <v>11496</v>
      </c>
      <c r="E1141" s="30" t="s">
        <v>11497</v>
      </c>
      <c r="F1141" s="30" t="s">
        <v>8672</v>
      </c>
      <c r="G1141" s="30" t="s">
        <v>9002</v>
      </c>
      <c r="H1141" s="30" t="s">
        <v>11498</v>
      </c>
    </row>
    <row r="1142" spans="1:8">
      <c r="A1142" s="30" t="s">
        <v>11499</v>
      </c>
      <c r="B1142" s="30"/>
      <c r="C1142" s="30" t="s">
        <v>8607</v>
      </c>
      <c r="D1142" s="30"/>
      <c r="E1142" s="30"/>
      <c r="F1142" s="30"/>
      <c r="G1142" s="30"/>
      <c r="H1142" s="30" t="s">
        <v>11500</v>
      </c>
    </row>
    <row r="1143" spans="1:8">
      <c r="A1143" s="30" t="s">
        <v>11501</v>
      </c>
      <c r="B1143" s="30"/>
      <c r="C1143" s="30" t="s">
        <v>8607</v>
      </c>
      <c r="D1143" s="30" t="s">
        <v>8632</v>
      </c>
      <c r="E1143" s="30" t="s">
        <v>11502</v>
      </c>
      <c r="F1143" s="30" t="s">
        <v>8672</v>
      </c>
      <c r="G1143" s="30" t="s">
        <v>8633</v>
      </c>
      <c r="H1143" s="30" t="s">
        <v>11503</v>
      </c>
    </row>
    <row r="1144" spans="1:8">
      <c r="A1144" s="30" t="s">
        <v>11504</v>
      </c>
      <c r="B1144" s="30"/>
      <c r="C1144" s="30" t="s">
        <v>8607</v>
      </c>
      <c r="D1144" s="30" t="s">
        <v>11505</v>
      </c>
      <c r="E1144" s="30" t="s">
        <v>8942</v>
      </c>
      <c r="F1144" s="30" t="s">
        <v>8618</v>
      </c>
      <c r="G1144" s="30" t="s">
        <v>8943</v>
      </c>
      <c r="H1144" s="30" t="s">
        <v>11506</v>
      </c>
    </row>
    <row r="1145" spans="1:8">
      <c r="A1145" s="30" t="s">
        <v>11507</v>
      </c>
      <c r="B1145" s="30"/>
      <c r="C1145" s="30" t="s">
        <v>8607</v>
      </c>
      <c r="D1145" s="30" t="s">
        <v>8666</v>
      </c>
      <c r="E1145" s="30"/>
      <c r="F1145" s="30"/>
      <c r="G1145" s="30" t="s">
        <v>8667</v>
      </c>
      <c r="H1145" s="30" t="s">
        <v>11508</v>
      </c>
    </row>
    <row r="1146" spans="1:8">
      <c r="A1146" s="30" t="s">
        <v>11509</v>
      </c>
      <c r="B1146" s="30"/>
      <c r="C1146" s="30" t="s">
        <v>8607</v>
      </c>
      <c r="D1146" s="30"/>
      <c r="E1146" s="30"/>
      <c r="F1146" s="30"/>
      <c r="G1146" s="30"/>
      <c r="H1146" s="30" t="s">
        <v>11510</v>
      </c>
    </row>
    <row r="1147" spans="1:8">
      <c r="A1147" s="30" t="s">
        <v>11511</v>
      </c>
      <c r="B1147" s="30"/>
      <c r="C1147" s="30" t="s">
        <v>8626</v>
      </c>
      <c r="D1147" s="30" t="s">
        <v>11512</v>
      </c>
      <c r="E1147" s="30" t="s">
        <v>11513</v>
      </c>
      <c r="F1147" s="30" t="s">
        <v>8618</v>
      </c>
      <c r="G1147" s="30"/>
      <c r="H1147" s="30" t="s">
        <v>11514</v>
      </c>
    </row>
    <row r="1148" spans="1:8">
      <c r="A1148" s="30" t="s">
        <v>11515</v>
      </c>
      <c r="B1148" s="30"/>
      <c r="C1148" s="30"/>
      <c r="D1148" s="32"/>
      <c r="E1148" s="30"/>
      <c r="F1148" s="30"/>
      <c r="G1148" s="30"/>
      <c r="H1148" s="30" t="s">
        <v>11516</v>
      </c>
    </row>
    <row r="1149" spans="1:8">
      <c r="A1149" s="30" t="s">
        <v>11517</v>
      </c>
      <c r="B1149" s="30"/>
      <c r="C1149" s="30" t="s">
        <v>8607</v>
      </c>
      <c r="D1149" s="30" t="s">
        <v>8789</v>
      </c>
      <c r="E1149" s="30"/>
      <c r="F1149" s="30"/>
      <c r="G1149" s="30" t="s">
        <v>8633</v>
      </c>
      <c r="H1149" s="30" t="s">
        <v>11518</v>
      </c>
    </row>
    <row r="1150" spans="1:8">
      <c r="A1150" s="30" t="s">
        <v>11519</v>
      </c>
      <c r="B1150" s="30"/>
      <c r="C1150" s="30" t="s">
        <v>8626</v>
      </c>
      <c r="D1150" s="30" t="s">
        <v>10400</v>
      </c>
      <c r="E1150" s="30" t="s">
        <v>10401</v>
      </c>
      <c r="F1150" s="30" t="s">
        <v>8618</v>
      </c>
      <c r="G1150" s="30" t="s">
        <v>8989</v>
      </c>
      <c r="H1150" s="30" t="s">
        <v>10402</v>
      </c>
    </row>
    <row r="1151" spans="1:8">
      <c r="A1151" s="30" t="s">
        <v>11520</v>
      </c>
      <c r="B1151" s="30"/>
      <c r="C1151" s="30" t="s">
        <v>8607</v>
      </c>
      <c r="D1151" s="30" t="s">
        <v>11521</v>
      </c>
      <c r="E1151" s="30" t="s">
        <v>10707</v>
      </c>
      <c r="F1151" s="30" t="s">
        <v>8618</v>
      </c>
      <c r="G1151" s="30" t="s">
        <v>8943</v>
      </c>
      <c r="H1151" s="30" t="s">
        <v>11522</v>
      </c>
    </row>
    <row r="1152" spans="1:8">
      <c r="A1152" s="30" t="s">
        <v>11523</v>
      </c>
      <c r="B1152" s="30"/>
      <c r="C1152" s="30" t="s">
        <v>8607</v>
      </c>
      <c r="D1152" s="30" t="s">
        <v>10377</v>
      </c>
      <c r="E1152" s="30"/>
      <c r="F1152" s="30"/>
      <c r="G1152" s="30" t="s">
        <v>8737</v>
      </c>
      <c r="H1152" s="30" t="s">
        <v>10398</v>
      </c>
    </row>
    <row r="1153" spans="1:8">
      <c r="A1153" s="30" t="s">
        <v>11524</v>
      </c>
      <c r="B1153" s="30"/>
      <c r="C1153" s="30" t="s">
        <v>8607</v>
      </c>
      <c r="D1153" s="30" t="s">
        <v>11525</v>
      </c>
      <c r="E1153" s="30" t="s">
        <v>11526</v>
      </c>
      <c r="F1153" s="30" t="s">
        <v>8672</v>
      </c>
      <c r="G1153" s="30" t="s">
        <v>11527</v>
      </c>
      <c r="H1153" s="30" t="s">
        <v>11528</v>
      </c>
    </row>
    <row r="1154" spans="1:8">
      <c r="A1154" s="30" t="s">
        <v>11529</v>
      </c>
      <c r="B1154" s="30"/>
      <c r="C1154" s="30"/>
      <c r="D1154" s="32"/>
      <c r="E1154" s="30"/>
      <c r="F1154" s="30"/>
      <c r="G1154" s="30"/>
      <c r="H1154" s="30" t="s">
        <v>11530</v>
      </c>
    </row>
    <row r="1155" spans="1:8">
      <c r="A1155" s="30" t="s">
        <v>11531</v>
      </c>
      <c r="B1155" s="30"/>
      <c r="C1155" s="30" t="s">
        <v>8626</v>
      </c>
      <c r="D1155" s="30"/>
      <c r="E1155" s="30" t="s">
        <v>10214</v>
      </c>
      <c r="F1155" s="30" t="e">
        <v>#VALUE!</v>
      </c>
      <c r="G1155" s="30" t="s">
        <v>8714</v>
      </c>
      <c r="H1155" s="30" t="s">
        <v>10305</v>
      </c>
    </row>
    <row r="1156" spans="1:8">
      <c r="A1156" s="30" t="s">
        <v>11532</v>
      </c>
      <c r="B1156" s="30"/>
      <c r="C1156" s="30" t="s">
        <v>8607</v>
      </c>
      <c r="D1156" s="30" t="s">
        <v>8707</v>
      </c>
      <c r="E1156" s="30"/>
      <c r="F1156" s="30"/>
      <c r="G1156" s="30" t="s">
        <v>8708</v>
      </c>
      <c r="H1156" s="30" t="s">
        <v>10542</v>
      </c>
    </row>
    <row r="1157" spans="1:8">
      <c r="A1157" s="30" t="s">
        <v>11533</v>
      </c>
      <c r="B1157" s="30"/>
      <c r="C1157" s="30" t="s">
        <v>8626</v>
      </c>
      <c r="D1157" s="30" t="s">
        <v>10208</v>
      </c>
      <c r="E1157" s="30" t="s">
        <v>10209</v>
      </c>
      <c r="F1157" s="30" t="s">
        <v>8672</v>
      </c>
      <c r="G1157" s="30" t="s">
        <v>9002</v>
      </c>
      <c r="H1157" s="30" t="s">
        <v>10546</v>
      </c>
    </row>
    <row r="1158" spans="1:8">
      <c r="A1158" s="30" t="s">
        <v>11534</v>
      </c>
      <c r="B1158" s="30"/>
      <c r="C1158" s="30" t="s">
        <v>8607</v>
      </c>
      <c r="D1158" s="30"/>
      <c r="E1158" s="30"/>
      <c r="F1158" s="30"/>
      <c r="G1158" s="30" t="s">
        <v>8711</v>
      </c>
      <c r="H1158" s="30" t="s">
        <v>11535</v>
      </c>
    </row>
    <row r="1159" spans="1:8">
      <c r="A1159" s="30" t="s">
        <v>11536</v>
      </c>
      <c r="B1159" s="30"/>
      <c r="C1159" s="30" t="s">
        <v>8607</v>
      </c>
      <c r="D1159" s="30"/>
      <c r="E1159" s="30"/>
      <c r="F1159" s="30"/>
      <c r="G1159" s="30" t="s">
        <v>10205</v>
      </c>
      <c r="H1159" s="30" t="s">
        <v>11261</v>
      </c>
    </row>
    <row r="1160" spans="1:8">
      <c r="A1160" s="30" t="s">
        <v>11537</v>
      </c>
      <c r="B1160" s="30"/>
      <c r="C1160" s="30" t="s">
        <v>8607</v>
      </c>
      <c r="D1160" s="30" t="s">
        <v>11538</v>
      </c>
      <c r="E1160" s="30" t="s">
        <v>11539</v>
      </c>
      <c r="F1160" s="30" t="s">
        <v>8672</v>
      </c>
      <c r="G1160" s="30" t="s">
        <v>11540</v>
      </c>
      <c r="H1160" s="30" t="s">
        <v>11541</v>
      </c>
    </row>
    <row r="1161" spans="1:8">
      <c r="A1161" s="30" t="s">
        <v>11542</v>
      </c>
      <c r="B1161" s="30"/>
      <c r="C1161" s="30" t="s">
        <v>8626</v>
      </c>
      <c r="D1161" s="30" t="s">
        <v>11543</v>
      </c>
      <c r="E1161" s="30" t="s">
        <v>10262</v>
      </c>
      <c r="F1161" s="30" t="s">
        <v>8672</v>
      </c>
      <c r="G1161" s="30" t="s">
        <v>11544</v>
      </c>
      <c r="H1161" s="30" t="s">
        <v>11545</v>
      </c>
    </row>
    <row r="1162" spans="1:8">
      <c r="A1162" s="30" t="s">
        <v>11546</v>
      </c>
      <c r="B1162" s="30"/>
      <c r="C1162" s="30"/>
      <c r="D1162" s="32" t="s">
        <v>11547</v>
      </c>
      <c r="E1162" s="30"/>
      <c r="F1162" s="30"/>
      <c r="G1162" s="30"/>
      <c r="H1162" s="30" t="s">
        <v>11548</v>
      </c>
    </row>
    <row r="1163" spans="1:8">
      <c r="A1163" s="30" t="s">
        <v>11549</v>
      </c>
      <c r="B1163" s="30"/>
      <c r="C1163" s="30" t="s">
        <v>8607</v>
      </c>
      <c r="D1163" s="30" t="s">
        <v>11550</v>
      </c>
      <c r="E1163" s="30" t="s">
        <v>11551</v>
      </c>
      <c r="F1163" s="30" t="e">
        <v>#VALUE!</v>
      </c>
      <c r="G1163" s="30" t="s">
        <v>9595</v>
      </c>
      <c r="H1163" s="30" t="s">
        <v>11552</v>
      </c>
    </row>
    <row r="1164" spans="1:8">
      <c r="A1164" s="30" t="s">
        <v>11553</v>
      </c>
      <c r="B1164" s="30"/>
      <c r="C1164" s="30" t="s">
        <v>8607</v>
      </c>
      <c r="D1164" s="30"/>
      <c r="E1164" s="30"/>
      <c r="F1164" s="30"/>
      <c r="G1164" s="30"/>
      <c r="H1164" s="30" t="s">
        <v>11554</v>
      </c>
    </row>
    <row r="1165" spans="1:8">
      <c r="A1165" s="30" t="s">
        <v>11555</v>
      </c>
      <c r="B1165" s="30"/>
      <c r="C1165" s="30" t="s">
        <v>8607</v>
      </c>
      <c r="D1165" s="30" t="s">
        <v>11556</v>
      </c>
      <c r="E1165" s="30"/>
      <c r="F1165" s="30"/>
      <c r="G1165" s="30" t="s">
        <v>10668</v>
      </c>
      <c r="H1165" s="30" t="s">
        <v>11557</v>
      </c>
    </row>
    <row r="1166" spans="1:8">
      <c r="A1166" s="30" t="s">
        <v>11558</v>
      </c>
      <c r="B1166" s="30"/>
      <c r="C1166" s="30" t="s">
        <v>8607</v>
      </c>
      <c r="D1166" s="30" t="s">
        <v>11559</v>
      </c>
      <c r="E1166" s="30" t="s">
        <v>11560</v>
      </c>
      <c r="F1166" s="30" t="s">
        <v>8672</v>
      </c>
      <c r="G1166" s="30" t="s">
        <v>8885</v>
      </c>
      <c r="H1166" s="30" t="s">
        <v>11561</v>
      </c>
    </row>
    <row r="1167" spans="1:8">
      <c r="A1167" s="30" t="s">
        <v>11562</v>
      </c>
      <c r="B1167" s="30"/>
      <c r="C1167" s="30" t="s">
        <v>8626</v>
      </c>
      <c r="D1167" s="30" t="s">
        <v>11322</v>
      </c>
      <c r="E1167" s="30" t="s">
        <v>11563</v>
      </c>
      <c r="F1167" s="30" t="s">
        <v>8618</v>
      </c>
      <c r="G1167" s="30" t="s">
        <v>9672</v>
      </c>
      <c r="H1167" s="30" t="s">
        <v>11564</v>
      </c>
    </row>
    <row r="1168" spans="1:8">
      <c r="A1168" s="30" t="s">
        <v>11565</v>
      </c>
      <c r="B1168" s="30"/>
      <c r="C1168" s="30" t="s">
        <v>8626</v>
      </c>
      <c r="D1168" s="30"/>
      <c r="E1168" s="30" t="s">
        <v>10214</v>
      </c>
      <c r="F1168" s="30" t="e">
        <v>#VALUE!</v>
      </c>
      <c r="G1168" s="30" t="s">
        <v>8714</v>
      </c>
      <c r="H1168" s="30" t="s">
        <v>10305</v>
      </c>
    </row>
    <row r="1169" spans="1:8">
      <c r="A1169" s="30" t="s">
        <v>11566</v>
      </c>
      <c r="B1169" s="30"/>
      <c r="C1169" s="30" t="s">
        <v>8626</v>
      </c>
      <c r="D1169" s="30" t="s">
        <v>8883</v>
      </c>
      <c r="E1169" s="30" t="s">
        <v>10307</v>
      </c>
      <c r="F1169" s="30" t="s">
        <v>8672</v>
      </c>
      <c r="G1169" s="30" t="s">
        <v>8885</v>
      </c>
      <c r="H1169" s="30" t="s">
        <v>10308</v>
      </c>
    </row>
    <row r="1170" spans="1:8">
      <c r="A1170" s="30" t="s">
        <v>11567</v>
      </c>
      <c r="B1170" s="30"/>
      <c r="C1170" s="30" t="s">
        <v>8607</v>
      </c>
      <c r="D1170" s="30" t="s">
        <v>9000</v>
      </c>
      <c r="E1170" s="30" t="s">
        <v>9706</v>
      </c>
      <c r="F1170" s="30" t="s">
        <v>8672</v>
      </c>
      <c r="G1170" s="30" t="s">
        <v>9002</v>
      </c>
      <c r="H1170" s="30" t="s">
        <v>11568</v>
      </c>
    </row>
    <row r="1171" spans="1:8">
      <c r="A1171" s="30" t="s">
        <v>11569</v>
      </c>
      <c r="B1171" s="30"/>
      <c r="C1171" s="30" t="s">
        <v>8607</v>
      </c>
      <c r="D1171" s="30" t="s">
        <v>8894</v>
      </c>
      <c r="E1171" s="30"/>
      <c r="F1171" s="30"/>
      <c r="G1171" s="30" t="s">
        <v>8895</v>
      </c>
      <c r="H1171" s="30" t="s">
        <v>11570</v>
      </c>
    </row>
    <row r="1172" spans="1:8">
      <c r="A1172" s="30" t="s">
        <v>11571</v>
      </c>
      <c r="B1172" s="30"/>
      <c r="C1172" s="30" t="s">
        <v>8626</v>
      </c>
      <c r="D1172" s="30" t="s">
        <v>11572</v>
      </c>
      <c r="E1172" s="30" t="s">
        <v>11000</v>
      </c>
      <c r="F1172" s="30" t="e">
        <v>#VALUE!</v>
      </c>
      <c r="G1172" s="30" t="s">
        <v>8623</v>
      </c>
      <c r="H1172" s="30" t="s">
        <v>11573</v>
      </c>
    </row>
    <row r="1173" spans="1:8">
      <c r="A1173" s="30" t="s">
        <v>11574</v>
      </c>
      <c r="B1173" s="30"/>
      <c r="C1173" s="30" t="s">
        <v>8626</v>
      </c>
      <c r="D1173" s="30"/>
      <c r="E1173" s="30"/>
      <c r="F1173" s="30"/>
      <c r="G1173" s="30"/>
      <c r="H1173" s="30" t="s">
        <v>11442</v>
      </c>
    </row>
    <row r="1174" spans="1:8">
      <c r="A1174" s="30" t="s">
        <v>11575</v>
      </c>
      <c r="B1174" s="30"/>
      <c r="C1174" s="30" t="s">
        <v>8626</v>
      </c>
      <c r="D1174" s="30" t="s">
        <v>11576</v>
      </c>
      <c r="E1174" s="30" t="s">
        <v>11577</v>
      </c>
      <c r="F1174" s="30" t="s">
        <v>8618</v>
      </c>
      <c r="G1174" s="30"/>
      <c r="H1174" s="30" t="s">
        <v>11578</v>
      </c>
    </row>
    <row r="1175" spans="1:8">
      <c r="A1175" s="30" t="s">
        <v>11579</v>
      </c>
      <c r="B1175" s="30"/>
      <c r="C1175" s="30" t="s">
        <v>8607</v>
      </c>
      <c r="D1175" s="30"/>
      <c r="E1175" s="30"/>
      <c r="F1175" s="30"/>
      <c r="G1175" s="30" t="s">
        <v>11580</v>
      </c>
      <c r="H1175" s="30" t="s">
        <v>11581</v>
      </c>
    </row>
    <row r="1176" spans="1:8">
      <c r="A1176" s="30" t="s">
        <v>11582</v>
      </c>
      <c r="B1176" s="30"/>
      <c r="C1176" s="30" t="s">
        <v>8607</v>
      </c>
      <c r="D1176" s="30"/>
      <c r="E1176" s="30"/>
      <c r="F1176" s="30"/>
      <c r="G1176" s="30" t="s">
        <v>9893</v>
      </c>
      <c r="H1176" s="30" t="s">
        <v>11583</v>
      </c>
    </row>
    <row r="1177" spans="1:8">
      <c r="A1177" s="30" t="s">
        <v>11584</v>
      </c>
      <c r="B1177" s="30"/>
      <c r="C1177" s="30" t="s">
        <v>8607</v>
      </c>
      <c r="D1177" s="30"/>
      <c r="E1177" s="30"/>
      <c r="F1177" s="30"/>
      <c r="G1177" s="30"/>
      <c r="H1177" s="30" t="s">
        <v>11013</v>
      </c>
    </row>
    <row r="1178" spans="1:8">
      <c r="A1178" s="30" t="s">
        <v>11585</v>
      </c>
      <c r="B1178" s="30"/>
      <c r="C1178" s="30" t="s">
        <v>8607</v>
      </c>
      <c r="D1178" s="30" t="s">
        <v>11586</v>
      </c>
      <c r="E1178" s="30" t="s">
        <v>11587</v>
      </c>
      <c r="F1178" s="30" t="s">
        <v>8672</v>
      </c>
      <c r="G1178" s="30" t="s">
        <v>11540</v>
      </c>
      <c r="H1178" s="30" t="s">
        <v>11588</v>
      </c>
    </row>
    <row r="1179" spans="1:8">
      <c r="A1179" s="30" t="s">
        <v>11589</v>
      </c>
      <c r="B1179" s="30"/>
      <c r="C1179" s="30" t="s">
        <v>8607</v>
      </c>
      <c r="D1179" s="30"/>
      <c r="E1179" s="30"/>
      <c r="F1179" s="30"/>
      <c r="G1179" s="30"/>
      <c r="H1179" s="30" t="s">
        <v>11590</v>
      </c>
    </row>
    <row r="1180" spans="1:8">
      <c r="A1180" s="30" t="s">
        <v>11591</v>
      </c>
      <c r="B1180" s="30"/>
      <c r="C1180" s="30" t="s">
        <v>8607</v>
      </c>
      <c r="D1180" s="30" t="s">
        <v>11592</v>
      </c>
      <c r="E1180" s="30" t="s">
        <v>11593</v>
      </c>
      <c r="F1180" s="30" t="e">
        <v>#VALUE!</v>
      </c>
      <c r="G1180" s="30" t="s">
        <v>11594</v>
      </c>
      <c r="H1180" s="30" t="s">
        <v>11595</v>
      </c>
    </row>
    <row r="1181" spans="1:8">
      <c r="A1181" s="30" t="s">
        <v>11596</v>
      </c>
      <c r="B1181" s="30"/>
      <c r="C1181" s="30" t="s">
        <v>8626</v>
      </c>
      <c r="D1181" s="30" t="s">
        <v>11597</v>
      </c>
      <c r="E1181" s="30" t="s">
        <v>10179</v>
      </c>
      <c r="F1181" s="30" t="s">
        <v>8618</v>
      </c>
      <c r="G1181" s="30"/>
      <c r="H1181" s="30" t="s">
        <v>10362</v>
      </c>
    </row>
    <row r="1182" spans="1:8">
      <c r="A1182" s="30" t="s">
        <v>11598</v>
      </c>
      <c r="B1182" s="30"/>
      <c r="C1182" s="30" t="s">
        <v>8607</v>
      </c>
      <c r="D1182" s="30" t="s">
        <v>11599</v>
      </c>
      <c r="E1182" s="30"/>
      <c r="F1182" s="30"/>
      <c r="G1182" s="30" t="s">
        <v>8943</v>
      </c>
      <c r="H1182" s="30" t="s">
        <v>10708</v>
      </c>
    </row>
    <row r="1183" spans="1:8">
      <c r="A1183" s="30" t="s">
        <v>11600</v>
      </c>
      <c r="B1183" s="30"/>
      <c r="C1183" s="30" t="s">
        <v>8607</v>
      </c>
      <c r="D1183" s="30" t="s">
        <v>11245</v>
      </c>
      <c r="E1183" s="30" t="s">
        <v>10405</v>
      </c>
      <c r="F1183" s="30" t="s">
        <v>8618</v>
      </c>
      <c r="G1183" s="30" t="s">
        <v>8943</v>
      </c>
      <c r="H1183" s="30" t="s">
        <v>11246</v>
      </c>
    </row>
    <row r="1184" spans="1:8">
      <c r="A1184" s="30" t="s">
        <v>11601</v>
      </c>
      <c r="B1184" s="30"/>
      <c r="C1184" s="30" t="s">
        <v>8607</v>
      </c>
      <c r="D1184" s="30" t="s">
        <v>8821</v>
      </c>
      <c r="E1184" s="30"/>
      <c r="F1184" s="30"/>
      <c r="G1184" s="30" t="s">
        <v>8737</v>
      </c>
      <c r="H1184" s="30" t="s">
        <v>8939</v>
      </c>
    </row>
    <row r="1185" spans="1:8">
      <c r="A1185" s="30" t="s">
        <v>11602</v>
      </c>
      <c r="B1185" s="30"/>
      <c r="C1185" s="30" t="s">
        <v>8626</v>
      </c>
      <c r="D1185" s="30"/>
      <c r="E1185" s="30" t="s">
        <v>8628</v>
      </c>
      <c r="F1185" s="30" t="e">
        <v>#VALUE!</v>
      </c>
      <c r="G1185" s="30" t="s">
        <v>8623</v>
      </c>
      <c r="H1185" s="30" t="s">
        <v>11603</v>
      </c>
    </row>
    <row r="1186" spans="1:8">
      <c r="A1186" s="30" t="s">
        <v>11604</v>
      </c>
      <c r="B1186" s="30"/>
      <c r="C1186" s="30" t="s">
        <v>8626</v>
      </c>
      <c r="D1186" s="30" t="s">
        <v>11605</v>
      </c>
      <c r="E1186" s="30" t="s">
        <v>11606</v>
      </c>
      <c r="F1186" s="30" t="e">
        <v>#VALUE!</v>
      </c>
      <c r="G1186" s="30" t="s">
        <v>11607</v>
      </c>
      <c r="H1186" s="30" t="s">
        <v>11608</v>
      </c>
    </row>
    <row r="1187" spans="1:8">
      <c r="A1187" s="30" t="s">
        <v>11609</v>
      </c>
      <c r="B1187" s="30"/>
      <c r="C1187" s="30"/>
      <c r="D1187" s="32"/>
      <c r="E1187" s="30"/>
      <c r="F1187" s="30"/>
      <c r="G1187" s="30"/>
      <c r="H1187" s="30" t="s">
        <v>11610</v>
      </c>
    </row>
    <row r="1188" spans="1:8">
      <c r="A1188" s="30" t="s">
        <v>11611</v>
      </c>
      <c r="B1188" s="30"/>
      <c r="C1188" s="30" t="s">
        <v>8626</v>
      </c>
      <c r="D1188" s="30"/>
      <c r="E1188" s="30"/>
      <c r="F1188" s="30"/>
      <c r="G1188" s="30" t="s">
        <v>8949</v>
      </c>
      <c r="H1188" s="30" t="s">
        <v>8950</v>
      </c>
    </row>
    <row r="1189" spans="1:8">
      <c r="A1189" s="30" t="s">
        <v>11612</v>
      </c>
      <c r="B1189" s="30"/>
      <c r="C1189" s="30" t="s">
        <v>8607</v>
      </c>
      <c r="D1189" s="30" t="s">
        <v>8770</v>
      </c>
      <c r="E1189" s="30" t="s">
        <v>8771</v>
      </c>
      <c r="F1189" s="30" t="s">
        <v>8672</v>
      </c>
      <c r="G1189" s="30" t="s">
        <v>8659</v>
      </c>
      <c r="H1189" s="30" t="s">
        <v>8772</v>
      </c>
    </row>
    <row r="1190" spans="1:8">
      <c r="A1190" s="30" t="s">
        <v>11613</v>
      </c>
      <c r="B1190" s="30"/>
      <c r="C1190" s="30" t="s">
        <v>8607</v>
      </c>
      <c r="D1190" s="30"/>
      <c r="E1190" s="30"/>
      <c r="F1190" s="30"/>
      <c r="G1190" s="30" t="s">
        <v>8774</v>
      </c>
      <c r="H1190" s="30" t="s">
        <v>8775</v>
      </c>
    </row>
    <row r="1191" spans="1:8">
      <c r="A1191" s="30" t="s">
        <v>11614</v>
      </c>
      <c r="B1191" s="30"/>
      <c r="C1191" s="30" t="s">
        <v>8607</v>
      </c>
      <c r="D1191" s="30"/>
      <c r="E1191" s="30"/>
      <c r="F1191" s="30"/>
      <c r="G1191" s="30"/>
      <c r="H1191" s="30" t="s">
        <v>8779</v>
      </c>
    </row>
    <row r="1192" spans="1:8">
      <c r="A1192" s="30" t="s">
        <v>11615</v>
      </c>
      <c r="B1192" s="30"/>
      <c r="C1192" s="30" t="s">
        <v>8607</v>
      </c>
      <c r="D1192" s="30" t="s">
        <v>9824</v>
      </c>
      <c r="E1192" s="30" t="s">
        <v>11616</v>
      </c>
      <c r="F1192" s="30" t="s">
        <v>8672</v>
      </c>
      <c r="G1192" s="30" t="s">
        <v>9002</v>
      </c>
      <c r="H1192" s="30" t="s">
        <v>11617</v>
      </c>
    </row>
    <row r="1193" spans="1:8">
      <c r="A1193" s="30" t="s">
        <v>11618</v>
      </c>
      <c r="B1193" s="30"/>
      <c r="C1193" s="30" t="s">
        <v>8626</v>
      </c>
      <c r="D1193" s="30" t="s">
        <v>11619</v>
      </c>
      <c r="E1193" s="30" t="s">
        <v>11620</v>
      </c>
      <c r="F1193" s="30" t="e">
        <v>#VALUE!</v>
      </c>
      <c r="G1193" s="30" t="s">
        <v>10973</v>
      </c>
      <c r="H1193" s="30" t="s">
        <v>11621</v>
      </c>
    </row>
    <row r="1194" spans="1:8">
      <c r="A1194" s="30" t="s">
        <v>11622</v>
      </c>
      <c r="B1194" s="30"/>
      <c r="C1194" s="30" t="s">
        <v>8607</v>
      </c>
      <c r="D1194" s="30"/>
      <c r="E1194" s="30" t="s">
        <v>11623</v>
      </c>
      <c r="F1194" s="30" t="s">
        <v>8618</v>
      </c>
      <c r="G1194" s="30" t="s">
        <v>8623</v>
      </c>
      <c r="H1194" s="30" t="s">
        <v>11624</v>
      </c>
    </row>
    <row r="1195" spans="1:8">
      <c r="A1195" s="30" t="s">
        <v>11625</v>
      </c>
      <c r="B1195" s="30"/>
      <c r="C1195" s="30" t="s">
        <v>8607</v>
      </c>
      <c r="D1195" s="30" t="s">
        <v>8844</v>
      </c>
      <c r="E1195" s="30" t="s">
        <v>8845</v>
      </c>
      <c r="F1195" s="30" t="s">
        <v>8672</v>
      </c>
      <c r="G1195" s="30" t="s">
        <v>8846</v>
      </c>
      <c r="H1195" s="30" t="s">
        <v>10241</v>
      </c>
    </row>
    <row r="1196" spans="1:8">
      <c r="A1196" s="30" t="s">
        <v>11626</v>
      </c>
      <c r="B1196" s="30"/>
      <c r="C1196" s="30" t="s">
        <v>8626</v>
      </c>
      <c r="D1196" s="30" t="s">
        <v>11627</v>
      </c>
      <c r="E1196" s="30" t="s">
        <v>11628</v>
      </c>
      <c r="F1196" s="30" t="s">
        <v>8672</v>
      </c>
      <c r="G1196" s="30" t="s">
        <v>10076</v>
      </c>
      <c r="H1196" s="30" t="s">
        <v>10915</v>
      </c>
    </row>
    <row r="1197" spans="1:8">
      <c r="A1197" s="30" t="s">
        <v>11629</v>
      </c>
      <c r="B1197" s="30"/>
      <c r="C1197" s="30" t="s">
        <v>8626</v>
      </c>
      <c r="D1197" s="30"/>
      <c r="E1197" s="30"/>
      <c r="F1197" s="30"/>
      <c r="G1197" s="30" t="s">
        <v>8804</v>
      </c>
      <c r="H1197" s="30" t="s">
        <v>10237</v>
      </c>
    </row>
    <row r="1198" spans="1:8">
      <c r="A1198" s="30" t="s">
        <v>11630</v>
      </c>
      <c r="B1198" s="30"/>
      <c r="C1198" s="30" t="s">
        <v>8607</v>
      </c>
      <c r="D1198" s="30"/>
      <c r="E1198" s="30"/>
      <c r="F1198" s="30"/>
      <c r="G1198" s="30" t="s">
        <v>8807</v>
      </c>
      <c r="H1198" s="30" t="s">
        <v>10239</v>
      </c>
    </row>
    <row r="1199" spans="1:8">
      <c r="A1199" s="30" t="s">
        <v>11631</v>
      </c>
      <c r="B1199" s="30"/>
      <c r="C1199" s="30" t="s">
        <v>8607</v>
      </c>
      <c r="D1199" s="30"/>
      <c r="E1199" s="30"/>
      <c r="F1199" s="30"/>
      <c r="G1199" s="30" t="s">
        <v>8814</v>
      </c>
      <c r="H1199" s="30" t="s">
        <v>10835</v>
      </c>
    </row>
    <row r="1200" spans="1:8">
      <c r="A1200" s="30" t="s">
        <v>11632</v>
      </c>
      <c r="B1200" s="30"/>
      <c r="C1200" s="30" t="s">
        <v>8626</v>
      </c>
      <c r="D1200" s="30" t="s">
        <v>11633</v>
      </c>
      <c r="E1200" s="30" t="s">
        <v>11634</v>
      </c>
      <c r="F1200" s="30" t="s">
        <v>8672</v>
      </c>
      <c r="G1200" s="30" t="s">
        <v>11540</v>
      </c>
      <c r="H1200" s="30" t="s">
        <v>11635</v>
      </c>
    </row>
    <row r="1201" spans="1:8">
      <c r="A1201" s="30" t="s">
        <v>11636</v>
      </c>
      <c r="B1201" s="30"/>
      <c r="C1201" s="30" t="s">
        <v>8626</v>
      </c>
      <c r="D1201" s="30" t="s">
        <v>11633</v>
      </c>
      <c r="E1201" s="30" t="s">
        <v>11637</v>
      </c>
      <c r="F1201" s="30" t="s">
        <v>8672</v>
      </c>
      <c r="G1201" s="30" t="s">
        <v>11540</v>
      </c>
      <c r="H1201" s="30" t="s">
        <v>11635</v>
      </c>
    </row>
    <row r="1202" spans="1:8">
      <c r="A1202" s="30" t="s">
        <v>11638</v>
      </c>
      <c r="B1202" s="30"/>
      <c r="C1202" s="30" t="s">
        <v>8626</v>
      </c>
      <c r="D1202" s="30" t="s">
        <v>11639</v>
      </c>
      <c r="E1202" s="30" t="s">
        <v>11640</v>
      </c>
      <c r="F1202" s="30" t="s">
        <v>8618</v>
      </c>
      <c r="G1202" s="30" t="s">
        <v>11641</v>
      </c>
      <c r="H1202" s="30" t="s">
        <v>11642</v>
      </c>
    </row>
    <row r="1203" spans="1:8">
      <c r="A1203" s="30" t="s">
        <v>11643</v>
      </c>
      <c r="B1203" s="30"/>
      <c r="C1203" s="30" t="s">
        <v>8626</v>
      </c>
      <c r="D1203" s="30"/>
      <c r="E1203" s="30"/>
      <c r="F1203" s="30"/>
      <c r="G1203" s="30" t="s">
        <v>8698</v>
      </c>
      <c r="H1203" s="30" t="s">
        <v>10346</v>
      </c>
    </row>
    <row r="1204" spans="1:8">
      <c r="A1204" s="30" t="s">
        <v>11644</v>
      </c>
      <c r="B1204" s="30"/>
      <c r="C1204" s="30"/>
      <c r="D1204" s="32"/>
      <c r="E1204" s="30"/>
      <c r="F1204" s="30"/>
      <c r="G1204" s="30"/>
      <c r="H1204" s="30" t="s">
        <v>10480</v>
      </c>
    </row>
    <row r="1205" spans="1:8">
      <c r="A1205" s="30" t="s">
        <v>11645</v>
      </c>
      <c r="B1205" s="30"/>
      <c r="C1205" s="30" t="s">
        <v>8626</v>
      </c>
      <c r="D1205" s="30"/>
      <c r="E1205" s="30"/>
      <c r="F1205" s="30"/>
      <c r="G1205" s="30" t="s">
        <v>8714</v>
      </c>
      <c r="H1205" s="30" t="s">
        <v>10248</v>
      </c>
    </row>
    <row r="1206" spans="1:8">
      <c r="A1206" s="30" t="s">
        <v>11646</v>
      </c>
      <c r="B1206" s="30"/>
      <c r="C1206" s="30" t="s">
        <v>8607</v>
      </c>
      <c r="D1206" s="30" t="s">
        <v>8707</v>
      </c>
      <c r="E1206" s="30"/>
      <c r="F1206" s="30"/>
      <c r="G1206" s="30" t="s">
        <v>8708</v>
      </c>
      <c r="H1206" s="30" t="s">
        <v>10340</v>
      </c>
    </row>
    <row r="1207" spans="1:8">
      <c r="A1207" s="30" t="s">
        <v>11647</v>
      </c>
      <c r="B1207" s="30"/>
      <c r="C1207" s="30" t="s">
        <v>8626</v>
      </c>
      <c r="D1207" s="30"/>
      <c r="E1207" s="30"/>
      <c r="F1207" s="30"/>
      <c r="G1207" s="30" t="s">
        <v>8711</v>
      </c>
      <c r="H1207" s="30" t="s">
        <v>10259</v>
      </c>
    </row>
    <row r="1208" spans="1:8">
      <c r="A1208" s="30" t="s">
        <v>11648</v>
      </c>
      <c r="B1208" s="30"/>
      <c r="C1208" s="30" t="s">
        <v>8607</v>
      </c>
      <c r="D1208" s="30"/>
      <c r="E1208" s="30"/>
      <c r="F1208" s="30"/>
      <c r="G1208" s="30" t="s">
        <v>8717</v>
      </c>
      <c r="H1208" s="30" t="s">
        <v>11649</v>
      </c>
    </row>
    <row r="1209" spans="1:8">
      <c r="A1209" s="30" t="s">
        <v>11650</v>
      </c>
      <c r="B1209" s="30"/>
      <c r="C1209" s="30" t="s">
        <v>8607</v>
      </c>
      <c r="D1209" s="30"/>
      <c r="E1209" s="30" t="s">
        <v>10474</v>
      </c>
      <c r="F1209" s="30" t="e">
        <v>#VALUE!</v>
      </c>
      <c r="G1209" s="30" t="s">
        <v>8678</v>
      </c>
      <c r="H1209" s="30" t="s">
        <v>10475</v>
      </c>
    </row>
    <row r="1210" spans="1:8">
      <c r="A1210" s="30" t="s">
        <v>11651</v>
      </c>
      <c r="B1210" s="30"/>
      <c r="C1210" s="30" t="s">
        <v>8607</v>
      </c>
      <c r="D1210" s="30"/>
      <c r="E1210" s="30"/>
      <c r="F1210" s="30"/>
      <c r="G1210" s="30" t="s">
        <v>8729</v>
      </c>
      <c r="H1210" s="30" t="s">
        <v>10195</v>
      </c>
    </row>
    <row r="1211" spans="1:8">
      <c r="A1211" s="30" t="s">
        <v>11652</v>
      </c>
      <c r="B1211" s="30"/>
      <c r="C1211" s="30" t="s">
        <v>8607</v>
      </c>
      <c r="D1211" s="30"/>
      <c r="E1211" s="30"/>
      <c r="F1211" s="30"/>
      <c r="G1211" s="30" t="s">
        <v>10197</v>
      </c>
      <c r="H1211" s="30" t="s">
        <v>10198</v>
      </c>
    </row>
    <row r="1212" spans="1:8">
      <c r="A1212" s="30" t="s">
        <v>11653</v>
      </c>
      <c r="B1212" s="30"/>
      <c r="C1212" s="30" t="s">
        <v>8607</v>
      </c>
      <c r="D1212" s="30"/>
      <c r="E1212" s="30"/>
      <c r="F1212" s="30"/>
      <c r="G1212" s="30" t="s">
        <v>8681</v>
      </c>
      <c r="H1212" s="30" t="s">
        <v>10477</v>
      </c>
    </row>
    <row r="1213" spans="1:8">
      <c r="A1213" s="30" t="s">
        <v>11654</v>
      </c>
      <c r="B1213" s="30"/>
      <c r="C1213" s="30" t="s">
        <v>8607</v>
      </c>
      <c r="D1213" s="30" t="s">
        <v>8632</v>
      </c>
      <c r="E1213" s="30"/>
      <c r="F1213" s="30"/>
      <c r="G1213" s="30" t="s">
        <v>8633</v>
      </c>
      <c r="H1213" s="30" t="s">
        <v>8790</v>
      </c>
    </row>
    <row r="1214" spans="1:8">
      <c r="A1214" s="30" t="s">
        <v>11655</v>
      </c>
      <c r="B1214" s="30"/>
      <c r="C1214" s="30" t="s">
        <v>8626</v>
      </c>
      <c r="D1214" s="30"/>
      <c r="E1214" s="30" t="s">
        <v>10214</v>
      </c>
      <c r="F1214" s="30" t="e">
        <v>#VALUE!</v>
      </c>
      <c r="G1214" s="30" t="s">
        <v>8714</v>
      </c>
      <c r="H1214" s="30" t="s">
        <v>10305</v>
      </c>
    </row>
    <row r="1215" spans="1:8">
      <c r="A1215" s="30" t="s">
        <v>11656</v>
      </c>
      <c r="B1215" s="30"/>
      <c r="C1215" s="30"/>
      <c r="D1215" s="32" t="s">
        <v>10527</v>
      </c>
      <c r="E1215" s="30" t="s">
        <v>10528</v>
      </c>
      <c r="F1215" s="30" t="s">
        <v>8618</v>
      </c>
      <c r="G1215" s="30"/>
      <c r="H1215" s="30" t="s">
        <v>11657</v>
      </c>
    </row>
    <row r="1216" spans="1:8">
      <c r="A1216" s="30" t="s">
        <v>11658</v>
      </c>
      <c r="B1216" s="30"/>
      <c r="C1216" s="30" t="s">
        <v>8607</v>
      </c>
      <c r="D1216" s="30"/>
      <c r="E1216" s="30" t="s">
        <v>10348</v>
      </c>
      <c r="F1216" s="30" t="e">
        <v>#VALUE!</v>
      </c>
      <c r="G1216" s="30" t="s">
        <v>8637</v>
      </c>
      <c r="H1216" s="30" t="s">
        <v>10349</v>
      </c>
    </row>
    <row r="1217" spans="1:8">
      <c r="A1217" s="30" t="s">
        <v>11659</v>
      </c>
      <c r="B1217" s="30"/>
      <c r="C1217" s="30"/>
      <c r="D1217" s="32" t="s">
        <v>10351</v>
      </c>
      <c r="E1217" s="30"/>
      <c r="F1217" s="30"/>
      <c r="G1217" s="30"/>
      <c r="H1217" s="30" t="s">
        <v>10717</v>
      </c>
    </row>
    <row r="1218" spans="1:8">
      <c r="A1218" s="30" t="s">
        <v>11660</v>
      </c>
      <c r="B1218" s="30"/>
      <c r="C1218" s="30" t="s">
        <v>8626</v>
      </c>
      <c r="D1218" s="30" t="s">
        <v>8684</v>
      </c>
      <c r="E1218" s="30" t="s">
        <v>8685</v>
      </c>
      <c r="F1218" s="30" t="s">
        <v>8618</v>
      </c>
      <c r="G1218" s="30" t="s">
        <v>8686</v>
      </c>
      <c r="H1218" s="30" t="s">
        <v>10719</v>
      </c>
    </row>
    <row r="1219" spans="1:8">
      <c r="A1219" s="30" t="s">
        <v>11661</v>
      </c>
      <c r="B1219" s="30"/>
      <c r="C1219" s="30" t="s">
        <v>8607</v>
      </c>
      <c r="D1219" s="30"/>
      <c r="E1219" s="30"/>
      <c r="F1219" s="30"/>
      <c r="G1219" s="30" t="s">
        <v>10356</v>
      </c>
      <c r="H1219" s="30" t="s">
        <v>10357</v>
      </c>
    </row>
    <row r="1220" spans="1:8">
      <c r="A1220" s="30" t="s">
        <v>11662</v>
      </c>
      <c r="B1220" s="30"/>
      <c r="C1220" s="30"/>
      <c r="D1220" s="32"/>
      <c r="E1220" s="30" t="s">
        <v>11663</v>
      </c>
      <c r="F1220" s="30" t="e">
        <v>#VALUE!</v>
      </c>
      <c r="G1220" s="30"/>
      <c r="H1220" s="30" t="s">
        <v>11664</v>
      </c>
    </row>
    <row r="1221" spans="1:8">
      <c r="A1221" s="30" t="s">
        <v>11665</v>
      </c>
      <c r="B1221" s="30"/>
      <c r="C1221" s="30" t="s">
        <v>8607</v>
      </c>
      <c r="D1221" s="30"/>
      <c r="E1221" s="30"/>
      <c r="F1221" s="30"/>
      <c r="G1221" s="30" t="s">
        <v>10385</v>
      </c>
      <c r="H1221" s="30" t="s">
        <v>10386</v>
      </c>
    </row>
    <row r="1222" spans="1:8">
      <c r="A1222" s="30" t="s">
        <v>11666</v>
      </c>
      <c r="B1222" s="30"/>
      <c r="C1222" s="30" t="s">
        <v>8607</v>
      </c>
      <c r="D1222" s="30" t="s">
        <v>9546</v>
      </c>
      <c r="E1222" s="30" t="s">
        <v>9547</v>
      </c>
      <c r="F1222" s="30" t="s">
        <v>8672</v>
      </c>
      <c r="G1222" s="30" t="s">
        <v>9366</v>
      </c>
      <c r="H1222" s="30" t="s">
        <v>10388</v>
      </c>
    </row>
    <row r="1223" spans="1:8">
      <c r="A1223" s="30" t="s">
        <v>11667</v>
      </c>
      <c r="B1223" s="30"/>
      <c r="C1223" s="30" t="s">
        <v>8607</v>
      </c>
      <c r="D1223" s="30"/>
      <c r="E1223" s="30"/>
      <c r="F1223" s="30"/>
      <c r="G1223" s="30" t="s">
        <v>10385</v>
      </c>
      <c r="H1223" s="30" t="s">
        <v>10386</v>
      </c>
    </row>
    <row r="1224" spans="1:8">
      <c r="A1224" s="30" t="s">
        <v>11668</v>
      </c>
      <c r="B1224" s="30"/>
      <c r="C1224" s="30"/>
      <c r="D1224" s="32"/>
      <c r="E1224" s="30" t="s">
        <v>11663</v>
      </c>
      <c r="F1224" s="30" t="e">
        <v>#VALUE!</v>
      </c>
      <c r="G1224" s="30"/>
      <c r="H1224" s="30" t="s">
        <v>11664</v>
      </c>
    </row>
    <row r="1225" spans="1:8">
      <c r="A1225" s="30" t="s">
        <v>11669</v>
      </c>
      <c r="B1225" s="30"/>
      <c r="C1225" s="30" t="s">
        <v>8607</v>
      </c>
      <c r="D1225" s="30" t="s">
        <v>9546</v>
      </c>
      <c r="E1225" s="30" t="s">
        <v>9547</v>
      </c>
      <c r="F1225" s="30" t="s">
        <v>8672</v>
      </c>
      <c r="G1225" s="30" t="s">
        <v>9366</v>
      </c>
      <c r="H1225" s="30" t="s">
        <v>10388</v>
      </c>
    </row>
    <row r="1226" spans="1:8">
      <c r="A1226" s="30" t="s">
        <v>11670</v>
      </c>
      <c r="B1226" s="30"/>
      <c r="C1226" s="30" t="s">
        <v>8626</v>
      </c>
      <c r="D1226" s="30" t="s">
        <v>10504</v>
      </c>
      <c r="E1226" s="30" t="s">
        <v>10191</v>
      </c>
      <c r="F1226" s="30" t="e">
        <v>#VALUE!</v>
      </c>
      <c r="G1226" s="30" t="s">
        <v>8691</v>
      </c>
      <c r="H1226" s="30" t="s">
        <v>10192</v>
      </c>
    </row>
    <row r="1227" spans="1:8">
      <c r="A1227" s="30" t="s">
        <v>11671</v>
      </c>
      <c r="B1227" s="30"/>
      <c r="C1227" s="30" t="s">
        <v>8607</v>
      </c>
      <c r="D1227" s="30"/>
      <c r="E1227" s="30" t="s">
        <v>8720</v>
      </c>
      <c r="F1227" s="30" t="e">
        <v>#VALUE!</v>
      </c>
      <c r="G1227" s="30" t="s">
        <v>8721</v>
      </c>
      <c r="H1227" s="30" t="s">
        <v>8722</v>
      </c>
    </row>
    <row r="1228" spans="1:8">
      <c r="A1228" s="30" t="s">
        <v>11672</v>
      </c>
      <c r="B1228" s="30"/>
      <c r="C1228" s="30" t="s">
        <v>8607</v>
      </c>
      <c r="D1228" s="30"/>
      <c r="E1228" s="30"/>
      <c r="F1228" s="30"/>
      <c r="G1228" s="30" t="s">
        <v>8726</v>
      </c>
      <c r="H1228" s="30" t="s">
        <v>10497</v>
      </c>
    </row>
    <row r="1229" spans="1:8">
      <c r="A1229" s="30" t="s">
        <v>11673</v>
      </c>
      <c r="B1229" s="30"/>
      <c r="C1229" s="30" t="s">
        <v>8607</v>
      </c>
      <c r="D1229" s="30"/>
      <c r="E1229" s="30"/>
      <c r="F1229" s="30"/>
      <c r="G1229" s="30" t="s">
        <v>8729</v>
      </c>
      <c r="H1229" s="30" t="s">
        <v>10195</v>
      </c>
    </row>
    <row r="1230" spans="1:8">
      <c r="A1230" s="30" t="s">
        <v>11674</v>
      </c>
      <c r="B1230" s="30"/>
      <c r="C1230" s="30" t="s">
        <v>8607</v>
      </c>
      <c r="D1230" s="30" t="s">
        <v>10514</v>
      </c>
      <c r="E1230" s="30"/>
      <c r="F1230" s="30"/>
      <c r="G1230" s="30" t="s">
        <v>8646</v>
      </c>
      <c r="H1230" s="30" t="s">
        <v>10483</v>
      </c>
    </row>
    <row r="1231" spans="1:8">
      <c r="A1231" s="30" t="s">
        <v>11675</v>
      </c>
      <c r="B1231" s="30"/>
      <c r="C1231" s="30" t="s">
        <v>8607</v>
      </c>
      <c r="D1231" s="30"/>
      <c r="E1231" s="30"/>
      <c r="F1231" s="30"/>
      <c r="G1231" s="30" t="s">
        <v>8649</v>
      </c>
      <c r="H1231" s="30" t="s">
        <v>10485</v>
      </c>
    </row>
    <row r="1232" spans="1:8">
      <c r="A1232" s="30" t="s">
        <v>11676</v>
      </c>
      <c r="B1232" s="30"/>
      <c r="C1232" s="30" t="s">
        <v>8607</v>
      </c>
      <c r="D1232" s="30"/>
      <c r="E1232" s="30" t="s">
        <v>10499</v>
      </c>
      <c r="F1232" s="30" t="e">
        <v>#VALUE!</v>
      </c>
      <c r="G1232" s="30" t="s">
        <v>8678</v>
      </c>
      <c r="H1232" s="30" t="s">
        <v>10500</v>
      </c>
    </row>
    <row r="1233" spans="1:8">
      <c r="A1233" s="30" t="s">
        <v>11677</v>
      </c>
      <c r="B1233" s="30"/>
      <c r="C1233" s="30" t="s">
        <v>8626</v>
      </c>
      <c r="D1233" s="30"/>
      <c r="E1233" s="30"/>
      <c r="F1233" s="30"/>
      <c r="G1233" s="30" t="s">
        <v>8681</v>
      </c>
      <c r="H1233" s="30" t="s">
        <v>10502</v>
      </c>
    </row>
    <row r="1234" spans="1:8">
      <c r="A1234" s="30" t="s">
        <v>11678</v>
      </c>
      <c r="B1234" s="30"/>
      <c r="C1234" s="30" t="s">
        <v>8607</v>
      </c>
      <c r="D1234" s="30" t="s">
        <v>8632</v>
      </c>
      <c r="E1234" s="30"/>
      <c r="F1234" s="30"/>
      <c r="G1234" s="30" t="s">
        <v>8633</v>
      </c>
      <c r="H1234" s="30" t="s">
        <v>8790</v>
      </c>
    </row>
    <row r="1235" spans="1:8">
      <c r="A1235" s="30" t="s">
        <v>11679</v>
      </c>
      <c r="B1235" s="30"/>
      <c r="C1235" s="30"/>
      <c r="D1235" s="32" t="s">
        <v>10360</v>
      </c>
      <c r="E1235" s="30" t="s">
        <v>10361</v>
      </c>
      <c r="F1235" s="30" t="s">
        <v>8618</v>
      </c>
      <c r="G1235" s="30"/>
      <c r="H1235" s="30" t="s">
        <v>10362</v>
      </c>
    </row>
    <row r="1236" spans="1:8">
      <c r="A1236" s="30" t="s">
        <v>11680</v>
      </c>
      <c r="B1236" s="30"/>
      <c r="C1236" s="30" t="s">
        <v>8626</v>
      </c>
      <c r="D1236" s="30" t="s">
        <v>10366</v>
      </c>
      <c r="E1236" s="30"/>
      <c r="F1236" s="30"/>
      <c r="G1236" s="30" t="s">
        <v>8943</v>
      </c>
      <c r="H1236" s="30" t="s">
        <v>10367</v>
      </c>
    </row>
    <row r="1237" spans="1:8">
      <c r="A1237" s="30" t="s">
        <v>11681</v>
      </c>
      <c r="B1237" s="30"/>
      <c r="C1237" s="30" t="s">
        <v>8626</v>
      </c>
      <c r="D1237" s="30" t="s">
        <v>11682</v>
      </c>
      <c r="E1237" s="30" t="s">
        <v>10233</v>
      </c>
      <c r="F1237" s="30" t="s">
        <v>8618</v>
      </c>
      <c r="G1237" s="30" t="s">
        <v>10234</v>
      </c>
      <c r="H1237" s="30" t="s">
        <v>11683</v>
      </c>
    </row>
    <row r="1238" spans="1:8">
      <c r="A1238" s="30" t="s">
        <v>11684</v>
      </c>
      <c r="B1238" s="30"/>
      <c r="C1238" s="30" t="s">
        <v>8607</v>
      </c>
      <c r="D1238" s="30"/>
      <c r="E1238" s="30"/>
      <c r="F1238" s="30"/>
      <c r="G1238" s="30" t="s">
        <v>10356</v>
      </c>
      <c r="H1238" s="30" t="s">
        <v>10357</v>
      </c>
    </row>
    <row r="1239" spans="1:8">
      <c r="A1239" s="30" t="s">
        <v>11685</v>
      </c>
      <c r="B1239" s="30"/>
      <c r="C1239" s="30" t="s">
        <v>8626</v>
      </c>
      <c r="D1239" s="30" t="s">
        <v>10837</v>
      </c>
      <c r="E1239" s="30" t="s">
        <v>11253</v>
      </c>
      <c r="F1239" s="30" t="s">
        <v>8618</v>
      </c>
      <c r="G1239" s="30" t="s">
        <v>10234</v>
      </c>
      <c r="H1239" s="30" t="s">
        <v>11686</v>
      </c>
    </row>
    <row r="1240" spans="1:8">
      <c r="A1240" s="30" t="s">
        <v>11687</v>
      </c>
      <c r="B1240" s="30"/>
      <c r="C1240" s="30" t="s">
        <v>8626</v>
      </c>
      <c r="D1240" s="30" t="s">
        <v>10369</v>
      </c>
      <c r="E1240" s="30" t="s">
        <v>11688</v>
      </c>
      <c r="F1240" s="30" t="s">
        <v>8618</v>
      </c>
      <c r="G1240" s="30" t="s">
        <v>10234</v>
      </c>
      <c r="H1240" s="30" t="s">
        <v>10371</v>
      </c>
    </row>
    <row r="1241" spans="1:8">
      <c r="A1241" s="30" t="s">
        <v>11689</v>
      </c>
      <c r="B1241" s="30"/>
      <c r="C1241" s="30" t="s">
        <v>8626</v>
      </c>
      <c r="D1241" s="30"/>
      <c r="E1241" s="30"/>
      <c r="F1241" s="30"/>
      <c r="G1241" s="30"/>
      <c r="H1241" s="30" t="s">
        <v>10364</v>
      </c>
    </row>
    <row r="1242" spans="1:8">
      <c r="A1242" s="30" t="s">
        <v>11690</v>
      </c>
      <c r="B1242" s="30"/>
      <c r="C1242" s="30" t="s">
        <v>8607</v>
      </c>
      <c r="D1242" s="30" t="s">
        <v>10377</v>
      </c>
      <c r="E1242" s="30"/>
      <c r="F1242" s="30"/>
      <c r="G1242" s="30" t="s">
        <v>8737</v>
      </c>
      <c r="H1242" s="30" t="s">
        <v>8939</v>
      </c>
    </row>
    <row r="1243" spans="1:8">
      <c r="A1243" s="30" t="s">
        <v>11691</v>
      </c>
      <c r="B1243" s="30"/>
      <c r="C1243" s="30" t="s">
        <v>8607</v>
      </c>
      <c r="D1243" s="30"/>
      <c r="E1243" s="30" t="s">
        <v>10348</v>
      </c>
      <c r="F1243" s="30" t="e">
        <v>#VALUE!</v>
      </c>
      <c r="G1243" s="30" t="s">
        <v>8637</v>
      </c>
      <c r="H1243" s="30" t="s">
        <v>10349</v>
      </c>
    </row>
    <row r="1244" spans="1:8">
      <c r="A1244" s="30" t="s">
        <v>11692</v>
      </c>
      <c r="B1244" s="30"/>
      <c r="C1244" s="30"/>
      <c r="D1244" s="32" t="s">
        <v>10351</v>
      </c>
      <c r="E1244" s="30"/>
      <c r="F1244" s="30"/>
      <c r="G1244" s="30"/>
      <c r="H1244" s="30" t="s">
        <v>11693</v>
      </c>
    </row>
    <row r="1245" spans="1:8">
      <c r="A1245" s="30" t="s">
        <v>11694</v>
      </c>
      <c r="B1245" s="30"/>
      <c r="C1245" s="30" t="s">
        <v>8626</v>
      </c>
      <c r="D1245" s="30"/>
      <c r="E1245" s="30" t="s">
        <v>10214</v>
      </c>
      <c r="F1245" s="30" t="e">
        <v>#VALUE!</v>
      </c>
      <c r="G1245" s="30" t="s">
        <v>11313</v>
      </c>
      <c r="H1245" s="30" t="s">
        <v>10305</v>
      </c>
    </row>
    <row r="1246" spans="1:8">
      <c r="A1246" s="30" t="s">
        <v>11695</v>
      </c>
      <c r="B1246" s="30"/>
      <c r="C1246" s="30" t="s">
        <v>8626</v>
      </c>
      <c r="D1246" s="30" t="s">
        <v>8883</v>
      </c>
      <c r="E1246" s="30" t="s">
        <v>10307</v>
      </c>
      <c r="F1246" s="30" t="s">
        <v>8672</v>
      </c>
      <c r="G1246" s="30" t="s">
        <v>8885</v>
      </c>
      <c r="H1246" s="30" t="s">
        <v>10308</v>
      </c>
    </row>
    <row r="1247" spans="1:8">
      <c r="A1247" s="30" t="s">
        <v>11696</v>
      </c>
      <c r="B1247" s="30"/>
      <c r="C1247" s="30" t="s">
        <v>8607</v>
      </c>
      <c r="D1247" s="30"/>
      <c r="E1247" s="30" t="s">
        <v>11697</v>
      </c>
      <c r="F1247" s="30" t="e">
        <v>#VALUE!</v>
      </c>
      <c r="G1247" s="30" t="s">
        <v>11698</v>
      </c>
      <c r="H1247" s="30" t="s">
        <v>11699</v>
      </c>
    </row>
    <row r="1248" spans="1:8">
      <c r="A1248" s="30" t="s">
        <v>11700</v>
      </c>
      <c r="B1248" s="30"/>
      <c r="C1248" s="30" t="s">
        <v>8607</v>
      </c>
      <c r="D1248" s="30"/>
      <c r="E1248" s="30"/>
      <c r="F1248" s="30"/>
      <c r="G1248" s="30" t="s">
        <v>10220</v>
      </c>
      <c r="H1248" s="30" t="s">
        <v>10698</v>
      </c>
    </row>
    <row r="1249" spans="1:8">
      <c r="A1249" s="30" t="s">
        <v>11701</v>
      </c>
      <c r="B1249" s="30"/>
      <c r="C1249" s="30" t="s">
        <v>8607</v>
      </c>
      <c r="D1249" s="30" t="s">
        <v>9000</v>
      </c>
      <c r="E1249" s="30" t="s">
        <v>11702</v>
      </c>
      <c r="F1249" s="30" t="s">
        <v>8672</v>
      </c>
      <c r="G1249" s="30" t="s">
        <v>9002</v>
      </c>
      <c r="H1249" s="30" t="s">
        <v>11703</v>
      </c>
    </row>
    <row r="1250" spans="1:8">
      <c r="A1250" s="30" t="s">
        <v>11704</v>
      </c>
      <c r="B1250" s="30"/>
      <c r="C1250" s="30" t="s">
        <v>8607</v>
      </c>
      <c r="D1250" s="30" t="s">
        <v>8894</v>
      </c>
      <c r="E1250" s="30"/>
      <c r="F1250" s="30"/>
      <c r="G1250" s="30" t="s">
        <v>8895</v>
      </c>
      <c r="H1250" s="30" t="s">
        <v>11705</v>
      </c>
    </row>
    <row r="1251" spans="1:8">
      <c r="A1251" s="30" t="s">
        <v>11706</v>
      </c>
      <c r="B1251" s="30"/>
      <c r="C1251" s="30" t="s">
        <v>8607</v>
      </c>
      <c r="D1251" s="30" t="s">
        <v>8736</v>
      </c>
      <c r="E1251" s="30"/>
      <c r="F1251" s="30"/>
      <c r="G1251" s="30" t="s">
        <v>8737</v>
      </c>
      <c r="H1251" s="30" t="s">
        <v>11707</v>
      </c>
    </row>
    <row r="1252" spans="1:8">
      <c r="A1252" s="30" t="s">
        <v>11708</v>
      </c>
      <c r="B1252" s="30"/>
      <c r="C1252" s="30" t="s">
        <v>8607</v>
      </c>
      <c r="D1252" s="30"/>
      <c r="E1252" s="30"/>
      <c r="F1252" s="30"/>
      <c r="G1252" s="30"/>
      <c r="H1252" s="30" t="s">
        <v>8802</v>
      </c>
    </row>
    <row r="1253" spans="1:8">
      <c r="A1253" s="30" t="s">
        <v>11709</v>
      </c>
      <c r="B1253" s="30"/>
      <c r="C1253" s="30" t="s">
        <v>8626</v>
      </c>
      <c r="D1253" s="30" t="s">
        <v>11682</v>
      </c>
      <c r="E1253" s="30" t="s">
        <v>10269</v>
      </c>
      <c r="F1253" s="30" t="s">
        <v>8618</v>
      </c>
      <c r="G1253" s="30" t="s">
        <v>10234</v>
      </c>
      <c r="H1253" s="30" t="s">
        <v>11710</v>
      </c>
    </row>
    <row r="1254" spans="1:8">
      <c r="A1254" s="30" t="s">
        <v>11711</v>
      </c>
      <c r="B1254" s="30"/>
      <c r="C1254" s="30" t="s">
        <v>8607</v>
      </c>
      <c r="D1254" s="30"/>
      <c r="E1254" s="30"/>
      <c r="F1254" s="30"/>
      <c r="G1254" s="30" t="s">
        <v>10220</v>
      </c>
      <c r="H1254" s="30" t="s">
        <v>11399</v>
      </c>
    </row>
    <row r="1255" spans="1:8">
      <c r="A1255" s="30" t="s">
        <v>11712</v>
      </c>
      <c r="B1255" s="30"/>
      <c r="C1255" s="30" t="s">
        <v>8626</v>
      </c>
      <c r="D1255" s="30" t="s">
        <v>11401</v>
      </c>
      <c r="E1255" s="30" t="s">
        <v>10233</v>
      </c>
      <c r="F1255" s="30" t="s">
        <v>8618</v>
      </c>
      <c r="G1255" s="30" t="s">
        <v>10234</v>
      </c>
      <c r="H1255" s="30" t="s">
        <v>11713</v>
      </c>
    </row>
    <row r="1256" spans="1:8">
      <c r="A1256" s="30" t="s">
        <v>11714</v>
      </c>
      <c r="B1256" s="30"/>
      <c r="C1256" s="30" t="s">
        <v>8607</v>
      </c>
      <c r="D1256" s="30" t="s">
        <v>8821</v>
      </c>
      <c r="E1256" s="30"/>
      <c r="F1256" s="30"/>
      <c r="G1256" s="30" t="s">
        <v>8737</v>
      </c>
      <c r="H1256" s="30" t="s">
        <v>11359</v>
      </c>
    </row>
    <row r="1257" spans="1:8">
      <c r="A1257" s="30" t="s">
        <v>11715</v>
      </c>
      <c r="B1257" s="30"/>
      <c r="C1257" s="30" t="s">
        <v>8607</v>
      </c>
      <c r="D1257" s="30" t="s">
        <v>10377</v>
      </c>
      <c r="E1257" s="30"/>
      <c r="F1257" s="30"/>
      <c r="G1257" s="30" t="s">
        <v>8737</v>
      </c>
      <c r="H1257" s="30" t="s">
        <v>10851</v>
      </c>
    </row>
    <row r="1258" spans="1:8">
      <c r="A1258" s="30" t="s">
        <v>11716</v>
      </c>
      <c r="B1258" s="30"/>
      <c r="C1258" s="30" t="s">
        <v>8607</v>
      </c>
      <c r="D1258" s="30" t="s">
        <v>8789</v>
      </c>
      <c r="E1258" s="30"/>
      <c r="F1258" s="30"/>
      <c r="G1258" s="30" t="s">
        <v>8633</v>
      </c>
      <c r="H1258" s="30" t="s">
        <v>11717</v>
      </c>
    </row>
    <row r="1259" spans="1:8">
      <c r="A1259" s="30" t="s">
        <v>11718</v>
      </c>
      <c r="B1259" s="30"/>
      <c r="C1259" s="30" t="s">
        <v>8626</v>
      </c>
      <c r="D1259" s="30"/>
      <c r="E1259" s="30"/>
      <c r="F1259" s="30"/>
      <c r="G1259" s="30" t="s">
        <v>8714</v>
      </c>
      <c r="H1259" s="30" t="s">
        <v>10305</v>
      </c>
    </row>
    <row r="1260" spans="1:8">
      <c r="A1260" s="30" t="s">
        <v>11719</v>
      </c>
      <c r="B1260" s="30"/>
      <c r="C1260" s="30" t="s">
        <v>8626</v>
      </c>
      <c r="D1260" s="30" t="s">
        <v>11226</v>
      </c>
      <c r="E1260" s="30" t="s">
        <v>10401</v>
      </c>
      <c r="F1260" s="30" t="s">
        <v>8618</v>
      </c>
      <c r="G1260" s="30" t="s">
        <v>8989</v>
      </c>
      <c r="H1260" s="30" t="s">
        <v>10402</v>
      </c>
    </row>
    <row r="1261" spans="1:8">
      <c r="A1261" s="30" t="s">
        <v>11720</v>
      </c>
      <c r="B1261" s="30"/>
      <c r="C1261" s="30" t="s">
        <v>8607</v>
      </c>
      <c r="D1261" s="30"/>
      <c r="E1261" s="30"/>
      <c r="F1261" s="30"/>
      <c r="G1261" s="30" t="s">
        <v>10395</v>
      </c>
      <c r="H1261" s="30" t="s">
        <v>11485</v>
      </c>
    </row>
    <row r="1262" spans="1:8">
      <c r="A1262" s="30" t="s">
        <v>11721</v>
      </c>
      <c r="B1262" s="30"/>
      <c r="C1262" s="30" t="s">
        <v>8607</v>
      </c>
      <c r="D1262" s="30" t="s">
        <v>10404</v>
      </c>
      <c r="E1262" s="30" t="s">
        <v>10405</v>
      </c>
      <c r="F1262" s="30" t="s">
        <v>8618</v>
      </c>
      <c r="G1262" s="30" t="s">
        <v>8943</v>
      </c>
      <c r="H1262" s="30" t="s">
        <v>11722</v>
      </c>
    </row>
    <row r="1263" spans="1:8">
      <c r="A1263" s="30" t="s">
        <v>11723</v>
      </c>
      <c r="B1263" s="30"/>
      <c r="C1263" s="30" t="s">
        <v>8626</v>
      </c>
      <c r="D1263" s="30"/>
      <c r="E1263" s="30" t="s">
        <v>11724</v>
      </c>
      <c r="F1263" s="30" t="s">
        <v>8618</v>
      </c>
      <c r="G1263" s="30" t="s">
        <v>11725</v>
      </c>
      <c r="H1263" s="30" t="s">
        <v>11726</v>
      </c>
    </row>
    <row r="1264" spans="1:8">
      <c r="A1264" s="30" t="s">
        <v>11727</v>
      </c>
      <c r="B1264" s="30"/>
      <c r="C1264" s="30" t="s">
        <v>8607</v>
      </c>
      <c r="D1264" s="30" t="s">
        <v>8821</v>
      </c>
      <c r="E1264" s="30"/>
      <c r="F1264" s="30"/>
      <c r="G1264" s="30" t="s">
        <v>8737</v>
      </c>
      <c r="H1264" s="30" t="s">
        <v>11728</v>
      </c>
    </row>
    <row r="1265" spans="1:8">
      <c r="A1265" s="30" t="s">
        <v>11729</v>
      </c>
      <c r="B1265" s="30"/>
      <c r="C1265" s="30" t="s">
        <v>8626</v>
      </c>
      <c r="D1265" s="30" t="s">
        <v>11730</v>
      </c>
      <c r="E1265" s="30" t="s">
        <v>11731</v>
      </c>
      <c r="F1265" s="30" t="s">
        <v>8672</v>
      </c>
      <c r="G1265" s="30" t="s">
        <v>9632</v>
      </c>
      <c r="H1265" s="30" t="s">
        <v>11732</v>
      </c>
    </row>
    <row r="1266" spans="1:8">
      <c r="A1266" s="30" t="s">
        <v>11733</v>
      </c>
      <c r="B1266" s="30"/>
      <c r="C1266" s="30" t="s">
        <v>8607</v>
      </c>
      <c r="D1266" s="30"/>
      <c r="E1266" s="30"/>
      <c r="F1266" s="30"/>
      <c r="G1266" s="30" t="s">
        <v>8717</v>
      </c>
      <c r="H1266" s="30" t="s">
        <v>11734</v>
      </c>
    </row>
    <row r="1267" spans="1:8">
      <c r="A1267" s="30" t="s">
        <v>11735</v>
      </c>
      <c r="B1267" s="30"/>
      <c r="C1267" s="30" t="s">
        <v>8607</v>
      </c>
      <c r="D1267" s="30"/>
      <c r="E1267" s="30"/>
      <c r="F1267" s="30"/>
      <c r="G1267" s="30" t="s">
        <v>8729</v>
      </c>
      <c r="H1267" s="30" t="s">
        <v>11736</v>
      </c>
    </row>
    <row r="1268" spans="1:8">
      <c r="A1268" s="30" t="s">
        <v>11737</v>
      </c>
      <c r="B1268" s="30"/>
      <c r="C1268" s="30" t="s">
        <v>8607</v>
      </c>
      <c r="D1268" s="30"/>
      <c r="E1268" s="30"/>
      <c r="F1268" s="30"/>
      <c r="G1268" s="30" t="s">
        <v>8681</v>
      </c>
      <c r="H1268" s="30" t="s">
        <v>11738</v>
      </c>
    </row>
    <row r="1269" spans="1:8">
      <c r="A1269" s="30" t="s">
        <v>11739</v>
      </c>
      <c r="B1269" s="30"/>
      <c r="C1269" s="30" t="s">
        <v>8626</v>
      </c>
      <c r="D1269" s="30"/>
      <c r="E1269" s="30" t="s">
        <v>10286</v>
      </c>
      <c r="F1269" s="30" t="s">
        <v>8672</v>
      </c>
      <c r="G1269" s="30"/>
      <c r="H1269" s="30" t="s">
        <v>11740</v>
      </c>
    </row>
    <row r="1270" spans="1:8">
      <c r="A1270" s="30" t="s">
        <v>11741</v>
      </c>
      <c r="B1270" s="30"/>
      <c r="C1270" s="30" t="s">
        <v>8607</v>
      </c>
      <c r="D1270" s="30" t="s">
        <v>8916</v>
      </c>
      <c r="E1270" s="30"/>
      <c r="F1270" s="30"/>
      <c r="G1270" s="30" t="s">
        <v>8656</v>
      </c>
      <c r="H1270" s="30" t="s">
        <v>11742</v>
      </c>
    </row>
    <row r="1271" spans="1:8">
      <c r="A1271" s="30" t="s">
        <v>11743</v>
      </c>
      <c r="B1271" s="30"/>
      <c r="C1271" s="30" t="s">
        <v>8626</v>
      </c>
      <c r="D1271" s="30" t="s">
        <v>11744</v>
      </c>
      <c r="E1271" s="30" t="s">
        <v>11745</v>
      </c>
      <c r="F1271" s="30" t="s">
        <v>8618</v>
      </c>
      <c r="G1271" s="30" t="s">
        <v>8858</v>
      </c>
      <c r="H1271" s="30" t="s">
        <v>11746</v>
      </c>
    </row>
    <row r="1272" spans="1:8">
      <c r="A1272" s="30" t="s">
        <v>11747</v>
      </c>
      <c r="B1272" s="30"/>
      <c r="C1272" s="30" t="s">
        <v>8607</v>
      </c>
      <c r="D1272" s="30"/>
      <c r="E1272" s="30"/>
      <c r="F1272" s="30"/>
      <c r="G1272" s="30"/>
      <c r="H1272" s="30" t="s">
        <v>11748</v>
      </c>
    </row>
    <row r="1273" spans="1:8">
      <c r="A1273" s="30" t="s">
        <v>11749</v>
      </c>
      <c r="B1273" s="30"/>
      <c r="C1273" s="30" t="s">
        <v>8607</v>
      </c>
      <c r="D1273" s="30"/>
      <c r="E1273" s="30"/>
      <c r="F1273" s="30"/>
      <c r="G1273" s="30"/>
      <c r="H1273" s="30" t="s">
        <v>11750</v>
      </c>
    </row>
    <row r="1274" spans="1:8">
      <c r="A1274" s="30" t="s">
        <v>11751</v>
      </c>
      <c r="B1274" s="30"/>
      <c r="C1274" s="30" t="s">
        <v>8607</v>
      </c>
      <c r="D1274" s="30"/>
      <c r="E1274" s="30"/>
      <c r="F1274" s="30"/>
      <c r="G1274" s="30"/>
      <c r="H1274" s="30" t="s">
        <v>11752</v>
      </c>
    </row>
    <row r="1275" spans="1:8">
      <c r="A1275" s="30" t="s">
        <v>11753</v>
      </c>
      <c r="B1275" s="30"/>
      <c r="C1275" s="30" t="s">
        <v>8607</v>
      </c>
      <c r="D1275" s="30" t="s">
        <v>9983</v>
      </c>
      <c r="E1275" s="30"/>
      <c r="F1275" s="30"/>
      <c r="G1275" s="30" t="s">
        <v>8681</v>
      </c>
      <c r="H1275" s="30" t="s">
        <v>11754</v>
      </c>
    </row>
    <row r="1276" spans="1:8">
      <c r="A1276" s="30" t="s">
        <v>11755</v>
      </c>
      <c r="B1276" s="30"/>
      <c r="C1276" s="30" t="s">
        <v>8607</v>
      </c>
      <c r="D1276" s="30"/>
      <c r="E1276" s="30"/>
      <c r="F1276" s="30"/>
      <c r="G1276" s="30"/>
      <c r="H1276" s="30" t="s">
        <v>11756</v>
      </c>
    </row>
    <row r="1277" spans="1:8">
      <c r="A1277" s="30" t="s">
        <v>11757</v>
      </c>
      <c r="B1277" s="30"/>
      <c r="C1277" s="30" t="s">
        <v>8607</v>
      </c>
      <c r="D1277" s="30"/>
      <c r="E1277" s="30"/>
      <c r="F1277" s="30"/>
      <c r="G1277" s="30"/>
      <c r="H1277" s="30" t="s">
        <v>11748</v>
      </c>
    </row>
    <row r="1278" spans="1:8">
      <c r="A1278" s="30" t="s">
        <v>11758</v>
      </c>
      <c r="B1278" s="30"/>
      <c r="C1278" s="30" t="s">
        <v>8607</v>
      </c>
      <c r="D1278" s="30"/>
      <c r="E1278" s="30"/>
      <c r="F1278" s="30"/>
      <c r="G1278" s="30"/>
      <c r="H1278" s="30" t="s">
        <v>11759</v>
      </c>
    </row>
    <row r="1279" spans="1:8">
      <c r="A1279" s="30" t="s">
        <v>11760</v>
      </c>
      <c r="B1279" s="30"/>
      <c r="C1279" s="30" t="s">
        <v>8607</v>
      </c>
      <c r="D1279" s="30"/>
      <c r="E1279" s="30"/>
      <c r="F1279" s="30"/>
      <c r="G1279" s="30"/>
      <c r="H1279" s="30" t="s">
        <v>8802</v>
      </c>
    </row>
    <row r="1280" spans="1:8">
      <c r="A1280" s="30" t="s">
        <v>11761</v>
      </c>
      <c r="B1280" s="30"/>
      <c r="C1280" s="30" t="s">
        <v>8626</v>
      </c>
      <c r="D1280" s="30"/>
      <c r="E1280" s="30"/>
      <c r="F1280" s="30"/>
      <c r="G1280" s="30" t="s">
        <v>10220</v>
      </c>
      <c r="H1280" s="30" t="s">
        <v>8842</v>
      </c>
    </row>
    <row r="1281" spans="1:8">
      <c r="A1281" s="30" t="s">
        <v>11762</v>
      </c>
      <c r="B1281" s="30"/>
      <c r="C1281" s="30" t="s">
        <v>8626</v>
      </c>
      <c r="D1281" s="30" t="s">
        <v>11763</v>
      </c>
      <c r="E1281" s="30" t="s">
        <v>8845</v>
      </c>
      <c r="F1281" s="30" t="s">
        <v>8672</v>
      </c>
      <c r="G1281" s="30" t="s">
        <v>8846</v>
      </c>
      <c r="H1281" s="30" t="s">
        <v>10565</v>
      </c>
    </row>
    <row r="1282" spans="1:8">
      <c r="A1282" s="30" t="s">
        <v>11764</v>
      </c>
      <c r="B1282" s="30"/>
      <c r="C1282" s="30" t="s">
        <v>8626</v>
      </c>
      <c r="D1282" s="30" t="s">
        <v>10110</v>
      </c>
      <c r="E1282" s="30" t="s">
        <v>8761</v>
      </c>
      <c r="F1282" s="30" t="e">
        <v>#VALUE!</v>
      </c>
      <c r="G1282" s="30" t="s">
        <v>8754</v>
      </c>
      <c r="H1282" s="30" t="s">
        <v>11765</v>
      </c>
    </row>
    <row r="1283" spans="1:8">
      <c r="A1283" s="30" t="s">
        <v>11766</v>
      </c>
      <c r="B1283" s="30"/>
      <c r="C1283" s="30" t="s">
        <v>8607</v>
      </c>
      <c r="D1283" s="30" t="s">
        <v>10907</v>
      </c>
      <c r="E1283" s="30"/>
      <c r="F1283" s="30"/>
      <c r="G1283" s="30" t="s">
        <v>8851</v>
      </c>
      <c r="H1283" s="30" t="s">
        <v>10567</v>
      </c>
    </row>
    <row r="1284" spans="1:8">
      <c r="A1284" s="30" t="s">
        <v>11767</v>
      </c>
      <c r="B1284" s="30"/>
      <c r="C1284" s="30" t="s">
        <v>8607</v>
      </c>
      <c r="D1284" s="30"/>
      <c r="E1284" s="30"/>
      <c r="F1284" s="30"/>
      <c r="G1284" s="30" t="s">
        <v>8804</v>
      </c>
      <c r="H1284" s="30" t="s">
        <v>8831</v>
      </c>
    </row>
    <row r="1285" spans="1:8">
      <c r="A1285" s="30" t="s">
        <v>11768</v>
      </c>
      <c r="B1285" s="30"/>
      <c r="C1285" s="30" t="s">
        <v>8607</v>
      </c>
      <c r="D1285" s="30"/>
      <c r="E1285" s="30"/>
      <c r="F1285" s="30"/>
      <c r="G1285" s="30" t="s">
        <v>8807</v>
      </c>
      <c r="H1285" s="30" t="s">
        <v>10549</v>
      </c>
    </row>
    <row r="1286" spans="1:8">
      <c r="A1286" s="30" t="s">
        <v>11769</v>
      </c>
      <c r="B1286" s="30"/>
      <c r="C1286" s="30" t="s">
        <v>8607</v>
      </c>
      <c r="D1286" s="30"/>
      <c r="E1286" s="30"/>
      <c r="F1286" s="30"/>
      <c r="G1286" s="30" t="s">
        <v>8814</v>
      </c>
      <c r="H1286" s="30" t="s">
        <v>10551</v>
      </c>
    </row>
    <row r="1287" spans="1:8">
      <c r="A1287" s="30" t="s">
        <v>11770</v>
      </c>
      <c r="B1287" s="30"/>
      <c r="C1287" s="30" t="s">
        <v>8626</v>
      </c>
      <c r="D1287" s="30" t="s">
        <v>10553</v>
      </c>
      <c r="E1287" s="30" t="s">
        <v>8818</v>
      </c>
      <c r="F1287" s="30" t="e">
        <v>#VALUE!</v>
      </c>
      <c r="G1287" s="30"/>
      <c r="H1287" s="30" t="s">
        <v>10554</v>
      </c>
    </row>
    <row r="1288" spans="1:8">
      <c r="A1288" s="30" t="s">
        <v>11771</v>
      </c>
      <c r="B1288" s="30"/>
      <c r="C1288" s="30" t="s">
        <v>8607</v>
      </c>
      <c r="D1288" s="30" t="s">
        <v>8821</v>
      </c>
      <c r="E1288" s="30"/>
      <c r="F1288" s="30"/>
      <c r="G1288" s="30" t="s">
        <v>8737</v>
      </c>
      <c r="H1288" s="30" t="s">
        <v>8822</v>
      </c>
    </row>
    <row r="1289" spans="1:8">
      <c r="A1289" s="30" t="s">
        <v>11772</v>
      </c>
      <c r="B1289" s="30"/>
      <c r="C1289" s="30" t="s">
        <v>8607</v>
      </c>
      <c r="D1289" s="30" t="s">
        <v>8736</v>
      </c>
      <c r="E1289" s="30"/>
      <c r="F1289" s="30"/>
      <c r="G1289" s="30" t="s">
        <v>8737</v>
      </c>
      <c r="H1289" s="30" t="s">
        <v>8800</v>
      </c>
    </row>
    <row r="1290" spans="1:8">
      <c r="A1290" s="30" t="s">
        <v>11773</v>
      </c>
      <c r="B1290" s="30"/>
      <c r="C1290" s="30" t="s">
        <v>8626</v>
      </c>
      <c r="D1290" s="30" t="s">
        <v>11774</v>
      </c>
      <c r="E1290" s="30" t="s">
        <v>11775</v>
      </c>
      <c r="F1290" s="30" t="e">
        <v>#VALUE!</v>
      </c>
      <c r="G1290" s="30" t="s">
        <v>8826</v>
      </c>
      <c r="H1290" s="30" t="s">
        <v>11776</v>
      </c>
    </row>
    <row r="1291" spans="1:8">
      <c r="A1291" s="30" t="s">
        <v>11777</v>
      </c>
      <c r="B1291" s="30"/>
      <c r="C1291" s="30" t="s">
        <v>8626</v>
      </c>
      <c r="D1291" s="30"/>
      <c r="E1291" s="30" t="s">
        <v>11778</v>
      </c>
      <c r="F1291" s="30" t="e">
        <v>#VALUE!</v>
      </c>
      <c r="G1291" s="30" t="s">
        <v>10645</v>
      </c>
      <c r="H1291" s="30" t="s">
        <v>11779</v>
      </c>
    </row>
    <row r="1292" spans="1:8">
      <c r="A1292" s="30" t="s">
        <v>11780</v>
      </c>
      <c r="B1292" s="30"/>
      <c r="C1292" s="30" t="s">
        <v>8607</v>
      </c>
      <c r="D1292" s="30" t="s">
        <v>8736</v>
      </c>
      <c r="E1292" s="30"/>
      <c r="F1292" s="30"/>
      <c r="G1292" s="30" t="s">
        <v>8737</v>
      </c>
      <c r="H1292" s="30" t="s">
        <v>10407</v>
      </c>
    </row>
    <row r="1293" spans="1:8">
      <c r="A1293" s="30" t="s">
        <v>11781</v>
      </c>
      <c r="B1293" s="30"/>
      <c r="C1293" s="30" t="s">
        <v>8626</v>
      </c>
      <c r="D1293" s="30" t="s">
        <v>8736</v>
      </c>
      <c r="E1293" s="30"/>
      <c r="F1293" s="30"/>
      <c r="G1293" s="30" t="s">
        <v>8737</v>
      </c>
      <c r="H1293" s="30" t="s">
        <v>8738</v>
      </c>
    </row>
    <row r="1294" spans="1:8">
      <c r="A1294" s="30" t="s">
        <v>11782</v>
      </c>
      <c r="B1294" s="30"/>
      <c r="C1294" s="30"/>
      <c r="D1294" s="32" t="s">
        <v>11783</v>
      </c>
      <c r="E1294" s="30" t="s">
        <v>11784</v>
      </c>
      <c r="F1294" s="30" t="s">
        <v>8618</v>
      </c>
      <c r="G1294" s="30"/>
      <c r="H1294" s="30" t="s">
        <v>11785</v>
      </c>
    </row>
    <row r="1295" spans="1:8">
      <c r="A1295" s="30" t="s">
        <v>11786</v>
      </c>
      <c r="B1295" s="30"/>
      <c r="C1295" s="30"/>
      <c r="D1295" s="32"/>
      <c r="E1295" s="30"/>
      <c r="F1295" s="30"/>
      <c r="G1295" s="30"/>
      <c r="H1295" s="30" t="s">
        <v>11787</v>
      </c>
    </row>
    <row r="1296" spans="1:8">
      <c r="A1296" s="30" t="s">
        <v>11788</v>
      </c>
      <c r="B1296" s="30"/>
      <c r="C1296" s="30" t="s">
        <v>8626</v>
      </c>
      <c r="D1296" s="30"/>
      <c r="E1296" s="30" t="s">
        <v>11789</v>
      </c>
      <c r="F1296" s="30" t="e">
        <v>#VALUE!</v>
      </c>
      <c r="G1296" s="30" t="s">
        <v>10645</v>
      </c>
      <c r="H1296" s="30" t="s">
        <v>11790</v>
      </c>
    </row>
    <row r="1297" spans="1:8">
      <c r="A1297" s="30" t="s">
        <v>11791</v>
      </c>
      <c r="B1297" s="30"/>
      <c r="C1297" s="30" t="s">
        <v>8607</v>
      </c>
      <c r="D1297" s="30" t="s">
        <v>8821</v>
      </c>
      <c r="E1297" s="30"/>
      <c r="F1297" s="30"/>
      <c r="G1297" s="30" t="s">
        <v>8737</v>
      </c>
      <c r="H1297" s="30" t="s">
        <v>11347</v>
      </c>
    </row>
    <row r="1298" spans="1:8">
      <c r="A1298" s="30" t="s">
        <v>11792</v>
      </c>
      <c r="B1298" s="30"/>
      <c r="C1298" s="30" t="s">
        <v>8626</v>
      </c>
      <c r="D1298" s="30" t="s">
        <v>11793</v>
      </c>
      <c r="E1298" s="30" t="s">
        <v>11794</v>
      </c>
      <c r="F1298" s="30" t="e">
        <v>#VALUE!</v>
      </c>
      <c r="G1298" s="30" t="s">
        <v>11795</v>
      </c>
      <c r="H1298" s="30" t="s">
        <v>11796</v>
      </c>
    </row>
    <row r="1299" spans="1:8">
      <c r="A1299" s="30" t="s">
        <v>11797</v>
      </c>
      <c r="B1299" s="30"/>
      <c r="C1299" s="30" t="s">
        <v>8607</v>
      </c>
      <c r="D1299" s="30"/>
      <c r="E1299" s="30"/>
      <c r="F1299" s="30"/>
      <c r="G1299" s="30" t="s">
        <v>8804</v>
      </c>
      <c r="H1299" s="30" t="s">
        <v>11798</v>
      </c>
    </row>
    <row r="1300" spans="1:8">
      <c r="A1300" s="30" t="s">
        <v>11799</v>
      </c>
      <c r="B1300" s="30"/>
      <c r="C1300" s="30" t="s">
        <v>8607</v>
      </c>
      <c r="D1300" s="30"/>
      <c r="E1300" s="30"/>
      <c r="F1300" s="30"/>
      <c r="G1300" s="30" t="s">
        <v>8807</v>
      </c>
      <c r="H1300" s="30" t="s">
        <v>11279</v>
      </c>
    </row>
    <row r="1301" spans="1:8">
      <c r="A1301" s="30" t="s">
        <v>11800</v>
      </c>
      <c r="B1301" s="30"/>
      <c r="C1301" s="30" t="s">
        <v>8607</v>
      </c>
      <c r="D1301" s="30"/>
      <c r="E1301" s="30"/>
      <c r="F1301" s="30"/>
      <c r="G1301" s="30" t="s">
        <v>8814</v>
      </c>
      <c r="H1301" s="30" t="s">
        <v>8835</v>
      </c>
    </row>
    <row r="1302" spans="1:8">
      <c r="A1302" s="30" t="s">
        <v>11801</v>
      </c>
      <c r="B1302" s="30"/>
      <c r="C1302" s="30" t="s">
        <v>8607</v>
      </c>
      <c r="D1302" s="30" t="s">
        <v>10917</v>
      </c>
      <c r="E1302" s="30" t="s">
        <v>8845</v>
      </c>
      <c r="F1302" s="30" t="s">
        <v>8672</v>
      </c>
      <c r="G1302" s="30" t="s">
        <v>8846</v>
      </c>
      <c r="H1302" s="30" t="s">
        <v>10241</v>
      </c>
    </row>
    <row r="1303" spans="1:8">
      <c r="A1303" s="30" t="s">
        <v>11802</v>
      </c>
      <c r="B1303" s="30"/>
      <c r="C1303" s="30" t="s">
        <v>8607</v>
      </c>
      <c r="D1303" s="30" t="s">
        <v>10243</v>
      </c>
      <c r="E1303" s="30" t="s">
        <v>8850</v>
      </c>
      <c r="F1303" s="30" t="s">
        <v>8672</v>
      </c>
      <c r="G1303" s="30" t="s">
        <v>8851</v>
      </c>
      <c r="H1303" s="30" t="s">
        <v>10244</v>
      </c>
    </row>
    <row r="1304" spans="1:8">
      <c r="A1304" s="30" t="s">
        <v>11803</v>
      </c>
      <c r="B1304" s="30"/>
      <c r="C1304" s="30" t="s">
        <v>8607</v>
      </c>
      <c r="D1304" s="30" t="s">
        <v>10243</v>
      </c>
      <c r="E1304" s="30" t="s">
        <v>8850</v>
      </c>
      <c r="F1304" s="30" t="s">
        <v>8672</v>
      </c>
      <c r="G1304" s="30" t="s">
        <v>8851</v>
      </c>
      <c r="H1304" s="30" t="s">
        <v>11804</v>
      </c>
    </row>
    <row r="1305" spans="1:8">
      <c r="A1305" s="30" t="s">
        <v>11805</v>
      </c>
      <c r="B1305" s="30"/>
      <c r="C1305" s="30" t="s">
        <v>8626</v>
      </c>
      <c r="D1305" s="30"/>
      <c r="E1305" s="30"/>
      <c r="F1305" s="30"/>
      <c r="G1305" s="30"/>
      <c r="H1305" s="30" t="s">
        <v>11806</v>
      </c>
    </row>
    <row r="1306" spans="1:8">
      <c r="A1306" s="30" t="s">
        <v>11807</v>
      </c>
      <c r="B1306" s="30"/>
      <c r="C1306" s="30" t="s">
        <v>8607</v>
      </c>
      <c r="D1306" s="30"/>
      <c r="E1306" s="30"/>
      <c r="F1306" s="30"/>
      <c r="G1306" s="30" t="s">
        <v>11808</v>
      </c>
      <c r="H1306" s="30" t="s">
        <v>11809</v>
      </c>
    </row>
    <row r="1307" spans="1:8">
      <c r="A1307" s="30" t="s">
        <v>11810</v>
      </c>
      <c r="B1307" s="30"/>
      <c r="C1307" s="30" t="s">
        <v>8626</v>
      </c>
      <c r="D1307" s="30" t="s">
        <v>11811</v>
      </c>
      <c r="E1307" s="30" t="s">
        <v>10269</v>
      </c>
      <c r="F1307" s="30" t="s">
        <v>8618</v>
      </c>
      <c r="G1307" s="30" t="s">
        <v>10234</v>
      </c>
      <c r="H1307" s="30" t="s">
        <v>11812</v>
      </c>
    </row>
    <row r="1308" spans="1:8">
      <c r="A1308" s="30" t="s">
        <v>11813</v>
      </c>
      <c r="B1308" s="30"/>
      <c r="C1308" s="30" t="s">
        <v>8607</v>
      </c>
      <c r="D1308" s="30"/>
      <c r="E1308" s="30" t="s">
        <v>11305</v>
      </c>
      <c r="F1308" s="30" t="s">
        <v>8618</v>
      </c>
      <c r="G1308" s="30" t="s">
        <v>8908</v>
      </c>
      <c r="H1308" s="30" t="s">
        <v>8909</v>
      </c>
    </row>
    <row r="1309" spans="1:8">
      <c r="A1309" s="30" t="s">
        <v>11814</v>
      </c>
      <c r="B1309" s="30"/>
      <c r="C1309" s="30" t="s">
        <v>8626</v>
      </c>
      <c r="D1309" s="30"/>
      <c r="E1309" s="30"/>
      <c r="F1309" s="30"/>
      <c r="G1309" s="30" t="s">
        <v>8888</v>
      </c>
      <c r="H1309" s="30" t="s">
        <v>8889</v>
      </c>
    </row>
    <row r="1310" spans="1:8">
      <c r="A1310" s="30" t="s">
        <v>11815</v>
      </c>
      <c r="B1310" s="30"/>
      <c r="C1310" s="30" t="s">
        <v>8607</v>
      </c>
      <c r="D1310" s="30"/>
      <c r="E1310" s="30"/>
      <c r="F1310" s="30"/>
      <c r="G1310" s="30" t="s">
        <v>8774</v>
      </c>
      <c r="H1310" s="30" t="s">
        <v>10629</v>
      </c>
    </row>
    <row r="1311" spans="1:8">
      <c r="A1311" s="30" t="s">
        <v>11816</v>
      </c>
      <c r="B1311" s="30"/>
      <c r="C1311" s="30" t="s">
        <v>8626</v>
      </c>
      <c r="D1311" s="30"/>
      <c r="E1311" s="30" t="s">
        <v>10214</v>
      </c>
      <c r="F1311" s="30" t="e">
        <v>#VALUE!</v>
      </c>
      <c r="G1311" s="30" t="s">
        <v>8714</v>
      </c>
      <c r="H1311" s="30" t="s">
        <v>10305</v>
      </c>
    </row>
    <row r="1312" spans="1:8">
      <c r="A1312" s="30" t="s">
        <v>11817</v>
      </c>
      <c r="B1312" s="30"/>
      <c r="C1312" s="30" t="s">
        <v>8626</v>
      </c>
      <c r="D1312" s="30"/>
      <c r="E1312" s="30" t="s">
        <v>10214</v>
      </c>
      <c r="F1312" s="30" t="e">
        <v>#VALUE!</v>
      </c>
      <c r="G1312" s="30" t="s">
        <v>8714</v>
      </c>
      <c r="H1312" s="30" t="s">
        <v>10305</v>
      </c>
    </row>
    <row r="1313" spans="1:8">
      <c r="A1313" s="30" t="s">
        <v>11818</v>
      </c>
      <c r="B1313" s="30"/>
      <c r="C1313" s="30" t="s">
        <v>8626</v>
      </c>
      <c r="D1313" s="30" t="s">
        <v>8883</v>
      </c>
      <c r="E1313" s="30" t="s">
        <v>11008</v>
      </c>
      <c r="F1313" s="30" t="s">
        <v>8672</v>
      </c>
      <c r="G1313" s="30" t="s">
        <v>8885</v>
      </c>
      <c r="H1313" s="30" t="s">
        <v>10308</v>
      </c>
    </row>
    <row r="1314" spans="1:8">
      <c r="A1314" s="30" t="s">
        <v>11819</v>
      </c>
      <c r="B1314" s="30"/>
      <c r="C1314" s="30" t="s">
        <v>8626</v>
      </c>
      <c r="D1314" s="30"/>
      <c r="E1314" s="30"/>
      <c r="F1314" s="30"/>
      <c r="G1314" s="30" t="s">
        <v>11010</v>
      </c>
      <c r="H1314" s="30" t="s">
        <v>11011</v>
      </c>
    </row>
    <row r="1315" spans="1:8">
      <c r="A1315" s="30" t="s">
        <v>11820</v>
      </c>
      <c r="B1315" s="30"/>
      <c r="C1315" s="30" t="s">
        <v>8626</v>
      </c>
      <c r="D1315" s="30"/>
      <c r="E1315" s="30"/>
      <c r="F1315" s="30"/>
      <c r="G1315" s="30" t="s">
        <v>8888</v>
      </c>
      <c r="H1315" s="30" t="s">
        <v>8889</v>
      </c>
    </row>
    <row r="1316" spans="1:8">
      <c r="A1316" s="30" t="s">
        <v>11821</v>
      </c>
      <c r="B1316" s="30"/>
      <c r="C1316" s="30" t="s">
        <v>8607</v>
      </c>
      <c r="D1316" s="30"/>
      <c r="E1316" s="30"/>
      <c r="F1316" s="30"/>
      <c r="G1316" s="30" t="s">
        <v>8774</v>
      </c>
      <c r="H1316" s="30" t="s">
        <v>10629</v>
      </c>
    </row>
    <row r="1317" spans="1:8">
      <c r="A1317" s="30" t="s">
        <v>11822</v>
      </c>
      <c r="B1317" s="30"/>
      <c r="C1317" s="30" t="s">
        <v>8626</v>
      </c>
      <c r="D1317" s="30" t="s">
        <v>8883</v>
      </c>
      <c r="E1317" s="30" t="s">
        <v>11008</v>
      </c>
      <c r="F1317" s="30" t="s">
        <v>8672</v>
      </c>
      <c r="G1317" s="30" t="s">
        <v>8885</v>
      </c>
      <c r="H1317" s="30" t="s">
        <v>10308</v>
      </c>
    </row>
    <row r="1318" spans="1:8">
      <c r="A1318" s="30" t="s">
        <v>11823</v>
      </c>
      <c r="B1318" s="30"/>
      <c r="C1318" s="30" t="s">
        <v>8626</v>
      </c>
      <c r="D1318" s="30"/>
      <c r="E1318" s="30"/>
      <c r="F1318" s="30"/>
      <c r="G1318" s="30" t="s">
        <v>11010</v>
      </c>
      <c r="H1318" s="30" t="s">
        <v>11011</v>
      </c>
    </row>
    <row r="1319" spans="1:8">
      <c r="A1319" s="30" t="s">
        <v>11824</v>
      </c>
      <c r="B1319" s="30"/>
      <c r="C1319" s="30" t="s">
        <v>8607</v>
      </c>
      <c r="D1319" s="30"/>
      <c r="E1319" s="30" t="s">
        <v>8720</v>
      </c>
      <c r="F1319" s="30" t="e">
        <v>#VALUE!</v>
      </c>
      <c r="G1319" s="30" t="s">
        <v>8721</v>
      </c>
      <c r="H1319" s="30" t="s">
        <v>8722</v>
      </c>
    </row>
    <row r="1320" spans="1:8">
      <c r="A1320" s="30" t="s">
        <v>11825</v>
      </c>
      <c r="B1320" s="30"/>
      <c r="C1320" s="30" t="s">
        <v>8607</v>
      </c>
      <c r="D1320" s="30"/>
      <c r="E1320" s="30"/>
      <c r="F1320" s="30"/>
      <c r="G1320" s="30" t="s">
        <v>8721</v>
      </c>
      <c r="H1320" s="30" t="s">
        <v>8724</v>
      </c>
    </row>
    <row r="1321" spans="1:8">
      <c r="A1321" s="30" t="s">
        <v>11826</v>
      </c>
      <c r="B1321" s="30"/>
      <c r="C1321" s="30" t="s">
        <v>8607</v>
      </c>
      <c r="D1321" s="30"/>
      <c r="E1321" s="30"/>
      <c r="F1321" s="30"/>
      <c r="G1321" s="30" t="s">
        <v>8726</v>
      </c>
      <c r="H1321" s="30" t="s">
        <v>11827</v>
      </c>
    </row>
    <row r="1322" spans="1:8">
      <c r="A1322" s="30" t="s">
        <v>11828</v>
      </c>
      <c r="B1322" s="30"/>
      <c r="C1322" s="30" t="s">
        <v>8607</v>
      </c>
      <c r="D1322" s="30" t="s">
        <v>8694</v>
      </c>
      <c r="E1322" s="30"/>
      <c r="F1322" s="30"/>
      <c r="G1322" s="30" t="s">
        <v>8695</v>
      </c>
      <c r="H1322" s="30" t="s">
        <v>11829</v>
      </c>
    </row>
    <row r="1323" spans="1:8">
      <c r="A1323" s="30" t="s">
        <v>11830</v>
      </c>
      <c r="B1323" s="30"/>
      <c r="C1323" s="30" t="s">
        <v>8607</v>
      </c>
      <c r="D1323" s="30"/>
      <c r="E1323" s="30"/>
      <c r="F1323" s="30"/>
      <c r="G1323" s="30" t="s">
        <v>8698</v>
      </c>
      <c r="H1323" s="30" t="s">
        <v>11831</v>
      </c>
    </row>
    <row r="1324" spans="1:8">
      <c r="A1324" s="30" t="s">
        <v>11832</v>
      </c>
      <c r="B1324" s="30"/>
      <c r="C1324" s="30"/>
      <c r="D1324" s="32"/>
      <c r="E1324" s="30"/>
      <c r="F1324" s="30"/>
      <c r="G1324" s="30"/>
      <c r="H1324" s="30" t="s">
        <v>8701</v>
      </c>
    </row>
    <row r="1325" spans="1:8">
      <c r="A1325" s="30" t="s">
        <v>11833</v>
      </c>
      <c r="B1325" s="30"/>
      <c r="C1325" s="30" t="s">
        <v>8607</v>
      </c>
      <c r="D1325" s="30" t="s">
        <v>8707</v>
      </c>
      <c r="E1325" s="30"/>
      <c r="F1325" s="30"/>
      <c r="G1325" s="30" t="s">
        <v>8708</v>
      </c>
      <c r="H1325" s="30" t="s">
        <v>8709</v>
      </c>
    </row>
    <row r="1326" spans="1:8">
      <c r="A1326" s="30" t="s">
        <v>11834</v>
      </c>
      <c r="B1326" s="30"/>
      <c r="C1326" s="30" t="s">
        <v>8607</v>
      </c>
      <c r="D1326" s="30"/>
      <c r="E1326" s="30"/>
      <c r="F1326" s="30"/>
      <c r="G1326" s="30" t="s">
        <v>8711</v>
      </c>
      <c r="H1326" s="30" t="s">
        <v>8712</v>
      </c>
    </row>
    <row r="1327" spans="1:8">
      <c r="A1327" s="30" t="s">
        <v>11835</v>
      </c>
      <c r="B1327" s="30"/>
      <c r="C1327" s="30" t="s">
        <v>8626</v>
      </c>
      <c r="D1327" s="30"/>
      <c r="E1327" s="30"/>
      <c r="F1327" s="30"/>
      <c r="G1327" s="30" t="s">
        <v>8714</v>
      </c>
      <c r="H1327" s="30" t="s">
        <v>8715</v>
      </c>
    </row>
    <row r="1328" spans="1:8">
      <c r="A1328" s="30" t="s">
        <v>11836</v>
      </c>
      <c r="B1328" s="30"/>
      <c r="C1328" s="30" t="s">
        <v>8607</v>
      </c>
      <c r="D1328" s="30"/>
      <c r="E1328" s="30"/>
      <c r="F1328" s="30"/>
      <c r="G1328" s="30" t="s">
        <v>8717</v>
      </c>
      <c r="H1328" s="30" t="s">
        <v>8718</v>
      </c>
    </row>
    <row r="1329" spans="1:8">
      <c r="A1329" s="30" t="s">
        <v>11837</v>
      </c>
      <c r="B1329" s="30"/>
      <c r="C1329" s="30" t="s">
        <v>8626</v>
      </c>
      <c r="D1329" s="30"/>
      <c r="E1329" s="30"/>
      <c r="F1329" s="30"/>
      <c r="G1329" s="30" t="s">
        <v>11010</v>
      </c>
      <c r="H1329" s="30" t="s">
        <v>11011</v>
      </c>
    </row>
    <row r="1330" spans="1:8">
      <c r="A1330" s="30" t="s">
        <v>11838</v>
      </c>
      <c r="B1330" s="30"/>
      <c r="C1330" s="30" t="s">
        <v>8626</v>
      </c>
      <c r="D1330" s="30"/>
      <c r="E1330" s="30"/>
      <c r="F1330" s="30"/>
      <c r="G1330" s="30" t="s">
        <v>8888</v>
      </c>
      <c r="H1330" s="30" t="s">
        <v>8889</v>
      </c>
    </row>
    <row r="1331" spans="1:8">
      <c r="A1331" s="30" t="s">
        <v>11839</v>
      </c>
      <c r="B1331" s="30"/>
      <c r="C1331" s="30" t="s">
        <v>8626</v>
      </c>
      <c r="D1331" s="30" t="s">
        <v>11840</v>
      </c>
      <c r="E1331" s="30" t="s">
        <v>9547</v>
      </c>
      <c r="F1331" s="30" t="s">
        <v>8672</v>
      </c>
      <c r="G1331" s="30" t="s">
        <v>9366</v>
      </c>
      <c r="H1331" s="30" t="s">
        <v>10924</v>
      </c>
    </row>
    <row r="1332" spans="1:8">
      <c r="A1332" s="30" t="s">
        <v>11841</v>
      </c>
      <c r="B1332" s="30"/>
      <c r="C1332" s="30" t="s">
        <v>8607</v>
      </c>
      <c r="D1332" s="30"/>
      <c r="E1332" s="30"/>
      <c r="F1332" s="30"/>
      <c r="G1332" s="30" t="s">
        <v>10576</v>
      </c>
      <c r="H1332" s="30" t="s">
        <v>11842</v>
      </c>
    </row>
    <row r="1333" spans="1:8">
      <c r="A1333" s="30" t="s">
        <v>11843</v>
      </c>
      <c r="B1333" s="30"/>
      <c r="C1333" s="30" t="s">
        <v>8626</v>
      </c>
      <c r="D1333" s="30"/>
      <c r="E1333" s="30"/>
      <c r="F1333" s="30"/>
      <c r="G1333" s="30" t="s">
        <v>9209</v>
      </c>
      <c r="H1333" s="30" t="s">
        <v>10580</v>
      </c>
    </row>
    <row r="1334" spans="1:8">
      <c r="A1334" s="30" t="s">
        <v>11844</v>
      </c>
      <c r="B1334" s="30"/>
      <c r="C1334" s="30" t="s">
        <v>8607</v>
      </c>
      <c r="D1334" s="30" t="s">
        <v>11845</v>
      </c>
      <c r="E1334" s="30" t="s">
        <v>10583</v>
      </c>
      <c r="F1334" s="30" t="e">
        <v>#VALUE!</v>
      </c>
      <c r="G1334" s="30" t="s">
        <v>9219</v>
      </c>
      <c r="H1334" s="30" t="s">
        <v>10654</v>
      </c>
    </row>
    <row r="1335" spans="1:8">
      <c r="A1335" s="30" t="s">
        <v>11846</v>
      </c>
      <c r="B1335" s="30"/>
      <c r="C1335" s="30" t="s">
        <v>8626</v>
      </c>
      <c r="D1335" s="30" t="s">
        <v>11847</v>
      </c>
      <c r="E1335" s="30" t="s">
        <v>11848</v>
      </c>
      <c r="F1335" s="30" t="s">
        <v>8618</v>
      </c>
      <c r="G1335" s="30" t="s">
        <v>9672</v>
      </c>
      <c r="H1335" s="30" t="s">
        <v>11324</v>
      </c>
    </row>
    <row r="1336" spans="1:8">
      <c r="A1336" s="30" t="s">
        <v>11849</v>
      </c>
      <c r="B1336" s="30"/>
      <c r="C1336" s="30"/>
      <c r="D1336" s="32"/>
      <c r="E1336" s="30"/>
      <c r="F1336" s="30"/>
      <c r="G1336" s="30"/>
      <c r="H1336" s="30" t="s">
        <v>11850</v>
      </c>
    </row>
    <row r="1337" spans="1:8">
      <c r="A1337" s="30" t="s">
        <v>11851</v>
      </c>
      <c r="B1337" s="30"/>
      <c r="C1337" s="30" t="s">
        <v>8626</v>
      </c>
      <c r="D1337" s="30"/>
      <c r="E1337" s="30"/>
      <c r="F1337" s="30"/>
      <c r="G1337" s="30"/>
      <c r="H1337" s="30" t="s">
        <v>11852</v>
      </c>
    </row>
    <row r="1338" spans="1:8">
      <c r="A1338" s="30" t="s">
        <v>11853</v>
      </c>
      <c r="B1338" s="30"/>
      <c r="C1338" s="30" t="s">
        <v>8626</v>
      </c>
      <c r="D1338" s="30" t="s">
        <v>10586</v>
      </c>
      <c r="E1338" s="30" t="s">
        <v>10723</v>
      </c>
      <c r="F1338" s="30" t="e">
        <v>#VALUE!</v>
      </c>
      <c r="G1338" s="30" t="s">
        <v>9145</v>
      </c>
      <c r="H1338" s="30" t="s">
        <v>11854</v>
      </c>
    </row>
    <row r="1339" spans="1:8">
      <c r="A1339" s="30" t="s">
        <v>11855</v>
      </c>
      <c r="B1339" s="30"/>
      <c r="C1339" s="30" t="s">
        <v>8626</v>
      </c>
      <c r="D1339" s="30" t="s">
        <v>11003</v>
      </c>
      <c r="E1339" s="30" t="s">
        <v>10262</v>
      </c>
      <c r="F1339" s="30" t="s">
        <v>8672</v>
      </c>
      <c r="G1339" s="30" t="s">
        <v>10234</v>
      </c>
      <c r="H1339" s="30" t="s">
        <v>11856</v>
      </c>
    </row>
    <row r="1340" spans="1:8">
      <c r="A1340" s="30" t="s">
        <v>11857</v>
      </c>
      <c r="B1340" s="30"/>
      <c r="C1340" s="30" t="s">
        <v>8607</v>
      </c>
      <c r="D1340" s="30" t="s">
        <v>8770</v>
      </c>
      <c r="E1340" s="30" t="s">
        <v>8771</v>
      </c>
      <c r="F1340" s="30" t="s">
        <v>8672</v>
      </c>
      <c r="G1340" s="30" t="s">
        <v>8659</v>
      </c>
      <c r="H1340" s="30" t="s">
        <v>8772</v>
      </c>
    </row>
    <row r="1341" spans="1:8">
      <c r="A1341" s="30" t="s">
        <v>11858</v>
      </c>
      <c r="B1341" s="30"/>
      <c r="C1341" s="30" t="s">
        <v>8607</v>
      </c>
      <c r="D1341" s="30"/>
      <c r="E1341" s="30"/>
      <c r="F1341" s="30"/>
      <c r="G1341" s="30"/>
      <c r="H1341" s="30" t="s">
        <v>11013</v>
      </c>
    </row>
    <row r="1342" spans="1:8">
      <c r="A1342" s="30" t="s">
        <v>11859</v>
      </c>
      <c r="B1342" s="30"/>
      <c r="C1342" s="30" t="s">
        <v>8607</v>
      </c>
      <c r="D1342" s="30"/>
      <c r="E1342" s="30"/>
      <c r="F1342" s="30"/>
      <c r="G1342" s="30" t="s">
        <v>8774</v>
      </c>
      <c r="H1342" s="30" t="s">
        <v>10629</v>
      </c>
    </row>
    <row r="1343" spans="1:8">
      <c r="A1343" s="30" t="s">
        <v>11860</v>
      </c>
      <c r="B1343" s="30"/>
      <c r="C1343" s="30" t="s">
        <v>8607</v>
      </c>
      <c r="D1343" s="30"/>
      <c r="E1343" s="30" t="s">
        <v>8720</v>
      </c>
      <c r="F1343" s="30" t="e">
        <v>#VALUE!</v>
      </c>
      <c r="G1343" s="30" t="s">
        <v>8721</v>
      </c>
      <c r="H1343" s="30" t="s">
        <v>8722</v>
      </c>
    </row>
    <row r="1344" spans="1:8">
      <c r="A1344" s="30" t="s">
        <v>11861</v>
      </c>
      <c r="B1344" s="30"/>
      <c r="C1344" s="30" t="s">
        <v>8607</v>
      </c>
      <c r="D1344" s="30"/>
      <c r="E1344" s="30"/>
      <c r="F1344" s="30"/>
      <c r="G1344" s="30" t="s">
        <v>8726</v>
      </c>
      <c r="H1344" s="30" t="s">
        <v>8727</v>
      </c>
    </row>
    <row r="1345" spans="1:8">
      <c r="A1345" s="30" t="s">
        <v>11862</v>
      </c>
      <c r="B1345" s="30"/>
      <c r="C1345" s="30" t="s">
        <v>8607</v>
      </c>
      <c r="D1345" s="30"/>
      <c r="E1345" s="30"/>
      <c r="F1345" s="30"/>
      <c r="G1345" s="30" t="s">
        <v>8729</v>
      </c>
      <c r="H1345" s="30" t="s">
        <v>10195</v>
      </c>
    </row>
    <row r="1346" spans="1:8">
      <c r="A1346" s="30" t="s">
        <v>11863</v>
      </c>
      <c r="B1346" s="30"/>
      <c r="C1346" s="30" t="s">
        <v>8607</v>
      </c>
      <c r="D1346" s="30"/>
      <c r="E1346" s="30"/>
      <c r="F1346" s="30"/>
      <c r="G1346" s="30" t="s">
        <v>8717</v>
      </c>
      <c r="H1346" s="30" t="s">
        <v>11734</v>
      </c>
    </row>
    <row r="1347" spans="1:8">
      <c r="A1347" s="30" t="s">
        <v>11864</v>
      </c>
      <c r="B1347" s="30"/>
      <c r="C1347" s="30" t="s">
        <v>8607</v>
      </c>
      <c r="D1347" s="30"/>
      <c r="E1347" s="30"/>
      <c r="F1347" s="30"/>
      <c r="G1347" s="30" t="s">
        <v>8646</v>
      </c>
      <c r="H1347" s="30" t="s">
        <v>11164</v>
      </c>
    </row>
    <row r="1348" spans="1:8">
      <c r="A1348" s="30" t="s">
        <v>11865</v>
      </c>
      <c r="B1348" s="30"/>
      <c r="C1348" s="30" t="s">
        <v>8607</v>
      </c>
      <c r="D1348" s="30" t="s">
        <v>10434</v>
      </c>
      <c r="E1348" s="30"/>
      <c r="F1348" s="30"/>
      <c r="G1348" s="30" t="s">
        <v>8649</v>
      </c>
      <c r="H1348" s="30" t="s">
        <v>11866</v>
      </c>
    </row>
    <row r="1349" spans="1:8">
      <c r="A1349" s="30" t="s">
        <v>11867</v>
      </c>
      <c r="B1349" s="30"/>
      <c r="C1349" s="30" t="s">
        <v>8607</v>
      </c>
      <c r="D1349" s="30"/>
      <c r="E1349" s="30" t="s">
        <v>10499</v>
      </c>
      <c r="F1349" s="30" t="e">
        <v>#VALUE!</v>
      </c>
      <c r="G1349" s="30" t="s">
        <v>8678</v>
      </c>
      <c r="H1349" s="30" t="s">
        <v>8679</v>
      </c>
    </row>
    <row r="1350" spans="1:8">
      <c r="A1350" s="30" t="s">
        <v>11868</v>
      </c>
      <c r="B1350" s="30"/>
      <c r="C1350" s="30" t="s">
        <v>8626</v>
      </c>
      <c r="D1350" s="30"/>
      <c r="E1350" s="30"/>
      <c r="F1350" s="30"/>
      <c r="G1350" s="30" t="s">
        <v>8681</v>
      </c>
      <c r="H1350" s="30" t="s">
        <v>10502</v>
      </c>
    </row>
    <row r="1351" spans="1:8">
      <c r="A1351" s="30" t="s">
        <v>11869</v>
      </c>
      <c r="B1351" s="30"/>
      <c r="C1351" s="30" t="s">
        <v>8626</v>
      </c>
      <c r="D1351" s="30" t="s">
        <v>8689</v>
      </c>
      <c r="E1351" s="30" t="s">
        <v>10191</v>
      </c>
      <c r="F1351" s="30" t="e">
        <v>#VALUE!</v>
      </c>
      <c r="G1351" s="30" t="s">
        <v>8691</v>
      </c>
      <c r="H1351" s="30" t="s">
        <v>10192</v>
      </c>
    </row>
    <row r="1352" spans="1:8">
      <c r="A1352" s="30" t="s">
        <v>11870</v>
      </c>
      <c r="B1352" s="30"/>
      <c r="C1352" s="30" t="s">
        <v>8626</v>
      </c>
      <c r="D1352" s="30" t="s">
        <v>10334</v>
      </c>
      <c r="E1352" s="30"/>
      <c r="F1352" s="30"/>
      <c r="G1352" s="30" t="s">
        <v>8695</v>
      </c>
      <c r="H1352" s="30" t="s">
        <v>10768</v>
      </c>
    </row>
    <row r="1353" spans="1:8">
      <c r="A1353" s="30" t="s">
        <v>11871</v>
      </c>
      <c r="B1353" s="30"/>
      <c r="C1353" s="30" t="s">
        <v>8626</v>
      </c>
      <c r="D1353" s="30"/>
      <c r="E1353" s="30"/>
      <c r="F1353" s="30"/>
      <c r="G1353" s="30" t="s">
        <v>8698</v>
      </c>
      <c r="H1353" s="30" t="s">
        <v>10346</v>
      </c>
    </row>
    <row r="1354" spans="1:8">
      <c r="A1354" s="30" t="s">
        <v>11872</v>
      </c>
      <c r="B1354" s="30"/>
      <c r="C1354" s="30" t="s">
        <v>8626</v>
      </c>
      <c r="D1354" s="30" t="s">
        <v>10334</v>
      </c>
      <c r="E1354" s="30"/>
      <c r="F1354" s="30"/>
      <c r="G1354" s="30" t="s">
        <v>8695</v>
      </c>
      <c r="H1354" s="30" t="s">
        <v>10768</v>
      </c>
    </row>
    <row r="1355" spans="1:8">
      <c r="A1355" s="30" t="s">
        <v>11873</v>
      </c>
      <c r="B1355" s="30"/>
      <c r="C1355" s="30" t="s">
        <v>8626</v>
      </c>
      <c r="D1355" s="30"/>
      <c r="E1355" s="30"/>
      <c r="F1355" s="30"/>
      <c r="G1355" s="30"/>
      <c r="H1355" s="30" t="s">
        <v>10346</v>
      </c>
    </row>
    <row r="1356" spans="1:8">
      <c r="A1356" s="30" t="s">
        <v>11874</v>
      </c>
      <c r="B1356" s="30"/>
      <c r="C1356" s="30"/>
      <c r="D1356" s="32"/>
      <c r="E1356" s="30"/>
      <c r="F1356" s="30"/>
      <c r="G1356" s="30"/>
      <c r="H1356" s="30" t="s">
        <v>10337</v>
      </c>
    </row>
    <row r="1357" spans="1:8">
      <c r="A1357" s="30" t="s">
        <v>11875</v>
      </c>
      <c r="B1357" s="30"/>
      <c r="C1357" s="30" t="s">
        <v>8626</v>
      </c>
      <c r="D1357" s="30"/>
      <c r="E1357" s="30" t="s">
        <v>10214</v>
      </c>
      <c r="F1357" s="30" t="e">
        <v>#VALUE!</v>
      </c>
      <c r="G1357" s="30" t="s">
        <v>8714</v>
      </c>
      <c r="H1357" s="30" t="s">
        <v>8715</v>
      </c>
    </row>
    <row r="1358" spans="1:8">
      <c r="A1358" s="30" t="s">
        <v>11876</v>
      </c>
      <c r="B1358" s="30"/>
      <c r="C1358" s="30" t="s">
        <v>8607</v>
      </c>
      <c r="D1358" s="30" t="s">
        <v>8707</v>
      </c>
      <c r="E1358" s="30"/>
      <c r="F1358" s="30"/>
      <c r="G1358" s="30" t="s">
        <v>8708</v>
      </c>
      <c r="H1358" s="30" t="s">
        <v>10216</v>
      </c>
    </row>
    <row r="1359" spans="1:8">
      <c r="A1359" s="30" t="s">
        <v>11877</v>
      </c>
      <c r="B1359" s="30"/>
      <c r="C1359" s="30" t="s">
        <v>8626</v>
      </c>
      <c r="D1359" s="30"/>
      <c r="E1359" s="30"/>
      <c r="F1359" s="30"/>
      <c r="G1359" s="30" t="s">
        <v>8711</v>
      </c>
      <c r="H1359" s="30" t="s">
        <v>10259</v>
      </c>
    </row>
    <row r="1360" spans="1:8">
      <c r="A1360" s="30" t="s">
        <v>11878</v>
      </c>
      <c r="B1360" s="30"/>
      <c r="C1360" s="30" t="s">
        <v>8607</v>
      </c>
      <c r="D1360" s="30"/>
      <c r="E1360" s="30"/>
      <c r="F1360" s="30"/>
      <c r="G1360" s="30" t="s">
        <v>8717</v>
      </c>
      <c r="H1360" s="30" t="s">
        <v>11203</v>
      </c>
    </row>
    <row r="1361" spans="1:8">
      <c r="A1361" s="30" t="s">
        <v>11879</v>
      </c>
      <c r="B1361" s="30"/>
      <c r="C1361" s="30" t="s">
        <v>8626</v>
      </c>
      <c r="D1361" s="30" t="s">
        <v>8689</v>
      </c>
      <c r="E1361" s="30" t="s">
        <v>10191</v>
      </c>
      <c r="F1361" s="30" t="e">
        <v>#VALUE!</v>
      </c>
      <c r="G1361" s="30" t="s">
        <v>8691</v>
      </c>
      <c r="H1361" s="30" t="s">
        <v>10447</v>
      </c>
    </row>
    <row r="1362" spans="1:8">
      <c r="A1362" s="30" t="s">
        <v>11880</v>
      </c>
      <c r="B1362" s="30"/>
      <c r="C1362" s="30" t="s">
        <v>8607</v>
      </c>
      <c r="D1362" s="30"/>
      <c r="E1362" s="30" t="s">
        <v>8720</v>
      </c>
      <c r="F1362" s="30" t="e">
        <v>#VALUE!</v>
      </c>
      <c r="G1362" s="30" t="s">
        <v>8721</v>
      </c>
      <c r="H1362" s="30" t="s">
        <v>8722</v>
      </c>
    </row>
    <row r="1363" spans="1:8">
      <c r="A1363" s="30" t="s">
        <v>11881</v>
      </c>
      <c r="B1363" s="30"/>
      <c r="C1363" s="30" t="s">
        <v>8607</v>
      </c>
      <c r="D1363" s="30"/>
      <c r="E1363" s="30"/>
      <c r="F1363" s="30"/>
      <c r="G1363" s="30" t="s">
        <v>8726</v>
      </c>
      <c r="H1363" s="30" t="s">
        <v>8727</v>
      </c>
    </row>
    <row r="1364" spans="1:8">
      <c r="A1364" s="30" t="s">
        <v>11882</v>
      </c>
      <c r="B1364" s="30"/>
      <c r="C1364" s="30"/>
      <c r="D1364" s="32"/>
      <c r="E1364" s="30"/>
      <c r="F1364" s="30"/>
      <c r="G1364" s="30"/>
      <c r="H1364" s="30" t="s">
        <v>10604</v>
      </c>
    </row>
    <row r="1365" spans="1:8">
      <c r="A1365" s="30" t="s">
        <v>11883</v>
      </c>
      <c r="B1365" s="30"/>
      <c r="C1365" s="30" t="s">
        <v>8626</v>
      </c>
      <c r="D1365" s="30" t="s">
        <v>8689</v>
      </c>
      <c r="E1365" s="30" t="s">
        <v>10191</v>
      </c>
      <c r="F1365" s="30" t="e">
        <v>#VALUE!</v>
      </c>
      <c r="G1365" s="30" t="s">
        <v>8691</v>
      </c>
      <c r="H1365" s="30" t="s">
        <v>10192</v>
      </c>
    </row>
    <row r="1366" spans="1:8">
      <c r="A1366" s="30" t="s">
        <v>11884</v>
      </c>
      <c r="B1366" s="30"/>
      <c r="C1366" s="30" t="s">
        <v>8626</v>
      </c>
      <c r="D1366" s="30" t="s">
        <v>10606</v>
      </c>
      <c r="E1366" s="30" t="s">
        <v>10209</v>
      </c>
      <c r="F1366" s="30" t="s">
        <v>8672</v>
      </c>
      <c r="G1366" s="30" t="s">
        <v>9002</v>
      </c>
      <c r="H1366" s="30" t="s">
        <v>11885</v>
      </c>
    </row>
    <row r="1367" spans="1:8">
      <c r="A1367" s="30" t="s">
        <v>11886</v>
      </c>
      <c r="B1367" s="30"/>
      <c r="C1367" s="30" t="s">
        <v>8626</v>
      </c>
      <c r="D1367" s="30" t="s">
        <v>11887</v>
      </c>
      <c r="E1367" s="30" t="s">
        <v>11888</v>
      </c>
      <c r="F1367" s="30" t="s">
        <v>8672</v>
      </c>
      <c r="G1367" s="30" t="s">
        <v>11889</v>
      </c>
      <c r="H1367" s="30" t="s">
        <v>11890</v>
      </c>
    </row>
    <row r="1368" spans="1:8">
      <c r="A1368" s="30" t="s">
        <v>11891</v>
      </c>
      <c r="B1368" s="30"/>
      <c r="C1368" s="30" t="s">
        <v>8607</v>
      </c>
      <c r="D1368" s="30"/>
      <c r="E1368" s="30"/>
      <c r="F1368" s="30"/>
      <c r="G1368" s="30" t="s">
        <v>10205</v>
      </c>
      <c r="H1368" s="30" t="s">
        <v>10611</v>
      </c>
    </row>
    <row r="1369" spans="1:8">
      <c r="A1369" s="30" t="s">
        <v>11892</v>
      </c>
      <c r="B1369" s="30"/>
      <c r="C1369" s="30" t="s">
        <v>8607</v>
      </c>
      <c r="D1369" s="30"/>
      <c r="E1369" s="30" t="s">
        <v>8720</v>
      </c>
      <c r="F1369" s="30" t="e">
        <v>#VALUE!</v>
      </c>
      <c r="G1369" s="30" t="s">
        <v>8721</v>
      </c>
      <c r="H1369" s="30" t="s">
        <v>10613</v>
      </c>
    </row>
    <row r="1370" spans="1:8">
      <c r="A1370" s="30" t="s">
        <v>11893</v>
      </c>
      <c r="B1370" s="30"/>
      <c r="C1370" s="30" t="s">
        <v>8607</v>
      </c>
      <c r="D1370" s="30" t="s">
        <v>10334</v>
      </c>
      <c r="E1370" s="30"/>
      <c r="F1370" s="30"/>
      <c r="G1370" s="30" t="s">
        <v>8695</v>
      </c>
      <c r="H1370" s="30" t="s">
        <v>10609</v>
      </c>
    </row>
    <row r="1371" spans="1:8">
      <c r="A1371" s="30" t="s">
        <v>11894</v>
      </c>
      <c r="B1371" s="30"/>
      <c r="C1371" s="30" t="s">
        <v>8626</v>
      </c>
      <c r="D1371" s="30"/>
      <c r="E1371" s="30"/>
      <c r="F1371" s="30"/>
      <c r="G1371" s="30" t="s">
        <v>8726</v>
      </c>
      <c r="H1371" s="30" t="s">
        <v>10615</v>
      </c>
    </row>
    <row r="1372" spans="1:8">
      <c r="A1372" s="30" t="s">
        <v>11895</v>
      </c>
      <c r="B1372" s="30"/>
      <c r="C1372" s="30" t="s">
        <v>8626</v>
      </c>
      <c r="D1372" s="30" t="s">
        <v>10926</v>
      </c>
      <c r="E1372" s="30" t="s">
        <v>10927</v>
      </c>
      <c r="F1372" s="30" t="e">
        <v>#VALUE!</v>
      </c>
      <c r="G1372" s="30" t="s">
        <v>10928</v>
      </c>
      <c r="H1372" s="30" t="s">
        <v>10929</v>
      </c>
    </row>
    <row r="1373" spans="1:8">
      <c r="A1373" s="30" t="s">
        <v>11896</v>
      </c>
      <c r="B1373" s="30"/>
      <c r="C1373" s="30" t="s">
        <v>8607</v>
      </c>
      <c r="D1373" s="30" t="s">
        <v>9000</v>
      </c>
      <c r="E1373" s="30" t="s">
        <v>11897</v>
      </c>
      <c r="F1373" s="30" t="e">
        <v>#VALUE!</v>
      </c>
      <c r="G1373" s="30" t="s">
        <v>9002</v>
      </c>
      <c r="H1373" s="30" t="s">
        <v>10989</v>
      </c>
    </row>
    <row r="1374" spans="1:8">
      <c r="A1374" s="30" t="s">
        <v>11898</v>
      </c>
      <c r="B1374" s="30"/>
      <c r="C1374" s="30" t="s">
        <v>8607</v>
      </c>
      <c r="D1374" s="30" t="s">
        <v>8894</v>
      </c>
      <c r="E1374" s="30"/>
      <c r="F1374" s="30"/>
      <c r="G1374" s="30" t="s">
        <v>8895</v>
      </c>
      <c r="H1374" s="30" t="s">
        <v>10991</v>
      </c>
    </row>
    <row r="1375" spans="1:8">
      <c r="A1375" s="30" t="s">
        <v>11899</v>
      </c>
      <c r="B1375" s="30"/>
      <c r="C1375" s="30" t="s">
        <v>8626</v>
      </c>
      <c r="D1375" s="30"/>
      <c r="E1375" s="30"/>
      <c r="F1375" s="30"/>
      <c r="G1375" s="30" t="s">
        <v>8623</v>
      </c>
      <c r="H1375" s="30" t="s">
        <v>11900</v>
      </c>
    </row>
    <row r="1376" spans="1:8">
      <c r="A1376" s="30" t="s">
        <v>11901</v>
      </c>
      <c r="B1376" s="30"/>
      <c r="C1376" s="30" t="s">
        <v>8626</v>
      </c>
      <c r="D1376" s="30"/>
      <c r="E1376" s="30"/>
      <c r="F1376" s="30"/>
      <c r="G1376" s="30" t="s">
        <v>10220</v>
      </c>
      <c r="H1376" s="30" t="s">
        <v>10278</v>
      </c>
    </row>
    <row r="1377" spans="1:8">
      <c r="A1377" s="30" t="s">
        <v>11902</v>
      </c>
      <c r="B1377" s="30"/>
      <c r="C1377" s="30" t="s">
        <v>8626</v>
      </c>
      <c r="D1377" s="30" t="s">
        <v>11903</v>
      </c>
      <c r="E1377" s="30" t="s">
        <v>11904</v>
      </c>
      <c r="F1377" s="30" t="s">
        <v>8618</v>
      </c>
      <c r="G1377" s="30" t="s">
        <v>10234</v>
      </c>
      <c r="H1377" s="30" t="s">
        <v>11905</v>
      </c>
    </row>
    <row r="1378" spans="1:8">
      <c r="A1378" s="30" t="s">
        <v>11906</v>
      </c>
      <c r="B1378" s="30"/>
      <c r="C1378" s="30" t="s">
        <v>8626</v>
      </c>
      <c r="D1378" s="30"/>
      <c r="E1378" s="30" t="s">
        <v>10214</v>
      </c>
      <c r="F1378" s="30" t="e">
        <v>#VALUE!</v>
      </c>
      <c r="G1378" s="30" t="s">
        <v>8714</v>
      </c>
      <c r="H1378" s="30" t="s">
        <v>10305</v>
      </c>
    </row>
    <row r="1379" spans="1:8">
      <c r="A1379" s="30" t="s">
        <v>11907</v>
      </c>
      <c r="B1379" s="30"/>
      <c r="C1379" s="30" t="s">
        <v>8626</v>
      </c>
      <c r="D1379" s="30" t="s">
        <v>8883</v>
      </c>
      <c r="E1379" s="30" t="s">
        <v>11008</v>
      </c>
      <c r="F1379" s="30" t="s">
        <v>8672</v>
      </c>
      <c r="G1379" s="30" t="s">
        <v>8885</v>
      </c>
      <c r="H1379" s="30" t="s">
        <v>10308</v>
      </c>
    </row>
    <row r="1380" spans="1:8">
      <c r="A1380" s="30" t="s">
        <v>11908</v>
      </c>
      <c r="B1380" s="30"/>
      <c r="C1380" s="30" t="s">
        <v>8626</v>
      </c>
      <c r="D1380" s="30"/>
      <c r="E1380" s="30"/>
      <c r="F1380" s="30"/>
      <c r="G1380" s="30" t="s">
        <v>11010</v>
      </c>
      <c r="H1380" s="30" t="s">
        <v>11011</v>
      </c>
    </row>
    <row r="1381" spans="1:8">
      <c r="A1381" s="30" t="s">
        <v>11909</v>
      </c>
      <c r="B1381" s="30"/>
      <c r="C1381" s="30" t="s">
        <v>8626</v>
      </c>
      <c r="D1381" s="30" t="s">
        <v>10926</v>
      </c>
      <c r="E1381" s="30" t="s">
        <v>10927</v>
      </c>
      <c r="F1381" s="30" t="e">
        <v>#VALUE!</v>
      </c>
      <c r="G1381" s="30" t="s">
        <v>10928</v>
      </c>
      <c r="H1381" s="30" t="s">
        <v>10929</v>
      </c>
    </row>
    <row r="1382" spans="1:8">
      <c r="A1382" s="30" t="s">
        <v>11910</v>
      </c>
      <c r="B1382" s="30"/>
      <c r="C1382" s="30" t="s">
        <v>8607</v>
      </c>
      <c r="D1382" s="30" t="s">
        <v>9758</v>
      </c>
      <c r="E1382" s="30" t="s">
        <v>11911</v>
      </c>
      <c r="F1382" s="30" t="s">
        <v>8672</v>
      </c>
      <c r="G1382" s="30" t="s">
        <v>9002</v>
      </c>
      <c r="H1382" s="30" t="s">
        <v>10989</v>
      </c>
    </row>
    <row r="1383" spans="1:8">
      <c r="A1383" s="30" t="s">
        <v>11912</v>
      </c>
      <c r="B1383" s="30"/>
      <c r="C1383" s="30" t="s">
        <v>8607</v>
      </c>
      <c r="D1383" s="30" t="s">
        <v>8894</v>
      </c>
      <c r="E1383" s="30"/>
      <c r="F1383" s="30"/>
      <c r="G1383" s="30" t="s">
        <v>8895</v>
      </c>
      <c r="H1383" s="30" t="s">
        <v>10991</v>
      </c>
    </row>
    <row r="1384" spans="1:8">
      <c r="A1384" s="30" t="s">
        <v>11913</v>
      </c>
      <c r="B1384" s="30"/>
      <c r="C1384" s="30" t="s">
        <v>8626</v>
      </c>
      <c r="D1384" s="30" t="s">
        <v>11914</v>
      </c>
      <c r="E1384" s="30" t="s">
        <v>10209</v>
      </c>
      <c r="F1384" s="30" t="s">
        <v>8672</v>
      </c>
      <c r="G1384" s="30" t="s">
        <v>9002</v>
      </c>
      <c r="H1384" s="30" t="s">
        <v>11915</v>
      </c>
    </row>
    <row r="1385" spans="1:8">
      <c r="A1385" s="30" t="s">
        <v>11916</v>
      </c>
      <c r="B1385" s="30"/>
      <c r="C1385" s="30" t="s">
        <v>8626</v>
      </c>
      <c r="D1385" s="30"/>
      <c r="E1385" s="30" t="s">
        <v>11917</v>
      </c>
      <c r="F1385" s="30" t="s">
        <v>8672</v>
      </c>
      <c r="G1385" s="30" t="s">
        <v>8623</v>
      </c>
      <c r="H1385" s="30" t="s">
        <v>11918</v>
      </c>
    </row>
    <row r="1386" spans="1:8">
      <c r="A1386" s="30" t="s">
        <v>11919</v>
      </c>
      <c r="B1386" s="30"/>
      <c r="C1386" s="30" t="s">
        <v>8626</v>
      </c>
      <c r="D1386" s="30" t="s">
        <v>11903</v>
      </c>
      <c r="E1386" s="30" t="s">
        <v>10374</v>
      </c>
      <c r="F1386" s="30" t="s">
        <v>8618</v>
      </c>
      <c r="G1386" s="30" t="s">
        <v>10234</v>
      </c>
      <c r="H1386" s="30" t="s">
        <v>11920</v>
      </c>
    </row>
    <row r="1387" spans="1:8">
      <c r="A1387" s="30" t="s">
        <v>11921</v>
      </c>
      <c r="B1387" s="30"/>
      <c r="C1387" s="30" t="s">
        <v>8626</v>
      </c>
      <c r="D1387" s="30"/>
      <c r="E1387" s="30" t="s">
        <v>10214</v>
      </c>
      <c r="F1387" s="30" t="e">
        <v>#VALUE!</v>
      </c>
      <c r="G1387" s="30" t="s">
        <v>8714</v>
      </c>
      <c r="H1387" s="30" t="s">
        <v>10305</v>
      </c>
    </row>
    <row r="1388" spans="1:8">
      <c r="A1388" s="30" t="s">
        <v>11922</v>
      </c>
      <c r="B1388" s="30"/>
      <c r="C1388" s="30" t="s">
        <v>8607</v>
      </c>
      <c r="D1388" s="30" t="s">
        <v>11923</v>
      </c>
      <c r="E1388" s="30" t="s">
        <v>9791</v>
      </c>
      <c r="F1388" s="30" t="s">
        <v>8672</v>
      </c>
      <c r="G1388" s="30" t="s">
        <v>9275</v>
      </c>
      <c r="H1388" s="30" t="s">
        <v>11924</v>
      </c>
    </row>
    <row r="1389" spans="1:8">
      <c r="A1389" s="30" t="s">
        <v>11925</v>
      </c>
      <c r="B1389" s="30"/>
      <c r="C1389" s="30" t="s">
        <v>8607</v>
      </c>
      <c r="D1389" s="30" t="s">
        <v>11926</v>
      </c>
      <c r="E1389" s="30" t="s">
        <v>11927</v>
      </c>
      <c r="F1389" s="30" t="s">
        <v>8672</v>
      </c>
      <c r="G1389" s="30" t="s">
        <v>9844</v>
      </c>
      <c r="H1389" s="30" t="s">
        <v>11928</v>
      </c>
    </row>
    <row r="1390" spans="1:8">
      <c r="A1390" s="30" t="s">
        <v>11929</v>
      </c>
      <c r="B1390" s="30"/>
      <c r="C1390" s="30" t="s">
        <v>8607</v>
      </c>
      <c r="D1390" s="30" t="s">
        <v>9824</v>
      </c>
      <c r="E1390" s="30" t="s">
        <v>11497</v>
      </c>
      <c r="F1390" s="30" t="s">
        <v>8672</v>
      </c>
      <c r="G1390" s="30" t="s">
        <v>9002</v>
      </c>
      <c r="H1390" s="30" t="s">
        <v>11930</v>
      </c>
    </row>
    <row r="1391" spans="1:8">
      <c r="A1391" s="30" t="s">
        <v>11931</v>
      </c>
      <c r="B1391" s="30"/>
      <c r="C1391" s="30"/>
      <c r="D1391" s="32"/>
      <c r="E1391" s="30"/>
      <c r="F1391" s="30"/>
      <c r="G1391" s="30"/>
      <c r="H1391" s="30" t="s">
        <v>11932</v>
      </c>
    </row>
    <row r="1392" spans="1:8">
      <c r="A1392" s="30" t="s">
        <v>11933</v>
      </c>
      <c r="B1392" s="30"/>
      <c r="C1392" s="30" t="s">
        <v>8607</v>
      </c>
      <c r="D1392" s="30"/>
      <c r="E1392" s="30"/>
      <c r="F1392" s="30"/>
      <c r="G1392" s="30"/>
      <c r="H1392" s="30" t="s">
        <v>11934</v>
      </c>
    </row>
    <row r="1393" spans="1:8">
      <c r="A1393" s="30" t="s">
        <v>11935</v>
      </c>
      <c r="B1393" s="30"/>
      <c r="C1393" s="30"/>
      <c r="D1393" s="32"/>
      <c r="E1393" s="30"/>
      <c r="F1393" s="30"/>
      <c r="G1393" s="30"/>
      <c r="H1393" s="30" t="s">
        <v>11936</v>
      </c>
    </row>
    <row r="1394" spans="1:8">
      <c r="A1394" s="30" t="s">
        <v>11937</v>
      </c>
      <c r="B1394" s="30"/>
      <c r="C1394" s="30" t="s">
        <v>8626</v>
      </c>
      <c r="D1394" s="30" t="s">
        <v>11938</v>
      </c>
      <c r="E1394" s="30" t="s">
        <v>11939</v>
      </c>
      <c r="F1394" s="30" t="e">
        <v>#VALUE!</v>
      </c>
      <c r="G1394" s="30" t="s">
        <v>8930</v>
      </c>
      <c r="H1394" s="30" t="s">
        <v>11940</v>
      </c>
    </row>
    <row r="1395" spans="1:8">
      <c r="A1395" s="30" t="s">
        <v>11941</v>
      </c>
      <c r="B1395" s="30"/>
      <c r="C1395" s="30" t="s">
        <v>8607</v>
      </c>
      <c r="D1395" s="30"/>
      <c r="E1395" s="30" t="s">
        <v>11942</v>
      </c>
      <c r="F1395" s="30" t="s">
        <v>8672</v>
      </c>
      <c r="G1395" s="30" t="s">
        <v>11943</v>
      </c>
      <c r="H1395" s="30" t="s">
        <v>11944</v>
      </c>
    </row>
    <row r="1396" spans="1:8">
      <c r="A1396" s="30" t="s">
        <v>11945</v>
      </c>
      <c r="B1396" s="30"/>
      <c r="C1396" s="30" t="s">
        <v>8607</v>
      </c>
      <c r="D1396" s="30" t="s">
        <v>10243</v>
      </c>
      <c r="E1396" s="30" t="s">
        <v>8850</v>
      </c>
      <c r="F1396" s="30" t="s">
        <v>8672</v>
      </c>
      <c r="G1396" s="30" t="s">
        <v>8851</v>
      </c>
      <c r="H1396" s="30" t="s">
        <v>10244</v>
      </c>
    </row>
    <row r="1397" spans="1:8">
      <c r="A1397" s="30" t="s">
        <v>11946</v>
      </c>
      <c r="B1397" s="30"/>
      <c r="C1397" s="30" t="s">
        <v>8607</v>
      </c>
      <c r="D1397" s="30" t="s">
        <v>11947</v>
      </c>
      <c r="E1397" s="30" t="s">
        <v>11948</v>
      </c>
      <c r="F1397" s="30" t="e">
        <v>#VALUE!</v>
      </c>
      <c r="G1397" s="30" t="s">
        <v>8637</v>
      </c>
      <c r="H1397" s="30" t="s">
        <v>8787</v>
      </c>
    </row>
    <row r="1398" spans="1:8">
      <c r="A1398" s="30" t="s">
        <v>11949</v>
      </c>
      <c r="B1398" s="30"/>
      <c r="C1398" s="30" t="s">
        <v>8626</v>
      </c>
      <c r="D1398" s="30" t="s">
        <v>10074</v>
      </c>
      <c r="E1398" s="30" t="s">
        <v>11950</v>
      </c>
      <c r="F1398" s="30" t="s">
        <v>8672</v>
      </c>
      <c r="G1398" s="30"/>
      <c r="H1398" s="30" t="s">
        <v>11951</v>
      </c>
    </row>
    <row r="1399" spans="1:8">
      <c r="A1399" s="30" t="s">
        <v>11952</v>
      </c>
      <c r="B1399" s="30"/>
      <c r="C1399" s="30" t="s">
        <v>8607</v>
      </c>
      <c r="D1399" s="30" t="s">
        <v>10907</v>
      </c>
      <c r="E1399" s="30" t="s">
        <v>8850</v>
      </c>
      <c r="F1399" s="30" t="s">
        <v>8672</v>
      </c>
      <c r="G1399" s="30" t="s">
        <v>8851</v>
      </c>
      <c r="H1399" s="30" t="s">
        <v>10457</v>
      </c>
    </row>
    <row r="1400" spans="1:8">
      <c r="A1400" s="30" t="s">
        <v>11953</v>
      </c>
      <c r="B1400" s="30"/>
      <c r="C1400" s="30" t="s">
        <v>8607</v>
      </c>
      <c r="D1400" s="30" t="s">
        <v>10491</v>
      </c>
      <c r="E1400" s="30" t="s">
        <v>11954</v>
      </c>
      <c r="F1400" s="30" t="e">
        <v>#VALUE!</v>
      </c>
      <c r="G1400" s="30" t="s">
        <v>9007</v>
      </c>
      <c r="H1400" s="30" t="s">
        <v>11208</v>
      </c>
    </row>
    <row r="1401" spans="1:8">
      <c r="A1401" s="30" t="s">
        <v>11955</v>
      </c>
      <c r="B1401" s="30"/>
      <c r="C1401" s="30" t="s">
        <v>8607</v>
      </c>
      <c r="D1401" s="30"/>
      <c r="E1401" s="30"/>
      <c r="F1401" s="30"/>
      <c r="G1401" s="30" t="s">
        <v>9363</v>
      </c>
      <c r="H1401" s="30" t="s">
        <v>11956</v>
      </c>
    </row>
    <row r="1402" spans="1:8">
      <c r="A1402" s="30" t="s">
        <v>11957</v>
      </c>
      <c r="B1402" s="30"/>
      <c r="C1402" s="30" t="s">
        <v>8607</v>
      </c>
      <c r="D1402" s="30" t="s">
        <v>10907</v>
      </c>
      <c r="E1402" s="30" t="s">
        <v>11958</v>
      </c>
      <c r="F1402" s="30" t="s">
        <v>8672</v>
      </c>
      <c r="G1402" s="30" t="s">
        <v>11959</v>
      </c>
      <c r="H1402" s="30" t="s">
        <v>11804</v>
      </c>
    </row>
    <row r="1403" spans="1:8">
      <c r="A1403" s="30" t="s">
        <v>11960</v>
      </c>
      <c r="B1403" s="30"/>
      <c r="C1403" s="30" t="s">
        <v>8626</v>
      </c>
      <c r="D1403" s="30"/>
      <c r="E1403" s="30" t="s">
        <v>10644</v>
      </c>
      <c r="F1403" s="30" t="s">
        <v>8618</v>
      </c>
      <c r="G1403" s="30" t="s">
        <v>10645</v>
      </c>
      <c r="H1403" s="30" t="s">
        <v>10646</v>
      </c>
    </row>
    <row r="1404" spans="1:8">
      <c r="A1404" s="30" t="s">
        <v>11961</v>
      </c>
      <c r="B1404" s="30"/>
      <c r="C1404" s="30" t="s">
        <v>8607</v>
      </c>
      <c r="D1404" s="30" t="s">
        <v>8736</v>
      </c>
      <c r="E1404" s="30"/>
      <c r="F1404" s="30"/>
      <c r="G1404" s="30" t="s">
        <v>8737</v>
      </c>
      <c r="H1404" s="30" t="s">
        <v>8800</v>
      </c>
    </row>
    <row r="1405" spans="1:8">
      <c r="A1405" s="30" t="s">
        <v>11962</v>
      </c>
      <c r="B1405" s="30"/>
      <c r="C1405" s="30" t="s">
        <v>8607</v>
      </c>
      <c r="D1405" s="30" t="s">
        <v>11963</v>
      </c>
      <c r="E1405" s="30" t="s">
        <v>11964</v>
      </c>
      <c r="F1405" s="30" t="s">
        <v>8672</v>
      </c>
      <c r="G1405" s="30" t="s">
        <v>9913</v>
      </c>
      <c r="H1405" s="30" t="s">
        <v>9914</v>
      </c>
    </row>
    <row r="1406" spans="1:8">
      <c r="A1406" s="30" t="s">
        <v>11965</v>
      </c>
      <c r="B1406" s="30"/>
      <c r="C1406" s="30"/>
      <c r="D1406" s="32" t="s">
        <v>8684</v>
      </c>
      <c r="E1406" s="30" t="s">
        <v>11966</v>
      </c>
      <c r="F1406" s="30" t="s">
        <v>8618</v>
      </c>
      <c r="G1406" s="30"/>
      <c r="H1406" s="30" t="s">
        <v>11967</v>
      </c>
    </row>
    <row r="1407" spans="1:8">
      <c r="A1407" s="30" t="s">
        <v>11968</v>
      </c>
      <c r="B1407" s="30"/>
      <c r="C1407" s="30" t="s">
        <v>8607</v>
      </c>
      <c r="D1407" s="30"/>
      <c r="E1407" s="30"/>
      <c r="F1407" s="30"/>
      <c r="G1407" s="30" t="s">
        <v>10356</v>
      </c>
      <c r="H1407" s="30" t="s">
        <v>10357</v>
      </c>
    </row>
    <row r="1408" spans="1:8">
      <c r="A1408" s="30" t="s">
        <v>11969</v>
      </c>
      <c r="B1408" s="30"/>
      <c r="C1408" s="30" t="s">
        <v>8607</v>
      </c>
      <c r="D1408" s="30"/>
      <c r="E1408" s="30"/>
      <c r="F1408" s="30"/>
      <c r="G1408" s="30" t="s">
        <v>10356</v>
      </c>
      <c r="H1408" s="30" t="s">
        <v>10357</v>
      </c>
    </row>
    <row r="1409" spans="1:8">
      <c r="A1409" s="30" t="s">
        <v>11970</v>
      </c>
      <c r="B1409" s="30"/>
      <c r="C1409" s="30" t="s">
        <v>8607</v>
      </c>
      <c r="D1409" s="30" t="s">
        <v>9983</v>
      </c>
      <c r="E1409" s="30"/>
      <c r="F1409" s="30"/>
      <c r="G1409" s="30" t="s">
        <v>8681</v>
      </c>
      <c r="H1409" s="30" t="s">
        <v>9984</v>
      </c>
    </row>
    <row r="1410" spans="1:8">
      <c r="A1410" s="30" t="s">
        <v>11971</v>
      </c>
      <c r="B1410" s="30"/>
      <c r="C1410" s="30" t="s">
        <v>8607</v>
      </c>
      <c r="D1410" s="30" t="s">
        <v>8654</v>
      </c>
      <c r="E1410" s="30"/>
      <c r="F1410" s="30"/>
      <c r="G1410" s="30" t="s">
        <v>8656</v>
      </c>
      <c r="H1410" s="30" t="s">
        <v>11972</v>
      </c>
    </row>
    <row r="1411" spans="1:8">
      <c r="A1411" s="30" t="s">
        <v>11973</v>
      </c>
      <c r="B1411" s="30"/>
      <c r="C1411" s="30" t="s">
        <v>8607</v>
      </c>
      <c r="D1411" s="30"/>
      <c r="E1411" s="30"/>
      <c r="F1411" s="30"/>
      <c r="G1411" s="30" t="s">
        <v>9358</v>
      </c>
      <c r="H1411" s="30" t="s">
        <v>11974</v>
      </c>
    </row>
    <row r="1412" spans="1:8">
      <c r="A1412" s="30" t="s">
        <v>11975</v>
      </c>
      <c r="B1412" s="30"/>
      <c r="C1412" s="30" t="s">
        <v>8607</v>
      </c>
      <c r="D1412" s="30" t="s">
        <v>8736</v>
      </c>
      <c r="E1412" s="30"/>
      <c r="F1412" s="30"/>
      <c r="G1412" s="30" t="s">
        <v>8737</v>
      </c>
      <c r="H1412" s="30" t="s">
        <v>8746</v>
      </c>
    </row>
    <row r="1413" spans="1:8">
      <c r="A1413" s="30" t="s">
        <v>11976</v>
      </c>
      <c r="B1413" s="30"/>
      <c r="C1413" s="30" t="s">
        <v>8607</v>
      </c>
      <c r="D1413" s="30" t="s">
        <v>8821</v>
      </c>
      <c r="E1413" s="30"/>
      <c r="F1413" s="30"/>
      <c r="G1413" s="30" t="s">
        <v>8737</v>
      </c>
      <c r="H1413" s="30" t="s">
        <v>11311</v>
      </c>
    </row>
    <row r="1414" spans="1:8">
      <c r="A1414" s="30" t="s">
        <v>11977</v>
      </c>
      <c r="B1414" s="30"/>
      <c r="C1414" s="30" t="s">
        <v>8626</v>
      </c>
      <c r="D1414" s="30" t="s">
        <v>8736</v>
      </c>
      <c r="E1414" s="30"/>
      <c r="F1414" s="30"/>
      <c r="G1414" s="30" t="s">
        <v>8737</v>
      </c>
      <c r="H1414" s="30" t="s">
        <v>8738</v>
      </c>
    </row>
    <row r="1415" spans="1:8">
      <c r="A1415" s="30" t="s">
        <v>11978</v>
      </c>
      <c r="B1415" s="30"/>
      <c r="C1415" s="30" t="s">
        <v>8607</v>
      </c>
      <c r="D1415" s="30"/>
      <c r="E1415" s="30"/>
      <c r="F1415" s="30"/>
      <c r="G1415" s="30" t="s">
        <v>8743</v>
      </c>
      <c r="H1415" s="30" t="s">
        <v>11979</v>
      </c>
    </row>
    <row r="1416" spans="1:8">
      <c r="A1416" s="30" t="s">
        <v>11980</v>
      </c>
      <c r="B1416" s="30"/>
      <c r="C1416" s="30" t="s">
        <v>8607</v>
      </c>
      <c r="D1416" s="30"/>
      <c r="E1416" s="30"/>
      <c r="F1416" s="30"/>
      <c r="G1416" s="30" t="s">
        <v>8698</v>
      </c>
      <c r="H1416" s="30" t="s">
        <v>8699</v>
      </c>
    </row>
    <row r="1417" spans="1:8">
      <c r="A1417" s="30" t="s">
        <v>11981</v>
      </c>
      <c r="B1417" s="30"/>
      <c r="C1417" s="30" t="s">
        <v>8607</v>
      </c>
      <c r="D1417" s="30" t="s">
        <v>8770</v>
      </c>
      <c r="E1417" s="30" t="s">
        <v>8771</v>
      </c>
      <c r="F1417" s="30" t="s">
        <v>8672</v>
      </c>
      <c r="G1417" s="30" t="s">
        <v>8659</v>
      </c>
      <c r="H1417" s="30" t="s">
        <v>10883</v>
      </c>
    </row>
    <row r="1418" spans="1:8">
      <c r="A1418" s="30" t="s">
        <v>11982</v>
      </c>
      <c r="B1418" s="30"/>
      <c r="C1418" s="30" t="s">
        <v>8607</v>
      </c>
      <c r="D1418" s="30" t="s">
        <v>11983</v>
      </c>
      <c r="E1418" s="30"/>
      <c r="F1418" s="30"/>
      <c r="G1418" s="30" t="s">
        <v>8737</v>
      </c>
      <c r="H1418" s="30" t="s">
        <v>11984</v>
      </c>
    </row>
    <row r="1419" spans="1:8">
      <c r="A1419" s="30" t="s">
        <v>11985</v>
      </c>
      <c r="B1419" s="30"/>
      <c r="C1419" s="30" t="s">
        <v>8607</v>
      </c>
      <c r="D1419" s="30"/>
      <c r="E1419" s="30"/>
      <c r="F1419" s="30"/>
      <c r="G1419" s="30" t="s">
        <v>8891</v>
      </c>
      <c r="H1419" s="30" t="s">
        <v>10627</v>
      </c>
    </row>
    <row r="1420" spans="1:8">
      <c r="A1420" s="30" t="s">
        <v>11986</v>
      </c>
      <c r="B1420" s="30"/>
      <c r="C1420" s="30" t="s">
        <v>8607</v>
      </c>
      <c r="D1420" s="30" t="s">
        <v>8789</v>
      </c>
      <c r="E1420" s="30"/>
      <c r="F1420" s="30"/>
      <c r="G1420" s="30" t="s">
        <v>8633</v>
      </c>
      <c r="H1420" s="30" t="s">
        <v>11987</v>
      </c>
    </row>
    <row r="1421" spans="1:8">
      <c r="A1421" s="30" t="s">
        <v>11988</v>
      </c>
      <c r="B1421" s="30"/>
      <c r="C1421" s="30"/>
      <c r="D1421" s="32" t="s">
        <v>8640</v>
      </c>
      <c r="E1421" s="30" t="s">
        <v>8641</v>
      </c>
      <c r="F1421" s="30" t="s">
        <v>8642</v>
      </c>
      <c r="G1421" s="30"/>
      <c r="H1421" s="30" t="s">
        <v>8881</v>
      </c>
    </row>
    <row r="1422" spans="1:8">
      <c r="A1422" s="30" t="s">
        <v>11989</v>
      </c>
      <c r="B1422" s="30"/>
      <c r="C1422" s="30" t="s">
        <v>8607</v>
      </c>
      <c r="D1422" s="30"/>
      <c r="E1422" s="30"/>
      <c r="F1422" s="30"/>
      <c r="G1422" s="30" t="s">
        <v>11990</v>
      </c>
      <c r="H1422" s="30" t="s">
        <v>11991</v>
      </c>
    </row>
    <row r="1423" spans="1:8">
      <c r="A1423" s="30" t="s">
        <v>11992</v>
      </c>
      <c r="B1423" s="30"/>
      <c r="C1423" s="30" t="s">
        <v>8607</v>
      </c>
      <c r="D1423" s="30"/>
      <c r="E1423" s="30"/>
      <c r="F1423" s="30"/>
      <c r="G1423" s="30" t="s">
        <v>10250</v>
      </c>
      <c r="H1423" s="30" t="s">
        <v>10251</v>
      </c>
    </row>
    <row r="1424" spans="1:8">
      <c r="A1424" s="30" t="s">
        <v>11993</v>
      </c>
      <c r="B1424" s="30"/>
      <c r="C1424" s="30" t="s">
        <v>8626</v>
      </c>
      <c r="D1424" s="30" t="s">
        <v>11994</v>
      </c>
      <c r="E1424" s="30" t="s">
        <v>11995</v>
      </c>
      <c r="F1424" s="30" t="e">
        <v>#VALUE!</v>
      </c>
      <c r="G1424" s="30" t="s">
        <v>9145</v>
      </c>
      <c r="H1424" s="30" t="s">
        <v>11996</v>
      </c>
    </row>
    <row r="1425" spans="1:8">
      <c r="A1425" s="30" t="s">
        <v>11997</v>
      </c>
      <c r="B1425" s="30"/>
      <c r="C1425" s="30" t="s">
        <v>8607</v>
      </c>
      <c r="D1425" s="30" t="s">
        <v>11998</v>
      </c>
      <c r="E1425" s="30"/>
      <c r="F1425" s="30"/>
      <c r="G1425" s="30" t="s">
        <v>11999</v>
      </c>
      <c r="H1425" s="30" t="s">
        <v>12000</v>
      </c>
    </row>
    <row r="1426" spans="1:8">
      <c r="A1426" s="30" t="s">
        <v>12001</v>
      </c>
      <c r="B1426" s="30"/>
      <c r="C1426" s="30" t="s">
        <v>8626</v>
      </c>
      <c r="D1426" s="30" t="s">
        <v>10494</v>
      </c>
      <c r="E1426" s="30" t="s">
        <v>8671</v>
      </c>
      <c r="F1426" s="30" t="s">
        <v>8672</v>
      </c>
      <c r="G1426" s="30" t="s">
        <v>8673</v>
      </c>
      <c r="H1426" s="30" t="s">
        <v>12002</v>
      </c>
    </row>
    <row r="1427" spans="1:8">
      <c r="A1427" s="30" t="s">
        <v>12003</v>
      </c>
      <c r="B1427" s="30"/>
      <c r="C1427" s="30" t="s">
        <v>8607</v>
      </c>
      <c r="D1427" s="30"/>
      <c r="E1427" s="30"/>
      <c r="F1427" s="30"/>
      <c r="G1427" s="30" t="s">
        <v>8649</v>
      </c>
      <c r="H1427" s="30" t="s">
        <v>10485</v>
      </c>
    </row>
    <row r="1428" spans="1:8">
      <c r="A1428" s="30" t="s">
        <v>12004</v>
      </c>
      <c r="B1428" s="30"/>
      <c r="C1428" s="30" t="s">
        <v>8607</v>
      </c>
      <c r="D1428" s="30"/>
      <c r="E1428" s="30"/>
      <c r="F1428" s="30"/>
      <c r="G1428" s="30" t="s">
        <v>8646</v>
      </c>
      <c r="H1428" s="30" t="s">
        <v>10462</v>
      </c>
    </row>
    <row r="1429" spans="1:8">
      <c r="A1429" s="30" t="s">
        <v>12005</v>
      </c>
      <c r="B1429" s="30"/>
      <c r="C1429" s="30" t="s">
        <v>8607</v>
      </c>
      <c r="D1429" s="30" t="s">
        <v>10491</v>
      </c>
      <c r="E1429" s="30" t="s">
        <v>10638</v>
      </c>
      <c r="F1429" s="30" t="e">
        <v>#VALUE!</v>
      </c>
      <c r="G1429" s="30" t="s">
        <v>9007</v>
      </c>
      <c r="H1429" s="30" t="s">
        <v>10639</v>
      </c>
    </row>
    <row r="1430" spans="1:8">
      <c r="A1430" s="30" t="s">
        <v>12006</v>
      </c>
      <c r="B1430" s="30"/>
      <c r="C1430" s="30" t="s">
        <v>8607</v>
      </c>
      <c r="D1430" s="30" t="s">
        <v>12007</v>
      </c>
      <c r="E1430" s="30"/>
      <c r="F1430" s="30"/>
      <c r="G1430" s="30" t="s">
        <v>10668</v>
      </c>
      <c r="H1430" s="30" t="s">
        <v>12008</v>
      </c>
    </row>
    <row r="1431" spans="1:8">
      <c r="A1431" s="30" t="s">
        <v>12009</v>
      </c>
      <c r="B1431" s="30"/>
      <c r="C1431" s="30" t="s">
        <v>8607</v>
      </c>
      <c r="D1431" s="30" t="s">
        <v>10736</v>
      </c>
      <c r="E1431" s="30" t="s">
        <v>10737</v>
      </c>
      <c r="F1431" s="30" t="s">
        <v>8618</v>
      </c>
      <c r="G1431" s="30" t="s">
        <v>9667</v>
      </c>
      <c r="H1431" s="30" t="s">
        <v>12010</v>
      </c>
    </row>
    <row r="1432" spans="1:8">
      <c r="A1432" s="30" t="s">
        <v>12011</v>
      </c>
      <c r="B1432" s="30"/>
      <c r="C1432" s="30" t="s">
        <v>8607</v>
      </c>
      <c r="D1432" s="30"/>
      <c r="E1432" s="30"/>
      <c r="F1432" s="30"/>
      <c r="G1432" s="30" t="s">
        <v>8623</v>
      </c>
      <c r="H1432" s="30" t="s">
        <v>11028</v>
      </c>
    </row>
    <row r="1433" spans="1:8">
      <c r="A1433" s="30" t="s">
        <v>12012</v>
      </c>
      <c r="B1433" s="30"/>
      <c r="C1433" s="30" t="s">
        <v>8607</v>
      </c>
      <c r="D1433" s="30"/>
      <c r="E1433" s="30"/>
      <c r="F1433" s="30"/>
      <c r="G1433" s="30" t="s">
        <v>10395</v>
      </c>
      <c r="H1433" s="30" t="s">
        <v>11030</v>
      </c>
    </row>
    <row r="1434" spans="1:8">
      <c r="A1434" s="30" t="s">
        <v>12013</v>
      </c>
      <c r="B1434" s="30"/>
      <c r="C1434" s="30" t="s">
        <v>8607</v>
      </c>
      <c r="D1434" s="30"/>
      <c r="E1434" s="30"/>
      <c r="F1434" s="30"/>
      <c r="G1434" s="30"/>
      <c r="H1434" s="30" t="s">
        <v>12014</v>
      </c>
    </row>
    <row r="1435" spans="1:8">
      <c r="A1435" s="30" t="s">
        <v>12015</v>
      </c>
      <c r="B1435" s="30"/>
      <c r="C1435" s="30" t="s">
        <v>8607</v>
      </c>
      <c r="D1435" s="30"/>
      <c r="E1435" s="30"/>
      <c r="F1435" s="30"/>
      <c r="G1435" s="30" t="s">
        <v>8804</v>
      </c>
      <c r="H1435" s="30" t="s">
        <v>8831</v>
      </c>
    </row>
    <row r="1436" spans="1:8">
      <c r="A1436" s="30" t="s">
        <v>12016</v>
      </c>
      <c r="B1436" s="30"/>
      <c r="C1436" s="30" t="s">
        <v>8626</v>
      </c>
      <c r="D1436" s="30" t="s">
        <v>8844</v>
      </c>
      <c r="E1436" s="30" t="s">
        <v>8845</v>
      </c>
      <c r="F1436" s="30" t="s">
        <v>8672</v>
      </c>
      <c r="G1436" s="30" t="s">
        <v>8846</v>
      </c>
      <c r="H1436" s="30" t="s">
        <v>10665</v>
      </c>
    </row>
    <row r="1437" spans="1:8">
      <c r="A1437" s="30" t="s">
        <v>12017</v>
      </c>
      <c r="B1437" s="30"/>
      <c r="C1437" s="30" t="s">
        <v>8607</v>
      </c>
      <c r="D1437" s="30" t="s">
        <v>10243</v>
      </c>
      <c r="E1437" s="30"/>
      <c r="F1437" s="30"/>
      <c r="G1437" s="30" t="s">
        <v>8851</v>
      </c>
      <c r="H1437" s="30" t="s">
        <v>10567</v>
      </c>
    </row>
    <row r="1438" spans="1:8">
      <c r="A1438" s="30" t="s">
        <v>12018</v>
      </c>
      <c r="B1438" s="30"/>
      <c r="C1438" s="30" t="s">
        <v>8607</v>
      </c>
      <c r="D1438" s="30" t="s">
        <v>10261</v>
      </c>
      <c r="E1438" s="30" t="s">
        <v>12019</v>
      </c>
      <c r="F1438" s="30" t="s">
        <v>8618</v>
      </c>
      <c r="G1438" s="30" t="s">
        <v>10234</v>
      </c>
      <c r="H1438" s="30" t="s">
        <v>10263</v>
      </c>
    </row>
    <row r="1439" spans="1:8">
      <c r="A1439" s="30" t="s">
        <v>12020</v>
      </c>
      <c r="B1439" s="30"/>
      <c r="C1439" s="30" t="s">
        <v>8626</v>
      </c>
      <c r="D1439" s="30"/>
      <c r="E1439" s="30"/>
      <c r="F1439" s="30"/>
      <c r="G1439" s="30" t="s">
        <v>10648</v>
      </c>
      <c r="H1439" s="30" t="s">
        <v>10649</v>
      </c>
    </row>
    <row r="1440" spans="1:8">
      <c r="A1440" s="30" t="s">
        <v>12021</v>
      </c>
      <c r="B1440" s="30"/>
      <c r="C1440" s="30" t="s">
        <v>8607</v>
      </c>
      <c r="D1440" s="30"/>
      <c r="E1440" s="30"/>
      <c r="F1440" s="30"/>
      <c r="G1440" s="30"/>
      <c r="H1440" s="30" t="s">
        <v>8802</v>
      </c>
    </row>
    <row r="1441" spans="1:8">
      <c r="A1441" s="30" t="s">
        <v>12022</v>
      </c>
      <c r="B1441" s="30"/>
      <c r="C1441" s="30" t="s">
        <v>8607</v>
      </c>
      <c r="D1441" s="30" t="s">
        <v>8666</v>
      </c>
      <c r="E1441" s="30"/>
      <c r="F1441" s="30"/>
      <c r="G1441" s="30" t="s">
        <v>8667</v>
      </c>
      <c r="H1441" s="30" t="s">
        <v>12023</v>
      </c>
    </row>
    <row r="1442" spans="1:8">
      <c r="A1442" s="30" t="s">
        <v>12024</v>
      </c>
      <c r="B1442" s="30"/>
      <c r="C1442" s="30" t="s">
        <v>8626</v>
      </c>
      <c r="D1442" s="30"/>
      <c r="E1442" s="30" t="s">
        <v>10214</v>
      </c>
      <c r="F1442" s="30" t="e">
        <v>#VALUE!</v>
      </c>
      <c r="G1442" s="30"/>
      <c r="H1442" s="30" t="s">
        <v>10570</v>
      </c>
    </row>
    <row r="1443" spans="1:8">
      <c r="A1443" s="30" t="s">
        <v>12025</v>
      </c>
      <c r="B1443" s="30"/>
      <c r="C1443" s="30" t="s">
        <v>8626</v>
      </c>
      <c r="D1443" s="30" t="s">
        <v>9758</v>
      </c>
      <c r="E1443" s="30" t="s">
        <v>12026</v>
      </c>
      <c r="F1443" s="30" t="e">
        <v>#VALUE!</v>
      </c>
      <c r="G1443" s="30" t="s">
        <v>9002</v>
      </c>
      <c r="H1443" s="30" t="s">
        <v>10601</v>
      </c>
    </row>
    <row r="1444" spans="1:8">
      <c r="A1444" s="30" t="s">
        <v>12027</v>
      </c>
      <c r="B1444" s="30"/>
      <c r="C1444" s="30" t="s">
        <v>8607</v>
      </c>
      <c r="D1444" s="30" t="s">
        <v>8938</v>
      </c>
      <c r="E1444" s="30"/>
      <c r="F1444" s="30"/>
      <c r="G1444" s="30" t="s">
        <v>8737</v>
      </c>
      <c r="H1444" s="30" t="s">
        <v>10851</v>
      </c>
    </row>
    <row r="1445" spans="1:8">
      <c r="A1445" s="30" t="s">
        <v>12028</v>
      </c>
      <c r="B1445" s="30"/>
      <c r="C1445" s="30" t="s">
        <v>8607</v>
      </c>
      <c r="D1445" s="30"/>
      <c r="E1445" s="30"/>
      <c r="F1445" s="30"/>
      <c r="G1445" s="30"/>
      <c r="H1445" s="30" t="s">
        <v>12029</v>
      </c>
    </row>
    <row r="1446" spans="1:8">
      <c r="A1446" s="30" t="s">
        <v>12030</v>
      </c>
      <c r="B1446" s="30"/>
      <c r="C1446" s="30" t="s">
        <v>8607</v>
      </c>
      <c r="D1446" s="30"/>
      <c r="E1446" s="30"/>
      <c r="F1446" s="30"/>
      <c r="G1446" s="30" t="s">
        <v>8814</v>
      </c>
      <c r="H1446" s="30" t="s">
        <v>8835</v>
      </c>
    </row>
    <row r="1447" spans="1:8">
      <c r="A1447" s="30" t="s">
        <v>12031</v>
      </c>
      <c r="B1447" s="30"/>
      <c r="C1447" s="30" t="s">
        <v>8626</v>
      </c>
      <c r="D1447" s="30" t="s">
        <v>8817</v>
      </c>
      <c r="E1447" s="30" t="s">
        <v>12032</v>
      </c>
      <c r="F1447" s="30" t="e">
        <v>#VALUE!</v>
      </c>
      <c r="G1447" s="30"/>
      <c r="H1447" s="30" t="s">
        <v>10685</v>
      </c>
    </row>
    <row r="1448" spans="1:8">
      <c r="A1448" s="30" t="s">
        <v>12033</v>
      </c>
      <c r="B1448" s="30"/>
      <c r="C1448" s="30" t="s">
        <v>8626</v>
      </c>
      <c r="D1448" s="30"/>
      <c r="E1448" s="30" t="s">
        <v>12034</v>
      </c>
      <c r="F1448" s="30" t="e">
        <v>#VALUE!</v>
      </c>
      <c r="G1448" s="30" t="s">
        <v>8797</v>
      </c>
      <c r="H1448" s="30" t="s">
        <v>12035</v>
      </c>
    </row>
    <row r="1449" spans="1:8">
      <c r="A1449" s="30" t="s">
        <v>12036</v>
      </c>
      <c r="B1449" s="30"/>
      <c r="C1449" s="30" t="s">
        <v>8626</v>
      </c>
      <c r="D1449" s="30"/>
      <c r="E1449" s="30"/>
      <c r="F1449" s="30"/>
      <c r="G1449" s="30" t="s">
        <v>11698</v>
      </c>
      <c r="H1449" s="30" t="s">
        <v>12037</v>
      </c>
    </row>
    <row r="1450" spans="1:8">
      <c r="A1450" s="30" t="s">
        <v>12038</v>
      </c>
      <c r="B1450" s="30"/>
      <c r="C1450" s="30" t="s">
        <v>8607</v>
      </c>
      <c r="D1450" s="30"/>
      <c r="E1450" s="30"/>
      <c r="F1450" s="30"/>
      <c r="G1450" s="30" t="s">
        <v>10205</v>
      </c>
      <c r="H1450" s="30" t="s">
        <v>10611</v>
      </c>
    </row>
    <row r="1451" spans="1:8">
      <c r="A1451" s="30" t="s">
        <v>12039</v>
      </c>
      <c r="B1451" s="30"/>
      <c r="C1451" s="30" t="s">
        <v>8607</v>
      </c>
      <c r="D1451" s="30"/>
      <c r="E1451" s="30"/>
      <c r="F1451" s="30"/>
      <c r="G1451" s="30" t="s">
        <v>10250</v>
      </c>
      <c r="H1451" s="30" t="s">
        <v>10251</v>
      </c>
    </row>
    <row r="1452" spans="1:8">
      <c r="A1452" s="30" t="s">
        <v>12040</v>
      </c>
      <c r="B1452" s="30"/>
      <c r="C1452" s="30" t="s">
        <v>8607</v>
      </c>
      <c r="D1452" s="30"/>
      <c r="E1452" s="30"/>
      <c r="F1452" s="30"/>
      <c r="G1452" s="30" t="s">
        <v>8743</v>
      </c>
      <c r="H1452" s="30" t="s">
        <v>11064</v>
      </c>
    </row>
    <row r="1453" spans="1:8">
      <c r="A1453" s="30" t="s">
        <v>12041</v>
      </c>
      <c r="B1453" s="30"/>
      <c r="C1453" s="30" t="s">
        <v>8607</v>
      </c>
      <c r="D1453" s="30" t="s">
        <v>8632</v>
      </c>
      <c r="E1453" s="30"/>
      <c r="F1453" s="30"/>
      <c r="G1453" s="30" t="s">
        <v>8633</v>
      </c>
      <c r="H1453" s="30" t="s">
        <v>12042</v>
      </c>
    </row>
    <row r="1454" spans="1:8">
      <c r="A1454" s="30" t="s">
        <v>12043</v>
      </c>
      <c r="B1454" s="30"/>
      <c r="C1454" s="30" t="s">
        <v>8607</v>
      </c>
      <c r="D1454" s="30"/>
      <c r="E1454" s="30" t="s">
        <v>12044</v>
      </c>
      <c r="F1454" s="30" t="e">
        <v>#VALUE!</v>
      </c>
      <c r="G1454" s="30" t="s">
        <v>8637</v>
      </c>
      <c r="H1454" s="30" t="s">
        <v>8638</v>
      </c>
    </row>
    <row r="1455" spans="1:8">
      <c r="A1455" s="30" t="s">
        <v>12045</v>
      </c>
      <c r="B1455" s="30"/>
      <c r="C1455" s="30" t="s">
        <v>8607</v>
      </c>
      <c r="D1455" s="30"/>
      <c r="E1455" s="30"/>
      <c r="F1455" s="30"/>
      <c r="G1455" s="30" t="s">
        <v>10395</v>
      </c>
      <c r="H1455" s="30" t="s">
        <v>11197</v>
      </c>
    </row>
    <row r="1456" spans="1:8">
      <c r="A1456" s="30" t="s">
        <v>12046</v>
      </c>
      <c r="B1456" s="30"/>
      <c r="C1456" s="30" t="s">
        <v>8626</v>
      </c>
      <c r="D1456" s="30" t="s">
        <v>11353</v>
      </c>
      <c r="E1456" s="30" t="s">
        <v>11354</v>
      </c>
      <c r="F1456" s="30" t="s">
        <v>8618</v>
      </c>
      <c r="G1456" s="30" t="s">
        <v>9672</v>
      </c>
      <c r="H1456" s="30" t="s">
        <v>11355</v>
      </c>
    </row>
    <row r="1457" spans="1:8">
      <c r="A1457" s="30" t="s">
        <v>12047</v>
      </c>
      <c r="B1457" s="30"/>
      <c r="C1457" s="30" t="s">
        <v>8607</v>
      </c>
      <c r="D1457" s="30"/>
      <c r="E1457" s="30"/>
      <c r="F1457" s="30"/>
      <c r="G1457" s="30" t="s">
        <v>8737</v>
      </c>
      <c r="H1457" s="30" t="s">
        <v>12048</v>
      </c>
    </row>
    <row r="1458" spans="1:8">
      <c r="A1458" s="30" t="s">
        <v>12049</v>
      </c>
      <c r="B1458" s="30"/>
      <c r="C1458" s="30" t="s">
        <v>8626</v>
      </c>
      <c r="D1458" s="30" t="s">
        <v>11353</v>
      </c>
      <c r="E1458" s="30" t="s">
        <v>11354</v>
      </c>
      <c r="F1458" s="30" t="s">
        <v>8618</v>
      </c>
      <c r="G1458" s="30" t="s">
        <v>9672</v>
      </c>
      <c r="H1458" s="30" t="s">
        <v>11355</v>
      </c>
    </row>
    <row r="1459" spans="1:8">
      <c r="A1459" s="30" t="s">
        <v>12050</v>
      </c>
      <c r="B1459" s="30"/>
      <c r="C1459" s="30" t="s">
        <v>8607</v>
      </c>
      <c r="D1459" s="30"/>
      <c r="E1459" s="30"/>
      <c r="F1459" s="30"/>
      <c r="G1459" s="30" t="s">
        <v>8737</v>
      </c>
      <c r="H1459" s="30" t="s">
        <v>12048</v>
      </c>
    </row>
    <row r="1460" spans="1:8">
      <c r="A1460" s="30" t="s">
        <v>12051</v>
      </c>
      <c r="B1460" s="30"/>
      <c r="C1460" s="30" t="s">
        <v>8626</v>
      </c>
      <c r="D1460" s="30" t="s">
        <v>8736</v>
      </c>
      <c r="E1460" s="30"/>
      <c r="F1460" s="30"/>
      <c r="G1460" s="30" t="s">
        <v>8737</v>
      </c>
      <c r="H1460" s="30" t="s">
        <v>8738</v>
      </c>
    </row>
    <row r="1461" spans="1:8">
      <c r="A1461" s="30" t="s">
        <v>12052</v>
      </c>
      <c r="B1461" s="30"/>
      <c r="C1461" s="30" t="s">
        <v>8607</v>
      </c>
      <c r="D1461" s="30" t="s">
        <v>8736</v>
      </c>
      <c r="E1461" s="30"/>
      <c r="F1461" s="30"/>
      <c r="G1461" s="30" t="s">
        <v>8737</v>
      </c>
      <c r="H1461" s="30" t="s">
        <v>8746</v>
      </c>
    </row>
    <row r="1462" spans="1:8">
      <c r="A1462" s="30" t="s">
        <v>12053</v>
      </c>
      <c r="B1462" s="30"/>
      <c r="C1462" s="30" t="s">
        <v>8626</v>
      </c>
      <c r="D1462" s="30" t="s">
        <v>8883</v>
      </c>
      <c r="E1462" s="30" t="s">
        <v>9187</v>
      </c>
      <c r="F1462" s="30" t="s">
        <v>8672</v>
      </c>
      <c r="G1462" s="30" t="s">
        <v>8885</v>
      </c>
      <c r="H1462" s="30" t="s">
        <v>10308</v>
      </c>
    </row>
    <row r="1463" spans="1:8">
      <c r="A1463" s="30" t="s">
        <v>12054</v>
      </c>
      <c r="B1463" s="30"/>
      <c r="C1463" s="30" t="s">
        <v>8626</v>
      </c>
      <c r="D1463" s="30"/>
      <c r="E1463" s="30" t="s">
        <v>10214</v>
      </c>
      <c r="F1463" s="30" t="e">
        <v>#VALUE!</v>
      </c>
      <c r="G1463" s="30"/>
      <c r="H1463" s="30" t="s">
        <v>10570</v>
      </c>
    </row>
    <row r="1464" spans="1:8">
      <c r="A1464" s="30" t="s">
        <v>12055</v>
      </c>
      <c r="B1464" s="30"/>
      <c r="C1464" s="30" t="s">
        <v>8607</v>
      </c>
      <c r="D1464" s="30" t="s">
        <v>9758</v>
      </c>
      <c r="E1464" s="30" t="s">
        <v>10600</v>
      </c>
      <c r="F1464" s="30" t="e">
        <v>#VALUE!</v>
      </c>
      <c r="G1464" s="30" t="s">
        <v>9002</v>
      </c>
      <c r="H1464" s="30" t="s">
        <v>12056</v>
      </c>
    </row>
    <row r="1465" spans="1:8">
      <c r="A1465" s="30" t="s">
        <v>12057</v>
      </c>
      <c r="B1465" s="30"/>
      <c r="C1465" s="30" t="s">
        <v>8626</v>
      </c>
      <c r="D1465" s="30"/>
      <c r="E1465" s="30" t="s">
        <v>12058</v>
      </c>
      <c r="F1465" s="30" t="e">
        <v>#VALUE!</v>
      </c>
      <c r="G1465" s="30" t="s">
        <v>12059</v>
      </c>
      <c r="H1465" s="30" t="s">
        <v>12060</v>
      </c>
    </row>
    <row r="1466" spans="1:8">
      <c r="A1466" s="30" t="s">
        <v>12061</v>
      </c>
      <c r="B1466" s="30"/>
      <c r="C1466" s="30" t="s">
        <v>8607</v>
      </c>
      <c r="D1466" s="30"/>
      <c r="E1466" s="30"/>
      <c r="F1466" s="30"/>
      <c r="G1466" s="30" t="s">
        <v>8804</v>
      </c>
      <c r="H1466" s="30" t="s">
        <v>12062</v>
      </c>
    </row>
    <row r="1467" spans="1:8">
      <c r="A1467" s="30" t="s">
        <v>12063</v>
      </c>
      <c r="B1467" s="30"/>
      <c r="C1467" s="30" t="s">
        <v>8607</v>
      </c>
      <c r="D1467" s="30"/>
      <c r="E1467" s="30"/>
      <c r="F1467" s="30"/>
      <c r="G1467" s="30" t="s">
        <v>8807</v>
      </c>
      <c r="H1467" s="30" t="s">
        <v>12064</v>
      </c>
    </row>
    <row r="1468" spans="1:8">
      <c r="A1468" s="30" t="s">
        <v>12065</v>
      </c>
      <c r="B1468" s="30"/>
      <c r="C1468" s="30" t="s">
        <v>8626</v>
      </c>
      <c r="D1468" s="30"/>
      <c r="E1468" s="30"/>
      <c r="F1468" s="30"/>
      <c r="G1468" s="30" t="s">
        <v>10356</v>
      </c>
      <c r="H1468" s="30" t="s">
        <v>12066</v>
      </c>
    </row>
    <row r="1469" spans="1:8">
      <c r="A1469" s="30" t="s">
        <v>12067</v>
      </c>
      <c r="B1469" s="30"/>
      <c r="C1469" s="30" t="s">
        <v>8607</v>
      </c>
      <c r="D1469" s="30"/>
      <c r="E1469" s="30"/>
      <c r="F1469" s="30"/>
      <c r="G1469" s="30" t="s">
        <v>10320</v>
      </c>
      <c r="H1469" s="30" t="s">
        <v>10321</v>
      </c>
    </row>
    <row r="1470" spans="1:8">
      <c r="A1470" s="30" t="s">
        <v>12068</v>
      </c>
      <c r="B1470" s="30"/>
      <c r="C1470" s="30" t="s">
        <v>8607</v>
      </c>
      <c r="D1470" s="30" t="s">
        <v>8632</v>
      </c>
      <c r="E1470" s="30"/>
      <c r="F1470" s="30"/>
      <c r="G1470" s="30" t="s">
        <v>8633</v>
      </c>
      <c r="H1470" s="30" t="s">
        <v>11987</v>
      </c>
    </row>
    <row r="1471" spans="1:8">
      <c r="A1471" s="30" t="s">
        <v>12069</v>
      </c>
      <c r="B1471" s="30"/>
      <c r="C1471" s="30" t="s">
        <v>8607</v>
      </c>
      <c r="D1471" s="30"/>
      <c r="E1471" s="30" t="s">
        <v>10348</v>
      </c>
      <c r="F1471" s="30" t="e">
        <v>#VALUE!</v>
      </c>
      <c r="G1471" s="30" t="s">
        <v>8637</v>
      </c>
      <c r="H1471" s="30" t="s">
        <v>8638</v>
      </c>
    </row>
    <row r="1472" spans="1:8">
      <c r="A1472" s="30" t="s">
        <v>12070</v>
      </c>
      <c r="B1472" s="30"/>
      <c r="C1472" s="30" t="s">
        <v>8607</v>
      </c>
      <c r="D1472" s="30" t="s">
        <v>9034</v>
      </c>
      <c r="E1472" s="30"/>
      <c r="F1472" s="30"/>
      <c r="G1472" s="30" t="s">
        <v>8667</v>
      </c>
      <c r="H1472" s="30" t="s">
        <v>10823</v>
      </c>
    </row>
    <row r="1473" spans="1:8">
      <c r="A1473" s="30" t="s">
        <v>12071</v>
      </c>
      <c r="B1473" s="30"/>
      <c r="C1473" s="30" t="s">
        <v>8607</v>
      </c>
      <c r="D1473" s="30" t="s">
        <v>8894</v>
      </c>
      <c r="E1473" s="30"/>
      <c r="F1473" s="30"/>
      <c r="G1473" s="30" t="s">
        <v>8895</v>
      </c>
      <c r="H1473" s="30" t="s">
        <v>11570</v>
      </c>
    </row>
    <row r="1474" spans="1:8">
      <c r="A1474" s="30" t="s">
        <v>12072</v>
      </c>
      <c r="B1474" s="30"/>
      <c r="C1474" s="30" t="s">
        <v>8626</v>
      </c>
      <c r="D1474" s="30" t="s">
        <v>12073</v>
      </c>
      <c r="E1474" s="30" t="s">
        <v>10374</v>
      </c>
      <c r="F1474" s="30" t="s">
        <v>8618</v>
      </c>
      <c r="G1474" s="30" t="s">
        <v>10234</v>
      </c>
      <c r="H1474" s="30" t="s">
        <v>12074</v>
      </c>
    </row>
    <row r="1475" spans="1:8">
      <c r="A1475" s="30" t="s">
        <v>12075</v>
      </c>
      <c r="B1475" s="30"/>
      <c r="C1475" s="30" t="s">
        <v>8607</v>
      </c>
      <c r="D1475" s="30" t="s">
        <v>12076</v>
      </c>
      <c r="E1475" s="30" t="s">
        <v>8942</v>
      </c>
      <c r="F1475" s="30" t="s">
        <v>8618</v>
      </c>
      <c r="G1475" s="30" t="s">
        <v>8943</v>
      </c>
      <c r="H1475" s="30" t="s">
        <v>11246</v>
      </c>
    </row>
    <row r="1476" spans="1:8">
      <c r="A1476" s="30" t="s">
        <v>12077</v>
      </c>
      <c r="B1476" s="30"/>
      <c r="C1476" s="30" t="s">
        <v>8607</v>
      </c>
      <c r="D1476" s="30"/>
      <c r="E1476" s="30" t="s">
        <v>8720</v>
      </c>
      <c r="F1476" s="30" t="e">
        <v>#VALUE!</v>
      </c>
      <c r="G1476" s="30" t="s">
        <v>8721</v>
      </c>
      <c r="H1476" s="30" t="s">
        <v>12078</v>
      </c>
    </row>
    <row r="1477" spans="1:8">
      <c r="A1477" s="30" t="s">
        <v>12079</v>
      </c>
      <c r="B1477" s="30"/>
      <c r="C1477" s="30" t="s">
        <v>8607</v>
      </c>
      <c r="D1477" s="30"/>
      <c r="E1477" s="30"/>
      <c r="F1477" s="30"/>
      <c r="G1477" s="30" t="s">
        <v>12080</v>
      </c>
      <c r="H1477" s="30" t="s">
        <v>12081</v>
      </c>
    </row>
    <row r="1478" spans="1:8">
      <c r="A1478" s="30" t="s">
        <v>12082</v>
      </c>
      <c r="B1478" s="30"/>
      <c r="C1478" s="30" t="s">
        <v>8626</v>
      </c>
      <c r="D1478" s="30"/>
      <c r="E1478" s="30"/>
      <c r="F1478" s="30"/>
      <c r="G1478" s="30" t="s">
        <v>8888</v>
      </c>
      <c r="H1478" s="30" t="s">
        <v>8889</v>
      </c>
    </row>
    <row r="1479" spans="1:8">
      <c r="A1479" s="30" t="s">
        <v>12083</v>
      </c>
      <c r="B1479" s="30"/>
      <c r="C1479" s="30" t="s">
        <v>8607</v>
      </c>
      <c r="D1479" s="30"/>
      <c r="E1479" s="30"/>
      <c r="F1479" s="30"/>
      <c r="G1479" s="30" t="s">
        <v>8774</v>
      </c>
      <c r="H1479" s="30" t="s">
        <v>10629</v>
      </c>
    </row>
    <row r="1480" spans="1:8">
      <c r="A1480" s="30" t="s">
        <v>12084</v>
      </c>
      <c r="B1480" s="30"/>
      <c r="C1480" s="30"/>
      <c r="D1480" s="32"/>
      <c r="E1480" s="30"/>
      <c r="F1480" s="30"/>
      <c r="G1480" s="30"/>
      <c r="H1480" s="30" t="s">
        <v>12085</v>
      </c>
    </row>
    <row r="1481" spans="1:8">
      <c r="A1481" s="30" t="s">
        <v>12086</v>
      </c>
      <c r="B1481" s="30"/>
      <c r="C1481" s="30" t="s">
        <v>8607</v>
      </c>
      <c r="D1481" s="30" t="s">
        <v>8736</v>
      </c>
      <c r="E1481" s="30"/>
      <c r="F1481" s="30"/>
      <c r="G1481" s="30" t="s">
        <v>8737</v>
      </c>
      <c r="H1481" s="30" t="s">
        <v>12087</v>
      </c>
    </row>
    <row r="1482" spans="1:8">
      <c r="A1482" s="30" t="s">
        <v>12088</v>
      </c>
      <c r="B1482" s="30"/>
      <c r="C1482" s="30" t="s">
        <v>8607</v>
      </c>
      <c r="D1482" s="30"/>
      <c r="E1482" s="30"/>
      <c r="F1482" s="30"/>
      <c r="G1482" s="30" t="s">
        <v>10220</v>
      </c>
      <c r="H1482" s="30" t="s">
        <v>10221</v>
      </c>
    </row>
    <row r="1483" spans="1:8">
      <c r="A1483" s="30" t="s">
        <v>12089</v>
      </c>
      <c r="B1483" s="30"/>
      <c r="C1483" s="30" t="s">
        <v>8626</v>
      </c>
      <c r="D1483" s="30"/>
      <c r="E1483" s="30"/>
      <c r="F1483" s="30"/>
      <c r="G1483" s="30" t="s">
        <v>12090</v>
      </c>
      <c r="H1483" s="30" t="s">
        <v>12091</v>
      </c>
    </row>
    <row r="1484" spans="1:8">
      <c r="A1484" s="30" t="s">
        <v>12092</v>
      </c>
      <c r="B1484" s="30"/>
      <c r="C1484" s="30" t="s">
        <v>8626</v>
      </c>
      <c r="D1484" s="30" t="s">
        <v>12093</v>
      </c>
      <c r="E1484" s="30" t="s">
        <v>12094</v>
      </c>
      <c r="F1484" s="30" t="e">
        <v>#VALUE!</v>
      </c>
      <c r="G1484" s="30" t="s">
        <v>8975</v>
      </c>
      <c r="H1484" s="30" t="s">
        <v>12095</v>
      </c>
    </row>
    <row r="1485" spans="1:8">
      <c r="A1485" s="30" t="s">
        <v>12096</v>
      </c>
      <c r="B1485" s="30"/>
      <c r="C1485" s="30" t="s">
        <v>8626</v>
      </c>
      <c r="D1485" s="30"/>
      <c r="E1485" s="30"/>
      <c r="F1485" s="30"/>
      <c r="G1485" s="30" t="s">
        <v>10138</v>
      </c>
      <c r="H1485" s="30" t="s">
        <v>10284</v>
      </c>
    </row>
    <row r="1486" spans="1:8">
      <c r="A1486" s="30" t="s">
        <v>12097</v>
      </c>
      <c r="B1486" s="30"/>
      <c r="C1486" s="30" t="s">
        <v>8607</v>
      </c>
      <c r="D1486" s="30"/>
      <c r="E1486" s="30"/>
      <c r="F1486" s="30"/>
      <c r="G1486" s="30"/>
      <c r="H1486" s="30" t="s">
        <v>12098</v>
      </c>
    </row>
    <row r="1487" spans="1:8">
      <c r="A1487" s="30" t="s">
        <v>12099</v>
      </c>
      <c r="B1487" s="30"/>
      <c r="C1487" s="30" t="s">
        <v>8607</v>
      </c>
      <c r="D1487" s="30" t="s">
        <v>9546</v>
      </c>
      <c r="E1487" s="30" t="s">
        <v>9547</v>
      </c>
      <c r="F1487" s="30" t="s">
        <v>8672</v>
      </c>
      <c r="G1487" s="30" t="s">
        <v>9366</v>
      </c>
      <c r="H1487" s="30" t="s">
        <v>12100</v>
      </c>
    </row>
    <row r="1488" spans="1:8">
      <c r="A1488" s="30" t="s">
        <v>12101</v>
      </c>
      <c r="B1488" s="30"/>
      <c r="C1488" s="30" t="s">
        <v>8607</v>
      </c>
      <c r="D1488" s="30"/>
      <c r="E1488" s="30"/>
      <c r="F1488" s="30"/>
      <c r="G1488" s="30" t="s">
        <v>9847</v>
      </c>
      <c r="H1488" s="30" t="s">
        <v>12102</v>
      </c>
    </row>
    <row r="1489" spans="1:8">
      <c r="A1489" s="30" t="s">
        <v>12103</v>
      </c>
      <c r="B1489" s="30"/>
      <c r="C1489" s="30" t="s">
        <v>8607</v>
      </c>
      <c r="D1489" s="30" t="s">
        <v>12104</v>
      </c>
      <c r="E1489" s="30" t="s">
        <v>9547</v>
      </c>
      <c r="F1489" s="30" t="s">
        <v>8672</v>
      </c>
      <c r="G1489" s="30" t="s">
        <v>9366</v>
      </c>
      <c r="H1489" s="30" t="s">
        <v>12105</v>
      </c>
    </row>
    <row r="1490" spans="1:8">
      <c r="A1490" s="30" t="s">
        <v>12106</v>
      </c>
      <c r="B1490" s="30"/>
      <c r="C1490" s="30" t="s">
        <v>8626</v>
      </c>
      <c r="D1490" s="30" t="s">
        <v>10164</v>
      </c>
      <c r="E1490" s="30"/>
      <c r="F1490" s="30"/>
      <c r="G1490" s="30" t="s">
        <v>8814</v>
      </c>
      <c r="H1490" s="30" t="s">
        <v>12107</v>
      </c>
    </row>
    <row r="1491" spans="1:8">
      <c r="A1491" s="30" t="s">
        <v>12108</v>
      </c>
      <c r="B1491" s="30"/>
      <c r="C1491" s="30" t="s">
        <v>8626</v>
      </c>
      <c r="D1491" s="30"/>
      <c r="E1491" s="30"/>
      <c r="F1491" s="30"/>
      <c r="G1491" s="30" t="s">
        <v>9084</v>
      </c>
      <c r="H1491" s="30" t="s">
        <v>12109</v>
      </c>
    </row>
    <row r="1492" spans="1:8">
      <c r="A1492" s="30" t="s">
        <v>12110</v>
      </c>
      <c r="B1492" s="30"/>
      <c r="C1492" s="30" t="s">
        <v>8607</v>
      </c>
      <c r="D1492" s="30" t="s">
        <v>9000</v>
      </c>
      <c r="E1492" s="30" t="s">
        <v>12111</v>
      </c>
      <c r="F1492" s="30" t="s">
        <v>8672</v>
      </c>
      <c r="G1492" s="30" t="s">
        <v>9002</v>
      </c>
      <c r="H1492" s="30" t="s">
        <v>9865</v>
      </c>
    </row>
    <row r="1493" spans="1:8">
      <c r="A1493" s="30" t="s">
        <v>12112</v>
      </c>
      <c r="B1493" s="30"/>
      <c r="C1493" s="30" t="s">
        <v>8626</v>
      </c>
      <c r="D1493" s="30" t="s">
        <v>11763</v>
      </c>
      <c r="E1493" s="30" t="s">
        <v>8845</v>
      </c>
      <c r="F1493" s="30" t="s">
        <v>8672</v>
      </c>
      <c r="G1493" s="30" t="s">
        <v>8846</v>
      </c>
      <c r="H1493" s="30" t="s">
        <v>12113</v>
      </c>
    </row>
    <row r="1494" spans="1:8">
      <c r="A1494" s="30" t="s">
        <v>12114</v>
      </c>
      <c r="B1494" s="30"/>
      <c r="C1494" s="30" t="s">
        <v>8607</v>
      </c>
      <c r="D1494" s="30" t="s">
        <v>12115</v>
      </c>
      <c r="E1494" s="30" t="s">
        <v>12116</v>
      </c>
      <c r="F1494" s="30" t="s">
        <v>8618</v>
      </c>
      <c r="G1494" s="30" t="s">
        <v>9535</v>
      </c>
      <c r="H1494" s="30" t="s">
        <v>12117</v>
      </c>
    </row>
    <row r="1495" spans="1:8">
      <c r="A1495" s="30" t="s">
        <v>12118</v>
      </c>
      <c r="B1495" s="30"/>
      <c r="C1495" s="30" t="s">
        <v>8607</v>
      </c>
      <c r="D1495" s="30" t="s">
        <v>12119</v>
      </c>
      <c r="E1495" s="30" t="s">
        <v>12120</v>
      </c>
      <c r="F1495" s="30" t="s">
        <v>8618</v>
      </c>
      <c r="G1495" s="30"/>
      <c r="H1495" s="30" t="s">
        <v>9746</v>
      </c>
    </row>
    <row r="1496" spans="1:8">
      <c r="A1496" s="30" t="s">
        <v>12121</v>
      </c>
      <c r="B1496" s="30"/>
      <c r="C1496" s="30" t="s">
        <v>8607</v>
      </c>
      <c r="D1496" s="30"/>
      <c r="E1496" s="30"/>
      <c r="F1496" s="30"/>
      <c r="G1496" s="30" t="s">
        <v>8891</v>
      </c>
      <c r="H1496" s="30" t="s">
        <v>10079</v>
      </c>
    </row>
    <row r="1497" spans="1:8">
      <c r="A1497" s="30" t="s">
        <v>12122</v>
      </c>
      <c r="B1497" s="30"/>
      <c r="C1497" s="30" t="s">
        <v>8607</v>
      </c>
      <c r="D1497" s="30" t="s">
        <v>8894</v>
      </c>
      <c r="E1497" s="30"/>
      <c r="F1497" s="30"/>
      <c r="G1497" s="30" t="s">
        <v>8895</v>
      </c>
      <c r="H1497" s="30" t="s">
        <v>10104</v>
      </c>
    </row>
    <row r="1498" spans="1:8">
      <c r="A1498" s="30" t="s">
        <v>12123</v>
      </c>
      <c r="B1498" s="30"/>
      <c r="C1498" s="30" t="s">
        <v>8626</v>
      </c>
      <c r="D1498" s="30" t="s">
        <v>12124</v>
      </c>
      <c r="E1498" s="30" t="s">
        <v>11563</v>
      </c>
      <c r="F1498" s="30" t="s">
        <v>8618</v>
      </c>
      <c r="G1498" s="30" t="s">
        <v>9672</v>
      </c>
      <c r="H1498" s="30" t="s">
        <v>12125</v>
      </c>
    </row>
    <row r="1499" spans="1:8">
      <c r="A1499" s="30" t="s">
        <v>12126</v>
      </c>
      <c r="B1499" s="30"/>
      <c r="C1499" s="30" t="s">
        <v>8607</v>
      </c>
      <c r="D1499" s="30" t="s">
        <v>12127</v>
      </c>
      <c r="E1499" s="30" t="s">
        <v>12128</v>
      </c>
      <c r="F1499" s="30" t="s">
        <v>8672</v>
      </c>
      <c r="G1499" s="30" t="s">
        <v>11540</v>
      </c>
      <c r="H1499" s="30" t="s">
        <v>12129</v>
      </c>
    </row>
    <row r="1500" spans="1:8">
      <c r="A1500" s="30" t="s">
        <v>12130</v>
      </c>
      <c r="B1500" s="30"/>
      <c r="C1500" s="30" t="s">
        <v>8626</v>
      </c>
      <c r="D1500" s="30"/>
      <c r="E1500" s="30"/>
      <c r="F1500" s="30"/>
      <c r="G1500" s="30" t="s">
        <v>9622</v>
      </c>
      <c r="H1500" s="30" t="s">
        <v>12131</v>
      </c>
    </row>
    <row r="1501" spans="1:8">
      <c r="A1501" s="30" t="s">
        <v>12132</v>
      </c>
      <c r="B1501" s="30"/>
      <c r="C1501" s="30" t="s">
        <v>8607</v>
      </c>
      <c r="D1501" s="30" t="s">
        <v>10334</v>
      </c>
      <c r="E1501" s="30"/>
      <c r="F1501" s="30"/>
      <c r="G1501" s="30" t="s">
        <v>8695</v>
      </c>
      <c r="H1501" s="30" t="s">
        <v>11036</v>
      </c>
    </row>
    <row r="1502" spans="1:8">
      <c r="A1502" s="30" t="s">
        <v>12133</v>
      </c>
      <c r="B1502" s="30"/>
      <c r="C1502" s="30"/>
      <c r="D1502" s="32"/>
      <c r="E1502" s="30"/>
      <c r="F1502" s="30"/>
      <c r="G1502" s="30"/>
      <c r="H1502" s="30" t="s">
        <v>10337</v>
      </c>
    </row>
    <row r="1503" spans="1:8">
      <c r="A1503" s="30" t="s">
        <v>12134</v>
      </c>
      <c r="B1503" s="30"/>
      <c r="C1503" s="30" t="s">
        <v>8626</v>
      </c>
      <c r="D1503" s="30"/>
      <c r="E1503" s="30" t="s">
        <v>10214</v>
      </c>
      <c r="F1503" s="30" t="e">
        <v>#VALUE!</v>
      </c>
      <c r="G1503" s="30" t="s">
        <v>8714</v>
      </c>
      <c r="H1503" s="30" t="s">
        <v>8715</v>
      </c>
    </row>
    <row r="1504" spans="1:8">
      <c r="A1504" s="30" t="s">
        <v>12135</v>
      </c>
      <c r="B1504" s="30"/>
      <c r="C1504" s="30" t="s">
        <v>8607</v>
      </c>
      <c r="D1504" s="30" t="s">
        <v>8707</v>
      </c>
      <c r="E1504" s="30"/>
      <c r="F1504" s="30"/>
      <c r="G1504" s="30" t="s">
        <v>8708</v>
      </c>
      <c r="H1504" s="30" t="s">
        <v>10542</v>
      </c>
    </row>
    <row r="1505" spans="1:8">
      <c r="A1505" s="30" t="s">
        <v>12136</v>
      </c>
      <c r="B1505" s="30"/>
      <c r="C1505" s="30" t="s">
        <v>8607</v>
      </c>
      <c r="D1505" s="30"/>
      <c r="E1505" s="30"/>
      <c r="F1505" s="30"/>
      <c r="G1505" s="30" t="s">
        <v>8711</v>
      </c>
      <c r="H1505" s="30" t="s">
        <v>10218</v>
      </c>
    </row>
    <row r="1506" spans="1:8">
      <c r="A1506" s="30" t="s">
        <v>12137</v>
      </c>
      <c r="B1506" s="30"/>
      <c r="C1506" s="30" t="s">
        <v>8626</v>
      </c>
      <c r="D1506" s="30"/>
      <c r="E1506" s="30"/>
      <c r="F1506" s="30"/>
      <c r="G1506" s="30" t="s">
        <v>8698</v>
      </c>
      <c r="H1506" s="30" t="s">
        <v>10346</v>
      </c>
    </row>
    <row r="1507" spans="1:8">
      <c r="A1507" s="30" t="s">
        <v>12138</v>
      </c>
      <c r="B1507" s="30"/>
      <c r="C1507" s="30" t="s">
        <v>8607</v>
      </c>
      <c r="D1507" s="30"/>
      <c r="E1507" s="30"/>
      <c r="F1507" s="30"/>
      <c r="G1507" s="30" t="s">
        <v>10205</v>
      </c>
      <c r="H1507" s="30" t="s">
        <v>10206</v>
      </c>
    </row>
    <row r="1508" spans="1:8">
      <c r="A1508" s="30" t="s">
        <v>12139</v>
      </c>
      <c r="B1508" s="30"/>
      <c r="C1508" s="30" t="s">
        <v>8626</v>
      </c>
      <c r="D1508" s="30" t="s">
        <v>10208</v>
      </c>
      <c r="E1508" s="30" t="s">
        <v>10209</v>
      </c>
      <c r="F1508" s="30" t="s">
        <v>8672</v>
      </c>
      <c r="G1508" s="30" t="s">
        <v>9002</v>
      </c>
      <c r="H1508" s="30" t="s">
        <v>10546</v>
      </c>
    </row>
    <row r="1509" spans="1:8">
      <c r="A1509" s="30" t="s">
        <v>12140</v>
      </c>
      <c r="B1509" s="30"/>
      <c r="C1509" s="30" t="s">
        <v>8607</v>
      </c>
      <c r="D1509" s="30"/>
      <c r="E1509" s="30"/>
      <c r="F1509" s="30"/>
      <c r="G1509" s="30" t="s">
        <v>8717</v>
      </c>
      <c r="H1509" s="30" t="s">
        <v>10538</v>
      </c>
    </row>
    <row r="1510" spans="1:8">
      <c r="A1510" s="30" t="s">
        <v>12141</v>
      </c>
      <c r="B1510" s="30"/>
      <c r="C1510" s="30" t="s">
        <v>8607</v>
      </c>
      <c r="D1510" s="30"/>
      <c r="E1510" s="30" t="s">
        <v>8720</v>
      </c>
      <c r="F1510" s="30" t="e">
        <v>#VALUE!</v>
      </c>
      <c r="G1510" s="30" t="s">
        <v>8721</v>
      </c>
      <c r="H1510" s="30" t="s">
        <v>12142</v>
      </c>
    </row>
    <row r="1511" spans="1:8">
      <c r="A1511" s="30" t="s">
        <v>12143</v>
      </c>
      <c r="B1511" s="30"/>
      <c r="C1511" s="30" t="s">
        <v>8626</v>
      </c>
      <c r="D1511" s="30" t="s">
        <v>9753</v>
      </c>
      <c r="E1511" s="30" t="s">
        <v>9754</v>
      </c>
      <c r="F1511" s="30" t="e">
        <v>#VALUE!</v>
      </c>
      <c r="G1511" s="30" t="s">
        <v>9755</v>
      </c>
      <c r="H1511" s="30" t="s">
        <v>12144</v>
      </c>
    </row>
    <row r="1512" spans="1:8">
      <c r="A1512" s="30" t="s">
        <v>12145</v>
      </c>
      <c r="B1512" s="30"/>
      <c r="C1512" s="30" t="s">
        <v>8607</v>
      </c>
      <c r="D1512" s="30"/>
      <c r="E1512" s="30"/>
      <c r="F1512" s="30"/>
      <c r="G1512" s="30" t="s">
        <v>9002</v>
      </c>
      <c r="H1512" s="30" t="s">
        <v>12146</v>
      </c>
    </row>
    <row r="1513" spans="1:8">
      <c r="A1513" s="30" t="s">
        <v>12147</v>
      </c>
      <c r="B1513" s="30"/>
      <c r="C1513" s="30" t="s">
        <v>8626</v>
      </c>
      <c r="D1513" s="30"/>
      <c r="E1513" s="30"/>
      <c r="F1513" s="30"/>
      <c r="G1513" s="30" t="s">
        <v>10138</v>
      </c>
      <c r="H1513" s="30" t="s">
        <v>10284</v>
      </c>
    </row>
    <row r="1514" spans="1:8">
      <c r="A1514" s="30" t="s">
        <v>12148</v>
      </c>
      <c r="B1514" s="30"/>
      <c r="C1514" s="30"/>
      <c r="D1514" s="32"/>
      <c r="E1514" s="30" t="s">
        <v>12149</v>
      </c>
      <c r="F1514" s="30" t="e">
        <v>#VALUE!</v>
      </c>
      <c r="G1514" s="30"/>
      <c r="H1514" s="30" t="s">
        <v>12150</v>
      </c>
    </row>
    <row r="1515" spans="1:8">
      <c r="A1515" s="30" t="s">
        <v>12151</v>
      </c>
      <c r="B1515" s="30"/>
      <c r="C1515" s="30" t="s">
        <v>8626</v>
      </c>
      <c r="D1515" s="30"/>
      <c r="E1515" s="30"/>
      <c r="F1515" s="30"/>
      <c r="G1515" s="30" t="s">
        <v>10138</v>
      </c>
      <c r="H1515" s="30" t="s">
        <v>12152</v>
      </c>
    </row>
    <row r="1516" spans="1:8">
      <c r="A1516" s="30" t="s">
        <v>12153</v>
      </c>
      <c r="B1516" s="30"/>
      <c r="C1516" s="30" t="s">
        <v>8607</v>
      </c>
      <c r="D1516" s="30"/>
      <c r="E1516" s="30"/>
      <c r="F1516" s="30"/>
      <c r="G1516" s="30" t="s">
        <v>10356</v>
      </c>
      <c r="H1516" s="30" t="s">
        <v>12154</v>
      </c>
    </row>
    <row r="1517" spans="1:8">
      <c r="A1517" s="30" t="s">
        <v>12155</v>
      </c>
      <c r="B1517" s="30"/>
      <c r="C1517" s="30" t="s">
        <v>8607</v>
      </c>
      <c r="D1517" s="30" t="s">
        <v>10334</v>
      </c>
      <c r="E1517" s="30"/>
      <c r="F1517" s="30"/>
      <c r="G1517" s="30" t="s">
        <v>8695</v>
      </c>
      <c r="H1517" s="30" t="s">
        <v>12156</v>
      </c>
    </row>
    <row r="1518" spans="1:8">
      <c r="A1518" s="30" t="s">
        <v>12157</v>
      </c>
      <c r="B1518" s="30"/>
      <c r="C1518" s="30" t="s">
        <v>8607</v>
      </c>
      <c r="D1518" s="30"/>
      <c r="E1518" s="30"/>
      <c r="F1518" s="30"/>
      <c r="G1518" s="30" t="s">
        <v>10250</v>
      </c>
      <c r="H1518" s="30" t="s">
        <v>12158</v>
      </c>
    </row>
    <row r="1519" spans="1:8">
      <c r="A1519" s="30" t="s">
        <v>12159</v>
      </c>
      <c r="B1519" s="30"/>
      <c r="C1519" s="30" t="s">
        <v>8607</v>
      </c>
      <c r="D1519" s="30"/>
      <c r="E1519" s="30"/>
      <c r="F1519" s="30"/>
      <c r="G1519" s="30" t="s">
        <v>10410</v>
      </c>
      <c r="H1519" s="30" t="s">
        <v>12160</v>
      </c>
    </row>
    <row r="1520" spans="1:8">
      <c r="A1520" s="30" t="s">
        <v>12161</v>
      </c>
      <c r="B1520" s="30"/>
      <c r="C1520" s="30" t="s">
        <v>8626</v>
      </c>
      <c r="D1520" s="30"/>
      <c r="E1520" s="30"/>
      <c r="F1520" s="30"/>
      <c r="G1520" s="30" t="s">
        <v>8698</v>
      </c>
      <c r="H1520" s="30" t="s">
        <v>10346</v>
      </c>
    </row>
    <row r="1521" spans="1:8">
      <c r="A1521" s="30" t="s">
        <v>12162</v>
      </c>
      <c r="B1521" s="30"/>
      <c r="C1521" s="30" t="s">
        <v>8607</v>
      </c>
      <c r="D1521" s="30"/>
      <c r="E1521" s="30" t="s">
        <v>8720</v>
      </c>
      <c r="F1521" s="30" t="e">
        <v>#VALUE!</v>
      </c>
      <c r="G1521" s="30" t="s">
        <v>8721</v>
      </c>
      <c r="H1521" s="30" t="s">
        <v>10613</v>
      </c>
    </row>
    <row r="1522" spans="1:8">
      <c r="A1522" s="30" t="s">
        <v>12163</v>
      </c>
      <c r="B1522" s="30"/>
      <c r="C1522" s="30" t="s">
        <v>8607</v>
      </c>
      <c r="D1522" s="30"/>
      <c r="E1522" s="30"/>
      <c r="F1522" s="30"/>
      <c r="G1522" s="30" t="s">
        <v>8726</v>
      </c>
      <c r="H1522" s="30" t="s">
        <v>8727</v>
      </c>
    </row>
    <row r="1523" spans="1:8">
      <c r="A1523" s="30" t="s">
        <v>12164</v>
      </c>
      <c r="B1523" s="30"/>
      <c r="C1523" s="30" t="s">
        <v>8607</v>
      </c>
      <c r="D1523" s="30"/>
      <c r="E1523" s="30"/>
      <c r="F1523" s="30"/>
      <c r="G1523" s="30" t="s">
        <v>8729</v>
      </c>
      <c r="H1523" s="30" t="s">
        <v>10761</v>
      </c>
    </row>
    <row r="1524" spans="1:8">
      <c r="A1524" s="30" t="s">
        <v>12165</v>
      </c>
      <c r="B1524" s="30"/>
      <c r="C1524" s="30" t="s">
        <v>8607</v>
      </c>
      <c r="D1524" s="30"/>
      <c r="E1524" s="30"/>
      <c r="F1524" s="30"/>
      <c r="G1524" s="30" t="s">
        <v>8646</v>
      </c>
      <c r="H1524" s="30" t="s">
        <v>8647</v>
      </c>
    </row>
    <row r="1525" spans="1:8">
      <c r="A1525" s="30" t="s">
        <v>12166</v>
      </c>
      <c r="B1525" s="30"/>
      <c r="C1525" s="30" t="s">
        <v>8607</v>
      </c>
      <c r="D1525" s="30"/>
      <c r="E1525" s="30"/>
      <c r="F1525" s="30"/>
      <c r="G1525" s="30" t="s">
        <v>8649</v>
      </c>
      <c r="H1525" s="30" t="s">
        <v>10485</v>
      </c>
    </row>
    <row r="1526" spans="1:8">
      <c r="A1526" s="30" t="s">
        <v>12167</v>
      </c>
      <c r="B1526" s="30"/>
      <c r="C1526" s="30" t="s">
        <v>8626</v>
      </c>
      <c r="D1526" s="30" t="s">
        <v>10436</v>
      </c>
      <c r="E1526" s="30"/>
      <c r="F1526" s="30"/>
      <c r="G1526" s="30" t="s">
        <v>9847</v>
      </c>
      <c r="H1526" s="30" t="s">
        <v>10272</v>
      </c>
    </row>
    <row r="1527" spans="1:8">
      <c r="A1527" s="30" t="s">
        <v>12168</v>
      </c>
      <c r="B1527" s="30"/>
      <c r="C1527" s="30" t="s">
        <v>8626</v>
      </c>
      <c r="D1527" s="30"/>
      <c r="E1527" s="30"/>
      <c r="F1527" s="30"/>
      <c r="G1527" s="30" t="s">
        <v>9358</v>
      </c>
      <c r="H1527" s="30" t="s">
        <v>10276</v>
      </c>
    </row>
    <row r="1528" spans="1:8">
      <c r="A1528" s="30" t="s">
        <v>12169</v>
      </c>
      <c r="B1528" s="30"/>
      <c r="C1528" s="30" t="s">
        <v>8607</v>
      </c>
      <c r="D1528" s="30" t="s">
        <v>10491</v>
      </c>
      <c r="E1528" s="30" t="s">
        <v>10894</v>
      </c>
      <c r="F1528" s="30" t="e">
        <v>#VALUE!</v>
      </c>
      <c r="G1528" s="30" t="s">
        <v>9007</v>
      </c>
      <c r="H1528" s="30" t="s">
        <v>10895</v>
      </c>
    </row>
    <row r="1529" spans="1:8">
      <c r="A1529" s="30" t="s">
        <v>12170</v>
      </c>
      <c r="B1529" s="30"/>
      <c r="C1529" s="30"/>
      <c r="D1529" s="32"/>
      <c r="E1529" s="30"/>
      <c r="F1529" s="30"/>
      <c r="G1529" s="30"/>
      <c r="H1529" s="30" t="s">
        <v>10520</v>
      </c>
    </row>
    <row r="1530" spans="1:8">
      <c r="A1530" s="30" t="s">
        <v>12171</v>
      </c>
      <c r="B1530" s="30"/>
      <c r="C1530" s="30" t="s">
        <v>8607</v>
      </c>
      <c r="D1530" s="30" t="s">
        <v>8703</v>
      </c>
      <c r="E1530" s="30"/>
      <c r="F1530" s="30"/>
      <c r="G1530" s="30" t="s">
        <v>8704</v>
      </c>
      <c r="H1530" s="30" t="s">
        <v>11427</v>
      </c>
    </row>
    <row r="1531" spans="1:8">
      <c r="A1531" s="30" t="s">
        <v>12172</v>
      </c>
      <c r="B1531" s="30"/>
      <c r="C1531" s="30" t="s">
        <v>8626</v>
      </c>
      <c r="D1531" s="30" t="s">
        <v>8670</v>
      </c>
      <c r="E1531" s="30" t="s">
        <v>8671</v>
      </c>
      <c r="F1531" s="30" t="s">
        <v>8672</v>
      </c>
      <c r="G1531" s="30" t="s">
        <v>8673</v>
      </c>
      <c r="H1531" s="30" t="s">
        <v>11416</v>
      </c>
    </row>
    <row r="1532" spans="1:8">
      <c r="A1532" s="30" t="s">
        <v>12173</v>
      </c>
      <c r="B1532" s="30"/>
      <c r="C1532" s="30" t="s">
        <v>8607</v>
      </c>
      <c r="D1532" s="30"/>
      <c r="E1532" s="30" t="s">
        <v>10499</v>
      </c>
      <c r="F1532" s="30" t="e">
        <v>#VALUE!</v>
      </c>
      <c r="G1532" s="30" t="s">
        <v>8678</v>
      </c>
      <c r="H1532" s="30" t="s">
        <v>10763</v>
      </c>
    </row>
    <row r="1533" spans="1:8">
      <c r="A1533" s="30" t="s">
        <v>12174</v>
      </c>
      <c r="B1533" s="30"/>
      <c r="C1533" s="30" t="s">
        <v>8607</v>
      </c>
      <c r="D1533" s="30"/>
      <c r="E1533" s="30"/>
      <c r="F1533" s="30"/>
      <c r="G1533" s="30" t="s">
        <v>8681</v>
      </c>
      <c r="H1533" s="30" t="s">
        <v>10765</v>
      </c>
    </row>
    <row r="1534" spans="1:8">
      <c r="A1534" s="30" t="s">
        <v>12175</v>
      </c>
      <c r="B1534" s="30"/>
      <c r="C1534" s="30" t="s">
        <v>8626</v>
      </c>
      <c r="D1534" s="30" t="s">
        <v>9291</v>
      </c>
      <c r="E1534" s="30" t="s">
        <v>8962</v>
      </c>
      <c r="F1534" s="30" t="e">
        <v>#VALUE!</v>
      </c>
      <c r="G1534" s="30" t="s">
        <v>8691</v>
      </c>
      <c r="H1534" s="30" t="s">
        <v>10447</v>
      </c>
    </row>
    <row r="1535" spans="1:8">
      <c r="A1535" s="30" t="s">
        <v>12176</v>
      </c>
      <c r="B1535" s="30"/>
      <c r="C1535" s="30" t="s">
        <v>8626</v>
      </c>
      <c r="D1535" s="30" t="s">
        <v>10334</v>
      </c>
      <c r="E1535" s="30"/>
      <c r="F1535" s="30"/>
      <c r="G1535" s="30" t="s">
        <v>8695</v>
      </c>
      <c r="H1535" s="30" t="s">
        <v>10768</v>
      </c>
    </row>
    <row r="1536" spans="1:8">
      <c r="A1536" s="30" t="s">
        <v>12177</v>
      </c>
      <c r="B1536" s="30"/>
      <c r="C1536" s="30" t="s">
        <v>8607</v>
      </c>
      <c r="D1536" s="30"/>
      <c r="E1536" s="30"/>
      <c r="F1536" s="30"/>
      <c r="G1536" s="30" t="s">
        <v>11990</v>
      </c>
      <c r="H1536" s="30" t="s">
        <v>11991</v>
      </c>
    </row>
    <row r="1537" spans="1:8">
      <c r="A1537" s="30" t="s">
        <v>12178</v>
      </c>
      <c r="B1537" s="30"/>
      <c r="C1537" s="30" t="s">
        <v>8626</v>
      </c>
      <c r="D1537" s="30" t="s">
        <v>10310</v>
      </c>
      <c r="E1537" s="30" t="s">
        <v>12179</v>
      </c>
      <c r="F1537" s="30" t="s">
        <v>8672</v>
      </c>
      <c r="G1537" s="30" t="s">
        <v>10076</v>
      </c>
      <c r="H1537" s="30" t="s">
        <v>12180</v>
      </c>
    </row>
    <row r="1538" spans="1:8">
      <c r="A1538" s="30" t="s">
        <v>12181</v>
      </c>
      <c r="B1538" s="30"/>
      <c r="C1538" s="30" t="s">
        <v>8626</v>
      </c>
      <c r="D1538" s="30" t="s">
        <v>12182</v>
      </c>
      <c r="E1538" s="30" t="s">
        <v>12183</v>
      </c>
      <c r="F1538" s="30" t="s">
        <v>8618</v>
      </c>
      <c r="G1538" s="30" t="s">
        <v>10234</v>
      </c>
      <c r="H1538" s="30" t="s">
        <v>12184</v>
      </c>
    </row>
    <row r="1539" spans="1:8">
      <c r="A1539" s="30" t="s">
        <v>12185</v>
      </c>
      <c r="B1539" s="30"/>
      <c r="C1539" s="30" t="s">
        <v>8626</v>
      </c>
      <c r="D1539" s="30"/>
      <c r="E1539" s="30"/>
      <c r="F1539" s="30"/>
      <c r="G1539" s="30"/>
      <c r="H1539" s="30" t="s">
        <v>10228</v>
      </c>
    </row>
    <row r="1540" spans="1:8">
      <c r="A1540" s="30" t="s">
        <v>12186</v>
      </c>
      <c r="B1540" s="30"/>
      <c r="C1540" s="30" t="s">
        <v>8626</v>
      </c>
      <c r="D1540" s="30" t="s">
        <v>12187</v>
      </c>
      <c r="E1540" s="30" t="s">
        <v>12188</v>
      </c>
      <c r="F1540" s="30" t="s">
        <v>8618</v>
      </c>
      <c r="G1540" s="30" t="s">
        <v>10317</v>
      </c>
      <c r="H1540" s="30" t="s">
        <v>12189</v>
      </c>
    </row>
    <row r="1541" spans="1:8">
      <c r="A1541" s="30" t="s">
        <v>12190</v>
      </c>
      <c r="B1541" s="30"/>
      <c r="C1541" s="30" t="s">
        <v>8607</v>
      </c>
      <c r="D1541" s="30"/>
      <c r="E1541" s="30"/>
      <c r="F1541" s="30"/>
      <c r="G1541" s="30" t="s">
        <v>10865</v>
      </c>
      <c r="H1541" s="30" t="s">
        <v>12191</v>
      </c>
    </row>
    <row r="1542" spans="1:8">
      <c r="A1542" s="30" t="s">
        <v>12192</v>
      </c>
      <c r="B1542" s="30"/>
      <c r="C1542" s="30" t="s">
        <v>8626</v>
      </c>
      <c r="D1542" s="30" t="s">
        <v>12193</v>
      </c>
      <c r="E1542" s="30" t="s">
        <v>10859</v>
      </c>
      <c r="F1542" s="30" t="e">
        <v>#VALUE!</v>
      </c>
      <c r="G1542" s="30" t="s">
        <v>10860</v>
      </c>
      <c r="H1542" s="30" t="s">
        <v>12194</v>
      </c>
    </row>
    <row r="1543" spans="1:8">
      <c r="A1543" s="30" t="s">
        <v>12195</v>
      </c>
      <c r="B1543" s="30"/>
      <c r="C1543" s="30" t="s">
        <v>8626</v>
      </c>
      <c r="D1543" s="30"/>
      <c r="E1543" s="30"/>
      <c r="F1543" s="30"/>
      <c r="G1543" s="30"/>
      <c r="H1543" s="30" t="s">
        <v>12196</v>
      </c>
    </row>
    <row r="1544" spans="1:8">
      <c r="A1544" s="30" t="s">
        <v>12197</v>
      </c>
      <c r="B1544" s="30"/>
      <c r="C1544" s="30" t="s">
        <v>8607</v>
      </c>
      <c r="D1544" s="30"/>
      <c r="E1544" s="30"/>
      <c r="F1544" s="30"/>
      <c r="G1544" s="30" t="s">
        <v>9358</v>
      </c>
      <c r="H1544" s="30" t="s">
        <v>12198</v>
      </c>
    </row>
    <row r="1545" spans="1:8">
      <c r="A1545" s="30" t="s">
        <v>12199</v>
      </c>
      <c r="B1545" s="30"/>
      <c r="C1545" s="30"/>
      <c r="D1545" s="32"/>
      <c r="E1545" s="30" t="s">
        <v>12200</v>
      </c>
      <c r="F1545" s="30" t="e">
        <v>#VALUE!</v>
      </c>
      <c r="G1545" s="30"/>
      <c r="H1545" s="30" t="s">
        <v>12201</v>
      </c>
    </row>
    <row r="1546" spans="1:8">
      <c r="A1546" s="30" t="s">
        <v>12202</v>
      </c>
      <c r="B1546" s="30"/>
      <c r="C1546" s="30" t="s">
        <v>8626</v>
      </c>
      <c r="D1546" s="30" t="s">
        <v>8670</v>
      </c>
      <c r="E1546" s="30" t="s">
        <v>8671</v>
      </c>
      <c r="F1546" s="30" t="s">
        <v>8672</v>
      </c>
      <c r="G1546" s="30" t="s">
        <v>8673</v>
      </c>
      <c r="H1546" s="30" t="s">
        <v>12203</v>
      </c>
    </row>
    <row r="1547" spans="1:8">
      <c r="A1547" s="30" t="s">
        <v>12204</v>
      </c>
      <c r="B1547" s="30"/>
      <c r="C1547" s="30" t="s">
        <v>8607</v>
      </c>
      <c r="D1547" s="30"/>
      <c r="E1547" s="30" t="s">
        <v>8720</v>
      </c>
      <c r="F1547" s="30" t="e">
        <v>#VALUE!</v>
      </c>
      <c r="G1547" s="30" t="s">
        <v>8721</v>
      </c>
      <c r="H1547" s="30" t="s">
        <v>12205</v>
      </c>
    </row>
    <row r="1548" spans="1:8">
      <c r="A1548" s="30" t="s">
        <v>12206</v>
      </c>
      <c r="B1548" s="30"/>
      <c r="C1548" s="30" t="s">
        <v>8607</v>
      </c>
      <c r="D1548" s="30"/>
      <c r="E1548" s="30" t="s">
        <v>11305</v>
      </c>
      <c r="F1548" s="30" t="s">
        <v>8618</v>
      </c>
      <c r="G1548" s="30" t="s">
        <v>8908</v>
      </c>
      <c r="H1548" s="30" t="s">
        <v>12207</v>
      </c>
    </row>
    <row r="1549" spans="1:8">
      <c r="A1549" s="30" t="s">
        <v>12208</v>
      </c>
      <c r="B1549" s="30"/>
      <c r="C1549" s="30" t="s">
        <v>8607</v>
      </c>
      <c r="D1549" s="30"/>
      <c r="E1549" s="30"/>
      <c r="F1549" s="30"/>
      <c r="G1549" s="30" t="s">
        <v>12209</v>
      </c>
      <c r="H1549" s="30" t="s">
        <v>12210</v>
      </c>
    </row>
    <row r="1550" spans="1:8">
      <c r="A1550" s="30" t="s">
        <v>12211</v>
      </c>
      <c r="B1550" s="30"/>
      <c r="C1550" s="30" t="s">
        <v>8626</v>
      </c>
      <c r="D1550" s="30" t="s">
        <v>8736</v>
      </c>
      <c r="E1550" s="30"/>
      <c r="F1550" s="30"/>
      <c r="G1550" s="30" t="s">
        <v>8737</v>
      </c>
      <c r="H1550" s="30" t="s">
        <v>12212</v>
      </c>
    </row>
    <row r="1551" spans="1:8">
      <c r="A1551" s="30" t="s">
        <v>12213</v>
      </c>
      <c r="B1551" s="30"/>
      <c r="C1551" s="30" t="s">
        <v>8607</v>
      </c>
      <c r="D1551" s="30" t="s">
        <v>8736</v>
      </c>
      <c r="E1551" s="30"/>
      <c r="F1551" s="30"/>
      <c r="G1551" s="30" t="s">
        <v>8737</v>
      </c>
      <c r="H1551" s="30" t="s">
        <v>12214</v>
      </c>
    </row>
    <row r="1552" spans="1:8">
      <c r="A1552" s="30" t="s">
        <v>12215</v>
      </c>
      <c r="B1552" s="30"/>
      <c r="C1552" s="30" t="s">
        <v>8626</v>
      </c>
      <c r="D1552" s="30"/>
      <c r="E1552" s="30"/>
      <c r="F1552" s="30"/>
      <c r="G1552" s="30" t="s">
        <v>12216</v>
      </c>
      <c r="H1552" s="30" t="s">
        <v>10863</v>
      </c>
    </row>
    <row r="1553" spans="1:8">
      <c r="A1553" s="30" t="s">
        <v>12217</v>
      </c>
      <c r="B1553" s="30"/>
      <c r="C1553" s="30" t="s">
        <v>8607</v>
      </c>
      <c r="D1553" s="30" t="s">
        <v>12218</v>
      </c>
      <c r="E1553" s="30" t="s">
        <v>10868</v>
      </c>
      <c r="F1553" s="30" t="s">
        <v>8618</v>
      </c>
      <c r="G1553" s="30" t="s">
        <v>8797</v>
      </c>
      <c r="H1553" s="30" t="s">
        <v>12219</v>
      </c>
    </row>
    <row r="1554" spans="1:8">
      <c r="A1554" s="30" t="s">
        <v>12220</v>
      </c>
      <c r="B1554" s="30"/>
      <c r="C1554" s="30" t="s">
        <v>8607</v>
      </c>
      <c r="D1554" s="30" t="s">
        <v>9824</v>
      </c>
      <c r="E1554" s="30"/>
      <c r="F1554" s="30"/>
      <c r="G1554" s="30" t="s">
        <v>9002</v>
      </c>
      <c r="H1554" s="30" t="s">
        <v>12221</v>
      </c>
    </row>
    <row r="1555" spans="1:8">
      <c r="A1555" s="30" t="s">
        <v>12222</v>
      </c>
      <c r="B1555" s="30"/>
      <c r="C1555" s="30" t="s">
        <v>8607</v>
      </c>
      <c r="D1555" s="30"/>
      <c r="E1555" s="30"/>
      <c r="F1555" s="30"/>
      <c r="G1555" s="30" t="s">
        <v>10220</v>
      </c>
      <c r="H1555" s="30" t="s">
        <v>12223</v>
      </c>
    </row>
    <row r="1556" spans="1:8">
      <c r="A1556" s="30" t="s">
        <v>12224</v>
      </c>
      <c r="B1556" s="30"/>
      <c r="C1556" s="30" t="s">
        <v>8607</v>
      </c>
      <c r="D1556" s="30" t="s">
        <v>8707</v>
      </c>
      <c r="E1556" s="30"/>
      <c r="F1556" s="30"/>
      <c r="G1556" s="30" t="s">
        <v>8708</v>
      </c>
      <c r="H1556" s="30" t="s">
        <v>12225</v>
      </c>
    </row>
    <row r="1557" spans="1:8">
      <c r="A1557" s="30" t="s">
        <v>12226</v>
      </c>
      <c r="B1557" s="30"/>
      <c r="C1557" s="30" t="s">
        <v>8607</v>
      </c>
      <c r="D1557" s="30" t="s">
        <v>12227</v>
      </c>
      <c r="E1557" s="30"/>
      <c r="F1557" s="30"/>
      <c r="G1557" s="30" t="s">
        <v>12228</v>
      </c>
      <c r="H1557" s="30" t="s">
        <v>12229</v>
      </c>
    </row>
    <row r="1558" spans="1:8">
      <c r="A1558" s="30" t="s">
        <v>12230</v>
      </c>
      <c r="B1558" s="30"/>
      <c r="C1558" s="30" t="s">
        <v>8607</v>
      </c>
      <c r="D1558" s="30" t="s">
        <v>8894</v>
      </c>
      <c r="E1558" s="30"/>
      <c r="F1558" s="30"/>
      <c r="G1558" s="30" t="s">
        <v>8895</v>
      </c>
      <c r="H1558" s="30" t="s">
        <v>12231</v>
      </c>
    </row>
    <row r="1559" spans="1:8">
      <c r="A1559" s="30" t="s">
        <v>12232</v>
      </c>
      <c r="B1559" s="30"/>
      <c r="C1559" s="30" t="s">
        <v>8626</v>
      </c>
      <c r="D1559" s="30" t="s">
        <v>11627</v>
      </c>
      <c r="E1559" s="30" t="s">
        <v>11628</v>
      </c>
      <c r="F1559" s="30" t="s">
        <v>8672</v>
      </c>
      <c r="G1559" s="30" t="s">
        <v>10076</v>
      </c>
      <c r="H1559" s="30" t="s">
        <v>10915</v>
      </c>
    </row>
    <row r="1560" spans="1:8">
      <c r="A1560" s="30" t="s">
        <v>12233</v>
      </c>
      <c r="B1560" s="30"/>
      <c r="C1560" s="30" t="s">
        <v>8607</v>
      </c>
      <c r="D1560" s="30" t="s">
        <v>8894</v>
      </c>
      <c r="E1560" s="30"/>
      <c r="F1560" s="30"/>
      <c r="G1560" s="30" t="s">
        <v>8895</v>
      </c>
      <c r="H1560" s="30" t="s">
        <v>12231</v>
      </c>
    </row>
    <row r="1561" spans="1:8">
      <c r="A1561" s="30" t="s">
        <v>12234</v>
      </c>
      <c r="B1561" s="30"/>
      <c r="C1561" s="30" t="s">
        <v>8626</v>
      </c>
      <c r="D1561" s="30" t="s">
        <v>11627</v>
      </c>
      <c r="E1561" s="30" t="s">
        <v>11628</v>
      </c>
      <c r="F1561" s="30" t="s">
        <v>8672</v>
      </c>
      <c r="G1561" s="30" t="s">
        <v>10076</v>
      </c>
      <c r="H1561" s="30" t="s">
        <v>10915</v>
      </c>
    </row>
    <row r="1562" spans="1:8">
      <c r="A1562" s="30" t="s">
        <v>12235</v>
      </c>
      <c r="B1562" s="30"/>
      <c r="C1562" s="30" t="s">
        <v>8626</v>
      </c>
      <c r="D1562" s="30"/>
      <c r="E1562" s="30"/>
      <c r="F1562" s="30"/>
      <c r="G1562" s="30"/>
      <c r="H1562" s="30" t="s">
        <v>12236</v>
      </c>
    </row>
    <row r="1563" spans="1:8">
      <c r="A1563" s="30" t="s">
        <v>12237</v>
      </c>
      <c r="B1563" s="30"/>
      <c r="C1563" s="30" t="s">
        <v>8607</v>
      </c>
      <c r="D1563" s="30" t="s">
        <v>10491</v>
      </c>
      <c r="E1563" s="30" t="s">
        <v>12238</v>
      </c>
      <c r="F1563" s="30" t="e">
        <v>#VALUE!</v>
      </c>
      <c r="G1563" s="30" t="s">
        <v>9007</v>
      </c>
      <c r="H1563" s="30" t="s">
        <v>10639</v>
      </c>
    </row>
    <row r="1564" spans="1:8">
      <c r="A1564" s="30" t="s">
        <v>12239</v>
      </c>
      <c r="B1564" s="30"/>
      <c r="C1564" s="30" t="s">
        <v>8626</v>
      </c>
      <c r="D1564" s="30"/>
      <c r="E1564" s="30"/>
      <c r="F1564" s="30"/>
      <c r="G1564" s="30" t="s">
        <v>9363</v>
      </c>
      <c r="H1564" s="30" t="s">
        <v>10520</v>
      </c>
    </row>
    <row r="1565" spans="1:8">
      <c r="A1565" s="30" t="s">
        <v>12240</v>
      </c>
      <c r="B1565" s="30"/>
      <c r="C1565" s="30" t="s">
        <v>8607</v>
      </c>
      <c r="D1565" s="30"/>
      <c r="E1565" s="30"/>
      <c r="F1565" s="30"/>
      <c r="G1565" s="30"/>
      <c r="H1565" s="30" t="s">
        <v>12241</v>
      </c>
    </row>
    <row r="1566" spans="1:8">
      <c r="A1566" s="30" t="s">
        <v>12242</v>
      </c>
      <c r="B1566" s="30"/>
      <c r="C1566" s="30" t="s">
        <v>8607</v>
      </c>
      <c r="D1566" s="30"/>
      <c r="E1566" s="30"/>
      <c r="F1566" s="30"/>
      <c r="G1566" s="30" t="s">
        <v>8681</v>
      </c>
      <c r="H1566" s="30" t="s">
        <v>10445</v>
      </c>
    </row>
    <row r="1567" spans="1:8">
      <c r="A1567" s="30" t="s">
        <v>12243</v>
      </c>
      <c r="B1567" s="30"/>
      <c r="C1567" s="30" t="s">
        <v>8607</v>
      </c>
      <c r="D1567" s="30"/>
      <c r="E1567" s="30"/>
      <c r="F1567" s="30"/>
      <c r="G1567" s="30" t="s">
        <v>8729</v>
      </c>
      <c r="H1567" s="30" t="s">
        <v>9979</v>
      </c>
    </row>
    <row r="1568" spans="1:8">
      <c r="A1568" s="30" t="s">
        <v>12244</v>
      </c>
      <c r="B1568" s="30"/>
      <c r="C1568" s="30" t="s">
        <v>8607</v>
      </c>
      <c r="D1568" s="30" t="s">
        <v>12245</v>
      </c>
      <c r="E1568" s="30" t="s">
        <v>12246</v>
      </c>
      <c r="F1568" s="30" t="s">
        <v>8618</v>
      </c>
      <c r="G1568" s="30" t="s">
        <v>10427</v>
      </c>
      <c r="H1568" s="30" t="s">
        <v>12247</v>
      </c>
    </row>
    <row r="1569" spans="1:8">
      <c r="A1569" s="30" t="s">
        <v>12248</v>
      </c>
      <c r="B1569" s="30"/>
      <c r="C1569" s="30" t="s">
        <v>8607</v>
      </c>
      <c r="D1569" s="30"/>
      <c r="E1569" s="30" t="s">
        <v>12249</v>
      </c>
      <c r="F1569" s="30" t="s">
        <v>8672</v>
      </c>
      <c r="G1569" s="30" t="s">
        <v>10076</v>
      </c>
      <c r="H1569" s="30" t="s">
        <v>12250</v>
      </c>
    </row>
    <row r="1570" spans="1:8">
      <c r="A1570" s="30" t="s">
        <v>12251</v>
      </c>
      <c r="B1570" s="30"/>
      <c r="C1570" s="30" t="s">
        <v>8607</v>
      </c>
      <c r="D1570" s="30" t="s">
        <v>10243</v>
      </c>
      <c r="E1570" s="30" t="s">
        <v>8850</v>
      </c>
      <c r="F1570" s="30" t="s">
        <v>8672</v>
      </c>
      <c r="G1570" s="30" t="s">
        <v>8851</v>
      </c>
      <c r="H1570" s="30" t="s">
        <v>10777</v>
      </c>
    </row>
    <row r="1571" spans="1:8">
      <c r="A1571" s="30" t="s">
        <v>12252</v>
      </c>
      <c r="B1571" s="30"/>
      <c r="C1571" s="30" t="s">
        <v>8607</v>
      </c>
      <c r="D1571" s="30"/>
      <c r="E1571" s="30"/>
      <c r="F1571" s="30"/>
      <c r="G1571" s="30" t="s">
        <v>10205</v>
      </c>
      <c r="H1571" s="30" t="s">
        <v>12253</v>
      </c>
    </row>
    <row r="1572" spans="1:8">
      <c r="A1572" s="30" t="s">
        <v>12254</v>
      </c>
      <c r="B1572" s="30"/>
      <c r="C1572" s="30" t="s">
        <v>8607</v>
      </c>
      <c r="D1572" s="30" t="s">
        <v>10907</v>
      </c>
      <c r="E1572" s="30" t="s">
        <v>8850</v>
      </c>
      <c r="F1572" s="30" t="s">
        <v>8672</v>
      </c>
      <c r="G1572" s="30" t="s">
        <v>8851</v>
      </c>
      <c r="H1572" s="30" t="s">
        <v>10244</v>
      </c>
    </row>
    <row r="1573" spans="1:8">
      <c r="A1573" s="30" t="s">
        <v>12255</v>
      </c>
      <c r="B1573" s="30"/>
      <c r="C1573" s="30" t="s">
        <v>8607</v>
      </c>
      <c r="D1573" s="30" t="s">
        <v>10243</v>
      </c>
      <c r="E1573" s="30" t="s">
        <v>8850</v>
      </c>
      <c r="F1573" s="30" t="s">
        <v>8672</v>
      </c>
      <c r="G1573" s="30" t="s">
        <v>8851</v>
      </c>
      <c r="H1573" s="30" t="s">
        <v>11259</v>
      </c>
    </row>
    <row r="1574" spans="1:8">
      <c r="A1574" s="30" t="s">
        <v>12256</v>
      </c>
      <c r="B1574" s="30"/>
      <c r="C1574" s="30" t="s">
        <v>8607</v>
      </c>
      <c r="D1574" s="30"/>
      <c r="E1574" s="30"/>
      <c r="F1574" s="30"/>
      <c r="G1574" s="30" t="s">
        <v>10205</v>
      </c>
      <c r="H1574" s="30" t="s">
        <v>10206</v>
      </c>
    </row>
    <row r="1575" spans="1:8">
      <c r="A1575" s="30" t="s">
        <v>12257</v>
      </c>
      <c r="B1575" s="30"/>
      <c r="C1575" s="30" t="s">
        <v>8626</v>
      </c>
      <c r="D1575" s="30" t="s">
        <v>10606</v>
      </c>
      <c r="E1575" s="30" t="s">
        <v>10209</v>
      </c>
      <c r="F1575" s="30" t="s">
        <v>8672</v>
      </c>
      <c r="G1575" s="30" t="s">
        <v>9002</v>
      </c>
      <c r="H1575" s="30" t="s">
        <v>12258</v>
      </c>
    </row>
    <row r="1576" spans="1:8">
      <c r="A1576" s="30" t="s">
        <v>12259</v>
      </c>
      <c r="B1576" s="30"/>
      <c r="C1576" s="30" t="s">
        <v>8607</v>
      </c>
      <c r="D1576" s="30"/>
      <c r="E1576" s="30"/>
      <c r="F1576" s="30"/>
      <c r="G1576" s="30" t="s">
        <v>10205</v>
      </c>
      <c r="H1576" s="30" t="s">
        <v>10206</v>
      </c>
    </row>
    <row r="1577" spans="1:8">
      <c r="A1577" s="30" t="s">
        <v>12260</v>
      </c>
      <c r="B1577" s="30"/>
      <c r="C1577" s="30" t="s">
        <v>8626</v>
      </c>
      <c r="D1577" s="30" t="s">
        <v>11178</v>
      </c>
      <c r="E1577" s="30" t="s">
        <v>12261</v>
      </c>
      <c r="F1577" s="30" t="s">
        <v>8672</v>
      </c>
      <c r="G1577" s="30" t="s">
        <v>9002</v>
      </c>
      <c r="H1577" s="30" t="s">
        <v>12262</v>
      </c>
    </row>
    <row r="1578" spans="1:8">
      <c r="A1578" s="30" t="s">
        <v>12263</v>
      </c>
      <c r="B1578" s="30"/>
      <c r="C1578" s="30" t="s">
        <v>8626</v>
      </c>
      <c r="D1578" s="30" t="s">
        <v>11914</v>
      </c>
      <c r="E1578" s="30" t="s">
        <v>10209</v>
      </c>
      <c r="F1578" s="30" t="s">
        <v>8672</v>
      </c>
      <c r="G1578" s="30" t="s">
        <v>9002</v>
      </c>
      <c r="H1578" s="30" t="s">
        <v>12264</v>
      </c>
    </row>
    <row r="1579" spans="1:8">
      <c r="A1579" s="30" t="s">
        <v>12265</v>
      </c>
      <c r="B1579" s="30"/>
      <c r="C1579" s="30" t="s">
        <v>8626</v>
      </c>
      <c r="D1579" s="30" t="s">
        <v>11003</v>
      </c>
      <c r="E1579" s="30" t="s">
        <v>10374</v>
      </c>
      <c r="F1579" s="30" t="s">
        <v>8618</v>
      </c>
      <c r="G1579" s="30" t="s">
        <v>10234</v>
      </c>
      <c r="H1579" s="30" t="s">
        <v>12266</v>
      </c>
    </row>
    <row r="1580" spans="1:8">
      <c r="A1580" s="30" t="s">
        <v>12267</v>
      </c>
      <c r="B1580" s="30"/>
      <c r="C1580" s="30" t="s">
        <v>8607</v>
      </c>
      <c r="D1580" s="30" t="s">
        <v>12268</v>
      </c>
      <c r="E1580" s="30" t="s">
        <v>12269</v>
      </c>
      <c r="F1580" s="30" t="s">
        <v>8672</v>
      </c>
      <c r="G1580" s="30" t="s">
        <v>12270</v>
      </c>
      <c r="H1580" s="30" t="s">
        <v>12271</v>
      </c>
    </row>
    <row r="1581" spans="1:8">
      <c r="A1581" s="30" t="s">
        <v>12272</v>
      </c>
      <c r="B1581" s="30"/>
      <c r="C1581" s="30" t="s">
        <v>8607</v>
      </c>
      <c r="D1581" s="30" t="s">
        <v>10243</v>
      </c>
      <c r="E1581" s="30" t="s">
        <v>11115</v>
      </c>
      <c r="F1581" s="30" t="s">
        <v>8672</v>
      </c>
      <c r="G1581" s="30" t="s">
        <v>8851</v>
      </c>
      <c r="H1581" s="30" t="s">
        <v>10567</v>
      </c>
    </row>
    <row r="1582" spans="1:8">
      <c r="A1582" s="30" t="s">
        <v>12273</v>
      </c>
      <c r="B1582" s="30"/>
      <c r="C1582" s="30" t="s">
        <v>8626</v>
      </c>
      <c r="D1582" s="30" t="s">
        <v>9390</v>
      </c>
      <c r="E1582" s="30" t="s">
        <v>10374</v>
      </c>
      <c r="F1582" s="30" t="s">
        <v>8618</v>
      </c>
      <c r="G1582" s="30" t="s">
        <v>10234</v>
      </c>
      <c r="H1582" s="30" t="s">
        <v>12274</v>
      </c>
    </row>
    <row r="1583" spans="1:8">
      <c r="A1583" s="30" t="s">
        <v>12275</v>
      </c>
      <c r="B1583" s="30"/>
      <c r="C1583" s="30" t="s">
        <v>8626</v>
      </c>
      <c r="D1583" s="30"/>
      <c r="E1583" s="30"/>
      <c r="F1583" s="30"/>
      <c r="G1583" s="30"/>
      <c r="H1583" s="30" t="s">
        <v>8854</v>
      </c>
    </row>
    <row r="1584" spans="1:8">
      <c r="A1584" s="30" t="s">
        <v>12276</v>
      </c>
      <c r="B1584" s="30"/>
      <c r="C1584" s="30" t="s">
        <v>8607</v>
      </c>
      <c r="D1584" s="30"/>
      <c r="E1584" s="30"/>
      <c r="F1584" s="30"/>
      <c r="G1584" s="30" t="s">
        <v>12277</v>
      </c>
      <c r="H1584" s="30" t="s">
        <v>12278</v>
      </c>
    </row>
    <row r="1585" spans="1:8">
      <c r="A1585" s="30" t="s">
        <v>12279</v>
      </c>
      <c r="B1585" s="30"/>
      <c r="C1585" s="30" t="s">
        <v>8607</v>
      </c>
      <c r="D1585" s="30" t="s">
        <v>11468</v>
      </c>
      <c r="E1585" s="30"/>
      <c r="F1585" s="30"/>
      <c r="G1585" s="30" t="s">
        <v>8704</v>
      </c>
      <c r="H1585" s="30" t="s">
        <v>11427</v>
      </c>
    </row>
    <row r="1586" spans="1:8">
      <c r="A1586" s="30" t="s">
        <v>12280</v>
      </c>
      <c r="B1586" s="30"/>
      <c r="C1586" s="30"/>
      <c r="D1586" s="32"/>
      <c r="E1586" s="30"/>
      <c r="F1586" s="30"/>
      <c r="G1586" s="30"/>
      <c r="H1586" s="30" t="s">
        <v>12281</v>
      </c>
    </row>
    <row r="1587" spans="1:8">
      <c r="A1587" s="30" t="s">
        <v>12282</v>
      </c>
      <c r="B1587" s="30"/>
      <c r="C1587" s="30" t="s">
        <v>8607</v>
      </c>
      <c r="D1587" s="30"/>
      <c r="E1587" s="30" t="s">
        <v>10474</v>
      </c>
      <c r="F1587" s="30" t="e">
        <v>#VALUE!</v>
      </c>
      <c r="G1587" s="30" t="s">
        <v>8678</v>
      </c>
      <c r="H1587" s="30" t="s">
        <v>10475</v>
      </c>
    </row>
    <row r="1588" spans="1:8">
      <c r="A1588" s="30" t="s">
        <v>12283</v>
      </c>
      <c r="B1588" s="30"/>
      <c r="C1588" s="30" t="s">
        <v>8626</v>
      </c>
      <c r="D1588" s="30"/>
      <c r="E1588" s="30"/>
      <c r="F1588" s="30"/>
      <c r="G1588" s="30" t="s">
        <v>10220</v>
      </c>
      <c r="H1588" s="30" t="s">
        <v>10278</v>
      </c>
    </row>
    <row r="1589" spans="1:8">
      <c r="A1589" s="30" t="s">
        <v>12284</v>
      </c>
      <c r="B1589" s="30"/>
      <c r="C1589" s="30" t="s">
        <v>8626</v>
      </c>
      <c r="D1589" s="30" t="s">
        <v>8736</v>
      </c>
      <c r="E1589" s="30"/>
      <c r="F1589" s="30"/>
      <c r="G1589" s="30" t="s">
        <v>8737</v>
      </c>
      <c r="H1589" s="30" t="s">
        <v>8738</v>
      </c>
    </row>
    <row r="1590" spans="1:8">
      <c r="A1590" s="30" t="s">
        <v>12285</v>
      </c>
      <c r="B1590" s="30"/>
      <c r="C1590" s="30" t="s">
        <v>8607</v>
      </c>
      <c r="D1590" s="30"/>
      <c r="E1590" s="30"/>
      <c r="F1590" s="30"/>
      <c r="G1590" s="30"/>
      <c r="H1590" s="30" t="s">
        <v>12286</v>
      </c>
    </row>
    <row r="1591" spans="1:8">
      <c r="A1591" s="30" t="s">
        <v>12287</v>
      </c>
      <c r="B1591" s="30"/>
      <c r="C1591" s="30" t="s">
        <v>8607</v>
      </c>
      <c r="D1591" s="30" t="s">
        <v>8968</v>
      </c>
      <c r="E1591" s="30"/>
      <c r="F1591" s="30"/>
      <c r="G1591" s="30" t="s">
        <v>8774</v>
      </c>
      <c r="H1591" s="30" t="s">
        <v>10629</v>
      </c>
    </row>
    <row r="1592" spans="1:8">
      <c r="A1592" s="30" t="s">
        <v>12288</v>
      </c>
      <c r="B1592" s="30"/>
      <c r="C1592" s="30" t="s">
        <v>8607</v>
      </c>
      <c r="D1592" s="30" t="s">
        <v>8770</v>
      </c>
      <c r="E1592" s="30" t="s">
        <v>8771</v>
      </c>
      <c r="F1592" s="30" t="s">
        <v>8672</v>
      </c>
      <c r="G1592" s="30" t="s">
        <v>8659</v>
      </c>
      <c r="H1592" s="30" t="s">
        <v>8772</v>
      </c>
    </row>
    <row r="1593" spans="1:8">
      <c r="A1593" s="30" t="s">
        <v>12289</v>
      </c>
      <c r="B1593" s="30"/>
      <c r="C1593" s="30" t="s">
        <v>8626</v>
      </c>
      <c r="D1593" s="30" t="s">
        <v>12290</v>
      </c>
      <c r="E1593" s="30" t="s">
        <v>9547</v>
      </c>
      <c r="F1593" s="30" t="s">
        <v>8672</v>
      </c>
      <c r="G1593" s="30"/>
      <c r="H1593" s="30" t="s">
        <v>12291</v>
      </c>
    </row>
    <row r="1594" spans="1:8">
      <c r="A1594" s="30" t="s">
        <v>12292</v>
      </c>
      <c r="B1594" s="30"/>
      <c r="C1594" s="30" t="s">
        <v>8607</v>
      </c>
      <c r="D1594" s="30" t="s">
        <v>12293</v>
      </c>
      <c r="E1594" s="30"/>
      <c r="F1594" s="30"/>
      <c r="G1594" s="30" t="s">
        <v>8667</v>
      </c>
      <c r="H1594" s="30" t="s">
        <v>12294</v>
      </c>
    </row>
    <row r="1595" spans="1:8">
      <c r="A1595" s="30" t="s">
        <v>12295</v>
      </c>
      <c r="B1595" s="30"/>
      <c r="C1595" s="30" t="s">
        <v>8607</v>
      </c>
      <c r="D1595" s="30" t="s">
        <v>12296</v>
      </c>
      <c r="E1595" s="30"/>
      <c r="F1595" s="30"/>
      <c r="G1595" s="30" t="s">
        <v>12297</v>
      </c>
      <c r="H1595" s="30" t="s">
        <v>12298</v>
      </c>
    </row>
    <row r="1596" spans="1:8">
      <c r="A1596" s="30" t="s">
        <v>12299</v>
      </c>
      <c r="B1596" s="30"/>
      <c r="C1596" s="30" t="s">
        <v>8626</v>
      </c>
      <c r="D1596" s="30" t="s">
        <v>12300</v>
      </c>
      <c r="E1596" s="30" t="s">
        <v>12301</v>
      </c>
      <c r="F1596" s="30" t="e">
        <v>#VALUE!</v>
      </c>
      <c r="G1596" s="30" t="s">
        <v>12302</v>
      </c>
      <c r="H1596" s="30" t="s">
        <v>12303</v>
      </c>
    </row>
    <row r="1597" spans="1:8">
      <c r="A1597" s="30" t="s">
        <v>12304</v>
      </c>
      <c r="B1597" s="30"/>
      <c r="C1597" s="30" t="s">
        <v>8607</v>
      </c>
      <c r="D1597" s="30" t="s">
        <v>12305</v>
      </c>
      <c r="E1597" s="30" t="s">
        <v>12306</v>
      </c>
      <c r="F1597" s="30" t="e">
        <v>#VALUE!</v>
      </c>
      <c r="G1597" s="30" t="s">
        <v>10451</v>
      </c>
      <c r="H1597" s="30" t="s">
        <v>12307</v>
      </c>
    </row>
    <row r="1598" spans="1:8">
      <c r="A1598" s="30" t="s">
        <v>12308</v>
      </c>
      <c r="B1598" s="30"/>
      <c r="C1598" s="30" t="s">
        <v>8626</v>
      </c>
      <c r="D1598" s="30"/>
      <c r="E1598" s="30"/>
      <c r="F1598" s="30"/>
      <c r="G1598" s="30"/>
      <c r="H1598" s="30" t="s">
        <v>12309</v>
      </c>
    </row>
    <row r="1599" spans="1:8">
      <c r="A1599" s="30" t="s">
        <v>12310</v>
      </c>
      <c r="B1599" s="30"/>
      <c r="C1599" s="30" t="s">
        <v>8607</v>
      </c>
      <c r="D1599" s="30"/>
      <c r="E1599" s="30"/>
      <c r="F1599" s="30"/>
      <c r="G1599" s="30"/>
      <c r="H1599" s="30" t="s">
        <v>12311</v>
      </c>
    </row>
    <row r="1600" spans="1:8">
      <c r="A1600" s="30" t="s">
        <v>12312</v>
      </c>
      <c r="B1600" s="30"/>
      <c r="C1600" s="30" t="s">
        <v>8607</v>
      </c>
      <c r="D1600" s="30"/>
      <c r="E1600" s="30" t="s">
        <v>12313</v>
      </c>
      <c r="F1600" s="30" t="e">
        <v>#VALUE!</v>
      </c>
      <c r="G1600" s="30" t="s">
        <v>8637</v>
      </c>
      <c r="H1600" s="30" t="s">
        <v>10349</v>
      </c>
    </row>
    <row r="1601" spans="1:8">
      <c r="A1601" s="30" t="s">
        <v>12314</v>
      </c>
      <c r="B1601" s="30"/>
      <c r="C1601" s="30" t="s">
        <v>8607</v>
      </c>
      <c r="D1601" s="30" t="s">
        <v>8707</v>
      </c>
      <c r="E1601" s="30"/>
      <c r="F1601" s="30"/>
      <c r="G1601" s="30" t="s">
        <v>8708</v>
      </c>
      <c r="H1601" s="30" t="s">
        <v>10340</v>
      </c>
    </row>
    <row r="1602" spans="1:8">
      <c r="A1602" s="30" t="s">
        <v>12315</v>
      </c>
      <c r="B1602" s="30"/>
      <c r="C1602" s="30" t="s">
        <v>8607</v>
      </c>
      <c r="D1602" s="30"/>
      <c r="E1602" s="30"/>
      <c r="F1602" s="30"/>
      <c r="G1602" s="30" t="s">
        <v>8711</v>
      </c>
      <c r="H1602" s="30" t="s">
        <v>10342</v>
      </c>
    </row>
    <row r="1603" spans="1:8">
      <c r="A1603" s="30" t="s">
        <v>12316</v>
      </c>
      <c r="B1603" s="30"/>
      <c r="C1603" s="30" t="s">
        <v>8626</v>
      </c>
      <c r="D1603" s="30" t="s">
        <v>10110</v>
      </c>
      <c r="E1603" s="30" t="s">
        <v>8811</v>
      </c>
      <c r="F1603" s="30" t="e">
        <v>#VALUE!</v>
      </c>
      <c r="G1603" s="30" t="s">
        <v>8754</v>
      </c>
      <c r="H1603" s="30" t="s">
        <v>10186</v>
      </c>
    </row>
    <row r="1604" spans="1:8">
      <c r="A1604" s="30" t="s">
        <v>12317</v>
      </c>
      <c r="B1604" s="30"/>
      <c r="C1604" s="30" t="s">
        <v>8607</v>
      </c>
      <c r="D1604" s="30"/>
      <c r="E1604" s="30"/>
      <c r="F1604" s="30"/>
      <c r="G1604" s="30"/>
      <c r="H1604" s="30" t="s">
        <v>10184</v>
      </c>
    </row>
    <row r="1605" spans="1:8">
      <c r="A1605" s="30" t="s">
        <v>12318</v>
      </c>
      <c r="B1605" s="30"/>
      <c r="C1605" s="30" t="s">
        <v>8607</v>
      </c>
      <c r="D1605" s="30"/>
      <c r="E1605" s="30" t="s">
        <v>12319</v>
      </c>
      <c r="F1605" s="30" t="e">
        <v>#VALUE!</v>
      </c>
      <c r="G1605" s="30" t="s">
        <v>11698</v>
      </c>
      <c r="H1605" s="30" t="s">
        <v>11699</v>
      </c>
    </row>
    <row r="1606" spans="1:8">
      <c r="A1606" s="30" t="s">
        <v>12320</v>
      </c>
      <c r="B1606" s="30"/>
      <c r="C1606" s="30" t="s">
        <v>8607</v>
      </c>
      <c r="D1606" s="30"/>
      <c r="E1606" s="30"/>
      <c r="F1606" s="30"/>
      <c r="G1606" s="30" t="s">
        <v>10220</v>
      </c>
      <c r="H1606" s="30" t="s">
        <v>10698</v>
      </c>
    </row>
    <row r="1607" spans="1:8">
      <c r="A1607" s="30" t="s">
        <v>12321</v>
      </c>
      <c r="B1607" s="30"/>
      <c r="C1607" s="30" t="s">
        <v>8607</v>
      </c>
      <c r="D1607" s="30" t="s">
        <v>9802</v>
      </c>
      <c r="E1607" s="30"/>
      <c r="F1607" s="30"/>
      <c r="G1607" s="30" t="s">
        <v>9803</v>
      </c>
      <c r="H1607" s="30" t="s">
        <v>9804</v>
      </c>
    </row>
    <row r="1608" spans="1:8">
      <c r="A1608" s="30" t="s">
        <v>12322</v>
      </c>
      <c r="B1608" s="30"/>
      <c r="C1608" s="30" t="s">
        <v>8607</v>
      </c>
      <c r="D1608" s="30" t="s">
        <v>9005</v>
      </c>
      <c r="E1608" s="30" t="s">
        <v>12323</v>
      </c>
      <c r="F1608" s="30" t="e">
        <v>#VALUE!</v>
      </c>
      <c r="G1608" s="30" t="s">
        <v>9007</v>
      </c>
      <c r="H1608" s="30" t="s">
        <v>12324</v>
      </c>
    </row>
    <row r="1609" spans="1:8">
      <c r="A1609" s="30" t="s">
        <v>12325</v>
      </c>
      <c r="B1609" s="30"/>
      <c r="C1609" s="30" t="s">
        <v>8626</v>
      </c>
      <c r="D1609" s="30" t="s">
        <v>12326</v>
      </c>
      <c r="E1609" s="30" t="s">
        <v>12327</v>
      </c>
      <c r="F1609" s="30" t="e">
        <v>#VALUE!</v>
      </c>
      <c r="G1609" s="30" t="s">
        <v>8900</v>
      </c>
      <c r="H1609" s="30" t="s">
        <v>12328</v>
      </c>
    </row>
    <row r="1610" spans="1:8">
      <c r="A1610" s="30" t="s">
        <v>12329</v>
      </c>
      <c r="B1610" s="30"/>
      <c r="C1610" s="30" t="s">
        <v>8607</v>
      </c>
      <c r="D1610" s="30" t="s">
        <v>11983</v>
      </c>
      <c r="E1610" s="30"/>
      <c r="F1610" s="30"/>
      <c r="G1610" s="30" t="s">
        <v>8737</v>
      </c>
      <c r="H1610" s="30" t="s">
        <v>12330</v>
      </c>
    </row>
    <row r="1611" spans="1:8">
      <c r="A1611" s="30" t="s">
        <v>12331</v>
      </c>
      <c r="B1611" s="30"/>
      <c r="C1611" s="30" t="s">
        <v>8607</v>
      </c>
      <c r="D1611" s="30" t="s">
        <v>10706</v>
      </c>
      <c r="E1611" s="30" t="s">
        <v>10707</v>
      </c>
      <c r="F1611" s="30" t="s">
        <v>8618</v>
      </c>
      <c r="G1611" s="30" t="s">
        <v>8943</v>
      </c>
      <c r="H1611" s="30" t="s">
        <v>10708</v>
      </c>
    </row>
    <row r="1612" spans="1:8">
      <c r="A1612" s="30" t="s">
        <v>12332</v>
      </c>
      <c r="B1612" s="30"/>
      <c r="C1612" s="30" t="s">
        <v>8607</v>
      </c>
      <c r="D1612" s="30" t="s">
        <v>12333</v>
      </c>
      <c r="E1612" s="30"/>
      <c r="F1612" s="30"/>
      <c r="G1612" s="30" t="s">
        <v>8737</v>
      </c>
      <c r="H1612" s="30" t="s">
        <v>12334</v>
      </c>
    </row>
    <row r="1613" spans="1:8">
      <c r="A1613" s="30" t="s">
        <v>12335</v>
      </c>
      <c r="B1613" s="30"/>
      <c r="C1613" s="30" t="s">
        <v>8607</v>
      </c>
      <c r="D1613" s="30" t="s">
        <v>10706</v>
      </c>
      <c r="E1613" s="30" t="s">
        <v>10707</v>
      </c>
      <c r="F1613" s="30" t="s">
        <v>8618</v>
      </c>
      <c r="G1613" s="30" t="s">
        <v>8943</v>
      </c>
      <c r="H1613" s="30" t="s">
        <v>10708</v>
      </c>
    </row>
    <row r="1614" spans="1:8">
      <c r="A1614" s="30" t="s">
        <v>12336</v>
      </c>
      <c r="B1614" s="30"/>
      <c r="C1614" s="30" t="s">
        <v>8607</v>
      </c>
      <c r="D1614" s="30" t="s">
        <v>9000</v>
      </c>
      <c r="E1614" s="30" t="s">
        <v>11444</v>
      </c>
      <c r="F1614" s="30" t="e">
        <v>#VALUE!</v>
      </c>
      <c r="G1614" s="30" t="s">
        <v>9002</v>
      </c>
      <c r="H1614" s="30" t="s">
        <v>12337</v>
      </c>
    </row>
    <row r="1615" spans="1:8">
      <c r="A1615" s="30" t="s">
        <v>12338</v>
      </c>
      <c r="B1615" s="30"/>
      <c r="C1615" s="30" t="s">
        <v>8626</v>
      </c>
      <c r="D1615" s="30"/>
      <c r="E1615" s="30" t="s">
        <v>10214</v>
      </c>
      <c r="F1615" s="30" t="e">
        <v>#VALUE!</v>
      </c>
      <c r="G1615" s="30" t="s">
        <v>8714</v>
      </c>
      <c r="H1615" s="30" t="s">
        <v>8715</v>
      </c>
    </row>
    <row r="1616" spans="1:8">
      <c r="A1616" s="30" t="s">
        <v>12339</v>
      </c>
      <c r="B1616" s="30"/>
      <c r="C1616" s="30" t="s">
        <v>8626</v>
      </c>
      <c r="D1616" s="30"/>
      <c r="E1616" s="30" t="s">
        <v>10214</v>
      </c>
      <c r="F1616" s="30" t="e">
        <v>#VALUE!</v>
      </c>
      <c r="G1616" s="30" t="s">
        <v>8714</v>
      </c>
      <c r="H1616" s="30" t="s">
        <v>10305</v>
      </c>
    </row>
    <row r="1617" spans="1:8">
      <c r="A1617" s="30" t="s">
        <v>12340</v>
      </c>
      <c r="B1617" s="30"/>
      <c r="C1617" s="30" t="s">
        <v>8626</v>
      </c>
      <c r="D1617" s="30" t="s">
        <v>12341</v>
      </c>
      <c r="E1617" s="30" t="s">
        <v>8733</v>
      </c>
      <c r="F1617" s="30" t="e">
        <v>#VALUE!</v>
      </c>
      <c r="G1617" s="30" t="s">
        <v>8691</v>
      </c>
      <c r="H1617" s="30" t="s">
        <v>12342</v>
      </c>
    </row>
    <row r="1618" spans="1:8">
      <c r="A1618" s="30" t="s">
        <v>12343</v>
      </c>
      <c r="B1618" s="30"/>
      <c r="C1618" s="30" t="s">
        <v>8607</v>
      </c>
      <c r="D1618" s="30" t="s">
        <v>8938</v>
      </c>
      <c r="E1618" s="30"/>
      <c r="F1618" s="30"/>
      <c r="G1618" s="30" t="s">
        <v>8737</v>
      </c>
      <c r="H1618" s="30" t="s">
        <v>11224</v>
      </c>
    </row>
    <row r="1619" spans="1:8">
      <c r="A1619" s="30" t="s">
        <v>12344</v>
      </c>
      <c r="B1619" s="30"/>
      <c r="C1619" s="30" t="s">
        <v>8607</v>
      </c>
      <c r="D1619" s="30"/>
      <c r="E1619" s="30"/>
      <c r="F1619" s="30"/>
      <c r="G1619" s="30" t="s">
        <v>8681</v>
      </c>
      <c r="H1619" s="30" t="s">
        <v>12345</v>
      </c>
    </row>
    <row r="1620" spans="1:8">
      <c r="A1620" s="30" t="s">
        <v>12346</v>
      </c>
      <c r="B1620" s="30"/>
      <c r="C1620" s="30" t="s">
        <v>8607</v>
      </c>
      <c r="D1620" s="30"/>
      <c r="E1620" s="30"/>
      <c r="F1620" s="30"/>
      <c r="G1620" s="30" t="s">
        <v>8729</v>
      </c>
      <c r="H1620" s="30" t="s">
        <v>10195</v>
      </c>
    </row>
    <row r="1621" spans="1:8">
      <c r="A1621" s="30" t="s">
        <v>12347</v>
      </c>
      <c r="B1621" s="30"/>
      <c r="C1621" s="30" t="s">
        <v>8607</v>
      </c>
      <c r="D1621" s="30" t="s">
        <v>8789</v>
      </c>
      <c r="E1621" s="30"/>
      <c r="F1621" s="30"/>
      <c r="G1621" s="30" t="s">
        <v>8633</v>
      </c>
      <c r="H1621" s="30" t="s">
        <v>11987</v>
      </c>
    </row>
    <row r="1622" spans="1:8">
      <c r="A1622" s="30" t="s">
        <v>12348</v>
      </c>
      <c r="B1622" s="30"/>
      <c r="C1622" s="30" t="s">
        <v>8607</v>
      </c>
      <c r="D1622" s="30" t="s">
        <v>10377</v>
      </c>
      <c r="E1622" s="30"/>
      <c r="F1622" s="30"/>
      <c r="G1622" s="30" t="s">
        <v>8737</v>
      </c>
      <c r="H1622" s="30" t="s">
        <v>12349</v>
      </c>
    </row>
    <row r="1623" spans="1:8">
      <c r="A1623" s="30" t="s">
        <v>12350</v>
      </c>
      <c r="B1623" s="30"/>
      <c r="C1623" s="30" t="s">
        <v>8607</v>
      </c>
      <c r="D1623" s="30"/>
      <c r="E1623" s="30"/>
      <c r="F1623" s="30"/>
      <c r="G1623" s="30" t="s">
        <v>12080</v>
      </c>
      <c r="H1623" s="30" t="s">
        <v>12081</v>
      </c>
    </row>
    <row r="1624" spans="1:8">
      <c r="A1624" s="30" t="s">
        <v>12351</v>
      </c>
      <c r="B1624" s="30"/>
      <c r="C1624" s="30" t="s">
        <v>8607</v>
      </c>
      <c r="D1624" s="30"/>
      <c r="E1624" s="30"/>
      <c r="F1624" s="30"/>
      <c r="G1624" s="30" t="s">
        <v>10668</v>
      </c>
      <c r="H1624" s="30" t="s">
        <v>12008</v>
      </c>
    </row>
    <row r="1625" spans="1:8">
      <c r="A1625" s="30" t="s">
        <v>12352</v>
      </c>
      <c r="B1625" s="30"/>
      <c r="C1625" s="30" t="s">
        <v>8607</v>
      </c>
      <c r="D1625" s="30" t="s">
        <v>10681</v>
      </c>
      <c r="E1625" s="30" t="s">
        <v>10682</v>
      </c>
      <c r="F1625" s="30" t="s">
        <v>8618</v>
      </c>
      <c r="G1625" s="30" t="s">
        <v>8858</v>
      </c>
      <c r="H1625" s="30" t="s">
        <v>10683</v>
      </c>
    </row>
    <row r="1626" spans="1:8">
      <c r="A1626" s="30" t="s">
        <v>12353</v>
      </c>
      <c r="B1626" s="30"/>
      <c r="C1626" s="30" t="s">
        <v>8607</v>
      </c>
      <c r="D1626" s="30"/>
      <c r="E1626" s="30"/>
      <c r="F1626" s="30"/>
      <c r="G1626" s="30"/>
      <c r="H1626" s="30" t="s">
        <v>8802</v>
      </c>
    </row>
    <row r="1627" spans="1:8">
      <c r="A1627" s="30" t="s">
        <v>12354</v>
      </c>
      <c r="B1627" s="30"/>
      <c r="C1627" s="30" t="s">
        <v>8607</v>
      </c>
      <c r="D1627" s="30" t="s">
        <v>12355</v>
      </c>
      <c r="E1627" s="30" t="s">
        <v>12356</v>
      </c>
      <c r="F1627" s="30" t="s">
        <v>8618</v>
      </c>
      <c r="G1627" s="30" t="s">
        <v>8858</v>
      </c>
      <c r="H1627" s="30" t="s">
        <v>10683</v>
      </c>
    </row>
    <row r="1628" spans="1:8">
      <c r="A1628" s="30" t="s">
        <v>12357</v>
      </c>
      <c r="B1628" s="30"/>
      <c r="C1628" s="30" t="s">
        <v>8607</v>
      </c>
      <c r="D1628" s="30"/>
      <c r="E1628" s="30"/>
      <c r="F1628" s="30"/>
      <c r="G1628" s="30"/>
      <c r="H1628" s="30" t="s">
        <v>8802</v>
      </c>
    </row>
    <row r="1629" spans="1:8">
      <c r="A1629" s="30" t="s">
        <v>12358</v>
      </c>
      <c r="B1629" s="30"/>
      <c r="C1629" s="30" t="s">
        <v>8607</v>
      </c>
      <c r="D1629" s="30" t="s">
        <v>10907</v>
      </c>
      <c r="E1629" s="30" t="s">
        <v>8850</v>
      </c>
      <c r="F1629" s="30" t="s">
        <v>8672</v>
      </c>
      <c r="G1629" s="30" t="s">
        <v>8851</v>
      </c>
      <c r="H1629" s="30" t="s">
        <v>10777</v>
      </c>
    </row>
    <row r="1630" spans="1:8">
      <c r="A1630" s="30" t="s">
        <v>12359</v>
      </c>
      <c r="B1630" s="30"/>
      <c r="C1630" s="30" t="s">
        <v>8607</v>
      </c>
      <c r="D1630" s="30" t="s">
        <v>8736</v>
      </c>
      <c r="E1630" s="30"/>
      <c r="F1630" s="30"/>
      <c r="G1630" s="30" t="s">
        <v>8737</v>
      </c>
      <c r="H1630" s="30" t="s">
        <v>10561</v>
      </c>
    </row>
    <row r="1631" spans="1:8">
      <c r="A1631" s="30" t="s">
        <v>12360</v>
      </c>
      <c r="B1631" s="30"/>
      <c r="C1631" s="30" t="s">
        <v>8607</v>
      </c>
      <c r="D1631" s="30" t="s">
        <v>8736</v>
      </c>
      <c r="E1631" s="30"/>
      <c r="F1631" s="30"/>
      <c r="G1631" s="30" t="s">
        <v>8737</v>
      </c>
      <c r="H1631" s="30" t="s">
        <v>12361</v>
      </c>
    </row>
    <row r="1632" spans="1:8">
      <c r="A1632" s="30" t="s">
        <v>12362</v>
      </c>
      <c r="B1632" s="30"/>
      <c r="C1632" s="30" t="s">
        <v>8626</v>
      </c>
      <c r="D1632" s="30" t="s">
        <v>8736</v>
      </c>
      <c r="E1632" s="30"/>
      <c r="F1632" s="30"/>
      <c r="G1632" s="30" t="s">
        <v>8737</v>
      </c>
      <c r="H1632" s="30" t="s">
        <v>8738</v>
      </c>
    </row>
    <row r="1633" spans="1:8">
      <c r="A1633" s="30" t="s">
        <v>12363</v>
      </c>
      <c r="B1633" s="30"/>
      <c r="C1633" s="30" t="s">
        <v>8607</v>
      </c>
      <c r="D1633" s="30"/>
      <c r="E1633" s="30"/>
      <c r="F1633" s="30"/>
      <c r="G1633" s="30"/>
      <c r="H1633" s="30" t="s">
        <v>12364</v>
      </c>
    </row>
    <row r="1634" spans="1:8">
      <c r="A1634" s="30" t="s">
        <v>12365</v>
      </c>
      <c r="B1634" s="30"/>
      <c r="C1634" s="30" t="s">
        <v>8607</v>
      </c>
      <c r="D1634" s="30"/>
      <c r="E1634" s="30"/>
      <c r="F1634" s="30"/>
      <c r="G1634" s="30"/>
      <c r="H1634" s="30" t="s">
        <v>12366</v>
      </c>
    </row>
    <row r="1635" spans="1:8">
      <c r="A1635" s="30" t="s">
        <v>12367</v>
      </c>
      <c r="B1635" s="30"/>
      <c r="C1635" s="30" t="s">
        <v>8607</v>
      </c>
      <c r="D1635" s="30" t="s">
        <v>12293</v>
      </c>
      <c r="E1635" s="30"/>
      <c r="F1635" s="30"/>
      <c r="G1635" s="30" t="s">
        <v>8667</v>
      </c>
      <c r="H1635" s="30" t="s">
        <v>12368</v>
      </c>
    </row>
    <row r="1636" spans="1:8">
      <c r="A1636" s="30" t="s">
        <v>12369</v>
      </c>
      <c r="B1636" s="30"/>
      <c r="C1636" s="30" t="s">
        <v>8607</v>
      </c>
      <c r="D1636" s="30" t="s">
        <v>12293</v>
      </c>
      <c r="E1636" s="30"/>
      <c r="F1636" s="30"/>
      <c r="G1636" s="30" t="s">
        <v>8667</v>
      </c>
      <c r="H1636" s="30" t="s">
        <v>12368</v>
      </c>
    </row>
    <row r="1637" spans="1:8">
      <c r="A1637" s="30" t="s">
        <v>12370</v>
      </c>
      <c r="B1637" s="30"/>
      <c r="C1637" s="30" t="s">
        <v>8607</v>
      </c>
      <c r="D1637" s="30" t="s">
        <v>8654</v>
      </c>
      <c r="E1637" s="30" t="s">
        <v>8655</v>
      </c>
      <c r="F1637" s="30" t="s">
        <v>8618</v>
      </c>
      <c r="G1637" s="30" t="s">
        <v>8656</v>
      </c>
      <c r="H1637" s="30" t="s">
        <v>10690</v>
      </c>
    </row>
    <row r="1638" spans="1:8">
      <c r="A1638" s="30" t="s">
        <v>12371</v>
      </c>
      <c r="B1638" s="30"/>
      <c r="C1638" s="30" t="s">
        <v>8607</v>
      </c>
      <c r="D1638" s="30"/>
      <c r="E1638" s="30"/>
      <c r="F1638" s="30"/>
      <c r="G1638" s="30"/>
      <c r="H1638" s="30" t="s">
        <v>10692</v>
      </c>
    </row>
    <row r="1639" spans="1:8">
      <c r="A1639" s="30" t="s">
        <v>12372</v>
      </c>
      <c r="B1639" s="30"/>
      <c r="C1639" s="30"/>
      <c r="D1639" s="32" t="s">
        <v>12373</v>
      </c>
      <c r="E1639" s="32"/>
      <c r="F1639" s="30"/>
      <c r="G1639" s="30"/>
      <c r="H1639" s="30" t="s">
        <v>12374</v>
      </c>
    </row>
    <row r="1640" spans="1:8">
      <c r="A1640" s="30" t="s">
        <v>12375</v>
      </c>
      <c r="B1640" s="30"/>
      <c r="C1640" s="30" t="s">
        <v>8607</v>
      </c>
      <c r="D1640" s="30"/>
      <c r="E1640" s="30"/>
      <c r="F1640" s="30"/>
      <c r="G1640" s="30"/>
      <c r="H1640" s="30" t="s">
        <v>8802</v>
      </c>
    </row>
    <row r="1641" spans="1:8">
      <c r="A1641" s="30" t="s">
        <v>12376</v>
      </c>
      <c r="B1641" s="30"/>
      <c r="C1641" s="30" t="s">
        <v>8607</v>
      </c>
      <c r="D1641" s="30"/>
      <c r="E1641" s="30"/>
      <c r="F1641" s="30"/>
      <c r="G1641" s="30" t="s">
        <v>10220</v>
      </c>
      <c r="H1641" s="30" t="s">
        <v>12377</v>
      </c>
    </row>
    <row r="1642" spans="1:8">
      <c r="A1642" s="30" t="s">
        <v>12378</v>
      </c>
      <c r="B1642" s="30"/>
      <c r="C1642" s="30" t="s">
        <v>8626</v>
      </c>
      <c r="D1642" s="30"/>
      <c r="E1642" s="30"/>
      <c r="F1642" s="30"/>
      <c r="G1642" s="30" t="s">
        <v>8888</v>
      </c>
      <c r="H1642" s="30" t="s">
        <v>8889</v>
      </c>
    </row>
    <row r="1643" spans="1:8">
      <c r="A1643" s="30" t="s">
        <v>12379</v>
      </c>
      <c r="B1643" s="30"/>
      <c r="C1643" s="30" t="s">
        <v>8607</v>
      </c>
      <c r="D1643" s="30" t="s">
        <v>10243</v>
      </c>
      <c r="E1643" s="30" t="s">
        <v>8850</v>
      </c>
      <c r="F1643" s="30" t="s">
        <v>8672</v>
      </c>
      <c r="G1643" s="30" t="s">
        <v>8851</v>
      </c>
      <c r="H1643" s="30" t="s">
        <v>10244</v>
      </c>
    </row>
    <row r="1644" spans="1:8">
      <c r="A1644" s="30" t="s">
        <v>12380</v>
      </c>
      <c r="B1644" s="30"/>
      <c r="C1644" s="30" t="s">
        <v>8607</v>
      </c>
      <c r="D1644" s="30" t="s">
        <v>11048</v>
      </c>
      <c r="E1644" s="30" t="s">
        <v>12246</v>
      </c>
      <c r="F1644" s="30" t="s">
        <v>8618</v>
      </c>
      <c r="G1644" s="30" t="s">
        <v>10427</v>
      </c>
      <c r="H1644" s="30" t="s">
        <v>12381</v>
      </c>
    </row>
    <row r="1645" spans="1:8">
      <c r="A1645" s="30" t="s">
        <v>12382</v>
      </c>
      <c r="B1645" s="30"/>
      <c r="C1645" s="30" t="s">
        <v>8607</v>
      </c>
      <c r="D1645" s="30" t="s">
        <v>8736</v>
      </c>
      <c r="E1645" s="30"/>
      <c r="F1645" s="30"/>
      <c r="G1645" s="30" t="s">
        <v>8737</v>
      </c>
      <c r="H1645" s="30" t="s">
        <v>12383</v>
      </c>
    </row>
    <row r="1646" spans="1:8">
      <c r="A1646" s="30" t="s">
        <v>12384</v>
      </c>
      <c r="B1646" s="30"/>
      <c r="C1646" s="30" t="s">
        <v>8626</v>
      </c>
      <c r="D1646" s="30"/>
      <c r="E1646" s="30"/>
      <c r="F1646" s="30"/>
      <c r="G1646" s="30" t="s">
        <v>10220</v>
      </c>
      <c r="H1646" s="30" t="s">
        <v>10278</v>
      </c>
    </row>
    <row r="1647" spans="1:8">
      <c r="A1647" s="30" t="s">
        <v>12385</v>
      </c>
      <c r="B1647" s="30"/>
      <c r="C1647" s="30" t="s">
        <v>8607</v>
      </c>
      <c r="D1647" s="30"/>
      <c r="E1647" s="30"/>
      <c r="F1647" s="30"/>
      <c r="G1647" s="30"/>
      <c r="H1647" s="30" t="s">
        <v>12286</v>
      </c>
    </row>
    <row r="1648" spans="1:8">
      <c r="A1648" s="30" t="s">
        <v>12386</v>
      </c>
      <c r="B1648" s="30"/>
      <c r="C1648" s="30" t="s">
        <v>8607</v>
      </c>
      <c r="D1648" s="30" t="s">
        <v>8938</v>
      </c>
      <c r="E1648" s="30"/>
      <c r="F1648" s="30"/>
      <c r="G1648" s="30" t="s">
        <v>8737</v>
      </c>
      <c r="H1648" s="30" t="s">
        <v>8939</v>
      </c>
    </row>
    <row r="1649" spans="1:8">
      <c r="A1649" s="30" t="s">
        <v>12387</v>
      </c>
      <c r="B1649" s="30"/>
      <c r="C1649" s="30" t="s">
        <v>8626</v>
      </c>
      <c r="D1649" s="30"/>
      <c r="E1649" s="30"/>
      <c r="F1649" s="30"/>
      <c r="G1649" s="30" t="s">
        <v>8943</v>
      </c>
      <c r="H1649" s="30" t="s">
        <v>12388</v>
      </c>
    </row>
    <row r="1650" spans="1:8">
      <c r="A1650" s="30" t="s">
        <v>12389</v>
      </c>
      <c r="B1650" s="30"/>
      <c r="C1650" s="30" t="s">
        <v>8626</v>
      </c>
      <c r="D1650" s="30" t="s">
        <v>10310</v>
      </c>
      <c r="E1650" s="30" t="s">
        <v>12390</v>
      </c>
      <c r="F1650" s="30" t="s">
        <v>8672</v>
      </c>
      <c r="G1650" s="30" t="s">
        <v>10076</v>
      </c>
      <c r="H1650" s="30" t="s">
        <v>10312</v>
      </c>
    </row>
    <row r="1651" spans="1:8">
      <c r="A1651" s="30" t="s">
        <v>12391</v>
      </c>
      <c r="B1651" s="30"/>
      <c r="C1651" s="30" t="s">
        <v>8607</v>
      </c>
      <c r="D1651" s="30"/>
      <c r="E1651" s="30"/>
      <c r="F1651" s="30"/>
      <c r="G1651" s="30" t="s">
        <v>8774</v>
      </c>
      <c r="H1651" s="30" t="s">
        <v>12392</v>
      </c>
    </row>
    <row r="1652" spans="1:8">
      <c r="A1652" s="30" t="s">
        <v>12393</v>
      </c>
      <c r="B1652" s="30"/>
      <c r="C1652" s="30" t="s">
        <v>8607</v>
      </c>
      <c r="D1652" s="30" t="s">
        <v>8770</v>
      </c>
      <c r="E1652" s="30" t="s">
        <v>8771</v>
      </c>
      <c r="F1652" s="30" t="s">
        <v>8672</v>
      </c>
      <c r="G1652" s="30" t="s">
        <v>8659</v>
      </c>
      <c r="H1652" s="30" t="s">
        <v>8772</v>
      </c>
    </row>
    <row r="1653" spans="1:8">
      <c r="A1653" s="30" t="s">
        <v>12394</v>
      </c>
      <c r="B1653" s="30"/>
      <c r="C1653" s="30" t="s">
        <v>8626</v>
      </c>
      <c r="D1653" s="30"/>
      <c r="E1653" s="30"/>
      <c r="F1653" s="30"/>
      <c r="G1653" s="30" t="s">
        <v>8888</v>
      </c>
      <c r="H1653" s="30" t="s">
        <v>8889</v>
      </c>
    </row>
    <row r="1654" spans="1:8">
      <c r="A1654" s="30" t="s">
        <v>12395</v>
      </c>
      <c r="B1654" s="30"/>
      <c r="C1654" s="30" t="s">
        <v>8626</v>
      </c>
      <c r="D1654" s="30"/>
      <c r="E1654" s="30"/>
      <c r="F1654" s="30"/>
      <c r="G1654" s="30"/>
      <c r="H1654" s="30" t="s">
        <v>12396</v>
      </c>
    </row>
    <row r="1655" spans="1:8">
      <c r="A1655" s="30" t="s">
        <v>12397</v>
      </c>
      <c r="B1655" s="30"/>
      <c r="C1655" s="30" t="s">
        <v>8607</v>
      </c>
      <c r="D1655" s="30"/>
      <c r="E1655" s="30"/>
      <c r="F1655" s="30"/>
      <c r="G1655" s="30" t="s">
        <v>12398</v>
      </c>
      <c r="H1655" s="30" t="s">
        <v>12399</v>
      </c>
    </row>
    <row r="1656" spans="1:8">
      <c r="A1656" s="30" t="s">
        <v>12400</v>
      </c>
      <c r="B1656" s="30"/>
      <c r="C1656" s="30" t="s">
        <v>8607</v>
      </c>
      <c r="D1656" s="30"/>
      <c r="E1656" s="30"/>
      <c r="F1656" s="30"/>
      <c r="G1656" s="30" t="s">
        <v>12398</v>
      </c>
      <c r="H1656" s="30" t="s">
        <v>12399</v>
      </c>
    </row>
    <row r="1657" spans="1:8">
      <c r="A1657" s="30" t="s">
        <v>12401</v>
      </c>
      <c r="B1657" s="30"/>
      <c r="C1657" s="30" t="s">
        <v>8626</v>
      </c>
      <c r="D1657" s="30" t="s">
        <v>12402</v>
      </c>
      <c r="E1657" s="30" t="s">
        <v>12403</v>
      </c>
      <c r="F1657" s="30" t="s">
        <v>8618</v>
      </c>
      <c r="G1657" s="30" t="s">
        <v>8900</v>
      </c>
      <c r="H1657" s="30" t="s">
        <v>12404</v>
      </c>
    </row>
    <row r="1658" spans="1:8">
      <c r="A1658" s="30" t="s">
        <v>12405</v>
      </c>
      <c r="B1658" s="30"/>
      <c r="C1658" s="30" t="s">
        <v>8607</v>
      </c>
      <c r="D1658" s="30"/>
      <c r="E1658" s="30"/>
      <c r="F1658" s="30"/>
      <c r="G1658" s="30" t="s">
        <v>8743</v>
      </c>
      <c r="H1658" s="30" t="s">
        <v>8744</v>
      </c>
    </row>
    <row r="1659" spans="1:8">
      <c r="A1659" s="30" t="s">
        <v>12406</v>
      </c>
      <c r="B1659" s="30"/>
      <c r="C1659" s="30"/>
      <c r="D1659" s="32"/>
      <c r="E1659" s="30"/>
      <c r="F1659" s="30"/>
      <c r="G1659" s="30"/>
      <c r="H1659" s="30" t="s">
        <v>8741</v>
      </c>
    </row>
    <row r="1660" spans="1:8">
      <c r="A1660" s="30" t="s">
        <v>12407</v>
      </c>
      <c r="B1660" s="30"/>
      <c r="C1660" s="30" t="s">
        <v>8607</v>
      </c>
      <c r="D1660" s="30"/>
      <c r="E1660" s="30"/>
      <c r="F1660" s="30"/>
      <c r="G1660" s="30" t="s">
        <v>8646</v>
      </c>
      <c r="H1660" s="30" t="s">
        <v>12408</v>
      </c>
    </row>
    <row r="1661" spans="1:8">
      <c r="A1661" s="30" t="s">
        <v>12409</v>
      </c>
      <c r="B1661" s="30"/>
      <c r="C1661" s="30" t="s">
        <v>8607</v>
      </c>
      <c r="D1661" s="30"/>
      <c r="E1661" s="30"/>
      <c r="F1661" s="30"/>
      <c r="G1661" s="30" t="s">
        <v>8925</v>
      </c>
      <c r="H1661" s="30" t="s">
        <v>8926</v>
      </c>
    </row>
    <row r="1662" spans="1:8">
      <c r="A1662" s="30" t="s">
        <v>12410</v>
      </c>
      <c r="B1662" s="30"/>
      <c r="C1662" s="30" t="s">
        <v>8626</v>
      </c>
      <c r="D1662" s="30" t="s">
        <v>8689</v>
      </c>
      <c r="E1662" s="30" t="s">
        <v>10191</v>
      </c>
      <c r="F1662" s="30" t="e">
        <v>#VALUE!</v>
      </c>
      <c r="G1662" s="30" t="s">
        <v>8691</v>
      </c>
      <c r="H1662" s="30" t="s">
        <v>10192</v>
      </c>
    </row>
    <row r="1663" spans="1:8">
      <c r="A1663" s="30" t="s">
        <v>12411</v>
      </c>
      <c r="B1663" s="30"/>
      <c r="C1663" s="30" t="s">
        <v>8626</v>
      </c>
      <c r="D1663" s="30" t="s">
        <v>10334</v>
      </c>
      <c r="E1663" s="30"/>
      <c r="F1663" s="30"/>
      <c r="G1663" s="30" t="s">
        <v>8695</v>
      </c>
      <c r="H1663" s="30" t="s">
        <v>10768</v>
      </c>
    </row>
    <row r="1664" spans="1:8">
      <c r="A1664" s="30" t="s">
        <v>12412</v>
      </c>
      <c r="B1664" s="30"/>
      <c r="C1664" s="30" t="s">
        <v>8607</v>
      </c>
      <c r="D1664" s="30"/>
      <c r="E1664" s="30"/>
      <c r="F1664" s="30"/>
      <c r="G1664" s="30" t="s">
        <v>8698</v>
      </c>
      <c r="H1664" s="30" t="s">
        <v>11831</v>
      </c>
    </row>
    <row r="1665" spans="1:8">
      <c r="A1665" s="30" t="s">
        <v>12413</v>
      </c>
      <c r="B1665" s="30"/>
      <c r="C1665" s="30" t="s">
        <v>8607</v>
      </c>
      <c r="D1665" s="30"/>
      <c r="E1665" s="30" t="s">
        <v>8720</v>
      </c>
      <c r="F1665" s="30" t="e">
        <v>#VALUE!</v>
      </c>
      <c r="G1665" s="30" t="s">
        <v>8721</v>
      </c>
      <c r="H1665" s="30" t="s">
        <v>10613</v>
      </c>
    </row>
    <row r="1666" spans="1:8">
      <c r="A1666" s="30" t="s">
        <v>12414</v>
      </c>
      <c r="B1666" s="30"/>
      <c r="C1666" s="30" t="s">
        <v>8607</v>
      </c>
      <c r="D1666" s="30"/>
      <c r="E1666" s="30"/>
      <c r="F1666" s="30"/>
      <c r="G1666" s="30" t="s">
        <v>8726</v>
      </c>
      <c r="H1666" s="30" t="s">
        <v>8727</v>
      </c>
    </row>
    <row r="1667" spans="1:8">
      <c r="A1667" s="30" t="s">
        <v>12415</v>
      </c>
      <c r="B1667" s="30"/>
      <c r="C1667" s="30" t="s">
        <v>8607</v>
      </c>
      <c r="D1667" s="30"/>
      <c r="E1667" s="30"/>
      <c r="F1667" s="30"/>
      <c r="G1667" s="30" t="s">
        <v>8717</v>
      </c>
      <c r="H1667" s="30" t="s">
        <v>12416</v>
      </c>
    </row>
    <row r="1668" spans="1:8">
      <c r="A1668" s="30" t="s">
        <v>12417</v>
      </c>
      <c r="B1668" s="30"/>
      <c r="C1668" s="30" t="s">
        <v>8607</v>
      </c>
      <c r="D1668" s="30"/>
      <c r="E1668" s="30"/>
      <c r="F1668" s="30"/>
      <c r="G1668" s="30" t="s">
        <v>8729</v>
      </c>
      <c r="H1668" s="30" t="s">
        <v>10195</v>
      </c>
    </row>
    <row r="1669" spans="1:8">
      <c r="A1669" s="30" t="s">
        <v>12418</v>
      </c>
      <c r="B1669" s="30"/>
      <c r="C1669" s="30" t="s">
        <v>8607</v>
      </c>
      <c r="D1669" s="30"/>
      <c r="E1669" s="30"/>
      <c r="F1669" s="30"/>
      <c r="G1669" s="30" t="s">
        <v>8646</v>
      </c>
      <c r="H1669" s="30" t="s">
        <v>12419</v>
      </c>
    </row>
    <row r="1670" spans="1:8">
      <c r="A1670" s="30" t="s">
        <v>12420</v>
      </c>
      <c r="B1670" s="30"/>
      <c r="C1670" s="30" t="s">
        <v>8607</v>
      </c>
      <c r="D1670" s="30" t="s">
        <v>10434</v>
      </c>
      <c r="E1670" s="30"/>
      <c r="F1670" s="30"/>
      <c r="G1670" s="30" t="s">
        <v>8649</v>
      </c>
      <c r="H1670" s="30" t="s">
        <v>11866</v>
      </c>
    </row>
    <row r="1671" spans="1:8">
      <c r="A1671" s="30" t="s">
        <v>12421</v>
      </c>
      <c r="B1671" s="30"/>
      <c r="C1671" s="30" t="s">
        <v>8626</v>
      </c>
      <c r="D1671" s="30" t="s">
        <v>10436</v>
      </c>
      <c r="E1671" s="30"/>
      <c r="F1671" s="30"/>
      <c r="G1671" s="30" t="s">
        <v>9847</v>
      </c>
      <c r="H1671" s="30" t="s">
        <v>10272</v>
      </c>
    </row>
    <row r="1672" spans="1:8">
      <c r="A1672" s="30" t="s">
        <v>12422</v>
      </c>
      <c r="B1672" s="30"/>
      <c r="C1672" s="30" t="s">
        <v>8607</v>
      </c>
      <c r="D1672" s="30"/>
      <c r="E1672" s="30"/>
      <c r="F1672" s="30"/>
      <c r="G1672" s="30" t="s">
        <v>10438</v>
      </c>
      <c r="H1672" s="30" t="s">
        <v>11213</v>
      </c>
    </row>
    <row r="1673" spans="1:8">
      <c r="A1673" s="30" t="s">
        <v>12423</v>
      </c>
      <c r="B1673" s="30"/>
      <c r="C1673" s="30" t="s">
        <v>8626</v>
      </c>
      <c r="D1673" s="30"/>
      <c r="E1673" s="30"/>
      <c r="F1673" s="30"/>
      <c r="G1673" s="30" t="s">
        <v>9358</v>
      </c>
      <c r="H1673" s="30" t="s">
        <v>10276</v>
      </c>
    </row>
    <row r="1674" spans="1:8">
      <c r="A1674" s="30" t="s">
        <v>12424</v>
      </c>
      <c r="B1674" s="30"/>
      <c r="C1674" s="30" t="s">
        <v>8607</v>
      </c>
      <c r="D1674" s="30" t="s">
        <v>10491</v>
      </c>
      <c r="E1674" s="30" t="s">
        <v>10638</v>
      </c>
      <c r="F1674" s="30" t="e">
        <v>#VALUE!</v>
      </c>
      <c r="G1674" s="30" t="s">
        <v>9007</v>
      </c>
      <c r="H1674" s="30" t="s">
        <v>10895</v>
      </c>
    </row>
    <row r="1675" spans="1:8">
      <c r="A1675" s="30" t="s">
        <v>12425</v>
      </c>
      <c r="B1675" s="30"/>
      <c r="C1675" s="30"/>
      <c r="D1675" s="32"/>
      <c r="E1675" s="30"/>
      <c r="F1675" s="30"/>
      <c r="G1675" s="30"/>
      <c r="H1675" s="30" t="s">
        <v>10520</v>
      </c>
    </row>
    <row r="1676" spans="1:8">
      <c r="A1676" s="30" t="s">
        <v>12426</v>
      </c>
      <c r="B1676" s="30"/>
      <c r="C1676" s="30" t="s">
        <v>8607</v>
      </c>
      <c r="D1676" s="30" t="s">
        <v>11426</v>
      </c>
      <c r="E1676" s="30"/>
      <c r="F1676" s="30"/>
      <c r="G1676" s="30" t="s">
        <v>8704</v>
      </c>
      <c r="H1676" s="30" t="s">
        <v>11469</v>
      </c>
    </row>
    <row r="1677" spans="1:8">
      <c r="A1677" s="30" t="s">
        <v>12427</v>
      </c>
      <c r="B1677" s="30"/>
      <c r="C1677" s="30" t="s">
        <v>8626</v>
      </c>
      <c r="D1677" s="30"/>
      <c r="E1677" s="30" t="s">
        <v>11422</v>
      </c>
      <c r="F1677" s="30" t="e">
        <v>#VALUE!</v>
      </c>
      <c r="G1677" s="30"/>
      <c r="H1677" s="30" t="s">
        <v>12428</v>
      </c>
    </row>
    <row r="1678" spans="1:8">
      <c r="A1678" s="30" t="s">
        <v>12429</v>
      </c>
      <c r="B1678" s="30"/>
      <c r="C1678" s="30" t="s">
        <v>8607</v>
      </c>
      <c r="D1678" s="30" t="s">
        <v>10441</v>
      </c>
      <c r="E1678" s="30" t="s">
        <v>8671</v>
      </c>
      <c r="F1678" s="30" t="s">
        <v>8672</v>
      </c>
      <c r="G1678" s="30" t="s">
        <v>8673</v>
      </c>
      <c r="H1678" s="30" t="s">
        <v>12430</v>
      </c>
    </row>
    <row r="1679" spans="1:8">
      <c r="A1679" s="30" t="s">
        <v>12431</v>
      </c>
      <c r="B1679" s="30"/>
      <c r="C1679" s="30" t="s">
        <v>8607</v>
      </c>
      <c r="D1679" s="30" t="s">
        <v>8676</v>
      </c>
      <c r="E1679" s="30" t="s">
        <v>12432</v>
      </c>
      <c r="F1679" s="30" t="e">
        <v>#VALUE!</v>
      </c>
      <c r="G1679" s="30" t="s">
        <v>8678</v>
      </c>
      <c r="H1679" s="30" t="s">
        <v>10201</v>
      </c>
    </row>
    <row r="1680" spans="1:8">
      <c r="A1680" s="30" t="s">
        <v>12433</v>
      </c>
      <c r="B1680" s="30"/>
      <c r="C1680" s="30" t="s">
        <v>8607</v>
      </c>
      <c r="D1680" s="30"/>
      <c r="E1680" s="30"/>
      <c r="F1680" s="30"/>
      <c r="G1680" s="30" t="s">
        <v>8681</v>
      </c>
      <c r="H1680" s="30" t="s">
        <v>10445</v>
      </c>
    </row>
    <row r="1681" spans="1:8">
      <c r="A1681" s="30" t="s">
        <v>12434</v>
      </c>
      <c r="B1681" s="30"/>
      <c r="C1681" s="30" t="s">
        <v>8607</v>
      </c>
      <c r="D1681" s="30" t="s">
        <v>8666</v>
      </c>
      <c r="E1681" s="30"/>
      <c r="F1681" s="30"/>
      <c r="G1681" s="30" t="s">
        <v>8667</v>
      </c>
      <c r="H1681" s="30" t="s">
        <v>8668</v>
      </c>
    </row>
    <row r="1682" spans="1:8">
      <c r="A1682" s="30" t="s">
        <v>12435</v>
      </c>
      <c r="B1682" s="30"/>
      <c r="C1682" s="30" t="s">
        <v>8626</v>
      </c>
      <c r="D1682" s="30" t="s">
        <v>8670</v>
      </c>
      <c r="E1682" s="30" t="s">
        <v>8671</v>
      </c>
      <c r="F1682" s="30" t="s">
        <v>8672</v>
      </c>
      <c r="G1682" s="30" t="s">
        <v>8673</v>
      </c>
      <c r="H1682" s="30" t="s">
        <v>8674</v>
      </c>
    </row>
    <row r="1683" spans="1:8">
      <c r="A1683" s="30" t="s">
        <v>12436</v>
      </c>
      <c r="B1683" s="30"/>
      <c r="C1683" s="30" t="s">
        <v>8607</v>
      </c>
      <c r="D1683" s="30" t="s">
        <v>8676</v>
      </c>
      <c r="E1683" s="30" t="s">
        <v>8677</v>
      </c>
      <c r="F1683" s="30" t="e">
        <v>#VALUE!</v>
      </c>
      <c r="G1683" s="30" t="s">
        <v>8678</v>
      </c>
      <c r="H1683" s="30" t="s">
        <v>8679</v>
      </c>
    </row>
    <row r="1684" spans="1:8">
      <c r="A1684" s="30" t="s">
        <v>12437</v>
      </c>
      <c r="B1684" s="30"/>
      <c r="C1684" s="30" t="s">
        <v>8626</v>
      </c>
      <c r="D1684" s="30"/>
      <c r="E1684" s="30" t="s">
        <v>8628</v>
      </c>
      <c r="F1684" s="30" t="e">
        <v>#VALUE!</v>
      </c>
      <c r="G1684" s="30" t="s">
        <v>8623</v>
      </c>
      <c r="H1684" s="30" t="s">
        <v>8652</v>
      </c>
    </row>
    <row r="1685" spans="1:8">
      <c r="A1685" s="30" t="s">
        <v>12438</v>
      </c>
      <c r="B1685" s="30"/>
      <c r="C1685" s="30" t="s">
        <v>8607</v>
      </c>
      <c r="D1685" s="30"/>
      <c r="E1685" s="30"/>
      <c r="F1685" s="30"/>
      <c r="G1685" s="30" t="s">
        <v>8681</v>
      </c>
      <c r="H1685" s="30" t="s">
        <v>8682</v>
      </c>
    </row>
    <row r="1686" spans="1:8">
      <c r="A1686" s="30" t="s">
        <v>12439</v>
      </c>
      <c r="B1686" s="30"/>
      <c r="C1686" s="30" t="s">
        <v>8626</v>
      </c>
      <c r="D1686" s="30" t="s">
        <v>8684</v>
      </c>
      <c r="E1686" s="30" t="s">
        <v>8685</v>
      </c>
      <c r="F1686" s="30" t="s">
        <v>8618</v>
      </c>
      <c r="G1686" s="30" t="s">
        <v>8686</v>
      </c>
      <c r="H1686" s="30" t="s">
        <v>8687</v>
      </c>
    </row>
    <row r="1687" spans="1:8">
      <c r="A1687" s="30" t="s">
        <v>12440</v>
      </c>
      <c r="B1687" s="30"/>
      <c r="C1687" s="30" t="s">
        <v>8626</v>
      </c>
      <c r="D1687" s="30" t="s">
        <v>8689</v>
      </c>
      <c r="E1687" s="30" t="s">
        <v>8690</v>
      </c>
      <c r="F1687" s="30" t="e">
        <v>#VALUE!</v>
      </c>
      <c r="G1687" s="30" t="s">
        <v>8691</v>
      </c>
      <c r="H1687" s="30" t="s">
        <v>8692</v>
      </c>
    </row>
    <row r="1688" spans="1:8">
      <c r="A1688" s="30" t="s">
        <v>12441</v>
      </c>
      <c r="B1688" s="30"/>
      <c r="C1688" s="30" t="s">
        <v>8607</v>
      </c>
      <c r="D1688" s="30" t="s">
        <v>8694</v>
      </c>
      <c r="E1688" s="30"/>
      <c r="F1688" s="30"/>
      <c r="G1688" s="30" t="s">
        <v>8695</v>
      </c>
      <c r="H1688" s="30" t="s">
        <v>8696</v>
      </c>
    </row>
    <row r="1689" spans="1:8">
      <c r="A1689" s="30" t="s">
        <v>12442</v>
      </c>
      <c r="B1689" s="30"/>
      <c r="C1689" s="30" t="s">
        <v>8607</v>
      </c>
      <c r="D1689" s="30"/>
      <c r="E1689" s="30"/>
      <c r="F1689" s="30"/>
      <c r="G1689" s="30" t="s">
        <v>8698</v>
      </c>
      <c r="H1689" s="30" t="s">
        <v>11831</v>
      </c>
    </row>
    <row r="1690" spans="1:8">
      <c r="A1690" s="30" t="s">
        <v>12443</v>
      </c>
      <c r="B1690" s="30"/>
      <c r="C1690" s="30"/>
      <c r="D1690" s="32"/>
      <c r="E1690" s="30"/>
      <c r="F1690" s="30"/>
      <c r="G1690" s="30"/>
      <c r="H1690" s="30" t="s">
        <v>8701</v>
      </c>
    </row>
    <row r="1691" spans="1:8">
      <c r="A1691" s="30" t="s">
        <v>12444</v>
      </c>
      <c r="B1691" s="30"/>
      <c r="C1691" s="30" t="s">
        <v>8607</v>
      </c>
      <c r="D1691" s="30" t="s">
        <v>8707</v>
      </c>
      <c r="E1691" s="30"/>
      <c r="F1691" s="30"/>
      <c r="G1691" s="30" t="s">
        <v>8708</v>
      </c>
      <c r="H1691" s="30" t="s">
        <v>8709</v>
      </c>
    </row>
    <row r="1692" spans="1:8">
      <c r="A1692" s="30" t="s">
        <v>12445</v>
      </c>
      <c r="B1692" s="30"/>
      <c r="C1692" s="30" t="s">
        <v>8607</v>
      </c>
      <c r="D1692" s="30"/>
      <c r="E1692" s="30"/>
      <c r="F1692" s="30"/>
      <c r="G1692" s="30" t="s">
        <v>8711</v>
      </c>
      <c r="H1692" s="30" t="s">
        <v>8712</v>
      </c>
    </row>
    <row r="1693" spans="1:8">
      <c r="A1693" s="30" t="s">
        <v>12446</v>
      </c>
      <c r="B1693" s="30"/>
      <c r="C1693" s="30" t="s">
        <v>8626</v>
      </c>
      <c r="D1693" s="30"/>
      <c r="E1693" s="30"/>
      <c r="F1693" s="30"/>
      <c r="G1693" s="30" t="s">
        <v>8714</v>
      </c>
      <c r="H1693" s="30" t="s">
        <v>8715</v>
      </c>
    </row>
    <row r="1694" spans="1:8">
      <c r="A1694" s="30" t="s">
        <v>12447</v>
      </c>
      <c r="B1694" s="30"/>
      <c r="C1694" s="30" t="s">
        <v>8607</v>
      </c>
      <c r="D1694" s="30"/>
      <c r="E1694" s="30"/>
      <c r="F1694" s="30"/>
      <c r="G1694" s="30" t="s">
        <v>8717</v>
      </c>
      <c r="H1694" s="30" t="s">
        <v>8718</v>
      </c>
    </row>
    <row r="1695" spans="1:8">
      <c r="A1695" s="30" t="s">
        <v>12448</v>
      </c>
      <c r="B1695" s="30"/>
      <c r="C1695" s="30" t="s">
        <v>8607</v>
      </c>
      <c r="D1695" s="30"/>
      <c r="E1695" s="30" t="s">
        <v>8720</v>
      </c>
      <c r="F1695" s="30" t="e">
        <v>#VALUE!</v>
      </c>
      <c r="G1695" s="30" t="s">
        <v>8721</v>
      </c>
      <c r="H1695" s="30" t="s">
        <v>8722</v>
      </c>
    </row>
    <row r="1696" spans="1:8">
      <c r="A1696" s="30" t="s">
        <v>12449</v>
      </c>
      <c r="B1696" s="30"/>
      <c r="C1696" s="30" t="s">
        <v>8607</v>
      </c>
      <c r="D1696" s="30"/>
      <c r="E1696" s="30"/>
      <c r="F1696" s="30"/>
      <c r="G1696" s="30" t="s">
        <v>8721</v>
      </c>
      <c r="H1696" s="30" t="s">
        <v>8724</v>
      </c>
    </row>
    <row r="1697" spans="1:8">
      <c r="A1697" s="30" t="s">
        <v>12450</v>
      </c>
      <c r="B1697" s="30"/>
      <c r="C1697" s="30" t="s">
        <v>8607</v>
      </c>
      <c r="D1697" s="30" t="s">
        <v>8654</v>
      </c>
      <c r="E1697" s="30" t="s">
        <v>8655</v>
      </c>
      <c r="F1697" s="30" t="s">
        <v>8618</v>
      </c>
      <c r="G1697" s="30" t="s">
        <v>8656</v>
      </c>
      <c r="H1697" s="30" t="s">
        <v>8657</v>
      </c>
    </row>
    <row r="1698" spans="1:8">
      <c r="A1698" s="30" t="s">
        <v>12451</v>
      </c>
      <c r="B1698" s="30"/>
      <c r="C1698" s="30" t="s">
        <v>8607</v>
      </c>
      <c r="D1698" s="30"/>
      <c r="E1698" s="30"/>
      <c r="F1698" s="30"/>
      <c r="G1698" s="30" t="s">
        <v>8726</v>
      </c>
      <c r="H1698" s="30" t="s">
        <v>8727</v>
      </c>
    </row>
    <row r="1699" spans="1:8">
      <c r="A1699" s="30" t="s">
        <v>12452</v>
      </c>
      <c r="B1699" s="30"/>
      <c r="C1699" s="30" t="s">
        <v>8607</v>
      </c>
      <c r="D1699" s="30"/>
      <c r="E1699" s="30"/>
      <c r="F1699" s="30"/>
      <c r="G1699" s="30" t="s">
        <v>8729</v>
      </c>
      <c r="H1699" s="30" t="s">
        <v>8730</v>
      </c>
    </row>
    <row r="1700" spans="1:8">
      <c r="A1700" s="30" t="s">
        <v>12453</v>
      </c>
      <c r="B1700" s="30"/>
      <c r="C1700" s="30" t="s">
        <v>8607</v>
      </c>
      <c r="D1700" s="30"/>
      <c r="E1700" s="30"/>
      <c r="F1700" s="30"/>
      <c r="G1700" s="30" t="s">
        <v>8659</v>
      </c>
      <c r="H1700" s="30" t="s">
        <v>8660</v>
      </c>
    </row>
    <row r="1701" spans="1:8">
      <c r="A1701" s="30" t="s">
        <v>12454</v>
      </c>
      <c r="B1701" s="30"/>
      <c r="C1701" s="30" t="s">
        <v>8607</v>
      </c>
      <c r="D1701" s="30"/>
      <c r="E1701" s="30"/>
      <c r="F1701" s="30"/>
      <c r="G1701" s="30" t="s">
        <v>8646</v>
      </c>
      <c r="H1701" s="30" t="s">
        <v>8647</v>
      </c>
    </row>
    <row r="1702" spans="1:8">
      <c r="A1702" s="30" t="s">
        <v>12455</v>
      </c>
      <c r="B1702" s="30"/>
      <c r="C1702" s="30" t="s">
        <v>8607</v>
      </c>
      <c r="D1702" s="30"/>
      <c r="E1702" s="30"/>
      <c r="F1702" s="30"/>
      <c r="G1702" s="30" t="s">
        <v>8649</v>
      </c>
      <c r="H1702" s="30" t="s">
        <v>8650</v>
      </c>
    </row>
    <row r="1703" spans="1:8">
      <c r="A1703" s="30" t="s">
        <v>12456</v>
      </c>
      <c r="B1703" s="30"/>
      <c r="C1703" s="30" t="s">
        <v>8607</v>
      </c>
      <c r="D1703" s="30"/>
      <c r="E1703" s="30" t="s">
        <v>12457</v>
      </c>
      <c r="F1703" s="30" t="s">
        <v>8618</v>
      </c>
      <c r="G1703" s="30" t="s">
        <v>12458</v>
      </c>
      <c r="H1703" s="30" t="s">
        <v>12459</v>
      </c>
    </row>
    <row r="1704" spans="1:8">
      <c r="A1704" s="30" t="s">
        <v>12460</v>
      </c>
      <c r="B1704" s="30"/>
      <c r="C1704" s="30" t="s">
        <v>8607</v>
      </c>
      <c r="D1704" s="30" t="s">
        <v>9546</v>
      </c>
      <c r="E1704" s="30" t="s">
        <v>9547</v>
      </c>
      <c r="F1704" s="30" t="s">
        <v>8672</v>
      </c>
      <c r="G1704" s="30" t="s">
        <v>9366</v>
      </c>
      <c r="H1704" s="30" t="s">
        <v>12461</v>
      </c>
    </row>
    <row r="1705" spans="1:8">
      <c r="A1705" s="30" t="s">
        <v>12462</v>
      </c>
      <c r="B1705" s="30"/>
      <c r="C1705" s="30" t="s">
        <v>8607</v>
      </c>
      <c r="D1705" s="30"/>
      <c r="E1705" s="30" t="s">
        <v>12463</v>
      </c>
      <c r="F1705" s="30" t="s">
        <v>8672</v>
      </c>
      <c r="G1705" s="30" t="s">
        <v>12464</v>
      </c>
      <c r="H1705" s="30" t="s">
        <v>12465</v>
      </c>
    </row>
    <row r="1706" spans="1:8">
      <c r="A1706" s="30" t="s">
        <v>12466</v>
      </c>
      <c r="B1706" s="30"/>
      <c r="C1706" s="30" t="s">
        <v>8607</v>
      </c>
      <c r="D1706" s="30" t="s">
        <v>8938</v>
      </c>
      <c r="E1706" s="30"/>
      <c r="F1706" s="30"/>
      <c r="G1706" s="30" t="s">
        <v>8737</v>
      </c>
      <c r="H1706" s="30" t="s">
        <v>12467</v>
      </c>
    </row>
    <row r="1707" spans="1:8">
      <c r="A1707" s="30" t="s">
        <v>12468</v>
      </c>
      <c r="B1707" s="30"/>
      <c r="C1707" s="30"/>
      <c r="D1707" s="32" t="s">
        <v>12469</v>
      </c>
      <c r="E1707" s="30" t="s">
        <v>12470</v>
      </c>
      <c r="F1707" s="30" t="s">
        <v>8642</v>
      </c>
      <c r="G1707" s="30"/>
      <c r="H1707" s="30" t="s">
        <v>12471</v>
      </c>
    </row>
    <row r="1708" spans="1:8">
      <c r="A1708" s="30" t="s">
        <v>12472</v>
      </c>
      <c r="B1708" s="30"/>
      <c r="C1708" s="30" t="s">
        <v>8626</v>
      </c>
      <c r="D1708" s="30" t="s">
        <v>12473</v>
      </c>
      <c r="E1708" s="30" t="s">
        <v>12474</v>
      </c>
      <c r="F1708" s="30" t="s">
        <v>8618</v>
      </c>
      <c r="G1708" s="30" t="s">
        <v>12475</v>
      </c>
      <c r="H1708" s="30" t="s">
        <v>12476</v>
      </c>
    </row>
    <row r="1709" spans="1:8">
      <c r="A1709" s="30" t="s">
        <v>12477</v>
      </c>
      <c r="B1709" s="30"/>
      <c r="C1709" s="30" t="s">
        <v>8626</v>
      </c>
      <c r="D1709" s="30" t="s">
        <v>9291</v>
      </c>
      <c r="E1709" s="30" t="s">
        <v>8962</v>
      </c>
      <c r="F1709" s="30" t="e">
        <v>#VALUE!</v>
      </c>
      <c r="G1709" s="30" t="s">
        <v>8691</v>
      </c>
      <c r="H1709" s="30" t="s">
        <v>10447</v>
      </c>
    </row>
    <row r="1710" spans="1:8">
      <c r="A1710" s="30" t="s">
        <v>12478</v>
      </c>
      <c r="B1710" s="30"/>
      <c r="C1710" s="30" t="s">
        <v>8626</v>
      </c>
      <c r="D1710" s="30"/>
      <c r="E1710" s="30" t="s">
        <v>10214</v>
      </c>
      <c r="F1710" s="30" t="e">
        <v>#VALUE!</v>
      </c>
      <c r="G1710" s="30" t="s">
        <v>8714</v>
      </c>
      <c r="H1710" s="30" t="s">
        <v>10305</v>
      </c>
    </row>
    <row r="1711" spans="1:8">
      <c r="A1711" s="30" t="s">
        <v>12479</v>
      </c>
      <c r="B1711" s="30"/>
      <c r="C1711" s="30" t="s">
        <v>8607</v>
      </c>
      <c r="D1711" s="30"/>
      <c r="E1711" s="30"/>
      <c r="F1711" s="30"/>
      <c r="G1711" s="30" t="s">
        <v>8729</v>
      </c>
      <c r="H1711" s="30" t="s">
        <v>12480</v>
      </c>
    </row>
    <row r="1712" spans="1:8">
      <c r="A1712" s="30" t="s">
        <v>12481</v>
      </c>
      <c r="B1712" s="30"/>
      <c r="C1712" s="30" t="s">
        <v>8607</v>
      </c>
      <c r="D1712" s="30"/>
      <c r="E1712" s="30"/>
      <c r="F1712" s="30"/>
      <c r="G1712" s="30" t="s">
        <v>8681</v>
      </c>
      <c r="H1712" s="30" t="s">
        <v>10714</v>
      </c>
    </row>
    <row r="1713" spans="1:8">
      <c r="A1713" s="30" t="s">
        <v>12482</v>
      </c>
      <c r="B1713" s="30"/>
      <c r="C1713" s="30" t="s">
        <v>8607</v>
      </c>
      <c r="D1713" s="30"/>
      <c r="E1713" s="30"/>
      <c r="F1713" s="30"/>
      <c r="G1713" s="30" t="s">
        <v>10320</v>
      </c>
      <c r="H1713" s="30" t="s">
        <v>10321</v>
      </c>
    </row>
    <row r="1714" spans="1:8">
      <c r="A1714" s="30" t="s">
        <v>12483</v>
      </c>
      <c r="B1714" s="30"/>
      <c r="C1714" s="30" t="s">
        <v>8607</v>
      </c>
      <c r="D1714" s="30" t="s">
        <v>10491</v>
      </c>
      <c r="E1714" s="30" t="s">
        <v>9006</v>
      </c>
      <c r="F1714" s="30" t="e">
        <v>#VALUE!</v>
      </c>
      <c r="G1714" s="30" t="s">
        <v>9007</v>
      </c>
      <c r="H1714" s="30" t="s">
        <v>10895</v>
      </c>
    </row>
    <row r="1715" spans="1:8">
      <c r="A1715" s="30" t="s">
        <v>12484</v>
      </c>
      <c r="B1715" s="30"/>
      <c r="C1715" s="30" t="s">
        <v>8607</v>
      </c>
      <c r="D1715" s="30"/>
      <c r="E1715" s="30"/>
      <c r="F1715" s="30"/>
      <c r="G1715" s="30" t="s">
        <v>8807</v>
      </c>
      <c r="H1715" s="30" t="s">
        <v>12485</v>
      </c>
    </row>
    <row r="1716" spans="1:8">
      <c r="A1716" s="30" t="s">
        <v>12486</v>
      </c>
      <c r="B1716" s="30"/>
      <c r="C1716" s="30" t="s">
        <v>8607</v>
      </c>
      <c r="D1716" s="30" t="s">
        <v>10243</v>
      </c>
      <c r="E1716" s="30" t="s">
        <v>8850</v>
      </c>
      <c r="F1716" s="30" t="s">
        <v>8672</v>
      </c>
      <c r="G1716" s="30" t="s">
        <v>8851</v>
      </c>
      <c r="H1716" s="30" t="s">
        <v>10567</v>
      </c>
    </row>
    <row r="1717" spans="1:8">
      <c r="A1717" s="30" t="s">
        <v>12487</v>
      </c>
      <c r="B1717" s="30"/>
      <c r="C1717" s="30" t="s">
        <v>8607</v>
      </c>
      <c r="D1717" s="30" t="s">
        <v>8736</v>
      </c>
      <c r="E1717" s="30"/>
      <c r="F1717" s="30"/>
      <c r="G1717" s="30" t="s">
        <v>8737</v>
      </c>
      <c r="H1717" s="30" t="s">
        <v>12488</v>
      </c>
    </row>
    <row r="1718" spans="1:8">
      <c r="A1718" s="30" t="s">
        <v>12489</v>
      </c>
      <c r="B1718" s="30"/>
      <c r="C1718" s="30" t="s">
        <v>8626</v>
      </c>
      <c r="D1718" s="30" t="s">
        <v>8736</v>
      </c>
      <c r="E1718" s="30"/>
      <c r="F1718" s="30"/>
      <c r="G1718" s="30" t="s">
        <v>8737</v>
      </c>
      <c r="H1718" s="30" t="s">
        <v>8738</v>
      </c>
    </row>
    <row r="1719" spans="1:8">
      <c r="A1719" s="30" t="s">
        <v>12490</v>
      </c>
      <c r="B1719" s="30"/>
      <c r="C1719" s="30"/>
      <c r="D1719" s="32" t="s">
        <v>12491</v>
      </c>
      <c r="E1719" s="30"/>
      <c r="F1719" s="30"/>
      <c r="G1719" s="30"/>
      <c r="H1719" s="30" t="s">
        <v>12492</v>
      </c>
    </row>
    <row r="1720" spans="1:8">
      <c r="A1720" s="30" t="s">
        <v>12493</v>
      </c>
      <c r="B1720" s="30"/>
      <c r="C1720" s="30" t="s">
        <v>8626</v>
      </c>
      <c r="D1720" s="30" t="s">
        <v>9670</v>
      </c>
      <c r="E1720" s="30" t="s">
        <v>12494</v>
      </c>
      <c r="F1720" s="30" t="s">
        <v>8618</v>
      </c>
      <c r="G1720" s="30" t="s">
        <v>9672</v>
      </c>
      <c r="H1720" s="30" t="s">
        <v>11324</v>
      </c>
    </row>
    <row r="1721" spans="1:8">
      <c r="A1721" s="30" t="s">
        <v>12495</v>
      </c>
      <c r="B1721" s="30"/>
      <c r="C1721" s="30" t="s">
        <v>8626</v>
      </c>
      <c r="D1721" s="30"/>
      <c r="E1721" s="30"/>
      <c r="F1721" s="30"/>
      <c r="G1721" s="30" t="s">
        <v>11334</v>
      </c>
      <c r="H1721" s="30" t="s">
        <v>12496</v>
      </c>
    </row>
    <row r="1722" spans="1:8">
      <c r="A1722" s="30" t="s">
        <v>12497</v>
      </c>
      <c r="B1722" s="30"/>
      <c r="C1722" s="30" t="s">
        <v>8607</v>
      </c>
      <c r="D1722" s="30"/>
      <c r="E1722" s="30"/>
      <c r="F1722" s="30"/>
      <c r="G1722" s="30" t="s">
        <v>10205</v>
      </c>
      <c r="H1722" s="30" t="s">
        <v>12498</v>
      </c>
    </row>
    <row r="1723" spans="1:8">
      <c r="A1723" s="30" t="s">
        <v>12499</v>
      </c>
      <c r="B1723" s="30"/>
      <c r="C1723" s="30" t="s">
        <v>8607</v>
      </c>
      <c r="D1723" s="30"/>
      <c r="E1723" s="30"/>
      <c r="F1723" s="30"/>
      <c r="G1723" s="30" t="s">
        <v>8814</v>
      </c>
      <c r="H1723" s="30" t="s">
        <v>10835</v>
      </c>
    </row>
    <row r="1724" spans="1:8">
      <c r="A1724" s="30" t="s">
        <v>12500</v>
      </c>
      <c r="B1724" s="30"/>
      <c r="C1724" s="30" t="s">
        <v>8626</v>
      </c>
      <c r="D1724" s="30"/>
      <c r="E1724" s="30"/>
      <c r="F1724" s="30"/>
      <c r="G1724" s="30" t="s">
        <v>8623</v>
      </c>
      <c r="H1724" s="30" t="s">
        <v>12501</v>
      </c>
    </row>
    <row r="1725" spans="1:8">
      <c r="A1725" s="30" t="s">
        <v>12502</v>
      </c>
      <c r="B1725" s="30"/>
      <c r="C1725" s="30" t="s">
        <v>8607</v>
      </c>
      <c r="D1725" s="30"/>
      <c r="E1725" s="30"/>
      <c r="F1725" s="30"/>
      <c r="G1725" s="30" t="s">
        <v>10395</v>
      </c>
      <c r="H1725" s="30" t="s">
        <v>11485</v>
      </c>
    </row>
    <row r="1726" spans="1:8">
      <c r="A1726" s="30" t="s">
        <v>12503</v>
      </c>
      <c r="B1726" s="30"/>
      <c r="C1726" s="30" t="s">
        <v>8607</v>
      </c>
      <c r="D1726" s="30"/>
      <c r="E1726" s="30" t="s">
        <v>8907</v>
      </c>
      <c r="F1726" s="30" t="s">
        <v>8618</v>
      </c>
      <c r="G1726" s="30" t="s">
        <v>8908</v>
      </c>
      <c r="H1726" s="30" t="s">
        <v>8909</v>
      </c>
    </row>
    <row r="1727" spans="1:8">
      <c r="A1727" s="30" t="s">
        <v>12504</v>
      </c>
      <c r="B1727" s="30"/>
      <c r="C1727" s="30" t="s">
        <v>8626</v>
      </c>
      <c r="D1727" s="30" t="s">
        <v>12505</v>
      </c>
      <c r="E1727" s="30" t="s">
        <v>11108</v>
      </c>
      <c r="F1727" s="30" t="e">
        <v>#VALUE!</v>
      </c>
      <c r="G1727" s="30" t="s">
        <v>11109</v>
      </c>
      <c r="H1727" s="30" t="s">
        <v>12506</v>
      </c>
    </row>
    <row r="1728" spans="1:8">
      <c r="A1728" s="30" t="s">
        <v>12507</v>
      </c>
      <c r="B1728" s="30"/>
      <c r="C1728" s="30" t="s">
        <v>8607</v>
      </c>
      <c r="D1728" s="30" t="s">
        <v>10243</v>
      </c>
      <c r="E1728" s="30" t="s">
        <v>8850</v>
      </c>
      <c r="F1728" s="30" t="s">
        <v>8672</v>
      </c>
      <c r="G1728" s="30" t="s">
        <v>8851</v>
      </c>
      <c r="H1728" s="30" t="s">
        <v>10777</v>
      </c>
    </row>
    <row r="1729" spans="1:8">
      <c r="A1729" s="30" t="s">
        <v>12508</v>
      </c>
      <c r="B1729" s="30"/>
      <c r="C1729" s="30" t="s">
        <v>8626</v>
      </c>
      <c r="D1729" s="30" t="s">
        <v>9390</v>
      </c>
      <c r="E1729" s="30" t="s">
        <v>12509</v>
      </c>
      <c r="F1729" s="30" t="s">
        <v>8618</v>
      </c>
      <c r="G1729" s="30" t="s">
        <v>10234</v>
      </c>
      <c r="H1729" s="30" t="s">
        <v>12274</v>
      </c>
    </row>
    <row r="1730" spans="1:8">
      <c r="A1730" s="30" t="s">
        <v>12510</v>
      </c>
      <c r="B1730" s="30"/>
      <c r="C1730" s="30" t="s">
        <v>8626</v>
      </c>
      <c r="D1730" s="30" t="s">
        <v>10334</v>
      </c>
      <c r="E1730" s="30"/>
      <c r="F1730" s="30"/>
      <c r="G1730" s="30" t="s">
        <v>8695</v>
      </c>
      <c r="H1730" s="30" t="s">
        <v>10768</v>
      </c>
    </row>
    <row r="1731" spans="1:8">
      <c r="A1731" s="30" t="s">
        <v>12511</v>
      </c>
      <c r="B1731" s="30"/>
      <c r="C1731" s="30" t="s">
        <v>8626</v>
      </c>
      <c r="D1731" s="30"/>
      <c r="E1731" s="30"/>
      <c r="F1731" s="30"/>
      <c r="G1731" s="30" t="s">
        <v>8698</v>
      </c>
      <c r="H1731" s="30" t="s">
        <v>10346</v>
      </c>
    </row>
    <row r="1732" spans="1:8">
      <c r="A1732" s="30" t="s">
        <v>12512</v>
      </c>
      <c r="B1732" s="30"/>
      <c r="C1732" s="30" t="s">
        <v>8626</v>
      </c>
      <c r="D1732" s="30"/>
      <c r="E1732" s="30" t="s">
        <v>8720</v>
      </c>
      <c r="F1732" s="30" t="e">
        <v>#VALUE!</v>
      </c>
      <c r="G1732" s="30" t="s">
        <v>8721</v>
      </c>
      <c r="H1732" s="30" t="s">
        <v>12513</v>
      </c>
    </row>
    <row r="1733" spans="1:8">
      <c r="A1733" s="30" t="s">
        <v>12514</v>
      </c>
      <c r="B1733" s="30"/>
      <c r="C1733" s="30" t="s">
        <v>8626</v>
      </c>
      <c r="D1733" s="30"/>
      <c r="E1733" s="30"/>
      <c r="F1733" s="30"/>
      <c r="G1733" s="30" t="s">
        <v>8726</v>
      </c>
      <c r="H1733" s="30" t="s">
        <v>10615</v>
      </c>
    </row>
    <row r="1734" spans="1:8">
      <c r="A1734" s="30" t="s">
        <v>12515</v>
      </c>
      <c r="B1734" s="30"/>
      <c r="C1734" s="30" t="s">
        <v>8626</v>
      </c>
      <c r="D1734" s="30"/>
      <c r="E1734" s="30" t="s">
        <v>9001</v>
      </c>
      <c r="F1734" s="30" t="e">
        <v>#VALUE!</v>
      </c>
      <c r="G1734" s="30" t="s">
        <v>9002</v>
      </c>
      <c r="H1734" s="30" t="s">
        <v>12516</v>
      </c>
    </row>
    <row r="1735" spans="1:8">
      <c r="A1735" s="30" t="s">
        <v>12517</v>
      </c>
      <c r="B1735" s="30"/>
      <c r="C1735" s="30" t="s">
        <v>8607</v>
      </c>
      <c r="D1735" s="30" t="s">
        <v>8894</v>
      </c>
      <c r="E1735" s="30"/>
      <c r="F1735" s="30"/>
      <c r="G1735" s="30" t="s">
        <v>8895</v>
      </c>
      <c r="H1735" s="30" t="s">
        <v>10833</v>
      </c>
    </row>
    <row r="1736" spans="1:8">
      <c r="A1736" s="30" t="s">
        <v>12518</v>
      </c>
      <c r="B1736" s="30"/>
      <c r="C1736" s="30" t="s">
        <v>8626</v>
      </c>
      <c r="D1736" s="30"/>
      <c r="E1736" s="30" t="s">
        <v>9001</v>
      </c>
      <c r="F1736" s="30" t="e">
        <v>#VALUE!</v>
      </c>
      <c r="G1736" s="30" t="s">
        <v>9002</v>
      </c>
      <c r="H1736" s="30" t="s">
        <v>12516</v>
      </c>
    </row>
    <row r="1737" spans="1:8">
      <c r="A1737" s="30" t="s">
        <v>12519</v>
      </c>
      <c r="B1737" s="30"/>
      <c r="C1737" s="30" t="s">
        <v>8607</v>
      </c>
      <c r="D1737" s="30" t="s">
        <v>8894</v>
      </c>
      <c r="E1737" s="30"/>
      <c r="F1737" s="30"/>
      <c r="G1737" s="30" t="s">
        <v>8895</v>
      </c>
      <c r="H1737" s="30" t="s">
        <v>10833</v>
      </c>
    </row>
    <row r="1738" spans="1:8">
      <c r="A1738" s="30" t="s">
        <v>12520</v>
      </c>
      <c r="B1738" s="30"/>
      <c r="C1738" s="30" t="s">
        <v>8607</v>
      </c>
      <c r="D1738" s="30" t="s">
        <v>8736</v>
      </c>
      <c r="E1738" s="30"/>
      <c r="F1738" s="30"/>
      <c r="G1738" s="30" t="s">
        <v>8737</v>
      </c>
      <c r="H1738" s="30" t="s">
        <v>12521</v>
      </c>
    </row>
    <row r="1739" spans="1:8">
      <c r="A1739" s="30" t="s">
        <v>12522</v>
      </c>
      <c r="B1739" s="30"/>
      <c r="C1739" s="30" t="s">
        <v>8607</v>
      </c>
      <c r="D1739" s="30"/>
      <c r="E1739" s="30" t="s">
        <v>9350</v>
      </c>
      <c r="F1739" s="30" t="s">
        <v>8618</v>
      </c>
      <c r="G1739" s="30" t="s">
        <v>8623</v>
      </c>
      <c r="H1739" s="30" t="s">
        <v>11052</v>
      </c>
    </row>
    <row r="1740" spans="1:8">
      <c r="A1740" s="30" t="s">
        <v>12523</v>
      </c>
      <c r="B1740" s="30"/>
      <c r="C1740" s="30" t="s">
        <v>8607</v>
      </c>
      <c r="D1740" s="30"/>
      <c r="E1740" s="30"/>
      <c r="F1740" s="30"/>
      <c r="G1740" s="30" t="s">
        <v>10668</v>
      </c>
      <c r="H1740" s="30" t="s">
        <v>11046</v>
      </c>
    </row>
    <row r="1741" spans="1:8">
      <c r="A1741" s="30" t="s">
        <v>12524</v>
      </c>
      <c r="B1741" s="30"/>
      <c r="C1741" s="30" t="s">
        <v>8626</v>
      </c>
      <c r="D1741" s="30" t="s">
        <v>10167</v>
      </c>
      <c r="E1741" s="30"/>
      <c r="F1741" s="30"/>
      <c r="G1741" s="30" t="s">
        <v>11388</v>
      </c>
      <c r="H1741" s="30" t="s">
        <v>11044</v>
      </c>
    </row>
    <row r="1742" spans="1:8">
      <c r="A1742" s="30" t="s">
        <v>12525</v>
      </c>
      <c r="B1742" s="30"/>
      <c r="C1742" s="30" t="s">
        <v>8626</v>
      </c>
      <c r="D1742" s="30" t="s">
        <v>12526</v>
      </c>
      <c r="E1742" s="30" t="s">
        <v>12527</v>
      </c>
      <c r="F1742" s="30" t="s">
        <v>8618</v>
      </c>
      <c r="G1742" s="30" t="s">
        <v>8900</v>
      </c>
      <c r="H1742" s="30" t="s">
        <v>12528</v>
      </c>
    </row>
    <row r="1743" spans="1:8">
      <c r="A1743" s="30" t="s">
        <v>12529</v>
      </c>
      <c r="B1743" s="30"/>
      <c r="C1743" s="30" t="s">
        <v>8607</v>
      </c>
      <c r="D1743" s="30"/>
      <c r="E1743" s="30"/>
      <c r="F1743" s="30"/>
      <c r="G1743" s="30"/>
      <c r="H1743" s="30" t="s">
        <v>12530</v>
      </c>
    </row>
    <row r="1744" spans="1:8">
      <c r="A1744" s="30" t="s">
        <v>12531</v>
      </c>
      <c r="B1744" s="30"/>
      <c r="C1744" s="30" t="s">
        <v>8626</v>
      </c>
      <c r="D1744" s="30" t="s">
        <v>12532</v>
      </c>
      <c r="E1744" s="30" t="s">
        <v>12527</v>
      </c>
      <c r="F1744" s="30" t="s">
        <v>8618</v>
      </c>
      <c r="G1744" s="30" t="s">
        <v>12533</v>
      </c>
      <c r="H1744" s="30" t="s">
        <v>12534</v>
      </c>
    </row>
    <row r="1745" spans="1:8">
      <c r="A1745" s="30" t="s">
        <v>12535</v>
      </c>
      <c r="B1745" s="30"/>
      <c r="C1745" s="30" t="s">
        <v>8607</v>
      </c>
      <c r="D1745" s="30" t="s">
        <v>8666</v>
      </c>
      <c r="E1745" s="30"/>
      <c r="F1745" s="30"/>
      <c r="G1745" s="30" t="s">
        <v>8667</v>
      </c>
      <c r="H1745" s="30" t="s">
        <v>12536</v>
      </c>
    </row>
    <row r="1746" spans="1:8">
      <c r="A1746" s="30" t="s">
        <v>12537</v>
      </c>
      <c r="B1746" s="30"/>
      <c r="C1746" s="30" t="s">
        <v>8626</v>
      </c>
      <c r="D1746" s="30"/>
      <c r="E1746" s="30" t="s">
        <v>10972</v>
      </c>
      <c r="F1746" s="30" t="s">
        <v>8618</v>
      </c>
      <c r="G1746" s="30" t="s">
        <v>10973</v>
      </c>
      <c r="H1746" s="30" t="s">
        <v>10974</v>
      </c>
    </row>
    <row r="1747" spans="1:8">
      <c r="A1747" s="30" t="s">
        <v>12538</v>
      </c>
      <c r="B1747" s="30"/>
      <c r="C1747" s="30"/>
      <c r="D1747" s="32" t="s">
        <v>10901</v>
      </c>
      <c r="E1747" s="30"/>
      <c r="F1747" s="30"/>
      <c r="G1747" s="30"/>
      <c r="H1747" s="30" t="s">
        <v>10902</v>
      </c>
    </row>
    <row r="1748" spans="1:8">
      <c r="A1748" s="30" t="s">
        <v>12539</v>
      </c>
      <c r="B1748" s="30"/>
      <c r="C1748" s="30" t="s">
        <v>8607</v>
      </c>
      <c r="D1748" s="30" t="s">
        <v>8736</v>
      </c>
      <c r="E1748" s="30"/>
      <c r="F1748" s="30"/>
      <c r="G1748" s="30" t="s">
        <v>8737</v>
      </c>
      <c r="H1748" s="30" t="s">
        <v>12383</v>
      </c>
    </row>
    <row r="1749" spans="1:8">
      <c r="A1749" s="30" t="s">
        <v>12540</v>
      </c>
      <c r="B1749" s="30"/>
      <c r="C1749" s="30" t="s">
        <v>8626</v>
      </c>
      <c r="D1749" s="30"/>
      <c r="E1749" s="30"/>
      <c r="F1749" s="30"/>
      <c r="G1749" s="30" t="s">
        <v>10220</v>
      </c>
      <c r="H1749" s="30" t="s">
        <v>10278</v>
      </c>
    </row>
    <row r="1750" spans="1:8">
      <c r="A1750" s="30" t="s">
        <v>12541</v>
      </c>
      <c r="B1750" s="30"/>
      <c r="C1750" s="30" t="s">
        <v>8626</v>
      </c>
      <c r="D1750" s="30"/>
      <c r="E1750" s="30"/>
      <c r="F1750" s="30"/>
      <c r="G1750" s="30" t="s">
        <v>8737</v>
      </c>
      <c r="H1750" s="30" t="s">
        <v>12212</v>
      </c>
    </row>
    <row r="1751" spans="1:8">
      <c r="A1751" s="30" t="s">
        <v>12542</v>
      </c>
      <c r="B1751" s="30"/>
      <c r="C1751" s="30" t="s">
        <v>8607</v>
      </c>
      <c r="D1751" s="30"/>
      <c r="E1751" s="30"/>
      <c r="F1751" s="30"/>
      <c r="G1751" s="30"/>
      <c r="H1751" s="30" t="s">
        <v>12543</v>
      </c>
    </row>
    <row r="1752" spans="1:8">
      <c r="A1752" s="30" t="s">
        <v>12544</v>
      </c>
      <c r="B1752" s="30"/>
      <c r="C1752" s="30" t="s">
        <v>8626</v>
      </c>
      <c r="D1752" s="30" t="s">
        <v>12545</v>
      </c>
      <c r="E1752" s="30" t="s">
        <v>9547</v>
      </c>
      <c r="F1752" s="30" t="s">
        <v>8672</v>
      </c>
      <c r="G1752" s="30" t="s">
        <v>9366</v>
      </c>
      <c r="H1752" s="30" t="s">
        <v>12546</v>
      </c>
    </row>
    <row r="1753" spans="1:8">
      <c r="A1753" s="30" t="s">
        <v>12547</v>
      </c>
      <c r="B1753" s="30"/>
      <c r="C1753" s="30" t="s">
        <v>8607</v>
      </c>
      <c r="D1753" s="30"/>
      <c r="E1753" s="30" t="s">
        <v>8720</v>
      </c>
      <c r="F1753" s="30" t="e">
        <v>#VALUE!</v>
      </c>
      <c r="G1753" s="30" t="s">
        <v>8721</v>
      </c>
      <c r="H1753" s="30" t="s">
        <v>12548</v>
      </c>
    </row>
    <row r="1754" spans="1:8">
      <c r="A1754" s="30" t="s">
        <v>12549</v>
      </c>
      <c r="B1754" s="30"/>
      <c r="C1754" s="30" t="s">
        <v>8607</v>
      </c>
      <c r="D1754" s="30"/>
      <c r="E1754" s="30"/>
      <c r="F1754" s="30"/>
      <c r="G1754" s="30" t="s">
        <v>10205</v>
      </c>
      <c r="H1754" s="30" t="s">
        <v>10611</v>
      </c>
    </row>
    <row r="1755" spans="1:8">
      <c r="A1755" s="30" t="s">
        <v>12550</v>
      </c>
      <c r="B1755" s="30"/>
      <c r="C1755" s="30" t="s">
        <v>8626</v>
      </c>
      <c r="D1755" s="30" t="s">
        <v>12551</v>
      </c>
      <c r="E1755" s="30" t="s">
        <v>12552</v>
      </c>
      <c r="F1755" s="30" t="s">
        <v>8672</v>
      </c>
      <c r="G1755" s="30" t="s">
        <v>11889</v>
      </c>
      <c r="H1755" s="30" t="s">
        <v>12553</v>
      </c>
    </row>
    <row r="1756" spans="1:8">
      <c r="A1756" s="30" t="s">
        <v>12554</v>
      </c>
      <c r="B1756" s="30"/>
      <c r="C1756" s="30" t="s">
        <v>8607</v>
      </c>
      <c r="D1756" s="30"/>
      <c r="E1756" s="30"/>
      <c r="F1756" s="30"/>
      <c r="G1756" s="30" t="s">
        <v>10250</v>
      </c>
      <c r="H1756" s="30" t="s">
        <v>10251</v>
      </c>
    </row>
    <row r="1757" spans="1:8">
      <c r="A1757" s="30" t="s">
        <v>12555</v>
      </c>
      <c r="B1757" s="30"/>
      <c r="C1757" s="30" t="s">
        <v>8607</v>
      </c>
      <c r="D1757" s="30"/>
      <c r="E1757" s="30"/>
      <c r="F1757" s="30"/>
      <c r="G1757" s="30" t="s">
        <v>10395</v>
      </c>
      <c r="H1757" s="30" t="s">
        <v>10781</v>
      </c>
    </row>
    <row r="1758" spans="1:8">
      <c r="A1758" s="30" t="s">
        <v>12556</v>
      </c>
      <c r="B1758" s="30"/>
      <c r="C1758" s="30" t="s">
        <v>8607</v>
      </c>
      <c r="D1758" s="30"/>
      <c r="E1758" s="30"/>
      <c r="F1758" s="30"/>
      <c r="G1758" s="30" t="s">
        <v>12557</v>
      </c>
      <c r="H1758" s="30" t="s">
        <v>12558</v>
      </c>
    </row>
    <row r="1759" spans="1:8">
      <c r="A1759" s="30" t="s">
        <v>12559</v>
      </c>
      <c r="B1759" s="30"/>
      <c r="C1759" s="30" t="s">
        <v>8607</v>
      </c>
      <c r="D1759" s="30" t="s">
        <v>9799</v>
      </c>
      <c r="E1759" s="30"/>
      <c r="F1759" s="30"/>
      <c r="G1759" s="30" t="s">
        <v>8695</v>
      </c>
      <c r="H1759" s="30" t="s">
        <v>11231</v>
      </c>
    </row>
    <row r="1760" spans="1:8">
      <c r="A1760" s="30" t="s">
        <v>12560</v>
      </c>
      <c r="B1760" s="30"/>
      <c r="C1760" s="30" t="s">
        <v>8607</v>
      </c>
      <c r="D1760" s="30"/>
      <c r="E1760" s="30"/>
      <c r="F1760" s="30"/>
      <c r="G1760" s="30" t="s">
        <v>8646</v>
      </c>
      <c r="H1760" s="30" t="s">
        <v>8647</v>
      </c>
    </row>
    <row r="1761" spans="1:8">
      <c r="A1761" s="30" t="s">
        <v>12561</v>
      </c>
      <c r="B1761" s="30"/>
      <c r="C1761" s="30" t="s">
        <v>8607</v>
      </c>
      <c r="D1761" s="30" t="s">
        <v>10434</v>
      </c>
      <c r="E1761" s="30"/>
      <c r="F1761" s="30"/>
      <c r="G1761" s="30" t="s">
        <v>8649</v>
      </c>
      <c r="H1761" s="30" t="s">
        <v>8650</v>
      </c>
    </row>
    <row r="1762" spans="1:8">
      <c r="A1762" s="30" t="s">
        <v>12562</v>
      </c>
      <c r="B1762" s="30"/>
      <c r="C1762" s="30" t="s">
        <v>8626</v>
      </c>
      <c r="D1762" s="30" t="s">
        <v>10436</v>
      </c>
      <c r="E1762" s="30"/>
      <c r="F1762" s="30"/>
      <c r="G1762" s="30" t="s">
        <v>9847</v>
      </c>
      <c r="H1762" s="30" t="s">
        <v>10272</v>
      </c>
    </row>
    <row r="1763" spans="1:8">
      <c r="A1763" s="30" t="s">
        <v>12563</v>
      </c>
      <c r="B1763" s="30"/>
      <c r="C1763" s="30" t="s">
        <v>8626</v>
      </c>
      <c r="D1763" s="30" t="s">
        <v>10441</v>
      </c>
      <c r="E1763" s="30" t="s">
        <v>8671</v>
      </c>
      <c r="F1763" s="30" t="s">
        <v>8672</v>
      </c>
      <c r="G1763" s="30" t="s">
        <v>8673</v>
      </c>
      <c r="H1763" s="30" t="s">
        <v>11416</v>
      </c>
    </row>
    <row r="1764" spans="1:8">
      <c r="A1764" s="30" t="s">
        <v>12564</v>
      </c>
      <c r="B1764" s="30"/>
      <c r="C1764" s="30" t="s">
        <v>8607</v>
      </c>
      <c r="D1764" s="30"/>
      <c r="E1764" s="30"/>
      <c r="F1764" s="30"/>
      <c r="G1764" s="30" t="s">
        <v>8726</v>
      </c>
      <c r="H1764" s="30" t="s">
        <v>12565</v>
      </c>
    </row>
    <row r="1765" spans="1:8">
      <c r="A1765" s="30" t="s">
        <v>12566</v>
      </c>
      <c r="B1765" s="30"/>
      <c r="C1765" s="30" t="s">
        <v>8607</v>
      </c>
      <c r="D1765" s="30"/>
      <c r="E1765" s="30"/>
      <c r="F1765" s="30"/>
      <c r="G1765" s="30" t="s">
        <v>8807</v>
      </c>
      <c r="H1765" s="30" t="s">
        <v>11279</v>
      </c>
    </row>
    <row r="1766" spans="1:8">
      <c r="A1766" s="30" t="s">
        <v>12567</v>
      </c>
      <c r="B1766" s="30"/>
      <c r="C1766" s="30"/>
      <c r="D1766" s="32"/>
      <c r="E1766" s="30"/>
      <c r="F1766" s="30"/>
      <c r="G1766" s="30"/>
      <c r="H1766" s="30" t="s">
        <v>10415</v>
      </c>
    </row>
    <row r="1767" spans="1:8">
      <c r="A1767" s="30" t="s">
        <v>12568</v>
      </c>
      <c r="B1767" s="30"/>
      <c r="C1767" s="30" t="s">
        <v>8607</v>
      </c>
      <c r="D1767" s="30"/>
      <c r="E1767" s="30"/>
      <c r="F1767" s="30"/>
      <c r="G1767" s="30"/>
      <c r="H1767" s="30" t="s">
        <v>10417</v>
      </c>
    </row>
    <row r="1768" spans="1:8">
      <c r="A1768" s="30" t="s">
        <v>12569</v>
      </c>
      <c r="B1768" s="30"/>
      <c r="C1768" s="30" t="s">
        <v>8626</v>
      </c>
      <c r="D1768" s="30" t="s">
        <v>10132</v>
      </c>
      <c r="E1768" s="30" t="s">
        <v>10419</v>
      </c>
      <c r="F1768" s="30" t="e">
        <v>#VALUE!</v>
      </c>
      <c r="G1768" s="30" t="s">
        <v>8975</v>
      </c>
      <c r="H1768" s="30" t="s">
        <v>10420</v>
      </c>
    </row>
    <row r="1769" spans="1:8">
      <c r="A1769" s="30" t="s">
        <v>12570</v>
      </c>
      <c r="B1769" s="30"/>
      <c r="C1769" s="30" t="s">
        <v>8626</v>
      </c>
      <c r="D1769" s="30" t="s">
        <v>12300</v>
      </c>
      <c r="E1769" s="30" t="s">
        <v>12571</v>
      </c>
      <c r="F1769" s="30" t="e">
        <v>#VALUE!</v>
      </c>
      <c r="G1769" s="30" t="s">
        <v>12302</v>
      </c>
      <c r="H1769" s="30" t="s">
        <v>12572</v>
      </c>
    </row>
    <row r="1770" spans="1:8">
      <c r="A1770" s="30" t="s">
        <v>12573</v>
      </c>
      <c r="B1770" s="30"/>
      <c r="C1770" s="30" t="s">
        <v>8626</v>
      </c>
      <c r="D1770" s="30" t="s">
        <v>12305</v>
      </c>
      <c r="E1770" s="30" t="s">
        <v>12574</v>
      </c>
      <c r="F1770" s="30" t="e">
        <v>#VALUE!</v>
      </c>
      <c r="G1770" s="30" t="s">
        <v>10451</v>
      </c>
      <c r="H1770" s="30" t="s">
        <v>12575</v>
      </c>
    </row>
    <row r="1771" spans="1:8">
      <c r="A1771" s="30" t="s">
        <v>12576</v>
      </c>
      <c r="B1771" s="30"/>
      <c r="C1771" s="30" t="s">
        <v>8607</v>
      </c>
      <c r="D1771" s="30" t="s">
        <v>8821</v>
      </c>
      <c r="E1771" s="30"/>
      <c r="F1771" s="30"/>
      <c r="G1771" s="30" t="s">
        <v>8737</v>
      </c>
      <c r="H1771" s="30" t="s">
        <v>11311</v>
      </c>
    </row>
    <row r="1772" spans="1:8">
      <c r="A1772" s="30" t="s">
        <v>12577</v>
      </c>
      <c r="B1772" s="30"/>
      <c r="C1772" s="30" t="s">
        <v>8607</v>
      </c>
      <c r="D1772" s="30" t="s">
        <v>8736</v>
      </c>
      <c r="E1772" s="30"/>
      <c r="F1772" s="30"/>
      <c r="G1772" s="30" t="s">
        <v>8737</v>
      </c>
      <c r="H1772" s="30" t="s">
        <v>11121</v>
      </c>
    </row>
    <row r="1773" spans="1:8">
      <c r="A1773" s="30" t="s">
        <v>12578</v>
      </c>
      <c r="B1773" s="30"/>
      <c r="C1773" s="30" t="s">
        <v>8607</v>
      </c>
      <c r="D1773" s="30" t="s">
        <v>12300</v>
      </c>
      <c r="E1773" s="30" t="s">
        <v>12579</v>
      </c>
      <c r="F1773" s="30" t="e">
        <v>#VALUE!</v>
      </c>
      <c r="G1773" s="30" t="s">
        <v>12302</v>
      </c>
      <c r="H1773" s="30" t="s">
        <v>12580</v>
      </c>
    </row>
    <row r="1774" spans="1:8">
      <c r="A1774" s="30" t="s">
        <v>12581</v>
      </c>
      <c r="B1774" s="30"/>
      <c r="C1774" s="30" t="s">
        <v>8626</v>
      </c>
      <c r="D1774" s="30"/>
      <c r="E1774" s="30" t="s">
        <v>11778</v>
      </c>
      <c r="F1774" s="30" t="e">
        <v>#VALUE!</v>
      </c>
      <c r="G1774" s="30" t="s">
        <v>10645</v>
      </c>
      <c r="H1774" s="30" t="s">
        <v>12582</v>
      </c>
    </row>
    <row r="1775" spans="1:8">
      <c r="A1775" s="30" t="s">
        <v>12583</v>
      </c>
      <c r="B1775" s="30"/>
      <c r="C1775" s="30" t="s">
        <v>8607</v>
      </c>
      <c r="D1775" s="30"/>
      <c r="E1775" s="30"/>
      <c r="F1775" s="30"/>
      <c r="G1775" s="30" t="s">
        <v>8774</v>
      </c>
      <c r="H1775" s="30" t="s">
        <v>10629</v>
      </c>
    </row>
    <row r="1776" spans="1:8">
      <c r="A1776" s="30" t="s">
        <v>12584</v>
      </c>
      <c r="B1776" s="30"/>
      <c r="C1776" s="30"/>
      <c r="D1776" s="32"/>
      <c r="E1776" s="30"/>
      <c r="F1776" s="30"/>
      <c r="G1776" s="30"/>
      <c r="H1776" s="30" t="s">
        <v>11787</v>
      </c>
    </row>
    <row r="1777" spans="1:8">
      <c r="A1777" s="30" t="s">
        <v>12585</v>
      </c>
      <c r="B1777" s="30"/>
      <c r="C1777" s="30" t="s">
        <v>8607</v>
      </c>
      <c r="D1777" s="30"/>
      <c r="E1777" s="30"/>
      <c r="F1777" s="30"/>
      <c r="G1777" s="30" t="s">
        <v>9935</v>
      </c>
      <c r="H1777" s="30" t="s">
        <v>12586</v>
      </c>
    </row>
    <row r="1778" spans="1:8">
      <c r="A1778" s="30" t="s">
        <v>12587</v>
      </c>
      <c r="B1778" s="30"/>
      <c r="C1778" s="30" t="s">
        <v>8626</v>
      </c>
      <c r="D1778" s="30" t="s">
        <v>12588</v>
      </c>
      <c r="E1778" s="30" t="s">
        <v>12589</v>
      </c>
      <c r="F1778" s="30" t="s">
        <v>8618</v>
      </c>
      <c r="G1778" s="30" t="s">
        <v>12590</v>
      </c>
      <c r="H1778" s="30" t="s">
        <v>12591</v>
      </c>
    </row>
    <row r="1779" spans="1:8">
      <c r="A1779" s="30" t="s">
        <v>12592</v>
      </c>
      <c r="B1779" s="30"/>
      <c r="C1779" s="30" t="s">
        <v>8607</v>
      </c>
      <c r="D1779" s="30" t="s">
        <v>8654</v>
      </c>
      <c r="E1779" s="30" t="s">
        <v>8655</v>
      </c>
      <c r="F1779" s="30" t="s">
        <v>8618</v>
      </c>
      <c r="G1779" s="30" t="s">
        <v>8656</v>
      </c>
      <c r="H1779" s="30" t="s">
        <v>10690</v>
      </c>
    </row>
    <row r="1780" spans="1:8">
      <c r="A1780" s="30" t="s">
        <v>12593</v>
      </c>
      <c r="B1780" s="30"/>
      <c r="C1780" s="30" t="s">
        <v>8626</v>
      </c>
      <c r="D1780" s="30" t="s">
        <v>10373</v>
      </c>
      <c r="E1780" s="30" t="s">
        <v>10374</v>
      </c>
      <c r="F1780" s="30" t="s">
        <v>8618</v>
      </c>
      <c r="G1780" s="30" t="s">
        <v>10234</v>
      </c>
      <c r="H1780" s="30" t="s">
        <v>12594</v>
      </c>
    </row>
    <row r="1781" spans="1:8">
      <c r="A1781" s="30" t="s">
        <v>12595</v>
      </c>
      <c r="B1781" s="30"/>
      <c r="C1781" s="30" t="s">
        <v>8607</v>
      </c>
      <c r="D1781" s="30"/>
      <c r="E1781" s="30"/>
      <c r="F1781" s="30"/>
      <c r="G1781" s="30"/>
      <c r="H1781" s="30" t="s">
        <v>11073</v>
      </c>
    </row>
    <row r="1782" spans="1:8">
      <c r="A1782" s="30" t="s">
        <v>12596</v>
      </c>
      <c r="B1782" s="30"/>
      <c r="C1782" s="30" t="s">
        <v>8626</v>
      </c>
      <c r="D1782" s="30" t="s">
        <v>11811</v>
      </c>
      <c r="E1782" s="30" t="s">
        <v>12597</v>
      </c>
      <c r="F1782" s="30" t="s">
        <v>8618</v>
      </c>
      <c r="G1782" s="30" t="s">
        <v>10234</v>
      </c>
      <c r="H1782" s="30" t="s">
        <v>12598</v>
      </c>
    </row>
    <row r="1783" spans="1:8">
      <c r="A1783" s="30" t="s">
        <v>12599</v>
      </c>
      <c r="B1783" s="30"/>
      <c r="C1783" s="30"/>
      <c r="D1783" s="32"/>
      <c r="E1783" s="30"/>
      <c r="F1783" s="30"/>
      <c r="G1783" s="30"/>
      <c r="H1783" s="30" t="s">
        <v>10337</v>
      </c>
    </row>
    <row r="1784" spans="1:8">
      <c r="A1784" s="30" t="s">
        <v>12600</v>
      </c>
      <c r="B1784" s="30"/>
      <c r="C1784" s="30" t="s">
        <v>8626</v>
      </c>
      <c r="D1784" s="30"/>
      <c r="E1784" s="30" t="s">
        <v>10214</v>
      </c>
      <c r="F1784" s="30" t="e">
        <v>#VALUE!</v>
      </c>
      <c r="G1784" s="30" t="s">
        <v>8714</v>
      </c>
      <c r="H1784" s="30" t="s">
        <v>10248</v>
      </c>
    </row>
    <row r="1785" spans="1:8">
      <c r="A1785" s="30" t="s">
        <v>12601</v>
      </c>
      <c r="B1785" s="30"/>
      <c r="C1785" s="30" t="s">
        <v>8607</v>
      </c>
      <c r="D1785" s="30" t="s">
        <v>8707</v>
      </c>
      <c r="E1785" s="30"/>
      <c r="F1785" s="30"/>
      <c r="G1785" s="30" t="s">
        <v>8708</v>
      </c>
      <c r="H1785" s="30" t="s">
        <v>10340</v>
      </c>
    </row>
    <row r="1786" spans="1:8">
      <c r="A1786" s="30" t="s">
        <v>12602</v>
      </c>
      <c r="B1786" s="30"/>
      <c r="C1786" s="30" t="s">
        <v>8626</v>
      </c>
      <c r="D1786" s="30"/>
      <c r="E1786" s="30"/>
      <c r="F1786" s="30"/>
      <c r="G1786" s="30"/>
      <c r="H1786" s="30" t="s">
        <v>12603</v>
      </c>
    </row>
    <row r="1787" spans="1:8">
      <c r="A1787" s="30" t="s">
        <v>12604</v>
      </c>
      <c r="B1787" s="30"/>
      <c r="C1787" s="30" t="s">
        <v>8607</v>
      </c>
      <c r="D1787" s="30"/>
      <c r="E1787" s="30"/>
      <c r="F1787" s="30"/>
      <c r="G1787" s="30" t="s">
        <v>12605</v>
      </c>
      <c r="H1787" s="30" t="s">
        <v>12606</v>
      </c>
    </row>
    <row r="1788" spans="1:8">
      <c r="A1788" s="30" t="s">
        <v>12607</v>
      </c>
      <c r="B1788" s="30"/>
      <c r="C1788" s="30" t="s">
        <v>8607</v>
      </c>
      <c r="D1788" s="30" t="s">
        <v>12608</v>
      </c>
      <c r="E1788" s="30" t="s">
        <v>12609</v>
      </c>
      <c r="F1788" s="30" t="s">
        <v>8672</v>
      </c>
      <c r="G1788" s="30" t="s">
        <v>10076</v>
      </c>
      <c r="H1788" s="30" t="s">
        <v>12610</v>
      </c>
    </row>
    <row r="1789" spans="1:8">
      <c r="A1789" s="30" t="s">
        <v>12611</v>
      </c>
      <c r="B1789" s="30"/>
      <c r="C1789" s="30" t="s">
        <v>8607</v>
      </c>
      <c r="D1789" s="30" t="s">
        <v>12612</v>
      </c>
      <c r="E1789" s="30" t="s">
        <v>12246</v>
      </c>
      <c r="F1789" s="30" t="s">
        <v>8618</v>
      </c>
      <c r="G1789" s="30" t="s">
        <v>10427</v>
      </c>
      <c r="H1789" s="30" t="s">
        <v>12613</v>
      </c>
    </row>
    <row r="1790" spans="1:8">
      <c r="A1790" s="30" t="s">
        <v>12614</v>
      </c>
      <c r="B1790" s="30"/>
      <c r="C1790" s="30" t="s">
        <v>8626</v>
      </c>
      <c r="D1790" s="30"/>
      <c r="E1790" s="30" t="s">
        <v>11623</v>
      </c>
      <c r="F1790" s="30" t="s">
        <v>8618</v>
      </c>
      <c r="G1790" s="30" t="s">
        <v>8623</v>
      </c>
      <c r="H1790" s="30" t="s">
        <v>12615</v>
      </c>
    </row>
    <row r="1791" spans="1:8">
      <c r="A1791" s="30" t="s">
        <v>12616</v>
      </c>
      <c r="B1791" s="30"/>
      <c r="C1791" s="30" t="s">
        <v>8607</v>
      </c>
      <c r="D1791" s="30" t="s">
        <v>10377</v>
      </c>
      <c r="E1791" s="30"/>
      <c r="F1791" s="30"/>
      <c r="G1791" s="30" t="s">
        <v>8737</v>
      </c>
      <c r="H1791" s="30" t="s">
        <v>10851</v>
      </c>
    </row>
    <row r="1792" spans="1:8">
      <c r="A1792" s="30" t="s">
        <v>12617</v>
      </c>
      <c r="B1792" s="30"/>
      <c r="C1792" s="30" t="s">
        <v>8607</v>
      </c>
      <c r="D1792" s="30" t="s">
        <v>12618</v>
      </c>
      <c r="E1792" s="30" t="s">
        <v>9534</v>
      </c>
      <c r="F1792" s="30" t="s">
        <v>8618</v>
      </c>
      <c r="G1792" s="30" t="s">
        <v>9535</v>
      </c>
      <c r="H1792" s="30" t="s">
        <v>9536</v>
      </c>
    </row>
    <row r="1793" spans="1:8">
      <c r="A1793" s="30" t="s">
        <v>12619</v>
      </c>
      <c r="B1793" s="30"/>
      <c r="C1793" s="30"/>
      <c r="D1793" s="32"/>
      <c r="E1793" s="30"/>
      <c r="F1793" s="30"/>
      <c r="G1793" s="30"/>
      <c r="H1793" s="30" t="s">
        <v>12620</v>
      </c>
    </row>
    <row r="1794" spans="1:8">
      <c r="A1794" s="30" t="s">
        <v>12621</v>
      </c>
      <c r="B1794" s="30"/>
      <c r="C1794" s="30" t="s">
        <v>8607</v>
      </c>
      <c r="D1794" s="30"/>
      <c r="E1794" s="30"/>
      <c r="F1794" s="30"/>
      <c r="G1794" s="30"/>
      <c r="H1794" s="30" t="s">
        <v>10642</v>
      </c>
    </row>
    <row r="1795" spans="1:8">
      <c r="A1795" s="30" t="s">
        <v>12622</v>
      </c>
      <c r="B1795" s="30"/>
      <c r="C1795" s="30" t="s">
        <v>8626</v>
      </c>
      <c r="D1795" s="30"/>
      <c r="E1795" s="30"/>
      <c r="F1795" s="30"/>
      <c r="G1795" s="30" t="s">
        <v>10138</v>
      </c>
      <c r="H1795" s="30" t="s">
        <v>12623</v>
      </c>
    </row>
    <row r="1796" spans="1:8">
      <c r="A1796" s="30" t="s">
        <v>12624</v>
      </c>
      <c r="B1796" s="30"/>
      <c r="C1796" s="30" t="s">
        <v>8607</v>
      </c>
      <c r="D1796" s="30" t="s">
        <v>11150</v>
      </c>
      <c r="E1796" s="30"/>
      <c r="F1796" s="30"/>
      <c r="G1796" s="30" t="s">
        <v>11151</v>
      </c>
      <c r="H1796" s="30" t="s">
        <v>12625</v>
      </c>
    </row>
    <row r="1797" spans="1:8">
      <c r="A1797" s="30" t="s">
        <v>12626</v>
      </c>
      <c r="B1797" s="30"/>
      <c r="C1797" s="30" t="s">
        <v>8626</v>
      </c>
      <c r="D1797" s="30"/>
      <c r="E1797" s="30"/>
      <c r="F1797" s="30"/>
      <c r="G1797" s="30" t="s">
        <v>8678</v>
      </c>
      <c r="H1797" s="30" t="s">
        <v>12627</v>
      </c>
    </row>
    <row r="1798" spans="1:8">
      <c r="A1798" s="30" t="s">
        <v>12628</v>
      </c>
      <c r="B1798" s="30"/>
      <c r="C1798" s="30" t="s">
        <v>8607</v>
      </c>
      <c r="D1798" s="30"/>
      <c r="E1798" s="30"/>
      <c r="F1798" s="30"/>
      <c r="G1798" s="30" t="s">
        <v>8678</v>
      </c>
      <c r="H1798" s="30" t="s">
        <v>10500</v>
      </c>
    </row>
    <row r="1799" spans="1:8">
      <c r="A1799" s="30" t="s">
        <v>12629</v>
      </c>
      <c r="B1799" s="30"/>
      <c r="C1799" s="30" t="s">
        <v>8607</v>
      </c>
      <c r="D1799" s="30" t="s">
        <v>11150</v>
      </c>
      <c r="E1799" s="30"/>
      <c r="F1799" s="30"/>
      <c r="G1799" s="30" t="s">
        <v>11151</v>
      </c>
      <c r="H1799" s="30" t="s">
        <v>12625</v>
      </c>
    </row>
    <row r="1800" spans="1:8">
      <c r="A1800" s="30" t="s">
        <v>12630</v>
      </c>
      <c r="B1800" s="30"/>
      <c r="C1800" s="30" t="s">
        <v>8607</v>
      </c>
      <c r="D1800" s="30"/>
      <c r="E1800" s="30"/>
      <c r="F1800" s="30"/>
      <c r="G1800" s="30" t="s">
        <v>8678</v>
      </c>
      <c r="H1800" s="30" t="s">
        <v>10500</v>
      </c>
    </row>
    <row r="1801" spans="1:8">
      <c r="A1801" s="30" t="s">
        <v>12631</v>
      </c>
      <c r="B1801" s="30"/>
      <c r="C1801" s="30" t="s">
        <v>8607</v>
      </c>
      <c r="D1801" s="30"/>
      <c r="E1801" s="30"/>
      <c r="F1801" s="30"/>
      <c r="G1801" s="30" t="s">
        <v>8678</v>
      </c>
      <c r="H1801" s="30" t="s">
        <v>10500</v>
      </c>
    </row>
    <row r="1802" spans="1:8">
      <c r="A1802" s="30" t="s">
        <v>12632</v>
      </c>
      <c r="B1802" s="30"/>
      <c r="C1802" s="30" t="s">
        <v>8626</v>
      </c>
      <c r="D1802" s="30"/>
      <c r="E1802" s="30"/>
      <c r="F1802" s="30"/>
      <c r="G1802" s="30" t="s">
        <v>8714</v>
      </c>
      <c r="H1802" s="30" t="s">
        <v>10305</v>
      </c>
    </row>
    <row r="1803" spans="1:8">
      <c r="A1803" s="30" t="s">
        <v>12633</v>
      </c>
      <c r="B1803" s="30"/>
      <c r="C1803" s="30" t="s">
        <v>8607</v>
      </c>
      <c r="D1803" s="30"/>
      <c r="E1803" s="30" t="s">
        <v>12634</v>
      </c>
      <c r="F1803" s="30" t="e">
        <v>#VALUE!</v>
      </c>
      <c r="G1803" s="30" t="s">
        <v>8637</v>
      </c>
      <c r="H1803" s="30" t="s">
        <v>8638</v>
      </c>
    </row>
    <row r="1804" spans="1:8">
      <c r="A1804" s="30" t="s">
        <v>12635</v>
      </c>
      <c r="B1804" s="30"/>
      <c r="C1804" s="30" t="s">
        <v>8607</v>
      </c>
      <c r="D1804" s="30" t="s">
        <v>8632</v>
      </c>
      <c r="E1804" s="30"/>
      <c r="F1804" s="30"/>
      <c r="G1804" s="30" t="s">
        <v>8633</v>
      </c>
      <c r="H1804" s="30" t="s">
        <v>8790</v>
      </c>
    </row>
    <row r="1805" spans="1:8">
      <c r="A1805" s="30" t="s">
        <v>12636</v>
      </c>
      <c r="B1805" s="30"/>
      <c r="C1805" s="30"/>
      <c r="D1805" s="32" t="s">
        <v>12637</v>
      </c>
      <c r="E1805" s="30" t="s">
        <v>8641</v>
      </c>
      <c r="F1805" s="30" t="s">
        <v>8642</v>
      </c>
      <c r="G1805" s="30"/>
      <c r="H1805" s="30" t="s">
        <v>12638</v>
      </c>
    </row>
    <row r="1806" spans="1:8">
      <c r="A1806" s="30" t="s">
        <v>12639</v>
      </c>
      <c r="B1806" s="30"/>
      <c r="C1806" s="30" t="s">
        <v>8626</v>
      </c>
      <c r="D1806" s="30" t="s">
        <v>12640</v>
      </c>
      <c r="E1806" s="30" t="s">
        <v>12641</v>
      </c>
      <c r="F1806" s="30" t="s">
        <v>8672</v>
      </c>
      <c r="G1806" s="30" t="s">
        <v>10076</v>
      </c>
      <c r="H1806" s="30" t="s">
        <v>12642</v>
      </c>
    </row>
    <row r="1807" spans="1:8">
      <c r="A1807" s="30" t="s">
        <v>12643</v>
      </c>
      <c r="B1807" s="30"/>
      <c r="C1807" s="30"/>
      <c r="D1807" s="32"/>
      <c r="E1807" s="30"/>
      <c r="F1807" s="30"/>
      <c r="G1807" s="30"/>
      <c r="H1807" s="30" t="s">
        <v>12644</v>
      </c>
    </row>
    <row r="1808" spans="1:8">
      <c r="A1808" s="30" t="s">
        <v>12645</v>
      </c>
      <c r="B1808" s="30"/>
      <c r="C1808" s="30" t="s">
        <v>8607</v>
      </c>
      <c r="D1808" s="30" t="s">
        <v>9799</v>
      </c>
      <c r="E1808" s="30"/>
      <c r="F1808" s="30"/>
      <c r="G1808" s="30" t="s">
        <v>8695</v>
      </c>
      <c r="H1808" s="30" t="s">
        <v>11370</v>
      </c>
    </row>
    <row r="1809" spans="1:8">
      <c r="A1809" s="30" t="s">
        <v>12646</v>
      </c>
      <c r="B1809" s="30"/>
      <c r="C1809" s="30" t="s">
        <v>8607</v>
      </c>
      <c r="D1809" s="30"/>
      <c r="E1809" s="30"/>
      <c r="F1809" s="30"/>
      <c r="G1809" s="30" t="s">
        <v>8908</v>
      </c>
      <c r="H1809" s="30" t="s">
        <v>12647</v>
      </c>
    </row>
    <row r="1810" spans="1:8">
      <c r="A1810" s="30" t="s">
        <v>12648</v>
      </c>
      <c r="B1810" s="30"/>
      <c r="C1810" s="30" t="s">
        <v>8607</v>
      </c>
      <c r="D1810" s="30"/>
      <c r="E1810" s="30"/>
      <c r="F1810" s="30"/>
      <c r="G1810" s="30" t="s">
        <v>8743</v>
      </c>
      <c r="H1810" s="30" t="s">
        <v>8744</v>
      </c>
    </row>
    <row r="1811" spans="1:8">
      <c r="A1811" s="30" t="s">
        <v>12649</v>
      </c>
      <c r="B1811" s="30"/>
      <c r="C1811" s="30" t="s">
        <v>8626</v>
      </c>
      <c r="D1811" s="30" t="s">
        <v>8740</v>
      </c>
      <c r="E1811" s="30" t="s">
        <v>8868</v>
      </c>
      <c r="F1811" s="30" t="e">
        <v>#VALUE!</v>
      </c>
      <c r="G1811" s="30" t="s">
        <v>10958</v>
      </c>
      <c r="H1811" s="30" t="s">
        <v>8741</v>
      </c>
    </row>
    <row r="1812" spans="1:8">
      <c r="A1812" s="30" t="s">
        <v>12650</v>
      </c>
      <c r="B1812" s="30"/>
      <c r="C1812" s="30" t="s">
        <v>8626</v>
      </c>
      <c r="D1812" s="30" t="s">
        <v>12651</v>
      </c>
      <c r="E1812" s="30" t="s">
        <v>12652</v>
      </c>
      <c r="F1812" s="30" t="s">
        <v>8618</v>
      </c>
      <c r="G1812" s="30" t="s">
        <v>8858</v>
      </c>
      <c r="H1812" s="30" t="s">
        <v>12653</v>
      </c>
    </row>
    <row r="1813" spans="1:8">
      <c r="A1813" s="30" t="s">
        <v>12654</v>
      </c>
      <c r="B1813" s="30"/>
      <c r="C1813" s="30" t="s">
        <v>8626</v>
      </c>
      <c r="D1813" s="30"/>
      <c r="E1813" s="30"/>
      <c r="F1813" s="30"/>
      <c r="G1813" s="30" t="s">
        <v>8729</v>
      </c>
      <c r="H1813" s="30" t="s">
        <v>12655</v>
      </c>
    </row>
    <row r="1814" spans="1:8">
      <c r="A1814" s="30" t="s">
        <v>12656</v>
      </c>
      <c r="B1814" s="30"/>
      <c r="C1814" s="30" t="s">
        <v>8607</v>
      </c>
      <c r="D1814" s="30"/>
      <c r="E1814" s="30" t="s">
        <v>10499</v>
      </c>
      <c r="F1814" s="30" t="e">
        <v>#VALUE!</v>
      </c>
      <c r="G1814" s="30" t="s">
        <v>8678</v>
      </c>
      <c r="H1814" s="30" t="s">
        <v>10500</v>
      </c>
    </row>
    <row r="1815" spans="1:8">
      <c r="A1815" s="30" t="s">
        <v>12657</v>
      </c>
      <c r="B1815" s="30"/>
      <c r="C1815" s="30" t="s">
        <v>8607</v>
      </c>
      <c r="D1815" s="30"/>
      <c r="E1815" s="30"/>
      <c r="F1815" s="30"/>
      <c r="G1815" s="30" t="s">
        <v>8681</v>
      </c>
      <c r="H1815" s="30" t="s">
        <v>11738</v>
      </c>
    </row>
    <row r="1816" spans="1:8">
      <c r="A1816" s="30" t="s">
        <v>12658</v>
      </c>
      <c r="B1816" s="30"/>
      <c r="C1816" s="30" t="s">
        <v>8607</v>
      </c>
      <c r="D1816" s="30" t="s">
        <v>9178</v>
      </c>
      <c r="E1816" s="30"/>
      <c r="F1816" s="30"/>
      <c r="G1816" s="30" t="s">
        <v>9002</v>
      </c>
      <c r="H1816" s="30" t="s">
        <v>12659</v>
      </c>
    </row>
    <row r="1817" spans="1:8">
      <c r="A1817" s="30" t="s">
        <v>12660</v>
      </c>
      <c r="B1817" s="30"/>
      <c r="C1817" s="30" t="s">
        <v>8626</v>
      </c>
      <c r="D1817" s="30" t="s">
        <v>12661</v>
      </c>
      <c r="E1817" s="30" t="s">
        <v>12662</v>
      </c>
      <c r="F1817" s="30" t="e">
        <v>#VALUE!</v>
      </c>
      <c r="G1817" s="30" t="s">
        <v>9145</v>
      </c>
      <c r="H1817" s="30" t="s">
        <v>12663</v>
      </c>
    </row>
    <row r="1818" spans="1:8">
      <c r="A1818" s="30" t="s">
        <v>12664</v>
      </c>
      <c r="B1818" s="30"/>
      <c r="C1818" s="30" t="s">
        <v>8607</v>
      </c>
      <c r="D1818" s="30"/>
      <c r="E1818" s="30"/>
      <c r="F1818" s="30"/>
      <c r="G1818" s="30"/>
      <c r="H1818" s="30" t="s">
        <v>10979</v>
      </c>
    </row>
    <row r="1819" spans="1:8">
      <c r="A1819" s="30" t="s">
        <v>12665</v>
      </c>
      <c r="B1819" s="30"/>
      <c r="C1819" s="30" t="s">
        <v>8607</v>
      </c>
      <c r="D1819" s="30"/>
      <c r="E1819" s="30"/>
      <c r="F1819" s="30"/>
      <c r="G1819" s="30" t="s">
        <v>10576</v>
      </c>
      <c r="H1819" s="30" t="s">
        <v>12666</v>
      </c>
    </row>
    <row r="1820" spans="1:8">
      <c r="A1820" s="30" t="s">
        <v>12667</v>
      </c>
      <c r="B1820" s="30"/>
      <c r="C1820" s="30" t="s">
        <v>8607</v>
      </c>
      <c r="D1820" s="30" t="s">
        <v>8770</v>
      </c>
      <c r="E1820" s="30" t="s">
        <v>8771</v>
      </c>
      <c r="F1820" s="30" t="s">
        <v>8672</v>
      </c>
      <c r="G1820" s="30" t="s">
        <v>8659</v>
      </c>
      <c r="H1820" s="30" t="s">
        <v>10883</v>
      </c>
    </row>
    <row r="1821" spans="1:8">
      <c r="A1821" s="30" t="s">
        <v>12668</v>
      </c>
      <c r="B1821" s="30"/>
      <c r="C1821" s="30" t="s">
        <v>8607</v>
      </c>
      <c r="D1821" s="30"/>
      <c r="E1821" s="30"/>
      <c r="F1821" s="30"/>
      <c r="G1821" s="30" t="s">
        <v>8908</v>
      </c>
      <c r="H1821" s="30" t="s">
        <v>8909</v>
      </c>
    </row>
    <row r="1822" spans="1:8">
      <c r="A1822" s="30" t="s">
        <v>12669</v>
      </c>
      <c r="B1822" s="30"/>
      <c r="C1822" s="30" t="s">
        <v>8626</v>
      </c>
      <c r="D1822" s="30" t="s">
        <v>10961</v>
      </c>
      <c r="E1822" s="30" t="s">
        <v>11563</v>
      </c>
      <c r="F1822" s="30" t="s">
        <v>8618</v>
      </c>
      <c r="G1822" s="30" t="s">
        <v>9672</v>
      </c>
      <c r="H1822" s="30" t="s">
        <v>10963</v>
      </c>
    </row>
    <row r="1823" spans="1:8">
      <c r="A1823" s="30" t="s">
        <v>12670</v>
      </c>
      <c r="B1823" s="30"/>
      <c r="C1823" s="30" t="s">
        <v>8607</v>
      </c>
      <c r="D1823" s="30"/>
      <c r="E1823" s="30"/>
      <c r="F1823" s="30"/>
      <c r="G1823" s="30" t="s">
        <v>10668</v>
      </c>
      <c r="H1823" s="30" t="s">
        <v>10968</v>
      </c>
    </row>
    <row r="1824" spans="1:8">
      <c r="A1824" s="30" t="s">
        <v>12671</v>
      </c>
      <c r="B1824" s="30"/>
      <c r="C1824" s="30" t="s">
        <v>8607</v>
      </c>
      <c r="D1824" s="30" t="s">
        <v>8883</v>
      </c>
      <c r="E1824" s="30" t="s">
        <v>8884</v>
      </c>
      <c r="F1824" s="30" t="s">
        <v>8672</v>
      </c>
      <c r="G1824" s="30" t="s">
        <v>8885</v>
      </c>
      <c r="H1824" s="30" t="s">
        <v>8886</v>
      </c>
    </row>
    <row r="1825" spans="1:8">
      <c r="A1825" s="30" t="s">
        <v>12672</v>
      </c>
      <c r="B1825" s="30"/>
      <c r="C1825" s="30" t="s">
        <v>8626</v>
      </c>
      <c r="D1825" s="30" t="s">
        <v>12661</v>
      </c>
      <c r="E1825" s="30" t="s">
        <v>12662</v>
      </c>
      <c r="F1825" s="30" t="e">
        <v>#VALUE!</v>
      </c>
      <c r="G1825" s="30" t="s">
        <v>9145</v>
      </c>
      <c r="H1825" s="30" t="s">
        <v>12663</v>
      </c>
    </row>
    <row r="1826" spans="1:8">
      <c r="A1826" s="30" t="s">
        <v>12673</v>
      </c>
      <c r="B1826" s="30"/>
      <c r="C1826" s="30" t="s">
        <v>8607</v>
      </c>
      <c r="D1826" s="30"/>
      <c r="E1826" s="30"/>
      <c r="F1826" s="30"/>
      <c r="G1826" s="30"/>
      <c r="H1826" s="30" t="s">
        <v>10979</v>
      </c>
    </row>
    <row r="1827" spans="1:8">
      <c r="A1827" s="30" t="s">
        <v>12674</v>
      </c>
      <c r="B1827" s="30"/>
      <c r="C1827" s="30" t="s">
        <v>8607</v>
      </c>
      <c r="D1827" s="30"/>
      <c r="E1827" s="30"/>
      <c r="F1827" s="30"/>
      <c r="G1827" s="30" t="s">
        <v>10576</v>
      </c>
      <c r="H1827" s="30" t="s">
        <v>12666</v>
      </c>
    </row>
    <row r="1828" spans="1:8">
      <c r="A1828" s="30" t="s">
        <v>12675</v>
      </c>
      <c r="B1828" s="30"/>
      <c r="C1828" s="30" t="s">
        <v>8607</v>
      </c>
      <c r="D1828" s="30" t="s">
        <v>8770</v>
      </c>
      <c r="E1828" s="30" t="s">
        <v>8771</v>
      </c>
      <c r="F1828" s="30" t="s">
        <v>8672</v>
      </c>
      <c r="G1828" s="30" t="s">
        <v>8659</v>
      </c>
      <c r="H1828" s="30" t="s">
        <v>12676</v>
      </c>
    </row>
    <row r="1829" spans="1:8">
      <c r="A1829" s="30" t="s">
        <v>12677</v>
      </c>
      <c r="B1829" s="30"/>
      <c r="C1829" s="30" t="s">
        <v>8626</v>
      </c>
      <c r="D1829" s="30"/>
      <c r="E1829" s="30"/>
      <c r="F1829" s="30"/>
      <c r="G1829" s="30" t="s">
        <v>8623</v>
      </c>
      <c r="H1829" s="30" t="s">
        <v>12678</v>
      </c>
    </row>
    <row r="1830" spans="1:8">
      <c r="A1830" s="30" t="s">
        <v>12679</v>
      </c>
      <c r="B1830" s="30"/>
      <c r="C1830" s="30" t="s">
        <v>8607</v>
      </c>
      <c r="D1830" s="30" t="s">
        <v>8654</v>
      </c>
      <c r="E1830" s="30" t="s">
        <v>8655</v>
      </c>
      <c r="F1830" s="30" t="s">
        <v>8618</v>
      </c>
      <c r="G1830" s="30" t="s">
        <v>8656</v>
      </c>
      <c r="H1830" s="30" t="s">
        <v>10881</v>
      </c>
    </row>
    <row r="1831" spans="1:8">
      <c r="A1831" s="30" t="s">
        <v>12680</v>
      </c>
      <c r="B1831" s="30"/>
      <c r="C1831" s="30" t="s">
        <v>8607</v>
      </c>
      <c r="D1831" s="30" t="s">
        <v>8666</v>
      </c>
      <c r="E1831" s="30"/>
      <c r="F1831" s="30"/>
      <c r="G1831" s="30" t="s">
        <v>8667</v>
      </c>
      <c r="H1831" s="30" t="s">
        <v>12681</v>
      </c>
    </row>
    <row r="1832" spans="1:8">
      <c r="A1832" s="30" t="s">
        <v>12682</v>
      </c>
      <c r="B1832" s="30"/>
      <c r="C1832" s="30" t="s">
        <v>8607</v>
      </c>
      <c r="D1832" s="30" t="s">
        <v>8941</v>
      </c>
      <c r="E1832" s="30" t="s">
        <v>8942</v>
      </c>
      <c r="F1832" s="30" t="s">
        <v>8618</v>
      </c>
      <c r="G1832" s="30" t="s">
        <v>8943</v>
      </c>
      <c r="H1832" s="30" t="s">
        <v>10708</v>
      </c>
    </row>
    <row r="1833" spans="1:8">
      <c r="A1833" s="30" t="s">
        <v>12683</v>
      </c>
      <c r="B1833" s="30"/>
      <c r="C1833" s="30" t="s">
        <v>8607</v>
      </c>
      <c r="D1833" s="30"/>
      <c r="E1833" s="30"/>
      <c r="F1833" s="30"/>
      <c r="G1833" s="30" t="s">
        <v>10395</v>
      </c>
      <c r="H1833" s="30" t="s">
        <v>10781</v>
      </c>
    </row>
    <row r="1834" spans="1:8">
      <c r="A1834" s="30" t="s">
        <v>12684</v>
      </c>
      <c r="B1834" s="30"/>
      <c r="C1834" s="30" t="s">
        <v>8607</v>
      </c>
      <c r="D1834" s="30" t="s">
        <v>12293</v>
      </c>
      <c r="E1834" s="30"/>
      <c r="F1834" s="30"/>
      <c r="G1834" s="30" t="s">
        <v>8667</v>
      </c>
      <c r="H1834" s="30" t="s">
        <v>12368</v>
      </c>
    </row>
    <row r="1835" spans="1:8">
      <c r="A1835" s="30" t="s">
        <v>12685</v>
      </c>
      <c r="B1835" s="30"/>
      <c r="C1835" s="30"/>
      <c r="D1835" s="32"/>
      <c r="E1835" s="30"/>
      <c r="F1835" s="30"/>
      <c r="G1835" s="30"/>
      <c r="H1835" s="30" t="s">
        <v>12686</v>
      </c>
    </row>
    <row r="1836" spans="1:8">
      <c r="A1836" s="30" t="s">
        <v>12687</v>
      </c>
      <c r="B1836" s="30"/>
      <c r="C1836" s="30" t="s">
        <v>8607</v>
      </c>
      <c r="D1836" s="30" t="s">
        <v>8654</v>
      </c>
      <c r="E1836" s="30" t="s">
        <v>8655</v>
      </c>
      <c r="F1836" s="30" t="s">
        <v>8618</v>
      </c>
      <c r="G1836" s="30" t="s">
        <v>8656</v>
      </c>
      <c r="H1836" s="30" t="s">
        <v>12688</v>
      </c>
    </row>
    <row r="1837" spans="1:8">
      <c r="A1837" s="30" t="s">
        <v>12689</v>
      </c>
      <c r="B1837" s="30"/>
      <c r="C1837" s="30" t="s">
        <v>8607</v>
      </c>
      <c r="D1837" s="30"/>
      <c r="E1837" s="30"/>
      <c r="F1837" s="30"/>
      <c r="G1837" s="30"/>
      <c r="H1837" s="30" t="s">
        <v>10979</v>
      </c>
    </row>
    <row r="1838" spans="1:8">
      <c r="A1838" s="30" t="s">
        <v>12690</v>
      </c>
      <c r="B1838" s="30"/>
      <c r="C1838" s="30" t="s">
        <v>8626</v>
      </c>
      <c r="D1838" s="30" t="s">
        <v>12691</v>
      </c>
      <c r="E1838" s="30" t="s">
        <v>10723</v>
      </c>
      <c r="F1838" s="30" t="e">
        <v>#VALUE!</v>
      </c>
      <c r="G1838" s="30" t="s">
        <v>9145</v>
      </c>
      <c r="H1838" s="30" t="s">
        <v>12692</v>
      </c>
    </row>
    <row r="1839" spans="1:8">
      <c r="A1839" s="30" t="s">
        <v>12693</v>
      </c>
      <c r="B1839" s="30"/>
      <c r="C1839" s="30" t="s">
        <v>8607</v>
      </c>
      <c r="D1839" s="30"/>
      <c r="E1839" s="30"/>
      <c r="F1839" s="30"/>
      <c r="G1839" s="30" t="s">
        <v>10197</v>
      </c>
      <c r="H1839" s="30" t="s">
        <v>10198</v>
      </c>
    </row>
    <row r="1840" spans="1:8">
      <c r="A1840" s="30" t="s">
        <v>12694</v>
      </c>
      <c r="B1840" s="30"/>
      <c r="C1840" s="30" t="s">
        <v>8607</v>
      </c>
      <c r="D1840" s="30"/>
      <c r="E1840" s="30"/>
      <c r="F1840" s="30"/>
      <c r="G1840" s="30" t="s">
        <v>8646</v>
      </c>
      <c r="H1840" s="30" t="s">
        <v>11164</v>
      </c>
    </row>
    <row r="1841" spans="1:8">
      <c r="A1841" s="30" t="s">
        <v>12695</v>
      </c>
      <c r="B1841" s="30"/>
      <c r="C1841" s="30" t="s">
        <v>8607</v>
      </c>
      <c r="D1841" s="30" t="s">
        <v>10434</v>
      </c>
      <c r="E1841" s="30"/>
      <c r="F1841" s="30"/>
      <c r="G1841" s="30" t="s">
        <v>8649</v>
      </c>
      <c r="H1841" s="30" t="s">
        <v>10485</v>
      </c>
    </row>
    <row r="1842" spans="1:8">
      <c r="A1842" s="30" t="s">
        <v>12696</v>
      </c>
      <c r="B1842" s="30"/>
      <c r="C1842" s="30" t="s">
        <v>8607</v>
      </c>
      <c r="D1842" s="30"/>
      <c r="E1842" s="30" t="s">
        <v>10200</v>
      </c>
      <c r="F1842" s="30" t="e">
        <v>#VALUE!</v>
      </c>
      <c r="G1842" s="30" t="s">
        <v>8678</v>
      </c>
      <c r="H1842" s="30" t="s">
        <v>11160</v>
      </c>
    </row>
    <row r="1843" spans="1:8">
      <c r="A1843" s="30" t="s">
        <v>12697</v>
      </c>
      <c r="B1843" s="30"/>
      <c r="C1843" s="30" t="s">
        <v>8607</v>
      </c>
      <c r="D1843" s="30" t="s">
        <v>10907</v>
      </c>
      <c r="E1843" s="30" t="s">
        <v>8850</v>
      </c>
      <c r="F1843" s="30" t="s">
        <v>8672</v>
      </c>
      <c r="G1843" s="30" t="s">
        <v>8851</v>
      </c>
      <c r="H1843" s="30" t="s">
        <v>10777</v>
      </c>
    </row>
    <row r="1844" spans="1:8">
      <c r="A1844" s="30" t="s">
        <v>12698</v>
      </c>
      <c r="B1844" s="30"/>
      <c r="C1844" s="30" t="s">
        <v>8607</v>
      </c>
      <c r="D1844" s="30"/>
      <c r="E1844" s="30"/>
      <c r="F1844" s="30"/>
      <c r="G1844" s="30"/>
      <c r="H1844" s="30" t="s">
        <v>12699</v>
      </c>
    </row>
    <row r="1845" spans="1:8">
      <c r="A1845" s="30" t="s">
        <v>12700</v>
      </c>
      <c r="B1845" s="30"/>
      <c r="C1845" s="30" t="s">
        <v>8607</v>
      </c>
      <c r="D1845" s="30" t="s">
        <v>10907</v>
      </c>
      <c r="E1845" s="30" t="s">
        <v>8850</v>
      </c>
      <c r="F1845" s="30" t="s">
        <v>8672</v>
      </c>
      <c r="G1845" s="30" t="s">
        <v>8851</v>
      </c>
      <c r="H1845" s="30" t="s">
        <v>10567</v>
      </c>
    </row>
    <row r="1846" spans="1:8">
      <c r="A1846" s="30" t="s">
        <v>12701</v>
      </c>
      <c r="B1846" s="30"/>
      <c r="C1846" s="30" t="s">
        <v>8626</v>
      </c>
      <c r="D1846" s="30" t="s">
        <v>9390</v>
      </c>
      <c r="E1846" s="30" t="s">
        <v>12509</v>
      </c>
      <c r="F1846" s="30" t="s">
        <v>8618</v>
      </c>
      <c r="G1846" s="30" t="s">
        <v>10234</v>
      </c>
      <c r="H1846" s="30" t="s">
        <v>11254</v>
      </c>
    </row>
    <row r="1847" spans="1:8">
      <c r="A1847" s="30" t="s">
        <v>12702</v>
      </c>
      <c r="B1847" s="30"/>
      <c r="C1847" s="30" t="s">
        <v>8626</v>
      </c>
      <c r="D1847" s="30"/>
      <c r="E1847" s="30"/>
      <c r="F1847" s="30"/>
      <c r="G1847" s="30" t="s">
        <v>10648</v>
      </c>
      <c r="H1847" s="30" t="s">
        <v>10649</v>
      </c>
    </row>
    <row r="1848" spans="1:8">
      <c r="A1848" s="30" t="s">
        <v>12703</v>
      </c>
      <c r="B1848" s="30"/>
      <c r="C1848" s="30" t="s">
        <v>8607</v>
      </c>
      <c r="D1848" s="30" t="s">
        <v>12704</v>
      </c>
      <c r="E1848" s="30"/>
      <c r="F1848" s="30"/>
      <c r="G1848" s="30" t="s">
        <v>8900</v>
      </c>
      <c r="H1848" s="30" t="s">
        <v>12705</v>
      </c>
    </row>
    <row r="1849" spans="1:8">
      <c r="A1849" s="30" t="s">
        <v>12706</v>
      </c>
      <c r="B1849" s="30"/>
      <c r="C1849" s="30" t="s">
        <v>8607</v>
      </c>
      <c r="D1849" s="30"/>
      <c r="E1849" s="30"/>
      <c r="F1849" s="30"/>
      <c r="G1849" s="30"/>
      <c r="H1849" s="30" t="s">
        <v>11554</v>
      </c>
    </row>
    <row r="1850" spans="1:8">
      <c r="A1850" s="30" t="s">
        <v>12707</v>
      </c>
      <c r="B1850" s="30"/>
      <c r="C1850" s="30" t="s">
        <v>8626</v>
      </c>
      <c r="D1850" s="30" t="s">
        <v>12708</v>
      </c>
      <c r="E1850" s="30" t="s">
        <v>12709</v>
      </c>
      <c r="F1850" s="30" t="s">
        <v>8618</v>
      </c>
      <c r="G1850" s="30" t="s">
        <v>10234</v>
      </c>
      <c r="H1850" s="30" t="s">
        <v>12710</v>
      </c>
    </row>
    <row r="1851" spans="1:8">
      <c r="A1851" s="30" t="s">
        <v>12711</v>
      </c>
      <c r="B1851" s="30"/>
      <c r="C1851" s="30" t="s">
        <v>8607</v>
      </c>
      <c r="D1851" s="30" t="s">
        <v>8968</v>
      </c>
      <c r="E1851" s="30"/>
      <c r="F1851" s="30"/>
      <c r="G1851" s="30" t="s">
        <v>8774</v>
      </c>
      <c r="H1851" s="30" t="s">
        <v>12712</v>
      </c>
    </row>
    <row r="1852" spans="1:8">
      <c r="A1852" s="30" t="s">
        <v>12713</v>
      </c>
      <c r="B1852" s="30"/>
      <c r="C1852" s="30" t="s">
        <v>8607</v>
      </c>
      <c r="D1852" s="30" t="s">
        <v>9546</v>
      </c>
      <c r="E1852" s="30" t="s">
        <v>9547</v>
      </c>
      <c r="F1852" s="30" t="s">
        <v>8672</v>
      </c>
      <c r="G1852" s="30" t="s">
        <v>9366</v>
      </c>
      <c r="H1852" s="30" t="s">
        <v>12714</v>
      </c>
    </row>
    <row r="1853" spans="1:8">
      <c r="A1853" s="30" t="s">
        <v>12715</v>
      </c>
      <c r="B1853" s="30"/>
      <c r="C1853" s="30" t="s">
        <v>8607</v>
      </c>
      <c r="D1853" s="30"/>
      <c r="E1853" s="30"/>
      <c r="F1853" s="30"/>
      <c r="G1853" s="30" t="s">
        <v>10395</v>
      </c>
      <c r="H1853" s="30" t="s">
        <v>12716</v>
      </c>
    </row>
    <row r="1854" spans="1:8">
      <c r="A1854" s="30" t="s">
        <v>12717</v>
      </c>
      <c r="B1854" s="30"/>
      <c r="C1854" s="30" t="s">
        <v>8607</v>
      </c>
      <c r="D1854" s="30" t="s">
        <v>12718</v>
      </c>
      <c r="E1854" s="30" t="s">
        <v>10405</v>
      </c>
      <c r="F1854" s="30" t="s">
        <v>8618</v>
      </c>
      <c r="G1854" s="30" t="s">
        <v>8943</v>
      </c>
      <c r="H1854" s="30" t="s">
        <v>10708</v>
      </c>
    </row>
    <row r="1855" spans="1:8">
      <c r="A1855" s="30" t="s">
        <v>12719</v>
      </c>
      <c r="B1855" s="30"/>
      <c r="C1855" s="30" t="s">
        <v>8626</v>
      </c>
      <c r="D1855" s="30" t="s">
        <v>12720</v>
      </c>
      <c r="E1855" s="30" t="s">
        <v>12721</v>
      </c>
      <c r="F1855" s="30" t="s">
        <v>8618</v>
      </c>
      <c r="G1855" s="30" t="s">
        <v>10234</v>
      </c>
      <c r="H1855" s="30" t="s">
        <v>12722</v>
      </c>
    </row>
    <row r="1856" spans="1:8">
      <c r="A1856" s="30" t="s">
        <v>12723</v>
      </c>
      <c r="B1856" s="30"/>
      <c r="C1856" s="30"/>
      <c r="D1856" s="32" t="s">
        <v>11547</v>
      </c>
      <c r="E1856" s="30"/>
      <c r="F1856" s="30"/>
      <c r="G1856" s="30"/>
      <c r="H1856" s="30" t="s">
        <v>12724</v>
      </c>
    </row>
    <row r="1857" spans="1:8">
      <c r="A1857" s="30" t="s">
        <v>12725</v>
      </c>
      <c r="B1857" s="30"/>
      <c r="C1857" s="30" t="s">
        <v>8607</v>
      </c>
      <c r="D1857" s="30"/>
      <c r="E1857" s="30"/>
      <c r="F1857" s="30"/>
      <c r="G1857" s="30" t="s">
        <v>8804</v>
      </c>
      <c r="H1857" s="30" t="s">
        <v>12726</v>
      </c>
    </row>
    <row r="1858" spans="1:8">
      <c r="A1858" s="30" t="s">
        <v>12727</v>
      </c>
      <c r="B1858" s="30"/>
      <c r="C1858" s="30" t="s">
        <v>8607</v>
      </c>
      <c r="D1858" s="30" t="s">
        <v>12728</v>
      </c>
      <c r="E1858" s="30" t="s">
        <v>8845</v>
      </c>
      <c r="F1858" s="30" t="s">
        <v>8672</v>
      </c>
      <c r="G1858" s="30" t="s">
        <v>8846</v>
      </c>
      <c r="H1858" s="30" t="s">
        <v>12729</v>
      </c>
    </row>
    <row r="1859" spans="1:8">
      <c r="A1859" s="30" t="s">
        <v>12730</v>
      </c>
      <c r="B1859" s="30"/>
      <c r="C1859" s="30" t="s">
        <v>8607</v>
      </c>
      <c r="D1859" s="30"/>
      <c r="E1859" s="30" t="s">
        <v>8720</v>
      </c>
      <c r="F1859" s="30" t="e">
        <v>#VALUE!</v>
      </c>
      <c r="G1859" s="30" t="s">
        <v>8721</v>
      </c>
      <c r="H1859" s="30" t="s">
        <v>12731</v>
      </c>
    </row>
    <row r="1860" spans="1:8">
      <c r="A1860" s="30" t="s">
        <v>12732</v>
      </c>
      <c r="B1860" s="30"/>
      <c r="C1860" s="30" t="s">
        <v>8607</v>
      </c>
      <c r="D1860" s="30"/>
      <c r="E1860" s="30"/>
      <c r="F1860" s="30"/>
      <c r="G1860" s="30"/>
      <c r="H1860" s="30" t="s">
        <v>12733</v>
      </c>
    </row>
    <row r="1861" spans="1:8">
      <c r="A1861" s="30" t="s">
        <v>12734</v>
      </c>
      <c r="B1861" s="30"/>
      <c r="C1861" s="30"/>
      <c r="D1861" s="32"/>
      <c r="E1861" s="30"/>
      <c r="F1861" s="30"/>
      <c r="G1861" s="30"/>
      <c r="H1861" s="30" t="s">
        <v>12735</v>
      </c>
    </row>
    <row r="1862" spans="1:8">
      <c r="A1862" s="30" t="s">
        <v>12736</v>
      </c>
      <c r="B1862" s="30"/>
      <c r="C1862" s="30" t="s">
        <v>8607</v>
      </c>
      <c r="D1862" s="30" t="s">
        <v>10436</v>
      </c>
      <c r="E1862" s="30"/>
      <c r="F1862" s="30"/>
      <c r="G1862" s="30" t="s">
        <v>9847</v>
      </c>
      <c r="H1862" s="30" t="s">
        <v>10466</v>
      </c>
    </row>
    <row r="1863" spans="1:8">
      <c r="A1863" s="30" t="s">
        <v>12737</v>
      </c>
      <c r="B1863" s="30"/>
      <c r="C1863" s="30"/>
      <c r="D1863" s="32"/>
      <c r="E1863" s="30" t="s">
        <v>12738</v>
      </c>
      <c r="F1863" s="30" t="s">
        <v>8618</v>
      </c>
      <c r="G1863" s="30"/>
      <c r="H1863" s="30" t="s">
        <v>12739</v>
      </c>
    </row>
    <row r="1864" spans="1:8">
      <c r="A1864" s="30" t="s">
        <v>12740</v>
      </c>
      <c r="B1864" s="30"/>
      <c r="C1864" s="30" t="s">
        <v>8607</v>
      </c>
      <c r="D1864" s="30"/>
      <c r="E1864" s="30"/>
      <c r="F1864" s="30"/>
      <c r="G1864" s="30" t="s">
        <v>8708</v>
      </c>
      <c r="H1864" s="30" t="s">
        <v>12741</v>
      </c>
    </row>
    <row r="1865" spans="1:8">
      <c r="A1865" s="30" t="s">
        <v>12742</v>
      </c>
      <c r="B1865" s="30"/>
      <c r="C1865" s="30" t="s">
        <v>8607</v>
      </c>
      <c r="D1865" s="30" t="s">
        <v>9799</v>
      </c>
      <c r="E1865" s="30"/>
      <c r="F1865" s="30"/>
      <c r="G1865" s="30" t="s">
        <v>8695</v>
      </c>
      <c r="H1865" s="30" t="s">
        <v>12743</v>
      </c>
    </row>
    <row r="1866" spans="1:8">
      <c r="A1866" s="30" t="s">
        <v>12744</v>
      </c>
      <c r="B1866" s="30"/>
      <c r="C1866" s="30" t="s">
        <v>8626</v>
      </c>
      <c r="D1866" s="30"/>
      <c r="E1866" s="30"/>
      <c r="F1866" s="30"/>
      <c r="G1866" s="30" t="s">
        <v>10789</v>
      </c>
      <c r="H1866" s="30" t="s">
        <v>11104</v>
      </c>
    </row>
    <row r="1867" spans="1:8">
      <c r="A1867" s="30" t="s">
        <v>12745</v>
      </c>
      <c r="B1867" s="30"/>
      <c r="C1867" s="30" t="s">
        <v>8607</v>
      </c>
      <c r="D1867" s="30"/>
      <c r="E1867" s="30"/>
      <c r="F1867" s="30"/>
      <c r="G1867" s="30" t="s">
        <v>10250</v>
      </c>
      <c r="H1867" s="30" t="s">
        <v>12746</v>
      </c>
    </row>
    <row r="1868" spans="1:8">
      <c r="A1868" s="30" t="s">
        <v>12747</v>
      </c>
      <c r="B1868" s="30"/>
      <c r="C1868" s="30" t="s">
        <v>8626</v>
      </c>
      <c r="D1868" s="30" t="s">
        <v>8689</v>
      </c>
      <c r="E1868" s="30" t="s">
        <v>10191</v>
      </c>
      <c r="F1868" s="30" t="e">
        <v>#VALUE!</v>
      </c>
      <c r="G1868" s="30" t="s">
        <v>8691</v>
      </c>
      <c r="H1868" s="30" t="s">
        <v>10447</v>
      </c>
    </row>
    <row r="1869" spans="1:8">
      <c r="A1869" s="30" t="s">
        <v>12748</v>
      </c>
      <c r="B1869" s="30"/>
      <c r="C1869" s="30" t="s">
        <v>8607</v>
      </c>
      <c r="D1869" s="30" t="s">
        <v>12749</v>
      </c>
      <c r="E1869" s="30" t="s">
        <v>12750</v>
      </c>
      <c r="F1869" s="30" t="e">
        <v>#VALUE!</v>
      </c>
      <c r="G1869" s="30" t="s">
        <v>12751</v>
      </c>
      <c r="H1869" s="30" t="s">
        <v>12752</v>
      </c>
    </row>
    <row r="1870" spans="1:8">
      <c r="A1870" s="30" t="s">
        <v>12753</v>
      </c>
      <c r="B1870" s="30"/>
      <c r="C1870" s="30" t="s">
        <v>8607</v>
      </c>
      <c r="D1870" s="30" t="s">
        <v>8770</v>
      </c>
      <c r="E1870" s="30" t="s">
        <v>8771</v>
      </c>
      <c r="F1870" s="30" t="s">
        <v>8672</v>
      </c>
      <c r="G1870" s="30" t="s">
        <v>8659</v>
      </c>
      <c r="H1870" s="30" t="s">
        <v>12676</v>
      </c>
    </row>
    <row r="1871" spans="1:8">
      <c r="A1871" s="30" t="s">
        <v>12754</v>
      </c>
      <c r="B1871" s="30"/>
      <c r="C1871" s="30" t="s">
        <v>8607</v>
      </c>
      <c r="D1871" s="30" t="s">
        <v>9262</v>
      </c>
      <c r="E1871" s="30"/>
      <c r="F1871" s="30"/>
      <c r="G1871" s="30" t="s">
        <v>9002</v>
      </c>
      <c r="H1871" s="30" t="s">
        <v>12755</v>
      </c>
    </row>
    <row r="1872" spans="1:8">
      <c r="A1872" s="30" t="s">
        <v>12756</v>
      </c>
      <c r="B1872" s="30"/>
      <c r="C1872" s="30" t="s">
        <v>8626</v>
      </c>
      <c r="D1872" s="30" t="s">
        <v>12757</v>
      </c>
      <c r="E1872" s="30" t="s">
        <v>8671</v>
      </c>
      <c r="F1872" s="30" t="s">
        <v>8672</v>
      </c>
      <c r="G1872" s="30" t="s">
        <v>8673</v>
      </c>
      <c r="H1872" s="30" t="s">
        <v>12758</v>
      </c>
    </row>
    <row r="1873" spans="1:8">
      <c r="A1873" s="30" t="s">
        <v>12759</v>
      </c>
      <c r="B1873" s="30"/>
      <c r="C1873" s="30" t="s">
        <v>8626</v>
      </c>
      <c r="D1873" s="30"/>
      <c r="E1873" s="30" t="s">
        <v>10214</v>
      </c>
      <c r="F1873" s="30" t="e">
        <v>#VALUE!</v>
      </c>
      <c r="G1873" s="30" t="s">
        <v>8714</v>
      </c>
      <c r="H1873" s="30" t="s">
        <v>12760</v>
      </c>
    </row>
    <row r="1874" spans="1:8">
      <c r="A1874" s="30" t="s">
        <v>12761</v>
      </c>
      <c r="B1874" s="30"/>
      <c r="C1874" s="30" t="s">
        <v>8607</v>
      </c>
      <c r="D1874" s="30" t="s">
        <v>8789</v>
      </c>
      <c r="E1874" s="30"/>
      <c r="F1874" s="30"/>
      <c r="G1874" s="30" t="s">
        <v>8633</v>
      </c>
      <c r="H1874" s="30" t="s">
        <v>12762</v>
      </c>
    </row>
    <row r="1875" spans="1:8">
      <c r="A1875" s="30" t="s">
        <v>12763</v>
      </c>
      <c r="B1875" s="30"/>
      <c r="C1875" s="30" t="s">
        <v>8607</v>
      </c>
      <c r="D1875" s="30"/>
      <c r="E1875" s="30"/>
      <c r="F1875" s="30"/>
      <c r="G1875" s="30" t="s">
        <v>10320</v>
      </c>
      <c r="H1875" s="30" t="s">
        <v>12764</v>
      </c>
    </row>
    <row r="1876" spans="1:8">
      <c r="A1876" s="30" t="s">
        <v>12765</v>
      </c>
      <c r="B1876" s="30"/>
      <c r="C1876" s="30" t="s">
        <v>8626</v>
      </c>
      <c r="D1876" s="30" t="s">
        <v>12766</v>
      </c>
      <c r="E1876" s="30" t="s">
        <v>9754</v>
      </c>
      <c r="F1876" s="30" t="e">
        <v>#VALUE!</v>
      </c>
      <c r="G1876" s="30" t="s">
        <v>9755</v>
      </c>
      <c r="H1876" s="30" t="s">
        <v>12767</v>
      </c>
    </row>
    <row r="1877" spans="1:8">
      <c r="A1877" s="30" t="s">
        <v>12768</v>
      </c>
      <c r="B1877" s="30"/>
      <c r="C1877" s="30" t="s">
        <v>8607</v>
      </c>
      <c r="D1877" s="30" t="s">
        <v>11914</v>
      </c>
      <c r="E1877" s="30" t="s">
        <v>12769</v>
      </c>
      <c r="F1877" s="30" t="s">
        <v>8672</v>
      </c>
      <c r="G1877" s="30" t="s">
        <v>9002</v>
      </c>
      <c r="H1877" s="30" t="s">
        <v>11141</v>
      </c>
    </row>
    <row r="1878" spans="1:8">
      <c r="A1878" s="30" t="s">
        <v>12770</v>
      </c>
      <c r="B1878" s="30"/>
      <c r="C1878" s="30" t="s">
        <v>8607</v>
      </c>
      <c r="D1878" s="30"/>
      <c r="E1878" s="30"/>
      <c r="F1878" s="30"/>
      <c r="G1878" s="30" t="s">
        <v>8807</v>
      </c>
      <c r="H1878" s="30" t="s">
        <v>10740</v>
      </c>
    </row>
    <row r="1879" spans="1:8">
      <c r="A1879" s="30" t="s">
        <v>12771</v>
      </c>
      <c r="B1879" s="30"/>
      <c r="C1879" s="30" t="s">
        <v>8607</v>
      </c>
      <c r="D1879" s="30"/>
      <c r="E1879" s="30"/>
      <c r="F1879" s="30"/>
      <c r="G1879" s="30" t="s">
        <v>8814</v>
      </c>
      <c r="H1879" s="30" t="s">
        <v>11277</v>
      </c>
    </row>
    <row r="1880" spans="1:8">
      <c r="A1880" s="30" t="s">
        <v>12772</v>
      </c>
      <c r="B1880" s="30"/>
      <c r="C1880" s="30" t="s">
        <v>8607</v>
      </c>
      <c r="D1880" s="30" t="s">
        <v>8821</v>
      </c>
      <c r="E1880" s="30"/>
      <c r="F1880" s="30"/>
      <c r="G1880" s="30" t="s">
        <v>8737</v>
      </c>
      <c r="H1880" s="30" t="s">
        <v>11359</v>
      </c>
    </row>
    <row r="1881" spans="1:8">
      <c r="A1881" s="30" t="s">
        <v>12773</v>
      </c>
      <c r="B1881" s="30"/>
      <c r="C1881" s="30"/>
      <c r="D1881" s="32" t="s">
        <v>12774</v>
      </c>
      <c r="E1881" s="30"/>
      <c r="F1881" s="30"/>
      <c r="G1881" s="30"/>
      <c r="H1881" s="30" t="s">
        <v>10580</v>
      </c>
    </row>
    <row r="1882" spans="1:8">
      <c r="A1882" s="30" t="s">
        <v>12775</v>
      </c>
      <c r="B1882" s="30"/>
      <c r="C1882" s="30" t="s">
        <v>8607</v>
      </c>
      <c r="D1882" s="30" t="s">
        <v>8654</v>
      </c>
      <c r="E1882" s="30" t="s">
        <v>8655</v>
      </c>
      <c r="F1882" s="30" t="s">
        <v>8618</v>
      </c>
      <c r="G1882" s="30" t="s">
        <v>8656</v>
      </c>
      <c r="H1882" s="30" t="s">
        <v>10881</v>
      </c>
    </row>
    <row r="1883" spans="1:8">
      <c r="A1883" s="30" t="s">
        <v>12776</v>
      </c>
      <c r="B1883" s="30"/>
      <c r="C1883" s="30" t="s">
        <v>8607</v>
      </c>
      <c r="D1883" s="30" t="s">
        <v>8789</v>
      </c>
      <c r="E1883" s="30"/>
      <c r="F1883" s="30"/>
      <c r="G1883" s="30" t="s">
        <v>8633</v>
      </c>
      <c r="H1883" s="30" t="s">
        <v>12777</v>
      </c>
    </row>
    <row r="1884" spans="1:8">
      <c r="A1884" s="30" t="s">
        <v>12778</v>
      </c>
      <c r="B1884" s="30"/>
      <c r="C1884" s="30" t="s">
        <v>8607</v>
      </c>
      <c r="D1884" s="30" t="s">
        <v>8789</v>
      </c>
      <c r="E1884" s="30"/>
      <c r="F1884" s="30"/>
      <c r="G1884" s="30" t="s">
        <v>8633</v>
      </c>
      <c r="H1884" s="30" t="s">
        <v>12777</v>
      </c>
    </row>
    <row r="1885" spans="1:8">
      <c r="A1885" s="30" t="s">
        <v>12779</v>
      </c>
      <c r="B1885" s="30"/>
      <c r="C1885" s="30" t="s">
        <v>8626</v>
      </c>
      <c r="D1885" s="30" t="s">
        <v>11170</v>
      </c>
      <c r="E1885" s="30" t="s">
        <v>11171</v>
      </c>
      <c r="F1885" s="30" t="e">
        <v>#VALUE!</v>
      </c>
      <c r="G1885" s="30" t="s">
        <v>8975</v>
      </c>
      <c r="H1885" s="30" t="s">
        <v>11172</v>
      </c>
    </row>
    <row r="1886" spans="1:8">
      <c r="A1886" s="30" t="s">
        <v>12780</v>
      </c>
      <c r="B1886" s="30"/>
      <c r="C1886" s="30"/>
      <c r="D1886" s="32"/>
      <c r="E1886" s="30"/>
      <c r="F1886" s="30"/>
      <c r="G1886" s="30"/>
      <c r="H1886" s="30" t="s">
        <v>11166</v>
      </c>
    </row>
    <row r="1887" spans="1:8">
      <c r="A1887" s="30" t="s">
        <v>12781</v>
      </c>
      <c r="B1887" s="30"/>
      <c r="C1887" s="30" t="s">
        <v>8607</v>
      </c>
      <c r="D1887" s="30"/>
      <c r="E1887" s="30"/>
      <c r="F1887" s="30"/>
      <c r="G1887" s="30" t="s">
        <v>8891</v>
      </c>
      <c r="H1887" s="30" t="s">
        <v>11168</v>
      </c>
    </row>
    <row r="1888" spans="1:8">
      <c r="A1888" s="30" t="s">
        <v>12782</v>
      </c>
      <c r="B1888" s="30"/>
      <c r="C1888" s="30" t="s">
        <v>8607</v>
      </c>
      <c r="D1888" s="30"/>
      <c r="E1888" s="30"/>
      <c r="F1888" s="30"/>
      <c r="G1888" s="30" t="s">
        <v>9847</v>
      </c>
      <c r="H1888" s="30" t="s">
        <v>12783</v>
      </c>
    </row>
    <row r="1889" spans="1:8">
      <c r="A1889" s="30" t="s">
        <v>12784</v>
      </c>
      <c r="B1889" s="30"/>
      <c r="C1889" s="30" t="s">
        <v>8626</v>
      </c>
      <c r="D1889" s="30"/>
      <c r="E1889" s="30"/>
      <c r="F1889" s="30"/>
      <c r="G1889" s="30" t="s">
        <v>10789</v>
      </c>
      <c r="H1889" s="30" t="s">
        <v>11104</v>
      </c>
    </row>
    <row r="1890" spans="1:8">
      <c r="A1890" s="30" t="s">
        <v>12785</v>
      </c>
      <c r="B1890" s="30"/>
      <c r="C1890" s="30" t="s">
        <v>8607</v>
      </c>
      <c r="D1890" s="30" t="s">
        <v>8707</v>
      </c>
      <c r="E1890" s="30"/>
      <c r="F1890" s="30"/>
      <c r="G1890" s="30" t="s">
        <v>8708</v>
      </c>
      <c r="H1890" s="30" t="s">
        <v>10257</v>
      </c>
    </row>
    <row r="1891" spans="1:8">
      <c r="A1891" s="30" t="s">
        <v>12786</v>
      </c>
      <c r="B1891" s="30"/>
      <c r="C1891" s="30" t="s">
        <v>8607</v>
      </c>
      <c r="D1891" s="30"/>
      <c r="E1891" s="30"/>
      <c r="F1891" s="30"/>
      <c r="G1891" s="30" t="s">
        <v>8711</v>
      </c>
      <c r="H1891" s="30" t="s">
        <v>12787</v>
      </c>
    </row>
    <row r="1892" spans="1:8">
      <c r="A1892" s="30" t="s">
        <v>12788</v>
      </c>
      <c r="B1892" s="30"/>
      <c r="C1892" s="30" t="s">
        <v>8626</v>
      </c>
      <c r="D1892" s="30" t="s">
        <v>12789</v>
      </c>
      <c r="E1892" s="30" t="s">
        <v>12790</v>
      </c>
      <c r="F1892" s="30" t="s">
        <v>8618</v>
      </c>
      <c r="G1892" s="30" t="s">
        <v>12791</v>
      </c>
      <c r="H1892" s="30" t="s">
        <v>12792</v>
      </c>
    </row>
    <row r="1893" spans="1:8">
      <c r="A1893" s="30" t="s">
        <v>12793</v>
      </c>
      <c r="B1893" s="30"/>
      <c r="C1893" s="30" t="s">
        <v>8607</v>
      </c>
      <c r="D1893" s="30"/>
      <c r="E1893" s="30"/>
      <c r="F1893" s="30"/>
      <c r="G1893" s="30" t="s">
        <v>8623</v>
      </c>
      <c r="H1893" s="30" t="s">
        <v>11052</v>
      </c>
    </row>
    <row r="1894" spans="1:8">
      <c r="A1894" s="30" t="s">
        <v>12794</v>
      </c>
      <c r="B1894" s="30"/>
      <c r="C1894" s="30" t="s">
        <v>8607</v>
      </c>
      <c r="D1894" s="30" t="s">
        <v>9742</v>
      </c>
      <c r="E1894" s="30" t="s">
        <v>8850</v>
      </c>
      <c r="F1894" s="30" t="s">
        <v>8672</v>
      </c>
      <c r="G1894" s="30" t="s">
        <v>8851</v>
      </c>
      <c r="H1894" s="30" t="s">
        <v>12795</v>
      </c>
    </row>
    <row r="1895" spans="1:8">
      <c r="A1895" s="30" t="s">
        <v>12796</v>
      </c>
      <c r="B1895" s="30"/>
      <c r="C1895" s="30" t="s">
        <v>8626</v>
      </c>
      <c r="D1895" s="30"/>
      <c r="E1895" s="30"/>
      <c r="F1895" s="30"/>
      <c r="G1895" s="30" t="s">
        <v>10220</v>
      </c>
      <c r="H1895" s="30" t="s">
        <v>10278</v>
      </c>
    </row>
    <row r="1896" spans="1:8">
      <c r="A1896" s="30" t="s">
        <v>12797</v>
      </c>
      <c r="B1896" s="30"/>
      <c r="C1896" s="30" t="s">
        <v>8607</v>
      </c>
      <c r="D1896" s="30"/>
      <c r="E1896" s="30"/>
      <c r="F1896" s="30"/>
      <c r="G1896" s="30"/>
      <c r="H1896" s="30" t="s">
        <v>12286</v>
      </c>
    </row>
    <row r="1897" spans="1:8">
      <c r="A1897" s="30" t="s">
        <v>12798</v>
      </c>
      <c r="B1897" s="30"/>
      <c r="C1897" s="30" t="s">
        <v>8626</v>
      </c>
      <c r="D1897" s="30"/>
      <c r="E1897" s="30"/>
      <c r="F1897" s="30"/>
      <c r="G1897" s="30" t="s">
        <v>10220</v>
      </c>
      <c r="H1897" s="30" t="s">
        <v>10278</v>
      </c>
    </row>
    <row r="1898" spans="1:8">
      <c r="A1898" s="30" t="s">
        <v>12799</v>
      </c>
      <c r="B1898" s="30"/>
      <c r="C1898" s="30" t="s">
        <v>8607</v>
      </c>
      <c r="D1898" s="30"/>
      <c r="E1898" s="30"/>
      <c r="F1898" s="30"/>
      <c r="G1898" s="30"/>
      <c r="H1898" s="30" t="s">
        <v>12286</v>
      </c>
    </row>
    <row r="1899" spans="1:8">
      <c r="A1899" s="30" t="s">
        <v>12800</v>
      </c>
      <c r="B1899" s="30"/>
      <c r="C1899" s="30" t="s">
        <v>8626</v>
      </c>
      <c r="D1899" s="30" t="s">
        <v>10132</v>
      </c>
      <c r="E1899" s="30" t="s">
        <v>11096</v>
      </c>
      <c r="F1899" s="30" t="e">
        <v>#VALUE!</v>
      </c>
      <c r="G1899" s="30" t="s">
        <v>8975</v>
      </c>
      <c r="H1899" s="30" t="s">
        <v>12801</v>
      </c>
    </row>
    <row r="1900" spans="1:8">
      <c r="A1900" s="30" t="s">
        <v>12802</v>
      </c>
      <c r="B1900" s="30"/>
      <c r="C1900" s="30"/>
      <c r="D1900" s="32"/>
      <c r="E1900" s="30"/>
      <c r="F1900" s="30"/>
      <c r="G1900" s="30"/>
      <c r="H1900" s="30" t="s">
        <v>12803</v>
      </c>
    </row>
    <row r="1901" spans="1:8">
      <c r="A1901" s="30" t="s">
        <v>12804</v>
      </c>
      <c r="B1901" s="30"/>
      <c r="C1901" s="30" t="s">
        <v>8607</v>
      </c>
      <c r="D1901" s="30"/>
      <c r="E1901" s="30"/>
      <c r="F1901" s="30"/>
      <c r="G1901" s="30" t="s">
        <v>8891</v>
      </c>
      <c r="H1901" s="30" t="s">
        <v>10627</v>
      </c>
    </row>
    <row r="1902" spans="1:8">
      <c r="A1902" s="30" t="s">
        <v>12805</v>
      </c>
      <c r="B1902" s="30"/>
      <c r="C1902" s="30" t="s">
        <v>8626</v>
      </c>
      <c r="D1902" s="30"/>
      <c r="E1902" s="30" t="s">
        <v>10694</v>
      </c>
      <c r="F1902" s="30" t="s">
        <v>8618</v>
      </c>
      <c r="G1902" s="30" t="s">
        <v>11698</v>
      </c>
      <c r="H1902" s="30" t="s">
        <v>10696</v>
      </c>
    </row>
    <row r="1903" spans="1:8">
      <c r="A1903" s="30" t="s">
        <v>12806</v>
      </c>
      <c r="B1903" s="30"/>
      <c r="C1903" s="30" t="s">
        <v>8626</v>
      </c>
      <c r="D1903" s="30"/>
      <c r="E1903" s="30"/>
      <c r="F1903" s="30"/>
      <c r="G1903" s="30" t="s">
        <v>10220</v>
      </c>
      <c r="H1903" s="30" t="s">
        <v>10278</v>
      </c>
    </row>
    <row r="1904" spans="1:8">
      <c r="A1904" s="30" t="s">
        <v>12807</v>
      </c>
      <c r="B1904" s="30"/>
      <c r="C1904" s="30" t="s">
        <v>8607</v>
      </c>
      <c r="D1904" s="30"/>
      <c r="E1904" s="30"/>
      <c r="F1904" s="30"/>
      <c r="G1904" s="30" t="s">
        <v>8623</v>
      </c>
      <c r="H1904" s="30" t="s">
        <v>12808</v>
      </c>
    </row>
    <row r="1905" spans="1:8">
      <c r="A1905" s="30" t="s">
        <v>12809</v>
      </c>
      <c r="B1905" s="30"/>
      <c r="C1905" s="30" t="s">
        <v>8626</v>
      </c>
      <c r="D1905" s="30"/>
      <c r="E1905" s="30" t="s">
        <v>10214</v>
      </c>
      <c r="F1905" s="30" t="e">
        <v>#VALUE!</v>
      </c>
      <c r="G1905" s="30"/>
      <c r="H1905" s="30" t="s">
        <v>10305</v>
      </c>
    </row>
    <row r="1906" spans="1:8">
      <c r="A1906" s="30" t="s">
        <v>12810</v>
      </c>
      <c r="B1906" s="30"/>
      <c r="C1906" s="30" t="s">
        <v>8607</v>
      </c>
      <c r="D1906" s="30"/>
      <c r="E1906" s="30"/>
      <c r="F1906" s="30"/>
      <c r="G1906" s="30" t="s">
        <v>10928</v>
      </c>
      <c r="H1906" s="30" t="s">
        <v>12811</v>
      </c>
    </row>
    <row r="1907" spans="1:8">
      <c r="A1907" s="30" t="s">
        <v>12812</v>
      </c>
      <c r="B1907" s="30"/>
      <c r="C1907" s="30" t="s">
        <v>8607</v>
      </c>
      <c r="D1907" s="30" t="s">
        <v>9758</v>
      </c>
      <c r="E1907" s="30" t="s">
        <v>12813</v>
      </c>
      <c r="F1907" s="30" t="e">
        <v>#VALUE!</v>
      </c>
      <c r="G1907" s="30" t="s">
        <v>9002</v>
      </c>
      <c r="H1907" s="30" t="s">
        <v>11445</v>
      </c>
    </row>
    <row r="1908" spans="1:8">
      <c r="A1908" s="30" t="s">
        <v>12814</v>
      </c>
      <c r="B1908" s="30"/>
      <c r="C1908" s="30" t="s">
        <v>8607</v>
      </c>
      <c r="D1908" s="30" t="s">
        <v>8894</v>
      </c>
      <c r="E1908" s="30"/>
      <c r="F1908" s="30"/>
      <c r="G1908" s="30" t="s">
        <v>8895</v>
      </c>
      <c r="H1908" s="30" t="s">
        <v>10833</v>
      </c>
    </row>
    <row r="1909" spans="1:8">
      <c r="A1909" s="30" t="s">
        <v>12815</v>
      </c>
      <c r="B1909" s="30"/>
      <c r="C1909" s="30" t="s">
        <v>8607</v>
      </c>
      <c r="D1909" s="30"/>
      <c r="E1909" s="30"/>
      <c r="F1909" s="30"/>
      <c r="G1909" s="30" t="s">
        <v>8623</v>
      </c>
      <c r="H1909" s="30" t="s">
        <v>11624</v>
      </c>
    </row>
    <row r="1910" spans="1:8">
      <c r="A1910" s="30" t="s">
        <v>12816</v>
      </c>
      <c r="B1910" s="30"/>
      <c r="C1910" s="30" t="s">
        <v>8607</v>
      </c>
      <c r="D1910" s="30" t="s">
        <v>9000</v>
      </c>
      <c r="E1910" s="30" t="s">
        <v>12813</v>
      </c>
      <c r="F1910" s="30" t="e">
        <v>#VALUE!</v>
      </c>
      <c r="G1910" s="30" t="s">
        <v>9002</v>
      </c>
      <c r="H1910" s="30" t="s">
        <v>12817</v>
      </c>
    </row>
    <row r="1911" spans="1:8">
      <c r="A1911" s="30" t="s">
        <v>12818</v>
      </c>
      <c r="B1911" s="30"/>
      <c r="C1911" s="30" t="s">
        <v>8607</v>
      </c>
      <c r="D1911" s="30"/>
      <c r="E1911" s="30"/>
      <c r="F1911" s="30"/>
      <c r="G1911" s="30" t="s">
        <v>8895</v>
      </c>
      <c r="H1911" s="30" t="s">
        <v>12819</v>
      </c>
    </row>
    <row r="1912" spans="1:8">
      <c r="A1912" s="30" t="s">
        <v>12820</v>
      </c>
      <c r="B1912" s="30"/>
      <c r="C1912" s="30" t="s">
        <v>8626</v>
      </c>
      <c r="D1912" s="30"/>
      <c r="E1912" s="30"/>
      <c r="F1912" s="30"/>
      <c r="G1912" s="30" t="s">
        <v>10220</v>
      </c>
      <c r="H1912" s="30" t="s">
        <v>10278</v>
      </c>
    </row>
    <row r="1913" spans="1:8">
      <c r="A1913" s="30" t="s">
        <v>12821</v>
      </c>
      <c r="B1913" s="30"/>
      <c r="C1913" s="30" t="s">
        <v>8607</v>
      </c>
      <c r="D1913" s="30"/>
      <c r="E1913" s="30"/>
      <c r="F1913" s="30"/>
      <c r="G1913" s="30" t="s">
        <v>8717</v>
      </c>
      <c r="H1913" s="30" t="s">
        <v>12822</v>
      </c>
    </row>
    <row r="1914" spans="1:8">
      <c r="A1914" s="30" t="s">
        <v>12823</v>
      </c>
      <c r="B1914" s="30"/>
      <c r="C1914" s="30" t="s">
        <v>8626</v>
      </c>
      <c r="D1914" s="30"/>
      <c r="E1914" s="30"/>
      <c r="F1914" s="30"/>
      <c r="G1914" s="30"/>
      <c r="H1914" s="30" t="s">
        <v>10346</v>
      </c>
    </row>
    <row r="1915" spans="1:8">
      <c r="A1915" s="30" t="s">
        <v>12824</v>
      </c>
      <c r="B1915" s="30"/>
      <c r="C1915" s="30" t="s">
        <v>8607</v>
      </c>
      <c r="D1915" s="30"/>
      <c r="E1915" s="30"/>
      <c r="F1915" s="30"/>
      <c r="G1915" s="30" t="s">
        <v>10395</v>
      </c>
      <c r="H1915" s="30" t="s">
        <v>11030</v>
      </c>
    </row>
    <row r="1916" spans="1:8">
      <c r="A1916" s="30" t="s">
        <v>12825</v>
      </c>
      <c r="B1916" s="30"/>
      <c r="C1916" s="30" t="s">
        <v>8607</v>
      </c>
      <c r="D1916" s="30"/>
      <c r="E1916" s="30"/>
      <c r="F1916" s="30"/>
      <c r="G1916" s="30" t="s">
        <v>10395</v>
      </c>
      <c r="H1916" s="30" t="s">
        <v>11030</v>
      </c>
    </row>
    <row r="1917" spans="1:8">
      <c r="A1917" s="30" t="s">
        <v>12826</v>
      </c>
      <c r="B1917" s="30"/>
      <c r="C1917" s="30" t="s">
        <v>8626</v>
      </c>
      <c r="D1917" s="30"/>
      <c r="E1917" s="30"/>
      <c r="F1917" s="30"/>
      <c r="G1917" s="30" t="s">
        <v>8888</v>
      </c>
      <c r="H1917" s="30" t="s">
        <v>8889</v>
      </c>
    </row>
    <row r="1918" spans="1:8">
      <c r="A1918" s="30" t="s">
        <v>12827</v>
      </c>
      <c r="B1918" s="30"/>
      <c r="C1918" s="30" t="s">
        <v>8626</v>
      </c>
      <c r="D1918" s="30" t="s">
        <v>11840</v>
      </c>
      <c r="E1918" s="30" t="s">
        <v>9547</v>
      </c>
      <c r="F1918" s="30" t="s">
        <v>8672</v>
      </c>
      <c r="G1918" s="30" t="s">
        <v>9366</v>
      </c>
      <c r="H1918" s="30" t="s">
        <v>11437</v>
      </c>
    </row>
    <row r="1919" spans="1:8">
      <c r="A1919" s="30" t="s">
        <v>12828</v>
      </c>
      <c r="B1919" s="30"/>
      <c r="C1919" s="30" t="s">
        <v>8607</v>
      </c>
      <c r="D1919" s="30"/>
      <c r="E1919" s="30"/>
      <c r="F1919" s="30"/>
      <c r="G1919" s="30" t="s">
        <v>8774</v>
      </c>
      <c r="H1919" s="30" t="s">
        <v>10594</v>
      </c>
    </row>
    <row r="1920" spans="1:8">
      <c r="A1920" s="30" t="s">
        <v>12829</v>
      </c>
      <c r="B1920" s="30"/>
      <c r="C1920" s="30" t="s">
        <v>8626</v>
      </c>
      <c r="D1920" s="30"/>
      <c r="E1920" s="30"/>
      <c r="F1920" s="30"/>
      <c r="G1920" s="30"/>
      <c r="H1920" s="30" t="s">
        <v>11011</v>
      </c>
    </row>
    <row r="1921" spans="1:8">
      <c r="A1921" s="30" t="s">
        <v>12830</v>
      </c>
      <c r="B1921" s="30"/>
      <c r="C1921" s="30" t="s">
        <v>8607</v>
      </c>
      <c r="D1921" s="30" t="s">
        <v>11245</v>
      </c>
      <c r="E1921" s="30" t="s">
        <v>10707</v>
      </c>
      <c r="F1921" s="30" t="s">
        <v>8618</v>
      </c>
      <c r="G1921" s="30" t="s">
        <v>8943</v>
      </c>
      <c r="H1921" s="30" t="s">
        <v>11246</v>
      </c>
    </row>
    <row r="1922" spans="1:8">
      <c r="A1922" s="30" t="s">
        <v>12831</v>
      </c>
      <c r="B1922" s="30"/>
      <c r="C1922" s="30" t="s">
        <v>8607</v>
      </c>
      <c r="D1922" s="30"/>
      <c r="E1922" s="30"/>
      <c r="F1922" s="30"/>
      <c r="G1922" s="30" t="s">
        <v>10395</v>
      </c>
      <c r="H1922" s="30" t="s">
        <v>10775</v>
      </c>
    </row>
    <row r="1923" spans="1:8">
      <c r="A1923" s="30" t="s">
        <v>12832</v>
      </c>
      <c r="B1923" s="30"/>
      <c r="C1923" s="30" t="s">
        <v>8626</v>
      </c>
      <c r="D1923" s="30" t="s">
        <v>8689</v>
      </c>
      <c r="E1923" s="30"/>
      <c r="F1923" s="30"/>
      <c r="G1923" s="30" t="s">
        <v>8691</v>
      </c>
      <c r="H1923" s="30" t="s">
        <v>10192</v>
      </c>
    </row>
    <row r="1924" spans="1:8">
      <c r="A1924" s="30" t="s">
        <v>12833</v>
      </c>
      <c r="B1924" s="30"/>
      <c r="C1924" s="30" t="s">
        <v>8626</v>
      </c>
      <c r="D1924" s="30" t="s">
        <v>8689</v>
      </c>
      <c r="E1924" s="30"/>
      <c r="F1924" s="30"/>
      <c r="G1924" s="30" t="s">
        <v>8691</v>
      </c>
      <c r="H1924" s="30" t="s">
        <v>10192</v>
      </c>
    </row>
    <row r="1925" spans="1:8">
      <c r="A1925" s="30" t="s">
        <v>12834</v>
      </c>
      <c r="B1925" s="30"/>
      <c r="C1925" s="30" t="s">
        <v>8607</v>
      </c>
      <c r="D1925" s="30"/>
      <c r="E1925" s="30"/>
      <c r="F1925" s="30"/>
      <c r="G1925" s="30" t="s">
        <v>8726</v>
      </c>
      <c r="H1925" s="30" t="s">
        <v>8727</v>
      </c>
    </row>
    <row r="1926" spans="1:8">
      <c r="A1926" s="30" t="s">
        <v>12835</v>
      </c>
      <c r="B1926" s="30"/>
      <c r="C1926" s="30" t="s">
        <v>8607</v>
      </c>
      <c r="D1926" s="30"/>
      <c r="E1926" s="30"/>
      <c r="F1926" s="30"/>
      <c r="G1926" s="30" t="s">
        <v>8726</v>
      </c>
      <c r="H1926" s="30" t="s">
        <v>8727</v>
      </c>
    </row>
    <row r="1927" spans="1:8">
      <c r="A1927" s="30" t="s">
        <v>12836</v>
      </c>
      <c r="B1927" s="30"/>
      <c r="C1927" s="30" t="s">
        <v>8626</v>
      </c>
      <c r="D1927" s="30" t="s">
        <v>10310</v>
      </c>
      <c r="E1927" s="30" t="s">
        <v>10311</v>
      </c>
      <c r="F1927" s="30" t="s">
        <v>8672</v>
      </c>
      <c r="G1927" s="30" t="s">
        <v>10076</v>
      </c>
      <c r="H1927" s="30" t="s">
        <v>10312</v>
      </c>
    </row>
    <row r="1928" spans="1:8">
      <c r="A1928" s="30" t="s">
        <v>12837</v>
      </c>
      <c r="B1928" s="30"/>
      <c r="C1928" s="30"/>
      <c r="D1928" s="32" t="s">
        <v>10300</v>
      </c>
      <c r="E1928" s="32"/>
      <c r="F1928" s="30"/>
      <c r="G1928" s="30"/>
      <c r="H1928" s="30" t="s">
        <v>10301</v>
      </c>
    </row>
    <row r="1929" spans="1:8">
      <c r="A1929" s="30" t="s">
        <v>12838</v>
      </c>
      <c r="B1929" s="30"/>
      <c r="C1929" s="30" t="s">
        <v>8607</v>
      </c>
      <c r="D1929" s="30"/>
      <c r="E1929" s="30"/>
      <c r="F1929" s="30"/>
      <c r="G1929" s="30" t="s">
        <v>8774</v>
      </c>
      <c r="H1929" s="30" t="s">
        <v>10314</v>
      </c>
    </row>
    <row r="1930" spans="1:8">
      <c r="A1930" s="30" t="s">
        <v>12839</v>
      </c>
      <c r="B1930" s="30"/>
      <c r="C1930" s="30" t="s">
        <v>8607</v>
      </c>
      <c r="D1930" s="30"/>
      <c r="E1930" s="30"/>
      <c r="F1930" s="30"/>
      <c r="G1930" s="30" t="s">
        <v>8891</v>
      </c>
      <c r="H1930" s="30" t="s">
        <v>10627</v>
      </c>
    </row>
    <row r="1931" spans="1:8">
      <c r="A1931" s="30" t="s">
        <v>12840</v>
      </c>
      <c r="B1931" s="30"/>
      <c r="C1931" s="30" t="s">
        <v>8626</v>
      </c>
      <c r="D1931" s="30" t="s">
        <v>12093</v>
      </c>
      <c r="E1931" s="30" t="s">
        <v>11096</v>
      </c>
      <c r="F1931" s="30" t="e">
        <v>#VALUE!</v>
      </c>
      <c r="G1931" s="30" t="s">
        <v>8975</v>
      </c>
      <c r="H1931" s="30" t="s">
        <v>11097</v>
      </c>
    </row>
    <row r="1932" spans="1:8">
      <c r="A1932" s="30" t="s">
        <v>12841</v>
      </c>
      <c r="B1932" s="30"/>
      <c r="C1932" s="30" t="s">
        <v>8607</v>
      </c>
      <c r="D1932" s="30" t="s">
        <v>8736</v>
      </c>
      <c r="E1932" s="30"/>
      <c r="F1932" s="30"/>
      <c r="G1932" s="30" t="s">
        <v>8737</v>
      </c>
      <c r="H1932" s="30" t="s">
        <v>10407</v>
      </c>
    </row>
    <row r="1933" spans="1:8">
      <c r="A1933" s="30" t="s">
        <v>12842</v>
      </c>
      <c r="B1933" s="30"/>
      <c r="C1933" s="30" t="s">
        <v>8607</v>
      </c>
      <c r="D1933" s="30"/>
      <c r="E1933" s="30"/>
      <c r="F1933" s="30"/>
      <c r="G1933" s="30"/>
      <c r="H1933" s="30" t="s">
        <v>8802</v>
      </c>
    </row>
    <row r="1934" spans="1:8">
      <c r="A1934" s="30" t="s">
        <v>12843</v>
      </c>
      <c r="B1934" s="30"/>
      <c r="C1934" s="30" t="s">
        <v>8626</v>
      </c>
      <c r="D1934" s="30"/>
      <c r="E1934" s="30" t="s">
        <v>10644</v>
      </c>
      <c r="F1934" s="30" t="s">
        <v>8618</v>
      </c>
      <c r="G1934" s="30" t="s">
        <v>10645</v>
      </c>
      <c r="H1934" s="30" t="s">
        <v>12844</v>
      </c>
    </row>
    <row r="1935" spans="1:8">
      <c r="A1935" s="30" t="s">
        <v>12845</v>
      </c>
      <c r="B1935" s="30"/>
      <c r="C1935" s="30" t="s">
        <v>8607</v>
      </c>
      <c r="D1935" s="30"/>
      <c r="E1935" s="30"/>
      <c r="F1935" s="30"/>
      <c r="G1935" s="30" t="s">
        <v>10648</v>
      </c>
      <c r="H1935" s="30" t="s">
        <v>11073</v>
      </c>
    </row>
    <row r="1936" spans="1:8">
      <c r="A1936" s="30" t="s">
        <v>12846</v>
      </c>
      <c r="B1936" s="30"/>
      <c r="C1936" s="30" t="s">
        <v>8607</v>
      </c>
      <c r="D1936" s="30"/>
      <c r="E1936" s="30"/>
      <c r="F1936" s="30"/>
      <c r="G1936" s="30" t="s">
        <v>8729</v>
      </c>
      <c r="H1936" s="30" t="s">
        <v>12847</v>
      </c>
    </row>
    <row r="1937" spans="1:8">
      <c r="A1937" s="30" t="s">
        <v>12848</v>
      </c>
      <c r="B1937" s="30"/>
      <c r="C1937" s="30" t="s">
        <v>8607</v>
      </c>
      <c r="D1937" s="30"/>
      <c r="E1937" s="30"/>
      <c r="F1937" s="30"/>
      <c r="G1937" s="30" t="s">
        <v>8649</v>
      </c>
      <c r="H1937" s="30" t="s">
        <v>10464</v>
      </c>
    </row>
    <row r="1938" spans="1:8">
      <c r="A1938" s="30" t="s">
        <v>12849</v>
      </c>
      <c r="B1938" s="30"/>
      <c r="C1938" s="30" t="s">
        <v>8607</v>
      </c>
      <c r="D1938" s="30"/>
      <c r="E1938" s="30" t="s">
        <v>10506</v>
      </c>
      <c r="F1938" s="30" t="e">
        <v>#VALUE!</v>
      </c>
      <c r="G1938" s="30" t="s">
        <v>8678</v>
      </c>
      <c r="H1938" s="30" t="s">
        <v>10500</v>
      </c>
    </row>
    <row r="1939" spans="1:8">
      <c r="A1939" s="30" t="s">
        <v>12850</v>
      </c>
      <c r="B1939" s="30"/>
      <c r="C1939" s="30" t="s">
        <v>8607</v>
      </c>
      <c r="D1939" s="30"/>
      <c r="E1939" s="30"/>
      <c r="F1939" s="30"/>
      <c r="G1939" s="30" t="s">
        <v>8681</v>
      </c>
      <c r="H1939" s="30" t="s">
        <v>10508</v>
      </c>
    </row>
    <row r="1940" spans="1:8">
      <c r="A1940" s="30" t="s">
        <v>12851</v>
      </c>
      <c r="B1940" s="30"/>
      <c r="C1940" s="30" t="s">
        <v>8607</v>
      </c>
      <c r="D1940" s="30" t="s">
        <v>10514</v>
      </c>
      <c r="E1940" s="30"/>
      <c r="F1940" s="30"/>
      <c r="G1940" s="30" t="s">
        <v>8646</v>
      </c>
      <c r="H1940" s="30" t="s">
        <v>10483</v>
      </c>
    </row>
    <row r="1941" spans="1:8">
      <c r="A1941" s="30" t="s">
        <v>12852</v>
      </c>
      <c r="B1941" s="30"/>
      <c r="C1941" s="30" t="s">
        <v>8607</v>
      </c>
      <c r="D1941" s="30"/>
      <c r="E1941" s="30"/>
      <c r="F1941" s="30"/>
      <c r="G1941" s="30" t="s">
        <v>8717</v>
      </c>
      <c r="H1941" s="30" t="s">
        <v>12853</v>
      </c>
    </row>
    <row r="1942" spans="1:8">
      <c r="A1942" s="30" t="s">
        <v>12854</v>
      </c>
      <c r="B1942" s="30"/>
      <c r="C1942" s="30" t="s">
        <v>8607</v>
      </c>
      <c r="D1942" s="30"/>
      <c r="E1942" s="30"/>
      <c r="F1942" s="30"/>
      <c r="G1942" s="30" t="s">
        <v>8717</v>
      </c>
      <c r="H1942" s="30" t="s">
        <v>12853</v>
      </c>
    </row>
    <row r="1943" spans="1:8">
      <c r="A1943" s="30" t="s">
        <v>12855</v>
      </c>
      <c r="B1943" s="30"/>
      <c r="C1943" s="30" t="s">
        <v>8607</v>
      </c>
      <c r="D1943" s="30" t="s">
        <v>12856</v>
      </c>
      <c r="E1943" s="30"/>
      <c r="F1943" s="30"/>
      <c r="G1943" s="30" t="s">
        <v>8737</v>
      </c>
      <c r="H1943" s="30" t="s">
        <v>11143</v>
      </c>
    </row>
    <row r="1944" spans="1:8">
      <c r="A1944" s="30" t="s">
        <v>12857</v>
      </c>
      <c r="B1944" s="30"/>
      <c r="C1944" s="30" t="s">
        <v>8607</v>
      </c>
      <c r="D1944" s="30" t="s">
        <v>8736</v>
      </c>
      <c r="E1944" s="30"/>
      <c r="F1944" s="30"/>
      <c r="G1944" s="30" t="s">
        <v>8737</v>
      </c>
      <c r="H1944" s="30" t="s">
        <v>10785</v>
      </c>
    </row>
    <row r="1945" spans="1:8">
      <c r="A1945" s="30" t="s">
        <v>12858</v>
      </c>
      <c r="B1945" s="30"/>
      <c r="C1945" s="30" t="s">
        <v>8607</v>
      </c>
      <c r="D1945" s="30"/>
      <c r="E1945" s="30"/>
      <c r="F1945" s="30"/>
      <c r="G1945" s="30"/>
      <c r="H1945" s="30" t="s">
        <v>8802</v>
      </c>
    </row>
    <row r="1946" spans="1:8">
      <c r="A1946" s="30" t="s">
        <v>12859</v>
      </c>
      <c r="B1946" s="30"/>
      <c r="C1946" s="30" t="s">
        <v>8626</v>
      </c>
      <c r="D1946" s="30"/>
      <c r="E1946" s="30"/>
      <c r="F1946" s="30"/>
      <c r="G1946" s="30" t="s">
        <v>10220</v>
      </c>
      <c r="H1946" s="30" t="s">
        <v>11146</v>
      </c>
    </row>
    <row r="1947" spans="1:8">
      <c r="A1947" s="30" t="s">
        <v>12860</v>
      </c>
      <c r="B1947" s="30"/>
      <c r="C1947" s="30" t="s">
        <v>8607</v>
      </c>
      <c r="D1947" s="30" t="s">
        <v>12861</v>
      </c>
      <c r="E1947" s="30"/>
      <c r="F1947" s="30"/>
      <c r="G1947" s="30" t="s">
        <v>12862</v>
      </c>
      <c r="H1947" s="30" t="s">
        <v>12863</v>
      </c>
    </row>
    <row r="1948" spans="1:8">
      <c r="A1948" s="30" t="s">
        <v>12864</v>
      </c>
      <c r="B1948" s="30"/>
      <c r="C1948" s="30" t="s">
        <v>8626</v>
      </c>
      <c r="D1948" s="30" t="s">
        <v>12865</v>
      </c>
      <c r="E1948" s="30" t="s">
        <v>12866</v>
      </c>
      <c r="F1948" s="30" t="s">
        <v>8672</v>
      </c>
      <c r="G1948" s="30" t="s">
        <v>12867</v>
      </c>
      <c r="H1948" s="30" t="s">
        <v>12868</v>
      </c>
    </row>
    <row r="1949" spans="1:8">
      <c r="A1949" s="30" t="s">
        <v>12869</v>
      </c>
      <c r="B1949" s="30"/>
      <c r="C1949" s="30" t="s">
        <v>8607</v>
      </c>
      <c r="D1949" s="30" t="s">
        <v>12861</v>
      </c>
      <c r="E1949" s="30" t="s">
        <v>12870</v>
      </c>
      <c r="F1949" s="30" t="s">
        <v>8672</v>
      </c>
      <c r="G1949" s="30" t="s">
        <v>12862</v>
      </c>
      <c r="H1949" s="30" t="s">
        <v>12863</v>
      </c>
    </row>
    <row r="1950" spans="1:8">
      <c r="A1950" s="30" t="s">
        <v>12871</v>
      </c>
      <c r="B1950" s="30"/>
      <c r="C1950" s="30" t="s">
        <v>8607</v>
      </c>
      <c r="D1950" s="30"/>
      <c r="E1950" s="30"/>
      <c r="F1950" s="30"/>
      <c r="G1950" s="30"/>
      <c r="H1950" s="30" t="s">
        <v>12872</v>
      </c>
    </row>
    <row r="1951" spans="1:8">
      <c r="A1951" s="30" t="s">
        <v>12873</v>
      </c>
      <c r="B1951" s="30"/>
      <c r="C1951" s="30" t="s">
        <v>8607</v>
      </c>
      <c r="D1951" s="30"/>
      <c r="E1951" s="30"/>
      <c r="F1951" s="30"/>
      <c r="G1951" s="30" t="s">
        <v>12874</v>
      </c>
      <c r="H1951" s="30" t="s">
        <v>12875</v>
      </c>
    </row>
    <row r="1952" spans="1:8">
      <c r="A1952" s="30" t="s">
        <v>12876</v>
      </c>
      <c r="B1952" s="30"/>
      <c r="C1952" s="30" t="s">
        <v>8607</v>
      </c>
      <c r="D1952" s="30"/>
      <c r="E1952" s="30"/>
      <c r="F1952" s="30"/>
      <c r="G1952" s="30" t="s">
        <v>8726</v>
      </c>
      <c r="H1952" s="30" t="s">
        <v>8727</v>
      </c>
    </row>
    <row r="1953" spans="1:8">
      <c r="A1953" s="30" t="s">
        <v>12877</v>
      </c>
      <c r="B1953" s="30"/>
      <c r="C1953" s="30" t="s">
        <v>8626</v>
      </c>
      <c r="D1953" s="30" t="s">
        <v>8689</v>
      </c>
      <c r="E1953" s="30" t="s">
        <v>10191</v>
      </c>
      <c r="F1953" s="30" t="e">
        <v>#VALUE!</v>
      </c>
      <c r="G1953" s="30" t="s">
        <v>8691</v>
      </c>
      <c r="H1953" s="30" t="s">
        <v>10447</v>
      </c>
    </row>
    <row r="1954" spans="1:8">
      <c r="A1954" s="30" t="s">
        <v>12878</v>
      </c>
      <c r="B1954" s="30"/>
      <c r="C1954" s="30" t="s">
        <v>8607</v>
      </c>
      <c r="D1954" s="30" t="s">
        <v>8916</v>
      </c>
      <c r="E1954" s="30" t="s">
        <v>8655</v>
      </c>
      <c r="F1954" s="30" t="s">
        <v>8618</v>
      </c>
      <c r="G1954" s="30" t="s">
        <v>8656</v>
      </c>
      <c r="H1954" s="30" t="s">
        <v>9423</v>
      </c>
    </row>
    <row r="1955" spans="1:8">
      <c r="A1955" s="30" t="s">
        <v>12879</v>
      </c>
      <c r="B1955" s="30"/>
      <c r="C1955" s="30" t="s">
        <v>8607</v>
      </c>
      <c r="D1955" s="30"/>
      <c r="E1955" s="30" t="s">
        <v>12880</v>
      </c>
      <c r="F1955" s="30" t="s">
        <v>8618</v>
      </c>
      <c r="G1955" s="30" t="s">
        <v>9450</v>
      </c>
      <c r="H1955" s="30" t="s">
        <v>12881</v>
      </c>
    </row>
    <row r="1956" spans="1:8">
      <c r="A1956" s="30" t="s">
        <v>12882</v>
      </c>
      <c r="B1956" s="30"/>
      <c r="C1956" s="30" t="s">
        <v>8607</v>
      </c>
      <c r="D1956" s="30" t="s">
        <v>12883</v>
      </c>
      <c r="E1956" s="30" t="s">
        <v>9539</v>
      </c>
      <c r="F1956" s="30" t="s">
        <v>8672</v>
      </c>
      <c r="G1956" s="30" t="s">
        <v>9384</v>
      </c>
      <c r="H1956" s="30" t="s">
        <v>12884</v>
      </c>
    </row>
    <row r="1957" spans="1:8">
      <c r="A1957" s="30" t="s">
        <v>12885</v>
      </c>
      <c r="B1957" s="30"/>
      <c r="C1957" s="30" t="s">
        <v>8607</v>
      </c>
      <c r="D1957" s="30" t="s">
        <v>9819</v>
      </c>
      <c r="E1957" s="30"/>
      <c r="F1957" s="30"/>
      <c r="G1957" s="30" t="s">
        <v>9821</v>
      </c>
      <c r="H1957" s="30" t="s">
        <v>12886</v>
      </c>
    </row>
    <row r="1958" spans="1:8">
      <c r="A1958" s="30" t="s">
        <v>12887</v>
      </c>
      <c r="B1958" s="30"/>
      <c r="C1958" s="30" t="s">
        <v>8607</v>
      </c>
      <c r="D1958" s="30" t="s">
        <v>9262</v>
      </c>
      <c r="E1958" s="30"/>
      <c r="F1958" s="30"/>
      <c r="G1958" s="30" t="s">
        <v>9002</v>
      </c>
      <c r="H1958" s="30" t="s">
        <v>12888</v>
      </c>
    </row>
    <row r="1959" spans="1:8">
      <c r="A1959" s="30" t="s">
        <v>12889</v>
      </c>
      <c r="B1959" s="30"/>
      <c r="C1959" s="30" t="s">
        <v>8607</v>
      </c>
      <c r="D1959" s="30"/>
      <c r="E1959" s="30"/>
      <c r="F1959" s="30"/>
      <c r="G1959" s="30" t="s">
        <v>10220</v>
      </c>
      <c r="H1959" s="30" t="s">
        <v>12890</v>
      </c>
    </row>
    <row r="1960" spans="1:8">
      <c r="A1960" s="30" t="s">
        <v>12891</v>
      </c>
      <c r="B1960" s="30"/>
      <c r="C1960" s="30" t="s">
        <v>8626</v>
      </c>
      <c r="D1960" s="30" t="s">
        <v>8736</v>
      </c>
      <c r="E1960" s="30"/>
      <c r="F1960" s="30"/>
      <c r="G1960" s="30" t="s">
        <v>8737</v>
      </c>
      <c r="H1960" s="30" t="s">
        <v>8738</v>
      </c>
    </row>
    <row r="1961" spans="1:8">
      <c r="A1961" s="30" t="s">
        <v>12892</v>
      </c>
      <c r="B1961" s="30"/>
      <c r="C1961" s="30" t="s">
        <v>8626</v>
      </c>
      <c r="D1961" s="30"/>
      <c r="E1961" s="30"/>
      <c r="F1961" s="30"/>
      <c r="G1961" s="30" t="s">
        <v>10220</v>
      </c>
      <c r="H1961" s="30" t="s">
        <v>10278</v>
      </c>
    </row>
    <row r="1962" spans="1:8">
      <c r="A1962" s="30" t="s">
        <v>12893</v>
      </c>
      <c r="B1962" s="30"/>
      <c r="C1962" s="30" t="s">
        <v>8626</v>
      </c>
      <c r="D1962" s="30"/>
      <c r="E1962" s="30"/>
      <c r="F1962" s="30"/>
      <c r="G1962" s="30" t="s">
        <v>10220</v>
      </c>
      <c r="H1962" s="30" t="s">
        <v>10278</v>
      </c>
    </row>
    <row r="1963" spans="1:8">
      <c r="A1963" s="30" t="s">
        <v>12894</v>
      </c>
      <c r="B1963" s="30"/>
      <c r="C1963" s="30" t="s">
        <v>8626</v>
      </c>
      <c r="D1963" s="30" t="s">
        <v>8736</v>
      </c>
      <c r="E1963" s="30"/>
      <c r="F1963" s="30"/>
      <c r="G1963" s="30" t="s">
        <v>8737</v>
      </c>
      <c r="H1963" s="30" t="s">
        <v>8738</v>
      </c>
    </row>
    <row r="1964" spans="1:8">
      <c r="A1964" s="30" t="s">
        <v>12895</v>
      </c>
      <c r="B1964" s="30"/>
      <c r="C1964" s="30" t="s">
        <v>8607</v>
      </c>
      <c r="D1964" s="30"/>
      <c r="E1964" s="30"/>
      <c r="F1964" s="30"/>
      <c r="G1964" s="30"/>
      <c r="H1964" s="30" t="s">
        <v>12896</v>
      </c>
    </row>
    <row r="1965" spans="1:8">
      <c r="A1965" s="30" t="s">
        <v>12897</v>
      </c>
      <c r="B1965" s="30"/>
      <c r="C1965" s="30" t="s">
        <v>8607</v>
      </c>
      <c r="D1965" s="30" t="s">
        <v>8676</v>
      </c>
      <c r="E1965" s="30" t="s">
        <v>10200</v>
      </c>
      <c r="F1965" s="30" t="e">
        <v>#VALUE!</v>
      </c>
      <c r="G1965" s="30" t="s">
        <v>8678</v>
      </c>
      <c r="H1965" s="30" t="s">
        <v>11160</v>
      </c>
    </row>
    <row r="1966" spans="1:8">
      <c r="A1966" s="30" t="s">
        <v>12898</v>
      </c>
      <c r="B1966" s="30"/>
      <c r="C1966" s="30" t="s">
        <v>8607</v>
      </c>
      <c r="D1966" s="30"/>
      <c r="E1966" s="30"/>
      <c r="F1966" s="30"/>
      <c r="G1966" s="30" t="s">
        <v>8681</v>
      </c>
      <c r="H1966" s="30" t="s">
        <v>9984</v>
      </c>
    </row>
    <row r="1967" spans="1:8">
      <c r="A1967" s="30" t="s">
        <v>12899</v>
      </c>
      <c r="B1967" s="30"/>
      <c r="C1967" s="30" t="s">
        <v>8607</v>
      </c>
      <c r="D1967" s="30"/>
      <c r="E1967" s="30"/>
      <c r="F1967" s="30"/>
      <c r="G1967" s="30" t="s">
        <v>8729</v>
      </c>
      <c r="H1967" s="30" t="s">
        <v>10195</v>
      </c>
    </row>
    <row r="1968" spans="1:8">
      <c r="A1968" s="30" t="s">
        <v>12900</v>
      </c>
      <c r="B1968" s="30"/>
      <c r="C1968" s="30" t="s">
        <v>8626</v>
      </c>
      <c r="D1968" s="30" t="s">
        <v>8883</v>
      </c>
      <c r="E1968" s="30" t="s">
        <v>12901</v>
      </c>
      <c r="F1968" s="30" t="s">
        <v>8672</v>
      </c>
      <c r="G1968" s="30" t="s">
        <v>8885</v>
      </c>
      <c r="H1968" s="30" t="s">
        <v>10308</v>
      </c>
    </row>
    <row r="1969" spans="1:8">
      <c r="A1969" s="30" t="s">
        <v>12902</v>
      </c>
      <c r="B1969" s="30"/>
      <c r="C1969" s="30" t="s">
        <v>8607</v>
      </c>
      <c r="D1969" s="30" t="s">
        <v>12618</v>
      </c>
      <c r="E1969" s="30" t="s">
        <v>9534</v>
      </c>
      <c r="F1969" s="30" t="s">
        <v>8618</v>
      </c>
      <c r="G1969" s="30" t="s">
        <v>9535</v>
      </c>
      <c r="H1969" s="30" t="s">
        <v>12903</v>
      </c>
    </row>
    <row r="1970" spans="1:8">
      <c r="A1970" s="30" t="s">
        <v>12904</v>
      </c>
      <c r="B1970" s="30"/>
      <c r="C1970" s="30" t="s">
        <v>8626</v>
      </c>
      <c r="D1970" s="30" t="s">
        <v>12905</v>
      </c>
      <c r="E1970" s="30" t="s">
        <v>12906</v>
      </c>
      <c r="F1970" s="30" t="s">
        <v>8618</v>
      </c>
      <c r="G1970" s="30"/>
      <c r="H1970" s="30" t="s">
        <v>12907</v>
      </c>
    </row>
    <row r="1971" spans="1:8">
      <c r="A1971" s="30" t="s">
        <v>12908</v>
      </c>
      <c r="B1971" s="30"/>
      <c r="C1971" s="30" t="s">
        <v>8607</v>
      </c>
      <c r="D1971" s="30" t="s">
        <v>12618</v>
      </c>
      <c r="E1971" s="30" t="s">
        <v>9534</v>
      </c>
      <c r="F1971" s="30" t="s">
        <v>8618</v>
      </c>
      <c r="G1971" s="30" t="s">
        <v>9535</v>
      </c>
      <c r="H1971" s="30" t="s">
        <v>12903</v>
      </c>
    </row>
    <row r="1972" spans="1:8">
      <c r="A1972" s="30" t="s">
        <v>12909</v>
      </c>
      <c r="B1972" s="30"/>
      <c r="C1972" s="30" t="s">
        <v>8626</v>
      </c>
      <c r="D1972" s="30" t="s">
        <v>12905</v>
      </c>
      <c r="E1972" s="30" t="s">
        <v>12906</v>
      </c>
      <c r="F1972" s="30" t="s">
        <v>8618</v>
      </c>
      <c r="G1972" s="30"/>
      <c r="H1972" s="30" t="s">
        <v>12907</v>
      </c>
    </row>
    <row r="1973" spans="1:8">
      <c r="A1973" s="30" t="s">
        <v>12910</v>
      </c>
      <c r="B1973" s="30"/>
      <c r="C1973" s="30" t="s">
        <v>8626</v>
      </c>
      <c r="D1973" s="30" t="s">
        <v>12911</v>
      </c>
      <c r="E1973" s="30" t="s">
        <v>10179</v>
      </c>
      <c r="F1973" s="30" t="s">
        <v>8618</v>
      </c>
      <c r="G1973" s="30" t="s">
        <v>8989</v>
      </c>
      <c r="H1973" s="30" t="s">
        <v>10362</v>
      </c>
    </row>
    <row r="1974" spans="1:8">
      <c r="A1974" s="30" t="s">
        <v>12912</v>
      </c>
      <c r="B1974" s="30"/>
      <c r="C1974" s="30" t="s">
        <v>8607</v>
      </c>
      <c r="D1974" s="30" t="s">
        <v>8821</v>
      </c>
      <c r="E1974" s="30"/>
      <c r="F1974" s="30"/>
      <c r="G1974" s="30" t="s">
        <v>8737</v>
      </c>
      <c r="H1974" s="30" t="s">
        <v>10851</v>
      </c>
    </row>
    <row r="1975" spans="1:8">
      <c r="A1975" s="30" t="s">
        <v>12913</v>
      </c>
      <c r="B1975" s="30"/>
      <c r="C1975" s="30" t="s">
        <v>8607</v>
      </c>
      <c r="D1975" s="30"/>
      <c r="E1975" s="30"/>
      <c r="F1975" s="30"/>
      <c r="G1975" s="30" t="s">
        <v>8743</v>
      </c>
      <c r="H1975" s="30" t="s">
        <v>12914</v>
      </c>
    </row>
    <row r="1976" spans="1:8">
      <c r="A1976" s="30" t="s">
        <v>12915</v>
      </c>
      <c r="B1976" s="30"/>
      <c r="C1976" s="30" t="s">
        <v>8607</v>
      </c>
      <c r="D1976" s="30" t="s">
        <v>8856</v>
      </c>
      <c r="E1976" s="30" t="s">
        <v>12916</v>
      </c>
      <c r="F1976" s="30" t="s">
        <v>8618</v>
      </c>
      <c r="G1976" s="30" t="s">
        <v>8858</v>
      </c>
      <c r="H1976" s="30" t="s">
        <v>11285</v>
      </c>
    </row>
    <row r="1977" spans="1:8">
      <c r="A1977" s="30" t="s">
        <v>12917</v>
      </c>
      <c r="B1977" s="30"/>
      <c r="C1977" s="30" t="s">
        <v>8626</v>
      </c>
      <c r="D1977" s="30" t="s">
        <v>12905</v>
      </c>
      <c r="E1977" s="30" t="s">
        <v>12403</v>
      </c>
      <c r="F1977" s="30" t="s">
        <v>8618</v>
      </c>
      <c r="G1977" s="30" t="s">
        <v>8858</v>
      </c>
      <c r="H1977" s="30" t="s">
        <v>12404</v>
      </c>
    </row>
    <row r="1978" spans="1:8">
      <c r="A1978" s="30" t="s">
        <v>12918</v>
      </c>
      <c r="B1978" s="30"/>
      <c r="C1978" s="30" t="s">
        <v>8626</v>
      </c>
      <c r="D1978" s="30"/>
      <c r="E1978" s="30" t="s">
        <v>10422</v>
      </c>
      <c r="F1978" s="30" t="s">
        <v>8618</v>
      </c>
      <c r="G1978" s="30" t="s">
        <v>8623</v>
      </c>
      <c r="H1978" s="30" t="s">
        <v>12919</v>
      </c>
    </row>
    <row r="1979" spans="1:8">
      <c r="A1979" s="30" t="s">
        <v>12920</v>
      </c>
      <c r="B1979" s="30"/>
      <c r="C1979" s="30" t="s">
        <v>8607</v>
      </c>
      <c r="D1979" s="30" t="s">
        <v>12612</v>
      </c>
      <c r="E1979" s="30" t="s">
        <v>12246</v>
      </c>
      <c r="F1979" s="30" t="s">
        <v>8618</v>
      </c>
      <c r="G1979" s="30" t="s">
        <v>10427</v>
      </c>
      <c r="H1979" s="30" t="s">
        <v>10428</v>
      </c>
    </row>
    <row r="1980" spans="1:8">
      <c r="A1980" s="30" t="s">
        <v>12921</v>
      </c>
      <c r="B1980" s="30"/>
      <c r="C1980" s="30" t="s">
        <v>8607</v>
      </c>
      <c r="D1980" s="30" t="s">
        <v>9824</v>
      </c>
      <c r="E1980" s="30"/>
      <c r="F1980" s="30"/>
      <c r="G1980" s="30" t="s">
        <v>12922</v>
      </c>
      <c r="H1980" s="30" t="s">
        <v>12923</v>
      </c>
    </row>
    <row r="1981" spans="1:8">
      <c r="A1981" s="30" t="s">
        <v>12924</v>
      </c>
      <c r="B1981" s="30"/>
      <c r="C1981" s="30" t="s">
        <v>8607</v>
      </c>
      <c r="D1981" s="30" t="s">
        <v>8789</v>
      </c>
      <c r="E1981" s="30"/>
      <c r="F1981" s="30"/>
      <c r="G1981" s="30" t="s">
        <v>8633</v>
      </c>
      <c r="H1981" s="30" t="s">
        <v>11987</v>
      </c>
    </row>
    <row r="1982" spans="1:8">
      <c r="A1982" s="30" t="s">
        <v>12925</v>
      </c>
      <c r="B1982" s="30"/>
      <c r="C1982" s="30" t="s">
        <v>8626</v>
      </c>
      <c r="D1982" s="30" t="s">
        <v>12926</v>
      </c>
      <c r="E1982" s="30" t="s">
        <v>10401</v>
      </c>
      <c r="F1982" s="30" t="s">
        <v>8618</v>
      </c>
      <c r="G1982" s="30" t="s">
        <v>8989</v>
      </c>
      <c r="H1982" s="30" t="s">
        <v>10402</v>
      </c>
    </row>
    <row r="1983" spans="1:8">
      <c r="A1983" s="30" t="s">
        <v>12927</v>
      </c>
      <c r="B1983" s="30"/>
      <c r="C1983" s="30" t="s">
        <v>8607</v>
      </c>
      <c r="D1983" s="30" t="s">
        <v>10404</v>
      </c>
      <c r="E1983" s="30" t="s">
        <v>10405</v>
      </c>
      <c r="F1983" s="30" t="s">
        <v>8618</v>
      </c>
      <c r="G1983" s="30" t="s">
        <v>8943</v>
      </c>
      <c r="H1983" s="30" t="s">
        <v>10617</v>
      </c>
    </row>
    <row r="1984" spans="1:8">
      <c r="A1984" s="30" t="s">
        <v>12928</v>
      </c>
      <c r="B1984" s="30"/>
      <c r="C1984" s="30" t="s">
        <v>8607</v>
      </c>
      <c r="D1984" s="30" t="s">
        <v>10377</v>
      </c>
      <c r="E1984" s="30"/>
      <c r="F1984" s="30"/>
      <c r="G1984" s="30" t="s">
        <v>8737</v>
      </c>
      <c r="H1984" s="30" t="s">
        <v>11224</v>
      </c>
    </row>
    <row r="1985" spans="1:8">
      <c r="A1985" s="30" t="s">
        <v>12929</v>
      </c>
      <c r="B1985" s="30"/>
      <c r="C1985" s="30" t="s">
        <v>8607</v>
      </c>
      <c r="D1985" s="30"/>
      <c r="E1985" s="30"/>
      <c r="F1985" s="30"/>
      <c r="G1985" s="30" t="s">
        <v>10320</v>
      </c>
      <c r="H1985" s="30" t="s">
        <v>10321</v>
      </c>
    </row>
    <row r="1986" spans="1:8">
      <c r="A1986" s="30" t="s">
        <v>12930</v>
      </c>
      <c r="B1986" s="30"/>
      <c r="C1986" s="30" t="s">
        <v>8607</v>
      </c>
      <c r="D1986" s="30" t="s">
        <v>10667</v>
      </c>
      <c r="E1986" s="30"/>
      <c r="F1986" s="30"/>
      <c r="G1986" s="30" t="s">
        <v>10668</v>
      </c>
      <c r="H1986" s="30" t="s">
        <v>12931</v>
      </c>
    </row>
    <row r="1987" spans="1:8">
      <c r="A1987" s="30" t="s">
        <v>12932</v>
      </c>
      <c r="B1987" s="30"/>
      <c r="C1987" s="30" t="s">
        <v>8607</v>
      </c>
      <c r="D1987" s="30" t="s">
        <v>9546</v>
      </c>
      <c r="E1987" s="30" t="s">
        <v>9547</v>
      </c>
      <c r="F1987" s="30" t="s">
        <v>8672</v>
      </c>
      <c r="G1987" s="30" t="s">
        <v>9366</v>
      </c>
      <c r="H1987" s="30" t="s">
        <v>12933</v>
      </c>
    </row>
    <row r="1988" spans="1:8">
      <c r="A1988" s="30" t="s">
        <v>12934</v>
      </c>
      <c r="B1988" s="30"/>
      <c r="C1988" s="30" t="s">
        <v>8626</v>
      </c>
      <c r="D1988" s="30"/>
      <c r="E1988" s="30" t="s">
        <v>12935</v>
      </c>
      <c r="F1988" s="30" t="e">
        <v>#VALUE!</v>
      </c>
      <c r="G1988" s="30" t="s">
        <v>8623</v>
      </c>
      <c r="H1988" s="30" t="s">
        <v>11022</v>
      </c>
    </row>
    <row r="1989" spans="1:8">
      <c r="A1989" s="30" t="s">
        <v>12936</v>
      </c>
      <c r="B1989" s="30"/>
      <c r="C1989" s="30" t="s">
        <v>8626</v>
      </c>
      <c r="D1989" s="30"/>
      <c r="E1989" s="30"/>
      <c r="F1989" s="30"/>
      <c r="G1989" s="30" t="s">
        <v>10220</v>
      </c>
      <c r="H1989" s="30" t="s">
        <v>10278</v>
      </c>
    </row>
    <row r="1990" spans="1:8">
      <c r="A1990" s="30" t="s">
        <v>12937</v>
      </c>
      <c r="B1990" s="30"/>
      <c r="C1990" s="30" t="s">
        <v>8626</v>
      </c>
      <c r="D1990" s="30" t="s">
        <v>10579</v>
      </c>
      <c r="E1990" s="30"/>
      <c r="F1990" s="30"/>
      <c r="G1990" s="30"/>
      <c r="H1990" s="30" t="s">
        <v>10580</v>
      </c>
    </row>
    <row r="1991" spans="1:8">
      <c r="A1991" s="30" t="s">
        <v>12938</v>
      </c>
      <c r="B1991" s="30"/>
      <c r="C1991" s="30" t="s">
        <v>8626</v>
      </c>
      <c r="D1991" s="30"/>
      <c r="E1991" s="30"/>
      <c r="F1991" s="30"/>
      <c r="G1991" s="30" t="s">
        <v>8888</v>
      </c>
      <c r="H1991" s="30" t="s">
        <v>8889</v>
      </c>
    </row>
    <row r="1992" spans="1:8">
      <c r="A1992" s="30" t="s">
        <v>12939</v>
      </c>
      <c r="B1992" s="30"/>
      <c r="C1992" s="30" t="s">
        <v>8607</v>
      </c>
      <c r="D1992" s="30" t="s">
        <v>12940</v>
      </c>
      <c r="E1992" s="30" t="s">
        <v>9766</v>
      </c>
      <c r="F1992" s="30" t="s">
        <v>8618</v>
      </c>
      <c r="G1992" s="30" t="s">
        <v>9767</v>
      </c>
      <c r="H1992" s="30" t="s">
        <v>12941</v>
      </c>
    </row>
    <row r="1993" spans="1:8">
      <c r="A1993" s="30" t="s">
        <v>12942</v>
      </c>
      <c r="B1993" s="30"/>
      <c r="C1993" s="30" t="s">
        <v>8607</v>
      </c>
      <c r="D1993" s="30" t="s">
        <v>9983</v>
      </c>
      <c r="E1993" s="30"/>
      <c r="F1993" s="30"/>
      <c r="G1993" s="30" t="s">
        <v>8681</v>
      </c>
      <c r="H1993" s="30" t="s">
        <v>12943</v>
      </c>
    </row>
    <row r="1994" spans="1:8">
      <c r="A1994" s="30" t="s">
        <v>12944</v>
      </c>
      <c r="B1994" s="30"/>
      <c r="C1994" s="30" t="s">
        <v>8607</v>
      </c>
      <c r="D1994" s="30" t="s">
        <v>8736</v>
      </c>
      <c r="E1994" s="30"/>
      <c r="F1994" s="30"/>
      <c r="G1994" s="30" t="s">
        <v>8737</v>
      </c>
      <c r="H1994" s="30" t="s">
        <v>11143</v>
      </c>
    </row>
    <row r="1995" spans="1:8">
      <c r="A1995" s="30" t="s">
        <v>12945</v>
      </c>
      <c r="B1995" s="30"/>
      <c r="C1995" s="30" t="s">
        <v>8607</v>
      </c>
      <c r="D1995" s="30" t="s">
        <v>8736</v>
      </c>
      <c r="E1995" s="30"/>
      <c r="F1995" s="30"/>
      <c r="G1995" s="30" t="s">
        <v>8737</v>
      </c>
      <c r="H1995" s="30" t="s">
        <v>10407</v>
      </c>
    </row>
    <row r="1996" spans="1:8">
      <c r="A1996" s="30" t="s">
        <v>12946</v>
      </c>
      <c r="B1996" s="30"/>
      <c r="C1996" s="30"/>
      <c r="D1996" s="32"/>
      <c r="E1996" s="30"/>
      <c r="F1996" s="30"/>
      <c r="G1996" s="30"/>
      <c r="H1996" s="30" t="s">
        <v>12947</v>
      </c>
    </row>
    <row r="1997" spans="1:8">
      <c r="A1997" s="30" t="s">
        <v>12948</v>
      </c>
      <c r="B1997" s="30"/>
      <c r="C1997" s="30" t="s">
        <v>8626</v>
      </c>
      <c r="D1997" s="30"/>
      <c r="E1997" s="30"/>
      <c r="F1997" s="30"/>
      <c r="G1997" s="30" t="s">
        <v>10220</v>
      </c>
      <c r="H1997" s="30" t="s">
        <v>12949</v>
      </c>
    </row>
    <row r="1998" spans="1:8">
      <c r="A1998" s="30" t="s">
        <v>12950</v>
      </c>
      <c r="B1998" s="30"/>
      <c r="C1998" s="30" t="s">
        <v>8626</v>
      </c>
      <c r="D1998" s="30"/>
      <c r="E1998" s="30"/>
      <c r="F1998" s="30"/>
      <c r="G1998" s="30" t="s">
        <v>9363</v>
      </c>
      <c r="H1998" s="30" t="s">
        <v>10520</v>
      </c>
    </row>
    <row r="1999" spans="1:8">
      <c r="A1999" s="30" t="s">
        <v>12951</v>
      </c>
      <c r="B1999" s="30"/>
      <c r="C1999" s="30" t="s">
        <v>8607</v>
      </c>
      <c r="D1999" s="30" t="s">
        <v>11426</v>
      </c>
      <c r="E1999" s="30"/>
      <c r="F1999" s="30"/>
      <c r="G1999" s="30" t="s">
        <v>8704</v>
      </c>
      <c r="H1999" s="30" t="s">
        <v>11427</v>
      </c>
    </row>
    <row r="2000" spans="1:8">
      <c r="A2000" s="30" t="s">
        <v>12952</v>
      </c>
      <c r="B2000" s="30"/>
      <c r="C2000" s="30"/>
      <c r="D2000" s="32"/>
      <c r="E2000" s="30"/>
      <c r="F2000" s="30"/>
      <c r="G2000" s="30"/>
      <c r="H2000" s="30" t="s">
        <v>11414</v>
      </c>
    </row>
    <row r="2001" spans="1:8">
      <c r="A2001" s="30" t="s">
        <v>12953</v>
      </c>
      <c r="B2001" s="30"/>
      <c r="C2001" s="30" t="s">
        <v>8626</v>
      </c>
      <c r="D2001" s="30" t="s">
        <v>10436</v>
      </c>
      <c r="E2001" s="30"/>
      <c r="F2001" s="30"/>
      <c r="G2001" s="30" t="s">
        <v>9847</v>
      </c>
      <c r="H2001" s="30" t="s">
        <v>10272</v>
      </c>
    </row>
    <row r="2002" spans="1:8">
      <c r="A2002" s="30" t="s">
        <v>12954</v>
      </c>
      <c r="B2002" s="30"/>
      <c r="C2002" s="30" t="s">
        <v>8607</v>
      </c>
      <c r="D2002" s="30"/>
      <c r="E2002" s="30"/>
      <c r="F2002" s="30"/>
      <c r="G2002" s="30" t="s">
        <v>10438</v>
      </c>
      <c r="H2002" s="30" t="s">
        <v>10439</v>
      </c>
    </row>
    <row r="2003" spans="1:8">
      <c r="A2003" s="30" t="s">
        <v>12955</v>
      </c>
      <c r="B2003" s="30"/>
      <c r="C2003" s="30" t="s">
        <v>8626</v>
      </c>
      <c r="D2003" s="30"/>
      <c r="E2003" s="30"/>
      <c r="F2003" s="30"/>
      <c r="G2003" s="30" t="s">
        <v>9358</v>
      </c>
      <c r="H2003" s="30" t="s">
        <v>10276</v>
      </c>
    </row>
    <row r="2004" spans="1:8">
      <c r="A2004" s="30" t="s">
        <v>12956</v>
      </c>
      <c r="B2004" s="30"/>
      <c r="C2004" s="30" t="s">
        <v>8607</v>
      </c>
      <c r="D2004" s="30" t="s">
        <v>10491</v>
      </c>
      <c r="E2004" s="30" t="s">
        <v>10638</v>
      </c>
      <c r="F2004" s="30" t="e">
        <v>#VALUE!</v>
      </c>
      <c r="G2004" s="30" t="s">
        <v>9007</v>
      </c>
      <c r="H2004" s="30" t="s">
        <v>11208</v>
      </c>
    </row>
    <row r="2005" spans="1:8">
      <c r="A2005" s="30" t="s">
        <v>12957</v>
      </c>
      <c r="B2005" s="30"/>
      <c r="C2005" s="30" t="s">
        <v>8607</v>
      </c>
      <c r="D2005" s="30" t="s">
        <v>10243</v>
      </c>
      <c r="E2005" s="30" t="s">
        <v>8850</v>
      </c>
      <c r="F2005" s="30" t="s">
        <v>8672</v>
      </c>
      <c r="G2005" s="30" t="s">
        <v>8851</v>
      </c>
      <c r="H2005" s="30" t="s">
        <v>12958</v>
      </c>
    </row>
    <row r="2006" spans="1:8">
      <c r="A2006" s="30" t="s">
        <v>12959</v>
      </c>
      <c r="B2006" s="30"/>
      <c r="C2006" s="30" t="s">
        <v>8626</v>
      </c>
      <c r="D2006" s="30"/>
      <c r="E2006" s="30"/>
      <c r="F2006" s="30"/>
      <c r="G2006" s="30" t="s">
        <v>8804</v>
      </c>
      <c r="H2006" s="30" t="s">
        <v>10237</v>
      </c>
    </row>
    <row r="2007" spans="1:8">
      <c r="A2007" s="30" t="s">
        <v>12960</v>
      </c>
      <c r="B2007" s="30"/>
      <c r="C2007" s="30" t="s">
        <v>8607</v>
      </c>
      <c r="D2007" s="30" t="s">
        <v>10917</v>
      </c>
      <c r="E2007" s="30" t="s">
        <v>8845</v>
      </c>
      <c r="F2007" s="30" t="s">
        <v>8672</v>
      </c>
      <c r="G2007" s="30" t="s">
        <v>8846</v>
      </c>
      <c r="H2007" s="30" t="s">
        <v>10918</v>
      </c>
    </row>
    <row r="2008" spans="1:8">
      <c r="A2008" s="30" t="s">
        <v>12961</v>
      </c>
      <c r="B2008" s="30"/>
      <c r="C2008" s="30" t="s">
        <v>8626</v>
      </c>
      <c r="D2008" s="30" t="s">
        <v>11401</v>
      </c>
      <c r="E2008" s="30" t="s">
        <v>12962</v>
      </c>
      <c r="F2008" s="30" t="s">
        <v>8618</v>
      </c>
      <c r="G2008" s="30"/>
      <c r="H2008" s="30" t="s">
        <v>12963</v>
      </c>
    </row>
    <row r="2009" spans="1:8">
      <c r="A2009" s="30" t="s">
        <v>12964</v>
      </c>
      <c r="B2009" s="30"/>
      <c r="C2009" s="30" t="s">
        <v>8626</v>
      </c>
      <c r="D2009" s="30"/>
      <c r="E2009" s="30" t="s">
        <v>8720</v>
      </c>
      <c r="F2009" s="30" t="e">
        <v>#VALUE!</v>
      </c>
      <c r="G2009" s="30" t="s">
        <v>8721</v>
      </c>
      <c r="H2009" s="30" t="s">
        <v>12513</v>
      </c>
    </row>
    <row r="2010" spans="1:8">
      <c r="A2010" s="30" t="s">
        <v>12965</v>
      </c>
      <c r="B2010" s="30"/>
      <c r="C2010" s="30" t="s">
        <v>8626</v>
      </c>
      <c r="D2010" s="30" t="s">
        <v>12966</v>
      </c>
      <c r="E2010" s="30" t="s">
        <v>9292</v>
      </c>
      <c r="F2010" s="30" t="e">
        <v>#VALUE!</v>
      </c>
      <c r="G2010" s="30" t="s">
        <v>8691</v>
      </c>
      <c r="H2010" s="30" t="s">
        <v>12967</v>
      </c>
    </row>
    <row r="2011" spans="1:8">
      <c r="A2011" s="30" t="s">
        <v>12968</v>
      </c>
      <c r="B2011" s="30"/>
      <c r="C2011" s="30" t="s">
        <v>8626</v>
      </c>
      <c r="D2011" s="30"/>
      <c r="E2011" s="30"/>
      <c r="F2011" s="30"/>
      <c r="G2011" s="30" t="s">
        <v>8726</v>
      </c>
      <c r="H2011" s="30" t="s">
        <v>10615</v>
      </c>
    </row>
    <row r="2012" spans="1:8">
      <c r="A2012" s="30" t="s">
        <v>12969</v>
      </c>
      <c r="B2012" s="30"/>
      <c r="C2012" s="30" t="s">
        <v>8607</v>
      </c>
      <c r="D2012" s="30" t="s">
        <v>12970</v>
      </c>
      <c r="E2012" s="30"/>
      <c r="F2012" s="30"/>
      <c r="G2012" s="30" t="s">
        <v>8609</v>
      </c>
      <c r="H2012" s="30" t="s">
        <v>12971</v>
      </c>
    </row>
    <row r="2013" spans="1:8">
      <c r="A2013" s="30" t="s">
        <v>12972</v>
      </c>
      <c r="B2013" s="30"/>
      <c r="C2013" s="30" t="s">
        <v>8607</v>
      </c>
      <c r="D2013" s="30" t="s">
        <v>9546</v>
      </c>
      <c r="E2013" s="30" t="s">
        <v>9547</v>
      </c>
      <c r="F2013" s="30" t="s">
        <v>8672</v>
      </c>
      <c r="G2013" s="30" t="s">
        <v>9366</v>
      </c>
      <c r="H2013" s="30" t="s">
        <v>11076</v>
      </c>
    </row>
    <row r="2014" spans="1:8">
      <c r="A2014" s="30" t="s">
        <v>12973</v>
      </c>
      <c r="B2014" s="30"/>
      <c r="C2014" s="30" t="s">
        <v>8607</v>
      </c>
      <c r="D2014" s="30" t="s">
        <v>9546</v>
      </c>
      <c r="E2014" s="30" t="s">
        <v>9547</v>
      </c>
      <c r="F2014" s="30" t="s">
        <v>8672</v>
      </c>
      <c r="G2014" s="30" t="s">
        <v>9366</v>
      </c>
      <c r="H2014" s="30" t="s">
        <v>12974</v>
      </c>
    </row>
    <row r="2015" spans="1:8">
      <c r="A2015" s="30" t="s">
        <v>12975</v>
      </c>
      <c r="B2015" s="30"/>
      <c r="C2015" s="30" t="s">
        <v>8607</v>
      </c>
      <c r="D2015" s="30"/>
      <c r="E2015" s="30"/>
      <c r="F2015" s="30"/>
      <c r="G2015" s="30"/>
      <c r="H2015" s="30" t="s">
        <v>12976</v>
      </c>
    </row>
    <row r="2016" spans="1:8">
      <c r="A2016" s="30" t="s">
        <v>12977</v>
      </c>
      <c r="B2016" s="30"/>
      <c r="C2016" s="30" t="s">
        <v>8607</v>
      </c>
      <c r="D2016" s="30"/>
      <c r="E2016" s="30" t="s">
        <v>12978</v>
      </c>
      <c r="F2016" s="30" t="s">
        <v>8618</v>
      </c>
      <c r="G2016" s="30" t="s">
        <v>8623</v>
      </c>
      <c r="H2016" s="30" t="s">
        <v>11052</v>
      </c>
    </row>
    <row r="2017" spans="1:8">
      <c r="A2017" s="30" t="s">
        <v>12979</v>
      </c>
      <c r="B2017" s="30"/>
      <c r="C2017" s="30" t="s">
        <v>8626</v>
      </c>
      <c r="D2017" s="30" t="s">
        <v>12980</v>
      </c>
      <c r="E2017" s="30" t="s">
        <v>12981</v>
      </c>
      <c r="F2017" s="30" t="s">
        <v>8618</v>
      </c>
      <c r="G2017" s="30" t="s">
        <v>12982</v>
      </c>
      <c r="H2017" s="30" t="s">
        <v>12983</v>
      </c>
    </row>
    <row r="2018" spans="1:8">
      <c r="A2018" s="30" t="s">
        <v>12984</v>
      </c>
      <c r="B2018" s="30"/>
      <c r="C2018" s="30" t="s">
        <v>8626</v>
      </c>
      <c r="D2018" s="30" t="s">
        <v>11080</v>
      </c>
      <c r="E2018" s="30" t="s">
        <v>9547</v>
      </c>
      <c r="F2018" s="30" t="s">
        <v>8672</v>
      </c>
      <c r="G2018" s="30"/>
      <c r="H2018" s="30" t="s">
        <v>10574</v>
      </c>
    </row>
    <row r="2019" spans="1:8">
      <c r="A2019" s="30" t="s">
        <v>12985</v>
      </c>
      <c r="B2019" s="30"/>
      <c r="C2019" s="30" t="s">
        <v>8607</v>
      </c>
      <c r="D2019" s="30"/>
      <c r="E2019" s="30"/>
      <c r="F2019" s="30"/>
      <c r="G2019" s="30" t="s">
        <v>8774</v>
      </c>
      <c r="H2019" s="30" t="s">
        <v>10594</v>
      </c>
    </row>
    <row r="2020" spans="1:8">
      <c r="A2020" s="30" t="s">
        <v>12986</v>
      </c>
      <c r="B2020" s="30"/>
      <c r="C2020" s="30" t="s">
        <v>8626</v>
      </c>
      <c r="D2020" s="30"/>
      <c r="E2020" s="30" t="s">
        <v>12987</v>
      </c>
      <c r="F2020" s="30" t="e">
        <v>#VALUE!</v>
      </c>
      <c r="G2020" s="30" t="s">
        <v>10597</v>
      </c>
      <c r="H2020" s="30" t="s">
        <v>12988</v>
      </c>
    </row>
    <row r="2021" spans="1:8">
      <c r="A2021" s="30" t="s">
        <v>12989</v>
      </c>
      <c r="B2021" s="30"/>
      <c r="C2021" s="30" t="s">
        <v>8626</v>
      </c>
      <c r="D2021" s="30"/>
      <c r="E2021" s="30"/>
      <c r="F2021" s="30"/>
      <c r="G2021" s="30" t="s">
        <v>8888</v>
      </c>
      <c r="H2021" s="30" t="s">
        <v>8889</v>
      </c>
    </row>
    <row r="2022" spans="1:8">
      <c r="A2022" s="30" t="s">
        <v>12990</v>
      </c>
      <c r="B2022" s="30"/>
      <c r="C2022" s="30" t="s">
        <v>8626</v>
      </c>
      <c r="D2022" s="30" t="s">
        <v>8689</v>
      </c>
      <c r="E2022" s="30" t="s">
        <v>10191</v>
      </c>
      <c r="F2022" s="30" t="e">
        <v>#VALUE!</v>
      </c>
      <c r="G2022" s="30" t="s">
        <v>8691</v>
      </c>
      <c r="H2022" s="30" t="s">
        <v>10192</v>
      </c>
    </row>
    <row r="2023" spans="1:8">
      <c r="A2023" s="30" t="s">
        <v>12991</v>
      </c>
      <c r="B2023" s="30"/>
      <c r="C2023" s="30" t="s">
        <v>8607</v>
      </c>
      <c r="D2023" s="30"/>
      <c r="E2023" s="30"/>
      <c r="F2023" s="30"/>
      <c r="G2023" s="30" t="s">
        <v>8726</v>
      </c>
      <c r="H2023" s="30" t="s">
        <v>8727</v>
      </c>
    </row>
    <row r="2024" spans="1:8">
      <c r="A2024" s="30" t="s">
        <v>12992</v>
      </c>
      <c r="B2024" s="30"/>
      <c r="C2024" s="30" t="s">
        <v>8626</v>
      </c>
      <c r="D2024" s="30" t="s">
        <v>8689</v>
      </c>
      <c r="E2024" s="30" t="s">
        <v>10191</v>
      </c>
      <c r="F2024" s="30" t="e">
        <v>#VALUE!</v>
      </c>
      <c r="G2024" s="30" t="s">
        <v>8691</v>
      </c>
      <c r="H2024" s="30" t="s">
        <v>10192</v>
      </c>
    </row>
    <row r="2025" spans="1:8">
      <c r="A2025" s="30" t="s">
        <v>12993</v>
      </c>
      <c r="B2025" s="30"/>
      <c r="C2025" s="30" t="s">
        <v>8607</v>
      </c>
      <c r="D2025" s="30"/>
      <c r="E2025" s="30"/>
      <c r="F2025" s="30"/>
      <c r="G2025" s="30" t="s">
        <v>8726</v>
      </c>
      <c r="H2025" s="30" t="s">
        <v>8727</v>
      </c>
    </row>
    <row r="2026" spans="1:8">
      <c r="A2026" s="30" t="s">
        <v>12994</v>
      </c>
      <c r="B2026" s="30"/>
      <c r="C2026" s="30" t="s">
        <v>8607</v>
      </c>
      <c r="D2026" s="30" t="s">
        <v>9553</v>
      </c>
      <c r="E2026" s="30" t="s">
        <v>9554</v>
      </c>
      <c r="F2026" s="30" t="s">
        <v>8672</v>
      </c>
      <c r="G2026" s="30" t="s">
        <v>9555</v>
      </c>
      <c r="H2026" s="30" t="s">
        <v>12995</v>
      </c>
    </row>
    <row r="2027" spans="1:8">
      <c r="A2027" s="30" t="s">
        <v>12996</v>
      </c>
      <c r="B2027" s="30"/>
      <c r="C2027" s="30" t="s">
        <v>8607</v>
      </c>
      <c r="D2027" s="30" t="s">
        <v>12997</v>
      </c>
      <c r="E2027" s="30"/>
      <c r="F2027" s="30"/>
      <c r="G2027" s="30" t="s">
        <v>12998</v>
      </c>
      <c r="H2027" s="30" t="s">
        <v>12999</v>
      </c>
    </row>
    <row r="2028" spans="1:8">
      <c r="A2028" s="30" t="s">
        <v>13000</v>
      </c>
      <c r="B2028" s="30"/>
      <c r="C2028" s="30" t="s">
        <v>8607</v>
      </c>
      <c r="D2028" s="30" t="s">
        <v>9553</v>
      </c>
      <c r="E2028" s="30" t="s">
        <v>9554</v>
      </c>
      <c r="F2028" s="30" t="s">
        <v>8672</v>
      </c>
      <c r="G2028" s="30" t="s">
        <v>9555</v>
      </c>
      <c r="H2028" s="30" t="s">
        <v>13001</v>
      </c>
    </row>
    <row r="2029" spans="1:8">
      <c r="A2029" s="30" t="s">
        <v>13002</v>
      </c>
      <c r="B2029" s="30"/>
      <c r="C2029" s="30" t="s">
        <v>8607</v>
      </c>
      <c r="D2029" s="30" t="s">
        <v>13003</v>
      </c>
      <c r="E2029" s="30" t="s">
        <v>9554</v>
      </c>
      <c r="F2029" s="30" t="s">
        <v>8672</v>
      </c>
      <c r="G2029" s="30" t="s">
        <v>9555</v>
      </c>
      <c r="H2029" s="30" t="s">
        <v>13001</v>
      </c>
    </row>
    <row r="2030" spans="1:8">
      <c r="A2030" s="30" t="s">
        <v>13004</v>
      </c>
      <c r="B2030" s="30"/>
      <c r="C2030" s="30" t="s">
        <v>8607</v>
      </c>
      <c r="D2030" s="30" t="s">
        <v>9533</v>
      </c>
      <c r="E2030" s="30" t="s">
        <v>9534</v>
      </c>
      <c r="F2030" s="30" t="s">
        <v>8618</v>
      </c>
      <c r="G2030" s="30" t="s">
        <v>9535</v>
      </c>
      <c r="H2030" s="30" t="s">
        <v>13005</v>
      </c>
    </row>
    <row r="2031" spans="1:8">
      <c r="A2031" s="30" t="s">
        <v>13006</v>
      </c>
      <c r="B2031" s="30"/>
      <c r="C2031" s="30" t="s">
        <v>8607</v>
      </c>
      <c r="D2031" s="30"/>
      <c r="E2031" s="30"/>
      <c r="F2031" s="30"/>
      <c r="G2031" s="30" t="s">
        <v>8717</v>
      </c>
      <c r="H2031" s="30" t="s">
        <v>13007</v>
      </c>
    </row>
    <row r="2032" spans="1:8">
      <c r="A2032" s="30" t="s">
        <v>13008</v>
      </c>
      <c r="B2032" s="30"/>
      <c r="C2032" s="30" t="s">
        <v>8607</v>
      </c>
      <c r="D2032" s="30"/>
      <c r="E2032" s="30"/>
      <c r="F2032" s="30"/>
      <c r="G2032" s="30" t="s">
        <v>8717</v>
      </c>
      <c r="H2032" s="30" t="s">
        <v>13007</v>
      </c>
    </row>
    <row r="2033" spans="1:8">
      <c r="A2033" s="30" t="s">
        <v>13009</v>
      </c>
      <c r="B2033" s="30"/>
      <c r="C2033" s="30" t="s">
        <v>8626</v>
      </c>
      <c r="D2033" s="30" t="s">
        <v>8821</v>
      </c>
      <c r="E2033" s="30"/>
      <c r="F2033" s="30"/>
      <c r="G2033" s="30" t="s">
        <v>8737</v>
      </c>
      <c r="H2033" s="30" t="s">
        <v>8738</v>
      </c>
    </row>
    <row r="2034" spans="1:8">
      <c r="A2034" s="30" t="s">
        <v>13010</v>
      </c>
      <c r="B2034" s="30"/>
      <c r="C2034" s="30" t="s">
        <v>8607</v>
      </c>
      <c r="D2034" s="30" t="s">
        <v>8736</v>
      </c>
      <c r="E2034" s="30"/>
      <c r="F2034" s="30"/>
      <c r="G2034" s="30" t="s">
        <v>8737</v>
      </c>
      <c r="H2034" s="30" t="s">
        <v>13011</v>
      </c>
    </row>
    <row r="2035" spans="1:8">
      <c r="A2035" s="30" t="s">
        <v>13012</v>
      </c>
      <c r="B2035" s="30"/>
      <c r="C2035" s="30" t="s">
        <v>8626</v>
      </c>
      <c r="D2035" s="30" t="s">
        <v>9017</v>
      </c>
      <c r="E2035" s="30"/>
      <c r="F2035" s="30"/>
      <c r="G2035" s="30" t="s">
        <v>9018</v>
      </c>
      <c r="H2035" s="30" t="s">
        <v>13013</v>
      </c>
    </row>
    <row r="2036" spans="1:8">
      <c r="A2036" s="30" t="s">
        <v>13014</v>
      </c>
      <c r="B2036" s="30"/>
      <c r="C2036" s="30" t="s">
        <v>8626</v>
      </c>
      <c r="D2036" s="30"/>
      <c r="E2036" s="30"/>
      <c r="F2036" s="30"/>
      <c r="G2036" s="30"/>
      <c r="H2036" s="30" t="s">
        <v>8842</v>
      </c>
    </row>
    <row r="2037" spans="1:8">
      <c r="A2037" s="30" t="s">
        <v>13015</v>
      </c>
      <c r="B2037" s="30"/>
      <c r="C2037" s="30" t="s">
        <v>8626</v>
      </c>
      <c r="D2037" s="30" t="s">
        <v>9819</v>
      </c>
      <c r="E2037" s="30"/>
      <c r="F2037" s="30"/>
      <c r="G2037" s="30" t="s">
        <v>9821</v>
      </c>
      <c r="H2037" s="30" t="s">
        <v>13016</v>
      </c>
    </row>
    <row r="2038" spans="1:8">
      <c r="A2038" s="30" t="s">
        <v>13017</v>
      </c>
      <c r="B2038" s="30"/>
      <c r="C2038" s="30" t="s">
        <v>8607</v>
      </c>
      <c r="D2038" s="30" t="s">
        <v>9799</v>
      </c>
      <c r="E2038" s="30"/>
      <c r="F2038" s="30"/>
      <c r="G2038" s="30" t="s">
        <v>8695</v>
      </c>
      <c r="H2038" s="30" t="s">
        <v>13018</v>
      </c>
    </row>
    <row r="2039" spans="1:8">
      <c r="A2039" s="30" t="s">
        <v>13019</v>
      </c>
      <c r="B2039" s="30"/>
      <c r="C2039" s="30" t="s">
        <v>8607</v>
      </c>
      <c r="D2039" s="30"/>
      <c r="E2039" s="30"/>
      <c r="F2039" s="30"/>
      <c r="G2039" s="30"/>
      <c r="H2039" s="30" t="s">
        <v>13020</v>
      </c>
    </row>
    <row r="2040" spans="1:8">
      <c r="A2040" s="30" t="s">
        <v>13021</v>
      </c>
      <c r="B2040" s="30"/>
      <c r="C2040" s="30" t="s">
        <v>8607</v>
      </c>
      <c r="D2040" s="30" t="s">
        <v>13022</v>
      </c>
      <c r="E2040" s="30" t="s">
        <v>13023</v>
      </c>
      <c r="F2040" s="30" t="s">
        <v>8672</v>
      </c>
      <c r="G2040" s="30" t="s">
        <v>10076</v>
      </c>
      <c r="H2040" s="30" t="s">
        <v>13024</v>
      </c>
    </row>
    <row r="2041" spans="1:8">
      <c r="A2041" s="30" t="s">
        <v>13025</v>
      </c>
      <c r="B2041" s="30"/>
      <c r="C2041" s="30" t="s">
        <v>8607</v>
      </c>
      <c r="D2041" s="30"/>
      <c r="E2041" s="30"/>
      <c r="F2041" s="30"/>
      <c r="G2041" s="30"/>
      <c r="H2041" s="30" t="s">
        <v>13026</v>
      </c>
    </row>
    <row r="2042" spans="1:8">
      <c r="A2042" s="30" t="s">
        <v>13027</v>
      </c>
      <c r="B2042" s="30"/>
      <c r="C2042" s="30" t="s">
        <v>8607</v>
      </c>
      <c r="D2042" s="30"/>
      <c r="E2042" s="30"/>
      <c r="F2042" s="30"/>
      <c r="G2042" s="30" t="s">
        <v>10197</v>
      </c>
      <c r="H2042" s="30" t="s">
        <v>13028</v>
      </c>
    </row>
    <row r="2043" spans="1:8">
      <c r="A2043" s="30" t="s">
        <v>13029</v>
      </c>
      <c r="B2043" s="30"/>
      <c r="C2043" s="30" t="s">
        <v>8607</v>
      </c>
      <c r="D2043" s="30" t="s">
        <v>10290</v>
      </c>
      <c r="E2043" s="30" t="s">
        <v>10291</v>
      </c>
      <c r="F2043" s="30" t="s">
        <v>8618</v>
      </c>
      <c r="G2043" s="30" t="s">
        <v>10292</v>
      </c>
      <c r="H2043" s="30" t="s">
        <v>10293</v>
      </c>
    </row>
    <row r="2044" spans="1:8">
      <c r="A2044" s="30" t="s">
        <v>13030</v>
      </c>
      <c r="B2044" s="30"/>
      <c r="C2044" s="30" t="s">
        <v>8607</v>
      </c>
      <c r="D2044" s="30"/>
      <c r="E2044" s="30" t="s">
        <v>10200</v>
      </c>
      <c r="F2044" s="30" t="e">
        <v>#VALUE!</v>
      </c>
      <c r="G2044" s="30" t="s">
        <v>8678</v>
      </c>
      <c r="H2044" s="30" t="s">
        <v>10763</v>
      </c>
    </row>
    <row r="2045" spans="1:8">
      <c r="A2045" s="30" t="s">
        <v>13031</v>
      </c>
      <c r="B2045" s="30"/>
      <c r="C2045" s="30" t="s">
        <v>8626</v>
      </c>
      <c r="D2045" s="30" t="s">
        <v>10310</v>
      </c>
      <c r="E2045" s="30"/>
      <c r="F2045" s="30"/>
      <c r="G2045" s="30" t="s">
        <v>10076</v>
      </c>
      <c r="H2045" s="30" t="s">
        <v>13032</v>
      </c>
    </row>
    <row r="2046" spans="1:8">
      <c r="A2046" s="30" t="s">
        <v>13033</v>
      </c>
      <c r="B2046" s="30"/>
      <c r="C2046" s="30" t="s">
        <v>8626</v>
      </c>
      <c r="D2046" s="30" t="s">
        <v>13034</v>
      </c>
      <c r="E2046" s="30" t="s">
        <v>13035</v>
      </c>
      <c r="F2046" s="30" t="s">
        <v>8672</v>
      </c>
      <c r="G2046" s="30" t="s">
        <v>13036</v>
      </c>
      <c r="H2046" s="30" t="s">
        <v>13037</v>
      </c>
    </row>
    <row r="2047" spans="1:8">
      <c r="A2047" s="30" t="s">
        <v>13038</v>
      </c>
      <c r="B2047" s="30"/>
      <c r="C2047" s="30"/>
      <c r="D2047" s="32"/>
      <c r="E2047" s="30"/>
      <c r="F2047" s="30"/>
      <c r="G2047" s="30"/>
      <c r="H2047" s="30" t="s">
        <v>13039</v>
      </c>
    </row>
    <row r="2048" spans="1:8">
      <c r="A2048" s="30" t="s">
        <v>13040</v>
      </c>
      <c r="B2048" s="30"/>
      <c r="C2048" s="30" t="s">
        <v>8607</v>
      </c>
      <c r="D2048" s="30" t="s">
        <v>9178</v>
      </c>
      <c r="E2048" s="30"/>
      <c r="F2048" s="30"/>
      <c r="G2048" s="30" t="s">
        <v>9002</v>
      </c>
      <c r="H2048" s="30" t="s">
        <v>13041</v>
      </c>
    </row>
    <row r="2049" spans="1:8">
      <c r="A2049" s="30" t="s">
        <v>13042</v>
      </c>
      <c r="B2049" s="30"/>
      <c r="C2049" s="30" t="s">
        <v>8607</v>
      </c>
      <c r="D2049" s="30" t="s">
        <v>13043</v>
      </c>
      <c r="E2049" s="30" t="s">
        <v>9139</v>
      </c>
      <c r="F2049" s="30" t="s">
        <v>8672</v>
      </c>
      <c r="G2049" s="30" t="s">
        <v>12270</v>
      </c>
      <c r="H2049" s="30" t="s">
        <v>12271</v>
      </c>
    </row>
    <row r="2050" spans="1:8">
      <c r="A2050" s="30" t="s">
        <v>13044</v>
      </c>
      <c r="B2050" s="30"/>
      <c r="C2050" s="30" t="s">
        <v>8607</v>
      </c>
      <c r="D2050" s="30" t="s">
        <v>9000</v>
      </c>
      <c r="E2050" s="30" t="s">
        <v>13045</v>
      </c>
      <c r="F2050" s="30" t="e">
        <v>#VALUE!</v>
      </c>
      <c r="G2050" s="30" t="s">
        <v>9002</v>
      </c>
      <c r="H2050" s="30" t="s">
        <v>9707</v>
      </c>
    </row>
    <row r="2051" spans="1:8">
      <c r="A2051" s="30" t="s">
        <v>13046</v>
      </c>
      <c r="B2051" s="30"/>
      <c r="C2051" s="30" t="s">
        <v>8626</v>
      </c>
      <c r="D2051" s="30"/>
      <c r="E2051" s="30" t="s">
        <v>11000</v>
      </c>
      <c r="F2051" s="30" t="e">
        <v>#VALUE!</v>
      </c>
      <c r="G2051" s="30" t="s">
        <v>8623</v>
      </c>
      <c r="H2051" s="30" t="s">
        <v>13047</v>
      </c>
    </row>
    <row r="2052" spans="1:8">
      <c r="A2052" s="30" t="s">
        <v>13048</v>
      </c>
      <c r="B2052" s="30"/>
      <c r="C2052" s="30" t="s">
        <v>8626</v>
      </c>
      <c r="D2052" s="30"/>
      <c r="E2052" s="30"/>
      <c r="F2052" s="30"/>
      <c r="G2052" s="30"/>
      <c r="H2052" s="30" t="s">
        <v>13049</v>
      </c>
    </row>
    <row r="2053" spans="1:8">
      <c r="A2053" s="30" t="s">
        <v>13050</v>
      </c>
      <c r="B2053" s="30"/>
      <c r="C2053" s="30" t="s">
        <v>8607</v>
      </c>
      <c r="D2053" s="30" t="s">
        <v>13051</v>
      </c>
      <c r="E2053" s="30" t="s">
        <v>8655</v>
      </c>
      <c r="F2053" s="30" t="s">
        <v>8618</v>
      </c>
      <c r="G2053" s="30" t="s">
        <v>8656</v>
      </c>
      <c r="H2053" s="30" t="s">
        <v>13052</v>
      </c>
    </row>
    <row r="2054" spans="1:8">
      <c r="A2054" s="30" t="s">
        <v>13053</v>
      </c>
      <c r="B2054" s="30"/>
      <c r="C2054" s="30" t="s">
        <v>8626</v>
      </c>
      <c r="D2054" s="30" t="s">
        <v>13054</v>
      </c>
      <c r="E2054" s="30" t="s">
        <v>13055</v>
      </c>
      <c r="F2054" s="30" t="s">
        <v>8618</v>
      </c>
      <c r="G2054" s="30" t="s">
        <v>13056</v>
      </c>
      <c r="H2054" s="30" t="s">
        <v>13057</v>
      </c>
    </row>
    <row r="2055" spans="1:8">
      <c r="A2055" s="30" t="s">
        <v>13058</v>
      </c>
      <c r="B2055" s="30"/>
      <c r="C2055" s="30"/>
      <c r="D2055" s="32"/>
      <c r="E2055" s="30"/>
      <c r="F2055" s="30"/>
      <c r="G2055" s="30"/>
      <c r="H2055" s="30" t="s">
        <v>13059</v>
      </c>
    </row>
    <row r="2056" spans="1:8">
      <c r="A2056" s="30" t="s">
        <v>13060</v>
      </c>
      <c r="B2056" s="30"/>
      <c r="C2056" s="30"/>
      <c r="D2056" s="32"/>
      <c r="E2056" s="30"/>
      <c r="F2056" s="30"/>
      <c r="G2056" s="30"/>
      <c r="H2056" s="30" t="s">
        <v>13061</v>
      </c>
    </row>
    <row r="2057" spans="1:8">
      <c r="A2057" s="30" t="s">
        <v>13062</v>
      </c>
      <c r="B2057" s="30"/>
      <c r="C2057" s="30" t="s">
        <v>8626</v>
      </c>
      <c r="D2057" s="30" t="s">
        <v>13063</v>
      </c>
      <c r="E2057" s="30"/>
      <c r="F2057" s="30"/>
      <c r="G2057" s="30" t="s">
        <v>10234</v>
      </c>
      <c r="H2057" s="30" t="s">
        <v>13064</v>
      </c>
    </row>
    <row r="2058" spans="1:8">
      <c r="A2058" s="30" t="s">
        <v>13065</v>
      </c>
      <c r="B2058" s="30"/>
      <c r="C2058" s="30" t="s">
        <v>8607</v>
      </c>
      <c r="D2058" s="30" t="s">
        <v>8666</v>
      </c>
      <c r="E2058" s="30"/>
      <c r="F2058" s="30"/>
      <c r="G2058" s="30" t="s">
        <v>8667</v>
      </c>
      <c r="H2058" s="30" t="s">
        <v>13066</v>
      </c>
    </row>
    <row r="2059" spans="1:8">
      <c r="A2059" s="30" t="s">
        <v>13067</v>
      </c>
      <c r="B2059" s="30"/>
      <c r="C2059" s="30" t="s">
        <v>8607</v>
      </c>
      <c r="D2059" s="30" t="s">
        <v>8654</v>
      </c>
      <c r="E2059" s="30" t="s">
        <v>8655</v>
      </c>
      <c r="F2059" s="30" t="s">
        <v>8618</v>
      </c>
      <c r="G2059" s="30" t="s">
        <v>8656</v>
      </c>
      <c r="H2059" s="30" t="s">
        <v>10690</v>
      </c>
    </row>
    <row r="2060" spans="1:8">
      <c r="A2060" s="30" t="s">
        <v>13068</v>
      </c>
      <c r="B2060" s="30"/>
      <c r="C2060" s="30" t="s">
        <v>8607</v>
      </c>
      <c r="D2060" s="30" t="s">
        <v>8654</v>
      </c>
      <c r="E2060" s="30" t="s">
        <v>8655</v>
      </c>
      <c r="F2060" s="30" t="s">
        <v>8618</v>
      </c>
      <c r="G2060" s="30" t="s">
        <v>8656</v>
      </c>
      <c r="H2060" s="30" t="s">
        <v>12688</v>
      </c>
    </row>
    <row r="2061" spans="1:8">
      <c r="A2061" s="30" t="s">
        <v>13069</v>
      </c>
      <c r="B2061" s="30"/>
      <c r="C2061" s="30" t="s">
        <v>8607</v>
      </c>
      <c r="D2061" s="30" t="s">
        <v>8666</v>
      </c>
      <c r="E2061" s="30"/>
      <c r="F2061" s="30"/>
      <c r="G2061" s="30" t="s">
        <v>8667</v>
      </c>
      <c r="H2061" s="30" t="s">
        <v>13070</v>
      </c>
    </row>
    <row r="2062" spans="1:8">
      <c r="A2062" s="30" t="s">
        <v>13071</v>
      </c>
      <c r="B2062" s="30"/>
      <c r="C2062" s="30" t="s">
        <v>8607</v>
      </c>
      <c r="D2062" s="30"/>
      <c r="E2062" s="30" t="s">
        <v>11305</v>
      </c>
      <c r="F2062" s="30" t="s">
        <v>8618</v>
      </c>
      <c r="G2062" s="30" t="s">
        <v>8908</v>
      </c>
      <c r="H2062" s="30" t="s">
        <v>11055</v>
      </c>
    </row>
    <row r="2063" spans="1:8">
      <c r="A2063" s="30" t="s">
        <v>13072</v>
      </c>
      <c r="B2063" s="30"/>
      <c r="C2063" s="30"/>
      <c r="D2063" s="32"/>
      <c r="E2063" s="30"/>
      <c r="F2063" s="30"/>
      <c r="G2063" s="30"/>
      <c r="H2063" s="30" t="s">
        <v>13073</v>
      </c>
    </row>
    <row r="2064" spans="1:8">
      <c r="A2064" s="30" t="s">
        <v>13074</v>
      </c>
      <c r="B2064" s="30"/>
      <c r="C2064" s="30" t="s">
        <v>8626</v>
      </c>
      <c r="D2064" s="30"/>
      <c r="E2064" s="30"/>
      <c r="F2064" s="30"/>
      <c r="G2064" s="30"/>
      <c r="H2064" s="30" t="s">
        <v>10284</v>
      </c>
    </row>
    <row r="2065" spans="1:8">
      <c r="A2065" s="30" t="s">
        <v>13075</v>
      </c>
      <c r="B2065" s="30"/>
      <c r="C2065" s="30" t="s">
        <v>8607</v>
      </c>
      <c r="D2065" s="30" t="s">
        <v>8736</v>
      </c>
      <c r="E2065" s="30"/>
      <c r="F2065" s="30"/>
      <c r="G2065" s="30" t="s">
        <v>8737</v>
      </c>
      <c r="H2065" s="30" t="s">
        <v>8800</v>
      </c>
    </row>
    <row r="2066" spans="1:8">
      <c r="A2066" s="30" t="s">
        <v>13076</v>
      </c>
      <c r="B2066" s="30"/>
      <c r="C2066" s="30" t="s">
        <v>8607</v>
      </c>
      <c r="D2066" s="30"/>
      <c r="E2066" s="30"/>
      <c r="F2066" s="30"/>
      <c r="G2066" s="30"/>
      <c r="H2066" s="30" t="s">
        <v>8802</v>
      </c>
    </row>
    <row r="2067" spans="1:8">
      <c r="A2067" s="30" t="s">
        <v>13077</v>
      </c>
      <c r="B2067" s="30"/>
      <c r="C2067" s="30" t="s">
        <v>8607</v>
      </c>
      <c r="D2067" s="30"/>
      <c r="E2067" s="30"/>
      <c r="F2067" s="30"/>
      <c r="G2067" s="30" t="s">
        <v>8891</v>
      </c>
      <c r="H2067" s="30" t="s">
        <v>13078</v>
      </c>
    </row>
    <row r="2068" spans="1:8">
      <c r="A2068" s="30" t="s">
        <v>13079</v>
      </c>
      <c r="B2068" s="30"/>
      <c r="C2068" s="30" t="s">
        <v>8626</v>
      </c>
      <c r="D2068" s="30" t="s">
        <v>12093</v>
      </c>
      <c r="E2068" s="30" t="s">
        <v>11171</v>
      </c>
      <c r="F2068" s="30" t="e">
        <v>#VALUE!</v>
      </c>
      <c r="G2068" s="30" t="s">
        <v>8975</v>
      </c>
      <c r="H2068" s="30" t="s">
        <v>13080</v>
      </c>
    </row>
    <row r="2069" spans="1:8">
      <c r="A2069" s="30" t="s">
        <v>13081</v>
      </c>
      <c r="B2069" s="30"/>
      <c r="C2069" s="30" t="s">
        <v>8626</v>
      </c>
      <c r="D2069" s="30"/>
      <c r="E2069" s="30"/>
      <c r="F2069" s="30"/>
      <c r="G2069" s="30"/>
      <c r="H2069" s="30" t="s">
        <v>13082</v>
      </c>
    </row>
    <row r="2070" spans="1:8">
      <c r="A2070" s="30" t="s">
        <v>13083</v>
      </c>
      <c r="B2070" s="30"/>
      <c r="C2070" s="30" t="s">
        <v>8607</v>
      </c>
      <c r="D2070" s="30" t="s">
        <v>10706</v>
      </c>
      <c r="E2070" s="30" t="s">
        <v>10707</v>
      </c>
      <c r="F2070" s="30" t="s">
        <v>8618</v>
      </c>
      <c r="G2070" s="30" t="s">
        <v>8943</v>
      </c>
      <c r="H2070" s="30" t="s">
        <v>10826</v>
      </c>
    </row>
    <row r="2071" spans="1:8">
      <c r="A2071" s="30" t="s">
        <v>13084</v>
      </c>
      <c r="B2071" s="30"/>
      <c r="C2071" s="30" t="s">
        <v>8607</v>
      </c>
      <c r="D2071" s="30" t="s">
        <v>8938</v>
      </c>
      <c r="E2071" s="30"/>
      <c r="F2071" s="30"/>
      <c r="G2071" s="30" t="s">
        <v>8737</v>
      </c>
      <c r="H2071" s="30" t="s">
        <v>10828</v>
      </c>
    </row>
    <row r="2072" spans="1:8">
      <c r="A2072" s="30" t="s">
        <v>13085</v>
      </c>
      <c r="B2072" s="30"/>
      <c r="C2072" s="30" t="s">
        <v>8626</v>
      </c>
      <c r="D2072" s="30" t="s">
        <v>13086</v>
      </c>
      <c r="E2072" s="30" t="s">
        <v>13087</v>
      </c>
      <c r="F2072" s="30" t="e">
        <v>#VALUE!</v>
      </c>
      <c r="G2072" s="30" t="s">
        <v>8826</v>
      </c>
      <c r="H2072" s="30" t="s">
        <v>13088</v>
      </c>
    </row>
    <row r="2073" spans="1:8">
      <c r="A2073" s="30" t="s">
        <v>13089</v>
      </c>
      <c r="B2073" s="30"/>
      <c r="C2073" s="30" t="s">
        <v>8607</v>
      </c>
      <c r="D2073" s="30" t="s">
        <v>12300</v>
      </c>
      <c r="E2073" s="30" t="s">
        <v>13090</v>
      </c>
      <c r="F2073" s="30" t="e">
        <v>#VALUE!</v>
      </c>
      <c r="G2073" s="30" t="s">
        <v>12302</v>
      </c>
      <c r="H2073" s="30" t="s">
        <v>13091</v>
      </c>
    </row>
    <row r="2074" spans="1:8">
      <c r="A2074" s="30" t="s">
        <v>13092</v>
      </c>
      <c r="B2074" s="30"/>
      <c r="C2074" s="30" t="s">
        <v>8607</v>
      </c>
      <c r="D2074" s="30"/>
      <c r="E2074" s="30"/>
      <c r="F2074" s="30"/>
      <c r="G2074" s="30" t="s">
        <v>10356</v>
      </c>
      <c r="H2074" s="30" t="s">
        <v>10357</v>
      </c>
    </row>
    <row r="2075" spans="1:8">
      <c r="A2075" s="30" t="s">
        <v>13093</v>
      </c>
      <c r="B2075" s="30"/>
      <c r="C2075" s="30" t="s">
        <v>8607</v>
      </c>
      <c r="D2075" s="30" t="s">
        <v>13094</v>
      </c>
      <c r="E2075" s="30" t="s">
        <v>12574</v>
      </c>
      <c r="F2075" s="30" t="e">
        <v>#VALUE!</v>
      </c>
      <c r="G2075" s="30" t="s">
        <v>10451</v>
      </c>
      <c r="H2075" s="30" t="s">
        <v>13095</v>
      </c>
    </row>
    <row r="2076" spans="1:8">
      <c r="A2076" s="30" t="s">
        <v>13096</v>
      </c>
      <c r="B2076" s="30"/>
      <c r="C2076" s="30" t="s">
        <v>8607</v>
      </c>
      <c r="D2076" s="30" t="s">
        <v>13097</v>
      </c>
      <c r="E2076" s="30" t="s">
        <v>13098</v>
      </c>
      <c r="F2076" s="30" t="e">
        <v>#VALUE!</v>
      </c>
      <c r="G2076" s="30" t="s">
        <v>8975</v>
      </c>
      <c r="H2076" s="30" t="s">
        <v>13099</v>
      </c>
    </row>
    <row r="2077" spans="1:8">
      <c r="A2077" s="30" t="s">
        <v>13100</v>
      </c>
      <c r="B2077" s="30"/>
      <c r="C2077" s="30"/>
      <c r="D2077" s="32"/>
      <c r="E2077" s="30"/>
      <c r="F2077" s="30"/>
      <c r="G2077" s="30"/>
      <c r="H2077" s="30" t="s">
        <v>13101</v>
      </c>
    </row>
    <row r="2078" spans="1:8">
      <c r="A2078" s="30" t="s">
        <v>13102</v>
      </c>
      <c r="B2078" s="30"/>
      <c r="C2078" s="30" t="s">
        <v>8626</v>
      </c>
      <c r="D2078" s="30" t="s">
        <v>13103</v>
      </c>
      <c r="E2078" s="30" t="s">
        <v>13104</v>
      </c>
      <c r="F2078" s="30" t="s">
        <v>8672</v>
      </c>
      <c r="G2078" s="30" t="s">
        <v>11540</v>
      </c>
      <c r="H2078" s="30" t="s">
        <v>13105</v>
      </c>
    </row>
    <row r="2079" spans="1:8">
      <c r="A2079" s="30" t="s">
        <v>13106</v>
      </c>
      <c r="B2079" s="30"/>
      <c r="C2079" s="30" t="s">
        <v>8626</v>
      </c>
      <c r="D2079" s="30" t="s">
        <v>13107</v>
      </c>
      <c r="E2079" s="30" t="s">
        <v>11628</v>
      </c>
      <c r="F2079" s="30" t="s">
        <v>8672</v>
      </c>
      <c r="G2079" s="30" t="s">
        <v>10076</v>
      </c>
      <c r="H2079" s="30" t="s">
        <v>13108</v>
      </c>
    </row>
    <row r="2080" spans="1:8">
      <c r="A2080" s="30" t="s">
        <v>13109</v>
      </c>
      <c r="B2080" s="30"/>
      <c r="C2080" s="30" t="s">
        <v>8607</v>
      </c>
      <c r="D2080" s="30"/>
      <c r="E2080" s="30"/>
      <c r="F2080" s="30"/>
      <c r="G2080" s="30" t="s">
        <v>8891</v>
      </c>
      <c r="H2080" s="30" t="s">
        <v>13110</v>
      </c>
    </row>
    <row r="2081" spans="1:8">
      <c r="A2081" s="30" t="s">
        <v>13111</v>
      </c>
      <c r="B2081" s="30"/>
      <c r="C2081" s="30" t="s">
        <v>8626</v>
      </c>
      <c r="D2081" s="30"/>
      <c r="E2081" s="30"/>
      <c r="F2081" s="30"/>
      <c r="G2081" s="30" t="s">
        <v>9358</v>
      </c>
      <c r="H2081" s="30" t="s">
        <v>10276</v>
      </c>
    </row>
    <row r="2082" spans="1:8">
      <c r="A2082" s="30" t="s">
        <v>13112</v>
      </c>
      <c r="B2082" s="30"/>
      <c r="C2082" s="30" t="s">
        <v>8607</v>
      </c>
      <c r="D2082" s="30" t="s">
        <v>10491</v>
      </c>
      <c r="E2082" s="30" t="s">
        <v>10638</v>
      </c>
      <c r="F2082" s="30" t="e">
        <v>#VALUE!</v>
      </c>
      <c r="G2082" s="30" t="s">
        <v>9007</v>
      </c>
      <c r="H2082" s="30" t="s">
        <v>11208</v>
      </c>
    </row>
    <row r="2083" spans="1:8">
      <c r="A2083" s="30" t="s">
        <v>13113</v>
      </c>
      <c r="B2083" s="30"/>
      <c r="C2083" s="30" t="s">
        <v>8626</v>
      </c>
      <c r="D2083" s="30"/>
      <c r="E2083" s="30"/>
      <c r="F2083" s="30"/>
      <c r="G2083" s="30" t="s">
        <v>9363</v>
      </c>
      <c r="H2083" s="30" t="s">
        <v>10520</v>
      </c>
    </row>
    <row r="2084" spans="1:8">
      <c r="A2084" s="30" t="s">
        <v>13114</v>
      </c>
      <c r="B2084" s="30"/>
      <c r="C2084" s="30" t="s">
        <v>8607</v>
      </c>
      <c r="D2084" s="30" t="s">
        <v>11468</v>
      </c>
      <c r="E2084" s="30"/>
      <c r="F2084" s="30"/>
      <c r="G2084" s="30" t="s">
        <v>8704</v>
      </c>
      <c r="H2084" s="30" t="s">
        <v>11427</v>
      </c>
    </row>
    <row r="2085" spans="1:8">
      <c r="A2085" s="30" t="s">
        <v>13115</v>
      </c>
      <c r="B2085" s="30"/>
      <c r="C2085" s="30" t="s">
        <v>8626</v>
      </c>
      <c r="D2085" s="30" t="s">
        <v>13116</v>
      </c>
      <c r="E2085" s="30" t="s">
        <v>13117</v>
      </c>
      <c r="F2085" s="30" t="e">
        <v>#VALUE!</v>
      </c>
      <c r="G2085" s="30" t="s">
        <v>10451</v>
      </c>
      <c r="H2085" s="30" t="s">
        <v>13118</v>
      </c>
    </row>
    <row r="2086" spans="1:8">
      <c r="A2086" s="30" t="s">
        <v>13119</v>
      </c>
      <c r="B2086" s="30"/>
      <c r="C2086" s="30" t="s">
        <v>8626</v>
      </c>
      <c r="D2086" s="30" t="s">
        <v>10441</v>
      </c>
      <c r="E2086" s="30" t="s">
        <v>8671</v>
      </c>
      <c r="F2086" s="30" t="s">
        <v>8672</v>
      </c>
      <c r="G2086" s="30" t="s">
        <v>8673</v>
      </c>
      <c r="H2086" s="30" t="s">
        <v>10442</v>
      </c>
    </row>
    <row r="2087" spans="1:8">
      <c r="A2087" s="30" t="s">
        <v>13120</v>
      </c>
      <c r="B2087" s="30"/>
      <c r="C2087" s="30" t="s">
        <v>8626</v>
      </c>
      <c r="D2087" s="30" t="s">
        <v>10436</v>
      </c>
      <c r="E2087" s="30"/>
      <c r="F2087" s="30"/>
      <c r="G2087" s="30" t="s">
        <v>9847</v>
      </c>
      <c r="H2087" s="30" t="s">
        <v>10272</v>
      </c>
    </row>
    <row r="2088" spans="1:8">
      <c r="A2088" s="30" t="s">
        <v>13121</v>
      </c>
      <c r="B2088" s="30"/>
      <c r="C2088" s="30" t="s">
        <v>8607</v>
      </c>
      <c r="D2088" s="30"/>
      <c r="E2088" s="30"/>
      <c r="F2088" s="30"/>
      <c r="G2088" s="30" t="s">
        <v>10438</v>
      </c>
      <c r="H2088" s="30" t="s">
        <v>10439</v>
      </c>
    </row>
    <row r="2089" spans="1:8">
      <c r="A2089" s="30" t="s">
        <v>13122</v>
      </c>
      <c r="B2089" s="30"/>
      <c r="C2089" s="30" t="s">
        <v>8607</v>
      </c>
      <c r="D2089" s="30" t="s">
        <v>13123</v>
      </c>
      <c r="E2089" s="30" t="s">
        <v>9292</v>
      </c>
      <c r="F2089" s="30" t="e">
        <v>#VALUE!</v>
      </c>
      <c r="G2089" s="30" t="s">
        <v>8691</v>
      </c>
      <c r="H2089" s="30" t="s">
        <v>8963</v>
      </c>
    </row>
    <row r="2090" spans="1:8">
      <c r="A2090" s="30" t="s">
        <v>13124</v>
      </c>
      <c r="B2090" s="30"/>
      <c r="C2090" s="30" t="s">
        <v>8607</v>
      </c>
      <c r="D2090" s="30" t="s">
        <v>13123</v>
      </c>
      <c r="E2090" s="30" t="s">
        <v>9292</v>
      </c>
      <c r="F2090" s="30" t="e">
        <v>#VALUE!</v>
      </c>
      <c r="G2090" s="30" t="s">
        <v>8691</v>
      </c>
      <c r="H2090" s="30" t="s">
        <v>8963</v>
      </c>
    </row>
    <row r="2091" spans="1:8">
      <c r="A2091" s="30" t="s">
        <v>13125</v>
      </c>
      <c r="B2091" s="30"/>
      <c r="C2091" s="30" t="s">
        <v>8626</v>
      </c>
      <c r="D2091" s="30" t="s">
        <v>13126</v>
      </c>
      <c r="E2091" s="30" t="s">
        <v>13127</v>
      </c>
      <c r="F2091" s="30" t="s">
        <v>8618</v>
      </c>
      <c r="G2091" s="30" t="s">
        <v>8989</v>
      </c>
      <c r="H2091" s="30" t="s">
        <v>10402</v>
      </c>
    </row>
    <row r="2092" spans="1:8">
      <c r="A2092" s="30" t="s">
        <v>13128</v>
      </c>
      <c r="B2092" s="30"/>
      <c r="C2092" s="30" t="s">
        <v>8607</v>
      </c>
      <c r="D2092" s="30" t="s">
        <v>10404</v>
      </c>
      <c r="E2092" s="30" t="s">
        <v>10405</v>
      </c>
      <c r="F2092" s="30" t="s">
        <v>8618</v>
      </c>
      <c r="G2092" s="30" t="s">
        <v>8943</v>
      </c>
      <c r="H2092" s="30" t="s">
        <v>10617</v>
      </c>
    </row>
    <row r="2093" spans="1:8">
      <c r="A2093" s="30" t="s">
        <v>13129</v>
      </c>
      <c r="B2093" s="30"/>
      <c r="C2093" s="30" t="s">
        <v>8607</v>
      </c>
      <c r="D2093" s="30" t="s">
        <v>10377</v>
      </c>
      <c r="E2093" s="30"/>
      <c r="F2093" s="30"/>
      <c r="G2093" s="30" t="s">
        <v>8737</v>
      </c>
      <c r="H2093" s="30" t="s">
        <v>11224</v>
      </c>
    </row>
    <row r="2094" spans="1:8">
      <c r="A2094" s="30" t="s">
        <v>13130</v>
      </c>
      <c r="B2094" s="30"/>
      <c r="C2094" s="30" t="s">
        <v>8607</v>
      </c>
      <c r="D2094" s="30"/>
      <c r="E2094" s="30" t="s">
        <v>13131</v>
      </c>
      <c r="F2094" s="30" t="e">
        <v>#VALUE!</v>
      </c>
      <c r="G2094" s="30" t="s">
        <v>9473</v>
      </c>
      <c r="H2094" s="30" t="s">
        <v>13132</v>
      </c>
    </row>
    <row r="2095" spans="1:8">
      <c r="A2095" s="30" t="s">
        <v>13133</v>
      </c>
      <c r="B2095" s="30"/>
      <c r="C2095" s="30" t="s">
        <v>8607</v>
      </c>
      <c r="D2095" s="30"/>
      <c r="E2095" s="30"/>
      <c r="F2095" s="30"/>
      <c r="G2095" s="30" t="s">
        <v>13134</v>
      </c>
      <c r="H2095" s="30" t="s">
        <v>13135</v>
      </c>
    </row>
    <row r="2096" spans="1:8">
      <c r="A2096" s="30" t="s">
        <v>13136</v>
      </c>
      <c r="B2096" s="30"/>
      <c r="C2096" s="30" t="s">
        <v>8626</v>
      </c>
      <c r="D2096" s="30" t="s">
        <v>13137</v>
      </c>
      <c r="E2096" s="30" t="s">
        <v>13138</v>
      </c>
      <c r="F2096" s="30" t="s">
        <v>8618</v>
      </c>
      <c r="G2096" s="30"/>
      <c r="H2096" s="30" t="s">
        <v>13139</v>
      </c>
    </row>
    <row r="2097" spans="1:8">
      <c r="A2097" s="30" t="s">
        <v>13140</v>
      </c>
      <c r="B2097" s="30"/>
      <c r="C2097" s="30" t="s">
        <v>8607</v>
      </c>
      <c r="D2097" s="30" t="s">
        <v>13141</v>
      </c>
      <c r="E2097" s="30" t="s">
        <v>13142</v>
      </c>
      <c r="F2097" s="30" t="s">
        <v>8618</v>
      </c>
      <c r="G2097" s="30" t="s">
        <v>9595</v>
      </c>
      <c r="H2097" s="30" t="s">
        <v>13143</v>
      </c>
    </row>
    <row r="2098" spans="1:8">
      <c r="A2098" s="30" t="s">
        <v>13144</v>
      </c>
      <c r="B2098" s="30"/>
      <c r="C2098" s="30" t="s">
        <v>8607</v>
      </c>
      <c r="D2098" s="30" t="s">
        <v>13145</v>
      </c>
      <c r="E2098" s="30" t="s">
        <v>13146</v>
      </c>
      <c r="F2098" s="30" t="s">
        <v>8672</v>
      </c>
      <c r="G2098" s="30" t="s">
        <v>13147</v>
      </c>
      <c r="H2098" s="30" t="s">
        <v>13148</v>
      </c>
    </row>
    <row r="2099" spans="1:8">
      <c r="A2099" s="30" t="s">
        <v>13149</v>
      </c>
      <c r="B2099" s="30"/>
      <c r="C2099" s="30" t="s">
        <v>8626</v>
      </c>
      <c r="D2099" s="30" t="s">
        <v>9357</v>
      </c>
      <c r="E2099" s="30"/>
      <c r="F2099" s="30"/>
      <c r="G2099" s="30" t="s">
        <v>9358</v>
      </c>
      <c r="H2099" s="30" t="s">
        <v>10276</v>
      </c>
    </row>
    <row r="2100" spans="1:8">
      <c r="A2100" s="30" t="s">
        <v>13150</v>
      </c>
      <c r="B2100" s="30"/>
      <c r="C2100" s="30" t="s">
        <v>8607</v>
      </c>
      <c r="D2100" s="30" t="s">
        <v>10491</v>
      </c>
      <c r="E2100" s="30" t="s">
        <v>10638</v>
      </c>
      <c r="F2100" s="30" t="e">
        <v>#VALUE!</v>
      </c>
      <c r="G2100" s="30" t="s">
        <v>9007</v>
      </c>
      <c r="H2100" s="30" t="s">
        <v>10266</v>
      </c>
    </row>
    <row r="2101" spans="1:8">
      <c r="A2101" s="30" t="s">
        <v>13151</v>
      </c>
      <c r="B2101" s="30"/>
      <c r="C2101" s="30" t="s">
        <v>8626</v>
      </c>
      <c r="D2101" s="30"/>
      <c r="E2101" s="30"/>
      <c r="F2101" s="30"/>
      <c r="G2101" s="30" t="s">
        <v>9363</v>
      </c>
      <c r="H2101" s="30" t="s">
        <v>10520</v>
      </c>
    </row>
    <row r="2102" spans="1:8">
      <c r="A2102" s="30" t="s">
        <v>13152</v>
      </c>
      <c r="B2102" s="30"/>
      <c r="C2102" s="30" t="s">
        <v>8626</v>
      </c>
      <c r="D2102" s="30"/>
      <c r="E2102" s="30" t="s">
        <v>13153</v>
      </c>
      <c r="F2102" s="30" t="e">
        <v>#VALUE!</v>
      </c>
      <c r="G2102" s="30"/>
      <c r="H2102" s="30" t="s">
        <v>13154</v>
      </c>
    </row>
    <row r="2103" spans="1:8">
      <c r="A2103" s="30" t="s">
        <v>13155</v>
      </c>
      <c r="B2103" s="30"/>
      <c r="C2103" s="30" t="s">
        <v>8607</v>
      </c>
      <c r="D2103" s="30"/>
      <c r="E2103" s="30"/>
      <c r="F2103" s="30"/>
      <c r="G2103" s="30" t="s">
        <v>8649</v>
      </c>
      <c r="H2103" s="30" t="s">
        <v>10464</v>
      </c>
    </row>
    <row r="2104" spans="1:8">
      <c r="A2104" s="30" t="s">
        <v>13156</v>
      </c>
      <c r="B2104" s="30"/>
      <c r="C2104" s="30" t="s">
        <v>8626</v>
      </c>
      <c r="D2104" s="30" t="s">
        <v>12757</v>
      </c>
      <c r="E2104" s="30" t="s">
        <v>8671</v>
      </c>
      <c r="F2104" s="30" t="s">
        <v>8672</v>
      </c>
      <c r="G2104" s="30"/>
      <c r="H2104" s="30" t="s">
        <v>13157</v>
      </c>
    </row>
    <row r="2105" spans="1:8">
      <c r="A2105" s="30" t="s">
        <v>13158</v>
      </c>
      <c r="B2105" s="30"/>
      <c r="C2105" s="30" t="s">
        <v>8607</v>
      </c>
      <c r="D2105" s="30"/>
      <c r="E2105" s="30"/>
      <c r="F2105" s="30"/>
      <c r="G2105" s="30" t="s">
        <v>9847</v>
      </c>
      <c r="H2105" s="30" t="s">
        <v>10856</v>
      </c>
    </row>
    <row r="2106" spans="1:8">
      <c r="A2106" s="30" t="s">
        <v>13159</v>
      </c>
      <c r="B2106" s="30"/>
      <c r="C2106" s="30" t="s">
        <v>8607</v>
      </c>
      <c r="D2106" s="30" t="s">
        <v>10243</v>
      </c>
      <c r="E2106" s="30"/>
      <c r="F2106" s="30"/>
      <c r="G2106" s="30" t="s">
        <v>8851</v>
      </c>
      <c r="H2106" s="30" t="s">
        <v>13160</v>
      </c>
    </row>
    <row r="2107" spans="1:8">
      <c r="A2107" s="30" t="s">
        <v>13161</v>
      </c>
      <c r="B2107" s="30"/>
      <c r="C2107" s="30" t="s">
        <v>8626</v>
      </c>
      <c r="D2107" s="30"/>
      <c r="E2107" s="30"/>
      <c r="F2107" s="30"/>
      <c r="G2107" s="30" t="s">
        <v>8804</v>
      </c>
      <c r="H2107" s="30" t="s">
        <v>10237</v>
      </c>
    </row>
    <row r="2108" spans="1:8">
      <c r="A2108" s="30" t="s">
        <v>13162</v>
      </c>
      <c r="B2108" s="30"/>
      <c r="C2108" s="30" t="s">
        <v>8607</v>
      </c>
      <c r="D2108" s="30"/>
      <c r="E2108" s="30"/>
      <c r="F2108" s="30"/>
      <c r="G2108" s="30" t="s">
        <v>8807</v>
      </c>
      <c r="H2108" s="30" t="s">
        <v>10740</v>
      </c>
    </row>
    <row r="2109" spans="1:8">
      <c r="A2109" s="30" t="s">
        <v>13163</v>
      </c>
      <c r="B2109" s="30"/>
      <c r="C2109" s="30"/>
      <c r="D2109" s="32"/>
      <c r="E2109" s="30" t="s">
        <v>8663</v>
      </c>
      <c r="F2109" s="30" t="e">
        <v>#VALUE!</v>
      </c>
      <c r="G2109" s="30"/>
      <c r="H2109" s="30" t="s">
        <v>10554</v>
      </c>
    </row>
    <row r="2110" spans="1:8">
      <c r="A2110" s="30" t="s">
        <v>13164</v>
      </c>
      <c r="B2110" s="30"/>
      <c r="C2110" s="30" t="s">
        <v>8607</v>
      </c>
      <c r="D2110" s="30" t="s">
        <v>8938</v>
      </c>
      <c r="E2110" s="30"/>
      <c r="F2110" s="30"/>
      <c r="G2110" s="30" t="s">
        <v>8737</v>
      </c>
      <c r="H2110" s="30" t="s">
        <v>13165</v>
      </c>
    </row>
    <row r="2111" spans="1:8">
      <c r="A2111" s="30" t="s">
        <v>13166</v>
      </c>
      <c r="B2111" s="30"/>
      <c r="C2111" s="30" t="s">
        <v>8626</v>
      </c>
      <c r="D2111" s="30" t="s">
        <v>12766</v>
      </c>
      <c r="E2111" s="30" t="s">
        <v>9754</v>
      </c>
      <c r="F2111" s="30" t="e">
        <v>#VALUE!</v>
      </c>
      <c r="G2111" s="30" t="s">
        <v>9755</v>
      </c>
      <c r="H2111" s="30" t="s">
        <v>13167</v>
      </c>
    </row>
    <row r="2112" spans="1:8">
      <c r="A2112" s="30" t="s">
        <v>13168</v>
      </c>
      <c r="B2112" s="30"/>
      <c r="C2112" s="30" t="s">
        <v>8607</v>
      </c>
      <c r="D2112" s="30" t="s">
        <v>12245</v>
      </c>
      <c r="E2112" s="30" t="s">
        <v>12246</v>
      </c>
      <c r="F2112" s="30" t="s">
        <v>8618</v>
      </c>
      <c r="G2112" s="30" t="s">
        <v>10427</v>
      </c>
      <c r="H2112" s="30" t="s">
        <v>12247</v>
      </c>
    </row>
    <row r="2113" spans="1:8">
      <c r="A2113" s="30" t="s">
        <v>13169</v>
      </c>
      <c r="B2113" s="30"/>
      <c r="C2113" s="30" t="s">
        <v>8607</v>
      </c>
      <c r="D2113" s="30" t="s">
        <v>9546</v>
      </c>
      <c r="E2113" s="30" t="s">
        <v>9547</v>
      </c>
      <c r="F2113" s="30" t="s">
        <v>8672</v>
      </c>
      <c r="G2113" s="30" t="s">
        <v>9366</v>
      </c>
      <c r="H2113" s="30" t="s">
        <v>13170</v>
      </c>
    </row>
    <row r="2114" spans="1:8">
      <c r="A2114" s="30" t="s">
        <v>13171</v>
      </c>
      <c r="B2114" s="30"/>
      <c r="C2114" s="30" t="s">
        <v>8607</v>
      </c>
      <c r="D2114" s="30"/>
      <c r="E2114" s="30"/>
      <c r="F2114" s="30"/>
      <c r="G2114" s="30"/>
      <c r="H2114" s="30" t="s">
        <v>13172</v>
      </c>
    </row>
    <row r="2115" spans="1:8">
      <c r="A2115" s="30" t="s">
        <v>13173</v>
      </c>
      <c r="B2115" s="30"/>
      <c r="C2115" s="30" t="s">
        <v>8607</v>
      </c>
      <c r="D2115" s="30"/>
      <c r="E2115" s="30"/>
      <c r="F2115" s="30"/>
      <c r="G2115" s="30" t="s">
        <v>13174</v>
      </c>
      <c r="H2115" s="30" t="s">
        <v>13175</v>
      </c>
    </row>
    <row r="2116" spans="1:8">
      <c r="A2116" s="30" t="s">
        <v>13176</v>
      </c>
      <c r="B2116" s="30"/>
      <c r="C2116" s="30" t="s">
        <v>8607</v>
      </c>
      <c r="D2116" s="30" t="s">
        <v>11763</v>
      </c>
      <c r="E2116" s="30" t="s">
        <v>8845</v>
      </c>
      <c r="F2116" s="30" t="s">
        <v>8672</v>
      </c>
      <c r="G2116" s="30" t="s">
        <v>8846</v>
      </c>
      <c r="H2116" s="30" t="s">
        <v>13177</v>
      </c>
    </row>
    <row r="2117" spans="1:8">
      <c r="A2117" s="30" t="s">
        <v>13178</v>
      </c>
      <c r="B2117" s="30"/>
      <c r="C2117" s="30" t="s">
        <v>8607</v>
      </c>
      <c r="D2117" s="30"/>
      <c r="E2117" s="30"/>
      <c r="F2117" s="30"/>
      <c r="G2117" s="30" t="s">
        <v>13179</v>
      </c>
      <c r="H2117" s="30" t="s">
        <v>13180</v>
      </c>
    </row>
    <row r="2118" spans="1:8">
      <c r="A2118" s="30" t="s">
        <v>13181</v>
      </c>
      <c r="B2118" s="30"/>
      <c r="C2118" s="30" t="s">
        <v>8607</v>
      </c>
      <c r="D2118" s="30" t="s">
        <v>8938</v>
      </c>
      <c r="E2118" s="30"/>
      <c r="F2118" s="30"/>
      <c r="G2118" s="30" t="s">
        <v>8737</v>
      </c>
      <c r="H2118" s="30" t="s">
        <v>10851</v>
      </c>
    </row>
    <row r="2119" spans="1:8">
      <c r="A2119" s="30" t="s">
        <v>13182</v>
      </c>
      <c r="B2119" s="30"/>
      <c r="C2119" s="30" t="s">
        <v>8607</v>
      </c>
      <c r="D2119" s="30"/>
      <c r="E2119" s="30"/>
      <c r="F2119" s="30"/>
      <c r="G2119" s="30" t="s">
        <v>9847</v>
      </c>
      <c r="H2119" s="30" t="s">
        <v>13183</v>
      </c>
    </row>
    <row r="2120" spans="1:8">
      <c r="A2120" s="30" t="s">
        <v>13184</v>
      </c>
      <c r="B2120" s="30"/>
      <c r="C2120" s="30" t="s">
        <v>8607</v>
      </c>
      <c r="D2120" s="30" t="s">
        <v>9842</v>
      </c>
      <c r="E2120" s="30" t="s">
        <v>13185</v>
      </c>
      <c r="F2120" s="30" t="s">
        <v>8672</v>
      </c>
      <c r="G2120" s="30" t="s">
        <v>9844</v>
      </c>
      <c r="H2120" s="30" t="s">
        <v>9845</v>
      </c>
    </row>
    <row r="2121" spans="1:8">
      <c r="A2121" s="30" t="s">
        <v>13186</v>
      </c>
      <c r="B2121" s="30"/>
      <c r="C2121" s="30" t="s">
        <v>8626</v>
      </c>
      <c r="D2121" s="30"/>
      <c r="E2121" s="30" t="s">
        <v>13187</v>
      </c>
      <c r="F2121" s="30" t="s">
        <v>8618</v>
      </c>
      <c r="G2121" s="30"/>
      <c r="H2121" s="30" t="s">
        <v>13188</v>
      </c>
    </row>
    <row r="2122" spans="1:8">
      <c r="A2122" s="30" t="s">
        <v>13189</v>
      </c>
      <c r="B2122" s="30"/>
      <c r="C2122" s="30" t="s">
        <v>8626</v>
      </c>
      <c r="D2122" s="30"/>
      <c r="E2122" s="30" t="s">
        <v>13190</v>
      </c>
      <c r="F2122" s="30" t="s">
        <v>8618</v>
      </c>
      <c r="G2122" s="30" t="s">
        <v>8623</v>
      </c>
      <c r="H2122" s="30" t="s">
        <v>13191</v>
      </c>
    </row>
    <row r="2123" spans="1:8">
      <c r="A2123" s="30" t="s">
        <v>13192</v>
      </c>
      <c r="B2123" s="30"/>
      <c r="C2123" s="30" t="s">
        <v>8607</v>
      </c>
      <c r="D2123" s="30"/>
      <c r="E2123" s="30" t="s">
        <v>10694</v>
      </c>
      <c r="F2123" s="30" t="s">
        <v>8618</v>
      </c>
      <c r="G2123" s="30" t="s">
        <v>10695</v>
      </c>
      <c r="H2123" s="30" t="s">
        <v>11699</v>
      </c>
    </row>
    <row r="2124" spans="1:8">
      <c r="A2124" s="30" t="s">
        <v>13193</v>
      </c>
      <c r="B2124" s="30"/>
      <c r="C2124" s="30" t="s">
        <v>8626</v>
      </c>
      <c r="D2124" s="30" t="s">
        <v>9753</v>
      </c>
      <c r="E2124" s="30" t="s">
        <v>9754</v>
      </c>
      <c r="F2124" s="30" t="e">
        <v>#VALUE!</v>
      </c>
      <c r="G2124" s="30" t="s">
        <v>9755</v>
      </c>
      <c r="H2124" s="30" t="s">
        <v>13167</v>
      </c>
    </row>
    <row r="2125" spans="1:8">
      <c r="A2125" s="30" t="s">
        <v>13194</v>
      </c>
      <c r="B2125" s="30"/>
      <c r="C2125" s="30"/>
      <c r="D2125" s="32"/>
      <c r="E2125" s="30" t="s">
        <v>13195</v>
      </c>
      <c r="F2125" s="30" t="s">
        <v>8618</v>
      </c>
      <c r="G2125" s="30"/>
      <c r="H2125" s="30" t="s">
        <v>13196</v>
      </c>
    </row>
    <row r="2126" spans="1:8">
      <c r="A2126" s="30" t="s">
        <v>13197</v>
      </c>
      <c r="B2126" s="30"/>
      <c r="C2126" s="30" t="s">
        <v>8626</v>
      </c>
      <c r="D2126" s="30"/>
      <c r="E2126" s="30" t="s">
        <v>12319</v>
      </c>
      <c r="F2126" s="30" t="e">
        <v>#VALUE!</v>
      </c>
      <c r="G2126" s="30" t="s">
        <v>10695</v>
      </c>
      <c r="H2126" s="30" t="s">
        <v>13198</v>
      </c>
    </row>
    <row r="2127" spans="1:8">
      <c r="A2127" s="30" t="s">
        <v>13199</v>
      </c>
      <c r="B2127" s="30"/>
      <c r="C2127" s="30" t="s">
        <v>8607</v>
      </c>
      <c r="D2127" s="30"/>
      <c r="E2127" s="30"/>
      <c r="F2127" s="30"/>
      <c r="G2127" s="30" t="s">
        <v>10220</v>
      </c>
      <c r="H2127" s="30" t="s">
        <v>10698</v>
      </c>
    </row>
    <row r="2128" spans="1:8">
      <c r="A2128" s="30" t="s">
        <v>13200</v>
      </c>
      <c r="B2128" s="30"/>
      <c r="C2128" s="30" t="s">
        <v>8607</v>
      </c>
      <c r="D2128" s="30" t="s">
        <v>9742</v>
      </c>
      <c r="E2128" s="30" t="s">
        <v>8850</v>
      </c>
      <c r="F2128" s="30" t="s">
        <v>8672</v>
      </c>
      <c r="G2128" s="30" t="s">
        <v>8851</v>
      </c>
      <c r="H2128" s="30" t="s">
        <v>13201</v>
      </c>
    </row>
    <row r="2129" spans="1:8">
      <c r="A2129" s="30" t="s">
        <v>13202</v>
      </c>
      <c r="B2129" s="30"/>
      <c r="C2129" s="30" t="s">
        <v>8626</v>
      </c>
      <c r="D2129" s="30" t="s">
        <v>13203</v>
      </c>
      <c r="E2129" s="30" t="s">
        <v>13204</v>
      </c>
      <c r="F2129" s="30" t="e">
        <v>#VALUE!</v>
      </c>
      <c r="G2129" s="30" t="s">
        <v>9002</v>
      </c>
      <c r="H2129" s="30" t="s">
        <v>13205</v>
      </c>
    </row>
    <row r="2130" spans="1:8">
      <c r="A2130" s="30" t="s">
        <v>13206</v>
      </c>
      <c r="B2130" s="30"/>
      <c r="C2130" s="30" t="s">
        <v>8607</v>
      </c>
      <c r="D2130" s="30" t="s">
        <v>9546</v>
      </c>
      <c r="E2130" s="30" t="s">
        <v>9547</v>
      </c>
      <c r="F2130" s="30" t="s">
        <v>8672</v>
      </c>
      <c r="G2130" s="30" t="s">
        <v>9366</v>
      </c>
      <c r="H2130" s="30" t="s">
        <v>10388</v>
      </c>
    </row>
    <row r="2131" spans="1:8">
      <c r="A2131" s="30" t="s">
        <v>13207</v>
      </c>
      <c r="B2131" s="30"/>
      <c r="C2131" s="30" t="s">
        <v>8626</v>
      </c>
      <c r="D2131" s="30" t="s">
        <v>13208</v>
      </c>
      <c r="E2131" s="30" t="s">
        <v>13209</v>
      </c>
      <c r="F2131" s="30" t="s">
        <v>8618</v>
      </c>
      <c r="G2131" s="30" t="s">
        <v>10234</v>
      </c>
      <c r="H2131" s="30" t="s">
        <v>13210</v>
      </c>
    </row>
    <row r="2132" spans="1:8">
      <c r="A2132" s="30" t="s">
        <v>13211</v>
      </c>
      <c r="B2132" s="30"/>
      <c r="C2132" s="30" t="s">
        <v>8607</v>
      </c>
      <c r="D2132" s="30"/>
      <c r="E2132" s="30"/>
      <c r="F2132" s="30"/>
      <c r="G2132" s="30"/>
      <c r="H2132" s="30" t="s">
        <v>12530</v>
      </c>
    </row>
    <row r="2133" spans="1:8">
      <c r="A2133" s="30" t="s">
        <v>13212</v>
      </c>
      <c r="B2133" s="30"/>
      <c r="C2133" s="30" t="s">
        <v>8607</v>
      </c>
      <c r="D2133" s="30"/>
      <c r="E2133" s="30"/>
      <c r="F2133" s="30"/>
      <c r="G2133" s="30"/>
      <c r="H2133" s="30" t="s">
        <v>12530</v>
      </c>
    </row>
    <row r="2134" spans="1:8">
      <c r="A2134" s="30" t="s">
        <v>13213</v>
      </c>
      <c r="B2134" s="30"/>
      <c r="C2134" s="30" t="s">
        <v>8626</v>
      </c>
      <c r="D2134" s="30" t="s">
        <v>10522</v>
      </c>
      <c r="E2134" s="30" t="s">
        <v>13214</v>
      </c>
      <c r="F2134" s="30" t="s">
        <v>8672</v>
      </c>
      <c r="G2134" s="30" t="s">
        <v>8673</v>
      </c>
      <c r="H2134" s="30" t="s">
        <v>13215</v>
      </c>
    </row>
    <row r="2135" spans="1:8">
      <c r="A2135" s="30" t="s">
        <v>13216</v>
      </c>
      <c r="B2135" s="30"/>
      <c r="C2135" s="30" t="s">
        <v>8626</v>
      </c>
      <c r="D2135" s="30" t="s">
        <v>10436</v>
      </c>
      <c r="E2135" s="30"/>
      <c r="F2135" s="30"/>
      <c r="G2135" s="30" t="s">
        <v>9847</v>
      </c>
      <c r="H2135" s="30" t="s">
        <v>10272</v>
      </c>
    </row>
    <row r="2136" spans="1:8">
      <c r="A2136" s="30" t="s">
        <v>13217</v>
      </c>
      <c r="B2136" s="30"/>
      <c r="C2136" s="30" t="s">
        <v>8626</v>
      </c>
      <c r="D2136" s="30"/>
      <c r="E2136" s="30"/>
      <c r="F2136" s="30"/>
      <c r="G2136" s="30" t="s">
        <v>9358</v>
      </c>
      <c r="H2136" s="30" t="s">
        <v>10276</v>
      </c>
    </row>
    <row r="2137" spans="1:8">
      <c r="A2137" s="30" t="s">
        <v>13218</v>
      </c>
      <c r="B2137" s="30"/>
      <c r="C2137" s="30" t="s">
        <v>8607</v>
      </c>
      <c r="D2137" s="30" t="s">
        <v>9005</v>
      </c>
      <c r="E2137" s="30" t="s">
        <v>9006</v>
      </c>
      <c r="F2137" s="30" t="e">
        <v>#VALUE!</v>
      </c>
      <c r="G2137" s="30" t="s">
        <v>9007</v>
      </c>
      <c r="H2137" s="30" t="s">
        <v>10266</v>
      </c>
    </row>
    <row r="2138" spans="1:8">
      <c r="A2138" s="30" t="s">
        <v>13219</v>
      </c>
      <c r="B2138" s="30"/>
      <c r="C2138" s="30"/>
      <c r="D2138" s="32"/>
      <c r="E2138" s="30"/>
      <c r="F2138" s="30"/>
      <c r="G2138" s="30"/>
      <c r="H2138" s="30" t="s">
        <v>10520</v>
      </c>
    </row>
    <row r="2139" spans="1:8">
      <c r="A2139" s="30" t="s">
        <v>13220</v>
      </c>
      <c r="B2139" s="30"/>
      <c r="C2139" s="30" t="s">
        <v>8607</v>
      </c>
      <c r="D2139" s="30" t="s">
        <v>8703</v>
      </c>
      <c r="E2139" s="30"/>
      <c r="F2139" s="30"/>
      <c r="G2139" s="30" t="s">
        <v>8704</v>
      </c>
      <c r="H2139" s="30" t="s">
        <v>11469</v>
      </c>
    </row>
    <row r="2140" spans="1:8">
      <c r="A2140" s="30" t="s">
        <v>13221</v>
      </c>
      <c r="B2140" s="30"/>
      <c r="C2140" s="30" t="s">
        <v>8607</v>
      </c>
      <c r="D2140" s="30"/>
      <c r="E2140" s="30"/>
      <c r="F2140" s="30"/>
      <c r="G2140" s="30" t="s">
        <v>13222</v>
      </c>
      <c r="H2140" s="30" t="s">
        <v>13223</v>
      </c>
    </row>
    <row r="2141" spans="1:8">
      <c r="A2141" s="30" t="s">
        <v>13224</v>
      </c>
      <c r="B2141" s="30"/>
      <c r="C2141" s="30" t="s">
        <v>8626</v>
      </c>
      <c r="D2141" s="30"/>
      <c r="E2141" s="30" t="s">
        <v>13153</v>
      </c>
      <c r="F2141" s="30" t="e">
        <v>#VALUE!</v>
      </c>
      <c r="G2141" s="30"/>
      <c r="H2141" s="30" t="s">
        <v>13225</v>
      </c>
    </row>
    <row r="2142" spans="1:8">
      <c r="A2142" s="30" t="s">
        <v>13226</v>
      </c>
      <c r="B2142" s="30"/>
      <c r="C2142" s="30" t="s">
        <v>8626</v>
      </c>
      <c r="D2142" s="30" t="s">
        <v>9357</v>
      </c>
      <c r="E2142" s="30"/>
      <c r="F2142" s="30"/>
      <c r="G2142" s="30" t="s">
        <v>9358</v>
      </c>
      <c r="H2142" s="30" t="s">
        <v>10276</v>
      </c>
    </row>
    <row r="2143" spans="1:8">
      <c r="A2143" s="30" t="s">
        <v>13227</v>
      </c>
      <c r="B2143" s="30"/>
      <c r="C2143" s="30" t="s">
        <v>8607</v>
      </c>
      <c r="D2143" s="30" t="s">
        <v>10491</v>
      </c>
      <c r="E2143" s="30" t="s">
        <v>10638</v>
      </c>
      <c r="F2143" s="30" t="e">
        <v>#VALUE!</v>
      </c>
      <c r="G2143" s="30" t="s">
        <v>9007</v>
      </c>
      <c r="H2143" s="30" t="s">
        <v>10639</v>
      </c>
    </row>
    <row r="2144" spans="1:8">
      <c r="A2144" s="30" t="s">
        <v>13228</v>
      </c>
      <c r="B2144" s="30"/>
      <c r="C2144" s="30" t="s">
        <v>8626</v>
      </c>
      <c r="D2144" s="30"/>
      <c r="E2144" s="30"/>
      <c r="F2144" s="30"/>
      <c r="G2144" s="30" t="s">
        <v>9363</v>
      </c>
      <c r="H2144" s="30" t="s">
        <v>10520</v>
      </c>
    </row>
    <row r="2145" spans="1:8">
      <c r="A2145" s="30" t="s">
        <v>13229</v>
      </c>
      <c r="B2145" s="30"/>
      <c r="C2145" s="30" t="s">
        <v>8607</v>
      </c>
      <c r="D2145" s="30"/>
      <c r="E2145" s="30"/>
      <c r="F2145" s="30"/>
      <c r="G2145" s="30" t="s">
        <v>10250</v>
      </c>
      <c r="H2145" s="30" t="s">
        <v>13230</v>
      </c>
    </row>
    <row r="2146" spans="1:8">
      <c r="A2146" s="30" t="s">
        <v>13231</v>
      </c>
      <c r="B2146" s="30"/>
      <c r="C2146" s="30" t="s">
        <v>8607</v>
      </c>
      <c r="D2146" s="30"/>
      <c r="E2146" s="30"/>
      <c r="F2146" s="30"/>
      <c r="G2146" s="30" t="s">
        <v>10205</v>
      </c>
      <c r="H2146" s="30" t="s">
        <v>13232</v>
      </c>
    </row>
    <row r="2147" spans="1:8">
      <c r="A2147" s="30" t="s">
        <v>13233</v>
      </c>
      <c r="B2147" s="30"/>
      <c r="C2147" s="30" t="s">
        <v>8626</v>
      </c>
      <c r="D2147" s="30" t="s">
        <v>10208</v>
      </c>
      <c r="E2147" s="30" t="s">
        <v>10209</v>
      </c>
      <c r="F2147" s="30" t="s">
        <v>8672</v>
      </c>
      <c r="G2147" s="30" t="s">
        <v>9002</v>
      </c>
      <c r="H2147" s="30" t="s">
        <v>13234</v>
      </c>
    </row>
    <row r="2148" spans="1:8">
      <c r="A2148" s="30" t="s">
        <v>13235</v>
      </c>
      <c r="B2148" s="30"/>
      <c r="C2148" s="30"/>
      <c r="D2148" s="32" t="s">
        <v>13236</v>
      </c>
      <c r="E2148" s="30" t="s">
        <v>13237</v>
      </c>
      <c r="F2148" s="30" t="s">
        <v>8618</v>
      </c>
      <c r="G2148" s="30"/>
      <c r="H2148" s="30" t="s">
        <v>13238</v>
      </c>
    </row>
    <row r="2149" spans="1:8">
      <c r="A2149" s="30" t="s">
        <v>13239</v>
      </c>
      <c r="B2149" s="30"/>
      <c r="C2149" s="30" t="s">
        <v>8626</v>
      </c>
      <c r="D2149" s="30"/>
      <c r="E2149" s="30" t="s">
        <v>13240</v>
      </c>
      <c r="F2149" s="30" t="e">
        <v>#VALUE!</v>
      </c>
      <c r="G2149" s="30" t="s">
        <v>13241</v>
      </c>
      <c r="H2149" s="30" t="s">
        <v>13242</v>
      </c>
    </row>
    <row r="2150" spans="1:8">
      <c r="A2150" s="30" t="s">
        <v>13243</v>
      </c>
      <c r="B2150" s="30"/>
      <c r="C2150" s="30" t="s">
        <v>8607</v>
      </c>
      <c r="D2150" s="30" t="s">
        <v>8968</v>
      </c>
      <c r="E2150" s="30"/>
      <c r="F2150" s="30"/>
      <c r="G2150" s="30" t="s">
        <v>8970</v>
      </c>
      <c r="H2150" s="30" t="s">
        <v>9297</v>
      </c>
    </row>
    <row r="2151" spans="1:8">
      <c r="A2151" s="30" t="s">
        <v>13244</v>
      </c>
      <c r="B2151" s="30"/>
      <c r="C2151" s="30" t="s">
        <v>8607</v>
      </c>
      <c r="D2151" s="30" t="s">
        <v>8736</v>
      </c>
      <c r="E2151" s="30"/>
      <c r="F2151" s="30"/>
      <c r="G2151" s="30" t="s">
        <v>8737</v>
      </c>
      <c r="H2151" s="30" t="s">
        <v>8800</v>
      </c>
    </row>
    <row r="2152" spans="1:8">
      <c r="A2152" s="30" t="s">
        <v>13245</v>
      </c>
      <c r="B2152" s="30"/>
      <c r="C2152" s="30" t="s">
        <v>8607</v>
      </c>
      <c r="D2152" s="30"/>
      <c r="E2152" s="30"/>
      <c r="F2152" s="30"/>
      <c r="G2152" s="30"/>
      <c r="H2152" s="30" t="s">
        <v>8802</v>
      </c>
    </row>
    <row r="2153" spans="1:8">
      <c r="A2153" s="30" t="s">
        <v>13246</v>
      </c>
      <c r="B2153" s="30"/>
      <c r="C2153" s="30"/>
      <c r="D2153" s="32"/>
      <c r="E2153" s="30"/>
      <c r="F2153" s="30"/>
      <c r="G2153" s="30"/>
      <c r="H2153" s="30" t="s">
        <v>8842</v>
      </c>
    </row>
    <row r="2154" spans="1:8">
      <c r="A2154" s="30" t="s">
        <v>13247</v>
      </c>
      <c r="B2154" s="30"/>
      <c r="C2154" s="30"/>
      <c r="D2154" s="32"/>
      <c r="E2154" s="30" t="s">
        <v>8818</v>
      </c>
      <c r="F2154" s="30" t="e">
        <v>#VALUE!</v>
      </c>
      <c r="G2154" s="30"/>
      <c r="H2154" s="30" t="s">
        <v>13248</v>
      </c>
    </row>
    <row r="2155" spans="1:8">
      <c r="A2155" s="30" t="s">
        <v>13249</v>
      </c>
      <c r="B2155" s="30"/>
      <c r="C2155" s="30" t="s">
        <v>8607</v>
      </c>
      <c r="D2155" s="30" t="s">
        <v>8821</v>
      </c>
      <c r="E2155" s="30"/>
      <c r="F2155" s="30"/>
      <c r="G2155" s="30" t="s">
        <v>8737</v>
      </c>
      <c r="H2155" s="30" t="s">
        <v>13250</v>
      </c>
    </row>
    <row r="2156" spans="1:8">
      <c r="A2156" s="30" t="s">
        <v>13251</v>
      </c>
      <c r="B2156" s="30"/>
      <c r="C2156" s="30" t="s">
        <v>8626</v>
      </c>
      <c r="D2156" s="30" t="s">
        <v>13252</v>
      </c>
      <c r="E2156" s="30" t="s">
        <v>13253</v>
      </c>
      <c r="F2156" s="30" t="s">
        <v>8618</v>
      </c>
      <c r="G2156" s="30" t="s">
        <v>10939</v>
      </c>
      <c r="H2156" s="30" t="s">
        <v>13254</v>
      </c>
    </row>
    <row r="2157" spans="1:8">
      <c r="A2157" s="30" t="s">
        <v>13255</v>
      </c>
      <c r="B2157" s="30"/>
      <c r="C2157" s="30" t="s">
        <v>8626</v>
      </c>
      <c r="D2157" s="30" t="s">
        <v>13256</v>
      </c>
      <c r="E2157" s="30" t="s">
        <v>13257</v>
      </c>
      <c r="F2157" s="30" t="s">
        <v>8618</v>
      </c>
      <c r="G2157" s="30" t="s">
        <v>10234</v>
      </c>
      <c r="H2157" s="30" t="s">
        <v>10270</v>
      </c>
    </row>
    <row r="2158" spans="1:8">
      <c r="A2158" s="30" t="s">
        <v>13258</v>
      </c>
      <c r="B2158" s="30"/>
      <c r="C2158" s="30" t="s">
        <v>8607</v>
      </c>
      <c r="D2158" s="30" t="s">
        <v>8654</v>
      </c>
      <c r="E2158" s="30" t="s">
        <v>8655</v>
      </c>
      <c r="F2158" s="30" t="s">
        <v>8618</v>
      </c>
      <c r="G2158" s="30" t="s">
        <v>8656</v>
      </c>
      <c r="H2158" s="30" t="s">
        <v>13259</v>
      </c>
    </row>
    <row r="2159" spans="1:8">
      <c r="A2159" s="30" t="s">
        <v>13260</v>
      </c>
      <c r="B2159" s="30"/>
      <c r="C2159" s="30" t="s">
        <v>8626</v>
      </c>
      <c r="D2159" s="30"/>
      <c r="E2159" s="30" t="s">
        <v>10972</v>
      </c>
      <c r="F2159" s="30" t="s">
        <v>8618</v>
      </c>
      <c r="G2159" s="30" t="s">
        <v>10973</v>
      </c>
      <c r="H2159" s="30" t="s">
        <v>10974</v>
      </c>
    </row>
    <row r="2160" spans="1:8">
      <c r="A2160" s="30" t="s">
        <v>13261</v>
      </c>
      <c r="B2160" s="30"/>
      <c r="C2160" s="30" t="s">
        <v>8626</v>
      </c>
      <c r="D2160" s="30"/>
      <c r="E2160" s="30" t="s">
        <v>13262</v>
      </c>
      <c r="F2160" s="30" t="e">
        <v>#VALUE!</v>
      </c>
      <c r="G2160" s="30" t="s">
        <v>8949</v>
      </c>
      <c r="H2160" s="30" t="s">
        <v>13263</v>
      </c>
    </row>
    <row r="2161" spans="1:8">
      <c r="A2161" s="30" t="s">
        <v>13264</v>
      </c>
      <c r="B2161" s="30"/>
      <c r="C2161" s="30" t="s">
        <v>8607</v>
      </c>
      <c r="D2161" s="30" t="s">
        <v>8666</v>
      </c>
      <c r="E2161" s="30"/>
      <c r="F2161" s="30"/>
      <c r="G2161" s="30" t="s">
        <v>8667</v>
      </c>
      <c r="H2161" s="30" t="s">
        <v>10823</v>
      </c>
    </row>
    <row r="2162" spans="1:8">
      <c r="A2162" s="30" t="s">
        <v>13265</v>
      </c>
      <c r="B2162" s="30"/>
      <c r="C2162" s="30"/>
      <c r="D2162" s="32"/>
      <c r="E2162" s="30"/>
      <c r="F2162" s="30"/>
      <c r="G2162" s="30"/>
      <c r="H2162" s="30" t="s">
        <v>12686</v>
      </c>
    </row>
    <row r="2163" spans="1:8">
      <c r="A2163" s="30" t="s">
        <v>13266</v>
      </c>
      <c r="B2163" s="30"/>
      <c r="C2163" s="30" t="s">
        <v>8626</v>
      </c>
      <c r="D2163" s="30"/>
      <c r="E2163" s="30"/>
      <c r="F2163" s="30"/>
      <c r="G2163" s="30"/>
      <c r="H2163" s="30" t="s">
        <v>13267</v>
      </c>
    </row>
    <row r="2164" spans="1:8">
      <c r="A2164" s="30" t="s">
        <v>13268</v>
      </c>
      <c r="B2164" s="30"/>
      <c r="C2164" s="30" t="s">
        <v>8607</v>
      </c>
      <c r="D2164" s="30"/>
      <c r="E2164" s="30" t="s">
        <v>8907</v>
      </c>
      <c r="F2164" s="30" t="s">
        <v>8618</v>
      </c>
      <c r="G2164" s="30" t="s">
        <v>8908</v>
      </c>
      <c r="H2164" s="30" t="s">
        <v>13269</v>
      </c>
    </row>
    <row r="2165" spans="1:8">
      <c r="A2165" s="30" t="s">
        <v>13270</v>
      </c>
      <c r="B2165" s="30"/>
      <c r="C2165" s="30" t="s">
        <v>8607</v>
      </c>
      <c r="D2165" s="30"/>
      <c r="E2165" s="30"/>
      <c r="F2165" s="30"/>
      <c r="G2165" s="30" t="s">
        <v>11151</v>
      </c>
      <c r="H2165" s="30" t="s">
        <v>11152</v>
      </c>
    </row>
    <row r="2166" spans="1:8">
      <c r="A2166" s="30" t="s">
        <v>13271</v>
      </c>
      <c r="B2166" s="30"/>
      <c r="C2166" s="30" t="s">
        <v>8607</v>
      </c>
      <c r="D2166" s="30" t="s">
        <v>13272</v>
      </c>
      <c r="E2166" s="30" t="s">
        <v>13273</v>
      </c>
      <c r="F2166" s="30" t="s">
        <v>8618</v>
      </c>
      <c r="G2166" s="30" t="s">
        <v>13274</v>
      </c>
      <c r="H2166" s="30" t="s">
        <v>13275</v>
      </c>
    </row>
    <row r="2167" spans="1:8">
      <c r="A2167" s="30" t="s">
        <v>13276</v>
      </c>
      <c r="B2167" s="30"/>
      <c r="C2167" s="30" t="s">
        <v>8626</v>
      </c>
      <c r="D2167" s="30" t="s">
        <v>13277</v>
      </c>
      <c r="E2167" s="30" t="s">
        <v>9332</v>
      </c>
      <c r="F2167" s="30" t="s">
        <v>8672</v>
      </c>
      <c r="G2167" s="30" t="s">
        <v>9333</v>
      </c>
      <c r="H2167" s="30" t="s">
        <v>13278</v>
      </c>
    </row>
    <row r="2168" spans="1:8">
      <c r="A2168" s="30" t="s">
        <v>13279</v>
      </c>
      <c r="B2168" s="30"/>
      <c r="C2168" s="30" t="s">
        <v>8626</v>
      </c>
      <c r="D2168" s="30" t="s">
        <v>13277</v>
      </c>
      <c r="E2168" s="30" t="s">
        <v>9332</v>
      </c>
      <c r="F2168" s="30" t="s">
        <v>8672</v>
      </c>
      <c r="G2168" s="30" t="s">
        <v>9333</v>
      </c>
      <c r="H2168" s="30" t="s">
        <v>13278</v>
      </c>
    </row>
    <row r="2169" spans="1:8">
      <c r="A2169" s="30" t="s">
        <v>13280</v>
      </c>
      <c r="B2169" s="30"/>
      <c r="C2169" s="30" t="s">
        <v>8607</v>
      </c>
      <c r="D2169" s="30" t="s">
        <v>13272</v>
      </c>
      <c r="E2169" s="30" t="s">
        <v>13273</v>
      </c>
      <c r="F2169" s="30" t="s">
        <v>8618</v>
      </c>
      <c r="G2169" s="30" t="s">
        <v>13274</v>
      </c>
      <c r="H2169" s="30" t="s">
        <v>13275</v>
      </c>
    </row>
    <row r="2170" spans="1:8">
      <c r="A2170" s="30" t="s">
        <v>13281</v>
      </c>
      <c r="B2170" s="30"/>
      <c r="C2170" s="30" t="s">
        <v>8607</v>
      </c>
      <c r="D2170" s="30"/>
      <c r="E2170" s="30" t="s">
        <v>11305</v>
      </c>
      <c r="F2170" s="30" t="s">
        <v>8618</v>
      </c>
      <c r="G2170" s="30" t="s">
        <v>8908</v>
      </c>
      <c r="H2170" s="30" t="s">
        <v>10636</v>
      </c>
    </row>
    <row r="2171" spans="1:8">
      <c r="A2171" s="30" t="s">
        <v>13282</v>
      </c>
      <c r="B2171" s="30"/>
      <c r="C2171" s="30"/>
      <c r="D2171" s="32"/>
      <c r="E2171" s="30"/>
      <c r="F2171" s="30"/>
      <c r="G2171" s="30"/>
      <c r="H2171" s="30" t="s">
        <v>13283</v>
      </c>
    </row>
    <row r="2172" spans="1:8">
      <c r="A2172" s="30" t="s">
        <v>13284</v>
      </c>
      <c r="B2172" s="30"/>
      <c r="C2172" s="30" t="s">
        <v>8607</v>
      </c>
      <c r="D2172" s="30" t="s">
        <v>9000</v>
      </c>
      <c r="E2172" s="30" t="s">
        <v>13285</v>
      </c>
      <c r="F2172" s="30" t="e">
        <v>#VALUE!</v>
      </c>
      <c r="G2172" s="30" t="s">
        <v>9002</v>
      </c>
      <c r="H2172" s="30" t="s">
        <v>10844</v>
      </c>
    </row>
    <row r="2173" spans="1:8">
      <c r="A2173" s="30" t="s">
        <v>13286</v>
      </c>
      <c r="B2173" s="30"/>
      <c r="C2173" s="30" t="s">
        <v>8607</v>
      </c>
      <c r="D2173" s="30" t="s">
        <v>8894</v>
      </c>
      <c r="E2173" s="30"/>
      <c r="F2173" s="30"/>
      <c r="G2173" s="30" t="s">
        <v>8895</v>
      </c>
      <c r="H2173" s="30" t="s">
        <v>13287</v>
      </c>
    </row>
    <row r="2174" spans="1:8">
      <c r="A2174" s="30" t="s">
        <v>13288</v>
      </c>
      <c r="B2174" s="30"/>
      <c r="C2174" s="30" t="s">
        <v>8626</v>
      </c>
      <c r="D2174" s="30"/>
      <c r="E2174" s="30" t="s">
        <v>10214</v>
      </c>
      <c r="F2174" s="30" t="e">
        <v>#VALUE!</v>
      </c>
      <c r="G2174" s="30" t="s">
        <v>11313</v>
      </c>
      <c r="H2174" s="30" t="s">
        <v>10305</v>
      </c>
    </row>
    <row r="2175" spans="1:8">
      <c r="A2175" s="30" t="s">
        <v>13289</v>
      </c>
      <c r="B2175" s="30"/>
      <c r="C2175" s="30" t="s">
        <v>8626</v>
      </c>
      <c r="D2175" s="30" t="s">
        <v>13290</v>
      </c>
      <c r="E2175" s="30" t="s">
        <v>13291</v>
      </c>
      <c r="F2175" s="30" t="s">
        <v>8618</v>
      </c>
      <c r="G2175" s="30"/>
      <c r="H2175" s="30" t="s">
        <v>13292</v>
      </c>
    </row>
    <row r="2176" spans="1:8">
      <c r="A2176" s="30" t="s">
        <v>13293</v>
      </c>
      <c r="B2176" s="30"/>
      <c r="C2176" s="30" t="s">
        <v>8626</v>
      </c>
      <c r="D2176" s="30" t="s">
        <v>13294</v>
      </c>
      <c r="E2176" s="30" t="s">
        <v>13295</v>
      </c>
      <c r="F2176" s="30" t="s">
        <v>8618</v>
      </c>
      <c r="G2176" s="30" t="s">
        <v>8900</v>
      </c>
      <c r="H2176" s="30" t="s">
        <v>13296</v>
      </c>
    </row>
    <row r="2177" spans="1:8">
      <c r="A2177" s="30" t="s">
        <v>13297</v>
      </c>
      <c r="B2177" s="30"/>
      <c r="C2177" s="30" t="s">
        <v>8607</v>
      </c>
      <c r="D2177" s="30"/>
      <c r="E2177" s="30"/>
      <c r="F2177" s="30"/>
      <c r="G2177" s="30" t="s">
        <v>10395</v>
      </c>
      <c r="H2177" s="30" t="s">
        <v>13298</v>
      </c>
    </row>
    <row r="2178" spans="1:8">
      <c r="A2178" s="30" t="s">
        <v>13299</v>
      </c>
      <c r="B2178" s="30"/>
      <c r="C2178" s="30" t="s">
        <v>8607</v>
      </c>
      <c r="D2178" s="30" t="s">
        <v>10156</v>
      </c>
      <c r="E2178" s="30" t="s">
        <v>10157</v>
      </c>
      <c r="F2178" s="30" t="s">
        <v>8672</v>
      </c>
      <c r="G2178" s="30" t="s">
        <v>9275</v>
      </c>
      <c r="H2178" s="30" t="s">
        <v>9792</v>
      </c>
    </row>
    <row r="2179" spans="1:8">
      <c r="A2179" s="30" t="s">
        <v>13300</v>
      </c>
      <c r="B2179" s="30"/>
      <c r="C2179" s="30" t="s">
        <v>8607</v>
      </c>
      <c r="D2179" s="30" t="s">
        <v>11926</v>
      </c>
      <c r="E2179" s="30" t="s">
        <v>11927</v>
      </c>
      <c r="F2179" s="30" t="s">
        <v>8672</v>
      </c>
      <c r="G2179" s="30" t="s">
        <v>9844</v>
      </c>
      <c r="H2179" s="30" t="s">
        <v>11928</v>
      </c>
    </row>
    <row r="2180" spans="1:8">
      <c r="A2180" s="30" t="s">
        <v>13301</v>
      </c>
      <c r="B2180" s="30"/>
      <c r="C2180" s="30" t="s">
        <v>8607</v>
      </c>
      <c r="D2180" s="30"/>
      <c r="E2180" s="30"/>
      <c r="F2180" s="30"/>
      <c r="G2180" s="30" t="s">
        <v>9209</v>
      </c>
      <c r="H2180" s="30" t="s">
        <v>13302</v>
      </c>
    </row>
    <row r="2181" spans="1:8">
      <c r="A2181" s="30" t="s">
        <v>13303</v>
      </c>
      <c r="B2181" s="30"/>
      <c r="C2181" s="30" t="s">
        <v>8607</v>
      </c>
      <c r="D2181" s="30" t="s">
        <v>13304</v>
      </c>
      <c r="E2181" s="30"/>
      <c r="F2181" s="30"/>
      <c r="G2181" s="30" t="s">
        <v>13305</v>
      </c>
      <c r="H2181" s="30" t="s">
        <v>13306</v>
      </c>
    </row>
    <row r="2182" spans="1:8">
      <c r="A2182" s="30" t="s">
        <v>13307</v>
      </c>
      <c r="B2182" s="30"/>
      <c r="C2182" s="30" t="s">
        <v>8626</v>
      </c>
      <c r="D2182" s="30" t="s">
        <v>13308</v>
      </c>
      <c r="E2182" s="30" t="s">
        <v>13309</v>
      </c>
      <c r="F2182" s="30" t="s">
        <v>8618</v>
      </c>
      <c r="G2182" s="30" t="s">
        <v>13305</v>
      </c>
      <c r="H2182" s="30" t="s">
        <v>13310</v>
      </c>
    </row>
    <row r="2183" spans="1:8">
      <c r="A2183" s="30" t="s">
        <v>13311</v>
      </c>
      <c r="B2183" s="30"/>
      <c r="C2183" s="30" t="s">
        <v>8626</v>
      </c>
      <c r="D2183" s="30"/>
      <c r="E2183" s="30"/>
      <c r="F2183" s="30"/>
      <c r="G2183" s="30" t="s">
        <v>13312</v>
      </c>
      <c r="H2183" s="30" t="s">
        <v>13313</v>
      </c>
    </row>
    <row r="2184" spans="1:8">
      <c r="A2184" s="30" t="s">
        <v>13314</v>
      </c>
      <c r="B2184" s="30"/>
      <c r="C2184" s="30" t="s">
        <v>8607</v>
      </c>
      <c r="D2184" s="30"/>
      <c r="E2184" s="30" t="s">
        <v>13315</v>
      </c>
      <c r="F2184" s="30" t="s">
        <v>8672</v>
      </c>
      <c r="G2184" s="30" t="s">
        <v>9913</v>
      </c>
      <c r="H2184" s="30" t="s">
        <v>13316</v>
      </c>
    </row>
    <row r="2185" spans="1:8">
      <c r="A2185" s="30" t="s">
        <v>13317</v>
      </c>
      <c r="B2185" s="30"/>
      <c r="C2185" s="30" t="s">
        <v>8607</v>
      </c>
      <c r="D2185" s="30" t="s">
        <v>13304</v>
      </c>
      <c r="E2185" s="30"/>
      <c r="F2185" s="30"/>
      <c r="G2185" s="30" t="s">
        <v>13305</v>
      </c>
      <c r="H2185" s="30" t="s">
        <v>13306</v>
      </c>
    </row>
    <row r="2186" spans="1:8">
      <c r="A2186" s="30" t="s">
        <v>13318</v>
      </c>
      <c r="B2186" s="30"/>
      <c r="C2186" s="30" t="s">
        <v>8626</v>
      </c>
      <c r="D2186" s="30" t="s">
        <v>13308</v>
      </c>
      <c r="E2186" s="30" t="s">
        <v>13309</v>
      </c>
      <c r="F2186" s="30" t="s">
        <v>8618</v>
      </c>
      <c r="G2186" s="30" t="s">
        <v>13305</v>
      </c>
      <c r="H2186" s="30" t="s">
        <v>13310</v>
      </c>
    </row>
    <row r="2187" spans="1:8">
      <c r="A2187" s="30" t="s">
        <v>13319</v>
      </c>
      <c r="B2187" s="30"/>
      <c r="C2187" s="30" t="s">
        <v>8626</v>
      </c>
      <c r="D2187" s="30"/>
      <c r="E2187" s="30"/>
      <c r="F2187" s="30"/>
      <c r="G2187" s="30" t="s">
        <v>13312</v>
      </c>
      <c r="H2187" s="30" t="s">
        <v>13313</v>
      </c>
    </row>
    <row r="2188" spans="1:8">
      <c r="A2188" s="30" t="s">
        <v>13320</v>
      </c>
      <c r="B2188" s="30"/>
      <c r="C2188" s="30" t="s">
        <v>8607</v>
      </c>
      <c r="D2188" s="30"/>
      <c r="E2188" s="30" t="s">
        <v>13315</v>
      </c>
      <c r="F2188" s="30" t="s">
        <v>8672</v>
      </c>
      <c r="G2188" s="30" t="s">
        <v>9913</v>
      </c>
      <c r="H2188" s="30" t="s">
        <v>13316</v>
      </c>
    </row>
    <row r="2189" spans="1:8">
      <c r="A2189" s="30" t="s">
        <v>13321</v>
      </c>
      <c r="B2189" s="30"/>
      <c r="C2189" s="30" t="s">
        <v>8607</v>
      </c>
      <c r="D2189" s="30" t="s">
        <v>8736</v>
      </c>
      <c r="E2189" s="30"/>
      <c r="F2189" s="30"/>
      <c r="G2189" s="30" t="s">
        <v>8737</v>
      </c>
      <c r="H2189" s="30" t="s">
        <v>13322</v>
      </c>
    </row>
    <row r="2190" spans="1:8">
      <c r="A2190" s="30" t="s">
        <v>13323</v>
      </c>
      <c r="B2190" s="30"/>
      <c r="C2190" s="30" t="s">
        <v>8607</v>
      </c>
      <c r="D2190" s="30" t="s">
        <v>8736</v>
      </c>
      <c r="E2190" s="30"/>
      <c r="F2190" s="30"/>
      <c r="G2190" s="30" t="s">
        <v>8737</v>
      </c>
      <c r="H2190" s="30" t="s">
        <v>13324</v>
      </c>
    </row>
    <row r="2191" spans="1:8">
      <c r="A2191" s="30" t="s">
        <v>13325</v>
      </c>
      <c r="B2191" s="30"/>
      <c r="C2191" s="30" t="s">
        <v>8607</v>
      </c>
      <c r="D2191" s="30"/>
      <c r="E2191" s="30"/>
      <c r="F2191" s="30"/>
      <c r="G2191" s="30" t="s">
        <v>8623</v>
      </c>
      <c r="H2191" s="30" t="s">
        <v>13326</v>
      </c>
    </row>
    <row r="2192" spans="1:8">
      <c r="A2192" s="30" t="s">
        <v>13327</v>
      </c>
      <c r="B2192" s="30"/>
      <c r="C2192" s="30" t="s">
        <v>8626</v>
      </c>
      <c r="D2192" s="30" t="s">
        <v>13328</v>
      </c>
      <c r="E2192" s="30" t="s">
        <v>8942</v>
      </c>
      <c r="F2192" s="30" t="s">
        <v>8618</v>
      </c>
      <c r="G2192" s="30" t="s">
        <v>8943</v>
      </c>
      <c r="H2192" s="30" t="s">
        <v>13329</v>
      </c>
    </row>
    <row r="2193" spans="1:8">
      <c r="A2193" s="30" t="s">
        <v>13330</v>
      </c>
      <c r="B2193" s="30"/>
      <c r="C2193" s="30" t="s">
        <v>8607</v>
      </c>
      <c r="D2193" s="30"/>
      <c r="E2193" s="30"/>
      <c r="F2193" s="30"/>
      <c r="G2193" s="30" t="s">
        <v>10250</v>
      </c>
      <c r="H2193" s="30" t="s">
        <v>13331</v>
      </c>
    </row>
    <row r="2194" spans="1:8">
      <c r="A2194" s="30" t="s">
        <v>13332</v>
      </c>
      <c r="B2194" s="30"/>
      <c r="C2194" s="30" t="s">
        <v>8607</v>
      </c>
      <c r="D2194" s="30" t="s">
        <v>8707</v>
      </c>
      <c r="E2194" s="30"/>
      <c r="F2194" s="30"/>
      <c r="G2194" s="30" t="s">
        <v>8708</v>
      </c>
      <c r="H2194" s="30" t="s">
        <v>10216</v>
      </c>
    </row>
    <row r="2195" spans="1:8">
      <c r="A2195" s="30" t="s">
        <v>13333</v>
      </c>
      <c r="B2195" s="30"/>
      <c r="C2195" s="30" t="s">
        <v>8607</v>
      </c>
      <c r="D2195" s="30"/>
      <c r="E2195" s="30"/>
      <c r="F2195" s="30"/>
      <c r="G2195" s="30" t="s">
        <v>8711</v>
      </c>
      <c r="H2195" s="30" t="s">
        <v>8712</v>
      </c>
    </row>
    <row r="2196" spans="1:8">
      <c r="A2196" s="30" t="s">
        <v>13334</v>
      </c>
      <c r="B2196" s="30"/>
      <c r="C2196" s="30" t="s">
        <v>8607</v>
      </c>
      <c r="D2196" s="30"/>
      <c r="E2196" s="30"/>
      <c r="F2196" s="30"/>
      <c r="G2196" s="30" t="s">
        <v>10205</v>
      </c>
      <c r="H2196" s="30" t="s">
        <v>13335</v>
      </c>
    </row>
    <row r="2197" spans="1:8">
      <c r="A2197" s="30" t="s">
        <v>13336</v>
      </c>
      <c r="B2197" s="30"/>
      <c r="C2197" s="30" t="s">
        <v>8626</v>
      </c>
      <c r="D2197" s="30"/>
      <c r="E2197" s="30"/>
      <c r="F2197" s="30"/>
      <c r="G2197" s="30" t="s">
        <v>8714</v>
      </c>
      <c r="H2197" s="30" t="s">
        <v>10305</v>
      </c>
    </row>
    <row r="2198" spans="1:8">
      <c r="A2198" s="30" t="s">
        <v>13337</v>
      </c>
      <c r="B2198" s="30"/>
      <c r="C2198" s="30" t="s">
        <v>8607</v>
      </c>
      <c r="D2198" s="30"/>
      <c r="E2198" s="30"/>
      <c r="F2198" s="30"/>
      <c r="G2198" s="30" t="s">
        <v>8717</v>
      </c>
      <c r="H2198" s="30" t="s">
        <v>8718</v>
      </c>
    </row>
    <row r="2199" spans="1:8">
      <c r="A2199" s="30" t="s">
        <v>13338</v>
      </c>
      <c r="B2199" s="30"/>
      <c r="C2199" s="30"/>
      <c r="D2199" s="32" t="s">
        <v>8871</v>
      </c>
      <c r="E2199" s="30" t="s">
        <v>11407</v>
      </c>
      <c r="F2199" s="30" t="s">
        <v>8618</v>
      </c>
      <c r="G2199" s="30"/>
      <c r="H2199" s="30" t="s">
        <v>11408</v>
      </c>
    </row>
    <row r="2200" spans="1:8">
      <c r="A2200" s="30" t="s">
        <v>13339</v>
      </c>
      <c r="B2200" s="30"/>
      <c r="C2200" s="30" t="s">
        <v>8626</v>
      </c>
      <c r="D2200" s="30"/>
      <c r="E2200" s="30"/>
      <c r="F2200" s="30"/>
      <c r="G2200" s="30" t="s">
        <v>10220</v>
      </c>
      <c r="H2200" s="30" t="s">
        <v>10278</v>
      </c>
    </row>
    <row r="2201" spans="1:8">
      <c r="A2201" s="30" t="s">
        <v>13340</v>
      </c>
      <c r="B2201" s="30"/>
      <c r="C2201" s="30" t="s">
        <v>8626</v>
      </c>
      <c r="D2201" s="30"/>
      <c r="E2201" s="30" t="s">
        <v>11411</v>
      </c>
      <c r="F2201" s="30" t="e">
        <v>#VALUE!</v>
      </c>
      <c r="G2201" s="30" t="s">
        <v>8623</v>
      </c>
      <c r="H2201" s="30" t="s">
        <v>11412</v>
      </c>
    </row>
    <row r="2202" spans="1:8">
      <c r="A2202" s="30" t="s">
        <v>13341</v>
      </c>
      <c r="B2202" s="30"/>
      <c r="C2202" s="30" t="s">
        <v>8607</v>
      </c>
      <c r="D2202" s="30" t="s">
        <v>8632</v>
      </c>
      <c r="E2202" s="30"/>
      <c r="F2202" s="30"/>
      <c r="G2202" s="30" t="s">
        <v>8633</v>
      </c>
      <c r="H2202" s="30" t="s">
        <v>8790</v>
      </c>
    </row>
    <row r="2203" spans="1:8">
      <c r="A2203" s="30" t="s">
        <v>13342</v>
      </c>
      <c r="B2203" s="30"/>
      <c r="C2203" s="30" t="s">
        <v>8607</v>
      </c>
      <c r="D2203" s="30"/>
      <c r="E2203" s="30" t="s">
        <v>8636</v>
      </c>
      <c r="F2203" s="30" t="e">
        <v>#VALUE!</v>
      </c>
      <c r="G2203" s="30" t="s">
        <v>8637</v>
      </c>
      <c r="H2203" s="30" t="s">
        <v>8638</v>
      </c>
    </row>
    <row r="2204" spans="1:8">
      <c r="A2204" s="30" t="s">
        <v>13343</v>
      </c>
      <c r="B2204" s="30"/>
      <c r="C2204" s="30" t="s">
        <v>8626</v>
      </c>
      <c r="D2204" s="30"/>
      <c r="E2204" s="30"/>
      <c r="F2204" s="30"/>
      <c r="G2204" s="30"/>
      <c r="H2204" s="30" t="s">
        <v>13082</v>
      </c>
    </row>
    <row r="2205" spans="1:8">
      <c r="A2205" s="30" t="s">
        <v>13344</v>
      </c>
      <c r="B2205" s="30"/>
      <c r="C2205" s="30" t="s">
        <v>8607</v>
      </c>
      <c r="D2205" s="30" t="s">
        <v>9546</v>
      </c>
      <c r="E2205" s="30" t="s">
        <v>9547</v>
      </c>
      <c r="F2205" s="30" t="s">
        <v>8672</v>
      </c>
      <c r="G2205" s="30" t="s">
        <v>9366</v>
      </c>
      <c r="H2205" s="30" t="s">
        <v>13170</v>
      </c>
    </row>
    <row r="2206" spans="1:8">
      <c r="A2206" s="30" t="s">
        <v>13345</v>
      </c>
      <c r="B2206" s="30"/>
      <c r="C2206" s="30" t="s">
        <v>8626</v>
      </c>
      <c r="D2206" s="30" t="s">
        <v>8670</v>
      </c>
      <c r="E2206" s="30" t="s">
        <v>8671</v>
      </c>
      <c r="F2206" s="30" t="s">
        <v>8672</v>
      </c>
      <c r="G2206" s="30" t="s">
        <v>8673</v>
      </c>
      <c r="H2206" s="30" t="s">
        <v>13346</v>
      </c>
    </row>
    <row r="2207" spans="1:8">
      <c r="A2207" s="30" t="s">
        <v>13347</v>
      </c>
      <c r="B2207" s="30"/>
      <c r="C2207" s="30" t="s">
        <v>8607</v>
      </c>
      <c r="D2207" s="30"/>
      <c r="E2207" s="30" t="s">
        <v>10712</v>
      </c>
      <c r="F2207" s="30" t="e">
        <v>#VALUE!</v>
      </c>
      <c r="G2207" s="30" t="s">
        <v>8678</v>
      </c>
      <c r="H2207" s="30" t="s">
        <v>8679</v>
      </c>
    </row>
    <row r="2208" spans="1:8">
      <c r="A2208" s="30" t="s">
        <v>13348</v>
      </c>
      <c r="B2208" s="30"/>
      <c r="C2208" s="30" t="s">
        <v>8607</v>
      </c>
      <c r="D2208" s="30" t="s">
        <v>8654</v>
      </c>
      <c r="E2208" s="30" t="s">
        <v>8655</v>
      </c>
      <c r="F2208" s="30" t="s">
        <v>8618</v>
      </c>
      <c r="G2208" s="30" t="s">
        <v>8656</v>
      </c>
      <c r="H2208" s="30" t="s">
        <v>8657</v>
      </c>
    </row>
    <row r="2209" spans="1:8">
      <c r="A2209" s="30" t="s">
        <v>13349</v>
      </c>
      <c r="B2209" s="30"/>
      <c r="C2209" s="30" t="s">
        <v>8607</v>
      </c>
      <c r="D2209" s="30"/>
      <c r="E2209" s="30"/>
      <c r="F2209" s="30"/>
      <c r="G2209" s="30" t="s">
        <v>8646</v>
      </c>
      <c r="H2209" s="30" t="s">
        <v>8647</v>
      </c>
    </row>
    <row r="2210" spans="1:8">
      <c r="A2210" s="30" t="s">
        <v>13350</v>
      </c>
      <c r="B2210" s="30"/>
      <c r="C2210" s="30" t="s">
        <v>8607</v>
      </c>
      <c r="D2210" s="30"/>
      <c r="E2210" s="30"/>
      <c r="F2210" s="30"/>
      <c r="G2210" s="30" t="s">
        <v>8649</v>
      </c>
      <c r="H2210" s="30" t="s">
        <v>10485</v>
      </c>
    </row>
    <row r="2211" spans="1:8">
      <c r="A2211" s="30" t="s">
        <v>13351</v>
      </c>
      <c r="B2211" s="30"/>
      <c r="C2211" s="30" t="s">
        <v>8607</v>
      </c>
      <c r="D2211" s="30" t="s">
        <v>8666</v>
      </c>
      <c r="E2211" s="30"/>
      <c r="F2211" s="30"/>
      <c r="G2211" s="30" t="s">
        <v>8667</v>
      </c>
      <c r="H2211" s="30" t="s">
        <v>8668</v>
      </c>
    </row>
    <row r="2212" spans="1:8">
      <c r="A2212" s="30" t="s">
        <v>13352</v>
      </c>
      <c r="B2212" s="30"/>
      <c r="C2212" s="30" t="s">
        <v>8607</v>
      </c>
      <c r="D2212" s="30" t="s">
        <v>10917</v>
      </c>
      <c r="E2212" s="30" t="s">
        <v>8845</v>
      </c>
      <c r="F2212" s="30" t="s">
        <v>8672</v>
      </c>
      <c r="G2212" s="30" t="s">
        <v>8846</v>
      </c>
      <c r="H2212" s="30" t="s">
        <v>10918</v>
      </c>
    </row>
    <row r="2213" spans="1:8">
      <c r="A2213" s="30" t="s">
        <v>13353</v>
      </c>
      <c r="B2213" s="30"/>
      <c r="C2213" s="30" t="s">
        <v>8626</v>
      </c>
      <c r="D2213" s="30"/>
      <c r="E2213" s="30"/>
      <c r="F2213" s="30"/>
      <c r="G2213" s="30" t="s">
        <v>8804</v>
      </c>
      <c r="H2213" s="30" t="s">
        <v>10237</v>
      </c>
    </row>
    <row r="2214" spans="1:8">
      <c r="A2214" s="30" t="s">
        <v>13354</v>
      </c>
      <c r="B2214" s="30"/>
      <c r="C2214" s="30" t="s">
        <v>8607</v>
      </c>
      <c r="D2214" s="30"/>
      <c r="E2214" s="30"/>
      <c r="F2214" s="30"/>
      <c r="G2214" s="30" t="s">
        <v>8807</v>
      </c>
      <c r="H2214" s="30" t="s">
        <v>13355</v>
      </c>
    </row>
    <row r="2215" spans="1:8">
      <c r="A2215" s="30" t="s">
        <v>13356</v>
      </c>
      <c r="B2215" s="30"/>
      <c r="C2215" s="30" t="s">
        <v>8607</v>
      </c>
      <c r="D2215" s="30"/>
      <c r="E2215" s="30"/>
      <c r="F2215" s="30"/>
      <c r="G2215" s="30" t="s">
        <v>8814</v>
      </c>
      <c r="H2215" s="30" t="s">
        <v>11277</v>
      </c>
    </row>
    <row r="2216" spans="1:8">
      <c r="A2216" s="30" t="s">
        <v>13357</v>
      </c>
      <c r="B2216" s="30"/>
      <c r="C2216" s="30"/>
      <c r="D2216" s="32" t="s">
        <v>11295</v>
      </c>
      <c r="E2216" s="30" t="s">
        <v>11296</v>
      </c>
      <c r="F2216" s="30" t="s">
        <v>8618</v>
      </c>
      <c r="G2216" s="30"/>
      <c r="H2216" s="30" t="s">
        <v>11297</v>
      </c>
    </row>
    <row r="2217" spans="1:8">
      <c r="A2217" s="30" t="s">
        <v>13358</v>
      </c>
      <c r="B2217" s="30"/>
      <c r="C2217" s="30" t="s">
        <v>8607</v>
      </c>
      <c r="D2217" s="30" t="s">
        <v>9546</v>
      </c>
      <c r="E2217" s="30" t="s">
        <v>9547</v>
      </c>
      <c r="F2217" s="30" t="s">
        <v>8672</v>
      </c>
      <c r="G2217" s="30" t="s">
        <v>9366</v>
      </c>
      <c r="H2217" s="30" t="s">
        <v>12974</v>
      </c>
    </row>
    <row r="2218" spans="1:8">
      <c r="A2218" s="30" t="s">
        <v>13359</v>
      </c>
      <c r="B2218" s="30"/>
      <c r="C2218" s="30" t="s">
        <v>8607</v>
      </c>
      <c r="D2218" s="30"/>
      <c r="E2218" s="30"/>
      <c r="F2218" s="30"/>
      <c r="G2218" s="30" t="s">
        <v>10356</v>
      </c>
      <c r="H2218" s="30" t="s">
        <v>11293</v>
      </c>
    </row>
    <row r="2219" spans="1:8">
      <c r="A2219" s="30" t="s">
        <v>13360</v>
      </c>
      <c r="B2219" s="30"/>
      <c r="C2219" s="30" t="s">
        <v>8607</v>
      </c>
      <c r="D2219" s="30"/>
      <c r="E2219" s="30"/>
      <c r="F2219" s="30"/>
      <c r="G2219" s="30" t="s">
        <v>10320</v>
      </c>
      <c r="H2219" s="30" t="s">
        <v>10321</v>
      </c>
    </row>
    <row r="2220" spans="1:8">
      <c r="A2220" s="30" t="s">
        <v>13361</v>
      </c>
      <c r="B2220" s="30"/>
      <c r="C2220" s="30" t="s">
        <v>8626</v>
      </c>
      <c r="D2220" s="30" t="s">
        <v>10167</v>
      </c>
      <c r="E2220" s="30"/>
      <c r="F2220" s="30"/>
      <c r="G2220" s="30"/>
      <c r="H2220" s="30" t="s">
        <v>11389</v>
      </c>
    </row>
    <row r="2221" spans="1:8">
      <c r="A2221" s="30" t="s">
        <v>13362</v>
      </c>
      <c r="B2221" s="30"/>
      <c r="C2221" s="30" t="s">
        <v>8607</v>
      </c>
      <c r="D2221" s="30"/>
      <c r="E2221" s="30"/>
      <c r="F2221" s="30"/>
      <c r="G2221" s="30" t="s">
        <v>13363</v>
      </c>
      <c r="H2221" s="30" t="s">
        <v>13364</v>
      </c>
    </row>
    <row r="2222" spans="1:8">
      <c r="A2222" s="30" t="s">
        <v>13365</v>
      </c>
      <c r="B2222" s="30"/>
      <c r="C2222" s="30" t="s">
        <v>8626</v>
      </c>
      <c r="D2222" s="30"/>
      <c r="E2222" s="30" t="s">
        <v>10644</v>
      </c>
      <c r="F2222" s="30" t="s">
        <v>8618</v>
      </c>
      <c r="G2222" s="30" t="s">
        <v>10645</v>
      </c>
      <c r="H2222" s="30" t="s">
        <v>13366</v>
      </c>
    </row>
    <row r="2223" spans="1:8">
      <c r="A2223" s="30" t="s">
        <v>13367</v>
      </c>
      <c r="B2223" s="30"/>
      <c r="C2223" s="30" t="s">
        <v>8607</v>
      </c>
      <c r="D2223" s="30" t="s">
        <v>9675</v>
      </c>
      <c r="E2223" s="30" t="s">
        <v>13368</v>
      </c>
      <c r="F2223" s="30" t="s">
        <v>8672</v>
      </c>
      <c r="G2223" s="30" t="s">
        <v>9677</v>
      </c>
      <c r="H2223" s="30" t="s">
        <v>13369</v>
      </c>
    </row>
    <row r="2224" spans="1:8">
      <c r="A2224" s="30" t="s">
        <v>13370</v>
      </c>
      <c r="B2224" s="30"/>
      <c r="C2224" s="30" t="s">
        <v>8607</v>
      </c>
      <c r="D2224" s="30"/>
      <c r="E2224" s="30"/>
      <c r="F2224" s="30"/>
      <c r="G2224" s="30" t="s">
        <v>9657</v>
      </c>
      <c r="H2224" s="30" t="s">
        <v>13371</v>
      </c>
    </row>
    <row r="2225" spans="1:8">
      <c r="A2225" s="30" t="s">
        <v>13372</v>
      </c>
      <c r="B2225" s="30"/>
      <c r="C2225" s="30" t="s">
        <v>8607</v>
      </c>
      <c r="D2225" s="30" t="s">
        <v>9742</v>
      </c>
      <c r="E2225" s="30" t="s">
        <v>8850</v>
      </c>
      <c r="F2225" s="30" t="s">
        <v>8672</v>
      </c>
      <c r="G2225" s="30" t="s">
        <v>8851</v>
      </c>
      <c r="H2225" s="30" t="s">
        <v>9743</v>
      </c>
    </row>
    <row r="2226" spans="1:8">
      <c r="A2226" s="30" t="s">
        <v>13373</v>
      </c>
      <c r="B2226" s="30"/>
      <c r="C2226" s="30" t="s">
        <v>8626</v>
      </c>
      <c r="D2226" s="30" t="s">
        <v>13374</v>
      </c>
      <c r="E2226" s="30"/>
      <c r="F2226" s="30"/>
      <c r="G2226" s="30" t="s">
        <v>9259</v>
      </c>
      <c r="H2226" s="30" t="s">
        <v>13375</v>
      </c>
    </row>
    <row r="2227" spans="1:8">
      <c r="A2227" s="30" t="s">
        <v>13376</v>
      </c>
      <c r="B2227" s="30"/>
      <c r="C2227" s="30" t="s">
        <v>8626</v>
      </c>
      <c r="D2227" s="30" t="s">
        <v>10913</v>
      </c>
      <c r="E2227" s="30" t="s">
        <v>10914</v>
      </c>
      <c r="F2227" s="30" t="s">
        <v>8672</v>
      </c>
      <c r="G2227" s="30" t="s">
        <v>10076</v>
      </c>
      <c r="H2227" s="30" t="s">
        <v>10915</v>
      </c>
    </row>
    <row r="2228" spans="1:8">
      <c r="A2228" s="30" t="s">
        <v>13377</v>
      </c>
      <c r="B2228" s="30"/>
      <c r="C2228" s="30" t="s">
        <v>8607</v>
      </c>
      <c r="D2228" s="30" t="s">
        <v>10243</v>
      </c>
      <c r="E2228" s="30" t="s">
        <v>8850</v>
      </c>
      <c r="F2228" s="30" t="s">
        <v>8672</v>
      </c>
      <c r="G2228" s="30" t="s">
        <v>8851</v>
      </c>
      <c r="H2228" s="30" t="s">
        <v>13378</v>
      </c>
    </row>
    <row r="2229" spans="1:8">
      <c r="A2229" s="30" t="s">
        <v>13379</v>
      </c>
      <c r="B2229" s="30"/>
      <c r="C2229" s="30" t="s">
        <v>8626</v>
      </c>
      <c r="D2229" s="30"/>
      <c r="E2229" s="30"/>
      <c r="F2229" s="30"/>
      <c r="G2229" s="30" t="s">
        <v>8804</v>
      </c>
      <c r="H2229" s="30" t="s">
        <v>10237</v>
      </c>
    </row>
    <row r="2230" spans="1:8">
      <c r="A2230" s="30" t="s">
        <v>13380</v>
      </c>
      <c r="B2230" s="30"/>
      <c r="C2230" s="30" t="s">
        <v>8607</v>
      </c>
      <c r="D2230" s="30" t="s">
        <v>10917</v>
      </c>
      <c r="E2230" s="30" t="s">
        <v>8845</v>
      </c>
      <c r="F2230" s="30" t="s">
        <v>8672</v>
      </c>
      <c r="G2230" s="30" t="s">
        <v>8846</v>
      </c>
      <c r="H2230" s="30" t="s">
        <v>10918</v>
      </c>
    </row>
    <row r="2231" spans="1:8">
      <c r="A2231" s="30" t="s">
        <v>13381</v>
      </c>
      <c r="B2231" s="30"/>
      <c r="C2231" s="30" t="s">
        <v>8626</v>
      </c>
      <c r="D2231" s="30" t="s">
        <v>11401</v>
      </c>
      <c r="E2231" s="30" t="s">
        <v>12962</v>
      </c>
      <c r="F2231" s="30" t="s">
        <v>8618</v>
      </c>
      <c r="G2231" s="30"/>
      <c r="H2231" s="30" t="s">
        <v>12963</v>
      </c>
    </row>
    <row r="2232" spans="1:8">
      <c r="A2232" s="30" t="s">
        <v>13382</v>
      </c>
      <c r="B2232" s="30"/>
      <c r="C2232" s="30" t="s">
        <v>8626</v>
      </c>
      <c r="D2232" s="30"/>
      <c r="E2232" s="30" t="s">
        <v>10644</v>
      </c>
      <c r="F2232" s="30" t="s">
        <v>8618</v>
      </c>
      <c r="G2232" s="30" t="s">
        <v>10645</v>
      </c>
      <c r="H2232" s="30" t="s">
        <v>12582</v>
      </c>
    </row>
    <row r="2233" spans="1:8">
      <c r="A2233" s="30" t="s">
        <v>13383</v>
      </c>
      <c r="B2233" s="30"/>
      <c r="C2233" s="30" t="s">
        <v>8607</v>
      </c>
      <c r="D2233" s="30"/>
      <c r="E2233" s="30" t="s">
        <v>11284</v>
      </c>
      <c r="F2233" s="30" t="s">
        <v>8618</v>
      </c>
      <c r="G2233" s="30" t="s">
        <v>8858</v>
      </c>
      <c r="H2233" s="30" t="s">
        <v>11285</v>
      </c>
    </row>
    <row r="2234" spans="1:8">
      <c r="A2234" s="30" t="s">
        <v>13384</v>
      </c>
      <c r="B2234" s="30"/>
      <c r="C2234" s="30" t="s">
        <v>8607</v>
      </c>
      <c r="D2234" s="30"/>
      <c r="E2234" s="30" t="s">
        <v>11284</v>
      </c>
      <c r="F2234" s="30" t="s">
        <v>8618</v>
      </c>
      <c r="G2234" s="30" t="s">
        <v>8858</v>
      </c>
      <c r="H2234" s="30" t="s">
        <v>11285</v>
      </c>
    </row>
    <row r="2235" spans="1:8">
      <c r="A2235" s="30" t="s">
        <v>13385</v>
      </c>
      <c r="B2235" s="30"/>
      <c r="C2235" s="30" t="s">
        <v>8607</v>
      </c>
      <c r="D2235" s="30"/>
      <c r="E2235" s="30"/>
      <c r="F2235" s="30"/>
      <c r="G2235" s="30"/>
      <c r="H2235" s="30" t="s">
        <v>13386</v>
      </c>
    </row>
    <row r="2236" spans="1:8">
      <c r="A2236" s="30" t="s">
        <v>13387</v>
      </c>
      <c r="B2236" s="30"/>
      <c r="C2236" s="30" t="s">
        <v>8626</v>
      </c>
      <c r="D2236" s="30"/>
      <c r="E2236" s="30" t="s">
        <v>13388</v>
      </c>
      <c r="F2236" s="30" t="e">
        <v>#VALUE!</v>
      </c>
      <c r="G2236" s="30"/>
      <c r="H2236" s="30" t="s">
        <v>13389</v>
      </c>
    </row>
    <row r="2237" spans="1:8">
      <c r="A2237" s="30" t="s">
        <v>13390</v>
      </c>
      <c r="B2237" s="30"/>
      <c r="C2237" s="30" t="s">
        <v>8607</v>
      </c>
      <c r="D2237" s="30"/>
      <c r="E2237" s="30"/>
      <c r="F2237" s="30"/>
      <c r="G2237" s="30" t="s">
        <v>13391</v>
      </c>
      <c r="H2237" s="30" t="s">
        <v>13392</v>
      </c>
    </row>
    <row r="2238" spans="1:8">
      <c r="A2238" s="30" t="s">
        <v>13393</v>
      </c>
      <c r="B2238" s="30"/>
      <c r="C2238" s="30" t="s">
        <v>8626</v>
      </c>
      <c r="D2238" s="30"/>
      <c r="E2238" s="30"/>
      <c r="F2238" s="30"/>
      <c r="G2238" s="30"/>
      <c r="H2238" s="30" t="s">
        <v>13394</v>
      </c>
    </row>
    <row r="2239" spans="1:8">
      <c r="A2239" s="30" t="s">
        <v>13395</v>
      </c>
      <c r="B2239" s="30"/>
      <c r="C2239" s="30" t="s">
        <v>8607</v>
      </c>
      <c r="D2239" s="30" t="s">
        <v>13396</v>
      </c>
      <c r="E2239" s="30" t="s">
        <v>13397</v>
      </c>
      <c r="F2239" s="30" t="s">
        <v>8672</v>
      </c>
      <c r="G2239" s="30" t="s">
        <v>13398</v>
      </c>
      <c r="H2239" s="30" t="s">
        <v>13399</v>
      </c>
    </row>
    <row r="2240" spans="1:8">
      <c r="A2240" s="30" t="s">
        <v>13400</v>
      </c>
      <c r="B2240" s="30"/>
      <c r="C2240" s="30" t="s">
        <v>8607</v>
      </c>
      <c r="D2240" s="30"/>
      <c r="E2240" s="30"/>
      <c r="F2240" s="30"/>
      <c r="G2240" s="30"/>
      <c r="H2240" s="30" t="s">
        <v>9721</v>
      </c>
    </row>
    <row r="2241" spans="1:8">
      <c r="A2241" s="30" t="s">
        <v>13401</v>
      </c>
      <c r="B2241" s="30"/>
      <c r="C2241" s="30" t="s">
        <v>8626</v>
      </c>
      <c r="D2241" s="30" t="s">
        <v>13402</v>
      </c>
      <c r="E2241" s="30" t="s">
        <v>9547</v>
      </c>
      <c r="F2241" s="30" t="s">
        <v>8672</v>
      </c>
      <c r="G2241" s="30" t="s">
        <v>9366</v>
      </c>
      <c r="H2241" s="30" t="s">
        <v>13403</v>
      </c>
    </row>
    <row r="2242" spans="1:8">
      <c r="A2242" s="30" t="s">
        <v>13404</v>
      </c>
      <c r="B2242" s="30"/>
      <c r="C2242" s="30" t="s">
        <v>8607</v>
      </c>
      <c r="D2242" s="30" t="s">
        <v>13405</v>
      </c>
      <c r="E2242" s="30" t="s">
        <v>13406</v>
      </c>
      <c r="F2242" s="30" t="s">
        <v>8672</v>
      </c>
      <c r="G2242" s="30" t="s">
        <v>13407</v>
      </c>
      <c r="H2242" s="30" t="s">
        <v>13408</v>
      </c>
    </row>
    <row r="2243" spans="1:8">
      <c r="A2243" s="30" t="s">
        <v>13409</v>
      </c>
      <c r="B2243" s="30"/>
      <c r="C2243" s="30" t="s">
        <v>8626</v>
      </c>
      <c r="D2243" s="30" t="s">
        <v>13410</v>
      </c>
      <c r="E2243" s="30" t="s">
        <v>13411</v>
      </c>
      <c r="F2243" s="30" t="s">
        <v>8618</v>
      </c>
      <c r="G2243" s="30" t="s">
        <v>9308</v>
      </c>
      <c r="H2243" s="30" t="s">
        <v>13412</v>
      </c>
    </row>
    <row r="2244" spans="1:8">
      <c r="A2244" s="30" t="s">
        <v>13413</v>
      </c>
      <c r="B2244" s="30"/>
      <c r="C2244" s="30" t="s">
        <v>8607</v>
      </c>
      <c r="D2244" s="30"/>
      <c r="E2244" s="30" t="s">
        <v>13414</v>
      </c>
      <c r="F2244" s="30" t="e">
        <v>#VALUE!</v>
      </c>
      <c r="G2244" s="30"/>
      <c r="H2244" s="30" t="s">
        <v>13415</v>
      </c>
    </row>
    <row r="2245" spans="1:8">
      <c r="A2245" s="30" t="s">
        <v>13416</v>
      </c>
      <c r="B2245" s="30"/>
      <c r="C2245" s="30" t="s">
        <v>8626</v>
      </c>
      <c r="D2245" s="30"/>
      <c r="E2245" s="30" t="s">
        <v>13411</v>
      </c>
      <c r="F2245" s="30" t="s">
        <v>8618</v>
      </c>
      <c r="G2245" s="30" t="s">
        <v>9667</v>
      </c>
      <c r="H2245" s="30" t="s">
        <v>13417</v>
      </c>
    </row>
    <row r="2246" spans="1:8">
      <c r="A2246" s="30" t="s">
        <v>13418</v>
      </c>
      <c r="B2246" s="30"/>
      <c r="C2246" s="30" t="s">
        <v>8607</v>
      </c>
      <c r="D2246" s="30"/>
      <c r="E2246" s="30" t="s">
        <v>13419</v>
      </c>
      <c r="F2246" s="30" t="e">
        <v>#VALUE!</v>
      </c>
      <c r="G2246" s="30" t="s">
        <v>9439</v>
      </c>
      <c r="H2246" s="30" t="s">
        <v>13420</v>
      </c>
    </row>
    <row r="2247" spans="1:8">
      <c r="A2247" s="30" t="s">
        <v>13421</v>
      </c>
      <c r="B2247" s="30"/>
      <c r="C2247" s="30" t="s">
        <v>8607</v>
      </c>
      <c r="D2247" s="30"/>
      <c r="E2247" s="30"/>
      <c r="F2247" s="30"/>
      <c r="G2247" s="30" t="s">
        <v>10205</v>
      </c>
      <c r="H2247" s="30" t="s">
        <v>10246</v>
      </c>
    </row>
    <row r="2248" spans="1:8">
      <c r="A2248" s="30" t="s">
        <v>13422</v>
      </c>
      <c r="B2248" s="30"/>
      <c r="C2248" s="30" t="s">
        <v>8626</v>
      </c>
      <c r="D2248" s="30" t="s">
        <v>10606</v>
      </c>
      <c r="E2248" s="30" t="s">
        <v>10209</v>
      </c>
      <c r="F2248" s="30" t="s">
        <v>8672</v>
      </c>
      <c r="G2248" s="30" t="s">
        <v>9002</v>
      </c>
      <c r="H2248" s="30" t="s">
        <v>13423</v>
      </c>
    </row>
    <row r="2249" spans="1:8">
      <c r="A2249" s="30" t="s">
        <v>13424</v>
      </c>
      <c r="B2249" s="30"/>
      <c r="C2249" s="30" t="s">
        <v>8607</v>
      </c>
      <c r="D2249" s="30"/>
      <c r="E2249" s="30"/>
      <c r="F2249" s="30"/>
      <c r="G2249" s="30" t="s">
        <v>10250</v>
      </c>
      <c r="H2249" s="30" t="s">
        <v>10251</v>
      </c>
    </row>
    <row r="2250" spans="1:8">
      <c r="A2250" s="30" t="s">
        <v>13425</v>
      </c>
      <c r="B2250" s="30"/>
      <c r="C2250" s="30" t="s">
        <v>8626</v>
      </c>
      <c r="D2250" s="30"/>
      <c r="E2250" s="30"/>
      <c r="F2250" s="30"/>
      <c r="G2250" s="30" t="s">
        <v>8714</v>
      </c>
      <c r="H2250" s="30" t="s">
        <v>10248</v>
      </c>
    </row>
    <row r="2251" spans="1:8">
      <c r="A2251" s="30" t="s">
        <v>13426</v>
      </c>
      <c r="B2251" s="30"/>
      <c r="C2251" s="30" t="s">
        <v>8626</v>
      </c>
      <c r="D2251" s="30" t="s">
        <v>10253</v>
      </c>
      <c r="E2251" s="30"/>
      <c r="F2251" s="30"/>
      <c r="G2251" s="30" t="s">
        <v>10254</v>
      </c>
      <c r="H2251" s="30" t="s">
        <v>13427</v>
      </c>
    </row>
    <row r="2252" spans="1:8">
      <c r="A2252" s="30" t="s">
        <v>13428</v>
      </c>
      <c r="B2252" s="30"/>
      <c r="C2252" s="30" t="s">
        <v>8607</v>
      </c>
      <c r="D2252" s="30"/>
      <c r="E2252" s="30"/>
      <c r="F2252" s="30"/>
      <c r="G2252" s="30" t="s">
        <v>8717</v>
      </c>
      <c r="H2252" s="30" t="s">
        <v>12822</v>
      </c>
    </row>
    <row r="2253" spans="1:8">
      <c r="A2253" s="30" t="s">
        <v>13429</v>
      </c>
      <c r="B2253" s="30"/>
      <c r="C2253" s="30" t="s">
        <v>8607</v>
      </c>
      <c r="D2253" s="30" t="s">
        <v>8707</v>
      </c>
      <c r="E2253" s="30"/>
      <c r="F2253" s="30"/>
      <c r="G2253" s="30" t="s">
        <v>8708</v>
      </c>
      <c r="H2253" s="30" t="s">
        <v>10340</v>
      </c>
    </row>
    <row r="2254" spans="1:8">
      <c r="A2254" s="30" t="s">
        <v>13430</v>
      </c>
      <c r="B2254" s="30"/>
      <c r="C2254" s="30" t="s">
        <v>8626</v>
      </c>
      <c r="D2254" s="30"/>
      <c r="E2254" s="30"/>
      <c r="F2254" s="30"/>
      <c r="G2254" s="30" t="s">
        <v>8711</v>
      </c>
      <c r="H2254" s="30" t="s">
        <v>10259</v>
      </c>
    </row>
    <row r="2255" spans="1:8">
      <c r="A2255" s="30" t="s">
        <v>13431</v>
      </c>
      <c r="B2255" s="30"/>
      <c r="C2255" s="30"/>
      <c r="D2255" s="32"/>
      <c r="E2255" s="30"/>
      <c r="F2255" s="30"/>
      <c r="G2255" s="30"/>
      <c r="H2255" s="30" t="s">
        <v>13432</v>
      </c>
    </row>
    <row r="2256" spans="1:8">
      <c r="A2256" s="30" t="s">
        <v>13433</v>
      </c>
      <c r="B2256" s="30"/>
      <c r="C2256" s="30" t="s">
        <v>8607</v>
      </c>
      <c r="D2256" s="30"/>
      <c r="E2256" s="30"/>
      <c r="F2256" s="30"/>
      <c r="G2256" s="30" t="s">
        <v>13434</v>
      </c>
      <c r="H2256" s="30" t="s">
        <v>13435</v>
      </c>
    </row>
    <row r="2257" spans="1:8">
      <c r="A2257" s="30" t="s">
        <v>13436</v>
      </c>
      <c r="B2257" s="30"/>
      <c r="C2257" s="30" t="s">
        <v>8626</v>
      </c>
      <c r="D2257" s="30"/>
      <c r="E2257" s="30" t="s">
        <v>9299</v>
      </c>
      <c r="F2257" s="30" t="s">
        <v>8618</v>
      </c>
      <c r="G2257" s="30"/>
      <c r="H2257" s="30" t="s">
        <v>13437</v>
      </c>
    </row>
    <row r="2258" spans="1:8">
      <c r="A2258" s="30" t="s">
        <v>13438</v>
      </c>
      <c r="B2258" s="30"/>
      <c r="C2258" s="30"/>
      <c r="D2258" s="32"/>
      <c r="E2258" s="30"/>
      <c r="F2258" s="30"/>
      <c r="G2258" s="30"/>
      <c r="H2258" s="30" t="s">
        <v>13432</v>
      </c>
    </row>
    <row r="2259" spans="1:8">
      <c r="A2259" s="30" t="s">
        <v>13439</v>
      </c>
      <c r="B2259" s="30"/>
      <c r="C2259" s="30" t="s">
        <v>8607</v>
      </c>
      <c r="D2259" s="30"/>
      <c r="E2259" s="30"/>
      <c r="F2259" s="30"/>
      <c r="G2259" s="30" t="s">
        <v>13434</v>
      </c>
      <c r="H2259" s="30" t="s">
        <v>13435</v>
      </c>
    </row>
    <row r="2260" spans="1:8">
      <c r="A2260" s="30" t="s">
        <v>13440</v>
      </c>
      <c r="B2260" s="30"/>
      <c r="C2260" s="30" t="s">
        <v>8626</v>
      </c>
      <c r="D2260" s="30"/>
      <c r="E2260" s="30" t="s">
        <v>9299</v>
      </c>
      <c r="F2260" s="30" t="s">
        <v>8618</v>
      </c>
      <c r="G2260" s="30"/>
      <c r="H2260" s="30" t="s">
        <v>13437</v>
      </c>
    </row>
    <row r="2261" spans="1:8">
      <c r="A2261" s="30" t="s">
        <v>13441</v>
      </c>
      <c r="B2261" s="30"/>
      <c r="C2261" s="30" t="s">
        <v>8626</v>
      </c>
      <c r="D2261" s="30"/>
      <c r="E2261" s="30"/>
      <c r="F2261" s="30"/>
      <c r="G2261" s="30"/>
      <c r="H2261" s="30" t="s">
        <v>13442</v>
      </c>
    </row>
    <row r="2262" spans="1:8">
      <c r="A2262" s="30" t="s">
        <v>13443</v>
      </c>
      <c r="B2262" s="30"/>
      <c r="C2262" s="30" t="s">
        <v>8607</v>
      </c>
      <c r="D2262" s="30"/>
      <c r="E2262" s="30"/>
      <c r="F2262" s="30"/>
      <c r="G2262" s="30" t="s">
        <v>8678</v>
      </c>
      <c r="H2262" s="30" t="s">
        <v>13444</v>
      </c>
    </row>
    <row r="2263" spans="1:8">
      <c r="A2263" s="30" t="s">
        <v>13445</v>
      </c>
      <c r="B2263" s="30"/>
      <c r="C2263" s="30" t="s">
        <v>8607</v>
      </c>
      <c r="D2263" s="30"/>
      <c r="E2263" s="30"/>
      <c r="F2263" s="30"/>
      <c r="G2263" s="30" t="s">
        <v>8646</v>
      </c>
      <c r="H2263" s="30" t="s">
        <v>10462</v>
      </c>
    </row>
    <row r="2264" spans="1:8">
      <c r="A2264" s="30" t="s">
        <v>13446</v>
      </c>
      <c r="B2264" s="30"/>
      <c r="C2264" s="30" t="s">
        <v>8607</v>
      </c>
      <c r="D2264" s="30"/>
      <c r="E2264" s="30"/>
      <c r="F2264" s="30"/>
      <c r="G2264" s="30" t="s">
        <v>8649</v>
      </c>
      <c r="H2264" s="30" t="s">
        <v>10464</v>
      </c>
    </row>
    <row r="2265" spans="1:8">
      <c r="A2265" s="30" t="s">
        <v>13447</v>
      </c>
      <c r="B2265" s="30"/>
      <c r="C2265" s="30" t="s">
        <v>8607</v>
      </c>
      <c r="D2265" s="30"/>
      <c r="E2265" s="30"/>
      <c r="F2265" s="30"/>
      <c r="G2265" s="30" t="s">
        <v>9847</v>
      </c>
      <c r="H2265" s="30" t="s">
        <v>10856</v>
      </c>
    </row>
    <row r="2266" spans="1:8">
      <c r="A2266" s="30" t="s">
        <v>13448</v>
      </c>
      <c r="B2266" s="30"/>
      <c r="C2266" s="30" t="s">
        <v>8626</v>
      </c>
      <c r="D2266" s="30" t="s">
        <v>9357</v>
      </c>
      <c r="E2266" s="30"/>
      <c r="F2266" s="30"/>
      <c r="G2266" s="30" t="s">
        <v>9358</v>
      </c>
      <c r="H2266" s="30" t="s">
        <v>10276</v>
      </c>
    </row>
    <row r="2267" spans="1:8">
      <c r="A2267" s="30" t="s">
        <v>13449</v>
      </c>
      <c r="B2267" s="30"/>
      <c r="C2267" s="30" t="s">
        <v>8607</v>
      </c>
      <c r="D2267" s="30" t="s">
        <v>10491</v>
      </c>
      <c r="E2267" s="30" t="s">
        <v>10638</v>
      </c>
      <c r="F2267" s="30" t="e">
        <v>#VALUE!</v>
      </c>
      <c r="G2267" s="30" t="s">
        <v>9007</v>
      </c>
      <c r="H2267" s="30" t="s">
        <v>13450</v>
      </c>
    </row>
    <row r="2268" spans="1:8">
      <c r="A2268" s="30" t="s">
        <v>13451</v>
      </c>
      <c r="B2268" s="30"/>
      <c r="C2268" s="30" t="s">
        <v>8626</v>
      </c>
      <c r="D2268" s="30"/>
      <c r="E2268" s="30"/>
      <c r="F2268" s="30"/>
      <c r="G2268" s="30" t="s">
        <v>9363</v>
      </c>
      <c r="H2268" s="30" t="s">
        <v>10520</v>
      </c>
    </row>
    <row r="2269" spans="1:8">
      <c r="A2269" s="30" t="s">
        <v>13452</v>
      </c>
      <c r="B2269" s="30"/>
      <c r="C2269" s="30" t="s">
        <v>8626</v>
      </c>
      <c r="D2269" s="30" t="s">
        <v>13453</v>
      </c>
      <c r="E2269" s="30" t="s">
        <v>13454</v>
      </c>
      <c r="F2269" s="30" t="s">
        <v>8618</v>
      </c>
      <c r="G2269" s="30"/>
      <c r="H2269" s="30" t="s">
        <v>13455</v>
      </c>
    </row>
    <row r="2270" spans="1:8">
      <c r="A2270" s="30" t="s">
        <v>13456</v>
      </c>
      <c r="B2270" s="30"/>
      <c r="C2270" s="30" t="s">
        <v>8607</v>
      </c>
      <c r="D2270" s="30" t="s">
        <v>9819</v>
      </c>
      <c r="E2270" s="30"/>
      <c r="F2270" s="30"/>
      <c r="G2270" s="30" t="s">
        <v>9821</v>
      </c>
      <c r="H2270" s="30" t="s">
        <v>13457</v>
      </c>
    </row>
    <row r="2271" spans="1:8">
      <c r="A2271" s="30" t="s">
        <v>13458</v>
      </c>
      <c r="B2271" s="30"/>
      <c r="C2271" s="30" t="s">
        <v>8607</v>
      </c>
      <c r="D2271" s="30" t="s">
        <v>9152</v>
      </c>
      <c r="E2271" s="30"/>
      <c r="F2271" s="30"/>
      <c r="G2271" s="30" t="s">
        <v>8698</v>
      </c>
      <c r="H2271" s="30" t="s">
        <v>13459</v>
      </c>
    </row>
    <row r="2272" spans="1:8">
      <c r="A2272" s="30" t="s">
        <v>13460</v>
      </c>
      <c r="B2272" s="30"/>
      <c r="C2272" s="30" t="s">
        <v>8607</v>
      </c>
      <c r="D2272" s="30"/>
      <c r="E2272" s="30"/>
      <c r="F2272" s="30"/>
      <c r="G2272" s="30" t="s">
        <v>13461</v>
      </c>
      <c r="H2272" s="30" t="s">
        <v>13462</v>
      </c>
    </row>
    <row r="2273" spans="1:8">
      <c r="A2273" s="30" t="s">
        <v>13463</v>
      </c>
      <c r="B2273" s="30"/>
      <c r="C2273" s="30" t="s">
        <v>8607</v>
      </c>
      <c r="D2273" s="30" t="s">
        <v>9824</v>
      </c>
      <c r="E2273" s="30"/>
      <c r="F2273" s="30"/>
      <c r="G2273" s="30" t="s">
        <v>9002</v>
      </c>
      <c r="H2273" s="30" t="s">
        <v>9825</v>
      </c>
    </row>
    <row r="2274" spans="1:8">
      <c r="A2274" s="30" t="s">
        <v>13464</v>
      </c>
      <c r="B2274" s="30"/>
      <c r="C2274" s="30" t="s">
        <v>8607</v>
      </c>
      <c r="D2274" s="30"/>
      <c r="E2274" s="30"/>
      <c r="F2274" s="30"/>
      <c r="G2274" s="30" t="s">
        <v>13434</v>
      </c>
      <c r="H2274" s="30" t="s">
        <v>13465</v>
      </c>
    </row>
    <row r="2275" spans="1:8">
      <c r="A2275" s="30" t="s">
        <v>13466</v>
      </c>
      <c r="B2275" s="30"/>
      <c r="C2275" s="30" t="s">
        <v>8607</v>
      </c>
      <c r="D2275" s="30"/>
      <c r="E2275" s="30"/>
      <c r="F2275" s="30"/>
      <c r="G2275" s="30"/>
      <c r="H2275" s="30" t="s">
        <v>13467</v>
      </c>
    </row>
    <row r="2276" spans="1:8">
      <c r="A2276" s="30" t="s">
        <v>13468</v>
      </c>
      <c r="B2276" s="30"/>
      <c r="C2276" s="30" t="s">
        <v>8607</v>
      </c>
      <c r="D2276" s="30"/>
      <c r="E2276" s="30"/>
      <c r="F2276" s="30"/>
      <c r="G2276" s="30" t="s">
        <v>9171</v>
      </c>
      <c r="H2276" s="30" t="s">
        <v>13469</v>
      </c>
    </row>
    <row r="2277" spans="1:8">
      <c r="A2277" s="30" t="s">
        <v>13470</v>
      </c>
      <c r="B2277" s="30"/>
      <c r="C2277" s="30" t="s">
        <v>8626</v>
      </c>
      <c r="D2277" s="30"/>
      <c r="E2277" s="30"/>
      <c r="F2277" s="30"/>
      <c r="G2277" s="30"/>
      <c r="H2277" s="30" t="s">
        <v>13471</v>
      </c>
    </row>
    <row r="2278" spans="1:8">
      <c r="A2278" s="30" t="s">
        <v>13472</v>
      </c>
      <c r="B2278" s="30"/>
      <c r="C2278" s="30" t="s">
        <v>8607</v>
      </c>
      <c r="D2278" s="30"/>
      <c r="E2278" s="30"/>
      <c r="F2278" s="30"/>
      <c r="G2278" s="30"/>
      <c r="H2278" s="30" t="s">
        <v>9719</v>
      </c>
    </row>
    <row r="2279" spans="1:8">
      <c r="A2279" s="30" t="s">
        <v>13473</v>
      </c>
      <c r="B2279" s="30"/>
      <c r="C2279" s="30" t="s">
        <v>8607</v>
      </c>
      <c r="D2279" s="30" t="s">
        <v>11963</v>
      </c>
      <c r="E2279" s="30" t="s">
        <v>13474</v>
      </c>
      <c r="F2279" s="30" t="s">
        <v>8618</v>
      </c>
      <c r="G2279" s="30" t="s">
        <v>9913</v>
      </c>
      <c r="H2279" s="30" t="s">
        <v>13475</v>
      </c>
    </row>
    <row r="2280" spans="1:8">
      <c r="A2280" s="30" t="s">
        <v>13476</v>
      </c>
      <c r="B2280" s="30"/>
      <c r="C2280" s="30" t="s">
        <v>8626</v>
      </c>
      <c r="D2280" s="30"/>
      <c r="E2280" s="30"/>
      <c r="F2280" s="30"/>
      <c r="G2280" s="30"/>
      <c r="H2280" s="30" t="s">
        <v>13471</v>
      </c>
    </row>
    <row r="2281" spans="1:8">
      <c r="A2281" s="30" t="s">
        <v>13477</v>
      </c>
      <c r="B2281" s="30"/>
      <c r="C2281" s="30" t="s">
        <v>8607</v>
      </c>
      <c r="D2281" s="30"/>
      <c r="E2281" s="30"/>
      <c r="F2281" s="30"/>
      <c r="G2281" s="30"/>
      <c r="H2281" s="30" t="s">
        <v>9719</v>
      </c>
    </row>
    <row r="2282" spans="1:8">
      <c r="A2282" s="30" t="s">
        <v>13478</v>
      </c>
      <c r="B2282" s="30"/>
      <c r="C2282" s="30" t="s">
        <v>8607</v>
      </c>
      <c r="D2282" s="30" t="s">
        <v>11963</v>
      </c>
      <c r="E2282" s="30" t="s">
        <v>13474</v>
      </c>
      <c r="F2282" s="30" t="s">
        <v>8618</v>
      </c>
      <c r="G2282" s="30" t="s">
        <v>9913</v>
      </c>
      <c r="H2282" s="30" t="s">
        <v>13475</v>
      </c>
    </row>
    <row r="2283" spans="1:8">
      <c r="A2283" s="30" t="s">
        <v>13479</v>
      </c>
      <c r="B2283" s="30"/>
      <c r="C2283" s="30" t="s">
        <v>8607</v>
      </c>
      <c r="D2283" s="30" t="s">
        <v>10379</v>
      </c>
      <c r="E2283" s="30"/>
      <c r="F2283" s="30"/>
      <c r="G2283" s="30" t="s">
        <v>8863</v>
      </c>
      <c r="H2283" s="30" t="s">
        <v>13480</v>
      </c>
    </row>
    <row r="2284" spans="1:8">
      <c r="A2284" s="30" t="s">
        <v>13481</v>
      </c>
      <c r="B2284" s="30"/>
      <c r="C2284" s="30"/>
      <c r="D2284" s="32"/>
      <c r="E2284" s="30"/>
      <c r="F2284" s="30"/>
      <c r="G2284" s="30"/>
      <c r="H2284" s="30" t="s">
        <v>13482</v>
      </c>
    </row>
    <row r="2285" spans="1:8">
      <c r="A2285" s="30" t="s">
        <v>13483</v>
      </c>
      <c r="B2285" s="30"/>
      <c r="C2285" s="30" t="s">
        <v>8626</v>
      </c>
      <c r="D2285" s="30"/>
      <c r="E2285" s="30" t="s">
        <v>13484</v>
      </c>
      <c r="F2285" s="30" t="s">
        <v>8672</v>
      </c>
      <c r="G2285" s="30"/>
      <c r="H2285" s="30" t="s">
        <v>13485</v>
      </c>
    </row>
    <row r="2286" spans="1:8">
      <c r="A2286" s="30" t="s">
        <v>13486</v>
      </c>
      <c r="B2286" s="30"/>
      <c r="C2286" s="30" t="s">
        <v>8626</v>
      </c>
      <c r="D2286" s="30" t="s">
        <v>13487</v>
      </c>
      <c r="E2286" s="30" t="s">
        <v>13488</v>
      </c>
      <c r="F2286" s="30" t="e">
        <v>#VALUE!</v>
      </c>
      <c r="G2286" s="30" t="s">
        <v>13489</v>
      </c>
      <c r="H2286" s="30" t="s">
        <v>13490</v>
      </c>
    </row>
    <row r="2287" spans="1:8">
      <c r="A2287" s="30" t="s">
        <v>13491</v>
      </c>
      <c r="B2287" s="30"/>
      <c r="C2287" s="30" t="s">
        <v>8607</v>
      </c>
      <c r="D2287" s="30"/>
      <c r="E2287" s="30"/>
      <c r="F2287" s="30"/>
      <c r="G2287" s="30" t="s">
        <v>9171</v>
      </c>
      <c r="H2287" s="30" t="s">
        <v>13469</v>
      </c>
    </row>
    <row r="2288" spans="1:8">
      <c r="A2288" s="30" t="s">
        <v>13492</v>
      </c>
      <c r="B2288" s="30"/>
      <c r="C2288" s="30" t="s">
        <v>8607</v>
      </c>
      <c r="D2288" s="30" t="s">
        <v>9152</v>
      </c>
      <c r="E2288" s="30"/>
      <c r="F2288" s="30"/>
      <c r="G2288" s="30" t="s">
        <v>8698</v>
      </c>
      <c r="H2288" s="30" t="s">
        <v>13459</v>
      </c>
    </row>
    <row r="2289" spans="1:8">
      <c r="A2289" s="30" t="s">
        <v>13493</v>
      </c>
      <c r="B2289" s="30"/>
      <c r="C2289" s="30" t="s">
        <v>8607</v>
      </c>
      <c r="D2289" s="30" t="s">
        <v>13494</v>
      </c>
      <c r="E2289" s="30" t="s">
        <v>13495</v>
      </c>
      <c r="F2289" s="30" t="s">
        <v>8672</v>
      </c>
      <c r="G2289" s="30" t="s">
        <v>9378</v>
      </c>
      <c r="H2289" s="30" t="s">
        <v>13496</v>
      </c>
    </row>
    <row r="2290" spans="1:8">
      <c r="A2290" s="30" t="s">
        <v>13497</v>
      </c>
      <c r="B2290" s="30"/>
      <c r="C2290" s="30" t="s">
        <v>8607</v>
      </c>
      <c r="D2290" s="30"/>
      <c r="E2290" s="30"/>
      <c r="F2290" s="30"/>
      <c r="G2290" s="30" t="s">
        <v>8649</v>
      </c>
      <c r="H2290" s="30" t="s">
        <v>13498</v>
      </c>
    </row>
    <row r="2291" spans="1:8">
      <c r="A2291" s="30" t="s">
        <v>13499</v>
      </c>
      <c r="B2291" s="30"/>
      <c r="C2291" s="30" t="s">
        <v>8626</v>
      </c>
      <c r="D2291" s="30"/>
      <c r="E2291" s="30"/>
      <c r="F2291" s="30"/>
      <c r="G2291" s="30"/>
      <c r="H2291" s="30" t="s">
        <v>13500</v>
      </c>
    </row>
    <row r="2292" spans="1:8">
      <c r="A2292" s="30" t="s">
        <v>13501</v>
      </c>
      <c r="B2292" s="30"/>
      <c r="C2292" s="30" t="s">
        <v>8626</v>
      </c>
      <c r="D2292" s="30"/>
      <c r="E2292" s="30" t="s">
        <v>13502</v>
      </c>
      <c r="F2292" s="30" t="e">
        <v>#VALUE!</v>
      </c>
      <c r="G2292" s="30" t="s">
        <v>9893</v>
      </c>
      <c r="H2292" s="30" t="s">
        <v>13503</v>
      </c>
    </row>
    <row r="2293" spans="1:8">
      <c r="A2293" s="30" t="s">
        <v>13504</v>
      </c>
      <c r="B2293" s="30"/>
      <c r="C2293" s="30" t="s">
        <v>8607</v>
      </c>
      <c r="D2293" s="30"/>
      <c r="E2293" s="30"/>
      <c r="F2293" s="30"/>
      <c r="G2293" s="30"/>
      <c r="H2293" s="30" t="s">
        <v>13505</v>
      </c>
    </row>
    <row r="2294" spans="1:8">
      <c r="A2294" s="30" t="s">
        <v>13506</v>
      </c>
      <c r="B2294" s="30"/>
      <c r="C2294" s="30" t="s">
        <v>8607</v>
      </c>
      <c r="D2294" s="30" t="s">
        <v>9790</v>
      </c>
      <c r="E2294" s="30" t="s">
        <v>9791</v>
      </c>
      <c r="F2294" s="30" t="s">
        <v>8672</v>
      </c>
      <c r="G2294" s="30" t="s">
        <v>9275</v>
      </c>
      <c r="H2294" s="30" t="s">
        <v>13507</v>
      </c>
    </row>
    <row r="2295" spans="1:8">
      <c r="A2295" s="30" t="s">
        <v>13508</v>
      </c>
      <c r="B2295" s="30"/>
      <c r="C2295" s="30" t="s">
        <v>8626</v>
      </c>
      <c r="D2295" s="30" t="s">
        <v>13509</v>
      </c>
      <c r="E2295" s="30" t="s">
        <v>13510</v>
      </c>
      <c r="F2295" s="30" t="s">
        <v>8618</v>
      </c>
      <c r="G2295" s="30" t="s">
        <v>8989</v>
      </c>
      <c r="H2295" s="30" t="s">
        <v>13511</v>
      </c>
    </row>
    <row r="2296" spans="1:8">
      <c r="A2296" s="30" t="s">
        <v>13512</v>
      </c>
      <c r="B2296" s="30"/>
      <c r="C2296" s="30" t="s">
        <v>8607</v>
      </c>
      <c r="D2296" s="30"/>
      <c r="E2296" s="30"/>
      <c r="F2296" s="30"/>
      <c r="G2296" s="30" t="s">
        <v>9308</v>
      </c>
      <c r="H2296" s="30" t="s">
        <v>13513</v>
      </c>
    </row>
    <row r="2297" spans="1:8">
      <c r="A2297" s="30" t="s">
        <v>13514</v>
      </c>
      <c r="B2297" s="30"/>
      <c r="C2297" s="30" t="s">
        <v>8626</v>
      </c>
      <c r="D2297" s="30"/>
      <c r="E2297" s="30" t="s">
        <v>13515</v>
      </c>
      <c r="F2297" s="30" t="s">
        <v>8618</v>
      </c>
      <c r="G2297" s="30" t="s">
        <v>13516</v>
      </c>
      <c r="H2297" s="30" t="s">
        <v>13517</v>
      </c>
    </row>
    <row r="2298" spans="1:8">
      <c r="A2298" s="30" t="s">
        <v>13518</v>
      </c>
      <c r="B2298" s="30"/>
      <c r="C2298" s="30" t="s">
        <v>8607</v>
      </c>
      <c r="D2298" s="30" t="s">
        <v>9533</v>
      </c>
      <c r="E2298" s="30" t="s">
        <v>9534</v>
      </c>
      <c r="F2298" s="30" t="s">
        <v>8618</v>
      </c>
      <c r="G2298" s="30" t="s">
        <v>9535</v>
      </c>
      <c r="H2298" s="30" t="s">
        <v>13519</v>
      </c>
    </row>
    <row r="2299" spans="1:8">
      <c r="A2299" s="30" t="s">
        <v>13520</v>
      </c>
      <c r="B2299" s="30"/>
      <c r="C2299" s="30" t="s">
        <v>8607</v>
      </c>
      <c r="D2299" s="30"/>
      <c r="E2299" s="30"/>
      <c r="F2299" s="30"/>
      <c r="G2299" s="30" t="s">
        <v>13521</v>
      </c>
      <c r="H2299" s="30" t="s">
        <v>13522</v>
      </c>
    </row>
    <row r="2300" spans="1:8">
      <c r="A2300" s="30" t="s">
        <v>13523</v>
      </c>
      <c r="B2300" s="30"/>
      <c r="C2300" s="30" t="s">
        <v>8607</v>
      </c>
      <c r="D2300" s="30"/>
      <c r="E2300" s="30"/>
      <c r="F2300" s="30"/>
      <c r="G2300" s="30" t="s">
        <v>13524</v>
      </c>
      <c r="H2300" s="30" t="s">
        <v>13525</v>
      </c>
    </row>
    <row r="2301" spans="1:8">
      <c r="A2301" s="30" t="s">
        <v>13526</v>
      </c>
      <c r="B2301" s="30"/>
      <c r="C2301" s="30" t="s">
        <v>8607</v>
      </c>
      <c r="D2301" s="30"/>
      <c r="E2301" s="30"/>
      <c r="F2301" s="30"/>
      <c r="G2301" s="30" t="s">
        <v>13527</v>
      </c>
      <c r="H2301" s="30" t="s">
        <v>13528</v>
      </c>
    </row>
    <row r="2302" spans="1:8">
      <c r="A2302" s="30" t="s">
        <v>13529</v>
      </c>
      <c r="B2302" s="30"/>
      <c r="C2302" s="30" t="s">
        <v>8607</v>
      </c>
      <c r="D2302" s="30" t="s">
        <v>8916</v>
      </c>
      <c r="E2302" s="30"/>
      <c r="F2302" s="30"/>
      <c r="G2302" s="30" t="s">
        <v>8656</v>
      </c>
      <c r="H2302" s="30" t="s">
        <v>13530</v>
      </c>
    </row>
    <row r="2303" spans="1:8">
      <c r="A2303" s="30" t="s">
        <v>13531</v>
      </c>
      <c r="B2303" s="30"/>
      <c r="C2303" s="30" t="s">
        <v>8607</v>
      </c>
      <c r="D2303" s="30" t="s">
        <v>13532</v>
      </c>
      <c r="E2303" s="30" t="s">
        <v>8811</v>
      </c>
      <c r="F2303" s="30" t="e">
        <v>#VALUE!</v>
      </c>
      <c r="G2303" s="30" t="s">
        <v>8754</v>
      </c>
      <c r="H2303" s="30" t="s">
        <v>13533</v>
      </c>
    </row>
    <row r="2304" spans="1:8">
      <c r="A2304" s="30" t="s">
        <v>13534</v>
      </c>
      <c r="B2304" s="30"/>
      <c r="C2304" s="30" t="s">
        <v>8607</v>
      </c>
      <c r="D2304" s="30" t="s">
        <v>13535</v>
      </c>
      <c r="E2304" s="30" t="s">
        <v>13536</v>
      </c>
      <c r="F2304" s="30" t="e">
        <v>#VALUE!</v>
      </c>
      <c r="G2304" s="30" t="s">
        <v>9435</v>
      </c>
      <c r="H2304" s="30" t="s">
        <v>9436</v>
      </c>
    </row>
    <row r="2305" spans="1:8">
      <c r="A2305" s="30" t="s">
        <v>13537</v>
      </c>
      <c r="B2305" s="30"/>
      <c r="C2305" s="30" t="s">
        <v>8607</v>
      </c>
      <c r="D2305" s="30"/>
      <c r="E2305" s="30"/>
      <c r="F2305" s="30"/>
      <c r="G2305" s="30" t="s">
        <v>9425</v>
      </c>
      <c r="H2305" s="30" t="s">
        <v>13538</v>
      </c>
    </row>
    <row r="2306" spans="1:8">
      <c r="A2306" s="30" t="s">
        <v>13539</v>
      </c>
      <c r="B2306" s="30"/>
      <c r="C2306" s="30" t="s">
        <v>8607</v>
      </c>
      <c r="D2306" s="30"/>
      <c r="E2306" s="30"/>
      <c r="F2306" s="30"/>
      <c r="G2306" s="30"/>
      <c r="H2306" s="30" t="s">
        <v>13540</v>
      </c>
    </row>
    <row r="2307" spans="1:8">
      <c r="A2307" s="30" t="s">
        <v>13541</v>
      </c>
      <c r="B2307" s="30"/>
      <c r="C2307" s="30" t="s">
        <v>8607</v>
      </c>
      <c r="D2307" s="30"/>
      <c r="E2307" s="30"/>
      <c r="F2307" s="30"/>
      <c r="G2307" s="30" t="s">
        <v>9453</v>
      </c>
      <c r="H2307" s="30" t="s">
        <v>13542</v>
      </c>
    </row>
    <row r="2308" spans="1:8">
      <c r="A2308" s="30" t="s">
        <v>13543</v>
      </c>
      <c r="B2308" s="30"/>
      <c r="C2308" s="30" t="s">
        <v>8607</v>
      </c>
      <c r="D2308" s="30"/>
      <c r="E2308" s="30"/>
      <c r="F2308" s="30"/>
      <c r="G2308" s="30" t="s">
        <v>9428</v>
      </c>
      <c r="H2308" s="30" t="s">
        <v>9429</v>
      </c>
    </row>
    <row r="2309" spans="1:8">
      <c r="A2309" s="30" t="s">
        <v>13544</v>
      </c>
      <c r="B2309" s="30"/>
      <c r="C2309" s="30" t="s">
        <v>8607</v>
      </c>
      <c r="D2309" s="30"/>
      <c r="E2309" s="30"/>
      <c r="F2309" s="30"/>
      <c r="G2309" s="30" t="s">
        <v>9431</v>
      </c>
      <c r="H2309" s="30" t="s">
        <v>9432</v>
      </c>
    </row>
    <row r="2310" spans="1:8">
      <c r="A2310" s="30" t="s">
        <v>13545</v>
      </c>
      <c r="B2310" s="30"/>
      <c r="C2310" s="30" t="s">
        <v>8607</v>
      </c>
      <c r="D2310" s="30"/>
      <c r="E2310" s="30"/>
      <c r="F2310" s="30"/>
      <c r="G2310" s="30" t="s">
        <v>8807</v>
      </c>
      <c r="H2310" s="30" t="s">
        <v>13546</v>
      </c>
    </row>
    <row r="2311" spans="1:8">
      <c r="A2311" s="30" t="s">
        <v>13547</v>
      </c>
      <c r="B2311" s="30"/>
      <c r="C2311" s="30" t="s">
        <v>8607</v>
      </c>
      <c r="D2311" s="30"/>
      <c r="E2311" s="30"/>
      <c r="F2311" s="30"/>
      <c r="G2311" s="30" t="s">
        <v>8804</v>
      </c>
      <c r="H2311" s="30" t="s">
        <v>13548</v>
      </c>
    </row>
    <row r="2312" spans="1:8">
      <c r="A2312" s="30" t="s">
        <v>13549</v>
      </c>
      <c r="B2312" s="30"/>
      <c r="C2312" s="30" t="s">
        <v>8607</v>
      </c>
      <c r="D2312" s="30" t="s">
        <v>10664</v>
      </c>
      <c r="E2312" s="30" t="s">
        <v>8845</v>
      </c>
      <c r="F2312" s="30" t="s">
        <v>8672</v>
      </c>
      <c r="G2312" s="30" t="s">
        <v>8846</v>
      </c>
      <c r="H2312" s="30" t="s">
        <v>13550</v>
      </c>
    </row>
    <row r="2313" spans="1:8">
      <c r="A2313" s="30" t="s">
        <v>13551</v>
      </c>
      <c r="B2313" s="30"/>
      <c r="C2313" s="30" t="s">
        <v>8607</v>
      </c>
      <c r="D2313" s="30"/>
      <c r="E2313" s="30" t="s">
        <v>8720</v>
      </c>
      <c r="F2313" s="30" t="e">
        <v>#VALUE!</v>
      </c>
      <c r="G2313" s="30" t="s">
        <v>8721</v>
      </c>
      <c r="H2313" s="30" t="s">
        <v>12731</v>
      </c>
    </row>
    <row r="2314" spans="1:8">
      <c r="A2314" s="30" t="s">
        <v>13552</v>
      </c>
      <c r="B2314" s="30"/>
      <c r="C2314" s="30" t="s">
        <v>8607</v>
      </c>
      <c r="D2314" s="30"/>
      <c r="E2314" s="30"/>
      <c r="F2314" s="30"/>
      <c r="G2314" s="30" t="s">
        <v>8721</v>
      </c>
      <c r="H2314" s="30" t="s">
        <v>13553</v>
      </c>
    </row>
    <row r="2315" spans="1:8">
      <c r="A2315" s="30" t="s">
        <v>13554</v>
      </c>
      <c r="B2315" s="30"/>
      <c r="C2315" s="30" t="s">
        <v>8626</v>
      </c>
      <c r="D2315" s="30"/>
      <c r="E2315" s="30"/>
      <c r="F2315" s="30"/>
      <c r="G2315" s="30" t="s">
        <v>8714</v>
      </c>
      <c r="H2315" s="30" t="s">
        <v>13555</v>
      </c>
    </row>
    <row r="2316" spans="1:8">
      <c r="A2316" s="30" t="s">
        <v>13556</v>
      </c>
      <c r="B2316" s="30"/>
      <c r="C2316" s="30" t="s">
        <v>8626</v>
      </c>
      <c r="D2316" s="30"/>
      <c r="E2316" s="30"/>
      <c r="F2316" s="30"/>
      <c r="G2316" s="30" t="s">
        <v>8804</v>
      </c>
      <c r="H2316" s="30" t="s">
        <v>10237</v>
      </c>
    </row>
    <row r="2317" spans="1:8">
      <c r="A2317" s="30" t="s">
        <v>13557</v>
      </c>
      <c r="B2317" s="30"/>
      <c r="C2317" s="30" t="s">
        <v>8607</v>
      </c>
      <c r="D2317" s="30"/>
      <c r="E2317" s="30"/>
      <c r="F2317" s="30"/>
      <c r="G2317" s="30" t="s">
        <v>8807</v>
      </c>
      <c r="H2317" s="30" t="s">
        <v>10740</v>
      </c>
    </row>
    <row r="2318" spans="1:8">
      <c r="A2318" s="30" t="s">
        <v>13558</v>
      </c>
      <c r="B2318" s="30"/>
      <c r="C2318" s="30" t="s">
        <v>8607</v>
      </c>
      <c r="D2318" s="30" t="s">
        <v>8844</v>
      </c>
      <c r="E2318" s="30" t="s">
        <v>8845</v>
      </c>
      <c r="F2318" s="30" t="s">
        <v>8672</v>
      </c>
      <c r="G2318" s="30" t="s">
        <v>8846</v>
      </c>
      <c r="H2318" s="30" t="s">
        <v>10241</v>
      </c>
    </row>
    <row r="2319" spans="1:8">
      <c r="A2319" s="30" t="s">
        <v>13559</v>
      </c>
      <c r="B2319" s="30"/>
      <c r="C2319" s="30" t="s">
        <v>8607</v>
      </c>
      <c r="D2319" s="30" t="s">
        <v>10243</v>
      </c>
      <c r="E2319" s="30" t="s">
        <v>8850</v>
      </c>
      <c r="F2319" s="30" t="s">
        <v>8672</v>
      </c>
      <c r="G2319" s="30" t="s">
        <v>8851</v>
      </c>
      <c r="H2319" s="30" t="s">
        <v>10567</v>
      </c>
    </row>
    <row r="2320" spans="1:8">
      <c r="A2320" s="30" t="s">
        <v>13560</v>
      </c>
      <c r="B2320" s="30"/>
      <c r="C2320" s="30" t="s">
        <v>8607</v>
      </c>
      <c r="D2320" s="30" t="s">
        <v>8849</v>
      </c>
      <c r="E2320" s="30" t="s">
        <v>10456</v>
      </c>
      <c r="F2320" s="30" t="s">
        <v>8672</v>
      </c>
      <c r="G2320" s="30" t="s">
        <v>8851</v>
      </c>
      <c r="H2320" s="30" t="s">
        <v>13561</v>
      </c>
    </row>
    <row r="2321" spans="1:8">
      <c r="A2321" s="30" t="s">
        <v>13562</v>
      </c>
      <c r="B2321" s="30"/>
      <c r="C2321" s="30" t="s">
        <v>8607</v>
      </c>
      <c r="D2321" s="30" t="s">
        <v>10243</v>
      </c>
      <c r="E2321" s="30" t="s">
        <v>8850</v>
      </c>
      <c r="F2321" s="30" t="s">
        <v>8672</v>
      </c>
      <c r="G2321" s="30" t="s">
        <v>8851</v>
      </c>
      <c r="H2321" s="30" t="s">
        <v>10567</v>
      </c>
    </row>
    <row r="2322" spans="1:8">
      <c r="A2322" s="30" t="s">
        <v>13563</v>
      </c>
      <c r="B2322" s="30"/>
      <c r="C2322" s="30" t="s">
        <v>8626</v>
      </c>
      <c r="D2322" s="30"/>
      <c r="E2322" s="30"/>
      <c r="F2322" s="30"/>
      <c r="G2322" s="30" t="s">
        <v>10648</v>
      </c>
      <c r="H2322" s="30" t="s">
        <v>8854</v>
      </c>
    </row>
    <row r="2323" spans="1:8">
      <c r="A2323" s="30" t="s">
        <v>13564</v>
      </c>
      <c r="B2323" s="30"/>
      <c r="C2323" s="30" t="s">
        <v>8626</v>
      </c>
      <c r="D2323" s="30" t="s">
        <v>13565</v>
      </c>
      <c r="E2323" s="30" t="s">
        <v>13087</v>
      </c>
      <c r="F2323" s="30" t="e">
        <v>#VALUE!</v>
      </c>
      <c r="G2323" s="30" t="s">
        <v>8826</v>
      </c>
      <c r="H2323" s="30" t="s">
        <v>13088</v>
      </c>
    </row>
    <row r="2324" spans="1:8">
      <c r="A2324" s="30" t="s">
        <v>13566</v>
      </c>
      <c r="B2324" s="30"/>
      <c r="C2324" s="30" t="s">
        <v>8607</v>
      </c>
      <c r="D2324" s="30" t="s">
        <v>9546</v>
      </c>
      <c r="E2324" s="30" t="s">
        <v>9547</v>
      </c>
      <c r="F2324" s="30" t="s">
        <v>8672</v>
      </c>
      <c r="G2324" s="30" t="s">
        <v>9366</v>
      </c>
      <c r="H2324" s="30" t="s">
        <v>9548</v>
      </c>
    </row>
    <row r="2325" spans="1:8">
      <c r="A2325" s="30" t="s">
        <v>13567</v>
      </c>
      <c r="B2325" s="30"/>
      <c r="C2325" s="30" t="s">
        <v>8607</v>
      </c>
      <c r="D2325" s="30" t="s">
        <v>9819</v>
      </c>
      <c r="E2325" s="30"/>
      <c r="F2325" s="30"/>
      <c r="G2325" s="30" t="s">
        <v>9821</v>
      </c>
      <c r="H2325" s="30" t="s">
        <v>12886</v>
      </c>
    </row>
    <row r="2326" spans="1:8">
      <c r="A2326" s="30" t="s">
        <v>13568</v>
      </c>
      <c r="B2326" s="30"/>
      <c r="C2326" s="30" t="s">
        <v>8607</v>
      </c>
      <c r="D2326" s="30" t="s">
        <v>8916</v>
      </c>
      <c r="E2326" s="30" t="s">
        <v>8655</v>
      </c>
      <c r="F2326" s="30" t="s">
        <v>8618</v>
      </c>
      <c r="G2326" s="30" t="s">
        <v>8656</v>
      </c>
      <c r="H2326" s="30" t="s">
        <v>9423</v>
      </c>
    </row>
    <row r="2327" spans="1:8">
      <c r="A2327" s="30" t="s">
        <v>13569</v>
      </c>
      <c r="B2327" s="30"/>
      <c r="C2327" s="30" t="s">
        <v>8607</v>
      </c>
      <c r="D2327" s="30"/>
      <c r="E2327" s="30" t="s">
        <v>12880</v>
      </c>
      <c r="F2327" s="30" t="s">
        <v>8618</v>
      </c>
      <c r="G2327" s="30" t="s">
        <v>9450</v>
      </c>
      <c r="H2327" s="30" t="s">
        <v>12881</v>
      </c>
    </row>
    <row r="2328" spans="1:8">
      <c r="A2328" s="30" t="s">
        <v>13570</v>
      </c>
      <c r="B2328" s="30"/>
      <c r="C2328" s="30" t="s">
        <v>8607</v>
      </c>
      <c r="D2328" s="30" t="s">
        <v>13571</v>
      </c>
      <c r="E2328" s="30" t="s">
        <v>9539</v>
      </c>
      <c r="F2328" s="30" t="s">
        <v>8672</v>
      </c>
      <c r="G2328" s="30" t="s">
        <v>9384</v>
      </c>
      <c r="H2328" s="30" t="s">
        <v>12884</v>
      </c>
    </row>
    <row r="2329" spans="1:8">
      <c r="A2329" s="30" t="s">
        <v>13572</v>
      </c>
      <c r="B2329" s="30"/>
      <c r="C2329" s="30" t="s">
        <v>8607</v>
      </c>
      <c r="D2329" s="30"/>
      <c r="E2329" s="30"/>
      <c r="F2329" s="30"/>
      <c r="G2329" s="30" t="s">
        <v>9428</v>
      </c>
      <c r="H2329" s="30" t="s">
        <v>9429</v>
      </c>
    </row>
    <row r="2330" spans="1:8">
      <c r="A2330" s="30" t="s">
        <v>13573</v>
      </c>
      <c r="B2330" s="30"/>
      <c r="C2330" s="30" t="s">
        <v>8607</v>
      </c>
      <c r="D2330" s="30"/>
      <c r="E2330" s="30"/>
      <c r="F2330" s="30"/>
      <c r="G2330" s="30" t="s">
        <v>9431</v>
      </c>
      <c r="H2330" s="30" t="s">
        <v>9663</v>
      </c>
    </row>
    <row r="2331" spans="1:8">
      <c r="A2331" s="30" t="s">
        <v>13574</v>
      </c>
      <c r="B2331" s="30"/>
      <c r="C2331" s="30"/>
      <c r="D2331" s="32"/>
      <c r="E2331" s="30"/>
      <c r="F2331" s="30"/>
      <c r="G2331" s="30"/>
      <c r="H2331" s="30" t="s">
        <v>13575</v>
      </c>
    </row>
    <row r="2332" spans="1:8">
      <c r="A2332" s="30" t="s">
        <v>13576</v>
      </c>
      <c r="B2332" s="30"/>
      <c r="C2332" s="30"/>
      <c r="D2332" s="32"/>
      <c r="E2332" s="30"/>
      <c r="F2332" s="30"/>
      <c r="G2332" s="30"/>
      <c r="H2332" s="30" t="s">
        <v>11787</v>
      </c>
    </row>
    <row r="2333" spans="1:8">
      <c r="A2333" s="30" t="s">
        <v>13577</v>
      </c>
      <c r="B2333" s="30"/>
      <c r="C2333" s="30" t="s">
        <v>8626</v>
      </c>
      <c r="D2333" s="30"/>
      <c r="E2333" s="30"/>
      <c r="F2333" s="30"/>
      <c r="G2333" s="30"/>
      <c r="H2333" s="30" t="s">
        <v>10284</v>
      </c>
    </row>
    <row r="2334" spans="1:8">
      <c r="A2334" s="30" t="s">
        <v>13578</v>
      </c>
      <c r="B2334" s="30"/>
      <c r="C2334" s="30" t="s">
        <v>8626</v>
      </c>
      <c r="D2334" s="30"/>
      <c r="E2334" s="30" t="s">
        <v>10644</v>
      </c>
      <c r="F2334" s="30" t="s">
        <v>8618</v>
      </c>
      <c r="G2334" s="30" t="s">
        <v>10645</v>
      </c>
      <c r="H2334" s="30" t="s">
        <v>12582</v>
      </c>
    </row>
    <row r="2335" spans="1:8">
      <c r="A2335" s="30" t="s">
        <v>13579</v>
      </c>
      <c r="B2335" s="30"/>
      <c r="C2335" s="30"/>
      <c r="D2335" s="32"/>
      <c r="E2335" s="30"/>
      <c r="F2335" s="30"/>
      <c r="G2335" s="30"/>
      <c r="H2335" s="30" t="s">
        <v>13073</v>
      </c>
    </row>
    <row r="2336" spans="1:8">
      <c r="A2336" s="30" t="s">
        <v>13580</v>
      </c>
      <c r="B2336" s="30"/>
      <c r="C2336" s="30" t="s">
        <v>8607</v>
      </c>
      <c r="D2336" s="30" t="s">
        <v>8736</v>
      </c>
      <c r="E2336" s="30"/>
      <c r="F2336" s="30"/>
      <c r="G2336" s="30" t="s">
        <v>8737</v>
      </c>
      <c r="H2336" s="30" t="s">
        <v>8800</v>
      </c>
    </row>
    <row r="2337" spans="1:8">
      <c r="A2337" s="30" t="s">
        <v>13581</v>
      </c>
      <c r="B2337" s="30"/>
      <c r="C2337" s="30" t="s">
        <v>8607</v>
      </c>
      <c r="D2337" s="30"/>
      <c r="E2337" s="30"/>
      <c r="F2337" s="30"/>
      <c r="G2337" s="30"/>
      <c r="H2337" s="30" t="s">
        <v>8802</v>
      </c>
    </row>
    <row r="2338" spans="1:8">
      <c r="A2338" s="30" t="s">
        <v>13582</v>
      </c>
      <c r="B2338" s="30"/>
      <c r="C2338" s="30" t="s">
        <v>8607</v>
      </c>
      <c r="D2338" s="30" t="s">
        <v>8938</v>
      </c>
      <c r="E2338" s="30"/>
      <c r="F2338" s="30"/>
      <c r="G2338" s="30" t="s">
        <v>8737</v>
      </c>
      <c r="H2338" s="30" t="s">
        <v>8939</v>
      </c>
    </row>
    <row r="2339" spans="1:8">
      <c r="A2339" s="30" t="s">
        <v>13583</v>
      </c>
      <c r="B2339" s="30"/>
      <c r="C2339" s="30" t="s">
        <v>8607</v>
      </c>
      <c r="D2339" s="30"/>
      <c r="E2339" s="30" t="s">
        <v>13584</v>
      </c>
      <c r="F2339" s="30" t="e">
        <v>#VALUE!</v>
      </c>
      <c r="G2339" s="30" t="s">
        <v>8637</v>
      </c>
      <c r="H2339" s="30" t="s">
        <v>10349</v>
      </c>
    </row>
    <row r="2340" spans="1:8">
      <c r="A2340" s="30" t="s">
        <v>13585</v>
      </c>
      <c r="B2340" s="30"/>
      <c r="C2340" s="30" t="s">
        <v>8626</v>
      </c>
      <c r="D2340" s="30" t="s">
        <v>12532</v>
      </c>
      <c r="E2340" s="30" t="s">
        <v>13586</v>
      </c>
      <c r="F2340" s="30" t="s">
        <v>8618</v>
      </c>
      <c r="G2340" s="30" t="s">
        <v>10234</v>
      </c>
      <c r="H2340" s="30" t="s">
        <v>13587</v>
      </c>
    </row>
    <row r="2341" spans="1:8">
      <c r="A2341" s="30" t="s">
        <v>13588</v>
      </c>
      <c r="B2341" s="30"/>
      <c r="C2341" s="30" t="s">
        <v>8607</v>
      </c>
      <c r="D2341" s="30" t="s">
        <v>8632</v>
      </c>
      <c r="E2341" s="30"/>
      <c r="F2341" s="30"/>
      <c r="G2341" s="30" t="s">
        <v>8633</v>
      </c>
      <c r="H2341" s="30" t="s">
        <v>8790</v>
      </c>
    </row>
    <row r="2342" spans="1:8">
      <c r="A2342" s="30" t="s">
        <v>13589</v>
      </c>
      <c r="B2342" s="30"/>
      <c r="C2342" s="30" t="s">
        <v>8626</v>
      </c>
      <c r="D2342" s="30" t="s">
        <v>10360</v>
      </c>
      <c r="E2342" s="30" t="s">
        <v>10179</v>
      </c>
      <c r="F2342" s="30" t="s">
        <v>8618</v>
      </c>
      <c r="G2342" s="30" t="s">
        <v>8989</v>
      </c>
      <c r="H2342" s="30" t="s">
        <v>10362</v>
      </c>
    </row>
    <row r="2343" spans="1:8">
      <c r="A2343" s="30" t="s">
        <v>13590</v>
      </c>
      <c r="B2343" s="30"/>
      <c r="C2343" s="30" t="s">
        <v>8607</v>
      </c>
      <c r="D2343" s="30" t="s">
        <v>10846</v>
      </c>
      <c r="E2343" s="30" t="s">
        <v>8942</v>
      </c>
      <c r="F2343" s="30" t="s">
        <v>8618</v>
      </c>
      <c r="G2343" s="30" t="s">
        <v>8943</v>
      </c>
      <c r="H2343" s="30" t="s">
        <v>10708</v>
      </c>
    </row>
    <row r="2344" spans="1:8">
      <c r="A2344" s="30" t="s">
        <v>13591</v>
      </c>
      <c r="B2344" s="30"/>
      <c r="C2344" s="30"/>
      <c r="D2344" s="32"/>
      <c r="E2344" s="30"/>
      <c r="F2344" s="30"/>
      <c r="G2344" s="30"/>
      <c r="H2344" s="30" t="s">
        <v>13073</v>
      </c>
    </row>
    <row r="2345" spans="1:8">
      <c r="A2345" s="30" t="s">
        <v>13592</v>
      </c>
      <c r="B2345" s="30"/>
      <c r="C2345" s="30" t="s">
        <v>8607</v>
      </c>
      <c r="D2345" s="30" t="s">
        <v>11245</v>
      </c>
      <c r="E2345" s="30" t="s">
        <v>10707</v>
      </c>
      <c r="F2345" s="30" t="s">
        <v>8618</v>
      </c>
      <c r="G2345" s="30" t="s">
        <v>8943</v>
      </c>
      <c r="H2345" s="30" t="s">
        <v>11246</v>
      </c>
    </row>
    <row r="2346" spans="1:8">
      <c r="A2346" s="30" t="s">
        <v>13593</v>
      </c>
      <c r="B2346" s="30"/>
      <c r="C2346" s="30"/>
      <c r="D2346" s="32"/>
      <c r="E2346" s="30"/>
      <c r="F2346" s="30"/>
      <c r="G2346" s="30"/>
      <c r="H2346" s="30" t="s">
        <v>10886</v>
      </c>
    </row>
    <row r="2347" spans="1:8">
      <c r="A2347" s="30" t="s">
        <v>13594</v>
      </c>
      <c r="B2347" s="30"/>
      <c r="C2347" s="30" t="s">
        <v>8607</v>
      </c>
      <c r="D2347" s="30" t="s">
        <v>10780</v>
      </c>
      <c r="E2347" s="30"/>
      <c r="F2347" s="30"/>
      <c r="G2347" s="30" t="s">
        <v>10395</v>
      </c>
      <c r="H2347" s="30" t="s">
        <v>13595</v>
      </c>
    </row>
    <row r="2348" spans="1:8">
      <c r="A2348" s="30" t="s">
        <v>13596</v>
      </c>
      <c r="B2348" s="30"/>
      <c r="C2348" s="30" t="s">
        <v>8626</v>
      </c>
      <c r="D2348" s="30"/>
      <c r="E2348" s="30"/>
      <c r="F2348" s="30"/>
      <c r="G2348" s="30" t="s">
        <v>13597</v>
      </c>
      <c r="H2348" s="30" t="s">
        <v>13598</v>
      </c>
    </row>
    <row r="2349" spans="1:8">
      <c r="A2349" s="30" t="s">
        <v>13599</v>
      </c>
      <c r="B2349" s="30"/>
      <c r="C2349" s="30" t="s">
        <v>8626</v>
      </c>
      <c r="D2349" s="30" t="s">
        <v>13600</v>
      </c>
      <c r="E2349" s="30" t="s">
        <v>9051</v>
      </c>
      <c r="F2349" s="30" t="s">
        <v>8672</v>
      </c>
      <c r="G2349" s="30" t="s">
        <v>9052</v>
      </c>
      <c r="H2349" s="30" t="s">
        <v>13601</v>
      </c>
    </row>
    <row r="2350" spans="1:8">
      <c r="A2350" s="30" t="s">
        <v>13602</v>
      </c>
      <c r="B2350" s="30"/>
      <c r="C2350" s="30" t="s">
        <v>8607</v>
      </c>
      <c r="D2350" s="30" t="s">
        <v>13603</v>
      </c>
      <c r="E2350" s="30" t="s">
        <v>13604</v>
      </c>
      <c r="F2350" s="30" t="s">
        <v>8618</v>
      </c>
      <c r="G2350" s="30" t="s">
        <v>9606</v>
      </c>
      <c r="H2350" s="30" t="s">
        <v>13605</v>
      </c>
    </row>
    <row r="2351" spans="1:8">
      <c r="A2351" s="30" t="s">
        <v>13606</v>
      </c>
      <c r="B2351" s="30"/>
      <c r="C2351" s="30" t="s">
        <v>8626</v>
      </c>
      <c r="D2351" s="30" t="s">
        <v>9553</v>
      </c>
      <c r="E2351" s="30" t="s">
        <v>9554</v>
      </c>
      <c r="F2351" s="30" t="s">
        <v>8672</v>
      </c>
      <c r="G2351" s="30" t="s">
        <v>9555</v>
      </c>
      <c r="H2351" s="30" t="s">
        <v>13607</v>
      </c>
    </row>
    <row r="2352" spans="1:8">
      <c r="A2352" s="30" t="s">
        <v>13608</v>
      </c>
      <c r="B2352" s="30"/>
      <c r="C2352" s="30"/>
      <c r="D2352" s="32"/>
      <c r="E2352" s="30"/>
      <c r="F2352" s="30"/>
      <c r="G2352" s="30"/>
      <c r="H2352" s="30" t="s">
        <v>13609</v>
      </c>
    </row>
    <row r="2353" spans="1:8">
      <c r="A2353" s="30" t="s">
        <v>13610</v>
      </c>
      <c r="B2353" s="30"/>
      <c r="C2353" s="30" t="s">
        <v>8607</v>
      </c>
      <c r="D2353" s="30" t="s">
        <v>9533</v>
      </c>
      <c r="E2353" s="30" t="s">
        <v>9534</v>
      </c>
      <c r="F2353" s="30" t="s">
        <v>8618</v>
      </c>
      <c r="G2353" s="30" t="s">
        <v>9535</v>
      </c>
      <c r="H2353" s="30" t="s">
        <v>9536</v>
      </c>
    </row>
    <row r="2354" spans="1:8">
      <c r="A2354" s="30" t="s">
        <v>13611</v>
      </c>
      <c r="B2354" s="30"/>
      <c r="C2354" s="30" t="s">
        <v>8607</v>
      </c>
      <c r="D2354" s="30" t="s">
        <v>9471</v>
      </c>
      <c r="E2354" s="30" t="s">
        <v>13612</v>
      </c>
      <c r="F2354" s="30" t="e">
        <v>#VALUE!</v>
      </c>
      <c r="G2354" s="30" t="s">
        <v>9473</v>
      </c>
      <c r="H2354" s="30" t="s">
        <v>13613</v>
      </c>
    </row>
    <row r="2355" spans="1:8">
      <c r="A2355" s="30" t="s">
        <v>13614</v>
      </c>
      <c r="B2355" s="30"/>
      <c r="C2355" s="30" t="s">
        <v>8607</v>
      </c>
      <c r="D2355" s="30"/>
      <c r="E2355" s="30"/>
      <c r="F2355" s="30"/>
      <c r="G2355" s="30" t="s">
        <v>13615</v>
      </c>
      <c r="H2355" s="30" t="s">
        <v>13616</v>
      </c>
    </row>
    <row r="2356" spans="1:8">
      <c r="A2356" s="30" t="s">
        <v>13617</v>
      </c>
      <c r="B2356" s="30"/>
      <c r="C2356" s="30" t="s">
        <v>8607</v>
      </c>
      <c r="D2356" s="30"/>
      <c r="E2356" s="30"/>
      <c r="F2356" s="30"/>
      <c r="G2356" s="30" t="s">
        <v>13618</v>
      </c>
      <c r="H2356" s="30" t="s">
        <v>13619</v>
      </c>
    </row>
    <row r="2357" spans="1:8">
      <c r="A2357" s="30" t="s">
        <v>13620</v>
      </c>
      <c r="B2357" s="30"/>
      <c r="C2357" s="30" t="s">
        <v>8607</v>
      </c>
      <c r="D2357" s="30"/>
      <c r="E2357" s="30"/>
      <c r="F2357" s="30"/>
      <c r="G2357" s="30" t="s">
        <v>13174</v>
      </c>
      <c r="H2357" s="30" t="s">
        <v>13175</v>
      </c>
    </row>
    <row r="2358" spans="1:8">
      <c r="A2358" s="30" t="s">
        <v>13621</v>
      </c>
      <c r="B2358" s="30"/>
      <c r="C2358" s="30" t="s">
        <v>8607</v>
      </c>
      <c r="D2358" s="30"/>
      <c r="E2358" s="30"/>
      <c r="F2358" s="30"/>
      <c r="G2358" s="30" t="s">
        <v>13622</v>
      </c>
      <c r="H2358" s="30" t="s">
        <v>13623</v>
      </c>
    </row>
    <row r="2359" spans="1:8">
      <c r="A2359" s="30" t="s">
        <v>13624</v>
      </c>
      <c r="B2359" s="30"/>
      <c r="C2359" s="30" t="s">
        <v>8607</v>
      </c>
      <c r="D2359" s="30" t="s">
        <v>13625</v>
      </c>
      <c r="E2359" s="30" t="s">
        <v>13626</v>
      </c>
      <c r="F2359" s="30" t="s">
        <v>8672</v>
      </c>
      <c r="G2359" s="30" t="s">
        <v>12297</v>
      </c>
      <c r="H2359" s="30" t="s">
        <v>13627</v>
      </c>
    </row>
    <row r="2360" spans="1:8">
      <c r="A2360" s="30" t="s">
        <v>13628</v>
      </c>
      <c r="B2360" s="30"/>
      <c r="C2360" s="30" t="s">
        <v>8607</v>
      </c>
      <c r="D2360" s="30"/>
      <c r="E2360" s="30"/>
      <c r="F2360" s="30"/>
      <c r="G2360" s="30"/>
      <c r="H2360" s="30" t="s">
        <v>13629</v>
      </c>
    </row>
    <row r="2361" spans="1:8">
      <c r="A2361" s="30" t="s">
        <v>13630</v>
      </c>
      <c r="B2361" s="30"/>
      <c r="C2361" s="30" t="s">
        <v>8626</v>
      </c>
      <c r="D2361" s="30" t="s">
        <v>13631</v>
      </c>
      <c r="E2361" s="30" t="s">
        <v>13632</v>
      </c>
      <c r="F2361" s="30" t="s">
        <v>8618</v>
      </c>
      <c r="G2361" s="30" t="s">
        <v>13633</v>
      </c>
      <c r="H2361" s="30" t="s">
        <v>13634</v>
      </c>
    </row>
    <row r="2362" spans="1:8">
      <c r="A2362" s="30" t="s">
        <v>13635</v>
      </c>
      <c r="B2362" s="30"/>
      <c r="C2362" s="30" t="s">
        <v>8607</v>
      </c>
      <c r="D2362" s="30" t="s">
        <v>13636</v>
      </c>
      <c r="E2362" s="30" t="s">
        <v>9547</v>
      </c>
      <c r="F2362" s="30" t="s">
        <v>8672</v>
      </c>
      <c r="G2362" s="30" t="s">
        <v>9366</v>
      </c>
      <c r="H2362" s="30" t="s">
        <v>13637</v>
      </c>
    </row>
    <row r="2363" spans="1:8">
      <c r="A2363" s="30" t="s">
        <v>13638</v>
      </c>
      <c r="B2363" s="30"/>
      <c r="C2363" s="30" t="s">
        <v>8607</v>
      </c>
      <c r="D2363" s="30"/>
      <c r="E2363" s="30"/>
      <c r="F2363" s="30"/>
      <c r="G2363" s="30" t="s">
        <v>13639</v>
      </c>
      <c r="H2363" s="30" t="s">
        <v>13640</v>
      </c>
    </row>
    <row r="2364" spans="1:8">
      <c r="A2364" s="30" t="s">
        <v>13641</v>
      </c>
      <c r="B2364" s="30"/>
      <c r="C2364" s="30" t="s">
        <v>8607</v>
      </c>
      <c r="D2364" s="30" t="s">
        <v>9533</v>
      </c>
      <c r="E2364" s="30" t="s">
        <v>9534</v>
      </c>
      <c r="F2364" s="30" t="s">
        <v>8618</v>
      </c>
      <c r="G2364" s="30" t="s">
        <v>9535</v>
      </c>
      <c r="H2364" s="30" t="s">
        <v>10040</v>
      </c>
    </row>
    <row r="2365" spans="1:8">
      <c r="A2365" s="30" t="s">
        <v>13642</v>
      </c>
      <c r="B2365" s="30"/>
      <c r="C2365" s="30" t="s">
        <v>8626</v>
      </c>
      <c r="D2365" s="30" t="s">
        <v>13643</v>
      </c>
      <c r="E2365" s="30" t="s">
        <v>11374</v>
      </c>
      <c r="F2365" s="30" t="s">
        <v>8672</v>
      </c>
      <c r="G2365" s="30" t="s">
        <v>11375</v>
      </c>
      <c r="H2365" s="30" t="s">
        <v>13644</v>
      </c>
    </row>
    <row r="2366" spans="1:8">
      <c r="A2366" s="30" t="s">
        <v>13645</v>
      </c>
      <c r="B2366" s="30"/>
      <c r="C2366" s="30" t="s">
        <v>8607</v>
      </c>
      <c r="D2366" s="30" t="s">
        <v>13646</v>
      </c>
      <c r="E2366" s="30" t="s">
        <v>9791</v>
      </c>
      <c r="F2366" s="30" t="s">
        <v>8672</v>
      </c>
      <c r="G2366" s="30" t="s">
        <v>9275</v>
      </c>
      <c r="H2366" s="30" t="s">
        <v>13647</v>
      </c>
    </row>
    <row r="2367" spans="1:8">
      <c r="A2367" s="30" t="s">
        <v>13648</v>
      </c>
      <c r="B2367" s="30"/>
      <c r="C2367" s="30" t="s">
        <v>8607</v>
      </c>
      <c r="D2367" s="30"/>
      <c r="E2367" s="30"/>
      <c r="F2367" s="30"/>
      <c r="G2367" s="30" t="s">
        <v>13649</v>
      </c>
      <c r="H2367" s="30" t="s">
        <v>13650</v>
      </c>
    </row>
    <row r="2368" spans="1:8">
      <c r="A2368" s="30" t="s">
        <v>13651</v>
      </c>
      <c r="B2368" s="30"/>
      <c r="C2368" s="30" t="s">
        <v>8607</v>
      </c>
      <c r="D2368" s="30"/>
      <c r="E2368" s="30"/>
      <c r="F2368" s="30"/>
      <c r="G2368" s="30" t="s">
        <v>13652</v>
      </c>
      <c r="H2368" s="30" t="s">
        <v>13653</v>
      </c>
    </row>
    <row r="2369" spans="1:8">
      <c r="A2369" s="30" t="s">
        <v>13654</v>
      </c>
      <c r="B2369" s="30"/>
      <c r="C2369" s="30" t="s">
        <v>8626</v>
      </c>
      <c r="D2369" s="30" t="s">
        <v>13655</v>
      </c>
      <c r="E2369" s="30" t="s">
        <v>11794</v>
      </c>
      <c r="F2369" s="30" t="e">
        <v>#VALUE!</v>
      </c>
      <c r="G2369" s="30"/>
      <c r="H2369" s="30" t="s">
        <v>13656</v>
      </c>
    </row>
    <row r="2370" spans="1:8">
      <c r="A2370" s="30" t="s">
        <v>13657</v>
      </c>
      <c r="B2370" s="30"/>
      <c r="C2370" s="30" t="s">
        <v>8607</v>
      </c>
      <c r="D2370" s="30" t="s">
        <v>13658</v>
      </c>
      <c r="E2370" s="30"/>
      <c r="F2370" s="30"/>
      <c r="G2370" s="30"/>
      <c r="H2370" s="30" t="s">
        <v>13659</v>
      </c>
    </row>
    <row r="2371" spans="1:8">
      <c r="A2371" s="30" t="s">
        <v>13660</v>
      </c>
      <c r="B2371" s="30"/>
      <c r="C2371" s="30" t="s">
        <v>8607</v>
      </c>
      <c r="D2371" s="30" t="s">
        <v>13661</v>
      </c>
      <c r="E2371" s="30"/>
      <c r="F2371" s="30"/>
      <c r="G2371" s="30" t="s">
        <v>13662</v>
      </c>
      <c r="H2371" s="30" t="s">
        <v>13659</v>
      </c>
    </row>
    <row r="2372" spans="1:8">
      <c r="A2372" s="30" t="s">
        <v>13663</v>
      </c>
      <c r="B2372" s="30"/>
      <c r="C2372" s="30" t="s">
        <v>8607</v>
      </c>
      <c r="D2372" s="30"/>
      <c r="E2372" s="30" t="s">
        <v>13664</v>
      </c>
      <c r="F2372" s="30" t="e">
        <v>#VALUE!</v>
      </c>
      <c r="G2372" s="30"/>
      <c r="H2372" s="30" t="s">
        <v>13665</v>
      </c>
    </row>
    <row r="2373" spans="1:8">
      <c r="A2373" s="30" t="s">
        <v>13666</v>
      </c>
      <c r="B2373" s="30"/>
      <c r="C2373" s="30" t="s">
        <v>8607</v>
      </c>
      <c r="D2373" s="30"/>
      <c r="E2373" s="30"/>
      <c r="F2373" s="30"/>
      <c r="G2373" s="30"/>
      <c r="H2373" s="30" t="s">
        <v>13659</v>
      </c>
    </row>
    <row r="2374" spans="1:8">
      <c r="A2374" s="30" t="s">
        <v>13667</v>
      </c>
      <c r="B2374" s="30"/>
      <c r="C2374" s="30" t="s">
        <v>8626</v>
      </c>
      <c r="D2374" s="30" t="s">
        <v>9178</v>
      </c>
      <c r="E2374" s="30"/>
      <c r="F2374" s="30"/>
      <c r="G2374" s="30" t="s">
        <v>9002</v>
      </c>
      <c r="H2374" s="30" t="s">
        <v>13668</v>
      </c>
    </row>
    <row r="2375" spans="1:8">
      <c r="A2375" s="30" t="s">
        <v>13669</v>
      </c>
      <c r="B2375" s="30"/>
      <c r="C2375" s="30" t="s">
        <v>8626</v>
      </c>
      <c r="D2375" s="30" t="s">
        <v>13670</v>
      </c>
      <c r="E2375" s="30" t="s">
        <v>13671</v>
      </c>
      <c r="F2375" s="30" t="s">
        <v>8618</v>
      </c>
      <c r="G2375" s="30" t="s">
        <v>10234</v>
      </c>
      <c r="H2375" s="30" t="s">
        <v>13672</v>
      </c>
    </row>
    <row r="2376" spans="1:8">
      <c r="A2376" s="30" t="s">
        <v>13673</v>
      </c>
      <c r="B2376" s="30"/>
      <c r="C2376" s="30" t="s">
        <v>8607</v>
      </c>
      <c r="D2376" s="30"/>
      <c r="E2376" s="30"/>
      <c r="F2376" s="30"/>
      <c r="G2376" s="30" t="s">
        <v>8726</v>
      </c>
      <c r="H2376" s="30" t="s">
        <v>13674</v>
      </c>
    </row>
    <row r="2377" spans="1:8">
      <c r="A2377" s="30" t="s">
        <v>13675</v>
      </c>
      <c r="B2377" s="30"/>
      <c r="C2377" s="30" t="s">
        <v>8607</v>
      </c>
      <c r="D2377" s="30"/>
      <c r="E2377" s="30"/>
      <c r="F2377" s="30"/>
      <c r="G2377" s="30" t="s">
        <v>10576</v>
      </c>
      <c r="H2377" s="30" t="s">
        <v>13676</v>
      </c>
    </row>
    <row r="2378" spans="1:8">
      <c r="A2378" s="30" t="s">
        <v>13677</v>
      </c>
      <c r="B2378" s="30"/>
      <c r="C2378" s="30" t="s">
        <v>8607</v>
      </c>
      <c r="D2378" s="30"/>
      <c r="E2378" s="30"/>
      <c r="F2378" s="30"/>
      <c r="G2378" s="30" t="s">
        <v>11191</v>
      </c>
      <c r="H2378" s="30" t="s">
        <v>13678</v>
      </c>
    </row>
    <row r="2379" spans="1:8">
      <c r="A2379" s="30" t="s">
        <v>13679</v>
      </c>
      <c r="B2379" s="30"/>
      <c r="C2379" s="30" t="s">
        <v>8607</v>
      </c>
      <c r="D2379" s="30"/>
      <c r="E2379" s="30"/>
      <c r="F2379" s="30"/>
      <c r="G2379" s="30" t="s">
        <v>8649</v>
      </c>
      <c r="H2379" s="30" t="s">
        <v>10464</v>
      </c>
    </row>
    <row r="2380" spans="1:8">
      <c r="A2380" s="30" t="s">
        <v>13680</v>
      </c>
      <c r="B2380" s="30"/>
      <c r="C2380" s="30" t="s">
        <v>8607</v>
      </c>
      <c r="D2380" s="30"/>
      <c r="E2380" s="30"/>
      <c r="F2380" s="30"/>
      <c r="G2380" s="30" t="s">
        <v>13681</v>
      </c>
      <c r="H2380" s="30" t="s">
        <v>13682</v>
      </c>
    </row>
    <row r="2381" spans="1:8">
      <c r="A2381" s="30" t="s">
        <v>13683</v>
      </c>
      <c r="B2381" s="30"/>
      <c r="C2381" s="30" t="s">
        <v>8626</v>
      </c>
      <c r="D2381" s="30" t="s">
        <v>13294</v>
      </c>
      <c r="E2381" s="30" t="s">
        <v>13295</v>
      </c>
      <c r="F2381" s="30" t="s">
        <v>8618</v>
      </c>
      <c r="G2381" s="30" t="s">
        <v>8900</v>
      </c>
      <c r="H2381" s="30" t="s">
        <v>13296</v>
      </c>
    </row>
    <row r="2382" spans="1:8">
      <c r="A2382" s="30" t="s">
        <v>13684</v>
      </c>
      <c r="B2382" s="30"/>
      <c r="C2382" s="30" t="s">
        <v>8607</v>
      </c>
      <c r="D2382" s="30" t="s">
        <v>11923</v>
      </c>
      <c r="E2382" s="30" t="s">
        <v>9791</v>
      </c>
      <c r="F2382" s="30" t="s">
        <v>8672</v>
      </c>
      <c r="G2382" s="30" t="s">
        <v>9275</v>
      </c>
      <c r="H2382" s="30" t="s">
        <v>9792</v>
      </c>
    </row>
    <row r="2383" spans="1:8">
      <c r="A2383" s="30" t="s">
        <v>13685</v>
      </c>
      <c r="B2383" s="30"/>
      <c r="C2383" s="30" t="s">
        <v>8607</v>
      </c>
      <c r="D2383" s="30" t="s">
        <v>11926</v>
      </c>
      <c r="E2383" s="30" t="s">
        <v>11927</v>
      </c>
      <c r="F2383" s="30" t="s">
        <v>8672</v>
      </c>
      <c r="G2383" s="30" t="s">
        <v>9844</v>
      </c>
      <c r="H2383" s="30" t="s">
        <v>11928</v>
      </c>
    </row>
    <row r="2384" spans="1:8">
      <c r="A2384" s="30" t="s">
        <v>13686</v>
      </c>
      <c r="B2384" s="30"/>
      <c r="C2384" s="30" t="s">
        <v>8607</v>
      </c>
      <c r="D2384" s="30"/>
      <c r="E2384" s="30"/>
      <c r="F2384" s="30"/>
      <c r="G2384" s="30" t="s">
        <v>9209</v>
      </c>
      <c r="H2384" s="30" t="s">
        <v>13302</v>
      </c>
    </row>
    <row r="2385" spans="1:8">
      <c r="A2385" s="30" t="s">
        <v>13687</v>
      </c>
      <c r="B2385" s="30"/>
      <c r="C2385" s="30" t="s">
        <v>8626</v>
      </c>
      <c r="D2385" s="30" t="s">
        <v>13290</v>
      </c>
      <c r="E2385" s="30" t="s">
        <v>13291</v>
      </c>
      <c r="F2385" s="30" t="s">
        <v>8618</v>
      </c>
      <c r="G2385" s="30"/>
      <c r="H2385" s="30" t="s">
        <v>13292</v>
      </c>
    </row>
    <row r="2386" spans="1:8">
      <c r="A2386" s="30" t="s">
        <v>13688</v>
      </c>
      <c r="B2386" s="30"/>
      <c r="C2386" s="30" t="s">
        <v>8607</v>
      </c>
      <c r="D2386" s="30"/>
      <c r="E2386" s="30"/>
      <c r="F2386" s="30"/>
      <c r="G2386" s="30" t="s">
        <v>10395</v>
      </c>
      <c r="H2386" s="30" t="s">
        <v>13298</v>
      </c>
    </row>
    <row r="2387" spans="1:8">
      <c r="A2387" s="30" t="s">
        <v>13689</v>
      </c>
      <c r="B2387" s="30"/>
      <c r="C2387" s="30" t="s">
        <v>8607</v>
      </c>
      <c r="D2387" s="30" t="s">
        <v>11496</v>
      </c>
      <c r="E2387" s="30" t="s">
        <v>11616</v>
      </c>
      <c r="F2387" s="30" t="s">
        <v>8672</v>
      </c>
      <c r="G2387" s="30" t="s">
        <v>9002</v>
      </c>
      <c r="H2387" s="30" t="s">
        <v>13690</v>
      </c>
    </row>
    <row r="2388" spans="1:8">
      <c r="A2388" s="30" t="s">
        <v>13691</v>
      </c>
      <c r="B2388" s="30"/>
      <c r="C2388" s="30" t="s">
        <v>8607</v>
      </c>
      <c r="D2388" s="30"/>
      <c r="E2388" s="30"/>
      <c r="F2388" s="30"/>
      <c r="G2388" s="30"/>
      <c r="H2388" s="30" t="s">
        <v>10979</v>
      </c>
    </row>
    <row r="2389" spans="1:8">
      <c r="A2389" s="30" t="s">
        <v>13692</v>
      </c>
      <c r="B2389" s="30"/>
      <c r="C2389" s="30" t="s">
        <v>8607</v>
      </c>
      <c r="D2389" s="30" t="s">
        <v>13693</v>
      </c>
      <c r="E2389" s="30" t="s">
        <v>13694</v>
      </c>
      <c r="F2389" s="30" t="s">
        <v>8672</v>
      </c>
      <c r="G2389" s="30" t="s">
        <v>11540</v>
      </c>
      <c r="H2389" s="30" t="s">
        <v>11541</v>
      </c>
    </row>
    <row r="2390" spans="1:8">
      <c r="A2390" s="30" t="s">
        <v>13695</v>
      </c>
      <c r="B2390" s="30"/>
      <c r="C2390" s="30"/>
      <c r="D2390" s="32"/>
      <c r="E2390" s="30"/>
      <c r="F2390" s="30"/>
      <c r="G2390" s="30"/>
      <c r="H2390" s="30" t="s">
        <v>12091</v>
      </c>
    </row>
    <row r="2391" spans="1:8">
      <c r="A2391" s="30" t="s">
        <v>13696</v>
      </c>
      <c r="B2391" s="30"/>
      <c r="C2391" s="30"/>
      <c r="D2391" s="32"/>
      <c r="E2391" s="30"/>
      <c r="F2391" s="30"/>
      <c r="G2391" s="30"/>
      <c r="H2391" s="30" t="s">
        <v>13697</v>
      </c>
    </row>
    <row r="2392" spans="1:8">
      <c r="A2392" s="30" t="s">
        <v>13698</v>
      </c>
      <c r="B2392" s="30"/>
      <c r="C2392" s="30" t="s">
        <v>8607</v>
      </c>
      <c r="D2392" s="30"/>
      <c r="E2392" s="30"/>
      <c r="F2392" s="30"/>
      <c r="G2392" s="30" t="s">
        <v>8891</v>
      </c>
      <c r="H2392" s="30" t="s">
        <v>10627</v>
      </c>
    </row>
    <row r="2393" spans="1:8">
      <c r="A2393" s="30" t="s">
        <v>13699</v>
      </c>
      <c r="B2393" s="30"/>
      <c r="C2393" s="30" t="s">
        <v>8626</v>
      </c>
      <c r="D2393" s="30" t="s">
        <v>12093</v>
      </c>
      <c r="E2393" s="30" t="s">
        <v>13700</v>
      </c>
      <c r="F2393" s="30" t="e">
        <v>#VALUE!</v>
      </c>
      <c r="G2393" s="30" t="s">
        <v>8975</v>
      </c>
      <c r="H2393" s="30" t="s">
        <v>13701</v>
      </c>
    </row>
    <row r="2394" spans="1:8">
      <c r="A2394" s="30" t="s">
        <v>13702</v>
      </c>
      <c r="B2394" s="30"/>
      <c r="C2394" s="30" t="s">
        <v>8607</v>
      </c>
      <c r="D2394" s="30"/>
      <c r="E2394" s="30"/>
      <c r="F2394" s="30"/>
      <c r="G2394" s="30" t="s">
        <v>10576</v>
      </c>
      <c r="H2394" s="30" t="s">
        <v>10577</v>
      </c>
    </row>
    <row r="2395" spans="1:8">
      <c r="A2395" s="30" t="s">
        <v>13703</v>
      </c>
      <c r="B2395" s="30"/>
      <c r="C2395" s="30" t="s">
        <v>8626</v>
      </c>
      <c r="D2395" s="30" t="s">
        <v>13704</v>
      </c>
      <c r="E2395" s="30" t="s">
        <v>13705</v>
      </c>
      <c r="F2395" s="30" t="e">
        <v>#VALUE!</v>
      </c>
      <c r="G2395" s="30" t="s">
        <v>9145</v>
      </c>
      <c r="H2395" s="30" t="s">
        <v>13706</v>
      </c>
    </row>
    <row r="2396" spans="1:8">
      <c r="A2396" s="30" t="s">
        <v>13707</v>
      </c>
      <c r="B2396" s="30"/>
      <c r="C2396" s="30" t="s">
        <v>8626</v>
      </c>
      <c r="D2396" s="30"/>
      <c r="E2396" s="30"/>
      <c r="F2396" s="30"/>
      <c r="G2396" s="30" t="s">
        <v>9209</v>
      </c>
      <c r="H2396" s="30" t="s">
        <v>10580</v>
      </c>
    </row>
    <row r="2397" spans="1:8">
      <c r="A2397" s="30" t="s">
        <v>13708</v>
      </c>
      <c r="B2397" s="30"/>
      <c r="C2397" s="30" t="s">
        <v>8607</v>
      </c>
      <c r="D2397" s="30" t="s">
        <v>8770</v>
      </c>
      <c r="E2397" s="30" t="s">
        <v>8771</v>
      </c>
      <c r="F2397" s="30" t="s">
        <v>8672</v>
      </c>
      <c r="G2397" s="30" t="s">
        <v>8659</v>
      </c>
      <c r="H2397" s="30" t="s">
        <v>8772</v>
      </c>
    </row>
    <row r="2398" spans="1:8">
      <c r="A2398" s="30" t="s">
        <v>13709</v>
      </c>
      <c r="B2398" s="30"/>
      <c r="C2398" s="30" t="s">
        <v>8607</v>
      </c>
      <c r="D2398" s="30" t="s">
        <v>10653</v>
      </c>
      <c r="E2398" s="30" t="s">
        <v>10583</v>
      </c>
      <c r="F2398" s="30" t="e">
        <v>#VALUE!</v>
      </c>
      <c r="G2398" s="30" t="s">
        <v>9219</v>
      </c>
      <c r="H2398" s="30" t="s">
        <v>10654</v>
      </c>
    </row>
    <row r="2399" spans="1:8">
      <c r="A2399" s="30" t="s">
        <v>13710</v>
      </c>
      <c r="B2399" s="30"/>
      <c r="C2399" s="30" t="s">
        <v>8607</v>
      </c>
      <c r="D2399" s="30" t="s">
        <v>8654</v>
      </c>
      <c r="E2399" s="30" t="s">
        <v>8655</v>
      </c>
      <c r="F2399" s="30" t="s">
        <v>8618</v>
      </c>
      <c r="G2399" s="30" t="s">
        <v>8656</v>
      </c>
      <c r="H2399" s="30" t="s">
        <v>10690</v>
      </c>
    </row>
    <row r="2400" spans="1:8">
      <c r="A2400" s="30" t="s">
        <v>13711</v>
      </c>
      <c r="B2400" s="30"/>
      <c r="C2400" s="30" t="s">
        <v>8607</v>
      </c>
      <c r="D2400" s="30" t="s">
        <v>8666</v>
      </c>
      <c r="E2400" s="30"/>
      <c r="F2400" s="30"/>
      <c r="G2400" s="30" t="s">
        <v>8667</v>
      </c>
      <c r="H2400" s="30" t="s">
        <v>12536</v>
      </c>
    </row>
    <row r="2401" spans="1:8">
      <c r="A2401" s="30" t="s">
        <v>13712</v>
      </c>
      <c r="B2401" s="30"/>
      <c r="C2401" s="30" t="s">
        <v>8626</v>
      </c>
      <c r="D2401" s="30"/>
      <c r="E2401" s="30" t="s">
        <v>13713</v>
      </c>
      <c r="F2401" s="30" t="e">
        <v>#VALUE!</v>
      </c>
      <c r="G2401" s="30"/>
      <c r="H2401" s="30" t="s">
        <v>13714</v>
      </c>
    </row>
    <row r="2402" spans="1:8">
      <c r="A2402" s="30" t="s">
        <v>13715</v>
      </c>
      <c r="B2402" s="30"/>
      <c r="C2402" s="30" t="s">
        <v>8607</v>
      </c>
      <c r="D2402" s="30"/>
      <c r="E2402" s="30" t="s">
        <v>11305</v>
      </c>
      <c r="F2402" s="30" t="s">
        <v>8618</v>
      </c>
      <c r="G2402" s="30" t="s">
        <v>8908</v>
      </c>
      <c r="H2402" s="30" t="s">
        <v>10636</v>
      </c>
    </row>
    <row r="2403" spans="1:8">
      <c r="A2403" s="30" t="s">
        <v>13716</v>
      </c>
      <c r="B2403" s="30"/>
      <c r="C2403" s="30" t="s">
        <v>8607</v>
      </c>
      <c r="D2403" s="30"/>
      <c r="E2403" s="30"/>
      <c r="F2403" s="30"/>
      <c r="G2403" s="30" t="s">
        <v>8726</v>
      </c>
      <c r="H2403" s="30" t="s">
        <v>10497</v>
      </c>
    </row>
    <row r="2404" spans="1:8">
      <c r="A2404" s="30" t="s">
        <v>13717</v>
      </c>
      <c r="B2404" s="30"/>
      <c r="C2404" s="30" t="s">
        <v>8607</v>
      </c>
      <c r="D2404" s="30"/>
      <c r="E2404" s="30"/>
      <c r="F2404" s="30"/>
      <c r="G2404" s="30" t="s">
        <v>8729</v>
      </c>
      <c r="H2404" s="30" t="s">
        <v>10195</v>
      </c>
    </row>
    <row r="2405" spans="1:8">
      <c r="A2405" s="30" t="s">
        <v>13718</v>
      </c>
      <c r="B2405" s="30"/>
      <c r="C2405" s="30" t="s">
        <v>8607</v>
      </c>
      <c r="D2405" s="30" t="s">
        <v>10514</v>
      </c>
      <c r="E2405" s="30"/>
      <c r="F2405" s="30"/>
      <c r="G2405" s="30" t="s">
        <v>8646</v>
      </c>
      <c r="H2405" s="30" t="s">
        <v>10483</v>
      </c>
    </row>
    <row r="2406" spans="1:8">
      <c r="A2406" s="30" t="s">
        <v>13719</v>
      </c>
      <c r="B2406" s="30"/>
      <c r="C2406" s="30" t="s">
        <v>8607</v>
      </c>
      <c r="D2406" s="30"/>
      <c r="E2406" s="30"/>
      <c r="F2406" s="30"/>
      <c r="G2406" s="30" t="s">
        <v>8649</v>
      </c>
      <c r="H2406" s="30" t="s">
        <v>10485</v>
      </c>
    </row>
    <row r="2407" spans="1:8">
      <c r="A2407" s="30" t="s">
        <v>13720</v>
      </c>
      <c r="B2407" s="30"/>
      <c r="C2407" s="30" t="s">
        <v>8626</v>
      </c>
      <c r="D2407" s="30"/>
      <c r="E2407" s="30"/>
      <c r="F2407" s="30"/>
      <c r="G2407" s="30" t="s">
        <v>9847</v>
      </c>
      <c r="H2407" s="30" t="s">
        <v>10487</v>
      </c>
    </row>
    <row r="2408" spans="1:8">
      <c r="A2408" s="30" t="s">
        <v>13721</v>
      </c>
      <c r="B2408" s="30"/>
      <c r="C2408" s="30" t="s">
        <v>8607</v>
      </c>
      <c r="D2408" s="30"/>
      <c r="E2408" s="30"/>
      <c r="F2408" s="30"/>
      <c r="G2408" s="30"/>
      <c r="H2408" s="30" t="s">
        <v>10439</v>
      </c>
    </row>
    <row r="2409" spans="1:8">
      <c r="A2409" s="30" t="s">
        <v>13722</v>
      </c>
      <c r="B2409" s="30"/>
      <c r="C2409" s="30" t="s">
        <v>8626</v>
      </c>
      <c r="D2409" s="30"/>
      <c r="E2409" s="30"/>
      <c r="F2409" s="30"/>
      <c r="G2409" s="30" t="s">
        <v>9358</v>
      </c>
      <c r="H2409" s="30" t="s">
        <v>10276</v>
      </c>
    </row>
    <row r="2410" spans="1:8">
      <c r="A2410" s="30" t="s">
        <v>13723</v>
      </c>
      <c r="B2410" s="30"/>
      <c r="C2410" s="30" t="s">
        <v>8607</v>
      </c>
      <c r="D2410" s="30" t="s">
        <v>10491</v>
      </c>
      <c r="E2410" s="30" t="s">
        <v>10265</v>
      </c>
      <c r="F2410" s="30" t="e">
        <v>#VALUE!</v>
      </c>
      <c r="G2410" s="30" t="s">
        <v>9007</v>
      </c>
      <c r="H2410" s="30" t="s">
        <v>13724</v>
      </c>
    </row>
    <row r="2411" spans="1:8">
      <c r="A2411" s="30" t="s">
        <v>13725</v>
      </c>
      <c r="B2411" s="30"/>
      <c r="C2411" s="30" t="s">
        <v>8626</v>
      </c>
      <c r="D2411" s="30" t="s">
        <v>10494</v>
      </c>
      <c r="E2411" s="30" t="s">
        <v>8671</v>
      </c>
      <c r="F2411" s="30" t="s">
        <v>8672</v>
      </c>
      <c r="G2411" s="30" t="s">
        <v>8673</v>
      </c>
      <c r="H2411" s="30" t="s">
        <v>10495</v>
      </c>
    </row>
    <row r="2412" spans="1:8">
      <c r="A2412" s="30" t="s">
        <v>13726</v>
      </c>
      <c r="B2412" s="30"/>
      <c r="C2412" s="30" t="s">
        <v>8607</v>
      </c>
      <c r="D2412" s="30"/>
      <c r="E2412" s="30" t="s">
        <v>10499</v>
      </c>
      <c r="F2412" s="30" t="e">
        <v>#VALUE!</v>
      </c>
      <c r="G2412" s="30" t="s">
        <v>8678</v>
      </c>
      <c r="H2412" s="30" t="s">
        <v>10500</v>
      </c>
    </row>
    <row r="2413" spans="1:8">
      <c r="A2413" s="30" t="s">
        <v>13727</v>
      </c>
      <c r="B2413" s="30"/>
      <c r="C2413" s="30" t="s">
        <v>8626</v>
      </c>
      <c r="D2413" s="30"/>
      <c r="E2413" s="30"/>
      <c r="F2413" s="30"/>
      <c r="G2413" s="30" t="s">
        <v>8681</v>
      </c>
      <c r="H2413" s="30" t="s">
        <v>10502</v>
      </c>
    </row>
    <row r="2414" spans="1:8">
      <c r="A2414" s="30" t="s">
        <v>13728</v>
      </c>
      <c r="B2414" s="30"/>
      <c r="C2414" s="30" t="s">
        <v>8626</v>
      </c>
      <c r="D2414" s="30" t="s">
        <v>10504</v>
      </c>
      <c r="E2414" s="30" t="s">
        <v>10191</v>
      </c>
      <c r="F2414" s="30" t="e">
        <v>#VALUE!</v>
      </c>
      <c r="G2414" s="30" t="s">
        <v>8691</v>
      </c>
      <c r="H2414" s="30" t="s">
        <v>10192</v>
      </c>
    </row>
    <row r="2415" spans="1:8">
      <c r="A2415" s="30" t="s">
        <v>13729</v>
      </c>
      <c r="B2415" s="30"/>
      <c r="C2415" s="30" t="s">
        <v>8607</v>
      </c>
      <c r="D2415" s="30" t="s">
        <v>9034</v>
      </c>
      <c r="E2415" s="30"/>
      <c r="F2415" s="30"/>
      <c r="G2415" s="30" t="s">
        <v>8667</v>
      </c>
      <c r="H2415" s="30" t="s">
        <v>9035</v>
      </c>
    </row>
    <row r="2416" spans="1:8">
      <c r="A2416" s="30" t="s">
        <v>13730</v>
      </c>
      <c r="B2416" s="30"/>
      <c r="C2416" s="30" t="s">
        <v>8607</v>
      </c>
      <c r="D2416" s="30"/>
      <c r="E2416" s="30"/>
      <c r="F2416" s="30"/>
      <c r="G2416" s="30"/>
      <c r="H2416" s="30" t="s">
        <v>8996</v>
      </c>
    </row>
    <row r="2417" spans="1:8">
      <c r="A2417" s="30" t="s">
        <v>13731</v>
      </c>
      <c r="B2417" s="30"/>
      <c r="C2417" s="30" t="s">
        <v>8607</v>
      </c>
      <c r="D2417" s="30" t="s">
        <v>9000</v>
      </c>
      <c r="E2417" s="30" t="s">
        <v>13045</v>
      </c>
      <c r="F2417" s="30" t="e">
        <v>#VALUE!</v>
      </c>
      <c r="G2417" s="30" t="s">
        <v>9002</v>
      </c>
      <c r="H2417" s="30" t="s">
        <v>9118</v>
      </c>
    </row>
    <row r="2418" spans="1:8">
      <c r="A2418" s="30" t="s">
        <v>13732</v>
      </c>
      <c r="B2418" s="30"/>
      <c r="C2418" s="30" t="s">
        <v>8607</v>
      </c>
      <c r="D2418" s="30" t="s">
        <v>10434</v>
      </c>
      <c r="E2418" s="30"/>
      <c r="F2418" s="30"/>
      <c r="G2418" s="30" t="s">
        <v>8649</v>
      </c>
      <c r="H2418" s="30" t="s">
        <v>13498</v>
      </c>
    </row>
    <row r="2419" spans="1:8">
      <c r="A2419" s="30" t="s">
        <v>13733</v>
      </c>
      <c r="B2419" s="30"/>
      <c r="C2419" s="30" t="s">
        <v>8607</v>
      </c>
      <c r="D2419" s="30" t="s">
        <v>8632</v>
      </c>
      <c r="E2419" s="30"/>
      <c r="F2419" s="30"/>
      <c r="G2419" s="30" t="s">
        <v>8633</v>
      </c>
      <c r="H2419" s="30" t="s">
        <v>13734</v>
      </c>
    </row>
    <row r="2420" spans="1:8">
      <c r="A2420" s="30" t="s">
        <v>13735</v>
      </c>
      <c r="B2420" s="30"/>
      <c r="C2420" s="30" t="s">
        <v>8607</v>
      </c>
      <c r="D2420" s="30"/>
      <c r="E2420" s="30"/>
      <c r="F2420" s="30"/>
      <c r="G2420" s="30" t="s">
        <v>8711</v>
      </c>
      <c r="H2420" s="30" t="s">
        <v>13736</v>
      </c>
    </row>
    <row r="2421" spans="1:8">
      <c r="A2421" s="30" t="s">
        <v>13737</v>
      </c>
      <c r="B2421" s="30"/>
      <c r="C2421" s="30"/>
      <c r="D2421" s="32"/>
      <c r="E2421" s="30"/>
      <c r="F2421" s="30"/>
      <c r="G2421" s="30"/>
      <c r="H2421" s="30" t="s">
        <v>13738</v>
      </c>
    </row>
    <row r="2422" spans="1:8">
      <c r="A2422" s="30" t="s">
        <v>13739</v>
      </c>
      <c r="B2422" s="30"/>
      <c r="C2422" s="30" t="s">
        <v>8607</v>
      </c>
      <c r="D2422" s="30" t="s">
        <v>13740</v>
      </c>
      <c r="E2422" s="30"/>
      <c r="F2422" s="30"/>
      <c r="G2422" s="30" t="s">
        <v>13274</v>
      </c>
      <c r="H2422" s="30" t="s">
        <v>13741</v>
      </c>
    </row>
    <row r="2423" spans="1:8">
      <c r="A2423" s="30" t="s">
        <v>13742</v>
      </c>
      <c r="B2423" s="30"/>
      <c r="C2423" s="30" t="s">
        <v>8626</v>
      </c>
      <c r="D2423" s="30" t="s">
        <v>12093</v>
      </c>
      <c r="E2423" s="30" t="s">
        <v>12094</v>
      </c>
      <c r="F2423" s="30" t="e">
        <v>#VALUE!</v>
      </c>
      <c r="G2423" s="30" t="s">
        <v>8975</v>
      </c>
      <c r="H2423" s="30" t="s">
        <v>13743</v>
      </c>
    </row>
    <row r="2424" spans="1:8">
      <c r="A2424" s="30" t="s">
        <v>13744</v>
      </c>
      <c r="B2424" s="30"/>
      <c r="C2424" s="30" t="s">
        <v>8626</v>
      </c>
      <c r="D2424" s="30"/>
      <c r="E2424" s="30"/>
      <c r="F2424" s="30"/>
      <c r="G2424" s="30"/>
      <c r="H2424" s="30" t="s">
        <v>12236</v>
      </c>
    </row>
    <row r="2425" spans="1:8">
      <c r="A2425" s="30" t="s">
        <v>13745</v>
      </c>
      <c r="B2425" s="30"/>
      <c r="C2425" s="30"/>
      <c r="D2425" s="32" t="s">
        <v>13746</v>
      </c>
      <c r="E2425" s="30"/>
      <c r="F2425" s="30"/>
      <c r="G2425" s="30"/>
      <c r="H2425" s="30" t="s">
        <v>13747</v>
      </c>
    </row>
    <row r="2426" spans="1:8">
      <c r="A2426" s="30" t="s">
        <v>13748</v>
      </c>
      <c r="B2426" s="30"/>
      <c r="C2426" s="30" t="s">
        <v>8607</v>
      </c>
      <c r="D2426" s="30"/>
      <c r="E2426" s="30"/>
      <c r="F2426" s="30"/>
      <c r="G2426" s="30"/>
      <c r="H2426" s="30" t="s">
        <v>13749</v>
      </c>
    </row>
    <row r="2427" spans="1:8">
      <c r="A2427" s="30" t="s">
        <v>13750</v>
      </c>
      <c r="B2427" s="30"/>
      <c r="C2427" s="30" t="s">
        <v>8626</v>
      </c>
      <c r="D2427" s="30"/>
      <c r="E2427" s="30"/>
      <c r="F2427" s="30"/>
      <c r="G2427" s="30" t="s">
        <v>12090</v>
      </c>
      <c r="H2427" s="30" t="s">
        <v>13751</v>
      </c>
    </row>
    <row r="2428" spans="1:8">
      <c r="A2428" s="30" t="s">
        <v>13752</v>
      </c>
      <c r="B2428" s="30"/>
      <c r="C2428" s="30" t="s">
        <v>8607</v>
      </c>
      <c r="D2428" s="30"/>
      <c r="E2428" s="30"/>
      <c r="F2428" s="30"/>
      <c r="G2428" s="30" t="s">
        <v>8891</v>
      </c>
      <c r="H2428" s="30" t="s">
        <v>13078</v>
      </c>
    </row>
    <row r="2429" spans="1:8">
      <c r="A2429" s="30" t="s">
        <v>13753</v>
      </c>
      <c r="B2429" s="30"/>
      <c r="C2429" s="30" t="s">
        <v>8626</v>
      </c>
      <c r="D2429" s="30"/>
      <c r="E2429" s="30"/>
      <c r="F2429" s="30"/>
      <c r="G2429" s="30" t="s">
        <v>13754</v>
      </c>
      <c r="H2429" s="30" t="s">
        <v>13755</v>
      </c>
    </row>
    <row r="2430" spans="1:8">
      <c r="A2430" s="30" t="s">
        <v>13756</v>
      </c>
      <c r="B2430" s="30"/>
      <c r="C2430" s="30" t="s">
        <v>8607</v>
      </c>
      <c r="D2430" s="30" t="s">
        <v>8894</v>
      </c>
      <c r="E2430" s="30"/>
      <c r="F2430" s="30"/>
      <c r="G2430" s="30" t="s">
        <v>8895</v>
      </c>
      <c r="H2430" s="30" t="s">
        <v>9029</v>
      </c>
    </row>
    <row r="2431" spans="1:8">
      <c r="A2431" s="30" t="s">
        <v>13757</v>
      </c>
      <c r="B2431" s="30"/>
      <c r="C2431" s="30" t="s">
        <v>8607</v>
      </c>
      <c r="D2431" s="30"/>
      <c r="E2431" s="30"/>
      <c r="F2431" s="30"/>
      <c r="G2431" s="30"/>
      <c r="H2431" s="30" t="s">
        <v>13758</v>
      </c>
    </row>
    <row r="2432" spans="1:8">
      <c r="A2432" s="30" t="s">
        <v>13759</v>
      </c>
      <c r="B2432" s="30"/>
      <c r="C2432" s="30" t="s">
        <v>8607</v>
      </c>
      <c r="D2432" s="30"/>
      <c r="E2432" s="30"/>
      <c r="F2432" s="30"/>
      <c r="G2432" s="30" t="s">
        <v>9657</v>
      </c>
      <c r="H2432" s="30" t="s">
        <v>9658</v>
      </c>
    </row>
    <row r="2433" spans="1:8">
      <c r="A2433" s="30" t="s">
        <v>13760</v>
      </c>
      <c r="B2433" s="30"/>
      <c r="C2433" s="30" t="s">
        <v>8607</v>
      </c>
      <c r="D2433" s="30"/>
      <c r="E2433" s="30"/>
      <c r="F2433" s="30"/>
      <c r="G2433" s="30" t="s">
        <v>13761</v>
      </c>
      <c r="H2433" s="30" t="s">
        <v>13762</v>
      </c>
    </row>
    <row r="2434" spans="1:8">
      <c r="A2434" s="30" t="s">
        <v>13763</v>
      </c>
      <c r="B2434" s="30"/>
      <c r="C2434" s="30" t="s">
        <v>8607</v>
      </c>
      <c r="D2434" s="30" t="s">
        <v>9631</v>
      </c>
      <c r="E2434" s="30" t="s">
        <v>13764</v>
      </c>
      <c r="F2434" s="30" t="s">
        <v>8672</v>
      </c>
      <c r="G2434" s="30" t="s">
        <v>9632</v>
      </c>
      <c r="H2434" s="30" t="s">
        <v>13765</v>
      </c>
    </row>
    <row r="2435" spans="1:8">
      <c r="A2435" s="30" t="s">
        <v>13766</v>
      </c>
      <c r="B2435" s="30"/>
      <c r="C2435" s="30" t="s">
        <v>8607</v>
      </c>
      <c r="D2435" s="30" t="s">
        <v>8968</v>
      </c>
      <c r="E2435" s="30"/>
      <c r="F2435" s="30"/>
      <c r="G2435" s="30" t="s">
        <v>8970</v>
      </c>
      <c r="H2435" s="30" t="s">
        <v>8971</v>
      </c>
    </row>
    <row r="2436" spans="1:8">
      <c r="A2436" s="30" t="s">
        <v>13767</v>
      </c>
      <c r="B2436" s="30"/>
      <c r="C2436" s="30" t="s">
        <v>8626</v>
      </c>
      <c r="D2436" s="30" t="s">
        <v>9282</v>
      </c>
      <c r="E2436" s="30" t="s">
        <v>13768</v>
      </c>
      <c r="F2436" s="30" t="e">
        <v>#VALUE!</v>
      </c>
      <c r="G2436" s="30" t="s">
        <v>8975</v>
      </c>
      <c r="H2436" s="30" t="s">
        <v>13769</v>
      </c>
    </row>
    <row r="2437" spans="1:8">
      <c r="A2437" s="30" t="s">
        <v>13770</v>
      </c>
      <c r="B2437" s="30"/>
      <c r="C2437" s="30" t="s">
        <v>8607</v>
      </c>
      <c r="D2437" s="30"/>
      <c r="E2437" s="30"/>
      <c r="F2437" s="30"/>
      <c r="G2437" s="30"/>
      <c r="H2437" s="30" t="s">
        <v>13771</v>
      </c>
    </row>
    <row r="2438" spans="1:8">
      <c r="A2438" s="30" t="s">
        <v>13772</v>
      </c>
      <c r="B2438" s="30"/>
      <c r="C2438" s="30" t="s">
        <v>8607</v>
      </c>
      <c r="D2438" s="30" t="s">
        <v>13773</v>
      </c>
      <c r="E2438" s="30" t="s">
        <v>13774</v>
      </c>
      <c r="F2438" s="30" t="s">
        <v>8618</v>
      </c>
      <c r="G2438" s="30" t="s">
        <v>13775</v>
      </c>
      <c r="H2438" s="30" t="s">
        <v>13776</v>
      </c>
    </row>
    <row r="2439" spans="1:8">
      <c r="A2439" s="30" t="s">
        <v>13777</v>
      </c>
      <c r="B2439" s="30"/>
      <c r="C2439" s="30" t="s">
        <v>8607</v>
      </c>
      <c r="D2439" s="30"/>
      <c r="E2439" s="30"/>
      <c r="F2439" s="30"/>
      <c r="G2439" s="30" t="s">
        <v>10205</v>
      </c>
      <c r="H2439" s="30" t="s">
        <v>11261</v>
      </c>
    </row>
    <row r="2440" spans="1:8">
      <c r="A2440" s="30" t="s">
        <v>13778</v>
      </c>
      <c r="B2440" s="30"/>
      <c r="C2440" s="30" t="s">
        <v>8607</v>
      </c>
      <c r="D2440" s="30"/>
      <c r="E2440" s="30"/>
      <c r="F2440" s="30"/>
      <c r="G2440" s="30"/>
      <c r="H2440" s="30" t="s">
        <v>11263</v>
      </c>
    </row>
    <row r="2441" spans="1:8">
      <c r="A2441" s="30" t="s">
        <v>13779</v>
      </c>
      <c r="B2441" s="30"/>
      <c r="C2441" s="30" t="s">
        <v>8607</v>
      </c>
      <c r="D2441" s="30"/>
      <c r="E2441" s="30"/>
      <c r="F2441" s="30"/>
      <c r="G2441" s="30" t="s">
        <v>8807</v>
      </c>
      <c r="H2441" s="30" t="s">
        <v>11256</v>
      </c>
    </row>
    <row r="2442" spans="1:8">
      <c r="A2442" s="30" t="s">
        <v>13780</v>
      </c>
      <c r="B2442" s="30"/>
      <c r="C2442" s="30" t="s">
        <v>8607</v>
      </c>
      <c r="D2442" s="30" t="s">
        <v>10907</v>
      </c>
      <c r="E2442" s="30" t="s">
        <v>8850</v>
      </c>
      <c r="F2442" s="30" t="s">
        <v>8672</v>
      </c>
      <c r="G2442" s="30" t="s">
        <v>8851</v>
      </c>
      <c r="H2442" s="30" t="s">
        <v>11181</v>
      </c>
    </row>
    <row r="2443" spans="1:8">
      <c r="A2443" s="30" t="s">
        <v>13781</v>
      </c>
      <c r="B2443" s="30"/>
      <c r="C2443" s="30" t="s">
        <v>8607</v>
      </c>
      <c r="D2443" s="30" t="s">
        <v>10243</v>
      </c>
      <c r="E2443" s="30" t="s">
        <v>8850</v>
      </c>
      <c r="F2443" s="30" t="s">
        <v>8672</v>
      </c>
      <c r="G2443" s="30" t="s">
        <v>8851</v>
      </c>
      <c r="H2443" s="30" t="s">
        <v>11259</v>
      </c>
    </row>
    <row r="2444" spans="1:8">
      <c r="A2444" s="30" t="s">
        <v>13782</v>
      </c>
      <c r="B2444" s="30"/>
      <c r="C2444" s="30" t="s">
        <v>8607</v>
      </c>
      <c r="D2444" s="30" t="s">
        <v>8736</v>
      </c>
      <c r="E2444" s="30"/>
      <c r="F2444" s="30"/>
      <c r="G2444" s="30" t="s">
        <v>8737</v>
      </c>
      <c r="H2444" s="30" t="s">
        <v>13783</v>
      </c>
    </row>
    <row r="2445" spans="1:8">
      <c r="A2445" s="30" t="s">
        <v>13784</v>
      </c>
      <c r="B2445" s="30"/>
      <c r="C2445" s="30" t="s">
        <v>8626</v>
      </c>
      <c r="D2445" s="30"/>
      <c r="E2445" s="30"/>
      <c r="F2445" s="30"/>
      <c r="G2445" s="30" t="s">
        <v>8623</v>
      </c>
      <c r="H2445" s="30" t="s">
        <v>10423</v>
      </c>
    </row>
    <row r="2446" spans="1:8">
      <c r="A2446" s="30" t="s">
        <v>13785</v>
      </c>
      <c r="B2446" s="30"/>
      <c r="C2446" s="30" t="s">
        <v>8607</v>
      </c>
      <c r="D2446" s="30"/>
      <c r="E2446" s="30"/>
      <c r="F2446" s="30"/>
      <c r="G2446" s="30"/>
      <c r="H2446" s="30" t="s">
        <v>12366</v>
      </c>
    </row>
    <row r="2447" spans="1:8">
      <c r="A2447" s="30" t="s">
        <v>13786</v>
      </c>
      <c r="B2447" s="30"/>
      <c r="C2447" s="30"/>
      <c r="D2447" s="32" t="s">
        <v>12491</v>
      </c>
      <c r="E2447" s="30"/>
      <c r="F2447" s="30"/>
      <c r="G2447" s="30"/>
      <c r="H2447" s="30" t="s">
        <v>13787</v>
      </c>
    </row>
    <row r="2448" spans="1:8">
      <c r="A2448" s="30" t="s">
        <v>13788</v>
      </c>
      <c r="B2448" s="30"/>
      <c r="C2448" s="30" t="s">
        <v>8607</v>
      </c>
      <c r="D2448" s="30"/>
      <c r="E2448" s="30" t="s">
        <v>12246</v>
      </c>
      <c r="F2448" s="30" t="s">
        <v>8618</v>
      </c>
      <c r="G2448" s="30" t="s">
        <v>10427</v>
      </c>
      <c r="H2448" s="30" t="s">
        <v>12247</v>
      </c>
    </row>
    <row r="2449" spans="1:8">
      <c r="A2449" s="30" t="s">
        <v>13789</v>
      </c>
      <c r="B2449" s="30"/>
      <c r="C2449" s="30"/>
      <c r="D2449" s="32"/>
      <c r="E2449" s="30"/>
      <c r="F2449" s="30"/>
      <c r="G2449" s="30"/>
      <c r="H2449" s="30" t="s">
        <v>13575</v>
      </c>
    </row>
    <row r="2450" spans="1:8">
      <c r="A2450" s="30" t="s">
        <v>13790</v>
      </c>
      <c r="B2450" s="30"/>
      <c r="C2450" s="30"/>
      <c r="D2450" s="32"/>
      <c r="E2450" s="30"/>
      <c r="F2450" s="30"/>
      <c r="G2450" s="30"/>
      <c r="H2450" s="30" t="s">
        <v>13575</v>
      </c>
    </row>
    <row r="2451" spans="1:8">
      <c r="A2451" s="30" t="s">
        <v>13791</v>
      </c>
      <c r="B2451" s="30"/>
      <c r="C2451" s="30"/>
      <c r="D2451" s="32"/>
      <c r="E2451" s="30"/>
      <c r="F2451" s="30"/>
      <c r="G2451" s="30"/>
      <c r="H2451" s="30" t="s">
        <v>13792</v>
      </c>
    </row>
    <row r="2452" spans="1:8">
      <c r="A2452" s="30" t="s">
        <v>13793</v>
      </c>
      <c r="B2452" s="30"/>
      <c r="C2452" s="30" t="s">
        <v>8626</v>
      </c>
      <c r="D2452" s="30"/>
      <c r="E2452" s="30" t="s">
        <v>11778</v>
      </c>
      <c r="F2452" s="30" t="e">
        <v>#VALUE!</v>
      </c>
      <c r="G2452" s="30" t="s">
        <v>10645</v>
      </c>
      <c r="H2452" s="30" t="s">
        <v>13366</v>
      </c>
    </row>
    <row r="2453" spans="1:8">
      <c r="A2453" s="30" t="s">
        <v>13794</v>
      </c>
      <c r="B2453" s="30"/>
      <c r="C2453" s="30" t="s">
        <v>8607</v>
      </c>
      <c r="D2453" s="30"/>
      <c r="E2453" s="30"/>
      <c r="F2453" s="30"/>
      <c r="G2453" s="30" t="s">
        <v>9303</v>
      </c>
      <c r="H2453" s="30" t="s">
        <v>13795</v>
      </c>
    </row>
    <row r="2454" spans="1:8">
      <c r="A2454" s="30" t="s">
        <v>13796</v>
      </c>
      <c r="B2454" s="30"/>
      <c r="C2454" s="30" t="s">
        <v>8626</v>
      </c>
      <c r="D2454" s="30"/>
      <c r="E2454" s="30" t="s">
        <v>11778</v>
      </c>
      <c r="F2454" s="30" t="e">
        <v>#VALUE!</v>
      </c>
      <c r="G2454" s="30" t="s">
        <v>10645</v>
      </c>
      <c r="H2454" s="30" t="s">
        <v>13797</v>
      </c>
    </row>
    <row r="2455" spans="1:8">
      <c r="A2455" s="30" t="s">
        <v>13798</v>
      </c>
      <c r="B2455" s="30"/>
      <c r="C2455" s="30" t="s">
        <v>8626</v>
      </c>
      <c r="D2455" s="30"/>
      <c r="E2455" s="30"/>
      <c r="F2455" s="30"/>
      <c r="G2455" s="30" t="s">
        <v>13754</v>
      </c>
      <c r="H2455" s="30" t="s">
        <v>13755</v>
      </c>
    </row>
    <row r="2456" spans="1:8">
      <c r="A2456" s="30" t="s">
        <v>13799</v>
      </c>
      <c r="B2456" s="30"/>
      <c r="C2456" s="30" t="s">
        <v>8626</v>
      </c>
      <c r="D2456" s="30"/>
      <c r="E2456" s="30" t="s">
        <v>13800</v>
      </c>
      <c r="F2456" s="30" t="e">
        <v>#VALUE!</v>
      </c>
      <c r="G2456" s="30" t="s">
        <v>10645</v>
      </c>
      <c r="H2456" s="30" t="s">
        <v>13366</v>
      </c>
    </row>
    <row r="2457" spans="1:8">
      <c r="A2457" s="30" t="s">
        <v>13801</v>
      </c>
      <c r="B2457" s="30"/>
      <c r="C2457" s="30" t="s">
        <v>8607</v>
      </c>
      <c r="D2457" s="30" t="s">
        <v>13802</v>
      </c>
      <c r="E2457" s="30" t="s">
        <v>13803</v>
      </c>
      <c r="F2457" s="30" t="e">
        <v>#VALUE!</v>
      </c>
      <c r="G2457" s="30" t="s">
        <v>13804</v>
      </c>
      <c r="H2457" s="30" t="s">
        <v>13805</v>
      </c>
    </row>
    <row r="2458" spans="1:8">
      <c r="A2458" s="30" t="s">
        <v>13806</v>
      </c>
      <c r="B2458" s="30"/>
      <c r="C2458" s="30" t="s">
        <v>8607</v>
      </c>
      <c r="D2458" s="30" t="s">
        <v>13807</v>
      </c>
      <c r="E2458" s="30"/>
      <c r="F2458" s="30"/>
      <c r="G2458" s="30" t="s">
        <v>9657</v>
      </c>
      <c r="H2458" s="30" t="s">
        <v>13808</v>
      </c>
    </row>
    <row r="2459" spans="1:8">
      <c r="A2459" s="30" t="s">
        <v>13809</v>
      </c>
      <c r="B2459" s="30"/>
      <c r="C2459" s="30" t="s">
        <v>8626</v>
      </c>
      <c r="D2459" s="30"/>
      <c r="E2459" s="30"/>
      <c r="F2459" s="30"/>
      <c r="G2459" s="30"/>
      <c r="H2459" s="30" t="s">
        <v>13810</v>
      </c>
    </row>
    <row r="2460" spans="1:8">
      <c r="A2460" s="30" t="s">
        <v>13811</v>
      </c>
      <c r="B2460" s="30"/>
      <c r="C2460" s="30" t="s">
        <v>8607</v>
      </c>
      <c r="D2460" s="30"/>
      <c r="E2460" s="30"/>
      <c r="F2460" s="30"/>
      <c r="G2460" s="30" t="s">
        <v>9657</v>
      </c>
      <c r="H2460" s="30" t="s">
        <v>13808</v>
      </c>
    </row>
    <row r="2461" spans="1:8">
      <c r="A2461" s="30" t="s">
        <v>13812</v>
      </c>
      <c r="B2461" s="30"/>
      <c r="C2461" s="30" t="s">
        <v>8607</v>
      </c>
      <c r="D2461" s="30" t="s">
        <v>13813</v>
      </c>
      <c r="E2461" s="30" t="s">
        <v>13814</v>
      </c>
      <c r="F2461" s="30" t="s">
        <v>8672</v>
      </c>
      <c r="G2461" s="30" t="s">
        <v>11943</v>
      </c>
      <c r="H2461" s="30" t="s">
        <v>13815</v>
      </c>
    </row>
    <row r="2462" spans="1:8">
      <c r="A2462" s="30" t="s">
        <v>13816</v>
      </c>
      <c r="B2462" s="30"/>
      <c r="C2462" s="30" t="s">
        <v>8607</v>
      </c>
      <c r="D2462" s="30" t="s">
        <v>13817</v>
      </c>
      <c r="E2462" s="30" t="s">
        <v>13818</v>
      </c>
      <c r="F2462" s="30" t="s">
        <v>8672</v>
      </c>
      <c r="G2462" s="30" t="s">
        <v>9913</v>
      </c>
      <c r="H2462" s="30" t="s">
        <v>13819</v>
      </c>
    </row>
    <row r="2463" spans="1:8">
      <c r="A2463" s="30" t="s">
        <v>13820</v>
      </c>
      <c r="B2463" s="30"/>
      <c r="C2463" s="30" t="s">
        <v>8607</v>
      </c>
      <c r="D2463" s="30"/>
      <c r="E2463" s="30"/>
      <c r="F2463" s="30"/>
      <c r="G2463" s="30" t="s">
        <v>13821</v>
      </c>
      <c r="H2463" s="30" t="s">
        <v>13822</v>
      </c>
    </row>
    <row r="2464" spans="1:8">
      <c r="A2464" s="30" t="s">
        <v>13823</v>
      </c>
      <c r="B2464" s="30"/>
      <c r="C2464" s="30" t="s">
        <v>8607</v>
      </c>
      <c r="D2464" s="30"/>
      <c r="E2464" s="30"/>
      <c r="F2464" s="30"/>
      <c r="G2464" s="30" t="s">
        <v>13824</v>
      </c>
      <c r="H2464" s="30" t="s">
        <v>13825</v>
      </c>
    </row>
    <row r="2465" spans="1:8">
      <c r="A2465" s="30" t="s">
        <v>13826</v>
      </c>
      <c r="B2465" s="30"/>
      <c r="C2465" s="30" t="s">
        <v>8607</v>
      </c>
      <c r="D2465" s="30" t="s">
        <v>9262</v>
      </c>
      <c r="E2465" s="30"/>
      <c r="F2465" s="30"/>
      <c r="G2465" s="30" t="s">
        <v>12922</v>
      </c>
      <c r="H2465" s="30" t="s">
        <v>13827</v>
      </c>
    </row>
    <row r="2466" spans="1:8">
      <c r="A2466" s="30" t="s">
        <v>13828</v>
      </c>
      <c r="B2466" s="30"/>
      <c r="C2466" s="30" t="s">
        <v>8607</v>
      </c>
      <c r="D2466" s="30" t="s">
        <v>12268</v>
      </c>
      <c r="E2466" s="30" t="s">
        <v>13829</v>
      </c>
      <c r="F2466" s="30" t="s">
        <v>8672</v>
      </c>
      <c r="G2466" s="30" t="s">
        <v>12270</v>
      </c>
      <c r="H2466" s="30" t="s">
        <v>13830</v>
      </c>
    </row>
    <row r="2467" spans="1:8">
      <c r="A2467" s="30" t="s">
        <v>13831</v>
      </c>
      <c r="B2467" s="30"/>
      <c r="C2467" s="30" t="s">
        <v>8607</v>
      </c>
      <c r="D2467" s="30"/>
      <c r="E2467" s="30"/>
      <c r="F2467" s="30"/>
      <c r="G2467" s="30" t="s">
        <v>13832</v>
      </c>
      <c r="H2467" s="30" t="s">
        <v>13833</v>
      </c>
    </row>
    <row r="2468" spans="1:8">
      <c r="A2468" s="30" t="s">
        <v>13834</v>
      </c>
      <c r="B2468" s="30"/>
      <c r="C2468" s="30" t="s">
        <v>8607</v>
      </c>
      <c r="D2468" s="30"/>
      <c r="E2468" s="30"/>
      <c r="F2468" s="30"/>
      <c r="G2468" s="30" t="s">
        <v>10197</v>
      </c>
      <c r="H2468" s="30" t="s">
        <v>10198</v>
      </c>
    </row>
    <row r="2469" spans="1:8">
      <c r="A2469" s="30" t="s">
        <v>13835</v>
      </c>
      <c r="B2469" s="30"/>
      <c r="C2469" s="30" t="s">
        <v>8607</v>
      </c>
      <c r="D2469" s="30"/>
      <c r="E2469" s="30"/>
      <c r="F2469" s="30"/>
      <c r="G2469" s="30" t="s">
        <v>8646</v>
      </c>
      <c r="H2469" s="30" t="s">
        <v>8647</v>
      </c>
    </row>
    <row r="2470" spans="1:8">
      <c r="A2470" s="30" t="s">
        <v>13836</v>
      </c>
      <c r="B2470" s="30"/>
      <c r="C2470" s="30" t="s">
        <v>8607</v>
      </c>
      <c r="D2470" s="30" t="s">
        <v>10434</v>
      </c>
      <c r="E2470" s="30"/>
      <c r="F2470" s="30"/>
      <c r="G2470" s="30" t="s">
        <v>8649</v>
      </c>
      <c r="H2470" s="30" t="s">
        <v>8650</v>
      </c>
    </row>
    <row r="2471" spans="1:8">
      <c r="A2471" s="30" t="s">
        <v>13837</v>
      </c>
      <c r="B2471" s="30"/>
      <c r="C2471" s="30" t="s">
        <v>8626</v>
      </c>
      <c r="D2471" s="30" t="s">
        <v>10436</v>
      </c>
      <c r="E2471" s="30"/>
      <c r="F2471" s="30"/>
      <c r="G2471" s="30" t="s">
        <v>9847</v>
      </c>
      <c r="H2471" s="30" t="s">
        <v>10272</v>
      </c>
    </row>
    <row r="2472" spans="1:8">
      <c r="A2472" s="30" t="s">
        <v>13838</v>
      </c>
      <c r="B2472" s="30"/>
      <c r="C2472" s="30" t="s">
        <v>8607</v>
      </c>
      <c r="D2472" s="30"/>
      <c r="E2472" s="30"/>
      <c r="F2472" s="30"/>
      <c r="G2472" s="30" t="s">
        <v>10438</v>
      </c>
      <c r="H2472" s="30" t="s">
        <v>10439</v>
      </c>
    </row>
    <row r="2473" spans="1:8">
      <c r="A2473" s="30" t="s">
        <v>13839</v>
      </c>
      <c r="B2473" s="30"/>
      <c r="C2473" s="30" t="s">
        <v>8626</v>
      </c>
      <c r="D2473" s="30"/>
      <c r="E2473" s="30"/>
      <c r="F2473" s="30"/>
      <c r="G2473" s="30" t="s">
        <v>9358</v>
      </c>
      <c r="H2473" s="30" t="s">
        <v>10276</v>
      </c>
    </row>
    <row r="2474" spans="1:8">
      <c r="A2474" s="30" t="s">
        <v>13840</v>
      </c>
      <c r="B2474" s="30"/>
      <c r="C2474" s="30" t="s">
        <v>8607</v>
      </c>
      <c r="D2474" s="30" t="s">
        <v>10491</v>
      </c>
      <c r="E2474" s="30" t="s">
        <v>10638</v>
      </c>
      <c r="F2474" s="30" t="e">
        <v>#VALUE!</v>
      </c>
      <c r="G2474" s="30" t="s">
        <v>9007</v>
      </c>
      <c r="H2474" s="30" t="s">
        <v>11208</v>
      </c>
    </row>
    <row r="2475" spans="1:8">
      <c r="A2475" s="30" t="s">
        <v>13841</v>
      </c>
      <c r="B2475" s="30"/>
      <c r="C2475" s="30" t="s">
        <v>8626</v>
      </c>
      <c r="D2475" s="30"/>
      <c r="E2475" s="30"/>
      <c r="F2475" s="30"/>
      <c r="G2475" s="30" t="s">
        <v>9363</v>
      </c>
      <c r="H2475" s="30" t="s">
        <v>10520</v>
      </c>
    </row>
    <row r="2476" spans="1:8">
      <c r="A2476" s="30" t="s">
        <v>13842</v>
      </c>
      <c r="B2476" s="30"/>
      <c r="C2476" s="30" t="s">
        <v>8607</v>
      </c>
      <c r="D2476" s="30" t="s">
        <v>11468</v>
      </c>
      <c r="E2476" s="30"/>
      <c r="F2476" s="30"/>
      <c r="G2476" s="30" t="s">
        <v>8704</v>
      </c>
      <c r="H2476" s="30" t="s">
        <v>11427</v>
      </c>
    </row>
    <row r="2477" spans="1:8">
      <c r="A2477" s="30" t="s">
        <v>13843</v>
      </c>
      <c r="B2477" s="30"/>
      <c r="C2477" s="30" t="s">
        <v>8626</v>
      </c>
      <c r="D2477" s="30"/>
      <c r="E2477" s="30" t="s">
        <v>13844</v>
      </c>
      <c r="F2477" s="30" t="e">
        <v>#VALUE!</v>
      </c>
      <c r="G2477" s="30" t="s">
        <v>8949</v>
      </c>
      <c r="H2477" s="30" t="s">
        <v>13845</v>
      </c>
    </row>
    <row r="2478" spans="1:8">
      <c r="A2478" s="30" t="s">
        <v>13846</v>
      </c>
      <c r="B2478" s="30"/>
      <c r="C2478" s="30" t="s">
        <v>8626</v>
      </c>
      <c r="D2478" s="30" t="s">
        <v>10441</v>
      </c>
      <c r="E2478" s="30" t="s">
        <v>8671</v>
      </c>
      <c r="F2478" s="30" t="s">
        <v>8672</v>
      </c>
      <c r="G2478" s="30" t="s">
        <v>8673</v>
      </c>
      <c r="H2478" s="30" t="s">
        <v>10442</v>
      </c>
    </row>
    <row r="2479" spans="1:8">
      <c r="A2479" s="30" t="s">
        <v>13847</v>
      </c>
      <c r="B2479" s="30"/>
      <c r="C2479" s="30" t="s">
        <v>8607</v>
      </c>
      <c r="D2479" s="30"/>
      <c r="E2479" s="30" t="s">
        <v>10200</v>
      </c>
      <c r="F2479" s="30" t="e">
        <v>#VALUE!</v>
      </c>
      <c r="G2479" s="30" t="s">
        <v>8678</v>
      </c>
      <c r="H2479" s="30" t="s">
        <v>8679</v>
      </c>
    </row>
    <row r="2480" spans="1:8">
      <c r="A2480" s="30" t="s">
        <v>13848</v>
      </c>
      <c r="B2480" s="30"/>
      <c r="C2480" s="30" t="s">
        <v>8607</v>
      </c>
      <c r="D2480" s="30"/>
      <c r="E2480" s="30"/>
      <c r="F2480" s="30"/>
      <c r="G2480" s="30" t="s">
        <v>8681</v>
      </c>
      <c r="H2480" s="30" t="s">
        <v>10445</v>
      </c>
    </row>
    <row r="2481" spans="1:8">
      <c r="A2481" s="30" t="s">
        <v>13849</v>
      </c>
      <c r="B2481" s="30"/>
      <c r="C2481" s="30" t="s">
        <v>8607</v>
      </c>
      <c r="D2481" s="30"/>
      <c r="E2481" s="30"/>
      <c r="F2481" s="30"/>
      <c r="G2481" s="30" t="s">
        <v>8729</v>
      </c>
      <c r="H2481" s="30" t="s">
        <v>10195</v>
      </c>
    </row>
    <row r="2482" spans="1:8">
      <c r="A2482" s="30" t="s">
        <v>13850</v>
      </c>
      <c r="B2482" s="30"/>
      <c r="C2482" s="30" t="s">
        <v>8607</v>
      </c>
      <c r="D2482" s="30" t="s">
        <v>8938</v>
      </c>
      <c r="E2482" s="30"/>
      <c r="F2482" s="30"/>
      <c r="G2482" s="30" t="s">
        <v>8737</v>
      </c>
      <c r="H2482" s="30" t="s">
        <v>8822</v>
      </c>
    </row>
    <row r="2483" spans="1:8">
      <c r="A2483" s="30" t="s">
        <v>13851</v>
      </c>
      <c r="B2483" s="30"/>
      <c r="C2483" s="30" t="s">
        <v>8607</v>
      </c>
      <c r="D2483" s="30"/>
      <c r="E2483" s="30"/>
      <c r="F2483" s="30"/>
      <c r="G2483" s="30" t="s">
        <v>8743</v>
      </c>
      <c r="H2483" s="30" t="s">
        <v>11064</v>
      </c>
    </row>
    <row r="2484" spans="1:8">
      <c r="A2484" s="30" t="s">
        <v>13852</v>
      </c>
      <c r="B2484" s="30"/>
      <c r="C2484" s="30" t="s">
        <v>8607</v>
      </c>
      <c r="D2484" s="30"/>
      <c r="E2484" s="30"/>
      <c r="F2484" s="30"/>
      <c r="G2484" s="30"/>
      <c r="H2484" s="30" t="s">
        <v>13853</v>
      </c>
    </row>
    <row r="2485" spans="1:8">
      <c r="A2485" s="30" t="s">
        <v>13854</v>
      </c>
      <c r="B2485" s="30"/>
      <c r="C2485" s="30" t="s">
        <v>8607</v>
      </c>
      <c r="D2485" s="30"/>
      <c r="E2485" s="30"/>
      <c r="F2485" s="30"/>
      <c r="G2485" s="30" t="s">
        <v>10395</v>
      </c>
      <c r="H2485" s="30" t="s">
        <v>10781</v>
      </c>
    </row>
    <row r="2486" spans="1:8">
      <c r="A2486" s="30" t="s">
        <v>13855</v>
      </c>
      <c r="B2486" s="30"/>
      <c r="C2486" s="30" t="s">
        <v>8626</v>
      </c>
      <c r="D2486" s="30"/>
      <c r="E2486" s="30" t="s">
        <v>10227</v>
      </c>
      <c r="F2486" s="30" t="e">
        <v>#VALUE!</v>
      </c>
      <c r="G2486" s="30"/>
      <c r="H2486" s="30" t="s">
        <v>10228</v>
      </c>
    </row>
    <row r="2487" spans="1:8">
      <c r="A2487" s="30" t="s">
        <v>13856</v>
      </c>
      <c r="B2487" s="30"/>
      <c r="C2487" s="30" t="s">
        <v>8607</v>
      </c>
      <c r="D2487" s="30" t="s">
        <v>10377</v>
      </c>
      <c r="E2487" s="30"/>
      <c r="F2487" s="30"/>
      <c r="G2487" s="30" t="s">
        <v>8737</v>
      </c>
      <c r="H2487" s="30" t="s">
        <v>13857</v>
      </c>
    </row>
    <row r="2488" spans="1:8">
      <c r="A2488" s="30" t="s">
        <v>13858</v>
      </c>
      <c r="B2488" s="30"/>
      <c r="C2488" s="30" t="s">
        <v>8607</v>
      </c>
      <c r="D2488" s="30" t="s">
        <v>12076</v>
      </c>
      <c r="E2488" s="30" t="s">
        <v>8942</v>
      </c>
      <c r="F2488" s="30" t="s">
        <v>8618</v>
      </c>
      <c r="G2488" s="30" t="s">
        <v>8943</v>
      </c>
      <c r="H2488" s="30" t="s">
        <v>8944</v>
      </c>
    </row>
    <row r="2489" spans="1:8">
      <c r="A2489" s="30" t="s">
        <v>13859</v>
      </c>
      <c r="B2489" s="30"/>
      <c r="C2489" s="30" t="s">
        <v>8607</v>
      </c>
      <c r="D2489" s="30" t="s">
        <v>8736</v>
      </c>
      <c r="E2489" s="30"/>
      <c r="F2489" s="30"/>
      <c r="G2489" s="30" t="s">
        <v>8737</v>
      </c>
      <c r="H2489" s="30" t="s">
        <v>8766</v>
      </c>
    </row>
    <row r="2490" spans="1:8">
      <c r="A2490" s="30" t="s">
        <v>13860</v>
      </c>
      <c r="B2490" s="30"/>
      <c r="C2490" s="30" t="s">
        <v>8626</v>
      </c>
      <c r="D2490" s="30" t="s">
        <v>8736</v>
      </c>
      <c r="E2490" s="30"/>
      <c r="F2490" s="30"/>
      <c r="G2490" s="30" t="s">
        <v>8737</v>
      </c>
      <c r="H2490" s="30" t="s">
        <v>8738</v>
      </c>
    </row>
    <row r="2491" spans="1:8">
      <c r="A2491" s="30" t="s">
        <v>13861</v>
      </c>
      <c r="B2491" s="30"/>
      <c r="C2491" s="30" t="s">
        <v>8607</v>
      </c>
      <c r="D2491" s="30" t="s">
        <v>8736</v>
      </c>
      <c r="E2491" s="30"/>
      <c r="F2491" s="30"/>
      <c r="G2491" s="30" t="s">
        <v>8737</v>
      </c>
      <c r="H2491" s="30" t="s">
        <v>11121</v>
      </c>
    </row>
    <row r="2492" spans="1:8">
      <c r="A2492" s="30" t="s">
        <v>13862</v>
      </c>
      <c r="B2492" s="30"/>
      <c r="C2492" s="30" t="s">
        <v>8626</v>
      </c>
      <c r="D2492" s="30" t="s">
        <v>10110</v>
      </c>
      <c r="E2492" s="30" t="s">
        <v>8811</v>
      </c>
      <c r="F2492" s="30" t="e">
        <v>#VALUE!</v>
      </c>
      <c r="G2492" s="30" t="s">
        <v>8754</v>
      </c>
      <c r="H2492" s="30" t="s">
        <v>11765</v>
      </c>
    </row>
    <row r="2493" spans="1:8">
      <c r="A2493" s="30" t="s">
        <v>13863</v>
      </c>
      <c r="B2493" s="30"/>
      <c r="C2493" s="30" t="s">
        <v>8607</v>
      </c>
      <c r="D2493" s="30" t="s">
        <v>8736</v>
      </c>
      <c r="E2493" s="30"/>
      <c r="F2493" s="30"/>
      <c r="G2493" s="30" t="s">
        <v>8737</v>
      </c>
      <c r="H2493" s="30" t="s">
        <v>8800</v>
      </c>
    </row>
    <row r="2494" spans="1:8">
      <c r="A2494" s="30" t="s">
        <v>13864</v>
      </c>
      <c r="B2494" s="30"/>
      <c r="C2494" s="30" t="s">
        <v>8607</v>
      </c>
      <c r="D2494" s="30"/>
      <c r="E2494" s="30"/>
      <c r="F2494" s="30"/>
      <c r="G2494" s="30"/>
      <c r="H2494" s="30" t="s">
        <v>8802</v>
      </c>
    </row>
    <row r="2495" spans="1:8">
      <c r="A2495" s="30" t="s">
        <v>13865</v>
      </c>
      <c r="B2495" s="30"/>
      <c r="C2495" s="30" t="s">
        <v>8626</v>
      </c>
      <c r="D2495" s="30"/>
      <c r="E2495" s="30"/>
      <c r="F2495" s="30"/>
      <c r="G2495" s="30" t="s">
        <v>10220</v>
      </c>
      <c r="H2495" s="30" t="s">
        <v>8842</v>
      </c>
    </row>
    <row r="2496" spans="1:8">
      <c r="A2496" s="30" t="s">
        <v>13866</v>
      </c>
      <c r="B2496" s="30"/>
      <c r="C2496" s="30" t="s">
        <v>8607</v>
      </c>
      <c r="D2496" s="30" t="s">
        <v>9262</v>
      </c>
      <c r="E2496" s="30"/>
      <c r="F2496" s="30"/>
      <c r="G2496" s="30" t="s">
        <v>9002</v>
      </c>
      <c r="H2496" s="30" t="s">
        <v>12221</v>
      </c>
    </row>
    <row r="2497" spans="1:8">
      <c r="A2497" s="30" t="s">
        <v>13867</v>
      </c>
      <c r="B2497" s="30"/>
      <c r="C2497" s="30" t="s">
        <v>8607</v>
      </c>
      <c r="D2497" s="30"/>
      <c r="E2497" s="30"/>
      <c r="F2497" s="30"/>
      <c r="G2497" s="30" t="s">
        <v>10668</v>
      </c>
      <c r="H2497" s="30" t="s">
        <v>12008</v>
      </c>
    </row>
    <row r="2498" spans="1:8">
      <c r="A2498" s="30" t="s">
        <v>13868</v>
      </c>
      <c r="B2498" s="30"/>
      <c r="C2498" s="30" t="s">
        <v>8607</v>
      </c>
      <c r="D2498" s="30"/>
      <c r="E2498" s="30"/>
      <c r="F2498" s="30"/>
      <c r="G2498" s="30" t="s">
        <v>10220</v>
      </c>
      <c r="H2498" s="30" t="s">
        <v>12890</v>
      </c>
    </row>
    <row r="2499" spans="1:8">
      <c r="A2499" s="30" t="s">
        <v>13869</v>
      </c>
      <c r="B2499" s="30"/>
      <c r="C2499" s="30" t="s">
        <v>8607</v>
      </c>
      <c r="D2499" s="30" t="s">
        <v>9262</v>
      </c>
      <c r="E2499" s="30"/>
      <c r="F2499" s="30"/>
      <c r="G2499" s="30" t="s">
        <v>9002</v>
      </c>
      <c r="H2499" s="30" t="s">
        <v>12221</v>
      </c>
    </row>
    <row r="2500" spans="1:8">
      <c r="A2500" s="30" t="s">
        <v>13870</v>
      </c>
      <c r="B2500" s="30"/>
      <c r="C2500" s="30" t="s">
        <v>8607</v>
      </c>
      <c r="D2500" s="30"/>
      <c r="E2500" s="30"/>
      <c r="F2500" s="30"/>
      <c r="G2500" s="30" t="s">
        <v>10668</v>
      </c>
      <c r="H2500" s="30" t="s">
        <v>12008</v>
      </c>
    </row>
    <row r="2501" spans="1:8">
      <c r="A2501" s="30" t="s">
        <v>13871</v>
      </c>
      <c r="B2501" s="30"/>
      <c r="C2501" s="30" t="s">
        <v>8607</v>
      </c>
      <c r="D2501" s="30"/>
      <c r="E2501" s="30"/>
      <c r="F2501" s="30"/>
      <c r="G2501" s="30" t="s">
        <v>10220</v>
      </c>
      <c r="H2501" s="30" t="s">
        <v>12890</v>
      </c>
    </row>
    <row r="2502" spans="1:8">
      <c r="A2502" s="30" t="s">
        <v>13872</v>
      </c>
      <c r="B2502" s="30"/>
      <c r="C2502" s="30" t="s">
        <v>8626</v>
      </c>
      <c r="D2502" s="30" t="s">
        <v>13873</v>
      </c>
      <c r="E2502" s="30" t="s">
        <v>13874</v>
      </c>
      <c r="F2502" s="30" t="e">
        <v>#VALUE!</v>
      </c>
      <c r="G2502" s="30" t="s">
        <v>11109</v>
      </c>
      <c r="H2502" s="30" t="s">
        <v>13875</v>
      </c>
    </row>
    <row r="2503" spans="1:8">
      <c r="A2503" s="30" t="s">
        <v>13876</v>
      </c>
      <c r="B2503" s="30"/>
      <c r="C2503" s="30" t="s">
        <v>8607</v>
      </c>
      <c r="D2503" s="30"/>
      <c r="E2503" s="30"/>
      <c r="F2503" s="30"/>
      <c r="G2503" s="30" t="s">
        <v>13877</v>
      </c>
      <c r="H2503" s="30" t="s">
        <v>13878</v>
      </c>
    </row>
    <row r="2504" spans="1:8">
      <c r="A2504" s="30" t="s">
        <v>13879</v>
      </c>
      <c r="B2504" s="30"/>
      <c r="C2504" s="30" t="s">
        <v>8607</v>
      </c>
      <c r="D2504" s="30" t="s">
        <v>13880</v>
      </c>
      <c r="E2504" s="30" t="s">
        <v>13881</v>
      </c>
      <c r="F2504" s="30" t="s">
        <v>8672</v>
      </c>
      <c r="G2504" s="30" t="s">
        <v>13882</v>
      </c>
      <c r="H2504" s="30" t="s">
        <v>13883</v>
      </c>
    </row>
    <row r="2505" spans="1:8">
      <c r="A2505" s="30" t="s">
        <v>13884</v>
      </c>
      <c r="B2505" s="30"/>
      <c r="C2505" s="30" t="s">
        <v>8626</v>
      </c>
      <c r="D2505" s="30" t="s">
        <v>13885</v>
      </c>
      <c r="E2505" s="30"/>
      <c r="F2505" s="30"/>
      <c r="G2505" s="30" t="s">
        <v>8989</v>
      </c>
      <c r="H2505" s="30" t="s">
        <v>13886</v>
      </c>
    </row>
    <row r="2506" spans="1:8">
      <c r="A2506" s="30" t="s">
        <v>13887</v>
      </c>
      <c r="B2506" s="30"/>
      <c r="C2506" s="30" t="s">
        <v>8607</v>
      </c>
      <c r="D2506" s="30" t="s">
        <v>8849</v>
      </c>
      <c r="E2506" s="30" t="s">
        <v>8850</v>
      </c>
      <c r="F2506" s="30" t="s">
        <v>8672</v>
      </c>
      <c r="G2506" s="30" t="s">
        <v>8851</v>
      </c>
      <c r="H2506" s="30" t="s">
        <v>13888</v>
      </c>
    </row>
    <row r="2507" spans="1:8">
      <c r="A2507" s="30" t="s">
        <v>13889</v>
      </c>
      <c r="B2507" s="30"/>
      <c r="C2507" s="30" t="s">
        <v>8607</v>
      </c>
      <c r="D2507" s="30" t="s">
        <v>9765</v>
      </c>
      <c r="E2507" s="30" t="s">
        <v>9766</v>
      </c>
      <c r="F2507" s="30" t="s">
        <v>8618</v>
      </c>
      <c r="G2507" s="30" t="s">
        <v>9767</v>
      </c>
      <c r="H2507" s="30" t="s">
        <v>12941</v>
      </c>
    </row>
    <row r="2508" spans="1:8">
      <c r="A2508" s="30" t="s">
        <v>13890</v>
      </c>
      <c r="B2508" s="30"/>
      <c r="C2508" s="30" t="s">
        <v>8607</v>
      </c>
      <c r="D2508" s="30" t="s">
        <v>13891</v>
      </c>
      <c r="E2508" s="30"/>
      <c r="F2508" s="30"/>
      <c r="G2508" s="30" t="s">
        <v>13892</v>
      </c>
      <c r="H2508" s="30" t="s">
        <v>13893</v>
      </c>
    </row>
    <row r="2509" spans="1:8">
      <c r="A2509" s="30" t="s">
        <v>13894</v>
      </c>
      <c r="B2509" s="30"/>
      <c r="C2509" s="30" t="s">
        <v>8607</v>
      </c>
      <c r="D2509" s="30"/>
      <c r="E2509" s="30"/>
      <c r="F2509" s="30"/>
      <c r="G2509" s="30" t="s">
        <v>13895</v>
      </c>
      <c r="H2509" s="30" t="s">
        <v>13896</v>
      </c>
    </row>
    <row r="2510" spans="1:8">
      <c r="A2510" s="30" t="s">
        <v>13897</v>
      </c>
      <c r="B2510" s="30"/>
      <c r="C2510" s="30" t="s">
        <v>8607</v>
      </c>
      <c r="D2510" s="30" t="s">
        <v>9357</v>
      </c>
      <c r="E2510" s="30"/>
      <c r="F2510" s="30"/>
      <c r="G2510" s="30" t="s">
        <v>9358</v>
      </c>
      <c r="H2510" s="30" t="s">
        <v>13898</v>
      </c>
    </row>
    <row r="2511" spans="1:8">
      <c r="A2511" s="30" t="s">
        <v>13899</v>
      </c>
      <c r="B2511" s="30"/>
      <c r="C2511" s="30" t="s">
        <v>8607</v>
      </c>
      <c r="D2511" s="30" t="s">
        <v>9799</v>
      </c>
      <c r="E2511" s="30"/>
      <c r="F2511" s="30"/>
      <c r="G2511" s="30" t="s">
        <v>8695</v>
      </c>
      <c r="H2511" s="30" t="s">
        <v>13900</v>
      </c>
    </row>
    <row r="2512" spans="1:8">
      <c r="A2512" s="30" t="s">
        <v>13901</v>
      </c>
      <c r="B2512" s="30"/>
      <c r="C2512" s="30" t="s">
        <v>8607</v>
      </c>
      <c r="D2512" s="30"/>
      <c r="E2512" s="30"/>
      <c r="F2512" s="30"/>
      <c r="G2512" s="30" t="s">
        <v>9363</v>
      </c>
      <c r="H2512" s="30" t="s">
        <v>13902</v>
      </c>
    </row>
    <row r="2513" spans="1:8">
      <c r="A2513" s="30" t="s">
        <v>13903</v>
      </c>
      <c r="B2513" s="30"/>
      <c r="C2513" s="30" t="s">
        <v>8626</v>
      </c>
      <c r="D2513" s="30" t="s">
        <v>13904</v>
      </c>
      <c r="E2513" s="30" t="s">
        <v>10037</v>
      </c>
      <c r="F2513" s="30" t="s">
        <v>8618</v>
      </c>
      <c r="G2513" s="30" t="s">
        <v>13905</v>
      </c>
      <c r="H2513" s="30" t="s">
        <v>13906</v>
      </c>
    </row>
    <row r="2514" spans="1:8">
      <c r="A2514" s="30" t="s">
        <v>13907</v>
      </c>
      <c r="B2514" s="30"/>
      <c r="C2514" s="30" t="s">
        <v>8607</v>
      </c>
      <c r="D2514" s="30" t="s">
        <v>13908</v>
      </c>
      <c r="E2514" s="30" t="s">
        <v>13909</v>
      </c>
      <c r="F2514" s="30" t="e">
        <v>#VALUE!</v>
      </c>
      <c r="G2514" s="30" t="s">
        <v>13910</v>
      </c>
      <c r="H2514" s="30" t="s">
        <v>13911</v>
      </c>
    </row>
    <row r="2515" spans="1:8">
      <c r="A2515" s="30" t="s">
        <v>13912</v>
      </c>
      <c r="B2515" s="30"/>
      <c r="C2515" s="30" t="s">
        <v>8607</v>
      </c>
      <c r="D2515" s="30"/>
      <c r="E2515" s="30"/>
      <c r="F2515" s="30"/>
      <c r="G2515" s="30" t="s">
        <v>8726</v>
      </c>
      <c r="H2515" s="30" t="s">
        <v>8727</v>
      </c>
    </row>
    <row r="2516" spans="1:8">
      <c r="A2516" s="30" t="s">
        <v>13913</v>
      </c>
      <c r="B2516" s="30"/>
      <c r="C2516" s="30" t="s">
        <v>8607</v>
      </c>
      <c r="D2516" s="30" t="s">
        <v>8654</v>
      </c>
      <c r="E2516" s="30"/>
      <c r="F2516" s="30"/>
      <c r="G2516" s="30" t="s">
        <v>8656</v>
      </c>
      <c r="H2516" s="30" t="s">
        <v>11972</v>
      </c>
    </row>
    <row r="2517" spans="1:8">
      <c r="A2517" s="30" t="s">
        <v>13914</v>
      </c>
      <c r="B2517" s="30"/>
      <c r="C2517" s="30" t="s">
        <v>8607</v>
      </c>
      <c r="D2517" s="30"/>
      <c r="E2517" s="30"/>
      <c r="F2517" s="30"/>
      <c r="G2517" s="30" t="s">
        <v>9358</v>
      </c>
      <c r="H2517" s="30" t="s">
        <v>11974</v>
      </c>
    </row>
    <row r="2518" spans="1:8">
      <c r="A2518" s="30" t="s">
        <v>13915</v>
      </c>
      <c r="B2518" s="30"/>
      <c r="C2518" s="30" t="s">
        <v>8626</v>
      </c>
      <c r="D2518" s="30" t="s">
        <v>10316</v>
      </c>
      <c r="E2518" s="30"/>
      <c r="F2518" s="30"/>
      <c r="G2518" s="30" t="s">
        <v>13916</v>
      </c>
      <c r="H2518" s="30" t="s">
        <v>10318</v>
      </c>
    </row>
    <row r="2519" spans="1:8">
      <c r="A2519" s="30" t="s">
        <v>13917</v>
      </c>
      <c r="B2519" s="30"/>
      <c r="C2519" s="30" t="s">
        <v>8607</v>
      </c>
      <c r="D2519" s="30"/>
      <c r="E2519" s="30"/>
      <c r="F2519" s="30"/>
      <c r="G2519" s="30" t="s">
        <v>10320</v>
      </c>
      <c r="H2519" s="30" t="s">
        <v>10321</v>
      </c>
    </row>
    <row r="2520" spans="1:8">
      <c r="A2520" s="30" t="s">
        <v>13918</v>
      </c>
      <c r="B2520" s="30"/>
      <c r="C2520" s="30" t="s">
        <v>8607</v>
      </c>
      <c r="D2520" s="30"/>
      <c r="E2520" s="30"/>
      <c r="F2520" s="30"/>
      <c r="G2520" s="30" t="s">
        <v>8623</v>
      </c>
      <c r="H2520" s="30" t="s">
        <v>13919</v>
      </c>
    </row>
    <row r="2521" spans="1:8">
      <c r="A2521" s="30" t="s">
        <v>13920</v>
      </c>
      <c r="B2521" s="30"/>
      <c r="C2521" s="30" t="s">
        <v>8607</v>
      </c>
      <c r="D2521" s="30" t="s">
        <v>9490</v>
      </c>
      <c r="E2521" s="30" t="s">
        <v>8771</v>
      </c>
      <c r="F2521" s="30" t="s">
        <v>8672</v>
      </c>
      <c r="G2521" s="30" t="s">
        <v>8659</v>
      </c>
      <c r="H2521" s="30" t="s">
        <v>13921</v>
      </c>
    </row>
    <row r="2522" spans="1:8">
      <c r="A2522" s="30" t="s">
        <v>13922</v>
      </c>
      <c r="B2522" s="30"/>
      <c r="C2522" s="30" t="s">
        <v>8607</v>
      </c>
      <c r="D2522" s="30" t="s">
        <v>11373</v>
      </c>
      <c r="E2522" s="30" t="s">
        <v>11374</v>
      </c>
      <c r="F2522" s="30" t="s">
        <v>8672</v>
      </c>
      <c r="G2522" s="30" t="s">
        <v>11375</v>
      </c>
      <c r="H2522" s="30" t="s">
        <v>13923</v>
      </c>
    </row>
    <row r="2523" spans="1:8">
      <c r="A2523" s="30" t="s">
        <v>13924</v>
      </c>
      <c r="B2523" s="30"/>
      <c r="C2523" s="30" t="s">
        <v>8607</v>
      </c>
      <c r="D2523" s="30"/>
      <c r="E2523" s="30"/>
      <c r="F2523" s="30"/>
      <c r="G2523" s="30" t="s">
        <v>9839</v>
      </c>
      <c r="H2523" s="30" t="s">
        <v>11380</v>
      </c>
    </row>
    <row r="2524" spans="1:8">
      <c r="A2524" s="30" t="s">
        <v>13925</v>
      </c>
      <c r="B2524" s="30"/>
      <c r="C2524" s="30" t="s">
        <v>8607</v>
      </c>
      <c r="D2524" s="30" t="s">
        <v>9631</v>
      </c>
      <c r="E2524" s="30" t="s">
        <v>13764</v>
      </c>
      <c r="F2524" s="30" t="s">
        <v>8672</v>
      </c>
      <c r="G2524" s="30" t="s">
        <v>9632</v>
      </c>
      <c r="H2524" s="30" t="s">
        <v>13926</v>
      </c>
    </row>
    <row r="2525" spans="1:8">
      <c r="A2525" s="30" t="s">
        <v>13927</v>
      </c>
      <c r="B2525" s="30"/>
      <c r="C2525" s="30" t="s">
        <v>8626</v>
      </c>
      <c r="D2525" s="30" t="s">
        <v>13928</v>
      </c>
      <c r="E2525" s="30" t="s">
        <v>10037</v>
      </c>
      <c r="F2525" s="30" t="s">
        <v>8618</v>
      </c>
      <c r="G2525" s="30" t="s">
        <v>13929</v>
      </c>
      <c r="H2525" s="30" t="s">
        <v>13930</v>
      </c>
    </row>
    <row r="2526" spans="1:8">
      <c r="A2526" s="30" t="s">
        <v>13931</v>
      </c>
      <c r="B2526" s="30"/>
      <c r="C2526" s="30" t="s">
        <v>8607</v>
      </c>
      <c r="D2526" s="30"/>
      <c r="E2526" s="30"/>
      <c r="F2526" s="30"/>
      <c r="G2526" s="30"/>
      <c r="H2526" s="30" t="s">
        <v>13932</v>
      </c>
    </row>
    <row r="2527" spans="1:8">
      <c r="A2527" s="30" t="s">
        <v>13933</v>
      </c>
      <c r="B2527" s="30"/>
      <c r="C2527" s="30" t="s">
        <v>8626</v>
      </c>
      <c r="D2527" s="30" t="s">
        <v>8736</v>
      </c>
      <c r="E2527" s="30"/>
      <c r="F2527" s="30"/>
      <c r="G2527" s="30" t="s">
        <v>8737</v>
      </c>
      <c r="H2527" s="30" t="s">
        <v>8738</v>
      </c>
    </row>
    <row r="2528" spans="1:8">
      <c r="A2528" s="30" t="s">
        <v>13934</v>
      </c>
      <c r="B2528" s="30"/>
      <c r="C2528" s="30" t="s">
        <v>8607</v>
      </c>
      <c r="D2528" s="30"/>
      <c r="E2528" s="30"/>
      <c r="F2528" s="30"/>
      <c r="G2528" s="30" t="s">
        <v>8891</v>
      </c>
      <c r="H2528" s="30" t="s">
        <v>13935</v>
      </c>
    </row>
    <row r="2529" spans="1:8">
      <c r="A2529" s="30" t="s">
        <v>13936</v>
      </c>
      <c r="B2529" s="30"/>
      <c r="C2529" s="30" t="s">
        <v>8607</v>
      </c>
      <c r="D2529" s="30"/>
      <c r="E2529" s="30"/>
      <c r="F2529" s="30"/>
      <c r="G2529" s="30" t="s">
        <v>8726</v>
      </c>
      <c r="H2529" s="30" t="s">
        <v>8727</v>
      </c>
    </row>
    <row r="2530" spans="1:8">
      <c r="A2530" s="30" t="s">
        <v>13937</v>
      </c>
      <c r="B2530" s="30"/>
      <c r="C2530" s="30" t="s">
        <v>8626</v>
      </c>
      <c r="D2530" s="30"/>
      <c r="E2530" s="30"/>
      <c r="F2530" s="30"/>
      <c r="G2530" s="30" t="s">
        <v>13938</v>
      </c>
      <c r="H2530" s="30" t="s">
        <v>13939</v>
      </c>
    </row>
    <row r="2531" spans="1:8">
      <c r="A2531" s="30" t="s">
        <v>13940</v>
      </c>
      <c r="B2531" s="30"/>
      <c r="C2531" s="30" t="s">
        <v>8607</v>
      </c>
      <c r="D2531" s="30"/>
      <c r="E2531" s="30"/>
      <c r="F2531" s="30"/>
      <c r="G2531" s="30" t="s">
        <v>9739</v>
      </c>
      <c r="H2531" s="30" t="s">
        <v>13941</v>
      </c>
    </row>
    <row r="2532" spans="1:8">
      <c r="A2532" s="30" t="s">
        <v>13942</v>
      </c>
      <c r="B2532" s="30"/>
      <c r="C2532" s="30" t="s">
        <v>8607</v>
      </c>
      <c r="D2532" s="30"/>
      <c r="E2532" s="30"/>
      <c r="F2532" s="30"/>
      <c r="G2532" s="30" t="s">
        <v>9002</v>
      </c>
      <c r="H2532" s="30" t="s">
        <v>13943</v>
      </c>
    </row>
    <row r="2533" spans="1:8">
      <c r="A2533" s="30" t="s">
        <v>13944</v>
      </c>
      <c r="B2533" s="30"/>
      <c r="C2533" s="30" t="s">
        <v>8607</v>
      </c>
      <c r="D2533" s="30" t="s">
        <v>13945</v>
      </c>
      <c r="E2533" s="30" t="s">
        <v>11551</v>
      </c>
      <c r="F2533" s="30" t="e">
        <v>#VALUE!</v>
      </c>
      <c r="G2533" s="30" t="s">
        <v>9595</v>
      </c>
      <c r="H2533" s="30" t="s">
        <v>13946</v>
      </c>
    </row>
    <row r="2534" spans="1:8">
      <c r="A2534" s="30" t="s">
        <v>13947</v>
      </c>
      <c r="B2534" s="30"/>
      <c r="C2534" s="30" t="s">
        <v>8607</v>
      </c>
      <c r="D2534" s="30"/>
      <c r="E2534" s="30" t="s">
        <v>13948</v>
      </c>
      <c r="F2534" s="30" t="s">
        <v>8618</v>
      </c>
      <c r="G2534" s="30" t="s">
        <v>9521</v>
      </c>
      <c r="H2534" s="30" t="s">
        <v>13949</v>
      </c>
    </row>
    <row r="2535" spans="1:8">
      <c r="A2535" s="30" t="s">
        <v>13950</v>
      </c>
      <c r="B2535" s="30"/>
      <c r="C2535" s="30" t="s">
        <v>8607</v>
      </c>
      <c r="D2535" s="30"/>
      <c r="E2535" s="30"/>
      <c r="F2535" s="30"/>
      <c r="G2535" s="30" t="s">
        <v>8743</v>
      </c>
      <c r="H2535" s="30" t="s">
        <v>8744</v>
      </c>
    </row>
    <row r="2536" spans="1:8">
      <c r="A2536" s="30" t="s">
        <v>13951</v>
      </c>
      <c r="B2536" s="30"/>
      <c r="C2536" s="30" t="s">
        <v>8626</v>
      </c>
      <c r="D2536" s="30" t="s">
        <v>8856</v>
      </c>
      <c r="E2536" s="30" t="s">
        <v>13952</v>
      </c>
      <c r="F2536" s="30" t="s">
        <v>8618</v>
      </c>
      <c r="G2536" s="30" t="s">
        <v>8858</v>
      </c>
      <c r="H2536" s="30" t="s">
        <v>13953</v>
      </c>
    </row>
    <row r="2537" spans="1:8">
      <c r="A2537" s="30" t="s">
        <v>13954</v>
      </c>
      <c r="B2537" s="30"/>
      <c r="C2537" s="30" t="s">
        <v>8607</v>
      </c>
      <c r="D2537" s="30"/>
      <c r="E2537" s="30"/>
      <c r="F2537" s="30"/>
      <c r="G2537" s="30" t="s">
        <v>8711</v>
      </c>
      <c r="H2537" s="30" t="s">
        <v>10342</v>
      </c>
    </row>
    <row r="2538" spans="1:8">
      <c r="A2538" s="30" t="s">
        <v>13955</v>
      </c>
      <c r="B2538" s="30"/>
      <c r="C2538" s="30" t="s">
        <v>8607</v>
      </c>
      <c r="D2538" s="30" t="s">
        <v>8938</v>
      </c>
      <c r="E2538" s="30"/>
      <c r="F2538" s="30"/>
      <c r="G2538" s="30" t="s">
        <v>8737</v>
      </c>
      <c r="H2538" s="30" t="s">
        <v>8998</v>
      </c>
    </row>
    <row r="2539" spans="1:8">
      <c r="A2539" s="30" t="s">
        <v>13956</v>
      </c>
      <c r="B2539" s="30"/>
      <c r="C2539" s="30" t="s">
        <v>8607</v>
      </c>
      <c r="D2539" s="30"/>
      <c r="E2539" s="30"/>
      <c r="F2539" s="30"/>
      <c r="G2539" s="30" t="s">
        <v>10220</v>
      </c>
      <c r="H2539" s="30" t="s">
        <v>12223</v>
      </c>
    </row>
    <row r="2540" spans="1:8">
      <c r="A2540" s="30" t="s">
        <v>13957</v>
      </c>
      <c r="B2540" s="30"/>
      <c r="C2540" s="30" t="s">
        <v>8607</v>
      </c>
      <c r="D2540" s="30"/>
      <c r="E2540" s="30"/>
      <c r="F2540" s="30"/>
      <c r="G2540" s="30" t="s">
        <v>13958</v>
      </c>
      <c r="H2540" s="30" t="s">
        <v>13959</v>
      </c>
    </row>
    <row r="2541" spans="1:8">
      <c r="A2541" s="30" t="s">
        <v>13960</v>
      </c>
      <c r="B2541" s="30"/>
      <c r="C2541" s="30" t="s">
        <v>8607</v>
      </c>
      <c r="D2541" s="30"/>
      <c r="E2541" s="30"/>
      <c r="F2541" s="30"/>
      <c r="G2541" s="30" t="s">
        <v>13961</v>
      </c>
      <c r="H2541" s="30" t="s">
        <v>13962</v>
      </c>
    </row>
    <row r="2542" spans="1:8">
      <c r="A2542" s="30" t="s">
        <v>13963</v>
      </c>
      <c r="B2542" s="30"/>
      <c r="C2542" s="30" t="s">
        <v>8607</v>
      </c>
      <c r="D2542" s="30"/>
      <c r="E2542" s="30"/>
      <c r="F2542" s="30"/>
      <c r="G2542" s="30" t="s">
        <v>13391</v>
      </c>
      <c r="H2542" s="30" t="s">
        <v>13964</v>
      </c>
    </row>
    <row r="2543" spans="1:8">
      <c r="A2543" s="30" t="s">
        <v>13965</v>
      </c>
      <c r="B2543" s="30"/>
      <c r="C2543" s="30" t="s">
        <v>8607</v>
      </c>
      <c r="D2543" s="30" t="s">
        <v>9357</v>
      </c>
      <c r="E2543" s="30"/>
      <c r="F2543" s="30"/>
      <c r="G2543" s="30" t="s">
        <v>9358</v>
      </c>
      <c r="H2543" s="30" t="s">
        <v>10027</v>
      </c>
    </row>
    <row r="2544" spans="1:8">
      <c r="A2544" s="30" t="s">
        <v>13966</v>
      </c>
      <c r="B2544" s="30"/>
      <c r="C2544" s="30" t="s">
        <v>8607</v>
      </c>
      <c r="D2544" s="30" t="s">
        <v>9799</v>
      </c>
      <c r="E2544" s="30"/>
      <c r="F2544" s="30"/>
      <c r="G2544" s="30" t="s">
        <v>8695</v>
      </c>
      <c r="H2544" s="30" t="s">
        <v>13967</v>
      </c>
    </row>
    <row r="2545" spans="1:8">
      <c r="A2545" s="30" t="s">
        <v>13968</v>
      </c>
      <c r="B2545" s="30"/>
      <c r="C2545" s="30" t="s">
        <v>8607</v>
      </c>
      <c r="D2545" s="30"/>
      <c r="E2545" s="30"/>
      <c r="F2545" s="30"/>
      <c r="G2545" s="30" t="s">
        <v>13615</v>
      </c>
      <c r="H2545" s="30" t="s">
        <v>13616</v>
      </c>
    </row>
    <row r="2546" spans="1:8">
      <c r="A2546" s="30" t="s">
        <v>13969</v>
      </c>
      <c r="B2546" s="30"/>
      <c r="C2546" s="30" t="s">
        <v>8626</v>
      </c>
      <c r="D2546" s="30" t="s">
        <v>13970</v>
      </c>
      <c r="E2546" s="30" t="s">
        <v>13909</v>
      </c>
      <c r="F2546" s="30" t="e">
        <v>#VALUE!</v>
      </c>
      <c r="G2546" s="30" t="s">
        <v>13910</v>
      </c>
      <c r="H2546" s="30" t="s">
        <v>13971</v>
      </c>
    </row>
    <row r="2547" spans="1:8">
      <c r="A2547" s="30" t="s">
        <v>13972</v>
      </c>
      <c r="B2547" s="30"/>
      <c r="C2547" s="30" t="s">
        <v>8607</v>
      </c>
      <c r="D2547" s="30" t="s">
        <v>13973</v>
      </c>
      <c r="E2547" s="30" t="s">
        <v>9079</v>
      </c>
      <c r="F2547" s="30" t="s">
        <v>8672</v>
      </c>
      <c r="G2547" s="30" t="s">
        <v>9080</v>
      </c>
      <c r="H2547" s="30" t="s">
        <v>9081</v>
      </c>
    </row>
    <row r="2548" spans="1:8">
      <c r="A2548" s="30" t="s">
        <v>13974</v>
      </c>
      <c r="B2548" s="30"/>
      <c r="C2548" s="30" t="s">
        <v>8607</v>
      </c>
      <c r="D2548" s="30" t="s">
        <v>13975</v>
      </c>
      <c r="E2548" s="30" t="s">
        <v>13976</v>
      </c>
      <c r="F2548" s="30" t="s">
        <v>8618</v>
      </c>
      <c r="G2548" s="30" t="s">
        <v>10234</v>
      </c>
      <c r="H2548" s="30" t="s">
        <v>13977</v>
      </c>
    </row>
    <row r="2549" spans="1:8">
      <c r="A2549" s="30" t="s">
        <v>13978</v>
      </c>
      <c r="B2549" s="30"/>
      <c r="C2549" s="30" t="s">
        <v>8607</v>
      </c>
      <c r="D2549" s="30" t="s">
        <v>11130</v>
      </c>
      <c r="E2549" s="30" t="s">
        <v>11131</v>
      </c>
      <c r="F2549" s="30" t="s">
        <v>8672</v>
      </c>
      <c r="G2549" s="30" t="s">
        <v>9002</v>
      </c>
      <c r="H2549" s="30" t="s">
        <v>13979</v>
      </c>
    </row>
    <row r="2550" spans="1:8">
      <c r="A2550" s="30" t="s">
        <v>13980</v>
      </c>
      <c r="B2550" s="30"/>
      <c r="C2550" s="30" t="s">
        <v>8607</v>
      </c>
      <c r="D2550" s="30"/>
      <c r="E2550" s="30"/>
      <c r="F2550" s="30"/>
      <c r="G2550" s="30" t="s">
        <v>9259</v>
      </c>
      <c r="H2550" s="30" t="s">
        <v>13981</v>
      </c>
    </row>
    <row r="2551" spans="1:8">
      <c r="A2551" s="30" t="s">
        <v>13982</v>
      </c>
      <c r="B2551" s="30"/>
      <c r="C2551" s="30" t="s">
        <v>8626</v>
      </c>
      <c r="D2551" s="30"/>
      <c r="E2551" s="30"/>
      <c r="F2551" s="30"/>
      <c r="G2551" s="30" t="s">
        <v>8774</v>
      </c>
      <c r="H2551" s="30" t="s">
        <v>13983</v>
      </c>
    </row>
    <row r="2552" spans="1:8">
      <c r="A2552" s="30" t="s">
        <v>13984</v>
      </c>
      <c r="B2552" s="30"/>
      <c r="C2552" s="30" t="s">
        <v>8607</v>
      </c>
      <c r="D2552" s="30" t="s">
        <v>9819</v>
      </c>
      <c r="E2552" s="30" t="s">
        <v>13985</v>
      </c>
      <c r="F2552" s="30" t="e">
        <v>#VALUE!</v>
      </c>
      <c r="G2552" s="30" t="s">
        <v>9821</v>
      </c>
      <c r="H2552" s="30" t="s">
        <v>12886</v>
      </c>
    </row>
    <row r="2553" spans="1:8">
      <c r="A2553" s="30" t="s">
        <v>13986</v>
      </c>
      <c r="B2553" s="30"/>
      <c r="C2553" s="30" t="s">
        <v>8607</v>
      </c>
      <c r="D2553" s="30"/>
      <c r="E2553" s="30"/>
      <c r="F2553" s="30"/>
      <c r="G2553" s="30" t="s">
        <v>13987</v>
      </c>
      <c r="H2553" s="30" t="s">
        <v>13988</v>
      </c>
    </row>
    <row r="2554" spans="1:8">
      <c r="A2554" s="30" t="s">
        <v>13989</v>
      </c>
      <c r="B2554" s="30"/>
      <c r="C2554" s="30" t="s">
        <v>8607</v>
      </c>
      <c r="D2554" s="30" t="s">
        <v>11525</v>
      </c>
      <c r="E2554" s="30" t="s">
        <v>13990</v>
      </c>
      <c r="F2554" s="30" t="s">
        <v>8672</v>
      </c>
      <c r="G2554" s="30" t="s">
        <v>11527</v>
      </c>
      <c r="H2554" s="30" t="s">
        <v>13991</v>
      </c>
    </row>
    <row r="2555" spans="1:8">
      <c r="A2555" s="30" t="s">
        <v>13992</v>
      </c>
      <c r="B2555" s="30"/>
      <c r="C2555" s="30" t="s">
        <v>8607</v>
      </c>
      <c r="D2555" s="30"/>
      <c r="E2555" s="30"/>
      <c r="F2555" s="30"/>
      <c r="G2555" s="30" t="s">
        <v>13993</v>
      </c>
      <c r="H2555" s="30" t="s">
        <v>13994</v>
      </c>
    </row>
    <row r="2556" spans="1:8">
      <c r="A2556" s="30" t="s">
        <v>13995</v>
      </c>
      <c r="B2556" s="30"/>
      <c r="C2556" s="30" t="s">
        <v>8626</v>
      </c>
      <c r="D2556" s="30" t="s">
        <v>13996</v>
      </c>
      <c r="E2556" s="30" t="s">
        <v>13997</v>
      </c>
      <c r="F2556" s="30" t="s">
        <v>8672</v>
      </c>
      <c r="G2556" s="30" t="s">
        <v>13998</v>
      </c>
      <c r="H2556" s="30" t="s">
        <v>13999</v>
      </c>
    </row>
    <row r="2557" spans="1:8">
      <c r="A2557" s="30" t="s">
        <v>14000</v>
      </c>
      <c r="B2557" s="30"/>
      <c r="C2557" s="30" t="s">
        <v>8607</v>
      </c>
      <c r="D2557" s="30" t="s">
        <v>14001</v>
      </c>
      <c r="E2557" s="30" t="s">
        <v>14002</v>
      </c>
      <c r="F2557" s="30" t="s">
        <v>8672</v>
      </c>
      <c r="G2557" s="30" t="s">
        <v>9002</v>
      </c>
      <c r="H2557" s="30" t="s">
        <v>14003</v>
      </c>
    </row>
    <row r="2558" spans="1:8">
      <c r="A2558" s="30" t="s">
        <v>14004</v>
      </c>
      <c r="B2558" s="30"/>
      <c r="C2558" s="30" t="s">
        <v>8607</v>
      </c>
      <c r="D2558" s="30"/>
      <c r="E2558" s="30"/>
      <c r="F2558" s="30"/>
      <c r="G2558" s="30"/>
      <c r="H2558" s="30" t="s">
        <v>14005</v>
      </c>
    </row>
    <row r="2559" spans="1:8">
      <c r="A2559" s="30" t="s">
        <v>14006</v>
      </c>
      <c r="B2559" s="30"/>
      <c r="C2559" s="30" t="s">
        <v>8607</v>
      </c>
      <c r="D2559" s="30" t="s">
        <v>14007</v>
      </c>
      <c r="E2559" s="30" t="s">
        <v>10262</v>
      </c>
      <c r="F2559" s="30" t="s">
        <v>8672</v>
      </c>
      <c r="G2559" s="30" t="s">
        <v>11641</v>
      </c>
      <c r="H2559" s="30" t="s">
        <v>14008</v>
      </c>
    </row>
    <row r="2560" spans="1:8">
      <c r="A2560" s="30" t="s">
        <v>14009</v>
      </c>
      <c r="B2560" s="30"/>
      <c r="C2560" s="30" t="s">
        <v>8607</v>
      </c>
      <c r="D2560" s="30" t="s">
        <v>13051</v>
      </c>
      <c r="E2560" s="30" t="s">
        <v>8655</v>
      </c>
      <c r="F2560" s="30" t="s">
        <v>8618</v>
      </c>
      <c r="G2560" s="30" t="s">
        <v>8656</v>
      </c>
      <c r="H2560" s="30" t="s">
        <v>14010</v>
      </c>
    </row>
    <row r="2561" spans="1:8">
      <c r="A2561" s="30" t="s">
        <v>14011</v>
      </c>
      <c r="B2561" s="30"/>
      <c r="C2561" s="30"/>
      <c r="D2561" s="32" t="s">
        <v>14012</v>
      </c>
      <c r="E2561" s="30" t="s">
        <v>14013</v>
      </c>
      <c r="F2561" s="30" t="s">
        <v>8618</v>
      </c>
      <c r="G2561" s="30"/>
      <c r="H2561" s="30" t="s">
        <v>14014</v>
      </c>
    </row>
    <row r="2562" spans="1:8">
      <c r="A2562" s="30" t="s">
        <v>14015</v>
      </c>
      <c r="B2562" s="30"/>
      <c r="C2562" s="30" t="s">
        <v>8607</v>
      </c>
      <c r="D2562" s="30"/>
      <c r="E2562" s="30"/>
      <c r="F2562" s="30"/>
      <c r="G2562" s="30"/>
      <c r="H2562" s="30" t="s">
        <v>14016</v>
      </c>
    </row>
    <row r="2563" spans="1:8">
      <c r="A2563" s="30" t="s">
        <v>14017</v>
      </c>
      <c r="B2563" s="30"/>
      <c r="C2563" s="30" t="s">
        <v>8607</v>
      </c>
      <c r="D2563" s="30" t="s">
        <v>14018</v>
      </c>
      <c r="E2563" s="30" t="s">
        <v>14019</v>
      </c>
      <c r="F2563" s="30" t="s">
        <v>8672</v>
      </c>
      <c r="G2563" s="30" t="s">
        <v>9002</v>
      </c>
      <c r="H2563" s="30" t="s">
        <v>14020</v>
      </c>
    </row>
    <row r="2564" spans="1:8">
      <c r="A2564" s="30" t="s">
        <v>14021</v>
      </c>
      <c r="B2564" s="30"/>
      <c r="C2564" s="30" t="s">
        <v>8607</v>
      </c>
      <c r="D2564" s="30" t="s">
        <v>14022</v>
      </c>
      <c r="E2564" s="30"/>
      <c r="F2564" s="30"/>
      <c r="G2564" s="30" t="s">
        <v>14023</v>
      </c>
      <c r="H2564" s="30" t="s">
        <v>14024</v>
      </c>
    </row>
    <row r="2565" spans="1:8">
      <c r="A2565" s="30" t="s">
        <v>14025</v>
      </c>
      <c r="B2565" s="30"/>
      <c r="C2565" s="30" t="s">
        <v>8607</v>
      </c>
      <c r="D2565" s="30" t="s">
        <v>9533</v>
      </c>
      <c r="E2565" s="30" t="s">
        <v>9534</v>
      </c>
      <c r="F2565" s="30" t="s">
        <v>8618</v>
      </c>
      <c r="G2565" s="30" t="s">
        <v>9535</v>
      </c>
      <c r="H2565" s="30" t="s">
        <v>13005</v>
      </c>
    </row>
    <row r="2566" spans="1:8">
      <c r="A2566" s="30" t="s">
        <v>14026</v>
      </c>
      <c r="B2566" s="30"/>
      <c r="C2566" s="30" t="s">
        <v>8607</v>
      </c>
      <c r="D2566" s="30"/>
      <c r="E2566" s="30"/>
      <c r="F2566" s="30"/>
      <c r="G2566" s="30" t="s">
        <v>14027</v>
      </c>
      <c r="H2566" s="30" t="s">
        <v>14028</v>
      </c>
    </row>
    <row r="2567" spans="1:8">
      <c r="A2567" s="30" t="s">
        <v>14029</v>
      </c>
      <c r="B2567" s="30"/>
      <c r="C2567" s="30" t="s">
        <v>8607</v>
      </c>
      <c r="D2567" s="30" t="s">
        <v>14030</v>
      </c>
      <c r="E2567" s="30" t="s">
        <v>14031</v>
      </c>
      <c r="F2567" s="30" t="e">
        <v>#VALUE!</v>
      </c>
      <c r="G2567" s="30" t="s">
        <v>14032</v>
      </c>
      <c r="H2567" s="30" t="s">
        <v>14033</v>
      </c>
    </row>
    <row r="2568" spans="1:8">
      <c r="A2568" s="30" t="s">
        <v>14034</v>
      </c>
      <c r="B2568" s="30"/>
      <c r="C2568" s="30" t="s">
        <v>8607</v>
      </c>
      <c r="D2568" s="30"/>
      <c r="E2568" s="30"/>
      <c r="F2568" s="30"/>
      <c r="G2568" s="30" t="s">
        <v>14035</v>
      </c>
      <c r="H2568" s="30" t="s">
        <v>14036</v>
      </c>
    </row>
    <row r="2569" spans="1:8">
      <c r="A2569" s="30" t="s">
        <v>14037</v>
      </c>
      <c r="B2569" s="30"/>
      <c r="C2569" s="30" t="s">
        <v>8607</v>
      </c>
      <c r="D2569" s="30"/>
      <c r="E2569" s="30"/>
      <c r="F2569" s="30"/>
      <c r="G2569" s="30" t="s">
        <v>14035</v>
      </c>
      <c r="H2569" s="30" t="s">
        <v>14038</v>
      </c>
    </row>
    <row r="2570" spans="1:8">
      <c r="A2570" s="30" t="s">
        <v>14039</v>
      </c>
      <c r="B2570" s="30"/>
      <c r="C2570" s="30" t="s">
        <v>8607</v>
      </c>
      <c r="D2570" s="30"/>
      <c r="E2570" s="30"/>
      <c r="F2570" s="30"/>
      <c r="G2570" s="30"/>
      <c r="H2570" s="30" t="s">
        <v>14040</v>
      </c>
    </row>
    <row r="2571" spans="1:8">
      <c r="A2571" s="30" t="s">
        <v>14041</v>
      </c>
      <c r="B2571" s="30"/>
      <c r="C2571" s="30" t="s">
        <v>8626</v>
      </c>
      <c r="D2571" s="30" t="s">
        <v>14042</v>
      </c>
      <c r="E2571" s="30" t="s">
        <v>9554</v>
      </c>
      <c r="F2571" s="30" t="s">
        <v>8672</v>
      </c>
      <c r="G2571" s="30" t="s">
        <v>9555</v>
      </c>
      <c r="H2571" s="30" t="s">
        <v>14043</v>
      </c>
    </row>
    <row r="2572" spans="1:8">
      <c r="A2572" s="30" t="s">
        <v>14044</v>
      </c>
      <c r="B2572" s="30"/>
      <c r="C2572" s="30" t="s">
        <v>8607</v>
      </c>
      <c r="D2572" s="30" t="s">
        <v>9533</v>
      </c>
      <c r="E2572" s="30" t="s">
        <v>9534</v>
      </c>
      <c r="F2572" s="30" t="s">
        <v>8618</v>
      </c>
      <c r="G2572" s="30" t="s">
        <v>9535</v>
      </c>
      <c r="H2572" s="30" t="s">
        <v>13005</v>
      </c>
    </row>
    <row r="2573" spans="1:8">
      <c r="A2573" s="30" t="s">
        <v>14045</v>
      </c>
      <c r="B2573" s="30"/>
      <c r="C2573" s="30" t="s">
        <v>8607</v>
      </c>
      <c r="D2573" s="30"/>
      <c r="E2573" s="30"/>
      <c r="F2573" s="30"/>
      <c r="G2573" s="30" t="s">
        <v>14027</v>
      </c>
      <c r="H2573" s="30" t="s">
        <v>14028</v>
      </c>
    </row>
    <row r="2574" spans="1:8">
      <c r="A2574" s="30" t="s">
        <v>14046</v>
      </c>
      <c r="B2574" s="30"/>
      <c r="C2574" s="30" t="s">
        <v>8607</v>
      </c>
      <c r="D2574" s="30" t="s">
        <v>14030</v>
      </c>
      <c r="E2574" s="30" t="s">
        <v>14031</v>
      </c>
      <c r="F2574" s="30" t="e">
        <v>#VALUE!</v>
      </c>
      <c r="G2574" s="30" t="s">
        <v>14032</v>
      </c>
      <c r="H2574" s="30" t="s">
        <v>14033</v>
      </c>
    </row>
    <row r="2575" spans="1:8">
      <c r="A2575" s="30" t="s">
        <v>14047</v>
      </c>
      <c r="B2575" s="30"/>
      <c r="C2575" s="30" t="s">
        <v>8607</v>
      </c>
      <c r="D2575" s="30"/>
      <c r="E2575" s="30"/>
      <c r="F2575" s="30"/>
      <c r="G2575" s="30" t="s">
        <v>14035</v>
      </c>
      <c r="H2575" s="30" t="s">
        <v>14036</v>
      </c>
    </row>
    <row r="2576" spans="1:8">
      <c r="A2576" s="30" t="s">
        <v>14048</v>
      </c>
      <c r="B2576" s="30"/>
      <c r="C2576" s="30" t="s">
        <v>8607</v>
      </c>
      <c r="D2576" s="30"/>
      <c r="E2576" s="30"/>
      <c r="F2576" s="30"/>
      <c r="G2576" s="30" t="s">
        <v>14035</v>
      </c>
      <c r="H2576" s="30" t="s">
        <v>14038</v>
      </c>
    </row>
    <row r="2577" spans="1:8">
      <c r="A2577" s="30" t="s">
        <v>14049</v>
      </c>
      <c r="B2577" s="30"/>
      <c r="C2577" s="30" t="s">
        <v>8607</v>
      </c>
      <c r="D2577" s="30"/>
      <c r="E2577" s="30"/>
      <c r="F2577" s="30"/>
      <c r="G2577" s="30"/>
      <c r="H2577" s="30" t="s">
        <v>14040</v>
      </c>
    </row>
    <row r="2578" spans="1:8">
      <c r="A2578" s="30" t="s">
        <v>14050</v>
      </c>
      <c r="B2578" s="30"/>
      <c r="C2578" s="30" t="s">
        <v>8607</v>
      </c>
      <c r="D2578" s="30" t="s">
        <v>9553</v>
      </c>
      <c r="E2578" s="30" t="s">
        <v>9554</v>
      </c>
      <c r="F2578" s="30" t="s">
        <v>8672</v>
      </c>
      <c r="G2578" s="30" t="s">
        <v>9555</v>
      </c>
      <c r="H2578" s="30" t="s">
        <v>12995</v>
      </c>
    </row>
    <row r="2579" spans="1:8">
      <c r="A2579" s="30" t="s">
        <v>14051</v>
      </c>
      <c r="B2579" s="30"/>
      <c r="C2579" s="30" t="s">
        <v>8607</v>
      </c>
      <c r="D2579" s="30"/>
      <c r="E2579" s="30"/>
      <c r="F2579" s="30"/>
      <c r="G2579" s="30"/>
      <c r="H2579" s="30" t="s">
        <v>12241</v>
      </c>
    </row>
    <row r="2580" spans="1:8">
      <c r="A2580" s="30" t="s">
        <v>14052</v>
      </c>
      <c r="B2580" s="30"/>
      <c r="C2580" s="30" t="s">
        <v>8607</v>
      </c>
      <c r="D2580" s="30" t="s">
        <v>14053</v>
      </c>
      <c r="E2580" s="30" t="s">
        <v>9539</v>
      </c>
      <c r="F2580" s="30" t="s">
        <v>8672</v>
      </c>
      <c r="G2580" s="30" t="s">
        <v>9384</v>
      </c>
      <c r="H2580" s="30" t="s">
        <v>12884</v>
      </c>
    </row>
    <row r="2581" spans="1:8">
      <c r="A2581" s="30" t="s">
        <v>14054</v>
      </c>
      <c r="B2581" s="30"/>
      <c r="C2581" s="30" t="s">
        <v>8607</v>
      </c>
      <c r="D2581" s="30"/>
      <c r="E2581" s="30"/>
      <c r="F2581" s="30"/>
      <c r="G2581" s="30" t="s">
        <v>14055</v>
      </c>
      <c r="H2581" s="30" t="s">
        <v>14056</v>
      </c>
    </row>
    <row r="2582" spans="1:8">
      <c r="A2582" s="30" t="s">
        <v>14057</v>
      </c>
      <c r="B2582" s="30"/>
      <c r="C2582" s="30" t="s">
        <v>8607</v>
      </c>
      <c r="D2582" s="30" t="s">
        <v>14058</v>
      </c>
      <c r="E2582" s="30" t="s">
        <v>14059</v>
      </c>
      <c r="F2582" s="30" t="s">
        <v>8672</v>
      </c>
      <c r="G2582" s="30" t="s">
        <v>9378</v>
      </c>
      <c r="H2582" s="30" t="s">
        <v>14060</v>
      </c>
    </row>
    <row r="2583" spans="1:8">
      <c r="A2583" s="30" t="s">
        <v>14061</v>
      </c>
      <c r="B2583" s="30"/>
      <c r="C2583" s="30" t="s">
        <v>8626</v>
      </c>
      <c r="D2583" s="30"/>
      <c r="E2583" s="30" t="s">
        <v>13800</v>
      </c>
      <c r="F2583" s="30" t="e">
        <v>#VALUE!</v>
      </c>
      <c r="G2583" s="30" t="s">
        <v>10645</v>
      </c>
      <c r="H2583" s="30" t="s">
        <v>14062</v>
      </c>
    </row>
    <row r="2584" spans="1:8">
      <c r="A2584" s="30" t="s">
        <v>14063</v>
      </c>
      <c r="B2584" s="30"/>
      <c r="C2584" s="30" t="s">
        <v>8626</v>
      </c>
      <c r="D2584" s="30" t="s">
        <v>14064</v>
      </c>
      <c r="E2584" s="30" t="s">
        <v>14065</v>
      </c>
      <c r="F2584" s="30" t="e">
        <v>#VALUE!</v>
      </c>
      <c r="G2584" s="30" t="s">
        <v>14066</v>
      </c>
      <c r="H2584" s="30" t="s">
        <v>14067</v>
      </c>
    </row>
    <row r="2585" spans="1:8">
      <c r="A2585" s="30" t="s">
        <v>14068</v>
      </c>
      <c r="B2585" s="30"/>
      <c r="C2585" s="30" t="s">
        <v>8607</v>
      </c>
      <c r="D2585" s="30"/>
      <c r="E2585" s="30"/>
      <c r="F2585" s="30"/>
      <c r="G2585" s="30" t="s">
        <v>14069</v>
      </c>
      <c r="H2585" s="30" t="s">
        <v>14070</v>
      </c>
    </row>
    <row r="2586" spans="1:8">
      <c r="A2586" s="30" t="s">
        <v>14071</v>
      </c>
      <c r="B2586" s="30"/>
      <c r="C2586" s="30" t="s">
        <v>8607</v>
      </c>
      <c r="D2586" s="30" t="s">
        <v>14072</v>
      </c>
      <c r="E2586" s="30"/>
      <c r="F2586" s="30"/>
      <c r="G2586" s="30" t="s">
        <v>9175</v>
      </c>
      <c r="H2586" s="30" t="s">
        <v>14073</v>
      </c>
    </row>
    <row r="2587" spans="1:8">
      <c r="A2587" s="30" t="s">
        <v>14074</v>
      </c>
      <c r="B2587" s="30"/>
      <c r="C2587" s="30" t="s">
        <v>8607</v>
      </c>
      <c r="D2587" s="30"/>
      <c r="E2587" s="30"/>
      <c r="F2587" s="30"/>
      <c r="G2587" s="30"/>
      <c r="H2587" s="30" t="s">
        <v>13020</v>
      </c>
    </row>
    <row r="2588" spans="1:8">
      <c r="A2588" s="30" t="s">
        <v>14075</v>
      </c>
      <c r="B2588" s="30"/>
      <c r="C2588" s="30" t="s">
        <v>8607</v>
      </c>
      <c r="D2588" s="30" t="s">
        <v>8938</v>
      </c>
      <c r="E2588" s="30"/>
      <c r="F2588" s="30"/>
      <c r="G2588" s="30" t="s">
        <v>8737</v>
      </c>
      <c r="H2588" s="30" t="s">
        <v>14076</v>
      </c>
    </row>
    <row r="2589" spans="1:8">
      <c r="A2589" s="30" t="s">
        <v>14077</v>
      </c>
      <c r="B2589" s="30"/>
      <c r="C2589" s="30" t="s">
        <v>8607</v>
      </c>
      <c r="D2589" s="30" t="s">
        <v>13603</v>
      </c>
      <c r="E2589" s="30" t="s">
        <v>13604</v>
      </c>
      <c r="F2589" s="30" t="s">
        <v>8618</v>
      </c>
      <c r="G2589" s="30" t="s">
        <v>9606</v>
      </c>
      <c r="H2589" s="30" t="s">
        <v>14078</v>
      </c>
    </row>
    <row r="2590" spans="1:8">
      <c r="A2590" s="30" t="s">
        <v>14079</v>
      </c>
      <c r="B2590" s="30"/>
      <c r="C2590" s="30" t="s">
        <v>8607</v>
      </c>
      <c r="D2590" s="30"/>
      <c r="E2590" s="30"/>
      <c r="F2590" s="30"/>
      <c r="G2590" s="30" t="s">
        <v>10395</v>
      </c>
      <c r="H2590" s="30" t="s">
        <v>14080</v>
      </c>
    </row>
    <row r="2591" spans="1:8">
      <c r="A2591" s="30" t="s">
        <v>14081</v>
      </c>
      <c r="B2591" s="30"/>
      <c r="C2591" s="30" t="s">
        <v>8607</v>
      </c>
      <c r="D2591" s="30" t="s">
        <v>9090</v>
      </c>
      <c r="E2591" s="30" t="s">
        <v>9051</v>
      </c>
      <c r="F2591" s="30" t="s">
        <v>8672</v>
      </c>
      <c r="G2591" s="30" t="s">
        <v>9052</v>
      </c>
      <c r="H2591" s="30" t="s">
        <v>14082</v>
      </c>
    </row>
    <row r="2592" spans="1:8">
      <c r="A2592" s="30" t="s">
        <v>14083</v>
      </c>
      <c r="B2592" s="30"/>
      <c r="C2592" s="30" t="s">
        <v>8607</v>
      </c>
      <c r="D2592" s="30"/>
      <c r="E2592" s="30"/>
      <c r="F2592" s="30"/>
      <c r="G2592" s="30" t="s">
        <v>14084</v>
      </c>
      <c r="H2592" s="30" t="s">
        <v>14085</v>
      </c>
    </row>
    <row r="2593" spans="1:8">
      <c r="A2593" s="30" t="s">
        <v>14086</v>
      </c>
      <c r="B2593" s="30"/>
      <c r="C2593" s="30" t="s">
        <v>8607</v>
      </c>
      <c r="D2593" s="30" t="s">
        <v>9546</v>
      </c>
      <c r="E2593" s="30" t="s">
        <v>9547</v>
      </c>
      <c r="F2593" s="30" t="s">
        <v>8672</v>
      </c>
      <c r="G2593" s="30" t="s">
        <v>9366</v>
      </c>
      <c r="H2593" s="30" t="s">
        <v>14087</v>
      </c>
    </row>
    <row r="2594" spans="1:8">
      <c r="A2594" s="30" t="s">
        <v>14088</v>
      </c>
      <c r="B2594" s="30"/>
      <c r="C2594" s="30" t="s">
        <v>8607</v>
      </c>
      <c r="D2594" s="30" t="s">
        <v>12268</v>
      </c>
      <c r="E2594" s="30" t="s">
        <v>12269</v>
      </c>
      <c r="F2594" s="30" t="s">
        <v>8672</v>
      </c>
      <c r="G2594" s="30" t="s">
        <v>12270</v>
      </c>
      <c r="H2594" s="30" t="s">
        <v>14089</v>
      </c>
    </row>
    <row r="2595" spans="1:8">
      <c r="A2595" s="30" t="s">
        <v>14090</v>
      </c>
      <c r="B2595" s="30"/>
      <c r="C2595" s="30" t="s">
        <v>8607</v>
      </c>
      <c r="D2595" s="30" t="s">
        <v>13802</v>
      </c>
      <c r="E2595" s="30" t="s">
        <v>14091</v>
      </c>
      <c r="F2595" s="30" t="e">
        <v>#VALUE!</v>
      </c>
      <c r="G2595" s="30" t="s">
        <v>13804</v>
      </c>
      <c r="H2595" s="30" t="s">
        <v>14092</v>
      </c>
    </row>
    <row r="2596" spans="1:8">
      <c r="A2596" s="30" t="s">
        <v>14093</v>
      </c>
      <c r="B2596" s="30"/>
      <c r="C2596" s="30" t="s">
        <v>8607</v>
      </c>
      <c r="D2596" s="30" t="s">
        <v>14094</v>
      </c>
      <c r="E2596" s="30" t="s">
        <v>14095</v>
      </c>
      <c r="F2596" s="30" t="s">
        <v>8672</v>
      </c>
      <c r="G2596" s="30" t="s">
        <v>9014</v>
      </c>
      <c r="H2596" s="30" t="s">
        <v>14096</v>
      </c>
    </row>
    <row r="2597" spans="1:8">
      <c r="A2597" s="30" t="s">
        <v>14097</v>
      </c>
      <c r="B2597" s="30"/>
      <c r="C2597" s="30" t="s">
        <v>8607</v>
      </c>
      <c r="D2597" s="30" t="s">
        <v>14098</v>
      </c>
      <c r="E2597" s="30" t="s">
        <v>14099</v>
      </c>
      <c r="F2597" s="30" t="s">
        <v>8618</v>
      </c>
      <c r="G2597" s="30" t="s">
        <v>10234</v>
      </c>
      <c r="H2597" s="30" t="s">
        <v>13977</v>
      </c>
    </row>
    <row r="2598" spans="1:8">
      <c r="A2598" s="30" t="s">
        <v>14100</v>
      </c>
      <c r="B2598" s="30"/>
      <c r="C2598" s="30" t="s">
        <v>8607</v>
      </c>
      <c r="D2598" s="30" t="s">
        <v>14101</v>
      </c>
      <c r="E2598" s="30" t="s">
        <v>9258</v>
      </c>
      <c r="F2598" s="30" t="s">
        <v>8618</v>
      </c>
      <c r="G2598" s="30" t="s">
        <v>10234</v>
      </c>
      <c r="H2598" s="30" t="s">
        <v>13977</v>
      </c>
    </row>
    <row r="2599" spans="1:8">
      <c r="A2599" s="30" t="s">
        <v>14102</v>
      </c>
      <c r="B2599" s="30"/>
      <c r="C2599" s="30" t="s">
        <v>8607</v>
      </c>
      <c r="D2599" s="30"/>
      <c r="E2599" s="30"/>
      <c r="F2599" s="30"/>
      <c r="G2599" s="30" t="s">
        <v>14103</v>
      </c>
      <c r="H2599" s="30" t="s">
        <v>14104</v>
      </c>
    </row>
    <row r="2600" spans="1:8">
      <c r="A2600" s="30" t="s">
        <v>14105</v>
      </c>
      <c r="B2600" s="30"/>
      <c r="C2600" s="30" t="s">
        <v>8607</v>
      </c>
      <c r="D2600" s="30"/>
      <c r="E2600" s="30"/>
      <c r="F2600" s="30"/>
      <c r="G2600" s="30" t="s">
        <v>14035</v>
      </c>
      <c r="H2600" s="30" t="s">
        <v>14036</v>
      </c>
    </row>
    <row r="2601" spans="1:8">
      <c r="A2601" s="30" t="s">
        <v>14106</v>
      </c>
      <c r="B2601" s="30"/>
      <c r="C2601" s="30" t="s">
        <v>8626</v>
      </c>
      <c r="D2601" s="30"/>
      <c r="E2601" s="30" t="s">
        <v>14107</v>
      </c>
      <c r="F2601" s="30" t="s">
        <v>8672</v>
      </c>
      <c r="G2601" s="30" t="s">
        <v>14108</v>
      </c>
      <c r="H2601" s="30" t="s">
        <v>14109</v>
      </c>
    </row>
    <row r="2602" spans="1:8">
      <c r="A2602" s="30" t="s">
        <v>14110</v>
      </c>
      <c r="B2602" s="30"/>
      <c r="C2602" s="30" t="s">
        <v>8607</v>
      </c>
      <c r="D2602" s="30"/>
      <c r="E2602" s="30"/>
      <c r="F2602" s="30"/>
      <c r="G2602" s="30"/>
      <c r="H2602" s="30" t="s">
        <v>9746</v>
      </c>
    </row>
    <row r="2603" spans="1:8">
      <c r="A2603" s="30" t="s">
        <v>14111</v>
      </c>
      <c r="B2603" s="30"/>
      <c r="C2603" s="30" t="s">
        <v>8607</v>
      </c>
      <c r="D2603" s="30" t="s">
        <v>14112</v>
      </c>
      <c r="E2603" s="30" t="s">
        <v>14113</v>
      </c>
      <c r="F2603" s="30" t="s">
        <v>8618</v>
      </c>
      <c r="G2603" s="30" t="s">
        <v>14114</v>
      </c>
      <c r="H2603" s="30" t="s">
        <v>14115</v>
      </c>
    </row>
    <row r="2604" spans="1:8">
      <c r="A2604" s="30" t="s">
        <v>14116</v>
      </c>
      <c r="B2604" s="30"/>
      <c r="C2604" s="30" t="s">
        <v>8607</v>
      </c>
      <c r="D2604" s="30"/>
      <c r="E2604" s="30"/>
      <c r="F2604" s="30"/>
      <c r="G2604" s="30"/>
      <c r="H2604" s="30" t="s">
        <v>14117</v>
      </c>
    </row>
    <row r="2605" spans="1:8">
      <c r="A2605" s="30" t="s">
        <v>14118</v>
      </c>
      <c r="B2605" s="30"/>
      <c r="C2605" s="30" t="s">
        <v>8607</v>
      </c>
      <c r="D2605" s="30" t="s">
        <v>14119</v>
      </c>
      <c r="E2605" s="30"/>
      <c r="F2605" s="30"/>
      <c r="G2605" s="30" t="s">
        <v>14120</v>
      </c>
      <c r="H2605" s="30" t="s">
        <v>14121</v>
      </c>
    </row>
    <row r="2606" spans="1:8">
      <c r="A2606" s="30" t="s">
        <v>14122</v>
      </c>
      <c r="B2606" s="30"/>
      <c r="C2606" s="30" t="s">
        <v>8607</v>
      </c>
      <c r="D2606" s="30" t="s">
        <v>8938</v>
      </c>
      <c r="E2606" s="30"/>
      <c r="F2606" s="30"/>
      <c r="G2606" s="30" t="s">
        <v>8737</v>
      </c>
      <c r="H2606" s="30" t="s">
        <v>10084</v>
      </c>
    </row>
    <row r="2607" spans="1:8">
      <c r="A2607" s="30" t="s">
        <v>14123</v>
      </c>
      <c r="B2607" s="30"/>
      <c r="C2607" s="30" t="s">
        <v>8607</v>
      </c>
      <c r="D2607" s="30"/>
      <c r="E2607" s="30"/>
      <c r="F2607" s="30"/>
      <c r="G2607" s="30" t="s">
        <v>9018</v>
      </c>
      <c r="H2607" s="30" t="s">
        <v>14124</v>
      </c>
    </row>
    <row r="2608" spans="1:8">
      <c r="A2608" s="30" t="s">
        <v>14125</v>
      </c>
      <c r="B2608" s="30"/>
      <c r="C2608" s="30" t="s">
        <v>8626</v>
      </c>
      <c r="D2608" s="30" t="s">
        <v>11003</v>
      </c>
      <c r="E2608" s="30" t="s">
        <v>10374</v>
      </c>
      <c r="F2608" s="30" t="s">
        <v>8618</v>
      </c>
      <c r="G2608" s="30" t="s">
        <v>10234</v>
      </c>
      <c r="H2608" s="30" t="s">
        <v>14126</v>
      </c>
    </row>
    <row r="2609" spans="1:8">
      <c r="A2609" s="30" t="s">
        <v>14127</v>
      </c>
      <c r="B2609" s="30"/>
      <c r="C2609" s="30" t="s">
        <v>8607</v>
      </c>
      <c r="D2609" s="30" t="s">
        <v>9034</v>
      </c>
      <c r="E2609" s="30"/>
      <c r="F2609" s="30"/>
      <c r="G2609" s="30" t="s">
        <v>8667</v>
      </c>
      <c r="H2609" s="30" t="s">
        <v>10066</v>
      </c>
    </row>
    <row r="2610" spans="1:8">
      <c r="A2610" s="30" t="s">
        <v>14128</v>
      </c>
      <c r="B2610" s="30"/>
      <c r="C2610" s="30" t="s">
        <v>8607</v>
      </c>
      <c r="D2610" s="30"/>
      <c r="E2610" s="30"/>
      <c r="F2610" s="30"/>
      <c r="G2610" s="30" t="s">
        <v>8711</v>
      </c>
      <c r="H2610" s="30" t="s">
        <v>14129</v>
      </c>
    </row>
    <row r="2611" spans="1:8">
      <c r="A2611" s="30" t="s">
        <v>14130</v>
      </c>
      <c r="B2611" s="30"/>
      <c r="C2611" s="30" t="s">
        <v>8607</v>
      </c>
      <c r="D2611" s="30"/>
      <c r="E2611" s="30"/>
      <c r="F2611" s="30"/>
      <c r="G2611" s="30"/>
      <c r="H2611" s="30" t="s">
        <v>12029</v>
      </c>
    </row>
    <row r="2612" spans="1:8">
      <c r="A2612" s="30" t="s">
        <v>14131</v>
      </c>
      <c r="B2612" s="30"/>
      <c r="C2612" s="30"/>
      <c r="D2612" s="32"/>
      <c r="E2612" s="30"/>
      <c r="F2612" s="30"/>
      <c r="G2612" s="30"/>
      <c r="H2612" s="30" t="s">
        <v>14132</v>
      </c>
    </row>
    <row r="2613" spans="1:8">
      <c r="A2613" s="30" t="s">
        <v>14133</v>
      </c>
      <c r="B2613" s="30"/>
      <c r="C2613" s="30" t="s">
        <v>8607</v>
      </c>
      <c r="D2613" s="30" t="s">
        <v>9533</v>
      </c>
      <c r="E2613" s="30" t="s">
        <v>9534</v>
      </c>
      <c r="F2613" s="30" t="s">
        <v>8618</v>
      </c>
      <c r="G2613" s="30" t="s">
        <v>9535</v>
      </c>
      <c r="H2613" s="30" t="s">
        <v>13005</v>
      </c>
    </row>
    <row r="2614" spans="1:8">
      <c r="A2614" s="30" t="s">
        <v>14134</v>
      </c>
      <c r="B2614" s="30"/>
      <c r="C2614" s="30" t="s">
        <v>8607</v>
      </c>
      <c r="D2614" s="30"/>
      <c r="E2614" s="30"/>
      <c r="F2614" s="30"/>
      <c r="G2614" s="30" t="s">
        <v>14135</v>
      </c>
      <c r="H2614" s="30" t="s">
        <v>14136</v>
      </c>
    </row>
    <row r="2615" spans="1:8">
      <c r="A2615" s="30" t="s">
        <v>14137</v>
      </c>
      <c r="B2615" s="30"/>
      <c r="C2615" s="30" t="s">
        <v>8607</v>
      </c>
      <c r="D2615" s="30" t="s">
        <v>9553</v>
      </c>
      <c r="E2615" s="30" t="s">
        <v>9554</v>
      </c>
      <c r="F2615" s="30" t="s">
        <v>8672</v>
      </c>
      <c r="G2615" s="30" t="s">
        <v>9555</v>
      </c>
      <c r="H2615" s="30" t="s">
        <v>12995</v>
      </c>
    </row>
    <row r="2616" spans="1:8">
      <c r="A2616" s="30" t="s">
        <v>14138</v>
      </c>
      <c r="B2616" s="30"/>
      <c r="C2616" s="30" t="s">
        <v>8607</v>
      </c>
      <c r="D2616" s="30" t="s">
        <v>12997</v>
      </c>
      <c r="E2616" s="30"/>
      <c r="F2616" s="30"/>
      <c r="G2616" s="30" t="s">
        <v>12998</v>
      </c>
      <c r="H2616" s="30" t="s">
        <v>12999</v>
      </c>
    </row>
    <row r="2617" spans="1:8">
      <c r="A2617" s="30" t="s">
        <v>14139</v>
      </c>
      <c r="B2617" s="30"/>
      <c r="C2617" s="30" t="s">
        <v>8607</v>
      </c>
      <c r="D2617" s="30" t="s">
        <v>13003</v>
      </c>
      <c r="E2617" s="30" t="s">
        <v>9554</v>
      </c>
      <c r="F2617" s="30" t="s">
        <v>8672</v>
      </c>
      <c r="G2617" s="30" t="s">
        <v>9555</v>
      </c>
      <c r="H2617" s="30" t="s">
        <v>13001</v>
      </c>
    </row>
    <row r="2618" spans="1:8">
      <c r="A2618" s="30" t="s">
        <v>14140</v>
      </c>
      <c r="B2618" s="30"/>
      <c r="C2618" s="30" t="s">
        <v>8626</v>
      </c>
      <c r="D2618" s="30" t="s">
        <v>14141</v>
      </c>
      <c r="E2618" s="30" t="s">
        <v>8761</v>
      </c>
      <c r="F2618" s="30" t="e">
        <v>#VALUE!</v>
      </c>
      <c r="G2618" s="30" t="s">
        <v>11109</v>
      </c>
      <c r="H2618" s="30" t="s">
        <v>14142</v>
      </c>
    </row>
    <row r="2619" spans="1:8">
      <c r="A2619" s="30" t="s">
        <v>14143</v>
      </c>
      <c r="B2619" s="30"/>
      <c r="C2619" s="30" t="s">
        <v>8607</v>
      </c>
      <c r="D2619" s="30"/>
      <c r="E2619" s="30"/>
      <c r="F2619" s="30"/>
      <c r="G2619" s="30" t="s">
        <v>9363</v>
      </c>
      <c r="H2619" s="30" t="s">
        <v>14144</v>
      </c>
    </row>
    <row r="2620" spans="1:8">
      <c r="A2620" s="30" t="s">
        <v>14145</v>
      </c>
      <c r="B2620" s="30"/>
      <c r="C2620" s="30" t="s">
        <v>8607</v>
      </c>
      <c r="D2620" s="30"/>
      <c r="E2620" s="30"/>
      <c r="F2620" s="30"/>
      <c r="G2620" s="30" t="s">
        <v>13895</v>
      </c>
      <c r="H2620" s="30" t="s">
        <v>13896</v>
      </c>
    </row>
    <row r="2621" spans="1:8">
      <c r="A2621" s="30" t="s">
        <v>14146</v>
      </c>
      <c r="B2621" s="30"/>
      <c r="C2621" s="30" t="s">
        <v>8607</v>
      </c>
      <c r="D2621" s="30" t="s">
        <v>9357</v>
      </c>
      <c r="E2621" s="30"/>
      <c r="F2621" s="30"/>
      <c r="G2621" s="30" t="s">
        <v>9358</v>
      </c>
      <c r="H2621" s="30" t="s">
        <v>13898</v>
      </c>
    </row>
    <row r="2622" spans="1:8">
      <c r="A2622" s="30" t="s">
        <v>14147</v>
      </c>
      <c r="B2622" s="30"/>
      <c r="C2622" s="30" t="s">
        <v>8607</v>
      </c>
      <c r="D2622" s="30" t="s">
        <v>10334</v>
      </c>
      <c r="E2622" s="30"/>
      <c r="F2622" s="30"/>
      <c r="G2622" s="30" t="s">
        <v>8695</v>
      </c>
      <c r="H2622" s="30" t="s">
        <v>13900</v>
      </c>
    </row>
    <row r="2623" spans="1:8">
      <c r="A2623" s="30" t="s">
        <v>14148</v>
      </c>
      <c r="B2623" s="30"/>
      <c r="C2623" s="30" t="s">
        <v>8607</v>
      </c>
      <c r="D2623" s="30"/>
      <c r="E2623" s="30"/>
      <c r="F2623" s="30"/>
      <c r="G2623" s="30" t="s">
        <v>14149</v>
      </c>
      <c r="H2623" s="30" t="s">
        <v>14150</v>
      </c>
    </row>
    <row r="2624" spans="1:8">
      <c r="A2624" s="30" t="s">
        <v>14151</v>
      </c>
      <c r="B2624" s="30"/>
      <c r="C2624" s="30" t="s">
        <v>8607</v>
      </c>
      <c r="D2624" s="30"/>
      <c r="E2624" s="30"/>
      <c r="F2624" s="30"/>
      <c r="G2624" s="30"/>
      <c r="H2624" s="30" t="s">
        <v>14152</v>
      </c>
    </row>
    <row r="2625" spans="1:8">
      <c r="A2625" s="30" t="s">
        <v>14153</v>
      </c>
      <c r="B2625" s="30"/>
      <c r="C2625" s="30" t="s">
        <v>8626</v>
      </c>
      <c r="D2625" s="30"/>
      <c r="E2625" s="30"/>
      <c r="F2625" s="30"/>
      <c r="G2625" s="30"/>
      <c r="H2625" s="30" t="s">
        <v>14154</v>
      </c>
    </row>
    <row r="2626" spans="1:8">
      <c r="A2626" s="30" t="s">
        <v>14155</v>
      </c>
      <c r="B2626" s="30"/>
      <c r="C2626" s="30" t="s">
        <v>8626</v>
      </c>
      <c r="D2626" s="30"/>
      <c r="E2626" s="30"/>
      <c r="F2626" s="30"/>
      <c r="G2626" s="30"/>
      <c r="H2626" s="30" t="s">
        <v>13755</v>
      </c>
    </row>
    <row r="2627" spans="1:8">
      <c r="A2627" s="30" t="s">
        <v>14156</v>
      </c>
      <c r="B2627" s="30"/>
      <c r="C2627" s="30" t="s">
        <v>8626</v>
      </c>
      <c r="D2627" s="30"/>
      <c r="E2627" s="30"/>
      <c r="F2627" s="30"/>
      <c r="G2627" s="30" t="s">
        <v>13754</v>
      </c>
      <c r="H2627" s="30" t="s">
        <v>13755</v>
      </c>
    </row>
    <row r="2628" spans="1:8">
      <c r="A2628" s="30" t="s">
        <v>14157</v>
      </c>
      <c r="B2628" s="30"/>
      <c r="C2628" s="30" t="s">
        <v>8626</v>
      </c>
      <c r="D2628" s="30"/>
      <c r="E2628" s="30"/>
      <c r="F2628" s="30"/>
      <c r="G2628" s="30" t="s">
        <v>13754</v>
      </c>
      <c r="H2628" s="30" t="s">
        <v>14154</v>
      </c>
    </row>
    <row r="2629" spans="1:8">
      <c r="A2629" s="30" t="s">
        <v>14158</v>
      </c>
      <c r="B2629" s="30"/>
      <c r="C2629" s="30" t="s">
        <v>8626</v>
      </c>
      <c r="D2629" s="30"/>
      <c r="E2629" s="30"/>
      <c r="F2629" s="30"/>
      <c r="G2629" s="30" t="s">
        <v>14159</v>
      </c>
      <c r="H2629" s="30" t="s">
        <v>14154</v>
      </c>
    </row>
    <row r="2630" spans="1:8">
      <c r="A2630" s="30" t="s">
        <v>14160</v>
      </c>
      <c r="B2630" s="30"/>
      <c r="C2630" s="30" t="s">
        <v>8607</v>
      </c>
      <c r="D2630" s="30" t="s">
        <v>14161</v>
      </c>
      <c r="E2630" s="30"/>
      <c r="F2630" s="30"/>
      <c r="G2630" s="30" t="s">
        <v>14162</v>
      </c>
      <c r="H2630" s="30" t="s">
        <v>14163</v>
      </c>
    </row>
    <row r="2631" spans="1:8">
      <c r="A2631" s="30" t="s">
        <v>14164</v>
      </c>
      <c r="B2631" s="30"/>
      <c r="C2631" s="30" t="s">
        <v>8607</v>
      </c>
      <c r="D2631" s="30" t="s">
        <v>14165</v>
      </c>
      <c r="E2631" s="30" t="s">
        <v>14166</v>
      </c>
      <c r="F2631" s="30" t="s">
        <v>8672</v>
      </c>
      <c r="G2631" s="30"/>
      <c r="H2631" s="30" t="s">
        <v>14167</v>
      </c>
    </row>
    <row r="2632" spans="1:8">
      <c r="A2632" s="30" t="s">
        <v>14168</v>
      </c>
      <c r="B2632" s="30"/>
      <c r="C2632" s="30" t="s">
        <v>8607</v>
      </c>
      <c r="D2632" s="30" t="s">
        <v>14169</v>
      </c>
      <c r="E2632" s="30" t="s">
        <v>8845</v>
      </c>
      <c r="F2632" s="30" t="s">
        <v>8672</v>
      </c>
      <c r="G2632" s="30" t="s">
        <v>8846</v>
      </c>
      <c r="H2632" s="30" t="s">
        <v>9102</v>
      </c>
    </row>
    <row r="2633" spans="1:8">
      <c r="A2633" s="30" t="s">
        <v>14170</v>
      </c>
      <c r="B2633" s="30"/>
      <c r="C2633" s="30" t="s">
        <v>8607</v>
      </c>
      <c r="D2633" s="30" t="s">
        <v>11525</v>
      </c>
      <c r="E2633" s="30" t="s">
        <v>11526</v>
      </c>
      <c r="F2633" s="30" t="s">
        <v>8672</v>
      </c>
      <c r="G2633" s="30" t="s">
        <v>11527</v>
      </c>
      <c r="H2633" s="30" t="s">
        <v>14171</v>
      </c>
    </row>
    <row r="2634" spans="1:8">
      <c r="A2634" s="30" t="s">
        <v>14172</v>
      </c>
      <c r="B2634" s="30"/>
      <c r="C2634" s="30" t="s">
        <v>8607</v>
      </c>
      <c r="D2634" s="30" t="s">
        <v>14173</v>
      </c>
      <c r="E2634" s="30" t="s">
        <v>14174</v>
      </c>
      <c r="F2634" s="30" t="s">
        <v>8618</v>
      </c>
      <c r="G2634" s="30" t="s">
        <v>9080</v>
      </c>
      <c r="H2634" s="30" t="s">
        <v>14175</v>
      </c>
    </row>
    <row r="2635" spans="1:8">
      <c r="A2635" s="30" t="s">
        <v>14176</v>
      </c>
      <c r="B2635" s="30"/>
      <c r="C2635" s="30"/>
      <c r="D2635" s="32"/>
      <c r="E2635" s="30"/>
      <c r="F2635" s="30"/>
      <c r="G2635" s="30"/>
      <c r="H2635" s="30" t="s">
        <v>14177</v>
      </c>
    </row>
    <row r="2636" spans="1:8">
      <c r="A2636" s="30" t="s">
        <v>14178</v>
      </c>
      <c r="B2636" s="30"/>
      <c r="C2636" s="30" t="s">
        <v>8607</v>
      </c>
      <c r="D2636" s="30"/>
      <c r="E2636" s="30"/>
      <c r="F2636" s="30"/>
      <c r="G2636" s="30" t="s">
        <v>9026</v>
      </c>
      <c r="H2636" s="30" t="s">
        <v>10136</v>
      </c>
    </row>
    <row r="2637" spans="1:8">
      <c r="A2637" s="30" t="s">
        <v>14179</v>
      </c>
      <c r="B2637" s="30"/>
      <c r="C2637" s="30" t="s">
        <v>8607</v>
      </c>
      <c r="D2637" s="30"/>
      <c r="E2637" s="30"/>
      <c r="F2637" s="30"/>
      <c r="G2637" s="30"/>
      <c r="H2637" s="30" t="s">
        <v>14180</v>
      </c>
    </row>
    <row r="2638" spans="1:8">
      <c r="A2638" s="30" t="s">
        <v>14181</v>
      </c>
      <c r="B2638" s="30"/>
      <c r="C2638" s="30" t="s">
        <v>8607</v>
      </c>
      <c r="D2638" s="30" t="s">
        <v>14182</v>
      </c>
      <c r="E2638" s="30" t="s">
        <v>11374</v>
      </c>
      <c r="F2638" s="30" t="s">
        <v>8672</v>
      </c>
      <c r="G2638" s="30" t="s">
        <v>11375</v>
      </c>
      <c r="H2638" s="30" t="s">
        <v>14183</v>
      </c>
    </row>
    <row r="2639" spans="1:8">
      <c r="A2639" s="30" t="s">
        <v>14184</v>
      </c>
      <c r="B2639" s="30"/>
      <c r="C2639" s="30" t="s">
        <v>8607</v>
      </c>
      <c r="D2639" s="30" t="s">
        <v>14185</v>
      </c>
      <c r="E2639" s="30" t="s">
        <v>14186</v>
      </c>
      <c r="F2639" s="30" t="s">
        <v>8672</v>
      </c>
      <c r="G2639" s="30" t="s">
        <v>9109</v>
      </c>
      <c r="H2639" s="30" t="s">
        <v>14187</v>
      </c>
    </row>
    <row r="2640" spans="1:8">
      <c r="A2640" s="30" t="s">
        <v>14188</v>
      </c>
      <c r="B2640" s="30"/>
      <c r="C2640" s="30" t="s">
        <v>8607</v>
      </c>
      <c r="D2640" s="30" t="s">
        <v>14189</v>
      </c>
      <c r="E2640" s="30" t="s">
        <v>9113</v>
      </c>
      <c r="F2640" s="30" t="s">
        <v>8672</v>
      </c>
      <c r="G2640" s="30" t="s">
        <v>9114</v>
      </c>
      <c r="H2640" s="30" t="s">
        <v>14190</v>
      </c>
    </row>
    <row r="2641" spans="1:8">
      <c r="A2641" s="30" t="s">
        <v>14191</v>
      </c>
      <c r="B2641" s="30"/>
      <c r="C2641" s="30" t="s">
        <v>8626</v>
      </c>
      <c r="D2641" s="30"/>
      <c r="E2641" s="30"/>
      <c r="F2641" s="30"/>
      <c r="G2641" s="30" t="s">
        <v>13754</v>
      </c>
      <c r="H2641" s="30" t="s">
        <v>14154</v>
      </c>
    </row>
    <row r="2642" spans="1:8">
      <c r="A2642" s="30" t="s">
        <v>14192</v>
      </c>
      <c r="B2642" s="30"/>
      <c r="C2642" s="30" t="s">
        <v>8626</v>
      </c>
      <c r="D2642" s="30"/>
      <c r="E2642" s="30"/>
      <c r="F2642" s="30"/>
      <c r="G2642" s="30"/>
      <c r="H2642" s="30" t="s">
        <v>14154</v>
      </c>
    </row>
    <row r="2643" spans="1:8">
      <c r="A2643" s="30" t="s">
        <v>14193</v>
      </c>
      <c r="B2643" s="30"/>
      <c r="C2643" s="30" t="s">
        <v>8607</v>
      </c>
      <c r="D2643" s="30"/>
      <c r="E2643" s="30"/>
      <c r="F2643" s="30"/>
      <c r="G2643" s="30" t="s">
        <v>9657</v>
      </c>
      <c r="H2643" s="30" t="s">
        <v>13371</v>
      </c>
    </row>
    <row r="2644" spans="1:8">
      <c r="A2644" s="30" t="s">
        <v>14194</v>
      </c>
      <c r="B2644" s="30"/>
      <c r="C2644" s="30" t="s">
        <v>8607</v>
      </c>
      <c r="D2644" s="30" t="s">
        <v>14195</v>
      </c>
      <c r="E2644" s="30"/>
      <c r="F2644" s="30"/>
      <c r="G2644" s="30" t="s">
        <v>8656</v>
      </c>
      <c r="H2644" s="30" t="s">
        <v>13530</v>
      </c>
    </row>
    <row r="2645" spans="1:8">
      <c r="A2645" s="30" t="s">
        <v>14196</v>
      </c>
      <c r="B2645" s="30"/>
      <c r="C2645" s="30" t="s">
        <v>8607</v>
      </c>
      <c r="D2645" s="30" t="s">
        <v>9790</v>
      </c>
      <c r="E2645" s="30" t="s">
        <v>9791</v>
      </c>
      <c r="F2645" s="30" t="s">
        <v>8672</v>
      </c>
      <c r="G2645" s="30" t="s">
        <v>9275</v>
      </c>
      <c r="H2645" s="30" t="s">
        <v>13507</v>
      </c>
    </row>
    <row r="2646" spans="1:8">
      <c r="A2646" s="30" t="s">
        <v>14197</v>
      </c>
      <c r="B2646" s="30"/>
      <c r="C2646" s="30" t="s">
        <v>8607</v>
      </c>
      <c r="D2646" s="30" t="s">
        <v>14198</v>
      </c>
      <c r="E2646" s="30" t="s">
        <v>13510</v>
      </c>
      <c r="F2646" s="30" t="s">
        <v>8618</v>
      </c>
      <c r="G2646" s="30" t="s">
        <v>8989</v>
      </c>
      <c r="H2646" s="30" t="s">
        <v>14199</v>
      </c>
    </row>
    <row r="2647" spans="1:8">
      <c r="A2647" s="30" t="s">
        <v>14200</v>
      </c>
      <c r="B2647" s="30"/>
      <c r="C2647" s="30" t="s">
        <v>8607</v>
      </c>
      <c r="D2647" s="30"/>
      <c r="E2647" s="30"/>
      <c r="F2647" s="30"/>
      <c r="G2647" s="30" t="s">
        <v>14201</v>
      </c>
      <c r="H2647" s="30" t="s">
        <v>14202</v>
      </c>
    </row>
    <row r="2648" spans="1:8">
      <c r="A2648" s="30" t="s">
        <v>14203</v>
      </c>
      <c r="B2648" s="30"/>
      <c r="C2648" s="30" t="s">
        <v>8607</v>
      </c>
      <c r="D2648" s="30"/>
      <c r="E2648" s="30"/>
      <c r="F2648" s="30"/>
      <c r="G2648" s="30" t="s">
        <v>9308</v>
      </c>
      <c r="H2648" s="30" t="s">
        <v>13513</v>
      </c>
    </row>
    <row r="2649" spans="1:8">
      <c r="A2649" s="30" t="s">
        <v>14204</v>
      </c>
      <c r="B2649" s="30"/>
      <c r="C2649" s="30" t="s">
        <v>8607</v>
      </c>
      <c r="D2649" s="30" t="s">
        <v>9533</v>
      </c>
      <c r="E2649" s="30" t="s">
        <v>9534</v>
      </c>
      <c r="F2649" s="30" t="s">
        <v>8618</v>
      </c>
      <c r="G2649" s="30" t="s">
        <v>9535</v>
      </c>
      <c r="H2649" s="30" t="s">
        <v>13519</v>
      </c>
    </row>
    <row r="2650" spans="1:8">
      <c r="A2650" s="30" t="s">
        <v>14205</v>
      </c>
      <c r="B2650" s="30"/>
      <c r="C2650" s="30" t="s">
        <v>8607</v>
      </c>
      <c r="D2650" s="30"/>
      <c r="E2650" s="30"/>
      <c r="F2650" s="30"/>
      <c r="G2650" s="30" t="s">
        <v>9657</v>
      </c>
      <c r="H2650" s="30" t="s">
        <v>13371</v>
      </c>
    </row>
    <row r="2651" spans="1:8">
      <c r="A2651" s="30" t="s">
        <v>14206</v>
      </c>
      <c r="B2651" s="30"/>
      <c r="C2651" s="30" t="s">
        <v>8607</v>
      </c>
      <c r="D2651" s="30"/>
      <c r="E2651" s="30"/>
      <c r="F2651" s="30"/>
      <c r="G2651" s="30" t="s">
        <v>13521</v>
      </c>
      <c r="H2651" s="30" t="s">
        <v>14207</v>
      </c>
    </row>
    <row r="2652" spans="1:8">
      <c r="A2652" s="30" t="s">
        <v>14208</v>
      </c>
      <c r="B2652" s="30"/>
      <c r="C2652" s="30" t="s">
        <v>8607</v>
      </c>
      <c r="D2652" s="30"/>
      <c r="E2652" s="30"/>
      <c r="F2652" s="30"/>
      <c r="G2652" s="30" t="s">
        <v>13524</v>
      </c>
      <c r="H2652" s="30" t="s">
        <v>13525</v>
      </c>
    </row>
    <row r="2653" spans="1:8">
      <c r="A2653" s="30" t="s">
        <v>14209</v>
      </c>
      <c r="B2653" s="30"/>
      <c r="C2653" s="30" t="s">
        <v>8607</v>
      </c>
      <c r="D2653" s="30"/>
      <c r="E2653" s="30"/>
      <c r="F2653" s="30"/>
      <c r="G2653" s="30" t="s">
        <v>9363</v>
      </c>
      <c r="H2653" s="30" t="s">
        <v>14210</v>
      </c>
    </row>
    <row r="2654" spans="1:8">
      <c r="A2654" s="30" t="s">
        <v>14211</v>
      </c>
      <c r="B2654" s="30"/>
      <c r="C2654" s="30" t="s">
        <v>8607</v>
      </c>
      <c r="D2654" s="30"/>
      <c r="E2654" s="30"/>
      <c r="F2654" s="30"/>
      <c r="G2654" s="30"/>
      <c r="H2654" s="30" t="s">
        <v>14212</v>
      </c>
    </row>
    <row r="2655" spans="1:8">
      <c r="A2655" s="30" t="s">
        <v>14213</v>
      </c>
      <c r="B2655" s="30"/>
      <c r="C2655" s="30" t="s">
        <v>8607</v>
      </c>
      <c r="D2655" s="30"/>
      <c r="E2655" s="30"/>
      <c r="F2655" s="30"/>
      <c r="G2655" s="30" t="s">
        <v>13527</v>
      </c>
      <c r="H2655" s="30" t="s">
        <v>13528</v>
      </c>
    </row>
    <row r="2656" spans="1:8">
      <c r="A2656" s="30" t="s">
        <v>14214</v>
      </c>
      <c r="B2656" s="30"/>
      <c r="C2656" s="30" t="s">
        <v>8607</v>
      </c>
      <c r="D2656" s="30"/>
      <c r="E2656" s="30"/>
      <c r="F2656" s="30"/>
      <c r="G2656" s="30"/>
      <c r="H2656" s="30" t="s">
        <v>14215</v>
      </c>
    </row>
    <row r="2657" spans="1:8">
      <c r="A2657" s="30" t="s">
        <v>14216</v>
      </c>
      <c r="B2657" s="30"/>
      <c r="C2657" s="30" t="s">
        <v>8607</v>
      </c>
      <c r="D2657" s="30"/>
      <c r="E2657" s="30"/>
      <c r="F2657" s="30"/>
      <c r="G2657" s="30" t="s">
        <v>13649</v>
      </c>
      <c r="H2657" s="30" t="s">
        <v>14217</v>
      </c>
    </row>
    <row r="2658" spans="1:8">
      <c r="A2658" s="30" t="s">
        <v>14218</v>
      </c>
      <c r="B2658" s="30"/>
      <c r="C2658" s="30" t="s">
        <v>8626</v>
      </c>
      <c r="D2658" s="30" t="s">
        <v>14219</v>
      </c>
      <c r="E2658" s="30" t="s">
        <v>14220</v>
      </c>
      <c r="F2658" s="30" t="e">
        <v>#VALUE!</v>
      </c>
      <c r="G2658" s="30" t="s">
        <v>9007</v>
      </c>
      <c r="H2658" s="30" t="s">
        <v>14221</v>
      </c>
    </row>
    <row r="2659" spans="1:8">
      <c r="A2659" s="30" t="s">
        <v>14222</v>
      </c>
      <c r="B2659" s="30"/>
      <c r="C2659" s="30" t="s">
        <v>8607</v>
      </c>
      <c r="D2659" s="30"/>
      <c r="E2659" s="30"/>
      <c r="F2659" s="30"/>
      <c r="G2659" s="30"/>
      <c r="H2659" s="30" t="s">
        <v>14223</v>
      </c>
    </row>
    <row r="2660" spans="1:8">
      <c r="A2660" s="30" t="s">
        <v>14224</v>
      </c>
      <c r="B2660" s="30"/>
      <c r="C2660" s="30" t="s">
        <v>8607</v>
      </c>
      <c r="D2660" s="30"/>
      <c r="E2660" s="30"/>
      <c r="F2660" s="30"/>
      <c r="G2660" s="30" t="s">
        <v>8613</v>
      </c>
      <c r="H2660" s="30" t="s">
        <v>11554</v>
      </c>
    </row>
    <row r="2661" spans="1:8">
      <c r="A2661" s="30" t="s">
        <v>14225</v>
      </c>
      <c r="B2661" s="30"/>
      <c r="C2661" s="30"/>
      <c r="D2661" s="32" t="s">
        <v>14226</v>
      </c>
      <c r="E2661" s="30" t="s">
        <v>14227</v>
      </c>
      <c r="F2661" s="30" t="s">
        <v>8642</v>
      </c>
      <c r="G2661" s="30"/>
      <c r="H2661" s="30" t="s">
        <v>14228</v>
      </c>
    </row>
    <row r="2662" spans="1:8">
      <c r="A2662" s="30" t="s">
        <v>14229</v>
      </c>
      <c r="B2662" s="30"/>
      <c r="C2662" s="30"/>
      <c r="D2662" s="32"/>
      <c r="E2662" s="30"/>
      <c r="F2662" s="30"/>
      <c r="G2662" s="30"/>
      <c r="H2662" s="30" t="s">
        <v>14230</v>
      </c>
    </row>
    <row r="2663" spans="1:8">
      <c r="A2663" s="30" t="s">
        <v>14231</v>
      </c>
      <c r="B2663" s="30"/>
      <c r="C2663" s="30" t="s">
        <v>8607</v>
      </c>
      <c r="D2663" s="30"/>
      <c r="E2663" s="30"/>
      <c r="F2663" s="30"/>
      <c r="G2663" s="30" t="s">
        <v>9847</v>
      </c>
      <c r="H2663" s="30" t="s">
        <v>9848</v>
      </c>
    </row>
    <row r="2664" spans="1:8">
      <c r="A2664" s="30" t="s">
        <v>14232</v>
      </c>
      <c r="B2664" s="30"/>
      <c r="C2664" s="30" t="s">
        <v>8607</v>
      </c>
      <c r="D2664" s="30"/>
      <c r="E2664" s="30"/>
      <c r="F2664" s="30"/>
      <c r="G2664" s="30" t="s">
        <v>14233</v>
      </c>
      <c r="H2664" s="30" t="s">
        <v>14234</v>
      </c>
    </row>
    <row r="2665" spans="1:8">
      <c r="A2665" s="30" t="s">
        <v>14235</v>
      </c>
      <c r="B2665" s="30"/>
      <c r="C2665" s="30" t="s">
        <v>8607</v>
      </c>
      <c r="D2665" s="30"/>
      <c r="E2665" s="30"/>
      <c r="F2665" s="30"/>
      <c r="G2665" s="30" t="s">
        <v>14035</v>
      </c>
      <c r="H2665" s="30" t="s">
        <v>14036</v>
      </c>
    </row>
    <row r="2666" spans="1:8">
      <c r="A2666" s="30" t="s">
        <v>14236</v>
      </c>
      <c r="B2666" s="30"/>
      <c r="C2666" s="30" t="s">
        <v>8607</v>
      </c>
      <c r="D2666" s="30"/>
      <c r="E2666" s="30"/>
      <c r="F2666" s="30"/>
      <c r="G2666" s="30" t="s">
        <v>14027</v>
      </c>
      <c r="H2666" s="30" t="s">
        <v>14028</v>
      </c>
    </row>
    <row r="2667" spans="1:8">
      <c r="A2667" s="30" t="s">
        <v>14237</v>
      </c>
      <c r="B2667" s="30"/>
      <c r="C2667" s="30" t="s">
        <v>8607</v>
      </c>
      <c r="D2667" s="30" t="s">
        <v>14238</v>
      </c>
      <c r="E2667" s="30" t="s">
        <v>14239</v>
      </c>
      <c r="F2667" s="30" t="e">
        <v>#VALUE!</v>
      </c>
      <c r="G2667" s="30" t="s">
        <v>14032</v>
      </c>
      <c r="H2667" s="30" t="s">
        <v>14033</v>
      </c>
    </row>
    <row r="2668" spans="1:8">
      <c r="A2668" s="30" t="s">
        <v>14240</v>
      </c>
      <c r="B2668" s="30"/>
      <c r="C2668" s="30" t="s">
        <v>8607</v>
      </c>
      <c r="D2668" s="30"/>
      <c r="E2668" s="30"/>
      <c r="F2668" s="30"/>
      <c r="G2668" s="30" t="s">
        <v>14241</v>
      </c>
      <c r="H2668" s="30" t="s">
        <v>14242</v>
      </c>
    </row>
    <row r="2669" spans="1:8">
      <c r="A2669" s="30" t="s">
        <v>14243</v>
      </c>
      <c r="B2669" s="30"/>
      <c r="C2669" s="30" t="s">
        <v>8607</v>
      </c>
      <c r="D2669" s="30"/>
      <c r="E2669" s="30"/>
      <c r="F2669" s="30"/>
      <c r="G2669" s="30" t="s">
        <v>9504</v>
      </c>
      <c r="H2669" s="30" t="s">
        <v>9505</v>
      </c>
    </row>
    <row r="2670" spans="1:8">
      <c r="A2670" s="30" t="s">
        <v>14244</v>
      </c>
      <c r="B2670" s="30"/>
      <c r="C2670" s="30" t="s">
        <v>8607</v>
      </c>
      <c r="D2670" s="30" t="s">
        <v>9842</v>
      </c>
      <c r="E2670" s="30" t="s">
        <v>11927</v>
      </c>
      <c r="F2670" s="30" t="s">
        <v>8672</v>
      </c>
      <c r="G2670" s="30" t="s">
        <v>9844</v>
      </c>
      <c r="H2670" s="30" t="s">
        <v>9845</v>
      </c>
    </row>
    <row r="2671" spans="1:8">
      <c r="A2671" s="30" t="s">
        <v>14245</v>
      </c>
      <c r="B2671" s="30"/>
      <c r="C2671" s="30" t="s">
        <v>8607</v>
      </c>
      <c r="D2671" s="30"/>
      <c r="E2671" s="30" t="s">
        <v>14246</v>
      </c>
      <c r="F2671" s="30" t="e">
        <v>#VALUE!</v>
      </c>
      <c r="G2671" s="30" t="s">
        <v>9698</v>
      </c>
      <c r="H2671" s="30" t="s">
        <v>10147</v>
      </c>
    </row>
    <row r="2672" spans="1:8">
      <c r="A2672" s="30" t="s">
        <v>14247</v>
      </c>
      <c r="B2672" s="30"/>
      <c r="C2672" s="30" t="s">
        <v>8607</v>
      </c>
      <c r="D2672" s="30" t="s">
        <v>14248</v>
      </c>
      <c r="E2672" s="30" t="s">
        <v>14249</v>
      </c>
      <c r="F2672" s="30" t="s">
        <v>8672</v>
      </c>
      <c r="G2672" s="30" t="s">
        <v>9002</v>
      </c>
      <c r="H2672" s="30" t="s">
        <v>14250</v>
      </c>
    </row>
    <row r="2673" spans="1:8">
      <c r="A2673" s="30" t="s">
        <v>14251</v>
      </c>
      <c r="B2673" s="30"/>
      <c r="C2673" s="30" t="s">
        <v>8607</v>
      </c>
      <c r="D2673" s="30" t="s">
        <v>14252</v>
      </c>
      <c r="E2673" s="30" t="s">
        <v>9399</v>
      </c>
      <c r="F2673" s="30" t="s">
        <v>8672</v>
      </c>
      <c r="G2673" s="30" t="s">
        <v>9400</v>
      </c>
      <c r="H2673" s="30" t="s">
        <v>14253</v>
      </c>
    </row>
    <row r="2674" spans="1:8">
      <c r="A2674" s="30" t="s">
        <v>14254</v>
      </c>
      <c r="B2674" s="30"/>
      <c r="C2674" s="30"/>
      <c r="D2674" s="32"/>
      <c r="E2674" s="30" t="s">
        <v>14255</v>
      </c>
      <c r="F2674" s="30" t="s">
        <v>8618</v>
      </c>
      <c r="G2674" s="30"/>
      <c r="H2674" s="30" t="s">
        <v>14256</v>
      </c>
    </row>
    <row r="2675" spans="1:8">
      <c r="A2675" s="30" t="s">
        <v>14257</v>
      </c>
      <c r="B2675" s="30"/>
      <c r="C2675" s="30" t="s">
        <v>8607</v>
      </c>
      <c r="D2675" s="30"/>
      <c r="E2675" s="30"/>
      <c r="F2675" s="30"/>
      <c r="G2675" s="30"/>
      <c r="H2675" s="30" t="s">
        <v>14258</v>
      </c>
    </row>
    <row r="2676" spans="1:8">
      <c r="A2676" s="30" t="s">
        <v>14259</v>
      </c>
      <c r="B2676" s="30"/>
      <c r="C2676" s="30" t="s">
        <v>8607</v>
      </c>
      <c r="D2676" s="30"/>
      <c r="E2676" s="30"/>
      <c r="F2676" s="30"/>
      <c r="G2676" s="30"/>
      <c r="H2676" s="30" t="s">
        <v>14260</v>
      </c>
    </row>
    <row r="2677" spans="1:8">
      <c r="A2677" s="30" t="s">
        <v>14261</v>
      </c>
      <c r="B2677" s="30"/>
      <c r="C2677" s="30" t="s">
        <v>8607</v>
      </c>
      <c r="D2677" s="30"/>
      <c r="E2677" s="30"/>
      <c r="F2677" s="30"/>
      <c r="G2677" s="30" t="s">
        <v>9497</v>
      </c>
      <c r="H2677" s="30" t="s">
        <v>9498</v>
      </c>
    </row>
    <row r="2678" spans="1:8">
      <c r="A2678" s="30" t="s">
        <v>14262</v>
      </c>
      <c r="B2678" s="30"/>
      <c r="C2678" s="30" t="s">
        <v>8607</v>
      </c>
      <c r="D2678" s="30" t="s">
        <v>14263</v>
      </c>
      <c r="E2678" s="30" t="s">
        <v>9501</v>
      </c>
      <c r="F2678" s="30" t="s">
        <v>8672</v>
      </c>
      <c r="G2678" s="30" t="s">
        <v>9039</v>
      </c>
      <c r="H2678" s="30" t="s">
        <v>9502</v>
      </c>
    </row>
    <row r="2679" spans="1:8">
      <c r="A2679" s="30" t="s">
        <v>14264</v>
      </c>
      <c r="B2679" s="30"/>
      <c r="C2679" s="30" t="s">
        <v>8607</v>
      </c>
      <c r="D2679" s="30"/>
      <c r="E2679" s="30"/>
      <c r="F2679" s="30"/>
      <c r="G2679" s="30"/>
      <c r="H2679" s="30" t="s">
        <v>14265</v>
      </c>
    </row>
    <row r="2680" spans="1:8">
      <c r="A2680" s="30" t="s">
        <v>14266</v>
      </c>
      <c r="B2680" s="30"/>
      <c r="C2680" s="30" t="s">
        <v>8607</v>
      </c>
      <c r="D2680" s="30" t="s">
        <v>14267</v>
      </c>
      <c r="E2680" s="30"/>
      <c r="F2680" s="30"/>
      <c r="G2680" s="30" t="s">
        <v>14268</v>
      </c>
      <c r="H2680" s="30" t="s">
        <v>14269</v>
      </c>
    </row>
    <row r="2681" spans="1:8">
      <c r="A2681" s="30" t="s">
        <v>14270</v>
      </c>
      <c r="B2681" s="30"/>
      <c r="C2681" s="30" t="s">
        <v>8607</v>
      </c>
      <c r="D2681" s="30" t="s">
        <v>14271</v>
      </c>
      <c r="E2681" s="30" t="s">
        <v>10037</v>
      </c>
      <c r="F2681" s="30" t="s">
        <v>8618</v>
      </c>
      <c r="G2681" s="30" t="s">
        <v>13929</v>
      </c>
      <c r="H2681" s="30" t="s">
        <v>14272</v>
      </c>
    </row>
    <row r="2682" spans="1:8">
      <c r="A2682" s="30" t="s">
        <v>14273</v>
      </c>
      <c r="B2682" s="30"/>
      <c r="C2682" s="30" t="s">
        <v>8607</v>
      </c>
      <c r="D2682" s="30" t="s">
        <v>13802</v>
      </c>
      <c r="E2682" s="30" t="s">
        <v>14274</v>
      </c>
      <c r="F2682" s="30" t="e">
        <v>#VALUE!</v>
      </c>
      <c r="G2682" s="30" t="s">
        <v>13804</v>
      </c>
      <c r="H2682" s="30" t="s">
        <v>14275</v>
      </c>
    </row>
    <row r="2683" spans="1:8">
      <c r="A2683" s="30" t="s">
        <v>14276</v>
      </c>
      <c r="B2683" s="30"/>
      <c r="C2683" s="30" t="s">
        <v>8607</v>
      </c>
      <c r="D2683" s="30"/>
      <c r="E2683" s="30" t="s">
        <v>14277</v>
      </c>
      <c r="F2683" s="30" t="e">
        <v>#VALUE!</v>
      </c>
      <c r="G2683" s="30" t="s">
        <v>14278</v>
      </c>
      <c r="H2683" s="30" t="s">
        <v>14279</v>
      </c>
    </row>
    <row r="2684" spans="1:8">
      <c r="A2684" s="30" t="s">
        <v>14280</v>
      </c>
      <c r="B2684" s="30"/>
      <c r="C2684" s="30" t="s">
        <v>8607</v>
      </c>
      <c r="D2684" s="30" t="s">
        <v>14281</v>
      </c>
      <c r="E2684" s="30" t="s">
        <v>14282</v>
      </c>
      <c r="F2684" s="30" t="s">
        <v>8618</v>
      </c>
      <c r="G2684" s="30" t="s">
        <v>9268</v>
      </c>
      <c r="H2684" s="30" t="s">
        <v>14283</v>
      </c>
    </row>
    <row r="2685" spans="1:8">
      <c r="A2685" s="30" t="s">
        <v>14284</v>
      </c>
      <c r="B2685" s="30"/>
      <c r="C2685" s="30" t="s">
        <v>8626</v>
      </c>
      <c r="D2685" s="30"/>
      <c r="E2685" s="30"/>
      <c r="F2685" s="30"/>
      <c r="G2685" s="30" t="s">
        <v>14285</v>
      </c>
      <c r="H2685" s="30" t="s">
        <v>14286</v>
      </c>
    </row>
    <row r="2686" spans="1:8">
      <c r="A2686" s="30" t="s">
        <v>14287</v>
      </c>
      <c r="B2686" s="30"/>
      <c r="C2686" s="30"/>
      <c r="D2686" s="32"/>
      <c r="E2686" s="30" t="s">
        <v>14288</v>
      </c>
      <c r="F2686" s="30" t="s">
        <v>8618</v>
      </c>
      <c r="G2686" s="30"/>
      <c r="H2686" s="30" t="s">
        <v>14289</v>
      </c>
    </row>
    <row r="2687" spans="1:8">
      <c r="A2687" s="30" t="s">
        <v>14290</v>
      </c>
      <c r="B2687" s="30"/>
      <c r="C2687" s="30" t="s">
        <v>8607</v>
      </c>
      <c r="D2687" s="30" t="s">
        <v>14291</v>
      </c>
      <c r="E2687" s="30" t="s">
        <v>9218</v>
      </c>
      <c r="F2687" s="30" t="s">
        <v>8618</v>
      </c>
      <c r="G2687" s="30" t="s">
        <v>9219</v>
      </c>
      <c r="H2687" s="30" t="s">
        <v>14292</v>
      </c>
    </row>
    <row r="2688" spans="1:8">
      <c r="A2688" s="30" t="s">
        <v>14293</v>
      </c>
      <c r="B2688" s="30"/>
      <c r="C2688" s="30" t="s">
        <v>8607</v>
      </c>
      <c r="D2688" s="30"/>
      <c r="E2688" s="30"/>
      <c r="F2688" s="30"/>
      <c r="G2688" s="30"/>
      <c r="H2688" s="30" t="s">
        <v>14294</v>
      </c>
    </row>
    <row r="2689" spans="1:8">
      <c r="A2689" s="30" t="s">
        <v>14295</v>
      </c>
      <c r="B2689" s="30"/>
      <c r="C2689" s="30" t="s">
        <v>8607</v>
      </c>
      <c r="D2689" s="30"/>
      <c r="E2689" s="30"/>
      <c r="F2689" s="30"/>
      <c r="G2689" s="30" t="s">
        <v>12209</v>
      </c>
      <c r="H2689" s="30" t="s">
        <v>14296</v>
      </c>
    </row>
    <row r="2690" spans="1:8">
      <c r="A2690" s="30" t="s">
        <v>14297</v>
      </c>
      <c r="B2690" s="30"/>
      <c r="C2690" s="30" t="s">
        <v>8607</v>
      </c>
      <c r="D2690" s="30"/>
      <c r="E2690" s="30" t="s">
        <v>14298</v>
      </c>
      <c r="F2690" s="30" t="s">
        <v>8618</v>
      </c>
      <c r="G2690" s="30" t="s">
        <v>9453</v>
      </c>
      <c r="H2690" s="30" t="s">
        <v>13542</v>
      </c>
    </row>
    <row r="2691" spans="1:8">
      <c r="A2691" s="30" t="s">
        <v>14299</v>
      </c>
      <c r="B2691" s="30"/>
      <c r="C2691" s="30" t="s">
        <v>8607</v>
      </c>
      <c r="D2691" s="30"/>
      <c r="E2691" s="30"/>
      <c r="F2691" s="30"/>
      <c r="G2691" s="30" t="s">
        <v>9622</v>
      </c>
      <c r="H2691" s="30" t="s">
        <v>9623</v>
      </c>
    </row>
    <row r="2692" spans="1:8">
      <c r="A2692" s="30" t="s">
        <v>14300</v>
      </c>
      <c r="B2692" s="30"/>
      <c r="C2692" s="30" t="s">
        <v>8626</v>
      </c>
      <c r="D2692" s="30" t="s">
        <v>14301</v>
      </c>
      <c r="E2692" s="30" t="s">
        <v>14302</v>
      </c>
      <c r="F2692" s="30" t="e">
        <v>#VALUE!</v>
      </c>
      <c r="G2692" s="30"/>
      <c r="H2692" s="30" t="s">
        <v>14303</v>
      </c>
    </row>
    <row r="2693" spans="1:8">
      <c r="A2693" s="30" t="s">
        <v>14304</v>
      </c>
      <c r="B2693" s="30"/>
      <c r="C2693" s="30" t="s">
        <v>8607</v>
      </c>
      <c r="D2693" s="30"/>
      <c r="E2693" s="30"/>
      <c r="F2693" s="30"/>
      <c r="G2693" s="30" t="s">
        <v>9428</v>
      </c>
      <c r="H2693" s="30" t="s">
        <v>9429</v>
      </c>
    </row>
    <row r="2694" spans="1:8">
      <c r="A2694" s="30" t="s">
        <v>14305</v>
      </c>
      <c r="B2694" s="30"/>
      <c r="C2694" s="30" t="s">
        <v>8607</v>
      </c>
      <c r="D2694" s="30"/>
      <c r="E2694" s="30"/>
      <c r="F2694" s="30"/>
      <c r="G2694" s="30" t="s">
        <v>14241</v>
      </c>
      <c r="H2694" s="30" t="s">
        <v>14242</v>
      </c>
    </row>
    <row r="2695" spans="1:8">
      <c r="A2695" s="30" t="s">
        <v>14306</v>
      </c>
      <c r="B2695" s="30"/>
      <c r="C2695" s="30" t="s">
        <v>8607</v>
      </c>
      <c r="D2695" s="30" t="s">
        <v>14307</v>
      </c>
      <c r="E2695" s="30" t="s">
        <v>9149</v>
      </c>
      <c r="F2695" s="30" t="s">
        <v>8672</v>
      </c>
      <c r="G2695" s="30" t="s">
        <v>9002</v>
      </c>
      <c r="H2695" s="30" t="s">
        <v>14250</v>
      </c>
    </row>
    <row r="2696" spans="1:8">
      <c r="A2696" s="30" t="s">
        <v>14308</v>
      </c>
      <c r="B2696" s="30"/>
      <c r="C2696" s="30" t="s">
        <v>8607</v>
      </c>
      <c r="D2696" s="30" t="s">
        <v>14309</v>
      </c>
      <c r="E2696" s="30" t="s">
        <v>14310</v>
      </c>
      <c r="F2696" s="30" t="s">
        <v>8672</v>
      </c>
      <c r="G2696" s="30" t="s">
        <v>9400</v>
      </c>
      <c r="H2696" s="30" t="s">
        <v>14311</v>
      </c>
    </row>
    <row r="2697" spans="1:8">
      <c r="A2697" s="30" t="s">
        <v>14312</v>
      </c>
      <c r="B2697" s="30"/>
      <c r="C2697" s="30" t="s">
        <v>8607</v>
      </c>
      <c r="D2697" s="30"/>
      <c r="E2697" s="30"/>
      <c r="F2697" s="30"/>
      <c r="G2697" s="30"/>
      <c r="H2697" s="30" t="s">
        <v>14313</v>
      </c>
    </row>
    <row r="2698" spans="1:8">
      <c r="A2698" s="30" t="s">
        <v>14314</v>
      </c>
      <c r="B2698" s="30"/>
      <c r="C2698" s="30" t="s">
        <v>8607</v>
      </c>
      <c r="D2698" s="30"/>
      <c r="E2698" s="30"/>
      <c r="F2698" s="30"/>
      <c r="G2698" s="30" t="s">
        <v>9431</v>
      </c>
      <c r="H2698" s="30" t="s">
        <v>9432</v>
      </c>
    </row>
    <row r="2699" spans="1:8">
      <c r="A2699" s="30" t="s">
        <v>14315</v>
      </c>
      <c r="B2699" s="30"/>
      <c r="C2699" s="30" t="s">
        <v>8607</v>
      </c>
      <c r="D2699" s="30" t="s">
        <v>9745</v>
      </c>
      <c r="E2699" s="30" t="s">
        <v>14316</v>
      </c>
      <c r="F2699" s="30" t="s">
        <v>8618</v>
      </c>
      <c r="G2699" s="30"/>
      <c r="H2699" s="30" t="s">
        <v>9746</v>
      </c>
    </row>
    <row r="2700" spans="1:8">
      <c r="A2700" s="30" t="s">
        <v>14317</v>
      </c>
      <c r="B2700" s="30"/>
      <c r="C2700" s="30" t="s">
        <v>8607</v>
      </c>
      <c r="D2700" s="30" t="s">
        <v>9195</v>
      </c>
      <c r="E2700" s="30"/>
      <c r="F2700" s="30"/>
      <c r="G2700" s="30" t="s">
        <v>8717</v>
      </c>
      <c r="H2700" s="30" t="s">
        <v>14318</v>
      </c>
    </row>
    <row r="2701" spans="1:8">
      <c r="A2701" s="30" t="s">
        <v>14319</v>
      </c>
      <c r="B2701" s="30"/>
      <c r="C2701" s="30" t="s">
        <v>8607</v>
      </c>
      <c r="D2701" s="30" t="s">
        <v>10164</v>
      </c>
      <c r="E2701" s="30"/>
      <c r="F2701" s="30"/>
      <c r="G2701" s="30" t="s">
        <v>8814</v>
      </c>
      <c r="H2701" s="30" t="s">
        <v>14320</v>
      </c>
    </row>
    <row r="2702" spans="1:8">
      <c r="A2702" s="30" t="s">
        <v>14321</v>
      </c>
      <c r="B2702" s="30"/>
      <c r="C2702" s="30"/>
      <c r="D2702" s="32"/>
      <c r="E2702" s="30"/>
      <c r="F2702" s="30"/>
      <c r="G2702" s="30"/>
      <c r="H2702" s="30" t="s">
        <v>14322</v>
      </c>
    </row>
    <row r="2703" spans="1:8">
      <c r="A2703" s="30" t="s">
        <v>14323</v>
      </c>
      <c r="B2703" s="30"/>
      <c r="C2703" s="30" t="s">
        <v>8607</v>
      </c>
      <c r="D2703" s="30"/>
      <c r="E2703" s="30"/>
      <c r="F2703" s="30"/>
      <c r="G2703" s="30" t="s">
        <v>9619</v>
      </c>
      <c r="H2703" s="30" t="s">
        <v>14324</v>
      </c>
    </row>
    <row r="2704" spans="1:8">
      <c r="A2704" s="30" t="s">
        <v>14325</v>
      </c>
      <c r="B2704" s="30"/>
      <c r="C2704" s="30" t="s">
        <v>8607</v>
      </c>
      <c r="D2704" s="30"/>
      <c r="E2704" s="30"/>
      <c r="F2704" s="30"/>
      <c r="G2704" s="30" t="s">
        <v>9425</v>
      </c>
      <c r="H2704" s="30" t="s">
        <v>9426</v>
      </c>
    </row>
    <row r="2705" spans="1:8">
      <c r="A2705" s="30" t="s">
        <v>14326</v>
      </c>
      <c r="B2705" s="30"/>
      <c r="C2705" s="30" t="s">
        <v>8607</v>
      </c>
      <c r="D2705" s="30"/>
      <c r="E2705" s="30"/>
      <c r="F2705" s="30"/>
      <c r="G2705" s="30"/>
      <c r="H2705" s="30" t="s">
        <v>13540</v>
      </c>
    </row>
    <row r="2706" spans="1:8">
      <c r="A2706" s="30" t="s">
        <v>14327</v>
      </c>
      <c r="B2706" s="30"/>
      <c r="C2706" s="30" t="s">
        <v>8607</v>
      </c>
      <c r="D2706" s="30"/>
      <c r="E2706" s="30"/>
      <c r="F2706" s="30"/>
      <c r="G2706" s="30"/>
      <c r="H2706" s="30" t="s">
        <v>12543</v>
      </c>
    </row>
    <row r="2707" spans="1:8">
      <c r="A2707" s="30" t="s">
        <v>14328</v>
      </c>
      <c r="B2707" s="30"/>
      <c r="C2707" s="30" t="s">
        <v>8607</v>
      </c>
      <c r="D2707" s="30" t="s">
        <v>14329</v>
      </c>
      <c r="E2707" s="30" t="s">
        <v>9434</v>
      </c>
      <c r="F2707" s="30" t="e">
        <v>#VALUE!</v>
      </c>
      <c r="G2707" s="30" t="s">
        <v>9435</v>
      </c>
      <c r="H2707" s="30" t="s">
        <v>9436</v>
      </c>
    </row>
    <row r="2708" spans="1:8">
      <c r="A2708" s="30" t="s">
        <v>14330</v>
      </c>
      <c r="B2708" s="30"/>
      <c r="C2708" s="30" t="s">
        <v>8607</v>
      </c>
      <c r="D2708" s="30" t="s">
        <v>14331</v>
      </c>
      <c r="E2708" s="30"/>
      <c r="F2708" s="30"/>
      <c r="G2708" s="30"/>
      <c r="H2708" s="30" t="s">
        <v>14332</v>
      </c>
    </row>
    <row r="2709" spans="1:8">
      <c r="A2709" s="30" t="s">
        <v>14333</v>
      </c>
      <c r="B2709" s="30"/>
      <c r="C2709" s="30" t="s">
        <v>8607</v>
      </c>
      <c r="D2709" s="30" t="s">
        <v>13051</v>
      </c>
      <c r="E2709" s="30" t="s">
        <v>8655</v>
      </c>
      <c r="F2709" s="30" t="s">
        <v>8618</v>
      </c>
      <c r="G2709" s="30" t="s">
        <v>8656</v>
      </c>
      <c r="H2709" s="30" t="s">
        <v>14334</v>
      </c>
    </row>
    <row r="2710" spans="1:8">
      <c r="A2710" s="30" t="s">
        <v>14335</v>
      </c>
      <c r="B2710" s="30"/>
      <c r="C2710" s="30" t="s">
        <v>8607</v>
      </c>
      <c r="D2710" s="30"/>
      <c r="E2710" s="30" t="s">
        <v>14336</v>
      </c>
      <c r="F2710" s="30" t="s">
        <v>8618</v>
      </c>
      <c r="G2710" s="30" t="s">
        <v>9450</v>
      </c>
      <c r="H2710" s="30" t="s">
        <v>9451</v>
      </c>
    </row>
    <row r="2711" spans="1:8">
      <c r="A2711" s="30" t="s">
        <v>14337</v>
      </c>
      <c r="B2711" s="30"/>
      <c r="C2711" s="30" t="s">
        <v>8607</v>
      </c>
      <c r="D2711" s="30" t="s">
        <v>9819</v>
      </c>
      <c r="E2711" s="30"/>
      <c r="F2711" s="30"/>
      <c r="G2711" s="30" t="s">
        <v>9821</v>
      </c>
      <c r="H2711" s="30" t="s">
        <v>9822</v>
      </c>
    </row>
    <row r="2712" spans="1:8">
      <c r="A2712" s="30" t="s">
        <v>14338</v>
      </c>
      <c r="B2712" s="30"/>
      <c r="C2712" s="30" t="s">
        <v>8607</v>
      </c>
      <c r="D2712" s="30" t="s">
        <v>9824</v>
      </c>
      <c r="E2712" s="30" t="s">
        <v>14339</v>
      </c>
      <c r="F2712" s="30" t="s">
        <v>8672</v>
      </c>
      <c r="G2712" s="30" t="s">
        <v>9002</v>
      </c>
      <c r="H2712" s="30" t="s">
        <v>9825</v>
      </c>
    </row>
    <row r="2713" spans="1:8">
      <c r="A2713" s="30" t="s">
        <v>14340</v>
      </c>
      <c r="B2713" s="30"/>
      <c r="C2713" s="30" t="s">
        <v>8607</v>
      </c>
      <c r="D2713" s="30" t="s">
        <v>14341</v>
      </c>
      <c r="E2713" s="30"/>
      <c r="F2713" s="30"/>
      <c r="G2713" s="30" t="s">
        <v>13434</v>
      </c>
      <c r="H2713" s="30" t="s">
        <v>13465</v>
      </c>
    </row>
    <row r="2714" spans="1:8">
      <c r="A2714" s="30" t="s">
        <v>14342</v>
      </c>
      <c r="B2714" s="30"/>
      <c r="C2714" s="30" t="s">
        <v>8607</v>
      </c>
      <c r="D2714" s="30"/>
      <c r="E2714" s="30"/>
      <c r="F2714" s="30"/>
      <c r="G2714" s="30" t="s">
        <v>9485</v>
      </c>
      <c r="H2714" s="30" t="s">
        <v>14343</v>
      </c>
    </row>
    <row r="2715" spans="1:8">
      <c r="A2715" s="30" t="s">
        <v>14344</v>
      </c>
      <c r="B2715" s="30"/>
      <c r="C2715" s="30" t="s">
        <v>8607</v>
      </c>
      <c r="D2715" s="30" t="s">
        <v>9490</v>
      </c>
      <c r="E2715" s="30" t="s">
        <v>9491</v>
      </c>
      <c r="F2715" s="30" t="s">
        <v>8672</v>
      </c>
      <c r="G2715" s="30" t="s">
        <v>8659</v>
      </c>
      <c r="H2715" s="30" t="s">
        <v>14345</v>
      </c>
    </row>
    <row r="2716" spans="1:8">
      <c r="A2716" s="30" t="s">
        <v>14346</v>
      </c>
      <c r="B2716" s="30"/>
      <c r="C2716" s="30" t="s">
        <v>8607</v>
      </c>
      <c r="D2716" s="30" t="s">
        <v>14347</v>
      </c>
      <c r="E2716" s="30" t="s">
        <v>11374</v>
      </c>
      <c r="F2716" s="30" t="s">
        <v>8672</v>
      </c>
      <c r="G2716" s="30" t="s">
        <v>11375</v>
      </c>
      <c r="H2716" s="30" t="s">
        <v>14183</v>
      </c>
    </row>
    <row r="2717" spans="1:8">
      <c r="A2717" s="30" t="s">
        <v>14348</v>
      </c>
      <c r="B2717" s="30"/>
      <c r="C2717" s="30" t="s">
        <v>8607</v>
      </c>
      <c r="D2717" s="30"/>
      <c r="E2717" s="30"/>
      <c r="F2717" s="30"/>
      <c r="G2717" s="30" t="s">
        <v>9468</v>
      </c>
      <c r="H2717" s="30" t="s">
        <v>9469</v>
      </c>
    </row>
    <row r="2718" spans="1:8">
      <c r="A2718" s="30" t="s">
        <v>14349</v>
      </c>
      <c r="B2718" s="30"/>
      <c r="C2718" s="30" t="s">
        <v>8607</v>
      </c>
      <c r="D2718" s="30" t="s">
        <v>14350</v>
      </c>
      <c r="E2718" s="30" t="s">
        <v>10749</v>
      </c>
      <c r="F2718" s="30" t="s">
        <v>8672</v>
      </c>
      <c r="G2718" s="30" t="s">
        <v>9468</v>
      </c>
      <c r="H2718" s="30" t="s">
        <v>9469</v>
      </c>
    </row>
    <row r="2719" spans="1:8">
      <c r="A2719" s="30" t="s">
        <v>14351</v>
      </c>
      <c r="B2719" s="30"/>
      <c r="C2719" s="30" t="s">
        <v>8607</v>
      </c>
      <c r="D2719" s="30"/>
      <c r="E2719" s="30"/>
      <c r="F2719" s="30"/>
      <c r="G2719" s="30" t="s">
        <v>13824</v>
      </c>
      <c r="H2719" s="30" t="s">
        <v>13825</v>
      </c>
    </row>
    <row r="2720" spans="1:8">
      <c r="A2720" s="30" t="s">
        <v>14352</v>
      </c>
      <c r="B2720" s="30"/>
      <c r="C2720" s="30" t="s">
        <v>8607</v>
      </c>
      <c r="D2720" s="30"/>
      <c r="E2720" s="30"/>
      <c r="F2720" s="30"/>
      <c r="G2720" s="30" t="s">
        <v>14353</v>
      </c>
      <c r="H2720" s="30" t="s">
        <v>14354</v>
      </c>
    </row>
    <row r="2721" spans="1:8">
      <c r="A2721" s="30" t="s">
        <v>14355</v>
      </c>
      <c r="B2721" s="30"/>
      <c r="C2721" s="30" t="s">
        <v>8607</v>
      </c>
      <c r="D2721" s="30" t="s">
        <v>14356</v>
      </c>
      <c r="E2721" s="30" t="s">
        <v>14357</v>
      </c>
      <c r="F2721" s="30" t="s">
        <v>8618</v>
      </c>
      <c r="G2721" s="30" t="s">
        <v>14358</v>
      </c>
      <c r="H2721" s="30" t="s">
        <v>14359</v>
      </c>
    </row>
    <row r="2722" spans="1:8">
      <c r="A2722" s="30" t="s">
        <v>14360</v>
      </c>
      <c r="B2722" s="30"/>
      <c r="C2722" s="30" t="s">
        <v>8607</v>
      </c>
      <c r="D2722" s="30"/>
      <c r="E2722" s="30"/>
      <c r="F2722" s="30"/>
      <c r="G2722" s="30"/>
      <c r="H2722" s="30" t="s">
        <v>14152</v>
      </c>
    </row>
    <row r="2723" spans="1:8">
      <c r="A2723" s="30" t="s">
        <v>14361</v>
      </c>
      <c r="B2723" s="30"/>
      <c r="C2723" s="30" t="s">
        <v>8607</v>
      </c>
      <c r="D2723" s="30" t="s">
        <v>11525</v>
      </c>
      <c r="E2723" s="30" t="s">
        <v>13990</v>
      </c>
      <c r="F2723" s="30" t="s">
        <v>8672</v>
      </c>
      <c r="G2723" s="30" t="s">
        <v>11527</v>
      </c>
      <c r="H2723" s="30" t="s">
        <v>14171</v>
      </c>
    </row>
    <row r="2724" spans="1:8">
      <c r="A2724" s="30" t="s">
        <v>14362</v>
      </c>
      <c r="B2724" s="30"/>
      <c r="C2724" s="30" t="s">
        <v>8607</v>
      </c>
      <c r="D2724" s="30"/>
      <c r="E2724" s="30"/>
      <c r="F2724" s="30"/>
      <c r="G2724" s="30"/>
      <c r="H2724" s="30" t="s">
        <v>14363</v>
      </c>
    </row>
    <row r="2725" spans="1:8">
      <c r="A2725" s="30" t="s">
        <v>14364</v>
      </c>
      <c r="B2725" s="30"/>
      <c r="C2725" s="30" t="s">
        <v>8607</v>
      </c>
      <c r="D2725" s="30"/>
      <c r="E2725" s="30"/>
      <c r="F2725" s="30"/>
      <c r="G2725" s="30"/>
      <c r="H2725" s="30" t="s">
        <v>14365</v>
      </c>
    </row>
    <row r="2726" spans="1:8">
      <c r="A2726" s="30" t="s">
        <v>14366</v>
      </c>
      <c r="B2726" s="30"/>
      <c r="C2726" s="30" t="s">
        <v>8607</v>
      </c>
      <c r="D2726" s="30"/>
      <c r="E2726" s="30"/>
      <c r="F2726" s="30"/>
      <c r="G2726" s="30"/>
      <c r="H2726" s="30" t="s">
        <v>14367</v>
      </c>
    </row>
    <row r="2727" spans="1:8">
      <c r="A2727" s="30" t="s">
        <v>14368</v>
      </c>
      <c r="B2727" s="30"/>
      <c r="C2727" s="30" t="s">
        <v>8607</v>
      </c>
      <c r="D2727" s="30" t="s">
        <v>14098</v>
      </c>
      <c r="E2727" s="30" t="s">
        <v>9258</v>
      </c>
      <c r="F2727" s="30" t="s">
        <v>8618</v>
      </c>
      <c r="G2727" s="30" t="s">
        <v>10234</v>
      </c>
      <c r="H2727" s="30" t="s">
        <v>13977</v>
      </c>
    </row>
    <row r="2728" spans="1:8">
      <c r="A2728" s="30" t="s">
        <v>14369</v>
      </c>
      <c r="B2728" s="30"/>
      <c r="C2728" s="30" t="s">
        <v>8607</v>
      </c>
      <c r="D2728" s="30"/>
      <c r="E2728" s="30" t="s">
        <v>12880</v>
      </c>
      <c r="F2728" s="30" t="s">
        <v>8618</v>
      </c>
      <c r="G2728" s="30" t="s">
        <v>9450</v>
      </c>
      <c r="H2728" s="30" t="s">
        <v>12881</v>
      </c>
    </row>
    <row r="2729" spans="1:8">
      <c r="A2729" s="30" t="s">
        <v>14370</v>
      </c>
      <c r="B2729" s="30"/>
      <c r="C2729" s="30" t="s">
        <v>8607</v>
      </c>
      <c r="D2729" s="30" t="s">
        <v>14371</v>
      </c>
      <c r="E2729" s="30" t="s">
        <v>9539</v>
      </c>
      <c r="F2729" s="30" t="s">
        <v>8672</v>
      </c>
      <c r="G2729" s="30" t="s">
        <v>9384</v>
      </c>
      <c r="H2729" s="30" t="s">
        <v>14372</v>
      </c>
    </row>
    <row r="2730" spans="1:8">
      <c r="A2730" s="30" t="s">
        <v>14373</v>
      </c>
      <c r="B2730" s="30"/>
      <c r="C2730" s="30" t="s">
        <v>8607</v>
      </c>
      <c r="D2730" s="30"/>
      <c r="E2730" s="30"/>
      <c r="F2730" s="30"/>
      <c r="G2730" s="30"/>
      <c r="H2730" s="30" t="s">
        <v>12241</v>
      </c>
    </row>
    <row r="2731" spans="1:8">
      <c r="A2731" s="30" t="s">
        <v>14374</v>
      </c>
      <c r="B2731" s="30"/>
      <c r="C2731" s="30" t="s">
        <v>8607</v>
      </c>
      <c r="D2731" s="30" t="s">
        <v>13975</v>
      </c>
      <c r="E2731" s="30" t="s">
        <v>13976</v>
      </c>
      <c r="F2731" s="30" t="s">
        <v>8618</v>
      </c>
      <c r="G2731" s="30" t="s">
        <v>10234</v>
      </c>
      <c r="H2731" s="30" t="s">
        <v>13977</v>
      </c>
    </row>
    <row r="2732" spans="1:8">
      <c r="A2732" s="30" t="s">
        <v>14375</v>
      </c>
      <c r="B2732" s="30"/>
      <c r="C2732" s="30" t="s">
        <v>8607</v>
      </c>
      <c r="D2732" s="30"/>
      <c r="E2732" s="30"/>
      <c r="F2732" s="30"/>
      <c r="G2732" s="30" t="s">
        <v>9428</v>
      </c>
      <c r="H2732" s="30" t="s">
        <v>9429</v>
      </c>
    </row>
    <row r="2733" spans="1:8">
      <c r="A2733" s="30" t="s">
        <v>14376</v>
      </c>
      <c r="B2733" s="30"/>
      <c r="C2733" s="30" t="s">
        <v>8607</v>
      </c>
      <c r="D2733" s="30"/>
      <c r="E2733" s="30"/>
      <c r="F2733" s="30"/>
      <c r="G2733" s="30" t="s">
        <v>9431</v>
      </c>
      <c r="H2733" s="30" t="s">
        <v>9663</v>
      </c>
    </row>
    <row r="2734" spans="1:8">
      <c r="A2734" s="30" t="s">
        <v>14377</v>
      </c>
      <c r="B2734" s="30"/>
      <c r="C2734" s="30" t="s">
        <v>8607</v>
      </c>
      <c r="D2734" s="30" t="s">
        <v>9819</v>
      </c>
      <c r="E2734" s="30"/>
      <c r="F2734" s="30"/>
      <c r="G2734" s="30" t="s">
        <v>9821</v>
      </c>
      <c r="H2734" s="30" t="s">
        <v>12886</v>
      </c>
    </row>
    <row r="2735" spans="1:8">
      <c r="A2735" s="30" t="s">
        <v>14378</v>
      </c>
      <c r="B2735" s="30"/>
      <c r="C2735" s="30" t="s">
        <v>8607</v>
      </c>
      <c r="D2735" s="30" t="s">
        <v>9824</v>
      </c>
      <c r="E2735" s="30" t="s">
        <v>14379</v>
      </c>
      <c r="F2735" s="30" t="s">
        <v>8672</v>
      </c>
      <c r="G2735" s="30" t="s">
        <v>9002</v>
      </c>
      <c r="H2735" s="30" t="s">
        <v>14380</v>
      </c>
    </row>
    <row r="2736" spans="1:8">
      <c r="A2736" s="30" t="s">
        <v>14381</v>
      </c>
      <c r="B2736" s="30"/>
      <c r="C2736" s="30" t="s">
        <v>8607</v>
      </c>
      <c r="D2736" s="30"/>
      <c r="E2736" s="30"/>
      <c r="F2736" s="30"/>
      <c r="G2736" s="30" t="s">
        <v>13434</v>
      </c>
      <c r="H2736" s="30" t="s">
        <v>14382</v>
      </c>
    </row>
    <row r="2737" spans="1:8">
      <c r="A2737" s="30" t="s">
        <v>14383</v>
      </c>
      <c r="B2737" s="30"/>
      <c r="C2737" s="30" t="s">
        <v>8607</v>
      </c>
      <c r="D2737" s="30" t="s">
        <v>9490</v>
      </c>
      <c r="E2737" s="30" t="s">
        <v>8771</v>
      </c>
      <c r="F2737" s="30" t="s">
        <v>8672</v>
      </c>
      <c r="G2737" s="30" t="s">
        <v>8659</v>
      </c>
      <c r="H2737" s="30" t="s">
        <v>9488</v>
      </c>
    </row>
    <row r="2738" spans="1:8">
      <c r="A2738" s="30" t="s">
        <v>14384</v>
      </c>
      <c r="B2738" s="30"/>
      <c r="C2738" s="30" t="s">
        <v>8607</v>
      </c>
      <c r="D2738" s="30" t="s">
        <v>9903</v>
      </c>
      <c r="E2738" s="30" t="s">
        <v>9467</v>
      </c>
      <c r="F2738" s="30" t="s">
        <v>8672</v>
      </c>
      <c r="G2738" s="30" t="s">
        <v>9468</v>
      </c>
      <c r="H2738" s="30" t="s">
        <v>9469</v>
      </c>
    </row>
    <row r="2739" spans="1:8">
      <c r="A2739" s="30" t="s">
        <v>14385</v>
      </c>
      <c r="B2739" s="30"/>
      <c r="C2739" s="30" t="s">
        <v>8607</v>
      </c>
      <c r="D2739" s="30"/>
      <c r="E2739" s="30"/>
      <c r="F2739" s="30"/>
      <c r="G2739" s="30" t="s">
        <v>14035</v>
      </c>
      <c r="H2739" s="30" t="s">
        <v>14036</v>
      </c>
    </row>
    <row r="2740" spans="1:8">
      <c r="A2740" s="30" t="s">
        <v>14386</v>
      </c>
      <c r="B2740" s="30"/>
      <c r="C2740" s="30" t="s">
        <v>8626</v>
      </c>
      <c r="D2740" s="30"/>
      <c r="E2740" s="30" t="s">
        <v>14107</v>
      </c>
      <c r="F2740" s="30" t="s">
        <v>8672</v>
      </c>
      <c r="G2740" s="30" t="s">
        <v>14108</v>
      </c>
      <c r="H2740" s="30" t="s">
        <v>14109</v>
      </c>
    </row>
    <row r="2741" spans="1:8">
      <c r="A2741" s="30" t="s">
        <v>14387</v>
      </c>
      <c r="B2741" s="30"/>
      <c r="C2741" s="30" t="s">
        <v>8607</v>
      </c>
      <c r="D2741" s="30"/>
      <c r="E2741" s="30"/>
      <c r="F2741" s="30"/>
      <c r="G2741" s="30" t="s">
        <v>14103</v>
      </c>
      <c r="H2741" s="30" t="s">
        <v>14104</v>
      </c>
    </row>
    <row r="2742" spans="1:8">
      <c r="A2742" s="30" t="s">
        <v>14388</v>
      </c>
      <c r="B2742" s="30"/>
      <c r="C2742" s="30" t="s">
        <v>8607</v>
      </c>
      <c r="D2742" s="30" t="s">
        <v>8916</v>
      </c>
      <c r="E2742" s="30" t="s">
        <v>8655</v>
      </c>
      <c r="F2742" s="30" t="s">
        <v>8618</v>
      </c>
      <c r="G2742" s="30" t="s">
        <v>8656</v>
      </c>
      <c r="H2742" s="30" t="s">
        <v>14010</v>
      </c>
    </row>
    <row r="2743" spans="1:8">
      <c r="A2743" s="30" t="s">
        <v>14389</v>
      </c>
      <c r="B2743" s="30"/>
      <c r="C2743" s="30" t="s">
        <v>8626</v>
      </c>
      <c r="D2743" s="30"/>
      <c r="E2743" s="30" t="s">
        <v>10422</v>
      </c>
      <c r="F2743" s="30" t="s">
        <v>8618</v>
      </c>
      <c r="G2743" s="30" t="s">
        <v>8623</v>
      </c>
      <c r="H2743" s="30" t="s">
        <v>12615</v>
      </c>
    </row>
    <row r="2744" spans="1:8">
      <c r="A2744" s="30" t="s">
        <v>14390</v>
      </c>
      <c r="B2744" s="30"/>
      <c r="C2744" s="30" t="s">
        <v>8607</v>
      </c>
      <c r="D2744" s="30" t="s">
        <v>12245</v>
      </c>
      <c r="E2744" s="30" t="s">
        <v>12246</v>
      </c>
      <c r="F2744" s="30" t="s">
        <v>8618</v>
      </c>
      <c r="G2744" s="30" t="s">
        <v>10427</v>
      </c>
      <c r="H2744" s="30" t="s">
        <v>10428</v>
      </c>
    </row>
    <row r="2745" spans="1:8">
      <c r="A2745" s="30" t="s">
        <v>14391</v>
      </c>
      <c r="B2745" s="30"/>
      <c r="C2745" s="30" t="s">
        <v>8626</v>
      </c>
      <c r="D2745" s="30" t="s">
        <v>9753</v>
      </c>
      <c r="E2745" s="30" t="s">
        <v>9754</v>
      </c>
      <c r="F2745" s="30" t="e">
        <v>#VALUE!</v>
      </c>
      <c r="G2745" s="30" t="s">
        <v>9755</v>
      </c>
      <c r="H2745" s="30" t="s">
        <v>14392</v>
      </c>
    </row>
    <row r="2746" spans="1:8">
      <c r="A2746" s="30" t="s">
        <v>14393</v>
      </c>
      <c r="B2746" s="30"/>
      <c r="C2746" s="30" t="s">
        <v>8626</v>
      </c>
      <c r="D2746" s="30"/>
      <c r="E2746" s="30"/>
      <c r="F2746" s="30"/>
      <c r="G2746" s="30" t="s">
        <v>8623</v>
      </c>
      <c r="H2746" s="30" t="s">
        <v>14394</v>
      </c>
    </row>
    <row r="2747" spans="1:8">
      <c r="A2747" s="30" t="s">
        <v>14395</v>
      </c>
      <c r="B2747" s="30"/>
      <c r="C2747" s="30" t="s">
        <v>8626</v>
      </c>
      <c r="D2747" s="30" t="s">
        <v>10208</v>
      </c>
      <c r="E2747" s="30" t="s">
        <v>10209</v>
      </c>
      <c r="F2747" s="30" t="s">
        <v>8672</v>
      </c>
      <c r="G2747" s="30" t="s">
        <v>9002</v>
      </c>
      <c r="H2747" s="30" t="s">
        <v>14396</v>
      </c>
    </row>
    <row r="2748" spans="1:8">
      <c r="A2748" s="30" t="s">
        <v>14397</v>
      </c>
      <c r="B2748" s="30"/>
      <c r="C2748" s="30" t="s">
        <v>8607</v>
      </c>
      <c r="D2748" s="30"/>
      <c r="E2748" s="30"/>
      <c r="F2748" s="30"/>
      <c r="G2748" s="30" t="s">
        <v>8717</v>
      </c>
      <c r="H2748" s="30" t="s">
        <v>12853</v>
      </c>
    </row>
    <row r="2749" spans="1:8">
      <c r="A2749" s="30" t="s">
        <v>14398</v>
      </c>
      <c r="B2749" s="30"/>
      <c r="C2749" s="30" t="s">
        <v>8626</v>
      </c>
      <c r="D2749" s="30" t="s">
        <v>10334</v>
      </c>
      <c r="E2749" s="30"/>
      <c r="F2749" s="30"/>
      <c r="G2749" s="30" t="s">
        <v>8695</v>
      </c>
      <c r="H2749" s="30" t="s">
        <v>10335</v>
      </c>
    </row>
    <row r="2750" spans="1:8">
      <c r="A2750" s="30" t="s">
        <v>14399</v>
      </c>
      <c r="B2750" s="30"/>
      <c r="C2750" s="30" t="s">
        <v>8626</v>
      </c>
      <c r="D2750" s="30"/>
      <c r="E2750" s="30"/>
      <c r="F2750" s="30"/>
      <c r="G2750" s="30"/>
      <c r="H2750" s="30" t="s">
        <v>10346</v>
      </c>
    </row>
    <row r="2751" spans="1:8">
      <c r="A2751" s="30" t="s">
        <v>14400</v>
      </c>
      <c r="B2751" s="30"/>
      <c r="C2751" s="30"/>
      <c r="D2751" s="32"/>
      <c r="E2751" s="30"/>
      <c r="F2751" s="30"/>
      <c r="G2751" s="30"/>
      <c r="H2751" s="30" t="s">
        <v>10337</v>
      </c>
    </row>
    <row r="2752" spans="1:8">
      <c r="A2752" s="30" t="s">
        <v>14401</v>
      </c>
      <c r="B2752" s="30"/>
      <c r="C2752" s="30" t="s">
        <v>8626</v>
      </c>
      <c r="D2752" s="30"/>
      <c r="E2752" s="30" t="s">
        <v>10214</v>
      </c>
      <c r="F2752" s="30" t="e">
        <v>#VALUE!</v>
      </c>
      <c r="G2752" s="30" t="s">
        <v>8714</v>
      </c>
      <c r="H2752" s="30" t="s">
        <v>8715</v>
      </c>
    </row>
    <row r="2753" spans="1:8">
      <c r="A2753" s="30" t="s">
        <v>14402</v>
      </c>
      <c r="B2753" s="30"/>
      <c r="C2753" s="30" t="s">
        <v>8607</v>
      </c>
      <c r="D2753" s="30" t="s">
        <v>8707</v>
      </c>
      <c r="E2753" s="30"/>
      <c r="F2753" s="30"/>
      <c r="G2753" s="30" t="s">
        <v>8708</v>
      </c>
      <c r="H2753" s="30" t="s">
        <v>10257</v>
      </c>
    </row>
    <row r="2754" spans="1:8">
      <c r="A2754" s="30" t="s">
        <v>14403</v>
      </c>
      <c r="B2754" s="30"/>
      <c r="C2754" s="30" t="s">
        <v>8607</v>
      </c>
      <c r="D2754" s="30"/>
      <c r="E2754" s="30"/>
      <c r="F2754" s="30"/>
      <c r="G2754" s="30" t="s">
        <v>8711</v>
      </c>
      <c r="H2754" s="30" t="s">
        <v>10342</v>
      </c>
    </row>
    <row r="2755" spans="1:8">
      <c r="A2755" s="30" t="s">
        <v>14404</v>
      </c>
      <c r="B2755" s="30"/>
      <c r="C2755" s="30" t="s">
        <v>8607</v>
      </c>
      <c r="D2755" s="30"/>
      <c r="E2755" s="30"/>
      <c r="F2755" s="30"/>
      <c r="G2755" s="30" t="s">
        <v>10205</v>
      </c>
      <c r="H2755" s="30" t="s">
        <v>10206</v>
      </c>
    </row>
    <row r="2756" spans="1:8">
      <c r="A2756" s="30" t="s">
        <v>14405</v>
      </c>
      <c r="B2756" s="30"/>
      <c r="C2756" s="30" t="s">
        <v>8607</v>
      </c>
      <c r="D2756" s="30" t="s">
        <v>14007</v>
      </c>
      <c r="E2756" s="30"/>
      <c r="F2756" s="30"/>
      <c r="G2756" s="30" t="s">
        <v>14406</v>
      </c>
      <c r="H2756" s="30" t="s">
        <v>14407</v>
      </c>
    </row>
    <row r="2757" spans="1:8">
      <c r="A2757" s="30" t="s">
        <v>14408</v>
      </c>
      <c r="B2757" s="30"/>
      <c r="C2757" s="30" t="s">
        <v>8607</v>
      </c>
      <c r="D2757" s="30"/>
      <c r="E2757" s="30"/>
      <c r="F2757" s="30"/>
      <c r="G2757" s="30" t="s">
        <v>9657</v>
      </c>
      <c r="H2757" s="30" t="s">
        <v>14409</v>
      </c>
    </row>
    <row r="2758" spans="1:8">
      <c r="A2758" s="30" t="s">
        <v>14410</v>
      </c>
      <c r="B2758" s="30"/>
      <c r="C2758" s="30" t="s">
        <v>8607</v>
      </c>
      <c r="D2758" s="30"/>
      <c r="E2758" s="30"/>
      <c r="F2758" s="30"/>
      <c r="G2758" s="30" t="s">
        <v>9657</v>
      </c>
      <c r="H2758" s="30" t="s">
        <v>13371</v>
      </c>
    </row>
    <row r="2759" spans="1:8">
      <c r="A2759" s="30" t="s">
        <v>14411</v>
      </c>
      <c r="B2759" s="30"/>
      <c r="C2759" s="30" t="s">
        <v>8607</v>
      </c>
      <c r="D2759" s="30"/>
      <c r="E2759" s="30"/>
      <c r="F2759" s="30"/>
      <c r="G2759" s="30" t="s">
        <v>9657</v>
      </c>
      <c r="H2759" s="30" t="s">
        <v>13808</v>
      </c>
    </row>
    <row r="2760" spans="1:8">
      <c r="A2760" s="30" t="s">
        <v>14412</v>
      </c>
      <c r="B2760" s="30"/>
      <c r="C2760" s="30" t="s">
        <v>8607</v>
      </c>
      <c r="D2760" s="30"/>
      <c r="E2760" s="30"/>
      <c r="F2760" s="30"/>
      <c r="G2760" s="30" t="s">
        <v>14413</v>
      </c>
      <c r="H2760" s="30" t="s">
        <v>14414</v>
      </c>
    </row>
    <row r="2761" spans="1:8">
      <c r="A2761" s="30" t="s">
        <v>14415</v>
      </c>
      <c r="B2761" s="30"/>
      <c r="C2761" s="30" t="s">
        <v>8607</v>
      </c>
      <c r="D2761" s="30" t="s">
        <v>14416</v>
      </c>
      <c r="E2761" s="30" t="s">
        <v>11374</v>
      </c>
      <c r="F2761" s="30" t="s">
        <v>8672</v>
      </c>
      <c r="G2761" s="30" t="s">
        <v>11375</v>
      </c>
      <c r="H2761" s="30" t="s">
        <v>14417</v>
      </c>
    </row>
    <row r="2762" spans="1:8">
      <c r="A2762" s="30" t="s">
        <v>14418</v>
      </c>
      <c r="B2762" s="30"/>
      <c r="C2762" s="30" t="s">
        <v>8607</v>
      </c>
      <c r="D2762" s="30" t="s">
        <v>14419</v>
      </c>
      <c r="E2762" s="30" t="s">
        <v>14420</v>
      </c>
      <c r="F2762" s="30" t="s">
        <v>8672</v>
      </c>
      <c r="G2762" s="30" t="s">
        <v>9839</v>
      </c>
      <c r="H2762" s="30" t="s">
        <v>14421</v>
      </c>
    </row>
    <row r="2763" spans="1:8">
      <c r="A2763" s="30" t="s">
        <v>14422</v>
      </c>
      <c r="B2763" s="30"/>
      <c r="C2763" s="30" t="s">
        <v>8607</v>
      </c>
      <c r="D2763" s="30"/>
      <c r="E2763" s="30"/>
      <c r="F2763" s="30"/>
      <c r="G2763" s="30"/>
      <c r="H2763" s="30" t="s">
        <v>14423</v>
      </c>
    </row>
    <row r="2764" spans="1:8">
      <c r="A2764" s="30" t="s">
        <v>14424</v>
      </c>
      <c r="B2764" s="30"/>
      <c r="C2764" s="30" t="s">
        <v>8626</v>
      </c>
      <c r="D2764" s="30"/>
      <c r="E2764" s="30"/>
      <c r="F2764" s="30"/>
      <c r="G2764" s="30"/>
      <c r="H2764" s="30" t="s">
        <v>14425</v>
      </c>
    </row>
    <row r="2765" spans="1:8">
      <c r="A2765" s="30" t="s">
        <v>14426</v>
      </c>
      <c r="B2765" s="30"/>
      <c r="C2765" s="30" t="s">
        <v>8607</v>
      </c>
      <c r="D2765" s="30" t="s">
        <v>14427</v>
      </c>
      <c r="E2765" s="30" t="s">
        <v>9097</v>
      </c>
      <c r="F2765" s="30" t="s">
        <v>8618</v>
      </c>
      <c r="G2765" s="30" t="s">
        <v>9098</v>
      </c>
      <c r="H2765" s="30" t="s">
        <v>14428</v>
      </c>
    </row>
    <row r="2766" spans="1:8">
      <c r="A2766" s="30" t="s">
        <v>14429</v>
      </c>
      <c r="B2766" s="30"/>
      <c r="C2766" s="30" t="s">
        <v>8607</v>
      </c>
      <c r="D2766" s="30"/>
      <c r="E2766" s="30"/>
      <c r="F2766" s="30"/>
      <c r="G2766" s="30" t="s">
        <v>13179</v>
      </c>
      <c r="H2766" s="30" t="s">
        <v>14430</v>
      </c>
    </row>
    <row r="2767" spans="1:8">
      <c r="A2767" s="30" t="s">
        <v>14431</v>
      </c>
      <c r="B2767" s="30"/>
      <c r="C2767" s="30" t="s">
        <v>8626</v>
      </c>
      <c r="D2767" s="30" t="s">
        <v>14432</v>
      </c>
      <c r="E2767" s="30" t="s">
        <v>11995</v>
      </c>
      <c r="F2767" s="30" t="e">
        <v>#VALUE!</v>
      </c>
      <c r="G2767" s="30" t="s">
        <v>9145</v>
      </c>
      <c r="H2767" s="30" t="s">
        <v>14433</v>
      </c>
    </row>
    <row r="2768" spans="1:8">
      <c r="A2768" s="30" t="s">
        <v>14434</v>
      </c>
      <c r="B2768" s="30"/>
      <c r="C2768" s="30" t="s">
        <v>8607</v>
      </c>
      <c r="D2768" s="30" t="s">
        <v>9104</v>
      </c>
      <c r="E2768" s="30" t="s">
        <v>14435</v>
      </c>
      <c r="F2768" s="30" t="e">
        <v>#VALUE!</v>
      </c>
      <c r="G2768" s="30" t="s">
        <v>8678</v>
      </c>
      <c r="H2768" s="30" t="s">
        <v>9106</v>
      </c>
    </row>
    <row r="2769" spans="1:8">
      <c r="A2769" s="30" t="s">
        <v>14436</v>
      </c>
      <c r="B2769" s="30"/>
      <c r="C2769" s="30" t="s">
        <v>8607</v>
      </c>
      <c r="D2769" s="30"/>
      <c r="E2769" s="30"/>
      <c r="F2769" s="30"/>
      <c r="G2769" s="30" t="s">
        <v>9657</v>
      </c>
      <c r="H2769" s="30" t="s">
        <v>14437</v>
      </c>
    </row>
    <row r="2770" spans="1:8">
      <c r="A2770" s="30" t="s">
        <v>14438</v>
      </c>
      <c r="B2770" s="30"/>
      <c r="C2770" s="30" t="s">
        <v>8607</v>
      </c>
      <c r="D2770" s="30"/>
      <c r="E2770" s="30"/>
      <c r="F2770" s="30"/>
      <c r="G2770" s="30" t="s">
        <v>9847</v>
      </c>
      <c r="H2770" s="30" t="s">
        <v>9848</v>
      </c>
    </row>
    <row r="2771" spans="1:8">
      <c r="A2771" s="30" t="s">
        <v>14439</v>
      </c>
      <c r="B2771" s="30"/>
      <c r="C2771" s="30" t="s">
        <v>8607</v>
      </c>
      <c r="D2771" s="30"/>
      <c r="E2771" s="30"/>
      <c r="F2771" s="30"/>
      <c r="G2771" s="30" t="s">
        <v>14440</v>
      </c>
      <c r="H2771" s="30" t="s">
        <v>10698</v>
      </c>
    </row>
    <row r="2772" spans="1:8">
      <c r="A2772" s="30" t="s">
        <v>14441</v>
      </c>
      <c r="B2772" s="30"/>
      <c r="C2772" s="30" t="s">
        <v>8607</v>
      </c>
      <c r="D2772" s="30"/>
      <c r="E2772" s="30"/>
      <c r="F2772" s="30"/>
      <c r="G2772" s="30" t="s">
        <v>14035</v>
      </c>
      <c r="H2772" s="30" t="s">
        <v>14036</v>
      </c>
    </row>
    <row r="2773" spans="1:8">
      <c r="A2773" s="30" t="s">
        <v>14442</v>
      </c>
      <c r="B2773" s="30"/>
      <c r="C2773" s="30" t="s">
        <v>8607</v>
      </c>
      <c r="D2773" s="30"/>
      <c r="E2773" s="30"/>
      <c r="F2773" s="30"/>
      <c r="G2773" s="30" t="s">
        <v>14035</v>
      </c>
      <c r="H2773" s="30" t="s">
        <v>14038</v>
      </c>
    </row>
    <row r="2774" spans="1:8">
      <c r="A2774" s="30" t="s">
        <v>14443</v>
      </c>
      <c r="B2774" s="30"/>
      <c r="C2774" s="30" t="s">
        <v>8607</v>
      </c>
      <c r="D2774" s="30"/>
      <c r="E2774" s="30"/>
      <c r="F2774" s="30"/>
      <c r="G2774" s="30" t="s">
        <v>9657</v>
      </c>
      <c r="H2774" s="30" t="s">
        <v>14444</v>
      </c>
    </row>
    <row r="2775" spans="1:8">
      <c r="A2775" s="30" t="s">
        <v>14445</v>
      </c>
      <c r="B2775" s="30"/>
      <c r="C2775" s="30" t="s">
        <v>8607</v>
      </c>
      <c r="D2775" s="30"/>
      <c r="E2775" s="30"/>
      <c r="F2775" s="30"/>
      <c r="G2775" s="30" t="s">
        <v>14027</v>
      </c>
      <c r="H2775" s="30" t="s">
        <v>14028</v>
      </c>
    </row>
    <row r="2776" spans="1:8">
      <c r="A2776" s="30" t="s">
        <v>14446</v>
      </c>
      <c r="B2776" s="30"/>
      <c r="C2776" s="30" t="s">
        <v>8607</v>
      </c>
      <c r="D2776" s="30" t="s">
        <v>14030</v>
      </c>
      <c r="E2776" s="30" t="s">
        <v>14447</v>
      </c>
      <c r="F2776" s="30" t="e">
        <v>#VALUE!</v>
      </c>
      <c r="G2776" s="30" t="s">
        <v>14032</v>
      </c>
      <c r="H2776" s="30" t="s">
        <v>14448</v>
      </c>
    </row>
    <row r="2777" spans="1:8">
      <c r="A2777" s="30" t="s">
        <v>14449</v>
      </c>
      <c r="B2777" s="30"/>
      <c r="C2777" s="30" t="s">
        <v>8607</v>
      </c>
      <c r="D2777" s="30"/>
      <c r="E2777" s="30"/>
      <c r="F2777" s="30"/>
      <c r="G2777" s="30" t="s">
        <v>9378</v>
      </c>
      <c r="H2777" s="30" t="s">
        <v>14450</v>
      </c>
    </row>
    <row r="2778" spans="1:8">
      <c r="A2778" s="30" t="s">
        <v>14451</v>
      </c>
      <c r="B2778" s="30"/>
      <c r="C2778" s="30" t="s">
        <v>8607</v>
      </c>
      <c r="D2778" s="30" t="s">
        <v>14452</v>
      </c>
      <c r="E2778" s="30" t="s">
        <v>14453</v>
      </c>
      <c r="F2778" s="30" t="e">
        <v>#VALUE!</v>
      </c>
      <c r="G2778" s="30" t="s">
        <v>9855</v>
      </c>
      <c r="H2778" s="30" t="s">
        <v>14454</v>
      </c>
    </row>
    <row r="2779" spans="1:8">
      <c r="A2779" s="30" t="s">
        <v>14455</v>
      </c>
      <c r="B2779" s="30"/>
      <c r="C2779" s="30" t="s">
        <v>8607</v>
      </c>
      <c r="D2779" s="30"/>
      <c r="E2779" s="30"/>
      <c r="F2779" s="30"/>
      <c r="G2779" s="30" t="s">
        <v>9504</v>
      </c>
      <c r="H2779" s="30" t="s">
        <v>14456</v>
      </c>
    </row>
    <row r="2780" spans="1:8">
      <c r="A2780" s="30" t="s">
        <v>14457</v>
      </c>
      <c r="B2780" s="30"/>
      <c r="C2780" s="30" t="s">
        <v>8607</v>
      </c>
      <c r="D2780" s="30" t="s">
        <v>14458</v>
      </c>
      <c r="E2780" s="30" t="s">
        <v>11927</v>
      </c>
      <c r="F2780" s="30" t="s">
        <v>8672</v>
      </c>
      <c r="G2780" s="30" t="s">
        <v>9844</v>
      </c>
      <c r="H2780" s="30" t="s">
        <v>9845</v>
      </c>
    </row>
    <row r="2781" spans="1:8">
      <c r="A2781" s="30" t="s">
        <v>14459</v>
      </c>
      <c r="B2781" s="30"/>
      <c r="C2781" s="30" t="s">
        <v>8607</v>
      </c>
      <c r="D2781" s="30" t="s">
        <v>14460</v>
      </c>
      <c r="E2781" s="30" t="s">
        <v>9149</v>
      </c>
      <c r="F2781" s="30" t="s">
        <v>8672</v>
      </c>
      <c r="G2781" s="30" t="s">
        <v>9002</v>
      </c>
      <c r="H2781" s="30" t="s">
        <v>14250</v>
      </c>
    </row>
    <row r="2782" spans="1:8">
      <c r="A2782" s="30" t="s">
        <v>14461</v>
      </c>
      <c r="B2782" s="30"/>
      <c r="C2782" s="30" t="s">
        <v>8607</v>
      </c>
      <c r="D2782" s="30" t="s">
        <v>14462</v>
      </c>
      <c r="E2782" s="30" t="s">
        <v>14463</v>
      </c>
      <c r="F2782" s="30" t="s">
        <v>8672</v>
      </c>
      <c r="G2782" s="30" t="s">
        <v>9400</v>
      </c>
      <c r="H2782" s="30" t="s">
        <v>14253</v>
      </c>
    </row>
    <row r="2783" spans="1:8">
      <c r="A2783" s="30" t="s">
        <v>14464</v>
      </c>
      <c r="B2783" s="30"/>
      <c r="C2783" s="30" t="s">
        <v>8607</v>
      </c>
      <c r="D2783" s="30"/>
      <c r="E2783" s="30"/>
      <c r="F2783" s="30"/>
      <c r="G2783" s="30"/>
      <c r="H2783" s="30" t="s">
        <v>14313</v>
      </c>
    </row>
    <row r="2784" spans="1:8">
      <c r="A2784" s="30" t="s">
        <v>14465</v>
      </c>
      <c r="B2784" s="30"/>
      <c r="C2784" s="30" t="s">
        <v>8607</v>
      </c>
      <c r="D2784" s="30" t="s">
        <v>9195</v>
      </c>
      <c r="E2784" s="30"/>
      <c r="F2784" s="30"/>
      <c r="G2784" s="30" t="s">
        <v>8717</v>
      </c>
      <c r="H2784" s="30" t="s">
        <v>14318</v>
      </c>
    </row>
    <row r="2785" spans="1:8">
      <c r="A2785" s="30" t="s">
        <v>14466</v>
      </c>
      <c r="B2785" s="30"/>
      <c r="C2785" s="30" t="s">
        <v>8607</v>
      </c>
      <c r="D2785" s="30" t="s">
        <v>10164</v>
      </c>
      <c r="E2785" s="30"/>
      <c r="F2785" s="30"/>
      <c r="G2785" s="30" t="s">
        <v>8814</v>
      </c>
      <c r="H2785" s="30" t="s">
        <v>14320</v>
      </c>
    </row>
    <row r="2786" spans="1:8">
      <c r="A2786" s="30" t="s">
        <v>14467</v>
      </c>
      <c r="B2786" s="30"/>
      <c r="C2786" s="30" t="s">
        <v>8607</v>
      </c>
      <c r="D2786" s="30"/>
      <c r="E2786" s="30"/>
      <c r="F2786" s="30"/>
      <c r="G2786" s="30" t="s">
        <v>14241</v>
      </c>
      <c r="H2786" s="30" t="s">
        <v>14242</v>
      </c>
    </row>
    <row r="2787" spans="1:8">
      <c r="A2787" s="30" t="s">
        <v>14468</v>
      </c>
      <c r="B2787" s="30"/>
      <c r="C2787" s="30" t="s">
        <v>8607</v>
      </c>
      <c r="D2787" s="30"/>
      <c r="E2787" s="30" t="s">
        <v>14469</v>
      </c>
      <c r="F2787" s="30" t="s">
        <v>8618</v>
      </c>
      <c r="G2787" s="30"/>
      <c r="H2787" s="30" t="s">
        <v>14258</v>
      </c>
    </row>
    <row r="2788" spans="1:8">
      <c r="A2788" s="30" t="s">
        <v>14470</v>
      </c>
      <c r="B2788" s="30"/>
      <c r="C2788" s="30" t="s">
        <v>8607</v>
      </c>
      <c r="D2788" s="30" t="s">
        <v>14471</v>
      </c>
      <c r="E2788" s="30"/>
      <c r="F2788" s="30"/>
      <c r="G2788" s="30" t="s">
        <v>9497</v>
      </c>
      <c r="H2788" s="30" t="s">
        <v>9498</v>
      </c>
    </row>
    <row r="2789" spans="1:8">
      <c r="A2789" s="30" t="s">
        <v>14472</v>
      </c>
      <c r="B2789" s="30"/>
      <c r="C2789" s="30" t="s">
        <v>8607</v>
      </c>
      <c r="D2789" s="30" t="s">
        <v>14473</v>
      </c>
      <c r="E2789" s="30" t="s">
        <v>9501</v>
      </c>
      <c r="F2789" s="30" t="s">
        <v>8672</v>
      </c>
      <c r="G2789" s="30" t="s">
        <v>9039</v>
      </c>
      <c r="H2789" s="30" t="s">
        <v>9502</v>
      </c>
    </row>
    <row r="2790" spans="1:8">
      <c r="A2790" s="30" t="s">
        <v>14474</v>
      </c>
      <c r="B2790" s="30"/>
      <c r="C2790" s="30"/>
      <c r="D2790" s="32" t="s">
        <v>14475</v>
      </c>
      <c r="E2790" s="30"/>
      <c r="F2790" s="30"/>
      <c r="G2790" s="30"/>
      <c r="H2790" s="30" t="s">
        <v>14476</v>
      </c>
    </row>
    <row r="2791" spans="1:8">
      <c r="A2791" s="30" t="s">
        <v>14477</v>
      </c>
      <c r="B2791" s="30"/>
      <c r="C2791" s="30" t="s">
        <v>8607</v>
      </c>
      <c r="D2791" s="30" t="s">
        <v>14478</v>
      </c>
      <c r="E2791" s="30"/>
      <c r="F2791" s="30"/>
      <c r="G2791" s="30" t="s">
        <v>8908</v>
      </c>
      <c r="H2791" s="30" t="s">
        <v>10636</v>
      </c>
    </row>
    <row r="2792" spans="1:8">
      <c r="A2792" s="30" t="s">
        <v>14479</v>
      </c>
      <c r="B2792" s="30"/>
      <c r="C2792" s="30" t="s">
        <v>8607</v>
      </c>
      <c r="D2792" s="30" t="s">
        <v>8654</v>
      </c>
      <c r="E2792" s="30" t="s">
        <v>8655</v>
      </c>
      <c r="F2792" s="30" t="s">
        <v>8618</v>
      </c>
      <c r="G2792" s="30" t="s">
        <v>8656</v>
      </c>
      <c r="H2792" s="30" t="s">
        <v>14480</v>
      </c>
    </row>
    <row r="2793" spans="1:8">
      <c r="A2793" s="30" t="s">
        <v>14481</v>
      </c>
      <c r="B2793" s="30"/>
      <c r="C2793" s="30" t="s">
        <v>8607</v>
      </c>
      <c r="D2793" s="30" t="s">
        <v>12293</v>
      </c>
      <c r="E2793" s="30"/>
      <c r="F2793" s="30"/>
      <c r="G2793" s="30" t="s">
        <v>8667</v>
      </c>
      <c r="H2793" s="30" t="s">
        <v>12536</v>
      </c>
    </row>
    <row r="2794" spans="1:8">
      <c r="A2794" s="30" t="s">
        <v>14482</v>
      </c>
      <c r="B2794" s="30"/>
      <c r="C2794" s="30"/>
      <c r="D2794" s="32"/>
      <c r="E2794" s="30"/>
      <c r="F2794" s="30"/>
      <c r="G2794" s="30"/>
      <c r="H2794" s="30" t="s">
        <v>10899</v>
      </c>
    </row>
    <row r="2795" spans="1:8">
      <c r="A2795" s="30" t="s">
        <v>14483</v>
      </c>
      <c r="B2795" s="30"/>
      <c r="C2795" s="30"/>
      <c r="D2795" s="32" t="s">
        <v>10901</v>
      </c>
      <c r="E2795" s="30"/>
      <c r="F2795" s="30"/>
      <c r="G2795" s="30"/>
      <c r="H2795" s="30" t="s">
        <v>10902</v>
      </c>
    </row>
    <row r="2796" spans="1:8">
      <c r="A2796" s="30" t="s">
        <v>14484</v>
      </c>
      <c r="B2796" s="30"/>
      <c r="C2796" s="30" t="s">
        <v>8626</v>
      </c>
      <c r="D2796" s="30" t="s">
        <v>10522</v>
      </c>
      <c r="E2796" s="30" t="s">
        <v>10523</v>
      </c>
      <c r="F2796" s="30" t="s">
        <v>8672</v>
      </c>
      <c r="G2796" s="30" t="s">
        <v>8673</v>
      </c>
      <c r="H2796" s="30" t="s">
        <v>10495</v>
      </c>
    </row>
    <row r="2797" spans="1:8">
      <c r="A2797" s="30" t="s">
        <v>14485</v>
      </c>
      <c r="B2797" s="30"/>
      <c r="C2797" s="30" t="s">
        <v>8607</v>
      </c>
      <c r="D2797" s="30"/>
      <c r="E2797" s="30"/>
      <c r="F2797" s="30"/>
      <c r="G2797" s="30" t="s">
        <v>8649</v>
      </c>
      <c r="H2797" s="30" t="s">
        <v>10464</v>
      </c>
    </row>
    <row r="2798" spans="1:8">
      <c r="A2798" s="30" t="s">
        <v>14486</v>
      </c>
      <c r="B2798" s="30"/>
      <c r="C2798" s="30" t="s">
        <v>8626</v>
      </c>
      <c r="D2798" s="30" t="s">
        <v>10436</v>
      </c>
      <c r="E2798" s="30"/>
      <c r="F2798" s="30"/>
      <c r="G2798" s="30" t="s">
        <v>9847</v>
      </c>
      <c r="H2798" s="30" t="s">
        <v>10272</v>
      </c>
    </row>
    <row r="2799" spans="1:8">
      <c r="A2799" s="30" t="s">
        <v>14487</v>
      </c>
      <c r="B2799" s="30"/>
      <c r="C2799" s="30" t="s">
        <v>8626</v>
      </c>
      <c r="D2799" s="30"/>
      <c r="E2799" s="30"/>
      <c r="F2799" s="30"/>
      <c r="G2799" s="30" t="s">
        <v>9358</v>
      </c>
      <c r="H2799" s="30" t="s">
        <v>10276</v>
      </c>
    </row>
    <row r="2800" spans="1:8">
      <c r="A2800" s="30" t="s">
        <v>14488</v>
      </c>
      <c r="B2800" s="30"/>
      <c r="C2800" s="30" t="s">
        <v>8607</v>
      </c>
      <c r="D2800" s="30" t="s">
        <v>9005</v>
      </c>
      <c r="E2800" s="30" t="s">
        <v>9006</v>
      </c>
      <c r="F2800" s="30" t="e">
        <v>#VALUE!</v>
      </c>
      <c r="G2800" s="30" t="s">
        <v>9007</v>
      </c>
      <c r="H2800" s="30" t="s">
        <v>10266</v>
      </c>
    </row>
    <row r="2801" spans="1:8">
      <c r="A2801" s="30" t="s">
        <v>14489</v>
      </c>
      <c r="B2801" s="30"/>
      <c r="C2801" s="30" t="s">
        <v>8626</v>
      </c>
      <c r="D2801" s="30" t="s">
        <v>14490</v>
      </c>
      <c r="E2801" s="30" t="s">
        <v>10037</v>
      </c>
      <c r="F2801" s="30" t="s">
        <v>8618</v>
      </c>
      <c r="G2801" s="30" t="s">
        <v>11795</v>
      </c>
      <c r="H2801" s="30" t="s">
        <v>14491</v>
      </c>
    </row>
    <row r="2802" spans="1:8">
      <c r="A2802" s="30" t="s">
        <v>14492</v>
      </c>
      <c r="B2802" s="30"/>
      <c r="C2802" s="30"/>
      <c r="D2802" s="32"/>
      <c r="E2802" s="30"/>
      <c r="F2802" s="30"/>
      <c r="G2802" s="30"/>
      <c r="H2802" s="30" t="s">
        <v>10520</v>
      </c>
    </row>
    <row r="2803" spans="1:8">
      <c r="A2803" s="30" t="s">
        <v>14493</v>
      </c>
      <c r="B2803" s="30"/>
      <c r="C2803" s="30" t="s">
        <v>8607</v>
      </c>
      <c r="D2803" s="30" t="s">
        <v>8703</v>
      </c>
      <c r="E2803" s="30"/>
      <c r="F2803" s="30"/>
      <c r="G2803" s="30" t="s">
        <v>8704</v>
      </c>
      <c r="H2803" s="30" t="s">
        <v>11469</v>
      </c>
    </row>
    <row r="2804" spans="1:8">
      <c r="A2804" s="30" t="s">
        <v>14494</v>
      </c>
      <c r="B2804" s="30"/>
      <c r="C2804" s="30"/>
      <c r="D2804" s="32"/>
      <c r="E2804" s="30" t="s">
        <v>14495</v>
      </c>
      <c r="F2804" s="30" t="e">
        <v>#VALUE!</v>
      </c>
      <c r="G2804" s="30"/>
      <c r="H2804" s="30" t="s">
        <v>14496</v>
      </c>
    </row>
    <row r="2805" spans="1:8">
      <c r="A2805" s="30" t="s">
        <v>14497</v>
      </c>
      <c r="B2805" s="30"/>
      <c r="C2805" s="30" t="s">
        <v>8607</v>
      </c>
      <c r="D2805" s="30"/>
      <c r="E2805" s="30"/>
      <c r="F2805" s="30"/>
      <c r="G2805" s="30" t="s">
        <v>9803</v>
      </c>
      <c r="H2805" s="30" t="s">
        <v>9804</v>
      </c>
    </row>
    <row r="2806" spans="1:8">
      <c r="A2806" s="30" t="s">
        <v>14498</v>
      </c>
      <c r="B2806" s="30"/>
      <c r="C2806" s="30" t="s">
        <v>8626</v>
      </c>
      <c r="D2806" s="30" t="s">
        <v>14499</v>
      </c>
      <c r="E2806" s="30" t="s">
        <v>10037</v>
      </c>
      <c r="F2806" s="30" t="s">
        <v>8618</v>
      </c>
      <c r="G2806" s="30" t="s">
        <v>13905</v>
      </c>
      <c r="H2806" s="30" t="s">
        <v>13906</v>
      </c>
    </row>
    <row r="2807" spans="1:8">
      <c r="A2807" s="30" t="s">
        <v>14500</v>
      </c>
      <c r="B2807" s="30"/>
      <c r="C2807" s="30" t="s">
        <v>8607</v>
      </c>
      <c r="D2807" s="30" t="s">
        <v>14501</v>
      </c>
      <c r="E2807" s="30"/>
      <c r="F2807" s="30"/>
      <c r="G2807" s="30" t="s">
        <v>8609</v>
      </c>
      <c r="H2807" s="30" t="s">
        <v>14502</v>
      </c>
    </row>
    <row r="2808" spans="1:8">
      <c r="A2808" s="30" t="s">
        <v>14503</v>
      </c>
      <c r="B2808" s="30"/>
      <c r="C2808" s="30" t="s">
        <v>8607</v>
      </c>
      <c r="D2808" s="30" t="s">
        <v>14504</v>
      </c>
      <c r="E2808" s="30" t="s">
        <v>9766</v>
      </c>
      <c r="F2808" s="30" t="s">
        <v>8618</v>
      </c>
      <c r="G2808" s="30" t="s">
        <v>9767</v>
      </c>
      <c r="H2808" s="30" t="s">
        <v>12941</v>
      </c>
    </row>
    <row r="2809" spans="1:8">
      <c r="A2809" s="30" t="s">
        <v>14505</v>
      </c>
      <c r="B2809" s="30"/>
      <c r="C2809" s="30" t="s">
        <v>8607</v>
      </c>
      <c r="D2809" s="30"/>
      <c r="E2809" s="30"/>
      <c r="F2809" s="30"/>
      <c r="G2809" s="30" t="s">
        <v>10138</v>
      </c>
      <c r="H2809" s="30" t="s">
        <v>14506</v>
      </c>
    </row>
    <row r="2810" spans="1:8">
      <c r="A2810" s="30" t="s">
        <v>14507</v>
      </c>
      <c r="B2810" s="30"/>
      <c r="C2810" s="30" t="s">
        <v>8607</v>
      </c>
      <c r="D2810" s="30" t="s">
        <v>14165</v>
      </c>
      <c r="E2810" s="30" t="s">
        <v>14508</v>
      </c>
      <c r="F2810" s="30" t="s">
        <v>8672</v>
      </c>
      <c r="G2810" s="30" t="s">
        <v>10789</v>
      </c>
      <c r="H2810" s="30" t="s">
        <v>10794</v>
      </c>
    </row>
    <row r="2811" spans="1:8">
      <c r="A2811" s="30" t="s">
        <v>14509</v>
      </c>
      <c r="B2811" s="30"/>
      <c r="C2811" s="30" t="s">
        <v>8607</v>
      </c>
      <c r="D2811" s="30"/>
      <c r="E2811" s="30"/>
      <c r="F2811" s="30"/>
      <c r="G2811" s="30" t="s">
        <v>10138</v>
      </c>
      <c r="H2811" s="30" t="s">
        <v>14506</v>
      </c>
    </row>
    <row r="2812" spans="1:8">
      <c r="A2812" s="30" t="s">
        <v>14510</v>
      </c>
      <c r="B2812" s="30"/>
      <c r="C2812" s="30" t="s">
        <v>8607</v>
      </c>
      <c r="D2812" s="30"/>
      <c r="E2812" s="30"/>
      <c r="F2812" s="30"/>
      <c r="G2812" s="30" t="s">
        <v>9698</v>
      </c>
      <c r="H2812" s="30" t="s">
        <v>9699</v>
      </c>
    </row>
    <row r="2813" spans="1:8">
      <c r="A2813" s="30" t="s">
        <v>14511</v>
      </c>
      <c r="B2813" s="30"/>
      <c r="C2813" s="30" t="s">
        <v>8607</v>
      </c>
      <c r="D2813" s="30"/>
      <c r="E2813" s="30"/>
      <c r="F2813" s="30"/>
      <c r="G2813" s="30"/>
      <c r="H2813" s="30" t="s">
        <v>12286</v>
      </c>
    </row>
    <row r="2814" spans="1:8">
      <c r="A2814" s="30" t="s">
        <v>14512</v>
      </c>
      <c r="B2814" s="30"/>
      <c r="C2814" s="30" t="s">
        <v>8626</v>
      </c>
      <c r="D2814" s="30"/>
      <c r="E2814" s="30"/>
      <c r="F2814" s="30"/>
      <c r="G2814" s="30" t="s">
        <v>10220</v>
      </c>
      <c r="H2814" s="30" t="s">
        <v>10278</v>
      </c>
    </row>
    <row r="2815" spans="1:8">
      <c r="A2815" s="30" t="s">
        <v>14513</v>
      </c>
      <c r="B2815" s="30"/>
      <c r="C2815" s="30" t="s">
        <v>8607</v>
      </c>
      <c r="D2815" s="30" t="s">
        <v>14514</v>
      </c>
      <c r="E2815" s="30" t="s">
        <v>11551</v>
      </c>
      <c r="F2815" s="30" t="e">
        <v>#VALUE!</v>
      </c>
      <c r="G2815" s="30" t="s">
        <v>9595</v>
      </c>
      <c r="H2815" s="30" t="s">
        <v>14515</v>
      </c>
    </row>
    <row r="2816" spans="1:8">
      <c r="A2816" s="30" t="s">
        <v>14516</v>
      </c>
      <c r="B2816" s="30"/>
      <c r="C2816" s="30"/>
      <c r="D2816" s="32"/>
      <c r="E2816" s="30"/>
      <c r="F2816" s="30"/>
      <c r="G2816" s="30"/>
      <c r="H2816" s="30" t="s">
        <v>14517</v>
      </c>
    </row>
    <row r="2817" spans="1:8">
      <c r="A2817" s="30" t="s">
        <v>14518</v>
      </c>
      <c r="B2817" s="30"/>
      <c r="C2817" s="30" t="s">
        <v>8607</v>
      </c>
      <c r="D2817" s="30" t="s">
        <v>14519</v>
      </c>
      <c r="E2817" s="30" t="s">
        <v>11551</v>
      </c>
      <c r="F2817" s="30" t="e">
        <v>#VALUE!</v>
      </c>
      <c r="G2817" s="30" t="s">
        <v>9595</v>
      </c>
      <c r="H2817" s="30" t="s">
        <v>14520</v>
      </c>
    </row>
    <row r="2818" spans="1:8">
      <c r="A2818" s="30" t="s">
        <v>14521</v>
      </c>
      <c r="B2818" s="30"/>
      <c r="C2818" s="30" t="s">
        <v>8607</v>
      </c>
      <c r="D2818" s="30"/>
      <c r="E2818" s="30"/>
      <c r="F2818" s="30"/>
      <c r="G2818" s="30" t="s">
        <v>9657</v>
      </c>
      <c r="H2818" s="30" t="s">
        <v>14522</v>
      </c>
    </row>
    <row r="2819" spans="1:8">
      <c r="A2819" s="30" t="s">
        <v>14523</v>
      </c>
      <c r="B2819" s="30"/>
      <c r="C2819" s="30" t="s">
        <v>8607</v>
      </c>
      <c r="D2819" s="30"/>
      <c r="E2819" s="30"/>
      <c r="F2819" s="30"/>
      <c r="G2819" s="30"/>
      <c r="H2819" s="30" t="s">
        <v>14524</v>
      </c>
    </row>
    <row r="2820" spans="1:8">
      <c r="A2820" s="30" t="s">
        <v>14525</v>
      </c>
      <c r="B2820" s="30"/>
      <c r="C2820" s="30" t="s">
        <v>8607</v>
      </c>
      <c r="D2820" s="30" t="s">
        <v>9178</v>
      </c>
      <c r="E2820" s="30"/>
      <c r="F2820" s="30"/>
      <c r="G2820" s="30" t="s">
        <v>9002</v>
      </c>
      <c r="H2820" s="30" t="s">
        <v>14526</v>
      </c>
    </row>
    <row r="2821" spans="1:8">
      <c r="A2821" s="30" t="s">
        <v>14527</v>
      </c>
      <c r="B2821" s="30"/>
      <c r="C2821" s="30" t="s">
        <v>8607</v>
      </c>
      <c r="D2821" s="30" t="s">
        <v>14528</v>
      </c>
      <c r="E2821" s="30" t="s">
        <v>9279</v>
      </c>
      <c r="F2821" s="30" t="s">
        <v>8672</v>
      </c>
      <c r="G2821" s="30" t="s">
        <v>9071</v>
      </c>
      <c r="H2821" s="30" t="s">
        <v>14529</v>
      </c>
    </row>
    <row r="2822" spans="1:8">
      <c r="A2822" s="30" t="s">
        <v>14530</v>
      </c>
      <c r="B2822" s="30"/>
      <c r="C2822" s="30" t="s">
        <v>8607</v>
      </c>
      <c r="D2822" s="30"/>
      <c r="E2822" s="30"/>
      <c r="F2822" s="30"/>
      <c r="G2822" s="30"/>
      <c r="H2822" s="30" t="s">
        <v>14531</v>
      </c>
    </row>
    <row r="2823" spans="1:8">
      <c r="A2823" s="30" t="s">
        <v>14532</v>
      </c>
      <c r="B2823" s="30"/>
      <c r="C2823" s="30" t="s">
        <v>8607</v>
      </c>
      <c r="D2823" s="30"/>
      <c r="E2823" s="30" t="s">
        <v>14533</v>
      </c>
      <c r="F2823" s="30" t="s">
        <v>8672</v>
      </c>
      <c r="G2823" s="30" t="s">
        <v>11943</v>
      </c>
      <c r="H2823" s="30" t="s">
        <v>11944</v>
      </c>
    </row>
    <row r="2824" spans="1:8">
      <c r="A2824" s="30" t="s">
        <v>14534</v>
      </c>
      <c r="B2824" s="30"/>
      <c r="C2824" s="30" t="s">
        <v>8607</v>
      </c>
      <c r="D2824" s="30" t="s">
        <v>10667</v>
      </c>
      <c r="E2824" s="30" t="s">
        <v>11288</v>
      </c>
      <c r="F2824" s="30" t="s">
        <v>8618</v>
      </c>
      <c r="G2824" s="30" t="s">
        <v>10668</v>
      </c>
      <c r="H2824" s="30" t="s">
        <v>14535</v>
      </c>
    </row>
    <row r="2825" spans="1:8">
      <c r="A2825" s="30" t="s">
        <v>14536</v>
      </c>
      <c r="B2825" s="30"/>
      <c r="C2825" s="30" t="s">
        <v>8607</v>
      </c>
      <c r="D2825" s="30" t="s">
        <v>14537</v>
      </c>
      <c r="E2825" s="30" t="s">
        <v>14538</v>
      </c>
      <c r="F2825" s="30" t="s">
        <v>8672</v>
      </c>
      <c r="G2825" s="30" t="s">
        <v>10076</v>
      </c>
      <c r="H2825" s="30" t="s">
        <v>14539</v>
      </c>
    </row>
    <row r="2826" spans="1:8">
      <c r="A2826" s="30" t="s">
        <v>14540</v>
      </c>
      <c r="B2826" s="30"/>
      <c r="C2826" s="30" t="s">
        <v>8607</v>
      </c>
      <c r="D2826" s="30" t="s">
        <v>14101</v>
      </c>
      <c r="E2826" s="30" t="s">
        <v>13976</v>
      </c>
      <c r="F2826" s="30" t="s">
        <v>8618</v>
      </c>
      <c r="G2826" s="30" t="s">
        <v>10234</v>
      </c>
      <c r="H2826" s="30" t="s">
        <v>13977</v>
      </c>
    </row>
    <row r="2827" spans="1:8">
      <c r="A2827" s="30" t="s">
        <v>14541</v>
      </c>
      <c r="B2827" s="30"/>
      <c r="C2827" s="30" t="s">
        <v>8607</v>
      </c>
      <c r="D2827" s="30" t="s">
        <v>8928</v>
      </c>
      <c r="E2827" s="30" t="s">
        <v>14542</v>
      </c>
      <c r="F2827" s="30" t="e">
        <v>#VALUE!</v>
      </c>
      <c r="G2827" s="30" t="s">
        <v>8930</v>
      </c>
      <c r="H2827" s="30" t="s">
        <v>8931</v>
      </c>
    </row>
    <row r="2828" spans="1:8">
      <c r="A2828" s="30" t="s">
        <v>14543</v>
      </c>
      <c r="B2828" s="30"/>
      <c r="C2828" s="30" t="s">
        <v>8607</v>
      </c>
      <c r="D2828" s="30"/>
      <c r="E2828" s="30" t="s">
        <v>8628</v>
      </c>
      <c r="F2828" s="30" t="e">
        <v>#VALUE!</v>
      </c>
      <c r="G2828" s="30"/>
      <c r="H2828" s="30" t="s">
        <v>14544</v>
      </c>
    </row>
    <row r="2829" spans="1:8">
      <c r="A2829" s="30" t="s">
        <v>14545</v>
      </c>
      <c r="B2829" s="30"/>
      <c r="C2829" s="30" t="s">
        <v>8626</v>
      </c>
      <c r="D2829" s="30" t="s">
        <v>14546</v>
      </c>
      <c r="E2829" s="30" t="s">
        <v>14547</v>
      </c>
      <c r="F2829" s="30" t="s">
        <v>8618</v>
      </c>
      <c r="G2829" s="30"/>
      <c r="H2829" s="30" t="s">
        <v>14548</v>
      </c>
    </row>
    <row r="2830" spans="1:8">
      <c r="A2830" s="30" t="s">
        <v>14549</v>
      </c>
      <c r="B2830" s="30"/>
      <c r="C2830" s="30" t="s">
        <v>8607</v>
      </c>
      <c r="D2830" s="30" t="s">
        <v>14550</v>
      </c>
      <c r="E2830" s="30" t="s">
        <v>10069</v>
      </c>
      <c r="F2830" s="30" t="e">
        <v>#VALUE!</v>
      </c>
      <c r="G2830" s="30" t="s">
        <v>8637</v>
      </c>
      <c r="H2830" s="30" t="s">
        <v>14551</v>
      </c>
    </row>
    <row r="2831" spans="1:8">
      <c r="A2831" s="30" t="s">
        <v>14552</v>
      </c>
      <c r="B2831" s="30"/>
      <c r="C2831" s="30" t="s">
        <v>8626</v>
      </c>
      <c r="D2831" s="30"/>
      <c r="E2831" s="30" t="s">
        <v>11623</v>
      </c>
      <c r="F2831" s="30" t="s">
        <v>8618</v>
      </c>
      <c r="G2831" s="30" t="s">
        <v>8623</v>
      </c>
      <c r="H2831" s="30" t="s">
        <v>14553</v>
      </c>
    </row>
    <row r="2832" spans="1:8">
      <c r="A2832" s="30" t="s">
        <v>14554</v>
      </c>
      <c r="B2832" s="30"/>
      <c r="C2832" s="30" t="s">
        <v>8607</v>
      </c>
      <c r="D2832" s="30" t="s">
        <v>14555</v>
      </c>
      <c r="E2832" s="30" t="s">
        <v>9554</v>
      </c>
      <c r="F2832" s="30" t="s">
        <v>8672</v>
      </c>
      <c r="G2832" s="30" t="s">
        <v>9555</v>
      </c>
      <c r="H2832" s="30" t="s">
        <v>12995</v>
      </c>
    </row>
    <row r="2833" spans="1:8">
      <c r="A2833" s="30" t="s">
        <v>14556</v>
      </c>
      <c r="B2833" s="30"/>
      <c r="C2833" s="30" t="s">
        <v>8607</v>
      </c>
      <c r="D2833" s="30" t="s">
        <v>9533</v>
      </c>
      <c r="E2833" s="30" t="s">
        <v>9534</v>
      </c>
      <c r="F2833" s="30" t="s">
        <v>8618</v>
      </c>
      <c r="G2833" s="30" t="s">
        <v>9535</v>
      </c>
      <c r="H2833" s="30" t="s">
        <v>13005</v>
      </c>
    </row>
    <row r="2834" spans="1:8">
      <c r="A2834" s="30" t="s">
        <v>14557</v>
      </c>
      <c r="B2834" s="30"/>
      <c r="C2834" s="30"/>
      <c r="D2834" s="32" t="s">
        <v>14558</v>
      </c>
      <c r="E2834" s="30" t="s">
        <v>14559</v>
      </c>
      <c r="F2834" s="30" t="s">
        <v>8642</v>
      </c>
      <c r="G2834" s="30"/>
      <c r="H2834" s="30" t="s">
        <v>14560</v>
      </c>
    </row>
    <row r="2835" spans="1:8">
      <c r="A2835" s="30" t="s">
        <v>14561</v>
      </c>
      <c r="B2835" s="30"/>
      <c r="C2835" s="30" t="s">
        <v>8607</v>
      </c>
      <c r="D2835" s="30"/>
      <c r="E2835" s="30"/>
      <c r="F2835" s="30"/>
      <c r="G2835" s="30"/>
      <c r="H2835" s="30" t="s">
        <v>14562</v>
      </c>
    </row>
    <row r="2836" spans="1:8">
      <c r="A2836" s="30" t="s">
        <v>14563</v>
      </c>
      <c r="B2836" s="30"/>
      <c r="C2836" s="30"/>
      <c r="D2836" s="32"/>
      <c r="E2836" s="30"/>
      <c r="F2836" s="30"/>
      <c r="G2836" s="30"/>
      <c r="H2836" s="30" t="s">
        <v>14564</v>
      </c>
    </row>
    <row r="2837" spans="1:8">
      <c r="A2837" s="30" t="s">
        <v>14565</v>
      </c>
      <c r="B2837" s="30"/>
      <c r="C2837" s="30" t="s">
        <v>8607</v>
      </c>
      <c r="D2837" s="30" t="s">
        <v>9034</v>
      </c>
      <c r="E2837" s="30"/>
      <c r="F2837" s="30"/>
      <c r="G2837" s="30" t="s">
        <v>8667</v>
      </c>
      <c r="H2837" s="30" t="s">
        <v>10066</v>
      </c>
    </row>
    <row r="2838" spans="1:8">
      <c r="A2838" s="30" t="s">
        <v>14566</v>
      </c>
      <c r="B2838" s="30"/>
      <c r="C2838" s="30" t="s">
        <v>8607</v>
      </c>
      <c r="D2838" s="30"/>
      <c r="E2838" s="30"/>
      <c r="F2838" s="30"/>
      <c r="G2838" s="30" t="s">
        <v>14567</v>
      </c>
      <c r="H2838" s="30" t="s">
        <v>14568</v>
      </c>
    </row>
    <row r="2839" spans="1:8">
      <c r="A2839" s="30" t="s">
        <v>14569</v>
      </c>
      <c r="B2839" s="30"/>
      <c r="C2839" s="30" t="s">
        <v>8607</v>
      </c>
      <c r="D2839" s="30" t="s">
        <v>13643</v>
      </c>
      <c r="E2839" s="30" t="s">
        <v>11374</v>
      </c>
      <c r="F2839" s="30" t="s">
        <v>8672</v>
      </c>
      <c r="G2839" s="30" t="s">
        <v>11375</v>
      </c>
      <c r="H2839" s="30" t="s">
        <v>14570</v>
      </c>
    </row>
    <row r="2840" spans="1:8">
      <c r="A2840" s="30" t="s">
        <v>14571</v>
      </c>
      <c r="B2840" s="30"/>
      <c r="C2840" s="30" t="s">
        <v>8626</v>
      </c>
      <c r="D2840" s="30"/>
      <c r="E2840" s="30"/>
      <c r="F2840" s="30"/>
      <c r="G2840" s="30" t="s">
        <v>10138</v>
      </c>
      <c r="H2840" s="30" t="s">
        <v>10284</v>
      </c>
    </row>
    <row r="2841" spans="1:8">
      <c r="A2841" s="30" t="s">
        <v>14572</v>
      </c>
      <c r="B2841" s="30"/>
      <c r="C2841" s="30" t="s">
        <v>8607</v>
      </c>
      <c r="D2841" s="30"/>
      <c r="E2841" s="30"/>
      <c r="F2841" s="30"/>
      <c r="G2841" s="30"/>
      <c r="H2841" s="30" t="s">
        <v>10642</v>
      </c>
    </row>
    <row r="2842" spans="1:8">
      <c r="A2842" s="30" t="s">
        <v>14573</v>
      </c>
      <c r="B2842" s="30"/>
      <c r="C2842" s="30"/>
      <c r="D2842" s="32" t="s">
        <v>14574</v>
      </c>
      <c r="E2842" s="30" t="s">
        <v>14575</v>
      </c>
      <c r="F2842" s="30" t="s">
        <v>8672</v>
      </c>
      <c r="G2842" s="30"/>
      <c r="H2842" s="30" t="s">
        <v>14576</v>
      </c>
    </row>
    <row r="2843" spans="1:8">
      <c r="A2843" s="30" t="s">
        <v>14577</v>
      </c>
      <c r="B2843" s="30"/>
      <c r="C2843" s="30" t="s">
        <v>8607</v>
      </c>
      <c r="D2843" s="30" t="s">
        <v>14578</v>
      </c>
      <c r="E2843" s="30"/>
      <c r="F2843" s="30"/>
      <c r="G2843" s="30" t="s">
        <v>14579</v>
      </c>
      <c r="H2843" s="30" t="s">
        <v>14580</v>
      </c>
    </row>
    <row r="2844" spans="1:8">
      <c r="A2844" s="30" t="s">
        <v>14581</v>
      </c>
      <c r="B2844" s="30"/>
      <c r="C2844" s="30"/>
      <c r="D2844" s="32"/>
      <c r="E2844" s="30"/>
      <c r="F2844" s="30"/>
      <c r="G2844" s="30"/>
      <c r="H2844" s="30" t="s">
        <v>14582</v>
      </c>
    </row>
    <row r="2845" spans="1:8">
      <c r="A2845" s="30" t="s">
        <v>14583</v>
      </c>
      <c r="B2845" s="30"/>
      <c r="C2845" s="30"/>
      <c r="D2845" s="32"/>
      <c r="E2845" s="30"/>
      <c r="F2845" s="30"/>
      <c r="G2845" s="30"/>
      <c r="H2845" s="30" t="s">
        <v>14584</v>
      </c>
    </row>
    <row r="2846" spans="1:8">
      <c r="A2846" s="30" t="s">
        <v>14585</v>
      </c>
      <c r="B2846" s="30"/>
      <c r="C2846" s="30" t="s">
        <v>8607</v>
      </c>
      <c r="D2846" s="30" t="s">
        <v>9090</v>
      </c>
      <c r="E2846" s="30" t="s">
        <v>9051</v>
      </c>
      <c r="F2846" s="30" t="s">
        <v>8672</v>
      </c>
      <c r="G2846" s="30" t="s">
        <v>9052</v>
      </c>
      <c r="H2846" s="30" t="s">
        <v>14586</v>
      </c>
    </row>
    <row r="2847" spans="1:8">
      <c r="A2847" s="30" t="s">
        <v>14587</v>
      </c>
      <c r="B2847" s="30"/>
      <c r="C2847" s="30" t="s">
        <v>8607</v>
      </c>
      <c r="D2847" s="30" t="s">
        <v>9050</v>
      </c>
      <c r="E2847" s="30"/>
      <c r="F2847" s="30"/>
      <c r="G2847" s="30" t="s">
        <v>14588</v>
      </c>
      <c r="H2847" s="30" t="s">
        <v>14589</v>
      </c>
    </row>
    <row r="2848" spans="1:8">
      <c r="A2848" s="30" t="s">
        <v>14590</v>
      </c>
      <c r="B2848" s="30"/>
      <c r="C2848" s="30" t="s">
        <v>8607</v>
      </c>
      <c r="D2848" s="30" t="s">
        <v>14591</v>
      </c>
      <c r="E2848" s="30"/>
      <c r="F2848" s="30"/>
      <c r="G2848" s="30"/>
      <c r="H2848" s="30" t="s">
        <v>14592</v>
      </c>
    </row>
    <row r="2849" spans="1:8">
      <c r="A2849" s="30" t="s">
        <v>14593</v>
      </c>
      <c r="B2849" s="30"/>
      <c r="C2849" s="30" t="s">
        <v>8607</v>
      </c>
      <c r="D2849" s="30" t="s">
        <v>14594</v>
      </c>
      <c r="E2849" s="30" t="s">
        <v>14595</v>
      </c>
      <c r="F2849" s="30" t="s">
        <v>8672</v>
      </c>
      <c r="G2849" s="30" t="s">
        <v>10076</v>
      </c>
      <c r="H2849" s="30" t="s">
        <v>14596</v>
      </c>
    </row>
    <row r="2850" spans="1:8">
      <c r="A2850" s="30" t="s">
        <v>14597</v>
      </c>
      <c r="B2850" s="30"/>
      <c r="C2850" s="30" t="s">
        <v>8607</v>
      </c>
      <c r="D2850" s="30"/>
      <c r="E2850" s="30" t="s">
        <v>14598</v>
      </c>
      <c r="F2850" s="30" t="s">
        <v>8618</v>
      </c>
      <c r="G2850" s="30"/>
      <c r="H2850" s="30" t="s">
        <v>14599</v>
      </c>
    </row>
    <row r="2851" spans="1:8">
      <c r="A2851" s="30" t="s">
        <v>14600</v>
      </c>
      <c r="B2851" s="30"/>
      <c r="C2851" s="30" t="s">
        <v>8607</v>
      </c>
      <c r="D2851" s="30"/>
      <c r="E2851" s="30"/>
      <c r="F2851" s="30"/>
      <c r="G2851" s="30" t="s">
        <v>9976</v>
      </c>
      <c r="H2851" s="30" t="s">
        <v>14601</v>
      </c>
    </row>
    <row r="2852" spans="1:8">
      <c r="A2852" s="30" t="s">
        <v>14602</v>
      </c>
      <c r="B2852" s="30"/>
      <c r="C2852" s="30" t="s">
        <v>8607</v>
      </c>
      <c r="D2852" s="30"/>
      <c r="E2852" s="30"/>
      <c r="F2852" s="30"/>
      <c r="G2852" s="30" t="s">
        <v>9031</v>
      </c>
      <c r="H2852" s="30" t="s">
        <v>14603</v>
      </c>
    </row>
    <row r="2853" spans="1:8">
      <c r="A2853" s="30" t="s">
        <v>14604</v>
      </c>
      <c r="B2853" s="30"/>
      <c r="C2853" s="30" t="s">
        <v>8607</v>
      </c>
      <c r="D2853" s="30"/>
      <c r="E2853" s="30"/>
      <c r="F2853" s="30"/>
      <c r="G2853" s="30" t="s">
        <v>14605</v>
      </c>
      <c r="H2853" s="30" t="s">
        <v>14606</v>
      </c>
    </row>
    <row r="2854" spans="1:8">
      <c r="A2854" s="30" t="s">
        <v>14607</v>
      </c>
      <c r="B2854" s="30"/>
      <c r="C2854" s="30" t="s">
        <v>8607</v>
      </c>
      <c r="D2854" s="30" t="s">
        <v>14608</v>
      </c>
      <c r="E2854" s="30" t="s">
        <v>9566</v>
      </c>
      <c r="F2854" s="30" t="s">
        <v>8618</v>
      </c>
      <c r="G2854" s="30" t="s">
        <v>9567</v>
      </c>
      <c r="H2854" s="30" t="s">
        <v>14609</v>
      </c>
    </row>
    <row r="2855" spans="1:8">
      <c r="A2855" s="30" t="s">
        <v>14610</v>
      </c>
      <c r="B2855" s="30"/>
      <c r="C2855" s="30" t="s">
        <v>8607</v>
      </c>
      <c r="D2855" s="30" t="s">
        <v>14611</v>
      </c>
      <c r="E2855" s="30" t="s">
        <v>14612</v>
      </c>
      <c r="F2855" s="30" t="s">
        <v>8618</v>
      </c>
      <c r="G2855" s="30"/>
      <c r="H2855" s="30" t="s">
        <v>14613</v>
      </c>
    </row>
    <row r="2856" spans="1:8">
      <c r="A2856" s="30" t="s">
        <v>14614</v>
      </c>
      <c r="B2856" s="30"/>
      <c r="C2856" s="30" t="s">
        <v>8607</v>
      </c>
      <c r="D2856" s="30" t="s">
        <v>14615</v>
      </c>
      <c r="E2856" s="30" t="s">
        <v>14616</v>
      </c>
      <c r="F2856" s="30" t="s">
        <v>8618</v>
      </c>
      <c r="G2856" s="30"/>
      <c r="H2856" s="30" t="s">
        <v>14613</v>
      </c>
    </row>
    <row r="2857" spans="1:8">
      <c r="A2857" s="30" t="s">
        <v>14617</v>
      </c>
      <c r="B2857" s="30"/>
      <c r="C2857" s="30" t="s">
        <v>8607</v>
      </c>
      <c r="D2857" s="30"/>
      <c r="E2857" s="30"/>
      <c r="F2857" s="30"/>
      <c r="G2857" s="30" t="s">
        <v>14618</v>
      </c>
      <c r="H2857" s="30" t="s">
        <v>14613</v>
      </c>
    </row>
    <row r="2858" spans="1:8">
      <c r="A2858" s="30" t="s">
        <v>14619</v>
      </c>
      <c r="B2858" s="30"/>
      <c r="C2858" s="30" t="s">
        <v>8607</v>
      </c>
      <c r="D2858" s="30"/>
      <c r="E2858" s="30"/>
      <c r="F2858" s="30"/>
      <c r="G2858" s="30" t="s">
        <v>8729</v>
      </c>
      <c r="H2858" s="30" t="s">
        <v>14620</v>
      </c>
    </row>
    <row r="2859" spans="1:8">
      <c r="A2859" s="30" t="s">
        <v>14621</v>
      </c>
      <c r="B2859" s="30"/>
      <c r="C2859" s="30" t="s">
        <v>8626</v>
      </c>
      <c r="D2859" s="30" t="s">
        <v>14622</v>
      </c>
      <c r="E2859" s="30"/>
      <c r="F2859" s="30"/>
      <c r="G2859" s="30" t="s">
        <v>9018</v>
      </c>
      <c r="H2859" s="30" t="s">
        <v>14623</v>
      </c>
    </row>
    <row r="2860" spans="1:8">
      <c r="A2860" s="30" t="s">
        <v>14624</v>
      </c>
      <c r="B2860" s="30"/>
      <c r="C2860" s="30" t="s">
        <v>8607</v>
      </c>
      <c r="D2860" s="30" t="s">
        <v>14625</v>
      </c>
      <c r="E2860" s="30" t="s">
        <v>14626</v>
      </c>
      <c r="F2860" s="30" t="s">
        <v>8672</v>
      </c>
      <c r="G2860" s="30" t="s">
        <v>14627</v>
      </c>
      <c r="H2860" s="30" t="s">
        <v>14628</v>
      </c>
    </row>
    <row r="2861" spans="1:8">
      <c r="A2861" s="30" t="s">
        <v>14629</v>
      </c>
      <c r="B2861" s="30"/>
      <c r="C2861" s="30" t="s">
        <v>8607</v>
      </c>
      <c r="D2861" s="30"/>
      <c r="E2861" s="30"/>
      <c r="F2861" s="30"/>
      <c r="G2861" s="30" t="s">
        <v>14630</v>
      </c>
      <c r="H2861" s="30" t="s">
        <v>14631</v>
      </c>
    </row>
    <row r="2862" spans="1:8">
      <c r="A2862" s="30" t="s">
        <v>14632</v>
      </c>
      <c r="B2862" s="30"/>
      <c r="C2862" s="30" t="s">
        <v>8607</v>
      </c>
      <c r="D2862" s="30" t="s">
        <v>8982</v>
      </c>
      <c r="E2862" s="30" t="s">
        <v>14633</v>
      </c>
      <c r="F2862" s="30" t="e">
        <v>#VALUE!</v>
      </c>
      <c r="G2862" s="30" t="s">
        <v>8984</v>
      </c>
      <c r="H2862" s="30" t="s">
        <v>8985</v>
      </c>
    </row>
    <row r="2863" spans="1:8">
      <c r="A2863" s="30" t="s">
        <v>14634</v>
      </c>
      <c r="B2863" s="30"/>
      <c r="C2863" s="30" t="s">
        <v>8607</v>
      </c>
      <c r="D2863" s="30"/>
      <c r="E2863" s="30"/>
      <c r="F2863" s="30"/>
      <c r="G2863" s="30" t="s">
        <v>8613</v>
      </c>
      <c r="H2863" s="30" t="s">
        <v>14635</v>
      </c>
    </row>
    <row r="2864" spans="1:8">
      <c r="A2864" s="30" t="s">
        <v>14636</v>
      </c>
      <c r="B2864" s="30"/>
      <c r="C2864" s="30" t="s">
        <v>8626</v>
      </c>
      <c r="D2864" s="30" t="s">
        <v>14637</v>
      </c>
      <c r="E2864" s="30" t="s">
        <v>14638</v>
      </c>
      <c r="F2864" s="30" t="s">
        <v>8618</v>
      </c>
      <c r="G2864" s="30" t="s">
        <v>14639</v>
      </c>
      <c r="H2864" s="30" t="s">
        <v>14640</v>
      </c>
    </row>
    <row r="2865" spans="1:8">
      <c r="A2865" s="30" t="s">
        <v>14641</v>
      </c>
      <c r="B2865" s="30"/>
      <c r="C2865" s="30" t="s">
        <v>8607</v>
      </c>
      <c r="D2865" s="30" t="s">
        <v>8654</v>
      </c>
      <c r="E2865" s="30" t="s">
        <v>8655</v>
      </c>
      <c r="F2865" s="30" t="s">
        <v>8618</v>
      </c>
      <c r="G2865" s="30" t="s">
        <v>8656</v>
      </c>
      <c r="H2865" s="30" t="s">
        <v>9010</v>
      </c>
    </row>
    <row r="2866" spans="1:8">
      <c r="A2866" s="30" t="s">
        <v>14642</v>
      </c>
      <c r="B2866" s="30"/>
      <c r="C2866" s="30"/>
      <c r="D2866" s="32"/>
      <c r="E2866" s="30" t="s">
        <v>14643</v>
      </c>
      <c r="F2866" s="30" t="s">
        <v>8618</v>
      </c>
      <c r="G2866" s="30"/>
      <c r="H2866" s="30" t="s">
        <v>14644</v>
      </c>
    </row>
    <row r="2867" spans="1:8">
      <c r="A2867" s="30" t="s">
        <v>14645</v>
      </c>
      <c r="B2867" s="30"/>
      <c r="C2867" s="30" t="s">
        <v>8607</v>
      </c>
      <c r="D2867" s="30"/>
      <c r="E2867" s="30" t="s">
        <v>14646</v>
      </c>
      <c r="F2867" s="30" t="e">
        <v>#VALUE!</v>
      </c>
      <c r="G2867" s="30" t="s">
        <v>9007</v>
      </c>
      <c r="H2867" s="30" t="s">
        <v>14647</v>
      </c>
    </row>
    <row r="2868" spans="1:8">
      <c r="A2868" s="30" t="s">
        <v>14648</v>
      </c>
      <c r="B2868" s="30"/>
      <c r="C2868" s="30" t="s">
        <v>8607</v>
      </c>
      <c r="D2868" s="30" t="s">
        <v>10491</v>
      </c>
      <c r="E2868" s="30" t="s">
        <v>14649</v>
      </c>
      <c r="F2868" s="30" t="e">
        <v>#VALUE!</v>
      </c>
      <c r="G2868" s="30" t="s">
        <v>9007</v>
      </c>
      <c r="H2868" s="30" t="s">
        <v>9008</v>
      </c>
    </row>
    <row r="2869" spans="1:8">
      <c r="A2869" s="30" t="s">
        <v>14650</v>
      </c>
      <c r="B2869" s="30"/>
      <c r="C2869" s="30" t="s">
        <v>8607</v>
      </c>
      <c r="D2869" s="30"/>
      <c r="E2869" s="30"/>
      <c r="F2869" s="30"/>
      <c r="G2869" s="30" t="s">
        <v>14651</v>
      </c>
      <c r="H2869" s="30" t="s">
        <v>14652</v>
      </c>
    </row>
    <row r="2870" spans="1:8">
      <c r="A2870" s="30" t="s">
        <v>14653</v>
      </c>
      <c r="B2870" s="30"/>
      <c r="C2870" s="30" t="s">
        <v>8607</v>
      </c>
      <c r="D2870" s="30"/>
      <c r="E2870" s="30"/>
      <c r="F2870" s="30"/>
      <c r="G2870" s="30"/>
      <c r="H2870" s="30" t="s">
        <v>8980</v>
      </c>
    </row>
    <row r="2871" spans="1:8">
      <c r="A2871" s="30" t="s">
        <v>14654</v>
      </c>
      <c r="B2871" s="30"/>
      <c r="C2871" s="30" t="s">
        <v>8607</v>
      </c>
      <c r="D2871" s="30"/>
      <c r="E2871" s="30" t="s">
        <v>14655</v>
      </c>
      <c r="F2871" s="30" t="s">
        <v>8672</v>
      </c>
      <c r="G2871" s="30" t="s">
        <v>9023</v>
      </c>
      <c r="H2871" s="30" t="s">
        <v>9024</v>
      </c>
    </row>
    <row r="2872" spans="1:8">
      <c r="A2872" s="30" t="s">
        <v>14656</v>
      </c>
      <c r="B2872" s="30"/>
      <c r="C2872" s="30" t="s">
        <v>8607</v>
      </c>
      <c r="D2872" s="30" t="s">
        <v>10504</v>
      </c>
      <c r="E2872" s="30" t="s">
        <v>9292</v>
      </c>
      <c r="F2872" s="30" t="e">
        <v>#VALUE!</v>
      </c>
      <c r="G2872" s="30" t="s">
        <v>8691</v>
      </c>
      <c r="H2872" s="30" t="s">
        <v>14657</v>
      </c>
    </row>
    <row r="2873" spans="1:8">
      <c r="A2873" s="30" t="s">
        <v>14658</v>
      </c>
      <c r="B2873" s="30"/>
      <c r="C2873" s="30" t="s">
        <v>8607</v>
      </c>
      <c r="D2873" s="30" t="s">
        <v>9012</v>
      </c>
      <c r="E2873" s="30" t="s">
        <v>14659</v>
      </c>
      <c r="F2873" s="30" t="s">
        <v>8672</v>
      </c>
      <c r="G2873" s="30" t="s">
        <v>9014</v>
      </c>
      <c r="H2873" s="30" t="s">
        <v>14660</v>
      </c>
    </row>
    <row r="2874" spans="1:8">
      <c r="A2874" s="30" t="s">
        <v>14661</v>
      </c>
      <c r="B2874" s="30"/>
      <c r="C2874" s="30" t="s">
        <v>8607</v>
      </c>
      <c r="D2874" s="30" t="s">
        <v>14662</v>
      </c>
      <c r="E2874" s="30" t="s">
        <v>8988</v>
      </c>
      <c r="F2874" s="30" t="s">
        <v>8618</v>
      </c>
      <c r="G2874" s="30" t="s">
        <v>8989</v>
      </c>
      <c r="H2874" s="30" t="s">
        <v>8990</v>
      </c>
    </row>
    <row r="2875" spans="1:8">
      <c r="A2875" s="30" t="s">
        <v>14663</v>
      </c>
      <c r="B2875" s="30"/>
      <c r="C2875" s="30" t="s">
        <v>8607</v>
      </c>
      <c r="D2875" s="30"/>
      <c r="E2875" s="30"/>
      <c r="F2875" s="30"/>
      <c r="G2875" s="30"/>
      <c r="H2875" s="30" t="s">
        <v>14664</v>
      </c>
    </row>
    <row r="2876" spans="1:8">
      <c r="A2876" s="30" t="s">
        <v>14665</v>
      </c>
      <c r="B2876" s="30"/>
      <c r="C2876" s="30" t="s">
        <v>8607</v>
      </c>
      <c r="D2876" s="30"/>
      <c r="E2876" s="30"/>
      <c r="F2876" s="30"/>
      <c r="G2876" s="30" t="s">
        <v>8646</v>
      </c>
      <c r="H2876" s="30" t="s">
        <v>8992</v>
      </c>
    </row>
    <row r="2877" spans="1:8">
      <c r="A2877" s="30" t="s">
        <v>14666</v>
      </c>
      <c r="B2877" s="30"/>
      <c r="C2877" s="30" t="s">
        <v>8607</v>
      </c>
      <c r="D2877" s="30"/>
      <c r="E2877" s="30"/>
      <c r="F2877" s="30"/>
      <c r="G2877" s="30"/>
      <c r="H2877" s="30" t="s">
        <v>14667</v>
      </c>
    </row>
    <row r="2878" spans="1:8">
      <c r="A2878" s="30" t="s">
        <v>14668</v>
      </c>
      <c r="B2878" s="30"/>
      <c r="C2878" s="30" t="s">
        <v>8607</v>
      </c>
      <c r="D2878" s="30" t="s">
        <v>13022</v>
      </c>
      <c r="E2878" s="30" t="s">
        <v>14669</v>
      </c>
      <c r="F2878" s="30" t="s">
        <v>8672</v>
      </c>
      <c r="G2878" s="30" t="s">
        <v>10076</v>
      </c>
      <c r="H2878" s="30" t="s">
        <v>14670</v>
      </c>
    </row>
    <row r="2879" spans="1:8">
      <c r="A2879" s="30" t="s">
        <v>14671</v>
      </c>
      <c r="B2879" s="30"/>
      <c r="C2879" s="30" t="s">
        <v>8607</v>
      </c>
      <c r="D2879" s="30"/>
      <c r="E2879" s="30"/>
      <c r="F2879" s="30"/>
      <c r="G2879" s="30" t="s">
        <v>14672</v>
      </c>
      <c r="H2879" s="30" t="s">
        <v>14673</v>
      </c>
    </row>
    <row r="2880" spans="1:8">
      <c r="A2880" s="30" t="s">
        <v>14674</v>
      </c>
      <c r="B2880" s="30"/>
      <c r="C2880" s="30"/>
      <c r="D2880" s="32"/>
      <c r="E2880" s="30" t="s">
        <v>14675</v>
      </c>
      <c r="F2880" s="30" t="e">
        <v>#VALUE!</v>
      </c>
      <c r="G2880" s="30"/>
      <c r="H2880" s="30" t="s">
        <v>14676</v>
      </c>
    </row>
    <row r="2881" spans="1:8">
      <c r="A2881" s="30" t="s">
        <v>14677</v>
      </c>
      <c r="B2881" s="30"/>
      <c r="C2881" s="30" t="s">
        <v>8607</v>
      </c>
      <c r="D2881" s="30" t="s">
        <v>11525</v>
      </c>
      <c r="E2881" s="30" t="s">
        <v>11526</v>
      </c>
      <c r="F2881" s="30" t="s">
        <v>8672</v>
      </c>
      <c r="G2881" s="30" t="s">
        <v>11527</v>
      </c>
      <c r="H2881" s="30" t="s">
        <v>11528</v>
      </c>
    </row>
    <row r="2882" spans="1:8">
      <c r="A2882" s="30" t="s">
        <v>14678</v>
      </c>
      <c r="B2882" s="30"/>
      <c r="C2882" s="30" t="s">
        <v>8607</v>
      </c>
      <c r="D2882" s="30"/>
      <c r="E2882" s="30" t="s">
        <v>10426</v>
      </c>
      <c r="F2882" s="30" t="s">
        <v>8618</v>
      </c>
      <c r="G2882" s="30" t="s">
        <v>10427</v>
      </c>
      <c r="H2882" s="30" t="s">
        <v>14679</v>
      </c>
    </row>
    <row r="2883" spans="1:8">
      <c r="A2883" s="30" t="s">
        <v>14680</v>
      </c>
      <c r="B2883" s="30"/>
      <c r="C2883" s="30" t="s">
        <v>8626</v>
      </c>
      <c r="D2883" s="30" t="s">
        <v>14681</v>
      </c>
      <c r="E2883" s="30" t="s">
        <v>12790</v>
      </c>
      <c r="F2883" s="30" t="s">
        <v>8618</v>
      </c>
      <c r="G2883" s="30" t="s">
        <v>12791</v>
      </c>
      <c r="H2883" s="30" t="s">
        <v>14682</v>
      </c>
    </row>
    <row r="2884" spans="1:8">
      <c r="A2884" s="30" t="s">
        <v>14683</v>
      </c>
      <c r="B2884" s="30"/>
      <c r="C2884" s="30" t="s">
        <v>8607</v>
      </c>
      <c r="D2884" s="30"/>
      <c r="E2884" s="30"/>
      <c r="F2884" s="30"/>
      <c r="G2884" s="30"/>
      <c r="H2884" s="30" t="s">
        <v>13026</v>
      </c>
    </row>
    <row r="2885" spans="1:8">
      <c r="A2885" s="30" t="s">
        <v>14684</v>
      </c>
      <c r="B2885" s="30"/>
      <c r="C2885" s="30" t="s">
        <v>8607</v>
      </c>
      <c r="D2885" s="30" t="s">
        <v>14685</v>
      </c>
      <c r="E2885" s="30" t="s">
        <v>14059</v>
      </c>
      <c r="F2885" s="30" t="s">
        <v>8672</v>
      </c>
      <c r="G2885" s="30" t="s">
        <v>9378</v>
      </c>
      <c r="H2885" s="30" t="s">
        <v>14686</v>
      </c>
    </row>
    <row r="2886" spans="1:8">
      <c r="A2886" s="30" t="s">
        <v>14687</v>
      </c>
      <c r="B2886" s="30"/>
      <c r="C2886" s="30" t="s">
        <v>8607</v>
      </c>
      <c r="D2886" s="30" t="s">
        <v>14688</v>
      </c>
      <c r="E2886" s="30"/>
      <c r="F2886" s="30"/>
      <c r="G2886" s="30" t="s">
        <v>9543</v>
      </c>
      <c r="H2886" s="30" t="s">
        <v>14689</v>
      </c>
    </row>
    <row r="2887" spans="1:8">
      <c r="A2887" s="30" t="s">
        <v>14690</v>
      </c>
      <c r="B2887" s="30"/>
      <c r="C2887" s="30" t="s">
        <v>8607</v>
      </c>
      <c r="D2887" s="30"/>
      <c r="E2887" s="30"/>
      <c r="F2887" s="30"/>
      <c r="G2887" s="30" t="s">
        <v>14691</v>
      </c>
      <c r="H2887" s="30" t="s">
        <v>14692</v>
      </c>
    </row>
    <row r="2888" spans="1:8">
      <c r="A2888" s="30" t="s">
        <v>14693</v>
      </c>
      <c r="B2888" s="30"/>
      <c r="C2888" s="30" t="s">
        <v>8626</v>
      </c>
      <c r="D2888" s="30" t="s">
        <v>14694</v>
      </c>
      <c r="E2888" s="30" t="s">
        <v>14695</v>
      </c>
      <c r="F2888" s="30" t="s">
        <v>8672</v>
      </c>
      <c r="G2888" s="30" t="s">
        <v>9378</v>
      </c>
      <c r="H2888" s="30" t="s">
        <v>14696</v>
      </c>
    </row>
    <row r="2889" spans="1:8">
      <c r="A2889" s="30" t="s">
        <v>14697</v>
      </c>
      <c r="B2889" s="30"/>
      <c r="C2889" s="30" t="s">
        <v>8607</v>
      </c>
      <c r="D2889" s="30"/>
      <c r="E2889" s="30"/>
      <c r="F2889" s="30"/>
      <c r="G2889" s="30"/>
      <c r="H2889" s="30" t="s">
        <v>14698</v>
      </c>
    </row>
    <row r="2890" spans="1:8">
      <c r="A2890" s="30" t="s">
        <v>14699</v>
      </c>
      <c r="B2890" s="30"/>
      <c r="C2890" s="30" t="s">
        <v>8607</v>
      </c>
      <c r="D2890" s="30" t="s">
        <v>8707</v>
      </c>
      <c r="E2890" s="30"/>
      <c r="F2890" s="30"/>
      <c r="G2890" s="30" t="s">
        <v>8708</v>
      </c>
      <c r="H2890" s="30" t="s">
        <v>9193</v>
      </c>
    </row>
    <row r="2891" spans="1:8">
      <c r="A2891" s="30" t="s">
        <v>14700</v>
      </c>
      <c r="B2891" s="30"/>
      <c r="C2891" s="30" t="s">
        <v>8607</v>
      </c>
      <c r="D2891" s="30" t="s">
        <v>8938</v>
      </c>
      <c r="E2891" s="30"/>
      <c r="F2891" s="30"/>
      <c r="G2891" s="30" t="s">
        <v>8737</v>
      </c>
      <c r="H2891" s="30" t="s">
        <v>14701</v>
      </c>
    </row>
    <row r="2892" spans="1:8">
      <c r="A2892" s="30" t="s">
        <v>14702</v>
      </c>
      <c r="B2892" s="30"/>
      <c r="C2892" s="30" t="s">
        <v>8607</v>
      </c>
      <c r="D2892" s="30"/>
      <c r="E2892" s="30"/>
      <c r="F2892" s="30"/>
      <c r="G2892" s="30" t="s">
        <v>9657</v>
      </c>
      <c r="H2892" s="30" t="s">
        <v>14703</v>
      </c>
    </row>
    <row r="2893" spans="1:8">
      <c r="A2893" s="30" t="s">
        <v>14704</v>
      </c>
      <c r="B2893" s="30"/>
      <c r="C2893" s="30"/>
      <c r="D2893" s="32"/>
      <c r="E2893" s="30"/>
      <c r="F2893" s="30"/>
      <c r="G2893" s="30"/>
      <c r="H2893" s="30" t="s">
        <v>14705</v>
      </c>
    </row>
    <row r="2894" spans="1:8">
      <c r="A2894" s="30" t="s">
        <v>14706</v>
      </c>
      <c r="B2894" s="30"/>
      <c r="C2894" s="30" t="s">
        <v>8607</v>
      </c>
      <c r="D2894" s="30" t="s">
        <v>14707</v>
      </c>
      <c r="E2894" s="30"/>
      <c r="F2894" s="30"/>
      <c r="G2894" s="30" t="s">
        <v>14084</v>
      </c>
      <c r="H2894" s="30" t="s">
        <v>14085</v>
      </c>
    </row>
    <row r="2895" spans="1:8">
      <c r="A2895" s="30" t="s">
        <v>14708</v>
      </c>
      <c r="B2895" s="30"/>
      <c r="C2895" s="30" t="s">
        <v>8607</v>
      </c>
      <c r="D2895" s="30"/>
      <c r="E2895" s="30"/>
      <c r="F2895" s="30"/>
      <c r="G2895" s="30" t="s">
        <v>13649</v>
      </c>
      <c r="H2895" s="30" t="s">
        <v>14217</v>
      </c>
    </row>
    <row r="2896" spans="1:8">
      <c r="A2896" s="30" t="s">
        <v>14709</v>
      </c>
      <c r="B2896" s="30"/>
      <c r="C2896" s="30" t="s">
        <v>8607</v>
      </c>
      <c r="D2896" s="30" t="s">
        <v>9369</v>
      </c>
      <c r="E2896" s="30" t="s">
        <v>9547</v>
      </c>
      <c r="F2896" s="30" t="s">
        <v>8672</v>
      </c>
      <c r="G2896" s="30" t="s">
        <v>9366</v>
      </c>
      <c r="H2896" s="30" t="s">
        <v>14087</v>
      </c>
    </row>
    <row r="2897" spans="1:8">
      <c r="A2897" s="30" t="s">
        <v>14710</v>
      </c>
      <c r="B2897" s="30"/>
      <c r="C2897" s="30" t="s">
        <v>8607</v>
      </c>
      <c r="D2897" s="30"/>
      <c r="E2897" s="30"/>
      <c r="F2897" s="30"/>
      <c r="G2897" s="30" t="s">
        <v>14135</v>
      </c>
      <c r="H2897" s="30" t="s">
        <v>14711</v>
      </c>
    </row>
    <row r="2898" spans="1:8">
      <c r="A2898" s="30" t="s">
        <v>14712</v>
      </c>
      <c r="B2898" s="30"/>
      <c r="C2898" s="30" t="s">
        <v>8607</v>
      </c>
      <c r="D2898" s="30" t="s">
        <v>14053</v>
      </c>
      <c r="E2898" s="30" t="s">
        <v>9539</v>
      </c>
      <c r="F2898" s="30" t="s">
        <v>8672</v>
      </c>
      <c r="G2898" s="30" t="s">
        <v>9384</v>
      </c>
      <c r="H2898" s="30" t="s">
        <v>14372</v>
      </c>
    </row>
    <row r="2899" spans="1:8">
      <c r="A2899" s="30" t="s">
        <v>14713</v>
      </c>
      <c r="B2899" s="30"/>
      <c r="C2899" s="30" t="s">
        <v>8607</v>
      </c>
      <c r="D2899" s="30"/>
      <c r="E2899" s="30"/>
      <c r="F2899" s="30"/>
      <c r="G2899" s="30" t="s">
        <v>14714</v>
      </c>
      <c r="H2899" s="30" t="s">
        <v>14715</v>
      </c>
    </row>
    <row r="2900" spans="1:8">
      <c r="A2900" s="30" t="s">
        <v>14716</v>
      </c>
      <c r="B2900" s="30"/>
      <c r="C2900" s="30" t="s">
        <v>8607</v>
      </c>
      <c r="D2900" s="30" t="s">
        <v>10377</v>
      </c>
      <c r="E2900" s="30"/>
      <c r="F2900" s="30"/>
      <c r="G2900" s="30" t="s">
        <v>8737</v>
      </c>
      <c r="H2900" s="30" t="s">
        <v>14076</v>
      </c>
    </row>
    <row r="2901" spans="1:8">
      <c r="A2901" s="30" t="s">
        <v>14717</v>
      </c>
      <c r="B2901" s="30"/>
      <c r="C2901" s="30" t="s">
        <v>8607</v>
      </c>
      <c r="D2901" s="30" t="s">
        <v>14718</v>
      </c>
      <c r="E2901" s="30" t="s">
        <v>9051</v>
      </c>
      <c r="F2901" s="30" t="s">
        <v>8672</v>
      </c>
      <c r="G2901" s="30" t="s">
        <v>9052</v>
      </c>
      <c r="H2901" s="30" t="s">
        <v>14082</v>
      </c>
    </row>
    <row r="2902" spans="1:8">
      <c r="A2902" s="30" t="s">
        <v>14719</v>
      </c>
      <c r="B2902" s="30"/>
      <c r="C2902" s="30" t="s">
        <v>8607</v>
      </c>
      <c r="D2902" s="30"/>
      <c r="E2902" s="30"/>
      <c r="F2902" s="30"/>
      <c r="G2902" s="30" t="s">
        <v>14055</v>
      </c>
      <c r="H2902" s="30" t="s">
        <v>14720</v>
      </c>
    </row>
    <row r="2903" spans="1:8">
      <c r="A2903" s="30" t="s">
        <v>14721</v>
      </c>
      <c r="B2903" s="30"/>
      <c r="C2903" s="30" t="s">
        <v>8607</v>
      </c>
      <c r="D2903" s="30"/>
      <c r="E2903" s="30"/>
      <c r="F2903" s="30"/>
      <c r="G2903" s="30" t="s">
        <v>14069</v>
      </c>
      <c r="H2903" s="30" t="s">
        <v>14722</v>
      </c>
    </row>
    <row r="2904" spans="1:8">
      <c r="A2904" s="30" t="s">
        <v>14723</v>
      </c>
      <c r="B2904" s="30"/>
      <c r="C2904" s="30" t="s">
        <v>8607</v>
      </c>
      <c r="D2904" s="30" t="s">
        <v>14072</v>
      </c>
      <c r="E2904" s="30"/>
      <c r="F2904" s="30"/>
      <c r="G2904" s="30" t="s">
        <v>9175</v>
      </c>
      <c r="H2904" s="30" t="s">
        <v>14724</v>
      </c>
    </row>
    <row r="2905" spans="1:8">
      <c r="A2905" s="30" t="s">
        <v>14725</v>
      </c>
      <c r="B2905" s="30"/>
      <c r="C2905" s="30" t="s">
        <v>8626</v>
      </c>
      <c r="D2905" s="30" t="s">
        <v>14726</v>
      </c>
      <c r="E2905" s="30"/>
      <c r="F2905" s="30"/>
      <c r="G2905" s="30" t="s">
        <v>9735</v>
      </c>
      <c r="H2905" s="30" t="s">
        <v>14727</v>
      </c>
    </row>
    <row r="2906" spans="1:8">
      <c r="A2906" s="30" t="s">
        <v>14728</v>
      </c>
      <c r="B2906" s="30"/>
      <c r="C2906" s="30" t="s">
        <v>8626</v>
      </c>
      <c r="D2906" s="30" t="s">
        <v>14729</v>
      </c>
      <c r="E2906" s="30" t="s">
        <v>14730</v>
      </c>
      <c r="F2906" s="30" t="e">
        <v>#VALUE!</v>
      </c>
      <c r="G2906" s="30" t="s">
        <v>14066</v>
      </c>
      <c r="H2906" s="30" t="s">
        <v>14731</v>
      </c>
    </row>
    <row r="2907" spans="1:8">
      <c r="A2907" s="30" t="s">
        <v>14732</v>
      </c>
      <c r="B2907" s="30"/>
      <c r="C2907" s="30" t="s">
        <v>8607</v>
      </c>
      <c r="D2907" s="30" t="s">
        <v>10780</v>
      </c>
      <c r="E2907" s="30"/>
      <c r="F2907" s="30"/>
      <c r="G2907" s="30" t="s">
        <v>10395</v>
      </c>
      <c r="H2907" s="30" t="s">
        <v>14080</v>
      </c>
    </row>
    <row r="2908" spans="1:8">
      <c r="A2908" s="30" t="s">
        <v>14733</v>
      </c>
      <c r="B2908" s="30"/>
      <c r="C2908" s="30" t="s">
        <v>8607</v>
      </c>
      <c r="D2908" s="30" t="s">
        <v>14734</v>
      </c>
      <c r="E2908" s="30" t="s">
        <v>14282</v>
      </c>
      <c r="F2908" s="30" t="s">
        <v>8618</v>
      </c>
      <c r="G2908" s="30" t="s">
        <v>9268</v>
      </c>
      <c r="H2908" s="30" t="s">
        <v>14283</v>
      </c>
    </row>
    <row r="2909" spans="1:8">
      <c r="A2909" s="30" t="s">
        <v>14735</v>
      </c>
      <c r="B2909" s="30"/>
      <c r="C2909" s="30" t="s">
        <v>8607</v>
      </c>
      <c r="D2909" s="30"/>
      <c r="E2909" s="30"/>
      <c r="F2909" s="30"/>
      <c r="G2909" s="30" t="s">
        <v>9018</v>
      </c>
      <c r="H2909" s="30" t="s">
        <v>14736</v>
      </c>
    </row>
    <row r="2910" spans="1:8">
      <c r="A2910" s="30" t="s">
        <v>14737</v>
      </c>
      <c r="B2910" s="30"/>
      <c r="C2910" s="30" t="s">
        <v>8607</v>
      </c>
      <c r="D2910" s="30"/>
      <c r="E2910" s="30"/>
      <c r="F2910" s="30"/>
      <c r="G2910" s="30" t="s">
        <v>14440</v>
      </c>
      <c r="H2910" s="30" t="s">
        <v>14738</v>
      </c>
    </row>
    <row r="2911" spans="1:8">
      <c r="A2911" s="30" t="s">
        <v>14739</v>
      </c>
      <c r="B2911" s="30"/>
      <c r="C2911" s="30" t="s">
        <v>8607</v>
      </c>
      <c r="D2911" s="30" t="s">
        <v>14740</v>
      </c>
      <c r="E2911" s="30" t="s">
        <v>14741</v>
      </c>
      <c r="F2911" s="30" t="s">
        <v>8672</v>
      </c>
      <c r="G2911" s="30" t="s">
        <v>9160</v>
      </c>
      <c r="H2911" s="30" t="s">
        <v>14742</v>
      </c>
    </row>
    <row r="2912" spans="1:8">
      <c r="A2912" s="30" t="s">
        <v>14743</v>
      </c>
      <c r="B2912" s="30"/>
      <c r="C2912" s="30" t="s">
        <v>8607</v>
      </c>
      <c r="D2912" s="30" t="s">
        <v>14744</v>
      </c>
      <c r="E2912" s="30" t="s">
        <v>14745</v>
      </c>
      <c r="F2912" s="30" t="s">
        <v>8672</v>
      </c>
      <c r="G2912" s="30" t="s">
        <v>14746</v>
      </c>
      <c r="H2912" s="30" t="s">
        <v>14747</v>
      </c>
    </row>
    <row r="2913" spans="1:8">
      <c r="A2913" s="30" t="s">
        <v>14748</v>
      </c>
      <c r="B2913" s="30"/>
      <c r="C2913" s="30" t="s">
        <v>8607</v>
      </c>
      <c r="D2913" s="30"/>
      <c r="E2913" s="30"/>
      <c r="F2913" s="30"/>
      <c r="G2913" s="30" t="s">
        <v>9657</v>
      </c>
      <c r="H2913" s="30" t="s">
        <v>14749</v>
      </c>
    </row>
    <row r="2914" spans="1:8">
      <c r="A2914" s="30" t="s">
        <v>14750</v>
      </c>
      <c r="B2914" s="30"/>
      <c r="C2914" s="30" t="s">
        <v>8607</v>
      </c>
      <c r="D2914" s="30" t="s">
        <v>9507</v>
      </c>
      <c r="E2914" s="30" t="s">
        <v>9139</v>
      </c>
      <c r="F2914" s="30" t="s">
        <v>8672</v>
      </c>
      <c r="G2914" s="30" t="s">
        <v>12270</v>
      </c>
      <c r="H2914" s="30" t="s">
        <v>12271</v>
      </c>
    </row>
    <row r="2915" spans="1:8">
      <c r="A2915" s="30" t="s">
        <v>14751</v>
      </c>
      <c r="B2915" s="30"/>
      <c r="C2915" s="30" t="s">
        <v>8607</v>
      </c>
      <c r="D2915" s="30" t="s">
        <v>14752</v>
      </c>
      <c r="E2915" s="30" t="s">
        <v>11623</v>
      </c>
      <c r="F2915" s="30" t="s">
        <v>8618</v>
      </c>
      <c r="G2915" s="30" t="s">
        <v>8623</v>
      </c>
      <c r="H2915" s="30" t="s">
        <v>14753</v>
      </c>
    </row>
    <row r="2916" spans="1:8">
      <c r="A2916" s="30" t="s">
        <v>14754</v>
      </c>
      <c r="B2916" s="30"/>
      <c r="C2916" s="30" t="s">
        <v>8607</v>
      </c>
      <c r="D2916" s="30"/>
      <c r="E2916" s="30"/>
      <c r="F2916" s="30"/>
      <c r="G2916" s="30" t="s">
        <v>14285</v>
      </c>
      <c r="H2916" s="30" t="s">
        <v>14755</v>
      </c>
    </row>
    <row r="2917" spans="1:8">
      <c r="A2917" s="30" t="s">
        <v>14756</v>
      </c>
      <c r="B2917" s="30"/>
      <c r="C2917" s="30" t="s">
        <v>8607</v>
      </c>
      <c r="D2917" s="30" t="s">
        <v>12268</v>
      </c>
      <c r="E2917" s="30" t="s">
        <v>14757</v>
      </c>
      <c r="F2917" s="30" t="s">
        <v>8672</v>
      </c>
      <c r="G2917" s="30" t="s">
        <v>12270</v>
      </c>
      <c r="H2917" s="30" t="s">
        <v>12271</v>
      </c>
    </row>
    <row r="2918" spans="1:8">
      <c r="A2918" s="30" t="s">
        <v>14758</v>
      </c>
      <c r="B2918" s="30"/>
      <c r="C2918" s="30" t="s">
        <v>8626</v>
      </c>
      <c r="D2918" s="30"/>
      <c r="E2918" s="30" t="s">
        <v>8628</v>
      </c>
      <c r="F2918" s="30" t="e">
        <v>#VALUE!</v>
      </c>
      <c r="G2918" s="30"/>
      <c r="H2918" s="30" t="s">
        <v>14759</v>
      </c>
    </row>
    <row r="2919" spans="1:8">
      <c r="A2919" s="30" t="s">
        <v>14760</v>
      </c>
      <c r="B2919" s="30"/>
      <c r="C2919" s="30" t="s">
        <v>8607</v>
      </c>
      <c r="D2919" s="30"/>
      <c r="E2919" s="30" t="s">
        <v>14761</v>
      </c>
      <c r="F2919" s="30" t="s">
        <v>8618</v>
      </c>
      <c r="G2919" s="30" t="s">
        <v>13832</v>
      </c>
      <c r="H2919" s="30" t="s">
        <v>14762</v>
      </c>
    </row>
    <row r="2920" spans="1:8">
      <c r="A2920" s="30" t="s">
        <v>14763</v>
      </c>
      <c r="B2920" s="30"/>
      <c r="C2920" s="30" t="s">
        <v>8626</v>
      </c>
      <c r="D2920" s="30" t="s">
        <v>14764</v>
      </c>
      <c r="E2920" s="30" t="s">
        <v>14765</v>
      </c>
      <c r="F2920" s="30" t="e">
        <v>#VALUE!</v>
      </c>
      <c r="G2920" s="30" t="s">
        <v>14766</v>
      </c>
      <c r="H2920" s="30" t="s">
        <v>14767</v>
      </c>
    </row>
    <row r="2921" spans="1:8">
      <c r="A2921" s="30" t="s">
        <v>14768</v>
      </c>
      <c r="B2921" s="30"/>
      <c r="C2921" s="30" t="s">
        <v>8607</v>
      </c>
      <c r="D2921" s="30" t="s">
        <v>10667</v>
      </c>
      <c r="E2921" s="30"/>
      <c r="F2921" s="30"/>
      <c r="G2921" s="30" t="s">
        <v>10668</v>
      </c>
      <c r="H2921" s="30" t="s">
        <v>14535</v>
      </c>
    </row>
    <row r="2922" spans="1:8">
      <c r="A2922" s="30" t="s">
        <v>14769</v>
      </c>
      <c r="B2922" s="30"/>
      <c r="C2922" s="30" t="s">
        <v>8607</v>
      </c>
      <c r="D2922" s="30" t="s">
        <v>14770</v>
      </c>
      <c r="E2922" s="30" t="s">
        <v>13368</v>
      </c>
      <c r="F2922" s="30" t="s">
        <v>8672</v>
      </c>
      <c r="G2922" s="30" t="s">
        <v>9677</v>
      </c>
      <c r="H2922" s="30" t="s">
        <v>14771</v>
      </c>
    </row>
    <row r="2923" spans="1:8">
      <c r="A2923" s="30" t="s">
        <v>14772</v>
      </c>
      <c r="B2923" s="30"/>
      <c r="C2923" s="30" t="s">
        <v>8607</v>
      </c>
      <c r="D2923" s="30"/>
      <c r="E2923" s="30"/>
      <c r="F2923" s="30"/>
      <c r="G2923" s="30" t="s">
        <v>14773</v>
      </c>
      <c r="H2923" s="30" t="s">
        <v>14774</v>
      </c>
    </row>
    <row r="2924" spans="1:8">
      <c r="A2924" s="30" t="s">
        <v>14775</v>
      </c>
      <c r="B2924" s="30"/>
      <c r="C2924" s="30" t="s">
        <v>8607</v>
      </c>
      <c r="D2924" s="30"/>
      <c r="E2924" s="30" t="s">
        <v>14776</v>
      </c>
      <c r="F2924" s="30" t="s">
        <v>8618</v>
      </c>
      <c r="G2924" s="30"/>
      <c r="H2924" s="30" t="s">
        <v>14777</v>
      </c>
    </row>
    <row r="2925" spans="1:8">
      <c r="A2925" s="30" t="s">
        <v>14778</v>
      </c>
      <c r="B2925" s="30"/>
      <c r="C2925" s="30" t="s">
        <v>8626</v>
      </c>
      <c r="D2925" s="30" t="s">
        <v>14779</v>
      </c>
      <c r="E2925" s="30" t="s">
        <v>14780</v>
      </c>
      <c r="F2925" s="30" t="s">
        <v>8618</v>
      </c>
      <c r="G2925" s="30"/>
      <c r="H2925" s="30" t="s">
        <v>14781</v>
      </c>
    </row>
    <row r="2926" spans="1:8">
      <c r="A2926" s="30" t="s">
        <v>14782</v>
      </c>
      <c r="B2926" s="30"/>
      <c r="C2926" s="30" t="s">
        <v>8626</v>
      </c>
      <c r="D2926" s="30" t="s">
        <v>14783</v>
      </c>
      <c r="E2926" s="30" t="s">
        <v>14784</v>
      </c>
      <c r="F2926" s="30" t="s">
        <v>8672</v>
      </c>
      <c r="G2926" s="30" t="s">
        <v>11540</v>
      </c>
      <c r="H2926" s="30" t="s">
        <v>14785</v>
      </c>
    </row>
    <row r="2927" spans="1:8">
      <c r="A2927" s="30" t="s">
        <v>14786</v>
      </c>
      <c r="B2927" s="30"/>
      <c r="C2927" s="30" t="s">
        <v>8607</v>
      </c>
      <c r="D2927" s="30" t="s">
        <v>12268</v>
      </c>
      <c r="E2927" s="30" t="s">
        <v>13829</v>
      </c>
      <c r="F2927" s="30" t="s">
        <v>8672</v>
      </c>
      <c r="G2927" s="30" t="s">
        <v>12270</v>
      </c>
      <c r="H2927" s="30" t="s">
        <v>12271</v>
      </c>
    </row>
    <row r="2928" spans="1:8">
      <c r="A2928" s="30" t="s">
        <v>14787</v>
      </c>
      <c r="B2928" s="30"/>
      <c r="C2928" s="30" t="s">
        <v>8626</v>
      </c>
      <c r="D2928" s="30" t="s">
        <v>14788</v>
      </c>
      <c r="E2928" s="30" t="s">
        <v>14789</v>
      </c>
      <c r="F2928" s="30" t="s">
        <v>8672</v>
      </c>
      <c r="G2928" s="30" t="s">
        <v>14746</v>
      </c>
      <c r="H2928" s="30" t="s">
        <v>14790</v>
      </c>
    </row>
    <row r="2929" spans="1:8">
      <c r="A2929" s="30" t="s">
        <v>14791</v>
      </c>
      <c r="B2929" s="30"/>
      <c r="C2929" s="30" t="s">
        <v>8607</v>
      </c>
      <c r="D2929" s="30"/>
      <c r="E2929" s="30"/>
      <c r="F2929" s="30"/>
      <c r="G2929" s="30"/>
      <c r="H2929" s="30" t="s">
        <v>14792</v>
      </c>
    </row>
    <row r="2930" spans="1:8">
      <c r="A2930" s="30" t="s">
        <v>14793</v>
      </c>
      <c r="B2930" s="30"/>
      <c r="C2930" s="30" t="s">
        <v>8607</v>
      </c>
      <c r="D2930" s="30"/>
      <c r="E2930" s="30" t="s">
        <v>14761</v>
      </c>
      <c r="F2930" s="30" t="s">
        <v>8618</v>
      </c>
      <c r="G2930" s="30" t="s">
        <v>13832</v>
      </c>
      <c r="H2930" s="30" t="s">
        <v>13833</v>
      </c>
    </row>
    <row r="2931" spans="1:8">
      <c r="A2931" s="30" t="s">
        <v>14794</v>
      </c>
      <c r="B2931" s="30"/>
      <c r="C2931" s="30" t="s">
        <v>8626</v>
      </c>
      <c r="D2931" s="30" t="s">
        <v>14795</v>
      </c>
      <c r="E2931" s="30" t="s">
        <v>9734</v>
      </c>
      <c r="F2931" s="30" t="s">
        <v>8618</v>
      </c>
      <c r="G2931" s="30" t="s">
        <v>9735</v>
      </c>
      <c r="H2931" s="30" t="s">
        <v>14796</v>
      </c>
    </row>
    <row r="2932" spans="1:8">
      <c r="A2932" s="30" t="s">
        <v>14797</v>
      </c>
      <c r="B2932" s="30"/>
      <c r="C2932" s="30" t="s">
        <v>8607</v>
      </c>
      <c r="D2932" s="30"/>
      <c r="E2932" s="30"/>
      <c r="F2932" s="30"/>
      <c r="G2932" s="30" t="s">
        <v>14440</v>
      </c>
      <c r="H2932" s="30" t="s">
        <v>14798</v>
      </c>
    </row>
    <row r="2933" spans="1:8">
      <c r="A2933" s="30" t="s">
        <v>14799</v>
      </c>
      <c r="B2933" s="30"/>
      <c r="C2933" s="30" t="s">
        <v>8607</v>
      </c>
      <c r="D2933" s="30"/>
      <c r="E2933" s="30" t="s">
        <v>13814</v>
      </c>
      <c r="F2933" s="30" t="s">
        <v>8672</v>
      </c>
      <c r="G2933" s="30" t="s">
        <v>11943</v>
      </c>
      <c r="H2933" s="30" t="s">
        <v>13815</v>
      </c>
    </row>
    <row r="2934" spans="1:8">
      <c r="A2934" s="30" t="s">
        <v>14800</v>
      </c>
      <c r="B2934" s="30"/>
      <c r="C2934" s="30" t="s">
        <v>8607</v>
      </c>
      <c r="D2934" s="30"/>
      <c r="E2934" s="30"/>
      <c r="F2934" s="30"/>
      <c r="G2934" s="30"/>
      <c r="H2934" s="30" t="s">
        <v>14801</v>
      </c>
    </row>
    <row r="2935" spans="1:8">
      <c r="A2935" s="30" t="s">
        <v>14802</v>
      </c>
      <c r="B2935" s="30"/>
      <c r="C2935" s="30" t="s">
        <v>8607</v>
      </c>
      <c r="D2935" s="30" t="s">
        <v>14803</v>
      </c>
      <c r="E2935" s="30" t="s">
        <v>14804</v>
      </c>
      <c r="F2935" s="30" t="s">
        <v>8618</v>
      </c>
      <c r="G2935" s="30" t="s">
        <v>9913</v>
      </c>
      <c r="H2935" s="30" t="s">
        <v>13819</v>
      </c>
    </row>
    <row r="2936" spans="1:8">
      <c r="A2936" s="30" t="s">
        <v>14805</v>
      </c>
      <c r="B2936" s="30"/>
      <c r="C2936" s="30" t="s">
        <v>8607</v>
      </c>
      <c r="D2936" s="30"/>
      <c r="E2936" s="30"/>
      <c r="F2936" s="30"/>
      <c r="G2936" s="30" t="s">
        <v>13821</v>
      </c>
      <c r="H2936" s="30" t="s">
        <v>14806</v>
      </c>
    </row>
    <row r="2937" spans="1:8">
      <c r="A2937" s="30" t="s">
        <v>14807</v>
      </c>
      <c r="B2937" s="30"/>
      <c r="C2937" s="30" t="s">
        <v>8607</v>
      </c>
      <c r="D2937" s="30"/>
      <c r="E2937" s="30"/>
      <c r="F2937" s="30"/>
      <c r="G2937" s="30" t="s">
        <v>14440</v>
      </c>
      <c r="H2937" s="30" t="s">
        <v>14524</v>
      </c>
    </row>
    <row r="2938" spans="1:8">
      <c r="A2938" s="30" t="s">
        <v>14808</v>
      </c>
      <c r="B2938" s="30"/>
      <c r="C2938" s="30" t="s">
        <v>8607</v>
      </c>
      <c r="D2938" s="30" t="s">
        <v>14734</v>
      </c>
      <c r="E2938" s="30" t="s">
        <v>14282</v>
      </c>
      <c r="F2938" s="30" t="s">
        <v>8618</v>
      </c>
      <c r="G2938" s="30" t="s">
        <v>9268</v>
      </c>
      <c r="H2938" s="30" t="s">
        <v>14283</v>
      </c>
    </row>
    <row r="2939" spans="1:8">
      <c r="A2939" s="30" t="s">
        <v>14809</v>
      </c>
      <c r="B2939" s="30"/>
      <c r="C2939" s="30" t="s">
        <v>8607</v>
      </c>
      <c r="D2939" s="30"/>
      <c r="E2939" s="30"/>
      <c r="F2939" s="30"/>
      <c r="G2939" s="30" t="s">
        <v>10320</v>
      </c>
      <c r="H2939" s="30" t="s">
        <v>12764</v>
      </c>
    </row>
    <row r="2940" spans="1:8">
      <c r="A2940" s="30" t="s">
        <v>14810</v>
      </c>
      <c r="B2940" s="30"/>
      <c r="C2940" s="30" t="s">
        <v>8626</v>
      </c>
      <c r="D2940" s="30" t="s">
        <v>8670</v>
      </c>
      <c r="E2940" s="30" t="s">
        <v>8671</v>
      </c>
      <c r="F2940" s="30" t="s">
        <v>8672</v>
      </c>
      <c r="G2940" s="30"/>
      <c r="H2940" s="30" t="s">
        <v>14811</v>
      </c>
    </row>
    <row r="2941" spans="1:8">
      <c r="A2941" s="30" t="s">
        <v>14812</v>
      </c>
      <c r="B2941" s="30"/>
      <c r="C2941" s="30" t="s">
        <v>8607</v>
      </c>
      <c r="D2941" s="30"/>
      <c r="E2941" s="30"/>
      <c r="F2941" s="30"/>
      <c r="G2941" s="30" t="s">
        <v>9657</v>
      </c>
      <c r="H2941" s="30" t="s">
        <v>14813</v>
      </c>
    </row>
    <row r="2942" spans="1:8">
      <c r="A2942" s="30" t="s">
        <v>14814</v>
      </c>
      <c r="B2942" s="30"/>
      <c r="C2942" s="30" t="s">
        <v>8607</v>
      </c>
      <c r="D2942" s="30"/>
      <c r="E2942" s="30"/>
      <c r="F2942" s="30"/>
      <c r="G2942" s="30"/>
      <c r="H2942" s="30" t="s">
        <v>14223</v>
      </c>
    </row>
    <row r="2943" spans="1:8">
      <c r="A2943" s="30" t="s">
        <v>14815</v>
      </c>
      <c r="B2943" s="30"/>
      <c r="C2943" s="30" t="s">
        <v>8626</v>
      </c>
      <c r="D2943" s="30" t="s">
        <v>14816</v>
      </c>
      <c r="E2943" s="30" t="s">
        <v>11131</v>
      </c>
      <c r="F2943" s="30" t="s">
        <v>8672</v>
      </c>
      <c r="G2943" s="30" t="s">
        <v>9002</v>
      </c>
      <c r="H2943" s="30" t="s">
        <v>14817</v>
      </c>
    </row>
    <row r="2944" spans="1:8">
      <c r="A2944" s="30" t="s">
        <v>14818</v>
      </c>
      <c r="B2944" s="30"/>
      <c r="C2944" s="30" t="s">
        <v>8607</v>
      </c>
      <c r="D2944" s="30"/>
      <c r="E2944" s="30"/>
      <c r="F2944" s="30"/>
      <c r="G2944" s="30" t="s">
        <v>9657</v>
      </c>
      <c r="H2944" s="30" t="s">
        <v>14813</v>
      </c>
    </row>
    <row r="2945" spans="1:8">
      <c r="A2945" s="30" t="s">
        <v>14819</v>
      </c>
      <c r="B2945" s="30"/>
      <c r="C2945" s="30" t="s">
        <v>8607</v>
      </c>
      <c r="D2945" s="30"/>
      <c r="E2945" s="30"/>
      <c r="F2945" s="30"/>
      <c r="G2945" s="30"/>
      <c r="H2945" s="30" t="s">
        <v>14820</v>
      </c>
    </row>
    <row r="2946" spans="1:8">
      <c r="A2946" s="30" t="s">
        <v>14821</v>
      </c>
      <c r="B2946" s="30"/>
      <c r="C2946" s="30" t="s">
        <v>8607</v>
      </c>
      <c r="D2946" s="30"/>
      <c r="E2946" s="30"/>
      <c r="F2946" s="30"/>
      <c r="G2946" s="30" t="s">
        <v>8613</v>
      </c>
      <c r="H2946" s="30" t="s">
        <v>14822</v>
      </c>
    </row>
    <row r="2947" spans="1:8">
      <c r="A2947" s="30" t="s">
        <v>14823</v>
      </c>
      <c r="B2947" s="30"/>
      <c r="C2947" s="30" t="s">
        <v>8607</v>
      </c>
      <c r="D2947" s="30"/>
      <c r="E2947" s="30"/>
      <c r="F2947" s="30"/>
      <c r="G2947" s="30" t="s">
        <v>12209</v>
      </c>
      <c r="H2947" s="30" t="s">
        <v>12210</v>
      </c>
    </row>
    <row r="2948" spans="1:8">
      <c r="A2948" s="30" t="s">
        <v>14824</v>
      </c>
      <c r="B2948" s="30"/>
      <c r="C2948" s="30" t="s">
        <v>8607</v>
      </c>
      <c r="D2948" s="30" t="s">
        <v>14825</v>
      </c>
      <c r="E2948" s="30" t="s">
        <v>9218</v>
      </c>
      <c r="F2948" s="30" t="s">
        <v>8618</v>
      </c>
      <c r="G2948" s="30" t="s">
        <v>9219</v>
      </c>
      <c r="H2948" s="30" t="s">
        <v>14826</v>
      </c>
    </row>
    <row r="2949" spans="1:8">
      <c r="A2949" s="30" t="s">
        <v>14827</v>
      </c>
      <c r="B2949" s="30"/>
      <c r="C2949" s="30" t="s">
        <v>8607</v>
      </c>
      <c r="D2949" s="30"/>
      <c r="E2949" s="30"/>
      <c r="F2949" s="30"/>
      <c r="G2949" s="30" t="s">
        <v>9476</v>
      </c>
      <c r="H2949" s="30" t="s">
        <v>14828</v>
      </c>
    </row>
    <row r="2950" spans="1:8">
      <c r="A2950" s="30" t="s">
        <v>14829</v>
      </c>
      <c r="B2950" s="30"/>
      <c r="C2950" s="30" t="s">
        <v>8607</v>
      </c>
      <c r="D2950" s="30" t="s">
        <v>14267</v>
      </c>
      <c r="E2950" s="30"/>
      <c r="F2950" s="30"/>
      <c r="G2950" s="30" t="s">
        <v>14268</v>
      </c>
      <c r="H2950" s="30" t="s">
        <v>14269</v>
      </c>
    </row>
    <row r="2951" spans="1:8">
      <c r="A2951" s="30" t="s">
        <v>14830</v>
      </c>
      <c r="B2951" s="30"/>
      <c r="C2951" s="30" t="s">
        <v>8607</v>
      </c>
      <c r="D2951" s="30" t="s">
        <v>14831</v>
      </c>
      <c r="E2951" s="30" t="s">
        <v>10037</v>
      </c>
      <c r="F2951" s="30" t="s">
        <v>8618</v>
      </c>
      <c r="G2951" s="30" t="s">
        <v>13929</v>
      </c>
      <c r="H2951" s="30" t="s">
        <v>14272</v>
      </c>
    </row>
    <row r="2952" spans="1:8">
      <c r="A2952" s="30" t="s">
        <v>14832</v>
      </c>
      <c r="B2952" s="30"/>
      <c r="C2952" s="30" t="s">
        <v>8626</v>
      </c>
      <c r="D2952" s="30" t="s">
        <v>13487</v>
      </c>
      <c r="E2952" s="30" t="s">
        <v>13488</v>
      </c>
      <c r="F2952" s="30" t="e">
        <v>#VALUE!</v>
      </c>
      <c r="G2952" s="30" t="s">
        <v>13489</v>
      </c>
      <c r="H2952" s="30" t="s">
        <v>14833</v>
      </c>
    </row>
    <row r="2953" spans="1:8">
      <c r="A2953" s="30" t="s">
        <v>14834</v>
      </c>
      <c r="B2953" s="30"/>
      <c r="C2953" s="30" t="s">
        <v>8607</v>
      </c>
      <c r="D2953" s="30"/>
      <c r="E2953" s="30"/>
      <c r="F2953" s="30"/>
      <c r="G2953" s="30" t="s">
        <v>9657</v>
      </c>
      <c r="H2953" s="30" t="s">
        <v>14835</v>
      </c>
    </row>
    <row r="2954" spans="1:8">
      <c r="A2954" s="30" t="s">
        <v>14836</v>
      </c>
      <c r="B2954" s="30"/>
      <c r="C2954" s="30" t="s">
        <v>8607</v>
      </c>
      <c r="D2954" s="30"/>
      <c r="E2954" s="30"/>
      <c r="F2954" s="30"/>
      <c r="G2954" s="30" t="s">
        <v>13618</v>
      </c>
      <c r="H2954" s="30" t="s">
        <v>14837</v>
      </c>
    </row>
    <row r="2955" spans="1:8">
      <c r="A2955" s="30" t="s">
        <v>14838</v>
      </c>
      <c r="B2955" s="30"/>
      <c r="C2955" s="30" t="s">
        <v>8607</v>
      </c>
      <c r="D2955" s="30"/>
      <c r="E2955" s="30"/>
      <c r="F2955" s="30"/>
      <c r="G2955" s="30" t="s">
        <v>13174</v>
      </c>
      <c r="H2955" s="30" t="s">
        <v>13175</v>
      </c>
    </row>
    <row r="2956" spans="1:8">
      <c r="A2956" s="30" t="s">
        <v>14839</v>
      </c>
      <c r="B2956" s="30"/>
      <c r="C2956" s="30" t="s">
        <v>8607</v>
      </c>
      <c r="D2956" s="30"/>
      <c r="E2956" s="30"/>
      <c r="F2956" s="30"/>
      <c r="G2956" s="30" t="s">
        <v>13622</v>
      </c>
      <c r="H2956" s="30" t="s">
        <v>14840</v>
      </c>
    </row>
    <row r="2957" spans="1:8">
      <c r="A2957" s="30" t="s">
        <v>14841</v>
      </c>
      <c r="B2957" s="30"/>
      <c r="C2957" s="30" t="s">
        <v>8607</v>
      </c>
      <c r="D2957" s="30"/>
      <c r="E2957" s="30" t="s">
        <v>14842</v>
      </c>
      <c r="F2957" s="30" t="e">
        <v>#VALUE!</v>
      </c>
      <c r="G2957" s="30"/>
      <c r="H2957" s="30" t="s">
        <v>14843</v>
      </c>
    </row>
    <row r="2958" spans="1:8">
      <c r="A2958" s="30" t="s">
        <v>14844</v>
      </c>
      <c r="B2958" s="30"/>
      <c r="C2958" s="30" t="s">
        <v>8607</v>
      </c>
      <c r="D2958" s="30" t="s">
        <v>14845</v>
      </c>
      <c r="E2958" s="30" t="s">
        <v>14846</v>
      </c>
      <c r="F2958" s="30" t="e">
        <v>#VALUE!</v>
      </c>
      <c r="G2958" s="30" t="s">
        <v>9476</v>
      </c>
      <c r="H2958" s="30" t="s">
        <v>14847</v>
      </c>
    </row>
    <row r="2959" spans="1:8">
      <c r="A2959" s="30" t="s">
        <v>14848</v>
      </c>
      <c r="B2959" s="30"/>
      <c r="C2959" s="30" t="s">
        <v>8607</v>
      </c>
      <c r="D2959" s="30"/>
      <c r="E2959" s="30"/>
      <c r="F2959" s="30"/>
      <c r="G2959" s="30" t="s">
        <v>13639</v>
      </c>
      <c r="H2959" s="30" t="s">
        <v>13640</v>
      </c>
    </row>
    <row r="2960" spans="1:8">
      <c r="A2960" s="30" t="s">
        <v>14849</v>
      </c>
      <c r="B2960" s="30"/>
      <c r="C2960" s="30" t="s">
        <v>8607</v>
      </c>
      <c r="D2960" s="30"/>
      <c r="E2960" s="30"/>
      <c r="F2960" s="30"/>
      <c r="G2960" s="30" t="s">
        <v>9657</v>
      </c>
      <c r="H2960" s="30" t="s">
        <v>14703</v>
      </c>
    </row>
    <row r="2961" spans="1:8">
      <c r="A2961" s="30" t="s">
        <v>14850</v>
      </c>
      <c r="B2961" s="30"/>
      <c r="C2961" s="30" t="s">
        <v>8607</v>
      </c>
      <c r="D2961" s="30" t="s">
        <v>12227</v>
      </c>
      <c r="E2961" s="30"/>
      <c r="F2961" s="30"/>
      <c r="G2961" s="30" t="s">
        <v>12228</v>
      </c>
      <c r="H2961" s="30" t="s">
        <v>14851</v>
      </c>
    </row>
    <row r="2962" spans="1:8">
      <c r="A2962" s="30" t="s">
        <v>14852</v>
      </c>
      <c r="B2962" s="30"/>
      <c r="C2962" s="30" t="s">
        <v>8607</v>
      </c>
      <c r="D2962" s="30"/>
      <c r="E2962" s="30"/>
      <c r="F2962" s="30"/>
      <c r="G2962" s="30"/>
      <c r="H2962" s="30" t="s">
        <v>14853</v>
      </c>
    </row>
    <row r="2963" spans="1:8">
      <c r="A2963" s="30" t="s">
        <v>14854</v>
      </c>
      <c r="B2963" s="30"/>
      <c r="C2963" s="30" t="s">
        <v>8607</v>
      </c>
      <c r="D2963" s="30"/>
      <c r="E2963" s="30"/>
      <c r="F2963" s="30"/>
      <c r="G2963" s="30" t="s">
        <v>9976</v>
      </c>
      <c r="H2963" s="30" t="s">
        <v>14855</v>
      </c>
    </row>
    <row r="2964" spans="1:8">
      <c r="A2964" s="30" t="s">
        <v>14856</v>
      </c>
      <c r="B2964" s="30"/>
      <c r="C2964" s="30" t="s">
        <v>8607</v>
      </c>
      <c r="D2964" s="30"/>
      <c r="E2964" s="30"/>
      <c r="F2964" s="30"/>
      <c r="G2964" s="30" t="s">
        <v>8729</v>
      </c>
      <c r="H2964" s="30" t="s">
        <v>14620</v>
      </c>
    </row>
    <row r="2965" spans="1:8">
      <c r="A2965" s="30" t="s">
        <v>14857</v>
      </c>
      <c r="B2965" s="30"/>
      <c r="C2965" s="30" t="s">
        <v>8607</v>
      </c>
      <c r="D2965" s="30"/>
      <c r="E2965" s="30"/>
      <c r="F2965" s="30"/>
      <c r="G2965" s="30" t="s">
        <v>8729</v>
      </c>
      <c r="H2965" s="30" t="s">
        <v>14858</v>
      </c>
    </row>
    <row r="2966" spans="1:8">
      <c r="A2966" s="30" t="s">
        <v>14859</v>
      </c>
      <c r="B2966" s="30"/>
      <c r="C2966" s="30" t="s">
        <v>8607</v>
      </c>
      <c r="D2966" s="30"/>
      <c r="E2966" s="30"/>
      <c r="F2966" s="30"/>
      <c r="G2966" s="30" t="s">
        <v>8681</v>
      </c>
      <c r="H2966" s="30" t="s">
        <v>14860</v>
      </c>
    </row>
    <row r="2967" spans="1:8">
      <c r="A2967" s="30" t="s">
        <v>14861</v>
      </c>
      <c r="B2967" s="30"/>
      <c r="C2967" s="30" t="s">
        <v>8607</v>
      </c>
      <c r="D2967" s="30"/>
      <c r="E2967" s="30"/>
      <c r="F2967" s="30"/>
      <c r="G2967" s="30" t="s">
        <v>14862</v>
      </c>
      <c r="H2967" s="30" t="s">
        <v>14863</v>
      </c>
    </row>
    <row r="2968" spans="1:8">
      <c r="A2968" s="30" t="s">
        <v>14864</v>
      </c>
      <c r="B2968" s="30"/>
      <c r="C2968" s="30" t="s">
        <v>8607</v>
      </c>
      <c r="D2968" s="30"/>
      <c r="E2968" s="30"/>
      <c r="F2968" s="30"/>
      <c r="G2968" s="30" t="s">
        <v>14865</v>
      </c>
      <c r="H2968" s="30" t="s">
        <v>14866</v>
      </c>
    </row>
    <row r="2969" spans="1:8">
      <c r="A2969" s="30" t="s">
        <v>14867</v>
      </c>
      <c r="B2969" s="30"/>
      <c r="C2969" s="30" t="s">
        <v>8607</v>
      </c>
      <c r="D2969" s="30"/>
      <c r="E2969" s="30"/>
      <c r="F2969" s="30"/>
      <c r="G2969" s="30"/>
      <c r="H2969" s="30" t="s">
        <v>14868</v>
      </c>
    </row>
    <row r="2970" spans="1:8">
      <c r="A2970" s="30" t="s">
        <v>14869</v>
      </c>
      <c r="B2970" s="30"/>
      <c r="C2970" s="30" t="s">
        <v>8607</v>
      </c>
      <c r="D2970" s="30"/>
      <c r="E2970" s="30"/>
      <c r="F2970" s="30"/>
      <c r="G2970" s="30" t="s">
        <v>9171</v>
      </c>
      <c r="H2970" s="30" t="s">
        <v>13469</v>
      </c>
    </row>
    <row r="2971" spans="1:8">
      <c r="A2971" s="30" t="s">
        <v>14870</v>
      </c>
      <c r="B2971" s="30"/>
      <c r="C2971" s="30" t="s">
        <v>8607</v>
      </c>
      <c r="D2971" s="30" t="s">
        <v>9152</v>
      </c>
      <c r="E2971" s="30"/>
      <c r="F2971" s="30"/>
      <c r="G2971" s="30" t="s">
        <v>8698</v>
      </c>
      <c r="H2971" s="30" t="s">
        <v>14871</v>
      </c>
    </row>
    <row r="2972" spans="1:8">
      <c r="A2972" s="30" t="s">
        <v>14872</v>
      </c>
      <c r="B2972" s="30"/>
      <c r="C2972" s="30" t="s">
        <v>8607</v>
      </c>
      <c r="D2972" s="30" t="s">
        <v>14873</v>
      </c>
      <c r="E2972" s="30" t="s">
        <v>9868</v>
      </c>
      <c r="F2972" s="30" t="s">
        <v>8672</v>
      </c>
      <c r="G2972" s="30" t="s">
        <v>9378</v>
      </c>
      <c r="H2972" s="30" t="s">
        <v>13496</v>
      </c>
    </row>
    <row r="2973" spans="1:8">
      <c r="A2973" s="30" t="s">
        <v>14874</v>
      </c>
      <c r="B2973" s="30"/>
      <c r="C2973" s="30" t="s">
        <v>8607</v>
      </c>
      <c r="D2973" s="30"/>
      <c r="E2973" s="30"/>
      <c r="F2973" s="30"/>
      <c r="G2973" s="30" t="s">
        <v>8649</v>
      </c>
      <c r="H2973" s="30" t="s">
        <v>13498</v>
      </c>
    </row>
    <row r="2974" spans="1:8">
      <c r="A2974" s="30" t="s">
        <v>14875</v>
      </c>
      <c r="B2974" s="30"/>
      <c r="C2974" s="30" t="s">
        <v>8607</v>
      </c>
      <c r="D2974" s="30" t="s">
        <v>8632</v>
      </c>
      <c r="E2974" s="30"/>
      <c r="F2974" s="30"/>
      <c r="G2974" s="30" t="s">
        <v>8633</v>
      </c>
      <c r="H2974" s="30" t="s">
        <v>14876</v>
      </c>
    </row>
    <row r="2975" spans="1:8">
      <c r="A2975" s="30" t="s">
        <v>14877</v>
      </c>
      <c r="B2975" s="30"/>
      <c r="C2975" s="30" t="s">
        <v>8607</v>
      </c>
      <c r="D2975" s="30" t="s">
        <v>14119</v>
      </c>
      <c r="E2975" s="30"/>
      <c r="F2975" s="30"/>
      <c r="G2975" s="30" t="s">
        <v>14120</v>
      </c>
      <c r="H2975" s="30" t="s">
        <v>14878</v>
      </c>
    </row>
    <row r="2976" spans="1:8">
      <c r="A2976" s="30" t="s">
        <v>14879</v>
      </c>
      <c r="B2976" s="30"/>
      <c r="C2976" s="30" t="s">
        <v>8607</v>
      </c>
      <c r="D2976" s="30"/>
      <c r="E2976" s="30"/>
      <c r="F2976" s="30"/>
      <c r="G2976" s="30" t="s">
        <v>8711</v>
      </c>
      <c r="H2976" s="30" t="s">
        <v>14880</v>
      </c>
    </row>
    <row r="2977" spans="1:8">
      <c r="A2977" s="30" t="s">
        <v>14881</v>
      </c>
      <c r="B2977" s="30"/>
      <c r="C2977" s="30" t="s">
        <v>8607</v>
      </c>
      <c r="D2977" s="30"/>
      <c r="E2977" s="30"/>
      <c r="F2977" s="30"/>
      <c r="G2977" s="30" t="s">
        <v>13274</v>
      </c>
      <c r="H2977" s="30" t="s">
        <v>13741</v>
      </c>
    </row>
    <row r="2978" spans="1:8">
      <c r="A2978" s="30" t="s">
        <v>14882</v>
      </c>
      <c r="B2978" s="30"/>
      <c r="C2978" s="30" t="s">
        <v>8607</v>
      </c>
      <c r="D2978" s="30" t="s">
        <v>14883</v>
      </c>
      <c r="E2978" s="30" t="s">
        <v>14884</v>
      </c>
      <c r="F2978" s="30" t="s">
        <v>8672</v>
      </c>
      <c r="G2978" s="30" t="s">
        <v>9972</v>
      </c>
      <c r="H2978" s="30" t="s">
        <v>14885</v>
      </c>
    </row>
    <row r="2979" spans="1:8">
      <c r="A2979" s="30" t="s">
        <v>14886</v>
      </c>
      <c r="B2979" s="30"/>
      <c r="C2979" s="30" t="s">
        <v>8607</v>
      </c>
      <c r="D2979" s="30"/>
      <c r="E2979" s="30"/>
      <c r="F2979" s="30"/>
      <c r="G2979" s="30" t="s">
        <v>13615</v>
      </c>
      <c r="H2979" s="30" t="s">
        <v>13616</v>
      </c>
    </row>
    <row r="2980" spans="1:8">
      <c r="A2980" s="30" t="s">
        <v>14887</v>
      </c>
      <c r="B2980" s="30"/>
      <c r="C2980" s="30" t="s">
        <v>8607</v>
      </c>
      <c r="D2980" s="30" t="s">
        <v>14888</v>
      </c>
      <c r="E2980" s="30" t="s">
        <v>14889</v>
      </c>
      <c r="F2980" s="30" t="e">
        <v>#VALUE!</v>
      </c>
      <c r="G2980" s="30" t="s">
        <v>9435</v>
      </c>
      <c r="H2980" s="30" t="s">
        <v>9436</v>
      </c>
    </row>
    <row r="2981" spans="1:8">
      <c r="A2981" s="30" t="s">
        <v>14890</v>
      </c>
      <c r="B2981" s="30"/>
      <c r="C2981" s="30" t="s">
        <v>8607</v>
      </c>
      <c r="D2981" s="30" t="s">
        <v>14891</v>
      </c>
      <c r="E2981" s="30"/>
      <c r="F2981" s="30"/>
      <c r="G2981" s="30" t="s">
        <v>14892</v>
      </c>
      <c r="H2981" s="30" t="s">
        <v>14893</v>
      </c>
    </row>
    <row r="2982" spans="1:8">
      <c r="A2982" s="30" t="s">
        <v>14894</v>
      </c>
      <c r="B2982" s="30"/>
      <c r="C2982" s="30" t="s">
        <v>8607</v>
      </c>
      <c r="D2982" s="30"/>
      <c r="E2982" s="30"/>
      <c r="F2982" s="30"/>
      <c r="G2982" s="30" t="s">
        <v>9622</v>
      </c>
      <c r="H2982" s="30" t="s">
        <v>14895</v>
      </c>
    </row>
    <row r="2983" spans="1:8">
      <c r="A2983" s="30" t="s">
        <v>14896</v>
      </c>
      <c r="B2983" s="30"/>
      <c r="C2983" s="30" t="s">
        <v>8607</v>
      </c>
      <c r="D2983" s="30"/>
      <c r="E2983" s="30"/>
      <c r="F2983" s="30"/>
      <c r="G2983" s="30"/>
      <c r="H2983" s="30" t="s">
        <v>12530</v>
      </c>
    </row>
    <row r="2984" spans="1:8">
      <c r="A2984" s="30" t="s">
        <v>14897</v>
      </c>
      <c r="B2984" s="30"/>
      <c r="C2984" s="30" t="s">
        <v>8607</v>
      </c>
      <c r="D2984" s="30" t="s">
        <v>14195</v>
      </c>
      <c r="E2984" s="30" t="s">
        <v>8655</v>
      </c>
      <c r="F2984" s="30" t="s">
        <v>8618</v>
      </c>
      <c r="G2984" s="30" t="s">
        <v>13461</v>
      </c>
      <c r="H2984" s="30" t="s">
        <v>13462</v>
      </c>
    </row>
    <row r="2985" spans="1:8">
      <c r="A2985" s="30" t="s">
        <v>14898</v>
      </c>
      <c r="B2985" s="30"/>
      <c r="C2985" s="30" t="s">
        <v>8626</v>
      </c>
      <c r="D2985" s="30" t="s">
        <v>14899</v>
      </c>
      <c r="E2985" s="30" t="s">
        <v>14900</v>
      </c>
      <c r="F2985" s="30" t="s">
        <v>8618</v>
      </c>
      <c r="G2985" s="30"/>
      <c r="H2985" s="30" t="s">
        <v>14901</v>
      </c>
    </row>
    <row r="2986" spans="1:8">
      <c r="A2986" s="30" t="s">
        <v>14902</v>
      </c>
      <c r="B2986" s="30"/>
      <c r="C2986" s="30" t="s">
        <v>8607</v>
      </c>
      <c r="D2986" s="30"/>
      <c r="E2986" s="30"/>
      <c r="F2986" s="30"/>
      <c r="G2986" s="30" t="s">
        <v>14903</v>
      </c>
      <c r="H2986" s="30" t="s">
        <v>14904</v>
      </c>
    </row>
    <row r="2987" spans="1:8">
      <c r="A2987" s="30" t="s">
        <v>14905</v>
      </c>
      <c r="B2987" s="30"/>
      <c r="C2987" s="30" t="s">
        <v>8607</v>
      </c>
      <c r="D2987" s="30"/>
      <c r="E2987" s="30" t="s">
        <v>14906</v>
      </c>
      <c r="F2987" s="30" t="e">
        <v>#VALUE!</v>
      </c>
      <c r="G2987" s="30" t="s">
        <v>9439</v>
      </c>
      <c r="H2987" s="30" t="s">
        <v>9440</v>
      </c>
    </row>
    <row r="2988" spans="1:8">
      <c r="A2988" s="30" t="s">
        <v>14907</v>
      </c>
      <c r="B2988" s="30"/>
      <c r="C2988" s="30" t="s">
        <v>8626</v>
      </c>
      <c r="D2988" s="30" t="s">
        <v>14908</v>
      </c>
      <c r="E2988" s="30" t="s">
        <v>9987</v>
      </c>
      <c r="F2988" s="30" t="s">
        <v>8618</v>
      </c>
      <c r="G2988" s="30" t="s">
        <v>9988</v>
      </c>
      <c r="H2988" s="30" t="s">
        <v>14909</v>
      </c>
    </row>
    <row r="2989" spans="1:8">
      <c r="A2989" s="30" t="s">
        <v>14910</v>
      </c>
      <c r="B2989" s="30"/>
      <c r="C2989" s="30" t="s">
        <v>8607</v>
      </c>
      <c r="D2989" s="30" t="s">
        <v>13975</v>
      </c>
      <c r="E2989" s="30" t="s">
        <v>14099</v>
      </c>
      <c r="F2989" s="30" t="s">
        <v>8618</v>
      </c>
      <c r="G2989" s="30" t="s">
        <v>10234</v>
      </c>
      <c r="H2989" s="30" t="s">
        <v>14911</v>
      </c>
    </row>
    <row r="2990" spans="1:8">
      <c r="A2990" s="30" t="s">
        <v>14912</v>
      </c>
      <c r="B2990" s="30"/>
      <c r="C2990" s="30" t="s">
        <v>8607</v>
      </c>
      <c r="D2990" s="30"/>
      <c r="E2990" s="30"/>
      <c r="F2990" s="30"/>
      <c r="G2990" s="30" t="s">
        <v>9619</v>
      </c>
      <c r="H2990" s="30" t="s">
        <v>14324</v>
      </c>
    </row>
    <row r="2991" spans="1:8">
      <c r="A2991" s="30" t="s">
        <v>14913</v>
      </c>
      <c r="B2991" s="30"/>
      <c r="C2991" s="30" t="s">
        <v>8607</v>
      </c>
      <c r="D2991" s="30"/>
      <c r="E2991" s="30" t="s">
        <v>14914</v>
      </c>
      <c r="F2991" s="30" t="e">
        <v>#VALUE!</v>
      </c>
      <c r="G2991" s="30" t="s">
        <v>9450</v>
      </c>
      <c r="H2991" s="30" t="s">
        <v>9451</v>
      </c>
    </row>
    <row r="2992" spans="1:8">
      <c r="A2992" s="30" t="s">
        <v>14915</v>
      </c>
      <c r="B2992" s="30"/>
      <c r="C2992" s="30" t="s">
        <v>8607</v>
      </c>
      <c r="D2992" s="30"/>
      <c r="E2992" s="30"/>
      <c r="F2992" s="30"/>
      <c r="G2992" s="30" t="s">
        <v>9425</v>
      </c>
      <c r="H2992" s="30" t="s">
        <v>9426</v>
      </c>
    </row>
    <row r="2993" spans="1:8">
      <c r="A2993" s="30" t="s">
        <v>14916</v>
      </c>
      <c r="B2993" s="30"/>
      <c r="C2993" s="30"/>
      <c r="D2993" s="32"/>
      <c r="E2993" s="30"/>
      <c r="F2993" s="30"/>
      <c r="G2993" s="30"/>
      <c r="H2993" s="30" t="s">
        <v>14917</v>
      </c>
    </row>
    <row r="2994" spans="1:8">
      <c r="A2994" s="30" t="s">
        <v>14918</v>
      </c>
      <c r="B2994" s="30"/>
      <c r="C2994" s="30" t="s">
        <v>8626</v>
      </c>
      <c r="D2994" s="30" t="s">
        <v>14919</v>
      </c>
      <c r="E2994" s="30" t="s">
        <v>14920</v>
      </c>
      <c r="F2994" s="30" t="s">
        <v>8672</v>
      </c>
      <c r="G2994" s="30" t="s">
        <v>14921</v>
      </c>
      <c r="H2994" s="30" t="s">
        <v>14922</v>
      </c>
    </row>
    <row r="2995" spans="1:8">
      <c r="A2995" s="30" t="s">
        <v>14923</v>
      </c>
      <c r="B2995" s="30"/>
      <c r="C2995" s="30" t="s">
        <v>8607</v>
      </c>
      <c r="D2995" s="30"/>
      <c r="E2995" s="30"/>
      <c r="F2995" s="30"/>
      <c r="G2995" s="30"/>
      <c r="H2995" s="30" t="s">
        <v>13540</v>
      </c>
    </row>
    <row r="2996" spans="1:8">
      <c r="A2996" s="30" t="s">
        <v>14924</v>
      </c>
      <c r="B2996" s="30"/>
      <c r="C2996" s="30" t="s">
        <v>8607</v>
      </c>
      <c r="D2996" s="30" t="s">
        <v>9819</v>
      </c>
      <c r="E2996" s="30"/>
      <c r="F2996" s="30"/>
      <c r="G2996" s="30" t="s">
        <v>9821</v>
      </c>
      <c r="H2996" s="30" t="s">
        <v>9822</v>
      </c>
    </row>
    <row r="2997" spans="1:8">
      <c r="A2997" s="30" t="s">
        <v>14925</v>
      </c>
      <c r="B2997" s="30"/>
      <c r="C2997" s="30" t="s">
        <v>8607</v>
      </c>
      <c r="D2997" s="30" t="s">
        <v>9824</v>
      </c>
      <c r="E2997" s="30"/>
      <c r="F2997" s="30"/>
      <c r="G2997" s="30" t="s">
        <v>9002</v>
      </c>
      <c r="H2997" s="30" t="s">
        <v>9825</v>
      </c>
    </row>
    <row r="2998" spans="1:8">
      <c r="A2998" s="30" t="s">
        <v>14926</v>
      </c>
      <c r="B2998" s="30"/>
      <c r="C2998" s="30" t="s">
        <v>8607</v>
      </c>
      <c r="D2998" s="30"/>
      <c r="E2998" s="30"/>
      <c r="F2998" s="30"/>
      <c r="G2998" s="30" t="s">
        <v>13434</v>
      </c>
      <c r="H2998" s="30" t="s">
        <v>13465</v>
      </c>
    </row>
    <row r="2999" spans="1:8">
      <c r="A2999" s="30" t="s">
        <v>14927</v>
      </c>
      <c r="B2999" s="30"/>
      <c r="C2999" s="30" t="s">
        <v>8607</v>
      </c>
      <c r="D2999" s="30"/>
      <c r="E2999" s="30"/>
      <c r="F2999" s="30"/>
      <c r="G2999" s="30" t="s">
        <v>9453</v>
      </c>
      <c r="H2999" s="30" t="s">
        <v>13542</v>
      </c>
    </row>
    <row r="3000" spans="1:8">
      <c r="A3000" s="30" t="s">
        <v>14928</v>
      </c>
      <c r="B3000" s="30"/>
      <c r="C3000" s="30" t="s">
        <v>8607</v>
      </c>
      <c r="D3000" s="30" t="s">
        <v>9490</v>
      </c>
      <c r="E3000" s="30" t="s">
        <v>9491</v>
      </c>
      <c r="F3000" s="30" t="s">
        <v>8672</v>
      </c>
      <c r="G3000" s="30" t="s">
        <v>8659</v>
      </c>
      <c r="H3000" s="30" t="s">
        <v>9488</v>
      </c>
    </row>
    <row r="3001" spans="1:8">
      <c r="A3001" s="30" t="s">
        <v>14929</v>
      </c>
      <c r="B3001" s="30"/>
      <c r="C3001" s="30" t="s">
        <v>8607</v>
      </c>
      <c r="D3001" s="30" t="s">
        <v>14930</v>
      </c>
      <c r="E3001" s="30" t="s">
        <v>10749</v>
      </c>
      <c r="F3001" s="30" t="s">
        <v>8672</v>
      </c>
      <c r="G3001" s="30" t="s">
        <v>9468</v>
      </c>
      <c r="H3001" s="30" t="s">
        <v>9469</v>
      </c>
    </row>
    <row r="3002" spans="1:8">
      <c r="A3002" s="30" t="s">
        <v>14931</v>
      </c>
      <c r="B3002" s="30"/>
      <c r="C3002" s="30" t="s">
        <v>8607</v>
      </c>
      <c r="D3002" s="30"/>
      <c r="E3002" s="30"/>
      <c r="F3002" s="30"/>
      <c r="G3002" s="30" t="s">
        <v>9428</v>
      </c>
      <c r="H3002" s="30" t="s">
        <v>9429</v>
      </c>
    </row>
    <row r="3003" spans="1:8">
      <c r="A3003" s="30" t="s">
        <v>14932</v>
      </c>
      <c r="B3003" s="30"/>
      <c r="C3003" s="30" t="s">
        <v>8607</v>
      </c>
      <c r="D3003" s="30"/>
      <c r="E3003" s="30"/>
      <c r="F3003" s="30"/>
      <c r="G3003" s="30" t="s">
        <v>9431</v>
      </c>
      <c r="H3003" s="30" t="s">
        <v>14933</v>
      </c>
    </row>
    <row r="3004" spans="1:8">
      <c r="A3004" s="30" t="s">
        <v>14934</v>
      </c>
      <c r="B3004" s="30"/>
      <c r="C3004" s="30" t="s">
        <v>8626</v>
      </c>
      <c r="D3004" s="30" t="s">
        <v>9278</v>
      </c>
      <c r="E3004" s="30" t="s">
        <v>14935</v>
      </c>
      <c r="F3004" s="30" t="s">
        <v>8672</v>
      </c>
      <c r="G3004" s="30" t="s">
        <v>9071</v>
      </c>
      <c r="H3004" s="30" t="s">
        <v>14936</v>
      </c>
    </row>
    <row r="3005" spans="1:8">
      <c r="A3005" s="30" t="s">
        <v>14937</v>
      </c>
      <c r="B3005" s="30"/>
      <c r="C3005" s="30" t="s">
        <v>8607</v>
      </c>
      <c r="D3005" s="30" t="s">
        <v>13600</v>
      </c>
      <c r="E3005" s="30" t="s">
        <v>9051</v>
      </c>
      <c r="F3005" s="30" t="s">
        <v>8672</v>
      </c>
      <c r="G3005" s="30" t="s">
        <v>9052</v>
      </c>
      <c r="H3005" s="30" t="s">
        <v>14938</v>
      </c>
    </row>
    <row r="3006" spans="1:8">
      <c r="A3006" s="30" t="s">
        <v>14939</v>
      </c>
      <c r="B3006" s="30"/>
      <c r="C3006" s="30" t="s">
        <v>8607</v>
      </c>
      <c r="D3006" s="30" t="s">
        <v>14940</v>
      </c>
      <c r="E3006" s="30" t="s">
        <v>9051</v>
      </c>
      <c r="F3006" s="30" t="s">
        <v>8672</v>
      </c>
      <c r="G3006" s="30" t="s">
        <v>9052</v>
      </c>
      <c r="H3006" s="30" t="s">
        <v>14938</v>
      </c>
    </row>
    <row r="3007" spans="1:8">
      <c r="A3007" s="30" t="s">
        <v>14941</v>
      </c>
      <c r="B3007" s="30"/>
      <c r="C3007" s="30" t="s">
        <v>8626</v>
      </c>
      <c r="D3007" s="30" t="s">
        <v>14942</v>
      </c>
      <c r="E3007" s="30"/>
      <c r="F3007" s="30"/>
      <c r="G3007" s="30" t="s">
        <v>14943</v>
      </c>
      <c r="H3007" s="30" t="s">
        <v>14944</v>
      </c>
    </row>
    <row r="3008" spans="1:8">
      <c r="A3008" s="30" t="s">
        <v>14945</v>
      </c>
      <c r="B3008" s="30"/>
      <c r="C3008" s="30" t="s">
        <v>8607</v>
      </c>
      <c r="D3008" s="30"/>
      <c r="E3008" s="30"/>
      <c r="F3008" s="30"/>
      <c r="G3008" s="30" t="s">
        <v>14946</v>
      </c>
      <c r="H3008" s="30" t="s">
        <v>14673</v>
      </c>
    </row>
    <row r="3009" spans="1:8">
      <c r="A3009" s="30" t="s">
        <v>14947</v>
      </c>
      <c r="B3009" s="30"/>
      <c r="C3009" s="30" t="s">
        <v>8626</v>
      </c>
      <c r="D3009" s="30" t="s">
        <v>14948</v>
      </c>
      <c r="E3009" s="30" t="s">
        <v>14949</v>
      </c>
      <c r="F3009" s="30" t="e">
        <v>#VALUE!</v>
      </c>
      <c r="G3009" s="30" t="s">
        <v>14950</v>
      </c>
      <c r="H3009" s="30" t="s">
        <v>14951</v>
      </c>
    </row>
    <row r="3010" spans="1:8">
      <c r="A3010" s="30" t="s">
        <v>14952</v>
      </c>
      <c r="B3010" s="30"/>
      <c r="C3010" s="30" t="s">
        <v>8607</v>
      </c>
      <c r="D3010" s="30"/>
      <c r="E3010" s="30"/>
      <c r="F3010" s="30"/>
      <c r="G3010" s="30" t="s">
        <v>14084</v>
      </c>
      <c r="H3010" s="30" t="s">
        <v>14953</v>
      </c>
    </row>
    <row r="3011" spans="1:8">
      <c r="A3011" s="30" t="s">
        <v>14954</v>
      </c>
      <c r="B3011" s="30"/>
      <c r="C3011" s="30" t="s">
        <v>8607</v>
      </c>
      <c r="D3011" s="30" t="s">
        <v>14955</v>
      </c>
      <c r="E3011" s="30" t="s">
        <v>14956</v>
      </c>
      <c r="F3011" s="30" t="e">
        <v>#VALUE!</v>
      </c>
      <c r="G3011" s="30" t="s">
        <v>8678</v>
      </c>
      <c r="H3011" s="30" t="s">
        <v>14957</v>
      </c>
    </row>
    <row r="3012" spans="1:8">
      <c r="A3012" s="30" t="s">
        <v>14958</v>
      </c>
      <c r="B3012" s="30"/>
      <c r="C3012" s="30" t="s">
        <v>8607</v>
      </c>
      <c r="D3012" s="30" t="s">
        <v>10926</v>
      </c>
      <c r="E3012" s="30" t="s">
        <v>10927</v>
      </c>
      <c r="F3012" s="30" t="e">
        <v>#VALUE!</v>
      </c>
      <c r="G3012" s="30" t="s">
        <v>10928</v>
      </c>
      <c r="H3012" s="30" t="s">
        <v>10986</v>
      </c>
    </row>
    <row r="3013" spans="1:8">
      <c r="A3013" s="30" t="s">
        <v>14959</v>
      </c>
      <c r="B3013" s="30"/>
      <c r="C3013" s="30" t="s">
        <v>8607</v>
      </c>
      <c r="D3013" s="30" t="s">
        <v>9000</v>
      </c>
      <c r="E3013" s="30" t="s">
        <v>10988</v>
      </c>
      <c r="F3013" s="30" t="e">
        <v>#VALUE!</v>
      </c>
      <c r="G3013" s="30" t="s">
        <v>9002</v>
      </c>
      <c r="H3013" s="30" t="s">
        <v>10989</v>
      </c>
    </row>
    <row r="3014" spans="1:8">
      <c r="A3014" s="30" t="s">
        <v>14960</v>
      </c>
      <c r="B3014" s="30"/>
      <c r="C3014" s="30" t="s">
        <v>8607</v>
      </c>
      <c r="D3014" s="30" t="s">
        <v>8894</v>
      </c>
      <c r="E3014" s="30"/>
      <c r="F3014" s="30"/>
      <c r="G3014" s="30" t="s">
        <v>8895</v>
      </c>
      <c r="H3014" s="30" t="s">
        <v>10991</v>
      </c>
    </row>
    <row r="3015" spans="1:8">
      <c r="A3015" s="30" t="s">
        <v>14961</v>
      </c>
      <c r="B3015" s="30"/>
      <c r="C3015" s="30" t="s">
        <v>8626</v>
      </c>
      <c r="D3015" s="30"/>
      <c r="E3015" s="30"/>
      <c r="F3015" s="30"/>
      <c r="G3015" s="30" t="s">
        <v>8698</v>
      </c>
      <c r="H3015" s="30" t="s">
        <v>10346</v>
      </c>
    </row>
    <row r="3016" spans="1:8">
      <c r="A3016" s="30" t="s">
        <v>14962</v>
      </c>
      <c r="B3016" s="30"/>
      <c r="C3016" s="30" t="s">
        <v>8607</v>
      </c>
      <c r="D3016" s="30"/>
      <c r="E3016" s="30"/>
      <c r="F3016" s="30"/>
      <c r="G3016" s="30" t="s">
        <v>9847</v>
      </c>
      <c r="H3016" s="30" t="s">
        <v>14963</v>
      </c>
    </row>
    <row r="3017" spans="1:8">
      <c r="A3017" s="30" t="s">
        <v>14964</v>
      </c>
      <c r="B3017" s="30"/>
      <c r="C3017" s="30"/>
      <c r="D3017" s="32"/>
      <c r="E3017" s="30"/>
      <c r="F3017" s="30"/>
      <c r="G3017" s="30"/>
      <c r="H3017" s="30" t="s">
        <v>12686</v>
      </c>
    </row>
    <row r="3018" spans="1:8">
      <c r="A3018" s="30" t="s">
        <v>14965</v>
      </c>
      <c r="B3018" s="30"/>
      <c r="C3018" s="30" t="s">
        <v>8607</v>
      </c>
      <c r="D3018" s="30" t="s">
        <v>10334</v>
      </c>
      <c r="E3018" s="30"/>
      <c r="F3018" s="30"/>
      <c r="G3018" s="30" t="s">
        <v>8695</v>
      </c>
      <c r="H3018" s="30" t="s">
        <v>11231</v>
      </c>
    </row>
    <row r="3019" spans="1:8">
      <c r="A3019" s="30" t="s">
        <v>14966</v>
      </c>
      <c r="B3019" s="30"/>
      <c r="C3019" s="30" t="s">
        <v>8626</v>
      </c>
      <c r="D3019" s="30"/>
      <c r="E3019" s="30"/>
      <c r="F3019" s="30"/>
      <c r="G3019" s="30" t="s">
        <v>8698</v>
      </c>
      <c r="H3019" s="30" t="s">
        <v>10346</v>
      </c>
    </row>
    <row r="3020" spans="1:8">
      <c r="A3020" s="30" t="s">
        <v>14967</v>
      </c>
      <c r="B3020" s="30"/>
      <c r="C3020" s="30" t="s">
        <v>8607</v>
      </c>
      <c r="D3020" s="30"/>
      <c r="E3020" s="30"/>
      <c r="F3020" s="30"/>
      <c r="G3020" s="30"/>
      <c r="H3020" s="30" t="s">
        <v>14968</v>
      </c>
    </row>
    <row r="3021" spans="1:8">
      <c r="A3021" s="30" t="s">
        <v>14969</v>
      </c>
      <c r="B3021" s="30"/>
      <c r="C3021" s="30" t="s">
        <v>8626</v>
      </c>
      <c r="D3021" s="30" t="s">
        <v>9357</v>
      </c>
      <c r="E3021" s="30"/>
      <c r="F3021" s="30"/>
      <c r="G3021" s="30" t="s">
        <v>9358</v>
      </c>
      <c r="H3021" s="30" t="s">
        <v>10276</v>
      </c>
    </row>
    <row r="3022" spans="1:8">
      <c r="A3022" s="30" t="s">
        <v>14970</v>
      </c>
      <c r="B3022" s="30"/>
      <c r="C3022" s="30" t="s">
        <v>8626</v>
      </c>
      <c r="D3022" s="30" t="s">
        <v>8670</v>
      </c>
      <c r="E3022" s="30" t="s">
        <v>8671</v>
      </c>
      <c r="F3022" s="30" t="s">
        <v>8672</v>
      </c>
      <c r="G3022" s="30" t="s">
        <v>8673</v>
      </c>
      <c r="H3022" s="30" t="s">
        <v>14971</v>
      </c>
    </row>
    <row r="3023" spans="1:8">
      <c r="A3023" s="30" t="s">
        <v>14972</v>
      </c>
      <c r="B3023" s="30"/>
      <c r="C3023" s="30" t="s">
        <v>8607</v>
      </c>
      <c r="D3023" s="30"/>
      <c r="E3023" s="30" t="s">
        <v>8720</v>
      </c>
      <c r="F3023" s="30" t="e">
        <v>#VALUE!</v>
      </c>
      <c r="G3023" s="30" t="s">
        <v>8721</v>
      </c>
      <c r="H3023" s="30" t="s">
        <v>12205</v>
      </c>
    </row>
    <row r="3024" spans="1:8">
      <c r="A3024" s="30" t="s">
        <v>14973</v>
      </c>
      <c r="B3024" s="30"/>
      <c r="C3024" s="30" t="s">
        <v>8607</v>
      </c>
      <c r="D3024" s="30"/>
      <c r="E3024" s="30"/>
      <c r="F3024" s="30"/>
      <c r="G3024" s="30" t="s">
        <v>13615</v>
      </c>
      <c r="H3024" s="30" t="s">
        <v>13616</v>
      </c>
    </row>
    <row r="3025" spans="1:8">
      <c r="A3025" s="30" t="s">
        <v>14974</v>
      </c>
      <c r="B3025" s="30"/>
      <c r="C3025" s="30" t="s">
        <v>8607</v>
      </c>
      <c r="D3025" s="30"/>
      <c r="E3025" s="30"/>
      <c r="F3025" s="30"/>
      <c r="G3025" s="30" t="s">
        <v>13615</v>
      </c>
      <c r="H3025" s="30" t="s">
        <v>14975</v>
      </c>
    </row>
    <row r="3026" spans="1:8">
      <c r="A3026" s="30" t="s">
        <v>14976</v>
      </c>
      <c r="B3026" s="30"/>
      <c r="C3026" s="30" t="s">
        <v>8607</v>
      </c>
      <c r="D3026" s="30" t="s">
        <v>14977</v>
      </c>
      <c r="E3026" s="30" t="s">
        <v>9547</v>
      </c>
      <c r="F3026" s="30" t="s">
        <v>8672</v>
      </c>
      <c r="G3026" s="30" t="s">
        <v>9366</v>
      </c>
      <c r="H3026" s="30" t="s">
        <v>14978</v>
      </c>
    </row>
    <row r="3027" spans="1:8">
      <c r="A3027" s="30" t="s">
        <v>14979</v>
      </c>
      <c r="B3027" s="30"/>
      <c r="C3027" s="30" t="s">
        <v>8607</v>
      </c>
      <c r="D3027" s="30"/>
      <c r="E3027" s="30"/>
      <c r="F3027" s="30"/>
      <c r="G3027" s="30" t="s">
        <v>14980</v>
      </c>
      <c r="H3027" s="30" t="s">
        <v>14981</v>
      </c>
    </row>
    <row r="3028" spans="1:8">
      <c r="A3028" s="30" t="s">
        <v>14982</v>
      </c>
      <c r="B3028" s="30"/>
      <c r="C3028" s="30" t="s">
        <v>8607</v>
      </c>
      <c r="D3028" s="30" t="s">
        <v>14018</v>
      </c>
      <c r="E3028" s="30" t="s">
        <v>11888</v>
      </c>
      <c r="F3028" s="30" t="s">
        <v>8672</v>
      </c>
      <c r="G3028" s="30" t="s">
        <v>14983</v>
      </c>
      <c r="H3028" s="30" t="s">
        <v>14984</v>
      </c>
    </row>
    <row r="3029" spans="1:8">
      <c r="A3029" s="30" t="s">
        <v>14985</v>
      </c>
      <c r="B3029" s="30"/>
      <c r="C3029" s="30" t="s">
        <v>8607</v>
      </c>
      <c r="D3029" s="30" t="s">
        <v>9471</v>
      </c>
      <c r="E3029" s="30" t="s">
        <v>13612</v>
      </c>
      <c r="F3029" s="30" t="e">
        <v>#VALUE!</v>
      </c>
      <c r="G3029" s="30" t="s">
        <v>9473</v>
      </c>
      <c r="H3029" s="30" t="s">
        <v>13613</v>
      </c>
    </row>
    <row r="3030" spans="1:8">
      <c r="A3030" s="30" t="s">
        <v>14986</v>
      </c>
      <c r="B3030" s="30"/>
      <c r="C3030" s="30" t="s">
        <v>8607</v>
      </c>
      <c r="D3030" s="30" t="s">
        <v>10780</v>
      </c>
      <c r="E3030" s="30"/>
      <c r="F3030" s="30"/>
      <c r="G3030" s="30" t="s">
        <v>10395</v>
      </c>
      <c r="H3030" s="30" t="s">
        <v>13595</v>
      </c>
    </row>
    <row r="3031" spans="1:8">
      <c r="A3031" s="30" t="s">
        <v>14987</v>
      </c>
      <c r="B3031" s="30"/>
      <c r="C3031" s="30" t="s">
        <v>8607</v>
      </c>
      <c r="D3031" s="30" t="s">
        <v>13603</v>
      </c>
      <c r="E3031" s="30" t="s">
        <v>13604</v>
      </c>
      <c r="F3031" s="30" t="s">
        <v>8618</v>
      </c>
      <c r="G3031" s="30" t="s">
        <v>9606</v>
      </c>
      <c r="H3031" s="30" t="s">
        <v>13605</v>
      </c>
    </row>
    <row r="3032" spans="1:8">
      <c r="A3032" s="30" t="s">
        <v>14988</v>
      </c>
      <c r="B3032" s="30"/>
      <c r="C3032" s="30" t="s">
        <v>8626</v>
      </c>
      <c r="D3032" s="30"/>
      <c r="E3032" s="30"/>
      <c r="F3032" s="30"/>
      <c r="G3032" s="30" t="s">
        <v>8804</v>
      </c>
      <c r="H3032" s="30" t="s">
        <v>10237</v>
      </c>
    </row>
    <row r="3033" spans="1:8">
      <c r="A3033" s="30" t="s">
        <v>14989</v>
      </c>
      <c r="B3033" s="30"/>
      <c r="C3033" s="30" t="s">
        <v>8607</v>
      </c>
      <c r="D3033" s="30" t="s">
        <v>8844</v>
      </c>
      <c r="E3033" s="30" t="s">
        <v>8845</v>
      </c>
      <c r="F3033" s="30" t="s">
        <v>8672</v>
      </c>
      <c r="G3033" s="30" t="s">
        <v>8846</v>
      </c>
      <c r="H3033" s="30" t="s">
        <v>10956</v>
      </c>
    </row>
    <row r="3034" spans="1:8">
      <c r="A3034" s="30" t="s">
        <v>14990</v>
      </c>
      <c r="B3034" s="30"/>
      <c r="C3034" s="30" t="s">
        <v>8607</v>
      </c>
      <c r="D3034" s="30"/>
      <c r="E3034" s="30"/>
      <c r="F3034" s="30"/>
      <c r="G3034" s="30" t="s">
        <v>8623</v>
      </c>
      <c r="H3034" s="30" t="s">
        <v>10702</v>
      </c>
    </row>
    <row r="3035" spans="1:8">
      <c r="A3035" s="30" t="s">
        <v>14991</v>
      </c>
      <c r="B3035" s="30"/>
      <c r="C3035" s="30" t="s">
        <v>8607</v>
      </c>
      <c r="D3035" s="30"/>
      <c r="E3035" s="30" t="s">
        <v>14992</v>
      </c>
      <c r="F3035" s="30" t="s">
        <v>8618</v>
      </c>
      <c r="G3035" s="30" t="s">
        <v>8623</v>
      </c>
      <c r="H3035" s="30" t="s">
        <v>14993</v>
      </c>
    </row>
    <row r="3036" spans="1:8">
      <c r="A3036" s="30" t="s">
        <v>14994</v>
      </c>
      <c r="B3036" s="30"/>
      <c r="C3036" s="30" t="s">
        <v>8607</v>
      </c>
      <c r="D3036" s="30"/>
      <c r="E3036" s="30"/>
      <c r="F3036" s="30"/>
      <c r="G3036" s="30" t="s">
        <v>14285</v>
      </c>
      <c r="H3036" s="30" t="s">
        <v>14995</v>
      </c>
    </row>
    <row r="3037" spans="1:8">
      <c r="A3037" s="30" t="s">
        <v>14996</v>
      </c>
      <c r="B3037" s="30"/>
      <c r="C3037" s="30" t="s">
        <v>8607</v>
      </c>
      <c r="D3037" s="30"/>
      <c r="E3037" s="30"/>
      <c r="F3037" s="30"/>
      <c r="G3037" s="30"/>
      <c r="H3037" s="30" t="s">
        <v>14997</v>
      </c>
    </row>
    <row r="3038" spans="1:8">
      <c r="A3038" s="30" t="s">
        <v>14998</v>
      </c>
      <c r="B3038" s="30"/>
      <c r="C3038" s="30"/>
      <c r="D3038" s="32"/>
      <c r="E3038" s="30"/>
      <c r="F3038" s="30"/>
      <c r="G3038" s="30"/>
      <c r="H3038" s="30" t="s">
        <v>14999</v>
      </c>
    </row>
    <row r="3039" spans="1:8">
      <c r="A3039" s="30" t="s">
        <v>15000</v>
      </c>
      <c r="B3039" s="30"/>
      <c r="C3039" s="30" t="s">
        <v>8607</v>
      </c>
      <c r="D3039" s="30"/>
      <c r="E3039" s="30"/>
      <c r="F3039" s="30"/>
      <c r="G3039" s="30"/>
      <c r="H3039" s="30" t="s">
        <v>15001</v>
      </c>
    </row>
    <row r="3040" spans="1:8">
      <c r="A3040" s="30" t="s">
        <v>15002</v>
      </c>
      <c r="B3040" s="30"/>
      <c r="C3040" s="30" t="s">
        <v>8626</v>
      </c>
      <c r="D3040" s="30"/>
      <c r="E3040" s="30"/>
      <c r="F3040" s="30"/>
      <c r="G3040" s="30"/>
      <c r="H3040" s="30" t="s">
        <v>13810</v>
      </c>
    </row>
    <row r="3041" spans="1:8">
      <c r="A3041" s="30" t="s">
        <v>15003</v>
      </c>
      <c r="B3041" s="30"/>
      <c r="C3041" s="30" t="s">
        <v>8607</v>
      </c>
      <c r="D3041" s="30"/>
      <c r="E3041" s="30"/>
      <c r="F3041" s="30"/>
      <c r="G3041" s="30" t="s">
        <v>12209</v>
      </c>
      <c r="H3041" s="30" t="s">
        <v>15004</v>
      </c>
    </row>
    <row r="3042" spans="1:8">
      <c r="A3042" s="30" t="s">
        <v>15005</v>
      </c>
      <c r="B3042" s="30"/>
      <c r="C3042" s="30" t="s">
        <v>8607</v>
      </c>
      <c r="D3042" s="30" t="s">
        <v>8821</v>
      </c>
      <c r="E3042" s="30"/>
      <c r="F3042" s="30"/>
      <c r="G3042" s="30" t="s">
        <v>8737</v>
      </c>
      <c r="H3042" s="30" t="s">
        <v>15006</v>
      </c>
    </row>
    <row r="3043" spans="1:8">
      <c r="A3043" s="30" t="s">
        <v>15007</v>
      </c>
      <c r="B3043" s="30"/>
      <c r="C3043" s="30" t="s">
        <v>8626</v>
      </c>
      <c r="D3043" s="30"/>
      <c r="E3043" s="30" t="s">
        <v>11000</v>
      </c>
      <c r="F3043" s="30" t="e">
        <v>#VALUE!</v>
      </c>
      <c r="G3043" s="30" t="s">
        <v>8623</v>
      </c>
      <c r="H3043" s="30" t="s">
        <v>13047</v>
      </c>
    </row>
    <row r="3044" spans="1:8">
      <c r="A3044" s="30" t="s">
        <v>15008</v>
      </c>
      <c r="B3044" s="30"/>
      <c r="C3044" s="30" t="s">
        <v>8607</v>
      </c>
      <c r="D3044" s="30" t="s">
        <v>13123</v>
      </c>
      <c r="E3044" s="30" t="s">
        <v>9292</v>
      </c>
      <c r="F3044" s="30" t="e">
        <v>#VALUE!</v>
      </c>
      <c r="G3044" s="30" t="s">
        <v>8691</v>
      </c>
      <c r="H3044" s="30" t="s">
        <v>8963</v>
      </c>
    </row>
    <row r="3045" spans="1:8">
      <c r="A3045" s="30" t="s">
        <v>15009</v>
      </c>
      <c r="B3045" s="30"/>
      <c r="C3045" s="30" t="s">
        <v>8626</v>
      </c>
      <c r="D3045" s="30" t="s">
        <v>15010</v>
      </c>
      <c r="E3045" s="30" t="s">
        <v>15011</v>
      </c>
      <c r="F3045" s="30" t="s">
        <v>8618</v>
      </c>
      <c r="G3045" s="30" t="s">
        <v>9595</v>
      </c>
      <c r="H3045" s="30" t="s">
        <v>15012</v>
      </c>
    </row>
    <row r="3046" spans="1:8">
      <c r="A3046" s="30" t="s">
        <v>15013</v>
      </c>
      <c r="B3046" s="30"/>
      <c r="C3046" s="30" t="s">
        <v>8607</v>
      </c>
      <c r="D3046" s="30"/>
      <c r="E3046" s="30"/>
      <c r="F3046" s="30"/>
      <c r="G3046" s="30" t="s">
        <v>12277</v>
      </c>
      <c r="H3046" s="30" t="s">
        <v>12278</v>
      </c>
    </row>
    <row r="3047" spans="1:8">
      <c r="A3047" s="30" t="s">
        <v>15014</v>
      </c>
      <c r="B3047" s="30"/>
      <c r="C3047" s="30" t="s">
        <v>8607</v>
      </c>
      <c r="D3047" s="30"/>
      <c r="E3047" s="30"/>
      <c r="F3047" s="30"/>
      <c r="G3047" s="30" t="s">
        <v>8804</v>
      </c>
      <c r="H3047" s="30" t="s">
        <v>8805</v>
      </c>
    </row>
    <row r="3048" spans="1:8">
      <c r="A3048" s="30" t="s">
        <v>15015</v>
      </c>
      <c r="B3048" s="30"/>
      <c r="C3048" s="30" t="s">
        <v>8607</v>
      </c>
      <c r="D3048" s="30" t="s">
        <v>10904</v>
      </c>
      <c r="E3048" s="30" t="s">
        <v>8845</v>
      </c>
      <c r="F3048" s="30" t="s">
        <v>8672</v>
      </c>
      <c r="G3048" s="30" t="s">
        <v>8846</v>
      </c>
      <c r="H3048" s="30" t="s">
        <v>10905</v>
      </c>
    </row>
    <row r="3049" spans="1:8">
      <c r="A3049" s="30" t="s">
        <v>15016</v>
      </c>
      <c r="B3049" s="30"/>
      <c r="C3049" s="30" t="s">
        <v>8607</v>
      </c>
      <c r="D3049" s="30" t="s">
        <v>10907</v>
      </c>
      <c r="E3049" s="30" t="s">
        <v>8850</v>
      </c>
      <c r="F3049" s="30" t="s">
        <v>8672</v>
      </c>
      <c r="G3049" s="30" t="s">
        <v>8851</v>
      </c>
      <c r="H3049" s="30" t="s">
        <v>10567</v>
      </c>
    </row>
    <row r="3050" spans="1:8">
      <c r="A3050" s="30" t="s">
        <v>15017</v>
      </c>
      <c r="B3050" s="30"/>
      <c r="C3050" s="30" t="s">
        <v>8607</v>
      </c>
      <c r="D3050" s="30" t="s">
        <v>14098</v>
      </c>
      <c r="E3050" s="30" t="s">
        <v>10269</v>
      </c>
      <c r="F3050" s="30" t="s">
        <v>8618</v>
      </c>
      <c r="G3050" s="30" t="s">
        <v>10234</v>
      </c>
      <c r="H3050" s="30" t="s">
        <v>15018</v>
      </c>
    </row>
    <row r="3051" spans="1:8">
      <c r="A3051" s="30" t="s">
        <v>15019</v>
      </c>
      <c r="B3051" s="30"/>
      <c r="C3051" s="30" t="s">
        <v>8607</v>
      </c>
      <c r="D3051" s="30"/>
      <c r="E3051" s="30"/>
      <c r="F3051" s="30"/>
      <c r="G3051" s="30"/>
      <c r="H3051" s="30" t="s">
        <v>15020</v>
      </c>
    </row>
    <row r="3052" spans="1:8">
      <c r="A3052" s="30" t="s">
        <v>15021</v>
      </c>
      <c r="B3052" s="30"/>
      <c r="C3052" s="30" t="s">
        <v>8626</v>
      </c>
      <c r="D3052" s="30" t="s">
        <v>15022</v>
      </c>
      <c r="E3052" s="30" t="s">
        <v>15023</v>
      </c>
      <c r="F3052" s="30" t="e">
        <v>#VALUE!</v>
      </c>
      <c r="G3052" s="30" t="s">
        <v>14066</v>
      </c>
      <c r="H3052" s="30" t="s">
        <v>15024</v>
      </c>
    </row>
    <row r="3053" spans="1:8">
      <c r="A3053" s="30" t="s">
        <v>15025</v>
      </c>
      <c r="B3053" s="30"/>
      <c r="C3053" s="30" t="s">
        <v>8626</v>
      </c>
      <c r="D3053" s="30" t="s">
        <v>15026</v>
      </c>
      <c r="E3053" s="30" t="s">
        <v>10269</v>
      </c>
      <c r="F3053" s="30" t="s">
        <v>8618</v>
      </c>
      <c r="G3053" s="30" t="s">
        <v>10234</v>
      </c>
      <c r="H3053" s="30" t="s">
        <v>15027</v>
      </c>
    </row>
    <row r="3054" spans="1:8">
      <c r="A3054" s="30" t="s">
        <v>15028</v>
      </c>
      <c r="B3054" s="30"/>
      <c r="C3054" s="30" t="s">
        <v>8607</v>
      </c>
      <c r="D3054" s="30" t="s">
        <v>15029</v>
      </c>
      <c r="E3054" s="30" t="s">
        <v>9854</v>
      </c>
      <c r="F3054" s="30" t="s">
        <v>8618</v>
      </c>
      <c r="G3054" s="30" t="s">
        <v>12791</v>
      </c>
      <c r="H3054" s="30" t="s">
        <v>15030</v>
      </c>
    </row>
    <row r="3055" spans="1:8">
      <c r="A3055" s="30" t="s">
        <v>15031</v>
      </c>
      <c r="B3055" s="30"/>
      <c r="C3055" s="30" t="s">
        <v>8607</v>
      </c>
      <c r="D3055" s="30"/>
      <c r="E3055" s="30"/>
      <c r="F3055" s="30"/>
      <c r="G3055" s="30"/>
      <c r="H3055" s="30" t="s">
        <v>15032</v>
      </c>
    </row>
    <row r="3056" spans="1:8">
      <c r="A3056" s="30" t="s">
        <v>15033</v>
      </c>
      <c r="B3056" s="30"/>
      <c r="C3056" s="30" t="s">
        <v>8607</v>
      </c>
      <c r="D3056" s="30" t="s">
        <v>14688</v>
      </c>
      <c r="E3056" s="30"/>
      <c r="F3056" s="30"/>
      <c r="G3056" s="30" t="s">
        <v>9543</v>
      </c>
      <c r="H3056" s="30" t="s">
        <v>15034</v>
      </c>
    </row>
    <row r="3057" spans="1:8">
      <c r="A3057" s="30" t="s">
        <v>15035</v>
      </c>
      <c r="B3057" s="30"/>
      <c r="C3057" s="30" t="s">
        <v>8607</v>
      </c>
      <c r="D3057" s="30"/>
      <c r="E3057" s="30"/>
      <c r="F3057" s="30"/>
      <c r="G3057" s="30" t="s">
        <v>14691</v>
      </c>
      <c r="H3057" s="30" t="s">
        <v>14692</v>
      </c>
    </row>
    <row r="3058" spans="1:8">
      <c r="A3058" s="30" t="s">
        <v>15036</v>
      </c>
      <c r="B3058" s="30"/>
      <c r="C3058" s="30" t="s">
        <v>8626</v>
      </c>
      <c r="D3058" s="30" t="s">
        <v>15037</v>
      </c>
      <c r="E3058" s="30" t="s">
        <v>15038</v>
      </c>
      <c r="F3058" s="30" t="s">
        <v>8618</v>
      </c>
      <c r="G3058" s="30" t="s">
        <v>15039</v>
      </c>
      <c r="H3058" s="30" t="s">
        <v>15040</v>
      </c>
    </row>
    <row r="3059" spans="1:8">
      <c r="A3059" s="30" t="s">
        <v>15041</v>
      </c>
      <c r="B3059" s="30"/>
      <c r="C3059" s="30" t="s">
        <v>8607</v>
      </c>
      <c r="D3059" s="30" t="s">
        <v>9631</v>
      </c>
      <c r="E3059" s="30" t="s">
        <v>13764</v>
      </c>
      <c r="F3059" s="30" t="s">
        <v>8672</v>
      </c>
      <c r="G3059" s="30" t="s">
        <v>9632</v>
      </c>
      <c r="H3059" s="30" t="s">
        <v>13765</v>
      </c>
    </row>
    <row r="3060" spans="1:8">
      <c r="A3060" s="30" t="s">
        <v>15042</v>
      </c>
      <c r="B3060" s="30"/>
      <c r="C3060" s="30" t="s">
        <v>8607</v>
      </c>
      <c r="D3060" s="30"/>
      <c r="E3060" s="30"/>
      <c r="F3060" s="30"/>
      <c r="G3060" s="30" t="s">
        <v>15043</v>
      </c>
      <c r="H3060" s="30" t="s">
        <v>15044</v>
      </c>
    </row>
    <row r="3061" spans="1:8">
      <c r="A3061" s="30" t="s">
        <v>15045</v>
      </c>
      <c r="B3061" s="30"/>
      <c r="C3061" s="30" t="s">
        <v>8607</v>
      </c>
      <c r="D3061" s="30"/>
      <c r="E3061" s="30" t="s">
        <v>15046</v>
      </c>
      <c r="F3061" s="30" t="e">
        <v>#VALUE!</v>
      </c>
      <c r="G3061" s="30"/>
      <c r="H3061" s="30" t="s">
        <v>15047</v>
      </c>
    </row>
    <row r="3062" spans="1:8">
      <c r="A3062" s="30" t="s">
        <v>15048</v>
      </c>
      <c r="B3062" s="30"/>
      <c r="C3062" s="30" t="s">
        <v>8607</v>
      </c>
      <c r="D3062" s="30" t="s">
        <v>9000</v>
      </c>
      <c r="E3062" s="30" t="s">
        <v>11497</v>
      </c>
      <c r="F3062" s="30" t="s">
        <v>8672</v>
      </c>
      <c r="G3062" s="30" t="s">
        <v>9002</v>
      </c>
      <c r="H3062" s="30" t="s">
        <v>9003</v>
      </c>
    </row>
    <row r="3063" spans="1:8">
      <c r="A3063" s="30" t="s">
        <v>15049</v>
      </c>
      <c r="B3063" s="30"/>
      <c r="C3063" s="30" t="s">
        <v>8607</v>
      </c>
      <c r="D3063" s="30"/>
      <c r="E3063" s="30"/>
      <c r="F3063" s="30"/>
      <c r="G3063" s="30" t="s">
        <v>15050</v>
      </c>
      <c r="H3063" s="30" t="s">
        <v>15051</v>
      </c>
    </row>
    <row r="3064" spans="1:8">
      <c r="A3064" s="30" t="s">
        <v>15052</v>
      </c>
      <c r="B3064" s="30"/>
      <c r="C3064" s="30" t="s">
        <v>8607</v>
      </c>
      <c r="D3064" s="30" t="s">
        <v>15053</v>
      </c>
      <c r="E3064" s="30" t="s">
        <v>15054</v>
      </c>
      <c r="F3064" s="30" t="e">
        <v>#VALUE!</v>
      </c>
      <c r="G3064" s="30" t="s">
        <v>15055</v>
      </c>
      <c r="H3064" s="30" t="s">
        <v>15056</v>
      </c>
    </row>
    <row r="3065" spans="1:8">
      <c r="A3065" s="30" t="s">
        <v>15057</v>
      </c>
      <c r="B3065" s="30"/>
      <c r="C3065" s="30" t="s">
        <v>8607</v>
      </c>
      <c r="D3065" s="30" t="s">
        <v>9101</v>
      </c>
      <c r="E3065" s="30" t="s">
        <v>8845</v>
      </c>
      <c r="F3065" s="30" t="s">
        <v>8672</v>
      </c>
      <c r="G3065" s="30" t="s">
        <v>8846</v>
      </c>
      <c r="H3065" s="30" t="s">
        <v>9102</v>
      </c>
    </row>
    <row r="3066" spans="1:8">
      <c r="A3066" s="30" t="s">
        <v>15058</v>
      </c>
      <c r="B3066" s="30"/>
      <c r="C3066" s="30" t="s">
        <v>8607</v>
      </c>
      <c r="D3066" s="30" t="s">
        <v>9104</v>
      </c>
      <c r="E3066" s="30" t="s">
        <v>14435</v>
      </c>
      <c r="F3066" s="30" t="e">
        <v>#VALUE!</v>
      </c>
      <c r="G3066" s="30" t="s">
        <v>8678</v>
      </c>
      <c r="H3066" s="30" t="s">
        <v>9106</v>
      </c>
    </row>
    <row r="3067" spans="1:8">
      <c r="A3067" s="30" t="s">
        <v>15059</v>
      </c>
      <c r="B3067" s="30"/>
      <c r="C3067" s="30" t="s">
        <v>8607</v>
      </c>
      <c r="D3067" s="30"/>
      <c r="E3067" s="30"/>
      <c r="F3067" s="30"/>
      <c r="G3067" s="30" t="s">
        <v>15060</v>
      </c>
      <c r="H3067" s="30" t="s">
        <v>15061</v>
      </c>
    </row>
    <row r="3068" spans="1:8">
      <c r="A3068" s="30" t="s">
        <v>15062</v>
      </c>
      <c r="B3068" s="30"/>
      <c r="C3068" s="30" t="s">
        <v>8607</v>
      </c>
      <c r="D3068" s="30" t="s">
        <v>15063</v>
      </c>
      <c r="E3068" s="30" t="s">
        <v>11379</v>
      </c>
      <c r="F3068" s="30" t="s">
        <v>8672</v>
      </c>
      <c r="G3068" s="30" t="s">
        <v>9839</v>
      </c>
      <c r="H3068" s="30" t="s">
        <v>11380</v>
      </c>
    </row>
    <row r="3069" spans="1:8">
      <c r="A3069" s="30" t="s">
        <v>15064</v>
      </c>
      <c r="B3069" s="30"/>
      <c r="C3069" s="30" t="s">
        <v>8607</v>
      </c>
      <c r="D3069" s="30"/>
      <c r="E3069" s="30"/>
      <c r="F3069" s="30"/>
      <c r="G3069" s="30"/>
      <c r="H3069" s="30" t="s">
        <v>14423</v>
      </c>
    </row>
    <row r="3070" spans="1:8">
      <c r="A3070" s="30" t="s">
        <v>15065</v>
      </c>
      <c r="B3070" s="30"/>
      <c r="C3070" s="30" t="s">
        <v>8607</v>
      </c>
      <c r="D3070" s="30" t="s">
        <v>10732</v>
      </c>
      <c r="E3070" s="30" t="s">
        <v>15066</v>
      </c>
      <c r="F3070" s="30" t="s">
        <v>8672</v>
      </c>
      <c r="G3070" s="30" t="s">
        <v>9338</v>
      </c>
      <c r="H3070" s="30" t="s">
        <v>10734</v>
      </c>
    </row>
    <row r="3071" spans="1:8">
      <c r="A3071" s="30" t="s">
        <v>15067</v>
      </c>
      <c r="B3071" s="30"/>
      <c r="C3071" s="30" t="s">
        <v>8607</v>
      </c>
      <c r="D3071" s="30"/>
      <c r="E3071" s="30"/>
      <c r="F3071" s="30"/>
      <c r="G3071" s="30"/>
      <c r="H3071" s="30" t="s">
        <v>15068</v>
      </c>
    </row>
    <row r="3072" spans="1:8">
      <c r="A3072" s="30" t="s">
        <v>15069</v>
      </c>
      <c r="B3072" s="30"/>
      <c r="C3072" s="30" t="s">
        <v>8607</v>
      </c>
      <c r="D3072" s="30" t="s">
        <v>11493</v>
      </c>
      <c r="E3072" s="30" t="s">
        <v>9097</v>
      </c>
      <c r="F3072" s="30" t="s">
        <v>8618</v>
      </c>
      <c r="G3072" s="30" t="s">
        <v>9098</v>
      </c>
      <c r="H3072" s="30" t="s">
        <v>14428</v>
      </c>
    </row>
    <row r="3073" spans="1:8">
      <c r="A3073" s="30" t="s">
        <v>15070</v>
      </c>
      <c r="B3073" s="30"/>
      <c r="C3073" s="30" t="s">
        <v>8607</v>
      </c>
      <c r="D3073" s="30" t="s">
        <v>15071</v>
      </c>
      <c r="E3073" s="30" t="s">
        <v>14186</v>
      </c>
      <c r="F3073" s="30" t="s">
        <v>8672</v>
      </c>
      <c r="G3073" s="30" t="s">
        <v>9109</v>
      </c>
      <c r="H3073" s="30" t="s">
        <v>9110</v>
      </c>
    </row>
    <row r="3074" spans="1:8">
      <c r="A3074" s="30" t="s">
        <v>15072</v>
      </c>
      <c r="B3074" s="30"/>
      <c r="C3074" s="30" t="s">
        <v>8607</v>
      </c>
      <c r="D3074" s="30" t="s">
        <v>15073</v>
      </c>
      <c r="E3074" s="30" t="s">
        <v>9113</v>
      </c>
      <c r="F3074" s="30" t="s">
        <v>8672</v>
      </c>
      <c r="G3074" s="30" t="s">
        <v>9114</v>
      </c>
      <c r="H3074" s="30" t="s">
        <v>9115</v>
      </c>
    </row>
    <row r="3075" spans="1:8">
      <c r="A3075" s="30" t="s">
        <v>15074</v>
      </c>
      <c r="B3075" s="30"/>
      <c r="C3075" s="30" t="s">
        <v>8607</v>
      </c>
      <c r="D3075" s="30"/>
      <c r="E3075" s="30"/>
      <c r="F3075" s="30"/>
      <c r="G3075" s="30"/>
      <c r="H3075" s="30" t="s">
        <v>8994</v>
      </c>
    </row>
    <row r="3076" spans="1:8">
      <c r="A3076" s="30" t="s">
        <v>15075</v>
      </c>
      <c r="B3076" s="30"/>
      <c r="C3076" s="30" t="s">
        <v>8607</v>
      </c>
      <c r="D3076" s="30"/>
      <c r="E3076" s="30"/>
      <c r="F3076" s="30"/>
      <c r="G3076" s="30" t="s">
        <v>8659</v>
      </c>
      <c r="H3076" s="30" t="s">
        <v>8996</v>
      </c>
    </row>
    <row r="3077" spans="1:8">
      <c r="A3077" s="30" t="s">
        <v>15076</v>
      </c>
      <c r="B3077" s="30"/>
      <c r="C3077" s="30" t="s">
        <v>8607</v>
      </c>
      <c r="D3077" s="30" t="s">
        <v>9143</v>
      </c>
      <c r="E3077" s="30" t="s">
        <v>15077</v>
      </c>
      <c r="F3077" s="30" t="e">
        <v>#VALUE!</v>
      </c>
      <c r="G3077" s="30" t="s">
        <v>9145</v>
      </c>
      <c r="H3077" s="30" t="s">
        <v>15078</v>
      </c>
    </row>
    <row r="3078" spans="1:8">
      <c r="A3078" s="30" t="s">
        <v>15079</v>
      </c>
      <c r="B3078" s="30"/>
      <c r="C3078" s="30" t="s">
        <v>8626</v>
      </c>
      <c r="D3078" s="30"/>
      <c r="E3078" s="30" t="s">
        <v>11623</v>
      </c>
      <c r="F3078" s="30" t="s">
        <v>8618</v>
      </c>
      <c r="G3078" s="30" t="s">
        <v>8623</v>
      </c>
      <c r="H3078" s="30" t="s">
        <v>15080</v>
      </c>
    </row>
    <row r="3079" spans="1:8">
      <c r="A3079" s="30" t="s">
        <v>15081</v>
      </c>
      <c r="B3079" s="30"/>
      <c r="C3079" s="30" t="s">
        <v>8607</v>
      </c>
      <c r="D3079" s="30"/>
      <c r="E3079" s="30" t="s">
        <v>11623</v>
      </c>
      <c r="F3079" s="30" t="s">
        <v>8618</v>
      </c>
      <c r="G3079" s="30" t="s">
        <v>8623</v>
      </c>
      <c r="H3079" s="30" t="s">
        <v>15082</v>
      </c>
    </row>
    <row r="3080" spans="1:8">
      <c r="A3080" s="30" t="s">
        <v>15083</v>
      </c>
      <c r="B3080" s="30"/>
      <c r="C3080" s="30" t="s">
        <v>8607</v>
      </c>
      <c r="D3080" s="30"/>
      <c r="E3080" s="30"/>
      <c r="F3080" s="30"/>
      <c r="G3080" s="30"/>
      <c r="H3080" s="30" t="s">
        <v>13758</v>
      </c>
    </row>
    <row r="3081" spans="1:8">
      <c r="A3081" s="30" t="s">
        <v>15084</v>
      </c>
      <c r="B3081" s="30"/>
      <c r="C3081" s="30" t="s">
        <v>8626</v>
      </c>
      <c r="D3081" s="30" t="s">
        <v>11998</v>
      </c>
      <c r="E3081" s="30"/>
      <c r="F3081" s="30"/>
      <c r="G3081" s="30" t="s">
        <v>11999</v>
      </c>
      <c r="H3081" s="30" t="s">
        <v>15085</v>
      </c>
    </row>
    <row r="3082" spans="1:8">
      <c r="A3082" s="30" t="s">
        <v>15086</v>
      </c>
      <c r="B3082" s="30"/>
      <c r="C3082" s="30" t="s">
        <v>8607</v>
      </c>
      <c r="D3082" s="30"/>
      <c r="E3082" s="30"/>
      <c r="F3082" s="30"/>
      <c r="G3082" s="30"/>
      <c r="H3082" s="30" t="s">
        <v>13505</v>
      </c>
    </row>
    <row r="3083" spans="1:8">
      <c r="A3083" s="30" t="s">
        <v>15087</v>
      </c>
      <c r="B3083" s="30"/>
      <c r="C3083" s="30" t="s">
        <v>8607</v>
      </c>
      <c r="D3083" s="30" t="s">
        <v>9533</v>
      </c>
      <c r="E3083" s="30" t="s">
        <v>9534</v>
      </c>
      <c r="F3083" s="30" t="s">
        <v>8618</v>
      </c>
      <c r="G3083" s="30" t="s">
        <v>9535</v>
      </c>
      <c r="H3083" s="30" t="s">
        <v>13519</v>
      </c>
    </row>
    <row r="3084" spans="1:8">
      <c r="A3084" s="30" t="s">
        <v>15088</v>
      </c>
      <c r="B3084" s="30"/>
      <c r="C3084" s="30" t="s">
        <v>8607</v>
      </c>
      <c r="D3084" s="30"/>
      <c r="E3084" s="30"/>
      <c r="F3084" s="30"/>
      <c r="G3084" s="30" t="s">
        <v>13521</v>
      </c>
      <c r="H3084" s="30" t="s">
        <v>15089</v>
      </c>
    </row>
    <row r="3085" spans="1:8">
      <c r="A3085" s="30" t="s">
        <v>15090</v>
      </c>
      <c r="B3085" s="30"/>
      <c r="C3085" s="30" t="s">
        <v>8607</v>
      </c>
      <c r="D3085" s="30"/>
      <c r="E3085" s="30"/>
      <c r="F3085" s="30"/>
      <c r="G3085" s="30" t="s">
        <v>13524</v>
      </c>
      <c r="H3085" s="30" t="s">
        <v>13525</v>
      </c>
    </row>
    <row r="3086" spans="1:8">
      <c r="A3086" s="30" t="s">
        <v>15091</v>
      </c>
      <c r="B3086" s="30"/>
      <c r="C3086" s="30" t="s">
        <v>8607</v>
      </c>
      <c r="D3086" s="30"/>
      <c r="E3086" s="30"/>
      <c r="F3086" s="30"/>
      <c r="G3086" s="30" t="s">
        <v>9363</v>
      </c>
      <c r="H3086" s="30" t="s">
        <v>14210</v>
      </c>
    </row>
    <row r="3087" spans="1:8">
      <c r="A3087" s="30" t="s">
        <v>15092</v>
      </c>
      <c r="B3087" s="30"/>
      <c r="C3087" s="30" t="s">
        <v>8607</v>
      </c>
      <c r="D3087" s="30"/>
      <c r="E3087" s="30"/>
      <c r="F3087" s="30"/>
      <c r="G3087" s="30"/>
      <c r="H3087" s="30" t="s">
        <v>14212</v>
      </c>
    </row>
    <row r="3088" spans="1:8">
      <c r="A3088" s="30" t="s">
        <v>15093</v>
      </c>
      <c r="B3088" s="30"/>
      <c r="C3088" s="30" t="s">
        <v>8607</v>
      </c>
      <c r="D3088" s="30"/>
      <c r="E3088" s="30"/>
      <c r="F3088" s="30"/>
      <c r="G3088" s="30" t="s">
        <v>13527</v>
      </c>
      <c r="H3088" s="30" t="s">
        <v>13528</v>
      </c>
    </row>
    <row r="3089" spans="1:8">
      <c r="A3089" s="30" t="s">
        <v>15094</v>
      </c>
      <c r="B3089" s="30"/>
      <c r="C3089" s="30" t="s">
        <v>8607</v>
      </c>
      <c r="D3089" s="30"/>
      <c r="E3089" s="30"/>
      <c r="F3089" s="30"/>
      <c r="G3089" s="30" t="s">
        <v>9657</v>
      </c>
      <c r="H3089" s="30" t="s">
        <v>14813</v>
      </c>
    </row>
    <row r="3090" spans="1:8">
      <c r="A3090" s="30" t="s">
        <v>15095</v>
      </c>
      <c r="B3090" s="30"/>
      <c r="C3090" s="30" t="s">
        <v>8607</v>
      </c>
      <c r="D3090" s="30"/>
      <c r="E3090" s="30"/>
      <c r="F3090" s="30"/>
      <c r="G3090" s="30" t="s">
        <v>9657</v>
      </c>
      <c r="H3090" s="30" t="s">
        <v>13808</v>
      </c>
    </row>
    <row r="3091" spans="1:8">
      <c r="A3091" s="30" t="s">
        <v>15096</v>
      </c>
      <c r="B3091" s="30"/>
      <c r="C3091" s="30" t="s">
        <v>8626</v>
      </c>
      <c r="D3091" s="30" t="s">
        <v>15097</v>
      </c>
      <c r="E3091" s="30" t="s">
        <v>15098</v>
      </c>
      <c r="F3091" s="30" t="s">
        <v>8618</v>
      </c>
      <c r="G3091" s="30"/>
      <c r="H3091" s="30" t="s">
        <v>15099</v>
      </c>
    </row>
    <row r="3092" spans="1:8">
      <c r="A3092" s="30" t="s">
        <v>15100</v>
      </c>
      <c r="B3092" s="30"/>
      <c r="C3092" s="30" t="s">
        <v>8607</v>
      </c>
      <c r="D3092" s="30" t="s">
        <v>13405</v>
      </c>
      <c r="E3092" s="30" t="s">
        <v>15101</v>
      </c>
      <c r="F3092" s="30" t="s">
        <v>8672</v>
      </c>
      <c r="G3092" s="30" t="s">
        <v>13407</v>
      </c>
      <c r="H3092" s="30" t="s">
        <v>15102</v>
      </c>
    </row>
    <row r="3093" spans="1:8">
      <c r="A3093" s="30" t="s">
        <v>15103</v>
      </c>
      <c r="B3093" s="30"/>
      <c r="C3093" s="30" t="s">
        <v>8607</v>
      </c>
      <c r="D3093" s="30"/>
      <c r="E3093" s="30"/>
      <c r="F3093" s="30"/>
      <c r="G3093" s="30" t="s">
        <v>15104</v>
      </c>
      <c r="H3093" s="30" t="s">
        <v>15105</v>
      </c>
    </row>
    <row r="3094" spans="1:8">
      <c r="A3094" s="30" t="s">
        <v>15106</v>
      </c>
      <c r="B3094" s="30"/>
      <c r="C3094" s="30" t="s">
        <v>8607</v>
      </c>
      <c r="D3094" s="30" t="s">
        <v>15107</v>
      </c>
      <c r="E3094" s="30" t="s">
        <v>15108</v>
      </c>
      <c r="F3094" s="30" t="s">
        <v>8672</v>
      </c>
      <c r="G3094" s="30" t="s">
        <v>9844</v>
      </c>
      <c r="H3094" s="30" t="s">
        <v>9845</v>
      </c>
    </row>
    <row r="3095" spans="1:8">
      <c r="A3095" s="30" t="s">
        <v>15109</v>
      </c>
      <c r="B3095" s="30"/>
      <c r="C3095" s="30" t="s">
        <v>8626</v>
      </c>
      <c r="D3095" s="30" t="s">
        <v>15110</v>
      </c>
      <c r="E3095" s="30" t="s">
        <v>15111</v>
      </c>
      <c r="F3095" s="30" t="s">
        <v>8672</v>
      </c>
      <c r="G3095" s="30" t="s">
        <v>15112</v>
      </c>
      <c r="H3095" s="30" t="s">
        <v>15113</v>
      </c>
    </row>
    <row r="3096" spans="1:8">
      <c r="A3096" s="30" t="s">
        <v>15114</v>
      </c>
      <c r="B3096" s="30"/>
      <c r="C3096" s="30"/>
      <c r="D3096" s="32"/>
      <c r="E3096" s="30" t="s">
        <v>15115</v>
      </c>
      <c r="F3096" s="30" t="e">
        <v>#VALUE!</v>
      </c>
      <c r="G3096" s="30"/>
      <c r="H3096" s="30" t="s">
        <v>15116</v>
      </c>
    </row>
    <row r="3097" spans="1:8">
      <c r="A3097" s="30" t="s">
        <v>15117</v>
      </c>
      <c r="B3097" s="30"/>
      <c r="C3097" s="30" t="s">
        <v>8626</v>
      </c>
      <c r="D3097" s="30"/>
      <c r="E3097" s="30" t="s">
        <v>15118</v>
      </c>
      <c r="F3097" s="30" t="e">
        <v>#VALUE!</v>
      </c>
      <c r="G3097" s="30" t="s">
        <v>8629</v>
      </c>
      <c r="H3097" s="30" t="s">
        <v>15119</v>
      </c>
    </row>
    <row r="3098" spans="1:8">
      <c r="A3098" s="30" t="s">
        <v>15120</v>
      </c>
      <c r="B3098" s="30"/>
      <c r="C3098" s="30" t="s">
        <v>8626</v>
      </c>
      <c r="D3098" s="30"/>
      <c r="E3098" s="30" t="s">
        <v>15118</v>
      </c>
      <c r="F3098" s="30" t="e">
        <v>#VALUE!</v>
      </c>
      <c r="G3098" s="30"/>
      <c r="H3098" s="30" t="s">
        <v>15121</v>
      </c>
    </row>
    <row r="3099" spans="1:8">
      <c r="A3099" s="30" t="s">
        <v>15122</v>
      </c>
      <c r="B3099" s="30"/>
      <c r="C3099" s="30" t="s">
        <v>8626</v>
      </c>
      <c r="D3099" s="30"/>
      <c r="E3099" s="30" t="s">
        <v>15118</v>
      </c>
      <c r="F3099" s="30" t="e">
        <v>#VALUE!</v>
      </c>
      <c r="G3099" s="30" t="s">
        <v>15123</v>
      </c>
      <c r="H3099" s="30" t="s">
        <v>15119</v>
      </c>
    </row>
    <row r="3100" spans="1:8">
      <c r="A3100" s="30" t="s">
        <v>15124</v>
      </c>
      <c r="B3100" s="30"/>
      <c r="C3100" s="30"/>
      <c r="D3100" s="32"/>
      <c r="E3100" s="30"/>
      <c r="F3100" s="30"/>
      <c r="G3100" s="30"/>
      <c r="H3100" s="30" t="s">
        <v>15125</v>
      </c>
    </row>
    <row r="3101" spans="1:8">
      <c r="A3101" s="30" t="s">
        <v>15126</v>
      </c>
      <c r="B3101" s="30"/>
      <c r="C3101" s="30" t="s">
        <v>8607</v>
      </c>
      <c r="D3101" s="30" t="s">
        <v>15127</v>
      </c>
      <c r="E3101" s="30" t="s">
        <v>9377</v>
      </c>
      <c r="F3101" s="30" t="s">
        <v>8672</v>
      </c>
      <c r="G3101" s="30" t="s">
        <v>9378</v>
      </c>
      <c r="H3101" s="30" t="s">
        <v>15128</v>
      </c>
    </row>
    <row r="3102" spans="1:8">
      <c r="A3102" s="30" t="s">
        <v>15129</v>
      </c>
      <c r="B3102" s="30"/>
      <c r="C3102" s="30" t="s">
        <v>8626</v>
      </c>
      <c r="D3102" s="30"/>
      <c r="E3102" s="30"/>
      <c r="F3102" s="30"/>
      <c r="G3102" s="30"/>
      <c r="H3102" s="30" t="s">
        <v>15130</v>
      </c>
    </row>
    <row r="3103" spans="1:8">
      <c r="A3103" s="30" t="s">
        <v>15131</v>
      </c>
      <c r="B3103" s="30"/>
      <c r="C3103" s="30" t="s">
        <v>8607</v>
      </c>
      <c r="D3103" s="30"/>
      <c r="E3103" s="30"/>
      <c r="F3103" s="30"/>
      <c r="G3103" s="30"/>
      <c r="H3103" s="30" t="s">
        <v>14215</v>
      </c>
    </row>
    <row r="3104" spans="1:8">
      <c r="A3104" s="30" t="s">
        <v>15132</v>
      </c>
      <c r="B3104" s="30"/>
      <c r="C3104" s="30" t="s">
        <v>8607</v>
      </c>
      <c r="D3104" s="30"/>
      <c r="E3104" s="30"/>
      <c r="F3104" s="30"/>
      <c r="G3104" s="30" t="s">
        <v>8925</v>
      </c>
      <c r="H3104" s="30" t="s">
        <v>15133</v>
      </c>
    </row>
    <row r="3105" spans="1:8">
      <c r="A3105" s="30" t="s">
        <v>15134</v>
      </c>
      <c r="B3105" s="30"/>
      <c r="C3105" s="30" t="s">
        <v>8607</v>
      </c>
      <c r="D3105" s="30" t="s">
        <v>15135</v>
      </c>
      <c r="E3105" s="30" t="s">
        <v>15136</v>
      </c>
      <c r="F3105" s="30" t="s">
        <v>8672</v>
      </c>
      <c r="G3105" s="30" t="s">
        <v>9677</v>
      </c>
      <c r="H3105" s="30" t="s">
        <v>14771</v>
      </c>
    </row>
    <row r="3106" spans="1:8">
      <c r="A3106" s="30" t="s">
        <v>15137</v>
      </c>
      <c r="B3106" s="30"/>
      <c r="C3106" s="30" t="s">
        <v>8607</v>
      </c>
      <c r="D3106" s="30" t="s">
        <v>14195</v>
      </c>
      <c r="E3106" s="30"/>
      <c r="F3106" s="30"/>
      <c r="G3106" s="30" t="s">
        <v>8656</v>
      </c>
      <c r="H3106" s="30" t="s">
        <v>13530</v>
      </c>
    </row>
    <row r="3107" spans="1:8">
      <c r="A3107" s="30" t="s">
        <v>15138</v>
      </c>
      <c r="B3107" s="30"/>
      <c r="C3107" s="30" t="s">
        <v>8607</v>
      </c>
      <c r="D3107" s="30" t="s">
        <v>15139</v>
      </c>
      <c r="E3107" s="30" t="s">
        <v>9791</v>
      </c>
      <c r="F3107" s="30" t="s">
        <v>8672</v>
      </c>
      <c r="G3107" s="30" t="s">
        <v>9275</v>
      </c>
      <c r="H3107" s="30" t="s">
        <v>13507</v>
      </c>
    </row>
    <row r="3108" spans="1:8">
      <c r="A3108" s="30" t="s">
        <v>15140</v>
      </c>
      <c r="B3108" s="30"/>
      <c r="C3108" s="30" t="s">
        <v>8626</v>
      </c>
      <c r="D3108" s="30" t="s">
        <v>15141</v>
      </c>
      <c r="E3108" s="30" t="s">
        <v>15142</v>
      </c>
      <c r="F3108" s="30" t="s">
        <v>8618</v>
      </c>
      <c r="G3108" s="30" t="s">
        <v>8989</v>
      </c>
      <c r="H3108" s="30" t="s">
        <v>15143</v>
      </c>
    </row>
    <row r="3109" spans="1:8">
      <c r="A3109" s="30" t="s">
        <v>15144</v>
      </c>
      <c r="B3109" s="30"/>
      <c r="C3109" s="30" t="s">
        <v>8607</v>
      </c>
      <c r="D3109" s="30"/>
      <c r="E3109" s="30"/>
      <c r="F3109" s="30"/>
      <c r="G3109" s="30" t="s">
        <v>9543</v>
      </c>
      <c r="H3109" s="30" t="s">
        <v>15034</v>
      </c>
    </row>
    <row r="3110" spans="1:8">
      <c r="A3110" s="30" t="s">
        <v>15145</v>
      </c>
      <c r="B3110" s="30"/>
      <c r="C3110" s="30" t="s">
        <v>8607</v>
      </c>
      <c r="D3110" s="30"/>
      <c r="E3110" s="30"/>
      <c r="F3110" s="30"/>
      <c r="G3110" s="30" t="s">
        <v>14201</v>
      </c>
      <c r="H3110" s="30" t="s">
        <v>14202</v>
      </c>
    </row>
    <row r="3111" spans="1:8">
      <c r="A3111" s="30" t="s">
        <v>15146</v>
      </c>
      <c r="B3111" s="30"/>
      <c r="C3111" s="30" t="s">
        <v>8607</v>
      </c>
      <c r="D3111" s="30"/>
      <c r="E3111" s="30"/>
      <c r="F3111" s="30"/>
      <c r="G3111" s="30" t="s">
        <v>9308</v>
      </c>
      <c r="H3111" s="30" t="s">
        <v>13513</v>
      </c>
    </row>
    <row r="3112" spans="1:8">
      <c r="A3112" s="30" t="s">
        <v>15147</v>
      </c>
      <c r="B3112" s="30"/>
      <c r="C3112" s="30" t="s">
        <v>8607</v>
      </c>
      <c r="D3112" s="30" t="s">
        <v>15148</v>
      </c>
      <c r="E3112" s="30" t="s">
        <v>9854</v>
      </c>
      <c r="F3112" s="30" t="s">
        <v>8618</v>
      </c>
      <c r="G3112" s="30" t="s">
        <v>12791</v>
      </c>
      <c r="H3112" s="30" t="s">
        <v>15030</v>
      </c>
    </row>
    <row r="3113" spans="1:8">
      <c r="A3113" s="30" t="s">
        <v>15149</v>
      </c>
      <c r="B3113" s="30"/>
      <c r="C3113" s="30" t="s">
        <v>8607</v>
      </c>
      <c r="D3113" s="30"/>
      <c r="E3113" s="30"/>
      <c r="F3113" s="30"/>
      <c r="G3113" s="30"/>
      <c r="H3113" s="30" t="s">
        <v>15032</v>
      </c>
    </row>
    <row r="3114" spans="1:8">
      <c r="A3114" s="30" t="s">
        <v>15150</v>
      </c>
      <c r="B3114" s="30"/>
      <c r="C3114" s="30" t="s">
        <v>8607</v>
      </c>
      <c r="D3114" s="30" t="s">
        <v>9202</v>
      </c>
      <c r="E3114" s="30" t="s">
        <v>15151</v>
      </c>
      <c r="F3114" s="30" t="e">
        <v>#VALUE!</v>
      </c>
      <c r="G3114" s="30" t="s">
        <v>8691</v>
      </c>
      <c r="H3114" s="30" t="s">
        <v>9204</v>
      </c>
    </row>
    <row r="3115" spans="1:8">
      <c r="A3115" s="30" t="s">
        <v>15152</v>
      </c>
      <c r="B3115" s="30"/>
      <c r="C3115" s="30" t="s">
        <v>8607</v>
      </c>
      <c r="D3115" s="30"/>
      <c r="E3115" s="30"/>
      <c r="F3115" s="30"/>
      <c r="G3115" s="30" t="s">
        <v>8708</v>
      </c>
      <c r="H3115" s="30" t="s">
        <v>15153</v>
      </c>
    </row>
    <row r="3116" spans="1:8">
      <c r="A3116" s="30" t="s">
        <v>15154</v>
      </c>
      <c r="B3116" s="30"/>
      <c r="C3116" s="30" t="s">
        <v>8607</v>
      </c>
      <c r="D3116" s="30"/>
      <c r="E3116" s="30"/>
      <c r="F3116" s="30"/>
      <c r="G3116" s="30" t="s">
        <v>14691</v>
      </c>
      <c r="H3116" s="30" t="s">
        <v>15155</v>
      </c>
    </row>
    <row r="3117" spans="1:8">
      <c r="A3117" s="30" t="s">
        <v>15156</v>
      </c>
      <c r="B3117" s="30"/>
      <c r="C3117" s="30" t="s">
        <v>8607</v>
      </c>
      <c r="D3117" s="30" t="s">
        <v>9867</v>
      </c>
      <c r="E3117" s="30" t="s">
        <v>15157</v>
      </c>
      <c r="F3117" s="30" t="s">
        <v>8672</v>
      </c>
      <c r="G3117" s="30" t="s">
        <v>9378</v>
      </c>
      <c r="H3117" s="30" t="s">
        <v>15158</v>
      </c>
    </row>
    <row r="3118" spans="1:8">
      <c r="A3118" s="30" t="s">
        <v>15159</v>
      </c>
      <c r="B3118" s="30"/>
      <c r="C3118" s="30" t="s">
        <v>8607</v>
      </c>
      <c r="D3118" s="30" t="s">
        <v>9104</v>
      </c>
      <c r="E3118" s="30" t="s">
        <v>14435</v>
      </c>
      <c r="F3118" s="30" t="e">
        <v>#VALUE!</v>
      </c>
      <c r="G3118" s="30" t="s">
        <v>8678</v>
      </c>
      <c r="H3118" s="30" t="s">
        <v>9106</v>
      </c>
    </row>
    <row r="3119" spans="1:8">
      <c r="A3119" s="30" t="s">
        <v>15160</v>
      </c>
      <c r="B3119" s="30"/>
      <c r="C3119" s="30" t="s">
        <v>8607</v>
      </c>
      <c r="D3119" s="30"/>
      <c r="E3119" s="30"/>
      <c r="F3119" s="30"/>
      <c r="G3119" s="30" t="s">
        <v>15161</v>
      </c>
      <c r="H3119" s="30" t="s">
        <v>15162</v>
      </c>
    </row>
    <row r="3120" spans="1:8">
      <c r="A3120" s="30" t="s">
        <v>15163</v>
      </c>
      <c r="B3120" s="30"/>
      <c r="C3120" s="30" t="s">
        <v>8607</v>
      </c>
      <c r="D3120" s="30" t="s">
        <v>14347</v>
      </c>
      <c r="E3120" s="30" t="s">
        <v>11374</v>
      </c>
      <c r="F3120" s="30" t="s">
        <v>8672</v>
      </c>
      <c r="G3120" s="30" t="s">
        <v>11375</v>
      </c>
      <c r="H3120" s="30" t="s">
        <v>14183</v>
      </c>
    </row>
    <row r="3121" spans="1:8">
      <c r="A3121" s="30" t="s">
        <v>15164</v>
      </c>
      <c r="B3121" s="30"/>
      <c r="C3121" s="30" t="s">
        <v>8607</v>
      </c>
      <c r="D3121" s="30"/>
      <c r="E3121" s="30"/>
      <c r="F3121" s="30"/>
      <c r="G3121" s="30" t="s">
        <v>14353</v>
      </c>
      <c r="H3121" s="30" t="s">
        <v>14354</v>
      </c>
    </row>
    <row r="3122" spans="1:8">
      <c r="A3122" s="30" t="s">
        <v>15165</v>
      </c>
      <c r="B3122" s="30"/>
      <c r="C3122" s="30"/>
      <c r="D3122" s="32"/>
      <c r="E3122" s="30"/>
      <c r="F3122" s="30"/>
      <c r="G3122" s="30"/>
      <c r="H3122" s="30" t="s">
        <v>15166</v>
      </c>
    </row>
    <row r="3123" spans="1:8">
      <c r="A3123" s="30" t="s">
        <v>15167</v>
      </c>
      <c r="B3123" s="30"/>
      <c r="C3123" s="30" t="s">
        <v>8607</v>
      </c>
      <c r="D3123" s="30" t="s">
        <v>14356</v>
      </c>
      <c r="E3123" s="30" t="s">
        <v>15168</v>
      </c>
      <c r="F3123" s="30" t="s">
        <v>8618</v>
      </c>
      <c r="G3123" s="30" t="s">
        <v>14358</v>
      </c>
      <c r="H3123" s="30" t="s">
        <v>14359</v>
      </c>
    </row>
    <row r="3124" spans="1:8">
      <c r="A3124" s="30" t="s">
        <v>15169</v>
      </c>
      <c r="B3124" s="30"/>
      <c r="C3124" s="30" t="s">
        <v>8607</v>
      </c>
      <c r="D3124" s="30"/>
      <c r="E3124" s="30"/>
      <c r="F3124" s="30"/>
      <c r="G3124" s="30"/>
      <c r="H3124" s="30" t="s">
        <v>15170</v>
      </c>
    </row>
    <row r="3125" spans="1:8">
      <c r="A3125" s="30" t="s">
        <v>15171</v>
      </c>
      <c r="B3125" s="30"/>
      <c r="C3125" s="30" t="s">
        <v>8607</v>
      </c>
      <c r="D3125" s="30" t="s">
        <v>14432</v>
      </c>
      <c r="E3125" s="30" t="s">
        <v>15172</v>
      </c>
      <c r="F3125" s="30" t="e">
        <v>#VALUE!</v>
      </c>
      <c r="G3125" s="30" t="s">
        <v>9145</v>
      </c>
      <c r="H3125" s="30" t="s">
        <v>15078</v>
      </c>
    </row>
    <row r="3126" spans="1:8">
      <c r="A3126" s="30" t="s">
        <v>15173</v>
      </c>
      <c r="B3126" s="30"/>
      <c r="C3126" s="30" t="s">
        <v>8607</v>
      </c>
      <c r="D3126" s="30" t="s">
        <v>11525</v>
      </c>
      <c r="E3126" s="30" t="s">
        <v>13990</v>
      </c>
      <c r="F3126" s="30" t="s">
        <v>8672</v>
      </c>
      <c r="G3126" s="30" t="s">
        <v>11527</v>
      </c>
      <c r="H3126" s="30" t="s">
        <v>14171</v>
      </c>
    </row>
    <row r="3127" spans="1:8">
      <c r="A3127" s="30" t="s">
        <v>15174</v>
      </c>
      <c r="B3127" s="30"/>
      <c r="C3127" s="30" t="s">
        <v>8607</v>
      </c>
      <c r="D3127" s="30"/>
      <c r="E3127" s="30"/>
      <c r="F3127" s="30"/>
      <c r="G3127" s="30" t="s">
        <v>14413</v>
      </c>
      <c r="H3127" s="30" t="s">
        <v>15175</v>
      </c>
    </row>
    <row r="3128" spans="1:8">
      <c r="A3128" s="30" t="s">
        <v>15176</v>
      </c>
      <c r="B3128" s="30"/>
      <c r="C3128" s="30" t="s">
        <v>8607</v>
      </c>
      <c r="D3128" s="30" t="s">
        <v>14182</v>
      </c>
      <c r="E3128" s="30" t="s">
        <v>11374</v>
      </c>
      <c r="F3128" s="30" t="s">
        <v>8672</v>
      </c>
      <c r="G3128" s="30" t="s">
        <v>11375</v>
      </c>
      <c r="H3128" s="30" t="s">
        <v>15177</v>
      </c>
    </row>
    <row r="3129" spans="1:8">
      <c r="A3129" s="30" t="s">
        <v>15178</v>
      </c>
      <c r="B3129" s="30"/>
      <c r="C3129" s="30" t="s">
        <v>8607</v>
      </c>
      <c r="D3129" s="30" t="s">
        <v>11378</v>
      </c>
      <c r="E3129" s="30" t="s">
        <v>11379</v>
      </c>
      <c r="F3129" s="30" t="s">
        <v>8672</v>
      </c>
      <c r="G3129" s="30" t="s">
        <v>9839</v>
      </c>
      <c r="H3129" s="30" t="s">
        <v>11380</v>
      </c>
    </row>
    <row r="3130" spans="1:8">
      <c r="A3130" s="30" t="s">
        <v>15179</v>
      </c>
      <c r="B3130" s="30"/>
      <c r="C3130" s="30" t="s">
        <v>8607</v>
      </c>
      <c r="D3130" s="30"/>
      <c r="E3130" s="30"/>
      <c r="F3130" s="30"/>
      <c r="G3130" s="30"/>
      <c r="H3130" s="30" t="s">
        <v>14423</v>
      </c>
    </row>
    <row r="3131" spans="1:8">
      <c r="A3131" s="30" t="s">
        <v>15180</v>
      </c>
      <c r="B3131" s="30"/>
      <c r="C3131" s="30" t="s">
        <v>8626</v>
      </c>
      <c r="D3131" s="30" t="s">
        <v>15181</v>
      </c>
      <c r="E3131" s="30" t="s">
        <v>15182</v>
      </c>
      <c r="F3131" s="30" t="e">
        <v>#VALUE!</v>
      </c>
      <c r="G3131" s="30" t="s">
        <v>15183</v>
      </c>
      <c r="H3131" s="30" t="s">
        <v>15184</v>
      </c>
    </row>
    <row r="3132" spans="1:8">
      <c r="A3132" s="30" t="s">
        <v>15185</v>
      </c>
      <c r="B3132" s="30"/>
      <c r="C3132" s="30" t="s">
        <v>8607</v>
      </c>
      <c r="D3132" s="30"/>
      <c r="E3132" s="30"/>
      <c r="F3132" s="30"/>
      <c r="G3132" s="30" t="s">
        <v>15186</v>
      </c>
      <c r="H3132" s="30" t="s">
        <v>15187</v>
      </c>
    </row>
    <row r="3133" spans="1:8">
      <c r="A3133" s="30" t="s">
        <v>15188</v>
      </c>
      <c r="B3133" s="30"/>
      <c r="C3133" s="30" t="s">
        <v>8607</v>
      </c>
      <c r="D3133" s="30" t="s">
        <v>9096</v>
      </c>
      <c r="E3133" s="30" t="s">
        <v>9097</v>
      </c>
      <c r="F3133" s="30" t="s">
        <v>8618</v>
      </c>
      <c r="G3133" s="30" t="s">
        <v>9098</v>
      </c>
      <c r="H3133" s="30" t="s">
        <v>14428</v>
      </c>
    </row>
    <row r="3134" spans="1:8">
      <c r="A3134" s="30" t="s">
        <v>15189</v>
      </c>
      <c r="B3134" s="30"/>
      <c r="C3134" s="30" t="s">
        <v>8607</v>
      </c>
      <c r="D3134" s="30" t="s">
        <v>15071</v>
      </c>
      <c r="E3134" s="30" t="s">
        <v>14186</v>
      </c>
      <c r="F3134" s="30" t="s">
        <v>8672</v>
      </c>
      <c r="G3134" s="30" t="s">
        <v>9109</v>
      </c>
      <c r="H3134" s="30" t="s">
        <v>14187</v>
      </c>
    </row>
    <row r="3135" spans="1:8">
      <c r="A3135" s="30" t="s">
        <v>15190</v>
      </c>
      <c r="B3135" s="30"/>
      <c r="C3135" s="30" t="s">
        <v>8607</v>
      </c>
      <c r="D3135" s="30" t="s">
        <v>15191</v>
      </c>
      <c r="E3135" s="30" t="s">
        <v>9113</v>
      </c>
      <c r="F3135" s="30" t="s">
        <v>8672</v>
      </c>
      <c r="G3135" s="30" t="s">
        <v>9114</v>
      </c>
      <c r="H3135" s="30" t="s">
        <v>9115</v>
      </c>
    </row>
    <row r="3136" spans="1:8">
      <c r="A3136" s="30" t="s">
        <v>15192</v>
      </c>
      <c r="B3136" s="30"/>
      <c r="C3136" s="30" t="s">
        <v>8607</v>
      </c>
      <c r="D3136" s="30"/>
      <c r="E3136" s="30"/>
      <c r="F3136" s="30"/>
      <c r="G3136" s="30" t="s">
        <v>9657</v>
      </c>
      <c r="H3136" s="30" t="s">
        <v>13808</v>
      </c>
    </row>
    <row r="3137" spans="1:8">
      <c r="A3137" s="30" t="s">
        <v>15193</v>
      </c>
      <c r="B3137" s="30"/>
      <c r="C3137" s="30" t="s">
        <v>8607</v>
      </c>
      <c r="D3137" s="30" t="s">
        <v>9631</v>
      </c>
      <c r="E3137" s="30" t="s">
        <v>13764</v>
      </c>
      <c r="F3137" s="30" t="s">
        <v>8672</v>
      </c>
      <c r="G3137" s="30" t="s">
        <v>9632</v>
      </c>
      <c r="H3137" s="30" t="s">
        <v>13765</v>
      </c>
    </row>
    <row r="3138" spans="1:8">
      <c r="A3138" s="30" t="s">
        <v>15194</v>
      </c>
      <c r="B3138" s="30"/>
      <c r="C3138" s="30" t="s">
        <v>8607</v>
      </c>
      <c r="D3138" s="30" t="s">
        <v>15195</v>
      </c>
      <c r="E3138" s="30" t="s">
        <v>15054</v>
      </c>
      <c r="F3138" s="30" t="e">
        <v>#VALUE!</v>
      </c>
      <c r="G3138" s="30" t="s">
        <v>15055</v>
      </c>
      <c r="H3138" s="30" t="s">
        <v>15196</v>
      </c>
    </row>
    <row r="3139" spans="1:8">
      <c r="A3139" s="30" t="s">
        <v>15197</v>
      </c>
      <c r="B3139" s="30"/>
      <c r="C3139" s="30" t="s">
        <v>8607</v>
      </c>
      <c r="D3139" s="30"/>
      <c r="E3139" s="30" t="s">
        <v>13502</v>
      </c>
      <c r="F3139" s="30" t="e">
        <v>#VALUE!</v>
      </c>
      <c r="G3139" s="30" t="s">
        <v>8908</v>
      </c>
      <c r="H3139" s="30" t="s">
        <v>15198</v>
      </c>
    </row>
    <row r="3140" spans="1:8">
      <c r="A3140" s="30" t="s">
        <v>15199</v>
      </c>
      <c r="B3140" s="30"/>
      <c r="C3140" s="30" t="s">
        <v>8626</v>
      </c>
      <c r="D3140" s="30" t="s">
        <v>15200</v>
      </c>
      <c r="E3140" s="30" t="s">
        <v>15201</v>
      </c>
      <c r="F3140" s="30" t="s">
        <v>8618</v>
      </c>
      <c r="G3140" s="30" t="s">
        <v>15202</v>
      </c>
      <c r="H3140" s="30" t="s">
        <v>15203</v>
      </c>
    </row>
    <row r="3141" spans="1:8">
      <c r="A3141" s="30" t="s">
        <v>15204</v>
      </c>
      <c r="B3141" s="30"/>
      <c r="C3141" s="30" t="s">
        <v>8607</v>
      </c>
      <c r="D3141" s="30" t="s">
        <v>15205</v>
      </c>
      <c r="E3141" s="30" t="s">
        <v>9566</v>
      </c>
      <c r="F3141" s="30" t="s">
        <v>8618</v>
      </c>
      <c r="G3141" s="30" t="s">
        <v>9567</v>
      </c>
      <c r="H3141" s="30" t="s">
        <v>9610</v>
      </c>
    </row>
    <row r="3142" spans="1:8">
      <c r="A3142" s="30" t="s">
        <v>15206</v>
      </c>
      <c r="B3142" s="30"/>
      <c r="C3142" s="30" t="s">
        <v>8607</v>
      </c>
      <c r="D3142" s="30"/>
      <c r="E3142" s="30"/>
      <c r="F3142" s="30"/>
      <c r="G3142" s="30" t="s">
        <v>15207</v>
      </c>
      <c r="H3142" s="30" t="s">
        <v>15208</v>
      </c>
    </row>
    <row r="3143" spans="1:8">
      <c r="A3143" s="30" t="s">
        <v>15209</v>
      </c>
      <c r="B3143" s="30"/>
      <c r="C3143" s="30" t="s">
        <v>8607</v>
      </c>
      <c r="D3143" s="30"/>
      <c r="E3143" s="30"/>
      <c r="F3143" s="30"/>
      <c r="G3143" s="30" t="s">
        <v>15043</v>
      </c>
      <c r="H3143" s="30" t="s">
        <v>15044</v>
      </c>
    </row>
    <row r="3144" spans="1:8">
      <c r="A3144" s="30" t="s">
        <v>15210</v>
      </c>
      <c r="B3144" s="30"/>
      <c r="C3144" s="30" t="s">
        <v>8607</v>
      </c>
      <c r="D3144" s="30" t="s">
        <v>12749</v>
      </c>
      <c r="E3144" s="30" t="s">
        <v>15211</v>
      </c>
      <c r="F3144" s="30" t="s">
        <v>8618</v>
      </c>
      <c r="G3144" s="30" t="s">
        <v>10928</v>
      </c>
      <c r="H3144" s="30" t="s">
        <v>15212</v>
      </c>
    </row>
    <row r="3145" spans="1:8">
      <c r="A3145" s="30" t="s">
        <v>15213</v>
      </c>
      <c r="B3145" s="30"/>
      <c r="C3145" s="30"/>
      <c r="D3145" s="32"/>
      <c r="E3145" s="30"/>
      <c r="F3145" s="30"/>
      <c r="G3145" s="30"/>
      <c r="H3145" s="30" t="s">
        <v>15214</v>
      </c>
    </row>
    <row r="3146" spans="1:8">
      <c r="A3146" s="30" t="s">
        <v>15215</v>
      </c>
      <c r="B3146" s="30"/>
      <c r="C3146" s="30" t="s">
        <v>8607</v>
      </c>
      <c r="D3146" s="30"/>
      <c r="E3146" s="30"/>
      <c r="F3146" s="30"/>
      <c r="G3146" s="30" t="s">
        <v>15216</v>
      </c>
      <c r="H3146" s="30" t="s">
        <v>15217</v>
      </c>
    </row>
    <row r="3147" spans="1:8">
      <c r="A3147" s="30" t="s">
        <v>15218</v>
      </c>
      <c r="B3147" s="30"/>
      <c r="C3147" s="30" t="s">
        <v>8607</v>
      </c>
      <c r="D3147" s="30"/>
      <c r="E3147" s="30"/>
      <c r="F3147" s="30"/>
      <c r="G3147" s="30"/>
      <c r="H3147" s="30" t="s">
        <v>13758</v>
      </c>
    </row>
    <row r="3148" spans="1:8">
      <c r="A3148" s="30" t="s">
        <v>15219</v>
      </c>
      <c r="B3148" s="30"/>
      <c r="C3148" s="30" t="s">
        <v>8607</v>
      </c>
      <c r="D3148" s="30" t="s">
        <v>11763</v>
      </c>
      <c r="E3148" s="30" t="s">
        <v>8845</v>
      </c>
      <c r="F3148" s="30" t="s">
        <v>8672</v>
      </c>
      <c r="G3148" s="30" t="s">
        <v>8846</v>
      </c>
      <c r="H3148" s="30" t="s">
        <v>9102</v>
      </c>
    </row>
    <row r="3149" spans="1:8">
      <c r="A3149" s="30" t="s">
        <v>15220</v>
      </c>
      <c r="B3149" s="30"/>
      <c r="C3149" s="30" t="s">
        <v>8607</v>
      </c>
      <c r="D3149" s="30" t="s">
        <v>13802</v>
      </c>
      <c r="E3149" s="30" t="s">
        <v>15221</v>
      </c>
      <c r="F3149" s="30" t="e">
        <v>#VALUE!</v>
      </c>
      <c r="G3149" s="30" t="s">
        <v>13804</v>
      </c>
      <c r="H3149" s="30" t="s">
        <v>14092</v>
      </c>
    </row>
    <row r="3150" spans="1:8">
      <c r="A3150" s="30" t="s">
        <v>15222</v>
      </c>
      <c r="B3150" s="30"/>
      <c r="C3150" s="30" t="s">
        <v>8607</v>
      </c>
      <c r="D3150" s="30" t="s">
        <v>14094</v>
      </c>
      <c r="E3150" s="30" t="s">
        <v>15223</v>
      </c>
      <c r="F3150" s="30" t="s">
        <v>8672</v>
      </c>
      <c r="G3150" s="30" t="s">
        <v>9014</v>
      </c>
      <c r="H3150" s="30" t="s">
        <v>14096</v>
      </c>
    </row>
    <row r="3151" spans="1:8">
      <c r="A3151" s="30" t="s">
        <v>15224</v>
      </c>
      <c r="B3151" s="30"/>
      <c r="C3151" s="30" t="s">
        <v>8626</v>
      </c>
      <c r="D3151" s="30" t="s">
        <v>11003</v>
      </c>
      <c r="E3151" s="30" t="s">
        <v>10374</v>
      </c>
      <c r="F3151" s="30" t="s">
        <v>8618</v>
      </c>
      <c r="G3151" s="30" t="s">
        <v>10234</v>
      </c>
      <c r="H3151" s="30" t="s">
        <v>15225</v>
      </c>
    </row>
    <row r="3152" spans="1:8">
      <c r="A3152" s="30" t="s">
        <v>15226</v>
      </c>
      <c r="B3152" s="30"/>
      <c r="C3152" s="30" t="s">
        <v>8607</v>
      </c>
      <c r="D3152" s="30"/>
      <c r="E3152" s="30"/>
      <c r="F3152" s="30"/>
      <c r="G3152" s="30" t="s">
        <v>14069</v>
      </c>
      <c r="H3152" s="30" t="s">
        <v>14722</v>
      </c>
    </row>
    <row r="3153" spans="1:8">
      <c r="A3153" s="30" t="s">
        <v>15227</v>
      </c>
      <c r="B3153" s="30"/>
      <c r="C3153" s="30" t="s">
        <v>8607</v>
      </c>
      <c r="D3153" s="30" t="s">
        <v>8938</v>
      </c>
      <c r="E3153" s="30"/>
      <c r="F3153" s="30"/>
      <c r="G3153" s="30" t="s">
        <v>8737</v>
      </c>
      <c r="H3153" s="30" t="s">
        <v>14076</v>
      </c>
    </row>
    <row r="3154" spans="1:8">
      <c r="A3154" s="30" t="s">
        <v>15228</v>
      </c>
      <c r="B3154" s="30"/>
      <c r="C3154" s="30" t="s">
        <v>8607</v>
      </c>
      <c r="D3154" s="30" t="s">
        <v>13603</v>
      </c>
      <c r="E3154" s="30" t="s">
        <v>13604</v>
      </c>
      <c r="F3154" s="30" t="s">
        <v>8618</v>
      </c>
      <c r="G3154" s="30" t="s">
        <v>9606</v>
      </c>
      <c r="H3154" s="30" t="s">
        <v>13605</v>
      </c>
    </row>
    <row r="3155" spans="1:8">
      <c r="A3155" s="30" t="s">
        <v>15229</v>
      </c>
      <c r="B3155" s="30"/>
      <c r="C3155" s="30" t="s">
        <v>8607</v>
      </c>
      <c r="D3155" s="30" t="s">
        <v>15230</v>
      </c>
      <c r="E3155" s="30" t="s">
        <v>13774</v>
      </c>
      <c r="F3155" s="30" t="s">
        <v>8618</v>
      </c>
      <c r="G3155" s="30" t="s">
        <v>15231</v>
      </c>
      <c r="H3155" s="30" t="s">
        <v>15232</v>
      </c>
    </row>
    <row r="3156" spans="1:8">
      <c r="A3156" s="30" t="s">
        <v>15233</v>
      </c>
      <c r="B3156" s="30"/>
      <c r="C3156" s="30" t="s">
        <v>8626</v>
      </c>
      <c r="D3156" s="30" t="s">
        <v>8821</v>
      </c>
      <c r="E3156" s="30"/>
      <c r="F3156" s="30"/>
      <c r="G3156" s="30" t="s">
        <v>8737</v>
      </c>
      <c r="H3156" s="30" t="s">
        <v>8738</v>
      </c>
    </row>
    <row r="3157" spans="1:8">
      <c r="A3157" s="30" t="s">
        <v>15234</v>
      </c>
      <c r="B3157" s="30"/>
      <c r="C3157" s="30" t="s">
        <v>8607</v>
      </c>
      <c r="D3157" s="30" t="s">
        <v>8736</v>
      </c>
      <c r="E3157" s="30"/>
      <c r="F3157" s="30"/>
      <c r="G3157" s="30" t="s">
        <v>8737</v>
      </c>
      <c r="H3157" s="30" t="s">
        <v>8746</v>
      </c>
    </row>
    <row r="3158" spans="1:8">
      <c r="A3158" s="30" t="s">
        <v>15235</v>
      </c>
      <c r="B3158" s="30"/>
      <c r="C3158" s="30" t="s">
        <v>8607</v>
      </c>
      <c r="D3158" s="30"/>
      <c r="E3158" s="30"/>
      <c r="F3158" s="30"/>
      <c r="G3158" s="30" t="s">
        <v>10395</v>
      </c>
      <c r="H3158" s="30" t="s">
        <v>11248</v>
      </c>
    </row>
    <row r="3159" spans="1:8">
      <c r="A3159" s="30" t="s">
        <v>15236</v>
      </c>
      <c r="B3159" s="30"/>
      <c r="C3159" s="30" t="s">
        <v>8607</v>
      </c>
      <c r="D3159" s="30" t="s">
        <v>8736</v>
      </c>
      <c r="E3159" s="30"/>
      <c r="F3159" s="30"/>
      <c r="G3159" s="30" t="s">
        <v>8737</v>
      </c>
      <c r="H3159" s="30" t="s">
        <v>8746</v>
      </c>
    </row>
    <row r="3160" spans="1:8">
      <c r="A3160" s="30" t="s">
        <v>15237</v>
      </c>
      <c r="B3160" s="30"/>
      <c r="C3160" s="30" t="s">
        <v>8607</v>
      </c>
      <c r="D3160" s="30"/>
      <c r="E3160" s="30"/>
      <c r="F3160" s="30"/>
      <c r="G3160" s="30"/>
      <c r="H3160" s="30" t="s">
        <v>15238</v>
      </c>
    </row>
    <row r="3161" spans="1:8">
      <c r="A3161" s="30" t="s">
        <v>15239</v>
      </c>
      <c r="B3161" s="30"/>
      <c r="C3161" s="30" t="s">
        <v>8626</v>
      </c>
      <c r="D3161" s="30"/>
      <c r="E3161" s="30"/>
      <c r="F3161" s="30"/>
      <c r="G3161" s="30"/>
      <c r="H3161" s="30" t="s">
        <v>15240</v>
      </c>
    </row>
    <row r="3162" spans="1:8">
      <c r="A3162" s="30" t="s">
        <v>15241</v>
      </c>
      <c r="B3162" s="30"/>
      <c r="C3162" s="30" t="s">
        <v>8607</v>
      </c>
      <c r="D3162" s="30" t="s">
        <v>10736</v>
      </c>
      <c r="E3162" s="30" t="s">
        <v>15242</v>
      </c>
      <c r="F3162" s="30" t="s">
        <v>8618</v>
      </c>
      <c r="G3162" s="30" t="s">
        <v>9667</v>
      </c>
      <c r="H3162" s="30" t="s">
        <v>15243</v>
      </c>
    </row>
    <row r="3163" spans="1:8">
      <c r="A3163" s="30" t="s">
        <v>15244</v>
      </c>
      <c r="B3163" s="30"/>
      <c r="C3163" s="30" t="s">
        <v>8607</v>
      </c>
      <c r="D3163" s="30"/>
      <c r="E3163" s="30" t="s">
        <v>15245</v>
      </c>
      <c r="F3163" s="30" t="s">
        <v>8672</v>
      </c>
      <c r="G3163" s="30" t="s">
        <v>9023</v>
      </c>
      <c r="H3163" s="30" t="s">
        <v>15246</v>
      </c>
    </row>
    <row r="3164" spans="1:8">
      <c r="A3164" s="30" t="s">
        <v>15247</v>
      </c>
      <c r="B3164" s="30"/>
      <c r="C3164" s="30" t="s">
        <v>8607</v>
      </c>
      <c r="D3164" s="30"/>
      <c r="E3164" s="30"/>
      <c r="F3164" s="30"/>
      <c r="G3164" s="30" t="s">
        <v>8743</v>
      </c>
      <c r="H3164" s="30" t="s">
        <v>11064</v>
      </c>
    </row>
    <row r="3165" spans="1:8">
      <c r="A3165" s="30" t="s">
        <v>15248</v>
      </c>
      <c r="B3165" s="30"/>
      <c r="C3165" s="30" t="s">
        <v>8626</v>
      </c>
      <c r="D3165" s="30" t="s">
        <v>8810</v>
      </c>
      <c r="E3165" s="30" t="s">
        <v>8811</v>
      </c>
      <c r="F3165" s="30" t="e">
        <v>#VALUE!</v>
      </c>
      <c r="G3165" s="30" t="s">
        <v>8754</v>
      </c>
      <c r="H3165" s="30" t="s">
        <v>15249</v>
      </c>
    </row>
    <row r="3166" spans="1:8">
      <c r="A3166" s="30" t="s">
        <v>15250</v>
      </c>
      <c r="B3166" s="30"/>
      <c r="C3166" s="30" t="s">
        <v>8607</v>
      </c>
      <c r="D3166" s="30" t="s">
        <v>8736</v>
      </c>
      <c r="E3166" s="30"/>
      <c r="F3166" s="30"/>
      <c r="G3166" s="30" t="s">
        <v>8737</v>
      </c>
      <c r="H3166" s="30" t="s">
        <v>15251</v>
      </c>
    </row>
    <row r="3167" spans="1:8">
      <c r="A3167" s="30" t="s">
        <v>15252</v>
      </c>
      <c r="B3167" s="30"/>
      <c r="C3167" s="30" t="s">
        <v>8607</v>
      </c>
      <c r="D3167" s="30"/>
      <c r="E3167" s="30"/>
      <c r="F3167" s="30"/>
      <c r="G3167" s="30"/>
      <c r="H3167" s="30" t="s">
        <v>8980</v>
      </c>
    </row>
    <row r="3168" spans="1:8">
      <c r="A3168" s="30" t="s">
        <v>15253</v>
      </c>
      <c r="B3168" s="30"/>
      <c r="C3168" s="30" t="s">
        <v>8607</v>
      </c>
      <c r="D3168" s="30" t="s">
        <v>15254</v>
      </c>
      <c r="E3168" s="30" t="s">
        <v>8988</v>
      </c>
      <c r="F3168" s="30" t="s">
        <v>8618</v>
      </c>
      <c r="G3168" s="30" t="s">
        <v>8989</v>
      </c>
      <c r="H3168" s="30" t="s">
        <v>8990</v>
      </c>
    </row>
    <row r="3169" spans="1:8">
      <c r="A3169" s="30" t="s">
        <v>15255</v>
      </c>
      <c r="B3169" s="30"/>
      <c r="C3169" s="30" t="s">
        <v>8607</v>
      </c>
      <c r="D3169" s="30"/>
      <c r="E3169" s="30"/>
      <c r="F3169" s="30"/>
      <c r="G3169" s="30" t="s">
        <v>8646</v>
      </c>
      <c r="H3169" s="30" t="s">
        <v>8992</v>
      </c>
    </row>
    <row r="3170" spans="1:8">
      <c r="A3170" s="30" t="s">
        <v>15256</v>
      </c>
      <c r="B3170" s="30"/>
      <c r="C3170" s="30" t="s">
        <v>8607</v>
      </c>
      <c r="D3170" s="30" t="s">
        <v>9005</v>
      </c>
      <c r="E3170" s="30" t="s">
        <v>15257</v>
      </c>
      <c r="F3170" s="30" t="e">
        <v>#VALUE!</v>
      </c>
      <c r="G3170" s="30" t="s">
        <v>9007</v>
      </c>
      <c r="H3170" s="30" t="s">
        <v>9008</v>
      </c>
    </row>
    <row r="3171" spans="1:8">
      <c r="A3171" s="30" t="s">
        <v>15258</v>
      </c>
      <c r="B3171" s="30"/>
      <c r="C3171" s="30" t="s">
        <v>8607</v>
      </c>
      <c r="D3171" s="30" t="s">
        <v>8654</v>
      </c>
      <c r="E3171" s="30" t="s">
        <v>8655</v>
      </c>
      <c r="F3171" s="30" t="s">
        <v>8618</v>
      </c>
      <c r="G3171" s="30" t="s">
        <v>8656</v>
      </c>
      <c r="H3171" s="30" t="s">
        <v>9010</v>
      </c>
    </row>
    <row r="3172" spans="1:8">
      <c r="A3172" s="30" t="s">
        <v>15259</v>
      </c>
      <c r="B3172" s="30"/>
      <c r="C3172" s="30" t="s">
        <v>8607</v>
      </c>
      <c r="D3172" s="30" t="s">
        <v>9012</v>
      </c>
      <c r="E3172" s="30" t="s">
        <v>14095</v>
      </c>
      <c r="F3172" s="30" t="s">
        <v>8672</v>
      </c>
      <c r="G3172" s="30" t="s">
        <v>9014</v>
      </c>
      <c r="H3172" s="30" t="s">
        <v>15260</v>
      </c>
    </row>
    <row r="3173" spans="1:8">
      <c r="A3173" s="30" t="s">
        <v>15261</v>
      </c>
      <c r="B3173" s="30"/>
      <c r="C3173" s="30" t="s">
        <v>8607</v>
      </c>
      <c r="D3173" s="30" t="s">
        <v>15262</v>
      </c>
      <c r="E3173" s="30" t="s">
        <v>15263</v>
      </c>
      <c r="F3173" s="30" t="e">
        <v>#VALUE!</v>
      </c>
      <c r="G3173" s="30"/>
      <c r="H3173" s="30" t="s">
        <v>15264</v>
      </c>
    </row>
    <row r="3174" spans="1:8">
      <c r="A3174" s="30" t="s">
        <v>15265</v>
      </c>
      <c r="B3174" s="30"/>
      <c r="C3174" s="30" t="s">
        <v>8607</v>
      </c>
      <c r="D3174" s="30"/>
      <c r="E3174" s="30"/>
      <c r="F3174" s="30"/>
      <c r="G3174" s="30"/>
      <c r="H3174" s="30" t="s">
        <v>15266</v>
      </c>
    </row>
    <row r="3175" spans="1:8">
      <c r="A3175" s="30" t="s">
        <v>15267</v>
      </c>
      <c r="B3175" s="30"/>
      <c r="C3175" s="30" t="s">
        <v>8607</v>
      </c>
      <c r="D3175" s="30"/>
      <c r="E3175" s="30"/>
      <c r="F3175" s="30"/>
      <c r="G3175" s="30" t="s">
        <v>9976</v>
      </c>
      <c r="H3175" s="30" t="s">
        <v>15268</v>
      </c>
    </row>
    <row r="3176" spans="1:8">
      <c r="A3176" s="30" t="s">
        <v>15269</v>
      </c>
      <c r="B3176" s="30"/>
      <c r="C3176" s="30" t="s">
        <v>8607</v>
      </c>
      <c r="D3176" s="30"/>
      <c r="E3176" s="30"/>
      <c r="F3176" s="30"/>
      <c r="G3176" s="30" t="s">
        <v>8729</v>
      </c>
      <c r="H3176" s="30" t="s">
        <v>14620</v>
      </c>
    </row>
    <row r="3177" spans="1:8">
      <c r="A3177" s="30" t="s">
        <v>15270</v>
      </c>
      <c r="B3177" s="30"/>
      <c r="C3177" s="30" t="s">
        <v>8607</v>
      </c>
      <c r="D3177" s="30"/>
      <c r="E3177" s="30"/>
      <c r="F3177" s="30"/>
      <c r="G3177" s="30" t="s">
        <v>8729</v>
      </c>
      <c r="H3177" s="30" t="s">
        <v>14858</v>
      </c>
    </row>
    <row r="3178" spans="1:8">
      <c r="A3178" s="30" t="s">
        <v>15271</v>
      </c>
      <c r="B3178" s="30"/>
      <c r="C3178" s="30" t="s">
        <v>8607</v>
      </c>
      <c r="D3178" s="30" t="s">
        <v>9983</v>
      </c>
      <c r="E3178" s="30"/>
      <c r="F3178" s="30"/>
      <c r="G3178" s="30" t="s">
        <v>8681</v>
      </c>
      <c r="H3178" s="30" t="s">
        <v>14860</v>
      </c>
    </row>
    <row r="3179" spans="1:8">
      <c r="A3179" s="30" t="s">
        <v>15272</v>
      </c>
      <c r="B3179" s="30"/>
      <c r="C3179" s="30" t="s">
        <v>8607</v>
      </c>
      <c r="D3179" s="30"/>
      <c r="E3179" s="30"/>
      <c r="F3179" s="30"/>
      <c r="G3179" s="30" t="s">
        <v>14862</v>
      </c>
      <c r="H3179" s="30" t="s">
        <v>14863</v>
      </c>
    </row>
    <row r="3180" spans="1:8">
      <c r="A3180" s="30" t="s">
        <v>15273</v>
      </c>
      <c r="B3180" s="30"/>
      <c r="C3180" s="30" t="s">
        <v>8607</v>
      </c>
      <c r="D3180" s="30" t="s">
        <v>15274</v>
      </c>
      <c r="E3180" s="30" t="s">
        <v>9971</v>
      </c>
      <c r="F3180" s="30" t="s">
        <v>8672</v>
      </c>
      <c r="G3180" s="30" t="s">
        <v>9972</v>
      </c>
      <c r="H3180" s="30" t="s">
        <v>15275</v>
      </c>
    </row>
    <row r="3181" spans="1:8">
      <c r="A3181" s="30" t="s">
        <v>15276</v>
      </c>
      <c r="B3181" s="30"/>
      <c r="C3181" s="30"/>
      <c r="D3181" s="32" t="s">
        <v>15277</v>
      </c>
      <c r="E3181" s="30" t="s">
        <v>15278</v>
      </c>
      <c r="F3181" s="30" t="s">
        <v>8642</v>
      </c>
      <c r="G3181" s="30"/>
      <c r="H3181" s="30" t="s">
        <v>15279</v>
      </c>
    </row>
    <row r="3182" spans="1:8">
      <c r="A3182" s="30" t="s">
        <v>15280</v>
      </c>
      <c r="B3182" s="30"/>
      <c r="C3182" s="30" t="s">
        <v>8607</v>
      </c>
      <c r="D3182" s="30" t="s">
        <v>15281</v>
      </c>
      <c r="E3182" s="30"/>
      <c r="F3182" s="30"/>
      <c r="G3182" s="30" t="s">
        <v>15282</v>
      </c>
      <c r="H3182" s="30" t="s">
        <v>15283</v>
      </c>
    </row>
    <row r="3183" spans="1:8">
      <c r="A3183" s="30" t="s">
        <v>15284</v>
      </c>
      <c r="B3183" s="30"/>
      <c r="C3183" s="30" t="s">
        <v>8607</v>
      </c>
      <c r="D3183" s="30"/>
      <c r="E3183" s="30"/>
      <c r="F3183" s="30"/>
      <c r="G3183" s="30" t="s">
        <v>15285</v>
      </c>
      <c r="H3183" s="30" t="s">
        <v>15286</v>
      </c>
    </row>
    <row r="3184" spans="1:8">
      <c r="A3184" s="30" t="s">
        <v>15287</v>
      </c>
      <c r="B3184" s="30"/>
      <c r="C3184" s="30" t="s">
        <v>8607</v>
      </c>
      <c r="D3184" s="30" t="s">
        <v>14625</v>
      </c>
      <c r="E3184" s="30" t="s">
        <v>14626</v>
      </c>
      <c r="F3184" s="30" t="s">
        <v>8672</v>
      </c>
      <c r="G3184" s="30" t="s">
        <v>14627</v>
      </c>
      <c r="H3184" s="30" t="s">
        <v>15288</v>
      </c>
    </row>
    <row r="3185" spans="1:8">
      <c r="A3185" s="30" t="s">
        <v>15289</v>
      </c>
      <c r="B3185" s="30"/>
      <c r="C3185" s="30" t="s">
        <v>8607</v>
      </c>
      <c r="D3185" s="30" t="s">
        <v>15290</v>
      </c>
      <c r="E3185" s="30" t="s">
        <v>14282</v>
      </c>
      <c r="F3185" s="30" t="s">
        <v>8618</v>
      </c>
      <c r="G3185" s="30" t="s">
        <v>9268</v>
      </c>
      <c r="H3185" s="30" t="s">
        <v>15291</v>
      </c>
    </row>
    <row r="3186" spans="1:8">
      <c r="A3186" s="30" t="s">
        <v>15292</v>
      </c>
      <c r="B3186" s="30"/>
      <c r="C3186" s="30" t="s">
        <v>8607</v>
      </c>
      <c r="D3186" s="30" t="s">
        <v>15293</v>
      </c>
      <c r="E3186" s="30" t="s">
        <v>9791</v>
      </c>
      <c r="F3186" s="30" t="s">
        <v>8672</v>
      </c>
      <c r="G3186" s="30" t="s">
        <v>9275</v>
      </c>
      <c r="H3186" s="30" t="s">
        <v>15294</v>
      </c>
    </row>
    <row r="3187" spans="1:8">
      <c r="A3187" s="30" t="s">
        <v>15295</v>
      </c>
      <c r="B3187" s="30"/>
      <c r="C3187" s="30" t="s">
        <v>8607</v>
      </c>
      <c r="D3187" s="30"/>
      <c r="E3187" s="30" t="s">
        <v>15296</v>
      </c>
      <c r="F3187" s="30" t="e">
        <v>#VALUE!</v>
      </c>
      <c r="G3187" s="30" t="s">
        <v>12458</v>
      </c>
      <c r="H3187" s="30" t="s">
        <v>12459</v>
      </c>
    </row>
    <row r="3188" spans="1:8">
      <c r="A3188" s="30" t="s">
        <v>15297</v>
      </c>
      <c r="B3188" s="30"/>
      <c r="C3188" s="30" t="s">
        <v>8607</v>
      </c>
      <c r="D3188" s="30"/>
      <c r="E3188" s="30"/>
      <c r="F3188" s="30"/>
      <c r="G3188" s="30" t="s">
        <v>8737</v>
      </c>
      <c r="H3188" s="30" t="s">
        <v>11347</v>
      </c>
    </row>
    <row r="3189" spans="1:8">
      <c r="A3189" s="30" t="s">
        <v>15298</v>
      </c>
      <c r="B3189" s="30"/>
      <c r="C3189" s="30" t="s">
        <v>8626</v>
      </c>
      <c r="D3189" s="30" t="s">
        <v>11353</v>
      </c>
      <c r="E3189" s="30" t="s">
        <v>11354</v>
      </c>
      <c r="F3189" s="30" t="s">
        <v>8618</v>
      </c>
      <c r="G3189" s="30" t="s">
        <v>9672</v>
      </c>
      <c r="H3189" s="30" t="s">
        <v>11355</v>
      </c>
    </row>
    <row r="3190" spans="1:8">
      <c r="A3190" s="30" t="s">
        <v>15299</v>
      </c>
      <c r="B3190" s="30"/>
      <c r="C3190" s="30" t="s">
        <v>8607</v>
      </c>
      <c r="D3190" s="30"/>
      <c r="E3190" s="30" t="s">
        <v>15300</v>
      </c>
      <c r="F3190" s="30" t="e">
        <v>#VALUE!</v>
      </c>
      <c r="G3190" s="30"/>
      <c r="H3190" s="30" t="s">
        <v>15238</v>
      </c>
    </row>
    <row r="3191" spans="1:8">
      <c r="A3191" s="30" t="s">
        <v>15301</v>
      </c>
      <c r="B3191" s="30"/>
      <c r="C3191" s="30" t="s">
        <v>8607</v>
      </c>
      <c r="D3191" s="30"/>
      <c r="E3191" s="30"/>
      <c r="F3191" s="30"/>
      <c r="G3191" s="30" t="s">
        <v>15302</v>
      </c>
      <c r="H3191" s="30" t="s">
        <v>15303</v>
      </c>
    </row>
    <row r="3192" spans="1:8">
      <c r="A3192" s="30" t="s">
        <v>15304</v>
      </c>
      <c r="B3192" s="30"/>
      <c r="C3192" s="30" t="s">
        <v>8626</v>
      </c>
      <c r="D3192" s="30" t="s">
        <v>15305</v>
      </c>
      <c r="E3192" s="30" t="s">
        <v>15306</v>
      </c>
      <c r="F3192" s="30" t="s">
        <v>8618</v>
      </c>
      <c r="G3192" s="30" t="s">
        <v>9735</v>
      </c>
      <c r="H3192" s="30" t="s">
        <v>15307</v>
      </c>
    </row>
    <row r="3193" spans="1:8">
      <c r="A3193" s="30" t="s">
        <v>15308</v>
      </c>
      <c r="B3193" s="30"/>
      <c r="C3193" s="30" t="s">
        <v>8607</v>
      </c>
      <c r="D3193" s="30"/>
      <c r="E3193" s="30"/>
      <c r="F3193" s="30"/>
      <c r="G3193" s="30" t="s">
        <v>15309</v>
      </c>
      <c r="H3193" s="30" t="s">
        <v>15310</v>
      </c>
    </row>
    <row r="3194" spans="1:8">
      <c r="A3194" s="30" t="s">
        <v>15311</v>
      </c>
      <c r="B3194" s="30"/>
      <c r="C3194" s="30" t="s">
        <v>8607</v>
      </c>
      <c r="D3194" s="30" t="s">
        <v>14845</v>
      </c>
      <c r="E3194" s="30" t="s">
        <v>15312</v>
      </c>
      <c r="F3194" s="30" t="e">
        <v>#VALUE!</v>
      </c>
      <c r="G3194" s="30" t="s">
        <v>9476</v>
      </c>
      <c r="H3194" s="30" t="s">
        <v>14847</v>
      </c>
    </row>
    <row r="3195" spans="1:8">
      <c r="A3195" s="30" t="s">
        <v>15313</v>
      </c>
      <c r="B3195" s="30"/>
      <c r="C3195" s="30" t="s">
        <v>8607</v>
      </c>
      <c r="D3195" s="30"/>
      <c r="E3195" s="30"/>
      <c r="F3195" s="30"/>
      <c r="G3195" s="30" t="s">
        <v>15309</v>
      </c>
      <c r="H3195" s="30" t="s">
        <v>15310</v>
      </c>
    </row>
    <row r="3196" spans="1:8">
      <c r="A3196" s="30" t="s">
        <v>15314</v>
      </c>
      <c r="B3196" s="30"/>
      <c r="C3196" s="30" t="s">
        <v>8607</v>
      </c>
      <c r="D3196" s="30" t="s">
        <v>14845</v>
      </c>
      <c r="E3196" s="30" t="s">
        <v>15312</v>
      </c>
      <c r="F3196" s="30" t="e">
        <v>#VALUE!</v>
      </c>
      <c r="G3196" s="30" t="s">
        <v>9476</v>
      </c>
      <c r="H3196" s="30" t="s">
        <v>14847</v>
      </c>
    </row>
    <row r="3197" spans="1:8">
      <c r="A3197" s="30" t="s">
        <v>15315</v>
      </c>
      <c r="B3197" s="30"/>
      <c r="C3197" s="30" t="s">
        <v>8607</v>
      </c>
      <c r="D3197" s="30"/>
      <c r="E3197" s="30"/>
      <c r="F3197" s="30"/>
      <c r="G3197" s="30"/>
      <c r="H3197" s="30" t="s">
        <v>15316</v>
      </c>
    </row>
    <row r="3198" spans="1:8">
      <c r="A3198" s="30" t="s">
        <v>15317</v>
      </c>
      <c r="B3198" s="30"/>
      <c r="C3198" s="30" t="s">
        <v>8607</v>
      </c>
      <c r="D3198" s="30"/>
      <c r="E3198" s="30" t="s">
        <v>11159</v>
      </c>
      <c r="F3198" s="30" t="e">
        <v>#VALUE!</v>
      </c>
      <c r="G3198" s="30" t="s">
        <v>8678</v>
      </c>
      <c r="H3198" s="30" t="s">
        <v>11160</v>
      </c>
    </row>
    <row r="3199" spans="1:8">
      <c r="A3199" s="30" t="s">
        <v>15318</v>
      </c>
      <c r="B3199" s="30"/>
      <c r="C3199" s="30" t="s">
        <v>8607</v>
      </c>
      <c r="D3199" s="30"/>
      <c r="E3199" s="30"/>
      <c r="F3199" s="30"/>
      <c r="G3199" s="30" t="s">
        <v>10292</v>
      </c>
      <c r="H3199" s="30" t="s">
        <v>11351</v>
      </c>
    </row>
    <row r="3200" spans="1:8">
      <c r="A3200" s="30" t="s">
        <v>15319</v>
      </c>
      <c r="B3200" s="30"/>
      <c r="C3200" s="30" t="s">
        <v>8626</v>
      </c>
      <c r="D3200" s="30" t="s">
        <v>10167</v>
      </c>
      <c r="E3200" s="30"/>
      <c r="F3200" s="30"/>
      <c r="G3200" s="30"/>
      <c r="H3200" s="30" t="s">
        <v>11044</v>
      </c>
    </row>
    <row r="3201" spans="1:8">
      <c r="A3201" s="30" t="s">
        <v>15320</v>
      </c>
      <c r="B3201" s="30"/>
      <c r="C3201" s="30" t="s">
        <v>8607</v>
      </c>
      <c r="D3201" s="30" t="s">
        <v>11150</v>
      </c>
      <c r="E3201" s="30"/>
      <c r="F3201" s="30"/>
      <c r="G3201" s="30" t="s">
        <v>11151</v>
      </c>
      <c r="H3201" s="30" t="s">
        <v>11152</v>
      </c>
    </row>
    <row r="3202" spans="1:8">
      <c r="A3202" s="30" t="s">
        <v>15321</v>
      </c>
      <c r="B3202" s="30"/>
      <c r="C3202" s="30" t="s">
        <v>8607</v>
      </c>
      <c r="D3202" s="30" t="s">
        <v>15322</v>
      </c>
      <c r="E3202" s="30" t="s">
        <v>9467</v>
      </c>
      <c r="F3202" s="30" t="s">
        <v>8672</v>
      </c>
      <c r="G3202" s="30" t="s">
        <v>9468</v>
      </c>
      <c r="H3202" s="30" t="s">
        <v>9469</v>
      </c>
    </row>
    <row r="3203" spans="1:8">
      <c r="A3203" s="30" t="s">
        <v>15323</v>
      </c>
      <c r="B3203" s="30"/>
      <c r="C3203" s="30" t="s">
        <v>8607</v>
      </c>
      <c r="D3203" s="30"/>
      <c r="E3203" s="30"/>
      <c r="F3203" s="30"/>
      <c r="G3203" s="30"/>
      <c r="H3203" s="30" t="s">
        <v>11052</v>
      </c>
    </row>
    <row r="3204" spans="1:8">
      <c r="A3204" s="30" t="s">
        <v>15324</v>
      </c>
      <c r="B3204" s="30"/>
      <c r="C3204" s="30" t="s">
        <v>8607</v>
      </c>
      <c r="D3204" s="30"/>
      <c r="E3204" s="30"/>
      <c r="F3204" s="30"/>
      <c r="G3204" s="30"/>
      <c r="H3204" s="30" t="s">
        <v>15325</v>
      </c>
    </row>
    <row r="3205" spans="1:8">
      <c r="A3205" s="30" t="s">
        <v>15326</v>
      </c>
      <c r="B3205" s="30"/>
      <c r="C3205" s="30" t="s">
        <v>8607</v>
      </c>
      <c r="D3205" s="30" t="s">
        <v>9152</v>
      </c>
      <c r="E3205" s="30"/>
      <c r="F3205" s="30"/>
      <c r="G3205" s="30" t="s">
        <v>8698</v>
      </c>
      <c r="H3205" s="30" t="s">
        <v>9153</v>
      </c>
    </row>
    <row r="3206" spans="1:8">
      <c r="A3206" s="30" t="s">
        <v>15327</v>
      </c>
      <c r="B3206" s="30"/>
      <c r="C3206" s="30" t="s">
        <v>8607</v>
      </c>
      <c r="D3206" s="30" t="s">
        <v>10732</v>
      </c>
      <c r="E3206" s="30" t="s">
        <v>15328</v>
      </c>
      <c r="F3206" s="30" t="s">
        <v>8672</v>
      </c>
      <c r="G3206" s="30" t="s">
        <v>9338</v>
      </c>
      <c r="H3206" s="30" t="s">
        <v>10734</v>
      </c>
    </row>
    <row r="3207" spans="1:8">
      <c r="A3207" s="30" t="s">
        <v>15329</v>
      </c>
      <c r="B3207" s="30"/>
      <c r="C3207" s="30"/>
      <c r="D3207" s="32"/>
      <c r="E3207" s="30"/>
      <c r="F3207" s="30"/>
      <c r="G3207" s="30"/>
      <c r="H3207" s="30" t="s">
        <v>15330</v>
      </c>
    </row>
    <row r="3208" spans="1:8">
      <c r="A3208" s="30" t="s">
        <v>15331</v>
      </c>
      <c r="B3208" s="30"/>
      <c r="C3208" s="30" t="s">
        <v>8607</v>
      </c>
      <c r="D3208" s="30"/>
      <c r="E3208" s="30"/>
      <c r="F3208" s="30"/>
      <c r="G3208" s="30" t="s">
        <v>10385</v>
      </c>
      <c r="H3208" s="30" t="s">
        <v>10386</v>
      </c>
    </row>
    <row r="3209" spans="1:8">
      <c r="A3209" s="30" t="s">
        <v>15332</v>
      </c>
      <c r="B3209" s="30"/>
      <c r="C3209" s="30" t="s">
        <v>8607</v>
      </c>
      <c r="D3209" s="30" t="s">
        <v>9546</v>
      </c>
      <c r="E3209" s="30" t="s">
        <v>9547</v>
      </c>
      <c r="F3209" s="30" t="s">
        <v>8672</v>
      </c>
      <c r="G3209" s="30" t="s">
        <v>9366</v>
      </c>
      <c r="H3209" s="30" t="s">
        <v>12933</v>
      </c>
    </row>
    <row r="3210" spans="1:8">
      <c r="A3210" s="30" t="s">
        <v>15333</v>
      </c>
      <c r="B3210" s="30"/>
      <c r="C3210" s="30" t="s">
        <v>8626</v>
      </c>
      <c r="D3210" s="30"/>
      <c r="E3210" s="30" t="s">
        <v>13153</v>
      </c>
      <c r="F3210" s="30" t="e">
        <v>#VALUE!</v>
      </c>
      <c r="G3210" s="30"/>
      <c r="H3210" s="30" t="s">
        <v>13154</v>
      </c>
    </row>
    <row r="3211" spans="1:8">
      <c r="A3211" s="30" t="s">
        <v>15334</v>
      </c>
      <c r="B3211" s="30"/>
      <c r="C3211" s="30" t="s">
        <v>8607</v>
      </c>
      <c r="D3211" s="30"/>
      <c r="E3211" s="30"/>
      <c r="F3211" s="30"/>
      <c r="G3211" s="30"/>
      <c r="H3211" s="30" t="s">
        <v>12543</v>
      </c>
    </row>
    <row r="3212" spans="1:8">
      <c r="A3212" s="30" t="s">
        <v>15335</v>
      </c>
      <c r="B3212" s="30"/>
      <c r="C3212" s="30"/>
      <c r="D3212" s="32"/>
      <c r="E3212" s="30" t="s">
        <v>15336</v>
      </c>
      <c r="F3212" s="30" t="s">
        <v>8618</v>
      </c>
      <c r="G3212" s="30"/>
      <c r="H3212" s="30" t="s">
        <v>15337</v>
      </c>
    </row>
    <row r="3213" spans="1:8">
      <c r="A3213" s="30" t="s">
        <v>15338</v>
      </c>
      <c r="B3213" s="30"/>
      <c r="C3213" s="30" t="s">
        <v>8607</v>
      </c>
      <c r="D3213" s="30"/>
      <c r="E3213" s="30"/>
      <c r="F3213" s="30"/>
      <c r="G3213" s="30" t="s">
        <v>10205</v>
      </c>
      <c r="H3213" s="30" t="s">
        <v>10611</v>
      </c>
    </row>
    <row r="3214" spans="1:8">
      <c r="A3214" s="30" t="s">
        <v>15339</v>
      </c>
      <c r="B3214" s="30"/>
      <c r="C3214" s="30" t="s">
        <v>8626</v>
      </c>
      <c r="D3214" s="30" t="s">
        <v>10208</v>
      </c>
      <c r="E3214" s="30" t="s">
        <v>10209</v>
      </c>
      <c r="F3214" s="30" t="s">
        <v>8672</v>
      </c>
      <c r="G3214" s="30" t="s">
        <v>9002</v>
      </c>
      <c r="H3214" s="30" t="s">
        <v>10210</v>
      </c>
    </row>
    <row r="3215" spans="1:8">
      <c r="A3215" s="30" t="s">
        <v>15340</v>
      </c>
      <c r="B3215" s="30"/>
      <c r="C3215" s="30" t="s">
        <v>8607</v>
      </c>
      <c r="D3215" s="30"/>
      <c r="E3215" s="30"/>
      <c r="F3215" s="30"/>
      <c r="G3215" s="30" t="s">
        <v>9425</v>
      </c>
      <c r="H3215" s="30" t="s">
        <v>15341</v>
      </c>
    </row>
    <row r="3216" spans="1:8">
      <c r="A3216" s="30" t="s">
        <v>15342</v>
      </c>
      <c r="B3216" s="30"/>
      <c r="C3216" s="30" t="s">
        <v>8607</v>
      </c>
      <c r="D3216" s="30" t="s">
        <v>15343</v>
      </c>
      <c r="E3216" s="30" t="s">
        <v>15344</v>
      </c>
      <c r="F3216" s="30" t="e">
        <v>#VALUE!</v>
      </c>
      <c r="G3216" s="30" t="s">
        <v>9435</v>
      </c>
      <c r="H3216" s="30" t="s">
        <v>9436</v>
      </c>
    </row>
    <row r="3217" spans="1:8">
      <c r="A3217" s="30" t="s">
        <v>15345</v>
      </c>
      <c r="B3217" s="30"/>
      <c r="C3217" s="30" t="s">
        <v>8607</v>
      </c>
      <c r="D3217" s="30" t="s">
        <v>9824</v>
      </c>
      <c r="E3217" s="30" t="s">
        <v>15346</v>
      </c>
      <c r="F3217" s="30" t="s">
        <v>8672</v>
      </c>
      <c r="G3217" s="30" t="s">
        <v>9002</v>
      </c>
      <c r="H3217" s="30" t="s">
        <v>15347</v>
      </c>
    </row>
    <row r="3218" spans="1:8">
      <c r="A3218" s="30" t="s">
        <v>15348</v>
      </c>
      <c r="B3218" s="30"/>
      <c r="C3218" s="30" t="s">
        <v>8626</v>
      </c>
      <c r="D3218" s="30" t="s">
        <v>15349</v>
      </c>
      <c r="E3218" s="30" t="s">
        <v>15350</v>
      </c>
      <c r="F3218" s="30" t="s">
        <v>8618</v>
      </c>
      <c r="G3218" s="30" t="s">
        <v>13929</v>
      </c>
      <c r="H3218" s="30" t="s">
        <v>15351</v>
      </c>
    </row>
    <row r="3219" spans="1:8">
      <c r="A3219" s="30" t="s">
        <v>15352</v>
      </c>
      <c r="B3219" s="30"/>
      <c r="C3219" s="30"/>
      <c r="D3219" s="32"/>
      <c r="E3219" s="30" t="s">
        <v>15353</v>
      </c>
      <c r="F3219" s="30" t="e">
        <v>#VALUE!</v>
      </c>
      <c r="G3219" s="30"/>
      <c r="H3219" s="30" t="s">
        <v>15354</v>
      </c>
    </row>
    <row r="3220" spans="1:8">
      <c r="A3220" s="30" t="s">
        <v>15355</v>
      </c>
      <c r="B3220" s="30"/>
      <c r="C3220" s="30" t="s">
        <v>8607</v>
      </c>
      <c r="D3220" s="30"/>
      <c r="E3220" s="30"/>
      <c r="F3220" s="30"/>
      <c r="G3220" s="30" t="s">
        <v>15356</v>
      </c>
      <c r="H3220" s="30" t="s">
        <v>15357</v>
      </c>
    </row>
    <row r="3221" spans="1:8">
      <c r="A3221" s="30" t="s">
        <v>15358</v>
      </c>
      <c r="B3221" s="30"/>
      <c r="C3221" s="30" t="s">
        <v>8607</v>
      </c>
      <c r="D3221" s="30"/>
      <c r="E3221" s="30"/>
      <c r="F3221" s="30"/>
      <c r="G3221" s="30" t="s">
        <v>15359</v>
      </c>
      <c r="H3221" s="30" t="s">
        <v>15360</v>
      </c>
    </row>
    <row r="3222" spans="1:8">
      <c r="A3222" s="30" t="s">
        <v>15361</v>
      </c>
      <c r="B3222" s="30"/>
      <c r="C3222" s="30" t="s">
        <v>8607</v>
      </c>
      <c r="D3222" s="30"/>
      <c r="E3222" s="30"/>
      <c r="F3222" s="30"/>
      <c r="G3222" s="30"/>
      <c r="H3222" s="30" t="s">
        <v>15362</v>
      </c>
    </row>
    <row r="3223" spans="1:8">
      <c r="A3223" s="30" t="s">
        <v>15363</v>
      </c>
      <c r="B3223" s="30"/>
      <c r="C3223" s="30" t="s">
        <v>8607</v>
      </c>
      <c r="D3223" s="30" t="s">
        <v>8608</v>
      </c>
      <c r="E3223" s="30"/>
      <c r="F3223" s="30"/>
      <c r="G3223" s="30" t="s">
        <v>8609</v>
      </c>
      <c r="H3223" s="30" t="s">
        <v>15364</v>
      </c>
    </row>
    <row r="3224" spans="1:8">
      <c r="A3224" s="30" t="s">
        <v>15365</v>
      </c>
      <c r="B3224" s="30"/>
      <c r="C3224" s="30" t="s">
        <v>8607</v>
      </c>
      <c r="D3224" s="30" t="s">
        <v>9723</v>
      </c>
      <c r="E3224" s="30" t="s">
        <v>8929</v>
      </c>
      <c r="F3224" s="30" t="e">
        <v>#VALUE!</v>
      </c>
      <c r="G3224" s="30" t="s">
        <v>8930</v>
      </c>
      <c r="H3224" s="30" t="s">
        <v>15366</v>
      </c>
    </row>
    <row r="3225" spans="1:8">
      <c r="A3225" s="30" t="s">
        <v>15367</v>
      </c>
      <c r="B3225" s="30"/>
      <c r="C3225" s="30" t="s">
        <v>8607</v>
      </c>
      <c r="D3225" s="30" t="s">
        <v>15368</v>
      </c>
      <c r="E3225" s="30" t="s">
        <v>8929</v>
      </c>
      <c r="F3225" s="30" t="e">
        <v>#VALUE!</v>
      </c>
      <c r="G3225" s="30" t="s">
        <v>8930</v>
      </c>
      <c r="H3225" s="30" t="s">
        <v>15366</v>
      </c>
    </row>
    <row r="3226" spans="1:8">
      <c r="A3226" s="30" t="s">
        <v>15369</v>
      </c>
      <c r="B3226" s="30"/>
      <c r="C3226" s="30" t="s">
        <v>8607</v>
      </c>
      <c r="D3226" s="30"/>
      <c r="E3226" s="30"/>
      <c r="F3226" s="30"/>
      <c r="G3226" s="30"/>
      <c r="H3226" s="30" t="s">
        <v>15370</v>
      </c>
    </row>
    <row r="3227" spans="1:8">
      <c r="A3227" s="30" t="s">
        <v>15371</v>
      </c>
      <c r="B3227" s="30"/>
      <c r="C3227" s="30" t="s">
        <v>8626</v>
      </c>
      <c r="D3227" s="30" t="s">
        <v>15372</v>
      </c>
      <c r="E3227" s="30" t="s">
        <v>15373</v>
      </c>
      <c r="F3227" s="30" t="e">
        <v>#VALUE!</v>
      </c>
      <c r="G3227" s="30"/>
      <c r="H3227" s="30" t="s">
        <v>15374</v>
      </c>
    </row>
    <row r="3228" spans="1:8">
      <c r="A3228" s="30" t="s">
        <v>15375</v>
      </c>
      <c r="B3228" s="30"/>
      <c r="C3228" s="30" t="s">
        <v>8607</v>
      </c>
      <c r="D3228" s="30" t="s">
        <v>15376</v>
      </c>
      <c r="E3228" s="30" t="s">
        <v>9139</v>
      </c>
      <c r="F3228" s="30" t="s">
        <v>8672</v>
      </c>
      <c r="G3228" s="30" t="s">
        <v>12270</v>
      </c>
      <c r="H3228" s="30" t="s">
        <v>12271</v>
      </c>
    </row>
    <row r="3229" spans="1:8">
      <c r="A3229" s="30" t="s">
        <v>15377</v>
      </c>
      <c r="B3229" s="30"/>
      <c r="C3229" s="30"/>
      <c r="D3229" s="32"/>
      <c r="E3229" s="30"/>
      <c r="F3229" s="30"/>
      <c r="G3229" s="30"/>
      <c r="H3229" s="30" t="s">
        <v>15378</v>
      </c>
    </row>
    <row r="3230" spans="1:8">
      <c r="A3230" s="30" t="s">
        <v>15379</v>
      </c>
      <c r="B3230" s="30"/>
      <c r="C3230" s="30"/>
      <c r="D3230" s="32"/>
      <c r="E3230" s="30"/>
      <c r="F3230" s="30"/>
      <c r="G3230" s="30"/>
      <c r="H3230" s="30" t="s">
        <v>15378</v>
      </c>
    </row>
    <row r="3231" spans="1:8">
      <c r="A3231" s="30" t="s">
        <v>15380</v>
      </c>
      <c r="B3231" s="30"/>
      <c r="C3231" s="30" t="s">
        <v>8607</v>
      </c>
      <c r="D3231" s="30"/>
      <c r="E3231" s="30"/>
      <c r="F3231" s="30"/>
      <c r="G3231" s="30"/>
      <c r="H3231" s="30" t="s">
        <v>15381</v>
      </c>
    </row>
    <row r="3232" spans="1:8">
      <c r="A3232" s="30" t="s">
        <v>15382</v>
      </c>
      <c r="B3232" s="30"/>
      <c r="C3232" s="30" t="s">
        <v>8626</v>
      </c>
      <c r="D3232" s="30" t="s">
        <v>8821</v>
      </c>
      <c r="E3232" s="30"/>
      <c r="F3232" s="30"/>
      <c r="G3232" s="30" t="s">
        <v>8737</v>
      </c>
      <c r="H3232" s="30" t="s">
        <v>11326</v>
      </c>
    </row>
    <row r="3233" spans="1:8">
      <c r="A3233" s="30" t="s">
        <v>15383</v>
      </c>
      <c r="B3233" s="30"/>
      <c r="C3233" s="30" t="s">
        <v>8626</v>
      </c>
      <c r="D3233" s="30" t="s">
        <v>11107</v>
      </c>
      <c r="E3233" s="30" t="s">
        <v>8811</v>
      </c>
      <c r="F3233" s="30" t="e">
        <v>#VALUE!</v>
      </c>
      <c r="G3233" s="30" t="s">
        <v>8754</v>
      </c>
      <c r="H3233" s="30" t="s">
        <v>15384</v>
      </c>
    </row>
    <row r="3234" spans="1:8">
      <c r="A3234" s="30" t="s">
        <v>15385</v>
      </c>
      <c r="B3234" s="30"/>
      <c r="C3234" s="30" t="s">
        <v>8626</v>
      </c>
      <c r="D3234" s="30" t="s">
        <v>11322</v>
      </c>
      <c r="E3234" s="30" t="s">
        <v>11323</v>
      </c>
      <c r="F3234" s="30" t="s">
        <v>8618</v>
      </c>
      <c r="G3234" s="30" t="s">
        <v>9672</v>
      </c>
      <c r="H3234" s="30" t="s">
        <v>11324</v>
      </c>
    </row>
    <row r="3235" spans="1:8">
      <c r="A3235" s="30" t="s">
        <v>15386</v>
      </c>
      <c r="B3235" s="30"/>
      <c r="C3235" s="30" t="s">
        <v>8607</v>
      </c>
      <c r="D3235" s="30"/>
      <c r="E3235" s="30"/>
      <c r="F3235" s="30"/>
      <c r="G3235" s="30" t="s">
        <v>8814</v>
      </c>
      <c r="H3235" s="30" t="s">
        <v>11320</v>
      </c>
    </row>
    <row r="3236" spans="1:8">
      <c r="A3236" s="30" t="s">
        <v>15387</v>
      </c>
      <c r="B3236" s="30"/>
      <c r="C3236" s="30" t="s">
        <v>8607</v>
      </c>
      <c r="D3236" s="30"/>
      <c r="E3236" s="30"/>
      <c r="F3236" s="30"/>
      <c r="G3236" s="30"/>
      <c r="H3236" s="30" t="s">
        <v>15388</v>
      </c>
    </row>
    <row r="3237" spans="1:8">
      <c r="A3237" s="30" t="s">
        <v>15389</v>
      </c>
      <c r="B3237" s="30"/>
      <c r="C3237" s="30" t="s">
        <v>8607</v>
      </c>
      <c r="D3237" s="30" t="s">
        <v>15390</v>
      </c>
      <c r="E3237" s="30" t="s">
        <v>15391</v>
      </c>
      <c r="F3237" s="30" t="s">
        <v>8672</v>
      </c>
      <c r="G3237" s="30" t="s">
        <v>9378</v>
      </c>
      <c r="H3237" s="30" t="s">
        <v>14450</v>
      </c>
    </row>
    <row r="3238" spans="1:8">
      <c r="A3238" s="30" t="s">
        <v>15392</v>
      </c>
      <c r="B3238" s="30"/>
      <c r="C3238" s="30" t="s">
        <v>8607</v>
      </c>
      <c r="D3238" s="30" t="s">
        <v>9853</v>
      </c>
      <c r="E3238" s="30" t="s">
        <v>15393</v>
      </c>
      <c r="F3238" s="30" t="s">
        <v>8618</v>
      </c>
      <c r="G3238" s="30" t="s">
        <v>9855</v>
      </c>
      <c r="H3238" s="30" t="s">
        <v>15394</v>
      </c>
    </row>
    <row r="3239" spans="1:8">
      <c r="A3239" s="30" t="s">
        <v>15395</v>
      </c>
      <c r="B3239" s="30"/>
      <c r="C3239" s="30" t="s">
        <v>8607</v>
      </c>
      <c r="D3239" s="30" t="s">
        <v>15107</v>
      </c>
      <c r="E3239" s="30" t="s">
        <v>15396</v>
      </c>
      <c r="F3239" s="30" t="s">
        <v>8672</v>
      </c>
      <c r="G3239" s="30" t="s">
        <v>9844</v>
      </c>
      <c r="H3239" s="30" t="s">
        <v>9845</v>
      </c>
    </row>
    <row r="3240" spans="1:8">
      <c r="A3240" s="30" t="s">
        <v>15397</v>
      </c>
      <c r="B3240" s="30"/>
      <c r="C3240" s="30" t="s">
        <v>8607</v>
      </c>
      <c r="D3240" s="30"/>
      <c r="E3240" s="30"/>
      <c r="F3240" s="30"/>
      <c r="G3240" s="30" t="s">
        <v>9847</v>
      </c>
      <c r="H3240" s="30" t="s">
        <v>9848</v>
      </c>
    </row>
    <row r="3241" spans="1:8">
      <c r="A3241" s="30" t="s">
        <v>15398</v>
      </c>
      <c r="B3241" s="30"/>
      <c r="C3241" s="30" t="s">
        <v>8607</v>
      </c>
      <c r="D3241" s="30"/>
      <c r="E3241" s="30"/>
      <c r="F3241" s="30"/>
      <c r="G3241" s="30" t="s">
        <v>14233</v>
      </c>
      <c r="H3241" s="30" t="s">
        <v>15399</v>
      </c>
    </row>
    <row r="3242" spans="1:8">
      <c r="A3242" s="30" t="s">
        <v>15400</v>
      </c>
      <c r="B3242" s="30"/>
      <c r="C3242" s="30" t="s">
        <v>8607</v>
      </c>
      <c r="D3242" s="30"/>
      <c r="E3242" s="30" t="s">
        <v>9230</v>
      </c>
      <c r="F3242" s="30" t="e">
        <v>#VALUE!</v>
      </c>
      <c r="G3242" s="30" t="s">
        <v>9231</v>
      </c>
      <c r="H3242" s="30" t="s">
        <v>15401</v>
      </c>
    </row>
    <row r="3243" spans="1:8">
      <c r="A3243" s="30" t="s">
        <v>15402</v>
      </c>
      <c r="B3243" s="30"/>
      <c r="C3243" s="30" t="s">
        <v>8607</v>
      </c>
      <c r="D3243" s="30"/>
      <c r="E3243" s="30"/>
      <c r="F3243" s="30"/>
      <c r="G3243" s="30" t="s">
        <v>15403</v>
      </c>
      <c r="H3243" s="30" t="s">
        <v>15404</v>
      </c>
    </row>
    <row r="3244" spans="1:8">
      <c r="A3244" s="30" t="s">
        <v>15405</v>
      </c>
      <c r="B3244" s="30"/>
      <c r="C3244" s="30" t="s">
        <v>8626</v>
      </c>
      <c r="D3244" s="30" t="s">
        <v>15406</v>
      </c>
      <c r="E3244" s="30" t="s">
        <v>10037</v>
      </c>
      <c r="F3244" s="30" t="s">
        <v>8618</v>
      </c>
      <c r="G3244" s="30" t="s">
        <v>12475</v>
      </c>
      <c r="H3244" s="30" t="s">
        <v>15407</v>
      </c>
    </row>
    <row r="3245" spans="1:8">
      <c r="A3245" s="30" t="s">
        <v>15408</v>
      </c>
      <c r="B3245" s="30"/>
      <c r="C3245" s="30" t="s">
        <v>8607</v>
      </c>
      <c r="D3245" s="30"/>
      <c r="E3245" s="30"/>
      <c r="F3245" s="30"/>
      <c r="G3245" s="30"/>
      <c r="H3245" s="30" t="s">
        <v>9234</v>
      </c>
    </row>
    <row r="3246" spans="1:8">
      <c r="A3246" s="30" t="s">
        <v>15409</v>
      </c>
      <c r="B3246" s="30"/>
      <c r="C3246" s="30" t="s">
        <v>8626</v>
      </c>
      <c r="D3246" s="30" t="s">
        <v>15410</v>
      </c>
      <c r="E3246" s="30" t="s">
        <v>15411</v>
      </c>
      <c r="F3246" s="30" t="s">
        <v>8618</v>
      </c>
      <c r="G3246" s="30" t="s">
        <v>8900</v>
      </c>
      <c r="H3246" s="30" t="s">
        <v>15412</v>
      </c>
    </row>
    <row r="3247" spans="1:8">
      <c r="A3247" s="30" t="s">
        <v>15413</v>
      </c>
      <c r="B3247" s="30"/>
      <c r="C3247" s="30" t="s">
        <v>8607</v>
      </c>
      <c r="D3247" s="30" t="s">
        <v>13405</v>
      </c>
      <c r="E3247" s="30" t="s">
        <v>15414</v>
      </c>
      <c r="F3247" s="30" t="s">
        <v>8672</v>
      </c>
      <c r="G3247" s="30" t="s">
        <v>13407</v>
      </c>
      <c r="H3247" s="30" t="s">
        <v>13408</v>
      </c>
    </row>
    <row r="3248" spans="1:8">
      <c r="A3248" s="30" t="s">
        <v>15415</v>
      </c>
      <c r="B3248" s="30"/>
      <c r="C3248" s="30" t="s">
        <v>8607</v>
      </c>
      <c r="D3248" s="30"/>
      <c r="E3248" s="30"/>
      <c r="F3248" s="30"/>
      <c r="G3248" s="30" t="s">
        <v>9844</v>
      </c>
      <c r="H3248" s="30" t="s">
        <v>15416</v>
      </c>
    </row>
    <row r="3249" spans="1:8">
      <c r="A3249" s="30" t="s">
        <v>15417</v>
      </c>
      <c r="B3249" s="30"/>
      <c r="C3249" s="30" t="s">
        <v>8626</v>
      </c>
      <c r="D3249" s="30" t="s">
        <v>15418</v>
      </c>
      <c r="E3249" s="30" t="s">
        <v>15419</v>
      </c>
      <c r="F3249" s="30" t="s">
        <v>8618</v>
      </c>
      <c r="G3249" s="30" t="s">
        <v>13633</v>
      </c>
      <c r="H3249" s="30" t="s">
        <v>15420</v>
      </c>
    </row>
    <row r="3250" spans="1:8">
      <c r="A3250" s="30" t="s">
        <v>15421</v>
      </c>
      <c r="B3250" s="30"/>
      <c r="C3250" s="30" t="s">
        <v>8607</v>
      </c>
      <c r="D3250" s="30" t="s">
        <v>15422</v>
      </c>
      <c r="E3250" s="30" t="s">
        <v>13774</v>
      </c>
      <c r="F3250" s="30" t="s">
        <v>8618</v>
      </c>
      <c r="G3250" s="30" t="s">
        <v>9378</v>
      </c>
      <c r="H3250" s="30" t="s">
        <v>15423</v>
      </c>
    </row>
    <row r="3251" spans="1:8">
      <c r="A3251" s="30" t="s">
        <v>15424</v>
      </c>
      <c r="B3251" s="30"/>
      <c r="C3251" s="30" t="s">
        <v>8607</v>
      </c>
      <c r="D3251" s="30" t="s">
        <v>8821</v>
      </c>
      <c r="E3251" s="30" t="s">
        <v>15425</v>
      </c>
      <c r="F3251" s="30" t="s">
        <v>8618</v>
      </c>
      <c r="G3251" s="30" t="s">
        <v>8737</v>
      </c>
      <c r="H3251" s="30" t="s">
        <v>15426</v>
      </c>
    </row>
    <row r="3252" spans="1:8">
      <c r="A3252" s="30" t="s">
        <v>15427</v>
      </c>
      <c r="B3252" s="30"/>
      <c r="C3252" s="30" t="s">
        <v>8607</v>
      </c>
      <c r="D3252" s="30"/>
      <c r="E3252" s="30"/>
      <c r="F3252" s="30"/>
      <c r="G3252" s="30"/>
      <c r="H3252" s="30" t="s">
        <v>14040</v>
      </c>
    </row>
    <row r="3253" spans="1:8">
      <c r="A3253" s="30" t="s">
        <v>15428</v>
      </c>
      <c r="B3253" s="30"/>
      <c r="C3253" s="30" t="s">
        <v>8607</v>
      </c>
      <c r="D3253" s="30"/>
      <c r="E3253" s="30"/>
      <c r="F3253" s="30"/>
      <c r="G3253" s="30" t="s">
        <v>9657</v>
      </c>
      <c r="H3253" s="30" t="s">
        <v>13371</v>
      </c>
    </row>
    <row r="3254" spans="1:8">
      <c r="A3254" s="30" t="s">
        <v>15429</v>
      </c>
      <c r="B3254" s="30"/>
      <c r="C3254" s="30" t="s">
        <v>8607</v>
      </c>
      <c r="D3254" s="30"/>
      <c r="E3254" s="30"/>
      <c r="F3254" s="30"/>
      <c r="G3254" s="30" t="s">
        <v>9657</v>
      </c>
      <c r="H3254" s="30" t="s">
        <v>15430</v>
      </c>
    </row>
    <row r="3255" spans="1:8">
      <c r="A3255" s="30" t="s">
        <v>15431</v>
      </c>
      <c r="B3255" s="30"/>
      <c r="C3255" s="30" t="s">
        <v>8607</v>
      </c>
      <c r="D3255" s="30"/>
      <c r="E3255" s="30"/>
      <c r="F3255" s="30"/>
      <c r="G3255" s="30" t="s">
        <v>14035</v>
      </c>
      <c r="H3255" s="30" t="s">
        <v>14038</v>
      </c>
    </row>
    <row r="3256" spans="1:8">
      <c r="A3256" s="30" t="s">
        <v>15432</v>
      </c>
      <c r="B3256" s="30"/>
      <c r="C3256" s="30" t="s">
        <v>8607</v>
      </c>
      <c r="D3256" s="30" t="s">
        <v>15433</v>
      </c>
      <c r="E3256" s="30" t="s">
        <v>15434</v>
      </c>
      <c r="F3256" s="30" t="s">
        <v>8672</v>
      </c>
      <c r="G3256" s="30" t="s">
        <v>13882</v>
      </c>
      <c r="H3256" s="30" t="s">
        <v>13883</v>
      </c>
    </row>
    <row r="3257" spans="1:8">
      <c r="A3257" s="30" t="s">
        <v>15435</v>
      </c>
      <c r="B3257" s="30"/>
      <c r="C3257" s="30" t="s">
        <v>8607</v>
      </c>
      <c r="D3257" s="30"/>
      <c r="E3257" s="30"/>
      <c r="F3257" s="30"/>
      <c r="G3257" s="30" t="s">
        <v>8711</v>
      </c>
      <c r="H3257" s="30" t="s">
        <v>12787</v>
      </c>
    </row>
    <row r="3258" spans="1:8">
      <c r="A3258" s="30" t="s">
        <v>15436</v>
      </c>
      <c r="B3258" s="30"/>
      <c r="C3258" s="30" t="s">
        <v>8626</v>
      </c>
      <c r="D3258" s="30" t="s">
        <v>9753</v>
      </c>
      <c r="E3258" s="30" t="s">
        <v>9754</v>
      </c>
      <c r="F3258" s="30" t="e">
        <v>#VALUE!</v>
      </c>
      <c r="G3258" s="30" t="s">
        <v>9755</v>
      </c>
      <c r="H3258" s="30" t="s">
        <v>15437</v>
      </c>
    </row>
    <row r="3259" spans="1:8">
      <c r="A3259" s="30" t="s">
        <v>15438</v>
      </c>
      <c r="B3259" s="30"/>
      <c r="C3259" s="30" t="s">
        <v>8607</v>
      </c>
      <c r="D3259" s="30"/>
      <c r="E3259" s="30"/>
      <c r="F3259" s="30"/>
      <c r="G3259" s="30" t="s">
        <v>10250</v>
      </c>
      <c r="H3259" s="30" t="s">
        <v>15439</v>
      </c>
    </row>
    <row r="3260" spans="1:8">
      <c r="A3260" s="30" t="s">
        <v>15440</v>
      </c>
      <c r="B3260" s="30"/>
      <c r="C3260" s="30" t="s">
        <v>8626</v>
      </c>
      <c r="D3260" s="30"/>
      <c r="E3260" s="30"/>
      <c r="F3260" s="30"/>
      <c r="G3260" s="30" t="s">
        <v>10789</v>
      </c>
      <c r="H3260" s="30" t="s">
        <v>11104</v>
      </c>
    </row>
    <row r="3261" spans="1:8">
      <c r="A3261" s="30" t="s">
        <v>15441</v>
      </c>
      <c r="B3261" s="30"/>
      <c r="C3261" s="30" t="s">
        <v>8607</v>
      </c>
      <c r="D3261" s="30"/>
      <c r="E3261" s="30"/>
      <c r="F3261" s="30"/>
      <c r="G3261" s="30" t="s">
        <v>8708</v>
      </c>
      <c r="H3261" s="30" t="s">
        <v>10257</v>
      </c>
    </row>
    <row r="3262" spans="1:8">
      <c r="A3262" s="30" t="s">
        <v>15442</v>
      </c>
      <c r="B3262" s="30"/>
      <c r="C3262" s="30" t="s">
        <v>8626</v>
      </c>
      <c r="D3262" s="30"/>
      <c r="E3262" s="30" t="s">
        <v>15443</v>
      </c>
      <c r="F3262" s="30" t="e">
        <v>#VALUE!</v>
      </c>
      <c r="G3262" s="30" t="s">
        <v>8949</v>
      </c>
      <c r="H3262" s="30" t="s">
        <v>11423</v>
      </c>
    </row>
    <row r="3263" spans="1:8">
      <c r="A3263" s="30" t="s">
        <v>15444</v>
      </c>
      <c r="B3263" s="30"/>
      <c r="C3263" s="30" t="s">
        <v>8626</v>
      </c>
      <c r="D3263" s="30"/>
      <c r="E3263" s="30" t="s">
        <v>15445</v>
      </c>
      <c r="F3263" s="30" t="e">
        <v>#VALUE!</v>
      </c>
      <c r="G3263" s="30" t="s">
        <v>12059</v>
      </c>
      <c r="H3263" s="30" t="s">
        <v>12060</v>
      </c>
    </row>
    <row r="3264" spans="1:8">
      <c r="A3264" s="30" t="s">
        <v>15446</v>
      </c>
      <c r="B3264" s="30"/>
      <c r="C3264" s="30" t="s">
        <v>8607</v>
      </c>
      <c r="D3264" s="30"/>
      <c r="E3264" s="30"/>
      <c r="F3264" s="30"/>
      <c r="G3264" s="30" t="s">
        <v>8737</v>
      </c>
      <c r="H3264" s="30" t="s">
        <v>15447</v>
      </c>
    </row>
    <row r="3265" spans="1:8">
      <c r="A3265" s="30" t="s">
        <v>15448</v>
      </c>
      <c r="B3265" s="30"/>
      <c r="C3265" s="30" t="s">
        <v>8607</v>
      </c>
      <c r="D3265" s="30"/>
      <c r="E3265" s="30"/>
      <c r="F3265" s="30"/>
      <c r="G3265" s="30" t="s">
        <v>11990</v>
      </c>
      <c r="H3265" s="30" t="s">
        <v>11991</v>
      </c>
    </row>
    <row r="3266" spans="1:8">
      <c r="A3266" s="30" t="s">
        <v>15449</v>
      </c>
      <c r="B3266" s="30"/>
      <c r="C3266" s="30" t="s">
        <v>8607</v>
      </c>
      <c r="D3266" s="30" t="s">
        <v>8736</v>
      </c>
      <c r="E3266" s="30"/>
      <c r="F3266" s="30"/>
      <c r="G3266" s="30" t="s">
        <v>8737</v>
      </c>
      <c r="H3266" s="30" t="s">
        <v>12383</v>
      </c>
    </row>
    <row r="3267" spans="1:8">
      <c r="A3267" s="30" t="s">
        <v>15450</v>
      </c>
      <c r="B3267" s="30"/>
      <c r="C3267" s="30" t="s">
        <v>8607</v>
      </c>
      <c r="D3267" s="30" t="s">
        <v>8654</v>
      </c>
      <c r="E3267" s="30"/>
      <c r="F3267" s="30"/>
      <c r="G3267" s="30" t="s">
        <v>8656</v>
      </c>
      <c r="H3267" s="30" t="s">
        <v>10690</v>
      </c>
    </row>
    <row r="3268" spans="1:8">
      <c r="A3268" s="30" t="s">
        <v>15451</v>
      </c>
      <c r="B3268" s="30"/>
      <c r="C3268" s="30" t="s">
        <v>8607</v>
      </c>
      <c r="D3268" s="30" t="s">
        <v>8666</v>
      </c>
      <c r="E3268" s="30"/>
      <c r="F3268" s="30"/>
      <c r="G3268" s="30" t="s">
        <v>8667</v>
      </c>
      <c r="H3268" s="30" t="s">
        <v>12368</v>
      </c>
    </row>
    <row r="3269" spans="1:8">
      <c r="A3269" s="30" t="s">
        <v>15452</v>
      </c>
      <c r="B3269" s="30"/>
      <c r="C3269" s="30" t="s">
        <v>8626</v>
      </c>
      <c r="D3269" s="30" t="s">
        <v>9291</v>
      </c>
      <c r="E3269" s="30" t="s">
        <v>15453</v>
      </c>
      <c r="F3269" s="30" t="e">
        <v>#VALUE!</v>
      </c>
      <c r="G3269" s="30" t="s">
        <v>8691</v>
      </c>
      <c r="H3269" s="30" t="s">
        <v>10447</v>
      </c>
    </row>
    <row r="3270" spans="1:8">
      <c r="A3270" s="30" t="s">
        <v>15454</v>
      </c>
      <c r="B3270" s="30"/>
      <c r="C3270" s="30" t="s">
        <v>8626</v>
      </c>
      <c r="D3270" s="30"/>
      <c r="E3270" s="30"/>
      <c r="F3270" s="30"/>
      <c r="G3270" s="30" t="s">
        <v>11313</v>
      </c>
      <c r="H3270" s="30" t="s">
        <v>10248</v>
      </c>
    </row>
    <row r="3271" spans="1:8">
      <c r="A3271" s="30" t="s">
        <v>15455</v>
      </c>
      <c r="B3271" s="30"/>
      <c r="C3271" s="30" t="s">
        <v>8607</v>
      </c>
      <c r="D3271" s="30"/>
      <c r="E3271" s="30"/>
      <c r="F3271" s="30"/>
      <c r="G3271" s="30" t="s">
        <v>8729</v>
      </c>
      <c r="H3271" s="30" t="s">
        <v>15456</v>
      </c>
    </row>
    <row r="3272" spans="1:8">
      <c r="A3272" s="30" t="s">
        <v>15457</v>
      </c>
      <c r="B3272" s="30"/>
      <c r="C3272" s="30" t="s">
        <v>8607</v>
      </c>
      <c r="D3272" s="30"/>
      <c r="E3272" s="30"/>
      <c r="F3272" s="30"/>
      <c r="G3272" s="30" t="s">
        <v>8681</v>
      </c>
      <c r="H3272" s="30" t="s">
        <v>10714</v>
      </c>
    </row>
    <row r="3273" spans="1:8">
      <c r="A3273" s="30" t="s">
        <v>15458</v>
      </c>
      <c r="B3273" s="30"/>
      <c r="C3273" s="30" t="s">
        <v>8626</v>
      </c>
      <c r="D3273" s="30" t="s">
        <v>12473</v>
      </c>
      <c r="E3273" s="30" t="s">
        <v>12474</v>
      </c>
      <c r="F3273" s="30" t="s">
        <v>8618</v>
      </c>
      <c r="G3273" s="30" t="s">
        <v>14159</v>
      </c>
      <c r="H3273" s="30" t="s">
        <v>15459</v>
      </c>
    </row>
    <row r="3274" spans="1:8">
      <c r="A3274" s="30" t="s">
        <v>15460</v>
      </c>
      <c r="B3274" s="30"/>
      <c r="C3274" s="30" t="s">
        <v>8626</v>
      </c>
      <c r="D3274" s="30"/>
      <c r="E3274" s="30"/>
      <c r="F3274" s="30"/>
      <c r="G3274" s="30"/>
      <c r="H3274" s="30" t="s">
        <v>15461</v>
      </c>
    </row>
    <row r="3275" spans="1:8">
      <c r="A3275" s="30" t="s">
        <v>15462</v>
      </c>
      <c r="B3275" s="30"/>
      <c r="C3275" s="30" t="s">
        <v>8626</v>
      </c>
      <c r="D3275" s="30" t="s">
        <v>15463</v>
      </c>
      <c r="E3275" s="30" t="s">
        <v>15464</v>
      </c>
      <c r="F3275" s="30" t="s">
        <v>8672</v>
      </c>
      <c r="G3275" s="30" t="s">
        <v>10076</v>
      </c>
      <c r="H3275" s="30" t="s">
        <v>15465</v>
      </c>
    </row>
    <row r="3276" spans="1:8">
      <c r="A3276" s="30" t="s">
        <v>15466</v>
      </c>
      <c r="B3276" s="30"/>
      <c r="C3276" s="30" t="s">
        <v>8607</v>
      </c>
      <c r="D3276" s="30" t="s">
        <v>9490</v>
      </c>
      <c r="E3276" s="30" t="s">
        <v>8771</v>
      </c>
      <c r="F3276" s="30" t="s">
        <v>8672</v>
      </c>
      <c r="G3276" s="30" t="s">
        <v>8659</v>
      </c>
      <c r="H3276" s="30" t="s">
        <v>9488</v>
      </c>
    </row>
    <row r="3277" spans="1:8">
      <c r="A3277" s="30" t="s">
        <v>15467</v>
      </c>
      <c r="B3277" s="30"/>
      <c r="C3277" s="30" t="s">
        <v>8607</v>
      </c>
      <c r="D3277" s="30"/>
      <c r="E3277" s="30"/>
      <c r="F3277" s="30"/>
      <c r="G3277" s="30" t="s">
        <v>9619</v>
      </c>
      <c r="H3277" s="30" t="s">
        <v>9620</v>
      </c>
    </row>
    <row r="3278" spans="1:8">
      <c r="A3278" s="30" t="s">
        <v>15468</v>
      </c>
      <c r="B3278" s="30"/>
      <c r="C3278" s="30" t="s">
        <v>8607</v>
      </c>
      <c r="D3278" s="30"/>
      <c r="E3278" s="30"/>
      <c r="F3278" s="30"/>
      <c r="G3278" s="30" t="s">
        <v>9622</v>
      </c>
      <c r="H3278" s="30" t="s">
        <v>14895</v>
      </c>
    </row>
    <row r="3279" spans="1:8">
      <c r="A3279" s="30" t="s">
        <v>15469</v>
      </c>
      <c r="B3279" s="30"/>
      <c r="C3279" s="30" t="s">
        <v>8607</v>
      </c>
      <c r="D3279" s="30"/>
      <c r="E3279" s="30"/>
      <c r="F3279" s="30"/>
      <c r="G3279" s="30" t="s">
        <v>9657</v>
      </c>
      <c r="H3279" s="30" t="s">
        <v>14409</v>
      </c>
    </row>
    <row r="3280" spans="1:8">
      <c r="A3280" s="30" t="s">
        <v>15470</v>
      </c>
      <c r="B3280" s="30"/>
      <c r="C3280" s="30" t="s">
        <v>8626</v>
      </c>
      <c r="D3280" s="30"/>
      <c r="E3280" s="30"/>
      <c r="F3280" s="30"/>
      <c r="G3280" s="30"/>
      <c r="H3280" s="30" t="s">
        <v>15471</v>
      </c>
    </row>
    <row r="3281" spans="1:8">
      <c r="A3281" s="30" t="s">
        <v>15472</v>
      </c>
      <c r="B3281" s="30"/>
      <c r="C3281" s="30" t="s">
        <v>8607</v>
      </c>
      <c r="D3281" s="30" t="s">
        <v>15473</v>
      </c>
      <c r="E3281" s="30" t="s">
        <v>14113</v>
      </c>
      <c r="F3281" s="30" t="s">
        <v>8618</v>
      </c>
      <c r="G3281" s="30" t="s">
        <v>14114</v>
      </c>
      <c r="H3281" s="30" t="s">
        <v>14115</v>
      </c>
    </row>
    <row r="3282" spans="1:8">
      <c r="A3282" s="30" t="s">
        <v>15474</v>
      </c>
      <c r="B3282" s="30"/>
      <c r="C3282" s="30" t="s">
        <v>8626</v>
      </c>
      <c r="D3282" s="30" t="s">
        <v>15475</v>
      </c>
      <c r="E3282" s="30" t="s">
        <v>15476</v>
      </c>
      <c r="F3282" s="30" t="e">
        <v>#VALUE!</v>
      </c>
      <c r="G3282" s="30" t="s">
        <v>15477</v>
      </c>
      <c r="H3282" s="30" t="s">
        <v>15478</v>
      </c>
    </row>
    <row r="3283" spans="1:8">
      <c r="A3283" s="30" t="s">
        <v>15479</v>
      </c>
      <c r="B3283" s="30"/>
      <c r="C3283" s="30" t="s">
        <v>8607</v>
      </c>
      <c r="D3283" s="30"/>
      <c r="E3283" s="30" t="s">
        <v>15480</v>
      </c>
      <c r="F3283" s="30" t="s">
        <v>8618</v>
      </c>
      <c r="G3283" s="30"/>
      <c r="H3283" s="30" t="s">
        <v>15481</v>
      </c>
    </row>
    <row r="3284" spans="1:8">
      <c r="A3284" s="30" t="s">
        <v>15482</v>
      </c>
      <c r="B3284" s="30"/>
      <c r="C3284" s="30"/>
      <c r="D3284" s="32"/>
      <c r="E3284" s="30"/>
      <c r="F3284" s="30"/>
      <c r="G3284" s="30"/>
      <c r="H3284" s="30" t="s">
        <v>15483</v>
      </c>
    </row>
    <row r="3285" spans="1:8">
      <c r="A3285" s="30" t="s">
        <v>15484</v>
      </c>
      <c r="B3285" s="30"/>
      <c r="C3285" s="30" t="s">
        <v>8607</v>
      </c>
      <c r="D3285" s="30" t="s">
        <v>15485</v>
      </c>
      <c r="E3285" s="30" t="s">
        <v>15486</v>
      </c>
      <c r="F3285" s="30" t="s">
        <v>8672</v>
      </c>
      <c r="G3285" s="30" t="s">
        <v>9002</v>
      </c>
      <c r="H3285" s="30" t="s">
        <v>13979</v>
      </c>
    </row>
    <row r="3286" spans="1:8">
      <c r="A3286" s="30" t="s">
        <v>15487</v>
      </c>
      <c r="B3286" s="30"/>
      <c r="C3286" s="30" t="s">
        <v>8626</v>
      </c>
      <c r="D3286" s="30" t="s">
        <v>11887</v>
      </c>
      <c r="E3286" s="30" t="s">
        <v>15488</v>
      </c>
      <c r="F3286" s="30" t="s">
        <v>8672</v>
      </c>
      <c r="G3286" s="30" t="s">
        <v>11889</v>
      </c>
      <c r="H3286" s="30" t="s">
        <v>15489</v>
      </c>
    </row>
    <row r="3287" spans="1:8">
      <c r="A3287" s="30" t="s">
        <v>15490</v>
      </c>
      <c r="B3287" s="30"/>
      <c r="C3287" s="30" t="s">
        <v>8607</v>
      </c>
      <c r="D3287" s="30"/>
      <c r="E3287" s="30"/>
      <c r="F3287" s="30"/>
      <c r="G3287" s="30" t="s">
        <v>10250</v>
      </c>
      <c r="H3287" s="30" t="s">
        <v>10251</v>
      </c>
    </row>
    <row r="3288" spans="1:8">
      <c r="A3288" s="30" t="s">
        <v>15491</v>
      </c>
      <c r="B3288" s="30"/>
      <c r="C3288" s="30" t="s">
        <v>8626</v>
      </c>
      <c r="D3288" s="30" t="s">
        <v>10253</v>
      </c>
      <c r="E3288" s="30"/>
      <c r="F3288" s="30"/>
      <c r="G3288" s="30" t="s">
        <v>10254</v>
      </c>
      <c r="H3288" s="30" t="s">
        <v>10255</v>
      </c>
    </row>
    <row r="3289" spans="1:8">
      <c r="A3289" s="30" t="s">
        <v>15492</v>
      </c>
      <c r="B3289" s="30"/>
      <c r="C3289" s="30" t="s">
        <v>8607</v>
      </c>
      <c r="D3289" s="30"/>
      <c r="E3289" s="30"/>
      <c r="F3289" s="30"/>
      <c r="G3289" s="30" t="s">
        <v>10205</v>
      </c>
      <c r="H3289" s="30" t="s">
        <v>10246</v>
      </c>
    </row>
    <row r="3290" spans="1:8">
      <c r="A3290" s="30" t="s">
        <v>15493</v>
      </c>
      <c r="B3290" s="30"/>
      <c r="C3290" s="30" t="s">
        <v>8607</v>
      </c>
      <c r="D3290" s="30"/>
      <c r="E3290" s="30"/>
      <c r="F3290" s="30"/>
      <c r="G3290" s="30"/>
      <c r="H3290" s="30" t="s">
        <v>11152</v>
      </c>
    </row>
    <row r="3291" spans="1:8">
      <c r="A3291" s="30" t="s">
        <v>15494</v>
      </c>
      <c r="B3291" s="30"/>
      <c r="C3291" s="30" t="s">
        <v>8607</v>
      </c>
      <c r="D3291" s="30" t="s">
        <v>9262</v>
      </c>
      <c r="E3291" s="30"/>
      <c r="F3291" s="30"/>
      <c r="G3291" s="30" t="s">
        <v>9002</v>
      </c>
      <c r="H3291" s="30" t="s">
        <v>15495</v>
      </c>
    </row>
    <row r="3292" spans="1:8">
      <c r="A3292" s="30" t="s">
        <v>15496</v>
      </c>
      <c r="B3292" s="30"/>
      <c r="C3292" s="30" t="s">
        <v>8607</v>
      </c>
      <c r="D3292" s="30"/>
      <c r="E3292" s="30"/>
      <c r="F3292" s="30"/>
      <c r="G3292" s="30" t="s">
        <v>10220</v>
      </c>
      <c r="H3292" s="30" t="s">
        <v>12890</v>
      </c>
    </row>
    <row r="3293" spans="1:8">
      <c r="A3293" s="30" t="s">
        <v>15497</v>
      </c>
      <c r="B3293" s="30"/>
      <c r="C3293" s="30" t="s">
        <v>8607</v>
      </c>
      <c r="D3293" s="30"/>
      <c r="E3293" s="30"/>
      <c r="F3293" s="30"/>
      <c r="G3293" s="30" t="s">
        <v>9657</v>
      </c>
      <c r="H3293" s="30" t="s">
        <v>14522</v>
      </c>
    </row>
    <row r="3294" spans="1:8">
      <c r="A3294" s="30" t="s">
        <v>15498</v>
      </c>
      <c r="B3294" s="30"/>
      <c r="C3294" s="30" t="s">
        <v>8607</v>
      </c>
      <c r="D3294" s="30"/>
      <c r="E3294" s="30"/>
      <c r="F3294" s="30"/>
      <c r="G3294" s="30" t="s">
        <v>9657</v>
      </c>
      <c r="H3294" s="30" t="s">
        <v>14522</v>
      </c>
    </row>
    <row r="3295" spans="1:8">
      <c r="A3295" s="30" t="s">
        <v>15499</v>
      </c>
      <c r="B3295" s="30"/>
      <c r="C3295" s="30" t="s">
        <v>8607</v>
      </c>
      <c r="D3295" s="30"/>
      <c r="E3295" s="30"/>
      <c r="F3295" s="30"/>
      <c r="G3295" s="30"/>
      <c r="H3295" s="30" t="s">
        <v>15500</v>
      </c>
    </row>
    <row r="3296" spans="1:8">
      <c r="A3296" s="30" t="s">
        <v>15501</v>
      </c>
      <c r="B3296" s="30"/>
      <c r="C3296" s="30" t="s">
        <v>8607</v>
      </c>
      <c r="D3296" s="30"/>
      <c r="E3296" s="30"/>
      <c r="F3296" s="30"/>
      <c r="G3296" s="30" t="s">
        <v>15502</v>
      </c>
      <c r="H3296" s="30" t="s">
        <v>15503</v>
      </c>
    </row>
    <row r="3297" spans="1:8">
      <c r="A3297" s="30" t="s">
        <v>15504</v>
      </c>
      <c r="B3297" s="30"/>
      <c r="C3297" s="30" t="s">
        <v>8607</v>
      </c>
      <c r="D3297" s="30"/>
      <c r="E3297" s="30"/>
      <c r="F3297" s="30"/>
      <c r="G3297" s="30" t="s">
        <v>15505</v>
      </c>
      <c r="H3297" s="30" t="s">
        <v>15506</v>
      </c>
    </row>
    <row r="3298" spans="1:8">
      <c r="A3298" s="30" t="s">
        <v>15507</v>
      </c>
      <c r="B3298" s="30"/>
      <c r="C3298" s="30" t="s">
        <v>8607</v>
      </c>
      <c r="D3298" s="30" t="s">
        <v>15508</v>
      </c>
      <c r="E3298" s="30" t="s">
        <v>9006</v>
      </c>
      <c r="F3298" s="30" t="e">
        <v>#VALUE!</v>
      </c>
      <c r="G3298" s="30" t="s">
        <v>9007</v>
      </c>
      <c r="H3298" s="30" t="s">
        <v>10266</v>
      </c>
    </row>
    <row r="3299" spans="1:8">
      <c r="A3299" s="30" t="s">
        <v>15509</v>
      </c>
      <c r="B3299" s="30"/>
      <c r="C3299" s="30"/>
      <c r="D3299" s="32"/>
      <c r="E3299" s="30"/>
      <c r="F3299" s="30"/>
      <c r="G3299" s="30"/>
      <c r="H3299" s="30" t="s">
        <v>15510</v>
      </c>
    </row>
    <row r="3300" spans="1:8">
      <c r="A3300" s="30" t="s">
        <v>15511</v>
      </c>
      <c r="B3300" s="30"/>
      <c r="C3300" s="30" t="s">
        <v>8607</v>
      </c>
      <c r="D3300" s="30"/>
      <c r="E3300" s="30"/>
      <c r="F3300" s="30"/>
      <c r="G3300" s="30" t="s">
        <v>10385</v>
      </c>
      <c r="H3300" s="30" t="s">
        <v>15512</v>
      </c>
    </row>
    <row r="3301" spans="1:8">
      <c r="A3301" s="30" t="s">
        <v>15513</v>
      </c>
      <c r="B3301" s="30"/>
      <c r="C3301" s="30" t="s">
        <v>8607</v>
      </c>
      <c r="D3301" s="30" t="s">
        <v>9546</v>
      </c>
      <c r="E3301" s="30" t="s">
        <v>9547</v>
      </c>
      <c r="F3301" s="30" t="s">
        <v>8672</v>
      </c>
      <c r="G3301" s="30" t="s">
        <v>9366</v>
      </c>
      <c r="H3301" s="30" t="s">
        <v>15514</v>
      </c>
    </row>
    <row r="3302" spans="1:8">
      <c r="A3302" s="30" t="s">
        <v>15515</v>
      </c>
      <c r="B3302" s="30"/>
      <c r="C3302" s="30" t="s">
        <v>8607</v>
      </c>
      <c r="D3302" s="30" t="s">
        <v>15516</v>
      </c>
      <c r="E3302" s="30"/>
      <c r="F3302" s="30"/>
      <c r="G3302" s="30" t="s">
        <v>15517</v>
      </c>
      <c r="H3302" s="30" t="s">
        <v>15518</v>
      </c>
    </row>
    <row r="3303" spans="1:8">
      <c r="A3303" s="30" t="s">
        <v>15519</v>
      </c>
      <c r="B3303" s="30"/>
      <c r="C3303" s="30" t="s">
        <v>8607</v>
      </c>
      <c r="D3303" s="30"/>
      <c r="E3303" s="30" t="s">
        <v>15520</v>
      </c>
      <c r="F3303" s="30" t="s">
        <v>8618</v>
      </c>
      <c r="G3303" s="30" t="s">
        <v>9698</v>
      </c>
      <c r="H3303" s="30" t="s">
        <v>10147</v>
      </c>
    </row>
    <row r="3304" spans="1:8">
      <c r="A3304" s="30" t="s">
        <v>15521</v>
      </c>
      <c r="B3304" s="30"/>
      <c r="C3304" s="30" t="s">
        <v>8607</v>
      </c>
      <c r="D3304" s="30" t="s">
        <v>9195</v>
      </c>
      <c r="E3304" s="30"/>
      <c r="F3304" s="30"/>
      <c r="G3304" s="30" t="s">
        <v>8717</v>
      </c>
      <c r="H3304" s="30" t="s">
        <v>15522</v>
      </c>
    </row>
    <row r="3305" spans="1:8">
      <c r="A3305" s="30" t="s">
        <v>15523</v>
      </c>
      <c r="B3305" s="30"/>
      <c r="C3305" s="30" t="s">
        <v>8607</v>
      </c>
      <c r="D3305" s="30" t="s">
        <v>10164</v>
      </c>
      <c r="E3305" s="30"/>
      <c r="F3305" s="30"/>
      <c r="G3305" s="30" t="s">
        <v>8814</v>
      </c>
      <c r="H3305" s="30" t="s">
        <v>14320</v>
      </c>
    </row>
    <row r="3306" spans="1:8">
      <c r="A3306" s="30" t="s">
        <v>15524</v>
      </c>
      <c r="B3306" s="30"/>
      <c r="C3306" s="30" t="s">
        <v>8626</v>
      </c>
      <c r="D3306" s="30"/>
      <c r="E3306" s="30"/>
      <c r="F3306" s="30"/>
      <c r="G3306" s="30" t="s">
        <v>15525</v>
      </c>
      <c r="H3306" s="30" t="s">
        <v>15526</v>
      </c>
    </row>
    <row r="3307" spans="1:8">
      <c r="A3307" s="30" t="s">
        <v>15527</v>
      </c>
      <c r="B3307" s="30"/>
      <c r="C3307" s="30" t="s">
        <v>8607</v>
      </c>
      <c r="D3307" s="30"/>
      <c r="E3307" s="30"/>
      <c r="F3307" s="30"/>
      <c r="G3307" s="30" t="s">
        <v>10138</v>
      </c>
      <c r="H3307" s="30" t="s">
        <v>14506</v>
      </c>
    </row>
    <row r="3308" spans="1:8">
      <c r="A3308" s="30" t="s">
        <v>15528</v>
      </c>
      <c r="B3308" s="30"/>
      <c r="C3308" s="30" t="s">
        <v>8626</v>
      </c>
      <c r="D3308" s="30" t="s">
        <v>15529</v>
      </c>
      <c r="E3308" s="30" t="s">
        <v>15530</v>
      </c>
      <c r="F3308" s="30" t="e">
        <v>#VALUE!</v>
      </c>
      <c r="G3308" s="30" t="s">
        <v>15531</v>
      </c>
      <c r="H3308" s="30" t="s">
        <v>15532</v>
      </c>
    </row>
    <row r="3309" spans="1:8">
      <c r="A3309" s="30" t="s">
        <v>15533</v>
      </c>
      <c r="B3309" s="30"/>
      <c r="C3309" s="30" t="s">
        <v>8607</v>
      </c>
      <c r="D3309" s="30" t="s">
        <v>15534</v>
      </c>
      <c r="E3309" s="30" t="s">
        <v>15535</v>
      </c>
      <c r="F3309" s="30" t="s">
        <v>8618</v>
      </c>
      <c r="G3309" s="30" t="s">
        <v>15536</v>
      </c>
      <c r="H3309" s="30" t="s">
        <v>15537</v>
      </c>
    </row>
    <row r="3310" spans="1:8">
      <c r="A3310" s="30" t="s">
        <v>15538</v>
      </c>
      <c r="B3310" s="30"/>
      <c r="C3310" s="30" t="s">
        <v>8607</v>
      </c>
      <c r="D3310" s="30"/>
      <c r="E3310" s="30" t="s">
        <v>10474</v>
      </c>
      <c r="F3310" s="30" t="e">
        <v>#VALUE!</v>
      </c>
      <c r="G3310" s="30" t="s">
        <v>8678</v>
      </c>
      <c r="H3310" s="30" t="s">
        <v>10475</v>
      </c>
    </row>
    <row r="3311" spans="1:8">
      <c r="A3311" s="30" t="s">
        <v>15539</v>
      </c>
      <c r="B3311" s="30"/>
      <c r="C3311" s="30" t="s">
        <v>8607</v>
      </c>
      <c r="D3311" s="30"/>
      <c r="E3311" s="30"/>
      <c r="F3311" s="30"/>
      <c r="G3311" s="30" t="s">
        <v>8681</v>
      </c>
      <c r="H3311" s="30" t="s">
        <v>10477</v>
      </c>
    </row>
    <row r="3312" spans="1:8">
      <c r="A3312" s="30" t="s">
        <v>15540</v>
      </c>
      <c r="B3312" s="30"/>
      <c r="C3312" s="30" t="s">
        <v>8607</v>
      </c>
      <c r="D3312" s="30"/>
      <c r="E3312" s="30"/>
      <c r="F3312" s="30"/>
      <c r="G3312" s="30" t="s">
        <v>8729</v>
      </c>
      <c r="H3312" s="30" t="s">
        <v>10512</v>
      </c>
    </row>
    <row r="3313" spans="1:8">
      <c r="A3313" s="30" t="s">
        <v>15541</v>
      </c>
      <c r="B3313" s="30"/>
      <c r="C3313" s="30" t="s">
        <v>8607</v>
      </c>
      <c r="D3313" s="30"/>
      <c r="E3313" s="30"/>
      <c r="F3313" s="30"/>
      <c r="G3313" s="30" t="s">
        <v>10197</v>
      </c>
      <c r="H3313" s="30" t="s">
        <v>10198</v>
      </c>
    </row>
    <row r="3314" spans="1:8">
      <c r="A3314" s="30" t="s">
        <v>15542</v>
      </c>
      <c r="B3314" s="30"/>
      <c r="C3314" s="30" t="s">
        <v>8607</v>
      </c>
      <c r="D3314" s="30"/>
      <c r="E3314" s="30"/>
      <c r="F3314" s="30"/>
      <c r="G3314" s="30" t="s">
        <v>8646</v>
      </c>
      <c r="H3314" s="30" t="s">
        <v>10462</v>
      </c>
    </row>
    <row r="3315" spans="1:8">
      <c r="A3315" s="30" t="s">
        <v>15543</v>
      </c>
      <c r="B3315" s="30"/>
      <c r="C3315" s="30" t="s">
        <v>8607</v>
      </c>
      <c r="D3315" s="30"/>
      <c r="E3315" s="30"/>
      <c r="F3315" s="30"/>
      <c r="G3315" s="30" t="s">
        <v>8649</v>
      </c>
      <c r="H3315" s="30" t="s">
        <v>10464</v>
      </c>
    </row>
    <row r="3316" spans="1:8">
      <c r="A3316" s="30" t="s">
        <v>15544</v>
      </c>
      <c r="B3316" s="30"/>
      <c r="C3316" s="30"/>
      <c r="D3316" s="32"/>
      <c r="E3316" s="30"/>
      <c r="F3316" s="30"/>
      <c r="G3316" s="30"/>
      <c r="H3316" s="30" t="s">
        <v>15545</v>
      </c>
    </row>
    <row r="3317" spans="1:8">
      <c r="A3317" s="30" t="s">
        <v>15546</v>
      </c>
      <c r="B3317" s="30"/>
      <c r="C3317" s="30" t="s">
        <v>8626</v>
      </c>
      <c r="D3317" s="30" t="s">
        <v>15547</v>
      </c>
      <c r="E3317" s="30" t="s">
        <v>15548</v>
      </c>
      <c r="F3317" s="30" t="e">
        <v>#VALUE!</v>
      </c>
      <c r="G3317" s="30" t="s">
        <v>15549</v>
      </c>
      <c r="H3317" s="30" t="s">
        <v>15550</v>
      </c>
    </row>
    <row r="3318" spans="1:8">
      <c r="A3318" s="30" t="s">
        <v>15551</v>
      </c>
      <c r="B3318" s="30"/>
      <c r="C3318" s="30" t="s">
        <v>8607</v>
      </c>
      <c r="D3318" s="30"/>
      <c r="E3318" s="30"/>
      <c r="F3318" s="30"/>
      <c r="G3318" s="30" t="s">
        <v>15552</v>
      </c>
      <c r="H3318" s="30" t="s">
        <v>15553</v>
      </c>
    </row>
    <row r="3319" spans="1:8">
      <c r="A3319" s="30" t="s">
        <v>15554</v>
      </c>
      <c r="B3319" s="30"/>
      <c r="C3319" s="30" t="s">
        <v>8607</v>
      </c>
      <c r="D3319" s="30" t="s">
        <v>9799</v>
      </c>
      <c r="E3319" s="30"/>
      <c r="F3319" s="30"/>
      <c r="G3319" s="30" t="s">
        <v>8695</v>
      </c>
      <c r="H3319" s="30" t="s">
        <v>11370</v>
      </c>
    </row>
    <row r="3320" spans="1:8">
      <c r="A3320" s="30" t="s">
        <v>15555</v>
      </c>
      <c r="B3320" s="30"/>
      <c r="C3320" s="30" t="s">
        <v>8607</v>
      </c>
      <c r="D3320" s="30" t="s">
        <v>8608</v>
      </c>
      <c r="E3320" s="30" t="s">
        <v>15556</v>
      </c>
      <c r="F3320" s="30" t="s">
        <v>8618</v>
      </c>
      <c r="G3320" s="30" t="s">
        <v>8609</v>
      </c>
      <c r="H3320" s="30" t="s">
        <v>15557</v>
      </c>
    </row>
    <row r="3321" spans="1:8">
      <c r="A3321" s="30" t="s">
        <v>15558</v>
      </c>
      <c r="B3321" s="30"/>
      <c r="C3321" s="30" t="s">
        <v>8607</v>
      </c>
      <c r="D3321" s="30" t="s">
        <v>15559</v>
      </c>
      <c r="E3321" s="30" t="s">
        <v>13273</v>
      </c>
      <c r="F3321" s="30" t="s">
        <v>8618</v>
      </c>
      <c r="G3321" s="30" t="s">
        <v>15560</v>
      </c>
      <c r="H3321" s="30" t="s">
        <v>15561</v>
      </c>
    </row>
    <row r="3322" spans="1:8">
      <c r="A3322" s="30" t="s">
        <v>15562</v>
      </c>
      <c r="B3322" s="30"/>
      <c r="C3322" s="30" t="s">
        <v>8607</v>
      </c>
      <c r="D3322" s="30" t="s">
        <v>10993</v>
      </c>
      <c r="E3322" s="30" t="s">
        <v>10209</v>
      </c>
      <c r="F3322" s="30" t="s">
        <v>8672</v>
      </c>
      <c r="G3322" s="30" t="s">
        <v>11889</v>
      </c>
      <c r="H3322" s="30" t="s">
        <v>15563</v>
      </c>
    </row>
    <row r="3323" spans="1:8">
      <c r="A3323" s="30" t="s">
        <v>15564</v>
      </c>
      <c r="B3323" s="30"/>
      <c r="C3323" s="30" t="s">
        <v>8626</v>
      </c>
      <c r="D3323" s="30" t="s">
        <v>14098</v>
      </c>
      <c r="E3323" s="30" t="s">
        <v>13976</v>
      </c>
      <c r="F3323" s="30" t="s">
        <v>8618</v>
      </c>
      <c r="G3323" s="30" t="s">
        <v>10234</v>
      </c>
      <c r="H3323" s="30" t="s">
        <v>15565</v>
      </c>
    </row>
    <row r="3324" spans="1:8">
      <c r="A3324" s="30" t="s">
        <v>15566</v>
      </c>
      <c r="B3324" s="30"/>
      <c r="C3324" s="30" t="s">
        <v>8607</v>
      </c>
      <c r="D3324" s="30"/>
      <c r="E3324" s="30"/>
      <c r="F3324" s="30"/>
      <c r="G3324" s="30" t="s">
        <v>15567</v>
      </c>
      <c r="H3324" s="30" t="s">
        <v>15568</v>
      </c>
    </row>
    <row r="3325" spans="1:8">
      <c r="A3325" s="30" t="s">
        <v>15569</v>
      </c>
      <c r="B3325" s="30"/>
      <c r="C3325" s="30" t="s">
        <v>8607</v>
      </c>
      <c r="D3325" s="30"/>
      <c r="E3325" s="30"/>
      <c r="F3325" s="30"/>
      <c r="G3325" s="30" t="s">
        <v>15356</v>
      </c>
      <c r="H3325" s="30" t="s">
        <v>15357</v>
      </c>
    </row>
    <row r="3326" spans="1:8">
      <c r="A3326" s="30" t="s">
        <v>15570</v>
      </c>
      <c r="B3326" s="30"/>
      <c r="C3326" s="30" t="s">
        <v>8607</v>
      </c>
      <c r="D3326" s="30"/>
      <c r="E3326" s="30"/>
      <c r="F3326" s="30"/>
      <c r="G3326" s="30" t="s">
        <v>15359</v>
      </c>
      <c r="H3326" s="30" t="s">
        <v>15360</v>
      </c>
    </row>
    <row r="3327" spans="1:8">
      <c r="A3327" s="30" t="s">
        <v>15571</v>
      </c>
      <c r="B3327" s="30"/>
      <c r="C3327" s="30" t="s">
        <v>8607</v>
      </c>
      <c r="D3327" s="30"/>
      <c r="E3327" s="30"/>
      <c r="F3327" s="30"/>
      <c r="G3327" s="30"/>
      <c r="H3327" s="30" t="s">
        <v>15362</v>
      </c>
    </row>
    <row r="3328" spans="1:8">
      <c r="A3328" s="30" t="s">
        <v>15572</v>
      </c>
      <c r="B3328" s="30"/>
      <c r="C3328" s="30" t="s">
        <v>8607</v>
      </c>
      <c r="D3328" s="30" t="s">
        <v>8608</v>
      </c>
      <c r="E3328" s="30"/>
      <c r="F3328" s="30"/>
      <c r="G3328" s="30" t="s">
        <v>8609</v>
      </c>
      <c r="H3328" s="30" t="s">
        <v>14502</v>
      </c>
    </row>
    <row r="3329" spans="1:8">
      <c r="A3329" s="30" t="s">
        <v>15573</v>
      </c>
      <c r="B3329" s="30"/>
      <c r="C3329" s="30" t="s">
        <v>8607</v>
      </c>
      <c r="D3329" s="30"/>
      <c r="E3329" s="30"/>
      <c r="F3329" s="30"/>
      <c r="G3329" s="30" t="s">
        <v>15309</v>
      </c>
      <c r="H3329" s="30" t="s">
        <v>15310</v>
      </c>
    </row>
    <row r="3330" spans="1:8">
      <c r="A3330" s="30" t="s">
        <v>15574</v>
      </c>
      <c r="B3330" s="30"/>
      <c r="C3330" s="30" t="s">
        <v>8607</v>
      </c>
      <c r="D3330" s="30"/>
      <c r="E3330" s="30"/>
      <c r="F3330" s="30"/>
      <c r="G3330" s="30"/>
      <c r="H3330" s="30" t="s">
        <v>15575</v>
      </c>
    </row>
    <row r="3331" spans="1:8">
      <c r="A3331" s="30" t="s">
        <v>15576</v>
      </c>
      <c r="B3331" s="30"/>
      <c r="C3331" s="30" t="s">
        <v>8607</v>
      </c>
      <c r="D3331" s="30"/>
      <c r="E3331" s="30"/>
      <c r="F3331" s="30"/>
      <c r="G3331" s="30"/>
      <c r="H3331" s="30" t="s">
        <v>15577</v>
      </c>
    </row>
    <row r="3332" spans="1:8">
      <c r="A3332" s="30" t="s">
        <v>15578</v>
      </c>
      <c r="B3332" s="30"/>
      <c r="C3332" s="30" t="s">
        <v>8626</v>
      </c>
      <c r="D3332" s="30"/>
      <c r="E3332" s="30" t="s">
        <v>15579</v>
      </c>
      <c r="F3332" s="30" t="s">
        <v>8618</v>
      </c>
      <c r="G3332" s="30" t="s">
        <v>15580</v>
      </c>
      <c r="H3332" s="30" t="s">
        <v>15581</v>
      </c>
    </row>
    <row r="3333" spans="1:8">
      <c r="A3333" s="30" t="s">
        <v>15582</v>
      </c>
      <c r="B3333" s="30"/>
      <c r="C3333" s="30" t="s">
        <v>8607</v>
      </c>
      <c r="D3333" s="30" t="s">
        <v>15583</v>
      </c>
      <c r="E3333" s="30" t="s">
        <v>15584</v>
      </c>
      <c r="F3333" s="30" t="s">
        <v>8672</v>
      </c>
      <c r="G3333" s="30" t="s">
        <v>13882</v>
      </c>
      <c r="H3333" s="30" t="s">
        <v>13883</v>
      </c>
    </row>
    <row r="3334" spans="1:8">
      <c r="A3334" s="30" t="s">
        <v>15585</v>
      </c>
      <c r="B3334" s="30"/>
      <c r="C3334" s="30" t="s">
        <v>8607</v>
      </c>
      <c r="D3334" s="30" t="s">
        <v>15422</v>
      </c>
      <c r="E3334" s="30" t="s">
        <v>13774</v>
      </c>
      <c r="F3334" s="30" t="s">
        <v>8618</v>
      </c>
      <c r="G3334" s="30" t="s">
        <v>13775</v>
      </c>
      <c r="H3334" s="30" t="s">
        <v>15586</v>
      </c>
    </row>
    <row r="3335" spans="1:8">
      <c r="A3335" s="30" t="s">
        <v>15587</v>
      </c>
      <c r="B3335" s="30"/>
      <c r="C3335" s="30" t="s">
        <v>8626</v>
      </c>
      <c r="D3335" s="30" t="s">
        <v>11597</v>
      </c>
      <c r="E3335" s="30" t="s">
        <v>8988</v>
      </c>
      <c r="F3335" s="30" t="s">
        <v>8618</v>
      </c>
      <c r="G3335" s="30" t="s">
        <v>8989</v>
      </c>
      <c r="H3335" s="30" t="s">
        <v>15588</v>
      </c>
    </row>
    <row r="3336" spans="1:8">
      <c r="A3336" s="30" t="s">
        <v>15589</v>
      </c>
      <c r="B3336" s="30"/>
      <c r="C3336" s="30" t="s">
        <v>8626</v>
      </c>
      <c r="D3336" s="30"/>
      <c r="E3336" s="30"/>
      <c r="F3336" s="30"/>
      <c r="G3336" s="30" t="s">
        <v>13754</v>
      </c>
      <c r="H3336" s="30" t="s">
        <v>13755</v>
      </c>
    </row>
    <row r="3337" spans="1:8">
      <c r="A3337" s="30" t="s">
        <v>15590</v>
      </c>
      <c r="B3337" s="30"/>
      <c r="C3337" s="30" t="s">
        <v>8626</v>
      </c>
      <c r="D3337" s="30"/>
      <c r="E3337" s="30"/>
      <c r="F3337" s="30"/>
      <c r="G3337" s="30" t="s">
        <v>13754</v>
      </c>
      <c r="H3337" s="30" t="s">
        <v>13755</v>
      </c>
    </row>
    <row r="3338" spans="1:8">
      <c r="A3338" s="30" t="s">
        <v>15591</v>
      </c>
      <c r="B3338" s="30"/>
      <c r="C3338" s="30" t="s">
        <v>8607</v>
      </c>
      <c r="D3338" s="30"/>
      <c r="E3338" s="30"/>
      <c r="F3338" s="30"/>
      <c r="G3338" s="30" t="s">
        <v>9657</v>
      </c>
      <c r="H3338" s="30" t="s">
        <v>15592</v>
      </c>
    </row>
    <row r="3339" spans="1:8">
      <c r="A3339" s="30" t="s">
        <v>15593</v>
      </c>
      <c r="B3339" s="30"/>
      <c r="C3339" s="30" t="s">
        <v>8607</v>
      </c>
      <c r="D3339" s="30" t="s">
        <v>8849</v>
      </c>
      <c r="E3339" s="30" t="s">
        <v>8850</v>
      </c>
      <c r="F3339" s="30" t="s">
        <v>8672</v>
      </c>
      <c r="G3339" s="30" t="s">
        <v>8851</v>
      </c>
      <c r="H3339" s="30" t="s">
        <v>15594</v>
      </c>
    </row>
    <row r="3340" spans="1:8">
      <c r="A3340" s="30" t="s">
        <v>15595</v>
      </c>
      <c r="B3340" s="30"/>
      <c r="C3340" s="30" t="s">
        <v>8607</v>
      </c>
      <c r="D3340" s="30" t="s">
        <v>15596</v>
      </c>
      <c r="E3340" s="30" t="s">
        <v>15597</v>
      </c>
      <c r="F3340" s="30" t="s">
        <v>8672</v>
      </c>
      <c r="G3340" s="30" t="s">
        <v>12297</v>
      </c>
      <c r="H3340" s="30" t="s">
        <v>13627</v>
      </c>
    </row>
    <row r="3341" spans="1:8">
      <c r="A3341" s="30" t="s">
        <v>15598</v>
      </c>
      <c r="B3341" s="30"/>
      <c r="C3341" s="30" t="s">
        <v>8607</v>
      </c>
      <c r="D3341" s="30" t="s">
        <v>15599</v>
      </c>
      <c r="E3341" s="30" t="s">
        <v>9766</v>
      </c>
      <c r="F3341" s="30" t="s">
        <v>8618</v>
      </c>
      <c r="G3341" s="30" t="s">
        <v>9767</v>
      </c>
      <c r="H3341" s="30" t="s">
        <v>12941</v>
      </c>
    </row>
    <row r="3342" spans="1:8">
      <c r="A3342" s="30" t="s">
        <v>15600</v>
      </c>
      <c r="B3342" s="30"/>
      <c r="C3342" s="30" t="s">
        <v>8607</v>
      </c>
      <c r="D3342" s="30" t="s">
        <v>15601</v>
      </c>
      <c r="E3342" s="30"/>
      <c r="F3342" s="30"/>
      <c r="G3342" s="30" t="s">
        <v>13892</v>
      </c>
      <c r="H3342" s="30" t="s">
        <v>13893</v>
      </c>
    </row>
    <row r="3343" spans="1:8">
      <c r="A3343" s="30" t="s">
        <v>15602</v>
      </c>
      <c r="B3343" s="30"/>
      <c r="C3343" s="30" t="s">
        <v>8626</v>
      </c>
      <c r="D3343" s="30" t="s">
        <v>15603</v>
      </c>
      <c r="E3343" s="30" t="s">
        <v>10037</v>
      </c>
      <c r="F3343" s="30" t="s">
        <v>8618</v>
      </c>
      <c r="G3343" s="30" t="s">
        <v>15604</v>
      </c>
      <c r="H3343" s="30" t="s">
        <v>13906</v>
      </c>
    </row>
    <row r="3344" spans="1:8">
      <c r="A3344" s="30" t="s">
        <v>15605</v>
      </c>
      <c r="B3344" s="30"/>
      <c r="C3344" s="30" t="s">
        <v>8607</v>
      </c>
      <c r="D3344" s="30"/>
      <c r="E3344" s="30"/>
      <c r="F3344" s="30"/>
      <c r="G3344" s="30"/>
      <c r="H3344" s="30" t="s">
        <v>15606</v>
      </c>
    </row>
    <row r="3345" spans="1:8">
      <c r="A3345" s="30" t="s">
        <v>15607</v>
      </c>
      <c r="B3345" s="30"/>
      <c r="C3345" s="30" t="s">
        <v>8607</v>
      </c>
      <c r="D3345" s="30" t="s">
        <v>15608</v>
      </c>
      <c r="E3345" s="30"/>
      <c r="F3345" s="30"/>
      <c r="G3345" s="30" t="s">
        <v>15609</v>
      </c>
      <c r="H3345" s="30" t="s">
        <v>15610</v>
      </c>
    </row>
    <row r="3346" spans="1:8">
      <c r="A3346" s="30" t="s">
        <v>15611</v>
      </c>
      <c r="B3346" s="30"/>
      <c r="C3346" s="30" t="s">
        <v>8607</v>
      </c>
      <c r="D3346" s="30"/>
      <c r="E3346" s="30"/>
      <c r="F3346" s="30"/>
      <c r="G3346" s="30"/>
      <c r="H3346" s="30" t="s">
        <v>15612</v>
      </c>
    </row>
    <row r="3347" spans="1:8">
      <c r="A3347" s="30" t="s">
        <v>15613</v>
      </c>
      <c r="B3347" s="30"/>
      <c r="C3347" s="30" t="s">
        <v>8607</v>
      </c>
      <c r="D3347" s="30"/>
      <c r="E3347" s="30"/>
      <c r="F3347" s="30"/>
      <c r="G3347" s="30" t="s">
        <v>13877</v>
      </c>
      <c r="H3347" s="30" t="s">
        <v>13878</v>
      </c>
    </row>
    <row r="3348" spans="1:8">
      <c r="A3348" s="30" t="s">
        <v>15614</v>
      </c>
      <c r="B3348" s="30"/>
      <c r="C3348" s="30" t="s">
        <v>8626</v>
      </c>
      <c r="D3348" s="30" t="s">
        <v>15615</v>
      </c>
      <c r="E3348" s="30" t="s">
        <v>15616</v>
      </c>
      <c r="F3348" s="30" t="e">
        <v>#VALUE!</v>
      </c>
      <c r="G3348" s="30" t="s">
        <v>14766</v>
      </c>
      <c r="H3348" s="30" t="s">
        <v>15617</v>
      </c>
    </row>
    <row r="3349" spans="1:8">
      <c r="A3349" s="30" t="s">
        <v>15618</v>
      </c>
      <c r="B3349" s="30"/>
      <c r="C3349" s="30" t="s">
        <v>8607</v>
      </c>
      <c r="D3349" s="30"/>
      <c r="E3349" s="30"/>
      <c r="F3349" s="30"/>
      <c r="G3349" s="30"/>
      <c r="H3349" s="30" t="s">
        <v>15619</v>
      </c>
    </row>
    <row r="3350" spans="1:8">
      <c r="A3350" s="30" t="s">
        <v>15620</v>
      </c>
      <c r="B3350" s="30"/>
      <c r="C3350" s="30" t="s">
        <v>8607</v>
      </c>
      <c r="D3350" s="30" t="s">
        <v>15621</v>
      </c>
      <c r="E3350" s="30" t="s">
        <v>15622</v>
      </c>
      <c r="F3350" s="30" t="s">
        <v>8672</v>
      </c>
      <c r="G3350" s="30" t="s">
        <v>8885</v>
      </c>
      <c r="H3350" s="30" t="s">
        <v>15623</v>
      </c>
    </row>
    <row r="3351" spans="1:8">
      <c r="A3351" s="30" t="s">
        <v>15624</v>
      </c>
      <c r="B3351" s="30"/>
      <c r="C3351" s="30" t="s">
        <v>8607</v>
      </c>
      <c r="D3351" s="30" t="s">
        <v>9262</v>
      </c>
      <c r="E3351" s="30"/>
      <c r="F3351" s="30"/>
      <c r="G3351" s="30" t="s">
        <v>9002</v>
      </c>
      <c r="H3351" s="30" t="s">
        <v>15625</v>
      </c>
    </row>
    <row r="3352" spans="1:8">
      <c r="A3352" s="30" t="s">
        <v>15626</v>
      </c>
      <c r="B3352" s="30"/>
      <c r="C3352" s="30" t="s">
        <v>8607</v>
      </c>
      <c r="D3352" s="30"/>
      <c r="E3352" s="30" t="s">
        <v>15627</v>
      </c>
      <c r="F3352" s="30" t="s">
        <v>8672</v>
      </c>
      <c r="G3352" s="30" t="s">
        <v>9338</v>
      </c>
      <c r="H3352" s="30" t="s">
        <v>15628</v>
      </c>
    </row>
    <row r="3353" spans="1:8">
      <c r="A3353" s="30" t="s">
        <v>15629</v>
      </c>
      <c r="B3353" s="30"/>
      <c r="C3353" s="30" t="s">
        <v>8607</v>
      </c>
      <c r="D3353" s="30" t="s">
        <v>15630</v>
      </c>
      <c r="E3353" s="30" t="s">
        <v>8929</v>
      </c>
      <c r="F3353" s="30" t="e">
        <v>#VALUE!</v>
      </c>
      <c r="G3353" s="30" t="s">
        <v>8930</v>
      </c>
      <c r="H3353" s="30" t="s">
        <v>15366</v>
      </c>
    </row>
    <row r="3354" spans="1:8">
      <c r="A3354" s="30" t="s">
        <v>15631</v>
      </c>
      <c r="B3354" s="30"/>
      <c r="C3354" s="30" t="s">
        <v>8607</v>
      </c>
      <c r="D3354" s="30"/>
      <c r="E3354" s="30"/>
      <c r="F3354" s="30"/>
      <c r="G3354" s="30" t="s">
        <v>15632</v>
      </c>
      <c r="H3354" s="30" t="s">
        <v>15633</v>
      </c>
    </row>
    <row r="3355" spans="1:8">
      <c r="A3355" s="30" t="s">
        <v>15634</v>
      </c>
      <c r="B3355" s="30"/>
      <c r="C3355" s="30" t="s">
        <v>8626</v>
      </c>
      <c r="D3355" s="30" t="s">
        <v>15635</v>
      </c>
      <c r="E3355" s="30" t="s">
        <v>15636</v>
      </c>
      <c r="F3355" s="30" t="s">
        <v>8672</v>
      </c>
      <c r="G3355" s="30" t="s">
        <v>15637</v>
      </c>
      <c r="H3355" s="30" t="s">
        <v>15638</v>
      </c>
    </row>
    <row r="3356" spans="1:8">
      <c r="A3356" s="30" t="s">
        <v>15639</v>
      </c>
      <c r="B3356" s="30"/>
      <c r="C3356" s="30" t="s">
        <v>8607</v>
      </c>
      <c r="D3356" s="30"/>
      <c r="E3356" s="30"/>
      <c r="F3356" s="30"/>
      <c r="G3356" s="30" t="s">
        <v>9657</v>
      </c>
      <c r="H3356" s="30" t="s">
        <v>15640</v>
      </c>
    </row>
    <row r="3357" spans="1:8">
      <c r="A3357" s="30" t="s">
        <v>15641</v>
      </c>
      <c r="B3357" s="30"/>
      <c r="C3357" s="30" t="s">
        <v>8607</v>
      </c>
      <c r="D3357" s="30"/>
      <c r="E3357" s="30"/>
      <c r="F3357" s="30"/>
      <c r="G3357" s="30" t="s">
        <v>9657</v>
      </c>
      <c r="H3357" s="30" t="s">
        <v>15640</v>
      </c>
    </row>
    <row r="3358" spans="1:8">
      <c r="A3358" s="30" t="s">
        <v>15642</v>
      </c>
      <c r="B3358" s="30"/>
      <c r="C3358" s="30" t="s">
        <v>8626</v>
      </c>
      <c r="D3358" s="30" t="s">
        <v>15643</v>
      </c>
      <c r="E3358" s="30" t="s">
        <v>8811</v>
      </c>
      <c r="F3358" s="30" t="e">
        <v>#VALUE!</v>
      </c>
      <c r="G3358" s="30" t="s">
        <v>8754</v>
      </c>
      <c r="H3358" s="30" t="s">
        <v>15644</v>
      </c>
    </row>
    <row r="3359" spans="1:8">
      <c r="A3359" s="30" t="s">
        <v>15645</v>
      </c>
      <c r="B3359" s="30"/>
      <c r="C3359" s="30" t="s">
        <v>8626</v>
      </c>
      <c r="D3359" s="30" t="s">
        <v>15646</v>
      </c>
      <c r="E3359" s="30" t="s">
        <v>15647</v>
      </c>
      <c r="F3359" s="30" t="s">
        <v>8672</v>
      </c>
      <c r="G3359" s="30" t="s">
        <v>9366</v>
      </c>
      <c r="H3359" s="30" t="s">
        <v>15648</v>
      </c>
    </row>
    <row r="3360" spans="1:8">
      <c r="A3360" s="30" t="s">
        <v>15649</v>
      </c>
      <c r="B3360" s="30"/>
      <c r="C3360" s="30" t="s">
        <v>8607</v>
      </c>
      <c r="D3360" s="30" t="s">
        <v>15650</v>
      </c>
      <c r="E3360" s="30" t="s">
        <v>15651</v>
      </c>
      <c r="F3360" s="30" t="s">
        <v>8672</v>
      </c>
      <c r="G3360" s="30" t="s">
        <v>14980</v>
      </c>
      <c r="H3360" s="30" t="s">
        <v>14981</v>
      </c>
    </row>
    <row r="3361" spans="1:8">
      <c r="A3361" s="30" t="s">
        <v>15652</v>
      </c>
      <c r="B3361" s="30"/>
      <c r="C3361" s="30" t="s">
        <v>8607</v>
      </c>
      <c r="D3361" s="30" t="s">
        <v>15653</v>
      </c>
      <c r="E3361" s="30" t="s">
        <v>15654</v>
      </c>
      <c r="F3361" s="30" t="s">
        <v>8672</v>
      </c>
      <c r="G3361" s="30" t="s">
        <v>15637</v>
      </c>
      <c r="H3361" s="30" t="s">
        <v>15655</v>
      </c>
    </row>
    <row r="3362" spans="1:8">
      <c r="A3362" s="30" t="s">
        <v>15656</v>
      </c>
      <c r="B3362" s="30"/>
      <c r="C3362" s="30"/>
      <c r="D3362" s="32"/>
      <c r="E3362" s="30"/>
      <c r="F3362" s="30"/>
      <c r="G3362" s="30"/>
      <c r="H3362" s="30" t="s">
        <v>15657</v>
      </c>
    </row>
    <row r="3363" spans="1:8">
      <c r="A3363" s="30" t="s">
        <v>15658</v>
      </c>
      <c r="B3363" s="30"/>
      <c r="C3363" s="30" t="s">
        <v>8607</v>
      </c>
      <c r="D3363" s="30"/>
      <c r="E3363" s="30"/>
      <c r="F3363" s="30"/>
      <c r="G3363" s="30" t="s">
        <v>13649</v>
      </c>
      <c r="H3363" s="30" t="s">
        <v>14217</v>
      </c>
    </row>
    <row r="3364" spans="1:8">
      <c r="A3364" s="30" t="s">
        <v>15659</v>
      </c>
      <c r="B3364" s="30"/>
      <c r="C3364" s="30" t="s">
        <v>8607</v>
      </c>
      <c r="D3364" s="30"/>
      <c r="E3364" s="30"/>
      <c r="F3364" s="30"/>
      <c r="G3364" s="30" t="s">
        <v>15660</v>
      </c>
      <c r="H3364" s="30" t="s">
        <v>15661</v>
      </c>
    </row>
    <row r="3365" spans="1:8">
      <c r="A3365" s="30" t="s">
        <v>15662</v>
      </c>
      <c r="B3365" s="30"/>
      <c r="C3365" s="30" t="s">
        <v>8626</v>
      </c>
      <c r="D3365" s="30" t="s">
        <v>15663</v>
      </c>
      <c r="E3365" s="30" t="s">
        <v>15664</v>
      </c>
      <c r="F3365" s="30" t="s">
        <v>8672</v>
      </c>
      <c r="G3365" s="30" t="s">
        <v>9002</v>
      </c>
      <c r="H3365" s="30" t="s">
        <v>15665</v>
      </c>
    </row>
    <row r="3366" spans="1:8">
      <c r="A3366" s="30" t="s">
        <v>15666</v>
      </c>
      <c r="B3366" s="30"/>
      <c r="C3366" s="30" t="s">
        <v>8626</v>
      </c>
      <c r="D3366" s="30"/>
      <c r="E3366" s="30"/>
      <c r="F3366" s="30"/>
      <c r="G3366" s="30"/>
      <c r="H3366" s="30" t="s">
        <v>13755</v>
      </c>
    </row>
    <row r="3367" spans="1:8">
      <c r="A3367" s="30" t="s">
        <v>15667</v>
      </c>
      <c r="B3367" s="30"/>
      <c r="C3367" s="30" t="s">
        <v>8607</v>
      </c>
      <c r="D3367" s="30" t="s">
        <v>15668</v>
      </c>
      <c r="E3367" s="30"/>
      <c r="F3367" s="30"/>
      <c r="G3367" s="30" t="s">
        <v>15669</v>
      </c>
      <c r="H3367" s="30" t="s">
        <v>15670</v>
      </c>
    </row>
    <row r="3368" spans="1:8">
      <c r="A3368" s="30" t="s">
        <v>15671</v>
      </c>
      <c r="B3368" s="30"/>
      <c r="C3368" s="30" t="s">
        <v>8626</v>
      </c>
      <c r="D3368" s="30"/>
      <c r="E3368" s="30"/>
      <c r="F3368" s="30"/>
      <c r="G3368" s="30" t="s">
        <v>8714</v>
      </c>
      <c r="H3368" s="30" t="s">
        <v>10305</v>
      </c>
    </row>
    <row r="3369" spans="1:8">
      <c r="A3369" s="30" t="s">
        <v>15672</v>
      </c>
      <c r="B3369" s="30"/>
      <c r="C3369" s="30" t="s">
        <v>8607</v>
      </c>
      <c r="D3369" s="30"/>
      <c r="E3369" s="30"/>
      <c r="F3369" s="30"/>
      <c r="G3369" s="30"/>
      <c r="H3369" s="30" t="s">
        <v>8802</v>
      </c>
    </row>
    <row r="3370" spans="1:8">
      <c r="A3370" s="30" t="s">
        <v>15673</v>
      </c>
      <c r="B3370" s="30"/>
      <c r="C3370" s="30" t="s">
        <v>8626</v>
      </c>
      <c r="D3370" s="30" t="s">
        <v>12926</v>
      </c>
      <c r="E3370" s="30" t="s">
        <v>8988</v>
      </c>
      <c r="F3370" s="30" t="s">
        <v>8618</v>
      </c>
      <c r="G3370" s="30"/>
      <c r="H3370" s="30" t="s">
        <v>15674</v>
      </c>
    </row>
    <row r="3371" spans="1:8">
      <c r="A3371" s="30" t="s">
        <v>15675</v>
      </c>
      <c r="B3371" s="30"/>
      <c r="C3371" s="30" t="s">
        <v>8607</v>
      </c>
      <c r="D3371" s="30" t="s">
        <v>9533</v>
      </c>
      <c r="E3371" s="30" t="s">
        <v>9534</v>
      </c>
      <c r="F3371" s="30" t="s">
        <v>8618</v>
      </c>
      <c r="G3371" s="30" t="s">
        <v>9535</v>
      </c>
      <c r="H3371" s="30" t="s">
        <v>13519</v>
      </c>
    </row>
    <row r="3372" spans="1:8">
      <c r="A3372" s="30" t="s">
        <v>15676</v>
      </c>
      <c r="B3372" s="30"/>
      <c r="C3372" s="30" t="s">
        <v>8607</v>
      </c>
      <c r="D3372" s="30"/>
      <c r="E3372" s="30"/>
      <c r="F3372" s="30"/>
      <c r="G3372" s="30" t="s">
        <v>8965</v>
      </c>
      <c r="H3372" s="30" t="s">
        <v>15677</v>
      </c>
    </row>
    <row r="3373" spans="1:8">
      <c r="A3373" s="30" t="s">
        <v>15678</v>
      </c>
      <c r="B3373" s="30"/>
      <c r="C3373" s="30" t="s">
        <v>8607</v>
      </c>
      <c r="D3373" s="30"/>
      <c r="E3373" s="30"/>
      <c r="F3373" s="30"/>
      <c r="G3373" s="30"/>
      <c r="H3373" s="30" t="s">
        <v>15679</v>
      </c>
    </row>
    <row r="3374" spans="1:8">
      <c r="A3374" s="30" t="s">
        <v>15680</v>
      </c>
      <c r="B3374" s="30"/>
      <c r="C3374" s="30" t="s">
        <v>8626</v>
      </c>
      <c r="D3374" s="30" t="s">
        <v>12905</v>
      </c>
      <c r="E3374" s="30" t="s">
        <v>12906</v>
      </c>
      <c r="F3374" s="30" t="s">
        <v>8618</v>
      </c>
      <c r="G3374" s="30"/>
      <c r="H3374" s="30" t="s">
        <v>12907</v>
      </c>
    </row>
    <row r="3375" spans="1:8">
      <c r="A3375" s="30" t="s">
        <v>15681</v>
      </c>
      <c r="B3375" s="30"/>
      <c r="C3375" s="30" t="s">
        <v>8626</v>
      </c>
      <c r="D3375" s="30" t="s">
        <v>15682</v>
      </c>
      <c r="E3375" s="30" t="s">
        <v>9534</v>
      </c>
      <c r="F3375" s="30" t="s">
        <v>8618</v>
      </c>
      <c r="G3375" s="30" t="s">
        <v>9535</v>
      </c>
      <c r="H3375" s="30" t="s">
        <v>15683</v>
      </c>
    </row>
    <row r="3376" spans="1:8">
      <c r="A3376" s="30" t="s">
        <v>15684</v>
      </c>
      <c r="B3376" s="30"/>
      <c r="C3376" s="30" t="s">
        <v>8626</v>
      </c>
      <c r="D3376" s="30" t="s">
        <v>15685</v>
      </c>
      <c r="E3376" s="30" t="s">
        <v>15686</v>
      </c>
      <c r="F3376" s="30" t="s">
        <v>8618</v>
      </c>
      <c r="G3376" s="30" t="s">
        <v>8989</v>
      </c>
      <c r="H3376" s="30" t="s">
        <v>15687</v>
      </c>
    </row>
    <row r="3377" spans="1:8">
      <c r="A3377" s="30" t="s">
        <v>15688</v>
      </c>
      <c r="B3377" s="30"/>
      <c r="C3377" s="30" t="s">
        <v>8626</v>
      </c>
      <c r="D3377" s="30" t="s">
        <v>10261</v>
      </c>
      <c r="E3377" s="30" t="s">
        <v>10262</v>
      </c>
      <c r="F3377" s="30" t="s">
        <v>8672</v>
      </c>
      <c r="G3377" s="30" t="s">
        <v>10234</v>
      </c>
      <c r="H3377" s="30" t="s">
        <v>15689</v>
      </c>
    </row>
    <row r="3378" spans="1:8">
      <c r="A3378" s="30" t="s">
        <v>15690</v>
      </c>
      <c r="B3378" s="30"/>
      <c r="C3378" s="30" t="s">
        <v>8607</v>
      </c>
      <c r="D3378" s="30" t="s">
        <v>9005</v>
      </c>
      <c r="E3378" s="30" t="s">
        <v>10265</v>
      </c>
      <c r="F3378" s="30" t="e">
        <v>#VALUE!</v>
      </c>
      <c r="G3378" s="30" t="s">
        <v>9007</v>
      </c>
      <c r="H3378" s="30" t="s">
        <v>10266</v>
      </c>
    </row>
    <row r="3379" spans="1:8">
      <c r="A3379" s="30" t="s">
        <v>15691</v>
      </c>
      <c r="B3379" s="30"/>
      <c r="C3379" s="30" t="s">
        <v>8626</v>
      </c>
      <c r="D3379" s="30" t="s">
        <v>12708</v>
      </c>
      <c r="E3379" s="30" t="s">
        <v>10269</v>
      </c>
      <c r="F3379" s="30" t="s">
        <v>8618</v>
      </c>
      <c r="G3379" s="30" t="s">
        <v>10234</v>
      </c>
      <c r="H3379" s="30" t="s">
        <v>10270</v>
      </c>
    </row>
    <row r="3380" spans="1:8">
      <c r="A3380" s="30" t="s">
        <v>15692</v>
      </c>
      <c r="B3380" s="30"/>
      <c r="C3380" s="30" t="s">
        <v>8607</v>
      </c>
      <c r="D3380" s="30" t="s">
        <v>14845</v>
      </c>
      <c r="E3380" s="30" t="s">
        <v>14846</v>
      </c>
      <c r="F3380" s="30" t="e">
        <v>#VALUE!</v>
      </c>
      <c r="G3380" s="30" t="s">
        <v>9476</v>
      </c>
      <c r="H3380" s="30" t="s">
        <v>14847</v>
      </c>
    </row>
    <row r="3381" spans="1:8">
      <c r="A3381" s="30" t="s">
        <v>15693</v>
      </c>
      <c r="B3381" s="30"/>
      <c r="C3381" s="30" t="s">
        <v>8607</v>
      </c>
      <c r="D3381" s="30" t="s">
        <v>12268</v>
      </c>
      <c r="E3381" s="30" t="s">
        <v>15694</v>
      </c>
      <c r="F3381" s="30" t="s">
        <v>8672</v>
      </c>
      <c r="G3381" s="30" t="s">
        <v>12270</v>
      </c>
      <c r="H3381" s="30" t="s">
        <v>12271</v>
      </c>
    </row>
    <row r="3382" spans="1:8">
      <c r="A3382" s="30" t="s">
        <v>15695</v>
      </c>
      <c r="B3382" s="30"/>
      <c r="C3382" s="30" t="s">
        <v>8626</v>
      </c>
      <c r="D3382" s="30" t="s">
        <v>15696</v>
      </c>
      <c r="E3382" s="30" t="s">
        <v>8811</v>
      </c>
      <c r="F3382" s="30" t="e">
        <v>#VALUE!</v>
      </c>
      <c r="G3382" s="30" t="s">
        <v>8754</v>
      </c>
      <c r="H3382" s="30" t="s">
        <v>15697</v>
      </c>
    </row>
    <row r="3383" spans="1:8">
      <c r="A3383" s="30" t="s">
        <v>15698</v>
      </c>
      <c r="B3383" s="30"/>
      <c r="C3383" s="30" t="s">
        <v>8607</v>
      </c>
      <c r="D3383" s="30"/>
      <c r="E3383" s="30"/>
      <c r="F3383" s="30"/>
      <c r="G3383" s="30" t="s">
        <v>15309</v>
      </c>
      <c r="H3383" s="30" t="s">
        <v>15310</v>
      </c>
    </row>
    <row r="3384" spans="1:8">
      <c r="A3384" s="30" t="s">
        <v>15699</v>
      </c>
      <c r="B3384" s="30"/>
      <c r="C3384" s="30" t="s">
        <v>8607</v>
      </c>
      <c r="D3384" s="30" t="s">
        <v>15700</v>
      </c>
      <c r="E3384" s="30" t="s">
        <v>15701</v>
      </c>
      <c r="F3384" s="30" t="s">
        <v>8618</v>
      </c>
      <c r="G3384" s="30" t="s">
        <v>15702</v>
      </c>
      <c r="H3384" s="30" t="s">
        <v>15703</v>
      </c>
    </row>
    <row r="3385" spans="1:8">
      <c r="A3385" s="30" t="s">
        <v>15704</v>
      </c>
      <c r="B3385" s="30"/>
      <c r="C3385" s="30" t="s">
        <v>8607</v>
      </c>
      <c r="D3385" s="30" t="s">
        <v>15705</v>
      </c>
      <c r="E3385" s="30"/>
      <c r="F3385" s="30"/>
      <c r="G3385" s="30" t="s">
        <v>15706</v>
      </c>
      <c r="H3385" s="30" t="s">
        <v>15707</v>
      </c>
    </row>
    <row r="3386" spans="1:8">
      <c r="A3386" s="30" t="s">
        <v>15708</v>
      </c>
      <c r="B3386" s="30"/>
      <c r="C3386" s="30" t="s">
        <v>8607</v>
      </c>
      <c r="D3386" s="30" t="s">
        <v>9174</v>
      </c>
      <c r="E3386" s="30"/>
      <c r="F3386" s="30"/>
      <c r="G3386" s="30" t="s">
        <v>9175</v>
      </c>
      <c r="H3386" s="30" t="s">
        <v>15709</v>
      </c>
    </row>
    <row r="3387" spans="1:8">
      <c r="A3387" s="30" t="s">
        <v>15710</v>
      </c>
      <c r="B3387" s="30"/>
      <c r="C3387" s="30" t="s">
        <v>8607</v>
      </c>
      <c r="D3387" s="30"/>
      <c r="E3387" s="30"/>
      <c r="F3387" s="30"/>
      <c r="G3387" s="30" t="s">
        <v>15711</v>
      </c>
      <c r="H3387" s="30" t="s">
        <v>15712</v>
      </c>
    </row>
    <row r="3388" spans="1:8">
      <c r="A3388" s="30" t="s">
        <v>15713</v>
      </c>
      <c r="B3388" s="30"/>
      <c r="C3388" s="30" t="s">
        <v>8607</v>
      </c>
      <c r="D3388" s="30" t="s">
        <v>15714</v>
      </c>
      <c r="E3388" s="30" t="s">
        <v>8845</v>
      </c>
      <c r="F3388" s="30" t="s">
        <v>8672</v>
      </c>
      <c r="G3388" s="30" t="s">
        <v>8846</v>
      </c>
      <c r="H3388" s="30" t="s">
        <v>15715</v>
      </c>
    </row>
    <row r="3389" spans="1:8">
      <c r="A3389" s="30" t="s">
        <v>15716</v>
      </c>
      <c r="B3389" s="30"/>
      <c r="C3389" s="30" t="s">
        <v>8607</v>
      </c>
      <c r="D3389" s="30" t="s">
        <v>10164</v>
      </c>
      <c r="E3389" s="30"/>
      <c r="F3389" s="30"/>
      <c r="G3389" s="30" t="s">
        <v>8814</v>
      </c>
      <c r="H3389" s="30" t="s">
        <v>15717</v>
      </c>
    </row>
    <row r="3390" spans="1:8">
      <c r="A3390" s="30" t="s">
        <v>15718</v>
      </c>
      <c r="B3390" s="30"/>
      <c r="C3390" s="30" t="s">
        <v>8607</v>
      </c>
      <c r="D3390" s="30"/>
      <c r="E3390" s="30"/>
      <c r="F3390" s="30"/>
      <c r="G3390" s="30" t="s">
        <v>15719</v>
      </c>
      <c r="H3390" s="30" t="s">
        <v>15720</v>
      </c>
    </row>
    <row r="3391" spans="1:8">
      <c r="A3391" s="30" t="s">
        <v>15721</v>
      </c>
      <c r="B3391" s="30"/>
      <c r="C3391" s="30"/>
      <c r="D3391" s="32" t="s">
        <v>15722</v>
      </c>
      <c r="E3391" s="30" t="s">
        <v>15723</v>
      </c>
      <c r="F3391" s="30" t="s">
        <v>8642</v>
      </c>
      <c r="G3391" s="30"/>
      <c r="H3391" s="30" t="s">
        <v>15724</v>
      </c>
    </row>
    <row r="3392" spans="1:8">
      <c r="A3392" s="30" t="s">
        <v>15725</v>
      </c>
      <c r="B3392" s="30"/>
      <c r="C3392" s="30" t="s">
        <v>8607</v>
      </c>
      <c r="D3392" s="30" t="s">
        <v>15726</v>
      </c>
      <c r="E3392" s="30" t="s">
        <v>15727</v>
      </c>
      <c r="F3392" s="30" t="s">
        <v>8618</v>
      </c>
      <c r="G3392" s="30" t="s">
        <v>15728</v>
      </c>
      <c r="H3392" s="30" t="s">
        <v>15729</v>
      </c>
    </row>
    <row r="3393" spans="1:8">
      <c r="A3393" s="30" t="s">
        <v>15730</v>
      </c>
      <c r="B3393" s="30"/>
      <c r="C3393" s="30" t="s">
        <v>8607</v>
      </c>
      <c r="D3393" s="30" t="s">
        <v>15731</v>
      </c>
      <c r="E3393" s="30" t="s">
        <v>15732</v>
      </c>
      <c r="F3393" s="30" t="e">
        <v>#VALUE!</v>
      </c>
      <c r="G3393" s="30"/>
      <c r="H3393" s="30" t="s">
        <v>15733</v>
      </c>
    </row>
    <row r="3394" spans="1:8">
      <c r="A3394" s="30" t="s">
        <v>15734</v>
      </c>
      <c r="B3394" s="30"/>
      <c r="C3394" s="30" t="s">
        <v>8607</v>
      </c>
      <c r="D3394" s="30" t="s">
        <v>14625</v>
      </c>
      <c r="E3394" s="30" t="s">
        <v>14626</v>
      </c>
      <c r="F3394" s="30" t="s">
        <v>8672</v>
      </c>
      <c r="G3394" s="30" t="s">
        <v>14627</v>
      </c>
      <c r="H3394" s="30" t="s">
        <v>15735</v>
      </c>
    </row>
    <row r="3395" spans="1:8">
      <c r="A3395" s="30" t="s">
        <v>15736</v>
      </c>
      <c r="B3395" s="30"/>
      <c r="C3395" s="30" t="s">
        <v>8607</v>
      </c>
      <c r="D3395" s="30"/>
      <c r="E3395" s="30"/>
      <c r="F3395" s="30"/>
      <c r="G3395" s="30"/>
      <c r="H3395" s="30" t="s">
        <v>15737</v>
      </c>
    </row>
    <row r="3396" spans="1:8">
      <c r="A3396" s="30" t="s">
        <v>15738</v>
      </c>
      <c r="B3396" s="30"/>
      <c r="C3396" s="30" t="s">
        <v>8607</v>
      </c>
      <c r="D3396" s="30"/>
      <c r="E3396" s="30"/>
      <c r="F3396" s="30"/>
      <c r="G3396" s="30" t="s">
        <v>8646</v>
      </c>
      <c r="H3396" s="30" t="s">
        <v>8647</v>
      </c>
    </row>
    <row r="3397" spans="1:8">
      <c r="A3397" s="30" t="s">
        <v>15739</v>
      </c>
      <c r="B3397" s="30"/>
      <c r="C3397" s="30" t="s">
        <v>8607</v>
      </c>
      <c r="D3397" s="30" t="s">
        <v>10434</v>
      </c>
      <c r="E3397" s="30"/>
      <c r="F3397" s="30"/>
      <c r="G3397" s="30" t="s">
        <v>8649</v>
      </c>
      <c r="H3397" s="30" t="s">
        <v>8650</v>
      </c>
    </row>
    <row r="3398" spans="1:8">
      <c r="A3398" s="30" t="s">
        <v>15740</v>
      </c>
      <c r="B3398" s="30"/>
      <c r="C3398" s="30" t="s">
        <v>8607</v>
      </c>
      <c r="D3398" s="30" t="s">
        <v>8676</v>
      </c>
      <c r="E3398" s="30" t="s">
        <v>10200</v>
      </c>
      <c r="F3398" s="30" t="e">
        <v>#VALUE!</v>
      </c>
      <c r="G3398" s="30" t="s">
        <v>8678</v>
      </c>
      <c r="H3398" s="30" t="s">
        <v>11160</v>
      </c>
    </row>
    <row r="3399" spans="1:8">
      <c r="A3399" s="30" t="s">
        <v>15741</v>
      </c>
      <c r="B3399" s="30"/>
      <c r="C3399" s="30" t="s">
        <v>8607</v>
      </c>
      <c r="D3399" s="30"/>
      <c r="E3399" s="30"/>
      <c r="F3399" s="30"/>
      <c r="G3399" s="30" t="s">
        <v>8729</v>
      </c>
      <c r="H3399" s="30" t="s">
        <v>10195</v>
      </c>
    </row>
    <row r="3400" spans="1:8">
      <c r="A3400" s="30" t="s">
        <v>15742</v>
      </c>
      <c r="B3400" s="30"/>
      <c r="C3400" s="30" t="s">
        <v>8607</v>
      </c>
      <c r="D3400" s="30" t="s">
        <v>15743</v>
      </c>
      <c r="E3400" s="30"/>
      <c r="F3400" s="30"/>
      <c r="G3400" s="30" t="s">
        <v>9002</v>
      </c>
      <c r="H3400" s="30" t="s">
        <v>15744</v>
      </c>
    </row>
    <row r="3401" spans="1:8">
      <c r="A3401" s="30" t="s">
        <v>15745</v>
      </c>
      <c r="B3401" s="30"/>
      <c r="C3401" s="30" t="s">
        <v>8607</v>
      </c>
      <c r="D3401" s="30"/>
      <c r="E3401" s="30"/>
      <c r="F3401" s="30"/>
      <c r="G3401" s="30"/>
      <c r="H3401" s="30" t="s">
        <v>15746</v>
      </c>
    </row>
    <row r="3402" spans="1:8">
      <c r="A3402" s="30" t="s">
        <v>15747</v>
      </c>
      <c r="B3402" s="30"/>
      <c r="C3402" s="30" t="s">
        <v>8607</v>
      </c>
      <c r="D3402" s="30" t="s">
        <v>9471</v>
      </c>
      <c r="E3402" s="30" t="s">
        <v>15748</v>
      </c>
      <c r="F3402" s="30" t="e">
        <v>#VALUE!</v>
      </c>
      <c r="G3402" s="30" t="s">
        <v>9473</v>
      </c>
      <c r="H3402" s="30" t="s">
        <v>13132</v>
      </c>
    </row>
    <row r="3403" spans="1:8">
      <c r="A3403" s="30" t="s">
        <v>15749</v>
      </c>
      <c r="B3403" s="30"/>
      <c r="C3403" s="30" t="s">
        <v>8607</v>
      </c>
      <c r="D3403" s="30" t="s">
        <v>15750</v>
      </c>
      <c r="E3403" s="30"/>
      <c r="F3403" s="30"/>
      <c r="G3403" s="30" t="s">
        <v>15751</v>
      </c>
      <c r="H3403" s="30" t="s">
        <v>15752</v>
      </c>
    </row>
    <row r="3404" spans="1:8">
      <c r="A3404" s="30" t="s">
        <v>15753</v>
      </c>
      <c r="B3404" s="30"/>
      <c r="C3404" s="30" t="s">
        <v>8607</v>
      </c>
      <c r="D3404" s="30" t="s">
        <v>8789</v>
      </c>
      <c r="E3404" s="30"/>
      <c r="F3404" s="30"/>
      <c r="G3404" s="30" t="s">
        <v>8633</v>
      </c>
      <c r="H3404" s="30" t="s">
        <v>11987</v>
      </c>
    </row>
    <row r="3405" spans="1:8">
      <c r="A3405" s="30" t="s">
        <v>15754</v>
      </c>
      <c r="B3405" s="30"/>
      <c r="C3405" s="30" t="s">
        <v>8626</v>
      </c>
      <c r="D3405" s="30" t="s">
        <v>15755</v>
      </c>
      <c r="E3405" s="30" t="s">
        <v>10401</v>
      </c>
      <c r="F3405" s="30" t="s">
        <v>8618</v>
      </c>
      <c r="G3405" s="30"/>
      <c r="H3405" s="30" t="s">
        <v>10402</v>
      </c>
    </row>
    <row r="3406" spans="1:8">
      <c r="A3406" s="30" t="s">
        <v>15756</v>
      </c>
      <c r="B3406" s="30"/>
      <c r="C3406" s="30" t="s">
        <v>8607</v>
      </c>
      <c r="D3406" s="30" t="s">
        <v>10404</v>
      </c>
      <c r="E3406" s="30" t="s">
        <v>10405</v>
      </c>
      <c r="F3406" s="30" t="s">
        <v>8618</v>
      </c>
      <c r="G3406" s="30" t="s">
        <v>8943</v>
      </c>
      <c r="H3406" s="30" t="s">
        <v>11229</v>
      </c>
    </row>
    <row r="3407" spans="1:8">
      <c r="A3407" s="30" t="s">
        <v>15757</v>
      </c>
      <c r="B3407" s="30"/>
      <c r="C3407" s="30" t="s">
        <v>8607</v>
      </c>
      <c r="D3407" s="30" t="s">
        <v>10377</v>
      </c>
      <c r="E3407" s="30"/>
      <c r="F3407" s="30"/>
      <c r="G3407" s="30" t="s">
        <v>8737</v>
      </c>
      <c r="H3407" s="30" t="s">
        <v>11224</v>
      </c>
    </row>
    <row r="3408" spans="1:8">
      <c r="A3408" s="30" t="s">
        <v>15758</v>
      </c>
      <c r="B3408" s="30"/>
      <c r="C3408" s="30" t="s">
        <v>8607</v>
      </c>
      <c r="D3408" s="30"/>
      <c r="E3408" s="30"/>
      <c r="F3408" s="30"/>
      <c r="G3408" s="30" t="s">
        <v>14413</v>
      </c>
      <c r="H3408" s="30" t="s">
        <v>15175</v>
      </c>
    </row>
    <row r="3409" spans="1:8">
      <c r="A3409" s="30" t="s">
        <v>15759</v>
      </c>
      <c r="B3409" s="30"/>
      <c r="C3409" s="30" t="s">
        <v>8607</v>
      </c>
      <c r="D3409" s="30" t="s">
        <v>14182</v>
      </c>
      <c r="E3409" s="30" t="s">
        <v>11374</v>
      </c>
      <c r="F3409" s="30" t="s">
        <v>8672</v>
      </c>
      <c r="G3409" s="30" t="s">
        <v>11375</v>
      </c>
      <c r="H3409" s="30" t="s">
        <v>14417</v>
      </c>
    </row>
    <row r="3410" spans="1:8">
      <c r="A3410" s="30" t="s">
        <v>15760</v>
      </c>
      <c r="B3410" s="30"/>
      <c r="C3410" s="30" t="s">
        <v>8607</v>
      </c>
      <c r="D3410" s="30"/>
      <c r="E3410" s="30"/>
      <c r="F3410" s="30"/>
      <c r="G3410" s="30" t="s">
        <v>14413</v>
      </c>
      <c r="H3410" s="30" t="s">
        <v>15175</v>
      </c>
    </row>
    <row r="3411" spans="1:8">
      <c r="A3411" s="30" t="s">
        <v>15761</v>
      </c>
      <c r="B3411" s="30"/>
      <c r="C3411" s="30" t="s">
        <v>8607</v>
      </c>
      <c r="D3411" s="30" t="s">
        <v>14182</v>
      </c>
      <c r="E3411" s="30" t="s">
        <v>11374</v>
      </c>
      <c r="F3411" s="30" t="s">
        <v>8672</v>
      </c>
      <c r="G3411" s="30" t="s">
        <v>11375</v>
      </c>
      <c r="H3411" s="30" t="s">
        <v>14417</v>
      </c>
    </row>
    <row r="3412" spans="1:8">
      <c r="A3412" s="30" t="s">
        <v>15762</v>
      </c>
      <c r="B3412" s="30"/>
      <c r="C3412" s="30" t="s">
        <v>8607</v>
      </c>
      <c r="D3412" s="30" t="s">
        <v>15763</v>
      </c>
      <c r="E3412" s="30" t="s">
        <v>15764</v>
      </c>
      <c r="F3412" s="30" t="s">
        <v>8672</v>
      </c>
      <c r="G3412" s="30" t="s">
        <v>13882</v>
      </c>
      <c r="H3412" s="30" t="s">
        <v>15765</v>
      </c>
    </row>
    <row r="3413" spans="1:8">
      <c r="A3413" s="30" t="s">
        <v>15766</v>
      </c>
      <c r="B3413" s="30"/>
      <c r="C3413" s="30" t="s">
        <v>8607</v>
      </c>
      <c r="D3413" s="30" t="s">
        <v>9560</v>
      </c>
      <c r="E3413" s="30" t="s">
        <v>15767</v>
      </c>
      <c r="F3413" s="30" t="s">
        <v>8618</v>
      </c>
      <c r="G3413" s="30" t="s">
        <v>15768</v>
      </c>
      <c r="H3413" s="30" t="s">
        <v>15769</v>
      </c>
    </row>
    <row r="3414" spans="1:8">
      <c r="A3414" s="30" t="s">
        <v>15770</v>
      </c>
      <c r="B3414" s="30"/>
      <c r="C3414" s="30" t="s">
        <v>8607</v>
      </c>
      <c r="D3414" s="30" t="s">
        <v>9907</v>
      </c>
      <c r="E3414" s="30" t="s">
        <v>8850</v>
      </c>
      <c r="F3414" s="30" t="s">
        <v>8672</v>
      </c>
      <c r="G3414" s="30" t="s">
        <v>8851</v>
      </c>
      <c r="H3414" s="30" t="s">
        <v>15771</v>
      </c>
    </row>
    <row r="3415" spans="1:8">
      <c r="A3415" s="30" t="s">
        <v>15772</v>
      </c>
      <c r="B3415" s="30"/>
      <c r="C3415" s="30" t="s">
        <v>8607</v>
      </c>
      <c r="D3415" s="30"/>
      <c r="E3415" s="30"/>
      <c r="F3415" s="30"/>
      <c r="G3415" s="30" t="s">
        <v>8729</v>
      </c>
      <c r="H3415" s="30" t="s">
        <v>10195</v>
      </c>
    </row>
    <row r="3416" spans="1:8">
      <c r="A3416" s="30" t="s">
        <v>15773</v>
      </c>
      <c r="B3416" s="30"/>
      <c r="C3416" s="30" t="s">
        <v>8607</v>
      </c>
      <c r="D3416" s="30"/>
      <c r="E3416" s="30" t="s">
        <v>10712</v>
      </c>
      <c r="F3416" s="30" t="e">
        <v>#VALUE!</v>
      </c>
      <c r="G3416" s="30" t="s">
        <v>8678</v>
      </c>
      <c r="H3416" s="30" t="s">
        <v>10475</v>
      </c>
    </row>
    <row r="3417" spans="1:8">
      <c r="A3417" s="30" t="s">
        <v>15774</v>
      </c>
      <c r="B3417" s="30"/>
      <c r="C3417" s="30" t="s">
        <v>8607</v>
      </c>
      <c r="D3417" s="30"/>
      <c r="E3417" s="30"/>
      <c r="F3417" s="30"/>
      <c r="G3417" s="30" t="s">
        <v>8681</v>
      </c>
      <c r="H3417" s="30" t="s">
        <v>15775</v>
      </c>
    </row>
    <row r="3418" spans="1:8">
      <c r="A3418" s="30" t="s">
        <v>15776</v>
      </c>
      <c r="B3418" s="30"/>
      <c r="C3418" s="30" t="s">
        <v>8626</v>
      </c>
      <c r="D3418" s="30" t="s">
        <v>8689</v>
      </c>
      <c r="E3418" s="30" t="s">
        <v>10191</v>
      </c>
      <c r="F3418" s="30" t="e">
        <v>#VALUE!</v>
      </c>
      <c r="G3418" s="30" t="s">
        <v>8691</v>
      </c>
      <c r="H3418" s="30" t="s">
        <v>10192</v>
      </c>
    </row>
    <row r="3419" spans="1:8">
      <c r="A3419" s="30" t="s">
        <v>15777</v>
      </c>
      <c r="B3419" s="30"/>
      <c r="C3419" s="30" t="s">
        <v>8607</v>
      </c>
      <c r="D3419" s="30" t="s">
        <v>14267</v>
      </c>
      <c r="E3419" s="30"/>
      <c r="F3419" s="30"/>
      <c r="G3419" s="30" t="s">
        <v>14268</v>
      </c>
      <c r="H3419" s="30" t="s">
        <v>14269</v>
      </c>
    </row>
    <row r="3420" spans="1:8">
      <c r="A3420" s="30" t="s">
        <v>15778</v>
      </c>
      <c r="B3420" s="30"/>
      <c r="C3420" s="30" t="s">
        <v>8607</v>
      </c>
      <c r="D3420" s="30"/>
      <c r="E3420" s="30"/>
      <c r="F3420" s="30"/>
      <c r="G3420" s="30"/>
      <c r="H3420" s="30" t="s">
        <v>14820</v>
      </c>
    </row>
    <row r="3421" spans="1:8">
      <c r="A3421" s="30" t="s">
        <v>15779</v>
      </c>
      <c r="B3421" s="30"/>
      <c r="C3421" s="30" t="s">
        <v>8607</v>
      </c>
      <c r="D3421" s="30"/>
      <c r="E3421" s="30" t="s">
        <v>15780</v>
      </c>
      <c r="F3421" s="30" t="e">
        <v>#VALUE!</v>
      </c>
      <c r="G3421" s="30"/>
      <c r="H3421" s="30" t="s">
        <v>15781</v>
      </c>
    </row>
    <row r="3422" spans="1:8">
      <c r="A3422" s="30" t="s">
        <v>15782</v>
      </c>
      <c r="B3422" s="30"/>
      <c r="C3422" s="30" t="s">
        <v>8607</v>
      </c>
      <c r="D3422" s="30" t="s">
        <v>8707</v>
      </c>
      <c r="E3422" s="30"/>
      <c r="F3422" s="30"/>
      <c r="G3422" s="30" t="s">
        <v>8708</v>
      </c>
      <c r="H3422" s="30" t="s">
        <v>15153</v>
      </c>
    </row>
    <row r="3423" spans="1:8">
      <c r="A3423" s="30" t="s">
        <v>15783</v>
      </c>
      <c r="B3423" s="30"/>
      <c r="C3423" s="30" t="s">
        <v>8607</v>
      </c>
      <c r="D3423" s="30" t="s">
        <v>15784</v>
      </c>
      <c r="E3423" s="30" t="s">
        <v>9377</v>
      </c>
      <c r="F3423" s="30" t="s">
        <v>8672</v>
      </c>
      <c r="G3423" s="30" t="s">
        <v>9378</v>
      </c>
      <c r="H3423" s="30" t="s">
        <v>15128</v>
      </c>
    </row>
    <row r="3424" spans="1:8">
      <c r="A3424" s="30" t="s">
        <v>15785</v>
      </c>
      <c r="B3424" s="30"/>
      <c r="C3424" s="30" t="s">
        <v>8607</v>
      </c>
      <c r="D3424" s="30" t="s">
        <v>15786</v>
      </c>
      <c r="E3424" s="30"/>
      <c r="F3424" s="30"/>
      <c r="G3424" s="30" t="s">
        <v>9543</v>
      </c>
      <c r="H3424" s="30" t="s">
        <v>15787</v>
      </c>
    </row>
    <row r="3425" spans="1:8">
      <c r="A3425" s="30" t="s">
        <v>15788</v>
      </c>
      <c r="B3425" s="30"/>
      <c r="C3425" s="30" t="s">
        <v>8607</v>
      </c>
      <c r="D3425" s="30"/>
      <c r="E3425" s="30"/>
      <c r="F3425" s="30"/>
      <c r="G3425" s="30" t="s">
        <v>14691</v>
      </c>
      <c r="H3425" s="30" t="s">
        <v>14692</v>
      </c>
    </row>
    <row r="3426" spans="1:8">
      <c r="A3426" s="30" t="s">
        <v>15789</v>
      </c>
      <c r="B3426" s="30"/>
      <c r="C3426" s="30" t="s">
        <v>8607</v>
      </c>
      <c r="D3426" s="30" t="s">
        <v>15790</v>
      </c>
      <c r="E3426" s="30" t="s">
        <v>15791</v>
      </c>
      <c r="F3426" s="30" t="s">
        <v>8672</v>
      </c>
      <c r="G3426" s="30" t="s">
        <v>9378</v>
      </c>
      <c r="H3426" s="30" t="s">
        <v>15158</v>
      </c>
    </row>
    <row r="3427" spans="1:8">
      <c r="A3427" s="30" t="s">
        <v>15792</v>
      </c>
      <c r="B3427" s="30"/>
      <c r="C3427" s="30" t="s">
        <v>8607</v>
      </c>
      <c r="D3427" s="30" t="s">
        <v>15793</v>
      </c>
      <c r="E3427" s="30" t="s">
        <v>15794</v>
      </c>
      <c r="F3427" s="30" t="s">
        <v>8618</v>
      </c>
      <c r="G3427" s="30" t="s">
        <v>12791</v>
      </c>
      <c r="H3427" s="30" t="s">
        <v>15030</v>
      </c>
    </row>
    <row r="3428" spans="1:8">
      <c r="A3428" s="30" t="s">
        <v>15795</v>
      </c>
      <c r="B3428" s="30"/>
      <c r="C3428" s="30" t="s">
        <v>8607</v>
      </c>
      <c r="D3428" s="30"/>
      <c r="E3428" s="30"/>
      <c r="F3428" s="30"/>
      <c r="G3428" s="30"/>
      <c r="H3428" s="30" t="s">
        <v>15032</v>
      </c>
    </row>
    <row r="3429" spans="1:8">
      <c r="A3429" s="30" t="s">
        <v>15796</v>
      </c>
      <c r="B3429" s="30"/>
      <c r="C3429" s="30" t="s">
        <v>8607</v>
      </c>
      <c r="D3429" s="30" t="s">
        <v>9202</v>
      </c>
      <c r="E3429" s="30" t="s">
        <v>15797</v>
      </c>
      <c r="F3429" s="30" t="e">
        <v>#VALUE!</v>
      </c>
      <c r="G3429" s="30" t="s">
        <v>8691</v>
      </c>
      <c r="H3429" s="30" t="s">
        <v>15798</v>
      </c>
    </row>
    <row r="3430" spans="1:8">
      <c r="A3430" s="30" t="s">
        <v>15799</v>
      </c>
      <c r="B3430" s="30"/>
      <c r="C3430" s="30"/>
      <c r="D3430" s="32"/>
      <c r="E3430" s="30"/>
      <c r="F3430" s="30"/>
      <c r="G3430" s="30"/>
      <c r="H3430" s="30" t="s">
        <v>10337</v>
      </c>
    </row>
    <row r="3431" spans="1:8">
      <c r="A3431" s="30" t="s">
        <v>15800</v>
      </c>
      <c r="B3431" s="30"/>
      <c r="C3431" s="30" t="s">
        <v>8626</v>
      </c>
      <c r="D3431" s="30"/>
      <c r="E3431" s="30" t="s">
        <v>10214</v>
      </c>
      <c r="F3431" s="30" t="e">
        <v>#VALUE!</v>
      </c>
      <c r="G3431" s="30" t="s">
        <v>8714</v>
      </c>
      <c r="H3431" s="30" t="s">
        <v>10305</v>
      </c>
    </row>
    <row r="3432" spans="1:8">
      <c r="A3432" s="30" t="s">
        <v>15801</v>
      </c>
      <c r="B3432" s="30"/>
      <c r="C3432" s="30" t="s">
        <v>8607</v>
      </c>
      <c r="D3432" s="30" t="s">
        <v>8707</v>
      </c>
      <c r="E3432" s="30"/>
      <c r="F3432" s="30"/>
      <c r="G3432" s="30" t="s">
        <v>8708</v>
      </c>
      <c r="H3432" s="30" t="s">
        <v>10542</v>
      </c>
    </row>
    <row r="3433" spans="1:8">
      <c r="A3433" s="30" t="s">
        <v>15802</v>
      </c>
      <c r="B3433" s="30"/>
      <c r="C3433" s="30" t="s">
        <v>8607</v>
      </c>
      <c r="D3433" s="30"/>
      <c r="E3433" s="30"/>
      <c r="F3433" s="30"/>
      <c r="G3433" s="30" t="s">
        <v>8717</v>
      </c>
      <c r="H3433" s="30" t="s">
        <v>10344</v>
      </c>
    </row>
    <row r="3434" spans="1:8">
      <c r="A3434" s="30" t="s">
        <v>15803</v>
      </c>
      <c r="B3434" s="30"/>
      <c r="C3434" s="30" t="s">
        <v>8626</v>
      </c>
      <c r="D3434" s="30"/>
      <c r="E3434" s="30"/>
      <c r="F3434" s="30"/>
      <c r="G3434" s="30" t="s">
        <v>10220</v>
      </c>
      <c r="H3434" s="30" t="s">
        <v>10278</v>
      </c>
    </row>
    <row r="3435" spans="1:8">
      <c r="A3435" s="30" t="s">
        <v>15804</v>
      </c>
      <c r="B3435" s="30"/>
      <c r="C3435" s="30" t="s">
        <v>8626</v>
      </c>
      <c r="D3435" s="30" t="s">
        <v>12708</v>
      </c>
      <c r="E3435" s="30" t="s">
        <v>11904</v>
      </c>
      <c r="F3435" s="30" t="s">
        <v>8618</v>
      </c>
      <c r="G3435" s="30" t="s">
        <v>10234</v>
      </c>
      <c r="H3435" s="30" t="s">
        <v>15805</v>
      </c>
    </row>
    <row r="3436" spans="1:8">
      <c r="A3436" s="30" t="s">
        <v>15806</v>
      </c>
      <c r="B3436" s="30"/>
      <c r="C3436" s="30" t="s">
        <v>8607</v>
      </c>
      <c r="D3436" s="30" t="s">
        <v>8894</v>
      </c>
      <c r="E3436" s="30"/>
      <c r="F3436" s="30"/>
      <c r="G3436" s="30" t="s">
        <v>8895</v>
      </c>
      <c r="H3436" s="30" t="s">
        <v>10991</v>
      </c>
    </row>
    <row r="3437" spans="1:8">
      <c r="A3437" s="30" t="s">
        <v>15807</v>
      </c>
      <c r="B3437" s="30"/>
      <c r="C3437" s="30" t="s">
        <v>8626</v>
      </c>
      <c r="D3437" s="30"/>
      <c r="E3437" s="30"/>
      <c r="F3437" s="30"/>
      <c r="G3437" s="30" t="s">
        <v>8623</v>
      </c>
      <c r="H3437" s="30" t="s">
        <v>11900</v>
      </c>
    </row>
    <row r="3438" spans="1:8">
      <c r="A3438" s="30" t="s">
        <v>15808</v>
      </c>
      <c r="B3438" s="30"/>
      <c r="C3438" s="30" t="s">
        <v>8607</v>
      </c>
      <c r="D3438" s="30" t="s">
        <v>15809</v>
      </c>
      <c r="E3438" s="30" t="s">
        <v>15810</v>
      </c>
      <c r="F3438" s="30" t="s">
        <v>8672</v>
      </c>
      <c r="G3438" s="30" t="s">
        <v>15811</v>
      </c>
      <c r="H3438" s="30" t="s">
        <v>15812</v>
      </c>
    </row>
    <row r="3439" spans="1:8">
      <c r="A3439" s="30" t="s">
        <v>15813</v>
      </c>
      <c r="B3439" s="30"/>
      <c r="C3439" s="30" t="s">
        <v>8607</v>
      </c>
      <c r="D3439" s="30"/>
      <c r="E3439" s="30"/>
      <c r="F3439" s="30"/>
      <c r="G3439" s="30"/>
      <c r="H3439" s="30" t="s">
        <v>15814</v>
      </c>
    </row>
    <row r="3440" spans="1:8">
      <c r="A3440" s="30" t="s">
        <v>15815</v>
      </c>
      <c r="B3440" s="30"/>
      <c r="C3440" s="30" t="s">
        <v>8626</v>
      </c>
      <c r="D3440" s="30" t="s">
        <v>15816</v>
      </c>
      <c r="E3440" s="30" t="s">
        <v>10037</v>
      </c>
      <c r="F3440" s="30" t="s">
        <v>8618</v>
      </c>
      <c r="G3440" s="30" t="s">
        <v>13916</v>
      </c>
      <c r="H3440" s="30" t="s">
        <v>15817</v>
      </c>
    </row>
    <row r="3441" spans="1:8">
      <c r="A3441" s="30" t="s">
        <v>15818</v>
      </c>
      <c r="B3441" s="30"/>
      <c r="C3441" s="30" t="s">
        <v>8607</v>
      </c>
      <c r="D3441" s="30"/>
      <c r="E3441" s="30"/>
      <c r="F3441" s="30"/>
      <c r="G3441" s="30"/>
      <c r="H3441" s="30" t="s">
        <v>15819</v>
      </c>
    </row>
    <row r="3442" spans="1:8">
      <c r="A3442" s="30" t="s">
        <v>15820</v>
      </c>
      <c r="B3442" s="30"/>
      <c r="C3442" s="30" t="s">
        <v>8626</v>
      </c>
      <c r="D3442" s="30"/>
      <c r="E3442" s="30" t="s">
        <v>15821</v>
      </c>
      <c r="F3442" s="30" t="s">
        <v>8672</v>
      </c>
      <c r="G3442" s="30" t="s">
        <v>15822</v>
      </c>
      <c r="H3442" s="30" t="s">
        <v>15823</v>
      </c>
    </row>
    <row r="3443" spans="1:8">
      <c r="A3443" s="30" t="s">
        <v>15824</v>
      </c>
      <c r="B3443" s="30"/>
      <c r="C3443" s="30" t="s">
        <v>8607</v>
      </c>
      <c r="D3443" s="30"/>
      <c r="E3443" s="30"/>
      <c r="F3443" s="30"/>
      <c r="G3443" s="30"/>
      <c r="H3443" s="30" t="s">
        <v>15825</v>
      </c>
    </row>
    <row r="3444" spans="1:8">
      <c r="A3444" s="30" t="s">
        <v>15826</v>
      </c>
      <c r="B3444" s="30"/>
      <c r="C3444" s="30" t="s">
        <v>8607</v>
      </c>
      <c r="D3444" s="30"/>
      <c r="E3444" s="30"/>
      <c r="F3444" s="30"/>
      <c r="G3444" s="30"/>
      <c r="H3444" s="30" t="s">
        <v>15827</v>
      </c>
    </row>
    <row r="3445" spans="1:8">
      <c r="A3445" s="30" t="s">
        <v>15828</v>
      </c>
      <c r="B3445" s="30"/>
      <c r="C3445" s="30" t="s">
        <v>8607</v>
      </c>
      <c r="D3445" s="30" t="s">
        <v>11963</v>
      </c>
      <c r="E3445" s="30" t="s">
        <v>15829</v>
      </c>
      <c r="F3445" s="30" t="s">
        <v>8672</v>
      </c>
      <c r="G3445" s="30" t="s">
        <v>9913</v>
      </c>
      <c r="H3445" s="30" t="s">
        <v>13819</v>
      </c>
    </row>
    <row r="3446" spans="1:8">
      <c r="A3446" s="30" t="s">
        <v>15830</v>
      </c>
      <c r="B3446" s="30"/>
      <c r="C3446" s="30" t="s">
        <v>8607</v>
      </c>
      <c r="D3446" s="30" t="s">
        <v>10667</v>
      </c>
      <c r="E3446" s="30" t="s">
        <v>15831</v>
      </c>
      <c r="F3446" s="30" t="s">
        <v>8618</v>
      </c>
      <c r="G3446" s="30" t="s">
        <v>10668</v>
      </c>
      <c r="H3446" s="30" t="s">
        <v>14535</v>
      </c>
    </row>
    <row r="3447" spans="1:8">
      <c r="A3447" s="30" t="s">
        <v>15832</v>
      </c>
      <c r="B3447" s="30"/>
      <c r="C3447" s="30" t="s">
        <v>8607</v>
      </c>
      <c r="D3447" s="30"/>
      <c r="E3447" s="30"/>
      <c r="F3447" s="30"/>
      <c r="G3447" s="30" t="s">
        <v>13821</v>
      </c>
      <c r="H3447" s="30" t="s">
        <v>14806</v>
      </c>
    </row>
    <row r="3448" spans="1:8">
      <c r="A3448" s="30" t="s">
        <v>15833</v>
      </c>
      <c r="B3448" s="30"/>
      <c r="C3448" s="30" t="s">
        <v>8607</v>
      </c>
      <c r="D3448" s="30"/>
      <c r="E3448" s="30"/>
      <c r="F3448" s="30"/>
      <c r="G3448" s="30"/>
      <c r="H3448" s="30" t="s">
        <v>14738</v>
      </c>
    </row>
    <row r="3449" spans="1:8">
      <c r="A3449" s="30" t="s">
        <v>15834</v>
      </c>
      <c r="B3449" s="30"/>
      <c r="C3449" s="30" t="s">
        <v>8607</v>
      </c>
      <c r="D3449" s="30"/>
      <c r="E3449" s="30"/>
      <c r="F3449" s="30"/>
      <c r="G3449" s="30" t="s">
        <v>13824</v>
      </c>
      <c r="H3449" s="30" t="s">
        <v>13825</v>
      </c>
    </row>
    <row r="3450" spans="1:8">
      <c r="A3450" s="30" t="s">
        <v>15835</v>
      </c>
      <c r="B3450" s="30"/>
      <c r="C3450" s="30" t="s">
        <v>8626</v>
      </c>
      <c r="D3450" s="30"/>
      <c r="E3450" s="30"/>
      <c r="F3450" s="30"/>
      <c r="G3450" s="30"/>
      <c r="H3450" s="30" t="s">
        <v>15836</v>
      </c>
    </row>
    <row r="3451" spans="1:8">
      <c r="A3451" s="30" t="s">
        <v>15837</v>
      </c>
      <c r="B3451" s="30"/>
      <c r="C3451" s="30" t="s">
        <v>8607</v>
      </c>
      <c r="D3451" s="30"/>
      <c r="E3451" s="30"/>
      <c r="F3451" s="30"/>
      <c r="G3451" s="30" t="s">
        <v>9844</v>
      </c>
      <c r="H3451" s="30" t="s">
        <v>15838</v>
      </c>
    </row>
    <row r="3452" spans="1:8">
      <c r="A3452" s="30" t="s">
        <v>15839</v>
      </c>
      <c r="B3452" s="30"/>
      <c r="C3452" s="30" t="s">
        <v>8607</v>
      </c>
      <c r="D3452" s="30"/>
      <c r="E3452" s="30"/>
      <c r="F3452" s="30"/>
      <c r="G3452" s="30" t="s">
        <v>9847</v>
      </c>
      <c r="H3452" s="30" t="s">
        <v>13183</v>
      </c>
    </row>
    <row r="3453" spans="1:8">
      <c r="A3453" s="30" t="s">
        <v>15840</v>
      </c>
      <c r="B3453" s="30"/>
      <c r="C3453" s="30" t="s">
        <v>8607</v>
      </c>
      <c r="D3453" s="30" t="s">
        <v>8968</v>
      </c>
      <c r="E3453" s="30" t="s">
        <v>15841</v>
      </c>
      <c r="F3453" s="30" t="e">
        <v>#VALUE!</v>
      </c>
      <c r="G3453" s="30" t="s">
        <v>8774</v>
      </c>
      <c r="H3453" s="30" t="s">
        <v>15842</v>
      </c>
    </row>
    <row r="3454" spans="1:8">
      <c r="A3454" s="30" t="s">
        <v>15843</v>
      </c>
      <c r="B3454" s="30"/>
      <c r="C3454" s="30" t="s">
        <v>8626</v>
      </c>
      <c r="D3454" s="30" t="s">
        <v>9282</v>
      </c>
      <c r="E3454" s="30" t="s">
        <v>15844</v>
      </c>
      <c r="F3454" s="30" t="e">
        <v>#VALUE!</v>
      </c>
      <c r="G3454" s="30" t="s">
        <v>8975</v>
      </c>
      <c r="H3454" s="30" t="s">
        <v>15845</v>
      </c>
    </row>
    <row r="3455" spans="1:8">
      <c r="A3455" s="30" t="s">
        <v>15846</v>
      </c>
      <c r="B3455" s="30"/>
      <c r="C3455" s="30"/>
      <c r="D3455" s="32"/>
      <c r="E3455" s="30"/>
      <c r="F3455" s="30"/>
      <c r="G3455" s="30"/>
      <c r="H3455" s="30" t="s">
        <v>15847</v>
      </c>
    </row>
    <row r="3456" spans="1:8">
      <c r="A3456" s="30" t="s">
        <v>15848</v>
      </c>
      <c r="B3456" s="30"/>
      <c r="C3456" s="30" t="s">
        <v>8607</v>
      </c>
      <c r="D3456" s="30" t="s">
        <v>8894</v>
      </c>
      <c r="E3456" s="30"/>
      <c r="F3456" s="30"/>
      <c r="G3456" s="30" t="s">
        <v>8895</v>
      </c>
      <c r="H3456" s="30" t="s">
        <v>15849</v>
      </c>
    </row>
    <row r="3457" spans="1:8">
      <c r="A3457" s="30" t="s">
        <v>15850</v>
      </c>
      <c r="B3457" s="30"/>
      <c r="C3457" s="30" t="s">
        <v>8607</v>
      </c>
      <c r="D3457" s="30" t="s">
        <v>8632</v>
      </c>
      <c r="E3457" s="30"/>
      <c r="F3457" s="30"/>
      <c r="G3457" s="30" t="s">
        <v>8633</v>
      </c>
      <c r="H3457" s="30" t="s">
        <v>13734</v>
      </c>
    </row>
    <row r="3458" spans="1:8">
      <c r="A3458" s="30" t="s">
        <v>15851</v>
      </c>
      <c r="B3458" s="30"/>
      <c r="C3458" s="30" t="s">
        <v>8607</v>
      </c>
      <c r="D3458" s="30"/>
      <c r="E3458" s="30"/>
      <c r="F3458" s="30"/>
      <c r="G3458" s="30" t="s">
        <v>15852</v>
      </c>
      <c r="H3458" s="30" t="s">
        <v>15853</v>
      </c>
    </row>
    <row r="3459" spans="1:8">
      <c r="A3459" s="30" t="s">
        <v>15854</v>
      </c>
      <c r="B3459" s="30"/>
      <c r="C3459" s="30" t="s">
        <v>8607</v>
      </c>
      <c r="D3459" s="30" t="s">
        <v>10377</v>
      </c>
      <c r="E3459" s="30"/>
      <c r="F3459" s="30"/>
      <c r="G3459" s="30" t="s">
        <v>8737</v>
      </c>
      <c r="H3459" s="30" t="s">
        <v>15855</v>
      </c>
    </row>
    <row r="3460" spans="1:8">
      <c r="A3460" s="30" t="s">
        <v>15856</v>
      </c>
      <c r="B3460" s="30"/>
      <c r="C3460" s="30" t="s">
        <v>8607</v>
      </c>
      <c r="D3460" s="30" t="s">
        <v>9034</v>
      </c>
      <c r="E3460" s="30"/>
      <c r="F3460" s="30"/>
      <c r="G3460" s="30" t="s">
        <v>8667</v>
      </c>
      <c r="H3460" s="30" t="s">
        <v>9035</v>
      </c>
    </row>
    <row r="3461" spans="1:8">
      <c r="A3461" s="30" t="s">
        <v>15857</v>
      </c>
      <c r="B3461" s="30"/>
      <c r="C3461" s="30" t="s">
        <v>8607</v>
      </c>
      <c r="D3461" s="30"/>
      <c r="E3461" s="30"/>
      <c r="F3461" s="30"/>
      <c r="G3461" s="30" t="s">
        <v>8711</v>
      </c>
      <c r="H3461" s="30" t="s">
        <v>14880</v>
      </c>
    </row>
    <row r="3462" spans="1:8">
      <c r="A3462" s="30" t="s">
        <v>15858</v>
      </c>
      <c r="B3462" s="30"/>
      <c r="C3462" s="30" t="s">
        <v>8607</v>
      </c>
      <c r="D3462" s="30"/>
      <c r="E3462" s="30"/>
      <c r="F3462" s="30"/>
      <c r="G3462" s="30" t="s">
        <v>13274</v>
      </c>
      <c r="H3462" s="30" t="s">
        <v>13275</v>
      </c>
    </row>
    <row r="3463" spans="1:8">
      <c r="A3463" s="30" t="s">
        <v>15859</v>
      </c>
      <c r="B3463" s="30"/>
      <c r="C3463" s="30" t="s">
        <v>8607</v>
      </c>
      <c r="D3463" s="30" t="s">
        <v>9069</v>
      </c>
      <c r="E3463" s="30" t="s">
        <v>15860</v>
      </c>
      <c r="F3463" s="30" t="s">
        <v>8672</v>
      </c>
      <c r="G3463" s="30" t="s">
        <v>9071</v>
      </c>
      <c r="H3463" s="30" t="s">
        <v>9280</v>
      </c>
    </row>
    <row r="3464" spans="1:8">
      <c r="A3464" s="30" t="s">
        <v>15861</v>
      </c>
      <c r="B3464" s="30"/>
      <c r="C3464" s="30" t="s">
        <v>8607</v>
      </c>
      <c r="D3464" s="30"/>
      <c r="E3464" s="30"/>
      <c r="F3464" s="30"/>
      <c r="G3464" s="30" t="s">
        <v>15862</v>
      </c>
      <c r="H3464" s="30" t="s">
        <v>15863</v>
      </c>
    </row>
    <row r="3465" spans="1:8">
      <c r="A3465" s="30" t="s">
        <v>15864</v>
      </c>
      <c r="B3465" s="30"/>
      <c r="C3465" s="30" t="s">
        <v>8626</v>
      </c>
      <c r="D3465" s="30" t="s">
        <v>15865</v>
      </c>
      <c r="E3465" s="30" t="s">
        <v>15866</v>
      </c>
      <c r="F3465" s="30" t="s">
        <v>8618</v>
      </c>
      <c r="G3465" s="30" t="s">
        <v>10928</v>
      </c>
      <c r="H3465" s="30" t="s">
        <v>15867</v>
      </c>
    </row>
    <row r="3466" spans="1:8">
      <c r="A3466" s="30" t="s">
        <v>15868</v>
      </c>
      <c r="B3466" s="30"/>
      <c r="C3466" s="30" t="s">
        <v>8607</v>
      </c>
      <c r="D3466" s="30"/>
      <c r="E3466" s="30"/>
      <c r="F3466" s="30"/>
      <c r="G3466" s="30" t="s">
        <v>14865</v>
      </c>
      <c r="H3466" s="30" t="s">
        <v>14866</v>
      </c>
    </row>
    <row r="3467" spans="1:8">
      <c r="A3467" s="30" t="s">
        <v>15869</v>
      </c>
      <c r="B3467" s="30"/>
      <c r="C3467" s="30" t="s">
        <v>8607</v>
      </c>
      <c r="D3467" s="30" t="s">
        <v>9278</v>
      </c>
      <c r="E3467" s="30" t="s">
        <v>15860</v>
      </c>
      <c r="F3467" s="30" t="s">
        <v>8672</v>
      </c>
      <c r="G3467" s="30" t="s">
        <v>9071</v>
      </c>
      <c r="H3467" s="30" t="s">
        <v>9280</v>
      </c>
    </row>
    <row r="3468" spans="1:8">
      <c r="A3468" s="30" t="s">
        <v>15870</v>
      </c>
      <c r="B3468" s="30"/>
      <c r="C3468" s="30" t="s">
        <v>8607</v>
      </c>
      <c r="D3468" s="30"/>
      <c r="E3468" s="30"/>
      <c r="F3468" s="30"/>
      <c r="G3468" s="30" t="s">
        <v>15862</v>
      </c>
      <c r="H3468" s="30" t="s">
        <v>15863</v>
      </c>
    </row>
    <row r="3469" spans="1:8">
      <c r="A3469" s="30" t="s">
        <v>15871</v>
      </c>
      <c r="B3469" s="30"/>
      <c r="C3469" s="30" t="s">
        <v>8626</v>
      </c>
      <c r="D3469" s="30" t="s">
        <v>15865</v>
      </c>
      <c r="E3469" s="30" t="s">
        <v>15866</v>
      </c>
      <c r="F3469" s="30" t="s">
        <v>8618</v>
      </c>
      <c r="G3469" s="30" t="s">
        <v>10928</v>
      </c>
      <c r="H3469" s="30" t="s">
        <v>15867</v>
      </c>
    </row>
    <row r="3470" spans="1:8">
      <c r="A3470" s="30" t="s">
        <v>15872</v>
      </c>
      <c r="B3470" s="30"/>
      <c r="C3470" s="30" t="s">
        <v>8607</v>
      </c>
      <c r="D3470" s="30"/>
      <c r="E3470" s="30"/>
      <c r="F3470" s="30"/>
      <c r="G3470" s="30" t="s">
        <v>14865</v>
      </c>
      <c r="H3470" s="30" t="s">
        <v>14866</v>
      </c>
    </row>
    <row r="3471" spans="1:8">
      <c r="A3471" s="30" t="s">
        <v>15873</v>
      </c>
      <c r="B3471" s="30"/>
      <c r="C3471" s="30" t="s">
        <v>8607</v>
      </c>
      <c r="D3471" s="30" t="s">
        <v>15874</v>
      </c>
      <c r="E3471" s="30"/>
      <c r="F3471" s="30"/>
      <c r="G3471" s="30" t="s">
        <v>8717</v>
      </c>
      <c r="H3471" s="30" t="s">
        <v>15875</v>
      </c>
    </row>
    <row r="3472" spans="1:8">
      <c r="A3472" s="30" t="s">
        <v>15876</v>
      </c>
      <c r="B3472" s="30"/>
      <c r="C3472" s="30" t="s">
        <v>8607</v>
      </c>
      <c r="D3472" s="30"/>
      <c r="E3472" s="30"/>
      <c r="F3472" s="30"/>
      <c r="G3472" s="30"/>
      <c r="H3472" s="30" t="s">
        <v>15877</v>
      </c>
    </row>
    <row r="3473" spans="1:8">
      <c r="A3473" s="30" t="s">
        <v>15878</v>
      </c>
      <c r="B3473" s="30"/>
      <c r="C3473" s="30" t="s">
        <v>8607</v>
      </c>
      <c r="D3473" s="30"/>
      <c r="E3473" s="30"/>
      <c r="F3473" s="30"/>
      <c r="G3473" s="30"/>
      <c r="H3473" s="30" t="s">
        <v>15879</v>
      </c>
    </row>
    <row r="3474" spans="1:8">
      <c r="A3474" s="30" t="s">
        <v>15880</v>
      </c>
      <c r="B3474" s="30"/>
      <c r="C3474" s="30" t="s">
        <v>8607</v>
      </c>
      <c r="D3474" s="30" t="s">
        <v>15881</v>
      </c>
      <c r="E3474" s="30"/>
      <c r="F3474" s="30"/>
      <c r="G3474" s="30" t="s">
        <v>9209</v>
      </c>
      <c r="H3474" s="30" t="s">
        <v>15882</v>
      </c>
    </row>
    <row r="3475" spans="1:8">
      <c r="A3475" s="30" t="s">
        <v>15883</v>
      </c>
      <c r="B3475" s="30"/>
      <c r="C3475" s="30" t="s">
        <v>8607</v>
      </c>
      <c r="D3475" s="30"/>
      <c r="E3475" s="30"/>
      <c r="F3475" s="30"/>
      <c r="G3475" s="30" t="s">
        <v>8925</v>
      </c>
      <c r="H3475" s="30" t="s">
        <v>15884</v>
      </c>
    </row>
    <row r="3476" spans="1:8">
      <c r="A3476" s="30" t="s">
        <v>15885</v>
      </c>
      <c r="B3476" s="30"/>
      <c r="C3476" s="30" t="s">
        <v>8626</v>
      </c>
      <c r="D3476" s="30" t="s">
        <v>15886</v>
      </c>
      <c r="E3476" s="30" t="s">
        <v>15887</v>
      </c>
      <c r="F3476" s="30" t="s">
        <v>8618</v>
      </c>
      <c r="G3476" s="30" t="s">
        <v>15888</v>
      </c>
      <c r="H3476" s="30" t="s">
        <v>15889</v>
      </c>
    </row>
    <row r="3477" spans="1:8">
      <c r="A3477" s="30" t="s">
        <v>15890</v>
      </c>
      <c r="B3477" s="30"/>
      <c r="C3477" s="30" t="s">
        <v>8607</v>
      </c>
      <c r="D3477" s="30"/>
      <c r="E3477" s="30"/>
      <c r="F3477" s="30"/>
      <c r="G3477" s="30" t="s">
        <v>8623</v>
      </c>
      <c r="H3477" s="30" t="s">
        <v>15891</v>
      </c>
    </row>
    <row r="3478" spans="1:8">
      <c r="A3478" s="30" t="s">
        <v>15892</v>
      </c>
      <c r="B3478" s="30"/>
      <c r="C3478" s="30" t="s">
        <v>8607</v>
      </c>
      <c r="D3478" s="30" t="s">
        <v>12293</v>
      </c>
      <c r="E3478" s="30"/>
      <c r="F3478" s="30"/>
      <c r="G3478" s="30" t="s">
        <v>8667</v>
      </c>
      <c r="H3478" s="30" t="s">
        <v>15893</v>
      </c>
    </row>
    <row r="3479" spans="1:8">
      <c r="A3479" s="30" t="s">
        <v>15894</v>
      </c>
      <c r="B3479" s="30"/>
      <c r="C3479" s="30" t="s">
        <v>8626</v>
      </c>
      <c r="D3479" s="30" t="s">
        <v>9471</v>
      </c>
      <c r="E3479" s="30"/>
      <c r="F3479" s="30"/>
      <c r="G3479" s="30" t="s">
        <v>9473</v>
      </c>
      <c r="H3479" s="30" t="s">
        <v>15895</v>
      </c>
    </row>
    <row r="3480" spans="1:8">
      <c r="A3480" s="30" t="s">
        <v>15896</v>
      </c>
      <c r="B3480" s="30"/>
      <c r="C3480" s="30" t="s">
        <v>8626</v>
      </c>
      <c r="D3480" s="30" t="s">
        <v>8883</v>
      </c>
      <c r="E3480" s="30" t="s">
        <v>10307</v>
      </c>
      <c r="F3480" s="30" t="s">
        <v>8672</v>
      </c>
      <c r="G3480" s="30" t="s">
        <v>8885</v>
      </c>
      <c r="H3480" s="30" t="s">
        <v>10308</v>
      </c>
    </row>
    <row r="3481" spans="1:8">
      <c r="A3481" s="30" t="s">
        <v>15897</v>
      </c>
      <c r="B3481" s="30"/>
      <c r="C3481" s="30" t="s">
        <v>8607</v>
      </c>
      <c r="D3481" s="30" t="s">
        <v>8894</v>
      </c>
      <c r="E3481" s="30"/>
      <c r="F3481" s="30"/>
      <c r="G3481" s="30" t="s">
        <v>8895</v>
      </c>
      <c r="H3481" s="30" t="s">
        <v>11570</v>
      </c>
    </row>
    <row r="3482" spans="1:8">
      <c r="A3482" s="30" t="s">
        <v>15898</v>
      </c>
      <c r="B3482" s="30"/>
      <c r="C3482" s="30" t="s">
        <v>8626</v>
      </c>
      <c r="D3482" s="30"/>
      <c r="E3482" s="30"/>
      <c r="F3482" s="30"/>
      <c r="G3482" s="30" t="s">
        <v>10138</v>
      </c>
      <c r="H3482" s="30" t="s">
        <v>12623</v>
      </c>
    </row>
    <row r="3483" spans="1:8">
      <c r="A3483" s="30" t="s">
        <v>15899</v>
      </c>
      <c r="B3483" s="30"/>
      <c r="C3483" s="30" t="s">
        <v>8626</v>
      </c>
      <c r="D3483" s="30" t="s">
        <v>13670</v>
      </c>
      <c r="E3483" s="30" t="s">
        <v>15900</v>
      </c>
      <c r="F3483" s="30" t="s">
        <v>8618</v>
      </c>
      <c r="G3483" s="30"/>
      <c r="H3483" s="30" t="s">
        <v>15901</v>
      </c>
    </row>
    <row r="3484" spans="1:8">
      <c r="A3484" s="30" t="s">
        <v>15902</v>
      </c>
      <c r="B3484" s="30"/>
      <c r="C3484" s="30" t="s">
        <v>8607</v>
      </c>
      <c r="D3484" s="30" t="s">
        <v>13693</v>
      </c>
      <c r="E3484" s="30" t="s">
        <v>15903</v>
      </c>
      <c r="F3484" s="30" t="s">
        <v>8672</v>
      </c>
      <c r="G3484" s="30" t="s">
        <v>11540</v>
      </c>
      <c r="H3484" s="30" t="s">
        <v>15904</v>
      </c>
    </row>
    <row r="3485" spans="1:8">
      <c r="A3485" s="30" t="s">
        <v>15905</v>
      </c>
      <c r="B3485" s="30"/>
      <c r="C3485" s="30" t="s">
        <v>8626</v>
      </c>
      <c r="D3485" s="30"/>
      <c r="E3485" s="30" t="s">
        <v>10214</v>
      </c>
      <c r="F3485" s="30" t="e">
        <v>#VALUE!</v>
      </c>
      <c r="G3485" s="30" t="s">
        <v>8714</v>
      </c>
      <c r="H3485" s="30" t="s">
        <v>10305</v>
      </c>
    </row>
    <row r="3486" spans="1:8">
      <c r="A3486" s="30" t="s">
        <v>15906</v>
      </c>
      <c r="B3486" s="30"/>
      <c r="C3486" s="30" t="s">
        <v>8607</v>
      </c>
      <c r="D3486" s="30" t="s">
        <v>15907</v>
      </c>
      <c r="E3486" s="30" t="s">
        <v>9706</v>
      </c>
      <c r="F3486" s="30" t="s">
        <v>8672</v>
      </c>
      <c r="G3486" s="30" t="s">
        <v>9002</v>
      </c>
      <c r="H3486" s="30" t="s">
        <v>15908</v>
      </c>
    </row>
    <row r="3487" spans="1:8">
      <c r="A3487" s="30" t="s">
        <v>15909</v>
      </c>
      <c r="B3487" s="30"/>
      <c r="C3487" s="30" t="s">
        <v>8626</v>
      </c>
      <c r="D3487" s="30" t="s">
        <v>9510</v>
      </c>
      <c r="E3487" s="30" t="s">
        <v>15910</v>
      </c>
      <c r="F3487" s="30" t="s">
        <v>8672</v>
      </c>
      <c r="G3487" s="30" t="s">
        <v>9512</v>
      </c>
      <c r="H3487" s="30" t="s">
        <v>15911</v>
      </c>
    </row>
    <row r="3488" spans="1:8">
      <c r="A3488" s="30" t="s">
        <v>15912</v>
      </c>
      <c r="B3488" s="30"/>
      <c r="C3488" s="30" t="s">
        <v>8626</v>
      </c>
      <c r="D3488" s="30" t="s">
        <v>15913</v>
      </c>
      <c r="E3488" s="30" t="s">
        <v>15914</v>
      </c>
      <c r="F3488" s="30" t="s">
        <v>8618</v>
      </c>
      <c r="G3488" s="30" t="s">
        <v>12590</v>
      </c>
      <c r="H3488" s="30" t="s">
        <v>15915</v>
      </c>
    </row>
    <row r="3489" spans="1:8">
      <c r="A3489" s="30" t="s">
        <v>15916</v>
      </c>
      <c r="B3489" s="30"/>
      <c r="C3489" s="30" t="s">
        <v>8607</v>
      </c>
      <c r="D3489" s="30" t="s">
        <v>9195</v>
      </c>
      <c r="E3489" s="30"/>
      <c r="F3489" s="30"/>
      <c r="G3489" s="30" t="s">
        <v>8717</v>
      </c>
      <c r="H3489" s="30" t="s">
        <v>15917</v>
      </c>
    </row>
    <row r="3490" spans="1:8">
      <c r="A3490" s="30" t="s">
        <v>15918</v>
      </c>
      <c r="B3490" s="30"/>
      <c r="C3490" s="30" t="s">
        <v>8626</v>
      </c>
      <c r="D3490" s="30"/>
      <c r="E3490" s="30"/>
      <c r="F3490" s="30"/>
      <c r="G3490" s="30" t="s">
        <v>8807</v>
      </c>
      <c r="H3490" s="30" t="s">
        <v>15919</v>
      </c>
    </row>
    <row r="3491" spans="1:8">
      <c r="A3491" s="30" t="s">
        <v>15920</v>
      </c>
      <c r="B3491" s="30"/>
      <c r="C3491" s="30" t="s">
        <v>8607</v>
      </c>
      <c r="D3491" s="30" t="s">
        <v>8707</v>
      </c>
      <c r="E3491" s="30"/>
      <c r="F3491" s="30"/>
      <c r="G3491" s="30" t="s">
        <v>15921</v>
      </c>
      <c r="H3491" s="30" t="s">
        <v>9193</v>
      </c>
    </row>
    <row r="3492" spans="1:8">
      <c r="A3492" s="30" t="s">
        <v>15922</v>
      </c>
      <c r="B3492" s="30"/>
      <c r="C3492" s="30" t="s">
        <v>8607</v>
      </c>
      <c r="D3492" s="30" t="s">
        <v>9546</v>
      </c>
      <c r="E3492" s="30" t="s">
        <v>9547</v>
      </c>
      <c r="F3492" s="30" t="s">
        <v>8672</v>
      </c>
      <c r="G3492" s="30" t="s">
        <v>9366</v>
      </c>
      <c r="H3492" s="30" t="s">
        <v>15923</v>
      </c>
    </row>
    <row r="3493" spans="1:8">
      <c r="A3493" s="30" t="s">
        <v>15924</v>
      </c>
      <c r="B3493" s="30"/>
      <c r="C3493" s="30" t="s">
        <v>8607</v>
      </c>
      <c r="D3493" s="30" t="s">
        <v>15925</v>
      </c>
      <c r="E3493" s="30" t="s">
        <v>15926</v>
      </c>
      <c r="F3493" s="30" t="e">
        <v>#VALUE!</v>
      </c>
      <c r="G3493" s="30" t="s">
        <v>15927</v>
      </c>
      <c r="H3493" s="30" t="s">
        <v>15928</v>
      </c>
    </row>
    <row r="3494" spans="1:8">
      <c r="A3494" s="30" t="s">
        <v>15929</v>
      </c>
      <c r="B3494" s="30"/>
      <c r="C3494" s="30" t="s">
        <v>8607</v>
      </c>
      <c r="D3494" s="30" t="s">
        <v>11963</v>
      </c>
      <c r="E3494" s="30" t="s">
        <v>15930</v>
      </c>
      <c r="F3494" s="30" t="s">
        <v>8672</v>
      </c>
      <c r="G3494" s="30" t="s">
        <v>9913</v>
      </c>
      <c r="H3494" s="30" t="s">
        <v>13316</v>
      </c>
    </row>
    <row r="3495" spans="1:8">
      <c r="A3495" s="30" t="s">
        <v>15931</v>
      </c>
      <c r="B3495" s="30"/>
      <c r="C3495" s="30" t="s">
        <v>8607</v>
      </c>
      <c r="D3495" s="30" t="s">
        <v>14281</v>
      </c>
      <c r="E3495" s="30" t="s">
        <v>14282</v>
      </c>
      <c r="F3495" s="30" t="s">
        <v>8618</v>
      </c>
      <c r="G3495" s="30" t="s">
        <v>9268</v>
      </c>
      <c r="H3495" s="30" t="s">
        <v>14283</v>
      </c>
    </row>
    <row r="3496" spans="1:8">
      <c r="A3496" s="30" t="s">
        <v>15932</v>
      </c>
      <c r="B3496" s="30"/>
      <c r="C3496" s="30" t="s">
        <v>8607</v>
      </c>
      <c r="D3496" s="30"/>
      <c r="E3496" s="30"/>
      <c r="F3496" s="30"/>
      <c r="G3496" s="30" t="s">
        <v>9018</v>
      </c>
      <c r="H3496" s="30" t="s">
        <v>14736</v>
      </c>
    </row>
    <row r="3497" spans="1:8">
      <c r="A3497" s="30" t="s">
        <v>15933</v>
      </c>
      <c r="B3497" s="30"/>
      <c r="C3497" s="30" t="s">
        <v>8607</v>
      </c>
      <c r="D3497" s="30"/>
      <c r="E3497" s="30"/>
      <c r="F3497" s="30"/>
      <c r="G3497" s="30"/>
      <c r="H3497" s="30" t="s">
        <v>15934</v>
      </c>
    </row>
    <row r="3498" spans="1:8">
      <c r="A3498" s="30" t="s">
        <v>15935</v>
      </c>
      <c r="B3498" s="30"/>
      <c r="C3498" s="30" t="s">
        <v>8607</v>
      </c>
      <c r="D3498" s="30"/>
      <c r="E3498" s="30"/>
      <c r="F3498" s="30"/>
      <c r="G3498" s="30"/>
      <c r="H3498" s="30" t="s">
        <v>15934</v>
      </c>
    </row>
    <row r="3499" spans="1:8">
      <c r="A3499" s="30" t="s">
        <v>15936</v>
      </c>
      <c r="B3499" s="30"/>
      <c r="C3499" s="30" t="s">
        <v>8626</v>
      </c>
      <c r="D3499" s="30"/>
      <c r="E3499" s="30" t="s">
        <v>15937</v>
      </c>
      <c r="F3499" s="30" t="e">
        <v>#VALUE!</v>
      </c>
      <c r="G3499" s="30" t="s">
        <v>15938</v>
      </c>
      <c r="H3499" s="30" t="s">
        <v>15939</v>
      </c>
    </row>
    <row r="3500" spans="1:8">
      <c r="A3500" s="30" t="s">
        <v>15940</v>
      </c>
      <c r="B3500" s="30"/>
      <c r="C3500" s="30" t="s">
        <v>8626</v>
      </c>
      <c r="D3500" s="30" t="s">
        <v>15941</v>
      </c>
      <c r="E3500" s="30" t="s">
        <v>15942</v>
      </c>
      <c r="F3500" s="30" t="e">
        <v>#VALUE!</v>
      </c>
      <c r="G3500" s="30"/>
      <c r="H3500" s="30" t="s">
        <v>15943</v>
      </c>
    </row>
    <row r="3501" spans="1:8">
      <c r="A3501" s="30" t="s">
        <v>15944</v>
      </c>
      <c r="B3501" s="30"/>
      <c r="C3501" s="30"/>
      <c r="D3501" s="32" t="s">
        <v>15945</v>
      </c>
      <c r="E3501" s="30" t="s">
        <v>15946</v>
      </c>
      <c r="F3501" s="30" t="s">
        <v>8618</v>
      </c>
      <c r="G3501" s="30"/>
      <c r="H3501" s="30" t="s">
        <v>15947</v>
      </c>
    </row>
    <row r="3502" spans="1:8">
      <c r="A3502" s="30" t="s">
        <v>15948</v>
      </c>
      <c r="B3502" s="30"/>
      <c r="C3502" s="30" t="s">
        <v>8607</v>
      </c>
      <c r="D3502" s="30" t="s">
        <v>14018</v>
      </c>
      <c r="E3502" s="30" t="s">
        <v>15949</v>
      </c>
      <c r="F3502" s="30" t="s">
        <v>8672</v>
      </c>
      <c r="G3502" s="30" t="s">
        <v>9002</v>
      </c>
      <c r="H3502" s="30" t="s">
        <v>15950</v>
      </c>
    </row>
    <row r="3503" spans="1:8">
      <c r="A3503" s="30" t="s">
        <v>15951</v>
      </c>
      <c r="B3503" s="30"/>
      <c r="C3503" s="30" t="s">
        <v>8607</v>
      </c>
      <c r="D3503" s="30" t="s">
        <v>15952</v>
      </c>
      <c r="E3503" s="30" t="s">
        <v>15953</v>
      </c>
      <c r="F3503" s="30" t="s">
        <v>8618</v>
      </c>
      <c r="G3503" s="30" t="s">
        <v>15954</v>
      </c>
      <c r="H3503" s="30" t="s">
        <v>15955</v>
      </c>
    </row>
    <row r="3504" spans="1:8">
      <c r="A3504" s="30" t="s">
        <v>15956</v>
      </c>
      <c r="B3504" s="30"/>
      <c r="C3504" s="30" t="s">
        <v>8626</v>
      </c>
      <c r="D3504" s="30"/>
      <c r="E3504" s="30"/>
      <c r="F3504" s="30"/>
      <c r="G3504" s="30" t="s">
        <v>15957</v>
      </c>
      <c r="H3504" s="30" t="s">
        <v>15958</v>
      </c>
    </row>
    <row r="3505" spans="1:8">
      <c r="A3505" s="30" t="s">
        <v>15959</v>
      </c>
      <c r="B3505" s="30"/>
      <c r="C3505" s="30" t="s">
        <v>8626</v>
      </c>
      <c r="D3505" s="30" t="s">
        <v>15960</v>
      </c>
      <c r="E3505" s="30" t="s">
        <v>15961</v>
      </c>
      <c r="F3505" s="30" t="s">
        <v>8618</v>
      </c>
      <c r="G3505" s="30"/>
      <c r="H3505" s="30" t="s">
        <v>15962</v>
      </c>
    </row>
    <row r="3506" spans="1:8">
      <c r="A3506" s="30" t="s">
        <v>15963</v>
      </c>
      <c r="B3506" s="30"/>
      <c r="C3506" s="30" t="s">
        <v>8607</v>
      </c>
      <c r="D3506" s="30"/>
      <c r="E3506" s="30"/>
      <c r="F3506" s="30"/>
      <c r="G3506" s="30" t="s">
        <v>15964</v>
      </c>
      <c r="H3506" s="30" t="s">
        <v>15965</v>
      </c>
    </row>
    <row r="3507" spans="1:8">
      <c r="A3507" s="30" t="s">
        <v>15966</v>
      </c>
      <c r="B3507" s="30"/>
      <c r="C3507" s="30" t="s">
        <v>8607</v>
      </c>
      <c r="D3507" s="30" t="s">
        <v>15230</v>
      </c>
      <c r="E3507" s="30" t="s">
        <v>13774</v>
      </c>
      <c r="F3507" s="30" t="s">
        <v>8618</v>
      </c>
      <c r="G3507" s="30" t="s">
        <v>13775</v>
      </c>
      <c r="H3507" s="30" t="s">
        <v>15967</v>
      </c>
    </row>
    <row r="3508" spans="1:8">
      <c r="A3508" s="30" t="s">
        <v>15968</v>
      </c>
      <c r="B3508" s="30"/>
      <c r="C3508" s="30" t="s">
        <v>8607</v>
      </c>
      <c r="D3508" s="30"/>
      <c r="E3508" s="30"/>
      <c r="F3508" s="30"/>
      <c r="G3508" s="30" t="s">
        <v>8807</v>
      </c>
      <c r="H3508" s="30" t="s">
        <v>11256</v>
      </c>
    </row>
    <row r="3509" spans="1:8">
      <c r="A3509" s="30" t="s">
        <v>15969</v>
      </c>
      <c r="B3509" s="30"/>
      <c r="C3509" s="30" t="s">
        <v>8607</v>
      </c>
      <c r="D3509" s="30" t="s">
        <v>10907</v>
      </c>
      <c r="E3509" s="30" t="s">
        <v>8850</v>
      </c>
      <c r="F3509" s="30" t="s">
        <v>8672</v>
      </c>
      <c r="G3509" s="30" t="s">
        <v>8851</v>
      </c>
      <c r="H3509" s="30" t="s">
        <v>11181</v>
      </c>
    </row>
    <row r="3510" spans="1:8">
      <c r="A3510" s="30" t="s">
        <v>15970</v>
      </c>
      <c r="B3510" s="30"/>
      <c r="C3510" s="30" t="s">
        <v>8607</v>
      </c>
      <c r="D3510" s="30" t="s">
        <v>10243</v>
      </c>
      <c r="E3510" s="30" t="s">
        <v>8850</v>
      </c>
      <c r="F3510" s="30" t="s">
        <v>8672</v>
      </c>
      <c r="G3510" s="30" t="s">
        <v>8851</v>
      </c>
      <c r="H3510" s="30" t="s">
        <v>11259</v>
      </c>
    </row>
    <row r="3511" spans="1:8">
      <c r="A3511" s="30" t="s">
        <v>15971</v>
      </c>
      <c r="B3511" s="30"/>
      <c r="C3511" s="30" t="s">
        <v>8607</v>
      </c>
      <c r="D3511" s="30"/>
      <c r="E3511" s="30"/>
      <c r="F3511" s="30"/>
      <c r="G3511" s="30" t="s">
        <v>10205</v>
      </c>
      <c r="H3511" s="30" t="s">
        <v>11261</v>
      </c>
    </row>
    <row r="3512" spans="1:8">
      <c r="A3512" s="30" t="s">
        <v>15972</v>
      </c>
      <c r="B3512" s="30"/>
      <c r="C3512" s="30" t="s">
        <v>8607</v>
      </c>
      <c r="D3512" s="30"/>
      <c r="E3512" s="30"/>
      <c r="F3512" s="30"/>
      <c r="G3512" s="30" t="s">
        <v>8814</v>
      </c>
      <c r="H3512" s="30" t="s">
        <v>15973</v>
      </c>
    </row>
    <row r="3513" spans="1:8">
      <c r="A3513" s="30" t="s">
        <v>15974</v>
      </c>
      <c r="B3513" s="30"/>
      <c r="C3513" s="30"/>
      <c r="D3513" s="32"/>
      <c r="E3513" s="30"/>
      <c r="F3513" s="30"/>
      <c r="G3513" s="30"/>
      <c r="H3513" s="30" t="s">
        <v>15510</v>
      </c>
    </row>
    <row r="3514" spans="1:8">
      <c r="A3514" s="30" t="s">
        <v>15975</v>
      </c>
      <c r="B3514" s="30"/>
      <c r="C3514" s="30" t="s">
        <v>8607</v>
      </c>
      <c r="D3514" s="30"/>
      <c r="E3514" s="30"/>
      <c r="F3514" s="30"/>
      <c r="G3514" s="30"/>
      <c r="H3514" s="30" t="s">
        <v>10979</v>
      </c>
    </row>
    <row r="3515" spans="1:8">
      <c r="A3515" s="30" t="s">
        <v>15976</v>
      </c>
      <c r="B3515" s="30"/>
      <c r="C3515" s="30" t="s">
        <v>8607</v>
      </c>
      <c r="D3515" s="30" t="s">
        <v>13693</v>
      </c>
      <c r="E3515" s="30" t="s">
        <v>13694</v>
      </c>
      <c r="F3515" s="30" t="s">
        <v>8672</v>
      </c>
      <c r="G3515" s="30" t="s">
        <v>11540</v>
      </c>
      <c r="H3515" s="30" t="s">
        <v>11541</v>
      </c>
    </row>
    <row r="3516" spans="1:8">
      <c r="A3516" s="30" t="s">
        <v>15977</v>
      </c>
      <c r="B3516" s="30"/>
      <c r="C3516" s="30" t="s">
        <v>8626</v>
      </c>
      <c r="D3516" s="30" t="s">
        <v>15978</v>
      </c>
      <c r="E3516" s="30" t="s">
        <v>12509</v>
      </c>
      <c r="F3516" s="30" t="s">
        <v>8618</v>
      </c>
      <c r="G3516" s="30" t="s">
        <v>10234</v>
      </c>
      <c r="H3516" s="30" t="s">
        <v>15979</v>
      </c>
    </row>
    <row r="3517" spans="1:8">
      <c r="A3517" s="30" t="s">
        <v>15980</v>
      </c>
      <c r="B3517" s="30"/>
      <c r="C3517" s="30" t="s">
        <v>8626</v>
      </c>
      <c r="D3517" s="30" t="s">
        <v>12691</v>
      </c>
      <c r="E3517" s="30" t="s">
        <v>10723</v>
      </c>
      <c r="F3517" s="30" t="e">
        <v>#VALUE!</v>
      </c>
      <c r="G3517" s="30" t="s">
        <v>9145</v>
      </c>
      <c r="H3517" s="30" t="s">
        <v>11854</v>
      </c>
    </row>
    <row r="3518" spans="1:8">
      <c r="A3518" s="30" t="s">
        <v>15981</v>
      </c>
      <c r="B3518" s="30"/>
      <c r="C3518" s="30" t="s">
        <v>8607</v>
      </c>
      <c r="D3518" s="30"/>
      <c r="E3518" s="30"/>
      <c r="F3518" s="30"/>
      <c r="G3518" s="30" t="s">
        <v>10576</v>
      </c>
      <c r="H3518" s="30" t="s">
        <v>10577</v>
      </c>
    </row>
    <row r="3519" spans="1:8">
      <c r="A3519" s="30" t="s">
        <v>15982</v>
      </c>
      <c r="B3519" s="30"/>
      <c r="C3519" s="30" t="s">
        <v>8626</v>
      </c>
      <c r="D3519" s="30" t="s">
        <v>10261</v>
      </c>
      <c r="E3519" s="30" t="s">
        <v>13671</v>
      </c>
      <c r="F3519" s="30" t="s">
        <v>8618</v>
      </c>
      <c r="G3519" s="30" t="s">
        <v>10234</v>
      </c>
      <c r="H3519" s="30" t="s">
        <v>15983</v>
      </c>
    </row>
    <row r="3520" spans="1:8">
      <c r="A3520" s="30" t="s">
        <v>15984</v>
      </c>
      <c r="B3520" s="30"/>
      <c r="C3520" s="30" t="s">
        <v>8626</v>
      </c>
      <c r="D3520" s="30" t="s">
        <v>10261</v>
      </c>
      <c r="E3520" s="30" t="s">
        <v>10374</v>
      </c>
      <c r="F3520" s="30" t="s">
        <v>8618</v>
      </c>
      <c r="G3520" s="30" t="s">
        <v>10234</v>
      </c>
      <c r="H3520" s="30" t="s">
        <v>15985</v>
      </c>
    </row>
    <row r="3521" spans="1:8">
      <c r="A3521" s="30" t="s">
        <v>15986</v>
      </c>
      <c r="B3521" s="30"/>
      <c r="C3521" s="30" t="s">
        <v>8626</v>
      </c>
      <c r="D3521" s="30"/>
      <c r="E3521" s="30"/>
      <c r="F3521" s="30"/>
      <c r="G3521" s="30" t="s">
        <v>9209</v>
      </c>
      <c r="H3521" s="30" t="s">
        <v>10580</v>
      </c>
    </row>
    <row r="3522" spans="1:8">
      <c r="A3522" s="30" t="s">
        <v>15987</v>
      </c>
      <c r="B3522" s="30"/>
      <c r="C3522" s="30" t="s">
        <v>8607</v>
      </c>
      <c r="D3522" s="30" t="s">
        <v>11432</v>
      </c>
      <c r="E3522" s="30" t="s">
        <v>10583</v>
      </c>
      <c r="F3522" s="30" t="e">
        <v>#VALUE!</v>
      </c>
      <c r="G3522" s="30" t="s">
        <v>9219</v>
      </c>
      <c r="H3522" s="30" t="s">
        <v>10654</v>
      </c>
    </row>
    <row r="3523" spans="1:8">
      <c r="A3523" s="30" t="s">
        <v>15988</v>
      </c>
      <c r="B3523" s="30"/>
      <c r="C3523" s="30"/>
      <c r="D3523" s="32"/>
      <c r="E3523" s="30"/>
      <c r="F3523" s="30"/>
      <c r="G3523" s="30"/>
      <c r="H3523" s="30" t="s">
        <v>15989</v>
      </c>
    </row>
    <row r="3524" spans="1:8">
      <c r="A3524" s="30" t="s">
        <v>15990</v>
      </c>
      <c r="B3524" s="30"/>
      <c r="C3524" s="30" t="s">
        <v>8626</v>
      </c>
      <c r="D3524" s="30" t="s">
        <v>15991</v>
      </c>
      <c r="E3524" s="30" t="s">
        <v>15992</v>
      </c>
      <c r="F3524" s="30" t="s">
        <v>8672</v>
      </c>
      <c r="G3524" s="30" t="s">
        <v>9002</v>
      </c>
      <c r="H3524" s="30" t="s">
        <v>11268</v>
      </c>
    </row>
    <row r="3525" spans="1:8">
      <c r="A3525" s="30" t="s">
        <v>15993</v>
      </c>
      <c r="B3525" s="30"/>
      <c r="C3525" s="30" t="s">
        <v>8607</v>
      </c>
      <c r="D3525" s="30" t="s">
        <v>15994</v>
      </c>
      <c r="E3525" s="30" t="s">
        <v>11288</v>
      </c>
      <c r="F3525" s="30" t="s">
        <v>8618</v>
      </c>
      <c r="G3525" s="30" t="s">
        <v>10668</v>
      </c>
      <c r="H3525" s="30" t="s">
        <v>15995</v>
      </c>
    </row>
    <row r="3526" spans="1:8">
      <c r="A3526" s="30" t="s">
        <v>15996</v>
      </c>
      <c r="B3526" s="30"/>
      <c r="C3526" s="30"/>
      <c r="D3526" s="32"/>
      <c r="E3526" s="30"/>
      <c r="F3526" s="30"/>
      <c r="G3526" s="30"/>
      <c r="H3526" s="30" t="s">
        <v>15997</v>
      </c>
    </row>
    <row r="3527" spans="1:8">
      <c r="A3527" s="30" t="s">
        <v>15998</v>
      </c>
      <c r="B3527" s="30"/>
      <c r="C3527" s="30" t="s">
        <v>8607</v>
      </c>
      <c r="D3527" s="30"/>
      <c r="E3527" s="30"/>
      <c r="F3527" s="30"/>
      <c r="G3527" s="30" t="s">
        <v>10865</v>
      </c>
      <c r="H3527" s="30" t="s">
        <v>15999</v>
      </c>
    </row>
    <row r="3528" spans="1:8">
      <c r="A3528" s="30" t="s">
        <v>16000</v>
      </c>
      <c r="B3528" s="30"/>
      <c r="C3528" s="30" t="s">
        <v>8607</v>
      </c>
      <c r="D3528" s="30" t="s">
        <v>8654</v>
      </c>
      <c r="E3528" s="30" t="s">
        <v>8655</v>
      </c>
      <c r="F3528" s="30" t="s">
        <v>8618</v>
      </c>
      <c r="G3528" s="30" t="s">
        <v>8656</v>
      </c>
      <c r="H3528" s="30" t="s">
        <v>16001</v>
      </c>
    </row>
    <row r="3529" spans="1:8">
      <c r="A3529" s="30" t="s">
        <v>16002</v>
      </c>
      <c r="B3529" s="30"/>
      <c r="C3529" s="30" t="s">
        <v>8626</v>
      </c>
      <c r="D3529" s="30" t="s">
        <v>16003</v>
      </c>
      <c r="E3529" s="30" t="s">
        <v>16004</v>
      </c>
      <c r="F3529" s="30" t="e">
        <v>#VALUE!</v>
      </c>
      <c r="G3529" s="30" t="s">
        <v>8975</v>
      </c>
      <c r="H3529" s="30" t="s">
        <v>16005</v>
      </c>
    </row>
    <row r="3530" spans="1:8">
      <c r="A3530" s="30" t="s">
        <v>16006</v>
      </c>
      <c r="B3530" s="30"/>
      <c r="C3530" s="30" t="s">
        <v>8626</v>
      </c>
      <c r="D3530" s="30" t="s">
        <v>16007</v>
      </c>
      <c r="E3530" s="30" t="s">
        <v>10133</v>
      </c>
      <c r="F3530" s="30" t="e">
        <v>#VALUE!</v>
      </c>
      <c r="G3530" s="30" t="s">
        <v>8975</v>
      </c>
      <c r="H3530" s="30" t="s">
        <v>16008</v>
      </c>
    </row>
    <row r="3531" spans="1:8">
      <c r="A3531" s="30" t="s">
        <v>16009</v>
      </c>
      <c r="B3531" s="30"/>
      <c r="C3531" s="30" t="s">
        <v>8626</v>
      </c>
      <c r="D3531" s="30" t="s">
        <v>12093</v>
      </c>
      <c r="E3531" s="30" t="s">
        <v>16010</v>
      </c>
      <c r="F3531" s="30" t="e">
        <v>#VALUE!</v>
      </c>
      <c r="G3531" s="30" t="s">
        <v>8975</v>
      </c>
      <c r="H3531" s="30" t="s">
        <v>16011</v>
      </c>
    </row>
    <row r="3532" spans="1:8">
      <c r="A3532" s="30" t="s">
        <v>16012</v>
      </c>
      <c r="B3532" s="30"/>
      <c r="C3532" s="30" t="s">
        <v>8626</v>
      </c>
      <c r="D3532" s="30" t="s">
        <v>16013</v>
      </c>
      <c r="E3532" s="30" t="s">
        <v>16014</v>
      </c>
      <c r="F3532" s="30" t="e">
        <v>#VALUE!</v>
      </c>
      <c r="G3532" s="30"/>
      <c r="H3532" s="30" t="s">
        <v>16015</v>
      </c>
    </row>
    <row r="3533" spans="1:8">
      <c r="A3533" s="30" t="s">
        <v>16016</v>
      </c>
      <c r="B3533" s="30"/>
      <c r="C3533" s="30" t="s">
        <v>8626</v>
      </c>
      <c r="D3533" s="30" t="s">
        <v>16017</v>
      </c>
      <c r="E3533" s="30"/>
      <c r="F3533" s="30"/>
      <c r="G3533" s="30" t="s">
        <v>9268</v>
      </c>
      <c r="H3533" s="30" t="s">
        <v>16018</v>
      </c>
    </row>
    <row r="3534" spans="1:8">
      <c r="A3534" s="30" t="s">
        <v>16019</v>
      </c>
      <c r="B3534" s="30"/>
      <c r="C3534" s="30" t="s">
        <v>8626</v>
      </c>
      <c r="D3534" s="30" t="s">
        <v>8684</v>
      </c>
      <c r="E3534" s="30" t="s">
        <v>16020</v>
      </c>
      <c r="F3534" s="30" t="s">
        <v>8618</v>
      </c>
      <c r="G3534" s="30" t="s">
        <v>8686</v>
      </c>
      <c r="H3534" s="30" t="s">
        <v>16021</v>
      </c>
    </row>
    <row r="3535" spans="1:8">
      <c r="A3535" s="30" t="s">
        <v>16022</v>
      </c>
      <c r="B3535" s="30"/>
      <c r="C3535" s="30" t="s">
        <v>8607</v>
      </c>
      <c r="D3535" s="30"/>
      <c r="E3535" s="30" t="s">
        <v>11159</v>
      </c>
      <c r="F3535" s="30" t="e">
        <v>#VALUE!</v>
      </c>
      <c r="G3535" s="30" t="s">
        <v>8678</v>
      </c>
      <c r="H3535" s="30" t="s">
        <v>11160</v>
      </c>
    </row>
    <row r="3536" spans="1:8">
      <c r="A3536" s="30" t="s">
        <v>16023</v>
      </c>
      <c r="B3536" s="30"/>
      <c r="C3536" s="30" t="s">
        <v>8607</v>
      </c>
      <c r="D3536" s="30" t="s">
        <v>11349</v>
      </c>
      <c r="E3536" s="30" t="s">
        <v>11350</v>
      </c>
      <c r="F3536" s="30" t="s">
        <v>8618</v>
      </c>
      <c r="G3536" s="30" t="s">
        <v>10292</v>
      </c>
      <c r="H3536" s="30" t="s">
        <v>11351</v>
      </c>
    </row>
    <row r="3537" spans="1:8">
      <c r="A3537" s="30" t="s">
        <v>16024</v>
      </c>
      <c r="B3537" s="30"/>
      <c r="C3537" s="30" t="s">
        <v>8626</v>
      </c>
      <c r="D3537" s="30" t="s">
        <v>10167</v>
      </c>
      <c r="E3537" s="30"/>
      <c r="F3537" s="30"/>
      <c r="G3537" s="30"/>
      <c r="H3537" s="30" t="s">
        <v>11044</v>
      </c>
    </row>
    <row r="3538" spans="1:8">
      <c r="A3538" s="30" t="s">
        <v>16025</v>
      </c>
      <c r="B3538" s="30"/>
      <c r="C3538" s="30" t="s">
        <v>8607</v>
      </c>
      <c r="D3538" s="30" t="s">
        <v>11150</v>
      </c>
      <c r="E3538" s="30"/>
      <c r="F3538" s="30"/>
      <c r="G3538" s="30" t="s">
        <v>11151</v>
      </c>
      <c r="H3538" s="30" t="s">
        <v>11152</v>
      </c>
    </row>
    <row r="3539" spans="1:8">
      <c r="A3539" s="30" t="s">
        <v>16026</v>
      </c>
      <c r="B3539" s="30"/>
      <c r="C3539" s="30" t="s">
        <v>8607</v>
      </c>
      <c r="D3539" s="30"/>
      <c r="E3539" s="30"/>
      <c r="F3539" s="30"/>
      <c r="G3539" s="30" t="s">
        <v>10395</v>
      </c>
      <c r="H3539" s="30" t="s">
        <v>11197</v>
      </c>
    </row>
    <row r="3540" spans="1:8">
      <c r="A3540" s="30" t="s">
        <v>16027</v>
      </c>
      <c r="B3540" s="30"/>
      <c r="C3540" s="30" t="s">
        <v>8607</v>
      </c>
      <c r="D3540" s="30" t="s">
        <v>8666</v>
      </c>
      <c r="E3540" s="30"/>
      <c r="F3540" s="30"/>
      <c r="G3540" s="30" t="s">
        <v>8667</v>
      </c>
      <c r="H3540" s="30" t="s">
        <v>16028</v>
      </c>
    </row>
    <row r="3541" spans="1:8">
      <c r="A3541" s="30" t="s">
        <v>16029</v>
      </c>
      <c r="B3541" s="30"/>
      <c r="C3541" s="30" t="s">
        <v>8607</v>
      </c>
      <c r="D3541" s="30" t="s">
        <v>8632</v>
      </c>
      <c r="E3541" s="30"/>
      <c r="F3541" s="30"/>
      <c r="G3541" s="30" t="s">
        <v>8633</v>
      </c>
      <c r="H3541" s="30" t="s">
        <v>16030</v>
      </c>
    </row>
    <row r="3542" spans="1:8">
      <c r="A3542" s="30" t="s">
        <v>16031</v>
      </c>
      <c r="B3542" s="30"/>
      <c r="C3542" s="30" t="s">
        <v>8626</v>
      </c>
      <c r="D3542" s="30" t="s">
        <v>14141</v>
      </c>
      <c r="E3542" s="30" t="s">
        <v>8761</v>
      </c>
      <c r="F3542" s="30" t="e">
        <v>#VALUE!</v>
      </c>
      <c r="G3542" s="30" t="s">
        <v>11109</v>
      </c>
      <c r="H3542" s="30" t="s">
        <v>14142</v>
      </c>
    </row>
    <row r="3543" spans="1:8">
      <c r="A3543" s="30" t="s">
        <v>16032</v>
      </c>
      <c r="B3543" s="30"/>
      <c r="C3543" s="30" t="s">
        <v>8626</v>
      </c>
      <c r="D3543" s="30" t="s">
        <v>15603</v>
      </c>
      <c r="E3543" s="30" t="s">
        <v>10037</v>
      </c>
      <c r="F3543" s="30" t="s">
        <v>8618</v>
      </c>
      <c r="G3543" s="30" t="s">
        <v>15604</v>
      </c>
      <c r="H3543" s="30" t="s">
        <v>13906</v>
      </c>
    </row>
    <row r="3544" spans="1:8">
      <c r="A3544" s="30" t="s">
        <v>16033</v>
      </c>
      <c r="B3544" s="30"/>
      <c r="C3544" s="30" t="s">
        <v>8607</v>
      </c>
      <c r="D3544" s="30"/>
      <c r="E3544" s="30"/>
      <c r="F3544" s="30"/>
      <c r="G3544" s="30"/>
      <c r="H3544" s="30" t="s">
        <v>15606</v>
      </c>
    </row>
    <row r="3545" spans="1:8">
      <c r="A3545" s="30" t="s">
        <v>16034</v>
      </c>
      <c r="B3545" s="30"/>
      <c r="C3545" s="30" t="s">
        <v>8607</v>
      </c>
      <c r="D3545" s="30" t="s">
        <v>8849</v>
      </c>
      <c r="E3545" s="30" t="s">
        <v>8850</v>
      </c>
      <c r="F3545" s="30" t="s">
        <v>8672</v>
      </c>
      <c r="G3545" s="30" t="s">
        <v>8851</v>
      </c>
      <c r="H3545" s="30" t="s">
        <v>15594</v>
      </c>
    </row>
    <row r="3546" spans="1:8">
      <c r="A3546" s="30" t="s">
        <v>16035</v>
      </c>
      <c r="B3546" s="30"/>
      <c r="C3546" s="30" t="s">
        <v>8607</v>
      </c>
      <c r="D3546" s="30" t="s">
        <v>15599</v>
      </c>
      <c r="E3546" s="30" t="s">
        <v>9766</v>
      </c>
      <c r="F3546" s="30" t="s">
        <v>8618</v>
      </c>
      <c r="G3546" s="30" t="s">
        <v>9767</v>
      </c>
      <c r="H3546" s="30" t="s">
        <v>12941</v>
      </c>
    </row>
    <row r="3547" spans="1:8">
      <c r="A3547" s="30" t="s">
        <v>16036</v>
      </c>
      <c r="B3547" s="30"/>
      <c r="C3547" s="30" t="s">
        <v>8607</v>
      </c>
      <c r="D3547" s="30" t="s">
        <v>15601</v>
      </c>
      <c r="E3547" s="30"/>
      <c r="F3547" s="30"/>
      <c r="G3547" s="30" t="s">
        <v>13892</v>
      </c>
      <c r="H3547" s="30" t="s">
        <v>13893</v>
      </c>
    </row>
    <row r="3548" spans="1:8">
      <c r="A3548" s="30" t="s">
        <v>16037</v>
      </c>
      <c r="B3548" s="30"/>
      <c r="C3548" s="30" t="s">
        <v>8607</v>
      </c>
      <c r="D3548" s="30"/>
      <c r="E3548" s="30"/>
      <c r="F3548" s="30"/>
      <c r="G3548" s="30" t="s">
        <v>13895</v>
      </c>
      <c r="H3548" s="30" t="s">
        <v>13896</v>
      </c>
    </row>
    <row r="3549" spans="1:8">
      <c r="A3549" s="30" t="s">
        <v>16038</v>
      </c>
      <c r="B3549" s="30"/>
      <c r="C3549" s="30" t="s">
        <v>8607</v>
      </c>
      <c r="D3549" s="30" t="s">
        <v>9357</v>
      </c>
      <c r="E3549" s="30"/>
      <c r="F3549" s="30"/>
      <c r="G3549" s="30" t="s">
        <v>9358</v>
      </c>
      <c r="H3549" s="30" t="s">
        <v>13898</v>
      </c>
    </row>
    <row r="3550" spans="1:8">
      <c r="A3550" s="30" t="s">
        <v>16039</v>
      </c>
      <c r="B3550" s="30"/>
      <c r="C3550" s="30" t="s">
        <v>8607</v>
      </c>
      <c r="D3550" s="30" t="s">
        <v>10334</v>
      </c>
      <c r="E3550" s="30"/>
      <c r="F3550" s="30"/>
      <c r="G3550" s="30" t="s">
        <v>8695</v>
      </c>
      <c r="H3550" s="30" t="s">
        <v>13900</v>
      </c>
    </row>
    <row r="3551" spans="1:8">
      <c r="A3551" s="30" t="s">
        <v>16040</v>
      </c>
      <c r="B3551" s="30"/>
      <c r="C3551" s="30" t="s">
        <v>8607</v>
      </c>
      <c r="D3551" s="30"/>
      <c r="E3551" s="30"/>
      <c r="F3551" s="30"/>
      <c r="G3551" s="30" t="s">
        <v>14149</v>
      </c>
      <c r="H3551" s="30" t="s">
        <v>14150</v>
      </c>
    </row>
    <row r="3552" spans="1:8">
      <c r="A3552" s="30" t="s">
        <v>16041</v>
      </c>
      <c r="B3552" s="30"/>
      <c r="C3552" s="30" t="s">
        <v>8607</v>
      </c>
      <c r="D3552" s="30"/>
      <c r="E3552" s="30"/>
      <c r="F3552" s="30"/>
      <c r="G3552" s="30" t="s">
        <v>9363</v>
      </c>
      <c r="H3552" s="30" t="s">
        <v>14144</v>
      </c>
    </row>
    <row r="3553" spans="1:8">
      <c r="A3553" s="30" t="s">
        <v>16042</v>
      </c>
      <c r="B3553" s="30"/>
      <c r="C3553" s="30" t="s">
        <v>8607</v>
      </c>
      <c r="D3553" s="30" t="s">
        <v>9824</v>
      </c>
      <c r="E3553" s="30"/>
      <c r="F3553" s="30"/>
      <c r="G3553" s="30" t="s">
        <v>9002</v>
      </c>
      <c r="H3553" s="30" t="s">
        <v>12221</v>
      </c>
    </row>
    <row r="3554" spans="1:8">
      <c r="A3554" s="30" t="s">
        <v>16043</v>
      </c>
      <c r="B3554" s="30"/>
      <c r="C3554" s="30" t="s">
        <v>8626</v>
      </c>
      <c r="D3554" s="30" t="s">
        <v>16044</v>
      </c>
      <c r="E3554" s="30"/>
      <c r="F3554" s="30"/>
      <c r="G3554" s="30" t="s">
        <v>16045</v>
      </c>
      <c r="H3554" s="30" t="s">
        <v>16046</v>
      </c>
    </row>
    <row r="3555" spans="1:8">
      <c r="A3555" s="30" t="s">
        <v>16047</v>
      </c>
      <c r="B3555" s="30"/>
      <c r="C3555" s="30"/>
      <c r="D3555" s="32" t="s">
        <v>10400</v>
      </c>
      <c r="E3555" s="30" t="s">
        <v>10179</v>
      </c>
      <c r="F3555" s="30" t="s">
        <v>8618</v>
      </c>
      <c r="G3555" s="30"/>
      <c r="H3555" s="30" t="s">
        <v>16048</v>
      </c>
    </row>
    <row r="3556" spans="1:8">
      <c r="A3556" s="30" t="s">
        <v>16049</v>
      </c>
      <c r="B3556" s="30"/>
      <c r="C3556" s="30" t="s">
        <v>8607</v>
      </c>
      <c r="D3556" s="30" t="s">
        <v>8938</v>
      </c>
      <c r="E3556" s="30"/>
      <c r="F3556" s="30"/>
      <c r="G3556" s="30" t="s">
        <v>8737</v>
      </c>
      <c r="H3556" s="30" t="s">
        <v>8939</v>
      </c>
    </row>
    <row r="3557" spans="1:8">
      <c r="A3557" s="30" t="s">
        <v>16050</v>
      </c>
      <c r="B3557" s="30"/>
      <c r="C3557" s="30" t="s">
        <v>8607</v>
      </c>
      <c r="D3557" s="30"/>
      <c r="E3557" s="30"/>
      <c r="F3557" s="30"/>
      <c r="G3557" s="30" t="s">
        <v>8737</v>
      </c>
      <c r="H3557" s="30" t="s">
        <v>11347</v>
      </c>
    </row>
    <row r="3558" spans="1:8">
      <c r="A3558" s="30" t="s">
        <v>16051</v>
      </c>
      <c r="B3558" s="30"/>
      <c r="C3558" s="30" t="s">
        <v>8626</v>
      </c>
      <c r="D3558" s="30" t="s">
        <v>11353</v>
      </c>
      <c r="E3558" s="30" t="s">
        <v>11354</v>
      </c>
      <c r="F3558" s="30" t="s">
        <v>8618</v>
      </c>
      <c r="G3558" s="30" t="s">
        <v>9672</v>
      </c>
      <c r="H3558" s="30" t="s">
        <v>11355</v>
      </c>
    </row>
    <row r="3559" spans="1:8">
      <c r="A3559" s="30" t="s">
        <v>16052</v>
      </c>
      <c r="B3559" s="30"/>
      <c r="C3559" s="30" t="s">
        <v>8607</v>
      </c>
      <c r="D3559" s="30" t="s">
        <v>11245</v>
      </c>
      <c r="E3559" s="30" t="s">
        <v>10707</v>
      </c>
      <c r="F3559" s="30" t="s">
        <v>8618</v>
      </c>
      <c r="G3559" s="30" t="s">
        <v>8943</v>
      </c>
      <c r="H3559" s="30" t="s">
        <v>11246</v>
      </c>
    </row>
    <row r="3560" spans="1:8">
      <c r="A3560" s="30" t="s">
        <v>16053</v>
      </c>
      <c r="B3560" s="30"/>
      <c r="C3560" s="30"/>
      <c r="D3560" s="32"/>
      <c r="E3560" s="30"/>
      <c r="F3560" s="30"/>
      <c r="G3560" s="30"/>
      <c r="H3560" s="30" t="s">
        <v>16054</v>
      </c>
    </row>
    <row r="3561" spans="1:8">
      <c r="A3561" s="30" t="s">
        <v>16055</v>
      </c>
      <c r="B3561" s="30"/>
      <c r="C3561" s="30" t="s">
        <v>8607</v>
      </c>
      <c r="D3561" s="30" t="s">
        <v>9546</v>
      </c>
      <c r="E3561" s="30" t="s">
        <v>9547</v>
      </c>
      <c r="F3561" s="30" t="s">
        <v>8672</v>
      </c>
      <c r="G3561" s="30" t="s">
        <v>9366</v>
      </c>
      <c r="H3561" s="30" t="s">
        <v>13170</v>
      </c>
    </row>
    <row r="3562" spans="1:8">
      <c r="A3562" s="30" t="s">
        <v>16056</v>
      </c>
      <c r="B3562" s="30"/>
      <c r="C3562" s="30" t="s">
        <v>8607</v>
      </c>
      <c r="D3562" s="30"/>
      <c r="E3562" s="30"/>
      <c r="F3562" s="30"/>
      <c r="G3562" s="30" t="s">
        <v>10320</v>
      </c>
      <c r="H3562" s="30" t="s">
        <v>10321</v>
      </c>
    </row>
    <row r="3563" spans="1:8">
      <c r="A3563" s="30" t="s">
        <v>16057</v>
      </c>
      <c r="B3563" s="30"/>
      <c r="C3563" s="30" t="s">
        <v>8626</v>
      </c>
      <c r="D3563" s="30"/>
      <c r="E3563" s="30"/>
      <c r="F3563" s="30"/>
      <c r="G3563" s="30" t="s">
        <v>10356</v>
      </c>
      <c r="H3563" s="30" t="s">
        <v>12066</v>
      </c>
    </row>
    <row r="3564" spans="1:8">
      <c r="A3564" s="30" t="s">
        <v>16058</v>
      </c>
      <c r="B3564" s="30"/>
      <c r="C3564" s="30" t="s">
        <v>8607</v>
      </c>
      <c r="D3564" s="30"/>
      <c r="E3564" s="30"/>
      <c r="F3564" s="30"/>
      <c r="G3564" s="30"/>
      <c r="H3564" s="30" t="s">
        <v>11152</v>
      </c>
    </row>
    <row r="3565" spans="1:8">
      <c r="A3565" s="30" t="s">
        <v>16059</v>
      </c>
      <c r="B3565" s="30"/>
      <c r="C3565" s="30" t="s">
        <v>8626</v>
      </c>
      <c r="D3565" s="30"/>
      <c r="E3565" s="30"/>
      <c r="F3565" s="30"/>
      <c r="G3565" s="30" t="s">
        <v>8623</v>
      </c>
      <c r="H3565" s="30" t="s">
        <v>16060</v>
      </c>
    </row>
    <row r="3566" spans="1:8">
      <c r="A3566" s="30" t="s">
        <v>16061</v>
      </c>
      <c r="B3566" s="30"/>
      <c r="C3566" s="30" t="s">
        <v>8626</v>
      </c>
      <c r="D3566" s="30"/>
      <c r="E3566" s="30" t="s">
        <v>10214</v>
      </c>
      <c r="F3566" s="30" t="e">
        <v>#VALUE!</v>
      </c>
      <c r="G3566" s="30" t="s">
        <v>8714</v>
      </c>
      <c r="H3566" s="30" t="s">
        <v>10305</v>
      </c>
    </row>
    <row r="3567" spans="1:8">
      <c r="A3567" s="30" t="s">
        <v>16062</v>
      </c>
      <c r="B3567" s="30"/>
      <c r="C3567" s="30" t="s">
        <v>8626</v>
      </c>
      <c r="D3567" s="30" t="s">
        <v>8883</v>
      </c>
      <c r="E3567" s="30" t="s">
        <v>11008</v>
      </c>
      <c r="F3567" s="30" t="s">
        <v>8672</v>
      </c>
      <c r="G3567" s="30" t="s">
        <v>8885</v>
      </c>
      <c r="H3567" s="30" t="s">
        <v>10308</v>
      </c>
    </row>
    <row r="3568" spans="1:8">
      <c r="A3568" s="30" t="s">
        <v>16063</v>
      </c>
      <c r="B3568" s="30"/>
      <c r="C3568" s="30" t="s">
        <v>8626</v>
      </c>
      <c r="D3568" s="30"/>
      <c r="E3568" s="30"/>
      <c r="F3568" s="30"/>
      <c r="G3568" s="30" t="s">
        <v>11010</v>
      </c>
      <c r="H3568" s="30" t="s">
        <v>11011</v>
      </c>
    </row>
    <row r="3569" spans="1:8">
      <c r="A3569" s="30" t="s">
        <v>16064</v>
      </c>
      <c r="B3569" s="30"/>
      <c r="C3569" s="30" t="s">
        <v>8626</v>
      </c>
      <c r="D3569" s="30" t="s">
        <v>11847</v>
      </c>
      <c r="E3569" s="30" t="s">
        <v>16065</v>
      </c>
      <c r="F3569" s="30" t="s">
        <v>8618</v>
      </c>
      <c r="G3569" s="30" t="s">
        <v>9672</v>
      </c>
      <c r="H3569" s="30" t="s">
        <v>11324</v>
      </c>
    </row>
    <row r="3570" spans="1:8">
      <c r="A3570" s="30" t="s">
        <v>16066</v>
      </c>
      <c r="B3570" s="30"/>
      <c r="C3570" s="30" t="s">
        <v>8626</v>
      </c>
      <c r="D3570" s="30"/>
      <c r="E3570" s="30"/>
      <c r="F3570" s="30"/>
      <c r="G3570" s="30" t="s">
        <v>8888</v>
      </c>
      <c r="H3570" s="30" t="s">
        <v>8889</v>
      </c>
    </row>
    <row r="3571" spans="1:8">
      <c r="A3571" s="30" t="s">
        <v>16067</v>
      </c>
      <c r="B3571" s="30"/>
      <c r="C3571" s="30" t="s">
        <v>8626</v>
      </c>
      <c r="D3571" s="30" t="s">
        <v>11840</v>
      </c>
      <c r="E3571" s="30" t="s">
        <v>9547</v>
      </c>
      <c r="F3571" s="30" t="s">
        <v>8672</v>
      </c>
      <c r="G3571" s="30" t="s">
        <v>9366</v>
      </c>
      <c r="H3571" s="30" t="s">
        <v>10924</v>
      </c>
    </row>
    <row r="3572" spans="1:8">
      <c r="A3572" s="30" t="s">
        <v>16068</v>
      </c>
      <c r="B3572" s="30"/>
      <c r="C3572" s="30" t="s">
        <v>8607</v>
      </c>
      <c r="D3572" s="30"/>
      <c r="E3572" s="30"/>
      <c r="F3572" s="30"/>
      <c r="G3572" s="30" t="s">
        <v>8774</v>
      </c>
      <c r="H3572" s="30" t="s">
        <v>10629</v>
      </c>
    </row>
    <row r="3573" spans="1:8">
      <c r="A3573" s="30" t="s">
        <v>16069</v>
      </c>
      <c r="B3573" s="30"/>
      <c r="C3573" s="30" t="s">
        <v>8626</v>
      </c>
      <c r="D3573" s="30" t="s">
        <v>11914</v>
      </c>
      <c r="E3573" s="30" t="s">
        <v>10209</v>
      </c>
      <c r="F3573" s="30" t="s">
        <v>8672</v>
      </c>
      <c r="G3573" s="30" t="s">
        <v>9002</v>
      </c>
      <c r="H3573" s="30" t="s">
        <v>16070</v>
      </c>
    </row>
    <row r="3574" spans="1:8">
      <c r="A3574" s="30" t="s">
        <v>16071</v>
      </c>
      <c r="B3574" s="30"/>
      <c r="C3574" s="30" t="s">
        <v>8626</v>
      </c>
      <c r="D3574" s="30" t="s">
        <v>10926</v>
      </c>
      <c r="E3574" s="30" t="s">
        <v>10927</v>
      </c>
      <c r="F3574" s="30" t="e">
        <v>#VALUE!</v>
      </c>
      <c r="G3574" s="30" t="s">
        <v>10928</v>
      </c>
      <c r="H3574" s="30" t="s">
        <v>10929</v>
      </c>
    </row>
    <row r="3575" spans="1:8">
      <c r="A3575" s="30" t="s">
        <v>16072</v>
      </c>
      <c r="B3575" s="30"/>
      <c r="C3575" s="30" t="s">
        <v>8607</v>
      </c>
      <c r="D3575" s="30" t="s">
        <v>9000</v>
      </c>
      <c r="E3575" s="30" t="s">
        <v>11444</v>
      </c>
      <c r="F3575" s="30" t="e">
        <v>#VALUE!</v>
      </c>
      <c r="G3575" s="30" t="s">
        <v>9002</v>
      </c>
      <c r="H3575" s="30" t="s">
        <v>10989</v>
      </c>
    </row>
    <row r="3576" spans="1:8">
      <c r="A3576" s="30" t="s">
        <v>16073</v>
      </c>
      <c r="B3576" s="30"/>
      <c r="C3576" s="30" t="s">
        <v>8607</v>
      </c>
      <c r="D3576" s="30" t="s">
        <v>8894</v>
      </c>
      <c r="E3576" s="30"/>
      <c r="F3576" s="30"/>
      <c r="G3576" s="30" t="s">
        <v>8895</v>
      </c>
      <c r="H3576" s="30" t="s">
        <v>10991</v>
      </c>
    </row>
    <row r="3577" spans="1:8">
      <c r="A3577" s="30" t="s">
        <v>16074</v>
      </c>
      <c r="B3577" s="30"/>
      <c r="C3577" s="30" t="s">
        <v>8626</v>
      </c>
      <c r="D3577" s="30"/>
      <c r="E3577" s="30" t="s">
        <v>10422</v>
      </c>
      <c r="F3577" s="30" t="s">
        <v>8618</v>
      </c>
      <c r="G3577" s="30" t="s">
        <v>8623</v>
      </c>
      <c r="H3577" s="30" t="s">
        <v>12615</v>
      </c>
    </row>
    <row r="3578" spans="1:8">
      <c r="A3578" s="30" t="s">
        <v>16075</v>
      </c>
      <c r="B3578" s="30"/>
      <c r="C3578" s="30" t="s">
        <v>8607</v>
      </c>
      <c r="D3578" s="30" t="s">
        <v>12245</v>
      </c>
      <c r="E3578" s="30" t="s">
        <v>12246</v>
      </c>
      <c r="F3578" s="30" t="s">
        <v>8618</v>
      </c>
      <c r="G3578" s="30" t="s">
        <v>10427</v>
      </c>
      <c r="H3578" s="30" t="s">
        <v>10428</v>
      </c>
    </row>
    <row r="3579" spans="1:8">
      <c r="A3579" s="30" t="s">
        <v>16076</v>
      </c>
      <c r="B3579" s="30"/>
      <c r="C3579" s="30" t="s">
        <v>8626</v>
      </c>
      <c r="D3579" s="30" t="s">
        <v>9753</v>
      </c>
      <c r="E3579" s="30" t="s">
        <v>9754</v>
      </c>
      <c r="F3579" s="30" t="e">
        <v>#VALUE!</v>
      </c>
      <c r="G3579" s="30" t="s">
        <v>9755</v>
      </c>
      <c r="H3579" s="30" t="s">
        <v>16077</v>
      </c>
    </row>
    <row r="3580" spans="1:8">
      <c r="A3580" s="30" t="s">
        <v>16078</v>
      </c>
      <c r="B3580" s="30"/>
      <c r="C3580" s="30" t="s">
        <v>8626</v>
      </c>
      <c r="D3580" s="30" t="s">
        <v>10208</v>
      </c>
      <c r="E3580" s="30" t="s">
        <v>10209</v>
      </c>
      <c r="F3580" s="30" t="s">
        <v>8672</v>
      </c>
      <c r="G3580" s="30" t="s">
        <v>9002</v>
      </c>
      <c r="H3580" s="30" t="s">
        <v>16079</v>
      </c>
    </row>
    <row r="3581" spans="1:8">
      <c r="A3581" s="30" t="s">
        <v>16080</v>
      </c>
      <c r="B3581" s="30"/>
      <c r="C3581" s="30"/>
      <c r="D3581" s="32"/>
      <c r="E3581" s="30"/>
      <c r="F3581" s="30"/>
      <c r="G3581" s="30"/>
      <c r="H3581" s="30" t="s">
        <v>8715</v>
      </c>
    </row>
    <row r="3582" spans="1:8">
      <c r="A3582" s="30" t="s">
        <v>16081</v>
      </c>
      <c r="B3582" s="30"/>
      <c r="C3582" s="30" t="s">
        <v>8607</v>
      </c>
      <c r="D3582" s="30" t="s">
        <v>8707</v>
      </c>
      <c r="E3582" s="30"/>
      <c r="F3582" s="30"/>
      <c r="G3582" s="30" t="s">
        <v>8708</v>
      </c>
      <c r="H3582" s="30" t="s">
        <v>10257</v>
      </c>
    </row>
    <row r="3583" spans="1:8">
      <c r="A3583" s="30" t="s">
        <v>16082</v>
      </c>
      <c r="B3583" s="30"/>
      <c r="C3583" s="30" t="s">
        <v>8607</v>
      </c>
      <c r="D3583" s="30"/>
      <c r="E3583" s="30"/>
      <c r="F3583" s="30"/>
      <c r="G3583" s="30" t="s">
        <v>8711</v>
      </c>
      <c r="H3583" s="30" t="s">
        <v>10342</v>
      </c>
    </row>
    <row r="3584" spans="1:8">
      <c r="A3584" s="30" t="s">
        <v>16083</v>
      </c>
      <c r="B3584" s="30"/>
      <c r="C3584" s="30" t="s">
        <v>8607</v>
      </c>
      <c r="D3584" s="30"/>
      <c r="E3584" s="30"/>
      <c r="F3584" s="30"/>
      <c r="G3584" s="30" t="s">
        <v>10205</v>
      </c>
      <c r="H3584" s="30" t="s">
        <v>10206</v>
      </c>
    </row>
    <row r="3585" spans="1:8">
      <c r="A3585" s="30" t="s">
        <v>16084</v>
      </c>
      <c r="B3585" s="30"/>
      <c r="C3585" s="30" t="s">
        <v>8626</v>
      </c>
      <c r="D3585" s="30"/>
      <c r="E3585" s="30" t="s">
        <v>10943</v>
      </c>
      <c r="F3585" s="30" t="e">
        <v>#VALUE!</v>
      </c>
      <c r="G3585" s="30" t="s">
        <v>10944</v>
      </c>
      <c r="H3585" s="30" t="s">
        <v>16085</v>
      </c>
    </row>
    <row r="3586" spans="1:8">
      <c r="A3586" s="30" t="s">
        <v>16086</v>
      </c>
      <c r="B3586" s="30"/>
      <c r="C3586" s="30" t="s">
        <v>8607</v>
      </c>
      <c r="D3586" s="30" t="s">
        <v>10937</v>
      </c>
      <c r="E3586" s="30" t="s">
        <v>10938</v>
      </c>
      <c r="F3586" s="30" t="s">
        <v>8618</v>
      </c>
      <c r="G3586" s="30" t="s">
        <v>10939</v>
      </c>
      <c r="H3586" s="30" t="s">
        <v>10940</v>
      </c>
    </row>
    <row r="3587" spans="1:8">
      <c r="A3587" s="30" t="s">
        <v>16087</v>
      </c>
      <c r="B3587" s="30"/>
      <c r="C3587" s="30" t="s">
        <v>8607</v>
      </c>
      <c r="D3587" s="30"/>
      <c r="E3587" s="30"/>
      <c r="F3587" s="30"/>
      <c r="G3587" s="30" t="s">
        <v>10395</v>
      </c>
      <c r="H3587" s="30" t="s">
        <v>11485</v>
      </c>
    </row>
    <row r="3588" spans="1:8">
      <c r="A3588" s="30" t="s">
        <v>16088</v>
      </c>
      <c r="B3588" s="30"/>
      <c r="C3588" s="30" t="s">
        <v>8626</v>
      </c>
      <c r="D3588" s="30" t="s">
        <v>16089</v>
      </c>
      <c r="E3588" s="30" t="s">
        <v>16090</v>
      </c>
      <c r="F3588" s="30" t="s">
        <v>8618</v>
      </c>
      <c r="G3588" s="30" t="s">
        <v>8989</v>
      </c>
      <c r="H3588" s="30" t="s">
        <v>11227</v>
      </c>
    </row>
    <row r="3589" spans="1:8">
      <c r="A3589" s="30" t="s">
        <v>16091</v>
      </c>
      <c r="B3589" s="30"/>
      <c r="C3589" s="30" t="s">
        <v>8607</v>
      </c>
      <c r="D3589" s="30" t="s">
        <v>10825</v>
      </c>
      <c r="E3589" s="30" t="s">
        <v>10707</v>
      </c>
      <c r="F3589" s="30" t="s">
        <v>8618</v>
      </c>
      <c r="G3589" s="30" t="s">
        <v>8943</v>
      </c>
      <c r="H3589" s="30" t="s">
        <v>10826</v>
      </c>
    </row>
    <row r="3590" spans="1:8">
      <c r="A3590" s="30" t="s">
        <v>16092</v>
      </c>
      <c r="B3590" s="30"/>
      <c r="C3590" s="30" t="s">
        <v>8607</v>
      </c>
      <c r="D3590" s="30" t="s">
        <v>8789</v>
      </c>
      <c r="E3590" s="30"/>
      <c r="F3590" s="30"/>
      <c r="G3590" s="30" t="s">
        <v>8633</v>
      </c>
      <c r="H3590" s="30" t="s">
        <v>12777</v>
      </c>
    </row>
    <row r="3591" spans="1:8">
      <c r="A3591" s="30" t="s">
        <v>16093</v>
      </c>
      <c r="B3591" s="30"/>
      <c r="C3591" s="30" t="s">
        <v>8626</v>
      </c>
      <c r="D3591" s="30"/>
      <c r="E3591" s="30" t="s">
        <v>10953</v>
      </c>
      <c r="F3591" s="30" t="e">
        <v>#VALUE!</v>
      </c>
      <c r="G3591" s="30" t="s">
        <v>10944</v>
      </c>
      <c r="H3591" s="30" t="s">
        <v>10954</v>
      </c>
    </row>
    <row r="3592" spans="1:8">
      <c r="A3592" s="30" t="s">
        <v>16094</v>
      </c>
      <c r="B3592" s="30"/>
      <c r="C3592" s="30" t="s">
        <v>8607</v>
      </c>
      <c r="D3592" s="30" t="s">
        <v>8938</v>
      </c>
      <c r="E3592" s="30"/>
      <c r="F3592" s="30"/>
      <c r="G3592" s="30" t="s">
        <v>8737</v>
      </c>
      <c r="H3592" s="30" t="s">
        <v>8939</v>
      </c>
    </row>
    <row r="3593" spans="1:8">
      <c r="A3593" s="30" t="s">
        <v>16095</v>
      </c>
      <c r="B3593" s="30"/>
      <c r="C3593" s="30" t="s">
        <v>8607</v>
      </c>
      <c r="D3593" s="30"/>
      <c r="E3593" s="30" t="s">
        <v>16096</v>
      </c>
      <c r="F3593" s="30" t="s">
        <v>8618</v>
      </c>
      <c r="G3593" s="30" t="s">
        <v>8623</v>
      </c>
      <c r="H3593" s="30" t="s">
        <v>16097</v>
      </c>
    </row>
    <row r="3594" spans="1:8">
      <c r="A3594" s="30" t="s">
        <v>16098</v>
      </c>
      <c r="B3594" s="30"/>
      <c r="C3594" s="30" t="s">
        <v>8607</v>
      </c>
      <c r="D3594" s="30"/>
      <c r="E3594" s="30"/>
      <c r="F3594" s="30"/>
      <c r="G3594" s="30" t="s">
        <v>9002</v>
      </c>
      <c r="H3594" s="30" t="s">
        <v>16099</v>
      </c>
    </row>
    <row r="3595" spans="1:8">
      <c r="A3595" s="30" t="s">
        <v>16100</v>
      </c>
      <c r="B3595" s="30"/>
      <c r="C3595" s="30" t="s">
        <v>8607</v>
      </c>
      <c r="D3595" s="30" t="s">
        <v>8694</v>
      </c>
      <c r="E3595" s="30"/>
      <c r="F3595" s="30"/>
      <c r="G3595" s="30" t="s">
        <v>8695</v>
      </c>
      <c r="H3595" s="30" t="s">
        <v>11231</v>
      </c>
    </row>
    <row r="3596" spans="1:8">
      <c r="A3596" s="30" t="s">
        <v>16101</v>
      </c>
      <c r="B3596" s="30"/>
      <c r="C3596" s="30" t="s">
        <v>8607</v>
      </c>
      <c r="D3596" s="30"/>
      <c r="E3596" s="30"/>
      <c r="F3596" s="30"/>
      <c r="G3596" s="30"/>
      <c r="H3596" s="30" t="s">
        <v>10698</v>
      </c>
    </row>
    <row r="3597" spans="1:8">
      <c r="A3597" s="30" t="s">
        <v>16102</v>
      </c>
      <c r="B3597" s="30"/>
      <c r="C3597" s="30" t="s">
        <v>8607</v>
      </c>
      <c r="D3597" s="30"/>
      <c r="E3597" s="30"/>
      <c r="F3597" s="30"/>
      <c r="G3597" s="30" t="s">
        <v>8717</v>
      </c>
      <c r="H3597" s="30" t="s">
        <v>11203</v>
      </c>
    </row>
    <row r="3598" spans="1:8">
      <c r="A3598" s="30" t="s">
        <v>16103</v>
      </c>
      <c r="B3598" s="30"/>
      <c r="C3598" s="30" t="s">
        <v>8607</v>
      </c>
      <c r="D3598" s="30" t="s">
        <v>10310</v>
      </c>
      <c r="E3598" s="30" t="s">
        <v>16104</v>
      </c>
      <c r="F3598" s="30" t="s">
        <v>8672</v>
      </c>
      <c r="G3598" s="30" t="s">
        <v>8774</v>
      </c>
      <c r="H3598" s="30" t="s">
        <v>12392</v>
      </c>
    </row>
    <row r="3599" spans="1:8">
      <c r="A3599" s="30" t="s">
        <v>16105</v>
      </c>
      <c r="B3599" s="30"/>
      <c r="C3599" s="30" t="s">
        <v>8607</v>
      </c>
      <c r="D3599" s="30" t="s">
        <v>14432</v>
      </c>
      <c r="E3599" s="30" t="s">
        <v>15172</v>
      </c>
      <c r="F3599" s="30" t="e">
        <v>#VALUE!</v>
      </c>
      <c r="G3599" s="30" t="s">
        <v>9145</v>
      </c>
      <c r="H3599" s="30" t="s">
        <v>15078</v>
      </c>
    </row>
    <row r="3600" spans="1:8">
      <c r="A3600" s="30" t="s">
        <v>16106</v>
      </c>
      <c r="B3600" s="30"/>
      <c r="C3600" s="30" t="s">
        <v>8607</v>
      </c>
      <c r="D3600" s="30"/>
      <c r="E3600" s="30"/>
      <c r="F3600" s="30"/>
      <c r="G3600" s="30" t="s">
        <v>15186</v>
      </c>
      <c r="H3600" s="30" t="s">
        <v>15187</v>
      </c>
    </row>
    <row r="3601" spans="1:8">
      <c r="A3601" s="30" t="s">
        <v>16107</v>
      </c>
      <c r="B3601" s="30"/>
      <c r="C3601" s="30"/>
      <c r="D3601" s="32"/>
      <c r="E3601" s="30" t="s">
        <v>16108</v>
      </c>
      <c r="F3601" s="30" t="s">
        <v>8672</v>
      </c>
      <c r="G3601" s="30"/>
      <c r="H3601" s="30" t="s">
        <v>13105</v>
      </c>
    </row>
    <row r="3602" spans="1:8">
      <c r="A3602" s="30" t="s">
        <v>16109</v>
      </c>
      <c r="B3602" s="30"/>
      <c r="C3602" s="30" t="s">
        <v>8607</v>
      </c>
      <c r="D3602" s="30"/>
      <c r="E3602" s="30"/>
      <c r="F3602" s="30"/>
      <c r="G3602" s="30" t="s">
        <v>8891</v>
      </c>
      <c r="H3602" s="30" t="s">
        <v>11042</v>
      </c>
    </row>
    <row r="3603" spans="1:8">
      <c r="A3603" s="30" t="s">
        <v>16110</v>
      </c>
      <c r="B3603" s="30"/>
      <c r="C3603" s="30" t="s">
        <v>8607</v>
      </c>
      <c r="D3603" s="30"/>
      <c r="E3603" s="30"/>
      <c r="F3603" s="30"/>
      <c r="G3603" s="30" t="s">
        <v>10668</v>
      </c>
      <c r="H3603" s="30" t="s">
        <v>16111</v>
      </c>
    </row>
    <row r="3604" spans="1:8">
      <c r="A3604" s="30" t="s">
        <v>16112</v>
      </c>
      <c r="B3604" s="30"/>
      <c r="C3604" s="30" t="s">
        <v>8607</v>
      </c>
      <c r="D3604" s="30"/>
      <c r="E3604" s="30"/>
      <c r="F3604" s="30"/>
      <c r="G3604" s="30" t="s">
        <v>10668</v>
      </c>
      <c r="H3604" s="30" t="s">
        <v>16113</v>
      </c>
    </row>
    <row r="3605" spans="1:8">
      <c r="A3605" s="30" t="s">
        <v>16114</v>
      </c>
      <c r="B3605" s="30"/>
      <c r="C3605" s="30" t="s">
        <v>8607</v>
      </c>
      <c r="D3605" s="30"/>
      <c r="E3605" s="30"/>
      <c r="F3605" s="30"/>
      <c r="G3605" s="30" t="s">
        <v>8637</v>
      </c>
      <c r="H3605" s="30" t="s">
        <v>8787</v>
      </c>
    </row>
    <row r="3606" spans="1:8">
      <c r="A3606" s="30" t="s">
        <v>16115</v>
      </c>
      <c r="B3606" s="30"/>
      <c r="C3606" s="30" t="s">
        <v>8607</v>
      </c>
      <c r="D3606" s="30" t="s">
        <v>10404</v>
      </c>
      <c r="E3606" s="30" t="s">
        <v>10405</v>
      </c>
      <c r="F3606" s="30" t="s">
        <v>8618</v>
      </c>
      <c r="G3606" s="30" t="s">
        <v>8943</v>
      </c>
      <c r="H3606" s="30" t="s">
        <v>8944</v>
      </c>
    </row>
    <row r="3607" spans="1:8">
      <c r="A3607" s="30" t="s">
        <v>16116</v>
      </c>
      <c r="B3607" s="30"/>
      <c r="C3607" s="30" t="s">
        <v>8607</v>
      </c>
      <c r="D3607" s="30" t="s">
        <v>10404</v>
      </c>
      <c r="E3607" s="30" t="s">
        <v>10405</v>
      </c>
      <c r="F3607" s="30" t="s">
        <v>8618</v>
      </c>
      <c r="G3607" s="30" t="s">
        <v>8943</v>
      </c>
      <c r="H3607" s="30" t="s">
        <v>8944</v>
      </c>
    </row>
    <row r="3608" spans="1:8">
      <c r="A3608" s="30" t="s">
        <v>16117</v>
      </c>
      <c r="B3608" s="30"/>
      <c r="C3608" s="30" t="s">
        <v>8607</v>
      </c>
      <c r="D3608" s="30" t="s">
        <v>16118</v>
      </c>
      <c r="E3608" s="30" t="s">
        <v>9139</v>
      </c>
      <c r="F3608" s="30" t="s">
        <v>8672</v>
      </c>
      <c r="G3608" s="30" t="s">
        <v>12270</v>
      </c>
      <c r="H3608" s="30" t="s">
        <v>12271</v>
      </c>
    </row>
    <row r="3609" spans="1:8">
      <c r="A3609" s="30" t="s">
        <v>16119</v>
      </c>
      <c r="B3609" s="30"/>
      <c r="C3609" s="30" t="s">
        <v>8607</v>
      </c>
      <c r="D3609" s="30"/>
      <c r="E3609" s="30"/>
      <c r="F3609" s="30"/>
      <c r="G3609" s="30" t="s">
        <v>8891</v>
      </c>
      <c r="H3609" s="30" t="s">
        <v>10627</v>
      </c>
    </row>
    <row r="3610" spans="1:8">
      <c r="A3610" s="30" t="s">
        <v>16120</v>
      </c>
      <c r="B3610" s="30"/>
      <c r="C3610" s="30" t="s">
        <v>8626</v>
      </c>
      <c r="D3610" s="30"/>
      <c r="E3610" s="30"/>
      <c r="F3610" s="30"/>
      <c r="G3610" s="30"/>
      <c r="H3610" s="30" t="s">
        <v>16121</v>
      </c>
    </row>
    <row r="3611" spans="1:8">
      <c r="A3611" s="30" t="s">
        <v>16122</v>
      </c>
      <c r="B3611" s="30"/>
      <c r="C3611" s="30" t="s">
        <v>8607</v>
      </c>
      <c r="D3611" s="30"/>
      <c r="E3611" s="30"/>
      <c r="F3611" s="30"/>
      <c r="G3611" s="30" t="s">
        <v>8613</v>
      </c>
      <c r="H3611" s="30" t="s">
        <v>14822</v>
      </c>
    </row>
    <row r="3612" spans="1:8">
      <c r="A3612" s="30" t="s">
        <v>16123</v>
      </c>
      <c r="B3612" s="30"/>
      <c r="C3612" s="30" t="s">
        <v>8607</v>
      </c>
      <c r="D3612" s="30" t="s">
        <v>8736</v>
      </c>
      <c r="E3612" s="30"/>
      <c r="F3612" s="30"/>
      <c r="G3612" s="30" t="s">
        <v>8737</v>
      </c>
      <c r="H3612" s="30" t="s">
        <v>8746</v>
      </c>
    </row>
    <row r="3613" spans="1:8">
      <c r="A3613" s="30" t="s">
        <v>16124</v>
      </c>
      <c r="B3613" s="30"/>
      <c r="C3613" s="30" t="s">
        <v>8626</v>
      </c>
      <c r="D3613" s="30" t="s">
        <v>8736</v>
      </c>
      <c r="E3613" s="30"/>
      <c r="F3613" s="30"/>
      <c r="G3613" s="30" t="s">
        <v>8737</v>
      </c>
      <c r="H3613" s="30" t="s">
        <v>8738</v>
      </c>
    </row>
    <row r="3614" spans="1:8">
      <c r="A3614" s="30" t="s">
        <v>16125</v>
      </c>
      <c r="B3614" s="30"/>
      <c r="C3614" s="30" t="s">
        <v>8626</v>
      </c>
      <c r="D3614" s="30" t="s">
        <v>8736</v>
      </c>
      <c r="E3614" s="30"/>
      <c r="F3614" s="30"/>
      <c r="G3614" s="30" t="s">
        <v>8737</v>
      </c>
      <c r="H3614" s="30" t="s">
        <v>8738</v>
      </c>
    </row>
    <row r="3615" spans="1:8">
      <c r="A3615" s="30" t="s">
        <v>16126</v>
      </c>
      <c r="B3615" s="30"/>
      <c r="C3615" s="30" t="s">
        <v>8607</v>
      </c>
      <c r="D3615" s="30" t="s">
        <v>8736</v>
      </c>
      <c r="E3615" s="30"/>
      <c r="F3615" s="30"/>
      <c r="G3615" s="30" t="s">
        <v>8737</v>
      </c>
      <c r="H3615" s="30" t="s">
        <v>8746</v>
      </c>
    </row>
    <row r="3616" spans="1:8">
      <c r="A3616" s="30" t="s">
        <v>16127</v>
      </c>
      <c r="B3616" s="30"/>
      <c r="C3616" s="30" t="s">
        <v>8607</v>
      </c>
      <c r="D3616" s="30"/>
      <c r="E3616" s="30"/>
      <c r="F3616" s="30"/>
      <c r="G3616" s="30"/>
      <c r="H3616" s="30" t="s">
        <v>13853</v>
      </c>
    </row>
    <row r="3617" spans="1:8">
      <c r="A3617" s="30" t="s">
        <v>16128</v>
      </c>
      <c r="B3617" s="30"/>
      <c r="C3617" s="30" t="s">
        <v>8607</v>
      </c>
      <c r="D3617" s="30" t="s">
        <v>8821</v>
      </c>
      <c r="E3617" s="30"/>
      <c r="F3617" s="30"/>
      <c r="G3617" s="30" t="s">
        <v>8737</v>
      </c>
      <c r="H3617" s="30" t="s">
        <v>8822</v>
      </c>
    </row>
    <row r="3618" spans="1:8">
      <c r="A3618" s="30" t="s">
        <v>16129</v>
      </c>
      <c r="B3618" s="30"/>
      <c r="C3618" s="30" t="s">
        <v>8607</v>
      </c>
      <c r="D3618" s="30"/>
      <c r="E3618" s="30"/>
      <c r="F3618" s="30"/>
      <c r="G3618" s="30" t="s">
        <v>8726</v>
      </c>
      <c r="H3618" s="30" t="s">
        <v>8727</v>
      </c>
    </row>
    <row r="3619" spans="1:8">
      <c r="A3619" s="30" t="s">
        <v>16130</v>
      </c>
      <c r="B3619" s="30"/>
      <c r="C3619" s="30" t="s">
        <v>8626</v>
      </c>
      <c r="D3619" s="30" t="s">
        <v>8689</v>
      </c>
      <c r="E3619" s="30" t="s">
        <v>10191</v>
      </c>
      <c r="F3619" s="30" t="e">
        <v>#VALUE!</v>
      </c>
      <c r="G3619" s="30" t="s">
        <v>8691</v>
      </c>
      <c r="H3619" s="30" t="s">
        <v>10192</v>
      </c>
    </row>
    <row r="3620" spans="1:8">
      <c r="A3620" s="30" t="s">
        <v>16131</v>
      </c>
      <c r="B3620" s="30"/>
      <c r="C3620" s="30" t="s">
        <v>8607</v>
      </c>
      <c r="D3620" s="30"/>
      <c r="E3620" s="30"/>
      <c r="F3620" s="30"/>
      <c r="G3620" s="30" t="s">
        <v>8646</v>
      </c>
      <c r="H3620" s="30" t="s">
        <v>10462</v>
      </c>
    </row>
    <row r="3621" spans="1:8">
      <c r="A3621" s="30" t="s">
        <v>16132</v>
      </c>
      <c r="B3621" s="30"/>
      <c r="C3621" s="30" t="s">
        <v>8607</v>
      </c>
      <c r="D3621" s="30"/>
      <c r="E3621" s="30"/>
      <c r="F3621" s="30"/>
      <c r="G3621" s="30" t="s">
        <v>8649</v>
      </c>
      <c r="H3621" s="30" t="s">
        <v>10464</v>
      </c>
    </row>
    <row r="3622" spans="1:8">
      <c r="A3622" s="30" t="s">
        <v>16133</v>
      </c>
      <c r="B3622" s="30"/>
      <c r="C3622" s="30" t="s">
        <v>8607</v>
      </c>
      <c r="D3622" s="30"/>
      <c r="E3622" s="30" t="s">
        <v>10712</v>
      </c>
      <c r="F3622" s="30" t="e">
        <v>#VALUE!</v>
      </c>
      <c r="G3622" s="30" t="s">
        <v>8678</v>
      </c>
      <c r="H3622" s="30" t="s">
        <v>16134</v>
      </c>
    </row>
    <row r="3623" spans="1:8">
      <c r="A3623" s="30" t="s">
        <v>16135</v>
      </c>
      <c r="B3623" s="30"/>
      <c r="C3623" s="30" t="s">
        <v>8607</v>
      </c>
      <c r="D3623" s="30"/>
      <c r="E3623" s="30"/>
      <c r="F3623" s="30"/>
      <c r="G3623" s="30" t="s">
        <v>8804</v>
      </c>
      <c r="H3623" s="30" t="s">
        <v>8831</v>
      </c>
    </row>
    <row r="3624" spans="1:8">
      <c r="A3624" s="30" t="s">
        <v>16136</v>
      </c>
      <c r="B3624" s="30"/>
      <c r="C3624" s="30" t="s">
        <v>8626</v>
      </c>
      <c r="D3624" s="30"/>
      <c r="E3624" s="30"/>
      <c r="F3624" s="30"/>
      <c r="G3624" s="30" t="s">
        <v>8846</v>
      </c>
      <c r="H3624" s="30" t="s">
        <v>16137</v>
      </c>
    </row>
    <row r="3625" spans="1:8">
      <c r="A3625" s="30" t="s">
        <v>16138</v>
      </c>
      <c r="B3625" s="30"/>
      <c r="C3625" s="30" t="s">
        <v>8607</v>
      </c>
      <c r="D3625" s="30"/>
      <c r="E3625" s="30"/>
      <c r="F3625" s="30"/>
      <c r="G3625" s="30" t="s">
        <v>8814</v>
      </c>
      <c r="H3625" s="30" t="s">
        <v>11086</v>
      </c>
    </row>
    <row r="3626" spans="1:8">
      <c r="A3626" s="30" t="s">
        <v>16139</v>
      </c>
      <c r="B3626" s="30"/>
      <c r="C3626" s="30" t="s">
        <v>8607</v>
      </c>
      <c r="D3626" s="30"/>
      <c r="E3626" s="30"/>
      <c r="F3626" s="30"/>
      <c r="G3626" s="30" t="s">
        <v>10668</v>
      </c>
      <c r="H3626" s="30" t="s">
        <v>16140</v>
      </c>
    </row>
    <row r="3627" spans="1:8">
      <c r="A3627" s="30" t="s">
        <v>16141</v>
      </c>
      <c r="B3627" s="30"/>
      <c r="C3627" s="30" t="s">
        <v>8607</v>
      </c>
      <c r="D3627" s="30" t="s">
        <v>16142</v>
      </c>
      <c r="E3627" s="30" t="s">
        <v>16143</v>
      </c>
      <c r="F3627" s="30" t="s">
        <v>8618</v>
      </c>
      <c r="G3627" s="30" t="s">
        <v>9835</v>
      </c>
      <c r="H3627" s="30" t="s">
        <v>16144</v>
      </c>
    </row>
    <row r="3628" spans="1:8">
      <c r="A3628" s="30" t="s">
        <v>16145</v>
      </c>
      <c r="B3628" s="30"/>
      <c r="C3628" s="30" t="s">
        <v>8607</v>
      </c>
      <c r="D3628" s="30"/>
      <c r="E3628" s="30" t="s">
        <v>8720</v>
      </c>
      <c r="F3628" s="30" t="e">
        <v>#VALUE!</v>
      </c>
      <c r="G3628" s="30" t="s">
        <v>8721</v>
      </c>
      <c r="H3628" s="30" t="s">
        <v>12548</v>
      </c>
    </row>
    <row r="3629" spans="1:8">
      <c r="A3629" s="30" t="s">
        <v>16146</v>
      </c>
      <c r="B3629" s="30"/>
      <c r="C3629" s="30" t="s">
        <v>8626</v>
      </c>
      <c r="D3629" s="30" t="s">
        <v>8670</v>
      </c>
      <c r="E3629" s="30" t="s">
        <v>8671</v>
      </c>
      <c r="F3629" s="30" t="s">
        <v>8672</v>
      </c>
      <c r="G3629" s="30" t="s">
        <v>8673</v>
      </c>
      <c r="H3629" s="30" t="s">
        <v>14971</v>
      </c>
    </row>
    <row r="3630" spans="1:8">
      <c r="A3630" s="30" t="s">
        <v>16147</v>
      </c>
      <c r="B3630" s="30"/>
      <c r="C3630" s="30" t="s">
        <v>8626</v>
      </c>
      <c r="D3630" s="30"/>
      <c r="E3630" s="30"/>
      <c r="F3630" s="30"/>
      <c r="G3630" s="30" t="s">
        <v>10789</v>
      </c>
      <c r="H3630" s="30" t="s">
        <v>11104</v>
      </c>
    </row>
    <row r="3631" spans="1:8">
      <c r="A3631" s="30" t="s">
        <v>16148</v>
      </c>
      <c r="B3631" s="30"/>
      <c r="C3631" s="30" t="s">
        <v>8607</v>
      </c>
      <c r="D3631" s="30" t="s">
        <v>8707</v>
      </c>
      <c r="E3631" s="30"/>
      <c r="F3631" s="30"/>
      <c r="G3631" s="30" t="s">
        <v>8708</v>
      </c>
      <c r="H3631" s="30" t="s">
        <v>16149</v>
      </c>
    </row>
    <row r="3632" spans="1:8">
      <c r="A3632" s="30" t="s">
        <v>16150</v>
      </c>
      <c r="B3632" s="30"/>
      <c r="C3632" s="30" t="s">
        <v>8607</v>
      </c>
      <c r="D3632" s="30"/>
      <c r="E3632" s="30"/>
      <c r="F3632" s="30"/>
      <c r="G3632" s="30" t="s">
        <v>8711</v>
      </c>
      <c r="H3632" s="30" t="s">
        <v>12787</v>
      </c>
    </row>
    <row r="3633" spans="1:8">
      <c r="A3633" s="30" t="s">
        <v>16151</v>
      </c>
      <c r="B3633" s="30"/>
      <c r="C3633" s="30" t="s">
        <v>8607</v>
      </c>
      <c r="D3633" s="30"/>
      <c r="E3633" s="30"/>
      <c r="F3633" s="30"/>
      <c r="G3633" s="30" t="s">
        <v>10250</v>
      </c>
      <c r="H3633" s="30" t="s">
        <v>15439</v>
      </c>
    </row>
    <row r="3634" spans="1:8">
      <c r="A3634" s="30" t="s">
        <v>16152</v>
      </c>
      <c r="B3634" s="30"/>
      <c r="C3634" s="30" t="s">
        <v>8607</v>
      </c>
      <c r="D3634" s="30"/>
      <c r="E3634" s="30"/>
      <c r="F3634" s="30"/>
      <c r="G3634" s="30" t="s">
        <v>9847</v>
      </c>
      <c r="H3634" s="30" t="s">
        <v>14963</v>
      </c>
    </row>
    <row r="3635" spans="1:8">
      <c r="A3635" s="30" t="s">
        <v>16153</v>
      </c>
      <c r="B3635" s="30"/>
      <c r="C3635" s="30" t="s">
        <v>8626</v>
      </c>
      <c r="D3635" s="30"/>
      <c r="E3635" s="30"/>
      <c r="F3635" s="30"/>
      <c r="G3635" s="30" t="s">
        <v>8698</v>
      </c>
      <c r="H3635" s="30" t="s">
        <v>10346</v>
      </c>
    </row>
    <row r="3636" spans="1:8">
      <c r="A3636" s="30" t="s">
        <v>16154</v>
      </c>
      <c r="B3636" s="30"/>
      <c r="C3636" s="30" t="s">
        <v>8626</v>
      </c>
      <c r="D3636" s="30" t="s">
        <v>8968</v>
      </c>
      <c r="E3636" s="30" t="s">
        <v>16155</v>
      </c>
      <c r="F3636" s="30" t="e">
        <v>#VALUE!</v>
      </c>
      <c r="G3636" s="30" t="s">
        <v>8970</v>
      </c>
      <c r="H3636" s="30" t="s">
        <v>16156</v>
      </c>
    </row>
    <row r="3637" spans="1:8">
      <c r="A3637" s="30" t="s">
        <v>16157</v>
      </c>
      <c r="B3637" s="30"/>
      <c r="C3637" s="30" t="s">
        <v>8626</v>
      </c>
      <c r="D3637" s="30" t="s">
        <v>16158</v>
      </c>
      <c r="E3637" s="30" t="s">
        <v>8899</v>
      </c>
      <c r="F3637" s="30" t="e">
        <v>#VALUE!</v>
      </c>
      <c r="G3637" s="30" t="s">
        <v>8900</v>
      </c>
      <c r="H3637" s="30" t="s">
        <v>16159</v>
      </c>
    </row>
    <row r="3638" spans="1:8">
      <c r="A3638" s="30" t="s">
        <v>16160</v>
      </c>
      <c r="B3638" s="30"/>
      <c r="C3638" s="30" t="s">
        <v>8626</v>
      </c>
      <c r="D3638" s="30"/>
      <c r="E3638" s="30" t="s">
        <v>8628</v>
      </c>
      <c r="F3638" s="30" t="e">
        <v>#VALUE!</v>
      </c>
      <c r="G3638" s="30"/>
      <c r="H3638" s="30" t="s">
        <v>16161</v>
      </c>
    </row>
    <row r="3639" spans="1:8">
      <c r="A3639" s="30" t="s">
        <v>16162</v>
      </c>
      <c r="B3639" s="30"/>
      <c r="C3639" s="30" t="s">
        <v>8626</v>
      </c>
      <c r="D3639" s="30" t="s">
        <v>11245</v>
      </c>
      <c r="E3639" s="30" t="s">
        <v>8942</v>
      </c>
      <c r="F3639" s="30" t="s">
        <v>8618</v>
      </c>
      <c r="G3639" s="30" t="s">
        <v>8943</v>
      </c>
      <c r="H3639" s="30" t="s">
        <v>13329</v>
      </c>
    </row>
    <row r="3640" spans="1:8">
      <c r="A3640" s="30" t="s">
        <v>16163</v>
      </c>
      <c r="B3640" s="30"/>
      <c r="C3640" s="30" t="s">
        <v>8607</v>
      </c>
      <c r="D3640" s="30" t="s">
        <v>12245</v>
      </c>
      <c r="E3640" s="30" t="s">
        <v>12246</v>
      </c>
      <c r="F3640" s="30" t="s">
        <v>8618</v>
      </c>
      <c r="G3640" s="30" t="s">
        <v>10427</v>
      </c>
      <c r="H3640" s="30" t="s">
        <v>10998</v>
      </c>
    </row>
    <row r="3641" spans="1:8">
      <c r="A3641" s="30" t="s">
        <v>16164</v>
      </c>
      <c r="B3641" s="30"/>
      <c r="C3641" s="30" t="s">
        <v>8607</v>
      </c>
      <c r="D3641" s="30" t="s">
        <v>10846</v>
      </c>
      <c r="E3641" s="30"/>
      <c r="F3641" s="30"/>
      <c r="G3641" s="30" t="s">
        <v>8943</v>
      </c>
      <c r="H3641" s="30" t="s">
        <v>16165</v>
      </c>
    </row>
    <row r="3642" spans="1:8">
      <c r="A3642" s="30" t="s">
        <v>16166</v>
      </c>
      <c r="B3642" s="30"/>
      <c r="C3642" s="30" t="s">
        <v>8607</v>
      </c>
      <c r="D3642" s="30" t="s">
        <v>8938</v>
      </c>
      <c r="E3642" s="30"/>
      <c r="F3642" s="30"/>
      <c r="G3642" s="30" t="s">
        <v>8737</v>
      </c>
      <c r="H3642" s="30" t="s">
        <v>8939</v>
      </c>
    </row>
    <row r="3643" spans="1:8">
      <c r="A3643" s="30" t="s">
        <v>16167</v>
      </c>
      <c r="B3643" s="30"/>
      <c r="C3643" s="30" t="s">
        <v>8626</v>
      </c>
      <c r="D3643" s="30" t="s">
        <v>10527</v>
      </c>
      <c r="E3643" s="30" t="s">
        <v>16168</v>
      </c>
      <c r="F3643" s="30" t="s">
        <v>8618</v>
      </c>
      <c r="G3643" s="30"/>
      <c r="H3643" s="30" t="s">
        <v>16169</v>
      </c>
    </row>
    <row r="3644" spans="1:8">
      <c r="A3644" s="30" t="s">
        <v>16170</v>
      </c>
      <c r="B3644" s="30"/>
      <c r="C3644" s="30" t="s">
        <v>8607</v>
      </c>
      <c r="D3644" s="30"/>
      <c r="E3644" s="30"/>
      <c r="F3644" s="30"/>
      <c r="G3644" s="30" t="s">
        <v>8737</v>
      </c>
      <c r="H3644" s="30" t="s">
        <v>11281</v>
      </c>
    </row>
    <row r="3645" spans="1:8">
      <c r="A3645" s="30" t="s">
        <v>16171</v>
      </c>
      <c r="B3645" s="30"/>
      <c r="C3645" s="30" t="s">
        <v>8607</v>
      </c>
      <c r="D3645" s="30" t="s">
        <v>8736</v>
      </c>
      <c r="E3645" s="30"/>
      <c r="F3645" s="30"/>
      <c r="G3645" s="30" t="s">
        <v>8737</v>
      </c>
      <c r="H3645" s="30" t="s">
        <v>12383</v>
      </c>
    </row>
    <row r="3646" spans="1:8">
      <c r="A3646" s="30" t="s">
        <v>16172</v>
      </c>
      <c r="B3646" s="30"/>
      <c r="C3646" s="30" t="s">
        <v>8626</v>
      </c>
      <c r="D3646" s="30" t="s">
        <v>12300</v>
      </c>
      <c r="E3646" s="30" t="s">
        <v>16173</v>
      </c>
      <c r="F3646" s="30" t="e">
        <v>#VALUE!</v>
      </c>
      <c r="G3646" s="30" t="s">
        <v>12302</v>
      </c>
      <c r="H3646" s="30" t="s">
        <v>16174</v>
      </c>
    </row>
    <row r="3647" spans="1:8">
      <c r="A3647" s="30" t="s">
        <v>16175</v>
      </c>
      <c r="B3647" s="30"/>
      <c r="C3647" s="30" t="s">
        <v>8626</v>
      </c>
      <c r="D3647" s="30" t="s">
        <v>12305</v>
      </c>
      <c r="E3647" s="30" t="s">
        <v>12574</v>
      </c>
      <c r="F3647" s="30" t="e">
        <v>#VALUE!</v>
      </c>
      <c r="G3647" s="30" t="s">
        <v>10451</v>
      </c>
      <c r="H3647" s="30" t="s">
        <v>16176</v>
      </c>
    </row>
    <row r="3648" spans="1:8">
      <c r="A3648" s="30" t="s">
        <v>16177</v>
      </c>
      <c r="B3648" s="30"/>
      <c r="C3648" s="30"/>
      <c r="D3648" s="32"/>
      <c r="E3648" s="30"/>
      <c r="F3648" s="30"/>
      <c r="G3648" s="30"/>
      <c r="H3648" s="30" t="s">
        <v>10278</v>
      </c>
    </row>
    <row r="3649" spans="1:8">
      <c r="A3649" s="30" t="s">
        <v>16178</v>
      </c>
      <c r="B3649" s="30"/>
      <c r="C3649" s="30" t="s">
        <v>8607</v>
      </c>
      <c r="D3649" s="30"/>
      <c r="E3649" s="30"/>
      <c r="F3649" s="30"/>
      <c r="G3649" s="30"/>
      <c r="H3649" s="30" t="s">
        <v>10698</v>
      </c>
    </row>
    <row r="3650" spans="1:8">
      <c r="A3650" s="30" t="s">
        <v>16179</v>
      </c>
      <c r="B3650" s="30"/>
      <c r="C3650" s="30" t="s">
        <v>8607</v>
      </c>
      <c r="D3650" s="30" t="s">
        <v>16180</v>
      </c>
      <c r="E3650" s="30" t="s">
        <v>16181</v>
      </c>
      <c r="F3650" s="30" t="s">
        <v>8672</v>
      </c>
      <c r="G3650" s="30" t="s">
        <v>8885</v>
      </c>
      <c r="H3650" s="30" t="s">
        <v>11561</v>
      </c>
    </row>
    <row r="3651" spans="1:8">
      <c r="A3651" s="30" t="s">
        <v>16182</v>
      </c>
      <c r="B3651" s="30"/>
      <c r="C3651" s="30" t="s">
        <v>8607</v>
      </c>
      <c r="D3651" s="30" t="s">
        <v>9000</v>
      </c>
      <c r="E3651" s="30" t="s">
        <v>16183</v>
      </c>
      <c r="F3651" s="30" t="s">
        <v>8672</v>
      </c>
      <c r="G3651" s="30" t="s">
        <v>9002</v>
      </c>
      <c r="H3651" s="30" t="s">
        <v>9003</v>
      </c>
    </row>
    <row r="3652" spans="1:8">
      <c r="A3652" s="30" t="s">
        <v>16184</v>
      </c>
      <c r="B3652" s="30"/>
      <c r="C3652" s="30" t="s">
        <v>8626</v>
      </c>
      <c r="D3652" s="30"/>
      <c r="E3652" s="30" t="s">
        <v>16185</v>
      </c>
      <c r="F3652" s="30" t="e">
        <v>#VALUE!</v>
      </c>
      <c r="G3652" s="30" t="s">
        <v>16186</v>
      </c>
      <c r="H3652" s="30" t="s">
        <v>16187</v>
      </c>
    </row>
    <row r="3653" spans="1:8">
      <c r="A3653" s="30" t="s">
        <v>16188</v>
      </c>
      <c r="B3653" s="30"/>
      <c r="C3653" s="30" t="s">
        <v>8607</v>
      </c>
      <c r="D3653" s="30" t="s">
        <v>16189</v>
      </c>
      <c r="E3653" s="30"/>
      <c r="F3653" s="30"/>
      <c r="G3653" s="30" t="s">
        <v>8633</v>
      </c>
      <c r="H3653" s="30" t="s">
        <v>16190</v>
      </c>
    </row>
    <row r="3654" spans="1:8">
      <c r="A3654" s="30" t="s">
        <v>16191</v>
      </c>
      <c r="B3654" s="30"/>
      <c r="C3654" s="30" t="s">
        <v>8626</v>
      </c>
      <c r="D3654" s="30"/>
      <c r="E3654" s="30"/>
      <c r="F3654" s="30"/>
      <c r="G3654" s="30" t="s">
        <v>16192</v>
      </c>
      <c r="H3654" s="30" t="s">
        <v>16193</v>
      </c>
    </row>
    <row r="3655" spans="1:8">
      <c r="A3655" s="30" t="s">
        <v>16194</v>
      </c>
      <c r="B3655" s="30"/>
      <c r="C3655" s="30" t="s">
        <v>8607</v>
      </c>
      <c r="D3655" s="30"/>
      <c r="E3655" s="30"/>
      <c r="F3655" s="30"/>
      <c r="G3655" s="30" t="s">
        <v>10438</v>
      </c>
      <c r="H3655" s="30" t="s">
        <v>10274</v>
      </c>
    </row>
    <row r="3656" spans="1:8">
      <c r="A3656" s="30" t="s">
        <v>16195</v>
      </c>
      <c r="B3656" s="30"/>
      <c r="C3656" s="30" t="s">
        <v>8607</v>
      </c>
      <c r="D3656" s="30" t="s">
        <v>8821</v>
      </c>
      <c r="E3656" s="30"/>
      <c r="F3656" s="30"/>
      <c r="G3656" s="30" t="s">
        <v>8737</v>
      </c>
      <c r="H3656" s="30" t="s">
        <v>12048</v>
      </c>
    </row>
    <row r="3657" spans="1:8">
      <c r="A3657" s="30" t="s">
        <v>16196</v>
      </c>
      <c r="B3657" s="30"/>
      <c r="C3657" s="30" t="s">
        <v>8607</v>
      </c>
      <c r="D3657" s="30" t="s">
        <v>12333</v>
      </c>
      <c r="E3657" s="30"/>
      <c r="F3657" s="30"/>
      <c r="G3657" s="30" t="s">
        <v>8737</v>
      </c>
      <c r="H3657" s="30" t="s">
        <v>12467</v>
      </c>
    </row>
    <row r="3658" spans="1:8">
      <c r="A3658" s="30" t="s">
        <v>16197</v>
      </c>
      <c r="B3658" s="30"/>
      <c r="C3658" s="30" t="s">
        <v>8626</v>
      </c>
      <c r="D3658" s="30" t="s">
        <v>8736</v>
      </c>
      <c r="E3658" s="30"/>
      <c r="F3658" s="30"/>
      <c r="G3658" s="30" t="s">
        <v>8737</v>
      </c>
      <c r="H3658" s="30" t="s">
        <v>8738</v>
      </c>
    </row>
    <row r="3659" spans="1:8">
      <c r="A3659" s="30" t="s">
        <v>16198</v>
      </c>
      <c r="B3659" s="30"/>
      <c r="C3659" s="30"/>
      <c r="D3659" s="32" t="s">
        <v>12491</v>
      </c>
      <c r="E3659" s="30"/>
      <c r="F3659" s="30"/>
      <c r="G3659" s="30"/>
      <c r="H3659" s="30" t="s">
        <v>12492</v>
      </c>
    </row>
    <row r="3660" spans="1:8">
      <c r="A3660" s="30" t="s">
        <v>16199</v>
      </c>
      <c r="B3660" s="30"/>
      <c r="C3660" s="30" t="s">
        <v>8626</v>
      </c>
      <c r="D3660" s="30" t="s">
        <v>16200</v>
      </c>
      <c r="E3660" s="30" t="s">
        <v>11354</v>
      </c>
      <c r="F3660" s="30" t="s">
        <v>8618</v>
      </c>
      <c r="G3660" s="30" t="s">
        <v>9672</v>
      </c>
      <c r="H3660" s="30" t="s">
        <v>11324</v>
      </c>
    </row>
    <row r="3661" spans="1:8">
      <c r="A3661" s="30" t="s">
        <v>16201</v>
      </c>
      <c r="B3661" s="30"/>
      <c r="C3661" s="30" t="s">
        <v>8607</v>
      </c>
      <c r="D3661" s="30"/>
      <c r="E3661" s="30"/>
      <c r="F3661" s="30"/>
      <c r="G3661" s="30" t="s">
        <v>10320</v>
      </c>
      <c r="H3661" s="30" t="s">
        <v>10321</v>
      </c>
    </row>
    <row r="3662" spans="1:8">
      <c r="A3662" s="30" t="s">
        <v>16202</v>
      </c>
      <c r="B3662" s="30"/>
      <c r="C3662" s="30" t="s">
        <v>8607</v>
      </c>
      <c r="D3662" s="30" t="s">
        <v>8736</v>
      </c>
      <c r="E3662" s="30"/>
      <c r="F3662" s="30"/>
      <c r="G3662" s="30" t="s">
        <v>8737</v>
      </c>
      <c r="H3662" s="30" t="s">
        <v>10407</v>
      </c>
    </row>
    <row r="3663" spans="1:8">
      <c r="A3663" s="30" t="s">
        <v>16203</v>
      </c>
      <c r="B3663" s="30"/>
      <c r="C3663" s="30" t="s">
        <v>8607</v>
      </c>
      <c r="D3663" s="30" t="s">
        <v>8736</v>
      </c>
      <c r="E3663" s="30"/>
      <c r="F3663" s="30"/>
      <c r="G3663" s="30" t="s">
        <v>8737</v>
      </c>
      <c r="H3663" s="30" t="s">
        <v>16204</v>
      </c>
    </row>
    <row r="3664" spans="1:8">
      <c r="A3664" s="30" t="s">
        <v>16205</v>
      </c>
      <c r="B3664" s="30"/>
      <c r="C3664" s="30" t="s">
        <v>8607</v>
      </c>
      <c r="D3664" s="30"/>
      <c r="E3664" s="30"/>
      <c r="F3664" s="30"/>
      <c r="G3664" s="30" t="s">
        <v>8729</v>
      </c>
      <c r="H3664" s="30" t="s">
        <v>10195</v>
      </c>
    </row>
    <row r="3665" spans="1:8">
      <c r="A3665" s="30" t="s">
        <v>16206</v>
      </c>
      <c r="B3665" s="30"/>
      <c r="C3665" s="30" t="s">
        <v>8607</v>
      </c>
      <c r="D3665" s="30"/>
      <c r="E3665" s="30"/>
      <c r="F3665" s="30"/>
      <c r="G3665" s="30" t="s">
        <v>8681</v>
      </c>
      <c r="H3665" s="30" t="s">
        <v>15775</v>
      </c>
    </row>
    <row r="3666" spans="1:8">
      <c r="A3666" s="30" t="s">
        <v>16207</v>
      </c>
      <c r="B3666" s="30"/>
      <c r="C3666" s="30" t="s">
        <v>8626</v>
      </c>
      <c r="D3666" s="30" t="s">
        <v>8689</v>
      </c>
      <c r="E3666" s="30" t="s">
        <v>10191</v>
      </c>
      <c r="F3666" s="30" t="e">
        <v>#VALUE!</v>
      </c>
      <c r="G3666" s="30" t="s">
        <v>8691</v>
      </c>
      <c r="H3666" s="30" t="s">
        <v>10192</v>
      </c>
    </row>
    <row r="3667" spans="1:8">
      <c r="A3667" s="30" t="s">
        <v>16208</v>
      </c>
      <c r="B3667" s="30"/>
      <c r="C3667" s="30" t="s">
        <v>8607</v>
      </c>
      <c r="D3667" s="30" t="s">
        <v>16209</v>
      </c>
      <c r="E3667" s="30" t="s">
        <v>16210</v>
      </c>
      <c r="F3667" s="30" t="s">
        <v>8672</v>
      </c>
      <c r="G3667" s="30" t="s">
        <v>16211</v>
      </c>
      <c r="H3667" s="30" t="s">
        <v>16212</v>
      </c>
    </row>
    <row r="3668" spans="1:8">
      <c r="A3668" s="30" t="s">
        <v>16213</v>
      </c>
      <c r="B3668" s="30"/>
      <c r="C3668" s="30" t="s">
        <v>8607</v>
      </c>
      <c r="D3668" s="30" t="s">
        <v>16214</v>
      </c>
      <c r="E3668" s="30" t="s">
        <v>16215</v>
      </c>
      <c r="F3668" s="30" t="s">
        <v>8618</v>
      </c>
      <c r="G3668" s="30"/>
      <c r="H3668" s="30" t="s">
        <v>16216</v>
      </c>
    </row>
    <row r="3669" spans="1:8">
      <c r="A3669" s="30" t="s">
        <v>16217</v>
      </c>
      <c r="B3669" s="30"/>
      <c r="C3669" s="30" t="s">
        <v>8607</v>
      </c>
      <c r="D3669" s="30"/>
      <c r="E3669" s="30"/>
      <c r="F3669" s="30"/>
      <c r="G3669" s="30"/>
      <c r="H3669" s="30" t="s">
        <v>16218</v>
      </c>
    </row>
    <row r="3670" spans="1:8">
      <c r="A3670" s="30" t="s">
        <v>16219</v>
      </c>
      <c r="B3670" s="30"/>
      <c r="C3670" s="30" t="s">
        <v>8626</v>
      </c>
      <c r="D3670" s="30"/>
      <c r="E3670" s="30"/>
      <c r="F3670" s="30"/>
      <c r="G3670" s="30" t="s">
        <v>10668</v>
      </c>
      <c r="H3670" s="30" t="s">
        <v>16220</v>
      </c>
    </row>
    <row r="3671" spans="1:8">
      <c r="A3671" s="30" t="s">
        <v>16221</v>
      </c>
      <c r="B3671" s="30"/>
      <c r="C3671" s="30" t="s">
        <v>8607</v>
      </c>
      <c r="D3671" s="30"/>
      <c r="E3671" s="30"/>
      <c r="F3671" s="30"/>
      <c r="G3671" s="30" t="s">
        <v>9002</v>
      </c>
      <c r="H3671" s="30" t="s">
        <v>16222</v>
      </c>
    </row>
    <row r="3672" spans="1:8">
      <c r="A3672" s="30" t="s">
        <v>16223</v>
      </c>
      <c r="B3672" s="30"/>
      <c r="C3672" s="30" t="s">
        <v>8607</v>
      </c>
      <c r="D3672" s="30"/>
      <c r="E3672" s="30" t="s">
        <v>16224</v>
      </c>
      <c r="F3672" s="30" t="e">
        <v>#VALUE!</v>
      </c>
      <c r="G3672" s="30"/>
      <c r="H3672" s="30" t="s">
        <v>16225</v>
      </c>
    </row>
    <row r="3673" spans="1:8">
      <c r="A3673" s="30" t="s">
        <v>16226</v>
      </c>
      <c r="B3673" s="30"/>
      <c r="C3673" s="30" t="s">
        <v>8626</v>
      </c>
      <c r="D3673" s="30"/>
      <c r="E3673" s="30" t="s">
        <v>16227</v>
      </c>
      <c r="F3673" s="30" t="e">
        <v>#VALUE!</v>
      </c>
      <c r="G3673" s="30"/>
      <c r="H3673" s="30" t="s">
        <v>16228</v>
      </c>
    </row>
    <row r="3674" spans="1:8">
      <c r="A3674" s="30" t="s">
        <v>16229</v>
      </c>
      <c r="B3674" s="30"/>
      <c r="C3674" s="30" t="s">
        <v>8607</v>
      </c>
      <c r="D3674" s="30"/>
      <c r="E3674" s="30"/>
      <c r="F3674" s="30"/>
      <c r="G3674" s="30" t="s">
        <v>8737</v>
      </c>
      <c r="H3674" s="30" t="s">
        <v>16230</v>
      </c>
    </row>
    <row r="3675" spans="1:8">
      <c r="A3675" s="30" t="s">
        <v>16231</v>
      </c>
      <c r="B3675" s="30"/>
      <c r="C3675" s="30" t="s">
        <v>8626</v>
      </c>
      <c r="D3675" s="30" t="s">
        <v>11353</v>
      </c>
      <c r="E3675" s="30" t="s">
        <v>12494</v>
      </c>
      <c r="F3675" s="30" t="s">
        <v>8618</v>
      </c>
      <c r="G3675" s="30" t="s">
        <v>9672</v>
      </c>
      <c r="H3675" s="30" t="s">
        <v>11355</v>
      </c>
    </row>
    <row r="3676" spans="1:8">
      <c r="A3676" s="30" t="s">
        <v>16232</v>
      </c>
      <c r="B3676" s="30"/>
      <c r="C3676" s="30" t="s">
        <v>8626</v>
      </c>
      <c r="D3676" s="30"/>
      <c r="E3676" s="30" t="s">
        <v>16233</v>
      </c>
      <c r="F3676" s="30" t="e">
        <v>#VALUE!</v>
      </c>
      <c r="G3676" s="30" t="s">
        <v>8623</v>
      </c>
      <c r="H3676" s="30" t="s">
        <v>16234</v>
      </c>
    </row>
    <row r="3677" spans="1:8">
      <c r="A3677" s="30" t="s">
        <v>16235</v>
      </c>
      <c r="B3677" s="30"/>
      <c r="C3677" s="30" t="s">
        <v>8607</v>
      </c>
      <c r="D3677" s="30"/>
      <c r="E3677" s="30" t="s">
        <v>16236</v>
      </c>
      <c r="F3677" s="30" t="s">
        <v>8618</v>
      </c>
      <c r="G3677" s="30" t="s">
        <v>16237</v>
      </c>
      <c r="H3677" s="30" t="s">
        <v>16238</v>
      </c>
    </row>
    <row r="3678" spans="1:8">
      <c r="A3678" s="30" t="s">
        <v>16239</v>
      </c>
      <c r="B3678" s="30"/>
      <c r="C3678" s="30" t="s">
        <v>8607</v>
      </c>
      <c r="D3678" s="30" t="s">
        <v>15668</v>
      </c>
      <c r="E3678" s="30"/>
      <c r="F3678" s="30"/>
      <c r="G3678" s="30"/>
      <c r="H3678" s="30" t="s">
        <v>16240</v>
      </c>
    </row>
    <row r="3679" spans="1:8">
      <c r="A3679" s="30" t="s">
        <v>16241</v>
      </c>
      <c r="B3679" s="30"/>
      <c r="C3679" s="30" t="s">
        <v>8607</v>
      </c>
      <c r="D3679" s="30"/>
      <c r="E3679" s="30"/>
      <c r="F3679" s="30"/>
      <c r="G3679" s="30" t="s">
        <v>13174</v>
      </c>
      <c r="H3679" s="30" t="s">
        <v>13175</v>
      </c>
    </row>
    <row r="3680" spans="1:8">
      <c r="A3680" s="30" t="s">
        <v>16242</v>
      </c>
      <c r="B3680" s="30"/>
      <c r="C3680" s="30" t="s">
        <v>8626</v>
      </c>
      <c r="D3680" s="30" t="s">
        <v>16243</v>
      </c>
      <c r="E3680" s="30" t="s">
        <v>16244</v>
      </c>
      <c r="F3680" s="30" t="s">
        <v>8672</v>
      </c>
      <c r="G3680" s="30" t="s">
        <v>9002</v>
      </c>
      <c r="H3680" s="30" t="s">
        <v>11176</v>
      </c>
    </row>
    <row r="3681" spans="1:8">
      <c r="A3681" s="30" t="s">
        <v>16245</v>
      </c>
      <c r="B3681" s="30"/>
      <c r="C3681" s="30" t="s">
        <v>8607</v>
      </c>
      <c r="D3681" s="30" t="s">
        <v>10243</v>
      </c>
      <c r="E3681" s="30" t="s">
        <v>8850</v>
      </c>
      <c r="F3681" s="30" t="s">
        <v>8672</v>
      </c>
      <c r="G3681" s="30" t="s">
        <v>8851</v>
      </c>
      <c r="H3681" s="30" t="s">
        <v>10567</v>
      </c>
    </row>
    <row r="3682" spans="1:8">
      <c r="A3682" s="30" t="s">
        <v>16246</v>
      </c>
      <c r="B3682" s="30"/>
      <c r="C3682" s="30" t="s">
        <v>8626</v>
      </c>
      <c r="D3682" s="30"/>
      <c r="E3682" s="30"/>
      <c r="F3682" s="30"/>
      <c r="G3682" s="30" t="s">
        <v>10648</v>
      </c>
      <c r="H3682" s="30" t="s">
        <v>8854</v>
      </c>
    </row>
    <row r="3683" spans="1:8">
      <c r="A3683" s="30" t="s">
        <v>16247</v>
      </c>
      <c r="B3683" s="30"/>
      <c r="C3683" s="30" t="s">
        <v>8607</v>
      </c>
      <c r="D3683" s="30"/>
      <c r="E3683" s="30"/>
      <c r="F3683" s="30"/>
      <c r="G3683" s="30" t="s">
        <v>10320</v>
      </c>
      <c r="H3683" s="30" t="s">
        <v>16248</v>
      </c>
    </row>
    <row r="3684" spans="1:8">
      <c r="A3684" s="30" t="s">
        <v>16249</v>
      </c>
      <c r="B3684" s="30"/>
      <c r="C3684" s="30" t="s">
        <v>8626</v>
      </c>
      <c r="D3684" s="30" t="s">
        <v>15978</v>
      </c>
      <c r="E3684" s="30" t="s">
        <v>16250</v>
      </c>
      <c r="F3684" s="30" t="s">
        <v>8618</v>
      </c>
      <c r="G3684" s="30" t="s">
        <v>10234</v>
      </c>
      <c r="H3684" s="30" t="s">
        <v>16251</v>
      </c>
    </row>
    <row r="3685" spans="1:8">
      <c r="A3685" s="30" t="s">
        <v>16252</v>
      </c>
      <c r="B3685" s="30"/>
      <c r="C3685" s="30" t="s">
        <v>8607</v>
      </c>
      <c r="D3685" s="30"/>
      <c r="E3685" s="30"/>
      <c r="F3685" s="30"/>
      <c r="G3685" s="30" t="s">
        <v>10356</v>
      </c>
      <c r="H3685" s="30" t="s">
        <v>12154</v>
      </c>
    </row>
    <row r="3686" spans="1:8">
      <c r="A3686" s="30" t="s">
        <v>16253</v>
      </c>
      <c r="B3686" s="30"/>
      <c r="C3686" s="30" t="s">
        <v>8626</v>
      </c>
      <c r="D3686" s="30" t="s">
        <v>16254</v>
      </c>
      <c r="E3686" s="30" t="s">
        <v>16255</v>
      </c>
      <c r="F3686" s="30" t="s">
        <v>8618</v>
      </c>
      <c r="G3686" s="30" t="s">
        <v>11364</v>
      </c>
      <c r="H3686" s="30" t="s">
        <v>11365</v>
      </c>
    </row>
    <row r="3687" spans="1:8">
      <c r="A3687" s="30" t="s">
        <v>16256</v>
      </c>
      <c r="B3687" s="30"/>
      <c r="C3687" s="30" t="s">
        <v>8607</v>
      </c>
      <c r="D3687" s="30" t="s">
        <v>8938</v>
      </c>
      <c r="E3687" s="30"/>
      <c r="F3687" s="30"/>
      <c r="G3687" s="30" t="s">
        <v>8737</v>
      </c>
      <c r="H3687" s="30" t="s">
        <v>8939</v>
      </c>
    </row>
    <row r="3688" spans="1:8">
      <c r="A3688" s="30" t="s">
        <v>16257</v>
      </c>
      <c r="B3688" s="30"/>
      <c r="C3688" s="30" t="s">
        <v>8626</v>
      </c>
      <c r="D3688" s="30" t="s">
        <v>16258</v>
      </c>
      <c r="E3688" s="30" t="s">
        <v>16259</v>
      </c>
      <c r="F3688" s="30" t="s">
        <v>8618</v>
      </c>
      <c r="G3688" s="30" t="s">
        <v>16260</v>
      </c>
      <c r="H3688" s="30" t="s">
        <v>16261</v>
      </c>
    </row>
    <row r="3689" spans="1:8">
      <c r="A3689" s="30" t="s">
        <v>16262</v>
      </c>
      <c r="B3689" s="30"/>
      <c r="C3689" s="30" t="s">
        <v>8607</v>
      </c>
      <c r="D3689" s="30"/>
      <c r="E3689" s="30" t="s">
        <v>11305</v>
      </c>
      <c r="F3689" s="30" t="s">
        <v>8618</v>
      </c>
      <c r="G3689" s="30" t="s">
        <v>8908</v>
      </c>
      <c r="H3689" s="30" t="s">
        <v>10636</v>
      </c>
    </row>
    <row r="3690" spans="1:8">
      <c r="A3690" s="30" t="s">
        <v>16263</v>
      </c>
      <c r="B3690" s="30"/>
      <c r="C3690" s="30" t="s">
        <v>8607</v>
      </c>
      <c r="D3690" s="30" t="s">
        <v>8770</v>
      </c>
      <c r="E3690" s="30" t="s">
        <v>8771</v>
      </c>
      <c r="F3690" s="30" t="s">
        <v>8672</v>
      </c>
      <c r="G3690" s="30" t="s">
        <v>8659</v>
      </c>
      <c r="H3690" s="30" t="s">
        <v>16264</v>
      </c>
    </row>
    <row r="3691" spans="1:8">
      <c r="A3691" s="30" t="s">
        <v>16265</v>
      </c>
      <c r="B3691" s="30"/>
      <c r="C3691" s="30" t="s">
        <v>8607</v>
      </c>
      <c r="D3691" s="30" t="s">
        <v>8968</v>
      </c>
      <c r="E3691" s="30" t="s">
        <v>8969</v>
      </c>
      <c r="F3691" s="30" t="e">
        <v>#VALUE!</v>
      </c>
      <c r="G3691" s="30" t="s">
        <v>8774</v>
      </c>
      <c r="H3691" s="30" t="s">
        <v>10629</v>
      </c>
    </row>
    <row r="3692" spans="1:8">
      <c r="A3692" s="30" t="s">
        <v>16266</v>
      </c>
      <c r="B3692" s="30"/>
      <c r="C3692" s="30" t="s">
        <v>8607</v>
      </c>
      <c r="D3692" s="30" t="s">
        <v>10907</v>
      </c>
      <c r="E3692" s="30" t="s">
        <v>8850</v>
      </c>
      <c r="F3692" s="30" t="s">
        <v>8672</v>
      </c>
      <c r="G3692" s="30" t="s">
        <v>8851</v>
      </c>
      <c r="H3692" s="30" t="s">
        <v>10908</v>
      </c>
    </row>
    <row r="3693" spans="1:8">
      <c r="A3693" s="30" t="s">
        <v>16267</v>
      </c>
      <c r="B3693" s="30"/>
      <c r="C3693" s="30" t="s">
        <v>8626</v>
      </c>
      <c r="D3693" s="30" t="s">
        <v>8883</v>
      </c>
      <c r="E3693" s="30" t="s">
        <v>16268</v>
      </c>
      <c r="F3693" s="30" t="s">
        <v>8672</v>
      </c>
      <c r="G3693" s="30" t="s">
        <v>8885</v>
      </c>
      <c r="H3693" s="30" t="s">
        <v>10308</v>
      </c>
    </row>
    <row r="3694" spans="1:8">
      <c r="A3694" s="30" t="s">
        <v>16269</v>
      </c>
      <c r="B3694" s="30"/>
      <c r="C3694" s="30" t="s">
        <v>8626</v>
      </c>
      <c r="D3694" s="30"/>
      <c r="E3694" s="30"/>
      <c r="F3694" s="30"/>
      <c r="G3694" s="30" t="s">
        <v>11010</v>
      </c>
      <c r="H3694" s="30" t="s">
        <v>11011</v>
      </c>
    </row>
    <row r="3695" spans="1:8">
      <c r="A3695" s="30" t="s">
        <v>16270</v>
      </c>
      <c r="B3695" s="30"/>
      <c r="C3695" s="30" t="s">
        <v>8607</v>
      </c>
      <c r="D3695" s="30"/>
      <c r="E3695" s="30"/>
      <c r="F3695" s="30"/>
      <c r="G3695" s="30" t="s">
        <v>8659</v>
      </c>
      <c r="H3695" s="30" t="s">
        <v>8772</v>
      </c>
    </row>
    <row r="3696" spans="1:8">
      <c r="A3696" s="30" t="s">
        <v>16271</v>
      </c>
      <c r="B3696" s="30"/>
      <c r="C3696" s="30" t="s">
        <v>8626</v>
      </c>
      <c r="D3696" s="30"/>
      <c r="E3696" s="30"/>
      <c r="F3696" s="30"/>
      <c r="G3696" s="30" t="s">
        <v>8888</v>
      </c>
      <c r="H3696" s="30" t="s">
        <v>8889</v>
      </c>
    </row>
    <row r="3697" spans="1:8">
      <c r="A3697" s="30" t="s">
        <v>16272</v>
      </c>
      <c r="B3697" s="30"/>
      <c r="C3697" s="30" t="s">
        <v>8626</v>
      </c>
      <c r="D3697" s="30" t="s">
        <v>12290</v>
      </c>
      <c r="E3697" s="30" t="s">
        <v>9547</v>
      </c>
      <c r="F3697" s="30" t="s">
        <v>8672</v>
      </c>
      <c r="G3697" s="30"/>
      <c r="H3697" s="30" t="s">
        <v>16273</v>
      </c>
    </row>
    <row r="3698" spans="1:8">
      <c r="A3698" s="30" t="s">
        <v>16274</v>
      </c>
      <c r="B3698" s="30"/>
      <c r="C3698" s="30" t="s">
        <v>8607</v>
      </c>
      <c r="D3698" s="30"/>
      <c r="E3698" s="30"/>
      <c r="F3698" s="30"/>
      <c r="G3698" s="30" t="s">
        <v>8774</v>
      </c>
      <c r="H3698" s="30" t="s">
        <v>10594</v>
      </c>
    </row>
    <row r="3699" spans="1:8">
      <c r="A3699" s="30" t="s">
        <v>16275</v>
      </c>
      <c r="B3699" s="30"/>
      <c r="C3699" s="30" t="s">
        <v>8626</v>
      </c>
      <c r="D3699" s="30" t="s">
        <v>10494</v>
      </c>
      <c r="E3699" s="30" t="s">
        <v>8671</v>
      </c>
      <c r="F3699" s="30" t="s">
        <v>8672</v>
      </c>
      <c r="G3699" s="30" t="s">
        <v>8673</v>
      </c>
      <c r="H3699" s="30" t="s">
        <v>16276</v>
      </c>
    </row>
    <row r="3700" spans="1:8">
      <c r="A3700" s="30" t="s">
        <v>16277</v>
      </c>
      <c r="B3700" s="30"/>
      <c r="C3700" s="30" t="s">
        <v>8607</v>
      </c>
      <c r="D3700" s="30" t="s">
        <v>12300</v>
      </c>
      <c r="E3700" s="30" t="s">
        <v>16278</v>
      </c>
      <c r="F3700" s="30" t="e">
        <v>#VALUE!</v>
      </c>
      <c r="G3700" s="30" t="s">
        <v>12302</v>
      </c>
      <c r="H3700" s="30" t="s">
        <v>13091</v>
      </c>
    </row>
    <row r="3701" spans="1:8">
      <c r="A3701" s="30" t="s">
        <v>16279</v>
      </c>
      <c r="B3701" s="30"/>
      <c r="C3701" s="30" t="s">
        <v>8607</v>
      </c>
      <c r="D3701" s="30" t="s">
        <v>13094</v>
      </c>
      <c r="E3701" s="30" t="s">
        <v>12574</v>
      </c>
      <c r="F3701" s="30" t="e">
        <v>#VALUE!</v>
      </c>
      <c r="G3701" s="30" t="s">
        <v>10451</v>
      </c>
      <c r="H3701" s="30" t="s">
        <v>13095</v>
      </c>
    </row>
    <row r="3702" spans="1:8">
      <c r="A3702" s="30" t="s">
        <v>16280</v>
      </c>
      <c r="B3702" s="30"/>
      <c r="C3702" s="30" t="s">
        <v>8607</v>
      </c>
      <c r="D3702" s="30"/>
      <c r="E3702" s="30"/>
      <c r="F3702" s="30"/>
      <c r="G3702" s="30" t="s">
        <v>8721</v>
      </c>
      <c r="H3702" s="30" t="s">
        <v>13553</v>
      </c>
    </row>
    <row r="3703" spans="1:8">
      <c r="A3703" s="30" t="s">
        <v>16281</v>
      </c>
      <c r="B3703" s="30"/>
      <c r="C3703" s="30"/>
      <c r="D3703" s="32"/>
      <c r="E3703" s="30"/>
      <c r="F3703" s="30"/>
      <c r="G3703" s="30"/>
      <c r="H3703" s="30" t="s">
        <v>12735</v>
      </c>
    </row>
    <row r="3704" spans="1:8">
      <c r="A3704" s="30" t="s">
        <v>16282</v>
      </c>
      <c r="B3704" s="30"/>
      <c r="C3704" s="30" t="s">
        <v>8607</v>
      </c>
      <c r="D3704" s="30"/>
      <c r="E3704" s="30"/>
      <c r="F3704" s="30"/>
      <c r="G3704" s="30" t="s">
        <v>9847</v>
      </c>
      <c r="H3704" s="30" t="s">
        <v>16283</v>
      </c>
    </row>
    <row r="3705" spans="1:8">
      <c r="A3705" s="30" t="s">
        <v>16284</v>
      </c>
      <c r="B3705" s="30"/>
      <c r="C3705" s="30" t="s">
        <v>8607</v>
      </c>
      <c r="D3705" s="30"/>
      <c r="E3705" s="30"/>
      <c r="F3705" s="30"/>
      <c r="G3705" s="30"/>
      <c r="H3705" s="30" t="s">
        <v>16285</v>
      </c>
    </row>
    <row r="3706" spans="1:8">
      <c r="A3706" s="30" t="s">
        <v>16286</v>
      </c>
      <c r="B3706" s="30"/>
      <c r="C3706" s="30" t="s">
        <v>8607</v>
      </c>
      <c r="D3706" s="30"/>
      <c r="E3706" s="30"/>
      <c r="F3706" s="30"/>
      <c r="G3706" s="30" t="s">
        <v>16287</v>
      </c>
      <c r="H3706" s="30" t="s">
        <v>16288</v>
      </c>
    </row>
    <row r="3707" spans="1:8">
      <c r="A3707" s="30" t="s">
        <v>16289</v>
      </c>
      <c r="B3707" s="30"/>
      <c r="C3707" s="30" t="s">
        <v>8607</v>
      </c>
      <c r="D3707" s="30" t="s">
        <v>16290</v>
      </c>
      <c r="E3707" s="30" t="s">
        <v>16291</v>
      </c>
      <c r="F3707" s="30" t="e">
        <v>#VALUE!</v>
      </c>
      <c r="G3707" s="30" t="s">
        <v>16292</v>
      </c>
      <c r="H3707" s="30" t="s">
        <v>16293</v>
      </c>
    </row>
    <row r="3708" spans="1:8">
      <c r="A3708" s="30" t="s">
        <v>16294</v>
      </c>
      <c r="B3708" s="30"/>
      <c r="C3708" s="30" t="s">
        <v>8607</v>
      </c>
      <c r="D3708" s="30" t="s">
        <v>10706</v>
      </c>
      <c r="E3708" s="30" t="s">
        <v>10405</v>
      </c>
      <c r="F3708" s="30" t="s">
        <v>8618</v>
      </c>
      <c r="G3708" s="30" t="s">
        <v>8943</v>
      </c>
      <c r="H3708" s="30" t="s">
        <v>16295</v>
      </c>
    </row>
    <row r="3709" spans="1:8">
      <c r="A3709" s="30" t="s">
        <v>16296</v>
      </c>
      <c r="B3709" s="30"/>
      <c r="C3709" s="30" t="s">
        <v>8626</v>
      </c>
      <c r="D3709" s="30" t="s">
        <v>16297</v>
      </c>
      <c r="E3709" s="30" t="s">
        <v>9113</v>
      </c>
      <c r="F3709" s="30" t="s">
        <v>8672</v>
      </c>
      <c r="G3709" s="30" t="s">
        <v>9114</v>
      </c>
      <c r="H3709" s="30" t="s">
        <v>16298</v>
      </c>
    </row>
    <row r="3710" spans="1:8">
      <c r="A3710" s="30" t="s">
        <v>16299</v>
      </c>
      <c r="B3710" s="30"/>
      <c r="C3710" s="30" t="s">
        <v>8607</v>
      </c>
      <c r="D3710" s="30"/>
      <c r="E3710" s="30"/>
      <c r="F3710" s="30"/>
      <c r="G3710" s="30" t="s">
        <v>9504</v>
      </c>
      <c r="H3710" s="30" t="s">
        <v>14456</v>
      </c>
    </row>
    <row r="3711" spans="1:8">
      <c r="A3711" s="30" t="s">
        <v>16300</v>
      </c>
      <c r="B3711" s="30"/>
      <c r="C3711" s="30" t="s">
        <v>8607</v>
      </c>
      <c r="D3711" s="30"/>
      <c r="E3711" s="30"/>
      <c r="F3711" s="30"/>
      <c r="G3711" s="30" t="s">
        <v>10138</v>
      </c>
      <c r="H3711" s="30" t="s">
        <v>10139</v>
      </c>
    </row>
    <row r="3712" spans="1:8">
      <c r="A3712" s="30" t="s">
        <v>16301</v>
      </c>
      <c r="B3712" s="30"/>
      <c r="C3712" s="30" t="s">
        <v>8607</v>
      </c>
      <c r="D3712" s="30"/>
      <c r="E3712" s="30" t="s">
        <v>16302</v>
      </c>
      <c r="F3712" s="30" t="e">
        <v>#VALUE!</v>
      </c>
      <c r="G3712" s="30" t="s">
        <v>9698</v>
      </c>
      <c r="H3712" s="30" t="s">
        <v>10147</v>
      </c>
    </row>
    <row r="3713" spans="1:8">
      <c r="A3713" s="30" t="s">
        <v>16303</v>
      </c>
      <c r="B3713" s="30"/>
      <c r="C3713" s="30" t="s">
        <v>8607</v>
      </c>
      <c r="D3713" s="30"/>
      <c r="E3713" s="30" t="s">
        <v>16304</v>
      </c>
      <c r="F3713" s="30" t="e">
        <v>#VALUE!</v>
      </c>
      <c r="G3713" s="30" t="s">
        <v>9698</v>
      </c>
      <c r="H3713" s="30" t="s">
        <v>10147</v>
      </c>
    </row>
    <row r="3714" spans="1:8">
      <c r="A3714" s="30" t="s">
        <v>16305</v>
      </c>
      <c r="B3714" s="30"/>
      <c r="C3714" s="30" t="s">
        <v>8607</v>
      </c>
      <c r="D3714" s="30"/>
      <c r="E3714" s="30"/>
      <c r="F3714" s="30"/>
      <c r="G3714" s="30" t="s">
        <v>14672</v>
      </c>
      <c r="H3714" s="30" t="s">
        <v>16306</v>
      </c>
    </row>
    <row r="3715" spans="1:8">
      <c r="A3715" s="30" t="s">
        <v>16307</v>
      </c>
      <c r="B3715" s="30"/>
      <c r="C3715" s="30" t="s">
        <v>8626</v>
      </c>
      <c r="D3715" s="30" t="s">
        <v>16308</v>
      </c>
      <c r="E3715" s="30" t="s">
        <v>16309</v>
      </c>
      <c r="F3715" s="30" t="s">
        <v>8618</v>
      </c>
      <c r="G3715" s="30"/>
      <c r="H3715" s="30" t="s">
        <v>16310</v>
      </c>
    </row>
    <row r="3716" spans="1:8">
      <c r="A3716" s="30" t="s">
        <v>16311</v>
      </c>
      <c r="B3716" s="30"/>
      <c r="C3716" s="30" t="s">
        <v>8626</v>
      </c>
      <c r="D3716" s="30" t="s">
        <v>16312</v>
      </c>
      <c r="E3716" s="30" t="s">
        <v>16313</v>
      </c>
      <c r="F3716" s="30" t="s">
        <v>8618</v>
      </c>
      <c r="G3716" s="30" t="s">
        <v>10234</v>
      </c>
      <c r="H3716" s="30" t="s">
        <v>16314</v>
      </c>
    </row>
    <row r="3717" spans="1:8">
      <c r="A3717" s="30" t="s">
        <v>16315</v>
      </c>
      <c r="B3717" s="30"/>
      <c r="C3717" s="30" t="s">
        <v>8607</v>
      </c>
      <c r="D3717" s="30" t="s">
        <v>16316</v>
      </c>
      <c r="E3717" s="30" t="s">
        <v>16317</v>
      </c>
      <c r="F3717" s="30" t="s">
        <v>8672</v>
      </c>
      <c r="G3717" s="30" t="s">
        <v>14108</v>
      </c>
      <c r="H3717" s="30" t="s">
        <v>16318</v>
      </c>
    </row>
    <row r="3718" spans="1:8">
      <c r="A3718" s="30" t="s">
        <v>16319</v>
      </c>
      <c r="B3718" s="30"/>
      <c r="C3718" s="30" t="s">
        <v>8626</v>
      </c>
      <c r="D3718" s="30" t="s">
        <v>16320</v>
      </c>
      <c r="E3718" s="30" t="s">
        <v>16321</v>
      </c>
      <c r="F3718" s="30" t="s">
        <v>8618</v>
      </c>
      <c r="G3718" s="30"/>
      <c r="H3718" s="30" t="s">
        <v>16322</v>
      </c>
    </row>
    <row r="3719" spans="1:8">
      <c r="A3719" s="30" t="s">
        <v>16323</v>
      </c>
      <c r="B3719" s="30"/>
      <c r="C3719" s="30" t="s">
        <v>8626</v>
      </c>
      <c r="D3719" s="30" t="s">
        <v>16324</v>
      </c>
      <c r="E3719" s="30" t="s">
        <v>16325</v>
      </c>
      <c r="F3719" s="30" t="e">
        <v>#VALUE!</v>
      </c>
      <c r="G3719" s="30" t="s">
        <v>16326</v>
      </c>
      <c r="H3719" s="30" t="s">
        <v>16327</v>
      </c>
    </row>
    <row r="3720" spans="1:8">
      <c r="A3720" s="30" t="s">
        <v>16328</v>
      </c>
      <c r="B3720" s="30"/>
      <c r="C3720" s="30" t="s">
        <v>8607</v>
      </c>
      <c r="D3720" s="30" t="s">
        <v>16329</v>
      </c>
      <c r="E3720" s="30" t="s">
        <v>16330</v>
      </c>
      <c r="F3720" s="30" t="s">
        <v>8672</v>
      </c>
      <c r="G3720" s="30" t="s">
        <v>16331</v>
      </c>
      <c r="H3720" s="30" t="s">
        <v>16332</v>
      </c>
    </row>
    <row r="3721" spans="1:8">
      <c r="A3721" s="30" t="s">
        <v>16333</v>
      </c>
      <c r="B3721" s="30"/>
      <c r="C3721" s="30" t="s">
        <v>8607</v>
      </c>
      <c r="D3721" s="30"/>
      <c r="E3721" s="30"/>
      <c r="F3721" s="30"/>
      <c r="G3721" s="30" t="s">
        <v>16334</v>
      </c>
      <c r="H3721" s="30" t="s">
        <v>16335</v>
      </c>
    </row>
    <row r="3722" spans="1:8">
      <c r="A3722" s="30" t="s">
        <v>16336</v>
      </c>
      <c r="B3722" s="30"/>
      <c r="C3722" s="30" t="s">
        <v>8607</v>
      </c>
      <c r="D3722" s="30"/>
      <c r="E3722" s="30"/>
      <c r="F3722" s="30"/>
      <c r="G3722" s="30" t="s">
        <v>9259</v>
      </c>
      <c r="H3722" s="30" t="s">
        <v>16337</v>
      </c>
    </row>
    <row r="3723" spans="1:8">
      <c r="A3723" s="30" t="s">
        <v>16338</v>
      </c>
      <c r="B3723" s="30"/>
      <c r="C3723" s="30" t="s">
        <v>8607</v>
      </c>
      <c r="D3723" s="30" t="s">
        <v>12300</v>
      </c>
      <c r="E3723" s="30" t="s">
        <v>12571</v>
      </c>
      <c r="F3723" s="30" t="e">
        <v>#VALUE!</v>
      </c>
      <c r="G3723" s="30" t="s">
        <v>12302</v>
      </c>
      <c r="H3723" s="30" t="s">
        <v>16339</v>
      </c>
    </row>
    <row r="3724" spans="1:8">
      <c r="A3724" s="30" t="s">
        <v>16340</v>
      </c>
      <c r="B3724" s="30"/>
      <c r="C3724" s="30" t="s">
        <v>8607</v>
      </c>
      <c r="D3724" s="30" t="s">
        <v>16341</v>
      </c>
      <c r="E3724" s="30"/>
      <c r="F3724" s="30"/>
      <c r="G3724" s="30" t="s">
        <v>16342</v>
      </c>
      <c r="H3724" s="30" t="s">
        <v>16343</v>
      </c>
    </row>
    <row r="3725" spans="1:8">
      <c r="A3725" s="30" t="s">
        <v>16344</v>
      </c>
      <c r="B3725" s="30"/>
      <c r="C3725" s="30" t="s">
        <v>8607</v>
      </c>
      <c r="D3725" s="30" t="s">
        <v>12305</v>
      </c>
      <c r="E3725" s="30" t="s">
        <v>16345</v>
      </c>
      <c r="F3725" s="30" t="e">
        <v>#VALUE!</v>
      </c>
      <c r="G3725" s="30" t="s">
        <v>10451</v>
      </c>
      <c r="H3725" s="30" t="s">
        <v>16346</v>
      </c>
    </row>
    <row r="3726" spans="1:8">
      <c r="A3726" s="30" t="s">
        <v>16347</v>
      </c>
      <c r="B3726" s="30"/>
      <c r="C3726" s="30" t="s">
        <v>8607</v>
      </c>
      <c r="D3726" s="30" t="s">
        <v>16348</v>
      </c>
      <c r="E3726" s="30" t="s">
        <v>16349</v>
      </c>
      <c r="F3726" s="30" t="e">
        <v>#VALUE!</v>
      </c>
      <c r="G3726" s="30" t="s">
        <v>12302</v>
      </c>
      <c r="H3726" s="30" t="s">
        <v>16350</v>
      </c>
    </row>
    <row r="3727" spans="1:8">
      <c r="A3727" s="30" t="s">
        <v>16351</v>
      </c>
      <c r="B3727" s="30"/>
      <c r="C3727" s="30" t="s">
        <v>8626</v>
      </c>
      <c r="D3727" s="30" t="s">
        <v>16352</v>
      </c>
      <c r="E3727" s="30"/>
      <c r="F3727" s="30"/>
      <c r="G3727" s="30" t="s">
        <v>9920</v>
      </c>
      <c r="H3727" s="30" t="s">
        <v>16353</v>
      </c>
    </row>
    <row r="3728" spans="1:8">
      <c r="A3728" s="30" t="s">
        <v>16354</v>
      </c>
      <c r="B3728" s="30"/>
      <c r="C3728" s="30" t="s">
        <v>8607</v>
      </c>
      <c r="D3728" s="30"/>
      <c r="E3728" s="30" t="s">
        <v>9230</v>
      </c>
      <c r="F3728" s="30" t="e">
        <v>#VALUE!</v>
      </c>
      <c r="G3728" s="30" t="s">
        <v>9231</v>
      </c>
      <c r="H3728" s="30" t="s">
        <v>9232</v>
      </c>
    </row>
    <row r="3729" spans="1:8">
      <c r="A3729" s="30" t="s">
        <v>16355</v>
      </c>
      <c r="B3729" s="30"/>
      <c r="C3729" s="30" t="s">
        <v>8607</v>
      </c>
      <c r="D3729" s="30"/>
      <c r="E3729" s="30" t="s">
        <v>9230</v>
      </c>
      <c r="F3729" s="30" t="e">
        <v>#VALUE!</v>
      </c>
      <c r="G3729" s="30" t="s">
        <v>9231</v>
      </c>
      <c r="H3729" s="30" t="s">
        <v>15401</v>
      </c>
    </row>
    <row r="3730" spans="1:8">
      <c r="A3730" s="30" t="s">
        <v>16356</v>
      </c>
      <c r="B3730" s="30"/>
      <c r="C3730" s="30" t="s">
        <v>8626</v>
      </c>
      <c r="D3730" s="30" t="s">
        <v>16352</v>
      </c>
      <c r="E3730" s="30"/>
      <c r="F3730" s="30"/>
      <c r="G3730" s="30" t="s">
        <v>9920</v>
      </c>
      <c r="H3730" s="30" t="s">
        <v>16357</v>
      </c>
    </row>
    <row r="3731" spans="1:8">
      <c r="A3731" s="30" t="s">
        <v>16358</v>
      </c>
      <c r="B3731" s="30"/>
      <c r="C3731" s="30"/>
      <c r="D3731" s="32"/>
      <c r="E3731" s="30"/>
      <c r="F3731" s="30"/>
      <c r="G3731" s="30"/>
      <c r="H3731" s="30" t="s">
        <v>16359</v>
      </c>
    </row>
    <row r="3732" spans="1:8">
      <c r="A3732" s="30" t="s">
        <v>16360</v>
      </c>
      <c r="B3732" s="30"/>
      <c r="C3732" s="30" t="s">
        <v>8607</v>
      </c>
      <c r="D3732" s="30"/>
      <c r="E3732" s="30"/>
      <c r="F3732" s="30"/>
      <c r="G3732" s="30" t="s">
        <v>8965</v>
      </c>
      <c r="H3732" s="30" t="s">
        <v>16361</v>
      </c>
    </row>
    <row r="3733" spans="1:8">
      <c r="A3733" s="30" t="s">
        <v>16362</v>
      </c>
      <c r="B3733" s="30"/>
      <c r="C3733" s="30" t="s">
        <v>8626</v>
      </c>
      <c r="D3733" s="30" t="s">
        <v>16363</v>
      </c>
      <c r="E3733" s="30" t="s">
        <v>16364</v>
      </c>
      <c r="F3733" s="30" t="s">
        <v>8618</v>
      </c>
      <c r="G3733" s="30" t="s">
        <v>9672</v>
      </c>
      <c r="H3733" s="30" t="s">
        <v>16365</v>
      </c>
    </row>
    <row r="3734" spans="1:8">
      <c r="A3734" s="30" t="s">
        <v>16366</v>
      </c>
      <c r="B3734" s="30"/>
      <c r="C3734" s="30" t="s">
        <v>8607</v>
      </c>
      <c r="D3734" s="30" t="s">
        <v>16367</v>
      </c>
      <c r="E3734" s="30"/>
      <c r="F3734" s="30"/>
      <c r="G3734" s="30" t="s">
        <v>8623</v>
      </c>
      <c r="H3734" s="30" t="s">
        <v>16368</v>
      </c>
    </row>
    <row r="3735" spans="1:8">
      <c r="A3735" s="30" t="s">
        <v>16369</v>
      </c>
      <c r="B3735" s="30"/>
      <c r="C3735" s="30" t="s">
        <v>8607</v>
      </c>
      <c r="D3735" s="30" t="s">
        <v>16370</v>
      </c>
      <c r="E3735" s="30" t="s">
        <v>9258</v>
      </c>
      <c r="F3735" s="30" t="s">
        <v>8618</v>
      </c>
      <c r="G3735" s="30" t="s">
        <v>10234</v>
      </c>
      <c r="H3735" s="30" t="s">
        <v>13977</v>
      </c>
    </row>
    <row r="3736" spans="1:8">
      <c r="A3736" s="30" t="s">
        <v>16371</v>
      </c>
      <c r="B3736" s="30"/>
      <c r="C3736" s="30" t="s">
        <v>8626</v>
      </c>
      <c r="D3736" s="30" t="s">
        <v>16372</v>
      </c>
      <c r="E3736" s="30" t="s">
        <v>16373</v>
      </c>
      <c r="F3736" s="30" t="s">
        <v>8618</v>
      </c>
      <c r="G3736" s="30" t="s">
        <v>9735</v>
      </c>
      <c r="H3736" s="30" t="s">
        <v>16374</v>
      </c>
    </row>
    <row r="3737" spans="1:8">
      <c r="A3737" s="30" t="s">
        <v>16375</v>
      </c>
      <c r="B3737" s="30"/>
      <c r="C3737" s="30" t="s">
        <v>8607</v>
      </c>
      <c r="D3737" s="30"/>
      <c r="E3737" s="30"/>
      <c r="F3737" s="30"/>
      <c r="G3737" s="30" t="s">
        <v>9698</v>
      </c>
      <c r="H3737" s="30" t="s">
        <v>10147</v>
      </c>
    </row>
    <row r="3738" spans="1:8">
      <c r="A3738" s="30" t="s">
        <v>16376</v>
      </c>
      <c r="B3738" s="30"/>
      <c r="C3738" s="30" t="s">
        <v>8607</v>
      </c>
      <c r="D3738" s="30"/>
      <c r="E3738" s="30"/>
      <c r="F3738" s="30"/>
      <c r="G3738" s="30"/>
      <c r="H3738" s="30" t="s">
        <v>16377</v>
      </c>
    </row>
    <row r="3739" spans="1:8">
      <c r="A3739" s="30" t="s">
        <v>16378</v>
      </c>
      <c r="B3739" s="30"/>
      <c r="C3739" s="30" t="s">
        <v>8607</v>
      </c>
      <c r="D3739" s="30" t="s">
        <v>16379</v>
      </c>
      <c r="E3739" s="30" t="s">
        <v>16380</v>
      </c>
      <c r="F3739" s="30" t="e">
        <v>#VALUE!</v>
      </c>
      <c r="G3739" s="30" t="s">
        <v>9002</v>
      </c>
      <c r="H3739" s="30" t="s">
        <v>16381</v>
      </c>
    </row>
    <row r="3740" spans="1:8">
      <c r="A3740" s="30" t="s">
        <v>16382</v>
      </c>
      <c r="B3740" s="30"/>
      <c r="C3740" s="30" t="s">
        <v>8626</v>
      </c>
      <c r="D3740" s="30" t="s">
        <v>13145</v>
      </c>
      <c r="E3740" s="30" t="s">
        <v>16383</v>
      </c>
      <c r="F3740" s="30" t="s">
        <v>8672</v>
      </c>
      <c r="G3740" s="30" t="s">
        <v>13147</v>
      </c>
      <c r="H3740" s="30" t="s">
        <v>16384</v>
      </c>
    </row>
    <row r="3741" spans="1:8">
      <c r="A3741" s="30" t="s">
        <v>16385</v>
      </c>
      <c r="B3741" s="30"/>
      <c r="C3741" s="30" t="s">
        <v>8607</v>
      </c>
      <c r="D3741" s="30"/>
      <c r="E3741" s="30"/>
      <c r="F3741" s="30"/>
      <c r="G3741" s="30" t="s">
        <v>8656</v>
      </c>
      <c r="H3741" s="30" t="s">
        <v>16386</v>
      </c>
    </row>
    <row r="3742" spans="1:8">
      <c r="A3742" s="30" t="s">
        <v>16387</v>
      </c>
      <c r="B3742" s="30"/>
      <c r="C3742" s="30" t="s">
        <v>8607</v>
      </c>
      <c r="D3742" s="30"/>
      <c r="E3742" s="30"/>
      <c r="F3742" s="30"/>
      <c r="G3742" s="30"/>
      <c r="H3742" s="30" t="s">
        <v>12530</v>
      </c>
    </row>
    <row r="3743" spans="1:8">
      <c r="A3743" s="30" t="s">
        <v>16388</v>
      </c>
      <c r="B3743" s="30"/>
      <c r="C3743" s="30" t="s">
        <v>8607</v>
      </c>
      <c r="D3743" s="30" t="s">
        <v>16389</v>
      </c>
      <c r="E3743" s="30" t="s">
        <v>16390</v>
      </c>
      <c r="F3743" s="30" t="s">
        <v>8618</v>
      </c>
      <c r="G3743" s="30" t="s">
        <v>16391</v>
      </c>
      <c r="H3743" s="30" t="s">
        <v>16392</v>
      </c>
    </row>
    <row r="3744" spans="1:8">
      <c r="A3744" s="30" t="s">
        <v>16393</v>
      </c>
      <c r="B3744" s="30"/>
      <c r="C3744" s="30" t="s">
        <v>8607</v>
      </c>
      <c r="D3744" s="30" t="s">
        <v>9765</v>
      </c>
      <c r="E3744" s="30" t="s">
        <v>9766</v>
      </c>
      <c r="F3744" s="30" t="s">
        <v>8618</v>
      </c>
      <c r="G3744" s="30" t="s">
        <v>9767</v>
      </c>
      <c r="H3744" s="30" t="s">
        <v>16394</v>
      </c>
    </row>
    <row r="3745" spans="1:8">
      <c r="A3745" s="30" t="s">
        <v>16395</v>
      </c>
      <c r="B3745" s="30"/>
      <c r="C3745" s="30" t="s">
        <v>8607</v>
      </c>
      <c r="D3745" s="30" t="s">
        <v>16396</v>
      </c>
      <c r="E3745" s="30" t="s">
        <v>16397</v>
      </c>
      <c r="F3745" s="30" t="s">
        <v>8672</v>
      </c>
      <c r="G3745" s="30" t="s">
        <v>9677</v>
      </c>
      <c r="H3745" s="30" t="s">
        <v>14771</v>
      </c>
    </row>
    <row r="3746" spans="1:8">
      <c r="A3746" s="30" t="s">
        <v>16398</v>
      </c>
      <c r="B3746" s="30"/>
      <c r="C3746" s="30" t="s">
        <v>8626</v>
      </c>
      <c r="D3746" s="30" t="s">
        <v>16399</v>
      </c>
      <c r="E3746" s="30"/>
      <c r="F3746" s="30"/>
      <c r="G3746" s="30" t="s">
        <v>16400</v>
      </c>
      <c r="H3746" s="30" t="s">
        <v>16401</v>
      </c>
    </row>
    <row r="3747" spans="1:8">
      <c r="A3747" s="30" t="s">
        <v>16402</v>
      </c>
      <c r="B3747" s="30"/>
      <c r="C3747" s="30" t="s">
        <v>8607</v>
      </c>
      <c r="D3747" s="30" t="s">
        <v>8938</v>
      </c>
      <c r="E3747" s="30"/>
      <c r="F3747" s="30"/>
      <c r="G3747" s="30" t="s">
        <v>8737</v>
      </c>
      <c r="H3747" s="30" t="s">
        <v>10084</v>
      </c>
    </row>
    <row r="3748" spans="1:8">
      <c r="A3748" s="30" t="s">
        <v>16403</v>
      </c>
      <c r="B3748" s="30"/>
      <c r="C3748" s="30" t="s">
        <v>8626</v>
      </c>
      <c r="D3748" s="30" t="s">
        <v>16404</v>
      </c>
      <c r="E3748" s="30" t="s">
        <v>16405</v>
      </c>
      <c r="F3748" s="30" t="s">
        <v>8672</v>
      </c>
      <c r="G3748" s="30" t="s">
        <v>16406</v>
      </c>
      <c r="H3748" s="30" t="s">
        <v>16407</v>
      </c>
    </row>
    <row r="3749" spans="1:8">
      <c r="A3749" s="30" t="s">
        <v>16408</v>
      </c>
      <c r="B3749" s="30"/>
      <c r="C3749" s="30" t="s">
        <v>8607</v>
      </c>
      <c r="D3749" s="30"/>
      <c r="E3749" s="30"/>
      <c r="F3749" s="30"/>
      <c r="G3749" s="30"/>
      <c r="H3749" s="30" t="s">
        <v>16409</v>
      </c>
    </row>
    <row r="3750" spans="1:8">
      <c r="A3750" s="30" t="s">
        <v>16410</v>
      </c>
      <c r="B3750" s="30"/>
      <c r="C3750" s="30" t="s">
        <v>8607</v>
      </c>
      <c r="D3750" s="30"/>
      <c r="E3750" s="30" t="s">
        <v>16411</v>
      </c>
      <c r="F3750" s="30" t="e">
        <v>#VALUE!</v>
      </c>
      <c r="G3750" s="30" t="s">
        <v>16412</v>
      </c>
      <c r="H3750" s="30" t="s">
        <v>16413</v>
      </c>
    </row>
    <row r="3751" spans="1:8">
      <c r="A3751" s="30" t="s">
        <v>16414</v>
      </c>
      <c r="B3751" s="30"/>
      <c r="C3751" s="30" t="s">
        <v>8607</v>
      </c>
      <c r="D3751" s="30" t="s">
        <v>8961</v>
      </c>
      <c r="E3751" s="30" t="s">
        <v>8962</v>
      </c>
      <c r="F3751" s="30" t="e">
        <v>#VALUE!</v>
      </c>
      <c r="G3751" s="30" t="s">
        <v>8691</v>
      </c>
      <c r="H3751" s="30" t="s">
        <v>16415</v>
      </c>
    </row>
    <row r="3752" spans="1:8">
      <c r="A3752" s="30" t="s">
        <v>16416</v>
      </c>
      <c r="B3752" s="30"/>
      <c r="C3752" s="30" t="s">
        <v>8607</v>
      </c>
      <c r="D3752" s="30"/>
      <c r="E3752" s="30"/>
      <c r="F3752" s="30"/>
      <c r="G3752" s="30"/>
      <c r="H3752" s="30" t="s">
        <v>16417</v>
      </c>
    </row>
    <row r="3753" spans="1:8">
      <c r="A3753" s="30" t="s">
        <v>16418</v>
      </c>
      <c r="B3753" s="30"/>
      <c r="C3753" s="30" t="s">
        <v>8607</v>
      </c>
      <c r="D3753" s="30"/>
      <c r="E3753" s="30"/>
      <c r="F3753" s="30"/>
      <c r="G3753" s="30"/>
      <c r="H3753" s="30" t="s">
        <v>16419</v>
      </c>
    </row>
    <row r="3754" spans="1:8">
      <c r="A3754" s="30" t="s">
        <v>16420</v>
      </c>
      <c r="B3754" s="30"/>
      <c r="C3754" s="30" t="s">
        <v>8607</v>
      </c>
      <c r="D3754" s="30" t="s">
        <v>16421</v>
      </c>
      <c r="E3754" s="30" t="s">
        <v>16422</v>
      </c>
      <c r="F3754" s="30" t="s">
        <v>8672</v>
      </c>
      <c r="G3754" s="30"/>
      <c r="H3754" s="30" t="s">
        <v>16423</v>
      </c>
    </row>
    <row r="3755" spans="1:8">
      <c r="A3755" s="30" t="s">
        <v>16424</v>
      </c>
      <c r="B3755" s="30"/>
      <c r="C3755" s="30" t="s">
        <v>8607</v>
      </c>
      <c r="D3755" s="30" t="s">
        <v>16425</v>
      </c>
      <c r="E3755" s="30" t="s">
        <v>10049</v>
      </c>
      <c r="F3755" s="30" t="s">
        <v>8618</v>
      </c>
      <c r="G3755" s="30" t="s">
        <v>9796</v>
      </c>
      <c r="H3755" s="30" t="s">
        <v>10082</v>
      </c>
    </row>
    <row r="3756" spans="1:8">
      <c r="A3756" s="30" t="s">
        <v>16426</v>
      </c>
      <c r="B3756" s="30"/>
      <c r="C3756" s="30" t="s">
        <v>8626</v>
      </c>
      <c r="D3756" s="30" t="s">
        <v>14281</v>
      </c>
      <c r="E3756" s="30" t="s">
        <v>14282</v>
      </c>
      <c r="F3756" s="30" t="s">
        <v>8618</v>
      </c>
      <c r="G3756" s="30" t="s">
        <v>9268</v>
      </c>
      <c r="H3756" s="30" t="s">
        <v>16427</v>
      </c>
    </row>
    <row r="3757" spans="1:8">
      <c r="A3757" s="30" t="s">
        <v>16428</v>
      </c>
      <c r="B3757" s="30"/>
      <c r="C3757" s="30"/>
      <c r="D3757" s="32"/>
      <c r="E3757" s="30"/>
      <c r="F3757" s="30"/>
      <c r="G3757" s="30"/>
      <c r="H3757" s="30" t="s">
        <v>16429</v>
      </c>
    </row>
    <row r="3758" spans="1:8">
      <c r="A3758" s="30" t="s">
        <v>16430</v>
      </c>
      <c r="B3758" s="30"/>
      <c r="C3758" s="30" t="s">
        <v>8607</v>
      </c>
      <c r="D3758" s="30"/>
      <c r="E3758" s="30"/>
      <c r="F3758" s="30"/>
      <c r="G3758" s="30" t="s">
        <v>8623</v>
      </c>
      <c r="H3758" s="30" t="s">
        <v>16431</v>
      </c>
    </row>
    <row r="3759" spans="1:8">
      <c r="A3759" s="30" t="s">
        <v>16432</v>
      </c>
      <c r="B3759" s="30"/>
      <c r="C3759" s="30" t="s">
        <v>8607</v>
      </c>
      <c r="D3759" s="30" t="s">
        <v>9553</v>
      </c>
      <c r="E3759" s="30" t="s">
        <v>9554</v>
      </c>
      <c r="F3759" s="30" t="s">
        <v>8672</v>
      </c>
      <c r="G3759" s="30" t="s">
        <v>9555</v>
      </c>
      <c r="H3759" s="30" t="s">
        <v>16433</v>
      </c>
    </row>
    <row r="3760" spans="1:8">
      <c r="A3760" s="30" t="s">
        <v>16434</v>
      </c>
      <c r="B3760" s="30"/>
      <c r="C3760" s="30" t="s">
        <v>8626</v>
      </c>
      <c r="D3760" s="30" t="s">
        <v>9553</v>
      </c>
      <c r="E3760" s="30" t="s">
        <v>9554</v>
      </c>
      <c r="F3760" s="30" t="s">
        <v>8672</v>
      </c>
      <c r="G3760" s="30" t="s">
        <v>9555</v>
      </c>
      <c r="H3760" s="30" t="s">
        <v>16435</v>
      </c>
    </row>
    <row r="3761" spans="1:8">
      <c r="A3761" s="30" t="s">
        <v>16436</v>
      </c>
      <c r="B3761" s="30"/>
      <c r="C3761" s="30" t="s">
        <v>8607</v>
      </c>
      <c r="D3761" s="30" t="s">
        <v>16437</v>
      </c>
      <c r="E3761" s="30" t="s">
        <v>16438</v>
      </c>
      <c r="F3761" s="30" t="e">
        <v>#VALUE!</v>
      </c>
      <c r="G3761" s="30" t="s">
        <v>16439</v>
      </c>
      <c r="H3761" s="30" t="s">
        <v>16440</v>
      </c>
    </row>
    <row r="3762" spans="1:8">
      <c r="A3762" s="30" t="s">
        <v>16441</v>
      </c>
      <c r="B3762" s="30"/>
      <c r="C3762" s="30" t="s">
        <v>8607</v>
      </c>
      <c r="D3762" s="30" t="s">
        <v>9533</v>
      </c>
      <c r="E3762" s="30" t="s">
        <v>9534</v>
      </c>
      <c r="F3762" s="30" t="s">
        <v>8618</v>
      </c>
      <c r="G3762" s="30" t="s">
        <v>9535</v>
      </c>
      <c r="H3762" s="30" t="s">
        <v>9536</v>
      </c>
    </row>
    <row r="3763" spans="1:8">
      <c r="A3763" s="30" t="s">
        <v>16442</v>
      </c>
      <c r="B3763" s="30"/>
      <c r="C3763" s="30" t="s">
        <v>8607</v>
      </c>
      <c r="D3763" s="30" t="s">
        <v>13051</v>
      </c>
      <c r="E3763" s="30" t="s">
        <v>8655</v>
      </c>
      <c r="F3763" s="30" t="s">
        <v>8618</v>
      </c>
      <c r="G3763" s="30" t="s">
        <v>8656</v>
      </c>
      <c r="H3763" s="30" t="s">
        <v>16443</v>
      </c>
    </row>
    <row r="3764" spans="1:8">
      <c r="A3764" s="30" t="s">
        <v>16444</v>
      </c>
      <c r="B3764" s="30"/>
      <c r="C3764" s="30" t="s">
        <v>8607</v>
      </c>
      <c r="D3764" s="30" t="s">
        <v>9824</v>
      </c>
      <c r="E3764" s="30"/>
      <c r="F3764" s="30"/>
      <c r="G3764" s="30" t="s">
        <v>9002</v>
      </c>
      <c r="H3764" s="30" t="s">
        <v>9825</v>
      </c>
    </row>
    <row r="3765" spans="1:8">
      <c r="A3765" s="30" t="s">
        <v>16445</v>
      </c>
      <c r="B3765" s="30"/>
      <c r="C3765" s="30" t="s">
        <v>8626</v>
      </c>
      <c r="D3765" s="30" t="s">
        <v>16446</v>
      </c>
      <c r="E3765" s="30" t="s">
        <v>9987</v>
      </c>
      <c r="F3765" s="30" t="s">
        <v>8618</v>
      </c>
      <c r="G3765" s="30" t="s">
        <v>9988</v>
      </c>
      <c r="H3765" s="30" t="s">
        <v>16447</v>
      </c>
    </row>
    <row r="3766" spans="1:8">
      <c r="A3766" s="30" t="s">
        <v>16448</v>
      </c>
      <c r="B3766" s="30"/>
      <c r="C3766" s="30" t="s">
        <v>8626</v>
      </c>
      <c r="D3766" s="30" t="s">
        <v>16449</v>
      </c>
      <c r="E3766" s="30" t="s">
        <v>16450</v>
      </c>
      <c r="F3766" s="30" t="s">
        <v>8672</v>
      </c>
      <c r="G3766" s="30" t="s">
        <v>16451</v>
      </c>
      <c r="H3766" s="30" t="s">
        <v>16452</v>
      </c>
    </row>
    <row r="3767" spans="1:8">
      <c r="A3767" s="30" t="s">
        <v>16453</v>
      </c>
      <c r="B3767" s="30"/>
      <c r="C3767" s="30" t="s">
        <v>8607</v>
      </c>
      <c r="D3767" s="30" t="s">
        <v>16454</v>
      </c>
      <c r="E3767" s="30" t="s">
        <v>16455</v>
      </c>
      <c r="F3767" s="30" t="s">
        <v>8618</v>
      </c>
      <c r="G3767" s="30" t="s">
        <v>9821</v>
      </c>
      <c r="H3767" s="30" t="s">
        <v>16456</v>
      </c>
    </row>
    <row r="3768" spans="1:8">
      <c r="A3768" s="30" t="s">
        <v>16457</v>
      </c>
      <c r="B3768" s="30"/>
      <c r="C3768" s="30" t="s">
        <v>8626</v>
      </c>
      <c r="D3768" s="30"/>
      <c r="E3768" s="30"/>
      <c r="F3768" s="30"/>
      <c r="G3768" s="30" t="s">
        <v>9431</v>
      </c>
      <c r="H3768" s="30" t="s">
        <v>16458</v>
      </c>
    </row>
    <row r="3769" spans="1:8">
      <c r="A3769" s="30" t="s">
        <v>16459</v>
      </c>
      <c r="B3769" s="30"/>
      <c r="C3769" s="30" t="s">
        <v>8607</v>
      </c>
      <c r="D3769" s="30"/>
      <c r="E3769" s="30"/>
      <c r="F3769" s="30"/>
      <c r="G3769" s="30" t="s">
        <v>9428</v>
      </c>
      <c r="H3769" s="30" t="s">
        <v>9429</v>
      </c>
    </row>
    <row r="3770" spans="1:8">
      <c r="A3770" s="30" t="s">
        <v>16460</v>
      </c>
      <c r="B3770" s="30"/>
      <c r="C3770" s="30" t="s">
        <v>8607</v>
      </c>
      <c r="D3770" s="30"/>
      <c r="E3770" s="30"/>
      <c r="F3770" s="30"/>
      <c r="G3770" s="30" t="s">
        <v>9428</v>
      </c>
      <c r="H3770" s="30" t="s">
        <v>16461</v>
      </c>
    </row>
    <row r="3771" spans="1:8">
      <c r="A3771" s="30" t="s">
        <v>16462</v>
      </c>
      <c r="B3771" s="30"/>
      <c r="C3771" s="30" t="s">
        <v>8607</v>
      </c>
      <c r="D3771" s="30"/>
      <c r="E3771" s="30"/>
      <c r="F3771" s="30"/>
      <c r="G3771" s="30" t="s">
        <v>9431</v>
      </c>
      <c r="H3771" s="30" t="s">
        <v>9663</v>
      </c>
    </row>
    <row r="3772" spans="1:8">
      <c r="A3772" s="30" t="s">
        <v>16463</v>
      </c>
      <c r="B3772" s="30"/>
      <c r="C3772" s="30" t="s">
        <v>8607</v>
      </c>
      <c r="D3772" s="30"/>
      <c r="E3772" s="30"/>
      <c r="F3772" s="30"/>
      <c r="G3772" s="30" t="s">
        <v>8807</v>
      </c>
      <c r="H3772" s="30" t="s">
        <v>16464</v>
      </c>
    </row>
    <row r="3773" spans="1:8">
      <c r="A3773" s="30" t="s">
        <v>16465</v>
      </c>
      <c r="B3773" s="30"/>
      <c r="C3773" s="30" t="s">
        <v>8607</v>
      </c>
      <c r="D3773" s="30" t="s">
        <v>16466</v>
      </c>
      <c r="E3773" s="30" t="s">
        <v>9399</v>
      </c>
      <c r="F3773" s="30" t="s">
        <v>8672</v>
      </c>
      <c r="G3773" s="30" t="s">
        <v>9400</v>
      </c>
      <c r="H3773" s="30" t="s">
        <v>9401</v>
      </c>
    </row>
    <row r="3774" spans="1:8">
      <c r="A3774" s="30" t="s">
        <v>16467</v>
      </c>
      <c r="B3774" s="30"/>
      <c r="C3774" s="30" t="s">
        <v>8607</v>
      </c>
      <c r="D3774" s="30" t="s">
        <v>16468</v>
      </c>
      <c r="E3774" s="30" t="s">
        <v>16469</v>
      </c>
      <c r="F3774" s="30" t="s">
        <v>8618</v>
      </c>
      <c r="G3774" s="30" t="s">
        <v>14201</v>
      </c>
      <c r="H3774" s="30" t="s">
        <v>16470</v>
      </c>
    </row>
    <row r="3775" spans="1:8">
      <c r="A3775" s="30" t="s">
        <v>16471</v>
      </c>
      <c r="B3775" s="30"/>
      <c r="C3775" s="30" t="s">
        <v>8607</v>
      </c>
      <c r="D3775" s="30" t="s">
        <v>9174</v>
      </c>
      <c r="E3775" s="30"/>
      <c r="F3775" s="30"/>
      <c r="G3775" s="30" t="s">
        <v>16472</v>
      </c>
      <c r="H3775" s="30" t="s">
        <v>16473</v>
      </c>
    </row>
    <row r="3776" spans="1:8">
      <c r="A3776" s="30" t="s">
        <v>16474</v>
      </c>
      <c r="B3776" s="30"/>
      <c r="C3776" s="30" t="s">
        <v>8626</v>
      </c>
      <c r="D3776" s="30"/>
      <c r="E3776" s="30"/>
      <c r="F3776" s="30"/>
      <c r="G3776" s="30" t="s">
        <v>14035</v>
      </c>
      <c r="H3776" s="30" t="s">
        <v>16475</v>
      </c>
    </row>
    <row r="3777" spans="1:8">
      <c r="A3777" s="30" t="s">
        <v>16476</v>
      </c>
      <c r="B3777" s="30"/>
      <c r="C3777" s="30" t="s">
        <v>8626</v>
      </c>
      <c r="D3777" s="30" t="s">
        <v>16477</v>
      </c>
      <c r="E3777" s="30"/>
      <c r="F3777" s="30"/>
      <c r="G3777" s="30" t="s">
        <v>16478</v>
      </c>
      <c r="H3777" s="30" t="s">
        <v>16479</v>
      </c>
    </row>
    <row r="3778" spans="1:8">
      <c r="A3778" s="30" t="s">
        <v>16480</v>
      </c>
      <c r="B3778" s="30"/>
      <c r="C3778" s="30" t="s">
        <v>8607</v>
      </c>
      <c r="D3778" s="30"/>
      <c r="E3778" s="30" t="s">
        <v>16481</v>
      </c>
      <c r="F3778" s="30" t="s">
        <v>8672</v>
      </c>
      <c r="G3778" s="30" t="s">
        <v>16478</v>
      </c>
      <c r="H3778" s="30" t="s">
        <v>16482</v>
      </c>
    </row>
    <row r="3779" spans="1:8">
      <c r="A3779" s="30" t="s">
        <v>16483</v>
      </c>
      <c r="B3779" s="30"/>
      <c r="C3779" s="30" t="s">
        <v>8607</v>
      </c>
      <c r="D3779" s="30" t="s">
        <v>16484</v>
      </c>
      <c r="E3779" s="30" t="s">
        <v>16481</v>
      </c>
      <c r="F3779" s="30" t="s">
        <v>8672</v>
      </c>
      <c r="G3779" s="30" t="s">
        <v>16478</v>
      </c>
      <c r="H3779" s="30" t="s">
        <v>16482</v>
      </c>
    </row>
    <row r="3780" spans="1:8">
      <c r="A3780" s="30" t="s">
        <v>16485</v>
      </c>
      <c r="B3780" s="30"/>
      <c r="C3780" s="30" t="s">
        <v>8607</v>
      </c>
      <c r="D3780" s="30" t="s">
        <v>16484</v>
      </c>
      <c r="E3780" s="30" t="s">
        <v>16481</v>
      </c>
      <c r="F3780" s="30" t="s">
        <v>8672</v>
      </c>
      <c r="G3780" s="30"/>
      <c r="H3780" s="30" t="s">
        <v>16482</v>
      </c>
    </row>
    <row r="3781" spans="1:8">
      <c r="A3781" s="30" t="s">
        <v>16486</v>
      </c>
      <c r="B3781" s="30"/>
      <c r="C3781" s="30" t="s">
        <v>8607</v>
      </c>
      <c r="D3781" s="30" t="s">
        <v>16487</v>
      </c>
      <c r="E3781" s="30" t="s">
        <v>9149</v>
      </c>
      <c r="F3781" s="30" t="s">
        <v>8672</v>
      </c>
      <c r="G3781" s="30" t="s">
        <v>9002</v>
      </c>
      <c r="H3781" s="30" t="s">
        <v>16488</v>
      </c>
    </row>
    <row r="3782" spans="1:8">
      <c r="A3782" s="30" t="s">
        <v>16489</v>
      </c>
      <c r="B3782" s="30"/>
      <c r="C3782" s="30" t="s">
        <v>8607</v>
      </c>
      <c r="D3782" s="30" t="s">
        <v>16490</v>
      </c>
      <c r="E3782" s="30"/>
      <c r="F3782" s="30"/>
      <c r="G3782" s="30" t="s">
        <v>9171</v>
      </c>
      <c r="H3782" s="30" t="s">
        <v>16491</v>
      </c>
    </row>
    <row r="3783" spans="1:8">
      <c r="A3783" s="30" t="s">
        <v>16492</v>
      </c>
      <c r="B3783" s="30"/>
      <c r="C3783" s="30" t="s">
        <v>8607</v>
      </c>
      <c r="D3783" s="30" t="s">
        <v>16487</v>
      </c>
      <c r="E3783" s="30" t="s">
        <v>14249</v>
      </c>
      <c r="F3783" s="30" t="s">
        <v>8672</v>
      </c>
      <c r="G3783" s="30" t="s">
        <v>9002</v>
      </c>
      <c r="H3783" s="30" t="s">
        <v>16493</v>
      </c>
    </row>
    <row r="3784" spans="1:8">
      <c r="A3784" s="30" t="s">
        <v>16494</v>
      </c>
      <c r="B3784" s="30"/>
      <c r="C3784" s="30" t="s">
        <v>8607</v>
      </c>
      <c r="D3784" s="30" t="s">
        <v>16495</v>
      </c>
      <c r="E3784" s="30" t="s">
        <v>16496</v>
      </c>
      <c r="F3784" s="30" t="s">
        <v>8618</v>
      </c>
      <c r="G3784" s="30" t="s">
        <v>9098</v>
      </c>
      <c r="H3784" s="30" t="s">
        <v>16497</v>
      </c>
    </row>
    <row r="3785" spans="1:8">
      <c r="A3785" s="30" t="s">
        <v>16498</v>
      </c>
      <c r="B3785" s="30"/>
      <c r="C3785" s="30" t="s">
        <v>8607</v>
      </c>
      <c r="D3785" s="30" t="s">
        <v>11525</v>
      </c>
      <c r="E3785" s="30" t="s">
        <v>16499</v>
      </c>
      <c r="F3785" s="30" t="s">
        <v>8672</v>
      </c>
      <c r="G3785" s="30" t="s">
        <v>11527</v>
      </c>
      <c r="H3785" s="30" t="s">
        <v>16500</v>
      </c>
    </row>
    <row r="3786" spans="1:8">
      <c r="A3786" s="30" t="s">
        <v>16501</v>
      </c>
      <c r="B3786" s="30"/>
      <c r="C3786" s="30" t="s">
        <v>8607</v>
      </c>
      <c r="D3786" s="30" t="s">
        <v>11525</v>
      </c>
      <c r="E3786" s="30" t="s">
        <v>13990</v>
      </c>
      <c r="F3786" s="30" t="s">
        <v>8672</v>
      </c>
      <c r="G3786" s="30" t="s">
        <v>11527</v>
      </c>
      <c r="H3786" s="30" t="s">
        <v>16502</v>
      </c>
    </row>
    <row r="3787" spans="1:8">
      <c r="A3787" s="30" t="s">
        <v>16503</v>
      </c>
      <c r="B3787" s="30"/>
      <c r="C3787" s="30" t="s">
        <v>8626</v>
      </c>
      <c r="D3787" s="30" t="s">
        <v>16504</v>
      </c>
      <c r="E3787" s="30" t="s">
        <v>16505</v>
      </c>
      <c r="F3787" s="30" t="s">
        <v>8618</v>
      </c>
      <c r="G3787" s="30"/>
      <c r="H3787" s="30" t="s">
        <v>16506</v>
      </c>
    </row>
    <row r="3788" spans="1:8">
      <c r="A3788" s="30" t="s">
        <v>16507</v>
      </c>
      <c r="B3788" s="30"/>
      <c r="C3788" s="30" t="s">
        <v>8607</v>
      </c>
      <c r="D3788" s="30" t="s">
        <v>16508</v>
      </c>
      <c r="E3788" s="30" t="s">
        <v>16509</v>
      </c>
      <c r="F3788" s="30" t="s">
        <v>8618</v>
      </c>
      <c r="G3788" s="30" t="s">
        <v>16510</v>
      </c>
      <c r="H3788" s="30" t="s">
        <v>16511</v>
      </c>
    </row>
    <row r="3789" spans="1:8">
      <c r="A3789" s="30" t="s">
        <v>16512</v>
      </c>
      <c r="B3789" s="30"/>
      <c r="C3789" s="30" t="s">
        <v>8607</v>
      </c>
      <c r="D3789" s="30" t="s">
        <v>9000</v>
      </c>
      <c r="E3789" s="30" t="s">
        <v>13045</v>
      </c>
      <c r="F3789" s="30" t="e">
        <v>#VALUE!</v>
      </c>
      <c r="G3789" s="30" t="s">
        <v>9002</v>
      </c>
      <c r="H3789" s="30" t="s">
        <v>9707</v>
      </c>
    </row>
    <row r="3790" spans="1:8">
      <c r="A3790" s="30" t="s">
        <v>16513</v>
      </c>
      <c r="B3790" s="30"/>
      <c r="C3790" s="30" t="s">
        <v>8607</v>
      </c>
      <c r="D3790" s="30" t="s">
        <v>16514</v>
      </c>
      <c r="E3790" s="30" t="s">
        <v>16515</v>
      </c>
      <c r="F3790" s="30" t="e">
        <v>#VALUE!</v>
      </c>
      <c r="G3790" s="30" t="s">
        <v>16478</v>
      </c>
      <c r="H3790" s="30" t="s">
        <v>16516</v>
      </c>
    </row>
    <row r="3791" spans="1:8">
      <c r="A3791" s="30" t="s">
        <v>16517</v>
      </c>
      <c r="B3791" s="30"/>
      <c r="C3791" s="30" t="s">
        <v>8607</v>
      </c>
      <c r="D3791" s="30" t="s">
        <v>16518</v>
      </c>
      <c r="E3791" s="30" t="s">
        <v>16519</v>
      </c>
      <c r="F3791" s="30" t="e">
        <v>#VALUE!</v>
      </c>
      <c r="G3791" s="30" t="s">
        <v>16478</v>
      </c>
      <c r="H3791" s="30" t="s">
        <v>16520</v>
      </c>
    </row>
    <row r="3792" spans="1:8">
      <c r="A3792" s="30" t="s">
        <v>16521</v>
      </c>
      <c r="B3792" s="30"/>
      <c r="C3792" s="30" t="s">
        <v>8607</v>
      </c>
      <c r="D3792" s="30"/>
      <c r="E3792" s="30"/>
      <c r="F3792" s="30"/>
      <c r="G3792" s="30"/>
      <c r="H3792" s="30" t="s">
        <v>16522</v>
      </c>
    </row>
    <row r="3793" spans="1:8">
      <c r="A3793" s="30" t="s">
        <v>16523</v>
      </c>
      <c r="B3793" s="30"/>
      <c r="C3793" s="30" t="s">
        <v>8607</v>
      </c>
      <c r="D3793" s="30" t="s">
        <v>13975</v>
      </c>
      <c r="E3793" s="30" t="s">
        <v>9258</v>
      </c>
      <c r="F3793" s="30" t="s">
        <v>8618</v>
      </c>
      <c r="G3793" s="30" t="s">
        <v>10234</v>
      </c>
      <c r="H3793" s="30" t="s">
        <v>13977</v>
      </c>
    </row>
    <row r="3794" spans="1:8">
      <c r="A3794" s="30" t="s">
        <v>16524</v>
      </c>
      <c r="B3794" s="30"/>
      <c r="C3794" s="30" t="s">
        <v>8626</v>
      </c>
      <c r="D3794" s="30"/>
      <c r="E3794" s="30"/>
      <c r="F3794" s="30"/>
      <c r="G3794" s="30" t="s">
        <v>16326</v>
      </c>
      <c r="H3794" s="30" t="s">
        <v>16525</v>
      </c>
    </row>
    <row r="3795" spans="1:8">
      <c r="A3795" s="30" t="s">
        <v>16526</v>
      </c>
      <c r="B3795" s="30"/>
      <c r="C3795" s="30" t="s">
        <v>8607</v>
      </c>
      <c r="D3795" s="30" t="s">
        <v>9490</v>
      </c>
      <c r="E3795" s="30" t="s">
        <v>9491</v>
      </c>
      <c r="F3795" s="30" t="s">
        <v>8672</v>
      </c>
      <c r="G3795" s="30" t="s">
        <v>8659</v>
      </c>
      <c r="H3795" s="30" t="s">
        <v>16527</v>
      </c>
    </row>
    <row r="3796" spans="1:8">
      <c r="A3796" s="30" t="s">
        <v>16528</v>
      </c>
      <c r="B3796" s="30"/>
      <c r="C3796" s="30" t="s">
        <v>8607</v>
      </c>
      <c r="D3796" s="30" t="s">
        <v>16529</v>
      </c>
      <c r="E3796" s="30" t="s">
        <v>16530</v>
      </c>
      <c r="F3796" s="30" t="e">
        <v>#VALUE!</v>
      </c>
      <c r="G3796" s="30" t="s">
        <v>16531</v>
      </c>
      <c r="H3796" s="30" t="s">
        <v>16532</v>
      </c>
    </row>
    <row r="3797" spans="1:8">
      <c r="A3797" s="30" t="s">
        <v>16533</v>
      </c>
      <c r="B3797" s="30"/>
      <c r="C3797" s="30" t="s">
        <v>8607</v>
      </c>
      <c r="D3797" s="30"/>
      <c r="E3797" s="30"/>
      <c r="F3797" s="30"/>
      <c r="G3797" s="30" t="s">
        <v>16534</v>
      </c>
      <c r="H3797" s="30" t="s">
        <v>16535</v>
      </c>
    </row>
    <row r="3798" spans="1:8">
      <c r="A3798" s="30" t="s">
        <v>16536</v>
      </c>
      <c r="B3798" s="30"/>
      <c r="C3798" s="30" t="s">
        <v>8607</v>
      </c>
      <c r="D3798" s="30"/>
      <c r="E3798" s="30"/>
      <c r="F3798" s="30"/>
      <c r="G3798" s="30"/>
      <c r="H3798" s="30" t="s">
        <v>12530</v>
      </c>
    </row>
    <row r="3799" spans="1:8">
      <c r="A3799" s="30" t="s">
        <v>16537</v>
      </c>
      <c r="B3799" s="30"/>
      <c r="C3799" s="30" t="s">
        <v>8607</v>
      </c>
      <c r="D3799" s="30"/>
      <c r="E3799" s="30" t="s">
        <v>9230</v>
      </c>
      <c r="F3799" s="30" t="e">
        <v>#VALUE!</v>
      </c>
      <c r="G3799" s="30" t="s">
        <v>9231</v>
      </c>
      <c r="H3799" s="30" t="s">
        <v>16538</v>
      </c>
    </row>
    <row r="3800" spans="1:8">
      <c r="A3800" s="30" t="s">
        <v>16539</v>
      </c>
      <c r="B3800" s="30"/>
      <c r="C3800" s="30" t="s">
        <v>8607</v>
      </c>
      <c r="D3800" s="30" t="s">
        <v>14101</v>
      </c>
      <c r="E3800" s="30" t="s">
        <v>14099</v>
      </c>
      <c r="F3800" s="30" t="s">
        <v>8618</v>
      </c>
      <c r="G3800" s="30" t="s">
        <v>10234</v>
      </c>
      <c r="H3800" s="30" t="s">
        <v>13977</v>
      </c>
    </row>
    <row r="3801" spans="1:8">
      <c r="A3801" s="30" t="s">
        <v>16540</v>
      </c>
      <c r="B3801" s="30"/>
      <c r="C3801" s="30" t="s">
        <v>8607</v>
      </c>
      <c r="D3801" s="30" t="s">
        <v>9000</v>
      </c>
      <c r="E3801" s="30" t="s">
        <v>16541</v>
      </c>
      <c r="F3801" s="30" t="s">
        <v>8672</v>
      </c>
      <c r="G3801" s="30" t="s">
        <v>9002</v>
      </c>
      <c r="H3801" s="30" t="s">
        <v>16542</v>
      </c>
    </row>
    <row r="3802" spans="1:8">
      <c r="A3802" s="30" t="s">
        <v>16543</v>
      </c>
      <c r="B3802" s="30"/>
      <c r="C3802" s="30" t="s">
        <v>8607</v>
      </c>
      <c r="D3802" s="30" t="s">
        <v>9000</v>
      </c>
      <c r="E3802" s="30" t="s">
        <v>16544</v>
      </c>
      <c r="F3802" s="30" t="e">
        <v>#VALUE!</v>
      </c>
      <c r="G3802" s="30" t="s">
        <v>9002</v>
      </c>
      <c r="H3802" s="30" t="s">
        <v>16545</v>
      </c>
    </row>
    <row r="3803" spans="1:8">
      <c r="A3803" s="30" t="s">
        <v>16546</v>
      </c>
      <c r="B3803" s="30"/>
      <c r="C3803" s="30" t="s">
        <v>8626</v>
      </c>
      <c r="D3803" s="30" t="s">
        <v>16547</v>
      </c>
      <c r="E3803" s="30" t="s">
        <v>16548</v>
      </c>
      <c r="F3803" s="30" t="s">
        <v>8618</v>
      </c>
      <c r="G3803" s="30"/>
      <c r="H3803" s="30" t="s">
        <v>16549</v>
      </c>
    </row>
    <row r="3804" spans="1:8">
      <c r="A3804" s="30" t="s">
        <v>16550</v>
      </c>
      <c r="B3804" s="30"/>
      <c r="C3804" s="30" t="s">
        <v>8607</v>
      </c>
      <c r="D3804" s="30"/>
      <c r="E3804" s="30" t="s">
        <v>16551</v>
      </c>
      <c r="F3804" s="30" t="s">
        <v>8672</v>
      </c>
      <c r="G3804" s="30" t="s">
        <v>16478</v>
      </c>
      <c r="H3804" s="30" t="s">
        <v>16552</v>
      </c>
    </row>
    <row r="3805" spans="1:8">
      <c r="A3805" s="30" t="s">
        <v>16553</v>
      </c>
      <c r="B3805" s="30"/>
      <c r="C3805" s="30" t="s">
        <v>8607</v>
      </c>
      <c r="D3805" s="30" t="s">
        <v>16554</v>
      </c>
      <c r="E3805" s="30" t="s">
        <v>16481</v>
      </c>
      <c r="F3805" s="30" t="s">
        <v>8672</v>
      </c>
      <c r="G3805" s="30" t="s">
        <v>16478</v>
      </c>
      <c r="H3805" s="30" t="s">
        <v>16482</v>
      </c>
    </row>
    <row r="3806" spans="1:8">
      <c r="A3806" s="30" t="s">
        <v>16555</v>
      </c>
      <c r="B3806" s="30"/>
      <c r="C3806" s="30" t="s">
        <v>8607</v>
      </c>
      <c r="D3806" s="30" t="s">
        <v>16556</v>
      </c>
      <c r="E3806" s="30" t="s">
        <v>9135</v>
      </c>
      <c r="F3806" s="30" t="e">
        <v>#VALUE!</v>
      </c>
      <c r="G3806" s="30" t="s">
        <v>8975</v>
      </c>
      <c r="H3806" s="30" t="s">
        <v>16557</v>
      </c>
    </row>
    <row r="3807" spans="1:8">
      <c r="A3807" s="30" t="s">
        <v>16558</v>
      </c>
      <c r="B3807" s="30"/>
      <c r="C3807" s="30"/>
      <c r="D3807" s="32"/>
      <c r="E3807" s="30"/>
      <c r="F3807" s="30"/>
      <c r="G3807" s="30"/>
      <c r="H3807" s="30" t="s">
        <v>16559</v>
      </c>
    </row>
    <row r="3808" spans="1:8">
      <c r="A3808" s="30" t="s">
        <v>16560</v>
      </c>
      <c r="B3808" s="30"/>
      <c r="C3808" s="30" t="s">
        <v>8607</v>
      </c>
      <c r="D3808" s="30"/>
      <c r="E3808" s="30"/>
      <c r="F3808" s="30"/>
      <c r="G3808" s="30" t="s">
        <v>8681</v>
      </c>
      <c r="H3808" s="30" t="s">
        <v>9984</v>
      </c>
    </row>
    <row r="3809" spans="1:8">
      <c r="A3809" s="30" t="s">
        <v>16561</v>
      </c>
      <c r="B3809" s="30"/>
      <c r="C3809" s="30" t="s">
        <v>8607</v>
      </c>
      <c r="D3809" s="30" t="s">
        <v>16562</v>
      </c>
      <c r="E3809" s="30"/>
      <c r="F3809" s="30"/>
      <c r="G3809" s="30" t="s">
        <v>9920</v>
      </c>
      <c r="H3809" s="30" t="s">
        <v>16563</v>
      </c>
    </row>
    <row r="3810" spans="1:8">
      <c r="A3810" s="30" t="s">
        <v>16564</v>
      </c>
      <c r="B3810" s="30"/>
      <c r="C3810" s="30" t="s">
        <v>8626</v>
      </c>
      <c r="D3810" s="30" t="s">
        <v>16352</v>
      </c>
      <c r="E3810" s="30"/>
      <c r="F3810" s="30"/>
      <c r="G3810" s="30" t="s">
        <v>9920</v>
      </c>
      <c r="H3810" s="30" t="s">
        <v>16565</v>
      </c>
    </row>
    <row r="3811" spans="1:8">
      <c r="A3811" s="30" t="s">
        <v>16566</v>
      </c>
      <c r="B3811" s="30"/>
      <c r="C3811" s="30" t="s">
        <v>8607</v>
      </c>
      <c r="D3811" s="30"/>
      <c r="E3811" s="30"/>
      <c r="F3811" s="30"/>
      <c r="G3811" s="30"/>
      <c r="H3811" s="30" t="s">
        <v>16567</v>
      </c>
    </row>
    <row r="3812" spans="1:8">
      <c r="A3812" s="30" t="s">
        <v>16568</v>
      </c>
      <c r="B3812" s="30"/>
      <c r="C3812" s="30" t="s">
        <v>8607</v>
      </c>
      <c r="D3812" s="30"/>
      <c r="E3812" s="30"/>
      <c r="F3812" s="30"/>
      <c r="G3812" s="30" t="s">
        <v>13179</v>
      </c>
      <c r="H3812" s="30" t="s">
        <v>16569</v>
      </c>
    </row>
    <row r="3813" spans="1:8">
      <c r="A3813" s="30" t="s">
        <v>16570</v>
      </c>
      <c r="B3813" s="30"/>
      <c r="C3813" s="30" t="s">
        <v>8607</v>
      </c>
      <c r="D3813" s="30"/>
      <c r="E3813" s="30"/>
      <c r="F3813" s="30"/>
      <c r="G3813" s="30" t="s">
        <v>16571</v>
      </c>
      <c r="H3813" s="30" t="s">
        <v>16572</v>
      </c>
    </row>
    <row r="3814" spans="1:8">
      <c r="A3814" s="30" t="s">
        <v>16573</v>
      </c>
      <c r="B3814" s="30"/>
      <c r="C3814" s="30" t="s">
        <v>8607</v>
      </c>
      <c r="D3814" s="30" t="s">
        <v>16574</v>
      </c>
      <c r="E3814" s="30"/>
      <c r="F3814" s="30"/>
      <c r="G3814" s="30" t="s">
        <v>8984</v>
      </c>
      <c r="H3814" s="30" t="s">
        <v>16575</v>
      </c>
    </row>
    <row r="3815" spans="1:8">
      <c r="A3815" s="30" t="s">
        <v>16576</v>
      </c>
      <c r="B3815" s="30"/>
      <c r="C3815" s="30" t="s">
        <v>8607</v>
      </c>
      <c r="D3815" s="30" t="s">
        <v>12704</v>
      </c>
      <c r="E3815" s="30" t="s">
        <v>16577</v>
      </c>
      <c r="F3815" s="30" t="s">
        <v>8618</v>
      </c>
      <c r="G3815" s="30" t="s">
        <v>8900</v>
      </c>
      <c r="H3815" s="30" t="s">
        <v>16578</v>
      </c>
    </row>
    <row r="3816" spans="1:8">
      <c r="A3816" s="30" t="s">
        <v>16579</v>
      </c>
      <c r="B3816" s="30"/>
      <c r="C3816" s="30" t="s">
        <v>8607</v>
      </c>
      <c r="D3816" s="30" t="s">
        <v>16580</v>
      </c>
      <c r="E3816" s="30"/>
      <c r="F3816" s="30"/>
      <c r="G3816" s="30" t="s">
        <v>16581</v>
      </c>
      <c r="H3816" s="30" t="s">
        <v>16582</v>
      </c>
    </row>
    <row r="3817" spans="1:8">
      <c r="A3817" s="30" t="s">
        <v>16583</v>
      </c>
      <c r="B3817" s="30"/>
      <c r="C3817" s="30" t="s">
        <v>8607</v>
      </c>
      <c r="D3817" s="30" t="s">
        <v>16584</v>
      </c>
      <c r="E3817" s="30" t="s">
        <v>16585</v>
      </c>
      <c r="F3817" s="30" t="e">
        <v>#VALUE!</v>
      </c>
      <c r="G3817" s="30" t="s">
        <v>16586</v>
      </c>
      <c r="H3817" s="30" t="s">
        <v>16587</v>
      </c>
    </row>
    <row r="3818" spans="1:8">
      <c r="A3818" s="30" t="s">
        <v>16588</v>
      </c>
      <c r="B3818" s="30"/>
      <c r="C3818" s="30" t="s">
        <v>8626</v>
      </c>
      <c r="D3818" s="30" t="s">
        <v>16589</v>
      </c>
      <c r="E3818" s="30"/>
      <c r="F3818" s="30"/>
      <c r="G3818" s="30"/>
      <c r="H3818" s="30" t="s">
        <v>16590</v>
      </c>
    </row>
    <row r="3819" spans="1:8">
      <c r="A3819" s="30" t="s">
        <v>16591</v>
      </c>
      <c r="B3819" s="30"/>
      <c r="C3819" s="30" t="s">
        <v>8607</v>
      </c>
      <c r="D3819" s="30" t="s">
        <v>16592</v>
      </c>
      <c r="E3819" s="30" t="s">
        <v>9566</v>
      </c>
      <c r="F3819" s="30" t="s">
        <v>8618</v>
      </c>
      <c r="G3819" s="30" t="s">
        <v>9567</v>
      </c>
      <c r="H3819" s="30" t="s">
        <v>16593</v>
      </c>
    </row>
    <row r="3820" spans="1:8">
      <c r="A3820" s="30" t="s">
        <v>16594</v>
      </c>
      <c r="B3820" s="30"/>
      <c r="C3820" s="30" t="s">
        <v>8626</v>
      </c>
      <c r="D3820" s="30" t="s">
        <v>9134</v>
      </c>
      <c r="E3820" s="30" t="s">
        <v>16595</v>
      </c>
      <c r="F3820" s="30" t="e">
        <v>#VALUE!</v>
      </c>
      <c r="G3820" s="30" t="s">
        <v>8975</v>
      </c>
      <c r="H3820" s="30" t="s">
        <v>16596</v>
      </c>
    </row>
    <row r="3821" spans="1:8">
      <c r="A3821" s="30" t="s">
        <v>16597</v>
      </c>
      <c r="B3821" s="30"/>
      <c r="C3821" s="30" t="s">
        <v>8607</v>
      </c>
      <c r="D3821" s="30"/>
      <c r="E3821" s="30" t="s">
        <v>16598</v>
      </c>
      <c r="F3821" s="30" t="e">
        <v>#VALUE!</v>
      </c>
      <c r="G3821" s="30" t="s">
        <v>15549</v>
      </c>
      <c r="H3821" s="30" t="s">
        <v>16599</v>
      </c>
    </row>
    <row r="3822" spans="1:8">
      <c r="A3822" s="30" t="s">
        <v>16600</v>
      </c>
      <c r="B3822" s="30"/>
      <c r="C3822" s="30" t="s">
        <v>8607</v>
      </c>
      <c r="D3822" s="30" t="s">
        <v>16601</v>
      </c>
      <c r="E3822" s="30" t="s">
        <v>16602</v>
      </c>
      <c r="F3822" s="30" t="e">
        <v>#VALUE!</v>
      </c>
      <c r="G3822" s="30" t="s">
        <v>16603</v>
      </c>
      <c r="H3822" s="30" t="s">
        <v>16604</v>
      </c>
    </row>
    <row r="3823" spans="1:8">
      <c r="A3823" s="30" t="s">
        <v>16605</v>
      </c>
      <c r="B3823" s="30"/>
      <c r="C3823" s="30" t="s">
        <v>8607</v>
      </c>
      <c r="D3823" s="30" t="s">
        <v>9120</v>
      </c>
      <c r="E3823" s="30" t="s">
        <v>9121</v>
      </c>
      <c r="F3823" s="30" t="s">
        <v>8618</v>
      </c>
      <c r="G3823" s="30" t="s">
        <v>9122</v>
      </c>
      <c r="H3823" s="30" t="s">
        <v>16606</v>
      </c>
    </row>
    <row r="3824" spans="1:8">
      <c r="A3824" s="30" t="s">
        <v>16607</v>
      </c>
      <c r="B3824" s="30"/>
      <c r="C3824" s="30" t="s">
        <v>8607</v>
      </c>
      <c r="D3824" s="30" t="s">
        <v>16352</v>
      </c>
      <c r="E3824" s="30"/>
      <c r="F3824" s="30"/>
      <c r="G3824" s="30" t="s">
        <v>9920</v>
      </c>
      <c r="H3824" s="30" t="s">
        <v>16608</v>
      </c>
    </row>
    <row r="3825" spans="1:8">
      <c r="A3825" s="30" t="s">
        <v>16609</v>
      </c>
      <c r="B3825" s="30"/>
      <c r="C3825" s="30" t="s">
        <v>8626</v>
      </c>
      <c r="D3825" s="30" t="s">
        <v>16610</v>
      </c>
      <c r="E3825" s="30" t="s">
        <v>16611</v>
      </c>
      <c r="F3825" s="30" t="e">
        <v>#VALUE!</v>
      </c>
      <c r="G3825" s="30"/>
      <c r="H3825" s="30" t="s">
        <v>16612</v>
      </c>
    </row>
    <row r="3826" spans="1:8">
      <c r="A3826" s="30" t="s">
        <v>16613</v>
      </c>
      <c r="B3826" s="30"/>
      <c r="C3826" s="30" t="s">
        <v>8626</v>
      </c>
      <c r="D3826" s="30"/>
      <c r="E3826" s="30"/>
      <c r="F3826" s="30"/>
      <c r="G3826" s="30"/>
      <c r="H3826" s="30" t="s">
        <v>16614</v>
      </c>
    </row>
    <row r="3827" spans="1:8">
      <c r="A3827" s="30" t="s">
        <v>16615</v>
      </c>
      <c r="B3827" s="30"/>
      <c r="C3827" s="30" t="s">
        <v>8607</v>
      </c>
      <c r="D3827" s="30"/>
      <c r="E3827" s="30"/>
      <c r="F3827" s="30"/>
      <c r="G3827" s="30"/>
      <c r="H3827" s="30" t="s">
        <v>16616</v>
      </c>
    </row>
    <row r="3828" spans="1:8">
      <c r="A3828" s="30" t="s">
        <v>16617</v>
      </c>
      <c r="B3828" s="30"/>
      <c r="C3828" s="30" t="s">
        <v>8607</v>
      </c>
      <c r="D3828" s="30"/>
      <c r="E3828" s="30"/>
      <c r="F3828" s="30"/>
      <c r="G3828" s="30" t="s">
        <v>9259</v>
      </c>
      <c r="H3828" s="30" t="s">
        <v>16618</v>
      </c>
    </row>
    <row r="3829" spans="1:8">
      <c r="A3829" s="30" t="s">
        <v>16619</v>
      </c>
      <c r="B3829" s="30"/>
      <c r="C3829" s="30" t="s">
        <v>8607</v>
      </c>
      <c r="D3829" s="30"/>
      <c r="E3829" s="30"/>
      <c r="F3829" s="30"/>
      <c r="G3829" s="30"/>
      <c r="H3829" s="30" t="s">
        <v>16620</v>
      </c>
    </row>
    <row r="3830" spans="1:8">
      <c r="A3830" s="30" t="s">
        <v>16621</v>
      </c>
      <c r="B3830" s="30"/>
      <c r="C3830" s="30" t="s">
        <v>8607</v>
      </c>
      <c r="D3830" s="30" t="s">
        <v>16622</v>
      </c>
      <c r="E3830" s="30" t="s">
        <v>13764</v>
      </c>
      <c r="F3830" s="30" t="s">
        <v>8672</v>
      </c>
      <c r="G3830" s="30" t="s">
        <v>9632</v>
      </c>
      <c r="H3830" s="30" t="s">
        <v>16623</v>
      </c>
    </row>
    <row r="3831" spans="1:8">
      <c r="A3831" s="30" t="s">
        <v>16624</v>
      </c>
      <c r="B3831" s="30"/>
      <c r="C3831" s="30" t="s">
        <v>8607</v>
      </c>
      <c r="D3831" s="30"/>
      <c r="E3831" s="30"/>
      <c r="F3831" s="30"/>
      <c r="G3831" s="30" t="s">
        <v>9739</v>
      </c>
      <c r="H3831" s="30" t="s">
        <v>16625</v>
      </c>
    </row>
    <row r="3832" spans="1:8">
      <c r="A3832" s="30" t="s">
        <v>16626</v>
      </c>
      <c r="B3832" s="30"/>
      <c r="C3832" s="30" t="s">
        <v>8607</v>
      </c>
      <c r="D3832" s="30"/>
      <c r="E3832" s="30"/>
      <c r="F3832" s="30"/>
      <c r="G3832" s="30" t="s">
        <v>16627</v>
      </c>
      <c r="H3832" s="30" t="s">
        <v>16628</v>
      </c>
    </row>
    <row r="3833" spans="1:8">
      <c r="A3833" s="30" t="s">
        <v>16629</v>
      </c>
      <c r="B3833" s="30"/>
      <c r="C3833" s="30" t="s">
        <v>8607</v>
      </c>
      <c r="D3833" s="30" t="s">
        <v>10032</v>
      </c>
      <c r="E3833" s="30"/>
      <c r="F3833" s="30"/>
      <c r="G3833" s="30" t="s">
        <v>10033</v>
      </c>
      <c r="H3833" s="30" t="s">
        <v>10034</v>
      </c>
    </row>
    <row r="3834" spans="1:8">
      <c r="A3834" s="30" t="s">
        <v>16630</v>
      </c>
      <c r="B3834" s="30"/>
      <c r="C3834" s="30" t="s">
        <v>8626</v>
      </c>
      <c r="D3834" s="30" t="s">
        <v>16631</v>
      </c>
      <c r="E3834" s="30" t="s">
        <v>16632</v>
      </c>
      <c r="F3834" s="30" t="s">
        <v>8672</v>
      </c>
      <c r="G3834" s="30" t="s">
        <v>16633</v>
      </c>
      <c r="H3834" s="30" t="s">
        <v>16634</v>
      </c>
    </row>
    <row r="3835" spans="1:8">
      <c r="A3835" s="30" t="s">
        <v>16635</v>
      </c>
      <c r="B3835" s="30"/>
      <c r="C3835" s="30" t="s">
        <v>8626</v>
      </c>
      <c r="D3835" s="30" t="s">
        <v>16636</v>
      </c>
      <c r="E3835" s="30" t="s">
        <v>11904</v>
      </c>
      <c r="F3835" s="30" t="s">
        <v>8618</v>
      </c>
      <c r="G3835" s="30" t="s">
        <v>10234</v>
      </c>
      <c r="H3835" s="30" t="s">
        <v>16637</v>
      </c>
    </row>
    <row r="3836" spans="1:8">
      <c r="A3836" s="30" t="s">
        <v>16638</v>
      </c>
      <c r="B3836" s="30"/>
      <c r="C3836" s="30" t="s">
        <v>8626</v>
      </c>
      <c r="D3836" s="30"/>
      <c r="E3836" s="30"/>
      <c r="F3836" s="30"/>
      <c r="G3836" s="30"/>
      <c r="H3836" s="30" t="s">
        <v>16639</v>
      </c>
    </row>
    <row r="3837" spans="1:8">
      <c r="A3837" s="30" t="s">
        <v>16640</v>
      </c>
      <c r="B3837" s="30"/>
      <c r="C3837" s="30" t="s">
        <v>8607</v>
      </c>
      <c r="D3837" s="30" t="s">
        <v>16641</v>
      </c>
      <c r="E3837" s="30" t="s">
        <v>16642</v>
      </c>
      <c r="F3837" s="30" t="s">
        <v>8672</v>
      </c>
      <c r="G3837" s="30" t="s">
        <v>16643</v>
      </c>
      <c r="H3837" s="30" t="s">
        <v>16644</v>
      </c>
    </row>
    <row r="3838" spans="1:8">
      <c r="A3838" s="30" t="s">
        <v>16645</v>
      </c>
      <c r="B3838" s="30"/>
      <c r="C3838" s="30"/>
      <c r="D3838" s="32"/>
      <c r="E3838" s="30"/>
      <c r="F3838" s="30"/>
      <c r="G3838" s="30"/>
      <c r="H3838" s="30" t="s">
        <v>16646</v>
      </c>
    </row>
    <row r="3839" spans="1:8">
      <c r="A3839" s="30" t="s">
        <v>16647</v>
      </c>
      <c r="B3839" s="30"/>
      <c r="C3839" s="30" t="s">
        <v>8607</v>
      </c>
      <c r="D3839" s="30"/>
      <c r="E3839" s="30"/>
      <c r="F3839" s="30"/>
      <c r="G3839" s="30" t="s">
        <v>9701</v>
      </c>
      <c r="H3839" s="30" t="s">
        <v>9702</v>
      </c>
    </row>
    <row r="3840" spans="1:8">
      <c r="A3840" s="30" t="s">
        <v>16648</v>
      </c>
      <c r="B3840" s="30"/>
      <c r="C3840" s="30" t="s">
        <v>8607</v>
      </c>
      <c r="D3840" s="30" t="s">
        <v>16554</v>
      </c>
      <c r="E3840" s="30" t="s">
        <v>16515</v>
      </c>
      <c r="F3840" s="30" t="e">
        <v>#VALUE!</v>
      </c>
      <c r="G3840" s="30" t="s">
        <v>16478</v>
      </c>
      <c r="H3840" s="30" t="s">
        <v>16649</v>
      </c>
    </row>
    <row r="3841" spans="1:8">
      <c r="A3841" s="30" t="s">
        <v>16650</v>
      </c>
      <c r="B3841" s="30"/>
      <c r="C3841" s="30" t="s">
        <v>8607</v>
      </c>
      <c r="D3841" s="30" t="s">
        <v>16554</v>
      </c>
      <c r="E3841" s="30" t="s">
        <v>16515</v>
      </c>
      <c r="F3841" s="30" t="e">
        <v>#VALUE!</v>
      </c>
      <c r="G3841" s="30" t="s">
        <v>16478</v>
      </c>
      <c r="H3841" s="30" t="s">
        <v>16651</v>
      </c>
    </row>
    <row r="3842" spans="1:8">
      <c r="A3842" s="30" t="s">
        <v>16652</v>
      </c>
      <c r="B3842" s="30"/>
      <c r="C3842" s="30" t="s">
        <v>8607</v>
      </c>
      <c r="D3842" s="30" t="s">
        <v>16653</v>
      </c>
      <c r="E3842" s="30" t="s">
        <v>16515</v>
      </c>
      <c r="F3842" s="30" t="e">
        <v>#VALUE!</v>
      </c>
      <c r="G3842" s="30" t="s">
        <v>16478</v>
      </c>
      <c r="H3842" s="30" t="s">
        <v>16651</v>
      </c>
    </row>
    <row r="3843" spans="1:8">
      <c r="A3843" s="30" t="s">
        <v>16654</v>
      </c>
      <c r="B3843" s="30"/>
      <c r="C3843" s="30" t="s">
        <v>8607</v>
      </c>
      <c r="D3843" s="30" t="s">
        <v>16653</v>
      </c>
      <c r="E3843" s="30" t="s">
        <v>16515</v>
      </c>
      <c r="F3843" s="30" t="e">
        <v>#VALUE!</v>
      </c>
      <c r="G3843" s="30" t="s">
        <v>16478</v>
      </c>
      <c r="H3843" s="30" t="s">
        <v>16651</v>
      </c>
    </row>
    <row r="3844" spans="1:8">
      <c r="A3844" s="30" t="s">
        <v>16655</v>
      </c>
      <c r="B3844" s="30"/>
      <c r="C3844" s="30" t="s">
        <v>8607</v>
      </c>
      <c r="D3844" s="30"/>
      <c r="E3844" s="30"/>
      <c r="F3844" s="30"/>
      <c r="G3844" s="30" t="s">
        <v>16656</v>
      </c>
      <c r="H3844" s="30" t="s">
        <v>16657</v>
      </c>
    </row>
    <row r="3845" spans="1:8">
      <c r="A3845" s="30" t="s">
        <v>16658</v>
      </c>
      <c r="B3845" s="30"/>
      <c r="C3845" s="30" t="s">
        <v>8607</v>
      </c>
      <c r="D3845" s="30"/>
      <c r="E3845" s="30"/>
      <c r="F3845" s="30"/>
      <c r="G3845" s="30" t="s">
        <v>16656</v>
      </c>
      <c r="H3845" s="30" t="s">
        <v>16659</v>
      </c>
    </row>
    <row r="3846" spans="1:8">
      <c r="A3846" s="30" t="s">
        <v>16660</v>
      </c>
      <c r="B3846" s="30"/>
      <c r="C3846" s="30" t="s">
        <v>8607</v>
      </c>
      <c r="D3846" s="30" t="s">
        <v>16661</v>
      </c>
      <c r="E3846" s="30" t="s">
        <v>16662</v>
      </c>
      <c r="F3846" s="30" t="s">
        <v>8672</v>
      </c>
      <c r="G3846" s="30" t="s">
        <v>16663</v>
      </c>
      <c r="H3846" s="30" t="s">
        <v>16664</v>
      </c>
    </row>
    <row r="3847" spans="1:8">
      <c r="A3847" s="30" t="s">
        <v>16665</v>
      </c>
      <c r="B3847" s="30"/>
      <c r="C3847" s="30" t="s">
        <v>8607</v>
      </c>
      <c r="D3847" s="30" t="s">
        <v>16666</v>
      </c>
      <c r="E3847" s="30" t="s">
        <v>16667</v>
      </c>
      <c r="F3847" s="30" t="s">
        <v>8618</v>
      </c>
      <c r="G3847" s="30" t="s">
        <v>16668</v>
      </c>
      <c r="H3847" s="30" t="s">
        <v>16669</v>
      </c>
    </row>
    <row r="3848" spans="1:8">
      <c r="A3848" s="30" t="s">
        <v>16670</v>
      </c>
      <c r="B3848" s="30"/>
      <c r="C3848" s="30" t="s">
        <v>8607</v>
      </c>
      <c r="D3848" s="30"/>
      <c r="E3848" s="30"/>
      <c r="F3848" s="30"/>
      <c r="G3848" s="30"/>
      <c r="H3848" s="30" t="s">
        <v>16671</v>
      </c>
    </row>
    <row r="3849" spans="1:8">
      <c r="A3849" s="30" t="s">
        <v>16672</v>
      </c>
      <c r="B3849" s="30"/>
      <c r="C3849" s="30" t="s">
        <v>8607</v>
      </c>
      <c r="D3849" s="30" t="s">
        <v>10491</v>
      </c>
      <c r="E3849" s="30" t="s">
        <v>9006</v>
      </c>
      <c r="F3849" s="30" t="e">
        <v>#VALUE!</v>
      </c>
      <c r="G3849" s="30" t="s">
        <v>9007</v>
      </c>
      <c r="H3849" s="30" t="s">
        <v>10172</v>
      </c>
    </row>
    <row r="3850" spans="1:8">
      <c r="A3850" s="30" t="s">
        <v>16673</v>
      </c>
      <c r="B3850" s="30"/>
      <c r="C3850" s="30" t="s">
        <v>8607</v>
      </c>
      <c r="D3850" s="30"/>
      <c r="E3850" s="30"/>
      <c r="F3850" s="30"/>
      <c r="G3850" s="30" t="s">
        <v>16674</v>
      </c>
      <c r="H3850" s="30" t="s">
        <v>16675</v>
      </c>
    </row>
    <row r="3851" spans="1:8">
      <c r="A3851" s="30" t="s">
        <v>16676</v>
      </c>
      <c r="B3851" s="30"/>
      <c r="C3851" s="30" t="s">
        <v>8607</v>
      </c>
      <c r="D3851" s="30"/>
      <c r="E3851" s="30"/>
      <c r="F3851" s="30"/>
      <c r="G3851" s="30" t="s">
        <v>8814</v>
      </c>
      <c r="H3851" s="30" t="s">
        <v>16677</v>
      </c>
    </row>
    <row r="3852" spans="1:8">
      <c r="A3852" s="30" t="s">
        <v>16678</v>
      </c>
      <c r="B3852" s="30"/>
      <c r="C3852" s="30" t="s">
        <v>8607</v>
      </c>
      <c r="D3852" s="30" t="s">
        <v>16679</v>
      </c>
      <c r="E3852" s="30" t="s">
        <v>16680</v>
      </c>
      <c r="F3852" s="30" t="e">
        <v>#VALUE!</v>
      </c>
      <c r="G3852" s="30" t="s">
        <v>16681</v>
      </c>
      <c r="H3852" s="30" t="s">
        <v>16682</v>
      </c>
    </row>
    <row r="3853" spans="1:8">
      <c r="A3853" s="30" t="s">
        <v>16683</v>
      </c>
      <c r="B3853" s="30"/>
      <c r="C3853" s="30" t="s">
        <v>8607</v>
      </c>
      <c r="D3853" s="30" t="s">
        <v>16389</v>
      </c>
      <c r="E3853" s="30" t="s">
        <v>16684</v>
      </c>
      <c r="F3853" s="30" t="s">
        <v>8618</v>
      </c>
      <c r="G3853" s="30" t="s">
        <v>16391</v>
      </c>
      <c r="H3853" s="30" t="s">
        <v>16685</v>
      </c>
    </row>
    <row r="3854" spans="1:8">
      <c r="A3854" s="30" t="s">
        <v>16686</v>
      </c>
      <c r="B3854" s="30"/>
      <c r="C3854" s="30" t="s">
        <v>8607</v>
      </c>
      <c r="D3854" s="30" t="s">
        <v>8608</v>
      </c>
      <c r="E3854" s="30"/>
      <c r="F3854" s="30"/>
      <c r="G3854" s="30" t="s">
        <v>8609</v>
      </c>
      <c r="H3854" s="30" t="s">
        <v>8610</v>
      </c>
    </row>
    <row r="3855" spans="1:8">
      <c r="A3855" s="30" t="s">
        <v>16687</v>
      </c>
      <c r="B3855" s="30"/>
      <c r="C3855" s="30" t="s">
        <v>8607</v>
      </c>
      <c r="D3855" s="30"/>
      <c r="E3855" s="30"/>
      <c r="F3855" s="30"/>
      <c r="G3855" s="30" t="s">
        <v>9698</v>
      </c>
      <c r="H3855" s="30" t="s">
        <v>10147</v>
      </c>
    </row>
    <row r="3856" spans="1:8">
      <c r="A3856" s="30" t="s">
        <v>16688</v>
      </c>
      <c r="B3856" s="30"/>
      <c r="C3856" s="30" t="s">
        <v>8607</v>
      </c>
      <c r="D3856" s="30"/>
      <c r="E3856" s="30"/>
      <c r="F3856" s="30"/>
      <c r="G3856" s="30" t="s">
        <v>10138</v>
      </c>
      <c r="H3856" s="30" t="s">
        <v>16689</v>
      </c>
    </row>
    <row r="3857" spans="1:8">
      <c r="A3857" s="30" t="s">
        <v>16690</v>
      </c>
      <c r="B3857" s="30"/>
      <c r="C3857" s="30" t="s">
        <v>8607</v>
      </c>
      <c r="D3857" s="30" t="s">
        <v>16554</v>
      </c>
      <c r="E3857" s="30" t="s">
        <v>16515</v>
      </c>
      <c r="F3857" s="30" t="e">
        <v>#VALUE!</v>
      </c>
      <c r="G3857" s="30" t="s">
        <v>16478</v>
      </c>
      <c r="H3857" s="30" t="s">
        <v>16482</v>
      </c>
    </row>
    <row r="3858" spans="1:8">
      <c r="A3858" s="30" t="s">
        <v>16691</v>
      </c>
      <c r="B3858" s="30"/>
      <c r="C3858" s="30" t="s">
        <v>8607</v>
      </c>
      <c r="D3858" s="30"/>
      <c r="E3858" s="30"/>
      <c r="F3858" s="30"/>
      <c r="G3858" s="30"/>
      <c r="H3858" s="30" t="s">
        <v>16692</v>
      </c>
    </row>
    <row r="3859" spans="1:8">
      <c r="A3859" s="30" t="s">
        <v>16693</v>
      </c>
      <c r="B3859" s="30"/>
      <c r="C3859" s="30" t="s">
        <v>8607</v>
      </c>
      <c r="D3859" s="30" t="s">
        <v>10736</v>
      </c>
      <c r="E3859" s="30" t="s">
        <v>16694</v>
      </c>
      <c r="F3859" s="30" t="s">
        <v>8618</v>
      </c>
      <c r="G3859" s="30" t="s">
        <v>9667</v>
      </c>
      <c r="H3859" s="30" t="s">
        <v>16695</v>
      </c>
    </row>
    <row r="3860" spans="1:8">
      <c r="A3860" s="30" t="s">
        <v>16696</v>
      </c>
      <c r="B3860" s="30"/>
      <c r="C3860" s="30" t="s">
        <v>8607</v>
      </c>
      <c r="D3860" s="30" t="s">
        <v>14007</v>
      </c>
      <c r="E3860" s="30" t="s">
        <v>14099</v>
      </c>
      <c r="F3860" s="30" t="s">
        <v>8618</v>
      </c>
      <c r="G3860" s="30" t="s">
        <v>10234</v>
      </c>
      <c r="H3860" s="30" t="s">
        <v>16697</v>
      </c>
    </row>
    <row r="3861" spans="1:8">
      <c r="A3861" s="30" t="s">
        <v>16698</v>
      </c>
      <c r="B3861" s="30"/>
      <c r="C3861" s="30" t="s">
        <v>8607</v>
      </c>
      <c r="D3861" s="30" t="s">
        <v>16699</v>
      </c>
      <c r="E3861" s="30"/>
      <c r="F3861" s="30"/>
      <c r="G3861" s="30" t="s">
        <v>9997</v>
      </c>
      <c r="H3861" s="30" t="s">
        <v>16700</v>
      </c>
    </row>
    <row r="3862" spans="1:8">
      <c r="A3862" s="30" t="s">
        <v>16701</v>
      </c>
      <c r="B3862" s="30"/>
      <c r="C3862" s="30" t="s">
        <v>8626</v>
      </c>
      <c r="D3862" s="30" t="s">
        <v>16352</v>
      </c>
      <c r="E3862" s="30"/>
      <c r="F3862" s="30"/>
      <c r="G3862" s="30" t="s">
        <v>9920</v>
      </c>
      <c r="H3862" s="30" t="s">
        <v>16353</v>
      </c>
    </row>
    <row r="3863" spans="1:8">
      <c r="A3863" s="30" t="s">
        <v>16702</v>
      </c>
      <c r="B3863" s="30"/>
      <c r="C3863" s="30" t="s">
        <v>8607</v>
      </c>
      <c r="D3863" s="30" t="s">
        <v>16554</v>
      </c>
      <c r="E3863" s="30" t="s">
        <v>16515</v>
      </c>
      <c r="F3863" s="30" t="e">
        <v>#VALUE!</v>
      </c>
      <c r="G3863" s="30" t="s">
        <v>16478</v>
      </c>
      <c r="H3863" s="30" t="s">
        <v>16520</v>
      </c>
    </row>
    <row r="3864" spans="1:8">
      <c r="A3864" s="30" t="s">
        <v>16703</v>
      </c>
      <c r="B3864" s="30"/>
      <c r="C3864" s="30" t="s">
        <v>8607</v>
      </c>
      <c r="D3864" s="30" t="s">
        <v>16704</v>
      </c>
      <c r="E3864" s="30" t="s">
        <v>9987</v>
      </c>
      <c r="F3864" s="30" t="s">
        <v>8618</v>
      </c>
      <c r="G3864" s="30" t="s">
        <v>9988</v>
      </c>
      <c r="H3864" s="30" t="s">
        <v>9989</v>
      </c>
    </row>
    <row r="3865" spans="1:8">
      <c r="A3865" s="30" t="s">
        <v>16705</v>
      </c>
      <c r="B3865" s="30"/>
      <c r="C3865" s="30" t="s">
        <v>8626</v>
      </c>
      <c r="D3865" s="30"/>
      <c r="E3865" s="30" t="s">
        <v>16706</v>
      </c>
      <c r="F3865" s="30" t="s">
        <v>8618</v>
      </c>
      <c r="G3865" s="30" t="s">
        <v>16707</v>
      </c>
      <c r="H3865" s="30" t="s">
        <v>16708</v>
      </c>
    </row>
    <row r="3866" spans="1:8">
      <c r="A3866" s="30" t="s">
        <v>16709</v>
      </c>
      <c r="B3866" s="30"/>
      <c r="C3866" s="30" t="s">
        <v>8607</v>
      </c>
      <c r="D3866" s="30" t="s">
        <v>16710</v>
      </c>
      <c r="E3866" s="30" t="s">
        <v>16711</v>
      </c>
      <c r="F3866" s="30" t="s">
        <v>8618</v>
      </c>
      <c r="G3866" s="30" t="s">
        <v>16712</v>
      </c>
      <c r="H3866" s="30" t="s">
        <v>16713</v>
      </c>
    </row>
    <row r="3867" spans="1:8">
      <c r="A3867" s="30" t="s">
        <v>16714</v>
      </c>
      <c r="B3867" s="30"/>
      <c r="C3867" s="30" t="s">
        <v>8607</v>
      </c>
      <c r="D3867" s="30" t="s">
        <v>16715</v>
      </c>
      <c r="E3867" s="30"/>
      <c r="F3867" s="30"/>
      <c r="G3867" s="30" t="s">
        <v>16716</v>
      </c>
      <c r="H3867" s="30" t="s">
        <v>16717</v>
      </c>
    </row>
    <row r="3868" spans="1:8">
      <c r="A3868" s="30" t="s">
        <v>16718</v>
      </c>
      <c r="B3868" s="30"/>
      <c r="C3868" s="30" t="s">
        <v>8607</v>
      </c>
      <c r="D3868" s="30" t="s">
        <v>16719</v>
      </c>
      <c r="E3868" s="30" t="s">
        <v>15926</v>
      </c>
      <c r="F3868" s="30" t="e">
        <v>#VALUE!</v>
      </c>
      <c r="G3868" s="30" t="s">
        <v>15927</v>
      </c>
      <c r="H3868" s="30" t="s">
        <v>16720</v>
      </c>
    </row>
    <row r="3869" spans="1:8">
      <c r="A3869" s="30" t="s">
        <v>16721</v>
      </c>
      <c r="B3869" s="30"/>
      <c r="C3869" s="30" t="s">
        <v>8607</v>
      </c>
      <c r="D3869" s="30"/>
      <c r="E3869" s="30"/>
      <c r="F3869" s="30"/>
      <c r="G3869" s="30"/>
      <c r="H3869" s="30" t="s">
        <v>13467</v>
      </c>
    </row>
    <row r="3870" spans="1:8">
      <c r="A3870" s="30" t="s">
        <v>16722</v>
      </c>
      <c r="B3870" s="30"/>
      <c r="C3870" s="30" t="s">
        <v>8607</v>
      </c>
      <c r="D3870" s="30"/>
      <c r="E3870" s="30"/>
      <c r="F3870" s="30"/>
      <c r="G3870" s="30" t="s">
        <v>16723</v>
      </c>
      <c r="H3870" s="30" t="s">
        <v>16724</v>
      </c>
    </row>
    <row r="3871" spans="1:8">
      <c r="A3871" s="30" t="s">
        <v>16725</v>
      </c>
      <c r="B3871" s="30"/>
      <c r="C3871" s="30" t="s">
        <v>8607</v>
      </c>
      <c r="D3871" s="30"/>
      <c r="E3871" s="30"/>
      <c r="F3871" s="30"/>
      <c r="G3871" s="30" t="s">
        <v>9190</v>
      </c>
      <c r="H3871" s="30" t="s">
        <v>16218</v>
      </c>
    </row>
    <row r="3872" spans="1:8">
      <c r="A3872" s="30" t="s">
        <v>16726</v>
      </c>
      <c r="B3872" s="30"/>
      <c r="C3872" s="30" t="s">
        <v>8607</v>
      </c>
      <c r="D3872" s="30" t="s">
        <v>16727</v>
      </c>
      <c r="E3872" s="30" t="s">
        <v>16515</v>
      </c>
      <c r="F3872" s="30" t="e">
        <v>#VALUE!</v>
      </c>
      <c r="G3872" s="30" t="s">
        <v>16478</v>
      </c>
      <c r="H3872" s="30" t="s">
        <v>16520</v>
      </c>
    </row>
    <row r="3873" spans="1:8">
      <c r="A3873" s="30" t="s">
        <v>16728</v>
      </c>
      <c r="B3873" s="30"/>
      <c r="C3873" s="30" t="s">
        <v>8607</v>
      </c>
      <c r="D3873" s="30" t="s">
        <v>16729</v>
      </c>
      <c r="E3873" s="30" t="s">
        <v>16515</v>
      </c>
      <c r="F3873" s="30" t="e">
        <v>#VALUE!</v>
      </c>
      <c r="G3873" s="30" t="s">
        <v>16478</v>
      </c>
      <c r="H3873" s="30" t="s">
        <v>16516</v>
      </c>
    </row>
    <row r="3874" spans="1:8">
      <c r="A3874" s="30" t="s">
        <v>16730</v>
      </c>
      <c r="B3874" s="30"/>
      <c r="C3874" s="30" t="s">
        <v>8607</v>
      </c>
      <c r="D3874" s="30" t="s">
        <v>16514</v>
      </c>
      <c r="E3874" s="30" t="s">
        <v>16515</v>
      </c>
      <c r="F3874" s="30" t="e">
        <v>#VALUE!</v>
      </c>
      <c r="G3874" s="30" t="s">
        <v>16478</v>
      </c>
      <c r="H3874" s="30" t="s">
        <v>16651</v>
      </c>
    </row>
    <row r="3875" spans="1:8">
      <c r="A3875" s="30" t="s">
        <v>16731</v>
      </c>
      <c r="B3875" s="30"/>
      <c r="C3875" s="30" t="s">
        <v>8607</v>
      </c>
      <c r="D3875" s="30" t="s">
        <v>11983</v>
      </c>
      <c r="E3875" s="30"/>
      <c r="F3875" s="30"/>
      <c r="G3875" s="30" t="s">
        <v>8737</v>
      </c>
      <c r="H3875" s="30" t="s">
        <v>16732</v>
      </c>
    </row>
    <row r="3876" spans="1:8">
      <c r="A3876" s="30" t="s">
        <v>16733</v>
      </c>
      <c r="B3876" s="30"/>
      <c r="C3876" s="30" t="s">
        <v>8607</v>
      </c>
      <c r="D3876" s="30" t="s">
        <v>14119</v>
      </c>
      <c r="E3876" s="30"/>
      <c r="F3876" s="30"/>
      <c r="G3876" s="30" t="s">
        <v>14120</v>
      </c>
      <c r="H3876" s="30" t="s">
        <v>16734</v>
      </c>
    </row>
    <row r="3877" spans="1:8">
      <c r="A3877" s="30" t="s">
        <v>16735</v>
      </c>
      <c r="B3877" s="30"/>
      <c r="C3877" s="30" t="s">
        <v>8607</v>
      </c>
      <c r="D3877" s="30" t="s">
        <v>16736</v>
      </c>
      <c r="E3877" s="30" t="s">
        <v>13774</v>
      </c>
      <c r="F3877" s="30" t="s">
        <v>8618</v>
      </c>
      <c r="G3877" s="30" t="s">
        <v>13775</v>
      </c>
      <c r="H3877" s="30" t="s">
        <v>15967</v>
      </c>
    </row>
    <row r="3878" spans="1:8">
      <c r="A3878" s="30" t="s">
        <v>16737</v>
      </c>
      <c r="B3878" s="30"/>
      <c r="C3878" s="30" t="s">
        <v>8626</v>
      </c>
      <c r="D3878" s="30"/>
      <c r="E3878" s="30"/>
      <c r="F3878" s="30"/>
      <c r="G3878" s="30" t="s">
        <v>8888</v>
      </c>
      <c r="H3878" s="30" t="s">
        <v>16738</v>
      </c>
    </row>
    <row r="3879" spans="1:8">
      <c r="A3879" s="30" t="s">
        <v>16739</v>
      </c>
      <c r="B3879" s="30"/>
      <c r="C3879" s="30" t="s">
        <v>8607</v>
      </c>
      <c r="D3879" s="30" t="s">
        <v>16740</v>
      </c>
      <c r="E3879" s="30" t="s">
        <v>16741</v>
      </c>
      <c r="F3879" s="30" t="s">
        <v>8672</v>
      </c>
      <c r="G3879" s="30" t="s">
        <v>15811</v>
      </c>
      <c r="H3879" s="30" t="s">
        <v>16742</v>
      </c>
    </row>
    <row r="3880" spans="1:8">
      <c r="A3880" s="30" t="s">
        <v>16743</v>
      </c>
      <c r="B3880" s="30"/>
      <c r="C3880" s="30" t="s">
        <v>8607</v>
      </c>
      <c r="D3880" s="30"/>
      <c r="E3880" s="30"/>
      <c r="F3880" s="30"/>
      <c r="G3880" s="30" t="s">
        <v>9190</v>
      </c>
      <c r="H3880" s="30" t="s">
        <v>16744</v>
      </c>
    </row>
    <row r="3881" spans="1:8">
      <c r="A3881" s="30" t="s">
        <v>16745</v>
      </c>
      <c r="B3881" s="30"/>
      <c r="C3881" s="30" t="s">
        <v>8607</v>
      </c>
      <c r="D3881" s="30" t="s">
        <v>16746</v>
      </c>
      <c r="E3881" s="30" t="s">
        <v>16747</v>
      </c>
      <c r="F3881" s="30" t="s">
        <v>8672</v>
      </c>
      <c r="G3881" s="30" t="s">
        <v>9002</v>
      </c>
      <c r="H3881" s="30" t="s">
        <v>16748</v>
      </c>
    </row>
    <row r="3882" spans="1:8">
      <c r="A3882" s="30" t="s">
        <v>16749</v>
      </c>
      <c r="B3882" s="30"/>
      <c r="C3882" s="30" t="s">
        <v>8626</v>
      </c>
      <c r="D3882" s="30" t="s">
        <v>16750</v>
      </c>
      <c r="E3882" s="30" t="s">
        <v>16751</v>
      </c>
      <c r="F3882" s="30" t="e">
        <v>#VALUE!</v>
      </c>
      <c r="G3882" s="30" t="s">
        <v>16752</v>
      </c>
      <c r="H3882" s="30" t="s">
        <v>16753</v>
      </c>
    </row>
    <row r="3883" spans="1:8">
      <c r="A3883" s="30" t="s">
        <v>16754</v>
      </c>
      <c r="B3883" s="30"/>
      <c r="C3883" s="30" t="s">
        <v>8626</v>
      </c>
      <c r="D3883" s="30"/>
      <c r="E3883" s="30" t="s">
        <v>11778</v>
      </c>
      <c r="F3883" s="30" t="e">
        <v>#VALUE!</v>
      </c>
      <c r="G3883" s="30" t="s">
        <v>10645</v>
      </c>
      <c r="H3883" s="30" t="s">
        <v>16755</v>
      </c>
    </row>
    <row r="3884" spans="1:8">
      <c r="A3884" s="30" t="s">
        <v>16756</v>
      </c>
      <c r="B3884" s="30"/>
      <c r="C3884" s="30" t="s">
        <v>8607</v>
      </c>
      <c r="D3884" s="30" t="s">
        <v>16757</v>
      </c>
      <c r="E3884" s="30" t="s">
        <v>9121</v>
      </c>
      <c r="F3884" s="30" t="s">
        <v>8618</v>
      </c>
      <c r="G3884" s="30" t="s">
        <v>9122</v>
      </c>
      <c r="H3884" s="30" t="s">
        <v>9123</v>
      </c>
    </row>
    <row r="3885" spans="1:8">
      <c r="A3885" s="30" t="s">
        <v>16758</v>
      </c>
      <c r="B3885" s="30"/>
      <c r="C3885" s="30" t="s">
        <v>8607</v>
      </c>
      <c r="D3885" s="30" t="s">
        <v>16759</v>
      </c>
      <c r="E3885" s="30"/>
      <c r="F3885" s="30"/>
      <c r="G3885" s="30" t="s">
        <v>12228</v>
      </c>
      <c r="H3885" s="30" t="s">
        <v>16760</v>
      </c>
    </row>
    <row r="3886" spans="1:8">
      <c r="A3886" s="30" t="s">
        <v>16761</v>
      </c>
      <c r="B3886" s="30"/>
      <c r="C3886" s="30" t="s">
        <v>8626</v>
      </c>
      <c r="D3886" s="30"/>
      <c r="E3886" s="30" t="s">
        <v>16762</v>
      </c>
      <c r="F3886" s="30" t="s">
        <v>8672</v>
      </c>
      <c r="G3886" s="30" t="s">
        <v>11943</v>
      </c>
      <c r="H3886" s="30" t="s">
        <v>16763</v>
      </c>
    </row>
    <row r="3887" spans="1:8">
      <c r="A3887" s="30" t="s">
        <v>16764</v>
      </c>
      <c r="B3887" s="30"/>
      <c r="C3887" s="30" t="s">
        <v>8607</v>
      </c>
      <c r="D3887" s="30" t="s">
        <v>16765</v>
      </c>
      <c r="E3887" s="30"/>
      <c r="F3887" s="30"/>
      <c r="G3887" s="30" t="s">
        <v>9920</v>
      </c>
      <c r="H3887" s="30" t="s">
        <v>9921</v>
      </c>
    </row>
    <row r="3888" spans="1:8">
      <c r="A3888" s="30" t="s">
        <v>16766</v>
      </c>
      <c r="B3888" s="30"/>
      <c r="C3888" s="30" t="s">
        <v>8607</v>
      </c>
      <c r="D3888" s="30" t="s">
        <v>16352</v>
      </c>
      <c r="E3888" s="30"/>
      <c r="F3888" s="30"/>
      <c r="G3888" s="30" t="s">
        <v>9920</v>
      </c>
      <c r="H3888" s="30" t="s">
        <v>16767</v>
      </c>
    </row>
    <row r="3889" spans="1:8">
      <c r="A3889" s="30" t="s">
        <v>16768</v>
      </c>
      <c r="B3889" s="30"/>
      <c r="C3889" s="30" t="s">
        <v>8607</v>
      </c>
      <c r="D3889" s="30" t="s">
        <v>9907</v>
      </c>
      <c r="E3889" s="30" t="s">
        <v>8850</v>
      </c>
      <c r="F3889" s="30" t="s">
        <v>8672</v>
      </c>
      <c r="G3889" s="30" t="s">
        <v>8851</v>
      </c>
      <c r="H3889" s="30" t="s">
        <v>15771</v>
      </c>
    </row>
    <row r="3890" spans="1:8">
      <c r="A3890" s="30" t="s">
        <v>16769</v>
      </c>
      <c r="B3890" s="30"/>
      <c r="C3890" s="30" t="s">
        <v>8607</v>
      </c>
      <c r="D3890" s="30"/>
      <c r="E3890" s="30"/>
      <c r="F3890" s="30"/>
      <c r="G3890" s="30"/>
      <c r="H3890" s="30" t="s">
        <v>14016</v>
      </c>
    </row>
    <row r="3891" spans="1:8">
      <c r="A3891" s="30" t="s">
        <v>16770</v>
      </c>
      <c r="B3891" s="30"/>
      <c r="C3891" s="30" t="s">
        <v>8607</v>
      </c>
      <c r="D3891" s="30" t="s">
        <v>10377</v>
      </c>
      <c r="E3891" s="30"/>
      <c r="F3891" s="30"/>
      <c r="G3891" s="30" t="s">
        <v>8737</v>
      </c>
      <c r="H3891" s="30" t="s">
        <v>16771</v>
      </c>
    </row>
    <row r="3892" spans="1:8">
      <c r="A3892" s="30" t="s">
        <v>16772</v>
      </c>
      <c r="B3892" s="30"/>
      <c r="C3892" s="30" t="s">
        <v>8607</v>
      </c>
      <c r="D3892" s="30" t="s">
        <v>16773</v>
      </c>
      <c r="E3892" s="30"/>
      <c r="F3892" s="30"/>
      <c r="G3892" s="30" t="s">
        <v>8737</v>
      </c>
      <c r="H3892" s="30" t="s">
        <v>16774</v>
      </c>
    </row>
    <row r="3893" spans="1:8">
      <c r="A3893" s="30" t="s">
        <v>16775</v>
      </c>
      <c r="B3893" s="30"/>
      <c r="C3893" s="30" t="s">
        <v>8607</v>
      </c>
      <c r="D3893" s="30" t="s">
        <v>16773</v>
      </c>
      <c r="E3893" s="30"/>
      <c r="F3893" s="30"/>
      <c r="G3893" s="30" t="s">
        <v>8737</v>
      </c>
      <c r="H3893" s="30" t="s">
        <v>16776</v>
      </c>
    </row>
    <row r="3894" spans="1:8">
      <c r="A3894" s="30" t="s">
        <v>16777</v>
      </c>
      <c r="B3894" s="30"/>
      <c r="C3894" s="30" t="s">
        <v>8607</v>
      </c>
      <c r="D3894" s="30" t="s">
        <v>11963</v>
      </c>
      <c r="E3894" s="30" t="s">
        <v>16778</v>
      </c>
      <c r="F3894" s="30" t="s">
        <v>8672</v>
      </c>
      <c r="G3894" s="30" t="s">
        <v>9913</v>
      </c>
      <c r="H3894" s="30" t="s">
        <v>13316</v>
      </c>
    </row>
    <row r="3895" spans="1:8">
      <c r="A3895" s="30" t="s">
        <v>16779</v>
      </c>
      <c r="B3895" s="30"/>
      <c r="C3895" s="30" t="s">
        <v>8607</v>
      </c>
      <c r="D3895" s="30" t="s">
        <v>16780</v>
      </c>
      <c r="E3895" s="30"/>
      <c r="F3895" s="30"/>
      <c r="G3895" s="30" t="s">
        <v>10033</v>
      </c>
      <c r="H3895" s="30" t="s">
        <v>10034</v>
      </c>
    </row>
    <row r="3896" spans="1:8">
      <c r="A3896" s="30" t="s">
        <v>16781</v>
      </c>
      <c r="B3896" s="30"/>
      <c r="C3896" s="30" t="s">
        <v>8607</v>
      </c>
      <c r="D3896" s="30" t="s">
        <v>10032</v>
      </c>
      <c r="E3896" s="30"/>
      <c r="F3896" s="30"/>
      <c r="G3896" s="30" t="s">
        <v>10033</v>
      </c>
      <c r="H3896" s="30" t="s">
        <v>10034</v>
      </c>
    </row>
    <row r="3897" spans="1:8">
      <c r="A3897" s="30" t="s">
        <v>16782</v>
      </c>
      <c r="B3897" s="30"/>
      <c r="C3897" s="30" t="s">
        <v>8607</v>
      </c>
      <c r="D3897" s="30" t="s">
        <v>16783</v>
      </c>
      <c r="E3897" s="30" t="s">
        <v>9554</v>
      </c>
      <c r="F3897" s="30" t="s">
        <v>8672</v>
      </c>
      <c r="G3897" s="30" t="s">
        <v>9555</v>
      </c>
      <c r="H3897" s="30" t="s">
        <v>16784</v>
      </c>
    </row>
    <row r="3898" spans="1:8">
      <c r="A3898" s="30" t="s">
        <v>16785</v>
      </c>
      <c r="B3898" s="30"/>
      <c r="C3898" s="30" t="s">
        <v>8626</v>
      </c>
      <c r="D3898" s="30"/>
      <c r="E3898" s="30"/>
      <c r="F3898" s="30"/>
      <c r="G3898" s="30"/>
      <c r="H3898" s="30" t="s">
        <v>16786</v>
      </c>
    </row>
    <row r="3899" spans="1:8">
      <c r="A3899" s="30" t="s">
        <v>16787</v>
      </c>
      <c r="B3899" s="30"/>
      <c r="C3899" s="30" t="s">
        <v>8607</v>
      </c>
      <c r="D3899" s="30" t="s">
        <v>8938</v>
      </c>
      <c r="E3899" s="30"/>
      <c r="F3899" s="30"/>
      <c r="G3899" s="30" t="s">
        <v>8737</v>
      </c>
      <c r="H3899" s="30" t="s">
        <v>14076</v>
      </c>
    </row>
    <row r="3900" spans="1:8">
      <c r="A3900" s="30" t="s">
        <v>16788</v>
      </c>
      <c r="B3900" s="30"/>
      <c r="C3900" s="30" t="s">
        <v>8607</v>
      </c>
      <c r="D3900" s="30" t="s">
        <v>9631</v>
      </c>
      <c r="E3900" s="30" t="s">
        <v>13764</v>
      </c>
      <c r="F3900" s="30" t="s">
        <v>8672</v>
      </c>
      <c r="G3900" s="30" t="s">
        <v>9632</v>
      </c>
      <c r="H3900" s="30" t="s">
        <v>13765</v>
      </c>
    </row>
    <row r="3901" spans="1:8">
      <c r="A3901" s="30" t="s">
        <v>16789</v>
      </c>
      <c r="B3901" s="30"/>
      <c r="C3901" s="30" t="s">
        <v>8607</v>
      </c>
      <c r="D3901" s="30"/>
      <c r="E3901" s="30"/>
      <c r="F3901" s="30"/>
      <c r="G3901" s="30" t="s">
        <v>9031</v>
      </c>
      <c r="H3901" s="30" t="s">
        <v>9032</v>
      </c>
    </row>
    <row r="3902" spans="1:8">
      <c r="A3902" s="30" t="s">
        <v>16790</v>
      </c>
      <c r="B3902" s="30"/>
      <c r="C3902" s="30" t="s">
        <v>8607</v>
      </c>
      <c r="D3902" s="30" t="s">
        <v>10164</v>
      </c>
      <c r="E3902" s="30"/>
      <c r="F3902" s="30"/>
      <c r="G3902" s="30" t="s">
        <v>8814</v>
      </c>
      <c r="H3902" s="30" t="s">
        <v>16791</v>
      </c>
    </row>
    <row r="3903" spans="1:8">
      <c r="A3903" s="30" t="s">
        <v>16792</v>
      </c>
      <c r="B3903" s="30"/>
      <c r="C3903" s="30" t="s">
        <v>8626</v>
      </c>
      <c r="D3903" s="30"/>
      <c r="E3903" s="30" t="s">
        <v>16793</v>
      </c>
      <c r="F3903" s="30" t="s">
        <v>8672</v>
      </c>
      <c r="G3903" s="30" t="s">
        <v>10695</v>
      </c>
      <c r="H3903" s="30" t="s">
        <v>16794</v>
      </c>
    </row>
    <row r="3904" spans="1:8">
      <c r="A3904" s="30" t="s">
        <v>16795</v>
      </c>
      <c r="B3904" s="30"/>
      <c r="C3904" s="30" t="s">
        <v>8607</v>
      </c>
      <c r="D3904" s="30" t="s">
        <v>9286</v>
      </c>
      <c r="E3904" s="30" t="s">
        <v>16796</v>
      </c>
      <c r="F3904" s="30" t="e">
        <v>#VALUE!</v>
      </c>
      <c r="G3904" s="30" t="s">
        <v>9288</v>
      </c>
      <c r="H3904" s="30" t="s">
        <v>16797</v>
      </c>
    </row>
    <row r="3905" spans="1:8">
      <c r="A3905" s="30" t="s">
        <v>16798</v>
      </c>
      <c r="B3905" s="30"/>
      <c r="C3905" s="30" t="s">
        <v>8626</v>
      </c>
      <c r="D3905" s="30" t="s">
        <v>9237</v>
      </c>
      <c r="E3905" s="30" t="s">
        <v>16799</v>
      </c>
      <c r="F3905" s="30" t="s">
        <v>8672</v>
      </c>
      <c r="G3905" s="30" t="s">
        <v>9239</v>
      </c>
      <c r="H3905" s="30" t="s">
        <v>16800</v>
      </c>
    </row>
    <row r="3906" spans="1:8">
      <c r="A3906" s="30" t="s">
        <v>16801</v>
      </c>
      <c r="B3906" s="30"/>
      <c r="C3906" s="30" t="s">
        <v>8607</v>
      </c>
      <c r="D3906" s="30" t="s">
        <v>16802</v>
      </c>
      <c r="E3906" s="30" t="s">
        <v>9539</v>
      </c>
      <c r="F3906" s="30" t="s">
        <v>8672</v>
      </c>
      <c r="G3906" s="30" t="s">
        <v>9384</v>
      </c>
      <c r="H3906" s="30" t="s">
        <v>16803</v>
      </c>
    </row>
    <row r="3907" spans="1:8">
      <c r="A3907" s="30" t="s">
        <v>16804</v>
      </c>
      <c r="B3907" s="30"/>
      <c r="C3907" s="30" t="s">
        <v>8607</v>
      </c>
      <c r="D3907" s="30" t="s">
        <v>16805</v>
      </c>
      <c r="E3907" s="30" t="s">
        <v>16806</v>
      </c>
      <c r="F3907" s="30" t="e">
        <v>#VALUE!</v>
      </c>
      <c r="G3907" s="30" t="s">
        <v>16807</v>
      </c>
      <c r="H3907" s="30" t="s">
        <v>16808</v>
      </c>
    </row>
    <row r="3908" spans="1:8">
      <c r="A3908" s="30" t="s">
        <v>16809</v>
      </c>
      <c r="B3908" s="30"/>
      <c r="C3908" s="30" t="s">
        <v>8607</v>
      </c>
      <c r="D3908" s="30" t="s">
        <v>10114</v>
      </c>
      <c r="E3908" s="30" t="s">
        <v>16810</v>
      </c>
      <c r="F3908" s="30" t="s">
        <v>8672</v>
      </c>
      <c r="G3908" s="30" t="s">
        <v>9002</v>
      </c>
      <c r="H3908" s="30" t="s">
        <v>16811</v>
      </c>
    </row>
    <row r="3909" spans="1:8">
      <c r="A3909" s="30" t="s">
        <v>16812</v>
      </c>
      <c r="B3909" s="30"/>
      <c r="C3909" s="30" t="s">
        <v>8626</v>
      </c>
      <c r="D3909" s="30" t="s">
        <v>9723</v>
      </c>
      <c r="E3909" s="30" t="s">
        <v>14542</v>
      </c>
      <c r="F3909" s="30" t="e">
        <v>#VALUE!</v>
      </c>
      <c r="G3909" s="30" t="s">
        <v>8930</v>
      </c>
      <c r="H3909" s="30" t="s">
        <v>16813</v>
      </c>
    </row>
    <row r="3910" spans="1:8">
      <c r="A3910" s="30" t="s">
        <v>16814</v>
      </c>
      <c r="B3910" s="30"/>
      <c r="C3910" s="30" t="s">
        <v>8607</v>
      </c>
      <c r="D3910" s="30" t="s">
        <v>16815</v>
      </c>
      <c r="E3910" s="30" t="s">
        <v>13990</v>
      </c>
      <c r="F3910" s="30" t="s">
        <v>8672</v>
      </c>
      <c r="G3910" s="30" t="s">
        <v>11527</v>
      </c>
      <c r="H3910" s="30" t="s">
        <v>13991</v>
      </c>
    </row>
    <row r="3911" spans="1:8">
      <c r="A3911" s="30" t="s">
        <v>16816</v>
      </c>
      <c r="B3911" s="30"/>
      <c r="C3911" s="30" t="s">
        <v>8626</v>
      </c>
      <c r="D3911" s="30" t="s">
        <v>16817</v>
      </c>
      <c r="E3911" s="30" t="s">
        <v>16818</v>
      </c>
      <c r="F3911" s="30" t="s">
        <v>8618</v>
      </c>
      <c r="G3911" s="30" t="s">
        <v>9767</v>
      </c>
      <c r="H3911" s="30" t="s">
        <v>16819</v>
      </c>
    </row>
    <row r="3912" spans="1:8">
      <c r="A3912" s="30" t="s">
        <v>16820</v>
      </c>
      <c r="B3912" s="30"/>
      <c r="C3912" s="30" t="s">
        <v>8607</v>
      </c>
      <c r="D3912" s="30" t="s">
        <v>16821</v>
      </c>
      <c r="E3912" s="30" t="s">
        <v>10374</v>
      </c>
      <c r="F3912" s="30" t="s">
        <v>8618</v>
      </c>
      <c r="G3912" s="30" t="s">
        <v>9259</v>
      </c>
      <c r="H3912" s="30" t="s">
        <v>16822</v>
      </c>
    </row>
    <row r="3913" spans="1:8">
      <c r="A3913" s="30" t="s">
        <v>16823</v>
      </c>
      <c r="B3913" s="30"/>
      <c r="C3913" s="30"/>
      <c r="D3913" s="32" t="s">
        <v>16824</v>
      </c>
      <c r="E3913" s="30" t="s">
        <v>16825</v>
      </c>
      <c r="F3913" s="30" t="s">
        <v>8618</v>
      </c>
      <c r="G3913" s="30"/>
      <c r="H3913" s="30" t="s">
        <v>16826</v>
      </c>
    </row>
    <row r="3914" spans="1:8">
      <c r="A3914" s="30" t="s">
        <v>16827</v>
      </c>
      <c r="B3914" s="30"/>
      <c r="C3914" s="30" t="s">
        <v>8607</v>
      </c>
      <c r="D3914" s="30"/>
      <c r="E3914" s="30"/>
      <c r="F3914" s="30"/>
      <c r="G3914" s="30"/>
      <c r="H3914" s="30" t="s">
        <v>13659</v>
      </c>
    </row>
    <row r="3915" spans="1:8">
      <c r="A3915" s="30" t="s">
        <v>16828</v>
      </c>
      <c r="B3915" s="30"/>
      <c r="C3915" s="30" t="s">
        <v>8607</v>
      </c>
      <c r="D3915" s="30"/>
      <c r="E3915" s="30"/>
      <c r="F3915" s="30"/>
      <c r="G3915" s="30" t="s">
        <v>13754</v>
      </c>
      <c r="H3915" s="30" t="s">
        <v>16829</v>
      </c>
    </row>
    <row r="3916" spans="1:8">
      <c r="A3916" s="30" t="s">
        <v>16830</v>
      </c>
      <c r="B3916" s="30"/>
      <c r="C3916" s="30" t="s">
        <v>8626</v>
      </c>
      <c r="D3916" s="30" t="s">
        <v>16831</v>
      </c>
      <c r="E3916" s="30" t="s">
        <v>10374</v>
      </c>
      <c r="F3916" s="30" t="s">
        <v>8618</v>
      </c>
      <c r="G3916" s="30" t="s">
        <v>9259</v>
      </c>
      <c r="H3916" s="30" t="s">
        <v>16832</v>
      </c>
    </row>
    <row r="3917" spans="1:8">
      <c r="A3917" s="30" t="s">
        <v>16833</v>
      </c>
      <c r="B3917" s="30"/>
      <c r="C3917" s="30" t="s">
        <v>8626</v>
      </c>
      <c r="D3917" s="30" t="s">
        <v>16831</v>
      </c>
      <c r="E3917" s="30" t="s">
        <v>11308</v>
      </c>
      <c r="F3917" s="30" t="s">
        <v>8618</v>
      </c>
      <c r="G3917" s="30" t="s">
        <v>9259</v>
      </c>
      <c r="H3917" s="30" t="s">
        <v>16834</v>
      </c>
    </row>
    <row r="3918" spans="1:8">
      <c r="A3918" s="30" t="s">
        <v>16835</v>
      </c>
      <c r="B3918" s="30"/>
      <c r="C3918" s="30" t="s">
        <v>8607</v>
      </c>
      <c r="D3918" s="30" t="s">
        <v>8821</v>
      </c>
      <c r="E3918" s="30"/>
      <c r="F3918" s="30"/>
      <c r="G3918" s="30" t="s">
        <v>8737</v>
      </c>
      <c r="H3918" s="30" t="s">
        <v>10084</v>
      </c>
    </row>
    <row r="3919" spans="1:8">
      <c r="A3919" s="30" t="s">
        <v>16836</v>
      </c>
      <c r="B3919" s="30"/>
      <c r="C3919" s="30" t="s">
        <v>8607</v>
      </c>
      <c r="D3919" s="30" t="s">
        <v>16837</v>
      </c>
      <c r="E3919" s="30"/>
      <c r="F3919" s="30"/>
      <c r="G3919" s="30" t="s">
        <v>14630</v>
      </c>
      <c r="H3919" s="30" t="s">
        <v>14631</v>
      </c>
    </row>
    <row r="3920" spans="1:8">
      <c r="A3920" s="30" t="s">
        <v>16838</v>
      </c>
      <c r="B3920" s="30"/>
      <c r="C3920" s="30" t="s">
        <v>8607</v>
      </c>
      <c r="D3920" s="30"/>
      <c r="E3920" s="30"/>
      <c r="F3920" s="30"/>
      <c r="G3920" s="30"/>
      <c r="H3920" s="30" t="s">
        <v>13392</v>
      </c>
    </row>
    <row r="3921" spans="1:8">
      <c r="A3921" s="30" t="s">
        <v>16839</v>
      </c>
      <c r="B3921" s="30"/>
      <c r="C3921" s="30" t="s">
        <v>8626</v>
      </c>
      <c r="D3921" s="30" t="s">
        <v>16840</v>
      </c>
      <c r="E3921" s="30" t="s">
        <v>16841</v>
      </c>
      <c r="F3921" s="30" t="s">
        <v>8618</v>
      </c>
      <c r="G3921" s="30" t="s">
        <v>10234</v>
      </c>
      <c r="H3921" s="30" t="s">
        <v>16842</v>
      </c>
    </row>
    <row r="3922" spans="1:8">
      <c r="A3922" s="30" t="s">
        <v>16843</v>
      </c>
      <c r="B3922" s="30"/>
      <c r="C3922" s="30" t="s">
        <v>8607</v>
      </c>
      <c r="D3922" s="30" t="s">
        <v>14007</v>
      </c>
      <c r="E3922" s="30"/>
      <c r="F3922" s="30"/>
      <c r="G3922" s="30" t="s">
        <v>11641</v>
      </c>
      <c r="H3922" s="30" t="s">
        <v>16844</v>
      </c>
    </row>
    <row r="3923" spans="1:8">
      <c r="A3923" s="30" t="s">
        <v>16845</v>
      </c>
      <c r="B3923" s="30"/>
      <c r="C3923" s="30" t="s">
        <v>8607</v>
      </c>
      <c r="D3923" s="30" t="s">
        <v>15516</v>
      </c>
      <c r="E3923" s="30"/>
      <c r="F3923" s="30"/>
      <c r="G3923" s="30" t="s">
        <v>15517</v>
      </c>
      <c r="H3923" s="30" t="s">
        <v>16846</v>
      </c>
    </row>
    <row r="3924" spans="1:8">
      <c r="A3924" s="30" t="s">
        <v>16847</v>
      </c>
      <c r="B3924" s="30"/>
      <c r="C3924" s="30" t="s">
        <v>8607</v>
      </c>
      <c r="D3924" s="30" t="s">
        <v>9138</v>
      </c>
      <c r="E3924" s="30" t="s">
        <v>9139</v>
      </c>
      <c r="F3924" s="30" t="s">
        <v>8672</v>
      </c>
      <c r="G3924" s="30" t="s">
        <v>9140</v>
      </c>
      <c r="H3924" s="30" t="s">
        <v>9141</v>
      </c>
    </row>
    <row r="3925" spans="1:8">
      <c r="A3925" s="30" t="s">
        <v>16848</v>
      </c>
      <c r="B3925" s="30"/>
      <c r="C3925" s="30" t="s">
        <v>8607</v>
      </c>
      <c r="D3925" s="30" t="s">
        <v>16849</v>
      </c>
      <c r="E3925" s="30"/>
      <c r="F3925" s="30"/>
      <c r="G3925" s="30" t="s">
        <v>10451</v>
      </c>
      <c r="H3925" s="30" t="s">
        <v>16850</v>
      </c>
    </row>
    <row r="3926" spans="1:8">
      <c r="A3926" s="30" t="s">
        <v>16851</v>
      </c>
      <c r="B3926" s="30"/>
      <c r="C3926" s="30" t="s">
        <v>8607</v>
      </c>
      <c r="D3926" s="30"/>
      <c r="E3926" s="30"/>
      <c r="F3926" s="30"/>
      <c r="G3926" s="30" t="s">
        <v>9190</v>
      </c>
      <c r="H3926" s="30" t="s">
        <v>16852</v>
      </c>
    </row>
    <row r="3927" spans="1:8">
      <c r="A3927" s="30" t="s">
        <v>16853</v>
      </c>
      <c r="B3927" s="30"/>
      <c r="C3927" s="30" t="s">
        <v>8607</v>
      </c>
      <c r="D3927" s="30" t="s">
        <v>16854</v>
      </c>
      <c r="E3927" s="30"/>
      <c r="F3927" s="30"/>
      <c r="G3927" s="30" t="s">
        <v>16855</v>
      </c>
      <c r="H3927" s="30" t="s">
        <v>16856</v>
      </c>
    </row>
    <row r="3928" spans="1:8">
      <c r="A3928" s="30" t="s">
        <v>16857</v>
      </c>
      <c r="B3928" s="30"/>
      <c r="C3928" s="30" t="s">
        <v>8607</v>
      </c>
      <c r="D3928" s="30" t="s">
        <v>16514</v>
      </c>
      <c r="E3928" s="30" t="s">
        <v>16515</v>
      </c>
      <c r="F3928" s="30" t="e">
        <v>#VALUE!</v>
      </c>
      <c r="G3928" s="30" t="s">
        <v>16478</v>
      </c>
      <c r="H3928" s="30" t="s">
        <v>16858</v>
      </c>
    </row>
    <row r="3929" spans="1:8">
      <c r="A3929" s="30" t="s">
        <v>16859</v>
      </c>
      <c r="B3929" s="30"/>
      <c r="C3929" s="30" t="s">
        <v>8607</v>
      </c>
      <c r="D3929" s="30" t="s">
        <v>16860</v>
      </c>
      <c r="E3929" s="30" t="s">
        <v>16515</v>
      </c>
      <c r="F3929" s="30" t="e">
        <v>#VALUE!</v>
      </c>
      <c r="G3929" s="30" t="s">
        <v>16478</v>
      </c>
      <c r="H3929" s="30" t="s">
        <v>16651</v>
      </c>
    </row>
    <row r="3930" spans="1:8">
      <c r="A3930" s="30" t="s">
        <v>16861</v>
      </c>
      <c r="B3930" s="30"/>
      <c r="C3930" s="30" t="s">
        <v>8607</v>
      </c>
      <c r="D3930" s="30" t="s">
        <v>16514</v>
      </c>
      <c r="E3930" s="30" t="s">
        <v>16515</v>
      </c>
      <c r="F3930" s="30" t="e">
        <v>#VALUE!</v>
      </c>
      <c r="G3930" s="30" t="s">
        <v>16478</v>
      </c>
      <c r="H3930" s="30" t="s">
        <v>16649</v>
      </c>
    </row>
    <row r="3931" spans="1:8">
      <c r="A3931" s="30" t="s">
        <v>16862</v>
      </c>
      <c r="B3931" s="30"/>
      <c r="C3931" s="30" t="s">
        <v>8607</v>
      </c>
      <c r="D3931" s="30" t="s">
        <v>16514</v>
      </c>
      <c r="E3931" s="30" t="s">
        <v>16515</v>
      </c>
      <c r="F3931" s="30" t="e">
        <v>#VALUE!</v>
      </c>
      <c r="G3931" s="30" t="s">
        <v>16478</v>
      </c>
      <c r="H3931" s="30" t="s">
        <v>16649</v>
      </c>
    </row>
    <row r="3932" spans="1:8">
      <c r="A3932" s="30" t="s">
        <v>16863</v>
      </c>
      <c r="B3932" s="30"/>
      <c r="C3932" s="30" t="s">
        <v>8607</v>
      </c>
      <c r="D3932" s="30" t="s">
        <v>16554</v>
      </c>
      <c r="E3932" s="30" t="s">
        <v>16515</v>
      </c>
      <c r="F3932" s="30" t="e">
        <v>#VALUE!</v>
      </c>
      <c r="G3932" s="30" t="s">
        <v>16478</v>
      </c>
      <c r="H3932" s="30" t="s">
        <v>16651</v>
      </c>
    </row>
    <row r="3933" spans="1:8">
      <c r="A3933" s="30" t="s">
        <v>16864</v>
      </c>
      <c r="B3933" s="30"/>
      <c r="C3933" s="30" t="s">
        <v>8607</v>
      </c>
      <c r="D3933" s="30" t="s">
        <v>16518</v>
      </c>
      <c r="E3933" s="30" t="s">
        <v>16515</v>
      </c>
      <c r="F3933" s="30" t="e">
        <v>#VALUE!</v>
      </c>
      <c r="G3933" s="30" t="s">
        <v>16478</v>
      </c>
      <c r="H3933" s="30" t="s">
        <v>16520</v>
      </c>
    </row>
    <row r="3934" spans="1:8">
      <c r="A3934" s="30" t="s">
        <v>16865</v>
      </c>
      <c r="B3934" s="30"/>
      <c r="C3934" s="30" t="s">
        <v>8626</v>
      </c>
      <c r="D3934" s="30" t="s">
        <v>16866</v>
      </c>
      <c r="E3934" s="30" t="s">
        <v>16515</v>
      </c>
      <c r="F3934" s="30" t="e">
        <v>#VALUE!</v>
      </c>
      <c r="G3934" s="30"/>
      <c r="H3934" s="30" t="s">
        <v>16867</v>
      </c>
    </row>
    <row r="3935" spans="1:8">
      <c r="A3935" s="30" t="s">
        <v>16868</v>
      </c>
      <c r="B3935" s="30"/>
      <c r="C3935" s="30" t="s">
        <v>8607</v>
      </c>
      <c r="D3935" s="30" t="s">
        <v>16514</v>
      </c>
      <c r="E3935" s="30" t="s">
        <v>16515</v>
      </c>
      <c r="F3935" s="30" t="e">
        <v>#VALUE!</v>
      </c>
      <c r="G3935" s="30" t="s">
        <v>16478</v>
      </c>
      <c r="H3935" s="30" t="s">
        <v>16516</v>
      </c>
    </row>
    <row r="3936" spans="1:8">
      <c r="A3936" s="30" t="s">
        <v>16869</v>
      </c>
      <c r="B3936" s="30"/>
      <c r="C3936" s="30" t="s">
        <v>8607</v>
      </c>
      <c r="D3936" s="30" t="s">
        <v>16554</v>
      </c>
      <c r="E3936" s="30" t="s">
        <v>16515</v>
      </c>
      <c r="F3936" s="30" t="e">
        <v>#VALUE!</v>
      </c>
      <c r="G3936" s="30" t="s">
        <v>16478</v>
      </c>
      <c r="H3936" s="30" t="s">
        <v>16520</v>
      </c>
    </row>
    <row r="3937" spans="1:8">
      <c r="A3937" s="30" t="s">
        <v>16870</v>
      </c>
      <c r="B3937" s="30"/>
      <c r="C3937" s="30" t="s">
        <v>8607</v>
      </c>
      <c r="D3937" s="30" t="s">
        <v>16514</v>
      </c>
      <c r="E3937" s="30" t="s">
        <v>16515</v>
      </c>
      <c r="F3937" s="30" t="e">
        <v>#VALUE!</v>
      </c>
      <c r="G3937" s="30" t="s">
        <v>16478</v>
      </c>
      <c r="H3937" s="30" t="s">
        <v>16871</v>
      </c>
    </row>
    <row r="3938" spans="1:8">
      <c r="A3938" s="30" t="s">
        <v>16872</v>
      </c>
      <c r="B3938" s="30"/>
      <c r="C3938" s="30" t="s">
        <v>8607</v>
      </c>
      <c r="D3938" s="30" t="s">
        <v>15583</v>
      </c>
      <c r="E3938" s="30" t="s">
        <v>13881</v>
      </c>
      <c r="F3938" s="30" t="s">
        <v>8672</v>
      </c>
      <c r="G3938" s="30" t="s">
        <v>13882</v>
      </c>
      <c r="H3938" s="30" t="s">
        <v>16873</v>
      </c>
    </row>
    <row r="3939" spans="1:8">
      <c r="A3939" s="30" t="s">
        <v>16874</v>
      </c>
      <c r="B3939" s="30"/>
      <c r="C3939" s="30" t="s">
        <v>8626</v>
      </c>
      <c r="D3939" s="30" t="s">
        <v>16875</v>
      </c>
      <c r="E3939" s="30"/>
      <c r="F3939" s="30"/>
      <c r="G3939" s="30" t="s">
        <v>8623</v>
      </c>
      <c r="H3939" s="30" t="s">
        <v>16876</v>
      </c>
    </row>
    <row r="3940" spans="1:8">
      <c r="A3940" s="30" t="s">
        <v>16877</v>
      </c>
      <c r="B3940" s="30"/>
      <c r="C3940" s="30" t="s">
        <v>8607</v>
      </c>
      <c r="D3940" s="30" t="s">
        <v>9152</v>
      </c>
      <c r="E3940" s="30"/>
      <c r="F3940" s="30"/>
      <c r="G3940" s="30" t="s">
        <v>8698</v>
      </c>
      <c r="H3940" s="30" t="s">
        <v>16878</v>
      </c>
    </row>
    <row r="3941" spans="1:8">
      <c r="A3941" s="30" t="s">
        <v>16879</v>
      </c>
      <c r="B3941" s="30"/>
      <c r="C3941" s="30" t="s">
        <v>8607</v>
      </c>
      <c r="D3941" s="30" t="s">
        <v>9195</v>
      </c>
      <c r="E3941" s="30"/>
      <c r="F3941" s="30"/>
      <c r="G3941" s="30" t="s">
        <v>8717</v>
      </c>
      <c r="H3941" s="30" t="s">
        <v>16880</v>
      </c>
    </row>
    <row r="3942" spans="1:8">
      <c r="A3942" s="30" t="s">
        <v>16881</v>
      </c>
      <c r="B3942" s="30"/>
      <c r="C3942" s="30" t="s">
        <v>8607</v>
      </c>
      <c r="D3942" s="30" t="s">
        <v>14688</v>
      </c>
      <c r="E3942" s="30"/>
      <c r="F3942" s="30"/>
      <c r="G3942" s="30" t="s">
        <v>9543</v>
      </c>
      <c r="H3942" s="30" t="s">
        <v>16882</v>
      </c>
    </row>
    <row r="3943" spans="1:8">
      <c r="A3943" s="30" t="s">
        <v>16883</v>
      </c>
      <c r="B3943" s="30"/>
      <c r="C3943" s="30" t="s">
        <v>8626</v>
      </c>
      <c r="D3943" s="30" t="s">
        <v>13975</v>
      </c>
      <c r="E3943" s="30" t="s">
        <v>9258</v>
      </c>
      <c r="F3943" s="30" t="s">
        <v>8618</v>
      </c>
      <c r="G3943" s="30" t="s">
        <v>10234</v>
      </c>
      <c r="H3943" s="30" t="s">
        <v>16884</v>
      </c>
    </row>
    <row r="3944" spans="1:8">
      <c r="A3944" s="30" t="s">
        <v>16885</v>
      </c>
      <c r="B3944" s="30"/>
      <c r="C3944" s="30" t="s">
        <v>8607</v>
      </c>
      <c r="D3944" s="30" t="s">
        <v>16886</v>
      </c>
      <c r="E3944" s="30"/>
      <c r="F3944" s="30"/>
      <c r="G3944" s="30" t="s">
        <v>8804</v>
      </c>
      <c r="H3944" s="30" t="s">
        <v>16887</v>
      </c>
    </row>
    <row r="3945" spans="1:8">
      <c r="A3945" s="30" t="s">
        <v>16888</v>
      </c>
      <c r="B3945" s="30"/>
      <c r="C3945" s="30" t="s">
        <v>8607</v>
      </c>
      <c r="D3945" s="30" t="s">
        <v>8961</v>
      </c>
      <c r="E3945" s="30" t="s">
        <v>9292</v>
      </c>
      <c r="F3945" s="30" t="e">
        <v>#VALUE!</v>
      </c>
      <c r="G3945" s="30" t="s">
        <v>8691</v>
      </c>
      <c r="H3945" s="30" t="s">
        <v>16889</v>
      </c>
    </row>
    <row r="3946" spans="1:8">
      <c r="A3946" s="30" t="s">
        <v>16890</v>
      </c>
      <c r="B3946" s="30"/>
      <c r="C3946" s="30" t="s">
        <v>8607</v>
      </c>
      <c r="D3946" s="30" t="s">
        <v>16891</v>
      </c>
      <c r="E3946" s="30" t="s">
        <v>16004</v>
      </c>
      <c r="F3946" s="30" t="e">
        <v>#VALUE!</v>
      </c>
      <c r="G3946" s="30" t="s">
        <v>8975</v>
      </c>
      <c r="H3946" s="30" t="s">
        <v>16892</v>
      </c>
    </row>
    <row r="3947" spans="1:8">
      <c r="A3947" s="30" t="s">
        <v>16893</v>
      </c>
      <c r="B3947" s="30"/>
      <c r="C3947" s="30" t="s">
        <v>8607</v>
      </c>
      <c r="D3947" s="30" t="s">
        <v>10132</v>
      </c>
      <c r="E3947" s="30" t="s">
        <v>16894</v>
      </c>
      <c r="F3947" s="30" t="e">
        <v>#VALUE!</v>
      </c>
      <c r="G3947" s="30" t="s">
        <v>8975</v>
      </c>
      <c r="H3947" s="30" t="s">
        <v>16895</v>
      </c>
    </row>
    <row r="3948" spans="1:8">
      <c r="A3948" s="30" t="s">
        <v>16896</v>
      </c>
      <c r="B3948" s="30"/>
      <c r="C3948" s="30" t="s">
        <v>8607</v>
      </c>
      <c r="D3948" s="30" t="s">
        <v>16897</v>
      </c>
      <c r="E3948" s="30" t="s">
        <v>13774</v>
      </c>
      <c r="F3948" s="30" t="s">
        <v>8618</v>
      </c>
      <c r="G3948" s="30" t="s">
        <v>15862</v>
      </c>
      <c r="H3948" s="30" t="s">
        <v>16898</v>
      </c>
    </row>
    <row r="3949" spans="1:8">
      <c r="A3949" s="30" t="s">
        <v>16899</v>
      </c>
      <c r="B3949" s="30"/>
      <c r="C3949" s="30" t="s">
        <v>8607</v>
      </c>
      <c r="D3949" s="30" t="s">
        <v>9742</v>
      </c>
      <c r="E3949" s="30" t="s">
        <v>8850</v>
      </c>
      <c r="F3949" s="30" t="s">
        <v>8672</v>
      </c>
      <c r="G3949" s="30" t="s">
        <v>8851</v>
      </c>
      <c r="H3949" s="30" t="s">
        <v>16900</v>
      </c>
    </row>
    <row r="3950" spans="1:8">
      <c r="A3950" s="30" t="s">
        <v>16901</v>
      </c>
      <c r="B3950" s="30"/>
      <c r="C3950" s="30" t="s">
        <v>8607</v>
      </c>
      <c r="D3950" s="30"/>
      <c r="E3950" s="30"/>
      <c r="F3950" s="30"/>
      <c r="G3950" s="30" t="s">
        <v>8711</v>
      </c>
      <c r="H3950" s="30" t="s">
        <v>16902</v>
      </c>
    </row>
    <row r="3951" spans="1:8">
      <c r="A3951" s="30" t="s">
        <v>16903</v>
      </c>
      <c r="B3951" s="30"/>
      <c r="C3951" s="30" t="s">
        <v>8607</v>
      </c>
      <c r="D3951" s="30" t="s">
        <v>16904</v>
      </c>
      <c r="E3951" s="30"/>
      <c r="F3951" s="30"/>
      <c r="G3951" s="30" t="s">
        <v>8656</v>
      </c>
      <c r="H3951" s="30" t="s">
        <v>16905</v>
      </c>
    </row>
    <row r="3952" spans="1:8">
      <c r="A3952" s="30" t="s">
        <v>16906</v>
      </c>
      <c r="B3952" s="30"/>
      <c r="C3952" s="30" t="s">
        <v>8626</v>
      </c>
      <c r="D3952" s="30"/>
      <c r="E3952" s="30"/>
      <c r="F3952" s="30"/>
      <c r="G3952" s="30"/>
      <c r="H3952" s="30" t="s">
        <v>16907</v>
      </c>
    </row>
    <row r="3953" spans="1:8">
      <c r="A3953" s="30" t="s">
        <v>16908</v>
      </c>
      <c r="B3953" s="30"/>
      <c r="C3953" s="30" t="s">
        <v>8607</v>
      </c>
      <c r="D3953" s="30" t="s">
        <v>8632</v>
      </c>
      <c r="E3953" s="30"/>
      <c r="F3953" s="30"/>
      <c r="G3953" s="30" t="s">
        <v>8633</v>
      </c>
      <c r="H3953" s="30" t="s">
        <v>12042</v>
      </c>
    </row>
    <row r="3954" spans="1:8">
      <c r="A3954" s="30" t="s">
        <v>16909</v>
      </c>
      <c r="B3954" s="30"/>
      <c r="C3954" s="30" t="s">
        <v>8607</v>
      </c>
      <c r="D3954" s="30" t="s">
        <v>9034</v>
      </c>
      <c r="E3954" s="30"/>
      <c r="F3954" s="30"/>
      <c r="G3954" s="30" t="s">
        <v>8667</v>
      </c>
      <c r="H3954" s="30" t="s">
        <v>16910</v>
      </c>
    </row>
    <row r="3955" spans="1:8">
      <c r="A3955" s="30" t="s">
        <v>16911</v>
      </c>
      <c r="B3955" s="30"/>
      <c r="C3955" s="30" t="s">
        <v>8626</v>
      </c>
      <c r="D3955" s="30"/>
      <c r="E3955" s="30" t="s">
        <v>16912</v>
      </c>
      <c r="F3955" s="30" t="s">
        <v>8618</v>
      </c>
      <c r="G3955" s="30" t="s">
        <v>16913</v>
      </c>
      <c r="H3955" s="30" t="s">
        <v>16914</v>
      </c>
    </row>
    <row r="3956" spans="1:8">
      <c r="A3956" s="30" t="s">
        <v>16915</v>
      </c>
      <c r="B3956" s="30"/>
      <c r="C3956" s="30"/>
      <c r="D3956" s="32"/>
      <c r="E3956" s="30"/>
      <c r="F3956" s="30"/>
      <c r="G3956" s="30"/>
      <c r="H3956" s="30" t="s">
        <v>16916</v>
      </c>
    </row>
    <row r="3957" spans="1:8">
      <c r="A3957" s="30" t="s">
        <v>16917</v>
      </c>
      <c r="B3957" s="30"/>
      <c r="C3957" s="30" t="s">
        <v>8607</v>
      </c>
      <c r="D3957" s="30"/>
      <c r="E3957" s="30"/>
      <c r="F3957" s="30"/>
      <c r="G3957" s="30"/>
      <c r="H3957" s="30" t="s">
        <v>16918</v>
      </c>
    </row>
    <row r="3958" spans="1:8">
      <c r="A3958" s="30" t="s">
        <v>16919</v>
      </c>
      <c r="B3958" s="30"/>
      <c r="C3958" s="30" t="s">
        <v>8626</v>
      </c>
      <c r="D3958" s="30" t="s">
        <v>16920</v>
      </c>
      <c r="E3958" s="30" t="s">
        <v>16921</v>
      </c>
      <c r="F3958" s="30" t="e">
        <v>#VALUE!</v>
      </c>
      <c r="G3958" s="30" t="s">
        <v>9735</v>
      </c>
      <c r="H3958" s="30" t="s">
        <v>16922</v>
      </c>
    </row>
    <row r="3959" spans="1:8">
      <c r="A3959" s="30" t="s">
        <v>16923</v>
      </c>
      <c r="B3959" s="30"/>
      <c r="C3959" s="30" t="s">
        <v>8607</v>
      </c>
      <c r="D3959" s="30"/>
      <c r="E3959" s="30"/>
      <c r="F3959" s="30"/>
      <c r="G3959" s="30" t="s">
        <v>13434</v>
      </c>
      <c r="H3959" s="30" t="s">
        <v>16924</v>
      </c>
    </row>
    <row r="3960" spans="1:8">
      <c r="A3960" s="30" t="s">
        <v>16925</v>
      </c>
      <c r="B3960" s="30"/>
      <c r="C3960" s="30" t="s">
        <v>8607</v>
      </c>
      <c r="D3960" s="30" t="s">
        <v>9331</v>
      </c>
      <c r="E3960" s="30" t="s">
        <v>9332</v>
      </c>
      <c r="F3960" s="30" t="s">
        <v>8672</v>
      </c>
      <c r="G3960" s="30" t="s">
        <v>9333</v>
      </c>
      <c r="H3960" s="30" t="s">
        <v>16926</v>
      </c>
    </row>
    <row r="3961" spans="1:8">
      <c r="A3961" s="30" t="s">
        <v>16927</v>
      </c>
      <c r="B3961" s="30"/>
      <c r="C3961" s="30" t="s">
        <v>8607</v>
      </c>
      <c r="D3961" s="30" t="s">
        <v>14356</v>
      </c>
      <c r="E3961" s="30" t="s">
        <v>16928</v>
      </c>
      <c r="F3961" s="30" t="s">
        <v>8618</v>
      </c>
      <c r="G3961" s="30" t="s">
        <v>14358</v>
      </c>
      <c r="H3961" s="30" t="s">
        <v>16929</v>
      </c>
    </row>
    <row r="3962" spans="1:8">
      <c r="A3962" s="30" t="s">
        <v>16930</v>
      </c>
      <c r="B3962" s="30"/>
      <c r="C3962" s="30" t="s">
        <v>8607</v>
      </c>
      <c r="D3962" s="30" t="s">
        <v>9490</v>
      </c>
      <c r="E3962" s="30" t="s">
        <v>9491</v>
      </c>
      <c r="F3962" s="30" t="s">
        <v>8672</v>
      </c>
      <c r="G3962" s="30" t="s">
        <v>8659</v>
      </c>
      <c r="H3962" s="30" t="s">
        <v>16931</v>
      </c>
    </row>
    <row r="3963" spans="1:8">
      <c r="A3963" s="30" t="s">
        <v>16932</v>
      </c>
      <c r="B3963" s="30"/>
      <c r="C3963" s="30" t="s">
        <v>8607</v>
      </c>
      <c r="D3963" s="30" t="s">
        <v>16933</v>
      </c>
      <c r="E3963" s="30"/>
      <c r="F3963" s="30"/>
      <c r="G3963" s="30" t="s">
        <v>13824</v>
      </c>
      <c r="H3963" s="30" t="s">
        <v>16934</v>
      </c>
    </row>
    <row r="3964" spans="1:8">
      <c r="A3964" s="30" t="s">
        <v>16935</v>
      </c>
      <c r="B3964" s="30"/>
      <c r="C3964" s="30" t="s">
        <v>8607</v>
      </c>
      <c r="D3964" s="30"/>
      <c r="E3964" s="30"/>
      <c r="F3964" s="30"/>
      <c r="G3964" s="30" t="s">
        <v>9425</v>
      </c>
      <c r="H3964" s="30" t="s">
        <v>9426</v>
      </c>
    </row>
    <row r="3965" spans="1:8">
      <c r="A3965" s="30" t="s">
        <v>16936</v>
      </c>
      <c r="B3965" s="30"/>
      <c r="C3965" s="30" t="s">
        <v>8607</v>
      </c>
      <c r="D3965" s="30"/>
      <c r="E3965" s="30"/>
      <c r="F3965" s="30"/>
      <c r="G3965" s="30" t="s">
        <v>14069</v>
      </c>
      <c r="H3965" s="30" t="s">
        <v>16937</v>
      </c>
    </row>
    <row r="3966" spans="1:8">
      <c r="A3966" s="30" t="s">
        <v>16938</v>
      </c>
      <c r="B3966" s="30"/>
      <c r="C3966" s="30" t="s">
        <v>8607</v>
      </c>
      <c r="D3966" s="30" t="s">
        <v>8608</v>
      </c>
      <c r="E3966" s="30"/>
      <c r="F3966" s="30"/>
      <c r="G3966" s="30" t="s">
        <v>8609</v>
      </c>
      <c r="H3966" s="30" t="s">
        <v>14502</v>
      </c>
    </row>
    <row r="3967" spans="1:8">
      <c r="A3967" s="30" t="s">
        <v>16939</v>
      </c>
      <c r="B3967" s="30"/>
      <c r="C3967" s="30" t="s">
        <v>8626</v>
      </c>
      <c r="D3967" s="30" t="s">
        <v>10170</v>
      </c>
      <c r="E3967" s="30" t="s">
        <v>16940</v>
      </c>
      <c r="F3967" s="30" t="e">
        <v>#VALUE!</v>
      </c>
      <c r="G3967" s="30" t="s">
        <v>16941</v>
      </c>
      <c r="H3967" s="30" t="s">
        <v>16942</v>
      </c>
    </row>
    <row r="3968" spans="1:8">
      <c r="A3968" s="30" t="s">
        <v>16943</v>
      </c>
      <c r="B3968" s="30"/>
      <c r="C3968" s="30" t="s">
        <v>8607</v>
      </c>
      <c r="D3968" s="30"/>
      <c r="E3968" s="30"/>
      <c r="F3968" s="30"/>
      <c r="G3968" s="30"/>
      <c r="H3968" s="30" t="s">
        <v>16944</v>
      </c>
    </row>
    <row r="3969" spans="1:8">
      <c r="A3969" s="30" t="s">
        <v>16945</v>
      </c>
      <c r="B3969" s="30"/>
      <c r="C3969" s="30" t="s">
        <v>8607</v>
      </c>
      <c r="D3969" s="30" t="s">
        <v>16946</v>
      </c>
      <c r="E3969" s="30" t="s">
        <v>16947</v>
      </c>
      <c r="F3969" s="30" t="e">
        <v>#VALUE!</v>
      </c>
      <c r="G3969" s="30" t="s">
        <v>9268</v>
      </c>
      <c r="H3969" s="30" t="s">
        <v>16948</v>
      </c>
    </row>
    <row r="3970" spans="1:8">
      <c r="A3970" s="30" t="s">
        <v>16949</v>
      </c>
      <c r="B3970" s="30"/>
      <c r="C3970" s="30" t="s">
        <v>8607</v>
      </c>
      <c r="D3970" s="30" t="s">
        <v>16950</v>
      </c>
      <c r="E3970" s="30"/>
      <c r="F3970" s="30"/>
      <c r="G3970" s="30" t="s">
        <v>10033</v>
      </c>
      <c r="H3970" s="30" t="s">
        <v>10034</v>
      </c>
    </row>
    <row r="3971" spans="1:8">
      <c r="A3971" s="30" t="s">
        <v>16951</v>
      </c>
      <c r="B3971" s="30"/>
      <c r="C3971" s="30" t="s">
        <v>8607</v>
      </c>
      <c r="D3971" s="30"/>
      <c r="E3971" s="30"/>
      <c r="F3971" s="30"/>
      <c r="G3971" s="30" t="s">
        <v>15852</v>
      </c>
      <c r="H3971" s="30" t="s">
        <v>15853</v>
      </c>
    </row>
    <row r="3972" spans="1:8">
      <c r="A3972" s="30" t="s">
        <v>16952</v>
      </c>
      <c r="B3972" s="30"/>
      <c r="C3972" s="30" t="s">
        <v>8626</v>
      </c>
      <c r="D3972" s="30" t="s">
        <v>16352</v>
      </c>
      <c r="E3972" s="30"/>
      <c r="F3972" s="30"/>
      <c r="G3972" s="30" t="s">
        <v>9920</v>
      </c>
      <c r="H3972" s="30" t="s">
        <v>16953</v>
      </c>
    </row>
    <row r="3973" spans="1:8">
      <c r="A3973" s="30" t="s">
        <v>16954</v>
      </c>
      <c r="B3973" s="30"/>
      <c r="C3973" s="30" t="s">
        <v>8607</v>
      </c>
      <c r="D3973" s="30"/>
      <c r="E3973" s="30"/>
      <c r="F3973" s="30"/>
      <c r="G3973" s="30"/>
      <c r="H3973" s="30" t="s">
        <v>16955</v>
      </c>
    </row>
    <row r="3974" spans="1:8">
      <c r="A3974" s="30" t="s">
        <v>16956</v>
      </c>
      <c r="B3974" s="30"/>
      <c r="C3974" s="30"/>
      <c r="D3974" s="32" t="s">
        <v>16957</v>
      </c>
      <c r="E3974" s="30" t="s">
        <v>16958</v>
      </c>
      <c r="F3974" s="30" t="s">
        <v>8672</v>
      </c>
      <c r="G3974" s="30"/>
      <c r="H3974" s="30" t="s">
        <v>16959</v>
      </c>
    </row>
    <row r="3975" spans="1:8">
      <c r="A3975" s="30" t="s">
        <v>16960</v>
      </c>
      <c r="B3975" s="30"/>
      <c r="C3975" s="30" t="s">
        <v>8607</v>
      </c>
      <c r="D3975" s="30"/>
      <c r="E3975" s="30"/>
      <c r="F3975" s="30"/>
      <c r="G3975" s="30"/>
      <c r="H3975" s="30" t="s">
        <v>16955</v>
      </c>
    </row>
    <row r="3976" spans="1:8">
      <c r="A3976" s="30" t="s">
        <v>16961</v>
      </c>
      <c r="B3976" s="30"/>
      <c r="C3976" s="30" t="s">
        <v>8607</v>
      </c>
      <c r="D3976" s="30"/>
      <c r="E3976" s="30" t="s">
        <v>16962</v>
      </c>
      <c r="F3976" s="30" t="s">
        <v>8618</v>
      </c>
      <c r="G3976" s="30" t="s">
        <v>9672</v>
      </c>
      <c r="H3976" s="30" t="s">
        <v>16963</v>
      </c>
    </row>
    <row r="3977" spans="1:8">
      <c r="A3977" s="30" t="s">
        <v>16964</v>
      </c>
      <c r="B3977" s="30"/>
      <c r="C3977" s="30" t="s">
        <v>8607</v>
      </c>
      <c r="D3977" s="30" t="s">
        <v>16965</v>
      </c>
      <c r="E3977" s="30" t="s">
        <v>16966</v>
      </c>
      <c r="F3977" s="30" t="s">
        <v>8672</v>
      </c>
      <c r="G3977" s="30" t="s">
        <v>16967</v>
      </c>
      <c r="H3977" s="30" t="s">
        <v>16968</v>
      </c>
    </row>
    <row r="3978" spans="1:8">
      <c r="A3978" s="30" t="s">
        <v>16969</v>
      </c>
      <c r="B3978" s="30"/>
      <c r="C3978" s="30" t="s">
        <v>8607</v>
      </c>
      <c r="D3978" s="30"/>
      <c r="E3978" s="30"/>
      <c r="F3978" s="30"/>
      <c r="G3978" s="30" t="s">
        <v>16970</v>
      </c>
      <c r="H3978" s="30" t="s">
        <v>16971</v>
      </c>
    </row>
    <row r="3979" spans="1:8">
      <c r="A3979" s="30" t="s">
        <v>16972</v>
      </c>
      <c r="B3979" s="30"/>
      <c r="C3979" s="30" t="s">
        <v>8607</v>
      </c>
      <c r="D3979" s="30" t="s">
        <v>16973</v>
      </c>
      <c r="E3979" s="30" t="s">
        <v>16438</v>
      </c>
      <c r="F3979" s="30" t="e">
        <v>#VALUE!</v>
      </c>
      <c r="G3979" s="30" t="s">
        <v>16439</v>
      </c>
      <c r="H3979" s="30" t="s">
        <v>16974</v>
      </c>
    </row>
    <row r="3980" spans="1:8">
      <c r="A3980" s="30" t="s">
        <v>16975</v>
      </c>
      <c r="B3980" s="30"/>
      <c r="C3980" s="30" t="s">
        <v>8607</v>
      </c>
      <c r="D3980" s="30" t="s">
        <v>16389</v>
      </c>
      <c r="E3980" s="30" t="s">
        <v>16976</v>
      </c>
      <c r="F3980" s="30" t="s">
        <v>8618</v>
      </c>
      <c r="G3980" s="30" t="s">
        <v>16391</v>
      </c>
      <c r="H3980" s="30" t="s">
        <v>16977</v>
      </c>
    </row>
    <row r="3981" spans="1:8">
      <c r="A3981" s="30" t="s">
        <v>16978</v>
      </c>
      <c r="B3981" s="30"/>
      <c r="C3981" s="30" t="s">
        <v>8607</v>
      </c>
      <c r="D3981" s="30" t="s">
        <v>16979</v>
      </c>
      <c r="E3981" s="30" t="s">
        <v>16980</v>
      </c>
      <c r="F3981" s="30" t="e">
        <v>#VALUE!</v>
      </c>
      <c r="G3981" s="30" t="s">
        <v>16981</v>
      </c>
      <c r="H3981" s="30" t="s">
        <v>16982</v>
      </c>
    </row>
    <row r="3982" spans="1:8">
      <c r="A3982" s="30" t="s">
        <v>16983</v>
      </c>
      <c r="B3982" s="30"/>
      <c r="C3982" s="30" t="s">
        <v>8626</v>
      </c>
      <c r="D3982" s="30" t="s">
        <v>16984</v>
      </c>
      <c r="E3982" s="30" t="s">
        <v>9791</v>
      </c>
      <c r="F3982" s="30" t="s">
        <v>8672</v>
      </c>
      <c r="G3982" s="30" t="s">
        <v>9275</v>
      </c>
      <c r="H3982" s="30" t="s">
        <v>16985</v>
      </c>
    </row>
    <row r="3983" spans="1:8">
      <c r="A3983" s="30" t="s">
        <v>16986</v>
      </c>
      <c r="B3983" s="30"/>
      <c r="C3983" s="30" t="s">
        <v>8607</v>
      </c>
      <c r="D3983" s="30"/>
      <c r="E3983" s="30"/>
      <c r="F3983" s="30"/>
      <c r="G3983" s="30"/>
      <c r="H3983" s="30" t="s">
        <v>16987</v>
      </c>
    </row>
    <row r="3984" spans="1:8">
      <c r="A3984" s="30" t="s">
        <v>16988</v>
      </c>
      <c r="B3984" s="30"/>
      <c r="C3984" s="30" t="s">
        <v>8607</v>
      </c>
      <c r="D3984" s="30"/>
      <c r="E3984" s="30"/>
      <c r="F3984" s="30"/>
      <c r="G3984" s="30"/>
      <c r="H3984" s="30" t="s">
        <v>16989</v>
      </c>
    </row>
    <row r="3985" spans="1:8">
      <c r="A3985" s="30" t="s">
        <v>16990</v>
      </c>
      <c r="B3985" s="30"/>
      <c r="C3985" s="30" t="s">
        <v>8607</v>
      </c>
      <c r="D3985" s="30" t="s">
        <v>16991</v>
      </c>
      <c r="E3985" s="30" t="s">
        <v>16992</v>
      </c>
      <c r="F3985" s="30" t="s">
        <v>8618</v>
      </c>
      <c r="G3985" s="30"/>
      <c r="H3985" s="30" t="s">
        <v>16993</v>
      </c>
    </row>
    <row r="3986" spans="1:8">
      <c r="A3986" s="30" t="s">
        <v>16994</v>
      </c>
      <c r="B3986" s="30"/>
      <c r="C3986" s="30" t="s">
        <v>8607</v>
      </c>
      <c r="D3986" s="30" t="s">
        <v>9178</v>
      </c>
      <c r="E3986" s="30"/>
      <c r="F3986" s="30"/>
      <c r="G3986" s="30" t="s">
        <v>9002</v>
      </c>
      <c r="H3986" s="30" t="s">
        <v>16995</v>
      </c>
    </row>
    <row r="3987" spans="1:8">
      <c r="A3987" s="30" t="s">
        <v>16996</v>
      </c>
      <c r="B3987" s="30"/>
      <c r="C3987" s="30" t="s">
        <v>8607</v>
      </c>
      <c r="D3987" s="30" t="s">
        <v>10606</v>
      </c>
      <c r="E3987" s="30" t="s">
        <v>16997</v>
      </c>
      <c r="F3987" s="30" t="s">
        <v>8672</v>
      </c>
      <c r="G3987" s="30"/>
      <c r="H3987" s="30" t="s">
        <v>16998</v>
      </c>
    </row>
    <row r="3988" spans="1:8">
      <c r="A3988" s="30" t="s">
        <v>16999</v>
      </c>
      <c r="B3988" s="30"/>
      <c r="C3988" s="30" t="s">
        <v>8607</v>
      </c>
      <c r="D3988" s="30"/>
      <c r="E3988" s="30"/>
      <c r="F3988" s="30"/>
      <c r="G3988" s="30"/>
      <c r="H3988" s="30" t="s">
        <v>17000</v>
      </c>
    </row>
    <row r="3989" spans="1:8">
      <c r="A3989" s="30" t="s">
        <v>17001</v>
      </c>
      <c r="B3989" s="30"/>
      <c r="C3989" s="30" t="s">
        <v>8607</v>
      </c>
      <c r="D3989" s="30" t="s">
        <v>10667</v>
      </c>
      <c r="E3989" s="30" t="s">
        <v>15831</v>
      </c>
      <c r="F3989" s="30" t="s">
        <v>8618</v>
      </c>
      <c r="G3989" s="30" t="s">
        <v>10668</v>
      </c>
      <c r="H3989" s="30" t="s">
        <v>17002</v>
      </c>
    </row>
    <row r="3990" spans="1:8">
      <c r="A3990" s="30" t="s">
        <v>17003</v>
      </c>
      <c r="B3990" s="30"/>
      <c r="C3990" s="30" t="s">
        <v>8607</v>
      </c>
      <c r="D3990" s="30" t="s">
        <v>17004</v>
      </c>
      <c r="E3990" s="30" t="s">
        <v>8811</v>
      </c>
      <c r="F3990" s="30" t="e">
        <v>#VALUE!</v>
      </c>
      <c r="G3990" s="30" t="s">
        <v>8754</v>
      </c>
      <c r="H3990" s="30" t="s">
        <v>17005</v>
      </c>
    </row>
    <row r="3991" spans="1:8">
      <c r="A3991" s="30" t="s">
        <v>17006</v>
      </c>
      <c r="B3991" s="30"/>
      <c r="C3991" s="30" t="s">
        <v>8607</v>
      </c>
      <c r="D3991" s="30" t="s">
        <v>9490</v>
      </c>
      <c r="E3991" s="30" t="s">
        <v>9491</v>
      </c>
      <c r="F3991" s="30" t="s">
        <v>8672</v>
      </c>
      <c r="G3991" s="30" t="s">
        <v>8659</v>
      </c>
      <c r="H3991" s="30" t="s">
        <v>17007</v>
      </c>
    </row>
    <row r="3992" spans="1:8">
      <c r="A3992" s="30" t="s">
        <v>17008</v>
      </c>
      <c r="B3992" s="30"/>
      <c r="C3992" s="30" t="s">
        <v>8626</v>
      </c>
      <c r="D3992" s="30" t="s">
        <v>17009</v>
      </c>
      <c r="E3992" s="30" t="s">
        <v>17010</v>
      </c>
      <c r="F3992" s="30" t="e">
        <v>#VALUE!</v>
      </c>
      <c r="G3992" s="30" t="s">
        <v>17011</v>
      </c>
      <c r="H3992" s="30" t="s">
        <v>17012</v>
      </c>
    </row>
    <row r="3993" spans="1:8">
      <c r="A3993" s="30" t="s">
        <v>17013</v>
      </c>
      <c r="B3993" s="30"/>
      <c r="C3993" s="30" t="s">
        <v>8607</v>
      </c>
      <c r="D3993" s="30"/>
      <c r="E3993" s="30"/>
      <c r="F3993" s="30"/>
      <c r="G3993" s="30" t="s">
        <v>13987</v>
      </c>
      <c r="H3993" s="30" t="s">
        <v>13988</v>
      </c>
    </row>
    <row r="3994" spans="1:8">
      <c r="A3994" s="30" t="s">
        <v>17014</v>
      </c>
      <c r="B3994" s="30"/>
      <c r="C3994" s="30" t="s">
        <v>8607</v>
      </c>
      <c r="D3994" s="30" t="s">
        <v>8938</v>
      </c>
      <c r="E3994" s="30"/>
      <c r="F3994" s="30"/>
      <c r="G3994" s="30" t="s">
        <v>8737</v>
      </c>
      <c r="H3994" s="30" t="s">
        <v>10084</v>
      </c>
    </row>
    <row r="3995" spans="1:8">
      <c r="A3995" s="30" t="s">
        <v>17015</v>
      </c>
      <c r="B3995" s="30"/>
      <c r="C3995" s="30" t="s">
        <v>8626</v>
      </c>
      <c r="D3995" s="30" t="s">
        <v>17016</v>
      </c>
      <c r="E3995" s="30"/>
      <c r="F3995" s="30"/>
      <c r="G3995" s="30"/>
      <c r="H3995" s="30" t="s">
        <v>17017</v>
      </c>
    </row>
    <row r="3996" spans="1:8">
      <c r="A3996" s="30" t="s">
        <v>17018</v>
      </c>
      <c r="B3996" s="30"/>
      <c r="C3996" s="30" t="s">
        <v>8607</v>
      </c>
      <c r="D3996" s="30" t="s">
        <v>17019</v>
      </c>
      <c r="E3996" s="30"/>
      <c r="F3996" s="30"/>
      <c r="G3996" s="30" t="s">
        <v>9018</v>
      </c>
      <c r="H3996" s="30" t="s">
        <v>17020</v>
      </c>
    </row>
    <row r="3997" spans="1:8">
      <c r="A3997" s="30" t="s">
        <v>17021</v>
      </c>
      <c r="B3997" s="30"/>
      <c r="C3997" s="30" t="s">
        <v>8607</v>
      </c>
      <c r="D3997" s="30" t="s">
        <v>17022</v>
      </c>
      <c r="E3997" s="30"/>
      <c r="F3997" s="30"/>
      <c r="G3997" s="30" t="s">
        <v>17023</v>
      </c>
      <c r="H3997" s="30" t="s">
        <v>17024</v>
      </c>
    </row>
    <row r="3998" spans="1:8">
      <c r="A3998" s="30" t="s">
        <v>17025</v>
      </c>
      <c r="B3998" s="30"/>
      <c r="C3998" s="30" t="s">
        <v>8607</v>
      </c>
      <c r="D3998" s="30"/>
      <c r="E3998" s="30"/>
      <c r="F3998" s="30"/>
      <c r="G3998" s="30"/>
      <c r="H3998" s="30" t="s">
        <v>9779</v>
      </c>
    </row>
    <row r="3999" spans="1:8">
      <c r="A3999" s="30" t="s">
        <v>17026</v>
      </c>
      <c r="B3999" s="30"/>
      <c r="C3999" s="30" t="s">
        <v>8607</v>
      </c>
      <c r="D3999" s="30"/>
      <c r="E3999" s="30"/>
      <c r="F3999" s="30"/>
      <c r="G3999" s="30" t="s">
        <v>10138</v>
      </c>
      <c r="H3999" s="30" t="s">
        <v>17027</v>
      </c>
    </row>
    <row r="4000" spans="1:8">
      <c r="A4000" s="30" t="s">
        <v>17028</v>
      </c>
      <c r="B4000" s="30"/>
      <c r="C4000" s="30" t="s">
        <v>8607</v>
      </c>
      <c r="D4000" s="30" t="s">
        <v>17029</v>
      </c>
      <c r="E4000" s="30" t="s">
        <v>17030</v>
      </c>
      <c r="F4000" s="30" t="s">
        <v>8672</v>
      </c>
      <c r="G4000" s="30" t="s">
        <v>10789</v>
      </c>
      <c r="H4000" s="30" t="s">
        <v>17031</v>
      </c>
    </row>
    <row r="4001" spans="1:8">
      <c r="A4001" s="30" t="s">
        <v>17032</v>
      </c>
      <c r="B4001" s="30"/>
      <c r="C4001" s="30"/>
      <c r="D4001" s="32" t="s">
        <v>17033</v>
      </c>
      <c r="E4001" s="30" t="s">
        <v>17034</v>
      </c>
      <c r="F4001" s="30" t="s">
        <v>8618</v>
      </c>
      <c r="G4001" s="30"/>
      <c r="H4001" s="30" t="s">
        <v>17035</v>
      </c>
    </row>
    <row r="4002" spans="1:8">
      <c r="A4002" s="30" t="s">
        <v>17036</v>
      </c>
      <c r="B4002" s="30"/>
      <c r="C4002" s="30" t="s">
        <v>8626</v>
      </c>
      <c r="D4002" s="30" t="s">
        <v>17009</v>
      </c>
      <c r="E4002" s="30" t="s">
        <v>17037</v>
      </c>
      <c r="F4002" s="30" t="s">
        <v>8618</v>
      </c>
      <c r="G4002" s="30" t="s">
        <v>17011</v>
      </c>
      <c r="H4002" s="30" t="s">
        <v>17038</v>
      </c>
    </row>
    <row r="4003" spans="1:8">
      <c r="A4003" s="30" t="s">
        <v>17039</v>
      </c>
      <c r="B4003" s="30"/>
      <c r="C4003" s="30" t="s">
        <v>8607</v>
      </c>
      <c r="D4003" s="30" t="s">
        <v>17040</v>
      </c>
      <c r="E4003" s="30" t="s">
        <v>17041</v>
      </c>
      <c r="F4003" s="30" t="s">
        <v>8672</v>
      </c>
      <c r="G4003" s="30" t="s">
        <v>17042</v>
      </c>
      <c r="H4003" s="30" t="s">
        <v>17043</v>
      </c>
    </row>
    <row r="4004" spans="1:8">
      <c r="A4004" s="30" t="s">
        <v>17044</v>
      </c>
      <c r="B4004" s="30"/>
      <c r="C4004" s="30" t="s">
        <v>8626</v>
      </c>
      <c r="D4004" s="30" t="s">
        <v>17045</v>
      </c>
      <c r="E4004" s="30" t="s">
        <v>13488</v>
      </c>
      <c r="F4004" s="30" t="e">
        <v>#VALUE!</v>
      </c>
      <c r="G4004" s="30" t="s">
        <v>13489</v>
      </c>
      <c r="H4004" s="30" t="s">
        <v>17046</v>
      </c>
    </row>
    <row r="4005" spans="1:8">
      <c r="A4005" s="30" t="s">
        <v>17047</v>
      </c>
      <c r="B4005" s="30"/>
      <c r="C4005" s="30" t="s">
        <v>8607</v>
      </c>
      <c r="D4005" s="30" t="s">
        <v>9942</v>
      </c>
      <c r="E4005" s="30" t="s">
        <v>17048</v>
      </c>
      <c r="F4005" s="30" t="s">
        <v>8672</v>
      </c>
      <c r="G4005" s="30" t="s">
        <v>9140</v>
      </c>
      <c r="H4005" s="30" t="s">
        <v>17049</v>
      </c>
    </row>
    <row r="4006" spans="1:8">
      <c r="A4006" s="30" t="s">
        <v>17050</v>
      </c>
      <c r="B4006" s="30"/>
      <c r="C4006" s="30" t="s">
        <v>8607</v>
      </c>
      <c r="D4006" s="30"/>
      <c r="E4006" s="30"/>
      <c r="F4006" s="30"/>
      <c r="G4006" s="30" t="s">
        <v>8925</v>
      </c>
      <c r="H4006" s="30" t="s">
        <v>17051</v>
      </c>
    </row>
    <row r="4007" spans="1:8">
      <c r="A4007" s="30" t="s">
        <v>17052</v>
      </c>
      <c r="B4007" s="30"/>
      <c r="C4007" s="30" t="s">
        <v>8626</v>
      </c>
      <c r="D4007" s="30" t="s">
        <v>17053</v>
      </c>
      <c r="E4007" s="30" t="s">
        <v>17054</v>
      </c>
      <c r="F4007" s="30" t="e">
        <v>#VALUE!</v>
      </c>
      <c r="G4007" s="30"/>
      <c r="H4007" s="30" t="s">
        <v>17055</v>
      </c>
    </row>
    <row r="4008" spans="1:8">
      <c r="A4008" s="30" t="s">
        <v>17056</v>
      </c>
      <c r="B4008" s="30"/>
      <c r="C4008" s="30" t="s">
        <v>8607</v>
      </c>
      <c r="D4008" s="30"/>
      <c r="E4008" s="30"/>
      <c r="F4008" s="30"/>
      <c r="G4008" s="30" t="s">
        <v>17057</v>
      </c>
      <c r="H4008" s="30" t="s">
        <v>17058</v>
      </c>
    </row>
    <row r="4009" spans="1:8">
      <c r="A4009" s="30" t="s">
        <v>17059</v>
      </c>
      <c r="B4009" s="30"/>
      <c r="C4009" s="30" t="s">
        <v>8607</v>
      </c>
      <c r="D4009" s="30" t="s">
        <v>8632</v>
      </c>
      <c r="E4009" s="30"/>
      <c r="F4009" s="30"/>
      <c r="G4009" s="30" t="s">
        <v>8633</v>
      </c>
      <c r="H4009" s="30" t="s">
        <v>17060</v>
      </c>
    </row>
    <row r="4010" spans="1:8">
      <c r="A4010" s="30" t="s">
        <v>17061</v>
      </c>
      <c r="B4010" s="30"/>
      <c r="C4010" s="30" t="s">
        <v>8607</v>
      </c>
      <c r="D4010" s="30" t="s">
        <v>13051</v>
      </c>
      <c r="E4010" s="30" t="s">
        <v>8655</v>
      </c>
      <c r="F4010" s="30" t="s">
        <v>8618</v>
      </c>
      <c r="G4010" s="30" t="s">
        <v>8656</v>
      </c>
      <c r="H4010" s="30" t="s">
        <v>17062</v>
      </c>
    </row>
    <row r="4011" spans="1:8">
      <c r="A4011" s="30" t="s">
        <v>17063</v>
      </c>
      <c r="B4011" s="30"/>
      <c r="C4011" s="30" t="s">
        <v>8626</v>
      </c>
      <c r="D4011" s="30" t="s">
        <v>17064</v>
      </c>
      <c r="E4011" s="30" t="s">
        <v>17065</v>
      </c>
      <c r="F4011" s="30" t="e">
        <v>#VALUE!</v>
      </c>
      <c r="G4011" s="30"/>
      <c r="H4011" s="30" t="s">
        <v>17066</v>
      </c>
    </row>
    <row r="4012" spans="1:8">
      <c r="A4012" s="30" t="s">
        <v>17067</v>
      </c>
      <c r="B4012" s="30"/>
      <c r="C4012" s="30" t="s">
        <v>8626</v>
      </c>
      <c r="D4012" s="30" t="s">
        <v>17068</v>
      </c>
      <c r="E4012" s="30" t="s">
        <v>17069</v>
      </c>
      <c r="F4012" s="30" t="s">
        <v>8618</v>
      </c>
      <c r="G4012" s="30" t="s">
        <v>17070</v>
      </c>
      <c r="H4012" s="30" t="s">
        <v>17071</v>
      </c>
    </row>
    <row r="4013" spans="1:8">
      <c r="A4013" s="30" t="s">
        <v>17072</v>
      </c>
      <c r="B4013" s="30"/>
      <c r="C4013" s="30" t="s">
        <v>8607</v>
      </c>
      <c r="D4013" s="30"/>
      <c r="E4013" s="30"/>
      <c r="F4013" s="30"/>
      <c r="G4013" s="30" t="s">
        <v>8743</v>
      </c>
      <c r="H4013" s="30" t="s">
        <v>12914</v>
      </c>
    </row>
    <row r="4014" spans="1:8">
      <c r="A4014" s="30" t="s">
        <v>17073</v>
      </c>
      <c r="B4014" s="30"/>
      <c r="C4014" s="30" t="s">
        <v>8626</v>
      </c>
      <c r="D4014" s="30" t="s">
        <v>17074</v>
      </c>
      <c r="E4014" s="30"/>
      <c r="F4014" s="30"/>
      <c r="G4014" s="30" t="s">
        <v>10317</v>
      </c>
      <c r="H4014" s="30" t="s">
        <v>17075</v>
      </c>
    </row>
    <row r="4015" spans="1:8">
      <c r="A4015" s="30" t="s">
        <v>17076</v>
      </c>
      <c r="B4015" s="30"/>
      <c r="C4015" s="30" t="s">
        <v>8607</v>
      </c>
      <c r="D4015" s="30" t="s">
        <v>17077</v>
      </c>
      <c r="E4015" s="30" t="s">
        <v>17078</v>
      </c>
      <c r="F4015" s="30" t="s">
        <v>8672</v>
      </c>
      <c r="G4015" s="30" t="s">
        <v>16211</v>
      </c>
      <c r="H4015" s="30" t="s">
        <v>17079</v>
      </c>
    </row>
    <row r="4016" spans="1:8">
      <c r="A4016" s="30" t="s">
        <v>17080</v>
      </c>
      <c r="B4016" s="30"/>
      <c r="C4016" s="30"/>
      <c r="D4016" s="32" t="s">
        <v>17081</v>
      </c>
      <c r="E4016" s="30" t="s">
        <v>17082</v>
      </c>
      <c r="F4016" s="30" t="s">
        <v>8642</v>
      </c>
      <c r="G4016" s="30"/>
      <c r="H4016" s="30" t="s">
        <v>17083</v>
      </c>
    </row>
    <row r="4017" spans="1:8">
      <c r="A4017" s="30" t="s">
        <v>17084</v>
      </c>
      <c r="B4017" s="30"/>
      <c r="C4017" s="30" t="s">
        <v>8607</v>
      </c>
      <c r="D4017" s="30" t="s">
        <v>9919</v>
      </c>
      <c r="E4017" s="30"/>
      <c r="F4017" s="30"/>
      <c r="G4017" s="30" t="s">
        <v>9920</v>
      </c>
      <c r="H4017" s="30" t="s">
        <v>17085</v>
      </c>
    </row>
    <row r="4018" spans="1:8">
      <c r="A4018" s="30" t="s">
        <v>17086</v>
      </c>
      <c r="B4018" s="30"/>
      <c r="C4018" s="30" t="s">
        <v>8626</v>
      </c>
      <c r="D4018" s="30" t="s">
        <v>17087</v>
      </c>
      <c r="E4018" s="30"/>
      <c r="F4018" s="30"/>
      <c r="G4018" s="30" t="s">
        <v>9920</v>
      </c>
      <c r="H4018" s="30" t="s">
        <v>17088</v>
      </c>
    </row>
    <row r="4019" spans="1:8">
      <c r="A4019" s="30" t="s">
        <v>17089</v>
      </c>
      <c r="B4019" s="30"/>
      <c r="C4019" s="30" t="s">
        <v>8626</v>
      </c>
      <c r="D4019" s="30" t="s">
        <v>16562</v>
      </c>
      <c r="E4019" s="30"/>
      <c r="F4019" s="30"/>
      <c r="G4019" s="30" t="s">
        <v>9920</v>
      </c>
      <c r="H4019" s="30" t="s">
        <v>17090</v>
      </c>
    </row>
    <row r="4020" spans="1:8">
      <c r="A4020" s="30" t="s">
        <v>17091</v>
      </c>
      <c r="B4020" s="30"/>
      <c r="C4020" s="30"/>
      <c r="D4020" s="32"/>
      <c r="E4020" s="30"/>
      <c r="F4020" s="30"/>
      <c r="G4020" s="30"/>
      <c r="H4020" s="30" t="s">
        <v>17092</v>
      </c>
    </row>
    <row r="4021" spans="1:8">
      <c r="A4021" s="30" t="s">
        <v>17093</v>
      </c>
      <c r="B4021" s="30"/>
      <c r="C4021" s="30" t="s">
        <v>8607</v>
      </c>
      <c r="D4021" s="30" t="s">
        <v>17087</v>
      </c>
      <c r="E4021" s="30"/>
      <c r="F4021" s="30"/>
      <c r="G4021" s="30" t="s">
        <v>9920</v>
      </c>
      <c r="H4021" s="30" t="s">
        <v>17094</v>
      </c>
    </row>
    <row r="4022" spans="1:8">
      <c r="A4022" s="30" t="s">
        <v>17095</v>
      </c>
      <c r="B4022" s="30"/>
      <c r="C4022" s="30" t="s">
        <v>8607</v>
      </c>
      <c r="D4022" s="30"/>
      <c r="E4022" s="30"/>
      <c r="F4022" s="30"/>
      <c r="G4022" s="30" t="s">
        <v>17096</v>
      </c>
      <c r="H4022" s="30" t="s">
        <v>17097</v>
      </c>
    </row>
    <row r="4023" spans="1:8">
      <c r="A4023" s="30" t="s">
        <v>17098</v>
      </c>
      <c r="B4023" s="30"/>
      <c r="C4023" s="30" t="s">
        <v>8607</v>
      </c>
      <c r="D4023" s="30"/>
      <c r="E4023" s="30"/>
      <c r="F4023" s="30"/>
      <c r="G4023" s="30" t="s">
        <v>10220</v>
      </c>
      <c r="H4023" s="30" t="s">
        <v>17099</v>
      </c>
    </row>
    <row r="4024" spans="1:8">
      <c r="A4024" s="30" t="s">
        <v>17100</v>
      </c>
      <c r="B4024" s="30"/>
      <c r="C4024" s="30" t="s">
        <v>8607</v>
      </c>
      <c r="D4024" s="30"/>
      <c r="E4024" s="30"/>
      <c r="F4024" s="30"/>
      <c r="G4024" s="30"/>
      <c r="H4024" s="30" t="s">
        <v>17101</v>
      </c>
    </row>
    <row r="4025" spans="1:8">
      <c r="A4025" s="30" t="s">
        <v>17102</v>
      </c>
      <c r="B4025" s="30"/>
      <c r="C4025" s="30" t="s">
        <v>8607</v>
      </c>
      <c r="D4025" s="30"/>
      <c r="E4025" s="30"/>
      <c r="F4025" s="30"/>
      <c r="G4025" s="30" t="s">
        <v>17096</v>
      </c>
      <c r="H4025" s="30" t="s">
        <v>17103</v>
      </c>
    </row>
    <row r="4026" spans="1:8">
      <c r="A4026" s="30" t="s">
        <v>17104</v>
      </c>
      <c r="B4026" s="30"/>
      <c r="C4026" s="30" t="s">
        <v>8607</v>
      </c>
      <c r="D4026" s="30"/>
      <c r="E4026" s="30" t="s">
        <v>17105</v>
      </c>
      <c r="F4026" s="30" t="s">
        <v>8618</v>
      </c>
      <c r="G4026" s="30" t="s">
        <v>8623</v>
      </c>
      <c r="H4026" s="30" t="s">
        <v>17106</v>
      </c>
    </row>
    <row r="4027" spans="1:8">
      <c r="A4027" s="30" t="s">
        <v>17107</v>
      </c>
      <c r="B4027" s="30"/>
      <c r="C4027" s="30" t="s">
        <v>8607</v>
      </c>
      <c r="D4027" s="30"/>
      <c r="E4027" s="30" t="s">
        <v>12246</v>
      </c>
      <c r="F4027" s="30" t="s">
        <v>8618</v>
      </c>
      <c r="G4027" s="30" t="s">
        <v>10427</v>
      </c>
      <c r="H4027" s="30" t="s">
        <v>11049</v>
      </c>
    </row>
    <row r="4028" spans="1:8">
      <c r="A4028" s="30" t="s">
        <v>17108</v>
      </c>
      <c r="B4028" s="30"/>
      <c r="C4028" s="30" t="s">
        <v>8626</v>
      </c>
      <c r="D4028" s="30"/>
      <c r="E4028" s="30"/>
      <c r="F4028" s="30"/>
      <c r="G4028" s="30"/>
      <c r="H4028" s="30" t="s">
        <v>17109</v>
      </c>
    </row>
    <row r="4029" spans="1:8">
      <c r="A4029" s="30" t="s">
        <v>17110</v>
      </c>
      <c r="B4029" s="30"/>
      <c r="C4029" s="30" t="s">
        <v>8626</v>
      </c>
      <c r="D4029" s="30"/>
      <c r="E4029" s="30"/>
      <c r="F4029" s="30"/>
      <c r="G4029" s="30"/>
      <c r="H4029" s="30" t="s">
        <v>17111</v>
      </c>
    </row>
    <row r="4030" spans="1:8">
      <c r="A4030" s="30" t="s">
        <v>17112</v>
      </c>
      <c r="B4030" s="30"/>
      <c r="C4030" s="30" t="s">
        <v>8626</v>
      </c>
      <c r="D4030" s="30" t="s">
        <v>17113</v>
      </c>
      <c r="E4030" s="30" t="s">
        <v>9149</v>
      </c>
      <c r="F4030" s="30" t="s">
        <v>8672</v>
      </c>
      <c r="G4030" s="30" t="s">
        <v>9002</v>
      </c>
      <c r="H4030" s="30" t="s">
        <v>17114</v>
      </c>
    </row>
    <row r="4031" spans="1:8">
      <c r="A4031" s="30" t="s">
        <v>17115</v>
      </c>
      <c r="B4031" s="30"/>
      <c r="C4031" s="30" t="s">
        <v>8607</v>
      </c>
      <c r="D4031" s="30"/>
      <c r="E4031" s="30"/>
      <c r="F4031" s="30"/>
      <c r="G4031" s="30" t="s">
        <v>9654</v>
      </c>
      <c r="H4031" s="30" t="s">
        <v>17116</v>
      </c>
    </row>
    <row r="4032" spans="1:8">
      <c r="A4032" s="30" t="s">
        <v>17117</v>
      </c>
      <c r="B4032" s="30"/>
      <c r="C4032" s="30" t="s">
        <v>8607</v>
      </c>
      <c r="D4032" s="30" t="s">
        <v>17118</v>
      </c>
      <c r="E4032" s="30" t="s">
        <v>17119</v>
      </c>
      <c r="F4032" s="30" t="s">
        <v>8618</v>
      </c>
      <c r="G4032" s="30" t="s">
        <v>9098</v>
      </c>
      <c r="H4032" s="30" t="s">
        <v>17120</v>
      </c>
    </row>
    <row r="4033" spans="1:8">
      <c r="A4033" s="30" t="s">
        <v>17121</v>
      </c>
      <c r="B4033" s="30"/>
      <c r="C4033" s="30" t="s">
        <v>8626</v>
      </c>
      <c r="D4033" s="30" t="s">
        <v>17122</v>
      </c>
      <c r="E4033" s="30" t="s">
        <v>8671</v>
      </c>
      <c r="F4033" s="30" t="s">
        <v>8672</v>
      </c>
      <c r="G4033" s="30"/>
      <c r="H4033" s="30" t="s">
        <v>17123</v>
      </c>
    </row>
    <row r="4034" spans="1:8">
      <c r="A4034" s="30" t="s">
        <v>17124</v>
      </c>
      <c r="B4034" s="30"/>
      <c r="C4034" s="30" t="s">
        <v>8607</v>
      </c>
      <c r="D4034" s="30"/>
      <c r="E4034" s="30"/>
      <c r="F4034" s="30"/>
      <c r="G4034" s="30"/>
      <c r="H4034" s="30" t="s">
        <v>17125</v>
      </c>
    </row>
    <row r="4035" spans="1:8">
      <c r="A4035" s="30" t="s">
        <v>17126</v>
      </c>
      <c r="B4035" s="30"/>
      <c r="C4035" s="30" t="s">
        <v>8607</v>
      </c>
      <c r="D4035" s="30"/>
      <c r="E4035" s="30"/>
      <c r="F4035" s="30"/>
      <c r="G4035" s="30" t="s">
        <v>9476</v>
      </c>
      <c r="H4035" s="30" t="s">
        <v>17127</v>
      </c>
    </row>
    <row r="4036" spans="1:8">
      <c r="A4036" s="30" t="s">
        <v>17128</v>
      </c>
      <c r="B4036" s="30"/>
      <c r="C4036" s="30" t="s">
        <v>8607</v>
      </c>
      <c r="D4036" s="30"/>
      <c r="E4036" s="30"/>
      <c r="F4036" s="30"/>
      <c r="G4036" s="30" t="s">
        <v>10205</v>
      </c>
      <c r="H4036" s="30" t="s">
        <v>17129</v>
      </c>
    </row>
    <row r="4037" spans="1:8">
      <c r="A4037" s="30" t="s">
        <v>17130</v>
      </c>
      <c r="B4037" s="30"/>
      <c r="C4037" s="30" t="s">
        <v>8626</v>
      </c>
      <c r="D4037" s="30"/>
      <c r="E4037" s="30" t="s">
        <v>9888</v>
      </c>
      <c r="F4037" s="30" t="s">
        <v>8618</v>
      </c>
      <c r="G4037" s="30" t="s">
        <v>8623</v>
      </c>
      <c r="H4037" s="30" t="s">
        <v>17131</v>
      </c>
    </row>
    <row r="4038" spans="1:8">
      <c r="A4038" s="30" t="s">
        <v>17132</v>
      </c>
      <c r="B4038" s="30"/>
      <c r="C4038" s="30" t="s">
        <v>8626</v>
      </c>
      <c r="D4038" s="30" t="s">
        <v>17133</v>
      </c>
      <c r="E4038" s="30" t="s">
        <v>9131</v>
      </c>
      <c r="F4038" s="30" t="s">
        <v>8618</v>
      </c>
      <c r="G4038" s="30" t="s">
        <v>8900</v>
      </c>
      <c r="H4038" s="30" t="s">
        <v>17134</v>
      </c>
    </row>
    <row r="4039" spans="1:8">
      <c r="A4039" s="30" t="s">
        <v>17135</v>
      </c>
      <c r="B4039" s="30"/>
      <c r="C4039" s="30" t="s">
        <v>8607</v>
      </c>
      <c r="D4039" s="30" t="s">
        <v>9824</v>
      </c>
      <c r="E4039" s="30"/>
      <c r="F4039" s="30"/>
      <c r="G4039" s="30" t="s">
        <v>9002</v>
      </c>
      <c r="H4039" s="30" t="s">
        <v>17136</v>
      </c>
    </row>
    <row r="4040" spans="1:8">
      <c r="A4040" s="30" t="s">
        <v>17137</v>
      </c>
      <c r="B4040" s="30"/>
      <c r="C4040" s="30" t="s">
        <v>8607</v>
      </c>
      <c r="D4040" s="30"/>
      <c r="E4040" s="30"/>
      <c r="F4040" s="30"/>
      <c r="G4040" s="30" t="s">
        <v>17138</v>
      </c>
      <c r="H4040" s="30" t="s">
        <v>17139</v>
      </c>
    </row>
    <row r="4041" spans="1:8">
      <c r="A4041" s="30" t="s">
        <v>17140</v>
      </c>
      <c r="B4041" s="30"/>
      <c r="C4041" s="30" t="s">
        <v>8607</v>
      </c>
      <c r="D4041" s="30" t="s">
        <v>17141</v>
      </c>
      <c r="E4041" s="30" t="s">
        <v>17142</v>
      </c>
      <c r="F4041" s="30" t="e">
        <v>#VALUE!</v>
      </c>
      <c r="G4041" s="30" t="s">
        <v>17143</v>
      </c>
      <c r="H4041" s="30" t="s">
        <v>17144</v>
      </c>
    </row>
    <row r="4042" spans="1:8">
      <c r="A4042" s="30" t="s">
        <v>17145</v>
      </c>
      <c r="B4042" s="30"/>
      <c r="C4042" s="30" t="s">
        <v>8626</v>
      </c>
      <c r="D4042" s="30"/>
      <c r="E4042" s="30"/>
      <c r="F4042" s="30"/>
      <c r="G4042" s="30" t="s">
        <v>13754</v>
      </c>
      <c r="H4042" s="30" t="s">
        <v>17146</v>
      </c>
    </row>
    <row r="4043" spans="1:8">
      <c r="A4043" s="30" t="s">
        <v>17147</v>
      </c>
      <c r="B4043" s="30"/>
      <c r="C4043" s="30" t="s">
        <v>8626</v>
      </c>
      <c r="D4043" s="30" t="s">
        <v>17133</v>
      </c>
      <c r="E4043" s="30" t="s">
        <v>9131</v>
      </c>
      <c r="F4043" s="30" t="s">
        <v>8618</v>
      </c>
      <c r="G4043" s="30" t="s">
        <v>8900</v>
      </c>
      <c r="H4043" s="30" t="s">
        <v>17134</v>
      </c>
    </row>
    <row r="4044" spans="1:8">
      <c r="A4044" s="30" t="s">
        <v>17148</v>
      </c>
      <c r="B4044" s="30"/>
      <c r="C4044" s="30" t="s">
        <v>8607</v>
      </c>
      <c r="D4044" s="30" t="s">
        <v>9824</v>
      </c>
      <c r="E4044" s="30"/>
      <c r="F4044" s="30"/>
      <c r="G4044" s="30" t="s">
        <v>9002</v>
      </c>
      <c r="H4044" s="30" t="s">
        <v>17136</v>
      </c>
    </row>
    <row r="4045" spans="1:8">
      <c r="A4045" s="30" t="s">
        <v>17149</v>
      </c>
      <c r="B4045" s="30"/>
      <c r="C4045" s="30" t="s">
        <v>8607</v>
      </c>
      <c r="D4045" s="30"/>
      <c r="E4045" s="30"/>
      <c r="F4045" s="30"/>
      <c r="G4045" s="30" t="s">
        <v>17138</v>
      </c>
      <c r="H4045" s="30" t="s">
        <v>17139</v>
      </c>
    </row>
    <row r="4046" spans="1:8">
      <c r="A4046" s="30" t="s">
        <v>17150</v>
      </c>
      <c r="B4046" s="30"/>
      <c r="C4046" s="30" t="s">
        <v>8607</v>
      </c>
      <c r="D4046" s="30" t="s">
        <v>17141</v>
      </c>
      <c r="E4046" s="30" t="s">
        <v>17142</v>
      </c>
      <c r="F4046" s="30" t="e">
        <v>#VALUE!</v>
      </c>
      <c r="G4046" s="30" t="s">
        <v>17143</v>
      </c>
      <c r="H4046" s="30" t="s">
        <v>17144</v>
      </c>
    </row>
    <row r="4047" spans="1:8">
      <c r="A4047" s="30" t="s">
        <v>17151</v>
      </c>
      <c r="B4047" s="30"/>
      <c r="C4047" s="30" t="s">
        <v>8626</v>
      </c>
      <c r="D4047" s="30"/>
      <c r="E4047" s="30"/>
      <c r="F4047" s="30"/>
      <c r="G4047" s="30" t="s">
        <v>13754</v>
      </c>
      <c r="H4047" s="30" t="s">
        <v>17146</v>
      </c>
    </row>
    <row r="4048" spans="1:8">
      <c r="A4048" s="30" t="s">
        <v>17152</v>
      </c>
      <c r="B4048" s="30"/>
      <c r="C4048" s="30" t="s">
        <v>8607</v>
      </c>
      <c r="D4048" s="30" t="s">
        <v>8632</v>
      </c>
      <c r="E4048" s="30"/>
      <c r="F4048" s="30"/>
      <c r="G4048" s="30" t="s">
        <v>8633</v>
      </c>
      <c r="H4048" s="30" t="s">
        <v>16030</v>
      </c>
    </row>
    <row r="4049" spans="1:8">
      <c r="A4049" s="30" t="s">
        <v>17153</v>
      </c>
      <c r="B4049" s="30"/>
      <c r="C4049" s="30" t="s">
        <v>8626</v>
      </c>
      <c r="D4049" s="30"/>
      <c r="E4049" s="30" t="s">
        <v>17154</v>
      </c>
      <c r="F4049" s="30" t="e">
        <v>#VALUE!</v>
      </c>
      <c r="G4049" s="30"/>
      <c r="H4049" s="30" t="s">
        <v>17155</v>
      </c>
    </row>
    <row r="4050" spans="1:8">
      <c r="A4050" s="30" t="s">
        <v>17156</v>
      </c>
      <c r="B4050" s="30"/>
      <c r="C4050" s="30" t="s">
        <v>8607</v>
      </c>
      <c r="D4050" s="30" t="s">
        <v>8632</v>
      </c>
      <c r="E4050" s="30"/>
      <c r="F4050" s="30"/>
      <c r="G4050" s="30" t="s">
        <v>8633</v>
      </c>
      <c r="H4050" s="30" t="s">
        <v>16030</v>
      </c>
    </row>
    <row r="4051" spans="1:8">
      <c r="A4051" s="30" t="s">
        <v>17157</v>
      </c>
      <c r="B4051" s="30"/>
      <c r="C4051" s="30" t="s">
        <v>8607</v>
      </c>
      <c r="D4051" s="30" t="s">
        <v>14018</v>
      </c>
      <c r="E4051" s="30" t="s">
        <v>17158</v>
      </c>
      <c r="F4051" s="30" t="s">
        <v>8672</v>
      </c>
      <c r="G4051" s="30" t="s">
        <v>9002</v>
      </c>
      <c r="H4051" s="30" t="s">
        <v>17159</v>
      </c>
    </row>
    <row r="4052" spans="1:8">
      <c r="A4052" s="30" t="s">
        <v>17160</v>
      </c>
      <c r="B4052" s="30"/>
      <c r="C4052" s="30" t="s">
        <v>8607</v>
      </c>
      <c r="D4052" s="30"/>
      <c r="E4052" s="30"/>
      <c r="F4052" s="30"/>
      <c r="G4052" s="30"/>
      <c r="H4052" s="30" t="s">
        <v>17161</v>
      </c>
    </row>
    <row r="4053" spans="1:8">
      <c r="A4053" s="30" t="s">
        <v>17162</v>
      </c>
      <c r="B4053" s="30"/>
      <c r="C4053" s="30" t="s">
        <v>8607</v>
      </c>
      <c r="D4053" s="30" t="s">
        <v>17163</v>
      </c>
      <c r="E4053" s="30" t="s">
        <v>17164</v>
      </c>
      <c r="F4053" s="30" t="s">
        <v>8672</v>
      </c>
      <c r="G4053" s="30" t="s">
        <v>9555</v>
      </c>
      <c r="H4053" s="30" t="s">
        <v>17165</v>
      </c>
    </row>
    <row r="4054" spans="1:8">
      <c r="A4054" s="30" t="s">
        <v>17166</v>
      </c>
      <c r="B4054" s="30"/>
      <c r="C4054" s="30" t="s">
        <v>8607</v>
      </c>
      <c r="D4054" s="30" t="s">
        <v>17167</v>
      </c>
      <c r="E4054" s="30"/>
      <c r="F4054" s="30"/>
      <c r="G4054" s="30" t="s">
        <v>17168</v>
      </c>
      <c r="H4054" s="30" t="s">
        <v>17169</v>
      </c>
    </row>
    <row r="4055" spans="1:8">
      <c r="A4055" s="30" t="s">
        <v>17170</v>
      </c>
      <c r="B4055" s="30"/>
      <c r="C4055" s="30" t="s">
        <v>8607</v>
      </c>
      <c r="D4055" s="30" t="s">
        <v>17171</v>
      </c>
      <c r="E4055" s="30" t="s">
        <v>8850</v>
      </c>
      <c r="F4055" s="30" t="s">
        <v>8672</v>
      </c>
      <c r="G4055" s="30" t="s">
        <v>8851</v>
      </c>
      <c r="H4055" s="30" t="s">
        <v>17172</v>
      </c>
    </row>
    <row r="4056" spans="1:8">
      <c r="A4056" s="30" t="s">
        <v>17173</v>
      </c>
      <c r="B4056" s="30"/>
      <c r="C4056" s="30" t="s">
        <v>8607</v>
      </c>
      <c r="D4056" s="30" t="s">
        <v>16729</v>
      </c>
      <c r="E4056" s="30" t="s">
        <v>16515</v>
      </c>
      <c r="F4056" s="30" t="e">
        <v>#VALUE!</v>
      </c>
      <c r="G4056" s="30" t="s">
        <v>16478</v>
      </c>
      <c r="H4056" s="30" t="s">
        <v>17174</v>
      </c>
    </row>
    <row r="4057" spans="1:8">
      <c r="A4057" s="30" t="s">
        <v>17175</v>
      </c>
      <c r="B4057" s="30"/>
      <c r="C4057" s="30" t="s">
        <v>8607</v>
      </c>
      <c r="D4057" s="30"/>
      <c r="E4057" s="30"/>
      <c r="F4057" s="30"/>
      <c r="G4057" s="30"/>
      <c r="H4057" s="30" t="s">
        <v>17176</v>
      </c>
    </row>
    <row r="4058" spans="1:8">
      <c r="A4058" s="30" t="s">
        <v>17177</v>
      </c>
      <c r="B4058" s="30"/>
      <c r="C4058" s="30" t="s">
        <v>8607</v>
      </c>
      <c r="D4058" s="30" t="s">
        <v>8849</v>
      </c>
      <c r="E4058" s="30" t="s">
        <v>17178</v>
      </c>
      <c r="F4058" s="30" t="s">
        <v>8672</v>
      </c>
      <c r="G4058" s="30" t="s">
        <v>8851</v>
      </c>
      <c r="H4058" s="30" t="s">
        <v>17172</v>
      </c>
    </row>
    <row r="4059" spans="1:8">
      <c r="A4059" s="30" t="s">
        <v>17179</v>
      </c>
      <c r="B4059" s="30"/>
      <c r="C4059" s="30" t="s">
        <v>8607</v>
      </c>
      <c r="D4059" s="30"/>
      <c r="E4059" s="30"/>
      <c r="F4059" s="30"/>
      <c r="G4059" s="30"/>
      <c r="H4059" s="30" t="s">
        <v>17172</v>
      </c>
    </row>
    <row r="4060" spans="1:8">
      <c r="A4060" s="30" t="s">
        <v>17180</v>
      </c>
      <c r="B4060" s="30"/>
      <c r="C4060" s="30" t="s">
        <v>8607</v>
      </c>
      <c r="D4060" s="30" t="s">
        <v>8849</v>
      </c>
      <c r="E4060" s="30" t="s">
        <v>17178</v>
      </c>
      <c r="F4060" s="30" t="s">
        <v>8672</v>
      </c>
      <c r="G4060" s="30" t="s">
        <v>8851</v>
      </c>
      <c r="H4060" s="30" t="s">
        <v>17172</v>
      </c>
    </row>
    <row r="4061" spans="1:8">
      <c r="A4061" s="30" t="s">
        <v>17181</v>
      </c>
      <c r="B4061" s="30"/>
      <c r="C4061" s="30" t="s">
        <v>8607</v>
      </c>
      <c r="D4061" s="30"/>
      <c r="E4061" s="30"/>
      <c r="F4061" s="30"/>
      <c r="G4061" s="30"/>
      <c r="H4061" s="30" t="s">
        <v>17172</v>
      </c>
    </row>
    <row r="4062" spans="1:8">
      <c r="A4062" s="30" t="s">
        <v>17182</v>
      </c>
      <c r="B4062" s="30"/>
      <c r="C4062" s="30" t="s">
        <v>8607</v>
      </c>
      <c r="D4062" s="30" t="s">
        <v>9742</v>
      </c>
      <c r="E4062" s="30" t="s">
        <v>8850</v>
      </c>
      <c r="F4062" s="30" t="s">
        <v>8672</v>
      </c>
      <c r="G4062" s="30" t="s">
        <v>11959</v>
      </c>
      <c r="H4062" s="30" t="s">
        <v>10457</v>
      </c>
    </row>
    <row r="4063" spans="1:8">
      <c r="A4063" s="30" t="s">
        <v>17183</v>
      </c>
      <c r="B4063" s="30"/>
      <c r="C4063" s="30" t="s">
        <v>8607</v>
      </c>
      <c r="D4063" s="30"/>
      <c r="E4063" s="30"/>
      <c r="F4063" s="30"/>
      <c r="G4063" s="30" t="s">
        <v>8711</v>
      </c>
      <c r="H4063" s="30" t="s">
        <v>8712</v>
      </c>
    </row>
    <row r="4064" spans="1:8">
      <c r="A4064" s="30" t="s">
        <v>17184</v>
      </c>
      <c r="B4064" s="30"/>
      <c r="C4064" s="30" t="s">
        <v>8626</v>
      </c>
      <c r="D4064" s="30"/>
      <c r="E4064" s="30" t="s">
        <v>17185</v>
      </c>
      <c r="F4064" s="30" t="s">
        <v>8618</v>
      </c>
      <c r="G4064" s="30"/>
      <c r="H4064" s="30" t="s">
        <v>17186</v>
      </c>
    </row>
    <row r="4065" spans="1:8">
      <c r="A4065" s="30" t="s">
        <v>17187</v>
      </c>
      <c r="B4065" s="30"/>
      <c r="C4065" s="30" t="s">
        <v>8607</v>
      </c>
      <c r="D4065" s="30" t="s">
        <v>17188</v>
      </c>
      <c r="E4065" s="30" t="s">
        <v>9501</v>
      </c>
      <c r="F4065" s="30" t="s">
        <v>8672</v>
      </c>
      <c r="G4065" s="30" t="s">
        <v>9039</v>
      </c>
      <c r="H4065" s="30" t="s">
        <v>17189</v>
      </c>
    </row>
    <row r="4066" spans="1:8">
      <c r="A4066" s="30" t="s">
        <v>17190</v>
      </c>
      <c r="B4066" s="30"/>
      <c r="C4066" s="30" t="s">
        <v>8626</v>
      </c>
      <c r="D4066" s="30" t="s">
        <v>17191</v>
      </c>
      <c r="E4066" s="30" t="s">
        <v>16515</v>
      </c>
      <c r="F4066" s="30" t="e">
        <v>#VALUE!</v>
      </c>
      <c r="G4066" s="30"/>
      <c r="H4066" s="30" t="s">
        <v>17192</v>
      </c>
    </row>
    <row r="4067" spans="1:8">
      <c r="A4067" s="30" t="s">
        <v>17193</v>
      </c>
      <c r="B4067" s="30"/>
      <c r="C4067" s="30"/>
      <c r="D4067" s="32"/>
      <c r="E4067" s="30"/>
      <c r="F4067" s="30"/>
      <c r="G4067" s="30"/>
      <c r="H4067" s="30" t="s">
        <v>17194</v>
      </c>
    </row>
    <row r="4068" spans="1:8">
      <c r="A4068" s="30" t="s">
        <v>17195</v>
      </c>
      <c r="B4068" s="30"/>
      <c r="C4068" s="30" t="s">
        <v>8607</v>
      </c>
      <c r="D4068" s="30" t="s">
        <v>9490</v>
      </c>
      <c r="E4068" s="30" t="s">
        <v>9491</v>
      </c>
      <c r="F4068" s="30" t="s">
        <v>8672</v>
      </c>
      <c r="G4068" s="30" t="s">
        <v>8659</v>
      </c>
      <c r="H4068" s="30" t="s">
        <v>17196</v>
      </c>
    </row>
    <row r="4069" spans="1:8">
      <c r="A4069" s="30" t="s">
        <v>17197</v>
      </c>
      <c r="B4069" s="30"/>
      <c r="C4069" s="30" t="s">
        <v>8626</v>
      </c>
      <c r="D4069" s="30"/>
      <c r="E4069" s="30"/>
      <c r="F4069" s="30"/>
      <c r="G4069" s="30"/>
      <c r="H4069" s="30" t="s">
        <v>17198</v>
      </c>
    </row>
    <row r="4070" spans="1:8">
      <c r="A4070" s="30" t="s">
        <v>17199</v>
      </c>
      <c r="B4070" s="30"/>
      <c r="C4070" s="30" t="s">
        <v>8607</v>
      </c>
      <c r="D4070" s="30" t="s">
        <v>8982</v>
      </c>
      <c r="E4070" s="30" t="s">
        <v>17200</v>
      </c>
      <c r="F4070" s="30" t="s">
        <v>8672</v>
      </c>
      <c r="G4070" s="30" t="s">
        <v>8984</v>
      </c>
      <c r="H4070" s="30" t="s">
        <v>8985</v>
      </c>
    </row>
    <row r="4071" spans="1:8">
      <c r="A4071" s="30" t="s">
        <v>17201</v>
      </c>
      <c r="B4071" s="30"/>
      <c r="C4071" s="30" t="s">
        <v>8607</v>
      </c>
      <c r="D4071" s="30" t="s">
        <v>14030</v>
      </c>
      <c r="E4071" s="30" t="s">
        <v>14239</v>
      </c>
      <c r="F4071" s="30" t="e">
        <v>#VALUE!</v>
      </c>
      <c r="G4071" s="30" t="s">
        <v>14032</v>
      </c>
      <c r="H4071" s="30" t="s">
        <v>17202</v>
      </c>
    </row>
    <row r="4072" spans="1:8">
      <c r="A4072" s="30" t="s">
        <v>17203</v>
      </c>
      <c r="B4072" s="30"/>
      <c r="C4072" s="30" t="s">
        <v>8626</v>
      </c>
      <c r="D4072" s="30" t="s">
        <v>17204</v>
      </c>
      <c r="E4072" s="30" t="s">
        <v>17205</v>
      </c>
      <c r="F4072" s="30" t="s">
        <v>8618</v>
      </c>
      <c r="G4072" s="30" t="s">
        <v>8633</v>
      </c>
      <c r="H4072" s="30" t="s">
        <v>17206</v>
      </c>
    </row>
    <row r="4073" spans="1:8">
      <c r="A4073" s="30" t="s">
        <v>17207</v>
      </c>
      <c r="B4073" s="30"/>
      <c r="C4073" s="30" t="s">
        <v>8607</v>
      </c>
      <c r="D4073" s="30"/>
      <c r="E4073" s="30"/>
      <c r="F4073" s="30"/>
      <c r="G4073" s="30" t="s">
        <v>15186</v>
      </c>
      <c r="H4073" s="30" t="s">
        <v>15187</v>
      </c>
    </row>
    <row r="4074" spans="1:8">
      <c r="A4074" s="30" t="s">
        <v>17208</v>
      </c>
      <c r="B4074" s="30"/>
      <c r="C4074" s="30"/>
      <c r="D4074" s="32"/>
      <c r="E4074" s="30"/>
      <c r="F4074" s="30"/>
      <c r="G4074" s="30"/>
      <c r="H4074" s="30" t="s">
        <v>17206</v>
      </c>
    </row>
    <row r="4075" spans="1:8">
      <c r="A4075" s="30" t="s">
        <v>17209</v>
      </c>
      <c r="B4075" s="30"/>
      <c r="C4075" s="30" t="s">
        <v>8607</v>
      </c>
      <c r="D4075" s="30"/>
      <c r="E4075" s="30"/>
      <c r="F4075" s="30"/>
      <c r="G4075" s="30" t="s">
        <v>15186</v>
      </c>
      <c r="H4075" s="30" t="s">
        <v>15187</v>
      </c>
    </row>
    <row r="4076" spans="1:8">
      <c r="A4076" s="30" t="s">
        <v>17210</v>
      </c>
      <c r="B4076" s="30"/>
      <c r="C4076" s="30" t="s">
        <v>8626</v>
      </c>
      <c r="D4076" s="30" t="s">
        <v>14098</v>
      </c>
      <c r="E4076" s="30" t="s">
        <v>11308</v>
      </c>
      <c r="F4076" s="30" t="s">
        <v>8618</v>
      </c>
      <c r="G4076" s="30" t="s">
        <v>10234</v>
      </c>
      <c r="H4076" s="30" t="s">
        <v>17211</v>
      </c>
    </row>
    <row r="4077" spans="1:8">
      <c r="A4077" s="30" t="s">
        <v>17212</v>
      </c>
      <c r="B4077" s="30"/>
      <c r="C4077" s="30" t="s">
        <v>8607</v>
      </c>
      <c r="D4077" s="30" t="s">
        <v>17213</v>
      </c>
      <c r="E4077" s="30" t="s">
        <v>17214</v>
      </c>
      <c r="F4077" s="30" t="e">
        <v>#VALUE!</v>
      </c>
      <c r="G4077" s="30" t="s">
        <v>8637</v>
      </c>
      <c r="H4077" s="30" t="s">
        <v>8638</v>
      </c>
    </row>
    <row r="4078" spans="1:8">
      <c r="A4078" s="30" t="s">
        <v>17215</v>
      </c>
      <c r="B4078" s="30"/>
      <c r="C4078" s="30"/>
      <c r="D4078" s="32" t="s">
        <v>17216</v>
      </c>
      <c r="E4078" s="30" t="s">
        <v>17217</v>
      </c>
      <c r="F4078" s="30" t="s">
        <v>8618</v>
      </c>
      <c r="G4078" s="30"/>
      <c r="H4078" s="30" t="s">
        <v>17218</v>
      </c>
    </row>
    <row r="4079" spans="1:8">
      <c r="A4079" s="30" t="s">
        <v>17219</v>
      </c>
      <c r="B4079" s="30"/>
      <c r="C4079" s="30" t="s">
        <v>8626</v>
      </c>
      <c r="D4079" s="30" t="s">
        <v>17220</v>
      </c>
      <c r="E4079" s="30" t="s">
        <v>17221</v>
      </c>
      <c r="F4079" s="30" t="s">
        <v>8618</v>
      </c>
      <c r="G4079" s="30" t="s">
        <v>9392</v>
      </c>
      <c r="H4079" s="30" t="s">
        <v>17222</v>
      </c>
    </row>
    <row r="4080" spans="1:8">
      <c r="A4080" s="30" t="s">
        <v>17223</v>
      </c>
      <c r="B4080" s="30"/>
      <c r="C4080" s="30" t="s">
        <v>8607</v>
      </c>
      <c r="D4080" s="30"/>
      <c r="E4080" s="30"/>
      <c r="F4080" s="30"/>
      <c r="G4080" s="30"/>
      <c r="H4080" s="30" t="s">
        <v>12976</v>
      </c>
    </row>
    <row r="4081" spans="1:8">
      <c r="A4081" s="30" t="s">
        <v>17224</v>
      </c>
      <c r="B4081" s="30"/>
      <c r="C4081" s="30" t="s">
        <v>8626</v>
      </c>
      <c r="D4081" s="30" t="s">
        <v>17225</v>
      </c>
      <c r="E4081" s="30" t="s">
        <v>8850</v>
      </c>
      <c r="F4081" s="30" t="s">
        <v>8672</v>
      </c>
      <c r="G4081" s="30" t="s">
        <v>11959</v>
      </c>
      <c r="H4081" s="30" t="s">
        <v>17226</v>
      </c>
    </row>
    <row r="4082" spans="1:8">
      <c r="A4082" s="30" t="s">
        <v>17227</v>
      </c>
      <c r="B4082" s="30"/>
      <c r="C4082" s="30" t="s">
        <v>8607</v>
      </c>
      <c r="D4082" s="30"/>
      <c r="E4082" s="30"/>
      <c r="F4082" s="30"/>
      <c r="G4082" s="30"/>
      <c r="H4082" s="30" t="s">
        <v>17228</v>
      </c>
    </row>
    <row r="4083" spans="1:8">
      <c r="A4083" s="30" t="s">
        <v>17229</v>
      </c>
      <c r="B4083" s="30"/>
      <c r="C4083" s="30" t="s">
        <v>8607</v>
      </c>
      <c r="D4083" s="30" t="s">
        <v>9742</v>
      </c>
      <c r="E4083" s="30" t="s">
        <v>10456</v>
      </c>
      <c r="F4083" s="30" t="s">
        <v>8672</v>
      </c>
      <c r="G4083" s="30" t="s">
        <v>8851</v>
      </c>
      <c r="H4083" s="30" t="s">
        <v>17230</v>
      </c>
    </row>
    <row r="4084" spans="1:8">
      <c r="A4084" s="30" t="s">
        <v>17231</v>
      </c>
      <c r="B4084" s="30"/>
      <c r="C4084" s="30" t="s">
        <v>8607</v>
      </c>
      <c r="D4084" s="30"/>
      <c r="E4084" s="30"/>
      <c r="F4084" s="30"/>
      <c r="G4084" s="30" t="s">
        <v>8891</v>
      </c>
      <c r="H4084" s="30" t="s">
        <v>10079</v>
      </c>
    </row>
    <row r="4085" spans="1:8">
      <c r="A4085" s="30" t="s">
        <v>17232</v>
      </c>
      <c r="B4085" s="30"/>
      <c r="C4085" s="30" t="s">
        <v>8626</v>
      </c>
      <c r="D4085" s="30"/>
      <c r="E4085" s="30"/>
      <c r="F4085" s="30"/>
      <c r="G4085" s="30"/>
      <c r="H4085" s="30" t="s">
        <v>17233</v>
      </c>
    </row>
    <row r="4086" spans="1:8">
      <c r="A4086" s="30" t="s">
        <v>17234</v>
      </c>
      <c r="B4086" s="30"/>
      <c r="C4086" s="30" t="s">
        <v>8607</v>
      </c>
      <c r="D4086" s="30"/>
      <c r="E4086" s="30" t="s">
        <v>17235</v>
      </c>
      <c r="F4086" s="30" t="s">
        <v>8672</v>
      </c>
      <c r="G4086" s="30" t="s">
        <v>10789</v>
      </c>
      <c r="H4086" s="30" t="s">
        <v>10794</v>
      </c>
    </row>
    <row r="4087" spans="1:8">
      <c r="A4087" s="30" t="s">
        <v>17236</v>
      </c>
      <c r="B4087" s="30"/>
      <c r="C4087" s="30" t="s">
        <v>8626</v>
      </c>
      <c r="D4087" s="30"/>
      <c r="E4087" s="30"/>
      <c r="F4087" s="30"/>
      <c r="G4087" s="30" t="s">
        <v>10060</v>
      </c>
      <c r="H4087" s="30" t="s">
        <v>17237</v>
      </c>
    </row>
    <row r="4088" spans="1:8">
      <c r="A4088" s="30" t="s">
        <v>17238</v>
      </c>
      <c r="B4088" s="30"/>
      <c r="C4088" s="30" t="s">
        <v>8626</v>
      </c>
      <c r="D4088" s="30"/>
      <c r="E4088" s="30" t="s">
        <v>17239</v>
      </c>
      <c r="F4088" s="30" t="e">
        <v>#VALUE!</v>
      </c>
      <c r="G4088" s="30" t="s">
        <v>10033</v>
      </c>
      <c r="H4088" s="30" t="s">
        <v>17240</v>
      </c>
    </row>
    <row r="4089" spans="1:8">
      <c r="A4089" s="30" t="s">
        <v>17241</v>
      </c>
      <c r="B4089" s="30"/>
      <c r="C4089" s="30" t="s">
        <v>8607</v>
      </c>
      <c r="D4089" s="30" t="s">
        <v>17242</v>
      </c>
      <c r="E4089" s="30" t="s">
        <v>17243</v>
      </c>
      <c r="F4089" s="30" t="s">
        <v>8672</v>
      </c>
      <c r="G4089" s="30" t="s">
        <v>10076</v>
      </c>
      <c r="H4089" s="30" t="s">
        <v>17244</v>
      </c>
    </row>
    <row r="4090" spans="1:8">
      <c r="A4090" s="30" t="s">
        <v>17245</v>
      </c>
      <c r="B4090" s="30"/>
      <c r="C4090" s="30" t="s">
        <v>8607</v>
      </c>
      <c r="D4090" s="30"/>
      <c r="E4090" s="30"/>
      <c r="F4090" s="30"/>
      <c r="G4090" s="30" t="s">
        <v>17246</v>
      </c>
      <c r="H4090" s="30" t="s">
        <v>17247</v>
      </c>
    </row>
    <row r="4091" spans="1:8">
      <c r="A4091" s="30" t="s">
        <v>17248</v>
      </c>
      <c r="B4091" s="30"/>
      <c r="C4091" s="30" t="s">
        <v>8607</v>
      </c>
      <c r="D4091" s="30"/>
      <c r="E4091" s="30"/>
      <c r="F4091" s="30"/>
      <c r="G4091" s="30" t="s">
        <v>17249</v>
      </c>
      <c r="H4091" s="30" t="s">
        <v>17250</v>
      </c>
    </row>
    <row r="4092" spans="1:8">
      <c r="A4092" s="30" t="s">
        <v>17251</v>
      </c>
      <c r="B4092" s="30"/>
      <c r="C4092" s="30" t="s">
        <v>8607</v>
      </c>
      <c r="D4092" s="30"/>
      <c r="E4092" s="30"/>
      <c r="F4092" s="30"/>
      <c r="G4092" s="30" t="s">
        <v>17252</v>
      </c>
      <c r="H4092" s="30" t="s">
        <v>17253</v>
      </c>
    </row>
    <row r="4093" spans="1:8">
      <c r="A4093" s="30" t="s">
        <v>17254</v>
      </c>
      <c r="B4093" s="30"/>
      <c r="C4093" s="30" t="s">
        <v>8607</v>
      </c>
      <c r="D4093" s="30"/>
      <c r="E4093" s="30"/>
      <c r="F4093" s="30"/>
      <c r="G4093" s="30"/>
      <c r="H4093" s="30" t="s">
        <v>17255</v>
      </c>
    </row>
    <row r="4094" spans="1:8">
      <c r="A4094" s="30" t="s">
        <v>17256</v>
      </c>
      <c r="B4094" s="30"/>
      <c r="C4094" s="30" t="s">
        <v>8607</v>
      </c>
      <c r="D4094" s="30"/>
      <c r="E4094" s="30"/>
      <c r="F4094" s="30"/>
      <c r="G4094" s="30" t="s">
        <v>17257</v>
      </c>
      <c r="H4094" s="30" t="s">
        <v>17258</v>
      </c>
    </row>
    <row r="4095" spans="1:8">
      <c r="A4095" s="30" t="s">
        <v>17259</v>
      </c>
      <c r="B4095" s="30"/>
      <c r="C4095" s="30" t="s">
        <v>8626</v>
      </c>
      <c r="D4095" s="30"/>
      <c r="E4095" s="30"/>
      <c r="F4095" s="30"/>
      <c r="G4095" s="30" t="s">
        <v>17260</v>
      </c>
      <c r="H4095" s="30" t="s">
        <v>17261</v>
      </c>
    </row>
    <row r="4096" spans="1:8">
      <c r="A4096" s="30" t="s">
        <v>17262</v>
      </c>
      <c r="B4096" s="30"/>
      <c r="C4096" s="30" t="s">
        <v>8626</v>
      </c>
      <c r="D4096" s="30" t="s">
        <v>17263</v>
      </c>
      <c r="E4096" s="30" t="s">
        <v>17264</v>
      </c>
      <c r="F4096" s="30" t="e">
        <v>#VALUE!</v>
      </c>
      <c r="G4096" s="30"/>
      <c r="H4096" s="30" t="s">
        <v>17265</v>
      </c>
    </row>
    <row r="4097" spans="1:8">
      <c r="A4097" s="30" t="s">
        <v>17266</v>
      </c>
      <c r="B4097" s="30"/>
      <c r="C4097" s="30" t="s">
        <v>8607</v>
      </c>
      <c r="D4097" s="30" t="s">
        <v>17267</v>
      </c>
      <c r="E4097" s="30" t="s">
        <v>9987</v>
      </c>
      <c r="F4097" s="30" t="s">
        <v>8618</v>
      </c>
      <c r="G4097" s="30" t="s">
        <v>9988</v>
      </c>
      <c r="H4097" s="30" t="s">
        <v>17268</v>
      </c>
    </row>
    <row r="4098" spans="1:8">
      <c r="A4098" s="30" t="s">
        <v>17269</v>
      </c>
      <c r="B4098" s="30"/>
      <c r="C4098" s="30" t="s">
        <v>8607</v>
      </c>
      <c r="D4098" s="30" t="s">
        <v>17270</v>
      </c>
      <c r="E4098" s="30" t="s">
        <v>9939</v>
      </c>
      <c r="F4098" s="30" t="s">
        <v>8672</v>
      </c>
      <c r="G4098" s="30" t="s">
        <v>9512</v>
      </c>
      <c r="H4098" s="30" t="s">
        <v>17271</v>
      </c>
    </row>
    <row r="4099" spans="1:8">
      <c r="A4099" s="30" t="s">
        <v>17272</v>
      </c>
      <c r="B4099" s="30"/>
      <c r="C4099" s="30" t="s">
        <v>8607</v>
      </c>
      <c r="D4099" s="30"/>
      <c r="E4099" s="30"/>
      <c r="F4099" s="30"/>
      <c r="G4099" s="30" t="s">
        <v>8623</v>
      </c>
      <c r="H4099" s="30" t="s">
        <v>17273</v>
      </c>
    </row>
    <row r="4100" spans="1:8">
      <c r="A4100" s="30" t="s">
        <v>17274</v>
      </c>
      <c r="B4100" s="30"/>
      <c r="C4100" s="30"/>
      <c r="D4100" s="32" t="s">
        <v>13236</v>
      </c>
      <c r="E4100" s="30" t="s">
        <v>13237</v>
      </c>
      <c r="F4100" s="30" t="s">
        <v>8618</v>
      </c>
      <c r="G4100" s="30"/>
      <c r="H4100" s="30" t="s">
        <v>13238</v>
      </c>
    </row>
    <row r="4101" spans="1:8">
      <c r="A4101" s="30" t="s">
        <v>17275</v>
      </c>
      <c r="B4101" s="30"/>
      <c r="C4101" s="30" t="s">
        <v>8607</v>
      </c>
      <c r="D4101" s="30" t="s">
        <v>17276</v>
      </c>
      <c r="E4101" s="30" t="s">
        <v>17277</v>
      </c>
      <c r="F4101" s="30" t="s">
        <v>8618</v>
      </c>
      <c r="G4101" s="30" t="s">
        <v>9419</v>
      </c>
      <c r="H4101" s="30" t="s">
        <v>9763</v>
      </c>
    </row>
    <row r="4102" spans="1:8">
      <c r="A4102" s="30" t="s">
        <v>17278</v>
      </c>
      <c r="B4102" s="30"/>
      <c r="C4102" s="30" t="s">
        <v>8607</v>
      </c>
      <c r="D4102" s="30" t="s">
        <v>13304</v>
      </c>
      <c r="E4102" s="30" t="s">
        <v>17279</v>
      </c>
      <c r="F4102" s="30" t="s">
        <v>8618</v>
      </c>
      <c r="G4102" s="30" t="s">
        <v>13305</v>
      </c>
      <c r="H4102" s="30" t="s">
        <v>17280</v>
      </c>
    </row>
    <row r="4103" spans="1:8">
      <c r="A4103" s="30" t="s">
        <v>17281</v>
      </c>
      <c r="B4103" s="30"/>
      <c r="C4103" s="30" t="s">
        <v>8607</v>
      </c>
      <c r="D4103" s="30" t="s">
        <v>13304</v>
      </c>
      <c r="E4103" s="30"/>
      <c r="F4103" s="30"/>
      <c r="G4103" s="30" t="s">
        <v>13305</v>
      </c>
      <c r="H4103" s="30" t="s">
        <v>17282</v>
      </c>
    </row>
    <row r="4104" spans="1:8">
      <c r="A4104" s="30" t="s">
        <v>17283</v>
      </c>
      <c r="B4104" s="30"/>
      <c r="C4104" s="30" t="s">
        <v>8607</v>
      </c>
      <c r="D4104" s="30"/>
      <c r="E4104" s="30"/>
      <c r="F4104" s="30"/>
      <c r="G4104" s="30"/>
      <c r="H4104" s="30" t="s">
        <v>17284</v>
      </c>
    </row>
    <row r="4105" spans="1:8">
      <c r="A4105" s="30" t="s">
        <v>17285</v>
      </c>
      <c r="B4105" s="30"/>
      <c r="C4105" s="30" t="s">
        <v>8607</v>
      </c>
      <c r="D4105" s="30" t="s">
        <v>9357</v>
      </c>
      <c r="E4105" s="30"/>
      <c r="F4105" s="30"/>
      <c r="G4105" s="30" t="s">
        <v>9358</v>
      </c>
      <c r="H4105" s="30" t="s">
        <v>17286</v>
      </c>
    </row>
    <row r="4106" spans="1:8">
      <c r="A4106" s="30" t="s">
        <v>17287</v>
      </c>
      <c r="B4106" s="30"/>
      <c r="C4106" s="30" t="s">
        <v>8626</v>
      </c>
      <c r="D4106" s="30" t="s">
        <v>17288</v>
      </c>
      <c r="E4106" s="30" t="s">
        <v>17289</v>
      </c>
      <c r="F4106" s="30" t="s">
        <v>8618</v>
      </c>
      <c r="G4106" s="30"/>
      <c r="H4106" s="30" t="s">
        <v>17290</v>
      </c>
    </row>
    <row r="4107" spans="1:8">
      <c r="A4107" s="30" t="s">
        <v>17291</v>
      </c>
      <c r="B4107" s="30"/>
      <c r="C4107" s="30" t="s">
        <v>8607</v>
      </c>
      <c r="D4107" s="30"/>
      <c r="E4107" s="30"/>
      <c r="F4107" s="30"/>
      <c r="G4107" s="30" t="s">
        <v>17292</v>
      </c>
      <c r="H4107" s="30" t="s">
        <v>17293</v>
      </c>
    </row>
    <row r="4108" spans="1:8">
      <c r="A4108" s="30" t="s">
        <v>17294</v>
      </c>
      <c r="B4108" s="30"/>
      <c r="C4108" s="30" t="s">
        <v>8607</v>
      </c>
      <c r="D4108" s="30"/>
      <c r="E4108" s="30"/>
      <c r="F4108" s="30"/>
      <c r="G4108" s="30"/>
      <c r="H4108" s="30" t="s">
        <v>17295</v>
      </c>
    </row>
    <row r="4109" spans="1:8">
      <c r="A4109" s="30" t="s">
        <v>17296</v>
      </c>
      <c r="B4109" s="30"/>
      <c r="C4109" s="30" t="s">
        <v>8607</v>
      </c>
      <c r="D4109" s="30"/>
      <c r="E4109" s="30"/>
      <c r="F4109" s="30"/>
      <c r="G4109" s="30"/>
      <c r="H4109" s="30" t="s">
        <v>17297</v>
      </c>
    </row>
    <row r="4110" spans="1:8">
      <c r="A4110" s="30" t="s">
        <v>17298</v>
      </c>
      <c r="B4110" s="30"/>
      <c r="C4110" s="30" t="s">
        <v>8607</v>
      </c>
      <c r="D4110" s="30"/>
      <c r="E4110" s="30"/>
      <c r="F4110" s="30"/>
      <c r="G4110" s="30"/>
      <c r="H4110" s="30" t="s">
        <v>17299</v>
      </c>
    </row>
    <row r="4111" spans="1:8">
      <c r="A4111" s="30" t="s">
        <v>17300</v>
      </c>
      <c r="B4111" s="30"/>
      <c r="C4111" s="30" t="s">
        <v>8626</v>
      </c>
      <c r="D4111" s="30"/>
      <c r="E4111" s="30"/>
      <c r="F4111" s="30"/>
      <c r="G4111" s="30"/>
      <c r="H4111" s="30" t="s">
        <v>17301</v>
      </c>
    </row>
    <row r="4112" spans="1:8">
      <c r="A4112" s="30" t="s">
        <v>17302</v>
      </c>
      <c r="B4112" s="30"/>
      <c r="C4112" s="30" t="s">
        <v>8626</v>
      </c>
      <c r="D4112" s="30" t="s">
        <v>17303</v>
      </c>
      <c r="E4112" s="30" t="s">
        <v>17304</v>
      </c>
      <c r="F4112" s="30" t="e">
        <v>#VALUE!</v>
      </c>
      <c r="G4112" s="30" t="s">
        <v>17305</v>
      </c>
      <c r="H4112" s="30" t="s">
        <v>17306</v>
      </c>
    </row>
    <row r="4113" spans="1:8">
      <c r="A4113" s="30" t="s">
        <v>17307</v>
      </c>
      <c r="B4113" s="30"/>
      <c r="C4113" s="30" t="s">
        <v>8607</v>
      </c>
      <c r="D4113" s="30" t="s">
        <v>17308</v>
      </c>
      <c r="E4113" s="30" t="s">
        <v>17309</v>
      </c>
      <c r="F4113" s="30" t="s">
        <v>8672</v>
      </c>
      <c r="G4113" s="30" t="s">
        <v>17310</v>
      </c>
      <c r="H4113" s="30" t="s">
        <v>17311</v>
      </c>
    </row>
    <row r="4114" spans="1:8">
      <c r="A4114" s="30" t="s">
        <v>17312</v>
      </c>
      <c r="B4114" s="30"/>
      <c r="C4114" s="30" t="s">
        <v>8626</v>
      </c>
      <c r="D4114" s="30"/>
      <c r="E4114" s="30"/>
      <c r="F4114" s="30"/>
      <c r="G4114" s="30" t="s">
        <v>17313</v>
      </c>
      <c r="H4114" s="30" t="s">
        <v>17314</v>
      </c>
    </row>
    <row r="4115" spans="1:8">
      <c r="A4115" s="30" t="s">
        <v>17315</v>
      </c>
      <c r="B4115" s="30"/>
      <c r="C4115" s="30" t="s">
        <v>8607</v>
      </c>
      <c r="D4115" s="30"/>
      <c r="E4115" s="30"/>
      <c r="F4115" s="30"/>
      <c r="G4115" s="30" t="s">
        <v>17310</v>
      </c>
      <c r="H4115" s="30" t="s">
        <v>17316</v>
      </c>
    </row>
    <row r="4116" spans="1:8">
      <c r="A4116" s="30" t="s">
        <v>17317</v>
      </c>
      <c r="B4116" s="30"/>
      <c r="C4116" s="30" t="s">
        <v>8607</v>
      </c>
      <c r="D4116" s="30" t="s">
        <v>17318</v>
      </c>
      <c r="E4116" s="30" t="s">
        <v>17319</v>
      </c>
      <c r="F4116" s="30" t="s">
        <v>8672</v>
      </c>
      <c r="G4116" s="30" t="s">
        <v>17320</v>
      </c>
      <c r="H4116" s="30" t="s">
        <v>17321</v>
      </c>
    </row>
    <row r="4117" spans="1:8">
      <c r="A4117" s="30" t="s">
        <v>17322</v>
      </c>
      <c r="B4117" s="30"/>
      <c r="C4117" s="30" t="s">
        <v>8626</v>
      </c>
      <c r="D4117" s="30"/>
      <c r="E4117" s="30"/>
      <c r="F4117" s="30"/>
      <c r="G4117" s="30"/>
      <c r="H4117" s="30" t="s">
        <v>17323</v>
      </c>
    </row>
    <row r="4118" spans="1:8">
      <c r="A4118" s="30" t="s">
        <v>17324</v>
      </c>
      <c r="B4118" s="30"/>
      <c r="C4118" s="30"/>
      <c r="D4118" s="32"/>
      <c r="E4118" s="30"/>
      <c r="F4118" s="30"/>
      <c r="G4118" s="30"/>
      <c r="H4118" s="30" t="s">
        <v>17325</v>
      </c>
    </row>
    <row r="4119" spans="1:8">
      <c r="A4119" s="30" t="s">
        <v>17326</v>
      </c>
      <c r="B4119" s="30"/>
      <c r="C4119" s="30" t="s">
        <v>8607</v>
      </c>
      <c r="D4119" s="30"/>
      <c r="E4119" s="30"/>
      <c r="F4119" s="30"/>
      <c r="G4119" s="30" t="s">
        <v>17327</v>
      </c>
      <c r="H4119" s="30" t="s">
        <v>17328</v>
      </c>
    </row>
    <row r="4120" spans="1:8">
      <c r="A4120" s="30" t="s">
        <v>17329</v>
      </c>
      <c r="B4120" s="30"/>
      <c r="C4120" s="30" t="s">
        <v>8607</v>
      </c>
      <c r="D4120" s="30"/>
      <c r="E4120" s="30" t="s">
        <v>17330</v>
      </c>
      <c r="F4120" s="30" t="s">
        <v>8672</v>
      </c>
      <c r="G4120" s="30" t="s">
        <v>17331</v>
      </c>
      <c r="H4120" s="30" t="s">
        <v>17332</v>
      </c>
    </row>
    <row r="4121" spans="1:8">
      <c r="A4121" s="30" t="s">
        <v>17333</v>
      </c>
      <c r="B4121" s="30"/>
      <c r="C4121" s="30" t="s">
        <v>8626</v>
      </c>
      <c r="D4121" s="30"/>
      <c r="E4121" s="30" t="s">
        <v>17334</v>
      </c>
      <c r="F4121" s="30" t="e">
        <v>#VALUE!</v>
      </c>
      <c r="G4121" s="30"/>
      <c r="H4121" s="30" t="s">
        <v>17335</v>
      </c>
    </row>
    <row r="4122" spans="1:8">
      <c r="A4122" s="30" t="s">
        <v>17336</v>
      </c>
      <c r="B4122" s="30"/>
      <c r="C4122" s="30" t="s">
        <v>8607</v>
      </c>
      <c r="D4122" s="30"/>
      <c r="E4122" s="30"/>
      <c r="F4122" s="30"/>
      <c r="G4122" s="30"/>
      <c r="H4122" s="30" t="s">
        <v>17337</v>
      </c>
    </row>
    <row r="4123" spans="1:8">
      <c r="A4123" s="30" t="s">
        <v>17338</v>
      </c>
      <c r="B4123" s="30"/>
      <c r="C4123" s="30" t="s">
        <v>8626</v>
      </c>
      <c r="D4123" s="30"/>
      <c r="E4123" s="30" t="s">
        <v>17339</v>
      </c>
      <c r="F4123" s="30" t="s">
        <v>8618</v>
      </c>
      <c r="G4123" s="30"/>
      <c r="H4123" s="30" t="s">
        <v>17340</v>
      </c>
    </row>
    <row r="4124" spans="1:8">
      <c r="A4124" s="30" t="s">
        <v>17341</v>
      </c>
      <c r="B4124" s="30"/>
      <c r="C4124" s="30" t="s">
        <v>8626</v>
      </c>
      <c r="D4124" s="30"/>
      <c r="E4124" s="30"/>
      <c r="F4124" s="30"/>
      <c r="G4124" s="30" t="s">
        <v>17342</v>
      </c>
      <c r="H4124" s="30" t="s">
        <v>17343</v>
      </c>
    </row>
    <row r="4125" spans="1:8">
      <c r="A4125" s="30" t="s">
        <v>17344</v>
      </c>
      <c r="B4125" s="30"/>
      <c r="C4125" s="30" t="s">
        <v>8626</v>
      </c>
      <c r="D4125" s="30"/>
      <c r="E4125" s="30"/>
      <c r="F4125" s="30"/>
      <c r="G4125" s="30" t="s">
        <v>10076</v>
      </c>
      <c r="H4125" s="30" t="s">
        <v>17345</v>
      </c>
    </row>
    <row r="4126" spans="1:8">
      <c r="A4126" s="30" t="s">
        <v>17346</v>
      </c>
      <c r="B4126" s="30"/>
      <c r="C4126" s="30" t="s">
        <v>8626</v>
      </c>
      <c r="D4126" s="30" t="s">
        <v>17347</v>
      </c>
      <c r="E4126" s="30" t="s">
        <v>17348</v>
      </c>
      <c r="F4126" s="30" t="e">
        <v>#VALUE!</v>
      </c>
      <c r="G4126" s="30" t="s">
        <v>17349</v>
      </c>
      <c r="H4126" s="30" t="s">
        <v>17350</v>
      </c>
    </row>
    <row r="4127" spans="1:8">
      <c r="A4127" s="30" t="s">
        <v>17351</v>
      </c>
      <c r="B4127" s="30"/>
      <c r="C4127" s="30" t="s">
        <v>8626</v>
      </c>
      <c r="D4127" s="30"/>
      <c r="E4127" s="30"/>
      <c r="F4127" s="30"/>
      <c r="G4127" s="30"/>
      <c r="H4127" s="30" t="s">
        <v>17352</v>
      </c>
    </row>
    <row r="4128" spans="1:8">
      <c r="A4128" s="30" t="s">
        <v>17353</v>
      </c>
      <c r="B4128" s="30"/>
      <c r="C4128" s="30"/>
      <c r="D4128" s="32"/>
      <c r="E4128" s="30"/>
      <c r="F4128" s="30"/>
      <c r="G4128" s="30"/>
      <c r="H4128" s="30" t="s">
        <v>17354</v>
      </c>
    </row>
    <row r="4129" spans="1:8">
      <c r="A4129" s="30" t="s">
        <v>17355</v>
      </c>
      <c r="B4129" s="30"/>
      <c r="C4129" s="30"/>
      <c r="D4129" s="32"/>
      <c r="E4129" s="30"/>
      <c r="F4129" s="30"/>
      <c r="G4129" s="30"/>
      <c r="H4129" s="30" t="s">
        <v>17356</v>
      </c>
    </row>
    <row r="4130" spans="1:8">
      <c r="A4130" s="30" t="s">
        <v>17357</v>
      </c>
      <c r="B4130" s="30"/>
      <c r="C4130" s="30" t="s">
        <v>8626</v>
      </c>
      <c r="D4130" s="30"/>
      <c r="E4130" s="30"/>
      <c r="F4130" s="30"/>
      <c r="G4130" s="30"/>
      <c r="H4130" s="30" t="s">
        <v>17358</v>
      </c>
    </row>
    <row r="4131" spans="1:8">
      <c r="A4131" s="30" t="s">
        <v>17359</v>
      </c>
      <c r="B4131" s="30"/>
      <c r="C4131" s="30" t="s">
        <v>8607</v>
      </c>
      <c r="D4131" s="30" t="s">
        <v>17360</v>
      </c>
      <c r="E4131" s="30"/>
      <c r="F4131" s="30"/>
      <c r="G4131" s="30" t="s">
        <v>17361</v>
      </c>
      <c r="H4131" s="30" t="s">
        <v>17362</v>
      </c>
    </row>
    <row r="4132" spans="1:8">
      <c r="A4132" s="30" t="s">
        <v>17363</v>
      </c>
      <c r="B4132" s="30"/>
      <c r="C4132" s="30" t="s">
        <v>8626</v>
      </c>
      <c r="D4132" s="30" t="s">
        <v>17364</v>
      </c>
      <c r="E4132" s="30" t="s">
        <v>17365</v>
      </c>
      <c r="F4132" s="30" t="s">
        <v>8618</v>
      </c>
      <c r="G4132" s="30" t="s">
        <v>9595</v>
      </c>
      <c r="H4132" s="30" t="s">
        <v>17366</v>
      </c>
    </row>
    <row r="4133" spans="1:8">
      <c r="A4133" s="30" t="s">
        <v>17367</v>
      </c>
      <c r="B4133" s="30"/>
      <c r="C4133" s="30" t="s">
        <v>8626</v>
      </c>
      <c r="D4133" s="30"/>
      <c r="E4133" s="30" t="s">
        <v>17368</v>
      </c>
      <c r="F4133" s="30" t="e">
        <v>#VALUE!</v>
      </c>
      <c r="G4133" s="30" t="s">
        <v>17369</v>
      </c>
      <c r="H4133" s="30" t="s">
        <v>17370</v>
      </c>
    </row>
    <row r="4134" spans="1:8">
      <c r="A4134" s="30" t="s">
        <v>17371</v>
      </c>
      <c r="B4134" s="30"/>
      <c r="C4134" s="30" t="s">
        <v>8607</v>
      </c>
      <c r="D4134" s="30"/>
      <c r="E4134" s="30"/>
      <c r="F4134" s="30"/>
      <c r="G4134" s="30"/>
      <c r="H4134" s="30" t="s">
        <v>17372</v>
      </c>
    </row>
    <row r="4135" spans="1:8">
      <c r="A4135" s="30" t="s">
        <v>17373</v>
      </c>
      <c r="B4135" s="30"/>
      <c r="C4135" s="30" t="s">
        <v>8626</v>
      </c>
      <c r="D4135" s="30"/>
      <c r="E4135" s="30"/>
      <c r="F4135" s="30"/>
      <c r="G4135" s="30"/>
      <c r="H4135" s="30" t="s">
        <v>17374</v>
      </c>
    </row>
    <row r="4136" spans="1:8">
      <c r="A4136" s="30" t="s">
        <v>17375</v>
      </c>
      <c r="B4136" s="30"/>
      <c r="C4136" s="30" t="s">
        <v>8607</v>
      </c>
      <c r="D4136" s="30" t="s">
        <v>17376</v>
      </c>
      <c r="E4136" s="30" t="s">
        <v>17377</v>
      </c>
      <c r="F4136" s="30" t="e">
        <v>#VALUE!</v>
      </c>
      <c r="G4136" s="30" t="s">
        <v>17369</v>
      </c>
      <c r="H4136" s="30" t="s">
        <v>17378</v>
      </c>
    </row>
    <row r="4137" spans="1:8">
      <c r="A4137" s="30" t="s">
        <v>17379</v>
      </c>
      <c r="B4137" s="30"/>
      <c r="C4137" s="30" t="s">
        <v>8626</v>
      </c>
      <c r="D4137" s="30"/>
      <c r="E4137" s="30" t="s">
        <v>17380</v>
      </c>
      <c r="F4137" s="30" t="e">
        <v>#VALUE!</v>
      </c>
      <c r="G4137" s="30" t="s">
        <v>17381</v>
      </c>
      <c r="H4137" s="30" t="s">
        <v>17382</v>
      </c>
    </row>
    <row r="4138" spans="1:8">
      <c r="A4138" s="30" t="s">
        <v>17383</v>
      </c>
      <c r="B4138" s="30"/>
      <c r="C4138" s="30" t="s">
        <v>8607</v>
      </c>
      <c r="D4138" s="30"/>
      <c r="E4138" s="30" t="s">
        <v>17384</v>
      </c>
      <c r="F4138" s="30" t="e">
        <v>#VALUE!</v>
      </c>
      <c r="G4138" s="30" t="s">
        <v>17305</v>
      </c>
      <c r="H4138" s="30" t="s">
        <v>17385</v>
      </c>
    </row>
    <row r="4139" spans="1:8">
      <c r="A4139" s="30" t="s">
        <v>17386</v>
      </c>
      <c r="B4139" s="30"/>
      <c r="C4139" s="30" t="s">
        <v>8626</v>
      </c>
      <c r="D4139" s="30"/>
      <c r="E4139" s="30" t="s">
        <v>17387</v>
      </c>
      <c r="F4139" s="30" t="e">
        <v>#VALUE!</v>
      </c>
      <c r="G4139" s="30" t="s">
        <v>17381</v>
      </c>
      <c r="H4139" s="30" t="s">
        <v>17388</v>
      </c>
    </row>
    <row r="4140" spans="1:8">
      <c r="A4140" s="30" t="s">
        <v>17389</v>
      </c>
      <c r="B4140" s="30"/>
      <c r="C4140" s="30" t="s">
        <v>8607</v>
      </c>
      <c r="D4140" s="30"/>
      <c r="E4140" s="30"/>
      <c r="F4140" s="30"/>
      <c r="G4140" s="30" t="s">
        <v>8623</v>
      </c>
      <c r="H4140" s="30" t="s">
        <v>17390</v>
      </c>
    </row>
    <row r="4141" spans="1:8">
      <c r="A4141" s="30" t="s">
        <v>17391</v>
      </c>
      <c r="B4141" s="30"/>
      <c r="C4141" s="30" t="s">
        <v>8607</v>
      </c>
      <c r="D4141" s="30"/>
      <c r="E4141" s="30"/>
      <c r="F4141" s="30"/>
      <c r="G4141" s="30" t="s">
        <v>17392</v>
      </c>
      <c r="H4141" s="30" t="s">
        <v>17393</v>
      </c>
    </row>
    <row r="4142" spans="1:8">
      <c r="A4142" s="30" t="s">
        <v>17394</v>
      </c>
      <c r="B4142" s="30"/>
      <c r="C4142" s="30" t="s">
        <v>8607</v>
      </c>
      <c r="D4142" s="30" t="s">
        <v>17395</v>
      </c>
      <c r="E4142" s="30"/>
      <c r="F4142" s="30"/>
      <c r="G4142" s="30" t="s">
        <v>17396</v>
      </c>
      <c r="H4142" s="30" t="s">
        <v>17397</v>
      </c>
    </row>
    <row r="4143" spans="1:8">
      <c r="A4143" s="30" t="s">
        <v>17398</v>
      </c>
      <c r="B4143" s="30"/>
      <c r="C4143" s="30" t="s">
        <v>8607</v>
      </c>
      <c r="D4143" s="30"/>
      <c r="E4143" s="30"/>
      <c r="F4143" s="30"/>
      <c r="G4143" s="30" t="s">
        <v>8633</v>
      </c>
      <c r="H4143" s="30" t="s">
        <v>17399</v>
      </c>
    </row>
    <row r="4144" spans="1:8">
      <c r="A4144" s="30" t="s">
        <v>17400</v>
      </c>
      <c r="B4144" s="30"/>
      <c r="C4144" s="30"/>
      <c r="D4144" s="32"/>
      <c r="E4144" s="30"/>
      <c r="F4144" s="30"/>
      <c r="G4144" s="30"/>
      <c r="H4144" s="30" t="s">
        <v>17401</v>
      </c>
    </row>
    <row r="4145" spans="1:8">
      <c r="A4145" s="30" t="s">
        <v>17402</v>
      </c>
      <c r="B4145" s="30"/>
      <c r="C4145" s="30" t="s">
        <v>8607</v>
      </c>
      <c r="D4145" s="30" t="s">
        <v>17318</v>
      </c>
      <c r="E4145" s="30" t="s">
        <v>17403</v>
      </c>
      <c r="F4145" s="30" t="s">
        <v>8672</v>
      </c>
      <c r="G4145" s="30" t="s">
        <v>17320</v>
      </c>
      <c r="H4145" s="30" t="s">
        <v>17404</v>
      </c>
    </row>
    <row r="4146" spans="1:8">
      <c r="A4146" s="30" t="s">
        <v>17405</v>
      </c>
      <c r="B4146" s="30"/>
      <c r="C4146" s="30" t="s">
        <v>8607</v>
      </c>
      <c r="D4146" s="30" t="s">
        <v>17406</v>
      </c>
      <c r="E4146" s="30"/>
      <c r="F4146" s="30"/>
      <c r="G4146" s="30" t="s">
        <v>17396</v>
      </c>
      <c r="H4146" s="30" t="s">
        <v>17407</v>
      </c>
    </row>
    <row r="4147" spans="1:8">
      <c r="A4147" s="30" t="s">
        <v>17408</v>
      </c>
      <c r="B4147" s="30"/>
      <c r="C4147" s="30" t="s">
        <v>8607</v>
      </c>
      <c r="D4147" s="30"/>
      <c r="E4147" s="30"/>
      <c r="F4147" s="30"/>
      <c r="G4147" s="30" t="s">
        <v>17409</v>
      </c>
      <c r="H4147" s="30" t="s">
        <v>17410</v>
      </c>
    </row>
    <row r="4148" spans="1:8">
      <c r="A4148" s="30" t="s">
        <v>17411</v>
      </c>
      <c r="B4148" s="30"/>
      <c r="C4148" s="30" t="s">
        <v>8607</v>
      </c>
      <c r="D4148" s="30"/>
      <c r="E4148" s="30"/>
      <c r="F4148" s="30"/>
      <c r="G4148" s="30" t="s">
        <v>17412</v>
      </c>
      <c r="H4148" s="30" t="s">
        <v>17413</v>
      </c>
    </row>
    <row r="4149" spans="1:8">
      <c r="A4149" s="30" t="s">
        <v>17414</v>
      </c>
      <c r="B4149" s="30"/>
      <c r="C4149" s="30" t="s">
        <v>8607</v>
      </c>
      <c r="D4149" s="30"/>
      <c r="E4149" s="30"/>
      <c r="F4149" s="30"/>
      <c r="G4149" s="30"/>
      <c r="H4149" s="30" t="s">
        <v>17415</v>
      </c>
    </row>
    <row r="4150" spans="1:8">
      <c r="A4150" s="30" t="s">
        <v>17416</v>
      </c>
      <c r="B4150" s="30"/>
      <c r="C4150" s="30" t="s">
        <v>8607</v>
      </c>
      <c r="D4150" s="30" t="s">
        <v>17417</v>
      </c>
      <c r="E4150" s="30" t="s">
        <v>17418</v>
      </c>
      <c r="F4150" s="30" t="s">
        <v>8672</v>
      </c>
      <c r="G4150" s="30" t="s">
        <v>10076</v>
      </c>
      <c r="H4150" s="30" t="s">
        <v>17419</v>
      </c>
    </row>
    <row r="4151" spans="1:8">
      <c r="A4151" s="30" t="s">
        <v>17420</v>
      </c>
      <c r="B4151" s="30"/>
      <c r="C4151" s="30" t="s">
        <v>8607</v>
      </c>
      <c r="D4151" s="30"/>
      <c r="E4151" s="30"/>
      <c r="F4151" s="30"/>
      <c r="G4151" s="30"/>
      <c r="H4151" s="30" t="s">
        <v>17421</v>
      </c>
    </row>
    <row r="4152" spans="1:8">
      <c r="A4152" s="30" t="s">
        <v>17422</v>
      </c>
      <c r="B4152" s="30"/>
      <c r="C4152" s="30" t="s">
        <v>8607</v>
      </c>
      <c r="D4152" s="30" t="s">
        <v>17318</v>
      </c>
      <c r="E4152" s="30" t="s">
        <v>17319</v>
      </c>
      <c r="F4152" s="30" t="s">
        <v>8672</v>
      </c>
      <c r="G4152" s="30" t="s">
        <v>17320</v>
      </c>
      <c r="H4152" s="30" t="s">
        <v>17404</v>
      </c>
    </row>
    <row r="4153" spans="1:8">
      <c r="A4153" s="30" t="s">
        <v>17423</v>
      </c>
      <c r="B4153" s="30"/>
      <c r="C4153" s="30" t="s">
        <v>8607</v>
      </c>
      <c r="D4153" s="30"/>
      <c r="E4153" s="30"/>
      <c r="F4153" s="30"/>
      <c r="G4153" s="30" t="s">
        <v>17392</v>
      </c>
      <c r="H4153" s="30" t="s">
        <v>17393</v>
      </c>
    </row>
    <row r="4154" spans="1:8">
      <c r="A4154" s="30" t="s">
        <v>17424</v>
      </c>
      <c r="B4154" s="30"/>
      <c r="C4154" s="30" t="s">
        <v>8607</v>
      </c>
      <c r="D4154" s="30" t="s">
        <v>17425</v>
      </c>
      <c r="E4154" s="30"/>
      <c r="F4154" s="30"/>
      <c r="G4154" s="30" t="s">
        <v>17396</v>
      </c>
      <c r="H4154" s="30" t="s">
        <v>17397</v>
      </c>
    </row>
    <row r="4155" spans="1:8">
      <c r="A4155" s="30" t="s">
        <v>17426</v>
      </c>
      <c r="B4155" s="30"/>
      <c r="C4155" s="30" t="s">
        <v>8607</v>
      </c>
      <c r="D4155" s="30" t="s">
        <v>14007</v>
      </c>
      <c r="E4155" s="30"/>
      <c r="F4155" s="30"/>
      <c r="G4155" s="30" t="s">
        <v>10234</v>
      </c>
      <c r="H4155" s="30" t="s">
        <v>17427</v>
      </c>
    </row>
    <row r="4156" spans="1:8">
      <c r="A4156" s="30" t="s">
        <v>17428</v>
      </c>
      <c r="B4156" s="30"/>
      <c r="C4156" s="30" t="s">
        <v>8626</v>
      </c>
      <c r="D4156" s="30"/>
      <c r="E4156" s="30"/>
      <c r="F4156" s="30"/>
      <c r="G4156" s="30" t="s">
        <v>17429</v>
      </c>
      <c r="H4156" s="30" t="s">
        <v>17430</v>
      </c>
    </row>
    <row r="4157" spans="1:8">
      <c r="A4157" s="30" t="s">
        <v>17431</v>
      </c>
      <c r="B4157" s="30"/>
      <c r="C4157" s="30" t="s">
        <v>8607</v>
      </c>
      <c r="D4157" s="30" t="s">
        <v>10816</v>
      </c>
      <c r="E4157" s="30" t="s">
        <v>10817</v>
      </c>
      <c r="F4157" s="30" t="e">
        <v>#VALUE!</v>
      </c>
      <c r="G4157" s="30" t="s">
        <v>8975</v>
      </c>
      <c r="H4157" s="30" t="s">
        <v>17432</v>
      </c>
    </row>
    <row r="4158" spans="1:8">
      <c r="A4158" s="30" t="s">
        <v>17433</v>
      </c>
      <c r="B4158" s="30"/>
      <c r="C4158" s="30" t="s">
        <v>8607</v>
      </c>
      <c r="D4158" s="30"/>
      <c r="E4158" s="30"/>
      <c r="F4158" s="30"/>
      <c r="G4158" s="30"/>
      <c r="H4158" s="30" t="s">
        <v>17434</v>
      </c>
    </row>
    <row r="4159" spans="1:8">
      <c r="A4159" s="30" t="s">
        <v>17435</v>
      </c>
      <c r="B4159" s="30"/>
      <c r="C4159" s="30" t="s">
        <v>8607</v>
      </c>
      <c r="D4159" s="30"/>
      <c r="E4159" s="30" t="s">
        <v>11000</v>
      </c>
      <c r="F4159" s="30" t="e">
        <v>#VALUE!</v>
      </c>
      <c r="G4159" s="30" t="s">
        <v>8623</v>
      </c>
      <c r="H4159" s="30" t="s">
        <v>17436</v>
      </c>
    </row>
    <row r="4160" spans="1:8">
      <c r="A4160" s="30" t="s">
        <v>17437</v>
      </c>
      <c r="B4160" s="30"/>
      <c r="C4160" s="30" t="s">
        <v>8607</v>
      </c>
      <c r="D4160" s="30"/>
      <c r="E4160" s="30"/>
      <c r="F4160" s="30"/>
      <c r="G4160" s="30"/>
      <c r="H4160" s="30" t="s">
        <v>17438</v>
      </c>
    </row>
    <row r="4161" spans="1:8">
      <c r="A4161" s="30" t="s">
        <v>17439</v>
      </c>
      <c r="B4161" s="30"/>
      <c r="C4161" s="30" t="s">
        <v>8607</v>
      </c>
      <c r="D4161" s="30" t="s">
        <v>17376</v>
      </c>
      <c r="E4161" s="30" t="s">
        <v>17440</v>
      </c>
      <c r="F4161" s="30" t="e">
        <v>#VALUE!</v>
      </c>
      <c r="G4161" s="30" t="s">
        <v>17369</v>
      </c>
      <c r="H4161" s="30" t="s">
        <v>17378</v>
      </c>
    </row>
    <row r="4162" spans="1:8">
      <c r="A4162" s="30" t="s">
        <v>17441</v>
      </c>
      <c r="B4162" s="30"/>
      <c r="C4162" s="30" t="s">
        <v>8607</v>
      </c>
      <c r="D4162" s="30"/>
      <c r="E4162" s="30"/>
      <c r="F4162" s="30"/>
      <c r="G4162" s="30" t="s">
        <v>9835</v>
      </c>
      <c r="H4162" s="30" t="s">
        <v>17442</v>
      </c>
    </row>
    <row r="4163" spans="1:8">
      <c r="A4163" s="30" t="s">
        <v>17443</v>
      </c>
      <c r="B4163" s="30"/>
      <c r="C4163" s="30" t="s">
        <v>8607</v>
      </c>
      <c r="D4163" s="30"/>
      <c r="E4163" s="30"/>
      <c r="F4163" s="30"/>
      <c r="G4163" s="30" t="s">
        <v>17444</v>
      </c>
      <c r="H4163" s="30" t="s">
        <v>17445</v>
      </c>
    </row>
    <row r="4164" spans="1:8">
      <c r="A4164" s="30" t="s">
        <v>17446</v>
      </c>
      <c r="B4164" s="30"/>
      <c r="C4164" s="30" t="s">
        <v>8607</v>
      </c>
      <c r="D4164" s="30" t="s">
        <v>17447</v>
      </c>
      <c r="E4164" s="30" t="s">
        <v>17448</v>
      </c>
      <c r="F4164" s="30" t="s">
        <v>8672</v>
      </c>
      <c r="G4164" s="30" t="s">
        <v>9002</v>
      </c>
      <c r="H4164" s="30" t="s">
        <v>17449</v>
      </c>
    </row>
    <row r="4165" spans="1:8">
      <c r="A4165" s="30" t="s">
        <v>17450</v>
      </c>
      <c r="B4165" s="30"/>
      <c r="C4165" s="30"/>
      <c r="D4165" s="32"/>
      <c r="E4165" s="30"/>
      <c r="F4165" s="30"/>
      <c r="G4165" s="30"/>
      <c r="H4165" s="30" t="s">
        <v>17451</v>
      </c>
    </row>
    <row r="4166" spans="1:8">
      <c r="A4166" s="30" t="s">
        <v>17452</v>
      </c>
      <c r="B4166" s="30"/>
      <c r="C4166" s="30" t="s">
        <v>8607</v>
      </c>
      <c r="D4166" s="30" t="s">
        <v>17453</v>
      </c>
      <c r="E4166" s="30"/>
      <c r="F4166" s="30"/>
      <c r="G4166" s="30" t="s">
        <v>17454</v>
      </c>
      <c r="H4166" s="30" t="s">
        <v>17455</v>
      </c>
    </row>
    <row r="4167" spans="1:8">
      <c r="A4167" s="30" t="s">
        <v>17456</v>
      </c>
      <c r="B4167" s="30"/>
      <c r="C4167" s="30" t="s">
        <v>8607</v>
      </c>
      <c r="D4167" s="30"/>
      <c r="E4167" s="30"/>
      <c r="F4167" s="30"/>
      <c r="G4167" s="30" t="s">
        <v>17457</v>
      </c>
      <c r="H4167" s="30" t="s">
        <v>17458</v>
      </c>
    </row>
    <row r="4168" spans="1:8">
      <c r="A4168" s="30" t="s">
        <v>17459</v>
      </c>
      <c r="B4168" s="30"/>
      <c r="C4168" s="30" t="s">
        <v>8607</v>
      </c>
      <c r="D4168" s="30" t="s">
        <v>17460</v>
      </c>
      <c r="E4168" s="30"/>
      <c r="F4168" s="30"/>
      <c r="G4168" s="30" t="s">
        <v>9002</v>
      </c>
      <c r="H4168" s="30" t="s">
        <v>17461</v>
      </c>
    </row>
    <row r="4169" spans="1:8">
      <c r="A4169" s="30" t="s">
        <v>17462</v>
      </c>
      <c r="B4169" s="30"/>
      <c r="C4169" s="30" t="s">
        <v>8607</v>
      </c>
      <c r="D4169" s="30"/>
      <c r="E4169" s="30" t="s">
        <v>17463</v>
      </c>
      <c r="F4169" s="30" t="s">
        <v>8672</v>
      </c>
      <c r="G4169" s="30" t="s">
        <v>15202</v>
      </c>
      <c r="H4169" s="30" t="s">
        <v>17464</v>
      </c>
    </row>
    <row r="4170" spans="1:8">
      <c r="A4170" s="30" t="s">
        <v>17465</v>
      </c>
      <c r="B4170" s="30"/>
      <c r="C4170" s="30"/>
      <c r="D4170" s="32"/>
      <c r="E4170" s="30"/>
      <c r="F4170" s="30"/>
      <c r="G4170" s="30"/>
      <c r="H4170" s="30" t="s">
        <v>17466</v>
      </c>
    </row>
    <row r="4171" spans="1:8">
      <c r="A4171" s="30" t="s">
        <v>17467</v>
      </c>
      <c r="B4171" s="30"/>
      <c r="C4171" s="30" t="s">
        <v>8607</v>
      </c>
      <c r="D4171" s="30"/>
      <c r="E4171" s="30" t="s">
        <v>17468</v>
      </c>
      <c r="F4171" s="30" t="s">
        <v>8618</v>
      </c>
      <c r="G4171" s="30" t="s">
        <v>9521</v>
      </c>
      <c r="H4171" s="30" t="s">
        <v>17469</v>
      </c>
    </row>
    <row r="4172" spans="1:8">
      <c r="A4172" s="30" t="s">
        <v>17470</v>
      </c>
      <c r="B4172" s="30"/>
      <c r="C4172" s="30" t="s">
        <v>8607</v>
      </c>
      <c r="D4172" s="30"/>
      <c r="E4172" s="30" t="s">
        <v>17471</v>
      </c>
      <c r="F4172" s="30" t="s">
        <v>8618</v>
      </c>
      <c r="G4172" s="30" t="s">
        <v>9672</v>
      </c>
      <c r="H4172" s="30" t="s">
        <v>17472</v>
      </c>
    </row>
    <row r="4173" spans="1:8">
      <c r="A4173" s="30" t="s">
        <v>17473</v>
      </c>
      <c r="B4173" s="30"/>
      <c r="C4173" s="30" t="s">
        <v>8607</v>
      </c>
      <c r="D4173" s="30"/>
      <c r="E4173" s="30"/>
      <c r="F4173" s="30"/>
      <c r="G4173" s="30"/>
      <c r="H4173" s="30" t="s">
        <v>17474</v>
      </c>
    </row>
    <row r="4174" spans="1:8">
      <c r="A4174" s="30" t="s">
        <v>17475</v>
      </c>
      <c r="B4174" s="30"/>
      <c r="C4174" s="30"/>
      <c r="D4174" s="32"/>
      <c r="E4174" s="30"/>
      <c r="F4174" s="30"/>
      <c r="G4174" s="30"/>
      <c r="H4174" s="30" t="s">
        <v>17476</v>
      </c>
    </row>
    <row r="4175" spans="1:8">
      <c r="A4175" s="30" t="s">
        <v>17477</v>
      </c>
      <c r="B4175" s="30"/>
      <c r="C4175" s="30" t="s">
        <v>8626</v>
      </c>
      <c r="D4175" s="30"/>
      <c r="E4175" s="30"/>
      <c r="F4175" s="30"/>
      <c r="G4175" s="30" t="s">
        <v>8609</v>
      </c>
      <c r="H4175" s="30" t="s">
        <v>17478</v>
      </c>
    </row>
    <row r="4176" spans="1:8">
      <c r="A4176" s="30" t="s">
        <v>17479</v>
      </c>
      <c r="B4176" s="30"/>
      <c r="C4176" s="30"/>
      <c r="D4176" s="32"/>
      <c r="E4176" s="30"/>
      <c r="F4176" s="30"/>
      <c r="G4176" s="30"/>
      <c r="H4176" s="30" t="s">
        <v>17480</v>
      </c>
    </row>
    <row r="4177" spans="1:8">
      <c r="A4177" s="30" t="s">
        <v>17481</v>
      </c>
      <c r="B4177" s="30"/>
      <c r="C4177" s="30" t="s">
        <v>8607</v>
      </c>
      <c r="D4177" s="30" t="s">
        <v>17482</v>
      </c>
      <c r="E4177" s="30"/>
      <c r="F4177" s="30"/>
      <c r="G4177" s="30" t="s">
        <v>13754</v>
      </c>
      <c r="H4177" s="30" t="s">
        <v>17483</v>
      </c>
    </row>
    <row r="4178" spans="1:8">
      <c r="A4178" s="30" t="s">
        <v>17484</v>
      </c>
      <c r="B4178" s="30"/>
      <c r="C4178" s="30" t="s">
        <v>8607</v>
      </c>
      <c r="D4178" s="30" t="s">
        <v>17485</v>
      </c>
      <c r="E4178" s="30" t="s">
        <v>17486</v>
      </c>
      <c r="F4178" s="30" t="e">
        <v>#VALUE!</v>
      </c>
      <c r="G4178" s="30" t="s">
        <v>17487</v>
      </c>
      <c r="H4178" s="30" t="s">
        <v>17488</v>
      </c>
    </row>
    <row r="4179" spans="1:8">
      <c r="A4179" s="30" t="s">
        <v>17489</v>
      </c>
      <c r="B4179" s="30"/>
      <c r="C4179" s="30" t="s">
        <v>8607</v>
      </c>
      <c r="D4179" s="30"/>
      <c r="E4179" s="30"/>
      <c r="F4179" s="30"/>
      <c r="G4179" s="30"/>
      <c r="H4179" s="30" t="s">
        <v>17490</v>
      </c>
    </row>
    <row r="4180" spans="1:8">
      <c r="A4180" s="30" t="s">
        <v>17491</v>
      </c>
      <c r="B4180" s="30"/>
      <c r="C4180" s="30" t="s">
        <v>8607</v>
      </c>
      <c r="D4180" s="30" t="s">
        <v>17492</v>
      </c>
      <c r="E4180" s="30" t="s">
        <v>14598</v>
      </c>
      <c r="F4180" s="30" t="s">
        <v>8618</v>
      </c>
      <c r="G4180" s="30" t="s">
        <v>15536</v>
      </c>
      <c r="H4180" s="30" t="s">
        <v>17493</v>
      </c>
    </row>
    <row r="4181" spans="1:8">
      <c r="A4181" s="30" t="s">
        <v>17494</v>
      </c>
      <c r="B4181" s="30"/>
      <c r="C4181" s="30" t="s">
        <v>8626</v>
      </c>
      <c r="D4181" s="30" t="s">
        <v>17417</v>
      </c>
      <c r="E4181" s="30" t="s">
        <v>17495</v>
      </c>
      <c r="F4181" s="30" t="s">
        <v>8672</v>
      </c>
      <c r="G4181" s="30" t="s">
        <v>10076</v>
      </c>
      <c r="H4181" s="30" t="s">
        <v>17496</v>
      </c>
    </row>
    <row r="4182" spans="1:8">
      <c r="A4182" s="30" t="s">
        <v>17497</v>
      </c>
      <c r="B4182" s="30"/>
      <c r="C4182" s="30" t="s">
        <v>8626</v>
      </c>
      <c r="D4182" s="30"/>
      <c r="E4182" s="30"/>
      <c r="F4182" s="30"/>
      <c r="G4182" s="30" t="s">
        <v>17498</v>
      </c>
      <c r="H4182" s="30" t="s">
        <v>17499</v>
      </c>
    </row>
    <row r="4183" spans="1:8">
      <c r="A4183" s="30" t="s">
        <v>17500</v>
      </c>
      <c r="B4183" s="30"/>
      <c r="C4183" s="30" t="s">
        <v>8626</v>
      </c>
      <c r="D4183" s="30"/>
      <c r="E4183" s="30"/>
      <c r="F4183" s="30"/>
      <c r="G4183" s="30"/>
      <c r="H4183" s="30" t="s">
        <v>17501</v>
      </c>
    </row>
    <row r="4184" spans="1:8">
      <c r="A4184" s="30" t="s">
        <v>17502</v>
      </c>
      <c r="B4184" s="30"/>
      <c r="C4184" s="30" t="s">
        <v>8626</v>
      </c>
      <c r="D4184" s="30"/>
      <c r="E4184" s="30"/>
      <c r="F4184" s="30"/>
      <c r="G4184" s="30"/>
      <c r="H4184" s="30" t="s">
        <v>17503</v>
      </c>
    </row>
    <row r="4185" spans="1:8">
      <c r="A4185" s="30" t="s">
        <v>17504</v>
      </c>
      <c r="B4185" s="30"/>
      <c r="C4185" s="30" t="s">
        <v>8626</v>
      </c>
      <c r="D4185" s="30"/>
      <c r="E4185" s="30"/>
      <c r="F4185" s="30"/>
      <c r="G4185" s="30"/>
      <c r="H4185" s="30" t="s">
        <v>17505</v>
      </c>
    </row>
    <row r="4186" spans="1:8">
      <c r="A4186" s="30" t="s">
        <v>17506</v>
      </c>
      <c r="B4186" s="30"/>
      <c r="C4186" s="30" t="s">
        <v>8626</v>
      </c>
      <c r="D4186" s="30"/>
      <c r="E4186" s="30"/>
      <c r="F4186" s="30"/>
      <c r="G4186" s="30"/>
      <c r="H4186" s="30" t="s">
        <v>17507</v>
      </c>
    </row>
    <row r="4187" spans="1:8">
      <c r="A4187" s="30" t="s">
        <v>17508</v>
      </c>
      <c r="B4187" s="30"/>
      <c r="C4187" s="30" t="s">
        <v>8607</v>
      </c>
      <c r="D4187" s="30" t="s">
        <v>13813</v>
      </c>
      <c r="E4187" s="30" t="s">
        <v>17509</v>
      </c>
      <c r="F4187" s="30" t="s">
        <v>8672</v>
      </c>
      <c r="G4187" s="30" t="s">
        <v>11943</v>
      </c>
      <c r="H4187" s="30" t="s">
        <v>17510</v>
      </c>
    </row>
    <row r="4188" spans="1:8">
      <c r="A4188" s="30" t="s">
        <v>17511</v>
      </c>
      <c r="B4188" s="30"/>
      <c r="C4188" s="30" t="s">
        <v>8607</v>
      </c>
      <c r="D4188" s="30" t="s">
        <v>17512</v>
      </c>
      <c r="E4188" s="30"/>
      <c r="F4188" s="30"/>
      <c r="G4188" s="30" t="s">
        <v>17513</v>
      </c>
      <c r="H4188" s="30" t="s">
        <v>17514</v>
      </c>
    </row>
    <row r="4189" spans="1:8">
      <c r="A4189" s="30" t="s">
        <v>17515</v>
      </c>
      <c r="B4189" s="30"/>
      <c r="C4189" s="30" t="s">
        <v>8607</v>
      </c>
      <c r="D4189" s="30"/>
      <c r="E4189" s="30"/>
      <c r="F4189" s="30"/>
      <c r="G4189" s="30" t="s">
        <v>17409</v>
      </c>
      <c r="H4189" s="30" t="s">
        <v>17516</v>
      </c>
    </row>
    <row r="4190" spans="1:8">
      <c r="A4190" s="30" t="s">
        <v>17517</v>
      </c>
      <c r="B4190" s="30"/>
      <c r="C4190" s="30" t="s">
        <v>8607</v>
      </c>
      <c r="D4190" s="30" t="s">
        <v>17492</v>
      </c>
      <c r="E4190" s="30" t="s">
        <v>17518</v>
      </c>
      <c r="F4190" s="30" t="s">
        <v>8618</v>
      </c>
      <c r="G4190" s="30" t="s">
        <v>15536</v>
      </c>
      <c r="H4190" s="30" t="s">
        <v>17519</v>
      </c>
    </row>
    <row r="4191" spans="1:8">
      <c r="A4191" s="30" t="s">
        <v>17520</v>
      </c>
      <c r="B4191" s="30"/>
      <c r="C4191" s="30"/>
      <c r="D4191" s="32"/>
      <c r="E4191" s="30"/>
      <c r="F4191" s="30"/>
      <c r="G4191" s="30"/>
      <c r="H4191" s="30" t="s">
        <v>17521</v>
      </c>
    </row>
    <row r="4192" spans="1:8">
      <c r="A4192" s="30" t="s">
        <v>17522</v>
      </c>
      <c r="B4192" s="30"/>
      <c r="C4192" s="30" t="s">
        <v>8607</v>
      </c>
      <c r="D4192" s="30"/>
      <c r="E4192" s="30"/>
      <c r="F4192" s="30"/>
      <c r="G4192" s="30" t="s">
        <v>17523</v>
      </c>
      <c r="H4192" s="30" t="s">
        <v>17524</v>
      </c>
    </row>
    <row r="4193" spans="1:8">
      <c r="A4193" s="30" t="s">
        <v>17525</v>
      </c>
      <c r="B4193" s="30"/>
      <c r="C4193" s="30" t="s">
        <v>8607</v>
      </c>
      <c r="D4193" s="30" t="s">
        <v>17318</v>
      </c>
      <c r="E4193" s="30"/>
      <c r="F4193" s="30"/>
      <c r="G4193" s="30" t="s">
        <v>17320</v>
      </c>
      <c r="H4193" s="30" t="s">
        <v>17526</v>
      </c>
    </row>
    <row r="4194" spans="1:8">
      <c r="A4194" s="30" t="s">
        <v>17527</v>
      </c>
      <c r="B4194" s="30"/>
      <c r="C4194" s="30" t="s">
        <v>8626</v>
      </c>
      <c r="D4194" s="30"/>
      <c r="E4194" s="30"/>
      <c r="F4194" s="30"/>
      <c r="G4194" s="30" t="s">
        <v>8623</v>
      </c>
      <c r="H4194" s="30" t="s">
        <v>17528</v>
      </c>
    </row>
    <row r="4195" spans="1:8">
      <c r="A4195" s="30" t="s">
        <v>17529</v>
      </c>
      <c r="B4195" s="30"/>
      <c r="C4195" s="30" t="s">
        <v>8607</v>
      </c>
      <c r="D4195" s="30"/>
      <c r="E4195" s="30"/>
      <c r="F4195" s="30"/>
      <c r="G4195" s="30"/>
      <c r="H4195" s="30" t="s">
        <v>17530</v>
      </c>
    </row>
    <row r="4196" spans="1:8">
      <c r="A4196" s="30" t="s">
        <v>17531</v>
      </c>
      <c r="B4196" s="30"/>
      <c r="C4196" s="30" t="s">
        <v>8607</v>
      </c>
      <c r="D4196" s="30" t="s">
        <v>17532</v>
      </c>
      <c r="E4196" s="30"/>
      <c r="F4196" s="30"/>
      <c r="G4196" s="30" t="s">
        <v>10234</v>
      </c>
      <c r="H4196" s="30" t="s">
        <v>17533</v>
      </c>
    </row>
    <row r="4197" spans="1:8">
      <c r="A4197" s="30" t="s">
        <v>17534</v>
      </c>
      <c r="B4197" s="30"/>
      <c r="C4197" s="30" t="s">
        <v>8607</v>
      </c>
      <c r="D4197" s="30" t="s">
        <v>17535</v>
      </c>
      <c r="E4197" s="30"/>
      <c r="F4197" s="30"/>
      <c r="G4197" s="30" t="s">
        <v>17396</v>
      </c>
      <c r="H4197" s="30" t="s">
        <v>17536</v>
      </c>
    </row>
    <row r="4198" spans="1:8">
      <c r="A4198" s="30" t="s">
        <v>17537</v>
      </c>
      <c r="B4198" s="30"/>
      <c r="C4198" s="30" t="s">
        <v>8607</v>
      </c>
      <c r="D4198" s="30" t="s">
        <v>17538</v>
      </c>
      <c r="E4198" s="30"/>
      <c r="F4198" s="30"/>
      <c r="G4198" s="30" t="s">
        <v>17539</v>
      </c>
      <c r="H4198" s="30" t="s">
        <v>17540</v>
      </c>
    </row>
    <row r="4199" spans="1:8">
      <c r="A4199" s="30" t="s">
        <v>17541</v>
      </c>
      <c r="B4199" s="30"/>
      <c r="C4199" s="30" t="s">
        <v>8607</v>
      </c>
      <c r="D4199" s="30" t="s">
        <v>17542</v>
      </c>
      <c r="E4199" s="30"/>
      <c r="F4199" s="30"/>
      <c r="G4199" s="30" t="s">
        <v>17543</v>
      </c>
      <c r="H4199" s="30" t="s">
        <v>17544</v>
      </c>
    </row>
    <row r="4200" spans="1:8">
      <c r="A4200" s="30" t="s">
        <v>17545</v>
      </c>
      <c r="B4200" s="30"/>
      <c r="C4200" s="30" t="s">
        <v>8607</v>
      </c>
      <c r="D4200" s="30"/>
      <c r="E4200" s="30"/>
      <c r="F4200" s="30"/>
      <c r="G4200" s="30"/>
      <c r="H4200" s="30" t="s">
        <v>16288</v>
      </c>
    </row>
    <row r="4201" spans="1:8">
      <c r="A4201" s="30" t="s">
        <v>17546</v>
      </c>
      <c r="B4201" s="30"/>
      <c r="C4201" s="30" t="s">
        <v>8626</v>
      </c>
      <c r="D4201" s="30"/>
      <c r="E4201" s="30" t="s">
        <v>17547</v>
      </c>
      <c r="F4201" s="30" t="e">
        <v>#VALUE!</v>
      </c>
      <c r="G4201" s="30" t="s">
        <v>17305</v>
      </c>
      <c r="H4201" s="30" t="s">
        <v>17548</v>
      </c>
    </row>
    <row r="4202" spans="1:8">
      <c r="A4202" s="30" t="s">
        <v>17549</v>
      </c>
      <c r="B4202" s="30"/>
      <c r="C4202" s="30" t="s">
        <v>8607</v>
      </c>
      <c r="D4202" s="30" t="s">
        <v>17550</v>
      </c>
      <c r="E4202" s="30"/>
      <c r="F4202" s="30"/>
      <c r="G4202" s="30" t="s">
        <v>17396</v>
      </c>
      <c r="H4202" s="30" t="s">
        <v>17551</v>
      </c>
    </row>
    <row r="4203" spans="1:8">
      <c r="A4203" s="30" t="s">
        <v>17552</v>
      </c>
      <c r="B4203" s="30"/>
      <c r="C4203" s="30" t="s">
        <v>8607</v>
      </c>
      <c r="D4203" s="30" t="s">
        <v>17553</v>
      </c>
      <c r="E4203" s="30"/>
      <c r="F4203" s="30"/>
      <c r="G4203" s="30" t="s">
        <v>17396</v>
      </c>
      <c r="H4203" s="30" t="s">
        <v>17554</v>
      </c>
    </row>
    <row r="4204" spans="1:8">
      <c r="A4204" s="30" t="s">
        <v>17555</v>
      </c>
      <c r="B4204" s="30"/>
      <c r="C4204" s="30" t="s">
        <v>8607</v>
      </c>
      <c r="D4204" s="30" t="s">
        <v>17485</v>
      </c>
      <c r="E4204" s="30" t="s">
        <v>17556</v>
      </c>
      <c r="F4204" s="30" t="e">
        <v>#VALUE!</v>
      </c>
      <c r="G4204" s="30" t="s">
        <v>8678</v>
      </c>
      <c r="H4204" s="30" t="s">
        <v>17557</v>
      </c>
    </row>
    <row r="4205" spans="1:8">
      <c r="A4205" s="30" t="s">
        <v>17558</v>
      </c>
      <c r="B4205" s="30"/>
      <c r="C4205" s="30" t="s">
        <v>8607</v>
      </c>
      <c r="D4205" s="30"/>
      <c r="E4205" s="30"/>
      <c r="F4205" s="30"/>
      <c r="G4205" s="30" t="s">
        <v>8623</v>
      </c>
      <c r="H4205" s="30" t="s">
        <v>17559</v>
      </c>
    </row>
    <row r="4206" spans="1:8">
      <c r="A4206" s="30" t="s">
        <v>17560</v>
      </c>
      <c r="B4206" s="30"/>
      <c r="C4206" s="30" t="s">
        <v>8626</v>
      </c>
      <c r="D4206" s="30"/>
      <c r="E4206" s="30"/>
      <c r="F4206" s="30"/>
      <c r="G4206" s="30" t="s">
        <v>14035</v>
      </c>
      <c r="H4206" s="30" t="s">
        <v>17561</v>
      </c>
    </row>
    <row r="4207" spans="1:8">
      <c r="A4207" s="30" t="s">
        <v>17562</v>
      </c>
      <c r="B4207" s="30"/>
      <c r="C4207" s="30" t="s">
        <v>8607</v>
      </c>
      <c r="D4207" s="30" t="s">
        <v>17563</v>
      </c>
      <c r="E4207" s="30"/>
      <c r="F4207" s="30"/>
      <c r="G4207" s="30" t="s">
        <v>17396</v>
      </c>
      <c r="H4207" s="30" t="s">
        <v>17564</v>
      </c>
    </row>
    <row r="4208" spans="1:8">
      <c r="A4208" s="30" t="s">
        <v>17565</v>
      </c>
      <c r="B4208" s="30"/>
      <c r="C4208" s="30" t="s">
        <v>8607</v>
      </c>
      <c r="D4208" s="30" t="s">
        <v>17566</v>
      </c>
      <c r="E4208" s="30" t="s">
        <v>17567</v>
      </c>
      <c r="F4208" s="30" t="s">
        <v>8672</v>
      </c>
      <c r="G4208" s="30" t="s">
        <v>17320</v>
      </c>
      <c r="H4208" s="30" t="s">
        <v>17404</v>
      </c>
    </row>
    <row r="4209" spans="1:8">
      <c r="A4209" s="30" t="s">
        <v>17568</v>
      </c>
      <c r="B4209" s="30"/>
      <c r="C4209" s="30" t="s">
        <v>8607</v>
      </c>
      <c r="D4209" s="30" t="s">
        <v>17569</v>
      </c>
      <c r="E4209" s="30" t="s">
        <v>17570</v>
      </c>
      <c r="F4209" s="30" t="s">
        <v>8672</v>
      </c>
      <c r="G4209" s="30" t="s">
        <v>9338</v>
      </c>
      <c r="H4209" s="30" t="s">
        <v>17571</v>
      </c>
    </row>
    <row r="4210" spans="1:8">
      <c r="A4210" s="30" t="s">
        <v>17572</v>
      </c>
      <c r="B4210" s="30"/>
      <c r="C4210" s="30" t="s">
        <v>8607</v>
      </c>
      <c r="D4210" s="30"/>
      <c r="E4210" s="30"/>
      <c r="F4210" s="30"/>
      <c r="G4210" s="30" t="s">
        <v>17320</v>
      </c>
      <c r="H4210" s="30" t="s">
        <v>17526</v>
      </c>
    </row>
    <row r="4211" spans="1:8">
      <c r="A4211" s="30" t="s">
        <v>17573</v>
      </c>
      <c r="B4211" s="30"/>
      <c r="C4211" s="30" t="s">
        <v>8626</v>
      </c>
      <c r="D4211" s="30"/>
      <c r="E4211" s="30"/>
      <c r="F4211" s="30"/>
      <c r="G4211" s="30" t="s">
        <v>9018</v>
      </c>
      <c r="H4211" s="30" t="s">
        <v>17574</v>
      </c>
    </row>
    <row r="4212" spans="1:8">
      <c r="A4212" s="30" t="s">
        <v>17575</v>
      </c>
      <c r="B4212" s="30"/>
      <c r="C4212" s="30"/>
      <c r="D4212" s="32"/>
      <c r="E4212" s="30"/>
      <c r="F4212" s="30"/>
      <c r="G4212" s="30"/>
      <c r="H4212" s="30" t="s">
        <v>17576</v>
      </c>
    </row>
    <row r="4213" spans="1:8">
      <c r="A4213" s="30" t="s">
        <v>17577</v>
      </c>
      <c r="B4213" s="30"/>
      <c r="C4213" s="30" t="s">
        <v>8626</v>
      </c>
      <c r="D4213" s="30" t="s">
        <v>10310</v>
      </c>
      <c r="E4213" s="30" t="s">
        <v>17578</v>
      </c>
      <c r="F4213" s="30" t="s">
        <v>8672</v>
      </c>
      <c r="G4213" s="30" t="s">
        <v>10076</v>
      </c>
      <c r="H4213" s="30" t="s">
        <v>17579</v>
      </c>
    </row>
    <row r="4214" spans="1:8">
      <c r="A4214" s="30" t="s">
        <v>17580</v>
      </c>
      <c r="B4214" s="30"/>
      <c r="C4214" s="30" t="s">
        <v>8607</v>
      </c>
      <c r="D4214" s="30" t="s">
        <v>17308</v>
      </c>
      <c r="E4214" s="30" t="s">
        <v>17309</v>
      </c>
      <c r="F4214" s="30" t="s">
        <v>8672</v>
      </c>
      <c r="G4214" s="30" t="s">
        <v>17310</v>
      </c>
      <c r="H4214" s="30" t="s">
        <v>17581</v>
      </c>
    </row>
    <row r="4215" spans="1:8">
      <c r="A4215" s="30" t="s">
        <v>17582</v>
      </c>
      <c r="B4215" s="30"/>
      <c r="C4215" s="30" t="s">
        <v>8607</v>
      </c>
      <c r="D4215" s="30"/>
      <c r="E4215" s="30"/>
      <c r="F4215" s="30"/>
      <c r="G4215" s="30" t="s">
        <v>17310</v>
      </c>
      <c r="H4215" s="30" t="s">
        <v>17316</v>
      </c>
    </row>
    <row r="4216" spans="1:8">
      <c r="A4216" s="30" t="s">
        <v>17583</v>
      </c>
      <c r="B4216" s="30"/>
      <c r="C4216" s="30"/>
      <c r="D4216" s="32"/>
      <c r="E4216" s="30"/>
      <c r="F4216" s="30"/>
      <c r="G4216" s="30"/>
      <c r="H4216" s="30" t="s">
        <v>17584</v>
      </c>
    </row>
    <row r="4217" spans="1:8">
      <c r="A4217" s="30" t="s">
        <v>17585</v>
      </c>
      <c r="B4217" s="30"/>
      <c r="C4217" s="30" t="s">
        <v>8607</v>
      </c>
      <c r="D4217" s="30" t="s">
        <v>17318</v>
      </c>
      <c r="E4217" s="30" t="s">
        <v>17586</v>
      </c>
      <c r="F4217" s="30" t="s">
        <v>8672</v>
      </c>
      <c r="G4217" s="30" t="s">
        <v>17320</v>
      </c>
      <c r="H4217" s="30" t="s">
        <v>17321</v>
      </c>
    </row>
    <row r="4218" spans="1:8">
      <c r="A4218" s="30" t="s">
        <v>17587</v>
      </c>
      <c r="B4218" s="30"/>
      <c r="C4218" s="30" t="s">
        <v>8607</v>
      </c>
      <c r="D4218" s="30" t="s">
        <v>17308</v>
      </c>
      <c r="E4218" s="30" t="s">
        <v>17309</v>
      </c>
      <c r="F4218" s="30" t="s">
        <v>8672</v>
      </c>
      <c r="G4218" s="30" t="s">
        <v>17310</v>
      </c>
      <c r="H4218" s="30" t="s">
        <v>17581</v>
      </c>
    </row>
    <row r="4219" spans="1:8">
      <c r="A4219" s="30" t="s">
        <v>17588</v>
      </c>
      <c r="B4219" s="30"/>
      <c r="C4219" s="30" t="s">
        <v>8607</v>
      </c>
      <c r="D4219" s="30" t="s">
        <v>17589</v>
      </c>
      <c r="E4219" s="30" t="s">
        <v>17590</v>
      </c>
      <c r="F4219" s="30" t="s">
        <v>8672</v>
      </c>
      <c r="G4219" s="30" t="s">
        <v>17310</v>
      </c>
      <c r="H4219" s="30" t="s">
        <v>17316</v>
      </c>
    </row>
    <row r="4220" spans="1:8">
      <c r="A4220" s="30" t="s">
        <v>17591</v>
      </c>
      <c r="B4220" s="30"/>
      <c r="C4220" s="30"/>
      <c r="D4220" s="32"/>
      <c r="E4220" s="30"/>
      <c r="F4220" s="30"/>
      <c r="G4220" s="30"/>
      <c r="H4220" s="30" t="s">
        <v>17592</v>
      </c>
    </row>
    <row r="4221" spans="1:8">
      <c r="A4221" s="30" t="s">
        <v>17593</v>
      </c>
      <c r="B4221" s="30"/>
      <c r="C4221" s="30" t="s">
        <v>8607</v>
      </c>
      <c r="D4221" s="30"/>
      <c r="E4221" s="30"/>
      <c r="F4221" s="30"/>
      <c r="G4221" s="30" t="s">
        <v>17594</v>
      </c>
      <c r="H4221" s="30" t="s">
        <v>17595</v>
      </c>
    </row>
    <row r="4222" spans="1:8">
      <c r="A4222" s="30" t="s">
        <v>17596</v>
      </c>
      <c r="B4222" s="30"/>
      <c r="C4222" s="30" t="s">
        <v>8626</v>
      </c>
      <c r="D4222" s="30" t="s">
        <v>17597</v>
      </c>
      <c r="E4222" s="30" t="s">
        <v>17598</v>
      </c>
      <c r="F4222" s="30" t="s">
        <v>8672</v>
      </c>
      <c r="G4222" s="30" t="s">
        <v>17599</v>
      </c>
      <c r="H4222" s="30" t="s">
        <v>17600</v>
      </c>
    </row>
    <row r="4223" spans="1:8">
      <c r="A4223" s="30" t="s">
        <v>17601</v>
      </c>
      <c r="B4223" s="30"/>
      <c r="C4223" s="30" t="s">
        <v>8607</v>
      </c>
      <c r="D4223" s="30"/>
      <c r="E4223" s="30"/>
      <c r="F4223" s="30"/>
      <c r="G4223" s="30"/>
      <c r="H4223" s="30" t="s">
        <v>17602</v>
      </c>
    </row>
    <row r="4224" spans="1:8">
      <c r="A4224" s="30" t="s">
        <v>17603</v>
      </c>
      <c r="B4224" s="30"/>
      <c r="C4224" s="30" t="s">
        <v>8626</v>
      </c>
      <c r="D4224" s="30"/>
      <c r="E4224" s="30"/>
      <c r="F4224" s="30"/>
      <c r="G4224" s="30" t="s">
        <v>13649</v>
      </c>
      <c r="H4224" s="30" t="s">
        <v>17604</v>
      </c>
    </row>
    <row r="4225" spans="1:8">
      <c r="A4225" s="30" t="s">
        <v>17605</v>
      </c>
      <c r="B4225" s="30"/>
      <c r="C4225" s="30"/>
      <c r="D4225" s="32" t="s">
        <v>17606</v>
      </c>
      <c r="E4225" s="32"/>
      <c r="F4225" s="30"/>
      <c r="G4225" s="30"/>
      <c r="H4225" s="30" t="s">
        <v>17607</v>
      </c>
    </row>
    <row r="4226" spans="1:8">
      <c r="A4226" s="30" t="s">
        <v>17608</v>
      </c>
      <c r="B4226" s="30"/>
      <c r="C4226" s="30" t="s">
        <v>8607</v>
      </c>
      <c r="D4226" s="30" t="s">
        <v>17609</v>
      </c>
      <c r="E4226" s="30"/>
      <c r="F4226" s="30"/>
      <c r="G4226" s="30" t="s">
        <v>17396</v>
      </c>
      <c r="H4226" s="30" t="s">
        <v>17610</v>
      </c>
    </row>
    <row r="4227" spans="1:8">
      <c r="A4227" s="30" t="s">
        <v>17611</v>
      </c>
      <c r="B4227" s="30"/>
      <c r="C4227" s="30" t="s">
        <v>8607</v>
      </c>
      <c r="D4227" s="30" t="s">
        <v>17612</v>
      </c>
      <c r="E4227" s="30"/>
      <c r="F4227" s="30"/>
      <c r="G4227" s="30" t="s">
        <v>17613</v>
      </c>
      <c r="H4227" s="30" t="s">
        <v>17614</v>
      </c>
    </row>
    <row r="4228" spans="1:8">
      <c r="A4228" s="30" t="s">
        <v>17615</v>
      </c>
      <c r="B4228" s="30"/>
      <c r="C4228" s="30" t="s">
        <v>8607</v>
      </c>
      <c r="D4228" s="30" t="s">
        <v>17616</v>
      </c>
      <c r="E4228" s="30"/>
      <c r="F4228" s="30"/>
      <c r="G4228" s="30" t="s">
        <v>17617</v>
      </c>
      <c r="H4228" s="30" t="s">
        <v>17618</v>
      </c>
    </row>
    <row r="4229" spans="1:8">
      <c r="A4229" s="30" t="s">
        <v>17619</v>
      </c>
      <c r="B4229" s="30"/>
      <c r="C4229" s="30" t="s">
        <v>8626</v>
      </c>
      <c r="D4229" s="30" t="s">
        <v>17620</v>
      </c>
      <c r="E4229" s="30"/>
      <c r="F4229" s="30"/>
      <c r="G4229" s="30" t="s">
        <v>17621</v>
      </c>
      <c r="H4229" s="30" t="s">
        <v>17622</v>
      </c>
    </row>
    <row r="4230" spans="1:8">
      <c r="A4230" s="30" t="s">
        <v>17623</v>
      </c>
      <c r="B4230" s="30"/>
      <c r="C4230" s="30" t="s">
        <v>8607</v>
      </c>
      <c r="D4230" s="30"/>
      <c r="E4230" s="30"/>
      <c r="F4230" s="30"/>
      <c r="G4230" s="30"/>
      <c r="H4230" s="30" t="s">
        <v>9460</v>
      </c>
    </row>
    <row r="4231" spans="1:8">
      <c r="A4231" s="30" t="s">
        <v>17624</v>
      </c>
      <c r="B4231" s="30"/>
      <c r="C4231" s="30" t="s">
        <v>8607</v>
      </c>
      <c r="D4231" s="30"/>
      <c r="E4231" s="30"/>
      <c r="F4231" s="30"/>
      <c r="G4231" s="30"/>
      <c r="H4231" s="30" t="s">
        <v>17625</v>
      </c>
    </row>
    <row r="4232" spans="1:8">
      <c r="A4232" s="30" t="s">
        <v>17626</v>
      </c>
      <c r="B4232" s="30"/>
      <c r="C4232" s="30" t="s">
        <v>8626</v>
      </c>
      <c r="D4232" s="30"/>
      <c r="E4232" s="30"/>
      <c r="F4232" s="30"/>
      <c r="G4232" s="30"/>
      <c r="H4232" s="30" t="s">
        <v>17627</v>
      </c>
    </row>
    <row r="4233" spans="1:8">
      <c r="A4233" s="30" t="s">
        <v>17628</v>
      </c>
      <c r="B4233" s="30"/>
      <c r="C4233" s="30" t="s">
        <v>8626</v>
      </c>
      <c r="D4233" s="30"/>
      <c r="E4233" s="30" t="s">
        <v>17629</v>
      </c>
      <c r="F4233" s="30" t="s">
        <v>8618</v>
      </c>
      <c r="G4233" s="30"/>
      <c r="H4233" s="30" t="s">
        <v>17630</v>
      </c>
    </row>
    <row r="4234" spans="1:8">
      <c r="A4234" s="30" t="s">
        <v>17631</v>
      </c>
      <c r="B4234" s="30"/>
      <c r="C4234" s="30"/>
      <c r="D4234" s="32"/>
      <c r="E4234" s="30"/>
      <c r="F4234" s="30"/>
      <c r="G4234" s="30"/>
      <c r="H4234" s="30" t="s">
        <v>17632</v>
      </c>
    </row>
    <row r="4235" spans="1:8">
      <c r="A4235" s="30" t="s">
        <v>17633</v>
      </c>
      <c r="B4235" s="30"/>
      <c r="C4235" s="30" t="s">
        <v>8626</v>
      </c>
      <c r="D4235" s="30"/>
      <c r="E4235" s="30"/>
      <c r="F4235" s="30"/>
      <c r="G4235" s="30"/>
      <c r="H4235" s="30" t="s">
        <v>17634</v>
      </c>
    </row>
    <row r="4236" spans="1:8">
      <c r="A4236" s="30" t="s">
        <v>17635</v>
      </c>
      <c r="B4236" s="30"/>
      <c r="C4236" s="30" t="s">
        <v>8626</v>
      </c>
      <c r="D4236" s="30" t="s">
        <v>17636</v>
      </c>
      <c r="E4236" s="30" t="s">
        <v>17637</v>
      </c>
      <c r="F4236" s="30" t="e">
        <v>#VALUE!</v>
      </c>
      <c r="G4236" s="30" t="s">
        <v>17638</v>
      </c>
      <c r="H4236" s="30" t="s">
        <v>17639</v>
      </c>
    </row>
    <row r="4237" spans="1:8">
      <c r="A4237" s="30" t="s">
        <v>17640</v>
      </c>
      <c r="B4237" s="30"/>
      <c r="C4237" s="30" t="s">
        <v>8607</v>
      </c>
      <c r="D4237" s="30" t="s">
        <v>17641</v>
      </c>
      <c r="E4237" s="30" t="s">
        <v>17642</v>
      </c>
      <c r="F4237" s="30" t="e">
        <v>#VALUE!</v>
      </c>
      <c r="G4237" s="30" t="s">
        <v>17643</v>
      </c>
      <c r="H4237" s="30" t="s">
        <v>17644</v>
      </c>
    </row>
    <row r="4238" spans="1:8">
      <c r="A4238" s="30" t="s">
        <v>17645</v>
      </c>
      <c r="B4238" s="30"/>
      <c r="C4238" s="30" t="s">
        <v>8607</v>
      </c>
      <c r="D4238" s="30" t="s">
        <v>17646</v>
      </c>
      <c r="E4238" s="30" t="s">
        <v>17647</v>
      </c>
      <c r="F4238" s="30" t="e">
        <v>#VALUE!</v>
      </c>
      <c r="G4238" s="30" t="s">
        <v>9002</v>
      </c>
      <c r="H4238" s="30" t="s">
        <v>17321</v>
      </c>
    </row>
    <row r="4239" spans="1:8">
      <c r="A4239" s="30" t="s">
        <v>17648</v>
      </c>
      <c r="B4239" s="30"/>
      <c r="C4239" s="30" t="s">
        <v>8607</v>
      </c>
      <c r="D4239" s="30" t="s">
        <v>17308</v>
      </c>
      <c r="E4239" s="30" t="s">
        <v>17649</v>
      </c>
      <c r="F4239" s="30" t="s">
        <v>8672</v>
      </c>
      <c r="G4239" s="30" t="s">
        <v>17310</v>
      </c>
      <c r="H4239" s="30" t="s">
        <v>17581</v>
      </c>
    </row>
    <row r="4240" spans="1:8">
      <c r="A4240" s="30" t="s">
        <v>17650</v>
      </c>
      <c r="B4240" s="30"/>
      <c r="C4240" s="30" t="s">
        <v>8607</v>
      </c>
      <c r="D4240" s="30" t="s">
        <v>17589</v>
      </c>
      <c r="E4240" s="30" t="s">
        <v>17590</v>
      </c>
      <c r="F4240" s="30" t="s">
        <v>8672</v>
      </c>
      <c r="G4240" s="30" t="s">
        <v>17310</v>
      </c>
      <c r="H4240" s="30" t="s">
        <v>17316</v>
      </c>
    </row>
    <row r="4241" spans="1:8">
      <c r="A4241" s="30" t="s">
        <v>17651</v>
      </c>
      <c r="B4241" s="30"/>
      <c r="C4241" s="30" t="s">
        <v>8607</v>
      </c>
      <c r="D4241" s="30"/>
      <c r="E4241" s="30"/>
      <c r="F4241" s="30"/>
      <c r="G4241" s="30" t="s">
        <v>9018</v>
      </c>
      <c r="H4241" s="30" t="s">
        <v>17652</v>
      </c>
    </row>
    <row r="4242" spans="1:8">
      <c r="A4242" s="30" t="s">
        <v>17653</v>
      </c>
      <c r="B4242" s="30"/>
      <c r="C4242" s="30" t="s">
        <v>8626</v>
      </c>
      <c r="D4242" s="30" t="s">
        <v>17654</v>
      </c>
      <c r="E4242" s="30" t="s">
        <v>17655</v>
      </c>
      <c r="F4242" s="30" t="s">
        <v>8672</v>
      </c>
      <c r="G4242" s="30" t="s">
        <v>17656</v>
      </c>
      <c r="H4242" s="30" t="s">
        <v>17657</v>
      </c>
    </row>
    <row r="4243" spans="1:8">
      <c r="A4243" s="30" t="s">
        <v>17658</v>
      </c>
      <c r="B4243" s="30"/>
      <c r="C4243" s="30"/>
      <c r="D4243" s="32"/>
      <c r="E4243" s="30"/>
      <c r="F4243" s="30"/>
      <c r="G4243" s="30"/>
      <c r="H4243" s="30" t="s">
        <v>17659</v>
      </c>
    </row>
    <row r="4244" spans="1:8">
      <c r="A4244" s="30" t="s">
        <v>17660</v>
      </c>
      <c r="B4244" s="30"/>
      <c r="C4244" s="30" t="s">
        <v>8626</v>
      </c>
      <c r="D4244" s="30"/>
      <c r="E4244" s="30" t="s">
        <v>17661</v>
      </c>
      <c r="F4244" s="30" t="s">
        <v>8618</v>
      </c>
      <c r="G4244" s="30" t="s">
        <v>16707</v>
      </c>
      <c r="H4244" s="30" t="s">
        <v>17662</v>
      </c>
    </row>
    <row r="4245" spans="1:8">
      <c r="A4245" s="30" t="s">
        <v>17663</v>
      </c>
      <c r="B4245" s="30"/>
      <c r="C4245" s="30" t="s">
        <v>8607</v>
      </c>
      <c r="D4245" s="30"/>
      <c r="E4245" s="30" t="s">
        <v>17664</v>
      </c>
      <c r="F4245" s="30" t="s">
        <v>8618</v>
      </c>
      <c r="G4245" s="30" t="s">
        <v>16707</v>
      </c>
      <c r="H4245" s="30" t="s">
        <v>17665</v>
      </c>
    </row>
    <row r="4246" spans="1:8">
      <c r="A4246" s="30" t="s">
        <v>17666</v>
      </c>
      <c r="B4246" s="30"/>
      <c r="C4246" s="30" t="s">
        <v>8607</v>
      </c>
      <c r="D4246" s="30" t="s">
        <v>8632</v>
      </c>
      <c r="E4246" s="30"/>
      <c r="F4246" s="30"/>
      <c r="G4246" s="30" t="s">
        <v>8633</v>
      </c>
      <c r="H4246" s="30" t="s">
        <v>17667</v>
      </c>
    </row>
    <row r="4247" spans="1:8">
      <c r="A4247" s="30" t="s">
        <v>17668</v>
      </c>
      <c r="B4247" s="30"/>
      <c r="C4247" s="30" t="s">
        <v>8607</v>
      </c>
      <c r="D4247" s="30"/>
      <c r="E4247" s="30"/>
      <c r="F4247" s="30"/>
      <c r="G4247" s="30" t="s">
        <v>8633</v>
      </c>
      <c r="H4247" s="30" t="s">
        <v>9456</v>
      </c>
    </row>
    <row r="4248" spans="1:8">
      <c r="A4248" s="30" t="s">
        <v>17669</v>
      </c>
      <c r="B4248" s="30"/>
      <c r="C4248" s="30" t="s">
        <v>8607</v>
      </c>
      <c r="D4248" s="30"/>
      <c r="E4248" s="30"/>
      <c r="F4248" s="30"/>
      <c r="G4248" s="30"/>
      <c r="H4248" s="30" t="s">
        <v>9462</v>
      </c>
    </row>
    <row r="4249" spans="1:8">
      <c r="A4249" s="30" t="s">
        <v>17670</v>
      </c>
      <c r="B4249" s="30"/>
      <c r="C4249" s="30" t="s">
        <v>8607</v>
      </c>
      <c r="D4249" s="30"/>
      <c r="E4249" s="30"/>
      <c r="F4249" s="30"/>
      <c r="G4249" s="30"/>
      <c r="H4249" s="30" t="s">
        <v>9464</v>
      </c>
    </row>
    <row r="4250" spans="1:8">
      <c r="A4250" s="30" t="s">
        <v>17671</v>
      </c>
      <c r="B4250" s="30"/>
      <c r="C4250" s="30" t="s">
        <v>8607</v>
      </c>
      <c r="D4250" s="30"/>
      <c r="E4250" s="30"/>
      <c r="F4250" s="30"/>
      <c r="G4250" s="30"/>
      <c r="H4250" s="30" t="s">
        <v>9458</v>
      </c>
    </row>
    <row r="4251" spans="1:8">
      <c r="A4251" s="30" t="s">
        <v>17672</v>
      </c>
      <c r="B4251" s="30"/>
      <c r="C4251" s="30" t="s">
        <v>8607</v>
      </c>
      <c r="D4251" s="30"/>
      <c r="E4251" s="30"/>
      <c r="F4251" s="30"/>
      <c r="G4251" s="30"/>
      <c r="H4251" s="30" t="s">
        <v>9460</v>
      </c>
    </row>
    <row r="4252" spans="1:8">
      <c r="A4252" s="30" t="s">
        <v>17673</v>
      </c>
      <c r="B4252" s="30"/>
      <c r="C4252" s="30" t="s">
        <v>8626</v>
      </c>
      <c r="D4252" s="30" t="s">
        <v>17417</v>
      </c>
      <c r="E4252" s="30" t="s">
        <v>17674</v>
      </c>
      <c r="F4252" s="30" t="s">
        <v>8672</v>
      </c>
      <c r="G4252" s="30" t="s">
        <v>10076</v>
      </c>
      <c r="H4252" s="30" t="s">
        <v>17496</v>
      </c>
    </row>
    <row r="4253" spans="1:8">
      <c r="A4253" s="30" t="s">
        <v>17675</v>
      </c>
      <c r="B4253" s="30"/>
      <c r="C4253" s="30" t="s">
        <v>8607</v>
      </c>
      <c r="D4253" s="30"/>
      <c r="E4253" s="30"/>
      <c r="F4253" s="30"/>
      <c r="G4253" s="30"/>
      <c r="H4253" s="30" t="s">
        <v>17676</v>
      </c>
    </row>
    <row r="4254" spans="1:8">
      <c r="A4254" s="30" t="s">
        <v>17677</v>
      </c>
      <c r="B4254" s="30"/>
      <c r="C4254" s="30" t="s">
        <v>8607</v>
      </c>
      <c r="D4254" s="30" t="s">
        <v>9017</v>
      </c>
      <c r="E4254" s="30"/>
      <c r="F4254" s="30"/>
      <c r="G4254" s="30" t="s">
        <v>9018</v>
      </c>
      <c r="H4254" s="30" t="s">
        <v>17678</v>
      </c>
    </row>
    <row r="4255" spans="1:8">
      <c r="A4255" s="30" t="s">
        <v>17679</v>
      </c>
      <c r="B4255" s="30"/>
      <c r="C4255" s="30" t="s">
        <v>8626</v>
      </c>
      <c r="D4255" s="30"/>
      <c r="E4255" s="30" t="s">
        <v>17680</v>
      </c>
      <c r="F4255" s="30" t="s">
        <v>8618</v>
      </c>
      <c r="G4255" s="30" t="s">
        <v>17320</v>
      </c>
      <c r="H4255" s="30" t="s">
        <v>17681</v>
      </c>
    </row>
    <row r="4256" spans="1:8">
      <c r="A4256" s="30" t="s">
        <v>17682</v>
      </c>
      <c r="B4256" s="30"/>
      <c r="C4256" s="30" t="s">
        <v>8607</v>
      </c>
      <c r="D4256" s="30"/>
      <c r="E4256" s="30"/>
      <c r="F4256" s="30"/>
      <c r="G4256" s="30"/>
      <c r="H4256" s="30" t="s">
        <v>17683</v>
      </c>
    </row>
    <row r="4257" spans="1:8">
      <c r="A4257" s="30" t="s">
        <v>17684</v>
      </c>
      <c r="B4257" s="30"/>
      <c r="C4257" s="30" t="s">
        <v>8626</v>
      </c>
      <c r="D4257" s="30" t="s">
        <v>17685</v>
      </c>
      <c r="E4257" s="30" t="s">
        <v>17686</v>
      </c>
      <c r="F4257" s="30" t="s">
        <v>8618</v>
      </c>
      <c r="G4257" s="30" t="s">
        <v>9595</v>
      </c>
      <c r="H4257" s="30" t="s">
        <v>17687</v>
      </c>
    </row>
    <row r="4258" spans="1:8">
      <c r="A4258" s="30" t="s">
        <v>17688</v>
      </c>
      <c r="B4258" s="30"/>
      <c r="C4258" s="30" t="s">
        <v>8607</v>
      </c>
      <c r="D4258" s="30" t="s">
        <v>17689</v>
      </c>
      <c r="E4258" s="30" t="s">
        <v>17690</v>
      </c>
      <c r="F4258" s="30" t="e">
        <v>#VALUE!</v>
      </c>
      <c r="G4258" s="30" t="s">
        <v>17691</v>
      </c>
      <c r="H4258" s="30" t="s">
        <v>17692</v>
      </c>
    </row>
    <row r="4259" spans="1:8">
      <c r="A4259" s="30" t="s">
        <v>17693</v>
      </c>
      <c r="B4259" s="30"/>
      <c r="C4259" s="30" t="s">
        <v>8607</v>
      </c>
      <c r="D4259" s="30" t="s">
        <v>17694</v>
      </c>
      <c r="E4259" s="30" t="s">
        <v>17695</v>
      </c>
      <c r="F4259" s="30" t="e">
        <v>#VALUE!</v>
      </c>
      <c r="G4259" s="30" t="s">
        <v>17696</v>
      </c>
      <c r="H4259" s="30" t="s">
        <v>17697</v>
      </c>
    </row>
    <row r="4260" spans="1:8">
      <c r="A4260" s="30" t="s">
        <v>17698</v>
      </c>
      <c r="B4260" s="30"/>
      <c r="C4260" s="30" t="s">
        <v>8626</v>
      </c>
      <c r="D4260" s="30" t="s">
        <v>17699</v>
      </c>
      <c r="E4260" s="30" t="s">
        <v>17700</v>
      </c>
      <c r="F4260" s="30" t="e">
        <v>#VALUE!</v>
      </c>
      <c r="G4260" s="30" t="s">
        <v>17305</v>
      </c>
      <c r="H4260" s="30" t="s">
        <v>17701</v>
      </c>
    </row>
    <row r="4261" spans="1:8">
      <c r="A4261" s="30" t="s">
        <v>17702</v>
      </c>
      <c r="B4261" s="30"/>
      <c r="C4261" s="30" t="s">
        <v>8607</v>
      </c>
      <c r="D4261" s="30"/>
      <c r="E4261" s="30"/>
      <c r="F4261" s="30"/>
      <c r="G4261" s="30"/>
      <c r="H4261" s="30" t="s">
        <v>17703</v>
      </c>
    </row>
    <row r="4262" spans="1:8">
      <c r="A4262" s="30" t="s">
        <v>17704</v>
      </c>
      <c r="B4262" s="30"/>
      <c r="C4262" s="30" t="s">
        <v>8626</v>
      </c>
      <c r="D4262" s="30" t="s">
        <v>17705</v>
      </c>
      <c r="E4262" s="30" t="s">
        <v>17706</v>
      </c>
      <c r="F4262" s="30" t="s">
        <v>8672</v>
      </c>
      <c r="G4262" s="30" t="s">
        <v>17320</v>
      </c>
      <c r="H4262" s="30" t="s">
        <v>17681</v>
      </c>
    </row>
    <row r="4263" spans="1:8">
      <c r="A4263" s="30" t="s">
        <v>17707</v>
      </c>
      <c r="B4263" s="30"/>
      <c r="C4263" s="30" t="s">
        <v>8607</v>
      </c>
      <c r="D4263" s="30" t="s">
        <v>17708</v>
      </c>
      <c r="E4263" s="30" t="s">
        <v>17709</v>
      </c>
      <c r="F4263" s="30" t="e">
        <v>#VALUE!</v>
      </c>
      <c r="G4263" s="30" t="s">
        <v>17710</v>
      </c>
      <c r="H4263" s="30" t="s">
        <v>17711</v>
      </c>
    </row>
    <row r="4264" spans="1:8">
      <c r="A4264" s="30" t="s">
        <v>17712</v>
      </c>
      <c r="B4264" s="30"/>
      <c r="C4264" s="30" t="s">
        <v>8626</v>
      </c>
      <c r="D4264" s="30" t="s">
        <v>17713</v>
      </c>
      <c r="E4264" s="30" t="s">
        <v>17714</v>
      </c>
      <c r="F4264" s="30" t="s">
        <v>8618</v>
      </c>
      <c r="G4264" s="30" t="s">
        <v>10427</v>
      </c>
      <c r="H4264" s="30" t="s">
        <v>17715</v>
      </c>
    </row>
    <row r="4265" spans="1:8">
      <c r="A4265" s="30" t="s">
        <v>17716</v>
      </c>
      <c r="B4265" s="30"/>
      <c r="C4265" s="30" t="s">
        <v>8607</v>
      </c>
      <c r="D4265" s="30" t="s">
        <v>17589</v>
      </c>
      <c r="E4265" s="30" t="s">
        <v>17590</v>
      </c>
      <c r="F4265" s="30" t="s">
        <v>8672</v>
      </c>
      <c r="G4265" s="30" t="s">
        <v>17310</v>
      </c>
      <c r="H4265" s="30" t="s">
        <v>17316</v>
      </c>
    </row>
    <row r="4266" spans="1:8">
      <c r="A4266" s="30" t="s">
        <v>17717</v>
      </c>
      <c r="B4266" s="30"/>
      <c r="C4266" s="30" t="s">
        <v>8607</v>
      </c>
      <c r="D4266" s="30"/>
      <c r="E4266" s="30"/>
      <c r="F4266" s="30"/>
      <c r="G4266" s="30" t="s">
        <v>9018</v>
      </c>
      <c r="H4266" s="30" t="s">
        <v>17652</v>
      </c>
    </row>
    <row r="4267" spans="1:8">
      <c r="A4267" s="30" t="s">
        <v>17718</v>
      </c>
      <c r="B4267" s="30"/>
      <c r="C4267" s="30"/>
      <c r="D4267" s="32"/>
      <c r="E4267" s="30"/>
      <c r="F4267" s="30"/>
      <c r="G4267" s="30"/>
      <c r="H4267" s="30" t="s">
        <v>17632</v>
      </c>
    </row>
    <row r="4268" spans="1:8">
      <c r="A4268" s="30" t="s">
        <v>17719</v>
      </c>
      <c r="B4268" s="30"/>
      <c r="C4268" s="30" t="s">
        <v>8607</v>
      </c>
      <c r="D4268" s="30" t="s">
        <v>17376</v>
      </c>
      <c r="E4268" s="30" t="s">
        <v>17720</v>
      </c>
      <c r="F4268" s="30" t="e">
        <v>#VALUE!</v>
      </c>
      <c r="G4268" s="30" t="s">
        <v>17721</v>
      </c>
      <c r="H4268" s="30" t="s">
        <v>17297</v>
      </c>
    </row>
    <row r="4269" spans="1:8">
      <c r="A4269" s="30" t="s">
        <v>17722</v>
      </c>
      <c r="B4269" s="30"/>
      <c r="C4269" s="30" t="s">
        <v>8626</v>
      </c>
      <c r="D4269" s="30" t="s">
        <v>17723</v>
      </c>
      <c r="E4269" s="30"/>
      <c r="F4269" s="30"/>
      <c r="G4269" s="30" t="s">
        <v>17621</v>
      </c>
      <c r="H4269" s="30" t="s">
        <v>17724</v>
      </c>
    </row>
    <row r="4270" spans="1:8">
      <c r="A4270" s="30" t="s">
        <v>17725</v>
      </c>
      <c r="B4270" s="30"/>
      <c r="C4270" s="30"/>
      <c r="D4270" s="32"/>
      <c r="E4270" s="30"/>
      <c r="F4270" s="30"/>
      <c r="G4270" s="30"/>
      <c r="H4270" s="30" t="s">
        <v>17726</v>
      </c>
    </row>
    <row r="4271" spans="1:8">
      <c r="A4271" s="30" t="s">
        <v>17727</v>
      </c>
      <c r="B4271" s="30"/>
      <c r="C4271" s="30" t="s">
        <v>8626</v>
      </c>
      <c r="D4271" s="30" t="s">
        <v>17728</v>
      </c>
      <c r="E4271" s="30" t="s">
        <v>17729</v>
      </c>
      <c r="F4271" s="30" t="s">
        <v>8618</v>
      </c>
      <c r="G4271" s="30" t="s">
        <v>12982</v>
      </c>
      <c r="H4271" s="30" t="s">
        <v>17730</v>
      </c>
    </row>
    <row r="4272" spans="1:8">
      <c r="A4272" s="30" t="s">
        <v>17731</v>
      </c>
      <c r="B4272" s="30"/>
      <c r="C4272" s="30" t="s">
        <v>8607</v>
      </c>
      <c r="D4272" s="30"/>
      <c r="E4272" s="30" t="s">
        <v>11000</v>
      </c>
      <c r="F4272" s="30" t="e">
        <v>#VALUE!</v>
      </c>
      <c r="G4272" s="30" t="s">
        <v>8623</v>
      </c>
      <c r="H4272" s="30" t="s">
        <v>17436</v>
      </c>
    </row>
    <row r="4273" spans="1:8">
      <c r="A4273" s="30" t="s">
        <v>17732</v>
      </c>
      <c r="B4273" s="30"/>
      <c r="C4273" s="30"/>
      <c r="D4273" s="32"/>
      <c r="E4273" s="30"/>
      <c r="F4273" s="30"/>
      <c r="G4273" s="30"/>
      <c r="H4273" s="30" t="s">
        <v>17733</v>
      </c>
    </row>
    <row r="4274" spans="1:8">
      <c r="A4274" s="30" t="s">
        <v>17734</v>
      </c>
      <c r="B4274" s="30"/>
      <c r="C4274" s="30" t="s">
        <v>8607</v>
      </c>
      <c r="D4274" s="30"/>
      <c r="E4274" s="30" t="s">
        <v>17735</v>
      </c>
      <c r="F4274" s="30" t="e">
        <v>#VALUE!</v>
      </c>
      <c r="G4274" s="30" t="s">
        <v>17638</v>
      </c>
      <c r="H4274" s="30" t="s">
        <v>17736</v>
      </c>
    </row>
    <row r="4275" spans="1:8">
      <c r="A4275" s="30" t="s">
        <v>17737</v>
      </c>
      <c r="B4275" s="30"/>
      <c r="C4275" s="30" t="s">
        <v>8607</v>
      </c>
      <c r="D4275" s="30"/>
      <c r="E4275" s="30"/>
      <c r="F4275" s="30"/>
      <c r="G4275" s="30"/>
      <c r="H4275" s="30" t="s">
        <v>17738</v>
      </c>
    </row>
    <row r="4276" spans="1:8">
      <c r="A4276" s="30" t="s">
        <v>17739</v>
      </c>
      <c r="B4276" s="30"/>
      <c r="C4276" s="30" t="s">
        <v>8607</v>
      </c>
      <c r="D4276" s="30"/>
      <c r="E4276" s="30"/>
      <c r="F4276" s="30"/>
      <c r="G4276" s="30" t="s">
        <v>8633</v>
      </c>
      <c r="H4276" s="30" t="s">
        <v>9456</v>
      </c>
    </row>
    <row r="4277" spans="1:8">
      <c r="A4277" s="30" t="s">
        <v>17740</v>
      </c>
      <c r="B4277" s="30"/>
      <c r="C4277" s="30" t="s">
        <v>8626</v>
      </c>
      <c r="D4277" s="30"/>
      <c r="E4277" s="30"/>
      <c r="F4277" s="30"/>
      <c r="G4277" s="30" t="s">
        <v>17741</v>
      </c>
      <c r="H4277" s="30" t="s">
        <v>17742</v>
      </c>
    </row>
    <row r="4278" spans="1:8">
      <c r="A4278" s="30" t="s">
        <v>17743</v>
      </c>
      <c r="B4278" s="30"/>
      <c r="C4278" s="30" t="s">
        <v>8607</v>
      </c>
      <c r="D4278" s="30"/>
      <c r="E4278" s="30" t="s">
        <v>11000</v>
      </c>
      <c r="F4278" s="30" t="e">
        <v>#VALUE!</v>
      </c>
      <c r="G4278" s="30" t="s">
        <v>8623</v>
      </c>
      <c r="H4278" s="30" t="s">
        <v>17559</v>
      </c>
    </row>
    <row r="4279" spans="1:8">
      <c r="A4279" s="30" t="s">
        <v>17744</v>
      </c>
      <c r="B4279" s="30"/>
      <c r="C4279" s="30" t="s">
        <v>8607</v>
      </c>
      <c r="D4279" s="30"/>
      <c r="E4279" s="30"/>
      <c r="F4279" s="30"/>
      <c r="G4279" s="30"/>
      <c r="H4279" s="30" t="s">
        <v>17745</v>
      </c>
    </row>
    <row r="4280" spans="1:8">
      <c r="A4280" s="30" t="s">
        <v>17746</v>
      </c>
      <c r="B4280" s="30"/>
      <c r="C4280" s="30"/>
      <c r="D4280" s="32"/>
      <c r="E4280" s="30"/>
      <c r="F4280" s="30"/>
      <c r="G4280" s="30"/>
      <c r="H4280" s="30" t="s">
        <v>17747</v>
      </c>
    </row>
    <row r="4281" spans="1:8">
      <c r="A4281" s="30" t="s">
        <v>17748</v>
      </c>
      <c r="B4281" s="30"/>
      <c r="C4281" s="30" t="s">
        <v>8626</v>
      </c>
      <c r="D4281" s="30"/>
      <c r="E4281" s="30" t="s">
        <v>17629</v>
      </c>
      <c r="F4281" s="30" t="s">
        <v>8618</v>
      </c>
      <c r="G4281" s="30"/>
      <c r="H4281" s="30" t="s">
        <v>17630</v>
      </c>
    </row>
    <row r="4282" spans="1:8">
      <c r="A4282" s="30" t="s">
        <v>17749</v>
      </c>
      <c r="B4282" s="30"/>
      <c r="C4282" s="30" t="s">
        <v>8607</v>
      </c>
      <c r="D4282" s="30" t="s">
        <v>14007</v>
      </c>
      <c r="E4282" s="30"/>
      <c r="F4282" s="30"/>
      <c r="G4282" s="30" t="s">
        <v>11641</v>
      </c>
      <c r="H4282" s="30" t="s">
        <v>14008</v>
      </c>
    </row>
    <row r="4283" spans="1:8">
      <c r="A4283" s="30" t="s">
        <v>17750</v>
      </c>
      <c r="B4283" s="30"/>
      <c r="C4283" s="30" t="s">
        <v>8607</v>
      </c>
      <c r="D4283" s="30"/>
      <c r="E4283" s="30"/>
      <c r="F4283" s="30"/>
      <c r="G4283" s="30"/>
      <c r="H4283" s="30" t="s">
        <v>9460</v>
      </c>
    </row>
    <row r="4284" spans="1:8">
      <c r="A4284" s="30" t="s">
        <v>17751</v>
      </c>
      <c r="B4284" s="30"/>
      <c r="C4284" s="30"/>
      <c r="D4284" s="32"/>
      <c r="E4284" s="30"/>
      <c r="F4284" s="30"/>
      <c r="G4284" s="30"/>
      <c r="H4284" s="30" t="s">
        <v>17632</v>
      </c>
    </row>
    <row r="4285" spans="1:8">
      <c r="A4285" s="30" t="s">
        <v>17752</v>
      </c>
      <c r="B4285" s="30"/>
      <c r="C4285" s="30" t="s">
        <v>8607</v>
      </c>
      <c r="D4285" s="30"/>
      <c r="E4285" s="30"/>
      <c r="F4285" s="30"/>
      <c r="G4285" s="30"/>
      <c r="H4285" s="30" t="s">
        <v>17625</v>
      </c>
    </row>
    <row r="4286" spans="1:8">
      <c r="A4286" s="30" t="s">
        <v>17753</v>
      </c>
      <c r="B4286" s="30"/>
      <c r="C4286" s="30" t="s">
        <v>8626</v>
      </c>
      <c r="D4286" s="30"/>
      <c r="E4286" s="30"/>
      <c r="F4286" s="30"/>
      <c r="G4286" s="30"/>
      <c r="H4286" s="30" t="s">
        <v>17747</v>
      </c>
    </row>
    <row r="4287" spans="1:8">
      <c r="A4287" s="30" t="s">
        <v>17754</v>
      </c>
      <c r="B4287" s="30"/>
      <c r="C4287" s="30" t="s">
        <v>8607</v>
      </c>
      <c r="D4287" s="30"/>
      <c r="E4287" s="30" t="s">
        <v>17463</v>
      </c>
      <c r="F4287" s="30" t="s">
        <v>8672</v>
      </c>
      <c r="G4287" s="30" t="s">
        <v>15202</v>
      </c>
      <c r="H4287" s="30" t="s">
        <v>17464</v>
      </c>
    </row>
    <row r="4288" spans="1:8">
      <c r="A4288" s="30" t="s">
        <v>17755</v>
      </c>
      <c r="B4288" s="30"/>
      <c r="C4288" s="30" t="s">
        <v>8607</v>
      </c>
      <c r="D4288" s="30"/>
      <c r="E4288" s="30" t="s">
        <v>17468</v>
      </c>
      <c r="F4288" s="30" t="s">
        <v>8618</v>
      </c>
      <c r="G4288" s="30" t="s">
        <v>9521</v>
      </c>
      <c r="H4288" s="30" t="s">
        <v>17469</v>
      </c>
    </row>
    <row r="4289" spans="1:8">
      <c r="A4289" s="30" t="s">
        <v>17756</v>
      </c>
      <c r="B4289" s="30"/>
      <c r="C4289" s="30" t="s">
        <v>8607</v>
      </c>
      <c r="D4289" s="30"/>
      <c r="E4289" s="30" t="s">
        <v>17471</v>
      </c>
      <c r="F4289" s="30" t="s">
        <v>8618</v>
      </c>
      <c r="G4289" s="30" t="s">
        <v>9672</v>
      </c>
      <c r="H4289" s="30" t="s">
        <v>17472</v>
      </c>
    </row>
    <row r="4290" spans="1:8">
      <c r="A4290" s="30" t="s">
        <v>17757</v>
      </c>
      <c r="B4290" s="30"/>
      <c r="C4290" s="30" t="s">
        <v>8607</v>
      </c>
      <c r="D4290" s="30"/>
      <c r="E4290" s="30"/>
      <c r="F4290" s="30"/>
      <c r="G4290" s="30"/>
      <c r="H4290" s="30" t="s">
        <v>17474</v>
      </c>
    </row>
    <row r="4291" spans="1:8">
      <c r="A4291" s="30" t="s">
        <v>17758</v>
      </c>
      <c r="B4291" s="30"/>
      <c r="C4291" s="30" t="s">
        <v>8626</v>
      </c>
      <c r="D4291" s="30"/>
      <c r="E4291" s="30" t="s">
        <v>17759</v>
      </c>
      <c r="F4291" s="30" t="e">
        <v>#VALUE!</v>
      </c>
      <c r="G4291" s="30" t="s">
        <v>17760</v>
      </c>
      <c r="H4291" s="30" t="s">
        <v>17761</v>
      </c>
    </row>
    <row r="4292" spans="1:8">
      <c r="A4292" s="30" t="s">
        <v>17762</v>
      </c>
      <c r="B4292" s="30"/>
      <c r="C4292" s="30" t="s">
        <v>8607</v>
      </c>
      <c r="D4292" s="30"/>
      <c r="E4292" s="30"/>
      <c r="F4292" s="30"/>
      <c r="G4292" s="30"/>
      <c r="H4292" s="30" t="s">
        <v>17763</v>
      </c>
    </row>
    <row r="4293" spans="1:8">
      <c r="A4293" s="30" t="s">
        <v>17764</v>
      </c>
      <c r="B4293" s="30"/>
      <c r="C4293" s="30" t="s">
        <v>8607</v>
      </c>
      <c r="D4293" s="30"/>
      <c r="E4293" s="30"/>
      <c r="F4293" s="30"/>
      <c r="G4293" s="30"/>
      <c r="H4293" s="30" t="s">
        <v>17765</v>
      </c>
    </row>
    <row r="4294" spans="1:8">
      <c r="A4294" s="30" t="s">
        <v>17766</v>
      </c>
      <c r="B4294" s="30"/>
      <c r="C4294" s="30" t="s">
        <v>8607</v>
      </c>
      <c r="D4294" s="30"/>
      <c r="E4294" s="30"/>
      <c r="F4294" s="30"/>
      <c r="G4294" s="30" t="s">
        <v>17767</v>
      </c>
      <c r="H4294" s="30" t="s">
        <v>17768</v>
      </c>
    </row>
    <row r="4295" spans="1:8">
      <c r="A4295" s="30" t="s">
        <v>17769</v>
      </c>
      <c r="B4295" s="30"/>
      <c r="C4295" s="30" t="s">
        <v>8626</v>
      </c>
      <c r="D4295" s="30"/>
      <c r="E4295" s="30"/>
      <c r="F4295" s="30"/>
      <c r="G4295" s="30" t="s">
        <v>17770</v>
      </c>
      <c r="H4295" s="30" t="s">
        <v>17771</v>
      </c>
    </row>
    <row r="4296" spans="1:8">
      <c r="A4296" s="30" t="s">
        <v>17772</v>
      </c>
      <c r="B4296" s="30"/>
      <c r="C4296" s="30" t="s">
        <v>8626</v>
      </c>
      <c r="D4296" s="30" t="s">
        <v>17773</v>
      </c>
      <c r="E4296" s="30" t="s">
        <v>17774</v>
      </c>
      <c r="F4296" s="30" t="e">
        <v>#VALUE!</v>
      </c>
      <c r="G4296" s="30" t="s">
        <v>17305</v>
      </c>
      <c r="H4296" s="30" t="s">
        <v>17775</v>
      </c>
    </row>
    <row r="4297" spans="1:8">
      <c r="A4297" s="30" t="s">
        <v>17776</v>
      </c>
      <c r="B4297" s="30"/>
      <c r="C4297" s="30" t="s">
        <v>8626</v>
      </c>
      <c r="D4297" s="30" t="s">
        <v>17777</v>
      </c>
      <c r="E4297" s="30" t="s">
        <v>17778</v>
      </c>
      <c r="F4297" s="30" t="e">
        <v>#VALUE!</v>
      </c>
      <c r="G4297" s="30" t="s">
        <v>17779</v>
      </c>
      <c r="H4297" s="30" t="s">
        <v>17780</v>
      </c>
    </row>
    <row r="4298" spans="1:8">
      <c r="A4298" s="30" t="s">
        <v>17781</v>
      </c>
      <c r="B4298" s="30"/>
      <c r="C4298" s="30" t="s">
        <v>8607</v>
      </c>
      <c r="D4298" s="30" t="s">
        <v>17782</v>
      </c>
      <c r="E4298" s="30" t="s">
        <v>17783</v>
      </c>
      <c r="F4298" s="30" t="e">
        <v>#VALUE!</v>
      </c>
      <c r="G4298" s="30" t="s">
        <v>17784</v>
      </c>
      <c r="H4298" s="30" t="s">
        <v>17785</v>
      </c>
    </row>
    <row r="4299" spans="1:8">
      <c r="A4299" s="30" t="s">
        <v>17786</v>
      </c>
      <c r="B4299" s="30"/>
      <c r="C4299" s="30" t="s">
        <v>8607</v>
      </c>
      <c r="D4299" s="30"/>
      <c r="E4299" s="30" t="s">
        <v>17787</v>
      </c>
      <c r="F4299" s="30" t="e">
        <v>#VALUE!</v>
      </c>
      <c r="G4299" s="30" t="s">
        <v>17349</v>
      </c>
      <c r="H4299" s="30" t="s">
        <v>17788</v>
      </c>
    </row>
    <row r="4300" spans="1:8">
      <c r="A4300" s="30" t="s">
        <v>17789</v>
      </c>
      <c r="B4300" s="30"/>
      <c r="C4300" s="30" t="s">
        <v>8607</v>
      </c>
      <c r="D4300" s="30"/>
      <c r="E4300" s="30"/>
      <c r="F4300" s="30"/>
      <c r="G4300" s="30" t="s">
        <v>17790</v>
      </c>
      <c r="H4300" s="30" t="s">
        <v>17791</v>
      </c>
    </row>
    <row r="4301" spans="1:8">
      <c r="A4301" s="30" t="s">
        <v>17792</v>
      </c>
      <c r="B4301" s="30"/>
      <c r="C4301" s="30" t="s">
        <v>8607</v>
      </c>
      <c r="D4301" s="30"/>
      <c r="E4301" s="30"/>
      <c r="F4301" s="30"/>
      <c r="G4301" s="30" t="s">
        <v>17327</v>
      </c>
      <c r="H4301" s="30" t="s">
        <v>17328</v>
      </c>
    </row>
    <row r="4302" spans="1:8">
      <c r="A4302" s="30" t="s">
        <v>17793</v>
      </c>
      <c r="B4302" s="30"/>
      <c r="C4302" s="30" t="s">
        <v>8607</v>
      </c>
      <c r="D4302" s="30"/>
      <c r="E4302" s="30" t="s">
        <v>17794</v>
      </c>
      <c r="F4302" s="30" t="s">
        <v>8672</v>
      </c>
      <c r="G4302" s="30" t="s">
        <v>17331</v>
      </c>
      <c r="H4302" s="30" t="s">
        <v>17332</v>
      </c>
    </row>
    <row r="4303" spans="1:8">
      <c r="A4303" s="30" t="s">
        <v>17795</v>
      </c>
      <c r="B4303" s="30"/>
      <c r="C4303" s="30" t="s">
        <v>8607</v>
      </c>
      <c r="D4303" s="30"/>
      <c r="E4303" s="30" t="s">
        <v>17759</v>
      </c>
      <c r="F4303" s="30" t="e">
        <v>#VALUE!</v>
      </c>
      <c r="G4303" s="30" t="s">
        <v>17760</v>
      </c>
      <c r="H4303" s="30" t="s">
        <v>17796</v>
      </c>
    </row>
    <row r="4304" spans="1:8">
      <c r="A4304" s="30" t="s">
        <v>17797</v>
      </c>
      <c r="B4304" s="30"/>
      <c r="C4304" s="30" t="s">
        <v>8607</v>
      </c>
      <c r="D4304" s="30"/>
      <c r="E4304" s="30"/>
      <c r="F4304" s="30"/>
      <c r="G4304" s="30"/>
      <c r="H4304" s="30" t="s">
        <v>17763</v>
      </c>
    </row>
    <row r="4305" spans="1:8">
      <c r="A4305" s="30" t="s">
        <v>17798</v>
      </c>
      <c r="B4305" s="30"/>
      <c r="C4305" s="30" t="s">
        <v>8626</v>
      </c>
      <c r="D4305" s="30" t="s">
        <v>17799</v>
      </c>
      <c r="E4305" s="30"/>
      <c r="F4305" s="30"/>
      <c r="G4305" s="30" t="s">
        <v>8623</v>
      </c>
      <c r="H4305" s="30" t="s">
        <v>17800</v>
      </c>
    </row>
    <row r="4306" spans="1:8">
      <c r="A4306" s="30" t="s">
        <v>17801</v>
      </c>
      <c r="B4306" s="30"/>
      <c r="C4306" s="30" t="s">
        <v>8607</v>
      </c>
      <c r="D4306" s="30"/>
      <c r="E4306" s="30"/>
      <c r="F4306" s="30"/>
      <c r="G4306" s="30" t="s">
        <v>17802</v>
      </c>
      <c r="H4306" s="30" t="s">
        <v>17803</v>
      </c>
    </row>
    <row r="4307" spans="1:8">
      <c r="A4307" s="30" t="s">
        <v>17804</v>
      </c>
      <c r="B4307" s="30"/>
      <c r="C4307" s="30" t="s">
        <v>8607</v>
      </c>
      <c r="D4307" s="30"/>
      <c r="E4307" s="30" t="s">
        <v>17794</v>
      </c>
      <c r="F4307" s="30" t="s">
        <v>8672</v>
      </c>
      <c r="G4307" s="30" t="s">
        <v>17331</v>
      </c>
      <c r="H4307" s="30" t="s">
        <v>17332</v>
      </c>
    </row>
    <row r="4308" spans="1:8">
      <c r="A4308" s="30" t="s">
        <v>17805</v>
      </c>
      <c r="B4308" s="30"/>
      <c r="C4308" s="30" t="s">
        <v>8626</v>
      </c>
      <c r="D4308" s="30" t="s">
        <v>17806</v>
      </c>
      <c r="E4308" s="30"/>
      <c r="F4308" s="30"/>
      <c r="G4308" s="30" t="s">
        <v>17807</v>
      </c>
      <c r="H4308" s="30" t="s">
        <v>17808</v>
      </c>
    </row>
    <row r="4309" spans="1:8">
      <c r="A4309" s="30" t="s">
        <v>17809</v>
      </c>
      <c r="B4309" s="30"/>
      <c r="C4309" s="30"/>
      <c r="D4309" s="32"/>
      <c r="E4309" s="30"/>
      <c r="F4309" s="30"/>
      <c r="G4309" s="30"/>
      <c r="H4309" s="30" t="s">
        <v>17810</v>
      </c>
    </row>
    <row r="4310" spans="1:8">
      <c r="A4310" s="30" t="s">
        <v>17811</v>
      </c>
      <c r="B4310" s="30"/>
      <c r="C4310" s="30" t="s">
        <v>8626</v>
      </c>
      <c r="D4310" s="30" t="s">
        <v>17723</v>
      </c>
      <c r="E4310" s="30"/>
      <c r="F4310" s="30"/>
      <c r="G4310" s="30" t="s">
        <v>17621</v>
      </c>
      <c r="H4310" s="30" t="s">
        <v>17812</v>
      </c>
    </row>
    <row r="4311" spans="1:8">
      <c r="A4311" s="30" t="s">
        <v>17813</v>
      </c>
      <c r="B4311" s="30"/>
      <c r="C4311" s="30"/>
      <c r="D4311" s="32"/>
      <c r="E4311" s="30"/>
      <c r="F4311" s="30"/>
      <c r="G4311" s="30"/>
      <c r="H4311" s="30" t="s">
        <v>17726</v>
      </c>
    </row>
    <row r="4312" spans="1:8">
      <c r="A4312" s="30" t="s">
        <v>17814</v>
      </c>
      <c r="B4312" s="30"/>
      <c r="C4312" s="30" t="s">
        <v>8626</v>
      </c>
      <c r="D4312" s="30" t="s">
        <v>17815</v>
      </c>
      <c r="E4312" s="30" t="s">
        <v>17816</v>
      </c>
      <c r="F4312" s="30" t="s">
        <v>8618</v>
      </c>
      <c r="G4312" s="30" t="s">
        <v>12982</v>
      </c>
      <c r="H4312" s="30" t="s">
        <v>17817</v>
      </c>
    </row>
    <row r="4313" spans="1:8">
      <c r="A4313" s="30" t="s">
        <v>17818</v>
      </c>
      <c r="B4313" s="30"/>
      <c r="C4313" s="30"/>
      <c r="D4313" s="32"/>
      <c r="E4313" s="30"/>
      <c r="F4313" s="30"/>
      <c r="G4313" s="30"/>
      <c r="H4313" s="30" t="s">
        <v>17819</v>
      </c>
    </row>
    <row r="4314" spans="1:8">
      <c r="A4314" s="30" t="s">
        <v>17820</v>
      </c>
      <c r="B4314" s="30"/>
      <c r="C4314" s="30" t="s">
        <v>8607</v>
      </c>
      <c r="D4314" s="30"/>
      <c r="E4314" s="30"/>
      <c r="F4314" s="30"/>
      <c r="G4314" s="30" t="s">
        <v>17821</v>
      </c>
      <c r="H4314" s="30" t="s">
        <v>17822</v>
      </c>
    </row>
    <row r="4315" spans="1:8">
      <c r="A4315" s="30" t="s">
        <v>17823</v>
      </c>
      <c r="B4315" s="30"/>
      <c r="C4315" s="30" t="s">
        <v>8607</v>
      </c>
      <c r="D4315" s="30"/>
      <c r="E4315" s="30"/>
      <c r="F4315" s="30"/>
      <c r="G4315" s="30" t="s">
        <v>17824</v>
      </c>
      <c r="H4315" s="30" t="s">
        <v>17825</v>
      </c>
    </row>
    <row r="4316" spans="1:8">
      <c r="A4316" s="30" t="s">
        <v>17826</v>
      </c>
      <c r="B4316" s="30"/>
      <c r="C4316" s="30" t="s">
        <v>8607</v>
      </c>
      <c r="D4316" s="30"/>
      <c r="E4316" s="30" t="s">
        <v>17827</v>
      </c>
      <c r="F4316" s="30" t="e">
        <v>#VALUE!</v>
      </c>
      <c r="G4316" s="30"/>
      <c r="H4316" s="30" t="s">
        <v>17828</v>
      </c>
    </row>
    <row r="4317" spans="1:8">
      <c r="A4317" s="30" t="s">
        <v>17829</v>
      </c>
      <c r="B4317" s="30"/>
      <c r="C4317" s="30" t="s">
        <v>8607</v>
      </c>
      <c r="D4317" s="30"/>
      <c r="E4317" s="30"/>
      <c r="F4317" s="30"/>
      <c r="G4317" s="30" t="s">
        <v>17830</v>
      </c>
      <c r="H4317" s="30" t="s">
        <v>17831</v>
      </c>
    </row>
    <row r="4318" spans="1:8">
      <c r="A4318" s="30" t="s">
        <v>17832</v>
      </c>
      <c r="B4318" s="30"/>
      <c r="C4318" s="30" t="s">
        <v>8607</v>
      </c>
      <c r="D4318" s="30"/>
      <c r="E4318" s="30"/>
      <c r="F4318" s="30"/>
      <c r="G4318" s="30"/>
      <c r="H4318" s="30" t="s">
        <v>17833</v>
      </c>
    </row>
    <row r="4319" spans="1:8">
      <c r="A4319" s="30" t="s">
        <v>17834</v>
      </c>
      <c r="B4319" s="30"/>
      <c r="C4319" s="30" t="s">
        <v>8607</v>
      </c>
      <c r="D4319" s="30"/>
      <c r="E4319" s="30"/>
      <c r="F4319" s="30"/>
      <c r="G4319" s="30" t="s">
        <v>17835</v>
      </c>
      <c r="H4319" s="30" t="s">
        <v>17836</v>
      </c>
    </row>
    <row r="4320" spans="1:8">
      <c r="A4320" s="30" t="s">
        <v>17837</v>
      </c>
      <c r="B4320" s="30"/>
      <c r="C4320" s="30" t="s">
        <v>8607</v>
      </c>
      <c r="D4320" s="30"/>
      <c r="E4320" s="30"/>
      <c r="F4320" s="30"/>
      <c r="G4320" s="30" t="s">
        <v>17838</v>
      </c>
      <c r="H4320" s="30" t="s">
        <v>17839</v>
      </c>
    </row>
    <row r="4321" spans="1:8">
      <c r="A4321" s="30" t="s">
        <v>17840</v>
      </c>
      <c r="B4321" s="30"/>
      <c r="C4321" s="30" t="s">
        <v>8607</v>
      </c>
      <c r="D4321" s="30" t="s">
        <v>17841</v>
      </c>
      <c r="E4321" s="30" t="s">
        <v>17842</v>
      </c>
      <c r="F4321" s="30" t="e">
        <v>#VALUE!</v>
      </c>
      <c r="G4321" s="30" t="s">
        <v>17843</v>
      </c>
      <c r="H4321" s="30" t="s">
        <v>17844</v>
      </c>
    </row>
    <row r="4322" spans="1:8">
      <c r="A4322" s="30" t="s">
        <v>17845</v>
      </c>
      <c r="B4322" s="30"/>
      <c r="C4322" s="30" t="s">
        <v>8626</v>
      </c>
      <c r="D4322" s="30"/>
      <c r="E4322" s="30" t="s">
        <v>17846</v>
      </c>
      <c r="F4322" s="30" t="s">
        <v>8672</v>
      </c>
      <c r="G4322" s="30" t="s">
        <v>17331</v>
      </c>
      <c r="H4322" s="30" t="s">
        <v>17847</v>
      </c>
    </row>
    <row r="4323" spans="1:8">
      <c r="A4323" s="30" t="s">
        <v>17848</v>
      </c>
      <c r="B4323" s="30"/>
      <c r="C4323" s="30" t="s">
        <v>8607</v>
      </c>
      <c r="D4323" s="30"/>
      <c r="E4323" s="30" t="s">
        <v>17849</v>
      </c>
      <c r="F4323" s="30" t="e">
        <v>#VALUE!</v>
      </c>
      <c r="G4323" s="30" t="s">
        <v>17850</v>
      </c>
      <c r="H4323" s="30" t="s">
        <v>17297</v>
      </c>
    </row>
    <row r="4324" spans="1:8">
      <c r="A4324" s="30" t="s">
        <v>17851</v>
      </c>
      <c r="B4324" s="30"/>
      <c r="C4324" s="30" t="s">
        <v>8607</v>
      </c>
      <c r="D4324" s="30" t="s">
        <v>10816</v>
      </c>
      <c r="E4324" s="30" t="s">
        <v>10817</v>
      </c>
      <c r="F4324" s="30" t="e">
        <v>#VALUE!</v>
      </c>
      <c r="G4324" s="30" t="s">
        <v>8975</v>
      </c>
      <c r="H4324" s="30" t="s">
        <v>17852</v>
      </c>
    </row>
    <row r="4325" spans="1:8">
      <c r="A4325" s="30" t="s">
        <v>17853</v>
      </c>
      <c r="B4325" s="30"/>
      <c r="C4325" s="30" t="s">
        <v>8607</v>
      </c>
      <c r="D4325" s="30"/>
      <c r="E4325" s="30"/>
      <c r="F4325" s="30"/>
      <c r="G4325" s="30"/>
      <c r="H4325" s="30" t="s">
        <v>10812</v>
      </c>
    </row>
    <row r="4326" spans="1:8">
      <c r="A4326" s="30" t="s">
        <v>17854</v>
      </c>
      <c r="B4326" s="30"/>
      <c r="C4326" s="30" t="s">
        <v>8607</v>
      </c>
      <c r="D4326" s="30"/>
      <c r="E4326" s="30"/>
      <c r="F4326" s="30"/>
      <c r="G4326" s="30"/>
      <c r="H4326" s="30" t="s">
        <v>17855</v>
      </c>
    </row>
    <row r="4327" spans="1:8">
      <c r="A4327" s="30" t="s">
        <v>17856</v>
      </c>
      <c r="B4327" s="30"/>
      <c r="C4327" s="30" t="s">
        <v>8626</v>
      </c>
      <c r="D4327" s="30"/>
      <c r="E4327" s="30"/>
      <c r="F4327" s="30"/>
      <c r="G4327" s="30"/>
      <c r="H4327" s="30" t="s">
        <v>17857</v>
      </c>
    </row>
    <row r="4328" spans="1:8">
      <c r="A4328" s="30" t="s">
        <v>17858</v>
      </c>
      <c r="B4328" s="30"/>
      <c r="C4328" s="30" t="s">
        <v>8607</v>
      </c>
      <c r="D4328" s="30"/>
      <c r="E4328" s="30"/>
      <c r="F4328" s="30"/>
      <c r="G4328" s="30" t="s">
        <v>17824</v>
      </c>
      <c r="H4328" s="30" t="s">
        <v>17825</v>
      </c>
    </row>
    <row r="4329" spans="1:8">
      <c r="A4329" s="30" t="s">
        <v>17859</v>
      </c>
      <c r="B4329" s="30"/>
      <c r="C4329" s="30" t="s">
        <v>8607</v>
      </c>
      <c r="D4329" s="30"/>
      <c r="E4329" s="30"/>
      <c r="F4329" s="30"/>
      <c r="G4329" s="30"/>
      <c r="H4329" s="30" t="s">
        <v>17828</v>
      </c>
    </row>
    <row r="4330" spans="1:8">
      <c r="A4330" s="30" t="s">
        <v>17860</v>
      </c>
      <c r="B4330" s="30"/>
      <c r="C4330" s="30" t="s">
        <v>8626</v>
      </c>
      <c r="D4330" s="30" t="s">
        <v>17773</v>
      </c>
      <c r="E4330" s="30" t="s">
        <v>17861</v>
      </c>
      <c r="F4330" s="30" t="e">
        <v>#VALUE!</v>
      </c>
      <c r="G4330" s="30" t="s">
        <v>17305</v>
      </c>
      <c r="H4330" s="30" t="s">
        <v>17862</v>
      </c>
    </row>
    <row r="4331" spans="1:8">
      <c r="A4331" s="30" t="s">
        <v>17863</v>
      </c>
      <c r="B4331" s="30"/>
      <c r="C4331" s="30" t="s">
        <v>8607</v>
      </c>
      <c r="D4331" s="30" t="s">
        <v>17864</v>
      </c>
      <c r="E4331" s="30" t="s">
        <v>17865</v>
      </c>
      <c r="F4331" s="30" t="e">
        <v>#VALUE!</v>
      </c>
      <c r="G4331" s="30" t="s">
        <v>17779</v>
      </c>
      <c r="H4331" s="30" t="s">
        <v>17866</v>
      </c>
    </row>
    <row r="4332" spans="1:8">
      <c r="A4332" s="30" t="s">
        <v>17867</v>
      </c>
      <c r="B4332" s="30"/>
      <c r="C4332" s="30" t="s">
        <v>8626</v>
      </c>
      <c r="D4332" s="30" t="s">
        <v>17782</v>
      </c>
      <c r="E4332" s="30" t="s">
        <v>17868</v>
      </c>
      <c r="F4332" s="30" t="e">
        <v>#VALUE!</v>
      </c>
      <c r="G4332" s="30" t="s">
        <v>17784</v>
      </c>
      <c r="H4332" s="30" t="s">
        <v>17869</v>
      </c>
    </row>
    <row r="4333" spans="1:8">
      <c r="A4333" s="30" t="s">
        <v>17870</v>
      </c>
      <c r="B4333" s="30"/>
      <c r="C4333" s="30" t="s">
        <v>8607</v>
      </c>
      <c r="D4333" s="30" t="s">
        <v>17871</v>
      </c>
      <c r="E4333" s="30" t="s">
        <v>17872</v>
      </c>
      <c r="F4333" s="30" t="e">
        <v>#VALUE!</v>
      </c>
      <c r="G4333" s="30" t="s">
        <v>17349</v>
      </c>
      <c r="H4333" s="30" t="s">
        <v>17788</v>
      </c>
    </row>
    <row r="4334" spans="1:8">
      <c r="A4334" s="30" t="s">
        <v>17873</v>
      </c>
      <c r="B4334" s="30"/>
      <c r="C4334" s="30" t="s">
        <v>8607</v>
      </c>
      <c r="D4334" s="30"/>
      <c r="E4334" s="30"/>
      <c r="F4334" s="30"/>
      <c r="G4334" s="30" t="s">
        <v>17874</v>
      </c>
      <c r="H4334" s="30" t="s">
        <v>17875</v>
      </c>
    </row>
    <row r="4335" spans="1:8">
      <c r="A4335" s="30" t="s">
        <v>17876</v>
      </c>
      <c r="B4335" s="30"/>
      <c r="C4335" s="30" t="s">
        <v>8607</v>
      </c>
      <c r="D4335" s="30" t="s">
        <v>17877</v>
      </c>
      <c r="E4335" s="30" t="s">
        <v>17878</v>
      </c>
      <c r="F4335" s="30" t="e">
        <v>#VALUE!</v>
      </c>
      <c r="G4335" s="30"/>
      <c r="H4335" s="30" t="s">
        <v>17879</v>
      </c>
    </row>
    <row r="4336" spans="1:8">
      <c r="A4336" s="30" t="s">
        <v>17880</v>
      </c>
      <c r="B4336" s="30"/>
      <c r="C4336" s="30" t="s">
        <v>8626</v>
      </c>
      <c r="D4336" s="30"/>
      <c r="E4336" s="30"/>
      <c r="F4336" s="30"/>
      <c r="G4336" s="30"/>
      <c r="H4336" s="30" t="s">
        <v>17881</v>
      </c>
    </row>
    <row r="4337" spans="1:8">
      <c r="A4337" s="30" t="s">
        <v>17882</v>
      </c>
      <c r="B4337" s="30"/>
      <c r="C4337" s="30" t="s">
        <v>8626</v>
      </c>
      <c r="D4337" s="30"/>
      <c r="E4337" s="30"/>
      <c r="F4337" s="30"/>
      <c r="G4337" s="30" t="s">
        <v>17621</v>
      </c>
      <c r="H4337" s="30" t="s">
        <v>17883</v>
      </c>
    </row>
    <row r="4338" spans="1:8">
      <c r="A4338" s="30" t="s">
        <v>17884</v>
      </c>
      <c r="B4338" s="30"/>
      <c r="C4338" s="30" t="s">
        <v>8626</v>
      </c>
      <c r="D4338" s="30" t="s">
        <v>17885</v>
      </c>
      <c r="E4338" s="30" t="s">
        <v>17886</v>
      </c>
      <c r="F4338" s="30" t="e">
        <v>#VALUE!</v>
      </c>
      <c r="G4338" s="30" t="s">
        <v>17887</v>
      </c>
      <c r="H4338" s="30" t="s">
        <v>17888</v>
      </c>
    </row>
    <row r="4339" spans="1:8">
      <c r="A4339" s="30" t="s">
        <v>17889</v>
      </c>
      <c r="B4339" s="30"/>
      <c r="C4339" s="30" t="s">
        <v>8607</v>
      </c>
      <c r="D4339" s="30"/>
      <c r="E4339" s="30"/>
      <c r="F4339" s="30"/>
      <c r="G4339" s="30"/>
      <c r="H4339" s="30" t="s">
        <v>17890</v>
      </c>
    </row>
    <row r="4340" spans="1:8">
      <c r="A4340" s="30" t="s">
        <v>17891</v>
      </c>
      <c r="B4340" s="30"/>
      <c r="C4340" s="30" t="s">
        <v>8607</v>
      </c>
      <c r="D4340" s="30"/>
      <c r="E4340" s="30"/>
      <c r="F4340" s="30"/>
      <c r="G4340" s="30" t="s">
        <v>17790</v>
      </c>
      <c r="H4340" s="30" t="s">
        <v>17791</v>
      </c>
    </row>
    <row r="4341" spans="1:8">
      <c r="A4341" s="30" t="s">
        <v>17892</v>
      </c>
      <c r="B4341" s="30"/>
      <c r="C4341" s="30" t="s">
        <v>8607</v>
      </c>
      <c r="D4341" s="30"/>
      <c r="E4341" s="30"/>
      <c r="F4341" s="30"/>
      <c r="G4341" s="30" t="s">
        <v>17327</v>
      </c>
      <c r="H4341" s="30" t="s">
        <v>17328</v>
      </c>
    </row>
    <row r="4342" spans="1:8">
      <c r="A4342" s="30" t="s">
        <v>17893</v>
      </c>
      <c r="B4342" s="30"/>
      <c r="C4342" s="30" t="s">
        <v>8607</v>
      </c>
      <c r="D4342" s="30"/>
      <c r="E4342" s="30" t="s">
        <v>17794</v>
      </c>
      <c r="F4342" s="30" t="s">
        <v>8672</v>
      </c>
      <c r="G4342" s="30" t="s">
        <v>17331</v>
      </c>
      <c r="H4342" s="30" t="s">
        <v>17332</v>
      </c>
    </row>
    <row r="4343" spans="1:8">
      <c r="A4343" s="30" t="s">
        <v>17894</v>
      </c>
      <c r="B4343" s="30"/>
      <c r="C4343" s="30" t="s">
        <v>8607</v>
      </c>
      <c r="D4343" s="30" t="s">
        <v>17447</v>
      </c>
      <c r="E4343" s="30" t="s">
        <v>17895</v>
      </c>
      <c r="F4343" s="30" t="s">
        <v>8672</v>
      </c>
      <c r="G4343" s="30" t="s">
        <v>9002</v>
      </c>
      <c r="H4343" s="30" t="s">
        <v>17896</v>
      </c>
    </row>
    <row r="4344" spans="1:8">
      <c r="A4344" s="30" t="s">
        <v>17897</v>
      </c>
      <c r="B4344" s="30"/>
      <c r="C4344" s="30" t="s">
        <v>8607</v>
      </c>
      <c r="D4344" s="30" t="s">
        <v>17376</v>
      </c>
      <c r="E4344" s="30" t="s">
        <v>17720</v>
      </c>
      <c r="F4344" s="30" t="e">
        <v>#VALUE!</v>
      </c>
      <c r="G4344" s="30" t="s">
        <v>17721</v>
      </c>
      <c r="H4344" s="30" t="s">
        <v>17297</v>
      </c>
    </row>
    <row r="4345" spans="1:8">
      <c r="A4345" s="30" t="s">
        <v>17898</v>
      </c>
      <c r="B4345" s="30"/>
      <c r="C4345" s="30" t="s">
        <v>8607</v>
      </c>
      <c r="D4345" s="30"/>
      <c r="E4345" s="30"/>
      <c r="F4345" s="30"/>
      <c r="G4345" s="30"/>
      <c r="H4345" s="30" t="s">
        <v>17899</v>
      </c>
    </row>
    <row r="4346" spans="1:8">
      <c r="A4346" s="30" t="s">
        <v>17900</v>
      </c>
      <c r="B4346" s="30"/>
      <c r="C4346" s="30" t="s">
        <v>8626</v>
      </c>
      <c r="D4346" s="30"/>
      <c r="E4346" s="30" t="s">
        <v>17901</v>
      </c>
      <c r="F4346" s="30" t="s">
        <v>8618</v>
      </c>
      <c r="G4346" s="30" t="s">
        <v>9018</v>
      </c>
      <c r="H4346" s="30" t="s">
        <v>17902</v>
      </c>
    </row>
    <row r="4347" spans="1:8">
      <c r="A4347" s="30" t="s">
        <v>17903</v>
      </c>
      <c r="B4347" s="30"/>
      <c r="C4347" s="30" t="s">
        <v>8607</v>
      </c>
      <c r="D4347" s="30"/>
      <c r="E4347" s="30"/>
      <c r="F4347" s="30"/>
      <c r="G4347" s="30" t="s">
        <v>17412</v>
      </c>
      <c r="H4347" s="30" t="s">
        <v>17413</v>
      </c>
    </row>
    <row r="4348" spans="1:8">
      <c r="A4348" s="30" t="s">
        <v>17904</v>
      </c>
      <c r="B4348" s="30"/>
      <c r="C4348" s="30" t="s">
        <v>8607</v>
      </c>
      <c r="D4348" s="30"/>
      <c r="E4348" s="30"/>
      <c r="F4348" s="30"/>
      <c r="G4348" s="30"/>
      <c r="H4348" s="30" t="s">
        <v>17415</v>
      </c>
    </row>
    <row r="4349" spans="1:8">
      <c r="A4349" s="30" t="s">
        <v>17905</v>
      </c>
      <c r="B4349" s="30"/>
      <c r="C4349" s="30" t="s">
        <v>8626</v>
      </c>
      <c r="D4349" s="30" t="s">
        <v>17723</v>
      </c>
      <c r="E4349" s="30"/>
      <c r="F4349" s="30"/>
      <c r="G4349" s="30" t="s">
        <v>17621</v>
      </c>
      <c r="H4349" s="30" t="s">
        <v>17906</v>
      </c>
    </row>
    <row r="4350" spans="1:8">
      <c r="A4350" s="30" t="s">
        <v>17907</v>
      </c>
      <c r="B4350" s="30"/>
      <c r="C4350" s="30"/>
      <c r="D4350" s="32"/>
      <c r="E4350" s="30"/>
      <c r="F4350" s="30"/>
      <c r="G4350" s="30"/>
      <c r="H4350" s="30" t="s">
        <v>17726</v>
      </c>
    </row>
    <row r="4351" spans="1:8">
      <c r="A4351" s="30" t="s">
        <v>17908</v>
      </c>
      <c r="B4351" s="30"/>
      <c r="C4351" s="30" t="s">
        <v>8626</v>
      </c>
      <c r="D4351" s="30" t="s">
        <v>17909</v>
      </c>
      <c r="E4351" s="30" t="s">
        <v>17910</v>
      </c>
      <c r="F4351" s="30" t="s">
        <v>8618</v>
      </c>
      <c r="G4351" s="30" t="s">
        <v>12982</v>
      </c>
      <c r="H4351" s="30" t="s">
        <v>17911</v>
      </c>
    </row>
    <row r="4352" spans="1:8">
      <c r="A4352" s="30" t="s">
        <v>17912</v>
      </c>
      <c r="B4352" s="30"/>
      <c r="C4352" s="30"/>
      <c r="D4352" s="32"/>
      <c r="E4352" s="30"/>
      <c r="F4352" s="30"/>
      <c r="G4352" s="30"/>
      <c r="H4352" s="30" t="s">
        <v>17819</v>
      </c>
    </row>
    <row r="4353" spans="1:8">
      <c r="A4353" s="30" t="s">
        <v>17913</v>
      </c>
      <c r="B4353" s="30"/>
      <c r="C4353" s="30" t="s">
        <v>8626</v>
      </c>
      <c r="D4353" s="30"/>
      <c r="E4353" s="30"/>
      <c r="F4353" s="30"/>
      <c r="G4353" s="30" t="s">
        <v>17824</v>
      </c>
      <c r="H4353" s="30" t="s">
        <v>17914</v>
      </c>
    </row>
    <row r="4354" spans="1:8">
      <c r="A4354" s="30" t="s">
        <v>17915</v>
      </c>
      <c r="B4354" s="30"/>
      <c r="C4354" s="30" t="s">
        <v>8607</v>
      </c>
      <c r="D4354" s="30"/>
      <c r="E4354" s="30" t="s">
        <v>17916</v>
      </c>
      <c r="F4354" s="30" t="e">
        <v>#VALUE!</v>
      </c>
      <c r="G4354" s="30"/>
      <c r="H4354" s="30" t="s">
        <v>17828</v>
      </c>
    </row>
    <row r="4355" spans="1:8">
      <c r="A4355" s="30" t="s">
        <v>17917</v>
      </c>
      <c r="B4355" s="30"/>
      <c r="C4355" s="30" t="s">
        <v>8626</v>
      </c>
      <c r="D4355" s="30"/>
      <c r="E4355" s="30"/>
      <c r="F4355" s="30"/>
      <c r="G4355" s="30" t="s">
        <v>17830</v>
      </c>
      <c r="H4355" s="30" t="s">
        <v>17918</v>
      </c>
    </row>
    <row r="4356" spans="1:8">
      <c r="A4356" s="30" t="s">
        <v>17919</v>
      </c>
      <c r="B4356" s="30"/>
      <c r="C4356" s="30" t="s">
        <v>8607</v>
      </c>
      <c r="D4356" s="30"/>
      <c r="E4356" s="30"/>
      <c r="F4356" s="30"/>
      <c r="G4356" s="30" t="s">
        <v>17920</v>
      </c>
      <c r="H4356" s="30" t="s">
        <v>17921</v>
      </c>
    </row>
    <row r="4357" spans="1:8">
      <c r="A4357" s="30" t="s">
        <v>17922</v>
      </c>
      <c r="B4357" s="30"/>
      <c r="C4357" s="30" t="s">
        <v>8607</v>
      </c>
      <c r="D4357" s="30"/>
      <c r="E4357" s="30"/>
      <c r="F4357" s="30"/>
      <c r="G4357" s="30"/>
      <c r="H4357" s="30" t="s">
        <v>17833</v>
      </c>
    </row>
    <row r="4358" spans="1:8">
      <c r="A4358" s="30" t="s">
        <v>17923</v>
      </c>
      <c r="B4358" s="30"/>
      <c r="C4358" s="30" t="s">
        <v>8626</v>
      </c>
      <c r="D4358" s="30"/>
      <c r="E4358" s="30"/>
      <c r="F4358" s="30"/>
      <c r="G4358" s="30" t="s">
        <v>17835</v>
      </c>
      <c r="H4358" s="30" t="s">
        <v>17924</v>
      </c>
    </row>
    <row r="4359" spans="1:8">
      <c r="A4359" s="30" t="s">
        <v>17925</v>
      </c>
      <c r="B4359" s="30"/>
      <c r="C4359" s="30" t="s">
        <v>8626</v>
      </c>
      <c r="D4359" s="30"/>
      <c r="E4359" s="30"/>
      <c r="F4359" s="30"/>
      <c r="G4359" s="30" t="s">
        <v>9018</v>
      </c>
      <c r="H4359" s="30" t="s">
        <v>17926</v>
      </c>
    </row>
    <row r="4360" spans="1:8">
      <c r="A4360" s="30" t="s">
        <v>17927</v>
      </c>
      <c r="B4360" s="30"/>
      <c r="C4360" s="30" t="s">
        <v>8607</v>
      </c>
      <c r="D4360" s="30"/>
      <c r="E4360" s="30"/>
      <c r="F4360" s="30"/>
      <c r="G4360" s="30" t="s">
        <v>17928</v>
      </c>
      <c r="H4360" s="30" t="s">
        <v>17929</v>
      </c>
    </row>
    <row r="4361" spans="1:8">
      <c r="A4361" s="30" t="s">
        <v>17930</v>
      </c>
      <c r="B4361" s="30"/>
      <c r="C4361" s="30" t="s">
        <v>8607</v>
      </c>
      <c r="D4361" s="30" t="s">
        <v>17447</v>
      </c>
      <c r="E4361" s="30" t="s">
        <v>17895</v>
      </c>
      <c r="F4361" s="30" t="s">
        <v>8672</v>
      </c>
      <c r="G4361" s="30" t="s">
        <v>9002</v>
      </c>
      <c r="H4361" s="30" t="s">
        <v>17896</v>
      </c>
    </row>
    <row r="4362" spans="1:8">
      <c r="A4362" s="30" t="s">
        <v>17931</v>
      </c>
      <c r="B4362" s="30"/>
      <c r="C4362" s="30" t="s">
        <v>8607</v>
      </c>
      <c r="D4362" s="30"/>
      <c r="E4362" s="30"/>
      <c r="F4362" s="30"/>
      <c r="G4362" s="30" t="s">
        <v>17932</v>
      </c>
      <c r="H4362" s="30" t="s">
        <v>17933</v>
      </c>
    </row>
    <row r="4363" spans="1:8">
      <c r="A4363" s="30" t="s">
        <v>17934</v>
      </c>
      <c r="B4363" s="30"/>
      <c r="C4363" s="30" t="s">
        <v>8607</v>
      </c>
      <c r="D4363" s="30"/>
      <c r="E4363" s="30"/>
      <c r="F4363" s="30"/>
      <c r="G4363" s="30"/>
      <c r="H4363" s="30" t="s">
        <v>17839</v>
      </c>
    </row>
    <row r="4364" spans="1:8">
      <c r="A4364" s="30" t="s">
        <v>17935</v>
      </c>
      <c r="B4364" s="30"/>
      <c r="C4364" s="30" t="s">
        <v>8607</v>
      </c>
      <c r="D4364" s="30" t="s">
        <v>17841</v>
      </c>
      <c r="E4364" s="30" t="s">
        <v>17842</v>
      </c>
      <c r="F4364" s="30" t="e">
        <v>#VALUE!</v>
      </c>
      <c r="G4364" s="30" t="s">
        <v>17843</v>
      </c>
      <c r="H4364" s="30" t="s">
        <v>17844</v>
      </c>
    </row>
    <row r="4365" spans="1:8">
      <c r="A4365" s="30" t="s">
        <v>17936</v>
      </c>
      <c r="B4365" s="30"/>
      <c r="C4365" s="30" t="s">
        <v>8607</v>
      </c>
      <c r="D4365" s="30"/>
      <c r="E4365" s="30" t="s">
        <v>17787</v>
      </c>
      <c r="F4365" s="30" t="e">
        <v>#VALUE!</v>
      </c>
      <c r="G4365" s="30" t="s">
        <v>17349</v>
      </c>
      <c r="H4365" s="30" t="s">
        <v>17788</v>
      </c>
    </row>
    <row r="4366" spans="1:8">
      <c r="A4366" s="30" t="s">
        <v>17937</v>
      </c>
      <c r="B4366" s="30"/>
      <c r="C4366" s="30" t="s">
        <v>8607</v>
      </c>
      <c r="D4366" s="30"/>
      <c r="E4366" s="30"/>
      <c r="F4366" s="30"/>
      <c r="G4366" s="30" t="s">
        <v>17874</v>
      </c>
      <c r="H4366" s="30" t="s">
        <v>17875</v>
      </c>
    </row>
    <row r="4367" spans="1:8">
      <c r="A4367" s="30" t="s">
        <v>17938</v>
      </c>
      <c r="B4367" s="30"/>
      <c r="C4367" s="30" t="s">
        <v>8607</v>
      </c>
      <c r="D4367" s="30" t="s">
        <v>17877</v>
      </c>
      <c r="E4367" s="30" t="s">
        <v>17939</v>
      </c>
      <c r="F4367" s="30" t="e">
        <v>#VALUE!</v>
      </c>
      <c r="G4367" s="30"/>
      <c r="H4367" s="30" t="s">
        <v>17879</v>
      </c>
    </row>
    <row r="4368" spans="1:8">
      <c r="A4368" s="30" t="s">
        <v>17940</v>
      </c>
      <c r="B4368" s="30"/>
      <c r="C4368" s="30" t="s">
        <v>8626</v>
      </c>
      <c r="D4368" s="30"/>
      <c r="E4368" s="30" t="s">
        <v>17941</v>
      </c>
      <c r="F4368" s="30" t="e">
        <v>#VALUE!</v>
      </c>
      <c r="G4368" s="30"/>
      <c r="H4368" s="30" t="s">
        <v>17942</v>
      </c>
    </row>
    <row r="4369" spans="1:8">
      <c r="A4369" s="30" t="s">
        <v>17943</v>
      </c>
      <c r="B4369" s="30"/>
      <c r="C4369" s="30" t="s">
        <v>8626</v>
      </c>
      <c r="D4369" s="30"/>
      <c r="E4369" s="30"/>
      <c r="F4369" s="30"/>
      <c r="G4369" s="30"/>
      <c r="H4369" s="30" t="s">
        <v>17323</v>
      </c>
    </row>
    <row r="4370" spans="1:8">
      <c r="A4370" s="30" t="s">
        <v>17944</v>
      </c>
      <c r="B4370" s="30"/>
      <c r="C4370" s="30" t="s">
        <v>8626</v>
      </c>
      <c r="D4370" s="30"/>
      <c r="E4370" s="30"/>
      <c r="F4370" s="30"/>
      <c r="G4370" s="30"/>
      <c r="H4370" s="30" t="s">
        <v>17945</v>
      </c>
    </row>
    <row r="4371" spans="1:8">
      <c r="A4371" s="30" t="s">
        <v>17946</v>
      </c>
      <c r="B4371" s="30"/>
      <c r="C4371" s="30" t="s">
        <v>8607</v>
      </c>
      <c r="D4371" s="30"/>
      <c r="E4371" s="30" t="s">
        <v>17794</v>
      </c>
      <c r="F4371" s="30" t="s">
        <v>8672</v>
      </c>
      <c r="G4371" s="30" t="s">
        <v>17331</v>
      </c>
      <c r="H4371" s="30" t="s">
        <v>17332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092A8-B9C2-A141-99F9-CCDB0D26593C}">
  <dimension ref="A1:G10238"/>
  <sheetViews>
    <sheetView workbookViewId="0">
      <selection sqref="A1:G10238"/>
    </sheetView>
  </sheetViews>
  <sheetFormatPr baseColWidth="10" defaultRowHeight="16"/>
  <sheetData>
    <row r="1" spans="1:7">
      <c r="A1" s="26" t="s">
        <v>8598</v>
      </c>
      <c r="B1" s="26" t="s">
        <v>8600</v>
      </c>
      <c r="C1" s="26" t="s">
        <v>8601</v>
      </c>
      <c r="D1" s="26" t="s">
        <v>8602</v>
      </c>
      <c r="E1" s="26" t="s">
        <v>17947</v>
      </c>
      <c r="F1" s="26" t="s">
        <v>8604</v>
      </c>
      <c r="G1" s="26" t="s">
        <v>8605</v>
      </c>
    </row>
    <row r="2" spans="1:7">
      <c r="A2" t="s">
        <v>17948</v>
      </c>
      <c r="B2" t="s">
        <v>8626</v>
      </c>
      <c r="C2" t="s">
        <v>17949</v>
      </c>
      <c r="D2" s="34" t="s">
        <v>17950</v>
      </c>
      <c r="E2" t="s">
        <v>8618</v>
      </c>
      <c r="F2" t="s">
        <v>17951</v>
      </c>
      <c r="G2" t="s">
        <v>17952</v>
      </c>
    </row>
    <row r="3" spans="1:7">
      <c r="A3" t="s">
        <v>17953</v>
      </c>
      <c r="B3" t="s">
        <v>8626</v>
      </c>
      <c r="C3" t="s">
        <v>17954</v>
      </c>
      <c r="D3" s="34" t="s">
        <v>17955</v>
      </c>
      <c r="E3" t="s">
        <v>8618</v>
      </c>
      <c r="F3" t="s">
        <v>17951</v>
      </c>
      <c r="G3" t="s">
        <v>17956</v>
      </c>
    </row>
    <row r="4" spans="1:7">
      <c r="A4" t="s">
        <v>17957</v>
      </c>
      <c r="B4" t="s">
        <v>8626</v>
      </c>
      <c r="C4" t="s">
        <v>17954</v>
      </c>
      <c r="D4" s="34" t="s">
        <v>17955</v>
      </c>
      <c r="E4" t="s">
        <v>8618</v>
      </c>
      <c r="F4" t="s">
        <v>17951</v>
      </c>
      <c r="G4" t="s">
        <v>17956</v>
      </c>
    </row>
    <row r="5" spans="1:7">
      <c r="A5" t="s">
        <v>17958</v>
      </c>
      <c r="B5" t="s">
        <v>8626</v>
      </c>
      <c r="C5" t="s">
        <v>17959</v>
      </c>
      <c r="D5" s="34" t="s">
        <v>17960</v>
      </c>
      <c r="E5" t="s">
        <v>8618</v>
      </c>
      <c r="F5" t="s">
        <v>17951</v>
      </c>
      <c r="G5" t="s">
        <v>17952</v>
      </c>
    </row>
    <row r="6" spans="1:7">
      <c r="A6" t="s">
        <v>17961</v>
      </c>
      <c r="B6" t="s">
        <v>8626</v>
      </c>
      <c r="C6" t="s">
        <v>17962</v>
      </c>
      <c r="D6" s="34" t="s">
        <v>17963</v>
      </c>
      <c r="E6" t="s">
        <v>8618</v>
      </c>
      <c r="F6" t="s">
        <v>17951</v>
      </c>
      <c r="G6" t="s">
        <v>17964</v>
      </c>
    </row>
    <row r="7" spans="1:7">
      <c r="A7" t="s">
        <v>17965</v>
      </c>
      <c r="B7" t="s">
        <v>8626</v>
      </c>
      <c r="C7" t="s">
        <v>17966</v>
      </c>
      <c r="D7" s="34" t="s">
        <v>17967</v>
      </c>
      <c r="E7" t="s">
        <v>8618</v>
      </c>
      <c r="G7" t="s">
        <v>17968</v>
      </c>
    </row>
    <row r="8" spans="1:7">
      <c r="A8" t="s">
        <v>17969</v>
      </c>
      <c r="B8" t="s">
        <v>8626</v>
      </c>
      <c r="C8" t="s">
        <v>17970</v>
      </c>
      <c r="D8" s="34" t="s">
        <v>17971</v>
      </c>
      <c r="E8" t="s">
        <v>8618</v>
      </c>
      <c r="G8" t="s">
        <v>17972</v>
      </c>
    </row>
    <row r="9" spans="1:7">
      <c r="A9" t="s">
        <v>17973</v>
      </c>
      <c r="B9" t="s">
        <v>8626</v>
      </c>
      <c r="C9" t="s">
        <v>17974</v>
      </c>
      <c r="D9" s="34" t="s">
        <v>17975</v>
      </c>
      <c r="E9" t="s">
        <v>8618</v>
      </c>
      <c r="F9" t="s">
        <v>17976</v>
      </c>
      <c r="G9" t="s">
        <v>17977</v>
      </c>
    </row>
    <row r="10" spans="1:7">
      <c r="A10" t="s">
        <v>17978</v>
      </c>
      <c r="B10" t="s">
        <v>8626</v>
      </c>
      <c r="C10" t="s">
        <v>17974</v>
      </c>
      <c r="D10" s="34" t="s">
        <v>17975</v>
      </c>
      <c r="E10" t="s">
        <v>8618</v>
      </c>
      <c r="F10" t="s">
        <v>17976</v>
      </c>
      <c r="G10" t="s">
        <v>17977</v>
      </c>
    </row>
    <row r="11" spans="1:7">
      <c r="A11" t="s">
        <v>17979</v>
      </c>
      <c r="B11" t="s">
        <v>8607</v>
      </c>
      <c r="D11" s="34" t="s">
        <v>17980</v>
      </c>
      <c r="E11" t="s">
        <v>8618</v>
      </c>
      <c r="F11" t="s">
        <v>17976</v>
      </c>
      <c r="G11" t="s">
        <v>17981</v>
      </c>
    </row>
    <row r="12" spans="1:7">
      <c r="A12" t="s">
        <v>17982</v>
      </c>
      <c r="B12" t="s">
        <v>8607</v>
      </c>
      <c r="D12" s="34" t="s">
        <v>17983</v>
      </c>
      <c r="E12" t="s">
        <v>8618</v>
      </c>
      <c r="F12" t="s">
        <v>17976</v>
      </c>
      <c r="G12" t="s">
        <v>17984</v>
      </c>
    </row>
    <row r="13" spans="1:7">
      <c r="A13" t="s">
        <v>17985</v>
      </c>
      <c r="B13" t="s">
        <v>8626</v>
      </c>
      <c r="C13" t="s">
        <v>17974</v>
      </c>
      <c r="D13" s="34" t="s">
        <v>17986</v>
      </c>
      <c r="E13" t="s">
        <v>8618</v>
      </c>
      <c r="F13" t="s">
        <v>17976</v>
      </c>
      <c r="G13" t="s">
        <v>17987</v>
      </c>
    </row>
    <row r="14" spans="1:7">
      <c r="A14" t="s">
        <v>17988</v>
      </c>
      <c r="B14" t="s">
        <v>8626</v>
      </c>
      <c r="C14" t="s">
        <v>17989</v>
      </c>
      <c r="D14" s="34" t="s">
        <v>17990</v>
      </c>
      <c r="E14" t="s">
        <v>8618</v>
      </c>
      <c r="F14" t="s">
        <v>17976</v>
      </c>
      <c r="G14" t="s">
        <v>17991</v>
      </c>
    </row>
    <row r="15" spans="1:7">
      <c r="A15" t="s">
        <v>17992</v>
      </c>
      <c r="B15" t="s">
        <v>8626</v>
      </c>
      <c r="C15" t="s">
        <v>17993</v>
      </c>
      <c r="D15" s="34" t="s">
        <v>17994</v>
      </c>
      <c r="E15" t="s">
        <v>8618</v>
      </c>
      <c r="F15" t="s">
        <v>17976</v>
      </c>
      <c r="G15" t="s">
        <v>17995</v>
      </c>
    </row>
    <row r="16" spans="1:7">
      <c r="A16" t="s">
        <v>17996</v>
      </c>
      <c r="B16" t="s">
        <v>8626</v>
      </c>
      <c r="C16" t="s">
        <v>17997</v>
      </c>
      <c r="D16" s="34" t="s">
        <v>17998</v>
      </c>
      <c r="E16" t="s">
        <v>8618</v>
      </c>
      <c r="F16" t="s">
        <v>17999</v>
      </c>
      <c r="G16" t="s">
        <v>18000</v>
      </c>
    </row>
    <row r="17" spans="1:7">
      <c r="A17" t="s">
        <v>18001</v>
      </c>
      <c r="B17" t="s">
        <v>8607</v>
      </c>
      <c r="C17" t="s">
        <v>17997</v>
      </c>
      <c r="D17" s="34" t="s">
        <v>17998</v>
      </c>
      <c r="E17" t="s">
        <v>8618</v>
      </c>
      <c r="F17" t="s">
        <v>17999</v>
      </c>
      <c r="G17" t="s">
        <v>18002</v>
      </c>
    </row>
    <row r="18" spans="1:7">
      <c r="A18" t="s">
        <v>18003</v>
      </c>
      <c r="B18" t="s">
        <v>8607</v>
      </c>
      <c r="C18" t="s">
        <v>17997</v>
      </c>
      <c r="D18" s="34" t="s">
        <v>17998</v>
      </c>
      <c r="E18" t="s">
        <v>8618</v>
      </c>
      <c r="F18" t="s">
        <v>17999</v>
      </c>
      <c r="G18" t="s">
        <v>18004</v>
      </c>
    </row>
    <row r="19" spans="1:7">
      <c r="A19" t="s">
        <v>18005</v>
      </c>
      <c r="B19" t="s">
        <v>8607</v>
      </c>
      <c r="C19" t="s">
        <v>17997</v>
      </c>
      <c r="D19" s="34" t="s">
        <v>17998</v>
      </c>
      <c r="E19" t="s">
        <v>8618</v>
      </c>
      <c r="F19" t="s">
        <v>17999</v>
      </c>
      <c r="G19" t="s">
        <v>18006</v>
      </c>
    </row>
    <row r="20" spans="1:7">
      <c r="A20" t="s">
        <v>18007</v>
      </c>
      <c r="B20" t="s">
        <v>8626</v>
      </c>
      <c r="D20" s="34" t="s">
        <v>18008</v>
      </c>
      <c r="E20" t="s">
        <v>8618</v>
      </c>
      <c r="F20" t="s">
        <v>18009</v>
      </c>
      <c r="G20" t="s">
        <v>18010</v>
      </c>
    </row>
    <row r="21" spans="1:7">
      <c r="A21" t="s">
        <v>18011</v>
      </c>
      <c r="B21" t="s">
        <v>8626</v>
      </c>
      <c r="D21" s="34" t="s">
        <v>18008</v>
      </c>
      <c r="E21" t="s">
        <v>8618</v>
      </c>
      <c r="F21" t="s">
        <v>18009</v>
      </c>
      <c r="G21" t="s">
        <v>18012</v>
      </c>
    </row>
    <row r="22" spans="1:7">
      <c r="A22" t="s">
        <v>18013</v>
      </c>
      <c r="B22" t="s">
        <v>8626</v>
      </c>
      <c r="D22" s="34" t="s">
        <v>18008</v>
      </c>
      <c r="E22" t="s">
        <v>8618</v>
      </c>
      <c r="F22" t="s">
        <v>18009</v>
      </c>
      <c r="G22" t="s">
        <v>18014</v>
      </c>
    </row>
    <row r="23" spans="1:7">
      <c r="A23" t="s">
        <v>18015</v>
      </c>
      <c r="B23" t="s">
        <v>8626</v>
      </c>
      <c r="D23" s="34" t="s">
        <v>18016</v>
      </c>
      <c r="E23" t="s">
        <v>8618</v>
      </c>
      <c r="F23" t="s">
        <v>15202</v>
      </c>
      <c r="G23" t="s">
        <v>18017</v>
      </c>
    </row>
    <row r="24" spans="1:7">
      <c r="A24" t="s">
        <v>18018</v>
      </c>
      <c r="B24" t="s">
        <v>8607</v>
      </c>
      <c r="C24" t="s">
        <v>18019</v>
      </c>
      <c r="D24" s="34" t="s">
        <v>18020</v>
      </c>
      <c r="E24" t="s">
        <v>8618</v>
      </c>
      <c r="G24" t="s">
        <v>18021</v>
      </c>
    </row>
    <row r="25" spans="1:7">
      <c r="A25" t="s">
        <v>18022</v>
      </c>
      <c r="B25" t="s">
        <v>8607</v>
      </c>
      <c r="C25" t="s">
        <v>18019</v>
      </c>
      <c r="D25" s="34" t="s">
        <v>18020</v>
      </c>
      <c r="E25" t="s">
        <v>8618</v>
      </c>
      <c r="G25" t="s">
        <v>18021</v>
      </c>
    </row>
    <row r="26" spans="1:7">
      <c r="A26" t="s">
        <v>18023</v>
      </c>
      <c r="B26" t="s">
        <v>8607</v>
      </c>
      <c r="C26" t="s">
        <v>18024</v>
      </c>
      <c r="D26" s="34" t="s">
        <v>18025</v>
      </c>
      <c r="E26" t="s">
        <v>8618</v>
      </c>
      <c r="G26" t="s">
        <v>18021</v>
      </c>
    </row>
    <row r="27" spans="1:7">
      <c r="A27" t="s">
        <v>18026</v>
      </c>
      <c r="B27" t="s">
        <v>8607</v>
      </c>
      <c r="C27" t="s">
        <v>18027</v>
      </c>
      <c r="D27" s="34" t="s">
        <v>18028</v>
      </c>
      <c r="E27" t="s">
        <v>8618</v>
      </c>
      <c r="F27" t="s">
        <v>10427</v>
      </c>
      <c r="G27" t="s">
        <v>18021</v>
      </c>
    </row>
    <row r="28" spans="1:7">
      <c r="A28" t="s">
        <v>18029</v>
      </c>
      <c r="B28" t="s">
        <v>8607</v>
      </c>
      <c r="C28" t="s">
        <v>18030</v>
      </c>
      <c r="D28" s="34" t="s">
        <v>18031</v>
      </c>
      <c r="E28" t="s">
        <v>8618</v>
      </c>
      <c r="F28" t="s">
        <v>10427</v>
      </c>
      <c r="G28" t="s">
        <v>18021</v>
      </c>
    </row>
    <row r="29" spans="1:7">
      <c r="A29" t="s">
        <v>18032</v>
      </c>
      <c r="B29" t="s">
        <v>8607</v>
      </c>
      <c r="C29" t="s">
        <v>18024</v>
      </c>
      <c r="D29" s="34" t="s">
        <v>18033</v>
      </c>
      <c r="E29" t="s">
        <v>8618</v>
      </c>
      <c r="G29" t="s">
        <v>18021</v>
      </c>
    </row>
    <row r="30" spans="1:7">
      <c r="A30" t="s">
        <v>18034</v>
      </c>
      <c r="B30" t="s">
        <v>8607</v>
      </c>
      <c r="C30" t="s">
        <v>18024</v>
      </c>
      <c r="D30" s="34" t="s">
        <v>18033</v>
      </c>
      <c r="E30" t="s">
        <v>8618</v>
      </c>
      <c r="G30" t="s">
        <v>18021</v>
      </c>
    </row>
    <row r="31" spans="1:7">
      <c r="A31" t="s">
        <v>18035</v>
      </c>
      <c r="B31" t="s">
        <v>8607</v>
      </c>
      <c r="C31" t="s">
        <v>11048</v>
      </c>
      <c r="D31" s="34" t="s">
        <v>18033</v>
      </c>
      <c r="E31" t="s">
        <v>8618</v>
      </c>
      <c r="G31" t="s">
        <v>18021</v>
      </c>
    </row>
    <row r="32" spans="1:7">
      <c r="A32" t="s">
        <v>18036</v>
      </c>
      <c r="B32" t="s">
        <v>8607</v>
      </c>
      <c r="C32" t="s">
        <v>18019</v>
      </c>
      <c r="D32" s="34" t="s">
        <v>18037</v>
      </c>
      <c r="E32" t="s">
        <v>8618</v>
      </c>
      <c r="G32" t="s">
        <v>18021</v>
      </c>
    </row>
    <row r="33" spans="1:7">
      <c r="A33" t="s">
        <v>18038</v>
      </c>
      <c r="B33" t="s">
        <v>8607</v>
      </c>
      <c r="C33" t="s">
        <v>18027</v>
      </c>
      <c r="D33" s="34" t="s">
        <v>18037</v>
      </c>
      <c r="E33" t="s">
        <v>8618</v>
      </c>
      <c r="G33" t="s">
        <v>18021</v>
      </c>
    </row>
    <row r="34" spans="1:7">
      <c r="A34" t="s">
        <v>18039</v>
      </c>
      <c r="B34" t="s">
        <v>8607</v>
      </c>
      <c r="C34" t="s">
        <v>18027</v>
      </c>
      <c r="D34" s="34" t="s">
        <v>18040</v>
      </c>
      <c r="E34" t="s">
        <v>8618</v>
      </c>
      <c r="F34" t="s">
        <v>10427</v>
      </c>
      <c r="G34" t="s">
        <v>18021</v>
      </c>
    </row>
    <row r="35" spans="1:7">
      <c r="A35" t="s">
        <v>18041</v>
      </c>
      <c r="B35" t="s">
        <v>8607</v>
      </c>
      <c r="C35" t="s">
        <v>18042</v>
      </c>
      <c r="D35" s="34" t="s">
        <v>18043</v>
      </c>
      <c r="E35" t="s">
        <v>8618</v>
      </c>
      <c r="G35" t="s">
        <v>18021</v>
      </c>
    </row>
    <row r="36" spans="1:7">
      <c r="A36" t="s">
        <v>18044</v>
      </c>
      <c r="B36" t="s">
        <v>8607</v>
      </c>
      <c r="C36" t="s">
        <v>18042</v>
      </c>
      <c r="D36" s="34" t="s">
        <v>18043</v>
      </c>
      <c r="E36" t="s">
        <v>8618</v>
      </c>
      <c r="G36" t="s">
        <v>18021</v>
      </c>
    </row>
    <row r="37" spans="1:7">
      <c r="A37" t="s">
        <v>18045</v>
      </c>
      <c r="B37" t="s">
        <v>8607</v>
      </c>
      <c r="D37" s="34" t="s">
        <v>18046</v>
      </c>
      <c r="E37" t="s">
        <v>8618</v>
      </c>
      <c r="F37" t="s">
        <v>18047</v>
      </c>
      <c r="G37" t="s">
        <v>18048</v>
      </c>
    </row>
    <row r="38" spans="1:7">
      <c r="A38" t="s">
        <v>18049</v>
      </c>
      <c r="B38" t="s">
        <v>8607</v>
      </c>
      <c r="C38" t="s">
        <v>18050</v>
      </c>
      <c r="D38" s="34" t="s">
        <v>18051</v>
      </c>
      <c r="E38" t="s">
        <v>8618</v>
      </c>
      <c r="F38" t="s">
        <v>10427</v>
      </c>
      <c r="G38" t="s">
        <v>18021</v>
      </c>
    </row>
    <row r="39" spans="1:7">
      <c r="A39" t="s">
        <v>18052</v>
      </c>
      <c r="B39" t="s">
        <v>8607</v>
      </c>
      <c r="C39" t="s">
        <v>18053</v>
      </c>
      <c r="D39" s="34" t="s">
        <v>18051</v>
      </c>
      <c r="E39" t="s">
        <v>8618</v>
      </c>
      <c r="G39" t="s">
        <v>18021</v>
      </c>
    </row>
    <row r="40" spans="1:7">
      <c r="A40" t="s">
        <v>18054</v>
      </c>
      <c r="B40" t="s">
        <v>8607</v>
      </c>
      <c r="C40" t="s">
        <v>18050</v>
      </c>
      <c r="D40" s="34" t="s">
        <v>18051</v>
      </c>
      <c r="E40" t="s">
        <v>8618</v>
      </c>
      <c r="F40" t="s">
        <v>10427</v>
      </c>
      <c r="G40" t="s">
        <v>18021</v>
      </c>
    </row>
    <row r="41" spans="1:7">
      <c r="A41" t="s">
        <v>18055</v>
      </c>
      <c r="B41" t="s">
        <v>8607</v>
      </c>
      <c r="C41" t="s">
        <v>11048</v>
      </c>
      <c r="D41" s="34" t="s">
        <v>18051</v>
      </c>
      <c r="E41" t="s">
        <v>8618</v>
      </c>
      <c r="G41" t="s">
        <v>18021</v>
      </c>
    </row>
    <row r="42" spans="1:7">
      <c r="A42" t="s">
        <v>18056</v>
      </c>
      <c r="B42" t="s">
        <v>8626</v>
      </c>
      <c r="D42" s="34" t="s">
        <v>18057</v>
      </c>
      <c r="E42" t="s">
        <v>8618</v>
      </c>
      <c r="F42" t="s">
        <v>10427</v>
      </c>
      <c r="G42" t="s">
        <v>18058</v>
      </c>
    </row>
    <row r="43" spans="1:7">
      <c r="A43" t="s">
        <v>18059</v>
      </c>
      <c r="B43" t="s">
        <v>8626</v>
      </c>
      <c r="C43" t="s">
        <v>18060</v>
      </c>
      <c r="D43" s="34" t="s">
        <v>18061</v>
      </c>
      <c r="E43" t="s">
        <v>8618</v>
      </c>
      <c r="F43" t="s">
        <v>18062</v>
      </c>
      <c r="G43" t="s">
        <v>18063</v>
      </c>
    </row>
    <row r="44" spans="1:7">
      <c r="A44" t="s">
        <v>18064</v>
      </c>
      <c r="B44" t="s">
        <v>8626</v>
      </c>
      <c r="C44" t="s">
        <v>18065</v>
      </c>
      <c r="D44" s="34" t="s">
        <v>18066</v>
      </c>
      <c r="E44" t="s">
        <v>8618</v>
      </c>
      <c r="F44" t="s">
        <v>18062</v>
      </c>
      <c r="G44" t="s">
        <v>18063</v>
      </c>
    </row>
    <row r="45" spans="1:7">
      <c r="A45" t="s">
        <v>18067</v>
      </c>
      <c r="B45" t="s">
        <v>8626</v>
      </c>
      <c r="C45" t="s">
        <v>18068</v>
      </c>
      <c r="D45" s="34" t="s">
        <v>18069</v>
      </c>
      <c r="E45" t="s">
        <v>8618</v>
      </c>
      <c r="F45" t="s">
        <v>18062</v>
      </c>
      <c r="G45" t="s">
        <v>18063</v>
      </c>
    </row>
    <row r="46" spans="1:7">
      <c r="A46" t="s">
        <v>18070</v>
      </c>
      <c r="B46" t="s">
        <v>8626</v>
      </c>
      <c r="C46" t="s">
        <v>18071</v>
      </c>
      <c r="D46" s="34" t="s">
        <v>18072</v>
      </c>
      <c r="E46" t="s">
        <v>8618</v>
      </c>
      <c r="F46" t="s">
        <v>18062</v>
      </c>
      <c r="G46" t="s">
        <v>18063</v>
      </c>
    </row>
    <row r="47" spans="1:7">
      <c r="A47" t="s">
        <v>18073</v>
      </c>
      <c r="B47" t="s">
        <v>8626</v>
      </c>
      <c r="C47" t="s">
        <v>18074</v>
      </c>
      <c r="D47" s="34" t="s">
        <v>18075</v>
      </c>
      <c r="E47" t="s">
        <v>8618</v>
      </c>
      <c r="F47" t="s">
        <v>9595</v>
      </c>
      <c r="G47" t="s">
        <v>18076</v>
      </c>
    </row>
    <row r="48" spans="1:7">
      <c r="A48" t="s">
        <v>18077</v>
      </c>
      <c r="B48" t="s">
        <v>8626</v>
      </c>
      <c r="C48" t="s">
        <v>18078</v>
      </c>
      <c r="D48" s="34" t="s">
        <v>18079</v>
      </c>
      <c r="E48" t="s">
        <v>8618</v>
      </c>
      <c r="F48" t="s">
        <v>9595</v>
      </c>
      <c r="G48" t="s">
        <v>18080</v>
      </c>
    </row>
    <row r="49" spans="1:7">
      <c r="A49" t="s">
        <v>18081</v>
      </c>
      <c r="B49" t="s">
        <v>8607</v>
      </c>
      <c r="C49" t="s">
        <v>18082</v>
      </c>
      <c r="D49" s="34" t="s">
        <v>18083</v>
      </c>
      <c r="E49" t="s">
        <v>8618</v>
      </c>
      <c r="F49" t="s">
        <v>18084</v>
      </c>
      <c r="G49" t="s">
        <v>18085</v>
      </c>
    </row>
    <row r="50" spans="1:7">
      <c r="A50" t="s">
        <v>18086</v>
      </c>
      <c r="B50" t="s">
        <v>8626</v>
      </c>
      <c r="C50" t="s">
        <v>18087</v>
      </c>
      <c r="D50" s="34" t="s">
        <v>18088</v>
      </c>
      <c r="E50" t="s">
        <v>8618</v>
      </c>
      <c r="F50" t="s">
        <v>18084</v>
      </c>
      <c r="G50" t="s">
        <v>18089</v>
      </c>
    </row>
    <row r="51" spans="1:7">
      <c r="A51" t="s">
        <v>18090</v>
      </c>
      <c r="B51" t="s">
        <v>8607</v>
      </c>
      <c r="C51" t="s">
        <v>18091</v>
      </c>
      <c r="D51" s="34" t="s">
        <v>18092</v>
      </c>
      <c r="E51" t="s">
        <v>8618</v>
      </c>
      <c r="G51" t="s">
        <v>18085</v>
      </c>
    </row>
    <row r="52" spans="1:7">
      <c r="A52" t="s">
        <v>18093</v>
      </c>
      <c r="B52" t="s">
        <v>8607</v>
      </c>
      <c r="D52" s="34" t="s">
        <v>18094</v>
      </c>
      <c r="E52" t="s">
        <v>8618</v>
      </c>
      <c r="F52" t="s">
        <v>18095</v>
      </c>
      <c r="G52" t="s">
        <v>18096</v>
      </c>
    </row>
    <row r="53" spans="1:7">
      <c r="A53" t="s">
        <v>18097</v>
      </c>
      <c r="B53" t="s">
        <v>8607</v>
      </c>
      <c r="D53" s="34" t="s">
        <v>18094</v>
      </c>
      <c r="E53" t="s">
        <v>8618</v>
      </c>
      <c r="F53" t="s">
        <v>18095</v>
      </c>
      <c r="G53" t="s">
        <v>18096</v>
      </c>
    </row>
    <row r="54" spans="1:7">
      <c r="A54" t="s">
        <v>18098</v>
      </c>
      <c r="B54" t="s">
        <v>8607</v>
      </c>
      <c r="D54" s="34" t="s">
        <v>18094</v>
      </c>
      <c r="E54" t="s">
        <v>8618</v>
      </c>
      <c r="F54" t="s">
        <v>18095</v>
      </c>
      <c r="G54" t="s">
        <v>18096</v>
      </c>
    </row>
    <row r="55" spans="1:7">
      <c r="A55" t="s">
        <v>18099</v>
      </c>
      <c r="B55" t="s">
        <v>8607</v>
      </c>
      <c r="D55" s="34" t="s">
        <v>18094</v>
      </c>
      <c r="E55" t="s">
        <v>8618</v>
      </c>
      <c r="F55" t="s">
        <v>18095</v>
      </c>
      <c r="G55" t="s">
        <v>18096</v>
      </c>
    </row>
    <row r="56" spans="1:7">
      <c r="A56" t="s">
        <v>18100</v>
      </c>
      <c r="B56" t="s">
        <v>8607</v>
      </c>
      <c r="D56" s="34" t="s">
        <v>18094</v>
      </c>
      <c r="E56" t="s">
        <v>8618</v>
      </c>
      <c r="F56" t="s">
        <v>18095</v>
      </c>
      <c r="G56" t="s">
        <v>18096</v>
      </c>
    </row>
    <row r="57" spans="1:7">
      <c r="A57" t="s">
        <v>18101</v>
      </c>
      <c r="B57" t="s">
        <v>8607</v>
      </c>
      <c r="C57" t="s">
        <v>18102</v>
      </c>
      <c r="D57" s="34" t="s">
        <v>18094</v>
      </c>
      <c r="E57" t="s">
        <v>8618</v>
      </c>
      <c r="F57" t="s">
        <v>18095</v>
      </c>
      <c r="G57" t="s">
        <v>18103</v>
      </c>
    </row>
    <row r="58" spans="1:7">
      <c r="A58" t="s">
        <v>18104</v>
      </c>
      <c r="B58" t="s">
        <v>8626</v>
      </c>
      <c r="D58" s="34" t="s">
        <v>18094</v>
      </c>
      <c r="E58" t="s">
        <v>8618</v>
      </c>
      <c r="F58" t="s">
        <v>18095</v>
      </c>
      <c r="G58" t="s">
        <v>18105</v>
      </c>
    </row>
    <row r="59" spans="1:7">
      <c r="A59" t="s">
        <v>18106</v>
      </c>
      <c r="B59" t="s">
        <v>8607</v>
      </c>
      <c r="D59" s="34" t="s">
        <v>18094</v>
      </c>
      <c r="E59" t="s">
        <v>8618</v>
      </c>
      <c r="F59" t="s">
        <v>18095</v>
      </c>
      <c r="G59" t="s">
        <v>18096</v>
      </c>
    </row>
    <row r="60" spans="1:7">
      <c r="A60" t="s">
        <v>18107</v>
      </c>
      <c r="B60" t="s">
        <v>8626</v>
      </c>
      <c r="D60" s="34" t="s">
        <v>18108</v>
      </c>
      <c r="E60" t="s">
        <v>8618</v>
      </c>
      <c r="F60" t="s">
        <v>9606</v>
      </c>
      <c r="G60" t="s">
        <v>18109</v>
      </c>
    </row>
    <row r="61" spans="1:7">
      <c r="A61" t="s">
        <v>18110</v>
      </c>
      <c r="B61" t="s">
        <v>8626</v>
      </c>
      <c r="D61" s="34" t="s">
        <v>18111</v>
      </c>
      <c r="E61" t="s">
        <v>8618</v>
      </c>
      <c r="F61" t="s">
        <v>9606</v>
      </c>
      <c r="G61" t="s">
        <v>18112</v>
      </c>
    </row>
    <row r="62" spans="1:7">
      <c r="A62" t="s">
        <v>18113</v>
      </c>
      <c r="B62" t="s">
        <v>8607</v>
      </c>
      <c r="D62" s="34" t="s">
        <v>18114</v>
      </c>
      <c r="E62" t="s">
        <v>8618</v>
      </c>
      <c r="G62" t="s">
        <v>18115</v>
      </c>
    </row>
    <row r="63" spans="1:7">
      <c r="A63" t="s">
        <v>18116</v>
      </c>
      <c r="B63" t="s">
        <v>8626</v>
      </c>
      <c r="C63" t="s">
        <v>18117</v>
      </c>
      <c r="D63" s="34" t="s">
        <v>18118</v>
      </c>
      <c r="E63" t="s">
        <v>8618</v>
      </c>
      <c r="F63" t="s">
        <v>15862</v>
      </c>
      <c r="G63" t="s">
        <v>18119</v>
      </c>
    </row>
    <row r="64" spans="1:7">
      <c r="A64" t="s">
        <v>18120</v>
      </c>
      <c r="B64" t="s">
        <v>8607</v>
      </c>
      <c r="C64" t="s">
        <v>18121</v>
      </c>
      <c r="D64" s="34" t="s">
        <v>18122</v>
      </c>
      <c r="E64" t="s">
        <v>8618</v>
      </c>
      <c r="F64" t="s">
        <v>18123</v>
      </c>
      <c r="G64" t="s">
        <v>18124</v>
      </c>
    </row>
    <row r="65" spans="1:7">
      <c r="A65" t="s">
        <v>18125</v>
      </c>
      <c r="B65" t="s">
        <v>8626</v>
      </c>
      <c r="C65" t="s">
        <v>18126</v>
      </c>
      <c r="D65" s="34" t="s">
        <v>18127</v>
      </c>
      <c r="E65" t="s">
        <v>8618</v>
      </c>
      <c r="G65" t="s">
        <v>18128</v>
      </c>
    </row>
    <row r="66" spans="1:7">
      <c r="A66" t="s">
        <v>18129</v>
      </c>
      <c r="D66" s="34" t="s">
        <v>18130</v>
      </c>
      <c r="E66" t="s">
        <v>8618</v>
      </c>
      <c r="G66" t="s">
        <v>18131</v>
      </c>
    </row>
    <row r="67" spans="1:7">
      <c r="A67" t="s">
        <v>18132</v>
      </c>
      <c r="B67" t="s">
        <v>8626</v>
      </c>
      <c r="C67" t="s">
        <v>18133</v>
      </c>
      <c r="D67" s="34" t="s">
        <v>18134</v>
      </c>
      <c r="E67" t="s">
        <v>8618</v>
      </c>
      <c r="G67" t="s">
        <v>18135</v>
      </c>
    </row>
    <row r="68" spans="1:7">
      <c r="A68" t="s">
        <v>18136</v>
      </c>
      <c r="B68" t="s">
        <v>8626</v>
      </c>
      <c r="C68" t="s">
        <v>18137</v>
      </c>
      <c r="D68" s="34" t="s">
        <v>18138</v>
      </c>
      <c r="E68" t="s">
        <v>8618</v>
      </c>
      <c r="G68" t="s">
        <v>18139</v>
      </c>
    </row>
    <row r="69" spans="1:7">
      <c r="A69" t="s">
        <v>18140</v>
      </c>
      <c r="B69" t="s">
        <v>8607</v>
      </c>
      <c r="C69" t="s">
        <v>18141</v>
      </c>
      <c r="D69" s="34" t="s">
        <v>18142</v>
      </c>
      <c r="E69" t="s">
        <v>8618</v>
      </c>
      <c r="F69" t="s">
        <v>18143</v>
      </c>
      <c r="G69" t="s">
        <v>18144</v>
      </c>
    </row>
    <row r="70" spans="1:7">
      <c r="A70" t="s">
        <v>18145</v>
      </c>
      <c r="B70" t="s">
        <v>8626</v>
      </c>
      <c r="C70" t="s">
        <v>18146</v>
      </c>
      <c r="D70" s="34" t="s">
        <v>18147</v>
      </c>
      <c r="E70" t="s">
        <v>8618</v>
      </c>
      <c r="G70" t="s">
        <v>18148</v>
      </c>
    </row>
    <row r="71" spans="1:7">
      <c r="A71" t="s">
        <v>18149</v>
      </c>
      <c r="B71" t="s">
        <v>8626</v>
      </c>
      <c r="C71" t="s">
        <v>18150</v>
      </c>
      <c r="D71" s="34" t="s">
        <v>18151</v>
      </c>
      <c r="E71" t="s">
        <v>8618</v>
      </c>
      <c r="F71" t="s">
        <v>18152</v>
      </c>
      <c r="G71" t="s">
        <v>18153</v>
      </c>
    </row>
    <row r="72" spans="1:7">
      <c r="A72" t="s">
        <v>18154</v>
      </c>
      <c r="B72" t="s">
        <v>8626</v>
      </c>
      <c r="C72" t="s">
        <v>18150</v>
      </c>
      <c r="D72" s="34" t="s">
        <v>18155</v>
      </c>
      <c r="E72" t="s">
        <v>8618</v>
      </c>
      <c r="F72" t="s">
        <v>18152</v>
      </c>
      <c r="G72" t="s">
        <v>18156</v>
      </c>
    </row>
    <row r="73" spans="1:7">
      <c r="A73" t="s">
        <v>18157</v>
      </c>
      <c r="B73" t="s">
        <v>8626</v>
      </c>
      <c r="C73" t="s">
        <v>18158</v>
      </c>
      <c r="D73" s="34" t="s">
        <v>18159</v>
      </c>
      <c r="E73" t="s">
        <v>8618</v>
      </c>
      <c r="F73" t="s">
        <v>18160</v>
      </c>
      <c r="G73" t="s">
        <v>18161</v>
      </c>
    </row>
    <row r="74" spans="1:7">
      <c r="A74" t="s">
        <v>18162</v>
      </c>
      <c r="B74" t="s">
        <v>8626</v>
      </c>
      <c r="D74" s="34" t="s">
        <v>18163</v>
      </c>
      <c r="E74" t="s">
        <v>8618</v>
      </c>
      <c r="F74" t="s">
        <v>9835</v>
      </c>
      <c r="G74" t="s">
        <v>18164</v>
      </c>
    </row>
    <row r="75" spans="1:7">
      <c r="A75" t="s">
        <v>18165</v>
      </c>
      <c r="B75" t="s">
        <v>8607</v>
      </c>
      <c r="C75" t="s">
        <v>18166</v>
      </c>
      <c r="D75" s="34" t="s">
        <v>18167</v>
      </c>
      <c r="E75" t="s">
        <v>8618</v>
      </c>
      <c r="F75" t="s">
        <v>9835</v>
      </c>
      <c r="G75" t="s">
        <v>18168</v>
      </c>
    </row>
    <row r="76" spans="1:7">
      <c r="A76" t="s">
        <v>18169</v>
      </c>
      <c r="B76" t="s">
        <v>8626</v>
      </c>
      <c r="C76" t="s">
        <v>18170</v>
      </c>
      <c r="D76" s="34" t="s">
        <v>18171</v>
      </c>
      <c r="E76" t="s">
        <v>8618</v>
      </c>
      <c r="F76" t="s">
        <v>9835</v>
      </c>
      <c r="G76" t="s">
        <v>18172</v>
      </c>
    </row>
    <row r="77" spans="1:7">
      <c r="A77" t="s">
        <v>18173</v>
      </c>
      <c r="B77" t="s">
        <v>8626</v>
      </c>
      <c r="C77" t="s">
        <v>18174</v>
      </c>
      <c r="D77" s="34" t="s">
        <v>18175</v>
      </c>
      <c r="E77" t="s">
        <v>8618</v>
      </c>
      <c r="F77" t="s">
        <v>9835</v>
      </c>
      <c r="G77" t="s">
        <v>18176</v>
      </c>
    </row>
    <row r="78" spans="1:7">
      <c r="A78" t="s">
        <v>18177</v>
      </c>
      <c r="B78" t="s">
        <v>8626</v>
      </c>
      <c r="C78" t="s">
        <v>18178</v>
      </c>
      <c r="D78" s="34" t="s">
        <v>18179</v>
      </c>
      <c r="E78" t="s">
        <v>8618</v>
      </c>
      <c r="F78" t="s">
        <v>9835</v>
      </c>
      <c r="G78" t="s">
        <v>18180</v>
      </c>
    </row>
    <row r="79" spans="1:7">
      <c r="A79" t="s">
        <v>18181</v>
      </c>
      <c r="B79" t="s">
        <v>8607</v>
      </c>
      <c r="D79" s="34" t="s">
        <v>18182</v>
      </c>
      <c r="E79" t="s">
        <v>8618</v>
      </c>
      <c r="F79" t="s">
        <v>9835</v>
      </c>
      <c r="G79" t="s">
        <v>18168</v>
      </c>
    </row>
    <row r="80" spans="1:7">
      <c r="A80" t="s">
        <v>18183</v>
      </c>
      <c r="B80" t="s">
        <v>8607</v>
      </c>
      <c r="C80" t="s">
        <v>18170</v>
      </c>
      <c r="D80" s="34" t="s">
        <v>18184</v>
      </c>
      <c r="E80" t="s">
        <v>8618</v>
      </c>
      <c r="F80" t="s">
        <v>9835</v>
      </c>
      <c r="G80" t="s">
        <v>18185</v>
      </c>
    </row>
    <row r="81" spans="1:7">
      <c r="A81" t="s">
        <v>18186</v>
      </c>
      <c r="B81" t="s">
        <v>8607</v>
      </c>
      <c r="C81" t="s">
        <v>18187</v>
      </c>
      <c r="D81" s="34" t="s">
        <v>18188</v>
      </c>
      <c r="E81" t="s">
        <v>8618</v>
      </c>
      <c r="F81" t="s">
        <v>9835</v>
      </c>
      <c r="G81" t="s">
        <v>18168</v>
      </c>
    </row>
    <row r="82" spans="1:7">
      <c r="A82" t="s">
        <v>18189</v>
      </c>
      <c r="B82" t="s">
        <v>8607</v>
      </c>
      <c r="C82" t="s">
        <v>18170</v>
      </c>
      <c r="D82" s="34" t="s">
        <v>18188</v>
      </c>
      <c r="E82" t="s">
        <v>8618</v>
      </c>
      <c r="F82" t="s">
        <v>9835</v>
      </c>
      <c r="G82" t="s">
        <v>18168</v>
      </c>
    </row>
    <row r="83" spans="1:7">
      <c r="A83" t="s">
        <v>18190</v>
      </c>
      <c r="B83" t="s">
        <v>8607</v>
      </c>
      <c r="D83" s="34" t="s">
        <v>18188</v>
      </c>
      <c r="E83" t="s">
        <v>8618</v>
      </c>
      <c r="F83" t="s">
        <v>9835</v>
      </c>
      <c r="G83" t="s">
        <v>18168</v>
      </c>
    </row>
    <row r="84" spans="1:7">
      <c r="A84" t="s">
        <v>18191</v>
      </c>
      <c r="D84" s="34" t="s">
        <v>18192</v>
      </c>
      <c r="E84" t="s">
        <v>8618</v>
      </c>
      <c r="G84" t="s">
        <v>18193</v>
      </c>
    </row>
    <row r="85" spans="1:7">
      <c r="A85" t="s">
        <v>18194</v>
      </c>
      <c r="B85" t="s">
        <v>8626</v>
      </c>
      <c r="C85" t="s">
        <v>18195</v>
      </c>
      <c r="D85" s="34" t="s">
        <v>18196</v>
      </c>
      <c r="E85" t="s">
        <v>8618</v>
      </c>
      <c r="G85" t="s">
        <v>18197</v>
      </c>
    </row>
    <row r="86" spans="1:7">
      <c r="A86" t="s">
        <v>18198</v>
      </c>
      <c r="B86" t="s">
        <v>8607</v>
      </c>
      <c r="C86" t="s">
        <v>18199</v>
      </c>
      <c r="D86" s="34" t="s">
        <v>18200</v>
      </c>
      <c r="E86" t="s">
        <v>8618</v>
      </c>
      <c r="F86" t="s">
        <v>9145</v>
      </c>
      <c r="G86" t="s">
        <v>18201</v>
      </c>
    </row>
    <row r="87" spans="1:7">
      <c r="A87" t="s">
        <v>18202</v>
      </c>
      <c r="B87" t="s">
        <v>8607</v>
      </c>
      <c r="D87" s="34" t="s">
        <v>18203</v>
      </c>
      <c r="E87" t="s">
        <v>8618</v>
      </c>
      <c r="F87" t="s">
        <v>8989</v>
      </c>
      <c r="G87" t="s">
        <v>18204</v>
      </c>
    </row>
    <row r="88" spans="1:7">
      <c r="A88" t="s">
        <v>18205</v>
      </c>
      <c r="B88" t="s">
        <v>8626</v>
      </c>
      <c r="C88" t="s">
        <v>18206</v>
      </c>
      <c r="D88" s="34" t="s">
        <v>18207</v>
      </c>
      <c r="E88" t="s">
        <v>8618</v>
      </c>
      <c r="F88" t="s">
        <v>8989</v>
      </c>
      <c r="G88" t="s">
        <v>18208</v>
      </c>
    </row>
    <row r="89" spans="1:7">
      <c r="A89" t="s">
        <v>18209</v>
      </c>
      <c r="B89" t="s">
        <v>8626</v>
      </c>
      <c r="C89" t="s">
        <v>18210</v>
      </c>
      <c r="D89" s="34" t="s">
        <v>18211</v>
      </c>
      <c r="E89" t="s">
        <v>8618</v>
      </c>
      <c r="F89" t="s">
        <v>18212</v>
      </c>
      <c r="G89" t="s">
        <v>18213</v>
      </c>
    </row>
    <row r="90" spans="1:7">
      <c r="A90" t="s">
        <v>18214</v>
      </c>
      <c r="B90" t="s">
        <v>8626</v>
      </c>
      <c r="C90" t="s">
        <v>18215</v>
      </c>
      <c r="D90" s="34" t="s">
        <v>18216</v>
      </c>
      <c r="E90" t="s">
        <v>8618</v>
      </c>
      <c r="F90" t="s">
        <v>8989</v>
      </c>
      <c r="G90" t="s">
        <v>18217</v>
      </c>
    </row>
    <row r="91" spans="1:7">
      <c r="A91" t="s">
        <v>18218</v>
      </c>
      <c r="B91" t="s">
        <v>8626</v>
      </c>
      <c r="C91" t="s">
        <v>18219</v>
      </c>
      <c r="D91" s="34" t="s">
        <v>18220</v>
      </c>
      <c r="E91" t="s">
        <v>8618</v>
      </c>
      <c r="F91" t="s">
        <v>8975</v>
      </c>
      <c r="G91" t="s">
        <v>18221</v>
      </c>
    </row>
    <row r="92" spans="1:7">
      <c r="A92" t="s">
        <v>18222</v>
      </c>
      <c r="B92" t="s">
        <v>8607</v>
      </c>
      <c r="D92" s="34" t="s">
        <v>18223</v>
      </c>
      <c r="E92" t="s">
        <v>8618</v>
      </c>
      <c r="F92" t="s">
        <v>8989</v>
      </c>
      <c r="G92" t="s">
        <v>18224</v>
      </c>
    </row>
    <row r="93" spans="1:7">
      <c r="A93" t="s">
        <v>18225</v>
      </c>
      <c r="B93" t="s">
        <v>8607</v>
      </c>
      <c r="C93" t="s">
        <v>18226</v>
      </c>
      <c r="D93" s="34" t="s">
        <v>18227</v>
      </c>
      <c r="E93" t="s">
        <v>8618</v>
      </c>
      <c r="F93" t="s">
        <v>13312</v>
      </c>
      <c r="G93" t="s">
        <v>18228</v>
      </c>
    </row>
    <row r="94" spans="1:7">
      <c r="A94" t="s">
        <v>18229</v>
      </c>
      <c r="B94" t="s">
        <v>8607</v>
      </c>
      <c r="C94" t="s">
        <v>18230</v>
      </c>
      <c r="D94" s="34" t="s">
        <v>18231</v>
      </c>
      <c r="E94" t="s">
        <v>8618</v>
      </c>
      <c r="F94" t="s">
        <v>13312</v>
      </c>
      <c r="G94" t="s">
        <v>18232</v>
      </c>
    </row>
    <row r="95" spans="1:7">
      <c r="A95" t="s">
        <v>18233</v>
      </c>
      <c r="B95" t="s">
        <v>8607</v>
      </c>
      <c r="D95" s="34" t="s">
        <v>18231</v>
      </c>
      <c r="E95" t="s">
        <v>8618</v>
      </c>
      <c r="F95" t="s">
        <v>17760</v>
      </c>
      <c r="G95" t="s">
        <v>18234</v>
      </c>
    </row>
    <row r="96" spans="1:7">
      <c r="A96" t="s">
        <v>18235</v>
      </c>
      <c r="B96" t="s">
        <v>8607</v>
      </c>
      <c r="C96" t="s">
        <v>18236</v>
      </c>
      <c r="D96" s="34" t="s">
        <v>18237</v>
      </c>
      <c r="E96" t="s">
        <v>8618</v>
      </c>
      <c r="F96" t="s">
        <v>13312</v>
      </c>
      <c r="G96" t="s">
        <v>18228</v>
      </c>
    </row>
    <row r="97" spans="1:7">
      <c r="A97" t="s">
        <v>18238</v>
      </c>
      <c r="B97" t="s">
        <v>8607</v>
      </c>
      <c r="C97" t="s">
        <v>18236</v>
      </c>
      <c r="D97" s="34" t="s">
        <v>18237</v>
      </c>
      <c r="E97" t="s">
        <v>8618</v>
      </c>
      <c r="F97" t="s">
        <v>18239</v>
      </c>
      <c r="G97" t="s">
        <v>18228</v>
      </c>
    </row>
    <row r="98" spans="1:7">
      <c r="A98" t="s">
        <v>18240</v>
      </c>
      <c r="B98" t="s">
        <v>8607</v>
      </c>
      <c r="C98" t="s">
        <v>18236</v>
      </c>
      <c r="D98" s="34" t="s">
        <v>18241</v>
      </c>
      <c r="E98" t="s">
        <v>8618</v>
      </c>
      <c r="F98" t="s">
        <v>13312</v>
      </c>
      <c r="G98" t="s">
        <v>18228</v>
      </c>
    </row>
    <row r="99" spans="1:7">
      <c r="A99" t="s">
        <v>18242</v>
      </c>
      <c r="B99" t="s">
        <v>8607</v>
      </c>
      <c r="C99" t="s">
        <v>18236</v>
      </c>
      <c r="D99" s="34" t="s">
        <v>18241</v>
      </c>
      <c r="E99" t="s">
        <v>8618</v>
      </c>
      <c r="F99" t="s">
        <v>18243</v>
      </c>
      <c r="G99" t="s">
        <v>18228</v>
      </c>
    </row>
    <row r="100" spans="1:7">
      <c r="A100" t="s">
        <v>18244</v>
      </c>
      <c r="B100" t="s">
        <v>8607</v>
      </c>
      <c r="C100" t="s">
        <v>18236</v>
      </c>
      <c r="D100" s="34" t="s">
        <v>18241</v>
      </c>
      <c r="E100" t="s">
        <v>8618</v>
      </c>
      <c r="F100" t="s">
        <v>13312</v>
      </c>
      <c r="G100" t="s">
        <v>18228</v>
      </c>
    </row>
    <row r="101" spans="1:7">
      <c r="A101" t="s">
        <v>18245</v>
      </c>
      <c r="B101" t="s">
        <v>8607</v>
      </c>
      <c r="C101" t="s">
        <v>18236</v>
      </c>
      <c r="D101" s="34" t="s">
        <v>18241</v>
      </c>
      <c r="E101" t="s">
        <v>8618</v>
      </c>
      <c r="F101" t="s">
        <v>13312</v>
      </c>
      <c r="G101" t="s">
        <v>18228</v>
      </c>
    </row>
    <row r="102" spans="1:7">
      <c r="A102" t="s">
        <v>18246</v>
      </c>
      <c r="B102" t="s">
        <v>8607</v>
      </c>
      <c r="C102" t="s">
        <v>18236</v>
      </c>
      <c r="D102" s="34" t="s">
        <v>18241</v>
      </c>
      <c r="E102" t="s">
        <v>8618</v>
      </c>
      <c r="F102" t="s">
        <v>13312</v>
      </c>
      <c r="G102" t="s">
        <v>18228</v>
      </c>
    </row>
    <row r="103" spans="1:7">
      <c r="A103" t="s">
        <v>18247</v>
      </c>
      <c r="B103" t="s">
        <v>8607</v>
      </c>
      <c r="C103" t="s">
        <v>18236</v>
      </c>
      <c r="D103" s="34" t="s">
        <v>18241</v>
      </c>
      <c r="E103" t="s">
        <v>8618</v>
      </c>
      <c r="F103" t="s">
        <v>13312</v>
      </c>
      <c r="G103" t="s">
        <v>18228</v>
      </c>
    </row>
    <row r="104" spans="1:7">
      <c r="A104" t="s">
        <v>18248</v>
      </c>
      <c r="B104" t="s">
        <v>8607</v>
      </c>
      <c r="C104" t="s">
        <v>18236</v>
      </c>
      <c r="D104" s="34" t="s">
        <v>18241</v>
      </c>
      <c r="E104" t="s">
        <v>8618</v>
      </c>
      <c r="F104" t="s">
        <v>13312</v>
      </c>
      <c r="G104" t="s">
        <v>18228</v>
      </c>
    </row>
    <row r="105" spans="1:7">
      <c r="A105" t="s">
        <v>18249</v>
      </c>
      <c r="B105" t="s">
        <v>8607</v>
      </c>
      <c r="C105" t="s">
        <v>18236</v>
      </c>
      <c r="D105" s="34" t="s">
        <v>18250</v>
      </c>
      <c r="E105" t="s">
        <v>8618</v>
      </c>
      <c r="F105" t="s">
        <v>17760</v>
      </c>
      <c r="G105" t="s">
        <v>18228</v>
      </c>
    </row>
    <row r="106" spans="1:7">
      <c r="A106" t="s">
        <v>18251</v>
      </c>
      <c r="B106" t="s">
        <v>8607</v>
      </c>
      <c r="C106" t="s">
        <v>18236</v>
      </c>
      <c r="D106" s="34" t="s">
        <v>18252</v>
      </c>
      <c r="E106" t="s">
        <v>8618</v>
      </c>
      <c r="F106" t="s">
        <v>18239</v>
      </c>
      <c r="G106" t="s">
        <v>18228</v>
      </c>
    </row>
    <row r="107" spans="1:7">
      <c r="A107" t="s">
        <v>18253</v>
      </c>
      <c r="B107" t="s">
        <v>8607</v>
      </c>
      <c r="C107" t="s">
        <v>18236</v>
      </c>
      <c r="D107" s="34" t="s">
        <v>18252</v>
      </c>
      <c r="E107" t="s">
        <v>8618</v>
      </c>
      <c r="F107" t="s">
        <v>18239</v>
      </c>
      <c r="G107" t="s">
        <v>18228</v>
      </c>
    </row>
    <row r="108" spans="1:7">
      <c r="A108" t="s">
        <v>18254</v>
      </c>
      <c r="B108" t="s">
        <v>8607</v>
      </c>
      <c r="C108" t="s">
        <v>18236</v>
      </c>
      <c r="D108" s="34" t="s">
        <v>18255</v>
      </c>
      <c r="E108" t="s">
        <v>8618</v>
      </c>
      <c r="F108" t="s">
        <v>13312</v>
      </c>
      <c r="G108" t="s">
        <v>18228</v>
      </c>
    </row>
    <row r="109" spans="1:7">
      <c r="A109" t="s">
        <v>18256</v>
      </c>
      <c r="B109" t="s">
        <v>8607</v>
      </c>
      <c r="C109" t="s">
        <v>18236</v>
      </c>
      <c r="D109" s="34" t="s">
        <v>18257</v>
      </c>
      <c r="E109" t="s">
        <v>8618</v>
      </c>
      <c r="F109" t="s">
        <v>18243</v>
      </c>
      <c r="G109" t="s">
        <v>18228</v>
      </c>
    </row>
    <row r="110" spans="1:7">
      <c r="A110" t="s">
        <v>18258</v>
      </c>
      <c r="B110" t="s">
        <v>8607</v>
      </c>
      <c r="D110" s="34" t="s">
        <v>18259</v>
      </c>
      <c r="E110" t="s">
        <v>8618</v>
      </c>
      <c r="F110" t="s">
        <v>18260</v>
      </c>
      <c r="G110" t="s">
        <v>18261</v>
      </c>
    </row>
    <row r="111" spans="1:7">
      <c r="A111" t="s">
        <v>18262</v>
      </c>
      <c r="B111" t="s">
        <v>8607</v>
      </c>
      <c r="C111" t="s">
        <v>18236</v>
      </c>
      <c r="D111" s="34" t="s">
        <v>18259</v>
      </c>
      <c r="E111" t="s">
        <v>8618</v>
      </c>
      <c r="F111" t="s">
        <v>13312</v>
      </c>
      <c r="G111" t="s">
        <v>18228</v>
      </c>
    </row>
    <row r="112" spans="1:7">
      <c r="A112" t="s">
        <v>18263</v>
      </c>
      <c r="B112" t="s">
        <v>8607</v>
      </c>
      <c r="C112" t="s">
        <v>18264</v>
      </c>
      <c r="D112" s="34" t="s">
        <v>18265</v>
      </c>
      <c r="E112" t="s">
        <v>8618</v>
      </c>
      <c r="F112" t="s">
        <v>9835</v>
      </c>
      <c r="G112" t="s">
        <v>18266</v>
      </c>
    </row>
    <row r="113" spans="1:7">
      <c r="A113" t="s">
        <v>18267</v>
      </c>
      <c r="B113" t="s">
        <v>8626</v>
      </c>
      <c r="C113" t="s">
        <v>18268</v>
      </c>
      <c r="D113" s="34" t="s">
        <v>18269</v>
      </c>
      <c r="E113" t="s">
        <v>8618</v>
      </c>
      <c r="F113" t="s">
        <v>9835</v>
      </c>
      <c r="G113" t="s">
        <v>18270</v>
      </c>
    </row>
    <row r="114" spans="1:7">
      <c r="A114" t="s">
        <v>18271</v>
      </c>
      <c r="B114" t="s">
        <v>8607</v>
      </c>
      <c r="C114" t="s">
        <v>18272</v>
      </c>
      <c r="D114" s="34" t="s">
        <v>18273</v>
      </c>
      <c r="E114" t="s">
        <v>8618</v>
      </c>
      <c r="F114" t="s">
        <v>9835</v>
      </c>
      <c r="G114" t="s">
        <v>18274</v>
      </c>
    </row>
    <row r="115" spans="1:7">
      <c r="A115" t="s">
        <v>18275</v>
      </c>
      <c r="B115" t="s">
        <v>8607</v>
      </c>
      <c r="D115" s="34" t="s">
        <v>18273</v>
      </c>
      <c r="E115" t="s">
        <v>8618</v>
      </c>
      <c r="F115" t="s">
        <v>9835</v>
      </c>
      <c r="G115" t="s">
        <v>18276</v>
      </c>
    </row>
    <row r="116" spans="1:7">
      <c r="A116" t="s">
        <v>18277</v>
      </c>
      <c r="B116" t="s">
        <v>8607</v>
      </c>
      <c r="D116" s="34" t="s">
        <v>18278</v>
      </c>
      <c r="E116" t="s">
        <v>8618</v>
      </c>
      <c r="F116" t="s">
        <v>9835</v>
      </c>
      <c r="G116" t="s">
        <v>18279</v>
      </c>
    </row>
    <row r="117" spans="1:7">
      <c r="A117" t="s">
        <v>18280</v>
      </c>
      <c r="B117" t="s">
        <v>8607</v>
      </c>
      <c r="C117" t="s">
        <v>18281</v>
      </c>
      <c r="D117" s="34" t="s">
        <v>18282</v>
      </c>
      <c r="E117" t="s">
        <v>8618</v>
      </c>
      <c r="F117" t="s">
        <v>9835</v>
      </c>
      <c r="G117" t="s">
        <v>16144</v>
      </c>
    </row>
    <row r="118" spans="1:7">
      <c r="A118" t="s">
        <v>18283</v>
      </c>
      <c r="B118" t="s">
        <v>8626</v>
      </c>
      <c r="C118" t="s">
        <v>18284</v>
      </c>
      <c r="D118" s="34" t="s">
        <v>18285</v>
      </c>
      <c r="E118" t="s">
        <v>8618</v>
      </c>
      <c r="F118" t="s">
        <v>18286</v>
      </c>
      <c r="G118" t="s">
        <v>18287</v>
      </c>
    </row>
    <row r="119" spans="1:7">
      <c r="A119" t="s">
        <v>18288</v>
      </c>
      <c r="B119" t="s">
        <v>8626</v>
      </c>
      <c r="C119" t="s">
        <v>18289</v>
      </c>
      <c r="D119" s="34" t="s">
        <v>18290</v>
      </c>
      <c r="E119" t="s">
        <v>8618</v>
      </c>
      <c r="F119" t="s">
        <v>18291</v>
      </c>
      <c r="G119" t="s">
        <v>18292</v>
      </c>
    </row>
    <row r="120" spans="1:7">
      <c r="A120" t="s">
        <v>18293</v>
      </c>
      <c r="B120" t="s">
        <v>8626</v>
      </c>
      <c r="C120" t="s">
        <v>18294</v>
      </c>
      <c r="D120" s="34" t="s">
        <v>18295</v>
      </c>
      <c r="E120" t="s">
        <v>8618</v>
      </c>
      <c r="F120" t="s">
        <v>17760</v>
      </c>
      <c r="G120" t="s">
        <v>18296</v>
      </c>
    </row>
    <row r="121" spans="1:7">
      <c r="A121" t="s">
        <v>18297</v>
      </c>
      <c r="B121" t="s">
        <v>8626</v>
      </c>
      <c r="C121" t="s">
        <v>18284</v>
      </c>
      <c r="D121" s="34" t="s">
        <v>18298</v>
      </c>
      <c r="E121" t="s">
        <v>8618</v>
      </c>
      <c r="F121" t="s">
        <v>17760</v>
      </c>
      <c r="G121" t="s">
        <v>18299</v>
      </c>
    </row>
    <row r="122" spans="1:7">
      <c r="A122" t="s">
        <v>18300</v>
      </c>
      <c r="B122" t="s">
        <v>8626</v>
      </c>
      <c r="C122" t="s">
        <v>18301</v>
      </c>
      <c r="D122" s="34" t="s">
        <v>18302</v>
      </c>
      <c r="E122" t="s">
        <v>8618</v>
      </c>
      <c r="F122" t="s">
        <v>18303</v>
      </c>
      <c r="G122" t="s">
        <v>18304</v>
      </c>
    </row>
    <row r="123" spans="1:7">
      <c r="A123" t="s">
        <v>18305</v>
      </c>
      <c r="B123" t="s">
        <v>8607</v>
      </c>
      <c r="C123" t="s">
        <v>18306</v>
      </c>
      <c r="D123" s="34" t="s">
        <v>18307</v>
      </c>
      <c r="E123" t="s">
        <v>8618</v>
      </c>
      <c r="F123" t="s">
        <v>18303</v>
      </c>
      <c r="G123" t="s">
        <v>18308</v>
      </c>
    </row>
    <row r="124" spans="1:7">
      <c r="A124" t="s">
        <v>18309</v>
      </c>
      <c r="B124" t="s">
        <v>8607</v>
      </c>
      <c r="C124" t="s">
        <v>18306</v>
      </c>
      <c r="D124" s="34" t="s">
        <v>18310</v>
      </c>
      <c r="E124" t="s">
        <v>8618</v>
      </c>
      <c r="G124" t="s">
        <v>18308</v>
      </c>
    </row>
    <row r="125" spans="1:7">
      <c r="A125" t="s">
        <v>18311</v>
      </c>
      <c r="B125" t="s">
        <v>8626</v>
      </c>
      <c r="C125" t="s">
        <v>18312</v>
      </c>
      <c r="D125" s="34" t="s">
        <v>18313</v>
      </c>
      <c r="E125" t="s">
        <v>8618</v>
      </c>
      <c r="F125" t="s">
        <v>9219</v>
      </c>
      <c r="G125" t="s">
        <v>18314</v>
      </c>
    </row>
    <row r="126" spans="1:7">
      <c r="A126" t="s">
        <v>18315</v>
      </c>
      <c r="B126" t="s">
        <v>8607</v>
      </c>
      <c r="C126" t="s">
        <v>18316</v>
      </c>
      <c r="D126" s="34" t="s">
        <v>18317</v>
      </c>
      <c r="E126" t="s">
        <v>8618</v>
      </c>
      <c r="F126" t="s">
        <v>9219</v>
      </c>
      <c r="G126" t="s">
        <v>18318</v>
      </c>
    </row>
    <row r="127" spans="1:7">
      <c r="A127" t="s">
        <v>18319</v>
      </c>
      <c r="B127" t="s">
        <v>8626</v>
      </c>
      <c r="C127" t="s">
        <v>10582</v>
      </c>
      <c r="D127" s="34" t="s">
        <v>18320</v>
      </c>
      <c r="E127" t="s">
        <v>8618</v>
      </c>
      <c r="F127" t="s">
        <v>9219</v>
      </c>
      <c r="G127" t="s">
        <v>18321</v>
      </c>
    </row>
    <row r="128" spans="1:7">
      <c r="A128" t="s">
        <v>18322</v>
      </c>
      <c r="B128" t="s">
        <v>8607</v>
      </c>
      <c r="C128" t="s">
        <v>18316</v>
      </c>
      <c r="D128" s="34" t="s">
        <v>18323</v>
      </c>
      <c r="E128" t="s">
        <v>8618</v>
      </c>
      <c r="F128" t="s">
        <v>9219</v>
      </c>
      <c r="G128" t="s">
        <v>18318</v>
      </c>
    </row>
    <row r="129" spans="1:7">
      <c r="A129" t="s">
        <v>18324</v>
      </c>
      <c r="B129" t="s">
        <v>8626</v>
      </c>
      <c r="C129" t="s">
        <v>18325</v>
      </c>
      <c r="D129" s="34" t="s">
        <v>18326</v>
      </c>
      <c r="E129" t="s">
        <v>8618</v>
      </c>
      <c r="F129" t="s">
        <v>9219</v>
      </c>
      <c r="G129" t="s">
        <v>18314</v>
      </c>
    </row>
    <row r="130" spans="1:7">
      <c r="A130" t="s">
        <v>18327</v>
      </c>
      <c r="B130" t="s">
        <v>8626</v>
      </c>
      <c r="C130" t="s">
        <v>18312</v>
      </c>
      <c r="D130" s="34" t="s">
        <v>18328</v>
      </c>
      <c r="E130" t="s">
        <v>8618</v>
      </c>
      <c r="F130" t="s">
        <v>9219</v>
      </c>
      <c r="G130" t="s">
        <v>18329</v>
      </c>
    </row>
    <row r="131" spans="1:7">
      <c r="A131" t="s">
        <v>18330</v>
      </c>
      <c r="B131" t="s">
        <v>8626</v>
      </c>
      <c r="C131" t="s">
        <v>18331</v>
      </c>
      <c r="D131" s="34" t="s">
        <v>18332</v>
      </c>
      <c r="E131" t="s">
        <v>8618</v>
      </c>
      <c r="F131" t="s">
        <v>8965</v>
      </c>
      <c r="G131" t="s">
        <v>18333</v>
      </c>
    </row>
    <row r="132" spans="1:7">
      <c r="A132" t="s">
        <v>18334</v>
      </c>
      <c r="B132" t="s">
        <v>8626</v>
      </c>
      <c r="C132" t="s">
        <v>18335</v>
      </c>
      <c r="D132" s="34" t="s">
        <v>18336</v>
      </c>
      <c r="E132" t="s">
        <v>8618</v>
      </c>
      <c r="F132" t="s">
        <v>18337</v>
      </c>
      <c r="G132" t="s">
        <v>18338</v>
      </c>
    </row>
    <row r="133" spans="1:7">
      <c r="A133" t="s">
        <v>18339</v>
      </c>
      <c r="B133" t="s">
        <v>8607</v>
      </c>
      <c r="D133" s="34" t="s">
        <v>18340</v>
      </c>
      <c r="E133" t="s">
        <v>8618</v>
      </c>
      <c r="F133" t="s">
        <v>18337</v>
      </c>
      <c r="G133" t="s">
        <v>18341</v>
      </c>
    </row>
    <row r="134" spans="1:7">
      <c r="A134" t="s">
        <v>18342</v>
      </c>
      <c r="B134" t="s">
        <v>8607</v>
      </c>
      <c r="C134" t="s">
        <v>18343</v>
      </c>
      <c r="D134" s="34" t="s">
        <v>18344</v>
      </c>
      <c r="E134" t="s">
        <v>8618</v>
      </c>
      <c r="F134" t="s">
        <v>18345</v>
      </c>
      <c r="G134" t="s">
        <v>18346</v>
      </c>
    </row>
    <row r="135" spans="1:7">
      <c r="A135" t="s">
        <v>18347</v>
      </c>
      <c r="B135" t="s">
        <v>8626</v>
      </c>
      <c r="D135" s="34" t="s">
        <v>18348</v>
      </c>
      <c r="E135" t="s">
        <v>8618</v>
      </c>
      <c r="F135" t="s">
        <v>18337</v>
      </c>
      <c r="G135" t="s">
        <v>18349</v>
      </c>
    </row>
    <row r="136" spans="1:7">
      <c r="A136" t="s">
        <v>18350</v>
      </c>
      <c r="B136" t="s">
        <v>8626</v>
      </c>
      <c r="C136" t="s">
        <v>18351</v>
      </c>
      <c r="D136" s="34" t="s">
        <v>18352</v>
      </c>
      <c r="E136" t="s">
        <v>8618</v>
      </c>
      <c r="F136" t="s">
        <v>18337</v>
      </c>
      <c r="G136" t="s">
        <v>18353</v>
      </c>
    </row>
    <row r="137" spans="1:7">
      <c r="A137" t="s">
        <v>18354</v>
      </c>
      <c r="B137" t="s">
        <v>8626</v>
      </c>
      <c r="C137" t="s">
        <v>18351</v>
      </c>
      <c r="D137" s="34" t="s">
        <v>18352</v>
      </c>
      <c r="E137" t="s">
        <v>8618</v>
      </c>
      <c r="F137" t="s">
        <v>18337</v>
      </c>
      <c r="G137" t="s">
        <v>18353</v>
      </c>
    </row>
    <row r="138" spans="1:7">
      <c r="A138" t="s">
        <v>18355</v>
      </c>
      <c r="B138" t="s">
        <v>8607</v>
      </c>
      <c r="C138" t="s">
        <v>18356</v>
      </c>
      <c r="D138" s="34" t="s">
        <v>18357</v>
      </c>
      <c r="E138" t="s">
        <v>8618</v>
      </c>
      <c r="F138" t="s">
        <v>18337</v>
      </c>
      <c r="G138" t="s">
        <v>18358</v>
      </c>
    </row>
    <row r="139" spans="1:7">
      <c r="A139" t="s">
        <v>18359</v>
      </c>
      <c r="B139" t="s">
        <v>8607</v>
      </c>
      <c r="D139" s="34" t="s">
        <v>18360</v>
      </c>
      <c r="E139" t="s">
        <v>8618</v>
      </c>
      <c r="F139" t="s">
        <v>18361</v>
      </c>
      <c r="G139" t="s">
        <v>18362</v>
      </c>
    </row>
    <row r="140" spans="1:7">
      <c r="A140" t="s">
        <v>18363</v>
      </c>
      <c r="B140" t="s">
        <v>8607</v>
      </c>
      <c r="D140" s="34" t="s">
        <v>18360</v>
      </c>
      <c r="E140" t="s">
        <v>8618</v>
      </c>
      <c r="F140" t="s">
        <v>8623</v>
      </c>
      <c r="G140" t="s">
        <v>11991</v>
      </c>
    </row>
    <row r="141" spans="1:7">
      <c r="A141" t="s">
        <v>18364</v>
      </c>
      <c r="B141" t="s">
        <v>8626</v>
      </c>
      <c r="D141" s="34" t="s">
        <v>18365</v>
      </c>
      <c r="E141" t="s">
        <v>8618</v>
      </c>
      <c r="G141" t="s">
        <v>18366</v>
      </c>
    </row>
    <row r="142" spans="1:7">
      <c r="A142" t="s">
        <v>18367</v>
      </c>
      <c r="D142" s="34" t="s">
        <v>18365</v>
      </c>
      <c r="E142" t="s">
        <v>8618</v>
      </c>
      <c r="G142" t="s">
        <v>18366</v>
      </c>
    </row>
    <row r="143" spans="1:7">
      <c r="A143" t="s">
        <v>18368</v>
      </c>
      <c r="B143" t="s">
        <v>8607</v>
      </c>
      <c r="C143" t="s">
        <v>18369</v>
      </c>
      <c r="D143" s="34" t="s">
        <v>18370</v>
      </c>
      <c r="E143" t="s">
        <v>8618</v>
      </c>
      <c r="F143" t="s">
        <v>18371</v>
      </c>
      <c r="G143" t="s">
        <v>18372</v>
      </c>
    </row>
    <row r="144" spans="1:7">
      <c r="A144" t="s">
        <v>18373</v>
      </c>
      <c r="B144" t="s">
        <v>8626</v>
      </c>
      <c r="C144" t="s">
        <v>18374</v>
      </c>
      <c r="D144" s="34" t="s">
        <v>18375</v>
      </c>
      <c r="E144" t="s">
        <v>8618</v>
      </c>
      <c r="F144" t="s">
        <v>18371</v>
      </c>
      <c r="G144" t="s">
        <v>18376</v>
      </c>
    </row>
    <row r="145" spans="1:7">
      <c r="A145" t="s">
        <v>18377</v>
      </c>
      <c r="B145" t="s">
        <v>8626</v>
      </c>
      <c r="D145" s="34" t="s">
        <v>18378</v>
      </c>
      <c r="E145" t="s">
        <v>8618</v>
      </c>
      <c r="F145" t="s">
        <v>13312</v>
      </c>
      <c r="G145" t="s">
        <v>18379</v>
      </c>
    </row>
    <row r="146" spans="1:7">
      <c r="A146" t="s">
        <v>18380</v>
      </c>
      <c r="B146" t="s">
        <v>8626</v>
      </c>
      <c r="C146" t="s">
        <v>18381</v>
      </c>
      <c r="D146" s="34" t="s">
        <v>18382</v>
      </c>
      <c r="E146" t="s">
        <v>8618</v>
      </c>
      <c r="F146" t="s">
        <v>13312</v>
      </c>
      <c r="G146" t="s">
        <v>18383</v>
      </c>
    </row>
    <row r="147" spans="1:7">
      <c r="A147" t="s">
        <v>18384</v>
      </c>
      <c r="B147" t="s">
        <v>8626</v>
      </c>
      <c r="C147" t="s">
        <v>18385</v>
      </c>
      <c r="D147" s="34" t="s">
        <v>18386</v>
      </c>
      <c r="E147" t="s">
        <v>8618</v>
      </c>
      <c r="F147" t="s">
        <v>13312</v>
      </c>
      <c r="G147" t="s">
        <v>18387</v>
      </c>
    </row>
    <row r="148" spans="1:7">
      <c r="A148" t="s">
        <v>18388</v>
      </c>
      <c r="B148" t="s">
        <v>8626</v>
      </c>
      <c r="C148" t="s">
        <v>18381</v>
      </c>
      <c r="D148" s="34" t="s">
        <v>18389</v>
      </c>
      <c r="E148" t="s">
        <v>8618</v>
      </c>
      <c r="F148" t="s">
        <v>13312</v>
      </c>
      <c r="G148" t="s">
        <v>18390</v>
      </c>
    </row>
    <row r="149" spans="1:7">
      <c r="A149" t="s">
        <v>18391</v>
      </c>
      <c r="B149" t="s">
        <v>8626</v>
      </c>
      <c r="C149" t="s">
        <v>18392</v>
      </c>
      <c r="D149" s="34" t="s">
        <v>18393</v>
      </c>
      <c r="E149" t="s">
        <v>8618</v>
      </c>
      <c r="F149" t="s">
        <v>13312</v>
      </c>
      <c r="G149" t="s">
        <v>18394</v>
      </c>
    </row>
    <row r="150" spans="1:7">
      <c r="A150" t="s">
        <v>18395</v>
      </c>
      <c r="B150" t="s">
        <v>8626</v>
      </c>
      <c r="D150" s="34" t="s">
        <v>18396</v>
      </c>
      <c r="E150" t="s">
        <v>8618</v>
      </c>
      <c r="F150" t="s">
        <v>13312</v>
      </c>
      <c r="G150" t="s">
        <v>18383</v>
      </c>
    </row>
    <row r="151" spans="1:7">
      <c r="A151" t="s">
        <v>18397</v>
      </c>
      <c r="B151" t="s">
        <v>8626</v>
      </c>
      <c r="D151" s="34" t="s">
        <v>18398</v>
      </c>
      <c r="E151" t="s">
        <v>8618</v>
      </c>
      <c r="F151" t="s">
        <v>13312</v>
      </c>
      <c r="G151" t="s">
        <v>18394</v>
      </c>
    </row>
    <row r="152" spans="1:7">
      <c r="A152" t="s">
        <v>18399</v>
      </c>
      <c r="B152" t="s">
        <v>8607</v>
      </c>
      <c r="C152" t="s">
        <v>18400</v>
      </c>
      <c r="D152" s="34" t="s">
        <v>18401</v>
      </c>
      <c r="E152" t="s">
        <v>8618</v>
      </c>
      <c r="F152" t="s">
        <v>9567</v>
      </c>
      <c r="G152" t="s">
        <v>18402</v>
      </c>
    </row>
    <row r="153" spans="1:7">
      <c r="A153" t="s">
        <v>18403</v>
      </c>
      <c r="B153" t="s">
        <v>8626</v>
      </c>
      <c r="C153" t="s">
        <v>9609</v>
      </c>
      <c r="D153" s="34" t="s">
        <v>9566</v>
      </c>
      <c r="E153" t="s">
        <v>8618</v>
      </c>
      <c r="F153" t="s">
        <v>9567</v>
      </c>
      <c r="G153" t="s">
        <v>18404</v>
      </c>
    </row>
    <row r="154" spans="1:7">
      <c r="A154" t="s">
        <v>18405</v>
      </c>
      <c r="B154" t="s">
        <v>8626</v>
      </c>
      <c r="C154" t="s">
        <v>18406</v>
      </c>
      <c r="D154" s="34" t="s">
        <v>18407</v>
      </c>
      <c r="E154" t="s">
        <v>8618</v>
      </c>
      <c r="F154" t="s">
        <v>18408</v>
      </c>
      <c r="G154" t="s">
        <v>18409</v>
      </c>
    </row>
    <row r="155" spans="1:7">
      <c r="A155" t="s">
        <v>18410</v>
      </c>
      <c r="B155" t="s">
        <v>8626</v>
      </c>
      <c r="D155" s="34" t="s">
        <v>18407</v>
      </c>
      <c r="E155" t="s">
        <v>8618</v>
      </c>
      <c r="F155" t="s">
        <v>18408</v>
      </c>
      <c r="G155" t="s">
        <v>18411</v>
      </c>
    </row>
    <row r="156" spans="1:7">
      <c r="A156" t="s">
        <v>18412</v>
      </c>
      <c r="B156" t="s">
        <v>8626</v>
      </c>
      <c r="D156" s="34" t="s">
        <v>18407</v>
      </c>
      <c r="E156" t="s">
        <v>8618</v>
      </c>
      <c r="F156" t="s">
        <v>18408</v>
      </c>
      <c r="G156" t="s">
        <v>18411</v>
      </c>
    </row>
    <row r="157" spans="1:7">
      <c r="A157" t="s">
        <v>18413</v>
      </c>
      <c r="B157" t="s">
        <v>8626</v>
      </c>
      <c r="D157" s="34" t="s">
        <v>18414</v>
      </c>
      <c r="E157" t="s">
        <v>8618</v>
      </c>
      <c r="F157" t="s">
        <v>18408</v>
      </c>
      <c r="G157" t="s">
        <v>18415</v>
      </c>
    </row>
    <row r="158" spans="1:7">
      <c r="A158" t="s">
        <v>18416</v>
      </c>
      <c r="B158" t="s">
        <v>8626</v>
      </c>
      <c r="C158" t="s">
        <v>18406</v>
      </c>
      <c r="D158" s="34" t="s">
        <v>18414</v>
      </c>
      <c r="E158" t="s">
        <v>8618</v>
      </c>
      <c r="F158" t="s">
        <v>18408</v>
      </c>
      <c r="G158" t="s">
        <v>18417</v>
      </c>
    </row>
    <row r="159" spans="1:7">
      <c r="A159" t="s">
        <v>18418</v>
      </c>
      <c r="B159" t="s">
        <v>8626</v>
      </c>
      <c r="D159" s="34" t="s">
        <v>9350</v>
      </c>
      <c r="E159" t="s">
        <v>8618</v>
      </c>
      <c r="F159" t="s">
        <v>8623</v>
      </c>
      <c r="G159" t="s">
        <v>18419</v>
      </c>
    </row>
    <row r="160" spans="1:7">
      <c r="A160" t="s">
        <v>18420</v>
      </c>
      <c r="B160" t="s">
        <v>8607</v>
      </c>
      <c r="D160" s="34" t="s">
        <v>9350</v>
      </c>
      <c r="E160" t="s">
        <v>8618</v>
      </c>
      <c r="F160" t="s">
        <v>8623</v>
      </c>
      <c r="G160" t="s">
        <v>18421</v>
      </c>
    </row>
    <row r="161" spans="1:7">
      <c r="A161" t="s">
        <v>18422</v>
      </c>
      <c r="B161" t="s">
        <v>8626</v>
      </c>
      <c r="C161" t="s">
        <v>18423</v>
      </c>
      <c r="D161" s="34" t="s">
        <v>18424</v>
      </c>
      <c r="E161" t="s">
        <v>8618</v>
      </c>
      <c r="G161" t="s">
        <v>18425</v>
      </c>
    </row>
    <row r="162" spans="1:7">
      <c r="A162" t="s">
        <v>18426</v>
      </c>
      <c r="B162" t="s">
        <v>8626</v>
      </c>
      <c r="C162" t="s">
        <v>18427</v>
      </c>
      <c r="D162" s="34" t="s">
        <v>18428</v>
      </c>
      <c r="E162" t="s">
        <v>8618</v>
      </c>
      <c r="F162" t="s">
        <v>18429</v>
      </c>
      <c r="G162" t="s">
        <v>18430</v>
      </c>
    </row>
    <row r="163" spans="1:7">
      <c r="A163" t="s">
        <v>18431</v>
      </c>
      <c r="B163" t="s">
        <v>8626</v>
      </c>
      <c r="C163" t="s">
        <v>18432</v>
      </c>
      <c r="D163" s="34" t="s">
        <v>18433</v>
      </c>
      <c r="E163" t="s">
        <v>8618</v>
      </c>
      <c r="G163" t="s">
        <v>18434</v>
      </c>
    </row>
    <row r="164" spans="1:7">
      <c r="A164" t="s">
        <v>18435</v>
      </c>
      <c r="B164" t="s">
        <v>8607</v>
      </c>
      <c r="C164" t="s">
        <v>18436</v>
      </c>
      <c r="D164" s="34" t="s">
        <v>18437</v>
      </c>
      <c r="E164" t="s">
        <v>8618</v>
      </c>
      <c r="F164" t="s">
        <v>9595</v>
      </c>
      <c r="G164" t="s">
        <v>18438</v>
      </c>
    </row>
    <row r="165" spans="1:7">
      <c r="A165" t="s">
        <v>18439</v>
      </c>
      <c r="B165" t="s">
        <v>8626</v>
      </c>
      <c r="C165" t="s">
        <v>18440</v>
      </c>
      <c r="D165" s="34" t="s">
        <v>18441</v>
      </c>
      <c r="E165" t="s">
        <v>8618</v>
      </c>
      <c r="F165" t="s">
        <v>9595</v>
      </c>
      <c r="G165" t="s">
        <v>18442</v>
      </c>
    </row>
    <row r="166" spans="1:7">
      <c r="A166" t="s">
        <v>18443</v>
      </c>
      <c r="B166" t="s">
        <v>8626</v>
      </c>
      <c r="C166" t="s">
        <v>18444</v>
      </c>
      <c r="D166" s="34" t="s">
        <v>18445</v>
      </c>
      <c r="E166" t="s">
        <v>8618</v>
      </c>
      <c r="G166" t="s">
        <v>18446</v>
      </c>
    </row>
    <row r="167" spans="1:7">
      <c r="A167" t="s">
        <v>18447</v>
      </c>
      <c r="B167" t="s">
        <v>8626</v>
      </c>
      <c r="C167" t="s">
        <v>18448</v>
      </c>
      <c r="D167" s="34" t="s">
        <v>18449</v>
      </c>
      <c r="E167" t="s">
        <v>8618</v>
      </c>
      <c r="F167" t="s">
        <v>18450</v>
      </c>
      <c r="G167" t="s">
        <v>18451</v>
      </c>
    </row>
    <row r="168" spans="1:7">
      <c r="A168" t="s">
        <v>18452</v>
      </c>
      <c r="B168" t="s">
        <v>8607</v>
      </c>
      <c r="D168" s="34" t="s">
        <v>18453</v>
      </c>
      <c r="E168" t="s">
        <v>8618</v>
      </c>
      <c r="F168" t="s">
        <v>17760</v>
      </c>
      <c r="G168" t="s">
        <v>18454</v>
      </c>
    </row>
    <row r="169" spans="1:7">
      <c r="A169" t="s">
        <v>18455</v>
      </c>
      <c r="B169" t="s">
        <v>8626</v>
      </c>
      <c r="D169" s="34" t="s">
        <v>18456</v>
      </c>
      <c r="E169" t="s">
        <v>8618</v>
      </c>
      <c r="F169" t="s">
        <v>17760</v>
      </c>
      <c r="G169" t="s">
        <v>18457</v>
      </c>
    </row>
    <row r="170" spans="1:7">
      <c r="A170" t="s">
        <v>18458</v>
      </c>
      <c r="B170" t="s">
        <v>8626</v>
      </c>
      <c r="D170" s="34" t="s">
        <v>18456</v>
      </c>
      <c r="E170" t="s">
        <v>8618</v>
      </c>
      <c r="F170" t="s">
        <v>17760</v>
      </c>
      <c r="G170" t="s">
        <v>18457</v>
      </c>
    </row>
    <row r="171" spans="1:7">
      <c r="A171" t="s">
        <v>18459</v>
      </c>
      <c r="B171" t="s">
        <v>8607</v>
      </c>
      <c r="D171" s="34" t="s">
        <v>18456</v>
      </c>
      <c r="E171" t="s">
        <v>8618</v>
      </c>
      <c r="F171" t="s">
        <v>18460</v>
      </c>
      <c r="G171" t="s">
        <v>18461</v>
      </c>
    </row>
    <row r="172" spans="1:7">
      <c r="A172" t="s">
        <v>18462</v>
      </c>
      <c r="B172" t="s">
        <v>8607</v>
      </c>
      <c r="D172" s="34" t="s">
        <v>18456</v>
      </c>
      <c r="E172" t="s">
        <v>8618</v>
      </c>
      <c r="F172" t="s">
        <v>18460</v>
      </c>
      <c r="G172" t="s">
        <v>18461</v>
      </c>
    </row>
    <row r="173" spans="1:7">
      <c r="A173" t="s">
        <v>18463</v>
      </c>
      <c r="B173" t="s">
        <v>8607</v>
      </c>
      <c r="D173" s="34" t="s">
        <v>18456</v>
      </c>
      <c r="E173" t="s">
        <v>8618</v>
      </c>
      <c r="F173" t="s">
        <v>18460</v>
      </c>
      <c r="G173" t="s">
        <v>18461</v>
      </c>
    </row>
    <row r="174" spans="1:7">
      <c r="A174" t="s">
        <v>18464</v>
      </c>
      <c r="B174" t="s">
        <v>8626</v>
      </c>
      <c r="D174" s="34" t="s">
        <v>18456</v>
      </c>
      <c r="E174" t="s">
        <v>8618</v>
      </c>
      <c r="F174" t="s">
        <v>18460</v>
      </c>
      <c r="G174" t="s">
        <v>18465</v>
      </c>
    </row>
    <row r="175" spans="1:7">
      <c r="A175" t="s">
        <v>18466</v>
      </c>
      <c r="B175" t="s">
        <v>8607</v>
      </c>
      <c r="D175" s="34" t="s">
        <v>18456</v>
      </c>
      <c r="E175" t="s">
        <v>8618</v>
      </c>
      <c r="F175" t="s">
        <v>18460</v>
      </c>
      <c r="G175" t="s">
        <v>18461</v>
      </c>
    </row>
    <row r="176" spans="1:7">
      <c r="A176" t="s">
        <v>18467</v>
      </c>
      <c r="B176" t="s">
        <v>8607</v>
      </c>
      <c r="D176" s="34" t="s">
        <v>9888</v>
      </c>
      <c r="E176" t="s">
        <v>8618</v>
      </c>
      <c r="F176" t="s">
        <v>8623</v>
      </c>
      <c r="G176" t="s">
        <v>18468</v>
      </c>
    </row>
    <row r="177" spans="1:7">
      <c r="A177" t="s">
        <v>18469</v>
      </c>
      <c r="B177" t="s">
        <v>8607</v>
      </c>
      <c r="D177" s="34" t="s">
        <v>9888</v>
      </c>
      <c r="E177" t="s">
        <v>8618</v>
      </c>
      <c r="F177" t="s">
        <v>8623</v>
      </c>
      <c r="G177" t="s">
        <v>18468</v>
      </c>
    </row>
    <row r="178" spans="1:7">
      <c r="A178" t="s">
        <v>18470</v>
      </c>
      <c r="B178" t="s">
        <v>8607</v>
      </c>
      <c r="D178" s="34" t="s">
        <v>18471</v>
      </c>
      <c r="E178" t="s">
        <v>8618</v>
      </c>
      <c r="F178" t="s">
        <v>18472</v>
      </c>
      <c r="G178" t="s">
        <v>18473</v>
      </c>
    </row>
    <row r="179" spans="1:7">
      <c r="A179" t="s">
        <v>18474</v>
      </c>
      <c r="B179" t="s">
        <v>8607</v>
      </c>
      <c r="D179" s="34" t="s">
        <v>18475</v>
      </c>
      <c r="E179" t="s">
        <v>8618</v>
      </c>
      <c r="F179" t="s">
        <v>18476</v>
      </c>
      <c r="G179" t="s">
        <v>18477</v>
      </c>
    </row>
    <row r="180" spans="1:7">
      <c r="A180" t="s">
        <v>18478</v>
      </c>
      <c r="B180" t="s">
        <v>8607</v>
      </c>
      <c r="C180" t="s">
        <v>18479</v>
      </c>
      <c r="D180" s="34" t="s">
        <v>18480</v>
      </c>
      <c r="E180" t="s">
        <v>8618</v>
      </c>
      <c r="F180" t="s">
        <v>17760</v>
      </c>
      <c r="G180" t="s">
        <v>18481</v>
      </c>
    </row>
    <row r="181" spans="1:7">
      <c r="A181" t="s">
        <v>18482</v>
      </c>
      <c r="B181" t="s">
        <v>8626</v>
      </c>
      <c r="C181" t="s">
        <v>18483</v>
      </c>
      <c r="D181" s="34" t="s">
        <v>18480</v>
      </c>
      <c r="E181" t="s">
        <v>8618</v>
      </c>
      <c r="F181" t="s">
        <v>17760</v>
      </c>
      <c r="G181" t="s">
        <v>18484</v>
      </c>
    </row>
    <row r="182" spans="1:7">
      <c r="A182" t="s">
        <v>18485</v>
      </c>
      <c r="B182" t="s">
        <v>8607</v>
      </c>
      <c r="D182" s="34" t="s">
        <v>18480</v>
      </c>
      <c r="E182" t="s">
        <v>8618</v>
      </c>
      <c r="F182" t="s">
        <v>17760</v>
      </c>
      <c r="G182" t="s">
        <v>18481</v>
      </c>
    </row>
    <row r="183" spans="1:7">
      <c r="A183" t="s">
        <v>18486</v>
      </c>
      <c r="B183" t="s">
        <v>8626</v>
      </c>
      <c r="C183" t="s">
        <v>18479</v>
      </c>
      <c r="D183" s="34" t="s">
        <v>18487</v>
      </c>
      <c r="E183" t="s">
        <v>8618</v>
      </c>
      <c r="F183" t="s">
        <v>17760</v>
      </c>
      <c r="G183" t="s">
        <v>18488</v>
      </c>
    </row>
    <row r="184" spans="1:7">
      <c r="A184" t="s">
        <v>18489</v>
      </c>
      <c r="B184" t="s">
        <v>8607</v>
      </c>
      <c r="D184" s="34" t="s">
        <v>18490</v>
      </c>
      <c r="E184" t="s">
        <v>8618</v>
      </c>
      <c r="F184" t="s">
        <v>17760</v>
      </c>
      <c r="G184" t="s">
        <v>18491</v>
      </c>
    </row>
    <row r="185" spans="1:7">
      <c r="A185" t="s">
        <v>18492</v>
      </c>
      <c r="B185" t="s">
        <v>8607</v>
      </c>
      <c r="D185" s="34" t="s">
        <v>18493</v>
      </c>
      <c r="E185" t="s">
        <v>8618</v>
      </c>
      <c r="F185" t="s">
        <v>17760</v>
      </c>
      <c r="G185" t="s">
        <v>18494</v>
      </c>
    </row>
    <row r="186" spans="1:7">
      <c r="A186" t="s">
        <v>18495</v>
      </c>
      <c r="B186" t="s">
        <v>8607</v>
      </c>
      <c r="D186" s="34" t="s">
        <v>18496</v>
      </c>
      <c r="E186" t="s">
        <v>8618</v>
      </c>
      <c r="F186" t="s">
        <v>17760</v>
      </c>
      <c r="G186" t="s">
        <v>18497</v>
      </c>
    </row>
    <row r="187" spans="1:7">
      <c r="A187" t="s">
        <v>18498</v>
      </c>
      <c r="B187" t="s">
        <v>8607</v>
      </c>
      <c r="D187" s="34" t="s">
        <v>18496</v>
      </c>
      <c r="E187" t="s">
        <v>8618</v>
      </c>
      <c r="F187" t="s">
        <v>17760</v>
      </c>
      <c r="G187" t="s">
        <v>18499</v>
      </c>
    </row>
    <row r="188" spans="1:7">
      <c r="A188" t="s">
        <v>18500</v>
      </c>
      <c r="B188" t="s">
        <v>8626</v>
      </c>
      <c r="C188" t="s">
        <v>18501</v>
      </c>
      <c r="D188" s="34" t="s">
        <v>18502</v>
      </c>
      <c r="E188" t="s">
        <v>8618</v>
      </c>
      <c r="F188" t="s">
        <v>18503</v>
      </c>
      <c r="G188" t="s">
        <v>18504</v>
      </c>
    </row>
    <row r="189" spans="1:7">
      <c r="A189" t="s">
        <v>18505</v>
      </c>
      <c r="B189" t="s">
        <v>8607</v>
      </c>
      <c r="C189" t="s">
        <v>18501</v>
      </c>
      <c r="D189" s="34" t="s">
        <v>18502</v>
      </c>
      <c r="E189" t="s">
        <v>8618</v>
      </c>
      <c r="F189" t="s">
        <v>18503</v>
      </c>
      <c r="G189" t="s">
        <v>18506</v>
      </c>
    </row>
    <row r="190" spans="1:7">
      <c r="A190" t="s">
        <v>18507</v>
      </c>
      <c r="C190" t="s">
        <v>18508</v>
      </c>
      <c r="D190" s="34" t="s">
        <v>18509</v>
      </c>
      <c r="E190" t="s">
        <v>8618</v>
      </c>
      <c r="G190" t="s">
        <v>18510</v>
      </c>
    </row>
    <row r="191" spans="1:7">
      <c r="A191" t="s">
        <v>18511</v>
      </c>
      <c r="B191" t="s">
        <v>8626</v>
      </c>
      <c r="D191" s="34" t="s">
        <v>18512</v>
      </c>
      <c r="E191" t="s">
        <v>8618</v>
      </c>
      <c r="F191" t="s">
        <v>18513</v>
      </c>
      <c r="G191" t="s">
        <v>18514</v>
      </c>
    </row>
    <row r="192" spans="1:7">
      <c r="A192" t="s">
        <v>18515</v>
      </c>
      <c r="B192" t="s">
        <v>8607</v>
      </c>
      <c r="C192" t="s">
        <v>18516</v>
      </c>
      <c r="D192" s="34" t="s">
        <v>18517</v>
      </c>
      <c r="E192" t="s">
        <v>8618</v>
      </c>
      <c r="F192" t="s">
        <v>18513</v>
      </c>
      <c r="G192" t="s">
        <v>18518</v>
      </c>
    </row>
    <row r="193" spans="1:7">
      <c r="A193" t="s">
        <v>18519</v>
      </c>
      <c r="D193" s="34" t="s">
        <v>18520</v>
      </c>
      <c r="E193" t="s">
        <v>8618</v>
      </c>
      <c r="G193" t="s">
        <v>18521</v>
      </c>
    </row>
    <row r="194" spans="1:7">
      <c r="A194" t="s">
        <v>18522</v>
      </c>
      <c r="B194" t="s">
        <v>8626</v>
      </c>
      <c r="D194" s="34" t="s">
        <v>18523</v>
      </c>
      <c r="E194" t="s">
        <v>8618</v>
      </c>
      <c r="F194" t="s">
        <v>18337</v>
      </c>
      <c r="G194" t="s">
        <v>18524</v>
      </c>
    </row>
    <row r="195" spans="1:7">
      <c r="A195" t="s">
        <v>18525</v>
      </c>
      <c r="B195" t="s">
        <v>8626</v>
      </c>
      <c r="D195" s="34" t="s">
        <v>10422</v>
      </c>
      <c r="E195" t="s">
        <v>8618</v>
      </c>
      <c r="F195" t="s">
        <v>8623</v>
      </c>
      <c r="G195" t="s">
        <v>10423</v>
      </c>
    </row>
    <row r="196" spans="1:7">
      <c r="A196" t="s">
        <v>18526</v>
      </c>
      <c r="B196" t="s">
        <v>8626</v>
      </c>
      <c r="C196" t="s">
        <v>18527</v>
      </c>
      <c r="D196" s="34" t="s">
        <v>18528</v>
      </c>
      <c r="E196" t="s">
        <v>8618</v>
      </c>
      <c r="F196" t="s">
        <v>18286</v>
      </c>
      <c r="G196" t="s">
        <v>18529</v>
      </c>
    </row>
    <row r="197" spans="1:7">
      <c r="A197" t="s">
        <v>18530</v>
      </c>
      <c r="B197" t="s">
        <v>8626</v>
      </c>
      <c r="D197" s="34" t="s">
        <v>18531</v>
      </c>
      <c r="E197" t="s">
        <v>8618</v>
      </c>
      <c r="F197" t="s">
        <v>9018</v>
      </c>
      <c r="G197" t="s">
        <v>18532</v>
      </c>
    </row>
    <row r="198" spans="1:7">
      <c r="A198" t="s">
        <v>18533</v>
      </c>
      <c r="B198" t="s">
        <v>8626</v>
      </c>
      <c r="D198" s="34" t="s">
        <v>18534</v>
      </c>
      <c r="E198" t="s">
        <v>8618</v>
      </c>
      <c r="F198" t="s">
        <v>18535</v>
      </c>
      <c r="G198" t="s">
        <v>18536</v>
      </c>
    </row>
    <row r="199" spans="1:7">
      <c r="A199" t="s">
        <v>18537</v>
      </c>
      <c r="B199" t="s">
        <v>8626</v>
      </c>
      <c r="C199" t="s">
        <v>18538</v>
      </c>
      <c r="D199" s="34" t="s">
        <v>18534</v>
      </c>
      <c r="E199" t="s">
        <v>8618</v>
      </c>
      <c r="F199" t="s">
        <v>9018</v>
      </c>
      <c r="G199" t="s">
        <v>18539</v>
      </c>
    </row>
    <row r="200" spans="1:7">
      <c r="A200" t="s">
        <v>18540</v>
      </c>
      <c r="B200" t="s">
        <v>8626</v>
      </c>
      <c r="D200" s="34" t="s">
        <v>18541</v>
      </c>
      <c r="E200" t="s">
        <v>8618</v>
      </c>
      <c r="F200" t="s">
        <v>9018</v>
      </c>
      <c r="G200" t="s">
        <v>18542</v>
      </c>
    </row>
    <row r="201" spans="1:7">
      <c r="A201" t="s">
        <v>18543</v>
      </c>
      <c r="B201" t="s">
        <v>8607</v>
      </c>
      <c r="D201" s="34" t="s">
        <v>18544</v>
      </c>
      <c r="E201" t="s">
        <v>8618</v>
      </c>
      <c r="G201" t="s">
        <v>18545</v>
      </c>
    </row>
    <row r="202" spans="1:7">
      <c r="A202" t="s">
        <v>18546</v>
      </c>
      <c r="B202" t="s">
        <v>8607</v>
      </c>
      <c r="D202" s="34" t="s">
        <v>18544</v>
      </c>
      <c r="E202" t="s">
        <v>8618</v>
      </c>
      <c r="G202" t="s">
        <v>18545</v>
      </c>
    </row>
    <row r="203" spans="1:7">
      <c r="A203" t="s">
        <v>18547</v>
      </c>
      <c r="B203" t="s">
        <v>8607</v>
      </c>
      <c r="D203" s="34" t="s">
        <v>18544</v>
      </c>
      <c r="E203" t="s">
        <v>8618</v>
      </c>
      <c r="G203" t="s">
        <v>18545</v>
      </c>
    </row>
    <row r="204" spans="1:7">
      <c r="A204" t="s">
        <v>18548</v>
      </c>
      <c r="B204" t="s">
        <v>8626</v>
      </c>
      <c r="C204" t="s">
        <v>18549</v>
      </c>
      <c r="D204" s="34" t="s">
        <v>18550</v>
      </c>
      <c r="E204" t="s">
        <v>8618</v>
      </c>
      <c r="F204" t="s">
        <v>9018</v>
      </c>
      <c r="G204" t="s">
        <v>18551</v>
      </c>
    </row>
    <row r="205" spans="1:7">
      <c r="A205" t="s">
        <v>18552</v>
      </c>
      <c r="B205" t="s">
        <v>8626</v>
      </c>
      <c r="C205" t="s">
        <v>18553</v>
      </c>
      <c r="D205" s="34" t="s">
        <v>18554</v>
      </c>
      <c r="E205" t="s">
        <v>8618</v>
      </c>
      <c r="F205" t="s">
        <v>9018</v>
      </c>
      <c r="G205" t="s">
        <v>18555</v>
      </c>
    </row>
    <row r="206" spans="1:7">
      <c r="A206" t="s">
        <v>18556</v>
      </c>
      <c r="B206" t="s">
        <v>8607</v>
      </c>
      <c r="D206" s="34" t="s">
        <v>18557</v>
      </c>
      <c r="E206" t="s">
        <v>8618</v>
      </c>
      <c r="F206" t="s">
        <v>9018</v>
      </c>
      <c r="G206" t="s">
        <v>18558</v>
      </c>
    </row>
    <row r="207" spans="1:7">
      <c r="A207" t="s">
        <v>18559</v>
      </c>
      <c r="B207" t="s">
        <v>8626</v>
      </c>
      <c r="D207" s="34" t="s">
        <v>18560</v>
      </c>
      <c r="E207" t="s">
        <v>8618</v>
      </c>
      <c r="F207" t="s">
        <v>9018</v>
      </c>
      <c r="G207" t="s">
        <v>18561</v>
      </c>
    </row>
    <row r="208" spans="1:7">
      <c r="A208" t="s">
        <v>18562</v>
      </c>
      <c r="B208" t="s">
        <v>8626</v>
      </c>
      <c r="D208" s="34" t="s">
        <v>18563</v>
      </c>
      <c r="E208" t="s">
        <v>8618</v>
      </c>
      <c r="F208" t="s">
        <v>9018</v>
      </c>
      <c r="G208" t="s">
        <v>18564</v>
      </c>
    </row>
    <row r="209" spans="1:7">
      <c r="A209" t="s">
        <v>18565</v>
      </c>
      <c r="B209" t="s">
        <v>8607</v>
      </c>
      <c r="D209" s="34" t="s">
        <v>18566</v>
      </c>
      <c r="E209" t="s">
        <v>8618</v>
      </c>
      <c r="F209" t="s">
        <v>9018</v>
      </c>
      <c r="G209" t="s">
        <v>18567</v>
      </c>
    </row>
    <row r="210" spans="1:7">
      <c r="A210" t="s">
        <v>18568</v>
      </c>
      <c r="B210" t="s">
        <v>8607</v>
      </c>
      <c r="D210" s="34" t="s">
        <v>18566</v>
      </c>
      <c r="E210" t="s">
        <v>8618</v>
      </c>
      <c r="F210" t="s">
        <v>9018</v>
      </c>
      <c r="G210" t="s">
        <v>18567</v>
      </c>
    </row>
    <row r="211" spans="1:7">
      <c r="A211" t="s">
        <v>18569</v>
      </c>
      <c r="B211" t="s">
        <v>8626</v>
      </c>
      <c r="D211" s="34" t="s">
        <v>18570</v>
      </c>
      <c r="E211" t="s">
        <v>8618</v>
      </c>
      <c r="G211" t="s">
        <v>18571</v>
      </c>
    </row>
    <row r="212" spans="1:7">
      <c r="A212" t="s">
        <v>18572</v>
      </c>
      <c r="B212" t="s">
        <v>8626</v>
      </c>
      <c r="D212" s="34" t="s">
        <v>16236</v>
      </c>
      <c r="E212" t="s">
        <v>8618</v>
      </c>
      <c r="F212" t="s">
        <v>9018</v>
      </c>
      <c r="G212" t="s">
        <v>18573</v>
      </c>
    </row>
    <row r="213" spans="1:7">
      <c r="A213" t="s">
        <v>18574</v>
      </c>
      <c r="B213" t="s">
        <v>8626</v>
      </c>
      <c r="C213" t="s">
        <v>18549</v>
      </c>
      <c r="D213" s="34" t="s">
        <v>18575</v>
      </c>
      <c r="E213" t="s">
        <v>8618</v>
      </c>
      <c r="F213" t="s">
        <v>9018</v>
      </c>
      <c r="G213" t="s">
        <v>18576</v>
      </c>
    </row>
    <row r="214" spans="1:7">
      <c r="A214" t="s">
        <v>18577</v>
      </c>
      <c r="B214" t="s">
        <v>8626</v>
      </c>
      <c r="C214" t="s">
        <v>18549</v>
      </c>
      <c r="D214" s="34" t="s">
        <v>18575</v>
      </c>
      <c r="E214" t="s">
        <v>8618</v>
      </c>
      <c r="F214" t="s">
        <v>9018</v>
      </c>
      <c r="G214" t="s">
        <v>18576</v>
      </c>
    </row>
    <row r="215" spans="1:7">
      <c r="A215" t="s">
        <v>18578</v>
      </c>
      <c r="B215" t="s">
        <v>8626</v>
      </c>
      <c r="C215" t="s">
        <v>18579</v>
      </c>
      <c r="D215" s="34" t="s">
        <v>18580</v>
      </c>
      <c r="E215" t="s">
        <v>8618</v>
      </c>
      <c r="F215" t="s">
        <v>9018</v>
      </c>
      <c r="G215" t="s">
        <v>18581</v>
      </c>
    </row>
    <row r="216" spans="1:7">
      <c r="A216" t="s">
        <v>18582</v>
      </c>
      <c r="B216" t="s">
        <v>8607</v>
      </c>
      <c r="D216" s="34" t="s">
        <v>18583</v>
      </c>
      <c r="E216" t="s">
        <v>8618</v>
      </c>
      <c r="F216" t="s">
        <v>18584</v>
      </c>
      <c r="G216" t="s">
        <v>18585</v>
      </c>
    </row>
    <row r="217" spans="1:7">
      <c r="A217" t="s">
        <v>18586</v>
      </c>
      <c r="B217" t="s">
        <v>8607</v>
      </c>
      <c r="D217" s="34" t="s">
        <v>18587</v>
      </c>
      <c r="E217" t="s">
        <v>8618</v>
      </c>
      <c r="F217" t="s">
        <v>9018</v>
      </c>
      <c r="G217" t="s">
        <v>18588</v>
      </c>
    </row>
    <row r="218" spans="1:7">
      <c r="A218" t="s">
        <v>18589</v>
      </c>
      <c r="B218" t="s">
        <v>8626</v>
      </c>
      <c r="C218" t="s">
        <v>18579</v>
      </c>
      <c r="D218" s="34" t="s">
        <v>18590</v>
      </c>
      <c r="E218" t="s">
        <v>8618</v>
      </c>
      <c r="F218" t="s">
        <v>9018</v>
      </c>
      <c r="G218" t="s">
        <v>18591</v>
      </c>
    </row>
    <row r="219" spans="1:7">
      <c r="A219" t="s">
        <v>18592</v>
      </c>
      <c r="B219" t="s">
        <v>8626</v>
      </c>
      <c r="D219" s="34" t="s">
        <v>18593</v>
      </c>
      <c r="E219" t="s">
        <v>8618</v>
      </c>
      <c r="F219" t="s">
        <v>18594</v>
      </c>
      <c r="G219" t="s">
        <v>18595</v>
      </c>
    </row>
    <row r="220" spans="1:7">
      <c r="A220" t="s">
        <v>18596</v>
      </c>
      <c r="B220" t="s">
        <v>8626</v>
      </c>
      <c r="D220" s="34" t="s">
        <v>18593</v>
      </c>
      <c r="E220" t="s">
        <v>8618</v>
      </c>
      <c r="F220" t="s">
        <v>18594</v>
      </c>
      <c r="G220" t="s">
        <v>18595</v>
      </c>
    </row>
    <row r="221" spans="1:7">
      <c r="A221" t="s">
        <v>18597</v>
      </c>
      <c r="B221" t="s">
        <v>8607</v>
      </c>
      <c r="C221" t="s">
        <v>18598</v>
      </c>
      <c r="D221" s="34" t="s">
        <v>18599</v>
      </c>
      <c r="E221" t="s">
        <v>8618</v>
      </c>
      <c r="F221" t="s">
        <v>12982</v>
      </c>
      <c r="G221" t="s">
        <v>18600</v>
      </c>
    </row>
    <row r="222" spans="1:7">
      <c r="A222" t="s">
        <v>18601</v>
      </c>
      <c r="B222" t="s">
        <v>8607</v>
      </c>
      <c r="D222" s="34" t="s">
        <v>18602</v>
      </c>
      <c r="E222" t="s">
        <v>8618</v>
      </c>
      <c r="F222" t="s">
        <v>18603</v>
      </c>
      <c r="G222" t="s">
        <v>18604</v>
      </c>
    </row>
    <row r="223" spans="1:7">
      <c r="A223" t="s">
        <v>18605</v>
      </c>
      <c r="B223" t="s">
        <v>8607</v>
      </c>
      <c r="C223" t="s">
        <v>18606</v>
      </c>
      <c r="D223" s="34" t="s">
        <v>18607</v>
      </c>
      <c r="E223" t="s">
        <v>8618</v>
      </c>
      <c r="F223" t="s">
        <v>18608</v>
      </c>
      <c r="G223" t="s">
        <v>18609</v>
      </c>
    </row>
    <row r="224" spans="1:7">
      <c r="A224" t="s">
        <v>18610</v>
      </c>
      <c r="B224" t="s">
        <v>8607</v>
      </c>
      <c r="C224" t="s">
        <v>18611</v>
      </c>
      <c r="D224" s="34" t="s">
        <v>18612</v>
      </c>
      <c r="E224" t="s">
        <v>8618</v>
      </c>
      <c r="F224" t="s">
        <v>18608</v>
      </c>
      <c r="G224" t="s">
        <v>18613</v>
      </c>
    </row>
    <row r="225" spans="1:7">
      <c r="A225" t="s">
        <v>18614</v>
      </c>
      <c r="D225" s="34" t="s">
        <v>18615</v>
      </c>
      <c r="E225" t="s">
        <v>8618</v>
      </c>
      <c r="G225" t="s">
        <v>18616</v>
      </c>
    </row>
    <row r="226" spans="1:7">
      <c r="A226" t="s">
        <v>18617</v>
      </c>
      <c r="B226" t="s">
        <v>8626</v>
      </c>
      <c r="C226" t="s">
        <v>18618</v>
      </c>
      <c r="D226" s="34" t="s">
        <v>18619</v>
      </c>
      <c r="E226" t="s">
        <v>8618</v>
      </c>
      <c r="F226" t="s">
        <v>18620</v>
      </c>
      <c r="G226" t="s">
        <v>18621</v>
      </c>
    </row>
    <row r="227" spans="1:7">
      <c r="A227" t="s">
        <v>18622</v>
      </c>
      <c r="B227" t="s">
        <v>8607</v>
      </c>
      <c r="C227" t="s">
        <v>18623</v>
      </c>
      <c r="D227" s="34" t="s">
        <v>18624</v>
      </c>
      <c r="E227" t="s">
        <v>8618</v>
      </c>
      <c r="F227" t="s">
        <v>11540</v>
      </c>
      <c r="G227" t="s">
        <v>18625</v>
      </c>
    </row>
    <row r="228" spans="1:7">
      <c r="A228" t="s">
        <v>18626</v>
      </c>
      <c r="B228" t="s">
        <v>8626</v>
      </c>
      <c r="D228" s="34" t="s">
        <v>18627</v>
      </c>
      <c r="E228" t="s">
        <v>8618</v>
      </c>
      <c r="F228" t="s">
        <v>11540</v>
      </c>
      <c r="G228" t="s">
        <v>18628</v>
      </c>
    </row>
    <row r="229" spans="1:7">
      <c r="A229" t="s">
        <v>18629</v>
      </c>
      <c r="B229" t="s">
        <v>8607</v>
      </c>
      <c r="D229" s="34" t="s">
        <v>18630</v>
      </c>
      <c r="E229" t="s">
        <v>8618</v>
      </c>
      <c r="F229" t="s">
        <v>11540</v>
      </c>
      <c r="G229" t="s">
        <v>18631</v>
      </c>
    </row>
    <row r="230" spans="1:7">
      <c r="A230" t="s">
        <v>18632</v>
      </c>
      <c r="B230" t="s">
        <v>8607</v>
      </c>
      <c r="C230" t="s">
        <v>18623</v>
      </c>
      <c r="D230" s="34" t="s">
        <v>18633</v>
      </c>
      <c r="E230" t="s">
        <v>8618</v>
      </c>
      <c r="F230" t="s">
        <v>11540</v>
      </c>
      <c r="G230" t="s">
        <v>18625</v>
      </c>
    </row>
    <row r="231" spans="1:7">
      <c r="A231" t="s">
        <v>18634</v>
      </c>
      <c r="B231" t="s">
        <v>8607</v>
      </c>
      <c r="D231" s="34" t="s">
        <v>18635</v>
      </c>
      <c r="E231" t="s">
        <v>8618</v>
      </c>
      <c r="F231" t="s">
        <v>18636</v>
      </c>
      <c r="G231" t="s">
        <v>18637</v>
      </c>
    </row>
    <row r="232" spans="1:7">
      <c r="A232" t="s">
        <v>18638</v>
      </c>
      <c r="B232" t="s">
        <v>8607</v>
      </c>
      <c r="C232" t="s">
        <v>18623</v>
      </c>
      <c r="D232" s="34" t="s">
        <v>18639</v>
      </c>
      <c r="E232" t="s">
        <v>8618</v>
      </c>
      <c r="F232" t="s">
        <v>11540</v>
      </c>
      <c r="G232" t="s">
        <v>18640</v>
      </c>
    </row>
    <row r="233" spans="1:7">
      <c r="A233" t="s">
        <v>18641</v>
      </c>
      <c r="B233" t="s">
        <v>8626</v>
      </c>
      <c r="D233" s="34" t="s">
        <v>18639</v>
      </c>
      <c r="E233" t="s">
        <v>8618</v>
      </c>
      <c r="F233" t="s">
        <v>18636</v>
      </c>
      <c r="G233" t="s">
        <v>18642</v>
      </c>
    </row>
    <row r="234" spans="1:7">
      <c r="A234" t="s">
        <v>18643</v>
      </c>
      <c r="B234" t="s">
        <v>8607</v>
      </c>
      <c r="C234" t="s">
        <v>18644</v>
      </c>
      <c r="D234" s="34" t="s">
        <v>18645</v>
      </c>
      <c r="E234" t="s">
        <v>8618</v>
      </c>
      <c r="F234" t="s">
        <v>18636</v>
      </c>
      <c r="G234" t="s">
        <v>18646</v>
      </c>
    </row>
    <row r="235" spans="1:7">
      <c r="A235" t="s">
        <v>18647</v>
      </c>
      <c r="B235" t="s">
        <v>8607</v>
      </c>
      <c r="C235" t="s">
        <v>18648</v>
      </c>
      <c r="D235" s="34" t="s">
        <v>18649</v>
      </c>
      <c r="E235" t="s">
        <v>8618</v>
      </c>
      <c r="F235" t="s">
        <v>18636</v>
      </c>
      <c r="G235" t="s">
        <v>18650</v>
      </c>
    </row>
    <row r="236" spans="1:7">
      <c r="A236" t="s">
        <v>18651</v>
      </c>
      <c r="B236" t="s">
        <v>8626</v>
      </c>
      <c r="D236" s="34" t="s">
        <v>18652</v>
      </c>
      <c r="E236" t="s">
        <v>8618</v>
      </c>
      <c r="F236" t="s">
        <v>11540</v>
      </c>
      <c r="G236" t="s">
        <v>18653</v>
      </c>
    </row>
    <row r="237" spans="1:7">
      <c r="A237" t="s">
        <v>18654</v>
      </c>
      <c r="B237" t="s">
        <v>8607</v>
      </c>
      <c r="C237" t="s">
        <v>12127</v>
      </c>
      <c r="D237" s="34" t="s">
        <v>18652</v>
      </c>
      <c r="E237" t="s">
        <v>8618</v>
      </c>
      <c r="F237" t="s">
        <v>11540</v>
      </c>
      <c r="G237" t="s">
        <v>18625</v>
      </c>
    </row>
    <row r="238" spans="1:7">
      <c r="A238" t="s">
        <v>18655</v>
      </c>
      <c r="B238" t="s">
        <v>8607</v>
      </c>
      <c r="D238" s="34" t="s">
        <v>18652</v>
      </c>
      <c r="E238" t="s">
        <v>8618</v>
      </c>
      <c r="F238" t="s">
        <v>11540</v>
      </c>
      <c r="G238" t="s">
        <v>18656</v>
      </c>
    </row>
    <row r="239" spans="1:7">
      <c r="A239" t="s">
        <v>18657</v>
      </c>
      <c r="B239" t="s">
        <v>8626</v>
      </c>
      <c r="C239" t="s">
        <v>18658</v>
      </c>
      <c r="D239" s="34" t="s">
        <v>18659</v>
      </c>
      <c r="E239" t="s">
        <v>8618</v>
      </c>
      <c r="G239" t="s">
        <v>18660</v>
      </c>
    </row>
    <row r="240" spans="1:7">
      <c r="A240" t="s">
        <v>18661</v>
      </c>
      <c r="B240" t="s">
        <v>8607</v>
      </c>
      <c r="C240" t="s">
        <v>18662</v>
      </c>
      <c r="D240" s="34" t="s">
        <v>18663</v>
      </c>
      <c r="E240" t="s">
        <v>8618</v>
      </c>
      <c r="G240" t="s">
        <v>18664</v>
      </c>
    </row>
    <row r="241" spans="1:7">
      <c r="A241" t="s">
        <v>18665</v>
      </c>
      <c r="B241" t="s">
        <v>8607</v>
      </c>
      <c r="D241" s="34" t="s">
        <v>18666</v>
      </c>
      <c r="E241" t="s">
        <v>8618</v>
      </c>
      <c r="F241" t="s">
        <v>18667</v>
      </c>
      <c r="G241" t="s">
        <v>18668</v>
      </c>
    </row>
    <row r="242" spans="1:7">
      <c r="A242" t="s">
        <v>18669</v>
      </c>
      <c r="B242" t="s">
        <v>8607</v>
      </c>
      <c r="D242" s="34" t="s">
        <v>18670</v>
      </c>
      <c r="E242" t="s">
        <v>8618</v>
      </c>
      <c r="G242" t="s">
        <v>18671</v>
      </c>
    </row>
    <row r="243" spans="1:7">
      <c r="A243" t="s">
        <v>18672</v>
      </c>
      <c r="B243" t="s">
        <v>8607</v>
      </c>
      <c r="D243" s="34" t="s">
        <v>18673</v>
      </c>
      <c r="E243" t="s">
        <v>8618</v>
      </c>
      <c r="F243" t="s">
        <v>18674</v>
      </c>
      <c r="G243" t="s">
        <v>18675</v>
      </c>
    </row>
    <row r="244" spans="1:7">
      <c r="A244" t="s">
        <v>18676</v>
      </c>
      <c r="B244" t="s">
        <v>8607</v>
      </c>
      <c r="D244" s="34" t="s">
        <v>18677</v>
      </c>
      <c r="E244" t="s">
        <v>8618</v>
      </c>
      <c r="F244" t="s">
        <v>18674</v>
      </c>
      <c r="G244" t="s">
        <v>18678</v>
      </c>
    </row>
    <row r="245" spans="1:7">
      <c r="A245" t="s">
        <v>18679</v>
      </c>
      <c r="B245" t="s">
        <v>8626</v>
      </c>
      <c r="D245" s="34" t="s">
        <v>18677</v>
      </c>
      <c r="E245" t="s">
        <v>8618</v>
      </c>
      <c r="F245" t="s">
        <v>18674</v>
      </c>
      <c r="G245" t="s">
        <v>18680</v>
      </c>
    </row>
    <row r="246" spans="1:7">
      <c r="A246" t="s">
        <v>18681</v>
      </c>
      <c r="B246" t="s">
        <v>8607</v>
      </c>
      <c r="C246" t="s">
        <v>18682</v>
      </c>
      <c r="D246" s="34" t="s">
        <v>18683</v>
      </c>
      <c r="E246" t="s">
        <v>8618</v>
      </c>
      <c r="G246" t="s">
        <v>18684</v>
      </c>
    </row>
    <row r="247" spans="1:7">
      <c r="A247" t="s">
        <v>18685</v>
      </c>
      <c r="B247" t="s">
        <v>8607</v>
      </c>
      <c r="D247" s="34" t="s">
        <v>18686</v>
      </c>
      <c r="E247" t="s">
        <v>8618</v>
      </c>
      <c r="F247" t="s">
        <v>8629</v>
      </c>
      <c r="G247" t="s">
        <v>18687</v>
      </c>
    </row>
    <row r="248" spans="1:7">
      <c r="A248" t="s">
        <v>18688</v>
      </c>
      <c r="B248" t="s">
        <v>8607</v>
      </c>
      <c r="D248" s="34" t="s">
        <v>18686</v>
      </c>
      <c r="E248" t="s">
        <v>8618</v>
      </c>
      <c r="F248" t="s">
        <v>8629</v>
      </c>
      <c r="G248" t="s">
        <v>18689</v>
      </c>
    </row>
    <row r="249" spans="1:7">
      <c r="A249" t="s">
        <v>18690</v>
      </c>
      <c r="B249" t="s">
        <v>8607</v>
      </c>
      <c r="C249" t="s">
        <v>18691</v>
      </c>
      <c r="D249" s="34" t="s">
        <v>18692</v>
      </c>
      <c r="E249" t="s">
        <v>8618</v>
      </c>
      <c r="F249" t="s">
        <v>18693</v>
      </c>
      <c r="G249" t="s">
        <v>18694</v>
      </c>
    </row>
    <row r="250" spans="1:7">
      <c r="A250" t="s">
        <v>18695</v>
      </c>
      <c r="B250" t="s">
        <v>8626</v>
      </c>
      <c r="C250" t="s">
        <v>18691</v>
      </c>
      <c r="D250" s="34" t="s">
        <v>18692</v>
      </c>
      <c r="E250" t="s">
        <v>8618</v>
      </c>
      <c r="F250" t="s">
        <v>18693</v>
      </c>
      <c r="G250" t="s">
        <v>18696</v>
      </c>
    </row>
    <row r="251" spans="1:7">
      <c r="A251" t="s">
        <v>18697</v>
      </c>
      <c r="B251" t="s">
        <v>8607</v>
      </c>
      <c r="C251" t="s">
        <v>18691</v>
      </c>
      <c r="D251" s="34" t="s">
        <v>18698</v>
      </c>
      <c r="E251" t="s">
        <v>8618</v>
      </c>
      <c r="F251" t="s">
        <v>18693</v>
      </c>
      <c r="G251" t="s">
        <v>18699</v>
      </c>
    </row>
    <row r="252" spans="1:7">
      <c r="A252" t="s">
        <v>18700</v>
      </c>
      <c r="B252" t="s">
        <v>8607</v>
      </c>
      <c r="D252" s="34" t="s">
        <v>18701</v>
      </c>
      <c r="E252" t="s">
        <v>8618</v>
      </c>
      <c r="F252" t="s">
        <v>18693</v>
      </c>
      <c r="G252" t="s">
        <v>18702</v>
      </c>
    </row>
    <row r="253" spans="1:7">
      <c r="A253" t="s">
        <v>18703</v>
      </c>
      <c r="B253" t="s">
        <v>8607</v>
      </c>
      <c r="D253" s="34" t="s">
        <v>18704</v>
      </c>
      <c r="E253" t="s">
        <v>8618</v>
      </c>
      <c r="F253" t="s">
        <v>18705</v>
      </c>
      <c r="G253" t="s">
        <v>18706</v>
      </c>
    </row>
    <row r="254" spans="1:7">
      <c r="A254" t="s">
        <v>18707</v>
      </c>
      <c r="B254" t="s">
        <v>8626</v>
      </c>
      <c r="D254" s="34" t="s">
        <v>18704</v>
      </c>
      <c r="E254" t="s">
        <v>8618</v>
      </c>
      <c r="F254" t="s">
        <v>18705</v>
      </c>
      <c r="G254" t="s">
        <v>18708</v>
      </c>
    </row>
    <row r="255" spans="1:7">
      <c r="A255" t="s">
        <v>18709</v>
      </c>
      <c r="B255" t="s">
        <v>8607</v>
      </c>
      <c r="D255" s="34" t="s">
        <v>18704</v>
      </c>
      <c r="E255" t="s">
        <v>8618</v>
      </c>
      <c r="F255" t="s">
        <v>18705</v>
      </c>
      <c r="G255" t="s">
        <v>18710</v>
      </c>
    </row>
    <row r="256" spans="1:7">
      <c r="A256" t="s">
        <v>18711</v>
      </c>
      <c r="B256" t="s">
        <v>8626</v>
      </c>
      <c r="D256" s="34" t="s">
        <v>18704</v>
      </c>
      <c r="E256" t="s">
        <v>8618</v>
      </c>
      <c r="F256" t="s">
        <v>18705</v>
      </c>
      <c r="G256" t="s">
        <v>18712</v>
      </c>
    </row>
    <row r="257" spans="1:7">
      <c r="A257" t="s">
        <v>18713</v>
      </c>
      <c r="B257" t="s">
        <v>8626</v>
      </c>
      <c r="D257" s="34" t="s">
        <v>18704</v>
      </c>
      <c r="E257" t="s">
        <v>8618</v>
      </c>
      <c r="F257" t="s">
        <v>18705</v>
      </c>
      <c r="G257" t="s">
        <v>18714</v>
      </c>
    </row>
    <row r="258" spans="1:7">
      <c r="A258" t="s">
        <v>18715</v>
      </c>
      <c r="B258" t="s">
        <v>8607</v>
      </c>
      <c r="C258" t="s">
        <v>18691</v>
      </c>
      <c r="D258" s="34" t="s">
        <v>18716</v>
      </c>
      <c r="E258" t="s">
        <v>8618</v>
      </c>
      <c r="F258" t="s">
        <v>18693</v>
      </c>
      <c r="G258" t="s">
        <v>18699</v>
      </c>
    </row>
    <row r="259" spans="1:7">
      <c r="A259" t="s">
        <v>18717</v>
      </c>
      <c r="B259" t="s">
        <v>8607</v>
      </c>
      <c r="C259" t="s">
        <v>18691</v>
      </c>
      <c r="D259" s="34" t="s">
        <v>18716</v>
      </c>
      <c r="E259" t="s">
        <v>8618</v>
      </c>
      <c r="F259" t="s">
        <v>18693</v>
      </c>
      <c r="G259" t="s">
        <v>18699</v>
      </c>
    </row>
    <row r="260" spans="1:7">
      <c r="A260" t="s">
        <v>18718</v>
      </c>
      <c r="B260" t="s">
        <v>8626</v>
      </c>
      <c r="C260" t="s">
        <v>18691</v>
      </c>
      <c r="D260" s="34" t="s">
        <v>18716</v>
      </c>
      <c r="E260" t="s">
        <v>8618</v>
      </c>
      <c r="F260" t="s">
        <v>18693</v>
      </c>
      <c r="G260" t="s">
        <v>18696</v>
      </c>
    </row>
    <row r="261" spans="1:7">
      <c r="A261" t="s">
        <v>18719</v>
      </c>
      <c r="B261" t="s">
        <v>8607</v>
      </c>
      <c r="C261" t="s">
        <v>18691</v>
      </c>
      <c r="D261" s="34" t="s">
        <v>18716</v>
      </c>
      <c r="E261" t="s">
        <v>8618</v>
      </c>
      <c r="F261" t="s">
        <v>18693</v>
      </c>
      <c r="G261" t="s">
        <v>18720</v>
      </c>
    </row>
    <row r="262" spans="1:7">
      <c r="A262" t="s">
        <v>18721</v>
      </c>
      <c r="B262" t="s">
        <v>8607</v>
      </c>
      <c r="C262" t="s">
        <v>18691</v>
      </c>
      <c r="D262" s="34" t="s">
        <v>18716</v>
      </c>
      <c r="E262" t="s">
        <v>8618</v>
      </c>
      <c r="F262" t="s">
        <v>18693</v>
      </c>
      <c r="G262" t="s">
        <v>18722</v>
      </c>
    </row>
    <row r="263" spans="1:7">
      <c r="A263" t="s">
        <v>18723</v>
      </c>
      <c r="B263" t="s">
        <v>8607</v>
      </c>
      <c r="C263" t="s">
        <v>18691</v>
      </c>
      <c r="D263" s="34" t="s">
        <v>18716</v>
      </c>
      <c r="E263" t="s">
        <v>8618</v>
      </c>
      <c r="F263" t="s">
        <v>18693</v>
      </c>
      <c r="G263" t="s">
        <v>18720</v>
      </c>
    </row>
    <row r="264" spans="1:7">
      <c r="A264" t="s">
        <v>18724</v>
      </c>
      <c r="B264" t="s">
        <v>8626</v>
      </c>
      <c r="C264" t="s">
        <v>18691</v>
      </c>
      <c r="D264" s="34" t="s">
        <v>18716</v>
      </c>
      <c r="E264" t="s">
        <v>8618</v>
      </c>
      <c r="F264" t="s">
        <v>18693</v>
      </c>
      <c r="G264" t="s">
        <v>18725</v>
      </c>
    </row>
    <row r="265" spans="1:7">
      <c r="A265" t="s">
        <v>18726</v>
      </c>
      <c r="B265" t="s">
        <v>8607</v>
      </c>
      <c r="D265" s="34" t="s">
        <v>18727</v>
      </c>
      <c r="E265" t="s">
        <v>8618</v>
      </c>
      <c r="F265" t="s">
        <v>18693</v>
      </c>
      <c r="G265" t="s">
        <v>18728</v>
      </c>
    </row>
    <row r="266" spans="1:7">
      <c r="A266" t="s">
        <v>18729</v>
      </c>
      <c r="B266" t="s">
        <v>8607</v>
      </c>
      <c r="D266" s="34" t="s">
        <v>18727</v>
      </c>
      <c r="E266" t="s">
        <v>8618</v>
      </c>
      <c r="F266" t="s">
        <v>18693</v>
      </c>
      <c r="G266" t="s">
        <v>18728</v>
      </c>
    </row>
    <row r="267" spans="1:7">
      <c r="A267" t="s">
        <v>18730</v>
      </c>
      <c r="B267" t="s">
        <v>8607</v>
      </c>
      <c r="D267" s="34" t="s">
        <v>18727</v>
      </c>
      <c r="E267" t="s">
        <v>8618</v>
      </c>
      <c r="F267" t="s">
        <v>18693</v>
      </c>
      <c r="G267" t="s">
        <v>18728</v>
      </c>
    </row>
    <row r="268" spans="1:7">
      <c r="A268" t="s">
        <v>18731</v>
      </c>
      <c r="B268" t="s">
        <v>8607</v>
      </c>
      <c r="C268" t="s">
        <v>18691</v>
      </c>
      <c r="D268" s="34" t="s">
        <v>18727</v>
      </c>
      <c r="E268" t="s">
        <v>8618</v>
      </c>
      <c r="F268" t="s">
        <v>18693</v>
      </c>
      <c r="G268" t="s">
        <v>18732</v>
      </c>
    </row>
    <row r="269" spans="1:7">
      <c r="A269" t="s">
        <v>18733</v>
      </c>
      <c r="B269" t="s">
        <v>8607</v>
      </c>
      <c r="C269" t="s">
        <v>18691</v>
      </c>
      <c r="D269" s="34" t="s">
        <v>18727</v>
      </c>
      <c r="E269" t="s">
        <v>8618</v>
      </c>
      <c r="F269" t="s">
        <v>18693</v>
      </c>
      <c r="G269" t="s">
        <v>18734</v>
      </c>
    </row>
    <row r="270" spans="1:7">
      <c r="A270" t="s">
        <v>18735</v>
      </c>
      <c r="B270" t="s">
        <v>8607</v>
      </c>
      <c r="D270" s="34" t="s">
        <v>18727</v>
      </c>
      <c r="E270" t="s">
        <v>8618</v>
      </c>
      <c r="F270" t="s">
        <v>18693</v>
      </c>
      <c r="G270" t="s">
        <v>18728</v>
      </c>
    </row>
    <row r="271" spans="1:7">
      <c r="A271" t="s">
        <v>18736</v>
      </c>
      <c r="B271" t="s">
        <v>8607</v>
      </c>
      <c r="D271" s="34" t="s">
        <v>18727</v>
      </c>
      <c r="E271" t="s">
        <v>8618</v>
      </c>
      <c r="F271" t="s">
        <v>18693</v>
      </c>
      <c r="G271" t="s">
        <v>18737</v>
      </c>
    </row>
    <row r="272" spans="1:7">
      <c r="A272" t="s">
        <v>18738</v>
      </c>
      <c r="B272" t="s">
        <v>8626</v>
      </c>
      <c r="C272" t="s">
        <v>18691</v>
      </c>
      <c r="D272" s="34" t="s">
        <v>18727</v>
      </c>
      <c r="E272" t="s">
        <v>8618</v>
      </c>
      <c r="F272" t="s">
        <v>18693</v>
      </c>
      <c r="G272" t="s">
        <v>18739</v>
      </c>
    </row>
    <row r="273" spans="1:7">
      <c r="A273" t="s">
        <v>18740</v>
      </c>
      <c r="B273" t="s">
        <v>8607</v>
      </c>
      <c r="D273" s="34" t="s">
        <v>18727</v>
      </c>
      <c r="E273" t="s">
        <v>8618</v>
      </c>
      <c r="F273" t="s">
        <v>18693</v>
      </c>
      <c r="G273" t="s">
        <v>18728</v>
      </c>
    </row>
    <row r="274" spans="1:7">
      <c r="A274" t="s">
        <v>18741</v>
      </c>
      <c r="B274" t="s">
        <v>8607</v>
      </c>
      <c r="D274" s="34" t="s">
        <v>18727</v>
      </c>
      <c r="E274" t="s">
        <v>8618</v>
      </c>
      <c r="F274" t="s">
        <v>18693</v>
      </c>
      <c r="G274" t="s">
        <v>18728</v>
      </c>
    </row>
    <row r="275" spans="1:7">
      <c r="A275" t="s">
        <v>18742</v>
      </c>
      <c r="B275" t="s">
        <v>8607</v>
      </c>
      <c r="D275" s="34" t="s">
        <v>18727</v>
      </c>
      <c r="E275" t="s">
        <v>8618</v>
      </c>
      <c r="F275" t="s">
        <v>18693</v>
      </c>
      <c r="G275" t="s">
        <v>18728</v>
      </c>
    </row>
    <row r="276" spans="1:7">
      <c r="A276" t="s">
        <v>18743</v>
      </c>
      <c r="B276" t="s">
        <v>8607</v>
      </c>
      <c r="C276" t="s">
        <v>18691</v>
      </c>
      <c r="D276" s="34" t="s">
        <v>18727</v>
      </c>
      <c r="E276" t="s">
        <v>8618</v>
      </c>
      <c r="F276" t="s">
        <v>18693</v>
      </c>
      <c r="G276" t="s">
        <v>18734</v>
      </c>
    </row>
    <row r="277" spans="1:7">
      <c r="A277" t="s">
        <v>18744</v>
      </c>
      <c r="B277" t="s">
        <v>8607</v>
      </c>
      <c r="D277" s="34" t="s">
        <v>18727</v>
      </c>
      <c r="E277" t="s">
        <v>8618</v>
      </c>
      <c r="F277" t="s">
        <v>18693</v>
      </c>
      <c r="G277" t="s">
        <v>18728</v>
      </c>
    </row>
    <row r="278" spans="1:7">
      <c r="A278" t="s">
        <v>18745</v>
      </c>
      <c r="B278" t="s">
        <v>8626</v>
      </c>
      <c r="D278" s="34" t="s">
        <v>18746</v>
      </c>
      <c r="E278" t="s">
        <v>8618</v>
      </c>
      <c r="F278" t="s">
        <v>18693</v>
      </c>
      <c r="G278" t="s">
        <v>18747</v>
      </c>
    </row>
    <row r="279" spans="1:7">
      <c r="A279" t="s">
        <v>18748</v>
      </c>
      <c r="B279" t="s">
        <v>8607</v>
      </c>
      <c r="C279" t="s">
        <v>18691</v>
      </c>
      <c r="D279" s="34" t="s">
        <v>18749</v>
      </c>
      <c r="E279" t="s">
        <v>8618</v>
      </c>
      <c r="F279" t="s">
        <v>18693</v>
      </c>
      <c r="G279" t="s">
        <v>18750</v>
      </c>
    </row>
    <row r="280" spans="1:7">
      <c r="A280" t="s">
        <v>18751</v>
      </c>
      <c r="B280" t="s">
        <v>8607</v>
      </c>
      <c r="C280" t="s">
        <v>18691</v>
      </c>
      <c r="D280" s="34" t="s">
        <v>18749</v>
      </c>
      <c r="E280" t="s">
        <v>8618</v>
      </c>
      <c r="F280" t="s">
        <v>18693</v>
      </c>
      <c r="G280" t="s">
        <v>18699</v>
      </c>
    </row>
    <row r="281" spans="1:7">
      <c r="A281" t="s">
        <v>18752</v>
      </c>
      <c r="B281" t="s">
        <v>8607</v>
      </c>
      <c r="C281" t="s">
        <v>18691</v>
      </c>
      <c r="D281" s="34" t="s">
        <v>18749</v>
      </c>
      <c r="E281" t="s">
        <v>8618</v>
      </c>
      <c r="F281" t="s">
        <v>18693</v>
      </c>
      <c r="G281" t="s">
        <v>18699</v>
      </c>
    </row>
    <row r="282" spans="1:7">
      <c r="A282" t="s">
        <v>18753</v>
      </c>
      <c r="B282" t="s">
        <v>8607</v>
      </c>
      <c r="D282" s="34" t="s">
        <v>18754</v>
      </c>
      <c r="E282" t="s">
        <v>8618</v>
      </c>
      <c r="F282" t="s">
        <v>18755</v>
      </c>
      <c r="G282" t="s">
        <v>18756</v>
      </c>
    </row>
    <row r="283" spans="1:7">
      <c r="A283" t="s">
        <v>18757</v>
      </c>
      <c r="B283" t="s">
        <v>8607</v>
      </c>
      <c r="C283" t="s">
        <v>18758</v>
      </c>
      <c r="D283" s="34" t="s">
        <v>18754</v>
      </c>
      <c r="E283" t="s">
        <v>8618</v>
      </c>
      <c r="F283" t="s">
        <v>18755</v>
      </c>
      <c r="G283" t="s">
        <v>18756</v>
      </c>
    </row>
    <row r="284" spans="1:7">
      <c r="A284" t="s">
        <v>18759</v>
      </c>
      <c r="B284" t="s">
        <v>8607</v>
      </c>
      <c r="C284" t="s">
        <v>9515</v>
      </c>
      <c r="D284" s="34" t="s">
        <v>18760</v>
      </c>
      <c r="E284" t="s">
        <v>8618</v>
      </c>
      <c r="F284" t="s">
        <v>9517</v>
      </c>
      <c r="G284" t="s">
        <v>18761</v>
      </c>
    </row>
    <row r="285" spans="1:7">
      <c r="A285" t="s">
        <v>18762</v>
      </c>
      <c r="B285" t="s">
        <v>8607</v>
      </c>
      <c r="C285" t="s">
        <v>9648</v>
      </c>
      <c r="D285" s="34" t="s">
        <v>18760</v>
      </c>
      <c r="E285" t="s">
        <v>8618</v>
      </c>
      <c r="F285" t="s">
        <v>9517</v>
      </c>
      <c r="G285" t="s">
        <v>18763</v>
      </c>
    </row>
    <row r="286" spans="1:7">
      <c r="A286" t="s">
        <v>18764</v>
      </c>
      <c r="B286" t="s">
        <v>8607</v>
      </c>
      <c r="C286" t="s">
        <v>9648</v>
      </c>
      <c r="D286" s="34" t="s">
        <v>18760</v>
      </c>
      <c r="E286" t="s">
        <v>8618</v>
      </c>
      <c r="F286" t="s">
        <v>9517</v>
      </c>
      <c r="G286" t="s">
        <v>18763</v>
      </c>
    </row>
    <row r="287" spans="1:7">
      <c r="A287" t="s">
        <v>18765</v>
      </c>
      <c r="B287" t="s">
        <v>8626</v>
      </c>
      <c r="C287" t="s">
        <v>18766</v>
      </c>
      <c r="D287" s="34" t="s">
        <v>18760</v>
      </c>
      <c r="E287" t="s">
        <v>8618</v>
      </c>
      <c r="F287" t="s">
        <v>9517</v>
      </c>
      <c r="G287" t="s">
        <v>18767</v>
      </c>
    </row>
    <row r="288" spans="1:7">
      <c r="A288" t="s">
        <v>18768</v>
      </c>
      <c r="B288" t="s">
        <v>8626</v>
      </c>
      <c r="C288" t="s">
        <v>9515</v>
      </c>
      <c r="D288" s="34" t="s">
        <v>18760</v>
      </c>
      <c r="E288" t="s">
        <v>8618</v>
      </c>
      <c r="F288" t="s">
        <v>9517</v>
      </c>
      <c r="G288" t="s">
        <v>18767</v>
      </c>
    </row>
    <row r="289" spans="1:7">
      <c r="A289" t="s">
        <v>18769</v>
      </c>
      <c r="B289" t="s">
        <v>8607</v>
      </c>
      <c r="C289" t="s">
        <v>18770</v>
      </c>
      <c r="D289" s="34" t="s">
        <v>18760</v>
      </c>
      <c r="E289" t="s">
        <v>8618</v>
      </c>
      <c r="F289" t="s">
        <v>9517</v>
      </c>
      <c r="G289" t="s">
        <v>18771</v>
      </c>
    </row>
    <row r="290" spans="1:7">
      <c r="A290" t="s">
        <v>18772</v>
      </c>
      <c r="B290" t="s">
        <v>8626</v>
      </c>
      <c r="C290" t="s">
        <v>18770</v>
      </c>
      <c r="D290" s="34" t="s">
        <v>18760</v>
      </c>
      <c r="E290" t="s">
        <v>8618</v>
      </c>
      <c r="F290" t="s">
        <v>9517</v>
      </c>
      <c r="G290" t="s">
        <v>18767</v>
      </c>
    </row>
    <row r="291" spans="1:7">
      <c r="A291" t="s">
        <v>18773</v>
      </c>
      <c r="B291" t="s">
        <v>8607</v>
      </c>
      <c r="C291" t="s">
        <v>18774</v>
      </c>
      <c r="D291" s="34" t="s">
        <v>18760</v>
      </c>
      <c r="E291" t="s">
        <v>8618</v>
      </c>
      <c r="F291" t="s">
        <v>9517</v>
      </c>
      <c r="G291" t="s">
        <v>18775</v>
      </c>
    </row>
    <row r="292" spans="1:7">
      <c r="A292" t="s">
        <v>18776</v>
      </c>
      <c r="B292" t="s">
        <v>8607</v>
      </c>
      <c r="C292" t="s">
        <v>9648</v>
      </c>
      <c r="D292" s="34" t="s">
        <v>18760</v>
      </c>
      <c r="E292" t="s">
        <v>8618</v>
      </c>
      <c r="F292" t="s">
        <v>18777</v>
      </c>
      <c r="G292" t="s">
        <v>18778</v>
      </c>
    </row>
    <row r="293" spans="1:7">
      <c r="A293" t="s">
        <v>18779</v>
      </c>
      <c r="B293" t="s">
        <v>8607</v>
      </c>
      <c r="C293" t="s">
        <v>18766</v>
      </c>
      <c r="D293" s="34" t="s">
        <v>18760</v>
      </c>
      <c r="E293" t="s">
        <v>8618</v>
      </c>
      <c r="F293" t="s">
        <v>9517</v>
      </c>
      <c r="G293" t="s">
        <v>18763</v>
      </c>
    </row>
    <row r="294" spans="1:7">
      <c r="A294" t="s">
        <v>18780</v>
      </c>
      <c r="B294" t="s">
        <v>8607</v>
      </c>
      <c r="C294" t="s">
        <v>9515</v>
      </c>
      <c r="D294" s="34" t="s">
        <v>18760</v>
      </c>
      <c r="E294" t="s">
        <v>8618</v>
      </c>
      <c r="F294" t="s">
        <v>9517</v>
      </c>
      <c r="G294" t="s">
        <v>18763</v>
      </c>
    </row>
    <row r="295" spans="1:7">
      <c r="A295" t="s">
        <v>18781</v>
      </c>
      <c r="B295" t="s">
        <v>8607</v>
      </c>
      <c r="C295" t="s">
        <v>9648</v>
      </c>
      <c r="D295" s="34" t="s">
        <v>18760</v>
      </c>
      <c r="E295" t="s">
        <v>8618</v>
      </c>
      <c r="F295" t="s">
        <v>9517</v>
      </c>
      <c r="G295" t="s">
        <v>18782</v>
      </c>
    </row>
    <row r="296" spans="1:7">
      <c r="A296" t="s">
        <v>18783</v>
      </c>
      <c r="B296" t="s">
        <v>8607</v>
      </c>
      <c r="C296" t="s">
        <v>9648</v>
      </c>
      <c r="D296" s="34" t="s">
        <v>18760</v>
      </c>
      <c r="E296" t="s">
        <v>8618</v>
      </c>
      <c r="F296" t="s">
        <v>9517</v>
      </c>
      <c r="G296" t="s">
        <v>18763</v>
      </c>
    </row>
    <row r="297" spans="1:7">
      <c r="A297" t="s">
        <v>18784</v>
      </c>
      <c r="B297" t="s">
        <v>8626</v>
      </c>
      <c r="C297" t="s">
        <v>18766</v>
      </c>
      <c r="D297" s="34" t="s">
        <v>18760</v>
      </c>
      <c r="E297" t="s">
        <v>8618</v>
      </c>
      <c r="F297" t="s">
        <v>9517</v>
      </c>
      <c r="G297" t="s">
        <v>18767</v>
      </c>
    </row>
    <row r="298" spans="1:7">
      <c r="A298" t="s">
        <v>18785</v>
      </c>
      <c r="B298" t="s">
        <v>8607</v>
      </c>
      <c r="C298" t="s">
        <v>18786</v>
      </c>
      <c r="D298" s="34" t="s">
        <v>18787</v>
      </c>
      <c r="E298" t="s">
        <v>8618</v>
      </c>
      <c r="F298" t="s">
        <v>9517</v>
      </c>
      <c r="G298" t="s">
        <v>18788</v>
      </c>
    </row>
    <row r="299" spans="1:7">
      <c r="A299" t="s">
        <v>18789</v>
      </c>
      <c r="B299" t="s">
        <v>8607</v>
      </c>
      <c r="C299" t="s">
        <v>18774</v>
      </c>
      <c r="D299" s="34" t="s">
        <v>18787</v>
      </c>
      <c r="E299" t="s">
        <v>8618</v>
      </c>
      <c r="F299" t="s">
        <v>9517</v>
      </c>
      <c r="G299" t="s">
        <v>18788</v>
      </c>
    </row>
    <row r="300" spans="1:7">
      <c r="A300" t="s">
        <v>18790</v>
      </c>
      <c r="B300" t="s">
        <v>8607</v>
      </c>
      <c r="C300" t="s">
        <v>9648</v>
      </c>
      <c r="D300" s="34" t="s">
        <v>18787</v>
      </c>
      <c r="E300" t="s">
        <v>8618</v>
      </c>
      <c r="F300" t="s">
        <v>9517</v>
      </c>
      <c r="G300" t="s">
        <v>18788</v>
      </c>
    </row>
    <row r="301" spans="1:7">
      <c r="A301" t="s">
        <v>18791</v>
      </c>
      <c r="B301" t="s">
        <v>8607</v>
      </c>
      <c r="C301" t="s">
        <v>9648</v>
      </c>
      <c r="D301" s="34" t="s">
        <v>18787</v>
      </c>
      <c r="E301" t="s">
        <v>8618</v>
      </c>
      <c r="F301" t="s">
        <v>9517</v>
      </c>
      <c r="G301" t="s">
        <v>18792</v>
      </c>
    </row>
    <row r="302" spans="1:7">
      <c r="A302" t="s">
        <v>18793</v>
      </c>
      <c r="B302" t="s">
        <v>8607</v>
      </c>
      <c r="C302" t="s">
        <v>18774</v>
      </c>
      <c r="D302" s="34" t="s">
        <v>18787</v>
      </c>
      <c r="E302" t="s">
        <v>8618</v>
      </c>
      <c r="F302" t="s">
        <v>9517</v>
      </c>
      <c r="G302" t="s">
        <v>18792</v>
      </c>
    </row>
    <row r="303" spans="1:7">
      <c r="A303" t="s">
        <v>18794</v>
      </c>
      <c r="B303" t="s">
        <v>8607</v>
      </c>
      <c r="C303" t="s">
        <v>9648</v>
      </c>
      <c r="D303" s="34" t="s">
        <v>18787</v>
      </c>
      <c r="E303" t="s">
        <v>8618</v>
      </c>
      <c r="F303" t="s">
        <v>9517</v>
      </c>
      <c r="G303" t="s">
        <v>18792</v>
      </c>
    </row>
    <row r="304" spans="1:7">
      <c r="A304" t="s">
        <v>18795</v>
      </c>
      <c r="B304" t="s">
        <v>8607</v>
      </c>
      <c r="C304" t="s">
        <v>18774</v>
      </c>
      <c r="D304" s="34" t="s">
        <v>18787</v>
      </c>
      <c r="E304" t="s">
        <v>8618</v>
      </c>
      <c r="F304" t="s">
        <v>9517</v>
      </c>
      <c r="G304" t="s">
        <v>18792</v>
      </c>
    </row>
    <row r="305" spans="1:7">
      <c r="A305" t="s">
        <v>18796</v>
      </c>
      <c r="B305" t="s">
        <v>8607</v>
      </c>
      <c r="C305" t="s">
        <v>18774</v>
      </c>
      <c r="D305" s="34" t="s">
        <v>18787</v>
      </c>
      <c r="E305" t="s">
        <v>8618</v>
      </c>
      <c r="F305" t="s">
        <v>9517</v>
      </c>
      <c r="G305" t="s">
        <v>18792</v>
      </c>
    </row>
    <row r="306" spans="1:7">
      <c r="A306" t="s">
        <v>18797</v>
      </c>
      <c r="B306" t="s">
        <v>8607</v>
      </c>
      <c r="C306" t="s">
        <v>18774</v>
      </c>
      <c r="D306" s="34" t="s">
        <v>18787</v>
      </c>
      <c r="E306" t="s">
        <v>8618</v>
      </c>
      <c r="F306" t="s">
        <v>9517</v>
      </c>
      <c r="G306" t="s">
        <v>18792</v>
      </c>
    </row>
    <row r="307" spans="1:7">
      <c r="A307" t="s">
        <v>18798</v>
      </c>
      <c r="B307" t="s">
        <v>8607</v>
      </c>
      <c r="C307" t="s">
        <v>9515</v>
      </c>
      <c r="D307" s="34" t="s">
        <v>18787</v>
      </c>
      <c r="E307" t="s">
        <v>8618</v>
      </c>
      <c r="F307" t="s">
        <v>9517</v>
      </c>
      <c r="G307" t="s">
        <v>18799</v>
      </c>
    </row>
    <row r="308" spans="1:7">
      <c r="A308" t="s">
        <v>18800</v>
      </c>
      <c r="B308" t="s">
        <v>8607</v>
      </c>
      <c r="C308" t="s">
        <v>9648</v>
      </c>
      <c r="D308" s="34" t="s">
        <v>18787</v>
      </c>
      <c r="E308" t="s">
        <v>8618</v>
      </c>
      <c r="F308" t="s">
        <v>9517</v>
      </c>
      <c r="G308" t="s">
        <v>18792</v>
      </c>
    </row>
    <row r="309" spans="1:7">
      <c r="A309" t="s">
        <v>18801</v>
      </c>
      <c r="B309" t="s">
        <v>8607</v>
      </c>
      <c r="C309" t="s">
        <v>9515</v>
      </c>
      <c r="D309" s="34" t="s">
        <v>18787</v>
      </c>
      <c r="E309" t="s">
        <v>8618</v>
      </c>
      <c r="F309" t="s">
        <v>9517</v>
      </c>
      <c r="G309" t="s">
        <v>18799</v>
      </c>
    </row>
    <row r="310" spans="1:7">
      <c r="A310" t="s">
        <v>18802</v>
      </c>
      <c r="B310" t="s">
        <v>8607</v>
      </c>
      <c r="C310" t="s">
        <v>18774</v>
      </c>
      <c r="D310" s="34" t="s">
        <v>18787</v>
      </c>
      <c r="E310" t="s">
        <v>8618</v>
      </c>
      <c r="F310" t="s">
        <v>9517</v>
      </c>
      <c r="G310" t="s">
        <v>18788</v>
      </c>
    </row>
    <row r="311" spans="1:7">
      <c r="A311" t="s">
        <v>18803</v>
      </c>
      <c r="B311" t="s">
        <v>8607</v>
      </c>
      <c r="C311" t="s">
        <v>9515</v>
      </c>
      <c r="D311" s="34" t="s">
        <v>18787</v>
      </c>
      <c r="E311" t="s">
        <v>8618</v>
      </c>
      <c r="F311" t="s">
        <v>9517</v>
      </c>
      <c r="G311" t="s">
        <v>18799</v>
      </c>
    </row>
    <row r="312" spans="1:7">
      <c r="A312" t="s">
        <v>18804</v>
      </c>
      <c r="B312" t="s">
        <v>8607</v>
      </c>
      <c r="C312" t="s">
        <v>18774</v>
      </c>
      <c r="D312" s="34" t="s">
        <v>18805</v>
      </c>
      <c r="E312" t="s">
        <v>8618</v>
      </c>
      <c r="F312" t="s">
        <v>9517</v>
      </c>
      <c r="G312" t="s">
        <v>18806</v>
      </c>
    </row>
    <row r="313" spans="1:7">
      <c r="A313" t="s">
        <v>18807</v>
      </c>
      <c r="B313" t="s">
        <v>8607</v>
      </c>
      <c r="C313" t="s">
        <v>18774</v>
      </c>
      <c r="D313" s="34" t="s">
        <v>18805</v>
      </c>
      <c r="E313" t="s">
        <v>8618</v>
      </c>
      <c r="F313" t="s">
        <v>9517</v>
      </c>
      <c r="G313" t="s">
        <v>18799</v>
      </c>
    </row>
    <row r="314" spans="1:7">
      <c r="A314" t="s">
        <v>18808</v>
      </c>
      <c r="B314" t="s">
        <v>8607</v>
      </c>
      <c r="C314" t="s">
        <v>9648</v>
      </c>
      <c r="D314" s="34" t="s">
        <v>18805</v>
      </c>
      <c r="E314" t="s">
        <v>8618</v>
      </c>
      <c r="F314" t="s">
        <v>9517</v>
      </c>
      <c r="G314" t="s">
        <v>18809</v>
      </c>
    </row>
    <row r="315" spans="1:7">
      <c r="A315" t="s">
        <v>18810</v>
      </c>
      <c r="B315" t="s">
        <v>8607</v>
      </c>
      <c r="C315" t="s">
        <v>18774</v>
      </c>
      <c r="D315" s="34" t="s">
        <v>18805</v>
      </c>
      <c r="E315" t="s">
        <v>8618</v>
      </c>
      <c r="F315" t="s">
        <v>9517</v>
      </c>
      <c r="G315" t="s">
        <v>18806</v>
      </c>
    </row>
    <row r="316" spans="1:7">
      <c r="A316" t="s">
        <v>18811</v>
      </c>
      <c r="B316" t="s">
        <v>8607</v>
      </c>
      <c r="C316" t="s">
        <v>18774</v>
      </c>
      <c r="D316" s="34" t="s">
        <v>18805</v>
      </c>
      <c r="E316" t="s">
        <v>8618</v>
      </c>
      <c r="F316" t="s">
        <v>9517</v>
      </c>
      <c r="G316" t="s">
        <v>18806</v>
      </c>
    </row>
    <row r="317" spans="1:7">
      <c r="A317" t="s">
        <v>18812</v>
      </c>
      <c r="B317" t="s">
        <v>8607</v>
      </c>
      <c r="C317" t="s">
        <v>18774</v>
      </c>
      <c r="D317" s="34" t="s">
        <v>18805</v>
      </c>
      <c r="E317" t="s">
        <v>8618</v>
      </c>
      <c r="F317" t="s">
        <v>9517</v>
      </c>
      <c r="G317" t="s">
        <v>18813</v>
      </c>
    </row>
    <row r="318" spans="1:7">
      <c r="A318" t="s">
        <v>18814</v>
      </c>
      <c r="B318" t="s">
        <v>8607</v>
      </c>
      <c r="C318" t="s">
        <v>9648</v>
      </c>
      <c r="D318" s="34" t="s">
        <v>18805</v>
      </c>
      <c r="E318" t="s">
        <v>8618</v>
      </c>
      <c r="F318" t="s">
        <v>9517</v>
      </c>
      <c r="G318" t="s">
        <v>18788</v>
      </c>
    </row>
    <row r="319" spans="1:7">
      <c r="A319" t="s">
        <v>18815</v>
      </c>
      <c r="B319" t="s">
        <v>8607</v>
      </c>
      <c r="C319" t="s">
        <v>18774</v>
      </c>
      <c r="D319" s="34" t="s">
        <v>18805</v>
      </c>
      <c r="E319" t="s">
        <v>8618</v>
      </c>
      <c r="F319" t="s">
        <v>9517</v>
      </c>
      <c r="G319" t="s">
        <v>18816</v>
      </c>
    </row>
    <row r="320" spans="1:7">
      <c r="A320" t="s">
        <v>18817</v>
      </c>
      <c r="B320" t="s">
        <v>8607</v>
      </c>
      <c r="C320" t="s">
        <v>9648</v>
      </c>
      <c r="D320" s="34" t="s">
        <v>18805</v>
      </c>
      <c r="E320" t="s">
        <v>8618</v>
      </c>
      <c r="F320" t="s">
        <v>9517</v>
      </c>
      <c r="G320" t="s">
        <v>18788</v>
      </c>
    </row>
    <row r="321" spans="1:7">
      <c r="A321" t="s">
        <v>18818</v>
      </c>
      <c r="B321" t="s">
        <v>8607</v>
      </c>
      <c r="C321" t="s">
        <v>9648</v>
      </c>
      <c r="D321" s="34" t="s">
        <v>18805</v>
      </c>
      <c r="E321" t="s">
        <v>8618</v>
      </c>
      <c r="F321" t="s">
        <v>9517</v>
      </c>
      <c r="G321" t="s">
        <v>18809</v>
      </c>
    </row>
    <row r="322" spans="1:7">
      <c r="A322" t="s">
        <v>18819</v>
      </c>
      <c r="B322" t="s">
        <v>8607</v>
      </c>
      <c r="C322" t="s">
        <v>18774</v>
      </c>
      <c r="D322" s="34" t="s">
        <v>18805</v>
      </c>
      <c r="E322" t="s">
        <v>8618</v>
      </c>
      <c r="F322" t="s">
        <v>9517</v>
      </c>
      <c r="G322" t="s">
        <v>18813</v>
      </c>
    </row>
    <row r="323" spans="1:7">
      <c r="A323" t="s">
        <v>18820</v>
      </c>
      <c r="B323" t="s">
        <v>8607</v>
      </c>
      <c r="C323" t="s">
        <v>18774</v>
      </c>
      <c r="D323" s="34" t="s">
        <v>18805</v>
      </c>
      <c r="E323" t="s">
        <v>8618</v>
      </c>
      <c r="F323" t="s">
        <v>9517</v>
      </c>
      <c r="G323" t="s">
        <v>18821</v>
      </c>
    </row>
    <row r="324" spans="1:7">
      <c r="A324" t="s">
        <v>18822</v>
      </c>
      <c r="B324" t="s">
        <v>8607</v>
      </c>
      <c r="C324" t="s">
        <v>18774</v>
      </c>
      <c r="D324" s="34" t="s">
        <v>18805</v>
      </c>
      <c r="E324" t="s">
        <v>8618</v>
      </c>
      <c r="F324" t="s">
        <v>9517</v>
      </c>
      <c r="G324" t="s">
        <v>18813</v>
      </c>
    </row>
    <row r="325" spans="1:7">
      <c r="A325" t="s">
        <v>18823</v>
      </c>
      <c r="B325" t="s">
        <v>8607</v>
      </c>
      <c r="C325" t="s">
        <v>18774</v>
      </c>
      <c r="D325" s="34" t="s">
        <v>18805</v>
      </c>
      <c r="E325" t="s">
        <v>8618</v>
      </c>
      <c r="F325" t="s">
        <v>9517</v>
      </c>
      <c r="G325" t="s">
        <v>18806</v>
      </c>
    </row>
    <row r="326" spans="1:7">
      <c r="A326" t="s">
        <v>18824</v>
      </c>
      <c r="B326" t="s">
        <v>8607</v>
      </c>
      <c r="C326" t="s">
        <v>18774</v>
      </c>
      <c r="D326" s="34" t="s">
        <v>18805</v>
      </c>
      <c r="E326" t="s">
        <v>8618</v>
      </c>
      <c r="F326" t="s">
        <v>9517</v>
      </c>
      <c r="G326" t="s">
        <v>18806</v>
      </c>
    </row>
    <row r="327" spans="1:7">
      <c r="A327" t="s">
        <v>18825</v>
      </c>
      <c r="B327" t="s">
        <v>8607</v>
      </c>
      <c r="C327" t="s">
        <v>18774</v>
      </c>
      <c r="D327" s="34" t="s">
        <v>18805</v>
      </c>
      <c r="E327" t="s">
        <v>8618</v>
      </c>
      <c r="F327" t="s">
        <v>9517</v>
      </c>
      <c r="G327" t="s">
        <v>18806</v>
      </c>
    </row>
    <row r="328" spans="1:7">
      <c r="A328" t="s">
        <v>18826</v>
      </c>
      <c r="B328" t="s">
        <v>8607</v>
      </c>
      <c r="C328" t="s">
        <v>18774</v>
      </c>
      <c r="D328" s="34" t="s">
        <v>18805</v>
      </c>
      <c r="E328" t="s">
        <v>8618</v>
      </c>
      <c r="F328" t="s">
        <v>9517</v>
      </c>
      <c r="G328" t="s">
        <v>18806</v>
      </c>
    </row>
    <row r="329" spans="1:7">
      <c r="A329" t="s">
        <v>18827</v>
      </c>
      <c r="B329" t="s">
        <v>8626</v>
      </c>
      <c r="C329" t="s">
        <v>9515</v>
      </c>
      <c r="D329" s="34" t="s">
        <v>18828</v>
      </c>
      <c r="E329" t="s">
        <v>8618</v>
      </c>
      <c r="F329" t="s">
        <v>9517</v>
      </c>
      <c r="G329" t="s">
        <v>18829</v>
      </c>
    </row>
    <row r="330" spans="1:7">
      <c r="A330" t="s">
        <v>18830</v>
      </c>
      <c r="B330" t="s">
        <v>8607</v>
      </c>
      <c r="C330" t="s">
        <v>9648</v>
      </c>
      <c r="D330" s="34" t="s">
        <v>18831</v>
      </c>
      <c r="E330" t="s">
        <v>8618</v>
      </c>
      <c r="F330" t="s">
        <v>9517</v>
      </c>
      <c r="G330" t="s">
        <v>18832</v>
      </c>
    </row>
    <row r="331" spans="1:7">
      <c r="A331" t="s">
        <v>18833</v>
      </c>
      <c r="B331" t="s">
        <v>8607</v>
      </c>
      <c r="C331" t="s">
        <v>18774</v>
      </c>
      <c r="D331" s="34" t="s">
        <v>18831</v>
      </c>
      <c r="E331" t="s">
        <v>8618</v>
      </c>
      <c r="F331" t="s">
        <v>9517</v>
      </c>
      <c r="G331" t="s">
        <v>18834</v>
      </c>
    </row>
    <row r="332" spans="1:7">
      <c r="A332" t="s">
        <v>18835</v>
      </c>
      <c r="B332" t="s">
        <v>8607</v>
      </c>
      <c r="C332" t="s">
        <v>18774</v>
      </c>
      <c r="D332" s="34" t="s">
        <v>18831</v>
      </c>
      <c r="E332" t="s">
        <v>8618</v>
      </c>
      <c r="F332" t="s">
        <v>9517</v>
      </c>
      <c r="G332" t="s">
        <v>18813</v>
      </c>
    </row>
    <row r="333" spans="1:7">
      <c r="A333" t="s">
        <v>18836</v>
      </c>
      <c r="B333" t="s">
        <v>8607</v>
      </c>
      <c r="C333" t="s">
        <v>18774</v>
      </c>
      <c r="D333" s="34" t="s">
        <v>18831</v>
      </c>
      <c r="E333" t="s">
        <v>8618</v>
      </c>
      <c r="F333" t="s">
        <v>9517</v>
      </c>
      <c r="G333" t="s">
        <v>18834</v>
      </c>
    </row>
    <row r="334" spans="1:7">
      <c r="A334" t="s">
        <v>18837</v>
      </c>
      <c r="B334" t="s">
        <v>8626</v>
      </c>
      <c r="C334" t="s">
        <v>9648</v>
      </c>
      <c r="D334" s="34" t="s">
        <v>18831</v>
      </c>
      <c r="E334" t="s">
        <v>8618</v>
      </c>
      <c r="F334" t="s">
        <v>9517</v>
      </c>
      <c r="G334" t="s">
        <v>18838</v>
      </c>
    </row>
    <row r="335" spans="1:7">
      <c r="A335" t="s">
        <v>18839</v>
      </c>
      <c r="B335" t="s">
        <v>8607</v>
      </c>
      <c r="C335" t="s">
        <v>18774</v>
      </c>
      <c r="D335" s="34" t="s">
        <v>18831</v>
      </c>
      <c r="E335" t="s">
        <v>8618</v>
      </c>
      <c r="F335" t="s">
        <v>9517</v>
      </c>
      <c r="G335" t="s">
        <v>18813</v>
      </c>
    </row>
    <row r="336" spans="1:7">
      <c r="A336" t="s">
        <v>18840</v>
      </c>
      <c r="B336" t="s">
        <v>8607</v>
      </c>
      <c r="C336" t="s">
        <v>18774</v>
      </c>
      <c r="D336" s="34" t="s">
        <v>18841</v>
      </c>
      <c r="E336" t="s">
        <v>8618</v>
      </c>
      <c r="F336" t="s">
        <v>9517</v>
      </c>
      <c r="G336" t="s">
        <v>18813</v>
      </c>
    </row>
    <row r="337" spans="1:7">
      <c r="A337" t="s">
        <v>18842</v>
      </c>
      <c r="B337" t="s">
        <v>8607</v>
      </c>
      <c r="C337" t="s">
        <v>18774</v>
      </c>
      <c r="D337" s="34" t="s">
        <v>18841</v>
      </c>
      <c r="E337" t="s">
        <v>8618</v>
      </c>
      <c r="F337" t="s">
        <v>9517</v>
      </c>
      <c r="G337" t="s">
        <v>18834</v>
      </c>
    </row>
    <row r="338" spans="1:7">
      <c r="A338" t="s">
        <v>18843</v>
      </c>
      <c r="B338" t="s">
        <v>8607</v>
      </c>
      <c r="C338" t="s">
        <v>18774</v>
      </c>
      <c r="D338" s="34" t="s">
        <v>18841</v>
      </c>
      <c r="E338" t="s">
        <v>8618</v>
      </c>
      <c r="F338" t="s">
        <v>9517</v>
      </c>
      <c r="G338" t="s">
        <v>18834</v>
      </c>
    </row>
    <row r="339" spans="1:7">
      <c r="A339" t="s">
        <v>18844</v>
      </c>
      <c r="B339" t="s">
        <v>8607</v>
      </c>
      <c r="C339" t="s">
        <v>18774</v>
      </c>
      <c r="D339" s="34" t="s">
        <v>18841</v>
      </c>
      <c r="E339" t="s">
        <v>8618</v>
      </c>
      <c r="F339" t="s">
        <v>9517</v>
      </c>
      <c r="G339" t="s">
        <v>18799</v>
      </c>
    </row>
    <row r="340" spans="1:7">
      <c r="A340" t="s">
        <v>18845</v>
      </c>
      <c r="B340" t="s">
        <v>8607</v>
      </c>
      <c r="C340" t="s">
        <v>18774</v>
      </c>
      <c r="D340" s="34" t="s">
        <v>18841</v>
      </c>
      <c r="E340" t="s">
        <v>8618</v>
      </c>
      <c r="F340" t="s">
        <v>9517</v>
      </c>
      <c r="G340" t="s">
        <v>18813</v>
      </c>
    </row>
    <row r="341" spans="1:7">
      <c r="A341" t="s">
        <v>18846</v>
      </c>
      <c r="B341" t="s">
        <v>8607</v>
      </c>
      <c r="C341" t="s">
        <v>18774</v>
      </c>
      <c r="D341" s="34" t="s">
        <v>18841</v>
      </c>
      <c r="E341" t="s">
        <v>8618</v>
      </c>
      <c r="F341" t="s">
        <v>9517</v>
      </c>
      <c r="G341" t="s">
        <v>18788</v>
      </c>
    </row>
    <row r="342" spans="1:7">
      <c r="A342" t="s">
        <v>18847</v>
      </c>
      <c r="B342" t="s">
        <v>8607</v>
      </c>
      <c r="C342" t="s">
        <v>18774</v>
      </c>
      <c r="D342" s="34" t="s">
        <v>18841</v>
      </c>
      <c r="E342" t="s">
        <v>8618</v>
      </c>
      <c r="F342" t="s">
        <v>9517</v>
      </c>
      <c r="G342" t="s">
        <v>18809</v>
      </c>
    </row>
    <row r="343" spans="1:7">
      <c r="A343" t="s">
        <v>18848</v>
      </c>
      <c r="B343" t="s">
        <v>8607</v>
      </c>
      <c r="C343" t="s">
        <v>18774</v>
      </c>
      <c r="D343" s="34" t="s">
        <v>18841</v>
      </c>
      <c r="E343" t="s">
        <v>8618</v>
      </c>
      <c r="F343" t="s">
        <v>9517</v>
      </c>
      <c r="G343" t="s">
        <v>18813</v>
      </c>
    </row>
    <row r="344" spans="1:7">
      <c r="A344" t="s">
        <v>18849</v>
      </c>
      <c r="B344" t="s">
        <v>8607</v>
      </c>
      <c r="C344" t="s">
        <v>18774</v>
      </c>
      <c r="D344" s="34" t="s">
        <v>18850</v>
      </c>
      <c r="E344" t="s">
        <v>8618</v>
      </c>
      <c r="F344" t="s">
        <v>9517</v>
      </c>
      <c r="G344" t="s">
        <v>18851</v>
      </c>
    </row>
    <row r="345" spans="1:7">
      <c r="A345" t="s">
        <v>18852</v>
      </c>
      <c r="B345" t="s">
        <v>8626</v>
      </c>
      <c r="D345" s="34" t="s">
        <v>18853</v>
      </c>
      <c r="E345" t="s">
        <v>8618</v>
      </c>
      <c r="F345" t="s">
        <v>18854</v>
      </c>
      <c r="G345" t="s">
        <v>18855</v>
      </c>
    </row>
    <row r="346" spans="1:7">
      <c r="A346" t="s">
        <v>18856</v>
      </c>
      <c r="B346" t="s">
        <v>8626</v>
      </c>
      <c r="D346" s="34" t="s">
        <v>18857</v>
      </c>
      <c r="E346" t="s">
        <v>8618</v>
      </c>
      <c r="F346" t="s">
        <v>18858</v>
      </c>
      <c r="G346" t="s">
        <v>18859</v>
      </c>
    </row>
    <row r="347" spans="1:7">
      <c r="A347" t="s">
        <v>18860</v>
      </c>
      <c r="C347" t="s">
        <v>18861</v>
      </c>
      <c r="D347" s="34" t="s">
        <v>18862</v>
      </c>
      <c r="E347" t="s">
        <v>8618</v>
      </c>
      <c r="G347" t="s">
        <v>18863</v>
      </c>
    </row>
    <row r="348" spans="1:7">
      <c r="A348" t="s">
        <v>18864</v>
      </c>
      <c r="B348" t="s">
        <v>8607</v>
      </c>
      <c r="C348" t="s">
        <v>18865</v>
      </c>
      <c r="D348" s="34" t="s">
        <v>18866</v>
      </c>
      <c r="E348" t="s">
        <v>8618</v>
      </c>
      <c r="F348" t="s">
        <v>13312</v>
      </c>
      <c r="G348" t="s">
        <v>18867</v>
      </c>
    </row>
    <row r="349" spans="1:7">
      <c r="A349" t="s">
        <v>18868</v>
      </c>
      <c r="B349" t="s">
        <v>8626</v>
      </c>
      <c r="D349" s="34" t="s">
        <v>18869</v>
      </c>
      <c r="E349" t="s">
        <v>8618</v>
      </c>
      <c r="F349" t="s">
        <v>17342</v>
      </c>
      <c r="G349" t="s">
        <v>18870</v>
      </c>
    </row>
    <row r="350" spans="1:7">
      <c r="A350" t="s">
        <v>18871</v>
      </c>
      <c r="B350" t="s">
        <v>8626</v>
      </c>
      <c r="C350" t="s">
        <v>18872</v>
      </c>
      <c r="D350" s="34" t="s">
        <v>18873</v>
      </c>
      <c r="E350" t="s">
        <v>8618</v>
      </c>
      <c r="F350" t="s">
        <v>18755</v>
      </c>
      <c r="G350" t="s">
        <v>18874</v>
      </c>
    </row>
    <row r="351" spans="1:7">
      <c r="A351" t="s">
        <v>18875</v>
      </c>
      <c r="B351" t="s">
        <v>8607</v>
      </c>
      <c r="D351" s="34" t="s">
        <v>18876</v>
      </c>
      <c r="E351" t="s">
        <v>8618</v>
      </c>
      <c r="F351" t="s">
        <v>18877</v>
      </c>
      <c r="G351" t="s">
        <v>18878</v>
      </c>
    </row>
    <row r="352" spans="1:7">
      <c r="A352" t="s">
        <v>18879</v>
      </c>
      <c r="B352" t="s">
        <v>8607</v>
      </c>
      <c r="C352" t="s">
        <v>18880</v>
      </c>
      <c r="D352" s="34" t="s">
        <v>18881</v>
      </c>
      <c r="E352" t="s">
        <v>8618</v>
      </c>
      <c r="F352" t="s">
        <v>18882</v>
      </c>
      <c r="G352" t="s">
        <v>18883</v>
      </c>
    </row>
    <row r="353" spans="1:7">
      <c r="A353" t="s">
        <v>18884</v>
      </c>
      <c r="B353" t="s">
        <v>8607</v>
      </c>
      <c r="C353" t="s">
        <v>18885</v>
      </c>
      <c r="D353" s="34" t="s">
        <v>18886</v>
      </c>
      <c r="E353" t="s">
        <v>8618</v>
      </c>
      <c r="F353" t="s">
        <v>8623</v>
      </c>
      <c r="G353" t="s">
        <v>18887</v>
      </c>
    </row>
    <row r="354" spans="1:7">
      <c r="A354" t="s">
        <v>18888</v>
      </c>
      <c r="B354" t="s">
        <v>8626</v>
      </c>
      <c r="D354" s="34" t="s">
        <v>18889</v>
      </c>
      <c r="E354" t="s">
        <v>8618</v>
      </c>
      <c r="G354" t="s">
        <v>18890</v>
      </c>
    </row>
    <row r="355" spans="1:7">
      <c r="A355" t="s">
        <v>18891</v>
      </c>
      <c r="B355" t="s">
        <v>8607</v>
      </c>
      <c r="C355" t="s">
        <v>18892</v>
      </c>
      <c r="D355" s="34" t="s">
        <v>18893</v>
      </c>
      <c r="E355" t="s">
        <v>8618</v>
      </c>
      <c r="F355" t="s">
        <v>18894</v>
      </c>
      <c r="G355" t="s">
        <v>18895</v>
      </c>
    </row>
    <row r="356" spans="1:7">
      <c r="A356" t="s">
        <v>18896</v>
      </c>
      <c r="B356" t="s">
        <v>8607</v>
      </c>
      <c r="C356" t="s">
        <v>18892</v>
      </c>
      <c r="D356" s="34" t="s">
        <v>18893</v>
      </c>
      <c r="E356" t="s">
        <v>8618</v>
      </c>
      <c r="F356" t="s">
        <v>18894</v>
      </c>
      <c r="G356" t="s">
        <v>18895</v>
      </c>
    </row>
    <row r="357" spans="1:7">
      <c r="A357" t="s">
        <v>18897</v>
      </c>
      <c r="B357" t="s">
        <v>8607</v>
      </c>
      <c r="D357" s="34" t="s">
        <v>18898</v>
      </c>
      <c r="E357" t="s">
        <v>8618</v>
      </c>
      <c r="G357" t="s">
        <v>18899</v>
      </c>
    </row>
    <row r="358" spans="1:7">
      <c r="A358" t="s">
        <v>18900</v>
      </c>
      <c r="C358" t="s">
        <v>18901</v>
      </c>
      <c r="D358" s="34" t="s">
        <v>18902</v>
      </c>
      <c r="E358" t="s">
        <v>8618</v>
      </c>
      <c r="G358" t="s">
        <v>18903</v>
      </c>
    </row>
    <row r="359" spans="1:7">
      <c r="A359" t="s">
        <v>18904</v>
      </c>
      <c r="B359" t="s">
        <v>8607</v>
      </c>
      <c r="D359" s="34" t="s">
        <v>18905</v>
      </c>
      <c r="E359" t="s">
        <v>8618</v>
      </c>
      <c r="F359" t="s">
        <v>12458</v>
      </c>
      <c r="G359" t="s">
        <v>18906</v>
      </c>
    </row>
    <row r="360" spans="1:7">
      <c r="A360" t="s">
        <v>18907</v>
      </c>
      <c r="B360" t="s">
        <v>8626</v>
      </c>
      <c r="D360" s="34" t="s">
        <v>18905</v>
      </c>
      <c r="E360" t="s">
        <v>8618</v>
      </c>
      <c r="F360" t="s">
        <v>18476</v>
      </c>
      <c r="G360" t="s">
        <v>18908</v>
      </c>
    </row>
    <row r="361" spans="1:7">
      <c r="A361" t="s">
        <v>18909</v>
      </c>
      <c r="B361" t="s">
        <v>8607</v>
      </c>
      <c r="D361" s="34" t="s">
        <v>18905</v>
      </c>
      <c r="E361" t="s">
        <v>8618</v>
      </c>
      <c r="F361" t="s">
        <v>12458</v>
      </c>
      <c r="G361" t="s">
        <v>18906</v>
      </c>
    </row>
    <row r="362" spans="1:7">
      <c r="A362" t="s">
        <v>18910</v>
      </c>
      <c r="B362" t="s">
        <v>8626</v>
      </c>
      <c r="D362" s="34" t="s">
        <v>18911</v>
      </c>
      <c r="E362" t="s">
        <v>8618</v>
      </c>
      <c r="F362" t="s">
        <v>18476</v>
      </c>
      <c r="G362" t="s">
        <v>18912</v>
      </c>
    </row>
    <row r="363" spans="1:7">
      <c r="A363" t="s">
        <v>18913</v>
      </c>
      <c r="B363" t="s">
        <v>8626</v>
      </c>
      <c r="C363" t="s">
        <v>18914</v>
      </c>
      <c r="D363" s="34" t="s">
        <v>18915</v>
      </c>
      <c r="E363" t="s">
        <v>8618</v>
      </c>
      <c r="F363" t="s">
        <v>18916</v>
      </c>
      <c r="G363" t="s">
        <v>18917</v>
      </c>
    </row>
    <row r="364" spans="1:7">
      <c r="A364" t="s">
        <v>18918</v>
      </c>
      <c r="C364" t="s">
        <v>18919</v>
      </c>
      <c r="D364" s="34" t="s">
        <v>18920</v>
      </c>
      <c r="E364" t="s">
        <v>8618</v>
      </c>
      <c r="G364" t="s">
        <v>18921</v>
      </c>
    </row>
    <row r="365" spans="1:7">
      <c r="A365" t="s">
        <v>18922</v>
      </c>
      <c r="B365" t="s">
        <v>8607</v>
      </c>
      <c r="D365" s="34" t="s">
        <v>11623</v>
      </c>
      <c r="E365" t="s">
        <v>8618</v>
      </c>
      <c r="F365" t="s">
        <v>18923</v>
      </c>
      <c r="G365" t="s">
        <v>18924</v>
      </c>
    </row>
    <row r="366" spans="1:7">
      <c r="A366" t="s">
        <v>18925</v>
      </c>
      <c r="B366" t="s">
        <v>8626</v>
      </c>
      <c r="D366" s="34" t="s">
        <v>11623</v>
      </c>
      <c r="E366" t="s">
        <v>8618</v>
      </c>
      <c r="F366" t="s">
        <v>8623</v>
      </c>
      <c r="G366" t="s">
        <v>18926</v>
      </c>
    </row>
    <row r="367" spans="1:7">
      <c r="A367" t="s">
        <v>18927</v>
      </c>
      <c r="B367" t="s">
        <v>8626</v>
      </c>
      <c r="D367" s="34" t="s">
        <v>18928</v>
      </c>
      <c r="E367" t="s">
        <v>8618</v>
      </c>
      <c r="G367" t="s">
        <v>18929</v>
      </c>
    </row>
    <row r="368" spans="1:7">
      <c r="A368" t="s">
        <v>18930</v>
      </c>
      <c r="B368" t="s">
        <v>8626</v>
      </c>
      <c r="D368" s="34" t="s">
        <v>18931</v>
      </c>
      <c r="E368" t="s">
        <v>8618</v>
      </c>
      <c r="G368" t="s">
        <v>18932</v>
      </c>
    </row>
    <row r="369" spans="1:7">
      <c r="A369" t="s">
        <v>18933</v>
      </c>
      <c r="B369" t="s">
        <v>8626</v>
      </c>
      <c r="D369" s="34" t="s">
        <v>18934</v>
      </c>
      <c r="E369" t="s">
        <v>8618</v>
      </c>
      <c r="F369" t="s">
        <v>18935</v>
      </c>
      <c r="G369" t="s">
        <v>18936</v>
      </c>
    </row>
    <row r="370" spans="1:7">
      <c r="A370" t="s">
        <v>18937</v>
      </c>
      <c r="B370" t="s">
        <v>8626</v>
      </c>
      <c r="D370" s="34" t="s">
        <v>18934</v>
      </c>
      <c r="E370" t="s">
        <v>8618</v>
      </c>
      <c r="F370" t="s">
        <v>18935</v>
      </c>
      <c r="G370" t="s">
        <v>18936</v>
      </c>
    </row>
    <row r="371" spans="1:7">
      <c r="A371" t="s">
        <v>18938</v>
      </c>
      <c r="B371" t="s">
        <v>8607</v>
      </c>
      <c r="D371" s="34" t="s">
        <v>18939</v>
      </c>
      <c r="E371" t="s">
        <v>8618</v>
      </c>
      <c r="F371" t="s">
        <v>13305</v>
      </c>
      <c r="G371" t="s">
        <v>18940</v>
      </c>
    </row>
    <row r="372" spans="1:7">
      <c r="A372" t="s">
        <v>18941</v>
      </c>
      <c r="B372" t="s">
        <v>8626</v>
      </c>
      <c r="C372" t="s">
        <v>13304</v>
      </c>
      <c r="D372" s="34" t="s">
        <v>13309</v>
      </c>
      <c r="E372" t="s">
        <v>8618</v>
      </c>
      <c r="F372" t="s">
        <v>13305</v>
      </c>
      <c r="G372" t="s">
        <v>18942</v>
      </c>
    </row>
    <row r="373" spans="1:7">
      <c r="A373" t="s">
        <v>18943</v>
      </c>
      <c r="B373" t="s">
        <v>8626</v>
      </c>
      <c r="C373" t="s">
        <v>13304</v>
      </c>
      <c r="D373" s="34" t="s">
        <v>13309</v>
      </c>
      <c r="E373" t="s">
        <v>8618</v>
      </c>
      <c r="F373" t="s">
        <v>13305</v>
      </c>
      <c r="G373" t="s">
        <v>18942</v>
      </c>
    </row>
    <row r="374" spans="1:7">
      <c r="A374" t="s">
        <v>18944</v>
      </c>
      <c r="B374" t="s">
        <v>8626</v>
      </c>
      <c r="C374" t="s">
        <v>13308</v>
      </c>
      <c r="D374" s="34" t="s">
        <v>13309</v>
      </c>
      <c r="E374" t="s">
        <v>8618</v>
      </c>
      <c r="G374" t="s">
        <v>18945</v>
      </c>
    </row>
    <row r="375" spans="1:7">
      <c r="A375" t="s">
        <v>18946</v>
      </c>
      <c r="B375" t="s">
        <v>8626</v>
      </c>
      <c r="D375" s="34" t="s">
        <v>18947</v>
      </c>
      <c r="E375" t="s">
        <v>8618</v>
      </c>
      <c r="G375" t="s">
        <v>18948</v>
      </c>
    </row>
    <row r="376" spans="1:7">
      <c r="A376" t="s">
        <v>18949</v>
      </c>
      <c r="B376" t="s">
        <v>8626</v>
      </c>
      <c r="C376" t="s">
        <v>18950</v>
      </c>
      <c r="D376" s="34" t="s">
        <v>18951</v>
      </c>
      <c r="E376" t="s">
        <v>8618</v>
      </c>
      <c r="F376" t="s">
        <v>18952</v>
      </c>
      <c r="G376" t="s">
        <v>18953</v>
      </c>
    </row>
    <row r="377" spans="1:7">
      <c r="A377" t="s">
        <v>18954</v>
      </c>
      <c r="B377" t="s">
        <v>8626</v>
      </c>
      <c r="C377" t="s">
        <v>18158</v>
      </c>
      <c r="D377" s="34" t="s">
        <v>18955</v>
      </c>
      <c r="E377" t="s">
        <v>8618</v>
      </c>
      <c r="F377" t="s">
        <v>18160</v>
      </c>
      <c r="G377" t="s">
        <v>18161</v>
      </c>
    </row>
    <row r="378" spans="1:7">
      <c r="A378" t="s">
        <v>18956</v>
      </c>
      <c r="B378" t="s">
        <v>8607</v>
      </c>
      <c r="C378" t="s">
        <v>18957</v>
      </c>
      <c r="D378" s="34" t="s">
        <v>18958</v>
      </c>
      <c r="E378" t="s">
        <v>8618</v>
      </c>
      <c r="F378" t="s">
        <v>9948</v>
      </c>
      <c r="G378" t="s">
        <v>18959</v>
      </c>
    </row>
    <row r="379" spans="1:7">
      <c r="A379" t="s">
        <v>18960</v>
      </c>
      <c r="B379" t="s">
        <v>8626</v>
      </c>
      <c r="C379" t="s">
        <v>18957</v>
      </c>
      <c r="D379" s="34" t="s">
        <v>18961</v>
      </c>
      <c r="E379" t="s">
        <v>8618</v>
      </c>
      <c r="F379" t="s">
        <v>9948</v>
      </c>
      <c r="G379" t="s">
        <v>18962</v>
      </c>
    </row>
    <row r="380" spans="1:7">
      <c r="A380" t="s">
        <v>18963</v>
      </c>
      <c r="B380" t="s">
        <v>8626</v>
      </c>
      <c r="C380" t="s">
        <v>18957</v>
      </c>
      <c r="D380" s="34" t="s">
        <v>9947</v>
      </c>
      <c r="E380" t="s">
        <v>8618</v>
      </c>
      <c r="F380" t="s">
        <v>9948</v>
      </c>
      <c r="G380" t="s">
        <v>18964</v>
      </c>
    </row>
    <row r="381" spans="1:7">
      <c r="A381" t="s">
        <v>18965</v>
      </c>
      <c r="B381" t="s">
        <v>8607</v>
      </c>
      <c r="C381" t="s">
        <v>18966</v>
      </c>
      <c r="D381" s="34" t="s">
        <v>9947</v>
      </c>
      <c r="E381" t="s">
        <v>8618</v>
      </c>
      <c r="F381" t="s">
        <v>9948</v>
      </c>
      <c r="G381" t="s">
        <v>18959</v>
      </c>
    </row>
    <row r="382" spans="1:7">
      <c r="A382" t="s">
        <v>18967</v>
      </c>
      <c r="B382" t="s">
        <v>8626</v>
      </c>
      <c r="C382" t="s">
        <v>18968</v>
      </c>
      <c r="D382" s="34" t="s">
        <v>18969</v>
      </c>
      <c r="E382" t="s">
        <v>8618</v>
      </c>
      <c r="F382" t="s">
        <v>9948</v>
      </c>
      <c r="G382" t="s">
        <v>18970</v>
      </c>
    </row>
    <row r="383" spans="1:7">
      <c r="A383" t="s">
        <v>18971</v>
      </c>
      <c r="B383" t="s">
        <v>8626</v>
      </c>
      <c r="D383" s="34" t="s">
        <v>18972</v>
      </c>
      <c r="E383" t="s">
        <v>8618</v>
      </c>
      <c r="G383" t="s">
        <v>18973</v>
      </c>
    </row>
    <row r="384" spans="1:7">
      <c r="A384" t="s">
        <v>18974</v>
      </c>
      <c r="B384" t="s">
        <v>8626</v>
      </c>
      <c r="C384" t="s">
        <v>18975</v>
      </c>
      <c r="D384" s="34" t="s">
        <v>18976</v>
      </c>
      <c r="E384" t="s">
        <v>8618</v>
      </c>
      <c r="G384" t="s">
        <v>18977</v>
      </c>
    </row>
    <row r="385" spans="1:7">
      <c r="A385" t="s">
        <v>18978</v>
      </c>
      <c r="B385" t="s">
        <v>8607</v>
      </c>
      <c r="C385" t="s">
        <v>18979</v>
      </c>
      <c r="D385" s="34" t="s">
        <v>18980</v>
      </c>
      <c r="E385" t="s">
        <v>8618</v>
      </c>
      <c r="F385" t="s">
        <v>12862</v>
      </c>
      <c r="G385" t="s">
        <v>18981</v>
      </c>
    </row>
    <row r="386" spans="1:7">
      <c r="A386" t="s">
        <v>18982</v>
      </c>
      <c r="B386" t="s">
        <v>8607</v>
      </c>
      <c r="C386" t="s">
        <v>18983</v>
      </c>
      <c r="D386" s="34" t="s">
        <v>18984</v>
      </c>
      <c r="E386" t="s">
        <v>8618</v>
      </c>
      <c r="F386" t="s">
        <v>12862</v>
      </c>
      <c r="G386" t="s">
        <v>18981</v>
      </c>
    </row>
    <row r="387" spans="1:7">
      <c r="A387" t="s">
        <v>18985</v>
      </c>
      <c r="B387" t="s">
        <v>8607</v>
      </c>
      <c r="C387" t="s">
        <v>18236</v>
      </c>
      <c r="D387" s="34" t="s">
        <v>18986</v>
      </c>
      <c r="E387" t="s">
        <v>8618</v>
      </c>
      <c r="F387" t="s">
        <v>13312</v>
      </c>
      <c r="G387" t="s">
        <v>18228</v>
      </c>
    </row>
    <row r="388" spans="1:7">
      <c r="A388" t="s">
        <v>18987</v>
      </c>
      <c r="B388" t="s">
        <v>8607</v>
      </c>
      <c r="C388" t="s">
        <v>18230</v>
      </c>
      <c r="D388" s="34" t="s">
        <v>18988</v>
      </c>
      <c r="E388" t="s">
        <v>8618</v>
      </c>
      <c r="F388" t="s">
        <v>13312</v>
      </c>
      <c r="G388" t="s">
        <v>18989</v>
      </c>
    </row>
    <row r="389" spans="1:7">
      <c r="A389" t="s">
        <v>18990</v>
      </c>
      <c r="B389" t="s">
        <v>8626</v>
      </c>
      <c r="C389" t="s">
        <v>18991</v>
      </c>
      <c r="D389" s="34" t="s">
        <v>18992</v>
      </c>
      <c r="E389" t="s">
        <v>8618</v>
      </c>
      <c r="G389" t="s">
        <v>18993</v>
      </c>
    </row>
    <row r="390" spans="1:7">
      <c r="A390" t="s">
        <v>18994</v>
      </c>
      <c r="B390" t="s">
        <v>8626</v>
      </c>
      <c r="C390" t="s">
        <v>18991</v>
      </c>
      <c r="D390" s="34" t="s">
        <v>18992</v>
      </c>
      <c r="E390" t="s">
        <v>8618</v>
      </c>
      <c r="G390" t="s">
        <v>18993</v>
      </c>
    </row>
    <row r="391" spans="1:7">
      <c r="A391" t="s">
        <v>18995</v>
      </c>
      <c r="B391" t="s">
        <v>8607</v>
      </c>
      <c r="C391" t="s">
        <v>18996</v>
      </c>
      <c r="D391" s="34" t="s">
        <v>18997</v>
      </c>
      <c r="E391" t="s">
        <v>8618</v>
      </c>
      <c r="F391" t="s">
        <v>18998</v>
      </c>
      <c r="G391" t="s">
        <v>18999</v>
      </c>
    </row>
    <row r="392" spans="1:7">
      <c r="A392" t="s">
        <v>19000</v>
      </c>
      <c r="B392" t="s">
        <v>8607</v>
      </c>
      <c r="C392" t="s">
        <v>19001</v>
      </c>
      <c r="D392" s="34" t="s">
        <v>18997</v>
      </c>
      <c r="E392" t="s">
        <v>8618</v>
      </c>
      <c r="F392" t="s">
        <v>18998</v>
      </c>
      <c r="G392" t="s">
        <v>19002</v>
      </c>
    </row>
    <row r="393" spans="1:7">
      <c r="A393" t="s">
        <v>19003</v>
      </c>
      <c r="D393" s="34" t="s">
        <v>19004</v>
      </c>
      <c r="E393" t="s">
        <v>8618</v>
      </c>
      <c r="G393" t="s">
        <v>19005</v>
      </c>
    </row>
    <row r="394" spans="1:7">
      <c r="A394" t="s">
        <v>19006</v>
      </c>
      <c r="B394" t="s">
        <v>8607</v>
      </c>
      <c r="C394" t="s">
        <v>19007</v>
      </c>
      <c r="D394" s="34" t="s">
        <v>19008</v>
      </c>
      <c r="E394" t="s">
        <v>8618</v>
      </c>
      <c r="F394" t="s">
        <v>13312</v>
      </c>
      <c r="G394" t="s">
        <v>19009</v>
      </c>
    </row>
    <row r="395" spans="1:7">
      <c r="A395" t="s">
        <v>19010</v>
      </c>
      <c r="B395" t="s">
        <v>8626</v>
      </c>
      <c r="C395" t="s">
        <v>19011</v>
      </c>
      <c r="D395" s="34" t="s">
        <v>19008</v>
      </c>
      <c r="E395" t="s">
        <v>8618</v>
      </c>
      <c r="F395" t="s">
        <v>13312</v>
      </c>
      <c r="G395" t="s">
        <v>19012</v>
      </c>
    </row>
    <row r="396" spans="1:7">
      <c r="A396" t="s">
        <v>19013</v>
      </c>
      <c r="B396" t="s">
        <v>8626</v>
      </c>
      <c r="C396" t="s">
        <v>19011</v>
      </c>
      <c r="D396" s="34" t="s">
        <v>19008</v>
      </c>
      <c r="E396" t="s">
        <v>8618</v>
      </c>
      <c r="F396" t="s">
        <v>13312</v>
      </c>
      <c r="G396" t="s">
        <v>19014</v>
      </c>
    </row>
    <row r="397" spans="1:7">
      <c r="A397" t="s">
        <v>19015</v>
      </c>
      <c r="B397" t="s">
        <v>8626</v>
      </c>
      <c r="C397" t="s">
        <v>19016</v>
      </c>
      <c r="D397" s="34" t="s">
        <v>19008</v>
      </c>
      <c r="E397" t="s">
        <v>8618</v>
      </c>
      <c r="F397" t="s">
        <v>13312</v>
      </c>
      <c r="G397" t="s">
        <v>19017</v>
      </c>
    </row>
    <row r="398" spans="1:7">
      <c r="A398" t="s">
        <v>19018</v>
      </c>
      <c r="B398" t="s">
        <v>8626</v>
      </c>
      <c r="C398" t="s">
        <v>19016</v>
      </c>
      <c r="D398" s="34" t="s">
        <v>19008</v>
      </c>
      <c r="E398" t="s">
        <v>8618</v>
      </c>
      <c r="F398" t="s">
        <v>13312</v>
      </c>
      <c r="G398" t="s">
        <v>19019</v>
      </c>
    </row>
    <row r="399" spans="1:7">
      <c r="A399" t="s">
        <v>19020</v>
      </c>
      <c r="B399" t="s">
        <v>8607</v>
      </c>
      <c r="C399" t="s">
        <v>19021</v>
      </c>
      <c r="D399" s="34" t="s">
        <v>19022</v>
      </c>
      <c r="E399" t="s">
        <v>8618</v>
      </c>
      <c r="F399" t="s">
        <v>13312</v>
      </c>
      <c r="G399" t="s">
        <v>19023</v>
      </c>
    </row>
    <row r="400" spans="1:7">
      <c r="A400" t="s">
        <v>19024</v>
      </c>
      <c r="B400" t="s">
        <v>8607</v>
      </c>
      <c r="C400" t="s">
        <v>19011</v>
      </c>
      <c r="D400" s="34" t="s">
        <v>19022</v>
      </c>
      <c r="E400" t="s">
        <v>8618</v>
      </c>
      <c r="F400" t="s">
        <v>13312</v>
      </c>
      <c r="G400" t="s">
        <v>19025</v>
      </c>
    </row>
    <row r="401" spans="1:7">
      <c r="A401" t="s">
        <v>19026</v>
      </c>
      <c r="B401" t="s">
        <v>8626</v>
      </c>
      <c r="C401" t="s">
        <v>19011</v>
      </c>
      <c r="D401" s="34" t="s">
        <v>19022</v>
      </c>
      <c r="E401" t="s">
        <v>8618</v>
      </c>
      <c r="F401" t="s">
        <v>13312</v>
      </c>
      <c r="G401" t="s">
        <v>19027</v>
      </c>
    </row>
    <row r="402" spans="1:7">
      <c r="A402" t="s">
        <v>19028</v>
      </c>
      <c r="B402" t="s">
        <v>8607</v>
      </c>
      <c r="C402" t="s">
        <v>19011</v>
      </c>
      <c r="D402" s="34" t="s">
        <v>19022</v>
      </c>
      <c r="E402" t="s">
        <v>8618</v>
      </c>
      <c r="F402" t="s">
        <v>13312</v>
      </c>
      <c r="G402" t="s">
        <v>19025</v>
      </c>
    </row>
    <row r="403" spans="1:7">
      <c r="A403" t="s">
        <v>19029</v>
      </c>
      <c r="B403" t="s">
        <v>8607</v>
      </c>
      <c r="C403" t="s">
        <v>19016</v>
      </c>
      <c r="D403" s="34" t="s">
        <v>19030</v>
      </c>
      <c r="E403" t="s">
        <v>8618</v>
      </c>
      <c r="F403" t="s">
        <v>13312</v>
      </c>
      <c r="G403" t="s">
        <v>19031</v>
      </c>
    </row>
    <row r="404" spans="1:7">
      <c r="A404" t="s">
        <v>19032</v>
      </c>
      <c r="B404" t="s">
        <v>8626</v>
      </c>
      <c r="C404" t="s">
        <v>19016</v>
      </c>
      <c r="D404" s="34" t="s">
        <v>19033</v>
      </c>
      <c r="E404" t="s">
        <v>8618</v>
      </c>
      <c r="F404" t="s">
        <v>13312</v>
      </c>
      <c r="G404" t="s">
        <v>19034</v>
      </c>
    </row>
    <row r="405" spans="1:7">
      <c r="A405" t="s">
        <v>19035</v>
      </c>
      <c r="D405" s="34" t="s">
        <v>19036</v>
      </c>
      <c r="E405" t="s">
        <v>8618</v>
      </c>
      <c r="G405" t="s">
        <v>19037</v>
      </c>
    </row>
    <row r="406" spans="1:7">
      <c r="A406" t="s">
        <v>19038</v>
      </c>
      <c r="B406" t="s">
        <v>8626</v>
      </c>
      <c r="C406" t="s">
        <v>18996</v>
      </c>
      <c r="D406" s="34" t="s">
        <v>19039</v>
      </c>
      <c r="E406" t="s">
        <v>8618</v>
      </c>
      <c r="F406" t="s">
        <v>18998</v>
      </c>
      <c r="G406" t="s">
        <v>19040</v>
      </c>
    </row>
    <row r="407" spans="1:7">
      <c r="A407" t="s">
        <v>19041</v>
      </c>
      <c r="B407" t="s">
        <v>8626</v>
      </c>
      <c r="C407" t="s">
        <v>19042</v>
      </c>
      <c r="D407" s="34" t="s">
        <v>19043</v>
      </c>
      <c r="E407" t="s">
        <v>8618</v>
      </c>
      <c r="F407" t="s">
        <v>18998</v>
      </c>
      <c r="G407" t="s">
        <v>19044</v>
      </c>
    </row>
    <row r="408" spans="1:7">
      <c r="A408" t="s">
        <v>19045</v>
      </c>
      <c r="B408" t="s">
        <v>8626</v>
      </c>
      <c r="C408" t="s">
        <v>19011</v>
      </c>
      <c r="D408" s="34" t="s">
        <v>19046</v>
      </c>
      <c r="E408" t="s">
        <v>8618</v>
      </c>
      <c r="F408" t="s">
        <v>13312</v>
      </c>
      <c r="G408" t="s">
        <v>19047</v>
      </c>
    </row>
    <row r="409" spans="1:7">
      <c r="A409" t="s">
        <v>19048</v>
      </c>
      <c r="B409" t="s">
        <v>8626</v>
      </c>
      <c r="D409" s="34" t="s">
        <v>19049</v>
      </c>
      <c r="E409" t="s">
        <v>8618</v>
      </c>
      <c r="G409" t="s">
        <v>19050</v>
      </c>
    </row>
    <row r="410" spans="1:7">
      <c r="A410" t="s">
        <v>19051</v>
      </c>
      <c r="D410" s="34" t="s">
        <v>19052</v>
      </c>
      <c r="E410" t="s">
        <v>8618</v>
      </c>
      <c r="G410" t="s">
        <v>19053</v>
      </c>
    </row>
    <row r="411" spans="1:7">
      <c r="A411" t="s">
        <v>19054</v>
      </c>
      <c r="B411" t="s">
        <v>8607</v>
      </c>
      <c r="C411" t="s">
        <v>18996</v>
      </c>
      <c r="D411" s="34" t="s">
        <v>19055</v>
      </c>
      <c r="E411" t="s">
        <v>8618</v>
      </c>
      <c r="F411" t="s">
        <v>18998</v>
      </c>
      <c r="G411" t="s">
        <v>19056</v>
      </c>
    </row>
    <row r="412" spans="1:7">
      <c r="A412" t="s">
        <v>19057</v>
      </c>
      <c r="B412" t="s">
        <v>8626</v>
      </c>
      <c r="C412" t="s">
        <v>19007</v>
      </c>
      <c r="D412" s="34" t="s">
        <v>19058</v>
      </c>
      <c r="E412" t="s">
        <v>8618</v>
      </c>
      <c r="F412" t="s">
        <v>13312</v>
      </c>
      <c r="G412" t="s">
        <v>19059</v>
      </c>
    </row>
    <row r="413" spans="1:7">
      <c r="A413" t="s">
        <v>19060</v>
      </c>
      <c r="B413" t="s">
        <v>8607</v>
      </c>
      <c r="C413" t="s">
        <v>18226</v>
      </c>
      <c r="D413" s="34" t="s">
        <v>19061</v>
      </c>
      <c r="E413" t="s">
        <v>8618</v>
      </c>
      <c r="F413" t="s">
        <v>17760</v>
      </c>
      <c r="G413" t="s">
        <v>18228</v>
      </c>
    </row>
    <row r="414" spans="1:7">
      <c r="A414" t="s">
        <v>19062</v>
      </c>
      <c r="B414" t="s">
        <v>8626</v>
      </c>
      <c r="D414" s="34" t="s">
        <v>19063</v>
      </c>
      <c r="E414" t="s">
        <v>8618</v>
      </c>
      <c r="G414" t="s">
        <v>19064</v>
      </c>
    </row>
    <row r="415" spans="1:7">
      <c r="A415" t="s">
        <v>19065</v>
      </c>
      <c r="B415" t="s">
        <v>8626</v>
      </c>
      <c r="C415" t="s">
        <v>19066</v>
      </c>
      <c r="D415" s="34" t="s">
        <v>10672</v>
      </c>
      <c r="E415" t="s">
        <v>8618</v>
      </c>
      <c r="G415" t="s">
        <v>19067</v>
      </c>
    </row>
    <row r="416" spans="1:7">
      <c r="A416" t="s">
        <v>19068</v>
      </c>
      <c r="B416" t="s">
        <v>8626</v>
      </c>
      <c r="D416" s="34" t="s">
        <v>19069</v>
      </c>
      <c r="E416" t="s">
        <v>8618</v>
      </c>
      <c r="F416" t="s">
        <v>19070</v>
      </c>
      <c r="G416" t="s">
        <v>19071</v>
      </c>
    </row>
    <row r="417" spans="1:7">
      <c r="A417" t="s">
        <v>19072</v>
      </c>
      <c r="B417" t="s">
        <v>8607</v>
      </c>
      <c r="C417" t="s">
        <v>19073</v>
      </c>
      <c r="D417" s="34" t="s">
        <v>19074</v>
      </c>
      <c r="E417" t="s">
        <v>8618</v>
      </c>
      <c r="F417" t="s">
        <v>8989</v>
      </c>
      <c r="G417" t="s">
        <v>19075</v>
      </c>
    </row>
    <row r="418" spans="1:7">
      <c r="A418" t="s">
        <v>19076</v>
      </c>
      <c r="B418" t="s">
        <v>8607</v>
      </c>
      <c r="C418" t="s">
        <v>19073</v>
      </c>
      <c r="D418" s="34" t="s">
        <v>19077</v>
      </c>
      <c r="E418" t="s">
        <v>8618</v>
      </c>
      <c r="F418" t="s">
        <v>8989</v>
      </c>
      <c r="G418" t="s">
        <v>19075</v>
      </c>
    </row>
    <row r="419" spans="1:7">
      <c r="A419" t="s">
        <v>19078</v>
      </c>
      <c r="B419" t="s">
        <v>8626</v>
      </c>
      <c r="C419" t="s">
        <v>19079</v>
      </c>
      <c r="D419" s="34" t="s">
        <v>19080</v>
      </c>
      <c r="E419" t="s">
        <v>8618</v>
      </c>
      <c r="F419" t="s">
        <v>19081</v>
      </c>
      <c r="G419" t="s">
        <v>19082</v>
      </c>
    </row>
    <row r="420" spans="1:7">
      <c r="A420" t="s">
        <v>19083</v>
      </c>
      <c r="B420" t="s">
        <v>8626</v>
      </c>
      <c r="D420" s="34" t="s">
        <v>19084</v>
      </c>
      <c r="E420" t="s">
        <v>8618</v>
      </c>
      <c r="G420" t="s">
        <v>19085</v>
      </c>
    </row>
    <row r="421" spans="1:7">
      <c r="A421" t="s">
        <v>19086</v>
      </c>
      <c r="B421" t="s">
        <v>8626</v>
      </c>
      <c r="D421" s="34" t="s">
        <v>19084</v>
      </c>
      <c r="E421" t="s">
        <v>8618</v>
      </c>
      <c r="F421" t="s">
        <v>19087</v>
      </c>
      <c r="G421" t="s">
        <v>19088</v>
      </c>
    </row>
    <row r="422" spans="1:7">
      <c r="A422" t="s">
        <v>19089</v>
      </c>
      <c r="B422" t="s">
        <v>8626</v>
      </c>
      <c r="D422" s="34" t="s">
        <v>19084</v>
      </c>
      <c r="E422" t="s">
        <v>8618</v>
      </c>
      <c r="F422" t="s">
        <v>19087</v>
      </c>
      <c r="G422" t="s">
        <v>19088</v>
      </c>
    </row>
    <row r="423" spans="1:7">
      <c r="A423" t="s">
        <v>19090</v>
      </c>
      <c r="B423" t="s">
        <v>8607</v>
      </c>
      <c r="D423" s="34" t="s">
        <v>19091</v>
      </c>
      <c r="E423" t="s">
        <v>8618</v>
      </c>
      <c r="F423" t="s">
        <v>19092</v>
      </c>
      <c r="G423" t="s">
        <v>19093</v>
      </c>
    </row>
    <row r="424" spans="1:7">
      <c r="A424" t="s">
        <v>19094</v>
      </c>
      <c r="B424" t="s">
        <v>8607</v>
      </c>
      <c r="D424" s="34" t="s">
        <v>13190</v>
      </c>
      <c r="E424" t="s">
        <v>8618</v>
      </c>
      <c r="F424" t="s">
        <v>11334</v>
      </c>
      <c r="G424" t="s">
        <v>19095</v>
      </c>
    </row>
    <row r="425" spans="1:7">
      <c r="A425" t="s">
        <v>19096</v>
      </c>
      <c r="B425" t="s">
        <v>8607</v>
      </c>
      <c r="D425" s="34" t="s">
        <v>13190</v>
      </c>
      <c r="E425" t="s">
        <v>8618</v>
      </c>
      <c r="F425" t="s">
        <v>17246</v>
      </c>
      <c r="G425" t="s">
        <v>17247</v>
      </c>
    </row>
    <row r="426" spans="1:7">
      <c r="A426" t="s">
        <v>19097</v>
      </c>
      <c r="B426" t="s">
        <v>8626</v>
      </c>
      <c r="D426" s="34" t="s">
        <v>13190</v>
      </c>
      <c r="E426" t="s">
        <v>8618</v>
      </c>
      <c r="F426" t="s">
        <v>12458</v>
      </c>
      <c r="G426" t="s">
        <v>19098</v>
      </c>
    </row>
    <row r="427" spans="1:7">
      <c r="A427" t="s">
        <v>19099</v>
      </c>
      <c r="B427" t="s">
        <v>8607</v>
      </c>
      <c r="D427" s="34" t="s">
        <v>19100</v>
      </c>
      <c r="E427" t="s">
        <v>8618</v>
      </c>
      <c r="G427" t="s">
        <v>19101</v>
      </c>
    </row>
    <row r="428" spans="1:7">
      <c r="A428" t="s">
        <v>19102</v>
      </c>
      <c r="B428" t="s">
        <v>8607</v>
      </c>
      <c r="D428" s="34" t="s">
        <v>19103</v>
      </c>
      <c r="E428" t="s">
        <v>8618</v>
      </c>
      <c r="F428" t="s">
        <v>11990</v>
      </c>
      <c r="G428" t="s">
        <v>19104</v>
      </c>
    </row>
    <row r="429" spans="1:7">
      <c r="A429" t="s">
        <v>19105</v>
      </c>
      <c r="B429" t="s">
        <v>8607</v>
      </c>
      <c r="D429" s="34" t="s">
        <v>19106</v>
      </c>
      <c r="E429" t="s">
        <v>8618</v>
      </c>
      <c r="F429" t="s">
        <v>8623</v>
      </c>
      <c r="G429" t="s">
        <v>19107</v>
      </c>
    </row>
    <row r="430" spans="1:7">
      <c r="A430" t="s">
        <v>19108</v>
      </c>
      <c r="B430" t="s">
        <v>8626</v>
      </c>
      <c r="C430" t="s">
        <v>19109</v>
      </c>
      <c r="D430" s="34" t="s">
        <v>19110</v>
      </c>
      <c r="E430" t="s">
        <v>8618</v>
      </c>
      <c r="F430" t="s">
        <v>19111</v>
      </c>
      <c r="G430" t="s">
        <v>19112</v>
      </c>
    </row>
    <row r="431" spans="1:7">
      <c r="A431" t="s">
        <v>19113</v>
      </c>
      <c r="B431" t="s">
        <v>8626</v>
      </c>
      <c r="D431" s="34" t="s">
        <v>19114</v>
      </c>
      <c r="E431" t="s">
        <v>8618</v>
      </c>
      <c r="F431" t="s">
        <v>9672</v>
      </c>
      <c r="G431" t="s">
        <v>19115</v>
      </c>
    </row>
    <row r="432" spans="1:7">
      <c r="A432" t="s">
        <v>19116</v>
      </c>
      <c r="B432" t="s">
        <v>8626</v>
      </c>
      <c r="D432" s="34" t="s">
        <v>19117</v>
      </c>
      <c r="E432" t="s">
        <v>8618</v>
      </c>
      <c r="F432" t="s">
        <v>9755</v>
      </c>
      <c r="G432" t="s">
        <v>19118</v>
      </c>
    </row>
    <row r="433" spans="1:7">
      <c r="A433" t="s">
        <v>19119</v>
      </c>
      <c r="B433" t="s">
        <v>8607</v>
      </c>
      <c r="C433" t="s">
        <v>17646</v>
      </c>
      <c r="D433" s="34" t="s">
        <v>19120</v>
      </c>
      <c r="E433" t="s">
        <v>8618</v>
      </c>
      <c r="F433" t="s">
        <v>17305</v>
      </c>
      <c r="G433" t="s">
        <v>19121</v>
      </c>
    </row>
    <row r="434" spans="1:7">
      <c r="A434" t="s">
        <v>19122</v>
      </c>
      <c r="B434" t="s">
        <v>8607</v>
      </c>
      <c r="D434" s="34" t="s">
        <v>19123</v>
      </c>
      <c r="E434" t="s">
        <v>8618</v>
      </c>
      <c r="F434" t="s">
        <v>18472</v>
      </c>
      <c r="G434" t="s">
        <v>18473</v>
      </c>
    </row>
    <row r="435" spans="1:7">
      <c r="A435" t="s">
        <v>19124</v>
      </c>
      <c r="B435" t="s">
        <v>8626</v>
      </c>
      <c r="D435" s="34" t="s">
        <v>19125</v>
      </c>
      <c r="E435" t="s">
        <v>8618</v>
      </c>
      <c r="G435" t="s">
        <v>19126</v>
      </c>
    </row>
    <row r="436" spans="1:7">
      <c r="A436" t="s">
        <v>19127</v>
      </c>
      <c r="B436" t="s">
        <v>8607</v>
      </c>
      <c r="D436" s="34" t="s">
        <v>19128</v>
      </c>
      <c r="E436" t="s">
        <v>8618</v>
      </c>
      <c r="F436" t="s">
        <v>19070</v>
      </c>
      <c r="G436" t="s">
        <v>19129</v>
      </c>
    </row>
    <row r="437" spans="1:7">
      <c r="A437" t="s">
        <v>19130</v>
      </c>
      <c r="B437" t="s">
        <v>8626</v>
      </c>
      <c r="D437" s="34" t="s">
        <v>19131</v>
      </c>
      <c r="E437" t="s">
        <v>8618</v>
      </c>
      <c r="F437" t="s">
        <v>13312</v>
      </c>
      <c r="G437" t="s">
        <v>19132</v>
      </c>
    </row>
    <row r="438" spans="1:7">
      <c r="A438" t="s">
        <v>19133</v>
      </c>
      <c r="B438" t="s">
        <v>8626</v>
      </c>
      <c r="D438" s="34" t="s">
        <v>19131</v>
      </c>
      <c r="E438" t="s">
        <v>8618</v>
      </c>
      <c r="F438" t="s">
        <v>13312</v>
      </c>
      <c r="G438" t="s">
        <v>19134</v>
      </c>
    </row>
    <row r="439" spans="1:7">
      <c r="A439" t="s">
        <v>19135</v>
      </c>
      <c r="B439" t="s">
        <v>8626</v>
      </c>
      <c r="D439" s="34" t="s">
        <v>19131</v>
      </c>
      <c r="E439" t="s">
        <v>8618</v>
      </c>
      <c r="F439" t="s">
        <v>13312</v>
      </c>
      <c r="G439" t="s">
        <v>19132</v>
      </c>
    </row>
    <row r="440" spans="1:7">
      <c r="A440" t="s">
        <v>19136</v>
      </c>
      <c r="B440" t="s">
        <v>8626</v>
      </c>
      <c r="D440" s="34" t="s">
        <v>19131</v>
      </c>
      <c r="E440" t="s">
        <v>8618</v>
      </c>
      <c r="F440" t="s">
        <v>13312</v>
      </c>
      <c r="G440" t="s">
        <v>19137</v>
      </c>
    </row>
    <row r="441" spans="1:7">
      <c r="A441" t="s">
        <v>19138</v>
      </c>
      <c r="B441" t="s">
        <v>8626</v>
      </c>
      <c r="D441" s="34" t="s">
        <v>19131</v>
      </c>
      <c r="E441" t="s">
        <v>8618</v>
      </c>
      <c r="F441" t="s">
        <v>13312</v>
      </c>
      <c r="G441" t="s">
        <v>19132</v>
      </c>
    </row>
    <row r="442" spans="1:7">
      <c r="A442" t="s">
        <v>19139</v>
      </c>
      <c r="B442" t="s">
        <v>8626</v>
      </c>
      <c r="D442" s="34" t="s">
        <v>19140</v>
      </c>
      <c r="E442" t="s">
        <v>8618</v>
      </c>
      <c r="F442" t="s">
        <v>17760</v>
      </c>
      <c r="G442" t="s">
        <v>19141</v>
      </c>
    </row>
    <row r="443" spans="1:7">
      <c r="A443" t="s">
        <v>19142</v>
      </c>
      <c r="B443" t="s">
        <v>8626</v>
      </c>
      <c r="D443" s="34" t="s">
        <v>19140</v>
      </c>
      <c r="E443" t="s">
        <v>8618</v>
      </c>
      <c r="F443" t="s">
        <v>13312</v>
      </c>
      <c r="G443" t="s">
        <v>19143</v>
      </c>
    </row>
    <row r="444" spans="1:7">
      <c r="A444" t="s">
        <v>19144</v>
      </c>
      <c r="B444" t="s">
        <v>8626</v>
      </c>
      <c r="D444" s="34" t="s">
        <v>19140</v>
      </c>
      <c r="E444" t="s">
        <v>8618</v>
      </c>
      <c r="F444" t="s">
        <v>13312</v>
      </c>
      <c r="G444" t="s">
        <v>19145</v>
      </c>
    </row>
    <row r="445" spans="1:7">
      <c r="A445" t="s">
        <v>19146</v>
      </c>
      <c r="B445" t="s">
        <v>8626</v>
      </c>
      <c r="D445" s="34" t="s">
        <v>19147</v>
      </c>
      <c r="E445" t="s">
        <v>8618</v>
      </c>
      <c r="F445" t="s">
        <v>13312</v>
      </c>
      <c r="G445" t="s">
        <v>19148</v>
      </c>
    </row>
    <row r="446" spans="1:7">
      <c r="A446" t="s">
        <v>19149</v>
      </c>
      <c r="B446" t="s">
        <v>8626</v>
      </c>
      <c r="D446" s="34" t="s">
        <v>19150</v>
      </c>
      <c r="E446" t="s">
        <v>8618</v>
      </c>
      <c r="F446" t="s">
        <v>17760</v>
      </c>
      <c r="G446" t="s">
        <v>19151</v>
      </c>
    </row>
    <row r="447" spans="1:7">
      <c r="A447" t="s">
        <v>19152</v>
      </c>
      <c r="B447" t="s">
        <v>8626</v>
      </c>
      <c r="D447" s="34" t="s">
        <v>19150</v>
      </c>
      <c r="E447" t="s">
        <v>8618</v>
      </c>
      <c r="F447" t="s">
        <v>13312</v>
      </c>
      <c r="G447" t="s">
        <v>19153</v>
      </c>
    </row>
    <row r="448" spans="1:7">
      <c r="A448" t="s">
        <v>19154</v>
      </c>
      <c r="B448" t="s">
        <v>8626</v>
      </c>
      <c r="D448" s="34" t="s">
        <v>19155</v>
      </c>
      <c r="E448" t="s">
        <v>8618</v>
      </c>
      <c r="F448" t="s">
        <v>13312</v>
      </c>
      <c r="G448" t="s">
        <v>19156</v>
      </c>
    </row>
    <row r="449" spans="1:7">
      <c r="A449" t="s">
        <v>19157</v>
      </c>
      <c r="B449" t="s">
        <v>8626</v>
      </c>
      <c r="D449" s="34" t="s">
        <v>19155</v>
      </c>
      <c r="E449" t="s">
        <v>8618</v>
      </c>
      <c r="F449" t="s">
        <v>17760</v>
      </c>
      <c r="G449" t="s">
        <v>19141</v>
      </c>
    </row>
    <row r="450" spans="1:7">
      <c r="A450" t="s">
        <v>19158</v>
      </c>
      <c r="B450" t="s">
        <v>8626</v>
      </c>
      <c r="D450" s="34" t="s">
        <v>19155</v>
      </c>
      <c r="E450" t="s">
        <v>8618</v>
      </c>
      <c r="F450" t="s">
        <v>13312</v>
      </c>
      <c r="G450" t="s">
        <v>19153</v>
      </c>
    </row>
    <row r="451" spans="1:7">
      <c r="A451" t="s">
        <v>19159</v>
      </c>
      <c r="B451" t="s">
        <v>8626</v>
      </c>
      <c r="D451" s="34" t="s">
        <v>19160</v>
      </c>
      <c r="E451" t="s">
        <v>8618</v>
      </c>
      <c r="F451" t="s">
        <v>8623</v>
      </c>
      <c r="G451" t="s">
        <v>19161</v>
      </c>
    </row>
    <row r="452" spans="1:7">
      <c r="A452" t="s">
        <v>19162</v>
      </c>
      <c r="B452" t="s">
        <v>8626</v>
      </c>
      <c r="C452" t="s">
        <v>19163</v>
      </c>
      <c r="D452" s="34" t="s">
        <v>19160</v>
      </c>
      <c r="E452" t="s">
        <v>8618</v>
      </c>
      <c r="F452" t="s">
        <v>18777</v>
      </c>
      <c r="G452" t="s">
        <v>19164</v>
      </c>
    </row>
    <row r="453" spans="1:7">
      <c r="A453" t="s">
        <v>19165</v>
      </c>
      <c r="B453" t="s">
        <v>8607</v>
      </c>
      <c r="D453" s="34" t="s">
        <v>19160</v>
      </c>
      <c r="E453" t="s">
        <v>8618</v>
      </c>
      <c r="F453" t="s">
        <v>8623</v>
      </c>
      <c r="G453" t="s">
        <v>19166</v>
      </c>
    </row>
    <row r="454" spans="1:7">
      <c r="A454" t="s">
        <v>19167</v>
      </c>
      <c r="B454" t="s">
        <v>8607</v>
      </c>
      <c r="D454" s="34" t="s">
        <v>19168</v>
      </c>
      <c r="E454" t="s">
        <v>8618</v>
      </c>
      <c r="F454" t="s">
        <v>19169</v>
      </c>
      <c r="G454" t="s">
        <v>19170</v>
      </c>
    </row>
    <row r="455" spans="1:7">
      <c r="A455" t="s">
        <v>19171</v>
      </c>
      <c r="B455" t="s">
        <v>8607</v>
      </c>
      <c r="D455" s="34" t="s">
        <v>19168</v>
      </c>
      <c r="E455" t="s">
        <v>8618</v>
      </c>
      <c r="F455" t="s">
        <v>19172</v>
      </c>
      <c r="G455" t="s">
        <v>19173</v>
      </c>
    </row>
    <row r="456" spans="1:7">
      <c r="A456" t="s">
        <v>19174</v>
      </c>
      <c r="D456" s="34" t="s">
        <v>19175</v>
      </c>
      <c r="E456" t="s">
        <v>8618</v>
      </c>
      <c r="G456" t="s">
        <v>19176</v>
      </c>
    </row>
    <row r="457" spans="1:7">
      <c r="A457" t="s">
        <v>19177</v>
      </c>
      <c r="B457" t="s">
        <v>8626</v>
      </c>
      <c r="D457" s="34" t="s">
        <v>19178</v>
      </c>
      <c r="E457" t="s">
        <v>8618</v>
      </c>
      <c r="G457" t="s">
        <v>19179</v>
      </c>
    </row>
    <row r="458" spans="1:7">
      <c r="A458" t="s">
        <v>19180</v>
      </c>
      <c r="B458" t="s">
        <v>8626</v>
      </c>
      <c r="D458" s="34" t="s">
        <v>19181</v>
      </c>
      <c r="E458" t="s">
        <v>8618</v>
      </c>
      <c r="G458" t="s">
        <v>19182</v>
      </c>
    </row>
    <row r="459" spans="1:7">
      <c r="A459" t="s">
        <v>19183</v>
      </c>
      <c r="D459" s="34" t="s">
        <v>19184</v>
      </c>
      <c r="E459" t="s">
        <v>8618</v>
      </c>
      <c r="G459" t="s">
        <v>19185</v>
      </c>
    </row>
    <row r="460" spans="1:7">
      <c r="A460" t="s">
        <v>19186</v>
      </c>
      <c r="B460" t="s">
        <v>8607</v>
      </c>
      <c r="D460" s="34" t="s">
        <v>19187</v>
      </c>
      <c r="E460" t="s">
        <v>8618</v>
      </c>
      <c r="F460" t="s">
        <v>19188</v>
      </c>
      <c r="G460" t="s">
        <v>19189</v>
      </c>
    </row>
    <row r="461" spans="1:7">
      <c r="A461" t="s">
        <v>19190</v>
      </c>
      <c r="B461" t="s">
        <v>8626</v>
      </c>
      <c r="D461" s="34" t="s">
        <v>19191</v>
      </c>
      <c r="E461" t="s">
        <v>8618</v>
      </c>
      <c r="G461" t="s">
        <v>19192</v>
      </c>
    </row>
    <row r="462" spans="1:7">
      <c r="A462" t="s">
        <v>19193</v>
      </c>
      <c r="D462" s="34" t="s">
        <v>19194</v>
      </c>
      <c r="E462" t="s">
        <v>8618</v>
      </c>
      <c r="G462" t="s">
        <v>19195</v>
      </c>
    </row>
    <row r="463" spans="1:7">
      <c r="A463" t="s">
        <v>19196</v>
      </c>
      <c r="B463" t="s">
        <v>8626</v>
      </c>
      <c r="D463" s="34" t="s">
        <v>19197</v>
      </c>
      <c r="E463" t="s">
        <v>8618</v>
      </c>
      <c r="F463" t="s">
        <v>19198</v>
      </c>
      <c r="G463" t="s">
        <v>19199</v>
      </c>
    </row>
    <row r="464" spans="1:7">
      <c r="A464" t="s">
        <v>19200</v>
      </c>
      <c r="B464" t="s">
        <v>8626</v>
      </c>
      <c r="C464" t="s">
        <v>19201</v>
      </c>
      <c r="D464" s="34" t="s">
        <v>19202</v>
      </c>
      <c r="E464" t="s">
        <v>8618</v>
      </c>
      <c r="G464" t="s">
        <v>19203</v>
      </c>
    </row>
    <row r="465" spans="1:7">
      <c r="A465" t="s">
        <v>19204</v>
      </c>
      <c r="B465" t="s">
        <v>8607</v>
      </c>
      <c r="D465" s="34" t="s">
        <v>19205</v>
      </c>
      <c r="E465" t="s">
        <v>8618</v>
      </c>
      <c r="F465" t="s">
        <v>15202</v>
      </c>
      <c r="G465" t="s">
        <v>19206</v>
      </c>
    </row>
    <row r="466" spans="1:7">
      <c r="A466" t="s">
        <v>19207</v>
      </c>
      <c r="B466" t="s">
        <v>8607</v>
      </c>
      <c r="D466" s="34" t="s">
        <v>19208</v>
      </c>
      <c r="E466" t="s">
        <v>8618</v>
      </c>
      <c r="F466" t="s">
        <v>19209</v>
      </c>
      <c r="G466" t="s">
        <v>19210</v>
      </c>
    </row>
    <row r="467" spans="1:7">
      <c r="A467" t="s">
        <v>19211</v>
      </c>
      <c r="B467" t="s">
        <v>8607</v>
      </c>
      <c r="D467" s="34" t="s">
        <v>19208</v>
      </c>
      <c r="E467" t="s">
        <v>8618</v>
      </c>
      <c r="F467" t="s">
        <v>19209</v>
      </c>
      <c r="G467" t="s">
        <v>19210</v>
      </c>
    </row>
    <row r="468" spans="1:7">
      <c r="A468" t="s">
        <v>19212</v>
      </c>
      <c r="B468" t="s">
        <v>8626</v>
      </c>
      <c r="D468" s="34" t="s">
        <v>19213</v>
      </c>
      <c r="E468" t="s">
        <v>8618</v>
      </c>
      <c r="G468" t="s">
        <v>19214</v>
      </c>
    </row>
    <row r="469" spans="1:7">
      <c r="A469" t="s">
        <v>19215</v>
      </c>
      <c r="B469" t="s">
        <v>8626</v>
      </c>
      <c r="D469" s="34" t="s">
        <v>19213</v>
      </c>
      <c r="E469" t="s">
        <v>8618</v>
      </c>
      <c r="G469" t="s">
        <v>19216</v>
      </c>
    </row>
    <row r="470" spans="1:7">
      <c r="A470" t="s">
        <v>19217</v>
      </c>
      <c r="B470" t="s">
        <v>8626</v>
      </c>
      <c r="D470" s="34" t="s">
        <v>19218</v>
      </c>
      <c r="E470" t="s">
        <v>8618</v>
      </c>
      <c r="F470" t="s">
        <v>8797</v>
      </c>
      <c r="G470" t="s">
        <v>19219</v>
      </c>
    </row>
    <row r="471" spans="1:7">
      <c r="A471" t="s">
        <v>19220</v>
      </c>
      <c r="B471" t="s">
        <v>8626</v>
      </c>
      <c r="D471" s="34" t="s">
        <v>19218</v>
      </c>
      <c r="E471" t="s">
        <v>8618</v>
      </c>
      <c r="F471" t="s">
        <v>8797</v>
      </c>
      <c r="G471" t="s">
        <v>8798</v>
      </c>
    </row>
    <row r="472" spans="1:7">
      <c r="A472" t="s">
        <v>19221</v>
      </c>
      <c r="B472" t="s">
        <v>8607</v>
      </c>
      <c r="D472" s="34" t="s">
        <v>19218</v>
      </c>
      <c r="E472" t="s">
        <v>8618</v>
      </c>
      <c r="F472" t="s">
        <v>8797</v>
      </c>
      <c r="G472" t="s">
        <v>19222</v>
      </c>
    </row>
    <row r="473" spans="1:7">
      <c r="A473" t="s">
        <v>19223</v>
      </c>
      <c r="B473" t="s">
        <v>8607</v>
      </c>
      <c r="D473" s="34" t="s">
        <v>19218</v>
      </c>
      <c r="E473" t="s">
        <v>8618</v>
      </c>
      <c r="F473" t="s">
        <v>8797</v>
      </c>
      <c r="G473" t="s">
        <v>19222</v>
      </c>
    </row>
    <row r="474" spans="1:7">
      <c r="A474" t="s">
        <v>19224</v>
      </c>
      <c r="B474" t="s">
        <v>8626</v>
      </c>
      <c r="C474" t="s">
        <v>19225</v>
      </c>
      <c r="D474" s="34" t="s">
        <v>19226</v>
      </c>
      <c r="E474" t="s">
        <v>8618</v>
      </c>
      <c r="F474" t="s">
        <v>13312</v>
      </c>
      <c r="G474" t="s">
        <v>19227</v>
      </c>
    </row>
    <row r="475" spans="1:7">
      <c r="A475" t="s">
        <v>19228</v>
      </c>
      <c r="B475" t="s">
        <v>8626</v>
      </c>
      <c r="D475" s="34" t="s">
        <v>19229</v>
      </c>
      <c r="E475" t="s">
        <v>8618</v>
      </c>
      <c r="F475" t="s">
        <v>13312</v>
      </c>
      <c r="G475" t="s">
        <v>19230</v>
      </c>
    </row>
    <row r="476" spans="1:7">
      <c r="A476" t="s">
        <v>19231</v>
      </c>
      <c r="B476" t="s">
        <v>8607</v>
      </c>
      <c r="C476" t="s">
        <v>19232</v>
      </c>
      <c r="D476" s="34" t="s">
        <v>19233</v>
      </c>
      <c r="E476" t="s">
        <v>8618</v>
      </c>
      <c r="F476" t="s">
        <v>19234</v>
      </c>
      <c r="G476" t="s">
        <v>19235</v>
      </c>
    </row>
    <row r="477" spans="1:7">
      <c r="A477" t="s">
        <v>19236</v>
      </c>
      <c r="B477" t="s">
        <v>8626</v>
      </c>
      <c r="D477" s="34" t="s">
        <v>19237</v>
      </c>
      <c r="E477" t="s">
        <v>8618</v>
      </c>
      <c r="G477" t="s">
        <v>19238</v>
      </c>
    </row>
    <row r="478" spans="1:7">
      <c r="A478" t="s">
        <v>19239</v>
      </c>
      <c r="B478" t="s">
        <v>8626</v>
      </c>
      <c r="C478" t="s">
        <v>19240</v>
      </c>
      <c r="D478" s="34" t="s">
        <v>19241</v>
      </c>
      <c r="E478" t="s">
        <v>8618</v>
      </c>
      <c r="F478" t="s">
        <v>13312</v>
      </c>
      <c r="G478" t="s">
        <v>19242</v>
      </c>
    </row>
    <row r="479" spans="1:7">
      <c r="A479" t="s">
        <v>19243</v>
      </c>
      <c r="B479" t="s">
        <v>8626</v>
      </c>
      <c r="C479" t="s">
        <v>19244</v>
      </c>
      <c r="D479" s="34" t="s">
        <v>19245</v>
      </c>
      <c r="E479" t="s">
        <v>8618</v>
      </c>
      <c r="F479" t="s">
        <v>13312</v>
      </c>
      <c r="G479" t="s">
        <v>19246</v>
      </c>
    </row>
    <row r="480" spans="1:7">
      <c r="A480" t="s">
        <v>19247</v>
      </c>
      <c r="B480" t="s">
        <v>8607</v>
      </c>
      <c r="C480" t="s">
        <v>19248</v>
      </c>
      <c r="D480" s="34" t="s">
        <v>19249</v>
      </c>
      <c r="E480" t="s">
        <v>8618</v>
      </c>
      <c r="F480" t="s">
        <v>13312</v>
      </c>
      <c r="G480" t="s">
        <v>19250</v>
      </c>
    </row>
    <row r="481" spans="1:7">
      <c r="A481" t="s">
        <v>19251</v>
      </c>
      <c r="B481" t="s">
        <v>8626</v>
      </c>
      <c r="C481" t="s">
        <v>19232</v>
      </c>
      <c r="D481" s="34" t="s">
        <v>19252</v>
      </c>
      <c r="E481" t="s">
        <v>8618</v>
      </c>
      <c r="F481" t="s">
        <v>13312</v>
      </c>
      <c r="G481" t="s">
        <v>19253</v>
      </c>
    </row>
    <row r="482" spans="1:7">
      <c r="A482" t="s">
        <v>19254</v>
      </c>
      <c r="B482" t="s">
        <v>8626</v>
      </c>
      <c r="C482" t="s">
        <v>19232</v>
      </c>
      <c r="D482" s="34" t="s">
        <v>19255</v>
      </c>
      <c r="E482" t="s">
        <v>8618</v>
      </c>
      <c r="F482" t="s">
        <v>13312</v>
      </c>
      <c r="G482" t="s">
        <v>19256</v>
      </c>
    </row>
    <row r="483" spans="1:7">
      <c r="A483" t="s">
        <v>19257</v>
      </c>
      <c r="B483" t="s">
        <v>8626</v>
      </c>
      <c r="C483" t="s">
        <v>19258</v>
      </c>
      <c r="D483" s="34" t="s">
        <v>19259</v>
      </c>
      <c r="E483" t="s">
        <v>8618</v>
      </c>
      <c r="F483" t="s">
        <v>13312</v>
      </c>
      <c r="G483" t="s">
        <v>19260</v>
      </c>
    </row>
    <row r="484" spans="1:7">
      <c r="A484" t="s">
        <v>19261</v>
      </c>
      <c r="B484" t="s">
        <v>8626</v>
      </c>
      <c r="C484" t="s">
        <v>19240</v>
      </c>
      <c r="D484" s="34" t="s">
        <v>19262</v>
      </c>
      <c r="E484" t="s">
        <v>8618</v>
      </c>
      <c r="F484" t="s">
        <v>19263</v>
      </c>
      <c r="G484" t="s">
        <v>19227</v>
      </c>
    </row>
    <row r="485" spans="1:7">
      <c r="A485" t="s">
        <v>19264</v>
      </c>
      <c r="B485" t="s">
        <v>8626</v>
      </c>
      <c r="C485" t="s">
        <v>19225</v>
      </c>
      <c r="D485" s="34" t="s">
        <v>19262</v>
      </c>
      <c r="E485" t="s">
        <v>8618</v>
      </c>
      <c r="F485" t="s">
        <v>13312</v>
      </c>
      <c r="G485" t="s">
        <v>19227</v>
      </c>
    </row>
    <row r="486" spans="1:7">
      <c r="A486" t="s">
        <v>19265</v>
      </c>
      <c r="B486" t="s">
        <v>8626</v>
      </c>
      <c r="C486" t="s">
        <v>19225</v>
      </c>
      <c r="D486" s="34" t="s">
        <v>19262</v>
      </c>
      <c r="E486" t="s">
        <v>8618</v>
      </c>
      <c r="F486" t="s">
        <v>13312</v>
      </c>
      <c r="G486" t="s">
        <v>19227</v>
      </c>
    </row>
    <row r="487" spans="1:7">
      <c r="A487" t="s">
        <v>19266</v>
      </c>
      <c r="B487" t="s">
        <v>8607</v>
      </c>
      <c r="C487" t="s">
        <v>19267</v>
      </c>
      <c r="D487" s="34" t="s">
        <v>19268</v>
      </c>
      <c r="E487" t="s">
        <v>8618</v>
      </c>
      <c r="F487" t="s">
        <v>13312</v>
      </c>
      <c r="G487" t="s">
        <v>19269</v>
      </c>
    </row>
    <row r="488" spans="1:7">
      <c r="A488" t="s">
        <v>19270</v>
      </c>
      <c r="D488" s="34" t="s">
        <v>19271</v>
      </c>
      <c r="E488" t="s">
        <v>8618</v>
      </c>
      <c r="G488" t="s">
        <v>19272</v>
      </c>
    </row>
    <row r="489" spans="1:7">
      <c r="A489" t="s">
        <v>19273</v>
      </c>
      <c r="B489" t="s">
        <v>8626</v>
      </c>
      <c r="C489" t="s">
        <v>19274</v>
      </c>
      <c r="D489" s="34" t="s">
        <v>19275</v>
      </c>
      <c r="E489" t="s">
        <v>8618</v>
      </c>
      <c r="F489" t="s">
        <v>19276</v>
      </c>
      <c r="G489" t="s">
        <v>19277</v>
      </c>
    </row>
    <row r="490" spans="1:7">
      <c r="A490" t="s">
        <v>19278</v>
      </c>
      <c r="B490" t="s">
        <v>8626</v>
      </c>
      <c r="C490" t="s">
        <v>19279</v>
      </c>
      <c r="D490" s="34" t="s">
        <v>19275</v>
      </c>
      <c r="E490" t="s">
        <v>8618</v>
      </c>
      <c r="F490" t="s">
        <v>19276</v>
      </c>
      <c r="G490" t="s">
        <v>19280</v>
      </c>
    </row>
    <row r="491" spans="1:7">
      <c r="A491" t="s">
        <v>19281</v>
      </c>
      <c r="B491" t="s">
        <v>8626</v>
      </c>
      <c r="C491" t="s">
        <v>19279</v>
      </c>
      <c r="D491" s="34" t="s">
        <v>19275</v>
      </c>
      <c r="E491" t="s">
        <v>8618</v>
      </c>
      <c r="F491" t="s">
        <v>19276</v>
      </c>
      <c r="G491" t="s">
        <v>19282</v>
      </c>
    </row>
    <row r="492" spans="1:7">
      <c r="A492" t="s">
        <v>19283</v>
      </c>
      <c r="B492" t="s">
        <v>8626</v>
      </c>
      <c r="C492" t="s">
        <v>19284</v>
      </c>
      <c r="D492" s="34" t="s">
        <v>19275</v>
      </c>
      <c r="E492" t="s">
        <v>8618</v>
      </c>
      <c r="F492" t="s">
        <v>19276</v>
      </c>
      <c r="G492" t="s">
        <v>19285</v>
      </c>
    </row>
    <row r="493" spans="1:7">
      <c r="A493" t="s">
        <v>19286</v>
      </c>
      <c r="B493" t="s">
        <v>8607</v>
      </c>
      <c r="D493" s="34" t="s">
        <v>19287</v>
      </c>
      <c r="E493" t="s">
        <v>8618</v>
      </c>
      <c r="F493" t="s">
        <v>19276</v>
      </c>
      <c r="G493" t="s">
        <v>19288</v>
      </c>
    </row>
    <row r="494" spans="1:7">
      <c r="A494" t="s">
        <v>19289</v>
      </c>
      <c r="B494" t="s">
        <v>8607</v>
      </c>
      <c r="D494" s="34" t="s">
        <v>19290</v>
      </c>
      <c r="E494" t="s">
        <v>8618</v>
      </c>
      <c r="F494" t="s">
        <v>18260</v>
      </c>
      <c r="G494" t="s">
        <v>19291</v>
      </c>
    </row>
    <row r="495" spans="1:7">
      <c r="A495" t="s">
        <v>19292</v>
      </c>
      <c r="B495" t="s">
        <v>8607</v>
      </c>
      <c r="C495" t="s">
        <v>19284</v>
      </c>
      <c r="D495" s="34" t="s">
        <v>19293</v>
      </c>
      <c r="E495" t="s">
        <v>8618</v>
      </c>
      <c r="F495" t="s">
        <v>19276</v>
      </c>
      <c r="G495" t="s">
        <v>19294</v>
      </c>
    </row>
    <row r="496" spans="1:7">
      <c r="A496" t="s">
        <v>19295</v>
      </c>
      <c r="B496" t="s">
        <v>8607</v>
      </c>
      <c r="C496" t="s">
        <v>19284</v>
      </c>
      <c r="D496" s="34" t="s">
        <v>19293</v>
      </c>
      <c r="E496" t="s">
        <v>8618</v>
      </c>
      <c r="F496" t="s">
        <v>19276</v>
      </c>
      <c r="G496" t="s">
        <v>19294</v>
      </c>
    </row>
    <row r="497" spans="1:7">
      <c r="A497" t="s">
        <v>19296</v>
      </c>
      <c r="B497" t="s">
        <v>8626</v>
      </c>
      <c r="D497" s="34" t="s">
        <v>19297</v>
      </c>
      <c r="E497" t="s">
        <v>8618</v>
      </c>
      <c r="F497" t="s">
        <v>19276</v>
      </c>
      <c r="G497" t="s">
        <v>19298</v>
      </c>
    </row>
    <row r="498" spans="1:7">
      <c r="A498" t="s">
        <v>19299</v>
      </c>
      <c r="B498" t="s">
        <v>8626</v>
      </c>
      <c r="C498" t="s">
        <v>19274</v>
      </c>
      <c r="D498" s="34" t="s">
        <v>19300</v>
      </c>
      <c r="E498" t="s">
        <v>8618</v>
      </c>
      <c r="F498" t="s">
        <v>19276</v>
      </c>
      <c r="G498" t="s">
        <v>19301</v>
      </c>
    </row>
    <row r="499" spans="1:7">
      <c r="A499" t="s">
        <v>19302</v>
      </c>
      <c r="B499" t="s">
        <v>8607</v>
      </c>
      <c r="D499" s="34" t="s">
        <v>19303</v>
      </c>
      <c r="E499" t="s">
        <v>8618</v>
      </c>
      <c r="F499" t="s">
        <v>19276</v>
      </c>
      <c r="G499" t="s">
        <v>19304</v>
      </c>
    </row>
    <row r="500" spans="1:7">
      <c r="A500" t="s">
        <v>19305</v>
      </c>
      <c r="B500" t="s">
        <v>8607</v>
      </c>
      <c r="D500" s="34" t="s">
        <v>19306</v>
      </c>
      <c r="E500" t="s">
        <v>8618</v>
      </c>
      <c r="F500" t="s">
        <v>19276</v>
      </c>
      <c r="G500" t="s">
        <v>19307</v>
      </c>
    </row>
    <row r="501" spans="1:7">
      <c r="A501" t="s">
        <v>19308</v>
      </c>
      <c r="B501" t="s">
        <v>8626</v>
      </c>
      <c r="D501" s="34" t="s">
        <v>19309</v>
      </c>
      <c r="E501" t="s">
        <v>8618</v>
      </c>
      <c r="F501" t="s">
        <v>19276</v>
      </c>
      <c r="G501" t="s">
        <v>19310</v>
      </c>
    </row>
    <row r="502" spans="1:7">
      <c r="A502" t="s">
        <v>19311</v>
      </c>
      <c r="B502" t="s">
        <v>8607</v>
      </c>
      <c r="C502" t="s">
        <v>19274</v>
      </c>
      <c r="D502" s="34" t="s">
        <v>19312</v>
      </c>
      <c r="E502" t="s">
        <v>8618</v>
      </c>
      <c r="F502" t="s">
        <v>19276</v>
      </c>
      <c r="G502" t="s">
        <v>19313</v>
      </c>
    </row>
    <row r="503" spans="1:7">
      <c r="A503" t="s">
        <v>19314</v>
      </c>
      <c r="B503" t="s">
        <v>8607</v>
      </c>
      <c r="C503" t="s">
        <v>19284</v>
      </c>
      <c r="D503" s="34" t="s">
        <v>19315</v>
      </c>
      <c r="E503" t="s">
        <v>8618</v>
      </c>
      <c r="F503" t="s">
        <v>19276</v>
      </c>
      <c r="G503" t="s">
        <v>19294</v>
      </c>
    </row>
    <row r="504" spans="1:7">
      <c r="A504" t="s">
        <v>19316</v>
      </c>
      <c r="B504" t="s">
        <v>8626</v>
      </c>
      <c r="C504" t="s">
        <v>19317</v>
      </c>
      <c r="D504" s="34" t="s">
        <v>19318</v>
      </c>
      <c r="E504" t="s">
        <v>8618</v>
      </c>
      <c r="F504" t="s">
        <v>18260</v>
      </c>
      <c r="G504" t="s">
        <v>19319</v>
      </c>
    </row>
    <row r="505" spans="1:7">
      <c r="A505" t="s">
        <v>19320</v>
      </c>
      <c r="B505" t="s">
        <v>8626</v>
      </c>
      <c r="C505" t="s">
        <v>19279</v>
      </c>
      <c r="D505" s="34" t="s">
        <v>19321</v>
      </c>
      <c r="E505" t="s">
        <v>8618</v>
      </c>
      <c r="F505" t="s">
        <v>18260</v>
      </c>
      <c r="G505" t="s">
        <v>19322</v>
      </c>
    </row>
    <row r="506" spans="1:7">
      <c r="A506" t="s">
        <v>19323</v>
      </c>
      <c r="B506" t="s">
        <v>8607</v>
      </c>
      <c r="D506" s="34" t="s">
        <v>19324</v>
      </c>
      <c r="E506" t="s">
        <v>8618</v>
      </c>
      <c r="F506" t="s">
        <v>19325</v>
      </c>
      <c r="G506" t="s">
        <v>19326</v>
      </c>
    </row>
    <row r="507" spans="1:7">
      <c r="A507" t="s">
        <v>19327</v>
      </c>
      <c r="B507" t="s">
        <v>8626</v>
      </c>
      <c r="D507" s="34" t="s">
        <v>19328</v>
      </c>
      <c r="E507" t="s">
        <v>8618</v>
      </c>
      <c r="F507" t="s">
        <v>19325</v>
      </c>
      <c r="G507" t="s">
        <v>19329</v>
      </c>
    </row>
    <row r="508" spans="1:7">
      <c r="A508" t="s">
        <v>19330</v>
      </c>
      <c r="B508" t="s">
        <v>8626</v>
      </c>
      <c r="C508" t="s">
        <v>19331</v>
      </c>
      <c r="D508" s="34" t="s">
        <v>19332</v>
      </c>
      <c r="E508" t="s">
        <v>8618</v>
      </c>
      <c r="F508" t="s">
        <v>19325</v>
      </c>
      <c r="G508" t="s">
        <v>19333</v>
      </c>
    </row>
    <row r="509" spans="1:7">
      <c r="A509" t="s">
        <v>19334</v>
      </c>
      <c r="B509" t="s">
        <v>8626</v>
      </c>
      <c r="C509" t="s">
        <v>19335</v>
      </c>
      <c r="D509" s="34" t="s">
        <v>19336</v>
      </c>
      <c r="E509" t="s">
        <v>8618</v>
      </c>
      <c r="F509" t="s">
        <v>19325</v>
      </c>
      <c r="G509" t="s">
        <v>19333</v>
      </c>
    </row>
    <row r="510" spans="1:7">
      <c r="A510" t="s">
        <v>19337</v>
      </c>
      <c r="B510" t="s">
        <v>8607</v>
      </c>
      <c r="D510" s="34" t="s">
        <v>19338</v>
      </c>
      <c r="E510" t="s">
        <v>8618</v>
      </c>
      <c r="F510" t="s">
        <v>19325</v>
      </c>
      <c r="G510" t="s">
        <v>19339</v>
      </c>
    </row>
    <row r="511" spans="1:7">
      <c r="A511" t="s">
        <v>19340</v>
      </c>
      <c r="B511" t="s">
        <v>8607</v>
      </c>
      <c r="C511" t="s">
        <v>19341</v>
      </c>
      <c r="D511" s="34" t="s">
        <v>19342</v>
      </c>
      <c r="E511" t="s">
        <v>8618</v>
      </c>
      <c r="F511" t="s">
        <v>19343</v>
      </c>
      <c r="G511" t="s">
        <v>19344</v>
      </c>
    </row>
    <row r="512" spans="1:7">
      <c r="A512" t="s">
        <v>19345</v>
      </c>
      <c r="B512" t="s">
        <v>8607</v>
      </c>
      <c r="C512" t="s">
        <v>19346</v>
      </c>
      <c r="D512" s="34" t="s">
        <v>19347</v>
      </c>
      <c r="E512" t="s">
        <v>8618</v>
      </c>
      <c r="G512" t="s">
        <v>19348</v>
      </c>
    </row>
    <row r="513" spans="1:7">
      <c r="A513" t="s">
        <v>19349</v>
      </c>
      <c r="B513" t="s">
        <v>8626</v>
      </c>
      <c r="D513" s="34" t="s">
        <v>8796</v>
      </c>
      <c r="E513" t="s">
        <v>8618</v>
      </c>
      <c r="F513" t="s">
        <v>8797</v>
      </c>
      <c r="G513" t="s">
        <v>19350</v>
      </c>
    </row>
    <row r="514" spans="1:7">
      <c r="A514" t="s">
        <v>19351</v>
      </c>
      <c r="B514" t="s">
        <v>8626</v>
      </c>
      <c r="D514" s="34" t="s">
        <v>8796</v>
      </c>
      <c r="E514" t="s">
        <v>8618</v>
      </c>
      <c r="F514" t="s">
        <v>8797</v>
      </c>
      <c r="G514" t="s">
        <v>19352</v>
      </c>
    </row>
    <row r="515" spans="1:7">
      <c r="A515" t="s">
        <v>19353</v>
      </c>
      <c r="B515" t="s">
        <v>8626</v>
      </c>
      <c r="D515" s="34" t="s">
        <v>8796</v>
      </c>
      <c r="E515" t="s">
        <v>8618</v>
      </c>
      <c r="F515" t="s">
        <v>8797</v>
      </c>
      <c r="G515" t="s">
        <v>8798</v>
      </c>
    </row>
    <row r="516" spans="1:7">
      <c r="A516" t="s">
        <v>19354</v>
      </c>
      <c r="B516" t="s">
        <v>8626</v>
      </c>
      <c r="D516" s="34" t="s">
        <v>8796</v>
      </c>
      <c r="E516" t="s">
        <v>8618</v>
      </c>
      <c r="F516" t="s">
        <v>8797</v>
      </c>
      <c r="G516" t="s">
        <v>8798</v>
      </c>
    </row>
    <row r="517" spans="1:7">
      <c r="A517" t="s">
        <v>19355</v>
      </c>
      <c r="B517" t="s">
        <v>8626</v>
      </c>
      <c r="C517" t="s">
        <v>8627</v>
      </c>
      <c r="D517" s="34" t="s">
        <v>8796</v>
      </c>
      <c r="E517" t="s">
        <v>8618</v>
      </c>
      <c r="F517" t="s">
        <v>8797</v>
      </c>
      <c r="G517" t="s">
        <v>19356</v>
      </c>
    </row>
    <row r="518" spans="1:7">
      <c r="A518" t="s">
        <v>19357</v>
      </c>
      <c r="B518" t="s">
        <v>8626</v>
      </c>
      <c r="D518" s="34" t="s">
        <v>8796</v>
      </c>
      <c r="E518" t="s">
        <v>8618</v>
      </c>
      <c r="F518" t="s">
        <v>8797</v>
      </c>
      <c r="G518" t="s">
        <v>8798</v>
      </c>
    </row>
    <row r="519" spans="1:7">
      <c r="A519" t="s">
        <v>19358</v>
      </c>
      <c r="B519" t="s">
        <v>8626</v>
      </c>
      <c r="D519" s="34" t="s">
        <v>8796</v>
      </c>
      <c r="E519" t="s">
        <v>8618</v>
      </c>
      <c r="F519" t="s">
        <v>8797</v>
      </c>
      <c r="G519" t="s">
        <v>8798</v>
      </c>
    </row>
    <row r="520" spans="1:7">
      <c r="A520" t="s">
        <v>19359</v>
      </c>
      <c r="B520" t="s">
        <v>8626</v>
      </c>
      <c r="D520" s="34" t="s">
        <v>8796</v>
      </c>
      <c r="E520" t="s">
        <v>8618</v>
      </c>
      <c r="F520" t="s">
        <v>8797</v>
      </c>
      <c r="G520" t="s">
        <v>19352</v>
      </c>
    </row>
    <row r="521" spans="1:7">
      <c r="A521" t="s">
        <v>19360</v>
      </c>
      <c r="B521" t="s">
        <v>8626</v>
      </c>
      <c r="D521" s="34" t="s">
        <v>8796</v>
      </c>
      <c r="E521" t="s">
        <v>8618</v>
      </c>
      <c r="F521" t="s">
        <v>8797</v>
      </c>
      <c r="G521" t="s">
        <v>8798</v>
      </c>
    </row>
    <row r="522" spans="1:7">
      <c r="A522" t="s">
        <v>19361</v>
      </c>
      <c r="B522" t="s">
        <v>8626</v>
      </c>
      <c r="D522" s="34" t="s">
        <v>8796</v>
      </c>
      <c r="E522" t="s">
        <v>8618</v>
      </c>
      <c r="F522" t="s">
        <v>18777</v>
      </c>
      <c r="G522" t="s">
        <v>19352</v>
      </c>
    </row>
    <row r="523" spans="1:7">
      <c r="A523" t="s">
        <v>19362</v>
      </c>
      <c r="B523" t="s">
        <v>8607</v>
      </c>
      <c r="D523" s="34" t="s">
        <v>8796</v>
      </c>
      <c r="E523" t="s">
        <v>8618</v>
      </c>
      <c r="F523" t="s">
        <v>8797</v>
      </c>
      <c r="G523" t="s">
        <v>19222</v>
      </c>
    </row>
    <row r="524" spans="1:7">
      <c r="A524" t="s">
        <v>19363</v>
      </c>
      <c r="B524" t="s">
        <v>8607</v>
      </c>
      <c r="C524" t="s">
        <v>11471</v>
      </c>
      <c r="D524" s="34" t="s">
        <v>8796</v>
      </c>
      <c r="E524" t="s">
        <v>8618</v>
      </c>
      <c r="F524" t="s">
        <v>8797</v>
      </c>
      <c r="G524" t="s">
        <v>19222</v>
      </c>
    </row>
    <row r="525" spans="1:7">
      <c r="A525" t="s">
        <v>19364</v>
      </c>
      <c r="B525" t="s">
        <v>8607</v>
      </c>
      <c r="D525" s="34" t="s">
        <v>8796</v>
      </c>
      <c r="E525" t="s">
        <v>8618</v>
      </c>
      <c r="F525" t="s">
        <v>8797</v>
      </c>
      <c r="G525" t="s">
        <v>19222</v>
      </c>
    </row>
    <row r="526" spans="1:7">
      <c r="A526" t="s">
        <v>19365</v>
      </c>
      <c r="B526" t="s">
        <v>8607</v>
      </c>
      <c r="D526" s="34" t="s">
        <v>8796</v>
      </c>
      <c r="E526" t="s">
        <v>8618</v>
      </c>
      <c r="F526" t="s">
        <v>8797</v>
      </c>
      <c r="G526" t="s">
        <v>19222</v>
      </c>
    </row>
    <row r="527" spans="1:7">
      <c r="A527" t="s">
        <v>19366</v>
      </c>
      <c r="B527" t="s">
        <v>8626</v>
      </c>
      <c r="D527" s="34" t="s">
        <v>19367</v>
      </c>
      <c r="E527" t="s">
        <v>8618</v>
      </c>
      <c r="F527" t="s">
        <v>19368</v>
      </c>
      <c r="G527" t="s">
        <v>19369</v>
      </c>
    </row>
    <row r="528" spans="1:7">
      <c r="A528" t="s">
        <v>19370</v>
      </c>
      <c r="B528" t="s">
        <v>8626</v>
      </c>
      <c r="D528" s="34" t="s">
        <v>17185</v>
      </c>
      <c r="E528" t="s">
        <v>8618</v>
      </c>
      <c r="F528" t="s">
        <v>8623</v>
      </c>
      <c r="G528" t="s">
        <v>19371</v>
      </c>
    </row>
    <row r="529" spans="1:7">
      <c r="A529" t="s">
        <v>19372</v>
      </c>
      <c r="B529" t="s">
        <v>8607</v>
      </c>
      <c r="D529" s="34" t="s">
        <v>19373</v>
      </c>
      <c r="E529" t="s">
        <v>8618</v>
      </c>
      <c r="F529" t="s">
        <v>19368</v>
      </c>
      <c r="G529" t="s">
        <v>19374</v>
      </c>
    </row>
    <row r="530" spans="1:7">
      <c r="A530" t="s">
        <v>19375</v>
      </c>
      <c r="D530" s="34" t="s">
        <v>19376</v>
      </c>
      <c r="E530" t="s">
        <v>8618</v>
      </c>
      <c r="G530" t="s">
        <v>19377</v>
      </c>
    </row>
    <row r="531" spans="1:7">
      <c r="A531" t="s">
        <v>19378</v>
      </c>
      <c r="B531" t="s">
        <v>8607</v>
      </c>
      <c r="D531" s="34" t="s">
        <v>19379</v>
      </c>
      <c r="E531" t="s">
        <v>8618</v>
      </c>
      <c r="F531" t="s">
        <v>19380</v>
      </c>
      <c r="G531" t="s">
        <v>19381</v>
      </c>
    </row>
    <row r="532" spans="1:7">
      <c r="A532" t="s">
        <v>19382</v>
      </c>
      <c r="B532" t="s">
        <v>8607</v>
      </c>
      <c r="D532" s="34" t="s">
        <v>19383</v>
      </c>
      <c r="E532" t="s">
        <v>8618</v>
      </c>
      <c r="F532" t="s">
        <v>19384</v>
      </c>
      <c r="G532" t="s">
        <v>19385</v>
      </c>
    </row>
    <row r="533" spans="1:7">
      <c r="A533" t="s">
        <v>19386</v>
      </c>
      <c r="B533" t="s">
        <v>8626</v>
      </c>
      <c r="D533" s="34" t="s">
        <v>19383</v>
      </c>
      <c r="E533" t="s">
        <v>8618</v>
      </c>
      <c r="F533" t="s">
        <v>17760</v>
      </c>
      <c r="G533" t="s">
        <v>19387</v>
      </c>
    </row>
    <row r="534" spans="1:7">
      <c r="A534" t="s">
        <v>19388</v>
      </c>
      <c r="B534" t="s">
        <v>8607</v>
      </c>
      <c r="D534" s="34" t="s">
        <v>19383</v>
      </c>
      <c r="E534" t="s">
        <v>8618</v>
      </c>
      <c r="F534" t="s">
        <v>17760</v>
      </c>
      <c r="G534" t="s">
        <v>19389</v>
      </c>
    </row>
    <row r="535" spans="1:7">
      <c r="A535" t="s">
        <v>19390</v>
      </c>
      <c r="B535" t="s">
        <v>8626</v>
      </c>
      <c r="D535" s="34" t="s">
        <v>19383</v>
      </c>
      <c r="E535" t="s">
        <v>8618</v>
      </c>
      <c r="F535" t="s">
        <v>17760</v>
      </c>
      <c r="G535" t="s">
        <v>19391</v>
      </c>
    </row>
    <row r="536" spans="1:7">
      <c r="A536" t="s">
        <v>19392</v>
      </c>
      <c r="B536" t="s">
        <v>8626</v>
      </c>
      <c r="D536" s="34" t="s">
        <v>19383</v>
      </c>
      <c r="E536" t="s">
        <v>8618</v>
      </c>
      <c r="F536" t="s">
        <v>18260</v>
      </c>
      <c r="G536" t="s">
        <v>19393</v>
      </c>
    </row>
    <row r="537" spans="1:7">
      <c r="A537" t="s">
        <v>19394</v>
      </c>
      <c r="B537" t="s">
        <v>8626</v>
      </c>
      <c r="D537" s="34" t="s">
        <v>19383</v>
      </c>
      <c r="E537" t="s">
        <v>8618</v>
      </c>
      <c r="F537" t="s">
        <v>17760</v>
      </c>
      <c r="G537" t="s">
        <v>19395</v>
      </c>
    </row>
    <row r="538" spans="1:7">
      <c r="A538" t="s">
        <v>19396</v>
      </c>
      <c r="B538" t="s">
        <v>8607</v>
      </c>
      <c r="D538" s="34" t="s">
        <v>19397</v>
      </c>
      <c r="E538" t="s">
        <v>8618</v>
      </c>
      <c r="F538" t="s">
        <v>18260</v>
      </c>
      <c r="G538" t="s">
        <v>19398</v>
      </c>
    </row>
    <row r="539" spans="1:7">
      <c r="A539" t="s">
        <v>19399</v>
      </c>
      <c r="B539" t="s">
        <v>8607</v>
      </c>
      <c r="D539" s="34" t="s">
        <v>19400</v>
      </c>
      <c r="E539" t="s">
        <v>8618</v>
      </c>
      <c r="F539" t="s">
        <v>19401</v>
      </c>
      <c r="G539" t="s">
        <v>19402</v>
      </c>
    </row>
    <row r="540" spans="1:7">
      <c r="A540" t="s">
        <v>19403</v>
      </c>
      <c r="B540" t="s">
        <v>8626</v>
      </c>
      <c r="D540" s="34" t="s">
        <v>19404</v>
      </c>
      <c r="E540" t="s">
        <v>8618</v>
      </c>
      <c r="F540" t="s">
        <v>19401</v>
      </c>
      <c r="G540" t="s">
        <v>19405</v>
      </c>
    </row>
    <row r="541" spans="1:7">
      <c r="A541" t="s">
        <v>19406</v>
      </c>
      <c r="B541" t="s">
        <v>8626</v>
      </c>
      <c r="D541" s="34" t="s">
        <v>19407</v>
      </c>
      <c r="E541" t="s">
        <v>8618</v>
      </c>
      <c r="G541" t="s">
        <v>19408</v>
      </c>
    </row>
    <row r="542" spans="1:7">
      <c r="A542" t="s">
        <v>19409</v>
      </c>
      <c r="B542" t="s">
        <v>8607</v>
      </c>
      <c r="C542" t="s">
        <v>19410</v>
      </c>
      <c r="D542" s="34" t="s">
        <v>19411</v>
      </c>
      <c r="E542" t="s">
        <v>8618</v>
      </c>
      <c r="F542" t="s">
        <v>12982</v>
      </c>
      <c r="G542" t="s">
        <v>19412</v>
      </c>
    </row>
    <row r="543" spans="1:7">
      <c r="A543" t="s">
        <v>19413</v>
      </c>
      <c r="B543" t="s">
        <v>8607</v>
      </c>
      <c r="C543" t="s">
        <v>19414</v>
      </c>
      <c r="D543" s="34" t="s">
        <v>19415</v>
      </c>
      <c r="E543" t="s">
        <v>8618</v>
      </c>
      <c r="F543" t="s">
        <v>12982</v>
      </c>
      <c r="G543" t="s">
        <v>19416</v>
      </c>
    </row>
    <row r="544" spans="1:7">
      <c r="A544" t="s">
        <v>19417</v>
      </c>
      <c r="B544" t="s">
        <v>8626</v>
      </c>
      <c r="D544" s="34" t="s">
        <v>19418</v>
      </c>
      <c r="E544" t="s">
        <v>8618</v>
      </c>
      <c r="F544" t="s">
        <v>19419</v>
      </c>
      <c r="G544" t="s">
        <v>19420</v>
      </c>
    </row>
    <row r="545" spans="1:7">
      <c r="A545" t="s">
        <v>19421</v>
      </c>
      <c r="B545" t="s">
        <v>8626</v>
      </c>
      <c r="C545" t="s">
        <v>18483</v>
      </c>
      <c r="D545" s="34" t="s">
        <v>19422</v>
      </c>
      <c r="E545" t="s">
        <v>8618</v>
      </c>
      <c r="F545" t="s">
        <v>17760</v>
      </c>
      <c r="G545" t="s">
        <v>19423</v>
      </c>
    </row>
    <row r="546" spans="1:7">
      <c r="A546" t="s">
        <v>19424</v>
      </c>
      <c r="B546" t="s">
        <v>8607</v>
      </c>
      <c r="C546" t="s">
        <v>18483</v>
      </c>
      <c r="D546" s="34" t="s">
        <v>19422</v>
      </c>
      <c r="E546" t="s">
        <v>8618</v>
      </c>
      <c r="F546" t="s">
        <v>17760</v>
      </c>
      <c r="G546" t="s">
        <v>19425</v>
      </c>
    </row>
    <row r="547" spans="1:7">
      <c r="A547" t="s">
        <v>19426</v>
      </c>
      <c r="B547" t="s">
        <v>8607</v>
      </c>
      <c r="C547" t="s">
        <v>18483</v>
      </c>
      <c r="D547" s="34" t="s">
        <v>19422</v>
      </c>
      <c r="E547" t="s">
        <v>8618</v>
      </c>
      <c r="F547" t="s">
        <v>17760</v>
      </c>
      <c r="G547" t="s">
        <v>19427</v>
      </c>
    </row>
    <row r="548" spans="1:7">
      <c r="A548" t="s">
        <v>19428</v>
      </c>
      <c r="B548" t="s">
        <v>8607</v>
      </c>
      <c r="D548" s="34" t="s">
        <v>19429</v>
      </c>
      <c r="E548" t="s">
        <v>8618</v>
      </c>
      <c r="F548" t="s">
        <v>11594</v>
      </c>
      <c r="G548" t="s">
        <v>19430</v>
      </c>
    </row>
    <row r="549" spans="1:7">
      <c r="A549" t="s">
        <v>19431</v>
      </c>
      <c r="B549" t="s">
        <v>8607</v>
      </c>
      <c r="D549" s="34" t="s">
        <v>19429</v>
      </c>
      <c r="E549" t="s">
        <v>8618</v>
      </c>
      <c r="F549" t="s">
        <v>11594</v>
      </c>
      <c r="G549" t="s">
        <v>19430</v>
      </c>
    </row>
    <row r="550" spans="1:7">
      <c r="A550" t="s">
        <v>19432</v>
      </c>
      <c r="B550" t="s">
        <v>8607</v>
      </c>
      <c r="D550" s="34" t="s">
        <v>19429</v>
      </c>
      <c r="E550" t="s">
        <v>8618</v>
      </c>
      <c r="F550" t="s">
        <v>11594</v>
      </c>
      <c r="G550" t="s">
        <v>19430</v>
      </c>
    </row>
    <row r="551" spans="1:7">
      <c r="A551" t="s">
        <v>19433</v>
      </c>
      <c r="B551" t="s">
        <v>8607</v>
      </c>
      <c r="D551" s="34" t="s">
        <v>19429</v>
      </c>
      <c r="E551" t="s">
        <v>8618</v>
      </c>
      <c r="F551" t="s">
        <v>11594</v>
      </c>
      <c r="G551" t="s">
        <v>19430</v>
      </c>
    </row>
    <row r="552" spans="1:7">
      <c r="A552" t="s">
        <v>19434</v>
      </c>
      <c r="B552" t="s">
        <v>8607</v>
      </c>
      <c r="D552" s="34" t="s">
        <v>19429</v>
      </c>
      <c r="E552" t="s">
        <v>8618</v>
      </c>
      <c r="F552" t="s">
        <v>11594</v>
      </c>
      <c r="G552" t="s">
        <v>19430</v>
      </c>
    </row>
    <row r="553" spans="1:7">
      <c r="A553" t="s">
        <v>19435</v>
      </c>
      <c r="B553" t="s">
        <v>8607</v>
      </c>
      <c r="D553" s="34" t="s">
        <v>19429</v>
      </c>
      <c r="E553" t="s">
        <v>8618</v>
      </c>
      <c r="F553" t="s">
        <v>11594</v>
      </c>
      <c r="G553" t="s">
        <v>19430</v>
      </c>
    </row>
    <row r="554" spans="1:7">
      <c r="A554" t="s">
        <v>19436</v>
      </c>
      <c r="B554" t="s">
        <v>8607</v>
      </c>
      <c r="D554" s="34" t="s">
        <v>19429</v>
      </c>
      <c r="E554" t="s">
        <v>8618</v>
      </c>
      <c r="F554" t="s">
        <v>11594</v>
      </c>
      <c r="G554" t="s">
        <v>19430</v>
      </c>
    </row>
    <row r="555" spans="1:7">
      <c r="A555" t="s">
        <v>19437</v>
      </c>
      <c r="B555" t="s">
        <v>8607</v>
      </c>
      <c r="C555" t="s">
        <v>18236</v>
      </c>
      <c r="D555" s="34" t="s">
        <v>19438</v>
      </c>
      <c r="E555" t="s">
        <v>8618</v>
      </c>
      <c r="F555" t="s">
        <v>13312</v>
      </c>
      <c r="G555" t="s">
        <v>18228</v>
      </c>
    </row>
    <row r="556" spans="1:7">
      <c r="A556" t="s">
        <v>19439</v>
      </c>
      <c r="B556" t="s">
        <v>8607</v>
      </c>
      <c r="C556" t="s">
        <v>18236</v>
      </c>
      <c r="D556" s="34" t="s">
        <v>19440</v>
      </c>
      <c r="E556" t="s">
        <v>8618</v>
      </c>
      <c r="F556" t="s">
        <v>13312</v>
      </c>
      <c r="G556" t="s">
        <v>18228</v>
      </c>
    </row>
    <row r="557" spans="1:7">
      <c r="A557" t="s">
        <v>19441</v>
      </c>
      <c r="B557" t="s">
        <v>8607</v>
      </c>
      <c r="C557" t="s">
        <v>18236</v>
      </c>
      <c r="D557" s="34" t="s">
        <v>19440</v>
      </c>
      <c r="E557" t="s">
        <v>8618</v>
      </c>
      <c r="F557" t="s">
        <v>18243</v>
      </c>
      <c r="G557" t="s">
        <v>18228</v>
      </c>
    </row>
    <row r="558" spans="1:7">
      <c r="A558" t="s">
        <v>19442</v>
      </c>
      <c r="B558" t="s">
        <v>8607</v>
      </c>
      <c r="C558" t="s">
        <v>18236</v>
      </c>
      <c r="D558" s="34" t="s">
        <v>19440</v>
      </c>
      <c r="E558" t="s">
        <v>8618</v>
      </c>
      <c r="F558" t="s">
        <v>17760</v>
      </c>
      <c r="G558" t="s">
        <v>18228</v>
      </c>
    </row>
    <row r="559" spans="1:7">
      <c r="A559" t="s">
        <v>19443</v>
      </c>
      <c r="B559" t="s">
        <v>8626</v>
      </c>
      <c r="D559" s="34" t="s">
        <v>19444</v>
      </c>
      <c r="E559" t="s">
        <v>8618</v>
      </c>
      <c r="F559" t="s">
        <v>19172</v>
      </c>
      <c r="G559" t="s">
        <v>19445</v>
      </c>
    </row>
    <row r="560" spans="1:7">
      <c r="A560" t="s">
        <v>19446</v>
      </c>
      <c r="B560" t="s">
        <v>8626</v>
      </c>
      <c r="D560" s="34" t="s">
        <v>19444</v>
      </c>
      <c r="E560" t="s">
        <v>8618</v>
      </c>
      <c r="F560" t="s">
        <v>19172</v>
      </c>
      <c r="G560" t="s">
        <v>19445</v>
      </c>
    </row>
    <row r="561" spans="1:7">
      <c r="A561" t="s">
        <v>19447</v>
      </c>
      <c r="B561" t="s">
        <v>8607</v>
      </c>
      <c r="D561" s="34" t="s">
        <v>19448</v>
      </c>
      <c r="E561" t="s">
        <v>8618</v>
      </c>
      <c r="F561" t="s">
        <v>19172</v>
      </c>
      <c r="G561" t="s">
        <v>19449</v>
      </c>
    </row>
    <row r="562" spans="1:7">
      <c r="A562" t="s">
        <v>19450</v>
      </c>
      <c r="B562" t="s">
        <v>8607</v>
      </c>
      <c r="D562" s="34" t="s">
        <v>19448</v>
      </c>
      <c r="E562" t="s">
        <v>8618</v>
      </c>
      <c r="F562" t="s">
        <v>19172</v>
      </c>
      <c r="G562" t="s">
        <v>19451</v>
      </c>
    </row>
    <row r="563" spans="1:7">
      <c r="A563" t="s">
        <v>19452</v>
      </c>
      <c r="B563" t="s">
        <v>8607</v>
      </c>
      <c r="C563" t="s">
        <v>19453</v>
      </c>
      <c r="D563" s="34" t="s">
        <v>19454</v>
      </c>
      <c r="E563" t="s">
        <v>8618</v>
      </c>
      <c r="F563" t="s">
        <v>19455</v>
      </c>
      <c r="G563" t="s">
        <v>19456</v>
      </c>
    </row>
    <row r="564" spans="1:7">
      <c r="A564" t="s">
        <v>19457</v>
      </c>
      <c r="B564" t="s">
        <v>8626</v>
      </c>
      <c r="C564" t="s">
        <v>19458</v>
      </c>
      <c r="D564" s="34" t="s">
        <v>19459</v>
      </c>
      <c r="E564" t="s">
        <v>8618</v>
      </c>
      <c r="F564" t="s">
        <v>10427</v>
      </c>
      <c r="G564" t="s">
        <v>19460</v>
      </c>
    </row>
    <row r="565" spans="1:7">
      <c r="A565" t="s">
        <v>19461</v>
      </c>
      <c r="B565" t="s">
        <v>8626</v>
      </c>
      <c r="D565" s="34" t="s">
        <v>19462</v>
      </c>
      <c r="E565" t="s">
        <v>8618</v>
      </c>
      <c r="G565" t="s">
        <v>19463</v>
      </c>
    </row>
    <row r="566" spans="1:7">
      <c r="A566" t="s">
        <v>19464</v>
      </c>
      <c r="B566" t="s">
        <v>8626</v>
      </c>
      <c r="D566" s="34" t="s">
        <v>19465</v>
      </c>
      <c r="E566" t="s">
        <v>8618</v>
      </c>
      <c r="F566" t="s">
        <v>17760</v>
      </c>
      <c r="G566" t="s">
        <v>19466</v>
      </c>
    </row>
    <row r="567" spans="1:7">
      <c r="A567" t="s">
        <v>19467</v>
      </c>
      <c r="B567" t="s">
        <v>8626</v>
      </c>
      <c r="C567" t="s">
        <v>19468</v>
      </c>
      <c r="D567" s="34" t="s">
        <v>19469</v>
      </c>
      <c r="E567" t="s">
        <v>8618</v>
      </c>
      <c r="F567" t="s">
        <v>13633</v>
      </c>
      <c r="G567" t="s">
        <v>19470</v>
      </c>
    </row>
    <row r="568" spans="1:7">
      <c r="A568" t="s">
        <v>19471</v>
      </c>
      <c r="B568" t="s">
        <v>8607</v>
      </c>
      <c r="D568" s="34" t="s">
        <v>19472</v>
      </c>
      <c r="E568" t="s">
        <v>8618</v>
      </c>
      <c r="F568" t="s">
        <v>19473</v>
      </c>
      <c r="G568" t="s">
        <v>19474</v>
      </c>
    </row>
    <row r="569" spans="1:7">
      <c r="A569" t="s">
        <v>19475</v>
      </c>
      <c r="B569" t="s">
        <v>8607</v>
      </c>
      <c r="D569" s="34" t="s">
        <v>19476</v>
      </c>
      <c r="E569" t="s">
        <v>8618</v>
      </c>
      <c r="F569" t="s">
        <v>8623</v>
      </c>
      <c r="G569" t="s">
        <v>19477</v>
      </c>
    </row>
    <row r="570" spans="1:7">
      <c r="A570" t="s">
        <v>19478</v>
      </c>
      <c r="B570" t="s">
        <v>8626</v>
      </c>
      <c r="C570" t="s">
        <v>19479</v>
      </c>
      <c r="D570" s="34" t="s">
        <v>19480</v>
      </c>
      <c r="E570" t="s">
        <v>8618</v>
      </c>
      <c r="F570" t="s">
        <v>8623</v>
      </c>
      <c r="G570" t="s">
        <v>19481</v>
      </c>
    </row>
    <row r="571" spans="1:7">
      <c r="A571" t="s">
        <v>19482</v>
      </c>
      <c r="B571" t="s">
        <v>8607</v>
      </c>
      <c r="C571" t="s">
        <v>19483</v>
      </c>
      <c r="D571" s="34" t="s">
        <v>19484</v>
      </c>
      <c r="E571" t="s">
        <v>8618</v>
      </c>
      <c r="F571" t="s">
        <v>19485</v>
      </c>
      <c r="G571" t="s">
        <v>19486</v>
      </c>
    </row>
    <row r="572" spans="1:7">
      <c r="A572" t="s">
        <v>19487</v>
      </c>
      <c r="B572" t="s">
        <v>8626</v>
      </c>
      <c r="D572" s="34" t="s">
        <v>19488</v>
      </c>
      <c r="E572" t="s">
        <v>8618</v>
      </c>
      <c r="F572" t="s">
        <v>19489</v>
      </c>
      <c r="G572" t="s">
        <v>19490</v>
      </c>
    </row>
    <row r="573" spans="1:7">
      <c r="A573" t="s">
        <v>19491</v>
      </c>
      <c r="B573" t="s">
        <v>8626</v>
      </c>
      <c r="D573" s="34" t="s">
        <v>19488</v>
      </c>
      <c r="E573" t="s">
        <v>8618</v>
      </c>
      <c r="F573" t="s">
        <v>19489</v>
      </c>
      <c r="G573" t="s">
        <v>19492</v>
      </c>
    </row>
    <row r="574" spans="1:7">
      <c r="A574" t="s">
        <v>19493</v>
      </c>
      <c r="B574" t="s">
        <v>8607</v>
      </c>
      <c r="C574" t="s">
        <v>19494</v>
      </c>
      <c r="D574" s="34" t="s">
        <v>19495</v>
      </c>
      <c r="E574" t="s">
        <v>8618</v>
      </c>
      <c r="F574" t="s">
        <v>13312</v>
      </c>
      <c r="G574" t="s">
        <v>19496</v>
      </c>
    </row>
    <row r="575" spans="1:7">
      <c r="A575" t="s">
        <v>19497</v>
      </c>
      <c r="B575" t="s">
        <v>8626</v>
      </c>
      <c r="D575" s="34" t="s">
        <v>19498</v>
      </c>
      <c r="E575" t="s">
        <v>8618</v>
      </c>
      <c r="F575" t="s">
        <v>19499</v>
      </c>
      <c r="G575" t="s">
        <v>19500</v>
      </c>
    </row>
    <row r="576" spans="1:7">
      <c r="A576" t="s">
        <v>19501</v>
      </c>
      <c r="B576" t="s">
        <v>8607</v>
      </c>
      <c r="C576" t="s">
        <v>19502</v>
      </c>
      <c r="D576" s="34" t="s">
        <v>19503</v>
      </c>
      <c r="E576" t="s">
        <v>8618</v>
      </c>
      <c r="G576" t="s">
        <v>19504</v>
      </c>
    </row>
    <row r="577" spans="1:7">
      <c r="A577" t="s">
        <v>19505</v>
      </c>
      <c r="B577" t="s">
        <v>8607</v>
      </c>
      <c r="C577" t="s">
        <v>15422</v>
      </c>
      <c r="D577" s="34" t="s">
        <v>13774</v>
      </c>
      <c r="E577" t="s">
        <v>8618</v>
      </c>
      <c r="F577" t="s">
        <v>19506</v>
      </c>
      <c r="G577" t="s">
        <v>19507</v>
      </c>
    </row>
    <row r="578" spans="1:7">
      <c r="A578" t="s">
        <v>19508</v>
      </c>
      <c r="B578" t="s">
        <v>8626</v>
      </c>
      <c r="C578" t="s">
        <v>19509</v>
      </c>
      <c r="D578" s="34" t="s">
        <v>10037</v>
      </c>
      <c r="E578" t="s">
        <v>8618</v>
      </c>
      <c r="F578" t="s">
        <v>13929</v>
      </c>
      <c r="G578" t="s">
        <v>19510</v>
      </c>
    </row>
    <row r="579" spans="1:7">
      <c r="A579" t="s">
        <v>19511</v>
      </c>
      <c r="B579" t="s">
        <v>8607</v>
      </c>
      <c r="C579" t="s">
        <v>19512</v>
      </c>
      <c r="D579" s="34" t="s">
        <v>19513</v>
      </c>
      <c r="E579" t="s">
        <v>8618</v>
      </c>
      <c r="F579" t="s">
        <v>19514</v>
      </c>
      <c r="G579" t="s">
        <v>19515</v>
      </c>
    </row>
    <row r="580" spans="1:7">
      <c r="A580" t="s">
        <v>19516</v>
      </c>
      <c r="B580" t="s">
        <v>8626</v>
      </c>
      <c r="C580" t="s">
        <v>19517</v>
      </c>
      <c r="D580" s="34" t="s">
        <v>19513</v>
      </c>
      <c r="E580" t="s">
        <v>8618</v>
      </c>
      <c r="F580" t="s">
        <v>19518</v>
      </c>
      <c r="G580" t="s">
        <v>19519</v>
      </c>
    </row>
    <row r="581" spans="1:7">
      <c r="A581" t="s">
        <v>19520</v>
      </c>
      <c r="B581" t="s">
        <v>8626</v>
      </c>
      <c r="C581" t="s">
        <v>19521</v>
      </c>
      <c r="D581" s="34" t="s">
        <v>19522</v>
      </c>
      <c r="E581" t="s">
        <v>8618</v>
      </c>
      <c r="F581" t="s">
        <v>8623</v>
      </c>
      <c r="G581" t="s">
        <v>19523</v>
      </c>
    </row>
    <row r="582" spans="1:7">
      <c r="A582" t="s">
        <v>19524</v>
      </c>
      <c r="B582" t="s">
        <v>8626</v>
      </c>
      <c r="C582" t="s">
        <v>19521</v>
      </c>
      <c r="D582" s="34" t="s">
        <v>19522</v>
      </c>
      <c r="E582" t="s">
        <v>8618</v>
      </c>
      <c r="F582" t="s">
        <v>8623</v>
      </c>
      <c r="G582" t="s">
        <v>19523</v>
      </c>
    </row>
    <row r="583" spans="1:7">
      <c r="A583" t="s">
        <v>19525</v>
      </c>
      <c r="B583" t="s">
        <v>8626</v>
      </c>
      <c r="D583" s="35" t="s">
        <v>19526</v>
      </c>
      <c r="E583" t="s">
        <v>8672</v>
      </c>
      <c r="G583" t="s">
        <v>19527</v>
      </c>
    </row>
    <row r="584" spans="1:7">
      <c r="A584" t="s">
        <v>19528</v>
      </c>
      <c r="B584" t="s">
        <v>8626</v>
      </c>
      <c r="D584" t="s">
        <v>19529</v>
      </c>
      <c r="E584" t="s">
        <v>8672</v>
      </c>
      <c r="F584" t="s">
        <v>12464</v>
      </c>
      <c r="G584" t="s">
        <v>19530</v>
      </c>
    </row>
    <row r="585" spans="1:7">
      <c r="A585" t="s">
        <v>19531</v>
      </c>
      <c r="B585" t="s">
        <v>8607</v>
      </c>
      <c r="C585" t="s">
        <v>19532</v>
      </c>
      <c r="D585" t="s">
        <v>19533</v>
      </c>
      <c r="E585" t="s">
        <v>8672</v>
      </c>
      <c r="F585" t="s">
        <v>9677</v>
      </c>
      <c r="G585" t="s">
        <v>19534</v>
      </c>
    </row>
    <row r="586" spans="1:7">
      <c r="A586" t="s">
        <v>19535</v>
      </c>
      <c r="B586" t="s">
        <v>8607</v>
      </c>
      <c r="D586" t="s">
        <v>19536</v>
      </c>
      <c r="E586" t="s">
        <v>8672</v>
      </c>
      <c r="F586" t="s">
        <v>19537</v>
      </c>
      <c r="G586" t="s">
        <v>19538</v>
      </c>
    </row>
    <row r="587" spans="1:7">
      <c r="A587" t="s">
        <v>19539</v>
      </c>
      <c r="B587" t="s">
        <v>8607</v>
      </c>
      <c r="D587" t="s">
        <v>19536</v>
      </c>
      <c r="E587" t="s">
        <v>8672</v>
      </c>
      <c r="F587" t="s">
        <v>19537</v>
      </c>
      <c r="G587" t="s">
        <v>19540</v>
      </c>
    </row>
    <row r="588" spans="1:7">
      <c r="A588" t="s">
        <v>19541</v>
      </c>
      <c r="B588" t="s">
        <v>8626</v>
      </c>
      <c r="C588" t="s">
        <v>19542</v>
      </c>
      <c r="D588" t="s">
        <v>19536</v>
      </c>
      <c r="E588" t="s">
        <v>8672</v>
      </c>
      <c r="F588" t="s">
        <v>19537</v>
      </c>
      <c r="G588" t="s">
        <v>19543</v>
      </c>
    </row>
    <row r="589" spans="1:7">
      <c r="A589" t="s">
        <v>19544</v>
      </c>
      <c r="B589" t="s">
        <v>8607</v>
      </c>
      <c r="D589" t="s">
        <v>19545</v>
      </c>
      <c r="E589" t="s">
        <v>8672</v>
      </c>
      <c r="F589" t="s">
        <v>19537</v>
      </c>
      <c r="G589" t="s">
        <v>19546</v>
      </c>
    </row>
    <row r="590" spans="1:7">
      <c r="A590" t="s">
        <v>19547</v>
      </c>
      <c r="B590" t="s">
        <v>8607</v>
      </c>
      <c r="C590" t="s">
        <v>19542</v>
      </c>
      <c r="D590" t="s">
        <v>19545</v>
      </c>
      <c r="E590" t="s">
        <v>8672</v>
      </c>
      <c r="F590" t="s">
        <v>19537</v>
      </c>
      <c r="G590" t="s">
        <v>19548</v>
      </c>
    </row>
    <row r="591" spans="1:7">
      <c r="A591" t="s">
        <v>19549</v>
      </c>
      <c r="B591" t="s">
        <v>8607</v>
      </c>
      <c r="C591" t="s">
        <v>19542</v>
      </c>
      <c r="D591" t="s">
        <v>19545</v>
      </c>
      <c r="E591" t="s">
        <v>8672</v>
      </c>
      <c r="F591" t="s">
        <v>19537</v>
      </c>
      <c r="G591" t="s">
        <v>19550</v>
      </c>
    </row>
    <row r="592" spans="1:7">
      <c r="A592" t="s">
        <v>19551</v>
      </c>
      <c r="B592" t="s">
        <v>8607</v>
      </c>
      <c r="D592" t="s">
        <v>19545</v>
      </c>
      <c r="E592" t="s">
        <v>8672</v>
      </c>
      <c r="F592" t="s">
        <v>19537</v>
      </c>
      <c r="G592" t="s">
        <v>19552</v>
      </c>
    </row>
    <row r="593" spans="1:7">
      <c r="A593" t="s">
        <v>19553</v>
      </c>
      <c r="B593" t="s">
        <v>8607</v>
      </c>
      <c r="D593" t="s">
        <v>19545</v>
      </c>
      <c r="E593" t="s">
        <v>8672</v>
      </c>
      <c r="F593" t="s">
        <v>19537</v>
      </c>
      <c r="G593" t="s">
        <v>19540</v>
      </c>
    </row>
    <row r="594" spans="1:7">
      <c r="A594" t="s">
        <v>19554</v>
      </c>
      <c r="B594" t="s">
        <v>8626</v>
      </c>
      <c r="D594" t="s">
        <v>19545</v>
      </c>
      <c r="E594" t="s">
        <v>8672</v>
      </c>
      <c r="F594" t="s">
        <v>19537</v>
      </c>
      <c r="G594" t="s">
        <v>19555</v>
      </c>
    </row>
    <row r="595" spans="1:7">
      <c r="A595" t="s">
        <v>19556</v>
      </c>
      <c r="B595" t="s">
        <v>8607</v>
      </c>
      <c r="D595" t="s">
        <v>19545</v>
      </c>
      <c r="E595" t="s">
        <v>8672</v>
      </c>
      <c r="F595" t="s">
        <v>19537</v>
      </c>
      <c r="G595" t="s">
        <v>19548</v>
      </c>
    </row>
    <row r="596" spans="1:7">
      <c r="A596" t="s">
        <v>19557</v>
      </c>
      <c r="B596" t="s">
        <v>8607</v>
      </c>
      <c r="C596" t="s">
        <v>19558</v>
      </c>
      <c r="D596" t="s">
        <v>19559</v>
      </c>
      <c r="E596" t="s">
        <v>8672</v>
      </c>
      <c r="F596" t="s">
        <v>19560</v>
      </c>
      <c r="G596" t="s">
        <v>19561</v>
      </c>
    </row>
    <row r="597" spans="1:7">
      <c r="A597" t="s">
        <v>19562</v>
      </c>
      <c r="B597" t="s">
        <v>8607</v>
      </c>
      <c r="C597" t="s">
        <v>19563</v>
      </c>
      <c r="D597" t="s">
        <v>19564</v>
      </c>
      <c r="E597" t="s">
        <v>8672</v>
      </c>
      <c r="F597" t="s">
        <v>9052</v>
      </c>
      <c r="G597" t="s">
        <v>19565</v>
      </c>
    </row>
    <row r="598" spans="1:7">
      <c r="A598" t="s">
        <v>19566</v>
      </c>
      <c r="B598" t="s">
        <v>8607</v>
      </c>
      <c r="C598" t="s">
        <v>19567</v>
      </c>
      <c r="D598" t="s">
        <v>19568</v>
      </c>
      <c r="E598" t="s">
        <v>8672</v>
      </c>
      <c r="F598" t="s">
        <v>14588</v>
      </c>
      <c r="G598" t="s">
        <v>19569</v>
      </c>
    </row>
    <row r="599" spans="1:7">
      <c r="A599" t="s">
        <v>19570</v>
      </c>
      <c r="B599" t="s">
        <v>8607</v>
      </c>
      <c r="C599" t="s">
        <v>19571</v>
      </c>
      <c r="D599" t="s">
        <v>19572</v>
      </c>
      <c r="E599" t="s">
        <v>8672</v>
      </c>
      <c r="F599" t="s">
        <v>18882</v>
      </c>
      <c r="G599" t="s">
        <v>19573</v>
      </c>
    </row>
    <row r="600" spans="1:7">
      <c r="A600" t="s">
        <v>19574</v>
      </c>
      <c r="B600" t="s">
        <v>8607</v>
      </c>
      <c r="C600" t="s">
        <v>19575</v>
      </c>
      <c r="D600" t="s">
        <v>19576</v>
      </c>
      <c r="E600" t="s">
        <v>8672</v>
      </c>
      <c r="F600" t="s">
        <v>18882</v>
      </c>
      <c r="G600" t="s">
        <v>19577</v>
      </c>
    </row>
    <row r="601" spans="1:7">
      <c r="A601" t="s">
        <v>19578</v>
      </c>
      <c r="B601" t="s">
        <v>8607</v>
      </c>
      <c r="C601" t="s">
        <v>19571</v>
      </c>
      <c r="D601" t="s">
        <v>19579</v>
      </c>
      <c r="E601" t="s">
        <v>8672</v>
      </c>
      <c r="F601" t="s">
        <v>18882</v>
      </c>
      <c r="G601" t="s">
        <v>19580</v>
      </c>
    </row>
    <row r="602" spans="1:7">
      <c r="A602" t="s">
        <v>19581</v>
      </c>
      <c r="B602" t="s">
        <v>8607</v>
      </c>
      <c r="C602" t="s">
        <v>19582</v>
      </c>
      <c r="D602" t="s">
        <v>19583</v>
      </c>
      <c r="E602" t="s">
        <v>8672</v>
      </c>
      <c r="F602" t="s">
        <v>18882</v>
      </c>
      <c r="G602" t="s">
        <v>19584</v>
      </c>
    </row>
    <row r="603" spans="1:7">
      <c r="A603" t="s">
        <v>19585</v>
      </c>
      <c r="B603" t="s">
        <v>8607</v>
      </c>
      <c r="C603" t="s">
        <v>19586</v>
      </c>
      <c r="D603" t="s">
        <v>19587</v>
      </c>
      <c r="E603" t="s">
        <v>8672</v>
      </c>
      <c r="F603" t="s">
        <v>18882</v>
      </c>
      <c r="G603" t="s">
        <v>19584</v>
      </c>
    </row>
    <row r="604" spans="1:7">
      <c r="A604" t="s">
        <v>19588</v>
      </c>
      <c r="B604" t="s">
        <v>8607</v>
      </c>
      <c r="C604" t="s">
        <v>19571</v>
      </c>
      <c r="D604" t="s">
        <v>19587</v>
      </c>
      <c r="E604" t="s">
        <v>8672</v>
      </c>
      <c r="F604" t="s">
        <v>18882</v>
      </c>
      <c r="G604" t="s">
        <v>19589</v>
      </c>
    </row>
    <row r="605" spans="1:7">
      <c r="A605" t="s">
        <v>19590</v>
      </c>
      <c r="B605" t="s">
        <v>8607</v>
      </c>
      <c r="C605" t="s">
        <v>19591</v>
      </c>
      <c r="D605" t="s">
        <v>19587</v>
      </c>
      <c r="E605" t="s">
        <v>8672</v>
      </c>
      <c r="F605" t="s">
        <v>18882</v>
      </c>
      <c r="G605" t="s">
        <v>19589</v>
      </c>
    </row>
    <row r="606" spans="1:7">
      <c r="A606" t="s">
        <v>19592</v>
      </c>
      <c r="B606" t="s">
        <v>8607</v>
      </c>
      <c r="C606" t="s">
        <v>19593</v>
      </c>
      <c r="D606" t="s">
        <v>19594</v>
      </c>
      <c r="E606" t="s">
        <v>8672</v>
      </c>
      <c r="F606" t="s">
        <v>18882</v>
      </c>
      <c r="G606" t="s">
        <v>19595</v>
      </c>
    </row>
    <row r="607" spans="1:7">
      <c r="A607" t="s">
        <v>19596</v>
      </c>
      <c r="B607" t="s">
        <v>8626</v>
      </c>
      <c r="C607" t="s">
        <v>19597</v>
      </c>
      <c r="D607" t="s">
        <v>19598</v>
      </c>
      <c r="E607" t="s">
        <v>8672</v>
      </c>
      <c r="G607" t="s">
        <v>19599</v>
      </c>
    </row>
    <row r="608" spans="1:7">
      <c r="A608" t="s">
        <v>19600</v>
      </c>
      <c r="B608" t="s">
        <v>8607</v>
      </c>
      <c r="C608" t="s">
        <v>19601</v>
      </c>
      <c r="D608" t="s">
        <v>19602</v>
      </c>
      <c r="E608" t="s">
        <v>8672</v>
      </c>
      <c r="F608" t="s">
        <v>19603</v>
      </c>
      <c r="G608" t="s">
        <v>19604</v>
      </c>
    </row>
    <row r="609" spans="1:7">
      <c r="A609" t="s">
        <v>19605</v>
      </c>
      <c r="B609" t="s">
        <v>8607</v>
      </c>
      <c r="C609" t="s">
        <v>19606</v>
      </c>
      <c r="D609" t="s">
        <v>19607</v>
      </c>
      <c r="E609" t="s">
        <v>8672</v>
      </c>
      <c r="F609" t="s">
        <v>19603</v>
      </c>
      <c r="G609" t="s">
        <v>19608</v>
      </c>
    </row>
    <row r="610" spans="1:7">
      <c r="A610" t="s">
        <v>19609</v>
      </c>
      <c r="B610" t="s">
        <v>8607</v>
      </c>
      <c r="C610" t="s">
        <v>19610</v>
      </c>
      <c r="D610" t="s">
        <v>19611</v>
      </c>
      <c r="E610" t="s">
        <v>8672</v>
      </c>
      <c r="F610" t="s">
        <v>19603</v>
      </c>
      <c r="G610" t="s">
        <v>19604</v>
      </c>
    </row>
    <row r="611" spans="1:7">
      <c r="A611" t="s">
        <v>19612</v>
      </c>
      <c r="B611" t="s">
        <v>8626</v>
      </c>
      <c r="C611" t="s">
        <v>19613</v>
      </c>
      <c r="D611" t="s">
        <v>19614</v>
      </c>
      <c r="E611" t="s">
        <v>8672</v>
      </c>
      <c r="F611" t="s">
        <v>19603</v>
      </c>
      <c r="G611" t="s">
        <v>19615</v>
      </c>
    </row>
    <row r="612" spans="1:7">
      <c r="A612" t="s">
        <v>19616</v>
      </c>
      <c r="B612" t="s">
        <v>8607</v>
      </c>
      <c r="C612" t="s">
        <v>19617</v>
      </c>
      <c r="D612" t="s">
        <v>19618</v>
      </c>
      <c r="E612" t="s">
        <v>8672</v>
      </c>
      <c r="F612" t="s">
        <v>19603</v>
      </c>
      <c r="G612" t="s">
        <v>19604</v>
      </c>
    </row>
    <row r="613" spans="1:7">
      <c r="A613" t="s">
        <v>19619</v>
      </c>
      <c r="B613" t="s">
        <v>8607</v>
      </c>
      <c r="C613" t="s">
        <v>19617</v>
      </c>
      <c r="D613" t="s">
        <v>19620</v>
      </c>
      <c r="E613" t="s">
        <v>8672</v>
      </c>
      <c r="F613" t="s">
        <v>19603</v>
      </c>
      <c r="G613" t="s">
        <v>19604</v>
      </c>
    </row>
    <row r="614" spans="1:7">
      <c r="A614" t="s">
        <v>19621</v>
      </c>
      <c r="B614" t="s">
        <v>8607</v>
      </c>
      <c r="C614" t="s">
        <v>19622</v>
      </c>
      <c r="D614" t="s">
        <v>19623</v>
      </c>
      <c r="E614" t="s">
        <v>8672</v>
      </c>
      <c r="F614" t="s">
        <v>19603</v>
      </c>
      <c r="G614" t="s">
        <v>19604</v>
      </c>
    </row>
    <row r="615" spans="1:7">
      <c r="A615" t="s">
        <v>19624</v>
      </c>
      <c r="B615" t="s">
        <v>8607</v>
      </c>
      <c r="C615" t="s">
        <v>19625</v>
      </c>
      <c r="D615" t="s">
        <v>19626</v>
      </c>
      <c r="E615" t="s">
        <v>8672</v>
      </c>
      <c r="F615" t="s">
        <v>9039</v>
      </c>
      <c r="G615" t="s">
        <v>19627</v>
      </c>
    </row>
    <row r="616" spans="1:7">
      <c r="A616" t="s">
        <v>19628</v>
      </c>
      <c r="B616" t="s">
        <v>8607</v>
      </c>
      <c r="C616" t="s">
        <v>19625</v>
      </c>
      <c r="D616" t="s">
        <v>19626</v>
      </c>
      <c r="E616" t="s">
        <v>8672</v>
      </c>
      <c r="F616" t="s">
        <v>9039</v>
      </c>
      <c r="G616" t="s">
        <v>19627</v>
      </c>
    </row>
    <row r="617" spans="1:7">
      <c r="A617" t="s">
        <v>19629</v>
      </c>
      <c r="B617" t="s">
        <v>8607</v>
      </c>
      <c r="C617" t="s">
        <v>19630</v>
      </c>
      <c r="D617" t="s">
        <v>19631</v>
      </c>
      <c r="E617" t="s">
        <v>8672</v>
      </c>
      <c r="F617" t="s">
        <v>9039</v>
      </c>
      <c r="G617" t="s">
        <v>19632</v>
      </c>
    </row>
    <row r="618" spans="1:7">
      <c r="A618" t="s">
        <v>19633</v>
      </c>
      <c r="B618" t="s">
        <v>8626</v>
      </c>
      <c r="C618" t="s">
        <v>19634</v>
      </c>
      <c r="D618" t="s">
        <v>19631</v>
      </c>
      <c r="E618" t="s">
        <v>8672</v>
      </c>
      <c r="F618" t="s">
        <v>9039</v>
      </c>
      <c r="G618" t="s">
        <v>19635</v>
      </c>
    </row>
    <row r="619" spans="1:7">
      <c r="A619" t="s">
        <v>19636</v>
      </c>
      <c r="B619" t="s">
        <v>8607</v>
      </c>
      <c r="C619" t="s">
        <v>19637</v>
      </c>
      <c r="D619" t="s">
        <v>19631</v>
      </c>
      <c r="E619" t="s">
        <v>8672</v>
      </c>
      <c r="F619" t="s">
        <v>9039</v>
      </c>
      <c r="G619" t="s">
        <v>19632</v>
      </c>
    </row>
    <row r="620" spans="1:7">
      <c r="A620" t="s">
        <v>19638</v>
      </c>
      <c r="B620" t="s">
        <v>8607</v>
      </c>
      <c r="C620" t="s">
        <v>19639</v>
      </c>
      <c r="D620" t="s">
        <v>19631</v>
      </c>
      <c r="E620" t="s">
        <v>8672</v>
      </c>
      <c r="F620" t="s">
        <v>9039</v>
      </c>
      <c r="G620" t="s">
        <v>19640</v>
      </c>
    </row>
    <row r="621" spans="1:7">
      <c r="A621" t="s">
        <v>19641</v>
      </c>
      <c r="B621" t="s">
        <v>8626</v>
      </c>
      <c r="C621" t="s">
        <v>19634</v>
      </c>
      <c r="D621" t="s">
        <v>19631</v>
      </c>
      <c r="E621" t="s">
        <v>8672</v>
      </c>
      <c r="F621" t="s">
        <v>9039</v>
      </c>
      <c r="G621" t="s">
        <v>19635</v>
      </c>
    </row>
    <row r="622" spans="1:7">
      <c r="A622" t="s">
        <v>19642</v>
      </c>
      <c r="B622" t="s">
        <v>8626</v>
      </c>
      <c r="C622" t="s">
        <v>19634</v>
      </c>
      <c r="D622" t="s">
        <v>19631</v>
      </c>
      <c r="E622" t="s">
        <v>8672</v>
      </c>
      <c r="F622" t="s">
        <v>9039</v>
      </c>
      <c r="G622" t="s">
        <v>19635</v>
      </c>
    </row>
    <row r="623" spans="1:7">
      <c r="A623" t="s">
        <v>19643</v>
      </c>
      <c r="B623" t="s">
        <v>8607</v>
      </c>
      <c r="C623" t="s">
        <v>19644</v>
      </c>
      <c r="D623" t="s">
        <v>19645</v>
      </c>
      <c r="E623" t="s">
        <v>8672</v>
      </c>
      <c r="F623" t="s">
        <v>9039</v>
      </c>
      <c r="G623" t="s">
        <v>19646</v>
      </c>
    </row>
    <row r="624" spans="1:7">
      <c r="A624" t="s">
        <v>19647</v>
      </c>
      <c r="B624" t="s">
        <v>8607</v>
      </c>
      <c r="C624" t="s">
        <v>19637</v>
      </c>
      <c r="D624" t="s">
        <v>19648</v>
      </c>
      <c r="E624" t="s">
        <v>8672</v>
      </c>
      <c r="F624" t="s">
        <v>9039</v>
      </c>
      <c r="G624" t="s">
        <v>19649</v>
      </c>
    </row>
    <row r="625" spans="1:7">
      <c r="A625" t="s">
        <v>19650</v>
      </c>
      <c r="B625" t="s">
        <v>8607</v>
      </c>
      <c r="C625" t="s">
        <v>19651</v>
      </c>
      <c r="D625" t="s">
        <v>19648</v>
      </c>
      <c r="E625" t="s">
        <v>8672</v>
      </c>
      <c r="F625" t="s">
        <v>9039</v>
      </c>
      <c r="G625" t="s">
        <v>19632</v>
      </c>
    </row>
    <row r="626" spans="1:7">
      <c r="A626" t="s">
        <v>19652</v>
      </c>
      <c r="B626" t="s">
        <v>8607</v>
      </c>
      <c r="C626" t="s">
        <v>19639</v>
      </c>
      <c r="D626" t="s">
        <v>19653</v>
      </c>
      <c r="E626" t="s">
        <v>8672</v>
      </c>
      <c r="F626" t="s">
        <v>9039</v>
      </c>
      <c r="G626" t="s">
        <v>19654</v>
      </c>
    </row>
    <row r="627" spans="1:7">
      <c r="A627" t="s">
        <v>19655</v>
      </c>
      <c r="B627" t="s">
        <v>8607</v>
      </c>
      <c r="C627" t="s">
        <v>19651</v>
      </c>
      <c r="D627" t="s">
        <v>19653</v>
      </c>
      <c r="E627" t="s">
        <v>8672</v>
      </c>
      <c r="F627" t="s">
        <v>9039</v>
      </c>
      <c r="G627" t="s">
        <v>19632</v>
      </c>
    </row>
    <row r="628" spans="1:7">
      <c r="A628" t="s">
        <v>19656</v>
      </c>
      <c r="B628" t="s">
        <v>8626</v>
      </c>
      <c r="C628" t="s">
        <v>19639</v>
      </c>
      <c r="D628" t="s">
        <v>19653</v>
      </c>
      <c r="E628" t="s">
        <v>8672</v>
      </c>
      <c r="F628" t="s">
        <v>9039</v>
      </c>
      <c r="G628" t="s">
        <v>19657</v>
      </c>
    </row>
    <row r="629" spans="1:7">
      <c r="A629" t="s">
        <v>19658</v>
      </c>
      <c r="B629" t="s">
        <v>8626</v>
      </c>
      <c r="D629" t="s">
        <v>19653</v>
      </c>
      <c r="E629" t="s">
        <v>8672</v>
      </c>
      <c r="F629" t="s">
        <v>9039</v>
      </c>
      <c r="G629" t="s">
        <v>19659</v>
      </c>
    </row>
    <row r="630" spans="1:7">
      <c r="A630" t="s">
        <v>19660</v>
      </c>
      <c r="B630" t="s">
        <v>8626</v>
      </c>
      <c r="C630" t="s">
        <v>19639</v>
      </c>
      <c r="D630" t="s">
        <v>19653</v>
      </c>
      <c r="E630" t="s">
        <v>8672</v>
      </c>
      <c r="F630" t="s">
        <v>9039</v>
      </c>
      <c r="G630" t="s">
        <v>19661</v>
      </c>
    </row>
    <row r="631" spans="1:7">
      <c r="A631" t="s">
        <v>19662</v>
      </c>
      <c r="B631" t="s">
        <v>8607</v>
      </c>
      <c r="C631" t="s">
        <v>19625</v>
      </c>
      <c r="D631" t="s">
        <v>19663</v>
      </c>
      <c r="E631" t="s">
        <v>8672</v>
      </c>
      <c r="F631" t="s">
        <v>9039</v>
      </c>
      <c r="G631" t="s">
        <v>19627</v>
      </c>
    </row>
    <row r="632" spans="1:7">
      <c r="A632" t="s">
        <v>19664</v>
      </c>
      <c r="B632" t="s">
        <v>8607</v>
      </c>
      <c r="C632" t="s">
        <v>19651</v>
      </c>
      <c r="D632" t="s">
        <v>19665</v>
      </c>
      <c r="E632" t="s">
        <v>8672</v>
      </c>
      <c r="F632" t="s">
        <v>9039</v>
      </c>
      <c r="G632" t="s">
        <v>19632</v>
      </c>
    </row>
    <row r="633" spans="1:7">
      <c r="A633" t="s">
        <v>19666</v>
      </c>
      <c r="B633" t="s">
        <v>8607</v>
      </c>
      <c r="C633" t="s">
        <v>19651</v>
      </c>
      <c r="D633" t="s">
        <v>19665</v>
      </c>
      <c r="E633" t="s">
        <v>8672</v>
      </c>
      <c r="F633" t="s">
        <v>9039</v>
      </c>
      <c r="G633" t="s">
        <v>19632</v>
      </c>
    </row>
    <row r="634" spans="1:7">
      <c r="A634" t="s">
        <v>19667</v>
      </c>
      <c r="B634" t="s">
        <v>8607</v>
      </c>
      <c r="C634" t="s">
        <v>19651</v>
      </c>
      <c r="D634" t="s">
        <v>19665</v>
      </c>
      <c r="E634" t="s">
        <v>8672</v>
      </c>
      <c r="F634" t="s">
        <v>9039</v>
      </c>
      <c r="G634" t="s">
        <v>19632</v>
      </c>
    </row>
    <row r="635" spans="1:7">
      <c r="A635" t="s">
        <v>19668</v>
      </c>
      <c r="B635" t="s">
        <v>8626</v>
      </c>
      <c r="C635" t="s">
        <v>19669</v>
      </c>
      <c r="D635" t="s">
        <v>19665</v>
      </c>
      <c r="E635" t="s">
        <v>8672</v>
      </c>
      <c r="F635" t="s">
        <v>9039</v>
      </c>
      <c r="G635" t="s">
        <v>19670</v>
      </c>
    </row>
    <row r="636" spans="1:7">
      <c r="A636" t="s">
        <v>19671</v>
      </c>
      <c r="B636" t="s">
        <v>8607</v>
      </c>
      <c r="C636" t="s">
        <v>19672</v>
      </c>
      <c r="D636" t="s">
        <v>19665</v>
      </c>
      <c r="E636" t="s">
        <v>8672</v>
      </c>
      <c r="F636" t="s">
        <v>9039</v>
      </c>
      <c r="G636" t="s">
        <v>19632</v>
      </c>
    </row>
    <row r="637" spans="1:7">
      <c r="A637" t="s">
        <v>19673</v>
      </c>
      <c r="B637" t="s">
        <v>8607</v>
      </c>
      <c r="C637" t="s">
        <v>19644</v>
      </c>
      <c r="D637" t="s">
        <v>19665</v>
      </c>
      <c r="E637" t="s">
        <v>8672</v>
      </c>
      <c r="F637" t="s">
        <v>9039</v>
      </c>
      <c r="G637" t="s">
        <v>19674</v>
      </c>
    </row>
    <row r="638" spans="1:7">
      <c r="A638" t="s">
        <v>19675</v>
      </c>
      <c r="B638" t="s">
        <v>8607</v>
      </c>
      <c r="C638" t="s">
        <v>19676</v>
      </c>
      <c r="D638" t="s">
        <v>19665</v>
      </c>
      <c r="E638" t="s">
        <v>8672</v>
      </c>
      <c r="F638" t="s">
        <v>9039</v>
      </c>
      <c r="G638" t="s">
        <v>19677</v>
      </c>
    </row>
    <row r="639" spans="1:7">
      <c r="A639" t="s">
        <v>19678</v>
      </c>
      <c r="B639" t="s">
        <v>8626</v>
      </c>
      <c r="C639" t="s">
        <v>19679</v>
      </c>
      <c r="D639" t="s">
        <v>19665</v>
      </c>
      <c r="E639" t="s">
        <v>8672</v>
      </c>
      <c r="F639" t="s">
        <v>9039</v>
      </c>
      <c r="G639" t="s">
        <v>19680</v>
      </c>
    </row>
    <row r="640" spans="1:7">
      <c r="A640" t="s">
        <v>19681</v>
      </c>
      <c r="B640" t="s">
        <v>8626</v>
      </c>
      <c r="C640" t="s">
        <v>19669</v>
      </c>
      <c r="D640" t="s">
        <v>19665</v>
      </c>
      <c r="E640" t="s">
        <v>8672</v>
      </c>
      <c r="F640" t="s">
        <v>9039</v>
      </c>
      <c r="G640" t="s">
        <v>19670</v>
      </c>
    </row>
    <row r="641" spans="1:7">
      <c r="A641" t="s">
        <v>19682</v>
      </c>
      <c r="B641" t="s">
        <v>8626</v>
      </c>
      <c r="C641" t="s">
        <v>19639</v>
      </c>
      <c r="D641" t="s">
        <v>19665</v>
      </c>
      <c r="E641" t="s">
        <v>8672</v>
      </c>
      <c r="F641" t="s">
        <v>9039</v>
      </c>
      <c r="G641" t="s">
        <v>19670</v>
      </c>
    </row>
    <row r="642" spans="1:7">
      <c r="A642" t="s">
        <v>19683</v>
      </c>
      <c r="B642" t="s">
        <v>8626</v>
      </c>
      <c r="C642" t="s">
        <v>19669</v>
      </c>
      <c r="D642" t="s">
        <v>19665</v>
      </c>
      <c r="E642" t="s">
        <v>8672</v>
      </c>
      <c r="F642" t="s">
        <v>9039</v>
      </c>
      <c r="G642" t="s">
        <v>19670</v>
      </c>
    </row>
    <row r="643" spans="1:7">
      <c r="A643" t="s">
        <v>19684</v>
      </c>
      <c r="B643" t="s">
        <v>8607</v>
      </c>
      <c r="C643" t="s">
        <v>19672</v>
      </c>
      <c r="D643" t="s">
        <v>19665</v>
      </c>
      <c r="E643" t="s">
        <v>8672</v>
      </c>
      <c r="F643" t="s">
        <v>9039</v>
      </c>
      <c r="G643" t="s">
        <v>19685</v>
      </c>
    </row>
    <row r="644" spans="1:7">
      <c r="A644" t="s">
        <v>19686</v>
      </c>
      <c r="B644" t="s">
        <v>8626</v>
      </c>
      <c r="C644" t="s">
        <v>19672</v>
      </c>
      <c r="D644" t="s">
        <v>19665</v>
      </c>
      <c r="E644" t="s">
        <v>8672</v>
      </c>
      <c r="F644" t="s">
        <v>9039</v>
      </c>
      <c r="G644" t="s">
        <v>19687</v>
      </c>
    </row>
    <row r="645" spans="1:7">
      <c r="A645" t="s">
        <v>19688</v>
      </c>
      <c r="B645" t="s">
        <v>8626</v>
      </c>
      <c r="C645" t="s">
        <v>19639</v>
      </c>
      <c r="D645" t="s">
        <v>19665</v>
      </c>
      <c r="E645" t="s">
        <v>8672</v>
      </c>
      <c r="F645" t="s">
        <v>9039</v>
      </c>
      <c r="G645" t="s">
        <v>19670</v>
      </c>
    </row>
    <row r="646" spans="1:7">
      <c r="A646" t="s">
        <v>19689</v>
      </c>
      <c r="B646" t="s">
        <v>8607</v>
      </c>
      <c r="C646" t="s">
        <v>19639</v>
      </c>
      <c r="D646" t="s">
        <v>19665</v>
      </c>
      <c r="E646" t="s">
        <v>8672</v>
      </c>
      <c r="F646" t="s">
        <v>9039</v>
      </c>
      <c r="G646" t="s">
        <v>19690</v>
      </c>
    </row>
    <row r="647" spans="1:7">
      <c r="A647" t="s">
        <v>19691</v>
      </c>
      <c r="B647" t="s">
        <v>8626</v>
      </c>
      <c r="C647" t="s">
        <v>19669</v>
      </c>
      <c r="D647" t="s">
        <v>19665</v>
      </c>
      <c r="E647" t="s">
        <v>8672</v>
      </c>
      <c r="F647" t="s">
        <v>9039</v>
      </c>
      <c r="G647" t="s">
        <v>19670</v>
      </c>
    </row>
    <row r="648" spans="1:7">
      <c r="A648" t="s">
        <v>19692</v>
      </c>
      <c r="D648" t="s">
        <v>19693</v>
      </c>
      <c r="E648" t="s">
        <v>8672</v>
      </c>
      <c r="G648" t="s">
        <v>19694</v>
      </c>
    </row>
    <row r="649" spans="1:7">
      <c r="A649" t="s">
        <v>19695</v>
      </c>
      <c r="B649" t="s">
        <v>8626</v>
      </c>
      <c r="D649" t="s">
        <v>19696</v>
      </c>
      <c r="E649" t="s">
        <v>8672</v>
      </c>
      <c r="F649" t="s">
        <v>12464</v>
      </c>
      <c r="G649" t="s">
        <v>19697</v>
      </c>
    </row>
    <row r="650" spans="1:7">
      <c r="A650" t="s">
        <v>19698</v>
      </c>
      <c r="B650" t="s">
        <v>8607</v>
      </c>
      <c r="D650" t="s">
        <v>19696</v>
      </c>
      <c r="E650" t="s">
        <v>8672</v>
      </c>
      <c r="F650" t="s">
        <v>12464</v>
      </c>
      <c r="G650" t="s">
        <v>19699</v>
      </c>
    </row>
    <row r="651" spans="1:7">
      <c r="A651" t="s">
        <v>19700</v>
      </c>
      <c r="B651" t="s">
        <v>8626</v>
      </c>
      <c r="D651" t="s">
        <v>19696</v>
      </c>
      <c r="E651" t="s">
        <v>8672</v>
      </c>
      <c r="F651" t="s">
        <v>11540</v>
      </c>
      <c r="G651" t="s">
        <v>19701</v>
      </c>
    </row>
    <row r="652" spans="1:7">
      <c r="A652" t="s">
        <v>19702</v>
      </c>
      <c r="B652" t="s">
        <v>8626</v>
      </c>
      <c r="D652" t="s">
        <v>19703</v>
      </c>
      <c r="E652" t="s">
        <v>8672</v>
      </c>
      <c r="F652" t="s">
        <v>19704</v>
      </c>
      <c r="G652" t="s">
        <v>19705</v>
      </c>
    </row>
    <row r="653" spans="1:7">
      <c r="A653" t="s">
        <v>19706</v>
      </c>
      <c r="B653" t="s">
        <v>8626</v>
      </c>
      <c r="D653" t="s">
        <v>19703</v>
      </c>
      <c r="E653" t="s">
        <v>8672</v>
      </c>
      <c r="F653" t="s">
        <v>19704</v>
      </c>
      <c r="G653" t="s">
        <v>19707</v>
      </c>
    </row>
    <row r="654" spans="1:7">
      <c r="A654" t="s">
        <v>19708</v>
      </c>
      <c r="B654" t="s">
        <v>8626</v>
      </c>
      <c r="C654" t="s">
        <v>19709</v>
      </c>
      <c r="D654" t="s">
        <v>19710</v>
      </c>
      <c r="E654" t="s">
        <v>8672</v>
      </c>
      <c r="F654" t="s">
        <v>10076</v>
      </c>
      <c r="G654" t="s">
        <v>19711</v>
      </c>
    </row>
    <row r="655" spans="1:7">
      <c r="A655" t="s">
        <v>19712</v>
      </c>
      <c r="B655" t="s">
        <v>8607</v>
      </c>
      <c r="D655" t="s">
        <v>12249</v>
      </c>
      <c r="E655" t="s">
        <v>8672</v>
      </c>
      <c r="F655" t="s">
        <v>10076</v>
      </c>
      <c r="G655" t="s">
        <v>19713</v>
      </c>
    </row>
    <row r="656" spans="1:7">
      <c r="A656" t="s">
        <v>19714</v>
      </c>
      <c r="B656" t="s">
        <v>8626</v>
      </c>
      <c r="C656" t="s">
        <v>17242</v>
      </c>
      <c r="D656" t="s">
        <v>12249</v>
      </c>
      <c r="E656" t="s">
        <v>8672</v>
      </c>
      <c r="F656" t="s">
        <v>10076</v>
      </c>
      <c r="G656" t="s">
        <v>19715</v>
      </c>
    </row>
    <row r="657" spans="1:7">
      <c r="A657" t="s">
        <v>19716</v>
      </c>
      <c r="B657" t="s">
        <v>8607</v>
      </c>
      <c r="D657" t="s">
        <v>12249</v>
      </c>
      <c r="E657" t="s">
        <v>8672</v>
      </c>
      <c r="F657" t="s">
        <v>10076</v>
      </c>
      <c r="G657" t="s">
        <v>19717</v>
      </c>
    </row>
    <row r="658" spans="1:7">
      <c r="A658" t="s">
        <v>19718</v>
      </c>
      <c r="B658" t="s">
        <v>8607</v>
      </c>
      <c r="D658" t="s">
        <v>12249</v>
      </c>
      <c r="E658" t="s">
        <v>8672</v>
      </c>
      <c r="F658" t="s">
        <v>10076</v>
      </c>
      <c r="G658" t="s">
        <v>19713</v>
      </c>
    </row>
    <row r="659" spans="1:7">
      <c r="A659" t="s">
        <v>19719</v>
      </c>
      <c r="B659" t="s">
        <v>8607</v>
      </c>
      <c r="D659" t="s">
        <v>12249</v>
      </c>
      <c r="E659" t="s">
        <v>8672</v>
      </c>
      <c r="F659" t="s">
        <v>10076</v>
      </c>
      <c r="G659" t="s">
        <v>19713</v>
      </c>
    </row>
    <row r="660" spans="1:7">
      <c r="A660" t="s">
        <v>19720</v>
      </c>
      <c r="B660" t="s">
        <v>8626</v>
      </c>
      <c r="C660" t="s">
        <v>12640</v>
      </c>
      <c r="D660" t="s">
        <v>19721</v>
      </c>
      <c r="E660" t="s">
        <v>8672</v>
      </c>
      <c r="F660" t="s">
        <v>10076</v>
      </c>
      <c r="G660" t="s">
        <v>19722</v>
      </c>
    </row>
    <row r="661" spans="1:7">
      <c r="A661" t="s">
        <v>19723</v>
      </c>
      <c r="B661" t="s">
        <v>8607</v>
      </c>
      <c r="D661" t="s">
        <v>19721</v>
      </c>
      <c r="E661" t="s">
        <v>8672</v>
      </c>
      <c r="F661" t="s">
        <v>10076</v>
      </c>
      <c r="G661" t="s">
        <v>19724</v>
      </c>
    </row>
    <row r="662" spans="1:7">
      <c r="A662" t="s">
        <v>19725</v>
      </c>
      <c r="B662" t="s">
        <v>8607</v>
      </c>
      <c r="C662" t="s">
        <v>14594</v>
      </c>
      <c r="D662" t="s">
        <v>19721</v>
      </c>
      <c r="E662" t="s">
        <v>8672</v>
      </c>
      <c r="F662" t="s">
        <v>10076</v>
      </c>
      <c r="G662" t="s">
        <v>19726</v>
      </c>
    </row>
    <row r="663" spans="1:7">
      <c r="A663" t="s">
        <v>19727</v>
      </c>
      <c r="B663" t="s">
        <v>8607</v>
      </c>
      <c r="D663" t="s">
        <v>19721</v>
      </c>
      <c r="E663" t="s">
        <v>8672</v>
      </c>
      <c r="F663" t="s">
        <v>10076</v>
      </c>
      <c r="G663" t="s">
        <v>19724</v>
      </c>
    </row>
    <row r="664" spans="1:7">
      <c r="A664" t="s">
        <v>19728</v>
      </c>
      <c r="B664" t="s">
        <v>8626</v>
      </c>
      <c r="D664" t="s">
        <v>19729</v>
      </c>
      <c r="E664" t="s">
        <v>8672</v>
      </c>
      <c r="F664" t="s">
        <v>19730</v>
      </c>
      <c r="G664" t="s">
        <v>19731</v>
      </c>
    </row>
    <row r="665" spans="1:7">
      <c r="A665" t="s">
        <v>19732</v>
      </c>
      <c r="B665" t="s">
        <v>8626</v>
      </c>
      <c r="C665" t="s">
        <v>12640</v>
      </c>
      <c r="D665" t="s">
        <v>17578</v>
      </c>
      <c r="E665" t="s">
        <v>8672</v>
      </c>
      <c r="F665" t="s">
        <v>10076</v>
      </c>
      <c r="G665" t="s">
        <v>19733</v>
      </c>
    </row>
    <row r="666" spans="1:7">
      <c r="A666" t="s">
        <v>19734</v>
      </c>
      <c r="B666" t="s">
        <v>8607</v>
      </c>
      <c r="C666" t="s">
        <v>19735</v>
      </c>
      <c r="D666" t="s">
        <v>19736</v>
      </c>
      <c r="E666" t="s">
        <v>8672</v>
      </c>
      <c r="F666" t="s">
        <v>10076</v>
      </c>
      <c r="G666" t="s">
        <v>19737</v>
      </c>
    </row>
    <row r="667" spans="1:7">
      <c r="A667" t="s">
        <v>19738</v>
      </c>
      <c r="B667" t="s">
        <v>8626</v>
      </c>
      <c r="C667" t="s">
        <v>19739</v>
      </c>
      <c r="D667" t="s">
        <v>19740</v>
      </c>
      <c r="E667" t="s">
        <v>8672</v>
      </c>
      <c r="F667" t="s">
        <v>10076</v>
      </c>
      <c r="G667" t="s">
        <v>19741</v>
      </c>
    </row>
    <row r="668" spans="1:7">
      <c r="A668" t="s">
        <v>19742</v>
      </c>
      <c r="B668" t="s">
        <v>8607</v>
      </c>
      <c r="D668" t="s">
        <v>17674</v>
      </c>
      <c r="E668" t="s">
        <v>8672</v>
      </c>
      <c r="F668" t="s">
        <v>10076</v>
      </c>
      <c r="G668" t="s">
        <v>19717</v>
      </c>
    </row>
    <row r="669" spans="1:7">
      <c r="A669" t="s">
        <v>19743</v>
      </c>
      <c r="B669" t="s">
        <v>8607</v>
      </c>
      <c r="D669" t="s">
        <v>17674</v>
      </c>
      <c r="E669" t="s">
        <v>8672</v>
      </c>
      <c r="F669" t="s">
        <v>10076</v>
      </c>
      <c r="G669" t="s">
        <v>19717</v>
      </c>
    </row>
    <row r="670" spans="1:7">
      <c r="A670" t="s">
        <v>19744</v>
      </c>
      <c r="B670" t="s">
        <v>8626</v>
      </c>
      <c r="C670" t="s">
        <v>19745</v>
      </c>
      <c r="D670" t="s">
        <v>10914</v>
      </c>
      <c r="E670" t="s">
        <v>8672</v>
      </c>
      <c r="F670" t="s">
        <v>10076</v>
      </c>
      <c r="G670" t="s">
        <v>19746</v>
      </c>
    </row>
    <row r="671" spans="1:7">
      <c r="A671" t="s">
        <v>19747</v>
      </c>
      <c r="B671" t="s">
        <v>8607</v>
      </c>
      <c r="C671" t="s">
        <v>17242</v>
      </c>
      <c r="D671" t="s">
        <v>10914</v>
      </c>
      <c r="E671" t="s">
        <v>8672</v>
      </c>
      <c r="F671" t="s">
        <v>10076</v>
      </c>
      <c r="G671" t="s">
        <v>19748</v>
      </c>
    </row>
    <row r="672" spans="1:7">
      <c r="A672" t="s">
        <v>19749</v>
      </c>
      <c r="B672" t="s">
        <v>8607</v>
      </c>
      <c r="C672" t="s">
        <v>17242</v>
      </c>
      <c r="D672" t="s">
        <v>11628</v>
      </c>
      <c r="E672" t="s">
        <v>8672</v>
      </c>
      <c r="F672" t="s">
        <v>10076</v>
      </c>
      <c r="G672" t="s">
        <v>19750</v>
      </c>
    </row>
    <row r="673" spans="1:7">
      <c r="A673" t="s">
        <v>19751</v>
      </c>
      <c r="B673" t="s">
        <v>8607</v>
      </c>
      <c r="C673" t="s">
        <v>19752</v>
      </c>
      <c r="D673" t="s">
        <v>11628</v>
      </c>
      <c r="E673" t="s">
        <v>8672</v>
      </c>
      <c r="F673" t="s">
        <v>10076</v>
      </c>
      <c r="G673" t="s">
        <v>19753</v>
      </c>
    </row>
    <row r="674" spans="1:7">
      <c r="A674" t="s">
        <v>19754</v>
      </c>
      <c r="B674" t="s">
        <v>8607</v>
      </c>
      <c r="C674" t="s">
        <v>19755</v>
      </c>
      <c r="D674" t="s">
        <v>19756</v>
      </c>
      <c r="E674" t="s">
        <v>8672</v>
      </c>
      <c r="F674" t="s">
        <v>19757</v>
      </c>
      <c r="G674" t="s">
        <v>19758</v>
      </c>
    </row>
    <row r="675" spans="1:7">
      <c r="A675" t="s">
        <v>19759</v>
      </c>
      <c r="B675" t="s">
        <v>8626</v>
      </c>
      <c r="C675" t="s">
        <v>19760</v>
      </c>
      <c r="D675" t="s">
        <v>19761</v>
      </c>
      <c r="E675" t="s">
        <v>8672</v>
      </c>
      <c r="G675" t="s">
        <v>19762</v>
      </c>
    </row>
    <row r="676" spans="1:7">
      <c r="A676" t="s">
        <v>19763</v>
      </c>
      <c r="B676" t="s">
        <v>8607</v>
      </c>
      <c r="C676" t="s">
        <v>19764</v>
      </c>
      <c r="D676" t="s">
        <v>19765</v>
      </c>
      <c r="E676" t="s">
        <v>8672</v>
      </c>
      <c r="F676" t="s">
        <v>19757</v>
      </c>
      <c r="G676" t="s">
        <v>19766</v>
      </c>
    </row>
    <row r="677" spans="1:7">
      <c r="A677" t="s">
        <v>19767</v>
      </c>
      <c r="B677" t="s">
        <v>8607</v>
      </c>
      <c r="C677" t="s">
        <v>19768</v>
      </c>
      <c r="D677" t="s">
        <v>19769</v>
      </c>
      <c r="E677" t="s">
        <v>8672</v>
      </c>
      <c r="F677" t="s">
        <v>12270</v>
      </c>
      <c r="G677" t="s">
        <v>19770</v>
      </c>
    </row>
    <row r="678" spans="1:7">
      <c r="A678" t="s">
        <v>19771</v>
      </c>
      <c r="B678" t="s">
        <v>8607</v>
      </c>
      <c r="C678" t="s">
        <v>19772</v>
      </c>
      <c r="D678" t="s">
        <v>19769</v>
      </c>
      <c r="E678" t="s">
        <v>8672</v>
      </c>
      <c r="F678" t="s">
        <v>12270</v>
      </c>
      <c r="G678" t="s">
        <v>19773</v>
      </c>
    </row>
    <row r="679" spans="1:7">
      <c r="A679" t="s">
        <v>19774</v>
      </c>
      <c r="B679" t="s">
        <v>8607</v>
      </c>
      <c r="C679" t="s">
        <v>17566</v>
      </c>
      <c r="D679" t="s">
        <v>17403</v>
      </c>
      <c r="E679" t="s">
        <v>8672</v>
      </c>
      <c r="F679" t="s">
        <v>17320</v>
      </c>
      <c r="G679" t="s">
        <v>17404</v>
      </c>
    </row>
    <row r="680" spans="1:7">
      <c r="A680" t="s">
        <v>19775</v>
      </c>
      <c r="B680" t="s">
        <v>8607</v>
      </c>
      <c r="C680" t="s">
        <v>17318</v>
      </c>
      <c r="D680" t="s">
        <v>17403</v>
      </c>
      <c r="E680" t="s">
        <v>8672</v>
      </c>
      <c r="F680" t="s">
        <v>17320</v>
      </c>
      <c r="G680" t="s">
        <v>17404</v>
      </c>
    </row>
    <row r="681" spans="1:7">
      <c r="A681" t="s">
        <v>19776</v>
      </c>
      <c r="B681" t="s">
        <v>8607</v>
      </c>
      <c r="C681" t="s">
        <v>17318</v>
      </c>
      <c r="D681" t="s">
        <v>17403</v>
      </c>
      <c r="E681" t="s">
        <v>8672</v>
      </c>
      <c r="F681" t="s">
        <v>17320</v>
      </c>
      <c r="G681" t="s">
        <v>19777</v>
      </c>
    </row>
    <row r="682" spans="1:7">
      <c r="A682" t="s">
        <v>19778</v>
      </c>
      <c r="B682" t="s">
        <v>8607</v>
      </c>
      <c r="C682" t="s">
        <v>17318</v>
      </c>
      <c r="D682" t="s">
        <v>17403</v>
      </c>
      <c r="E682" t="s">
        <v>8672</v>
      </c>
      <c r="F682" t="s">
        <v>17320</v>
      </c>
      <c r="G682" t="s">
        <v>17404</v>
      </c>
    </row>
    <row r="683" spans="1:7">
      <c r="A683" t="s">
        <v>19779</v>
      </c>
      <c r="B683" t="s">
        <v>8607</v>
      </c>
      <c r="C683" t="s">
        <v>17318</v>
      </c>
      <c r="D683" t="s">
        <v>17403</v>
      </c>
      <c r="E683" t="s">
        <v>8672</v>
      </c>
      <c r="F683" t="s">
        <v>17320</v>
      </c>
      <c r="G683" t="s">
        <v>17404</v>
      </c>
    </row>
    <row r="684" spans="1:7">
      <c r="A684" t="s">
        <v>19780</v>
      </c>
      <c r="B684" t="s">
        <v>8607</v>
      </c>
      <c r="C684" t="s">
        <v>17318</v>
      </c>
      <c r="D684" t="s">
        <v>17403</v>
      </c>
      <c r="E684" t="s">
        <v>8672</v>
      </c>
      <c r="F684" t="s">
        <v>17320</v>
      </c>
      <c r="G684" t="s">
        <v>19781</v>
      </c>
    </row>
    <row r="685" spans="1:7">
      <c r="A685" t="s">
        <v>19782</v>
      </c>
      <c r="B685" t="s">
        <v>8607</v>
      </c>
      <c r="C685" t="s">
        <v>17318</v>
      </c>
      <c r="D685" t="s">
        <v>17403</v>
      </c>
      <c r="E685" t="s">
        <v>8672</v>
      </c>
      <c r="F685" t="s">
        <v>17320</v>
      </c>
      <c r="G685" t="s">
        <v>19783</v>
      </c>
    </row>
    <row r="686" spans="1:7">
      <c r="A686" t="s">
        <v>19784</v>
      </c>
      <c r="B686" t="s">
        <v>8626</v>
      </c>
      <c r="C686" t="s">
        <v>17318</v>
      </c>
      <c r="D686" t="s">
        <v>17403</v>
      </c>
      <c r="E686" t="s">
        <v>8672</v>
      </c>
      <c r="F686" t="s">
        <v>17320</v>
      </c>
      <c r="G686" t="s">
        <v>19785</v>
      </c>
    </row>
    <row r="687" spans="1:7">
      <c r="A687" t="s">
        <v>19786</v>
      </c>
      <c r="B687" t="s">
        <v>8626</v>
      </c>
      <c r="C687" t="s">
        <v>17318</v>
      </c>
      <c r="D687" t="s">
        <v>17403</v>
      </c>
      <c r="E687" t="s">
        <v>8672</v>
      </c>
      <c r="F687" t="s">
        <v>17320</v>
      </c>
      <c r="G687" t="s">
        <v>19787</v>
      </c>
    </row>
    <row r="688" spans="1:7">
      <c r="A688" t="s">
        <v>19788</v>
      </c>
      <c r="B688" t="s">
        <v>8607</v>
      </c>
      <c r="C688" t="s">
        <v>17318</v>
      </c>
      <c r="D688" t="s">
        <v>17403</v>
      </c>
      <c r="E688" t="s">
        <v>8672</v>
      </c>
      <c r="F688" t="s">
        <v>17320</v>
      </c>
      <c r="G688" t="s">
        <v>17404</v>
      </c>
    </row>
    <row r="689" spans="1:7">
      <c r="A689" t="s">
        <v>19789</v>
      </c>
      <c r="B689" t="s">
        <v>8626</v>
      </c>
      <c r="C689" t="s">
        <v>17318</v>
      </c>
      <c r="D689" t="s">
        <v>17403</v>
      </c>
      <c r="E689" t="s">
        <v>8672</v>
      </c>
      <c r="F689" t="s">
        <v>17320</v>
      </c>
      <c r="G689" t="s">
        <v>19787</v>
      </c>
    </row>
    <row r="690" spans="1:7">
      <c r="A690" t="s">
        <v>19790</v>
      </c>
      <c r="B690" t="s">
        <v>8607</v>
      </c>
      <c r="C690" t="s">
        <v>17318</v>
      </c>
      <c r="D690" t="s">
        <v>17403</v>
      </c>
      <c r="E690" t="s">
        <v>8672</v>
      </c>
      <c r="F690" t="s">
        <v>17320</v>
      </c>
      <c r="G690" t="s">
        <v>17404</v>
      </c>
    </row>
    <row r="691" spans="1:7">
      <c r="A691" t="s">
        <v>19791</v>
      </c>
      <c r="B691" t="s">
        <v>8607</v>
      </c>
      <c r="C691" t="s">
        <v>17318</v>
      </c>
      <c r="D691" t="s">
        <v>17403</v>
      </c>
      <c r="E691" t="s">
        <v>8672</v>
      </c>
      <c r="F691" t="s">
        <v>17320</v>
      </c>
      <c r="G691" t="s">
        <v>19792</v>
      </c>
    </row>
    <row r="692" spans="1:7">
      <c r="A692" t="s">
        <v>19793</v>
      </c>
      <c r="B692" t="s">
        <v>8607</v>
      </c>
      <c r="D692" t="s">
        <v>17403</v>
      </c>
      <c r="E692" t="s">
        <v>8672</v>
      </c>
      <c r="F692" t="s">
        <v>17320</v>
      </c>
      <c r="G692" t="s">
        <v>17404</v>
      </c>
    </row>
    <row r="693" spans="1:7">
      <c r="A693" t="s">
        <v>19794</v>
      </c>
      <c r="B693" t="s">
        <v>8607</v>
      </c>
      <c r="C693" t="s">
        <v>17318</v>
      </c>
      <c r="D693" t="s">
        <v>17403</v>
      </c>
      <c r="E693" t="s">
        <v>8672</v>
      </c>
      <c r="F693" t="s">
        <v>17320</v>
      </c>
      <c r="G693" t="s">
        <v>17404</v>
      </c>
    </row>
    <row r="694" spans="1:7">
      <c r="A694" t="s">
        <v>19795</v>
      </c>
      <c r="B694" t="s">
        <v>8626</v>
      </c>
      <c r="C694" t="s">
        <v>17318</v>
      </c>
      <c r="D694" t="s">
        <v>17403</v>
      </c>
      <c r="E694" t="s">
        <v>8672</v>
      </c>
      <c r="F694" t="s">
        <v>17320</v>
      </c>
      <c r="G694" t="s">
        <v>19796</v>
      </c>
    </row>
    <row r="695" spans="1:7">
      <c r="A695" t="s">
        <v>19797</v>
      </c>
      <c r="B695" t="s">
        <v>8607</v>
      </c>
      <c r="C695" t="s">
        <v>17318</v>
      </c>
      <c r="D695" t="s">
        <v>17403</v>
      </c>
      <c r="E695" t="s">
        <v>8672</v>
      </c>
      <c r="F695" t="s">
        <v>17320</v>
      </c>
      <c r="G695" t="s">
        <v>19798</v>
      </c>
    </row>
    <row r="696" spans="1:7">
      <c r="A696" t="s">
        <v>19799</v>
      </c>
      <c r="B696" t="s">
        <v>8607</v>
      </c>
      <c r="C696" t="s">
        <v>17318</v>
      </c>
      <c r="D696" t="s">
        <v>17403</v>
      </c>
      <c r="E696" t="s">
        <v>8672</v>
      </c>
      <c r="F696" t="s">
        <v>17320</v>
      </c>
      <c r="G696" t="s">
        <v>19781</v>
      </c>
    </row>
    <row r="697" spans="1:7">
      <c r="A697" t="s">
        <v>19800</v>
      </c>
      <c r="B697" t="s">
        <v>8607</v>
      </c>
      <c r="C697" t="s">
        <v>17318</v>
      </c>
      <c r="D697" t="s">
        <v>17403</v>
      </c>
      <c r="E697" t="s">
        <v>8672</v>
      </c>
      <c r="F697" t="s">
        <v>17320</v>
      </c>
      <c r="G697" t="s">
        <v>19801</v>
      </c>
    </row>
    <row r="698" spans="1:7">
      <c r="A698" t="s">
        <v>19802</v>
      </c>
      <c r="B698" t="s">
        <v>8626</v>
      </c>
      <c r="C698" t="s">
        <v>17318</v>
      </c>
      <c r="D698" t="s">
        <v>17403</v>
      </c>
      <c r="E698" t="s">
        <v>8672</v>
      </c>
      <c r="F698" t="s">
        <v>17320</v>
      </c>
      <c r="G698" t="s">
        <v>19785</v>
      </c>
    </row>
    <row r="699" spans="1:7">
      <c r="A699" t="s">
        <v>19803</v>
      </c>
      <c r="B699" t="s">
        <v>8607</v>
      </c>
      <c r="C699" t="s">
        <v>17318</v>
      </c>
      <c r="D699" t="s">
        <v>17403</v>
      </c>
      <c r="E699" t="s">
        <v>8672</v>
      </c>
      <c r="F699" t="s">
        <v>17320</v>
      </c>
      <c r="G699" t="s">
        <v>19804</v>
      </c>
    </row>
    <row r="700" spans="1:7">
      <c r="A700" t="s">
        <v>19805</v>
      </c>
      <c r="B700" t="s">
        <v>8607</v>
      </c>
      <c r="C700" t="s">
        <v>17566</v>
      </c>
      <c r="D700" t="s">
        <v>17586</v>
      </c>
      <c r="E700" t="s">
        <v>8672</v>
      </c>
      <c r="F700" t="s">
        <v>17320</v>
      </c>
      <c r="G700" t="s">
        <v>19806</v>
      </c>
    </row>
    <row r="701" spans="1:7">
      <c r="A701" t="s">
        <v>19807</v>
      </c>
      <c r="B701" t="s">
        <v>8607</v>
      </c>
      <c r="C701" t="s">
        <v>17566</v>
      </c>
      <c r="D701" t="s">
        <v>17586</v>
      </c>
      <c r="E701" t="s">
        <v>8672</v>
      </c>
      <c r="F701" t="s">
        <v>17320</v>
      </c>
      <c r="G701" t="s">
        <v>19806</v>
      </c>
    </row>
    <row r="702" spans="1:7">
      <c r="A702" t="s">
        <v>19808</v>
      </c>
      <c r="B702" t="s">
        <v>8607</v>
      </c>
      <c r="C702" t="s">
        <v>17318</v>
      </c>
      <c r="D702" t="s">
        <v>17586</v>
      </c>
      <c r="E702" t="s">
        <v>8672</v>
      </c>
      <c r="F702" t="s">
        <v>17320</v>
      </c>
      <c r="G702" t="s">
        <v>17526</v>
      </c>
    </row>
    <row r="703" spans="1:7">
      <c r="A703" t="s">
        <v>19809</v>
      </c>
      <c r="B703" t="s">
        <v>8607</v>
      </c>
      <c r="C703" t="s">
        <v>17318</v>
      </c>
      <c r="D703" t="s">
        <v>17586</v>
      </c>
      <c r="E703" t="s">
        <v>8672</v>
      </c>
      <c r="F703" t="s">
        <v>17320</v>
      </c>
      <c r="G703" t="s">
        <v>19810</v>
      </c>
    </row>
    <row r="704" spans="1:7">
      <c r="A704" t="s">
        <v>19811</v>
      </c>
      <c r="B704" t="s">
        <v>8626</v>
      </c>
      <c r="C704" t="s">
        <v>17566</v>
      </c>
      <c r="D704" t="s">
        <v>17586</v>
      </c>
      <c r="E704" t="s">
        <v>8672</v>
      </c>
      <c r="F704" t="s">
        <v>17320</v>
      </c>
      <c r="G704" t="s">
        <v>19812</v>
      </c>
    </row>
    <row r="705" spans="1:7">
      <c r="A705" t="s">
        <v>19813</v>
      </c>
      <c r="B705" t="s">
        <v>8607</v>
      </c>
      <c r="C705" t="s">
        <v>17566</v>
      </c>
      <c r="D705" t="s">
        <v>17586</v>
      </c>
      <c r="E705" t="s">
        <v>8672</v>
      </c>
      <c r="F705" t="s">
        <v>17320</v>
      </c>
      <c r="G705" t="s">
        <v>19806</v>
      </c>
    </row>
    <row r="706" spans="1:7">
      <c r="A706" t="s">
        <v>19814</v>
      </c>
      <c r="B706" t="s">
        <v>8607</v>
      </c>
      <c r="C706" t="s">
        <v>17566</v>
      </c>
      <c r="D706" t="s">
        <v>17586</v>
      </c>
      <c r="E706" t="s">
        <v>8672</v>
      </c>
      <c r="F706" t="s">
        <v>17320</v>
      </c>
      <c r="G706" t="s">
        <v>19815</v>
      </c>
    </row>
    <row r="707" spans="1:7">
      <c r="A707" t="s">
        <v>19816</v>
      </c>
      <c r="B707" t="s">
        <v>8607</v>
      </c>
      <c r="C707" t="s">
        <v>17318</v>
      </c>
      <c r="D707" t="s">
        <v>17586</v>
      </c>
      <c r="E707" t="s">
        <v>8672</v>
      </c>
      <c r="F707" t="s">
        <v>17320</v>
      </c>
      <c r="G707" t="s">
        <v>17321</v>
      </c>
    </row>
    <row r="708" spans="1:7">
      <c r="A708" t="s">
        <v>19817</v>
      </c>
      <c r="B708" t="s">
        <v>8607</v>
      </c>
      <c r="C708" t="s">
        <v>17566</v>
      </c>
      <c r="D708" t="s">
        <v>17586</v>
      </c>
      <c r="E708" t="s">
        <v>8672</v>
      </c>
      <c r="F708" t="s">
        <v>17320</v>
      </c>
      <c r="G708" t="s">
        <v>19815</v>
      </c>
    </row>
    <row r="709" spans="1:7">
      <c r="A709" t="s">
        <v>19818</v>
      </c>
      <c r="B709" t="s">
        <v>8607</v>
      </c>
      <c r="D709" t="s">
        <v>17319</v>
      </c>
      <c r="E709" t="s">
        <v>8672</v>
      </c>
      <c r="F709" t="s">
        <v>17320</v>
      </c>
      <c r="G709" t="s">
        <v>17526</v>
      </c>
    </row>
    <row r="710" spans="1:7">
      <c r="A710" t="s">
        <v>19819</v>
      </c>
      <c r="B710" t="s">
        <v>8607</v>
      </c>
      <c r="C710" t="s">
        <v>17318</v>
      </c>
      <c r="D710" t="s">
        <v>17319</v>
      </c>
      <c r="E710" t="s">
        <v>8672</v>
      </c>
      <c r="F710" t="s">
        <v>17320</v>
      </c>
      <c r="G710" t="s">
        <v>17526</v>
      </c>
    </row>
    <row r="711" spans="1:7">
      <c r="A711" t="s">
        <v>19820</v>
      </c>
      <c r="B711" t="s">
        <v>8607</v>
      </c>
      <c r="C711" t="s">
        <v>17318</v>
      </c>
      <c r="D711" t="s">
        <v>17319</v>
      </c>
      <c r="E711" t="s">
        <v>8672</v>
      </c>
      <c r="F711" t="s">
        <v>17320</v>
      </c>
      <c r="G711" t="s">
        <v>19821</v>
      </c>
    </row>
    <row r="712" spans="1:7">
      <c r="A712" t="s">
        <v>19822</v>
      </c>
      <c r="B712" t="s">
        <v>8607</v>
      </c>
      <c r="C712" t="s">
        <v>17318</v>
      </c>
      <c r="D712" t="s">
        <v>17319</v>
      </c>
      <c r="E712" t="s">
        <v>8672</v>
      </c>
      <c r="F712" t="s">
        <v>17320</v>
      </c>
      <c r="G712" t="s">
        <v>19823</v>
      </c>
    </row>
    <row r="713" spans="1:7">
      <c r="A713" t="s">
        <v>19824</v>
      </c>
      <c r="B713" t="s">
        <v>8607</v>
      </c>
      <c r="C713" t="s">
        <v>17318</v>
      </c>
      <c r="D713" t="s">
        <v>17319</v>
      </c>
      <c r="E713" t="s">
        <v>8672</v>
      </c>
      <c r="F713" t="s">
        <v>17320</v>
      </c>
      <c r="G713" t="s">
        <v>17526</v>
      </c>
    </row>
    <row r="714" spans="1:7">
      <c r="A714" t="s">
        <v>19825</v>
      </c>
      <c r="B714" t="s">
        <v>8607</v>
      </c>
      <c r="C714" t="s">
        <v>17318</v>
      </c>
      <c r="D714" t="s">
        <v>17319</v>
      </c>
      <c r="E714" t="s">
        <v>8672</v>
      </c>
      <c r="F714" t="s">
        <v>17320</v>
      </c>
      <c r="G714" t="s">
        <v>17404</v>
      </c>
    </row>
    <row r="715" spans="1:7">
      <c r="A715" t="s">
        <v>19826</v>
      </c>
      <c r="B715" t="s">
        <v>8607</v>
      </c>
      <c r="C715" t="s">
        <v>17318</v>
      </c>
      <c r="D715" t="s">
        <v>17319</v>
      </c>
      <c r="E715" t="s">
        <v>8672</v>
      </c>
      <c r="F715" t="s">
        <v>17320</v>
      </c>
      <c r="G715" t="s">
        <v>19827</v>
      </c>
    </row>
    <row r="716" spans="1:7">
      <c r="A716" t="s">
        <v>19828</v>
      </c>
      <c r="B716" t="s">
        <v>8607</v>
      </c>
      <c r="C716" t="s">
        <v>17318</v>
      </c>
      <c r="D716" t="s">
        <v>17319</v>
      </c>
      <c r="E716" t="s">
        <v>8672</v>
      </c>
      <c r="F716" t="s">
        <v>17320</v>
      </c>
      <c r="G716" t="s">
        <v>19827</v>
      </c>
    </row>
    <row r="717" spans="1:7">
      <c r="A717" t="s">
        <v>19829</v>
      </c>
      <c r="B717" t="s">
        <v>8607</v>
      </c>
      <c r="C717" t="s">
        <v>17318</v>
      </c>
      <c r="D717" t="s">
        <v>17319</v>
      </c>
      <c r="E717" t="s">
        <v>8672</v>
      </c>
      <c r="F717" t="s">
        <v>17320</v>
      </c>
      <c r="G717" t="s">
        <v>19830</v>
      </c>
    </row>
    <row r="718" spans="1:7">
      <c r="A718" t="s">
        <v>19831</v>
      </c>
      <c r="B718" t="s">
        <v>8607</v>
      </c>
      <c r="C718" t="s">
        <v>17318</v>
      </c>
      <c r="D718" t="s">
        <v>17319</v>
      </c>
      <c r="E718" t="s">
        <v>8672</v>
      </c>
      <c r="F718" t="s">
        <v>17320</v>
      </c>
      <c r="G718" t="s">
        <v>17526</v>
      </c>
    </row>
    <row r="719" spans="1:7">
      <c r="A719" t="s">
        <v>19832</v>
      </c>
      <c r="B719" t="s">
        <v>8607</v>
      </c>
      <c r="C719" t="s">
        <v>17566</v>
      </c>
      <c r="D719" t="s">
        <v>17319</v>
      </c>
      <c r="E719" t="s">
        <v>8672</v>
      </c>
      <c r="F719" t="s">
        <v>17320</v>
      </c>
      <c r="G719" t="s">
        <v>19833</v>
      </c>
    </row>
    <row r="720" spans="1:7">
      <c r="A720" t="s">
        <v>19834</v>
      </c>
      <c r="B720" t="s">
        <v>8607</v>
      </c>
      <c r="C720" t="s">
        <v>17318</v>
      </c>
      <c r="D720" t="s">
        <v>17319</v>
      </c>
      <c r="E720" t="s">
        <v>8672</v>
      </c>
      <c r="F720" t="s">
        <v>17320</v>
      </c>
      <c r="G720" t="s">
        <v>19835</v>
      </c>
    </row>
    <row r="721" spans="1:7">
      <c r="A721" t="s">
        <v>19836</v>
      </c>
      <c r="B721" t="s">
        <v>8626</v>
      </c>
      <c r="C721" t="s">
        <v>17566</v>
      </c>
      <c r="D721" t="s">
        <v>17319</v>
      </c>
      <c r="E721" t="s">
        <v>8672</v>
      </c>
      <c r="F721" t="s">
        <v>17320</v>
      </c>
      <c r="G721" t="s">
        <v>19837</v>
      </c>
    </row>
    <row r="722" spans="1:7">
      <c r="A722" t="s">
        <v>19838</v>
      </c>
      <c r="B722" t="s">
        <v>8607</v>
      </c>
      <c r="C722" t="s">
        <v>17318</v>
      </c>
      <c r="D722" t="s">
        <v>17319</v>
      </c>
      <c r="E722" t="s">
        <v>8672</v>
      </c>
      <c r="F722" t="s">
        <v>17320</v>
      </c>
      <c r="G722" t="s">
        <v>19839</v>
      </c>
    </row>
    <row r="723" spans="1:7">
      <c r="A723" t="s">
        <v>19840</v>
      </c>
      <c r="B723" t="s">
        <v>8607</v>
      </c>
      <c r="C723" t="s">
        <v>19841</v>
      </c>
      <c r="D723" t="s">
        <v>19842</v>
      </c>
      <c r="E723" t="s">
        <v>8672</v>
      </c>
      <c r="F723" t="s">
        <v>17320</v>
      </c>
      <c r="G723" t="s">
        <v>19843</v>
      </c>
    </row>
    <row r="724" spans="1:7">
      <c r="A724" t="s">
        <v>19844</v>
      </c>
      <c r="B724" t="s">
        <v>8607</v>
      </c>
      <c r="C724" t="s">
        <v>19841</v>
      </c>
      <c r="D724" t="s">
        <v>19842</v>
      </c>
      <c r="E724" t="s">
        <v>8672</v>
      </c>
      <c r="F724" t="s">
        <v>17320</v>
      </c>
      <c r="G724" t="s">
        <v>19845</v>
      </c>
    </row>
    <row r="725" spans="1:7">
      <c r="A725" t="s">
        <v>19846</v>
      </c>
      <c r="B725" t="s">
        <v>8607</v>
      </c>
      <c r="C725" t="s">
        <v>19841</v>
      </c>
      <c r="D725" t="s">
        <v>19842</v>
      </c>
      <c r="E725" t="s">
        <v>8672</v>
      </c>
      <c r="F725" t="s">
        <v>17320</v>
      </c>
      <c r="G725" t="s">
        <v>19847</v>
      </c>
    </row>
    <row r="726" spans="1:7">
      <c r="A726" t="s">
        <v>19848</v>
      </c>
      <c r="B726" t="s">
        <v>8607</v>
      </c>
      <c r="C726" t="s">
        <v>19841</v>
      </c>
      <c r="D726" t="s">
        <v>19842</v>
      </c>
      <c r="E726" t="s">
        <v>8672</v>
      </c>
      <c r="F726" t="s">
        <v>17320</v>
      </c>
      <c r="G726" t="s">
        <v>19849</v>
      </c>
    </row>
    <row r="727" spans="1:7">
      <c r="A727" t="s">
        <v>19850</v>
      </c>
      <c r="B727" t="s">
        <v>8607</v>
      </c>
      <c r="D727" t="s">
        <v>17567</v>
      </c>
      <c r="E727" t="s">
        <v>8672</v>
      </c>
      <c r="F727" t="s">
        <v>17320</v>
      </c>
      <c r="G727" t="s">
        <v>19781</v>
      </c>
    </row>
    <row r="728" spans="1:7">
      <c r="A728" t="s">
        <v>19851</v>
      </c>
      <c r="B728" t="s">
        <v>8607</v>
      </c>
      <c r="D728" t="s">
        <v>17567</v>
      </c>
      <c r="E728" t="s">
        <v>8672</v>
      </c>
      <c r="F728" t="s">
        <v>17320</v>
      </c>
      <c r="G728" t="s">
        <v>19777</v>
      </c>
    </row>
    <row r="729" spans="1:7">
      <c r="A729" t="s">
        <v>19852</v>
      </c>
      <c r="B729" t="s">
        <v>8607</v>
      </c>
      <c r="C729" t="s">
        <v>17318</v>
      </c>
      <c r="D729" t="s">
        <v>17567</v>
      </c>
      <c r="E729" t="s">
        <v>8672</v>
      </c>
      <c r="F729" t="s">
        <v>17320</v>
      </c>
      <c r="G729" t="s">
        <v>17404</v>
      </c>
    </row>
    <row r="730" spans="1:7">
      <c r="A730" t="s">
        <v>19853</v>
      </c>
      <c r="B730" t="s">
        <v>8607</v>
      </c>
      <c r="C730" t="s">
        <v>17566</v>
      </c>
      <c r="D730" t="s">
        <v>17567</v>
      </c>
      <c r="E730" t="s">
        <v>8672</v>
      </c>
      <c r="F730" t="s">
        <v>17320</v>
      </c>
      <c r="G730" t="s">
        <v>17526</v>
      </c>
    </row>
    <row r="731" spans="1:7">
      <c r="A731" t="s">
        <v>19854</v>
      </c>
      <c r="B731" t="s">
        <v>8626</v>
      </c>
      <c r="C731" t="s">
        <v>17318</v>
      </c>
      <c r="D731" t="s">
        <v>17567</v>
      </c>
      <c r="E731" t="s">
        <v>8672</v>
      </c>
      <c r="F731" t="s">
        <v>17320</v>
      </c>
      <c r="G731" t="s">
        <v>19796</v>
      </c>
    </row>
    <row r="732" spans="1:7">
      <c r="A732" t="s">
        <v>19855</v>
      </c>
      <c r="B732" t="s">
        <v>8607</v>
      </c>
      <c r="C732" t="s">
        <v>17318</v>
      </c>
      <c r="D732" t="s">
        <v>17567</v>
      </c>
      <c r="E732" t="s">
        <v>8672</v>
      </c>
      <c r="F732" t="s">
        <v>17320</v>
      </c>
      <c r="G732" t="s">
        <v>19856</v>
      </c>
    </row>
    <row r="733" spans="1:7">
      <c r="A733" t="s">
        <v>19857</v>
      </c>
      <c r="B733" t="s">
        <v>8607</v>
      </c>
      <c r="C733" t="s">
        <v>17318</v>
      </c>
      <c r="D733" t="s">
        <v>17567</v>
      </c>
      <c r="E733" t="s">
        <v>8672</v>
      </c>
      <c r="F733" t="s">
        <v>17320</v>
      </c>
      <c r="G733" t="s">
        <v>17526</v>
      </c>
    </row>
    <row r="734" spans="1:7">
      <c r="A734" t="s">
        <v>19858</v>
      </c>
      <c r="B734" t="s">
        <v>8607</v>
      </c>
      <c r="C734" t="s">
        <v>17646</v>
      </c>
      <c r="D734" t="s">
        <v>19859</v>
      </c>
      <c r="E734" t="s">
        <v>8672</v>
      </c>
      <c r="F734" t="s">
        <v>17320</v>
      </c>
      <c r="G734" t="s">
        <v>17526</v>
      </c>
    </row>
    <row r="735" spans="1:7">
      <c r="A735" t="s">
        <v>19860</v>
      </c>
      <c r="B735" t="s">
        <v>8626</v>
      </c>
      <c r="C735" t="s">
        <v>19861</v>
      </c>
      <c r="D735" t="s">
        <v>19862</v>
      </c>
      <c r="E735" t="s">
        <v>8672</v>
      </c>
      <c r="F735" t="s">
        <v>17320</v>
      </c>
      <c r="G735" t="s">
        <v>19863</v>
      </c>
    </row>
    <row r="736" spans="1:7">
      <c r="A736" t="s">
        <v>19864</v>
      </c>
      <c r="B736" t="s">
        <v>8607</v>
      </c>
      <c r="D736" t="s">
        <v>19865</v>
      </c>
      <c r="E736" t="s">
        <v>8672</v>
      </c>
      <c r="F736" t="s">
        <v>17320</v>
      </c>
      <c r="G736" t="s">
        <v>19866</v>
      </c>
    </row>
    <row r="737" spans="1:7">
      <c r="A737" t="s">
        <v>19867</v>
      </c>
      <c r="B737" t="s">
        <v>8607</v>
      </c>
      <c r="D737" t="s">
        <v>19865</v>
      </c>
      <c r="E737" t="s">
        <v>8672</v>
      </c>
      <c r="F737" t="s">
        <v>17320</v>
      </c>
      <c r="G737" t="s">
        <v>19866</v>
      </c>
    </row>
    <row r="738" spans="1:7">
      <c r="A738" t="s">
        <v>19868</v>
      </c>
      <c r="B738" t="s">
        <v>8626</v>
      </c>
      <c r="C738" t="s">
        <v>19869</v>
      </c>
      <c r="D738" t="s">
        <v>19870</v>
      </c>
      <c r="E738" t="s">
        <v>8672</v>
      </c>
      <c r="F738" t="s">
        <v>17320</v>
      </c>
      <c r="G738" t="s">
        <v>19871</v>
      </c>
    </row>
    <row r="739" spans="1:7">
      <c r="A739" t="s">
        <v>19872</v>
      </c>
      <c r="B739" t="s">
        <v>8607</v>
      </c>
      <c r="D739" t="s">
        <v>19873</v>
      </c>
      <c r="E739" t="s">
        <v>8672</v>
      </c>
      <c r="F739" t="s">
        <v>17320</v>
      </c>
      <c r="G739" t="s">
        <v>19874</v>
      </c>
    </row>
    <row r="740" spans="1:7">
      <c r="A740" t="s">
        <v>19875</v>
      </c>
      <c r="B740" t="s">
        <v>8626</v>
      </c>
      <c r="C740" t="s">
        <v>17646</v>
      </c>
      <c r="D740" t="s">
        <v>11502</v>
      </c>
      <c r="E740" t="s">
        <v>8672</v>
      </c>
      <c r="F740" t="s">
        <v>9002</v>
      </c>
      <c r="G740" t="s">
        <v>19876</v>
      </c>
    </row>
    <row r="741" spans="1:7">
      <c r="A741" t="s">
        <v>19877</v>
      </c>
      <c r="B741" t="s">
        <v>8607</v>
      </c>
      <c r="C741" t="s">
        <v>19861</v>
      </c>
      <c r="D741" t="s">
        <v>19878</v>
      </c>
      <c r="E741" t="s">
        <v>8672</v>
      </c>
      <c r="F741" t="s">
        <v>17320</v>
      </c>
      <c r="G741" t="s">
        <v>19879</v>
      </c>
    </row>
    <row r="742" spans="1:7">
      <c r="A742" t="s">
        <v>19880</v>
      </c>
      <c r="B742" t="s">
        <v>8607</v>
      </c>
      <c r="D742" t="s">
        <v>19881</v>
      </c>
      <c r="E742" t="s">
        <v>8672</v>
      </c>
      <c r="F742" t="s">
        <v>17320</v>
      </c>
      <c r="G742" t="s">
        <v>19821</v>
      </c>
    </row>
    <row r="743" spans="1:7">
      <c r="A743" t="s">
        <v>19882</v>
      </c>
      <c r="B743" t="s">
        <v>8607</v>
      </c>
      <c r="C743" t="s">
        <v>19883</v>
      </c>
      <c r="D743" t="s">
        <v>19884</v>
      </c>
      <c r="E743" t="s">
        <v>8672</v>
      </c>
      <c r="F743" t="s">
        <v>17320</v>
      </c>
      <c r="G743" t="s">
        <v>19885</v>
      </c>
    </row>
    <row r="744" spans="1:7">
      <c r="A744" t="s">
        <v>19886</v>
      </c>
      <c r="B744" t="s">
        <v>8607</v>
      </c>
      <c r="D744" t="s">
        <v>19887</v>
      </c>
      <c r="E744" t="s">
        <v>8672</v>
      </c>
      <c r="F744" t="s">
        <v>17320</v>
      </c>
      <c r="G744" t="s">
        <v>19866</v>
      </c>
    </row>
    <row r="745" spans="1:7">
      <c r="A745" t="s">
        <v>19888</v>
      </c>
      <c r="B745" t="s">
        <v>8626</v>
      </c>
      <c r="C745" t="s">
        <v>19889</v>
      </c>
      <c r="D745" t="s">
        <v>19890</v>
      </c>
      <c r="E745" t="s">
        <v>8672</v>
      </c>
      <c r="F745" t="s">
        <v>17320</v>
      </c>
      <c r="G745" t="s">
        <v>19891</v>
      </c>
    </row>
    <row r="746" spans="1:7">
      <c r="A746" t="s">
        <v>19892</v>
      </c>
      <c r="B746" t="s">
        <v>8626</v>
      </c>
      <c r="C746" t="s">
        <v>19861</v>
      </c>
      <c r="D746" t="s">
        <v>19893</v>
      </c>
      <c r="E746" t="s">
        <v>8672</v>
      </c>
      <c r="F746" t="s">
        <v>17320</v>
      </c>
      <c r="G746" t="s">
        <v>19894</v>
      </c>
    </row>
    <row r="747" spans="1:7">
      <c r="A747" t="s">
        <v>19895</v>
      </c>
      <c r="B747" t="s">
        <v>8626</v>
      </c>
      <c r="C747" t="s">
        <v>19896</v>
      </c>
      <c r="D747" t="s">
        <v>19897</v>
      </c>
      <c r="E747" t="s">
        <v>8672</v>
      </c>
      <c r="F747" t="s">
        <v>17320</v>
      </c>
      <c r="G747" t="s">
        <v>19898</v>
      </c>
    </row>
    <row r="748" spans="1:7">
      <c r="A748" t="s">
        <v>19899</v>
      </c>
      <c r="B748" t="s">
        <v>8607</v>
      </c>
      <c r="C748" t="s">
        <v>17318</v>
      </c>
      <c r="D748" t="s">
        <v>11497</v>
      </c>
      <c r="E748" t="s">
        <v>8672</v>
      </c>
      <c r="F748" t="s">
        <v>17320</v>
      </c>
      <c r="G748" t="s">
        <v>17321</v>
      </c>
    </row>
    <row r="749" spans="1:7">
      <c r="A749" t="s">
        <v>19900</v>
      </c>
      <c r="B749" t="s">
        <v>8607</v>
      </c>
      <c r="C749" t="s">
        <v>17318</v>
      </c>
      <c r="D749" t="s">
        <v>11497</v>
      </c>
      <c r="E749" t="s">
        <v>8672</v>
      </c>
      <c r="F749" t="s">
        <v>9002</v>
      </c>
      <c r="G749" t="s">
        <v>17526</v>
      </c>
    </row>
    <row r="750" spans="1:7">
      <c r="A750" t="s">
        <v>19901</v>
      </c>
      <c r="B750" t="s">
        <v>8626</v>
      </c>
      <c r="C750" t="s">
        <v>17447</v>
      </c>
      <c r="D750" t="s">
        <v>11497</v>
      </c>
      <c r="E750" t="s">
        <v>8672</v>
      </c>
      <c r="F750" t="s">
        <v>9002</v>
      </c>
      <c r="G750" t="s">
        <v>19902</v>
      </c>
    </row>
    <row r="751" spans="1:7">
      <c r="A751" t="s">
        <v>19903</v>
      </c>
      <c r="B751" t="s">
        <v>8607</v>
      </c>
      <c r="D751" t="s">
        <v>19904</v>
      </c>
      <c r="E751" t="s">
        <v>8672</v>
      </c>
      <c r="F751" t="s">
        <v>17320</v>
      </c>
      <c r="G751" t="s">
        <v>19905</v>
      </c>
    </row>
    <row r="752" spans="1:7">
      <c r="A752" t="s">
        <v>19906</v>
      </c>
      <c r="B752" t="s">
        <v>8607</v>
      </c>
      <c r="D752" t="s">
        <v>19907</v>
      </c>
      <c r="E752" t="s">
        <v>8672</v>
      </c>
      <c r="F752" t="s">
        <v>19908</v>
      </c>
      <c r="G752" t="s">
        <v>19909</v>
      </c>
    </row>
    <row r="753" spans="1:7">
      <c r="A753" t="s">
        <v>19910</v>
      </c>
      <c r="B753" t="s">
        <v>8607</v>
      </c>
      <c r="C753" t="s">
        <v>19911</v>
      </c>
      <c r="D753" t="s">
        <v>19912</v>
      </c>
      <c r="E753" t="s">
        <v>8672</v>
      </c>
      <c r="F753" t="s">
        <v>19913</v>
      </c>
      <c r="G753" t="s">
        <v>19914</v>
      </c>
    </row>
    <row r="754" spans="1:7">
      <c r="A754" t="s">
        <v>19915</v>
      </c>
      <c r="C754" t="s">
        <v>19916</v>
      </c>
      <c r="D754" t="s">
        <v>19917</v>
      </c>
      <c r="E754" t="s">
        <v>8672</v>
      </c>
      <c r="G754" t="s">
        <v>19918</v>
      </c>
    </row>
    <row r="755" spans="1:7">
      <c r="A755" t="s">
        <v>19919</v>
      </c>
      <c r="B755" t="s">
        <v>8607</v>
      </c>
      <c r="C755" t="s">
        <v>19920</v>
      </c>
      <c r="D755" t="s">
        <v>19921</v>
      </c>
      <c r="E755" t="s">
        <v>8672</v>
      </c>
      <c r="F755" t="s">
        <v>9160</v>
      </c>
      <c r="G755" t="s">
        <v>19922</v>
      </c>
    </row>
    <row r="756" spans="1:7">
      <c r="A756" t="s">
        <v>19923</v>
      </c>
      <c r="B756" t="s">
        <v>8626</v>
      </c>
      <c r="C756" t="s">
        <v>19924</v>
      </c>
      <c r="D756" t="s">
        <v>19925</v>
      </c>
      <c r="E756" t="s">
        <v>8672</v>
      </c>
      <c r="F756" t="s">
        <v>9160</v>
      </c>
      <c r="G756" t="s">
        <v>19926</v>
      </c>
    </row>
    <row r="757" spans="1:7">
      <c r="A757" t="s">
        <v>19927</v>
      </c>
      <c r="B757" t="s">
        <v>8607</v>
      </c>
      <c r="C757" t="s">
        <v>19928</v>
      </c>
      <c r="D757" t="s">
        <v>19929</v>
      </c>
      <c r="E757" t="s">
        <v>8672</v>
      </c>
      <c r="F757" t="s">
        <v>9160</v>
      </c>
      <c r="G757" t="s">
        <v>19930</v>
      </c>
    </row>
    <row r="758" spans="1:7">
      <c r="A758" t="s">
        <v>19931</v>
      </c>
      <c r="B758" t="s">
        <v>8607</v>
      </c>
      <c r="D758" t="s">
        <v>19932</v>
      </c>
      <c r="E758" t="s">
        <v>8672</v>
      </c>
      <c r="F758" t="s">
        <v>19933</v>
      </c>
      <c r="G758" t="s">
        <v>19934</v>
      </c>
    </row>
    <row r="759" spans="1:7">
      <c r="A759" t="s">
        <v>19935</v>
      </c>
      <c r="B759" t="s">
        <v>8607</v>
      </c>
      <c r="C759" t="s">
        <v>19936</v>
      </c>
      <c r="D759" t="s">
        <v>19932</v>
      </c>
      <c r="E759" t="s">
        <v>8672</v>
      </c>
      <c r="F759" t="s">
        <v>19933</v>
      </c>
      <c r="G759" t="s">
        <v>19934</v>
      </c>
    </row>
    <row r="760" spans="1:7">
      <c r="A760" t="s">
        <v>19937</v>
      </c>
      <c r="B760" t="s">
        <v>8607</v>
      </c>
      <c r="D760" t="s">
        <v>19932</v>
      </c>
      <c r="E760" t="s">
        <v>8672</v>
      </c>
      <c r="F760" t="s">
        <v>19933</v>
      </c>
      <c r="G760" t="s">
        <v>19934</v>
      </c>
    </row>
    <row r="761" spans="1:7">
      <c r="A761" t="s">
        <v>19938</v>
      </c>
      <c r="B761" t="s">
        <v>8607</v>
      </c>
      <c r="C761" t="s">
        <v>19939</v>
      </c>
      <c r="D761" t="s">
        <v>19940</v>
      </c>
      <c r="E761" t="s">
        <v>8672</v>
      </c>
      <c r="F761" t="s">
        <v>9338</v>
      </c>
      <c r="G761" t="s">
        <v>19941</v>
      </c>
    </row>
    <row r="762" spans="1:7">
      <c r="A762" t="s">
        <v>19942</v>
      </c>
      <c r="B762" t="s">
        <v>8607</v>
      </c>
      <c r="C762" t="s">
        <v>19943</v>
      </c>
      <c r="D762" t="s">
        <v>19944</v>
      </c>
      <c r="E762" t="s">
        <v>8672</v>
      </c>
      <c r="F762" t="s">
        <v>9338</v>
      </c>
      <c r="G762" t="s">
        <v>19945</v>
      </c>
    </row>
    <row r="763" spans="1:7">
      <c r="A763" t="s">
        <v>19946</v>
      </c>
      <c r="B763" t="s">
        <v>8607</v>
      </c>
      <c r="C763" t="s">
        <v>19947</v>
      </c>
      <c r="D763" t="s">
        <v>19948</v>
      </c>
      <c r="E763" t="s">
        <v>8672</v>
      </c>
      <c r="F763" t="s">
        <v>9338</v>
      </c>
      <c r="G763" t="s">
        <v>19949</v>
      </c>
    </row>
    <row r="764" spans="1:7">
      <c r="A764" t="s">
        <v>19950</v>
      </c>
      <c r="B764" t="s">
        <v>8607</v>
      </c>
      <c r="D764" t="s">
        <v>17570</v>
      </c>
      <c r="E764" t="s">
        <v>8672</v>
      </c>
      <c r="F764" t="s">
        <v>9338</v>
      </c>
      <c r="G764" t="s">
        <v>19951</v>
      </c>
    </row>
    <row r="765" spans="1:7">
      <c r="A765" t="s">
        <v>19952</v>
      </c>
      <c r="B765" t="s">
        <v>8607</v>
      </c>
      <c r="C765" t="s">
        <v>19939</v>
      </c>
      <c r="D765" t="s">
        <v>17570</v>
      </c>
      <c r="E765" t="s">
        <v>8672</v>
      </c>
      <c r="F765" t="s">
        <v>9338</v>
      </c>
      <c r="G765" t="s">
        <v>19953</v>
      </c>
    </row>
    <row r="766" spans="1:7">
      <c r="A766" t="s">
        <v>19954</v>
      </c>
      <c r="B766" t="s">
        <v>8607</v>
      </c>
      <c r="D766" t="s">
        <v>17570</v>
      </c>
      <c r="E766" t="s">
        <v>8672</v>
      </c>
      <c r="F766" t="s">
        <v>9338</v>
      </c>
      <c r="G766" t="s">
        <v>19955</v>
      </c>
    </row>
    <row r="767" spans="1:7">
      <c r="A767" t="s">
        <v>19956</v>
      </c>
      <c r="B767" t="s">
        <v>8607</v>
      </c>
      <c r="C767" t="s">
        <v>19939</v>
      </c>
      <c r="D767" t="s">
        <v>17570</v>
      </c>
      <c r="E767" t="s">
        <v>8672</v>
      </c>
      <c r="F767" t="s">
        <v>9338</v>
      </c>
      <c r="G767" t="s">
        <v>19953</v>
      </c>
    </row>
    <row r="768" spans="1:7">
      <c r="A768" t="s">
        <v>19957</v>
      </c>
      <c r="B768" t="s">
        <v>8607</v>
      </c>
      <c r="C768" t="s">
        <v>19958</v>
      </c>
      <c r="D768" t="s">
        <v>17570</v>
      </c>
      <c r="E768" t="s">
        <v>8672</v>
      </c>
      <c r="F768" t="s">
        <v>9338</v>
      </c>
      <c r="G768" t="s">
        <v>19951</v>
      </c>
    </row>
    <row r="769" spans="1:7">
      <c r="A769" t="s">
        <v>19959</v>
      </c>
      <c r="B769" t="s">
        <v>8607</v>
      </c>
      <c r="C769" t="s">
        <v>19958</v>
      </c>
      <c r="D769" t="s">
        <v>17570</v>
      </c>
      <c r="E769" t="s">
        <v>8672</v>
      </c>
      <c r="F769" t="s">
        <v>9338</v>
      </c>
      <c r="G769" t="s">
        <v>19960</v>
      </c>
    </row>
    <row r="770" spans="1:7">
      <c r="A770" t="s">
        <v>19961</v>
      </c>
      <c r="B770" t="s">
        <v>8607</v>
      </c>
      <c r="D770" t="s">
        <v>17570</v>
      </c>
      <c r="E770" t="s">
        <v>8672</v>
      </c>
      <c r="F770" t="s">
        <v>9338</v>
      </c>
      <c r="G770" t="s">
        <v>19962</v>
      </c>
    </row>
    <row r="771" spans="1:7">
      <c r="A771" t="s">
        <v>19963</v>
      </c>
      <c r="B771" t="s">
        <v>8607</v>
      </c>
      <c r="D771" t="s">
        <v>19964</v>
      </c>
      <c r="E771" t="s">
        <v>8672</v>
      </c>
      <c r="F771" t="s">
        <v>19933</v>
      </c>
      <c r="G771" t="s">
        <v>19934</v>
      </c>
    </row>
    <row r="772" spans="1:7">
      <c r="A772" t="s">
        <v>19965</v>
      </c>
      <c r="B772" t="s">
        <v>8607</v>
      </c>
      <c r="D772" t="s">
        <v>19964</v>
      </c>
      <c r="E772" t="s">
        <v>8672</v>
      </c>
      <c r="F772" t="s">
        <v>19966</v>
      </c>
      <c r="G772" t="s">
        <v>19934</v>
      </c>
    </row>
    <row r="773" spans="1:7">
      <c r="A773" t="s">
        <v>19967</v>
      </c>
      <c r="B773" t="s">
        <v>8607</v>
      </c>
      <c r="C773" t="s">
        <v>19936</v>
      </c>
      <c r="D773" t="s">
        <v>19968</v>
      </c>
      <c r="E773" t="s">
        <v>8672</v>
      </c>
      <c r="F773" t="s">
        <v>10356</v>
      </c>
      <c r="G773" t="s">
        <v>19934</v>
      </c>
    </row>
    <row r="774" spans="1:7">
      <c r="A774" t="s">
        <v>19969</v>
      </c>
      <c r="B774" t="s">
        <v>8607</v>
      </c>
      <c r="D774" t="s">
        <v>19968</v>
      </c>
      <c r="E774" t="s">
        <v>8672</v>
      </c>
      <c r="F774" t="s">
        <v>19933</v>
      </c>
      <c r="G774" t="s">
        <v>19934</v>
      </c>
    </row>
    <row r="775" spans="1:7">
      <c r="A775" t="s">
        <v>19970</v>
      </c>
      <c r="B775" t="s">
        <v>8607</v>
      </c>
      <c r="D775" t="s">
        <v>19968</v>
      </c>
      <c r="E775" t="s">
        <v>8672</v>
      </c>
      <c r="F775" t="s">
        <v>19933</v>
      </c>
      <c r="G775" t="s">
        <v>19934</v>
      </c>
    </row>
    <row r="776" spans="1:7">
      <c r="A776" t="s">
        <v>19971</v>
      </c>
      <c r="B776" t="s">
        <v>8607</v>
      </c>
      <c r="C776" t="s">
        <v>19936</v>
      </c>
      <c r="D776" t="s">
        <v>19968</v>
      </c>
      <c r="E776" t="s">
        <v>8672</v>
      </c>
      <c r="F776" t="s">
        <v>10356</v>
      </c>
      <c r="G776" t="s">
        <v>19934</v>
      </c>
    </row>
    <row r="777" spans="1:7">
      <c r="A777" t="s">
        <v>19972</v>
      </c>
      <c r="B777" t="s">
        <v>8607</v>
      </c>
      <c r="D777" t="s">
        <v>19968</v>
      </c>
      <c r="E777" t="s">
        <v>8672</v>
      </c>
      <c r="F777" t="s">
        <v>19933</v>
      </c>
      <c r="G777" t="s">
        <v>19934</v>
      </c>
    </row>
    <row r="778" spans="1:7">
      <c r="A778" t="s">
        <v>19973</v>
      </c>
      <c r="B778" t="s">
        <v>8607</v>
      </c>
      <c r="C778" t="s">
        <v>19936</v>
      </c>
      <c r="D778" t="s">
        <v>19968</v>
      </c>
      <c r="E778" t="s">
        <v>8672</v>
      </c>
      <c r="F778" t="s">
        <v>19974</v>
      </c>
      <c r="G778" t="s">
        <v>19975</v>
      </c>
    </row>
    <row r="779" spans="1:7">
      <c r="A779" t="s">
        <v>19976</v>
      </c>
      <c r="B779" t="s">
        <v>8607</v>
      </c>
      <c r="C779" t="s">
        <v>19977</v>
      </c>
      <c r="D779" t="s">
        <v>19978</v>
      </c>
      <c r="E779" t="s">
        <v>8672</v>
      </c>
      <c r="F779" t="s">
        <v>9338</v>
      </c>
      <c r="G779" t="s">
        <v>19979</v>
      </c>
    </row>
    <row r="780" spans="1:7">
      <c r="A780" t="s">
        <v>19980</v>
      </c>
      <c r="B780" t="s">
        <v>8607</v>
      </c>
      <c r="C780" t="s">
        <v>19947</v>
      </c>
      <c r="D780" t="s">
        <v>19978</v>
      </c>
      <c r="E780" t="s">
        <v>8672</v>
      </c>
      <c r="F780" t="s">
        <v>9338</v>
      </c>
      <c r="G780" t="s">
        <v>19979</v>
      </c>
    </row>
    <row r="781" spans="1:7">
      <c r="A781" t="s">
        <v>19981</v>
      </c>
      <c r="B781" t="s">
        <v>8607</v>
      </c>
      <c r="C781" t="s">
        <v>19977</v>
      </c>
      <c r="D781" t="s">
        <v>19978</v>
      </c>
      <c r="E781" t="s">
        <v>8672</v>
      </c>
      <c r="F781" t="s">
        <v>9338</v>
      </c>
      <c r="G781" t="s">
        <v>19979</v>
      </c>
    </row>
    <row r="782" spans="1:7">
      <c r="A782" t="s">
        <v>19982</v>
      </c>
      <c r="B782" t="s">
        <v>8607</v>
      </c>
      <c r="C782" t="s">
        <v>19983</v>
      </c>
      <c r="D782" t="s">
        <v>19978</v>
      </c>
      <c r="E782" t="s">
        <v>8672</v>
      </c>
      <c r="F782" t="s">
        <v>9338</v>
      </c>
      <c r="G782" t="s">
        <v>19979</v>
      </c>
    </row>
    <row r="783" spans="1:7">
      <c r="A783" t="s">
        <v>19984</v>
      </c>
      <c r="B783" t="s">
        <v>8626</v>
      </c>
      <c r="C783" t="s">
        <v>19985</v>
      </c>
      <c r="D783" t="s">
        <v>19986</v>
      </c>
      <c r="E783" t="s">
        <v>8672</v>
      </c>
      <c r="G783" t="s">
        <v>19987</v>
      </c>
    </row>
    <row r="784" spans="1:7">
      <c r="A784" t="s">
        <v>19988</v>
      </c>
      <c r="B784" t="s">
        <v>8626</v>
      </c>
      <c r="C784" t="s">
        <v>19989</v>
      </c>
      <c r="D784" t="s">
        <v>19990</v>
      </c>
      <c r="E784" t="s">
        <v>8672</v>
      </c>
      <c r="F784" t="s">
        <v>19991</v>
      </c>
      <c r="G784" t="s">
        <v>19992</v>
      </c>
    </row>
    <row r="785" spans="1:7">
      <c r="A785" t="s">
        <v>19993</v>
      </c>
      <c r="B785" t="s">
        <v>8607</v>
      </c>
      <c r="C785" t="s">
        <v>19994</v>
      </c>
      <c r="D785" t="s">
        <v>19995</v>
      </c>
      <c r="E785" t="s">
        <v>8672</v>
      </c>
      <c r="F785" t="s">
        <v>19996</v>
      </c>
      <c r="G785" t="s">
        <v>19997</v>
      </c>
    </row>
    <row r="786" spans="1:7">
      <c r="A786" t="s">
        <v>19998</v>
      </c>
      <c r="B786" t="s">
        <v>8626</v>
      </c>
      <c r="C786" t="s">
        <v>19999</v>
      </c>
      <c r="D786" t="s">
        <v>20000</v>
      </c>
      <c r="E786" t="s">
        <v>8672</v>
      </c>
      <c r="F786" t="s">
        <v>20001</v>
      </c>
      <c r="G786" t="s">
        <v>20002</v>
      </c>
    </row>
    <row r="787" spans="1:7">
      <c r="A787" t="s">
        <v>20003</v>
      </c>
      <c r="B787" t="s">
        <v>8626</v>
      </c>
      <c r="C787" t="s">
        <v>20004</v>
      </c>
      <c r="D787" t="s">
        <v>20005</v>
      </c>
      <c r="E787" t="s">
        <v>8672</v>
      </c>
      <c r="F787" t="s">
        <v>20001</v>
      </c>
      <c r="G787" t="s">
        <v>20006</v>
      </c>
    </row>
    <row r="788" spans="1:7">
      <c r="A788" t="s">
        <v>20007</v>
      </c>
      <c r="B788" t="s">
        <v>8607</v>
      </c>
      <c r="C788" t="s">
        <v>20008</v>
      </c>
      <c r="D788" t="s">
        <v>20009</v>
      </c>
      <c r="E788" t="s">
        <v>8672</v>
      </c>
      <c r="F788" t="s">
        <v>19996</v>
      </c>
      <c r="G788" t="s">
        <v>20010</v>
      </c>
    </row>
    <row r="789" spans="1:7">
      <c r="A789" t="s">
        <v>20011</v>
      </c>
      <c r="B789" t="s">
        <v>8607</v>
      </c>
      <c r="C789" t="s">
        <v>19994</v>
      </c>
      <c r="D789" t="s">
        <v>20012</v>
      </c>
      <c r="E789" t="s">
        <v>8672</v>
      </c>
      <c r="F789" t="s">
        <v>19996</v>
      </c>
      <c r="G789" t="s">
        <v>20013</v>
      </c>
    </row>
    <row r="790" spans="1:7">
      <c r="A790" t="s">
        <v>20014</v>
      </c>
      <c r="B790" t="s">
        <v>8626</v>
      </c>
      <c r="C790" t="s">
        <v>19994</v>
      </c>
      <c r="D790" t="s">
        <v>20015</v>
      </c>
      <c r="E790" t="s">
        <v>8672</v>
      </c>
      <c r="F790" t="s">
        <v>19996</v>
      </c>
      <c r="G790" t="s">
        <v>20016</v>
      </c>
    </row>
    <row r="791" spans="1:7">
      <c r="A791" t="s">
        <v>20017</v>
      </c>
      <c r="B791" t="s">
        <v>8607</v>
      </c>
      <c r="C791" t="s">
        <v>19994</v>
      </c>
      <c r="D791" t="s">
        <v>20018</v>
      </c>
      <c r="E791" t="s">
        <v>8672</v>
      </c>
      <c r="F791" t="s">
        <v>19996</v>
      </c>
      <c r="G791" t="s">
        <v>20019</v>
      </c>
    </row>
    <row r="792" spans="1:7">
      <c r="A792" t="s">
        <v>20020</v>
      </c>
      <c r="B792" t="s">
        <v>8626</v>
      </c>
      <c r="C792" t="s">
        <v>20021</v>
      </c>
      <c r="D792" t="s">
        <v>20022</v>
      </c>
      <c r="E792" t="s">
        <v>8672</v>
      </c>
      <c r="F792" t="s">
        <v>20023</v>
      </c>
      <c r="G792" t="s">
        <v>20024</v>
      </c>
    </row>
    <row r="793" spans="1:7">
      <c r="A793" t="s">
        <v>20025</v>
      </c>
      <c r="B793" t="s">
        <v>8607</v>
      </c>
      <c r="D793" t="s">
        <v>20026</v>
      </c>
      <c r="E793" t="s">
        <v>8672</v>
      </c>
      <c r="F793" t="s">
        <v>19996</v>
      </c>
      <c r="G793" t="s">
        <v>20027</v>
      </c>
    </row>
    <row r="794" spans="1:7">
      <c r="A794" t="s">
        <v>20028</v>
      </c>
      <c r="B794" t="s">
        <v>8626</v>
      </c>
      <c r="D794" t="s">
        <v>20029</v>
      </c>
      <c r="E794" t="s">
        <v>8672</v>
      </c>
      <c r="G794" t="s">
        <v>20030</v>
      </c>
    </row>
    <row r="795" spans="1:7">
      <c r="A795" t="s">
        <v>20031</v>
      </c>
      <c r="B795" t="s">
        <v>8626</v>
      </c>
      <c r="C795" t="s">
        <v>20032</v>
      </c>
      <c r="D795" t="s">
        <v>20033</v>
      </c>
      <c r="E795" t="s">
        <v>8672</v>
      </c>
      <c r="F795" t="s">
        <v>19996</v>
      </c>
      <c r="G795" t="s">
        <v>20034</v>
      </c>
    </row>
    <row r="796" spans="1:7">
      <c r="A796" t="s">
        <v>20035</v>
      </c>
      <c r="B796" t="s">
        <v>8607</v>
      </c>
      <c r="D796" t="s">
        <v>20033</v>
      </c>
      <c r="E796" t="s">
        <v>8672</v>
      </c>
      <c r="F796" t="s">
        <v>19996</v>
      </c>
      <c r="G796" t="s">
        <v>20036</v>
      </c>
    </row>
    <row r="797" spans="1:7">
      <c r="A797" t="s">
        <v>20037</v>
      </c>
      <c r="B797" t="s">
        <v>8607</v>
      </c>
      <c r="C797" t="s">
        <v>19841</v>
      </c>
      <c r="D797" t="s">
        <v>20038</v>
      </c>
      <c r="E797" t="s">
        <v>8672</v>
      </c>
      <c r="F797" t="s">
        <v>17320</v>
      </c>
      <c r="G797" t="s">
        <v>19843</v>
      </c>
    </row>
    <row r="798" spans="1:7">
      <c r="A798" t="s">
        <v>20039</v>
      </c>
      <c r="B798" t="s">
        <v>8607</v>
      </c>
      <c r="C798" t="s">
        <v>19841</v>
      </c>
      <c r="D798" t="s">
        <v>20038</v>
      </c>
      <c r="E798" t="s">
        <v>8672</v>
      </c>
      <c r="F798" t="s">
        <v>17320</v>
      </c>
      <c r="G798" t="s">
        <v>19847</v>
      </c>
    </row>
    <row r="799" spans="1:7">
      <c r="A799" t="s">
        <v>20040</v>
      </c>
      <c r="B799" t="s">
        <v>8607</v>
      </c>
      <c r="C799" t="s">
        <v>19841</v>
      </c>
      <c r="D799" t="s">
        <v>20038</v>
      </c>
      <c r="E799" t="s">
        <v>8672</v>
      </c>
      <c r="F799" t="s">
        <v>17320</v>
      </c>
      <c r="G799" t="s">
        <v>19847</v>
      </c>
    </row>
    <row r="800" spans="1:7">
      <c r="A800" t="s">
        <v>20041</v>
      </c>
      <c r="B800" t="s">
        <v>8607</v>
      </c>
      <c r="C800" t="s">
        <v>19841</v>
      </c>
      <c r="D800" t="s">
        <v>20038</v>
      </c>
      <c r="E800" t="s">
        <v>8672</v>
      </c>
      <c r="F800" t="s">
        <v>17320</v>
      </c>
      <c r="G800" t="s">
        <v>19847</v>
      </c>
    </row>
    <row r="801" spans="1:7">
      <c r="A801" t="s">
        <v>20042</v>
      </c>
      <c r="B801" t="s">
        <v>8607</v>
      </c>
      <c r="C801" t="s">
        <v>19994</v>
      </c>
      <c r="D801" t="s">
        <v>20043</v>
      </c>
      <c r="E801" t="s">
        <v>8672</v>
      </c>
      <c r="F801" t="s">
        <v>19996</v>
      </c>
      <c r="G801" t="s">
        <v>20044</v>
      </c>
    </row>
    <row r="802" spans="1:7">
      <c r="A802" t="s">
        <v>20045</v>
      </c>
      <c r="B802" t="s">
        <v>8607</v>
      </c>
      <c r="C802" t="s">
        <v>20046</v>
      </c>
      <c r="D802" t="s">
        <v>20047</v>
      </c>
      <c r="E802" t="s">
        <v>8672</v>
      </c>
      <c r="F802" t="s">
        <v>19996</v>
      </c>
      <c r="G802" t="s">
        <v>20048</v>
      </c>
    </row>
    <row r="803" spans="1:7">
      <c r="A803" t="s">
        <v>20049</v>
      </c>
      <c r="B803" t="s">
        <v>8607</v>
      </c>
      <c r="D803" t="s">
        <v>20050</v>
      </c>
      <c r="E803" t="s">
        <v>8672</v>
      </c>
      <c r="F803" t="s">
        <v>20051</v>
      </c>
      <c r="G803" t="s">
        <v>20052</v>
      </c>
    </row>
    <row r="804" spans="1:7">
      <c r="A804" t="s">
        <v>20053</v>
      </c>
      <c r="B804" t="s">
        <v>8607</v>
      </c>
      <c r="C804" t="s">
        <v>20054</v>
      </c>
      <c r="D804" t="s">
        <v>20055</v>
      </c>
      <c r="E804" t="s">
        <v>8672</v>
      </c>
      <c r="F804" t="s">
        <v>8851</v>
      </c>
      <c r="G804" t="s">
        <v>20056</v>
      </c>
    </row>
    <row r="805" spans="1:7">
      <c r="A805" t="s">
        <v>20057</v>
      </c>
      <c r="B805" t="s">
        <v>8626</v>
      </c>
      <c r="C805" t="s">
        <v>20054</v>
      </c>
      <c r="D805" t="s">
        <v>20058</v>
      </c>
      <c r="E805" t="s">
        <v>8672</v>
      </c>
      <c r="F805" t="s">
        <v>18777</v>
      </c>
      <c r="G805" t="s">
        <v>20059</v>
      </c>
    </row>
    <row r="806" spans="1:7">
      <c r="A806" t="s">
        <v>20060</v>
      </c>
      <c r="B806" t="s">
        <v>8607</v>
      </c>
      <c r="C806" t="s">
        <v>20061</v>
      </c>
      <c r="D806" t="s">
        <v>20062</v>
      </c>
      <c r="E806" t="s">
        <v>8672</v>
      </c>
      <c r="F806" t="s">
        <v>17331</v>
      </c>
      <c r="G806" t="s">
        <v>20063</v>
      </c>
    </row>
    <row r="807" spans="1:7">
      <c r="A807" t="s">
        <v>20064</v>
      </c>
      <c r="B807" t="s">
        <v>8607</v>
      </c>
      <c r="C807" t="s">
        <v>20054</v>
      </c>
      <c r="D807" t="s">
        <v>20065</v>
      </c>
      <c r="E807" t="s">
        <v>8672</v>
      </c>
      <c r="F807" t="s">
        <v>8851</v>
      </c>
      <c r="G807" t="s">
        <v>20066</v>
      </c>
    </row>
    <row r="808" spans="1:7">
      <c r="A808" t="s">
        <v>20067</v>
      </c>
      <c r="B808" t="s">
        <v>8607</v>
      </c>
      <c r="C808" t="s">
        <v>20054</v>
      </c>
      <c r="D808" t="s">
        <v>20068</v>
      </c>
      <c r="E808" t="s">
        <v>8672</v>
      </c>
      <c r="F808" t="s">
        <v>8851</v>
      </c>
      <c r="G808" t="s">
        <v>20069</v>
      </c>
    </row>
    <row r="809" spans="1:7">
      <c r="A809" t="s">
        <v>20070</v>
      </c>
      <c r="B809" t="s">
        <v>8607</v>
      </c>
      <c r="C809" t="s">
        <v>20071</v>
      </c>
      <c r="D809" t="s">
        <v>20072</v>
      </c>
      <c r="E809" t="s">
        <v>8672</v>
      </c>
      <c r="F809" t="s">
        <v>8851</v>
      </c>
      <c r="G809" t="s">
        <v>20073</v>
      </c>
    </row>
    <row r="810" spans="1:7">
      <c r="A810" t="s">
        <v>20074</v>
      </c>
      <c r="B810" t="s">
        <v>8626</v>
      </c>
      <c r="D810" t="s">
        <v>17794</v>
      </c>
      <c r="E810" t="s">
        <v>8672</v>
      </c>
      <c r="F810" t="s">
        <v>17331</v>
      </c>
      <c r="G810" t="s">
        <v>20075</v>
      </c>
    </row>
    <row r="811" spans="1:7">
      <c r="A811" t="s">
        <v>20076</v>
      </c>
      <c r="B811" t="s">
        <v>8607</v>
      </c>
      <c r="D811" t="s">
        <v>17794</v>
      </c>
      <c r="E811" t="s">
        <v>8672</v>
      </c>
      <c r="F811" t="s">
        <v>17331</v>
      </c>
      <c r="G811" t="s">
        <v>17332</v>
      </c>
    </row>
    <row r="812" spans="1:7">
      <c r="A812" t="s">
        <v>20077</v>
      </c>
      <c r="B812" t="s">
        <v>8607</v>
      </c>
      <c r="D812" t="s">
        <v>17794</v>
      </c>
      <c r="E812" t="s">
        <v>8672</v>
      </c>
      <c r="F812" t="s">
        <v>17331</v>
      </c>
      <c r="G812" t="s">
        <v>20078</v>
      </c>
    </row>
    <row r="813" spans="1:7">
      <c r="A813" t="s">
        <v>20079</v>
      </c>
      <c r="B813" t="s">
        <v>8607</v>
      </c>
      <c r="D813" t="s">
        <v>17794</v>
      </c>
      <c r="E813" t="s">
        <v>8672</v>
      </c>
      <c r="F813" t="s">
        <v>17331</v>
      </c>
      <c r="G813" t="s">
        <v>20080</v>
      </c>
    </row>
    <row r="814" spans="1:7">
      <c r="A814" t="s">
        <v>20081</v>
      </c>
      <c r="B814" t="s">
        <v>8607</v>
      </c>
      <c r="D814" t="s">
        <v>17794</v>
      </c>
      <c r="E814" t="s">
        <v>8672</v>
      </c>
      <c r="F814" t="s">
        <v>17331</v>
      </c>
      <c r="G814" t="s">
        <v>20082</v>
      </c>
    </row>
    <row r="815" spans="1:7">
      <c r="A815" t="s">
        <v>20083</v>
      </c>
      <c r="B815" t="s">
        <v>8607</v>
      </c>
      <c r="D815" t="s">
        <v>17794</v>
      </c>
      <c r="E815" t="s">
        <v>8672</v>
      </c>
      <c r="F815" t="s">
        <v>17331</v>
      </c>
      <c r="G815" t="s">
        <v>20084</v>
      </c>
    </row>
    <row r="816" spans="1:7">
      <c r="A816" t="s">
        <v>20085</v>
      </c>
      <c r="B816" t="s">
        <v>8607</v>
      </c>
      <c r="D816" t="s">
        <v>17846</v>
      </c>
      <c r="E816" t="s">
        <v>8672</v>
      </c>
      <c r="F816" t="s">
        <v>17331</v>
      </c>
      <c r="G816" t="s">
        <v>20078</v>
      </c>
    </row>
    <row r="817" spans="1:7">
      <c r="A817" t="s">
        <v>20086</v>
      </c>
      <c r="B817" t="s">
        <v>8626</v>
      </c>
      <c r="D817" t="s">
        <v>17846</v>
      </c>
      <c r="E817" t="s">
        <v>8672</v>
      </c>
      <c r="F817" t="s">
        <v>17331</v>
      </c>
      <c r="G817" t="s">
        <v>17847</v>
      </c>
    </row>
    <row r="818" spans="1:7">
      <c r="A818" t="s">
        <v>20087</v>
      </c>
      <c r="B818" t="s">
        <v>8607</v>
      </c>
      <c r="D818" t="s">
        <v>17846</v>
      </c>
      <c r="E818" t="s">
        <v>8672</v>
      </c>
      <c r="F818" t="s">
        <v>17331</v>
      </c>
      <c r="G818" t="s">
        <v>20078</v>
      </c>
    </row>
    <row r="819" spans="1:7">
      <c r="A819" t="s">
        <v>20088</v>
      </c>
      <c r="B819" t="s">
        <v>8607</v>
      </c>
      <c r="D819" t="s">
        <v>17846</v>
      </c>
      <c r="E819" t="s">
        <v>8672</v>
      </c>
      <c r="F819" t="s">
        <v>17331</v>
      </c>
      <c r="G819" t="s">
        <v>20089</v>
      </c>
    </row>
    <row r="820" spans="1:7">
      <c r="A820" t="s">
        <v>20090</v>
      </c>
      <c r="B820" t="s">
        <v>8626</v>
      </c>
      <c r="C820" t="s">
        <v>20091</v>
      </c>
      <c r="D820" t="s">
        <v>17846</v>
      </c>
      <c r="E820" t="s">
        <v>8672</v>
      </c>
      <c r="F820" t="s">
        <v>17331</v>
      </c>
      <c r="G820" t="s">
        <v>20075</v>
      </c>
    </row>
    <row r="821" spans="1:7">
      <c r="A821" t="s">
        <v>20092</v>
      </c>
      <c r="B821" t="s">
        <v>8607</v>
      </c>
      <c r="D821" t="s">
        <v>17846</v>
      </c>
      <c r="E821" t="s">
        <v>8672</v>
      </c>
      <c r="F821" t="s">
        <v>17331</v>
      </c>
      <c r="G821" t="s">
        <v>20089</v>
      </c>
    </row>
    <row r="822" spans="1:7">
      <c r="A822" t="s">
        <v>20093</v>
      </c>
      <c r="B822" t="s">
        <v>8607</v>
      </c>
      <c r="D822" t="s">
        <v>17846</v>
      </c>
      <c r="E822" t="s">
        <v>8672</v>
      </c>
      <c r="F822" t="s">
        <v>17331</v>
      </c>
      <c r="G822" t="s">
        <v>20078</v>
      </c>
    </row>
    <row r="823" spans="1:7">
      <c r="A823" t="s">
        <v>20094</v>
      </c>
      <c r="B823" t="s">
        <v>8607</v>
      </c>
      <c r="D823" t="s">
        <v>17846</v>
      </c>
      <c r="E823" t="s">
        <v>8672</v>
      </c>
      <c r="F823" t="s">
        <v>17331</v>
      </c>
      <c r="G823" t="s">
        <v>20078</v>
      </c>
    </row>
    <row r="824" spans="1:7">
      <c r="A824" t="s">
        <v>20095</v>
      </c>
      <c r="B824" t="s">
        <v>8607</v>
      </c>
      <c r="D824" t="s">
        <v>17846</v>
      </c>
      <c r="E824" t="s">
        <v>8672</v>
      </c>
      <c r="F824" t="s">
        <v>17331</v>
      </c>
      <c r="G824" t="s">
        <v>20089</v>
      </c>
    </row>
    <row r="825" spans="1:7">
      <c r="A825" t="s">
        <v>20096</v>
      </c>
      <c r="B825" t="s">
        <v>8626</v>
      </c>
      <c r="C825" t="s">
        <v>20097</v>
      </c>
      <c r="D825" t="s">
        <v>17846</v>
      </c>
      <c r="E825" t="s">
        <v>8672</v>
      </c>
      <c r="F825" t="s">
        <v>17331</v>
      </c>
      <c r="G825" t="s">
        <v>17847</v>
      </c>
    </row>
    <row r="826" spans="1:7">
      <c r="A826" t="s">
        <v>20098</v>
      </c>
      <c r="B826" t="s">
        <v>8607</v>
      </c>
      <c r="D826" t="s">
        <v>17846</v>
      </c>
      <c r="E826" t="s">
        <v>8672</v>
      </c>
      <c r="F826" t="s">
        <v>17331</v>
      </c>
      <c r="G826" t="s">
        <v>20089</v>
      </c>
    </row>
    <row r="827" spans="1:7">
      <c r="A827" t="s">
        <v>20099</v>
      </c>
      <c r="B827" t="s">
        <v>8607</v>
      </c>
      <c r="D827" t="s">
        <v>17846</v>
      </c>
      <c r="E827" t="s">
        <v>8672</v>
      </c>
      <c r="F827" t="s">
        <v>17331</v>
      </c>
      <c r="G827" t="s">
        <v>20089</v>
      </c>
    </row>
    <row r="828" spans="1:7">
      <c r="A828" t="s">
        <v>20100</v>
      </c>
      <c r="B828" t="s">
        <v>8607</v>
      </c>
      <c r="D828" t="s">
        <v>17846</v>
      </c>
      <c r="E828" t="s">
        <v>8672</v>
      </c>
      <c r="F828" t="s">
        <v>17331</v>
      </c>
      <c r="G828" t="s">
        <v>20089</v>
      </c>
    </row>
    <row r="829" spans="1:7">
      <c r="A829" t="s">
        <v>20101</v>
      </c>
      <c r="B829" t="s">
        <v>8607</v>
      </c>
      <c r="D829" t="s">
        <v>17846</v>
      </c>
      <c r="E829" t="s">
        <v>8672</v>
      </c>
      <c r="F829" t="s">
        <v>17331</v>
      </c>
      <c r="G829" t="s">
        <v>20089</v>
      </c>
    </row>
    <row r="830" spans="1:7">
      <c r="A830" t="s">
        <v>20102</v>
      </c>
      <c r="B830" t="s">
        <v>8626</v>
      </c>
      <c r="D830" t="s">
        <v>17846</v>
      </c>
      <c r="E830" t="s">
        <v>8672</v>
      </c>
      <c r="F830" t="s">
        <v>17331</v>
      </c>
      <c r="G830" t="s">
        <v>20075</v>
      </c>
    </row>
    <row r="831" spans="1:7">
      <c r="A831" t="s">
        <v>20103</v>
      </c>
      <c r="B831" t="s">
        <v>8607</v>
      </c>
      <c r="C831" t="s">
        <v>20104</v>
      </c>
      <c r="D831" t="s">
        <v>17846</v>
      </c>
      <c r="E831" t="s">
        <v>8672</v>
      </c>
      <c r="F831" t="s">
        <v>17331</v>
      </c>
      <c r="G831" t="s">
        <v>20089</v>
      </c>
    </row>
    <row r="832" spans="1:7">
      <c r="A832" t="s">
        <v>20105</v>
      </c>
      <c r="B832" t="s">
        <v>8626</v>
      </c>
      <c r="D832" t="s">
        <v>17846</v>
      </c>
      <c r="E832" t="s">
        <v>8672</v>
      </c>
      <c r="F832" t="s">
        <v>17331</v>
      </c>
      <c r="G832" t="s">
        <v>20075</v>
      </c>
    </row>
    <row r="833" spans="1:7">
      <c r="A833" t="s">
        <v>20106</v>
      </c>
      <c r="B833" t="s">
        <v>8607</v>
      </c>
      <c r="D833" t="s">
        <v>17846</v>
      </c>
      <c r="E833" t="s">
        <v>8672</v>
      </c>
      <c r="F833" t="s">
        <v>17331</v>
      </c>
      <c r="G833" t="s">
        <v>20089</v>
      </c>
    </row>
    <row r="834" spans="1:7">
      <c r="A834" t="s">
        <v>20107</v>
      </c>
      <c r="B834" t="s">
        <v>8607</v>
      </c>
      <c r="D834" t="s">
        <v>17846</v>
      </c>
      <c r="E834" t="s">
        <v>8672</v>
      </c>
      <c r="F834" t="s">
        <v>17331</v>
      </c>
      <c r="G834" t="s">
        <v>20078</v>
      </c>
    </row>
    <row r="835" spans="1:7">
      <c r="A835" t="s">
        <v>20108</v>
      </c>
      <c r="B835" t="s">
        <v>8626</v>
      </c>
      <c r="C835" t="s">
        <v>20109</v>
      </c>
      <c r="D835" t="s">
        <v>15810</v>
      </c>
      <c r="E835" t="s">
        <v>8672</v>
      </c>
      <c r="F835" t="s">
        <v>15811</v>
      </c>
      <c r="G835" t="s">
        <v>20110</v>
      </c>
    </row>
    <row r="836" spans="1:7">
      <c r="A836" t="s">
        <v>20111</v>
      </c>
      <c r="B836" t="s">
        <v>8607</v>
      </c>
      <c r="C836" t="s">
        <v>20112</v>
      </c>
      <c r="D836" t="s">
        <v>20113</v>
      </c>
      <c r="E836" t="s">
        <v>8672</v>
      </c>
      <c r="F836" t="s">
        <v>15811</v>
      </c>
      <c r="G836" t="s">
        <v>20114</v>
      </c>
    </row>
    <row r="837" spans="1:7">
      <c r="A837" t="s">
        <v>20115</v>
      </c>
      <c r="B837" t="s">
        <v>8607</v>
      </c>
      <c r="D837" t="s">
        <v>20116</v>
      </c>
      <c r="E837" t="s">
        <v>8672</v>
      </c>
      <c r="F837" t="s">
        <v>19380</v>
      </c>
      <c r="G837" t="s">
        <v>20117</v>
      </c>
    </row>
    <row r="838" spans="1:7">
      <c r="A838" t="s">
        <v>20118</v>
      </c>
      <c r="B838" t="s">
        <v>8607</v>
      </c>
      <c r="D838" t="s">
        <v>20116</v>
      </c>
      <c r="E838" t="s">
        <v>8672</v>
      </c>
      <c r="F838" t="s">
        <v>17760</v>
      </c>
      <c r="G838" t="s">
        <v>20119</v>
      </c>
    </row>
    <row r="839" spans="1:7">
      <c r="A839" t="s">
        <v>20120</v>
      </c>
      <c r="B839" t="s">
        <v>8626</v>
      </c>
      <c r="C839" t="s">
        <v>20121</v>
      </c>
      <c r="D839" t="s">
        <v>20122</v>
      </c>
      <c r="E839" t="s">
        <v>8672</v>
      </c>
      <c r="F839" t="s">
        <v>15811</v>
      </c>
      <c r="G839" t="s">
        <v>20123</v>
      </c>
    </row>
    <row r="840" spans="1:7">
      <c r="A840" t="s">
        <v>20124</v>
      </c>
      <c r="B840" t="s">
        <v>8607</v>
      </c>
      <c r="C840" t="s">
        <v>20125</v>
      </c>
      <c r="D840" t="s">
        <v>20126</v>
      </c>
      <c r="E840" t="s">
        <v>8672</v>
      </c>
      <c r="F840" t="s">
        <v>15811</v>
      </c>
      <c r="G840" t="s">
        <v>20127</v>
      </c>
    </row>
    <row r="841" spans="1:7">
      <c r="A841" t="s">
        <v>20128</v>
      </c>
      <c r="B841" t="s">
        <v>8607</v>
      </c>
      <c r="C841" t="s">
        <v>20125</v>
      </c>
      <c r="D841" t="s">
        <v>20129</v>
      </c>
      <c r="E841" t="s">
        <v>8672</v>
      </c>
      <c r="F841" t="s">
        <v>15811</v>
      </c>
      <c r="G841" t="s">
        <v>20127</v>
      </c>
    </row>
    <row r="842" spans="1:7">
      <c r="A842" t="s">
        <v>20130</v>
      </c>
      <c r="B842" t="s">
        <v>8626</v>
      </c>
      <c r="D842" t="s">
        <v>20131</v>
      </c>
      <c r="E842" t="s">
        <v>8672</v>
      </c>
      <c r="G842" t="s">
        <v>20132</v>
      </c>
    </row>
    <row r="843" spans="1:7">
      <c r="A843" t="s">
        <v>20133</v>
      </c>
      <c r="B843" t="s">
        <v>8626</v>
      </c>
      <c r="C843" t="s">
        <v>20134</v>
      </c>
      <c r="D843" t="s">
        <v>20135</v>
      </c>
      <c r="E843" t="s">
        <v>8672</v>
      </c>
      <c r="F843" t="s">
        <v>20136</v>
      </c>
      <c r="G843" t="s">
        <v>20137</v>
      </c>
    </row>
    <row r="844" spans="1:7">
      <c r="A844" t="s">
        <v>20138</v>
      </c>
      <c r="B844" t="s">
        <v>8626</v>
      </c>
      <c r="D844" t="s">
        <v>20139</v>
      </c>
      <c r="E844" t="s">
        <v>8672</v>
      </c>
      <c r="F844" t="s">
        <v>20140</v>
      </c>
      <c r="G844" t="s">
        <v>20141</v>
      </c>
    </row>
    <row r="845" spans="1:7">
      <c r="A845" t="s">
        <v>20142</v>
      </c>
      <c r="B845" t="s">
        <v>8626</v>
      </c>
      <c r="D845" t="s">
        <v>20139</v>
      </c>
      <c r="E845" t="s">
        <v>8672</v>
      </c>
      <c r="F845" t="s">
        <v>20140</v>
      </c>
      <c r="G845" t="s">
        <v>20141</v>
      </c>
    </row>
    <row r="846" spans="1:7">
      <c r="A846" t="s">
        <v>20143</v>
      </c>
      <c r="B846" t="s">
        <v>8626</v>
      </c>
      <c r="D846" t="s">
        <v>20139</v>
      </c>
      <c r="E846" t="s">
        <v>8672</v>
      </c>
      <c r="F846" t="s">
        <v>20140</v>
      </c>
      <c r="G846" t="s">
        <v>20141</v>
      </c>
    </row>
    <row r="847" spans="1:7">
      <c r="A847" t="s">
        <v>20144</v>
      </c>
      <c r="B847" t="s">
        <v>8607</v>
      </c>
      <c r="D847" t="s">
        <v>20139</v>
      </c>
      <c r="E847" t="s">
        <v>8672</v>
      </c>
      <c r="F847" t="s">
        <v>12458</v>
      </c>
      <c r="G847" t="s">
        <v>18906</v>
      </c>
    </row>
    <row r="848" spans="1:7">
      <c r="A848" t="s">
        <v>20145</v>
      </c>
      <c r="B848" t="s">
        <v>8607</v>
      </c>
      <c r="D848" t="s">
        <v>20146</v>
      </c>
      <c r="E848" t="s">
        <v>8672</v>
      </c>
      <c r="F848" t="s">
        <v>15811</v>
      </c>
      <c r="G848" t="s">
        <v>20147</v>
      </c>
    </row>
    <row r="849" spans="1:7">
      <c r="A849" t="s">
        <v>20148</v>
      </c>
      <c r="B849" t="s">
        <v>8607</v>
      </c>
      <c r="C849" t="s">
        <v>20112</v>
      </c>
      <c r="D849" t="s">
        <v>20149</v>
      </c>
      <c r="E849" t="s">
        <v>8672</v>
      </c>
      <c r="F849" t="s">
        <v>15811</v>
      </c>
      <c r="G849" t="s">
        <v>20150</v>
      </c>
    </row>
    <row r="850" spans="1:7">
      <c r="A850" t="s">
        <v>20151</v>
      </c>
      <c r="B850" t="s">
        <v>8607</v>
      </c>
      <c r="C850" t="s">
        <v>20152</v>
      </c>
      <c r="D850" t="s">
        <v>20149</v>
      </c>
      <c r="E850" t="s">
        <v>8672</v>
      </c>
      <c r="F850" t="s">
        <v>15811</v>
      </c>
      <c r="G850" t="s">
        <v>20153</v>
      </c>
    </row>
    <row r="851" spans="1:7">
      <c r="A851" t="s">
        <v>20154</v>
      </c>
      <c r="B851" t="s">
        <v>8607</v>
      </c>
      <c r="D851" t="s">
        <v>20155</v>
      </c>
      <c r="E851" t="s">
        <v>8672</v>
      </c>
      <c r="F851" t="s">
        <v>15811</v>
      </c>
      <c r="G851" t="s">
        <v>20156</v>
      </c>
    </row>
    <row r="852" spans="1:7">
      <c r="A852" t="s">
        <v>20157</v>
      </c>
      <c r="B852" t="s">
        <v>8607</v>
      </c>
      <c r="C852" t="s">
        <v>20158</v>
      </c>
      <c r="D852" t="s">
        <v>20155</v>
      </c>
      <c r="E852" t="s">
        <v>8672</v>
      </c>
      <c r="F852" t="s">
        <v>15811</v>
      </c>
      <c r="G852" t="s">
        <v>20159</v>
      </c>
    </row>
    <row r="853" spans="1:7">
      <c r="A853" t="s">
        <v>20160</v>
      </c>
      <c r="B853" t="s">
        <v>8626</v>
      </c>
      <c r="D853" t="s">
        <v>20161</v>
      </c>
      <c r="E853" t="s">
        <v>8672</v>
      </c>
      <c r="F853" t="s">
        <v>15811</v>
      </c>
      <c r="G853" t="s">
        <v>20162</v>
      </c>
    </row>
    <row r="854" spans="1:7">
      <c r="A854" t="s">
        <v>20163</v>
      </c>
      <c r="B854" t="s">
        <v>8607</v>
      </c>
      <c r="C854" t="s">
        <v>20112</v>
      </c>
      <c r="D854" t="s">
        <v>20164</v>
      </c>
      <c r="E854" t="s">
        <v>8672</v>
      </c>
      <c r="F854" t="s">
        <v>15811</v>
      </c>
      <c r="G854" t="s">
        <v>20150</v>
      </c>
    </row>
    <row r="855" spans="1:7">
      <c r="A855" t="s">
        <v>20165</v>
      </c>
      <c r="B855" t="s">
        <v>8607</v>
      </c>
      <c r="C855" t="s">
        <v>20166</v>
      </c>
      <c r="D855" t="s">
        <v>20167</v>
      </c>
      <c r="E855" t="s">
        <v>8672</v>
      </c>
      <c r="F855" t="s">
        <v>12862</v>
      </c>
      <c r="G855" t="s">
        <v>20168</v>
      </c>
    </row>
    <row r="856" spans="1:7">
      <c r="A856" t="s">
        <v>20169</v>
      </c>
      <c r="B856" t="s">
        <v>8607</v>
      </c>
      <c r="C856" t="s">
        <v>18983</v>
      </c>
      <c r="D856" t="s">
        <v>20170</v>
      </c>
      <c r="E856" t="s">
        <v>8672</v>
      </c>
      <c r="F856" t="s">
        <v>12862</v>
      </c>
      <c r="G856" t="s">
        <v>20171</v>
      </c>
    </row>
    <row r="857" spans="1:7">
      <c r="A857" t="s">
        <v>20172</v>
      </c>
      <c r="B857" t="s">
        <v>8607</v>
      </c>
      <c r="C857" t="s">
        <v>18983</v>
      </c>
      <c r="D857" t="s">
        <v>20170</v>
      </c>
      <c r="E857" t="s">
        <v>8672</v>
      </c>
      <c r="F857" t="s">
        <v>12862</v>
      </c>
      <c r="G857" t="s">
        <v>20171</v>
      </c>
    </row>
    <row r="858" spans="1:7">
      <c r="A858" t="s">
        <v>20173</v>
      </c>
      <c r="B858" t="s">
        <v>8607</v>
      </c>
      <c r="C858" t="s">
        <v>20174</v>
      </c>
      <c r="D858" t="s">
        <v>20175</v>
      </c>
      <c r="E858" t="s">
        <v>8672</v>
      </c>
      <c r="F858" t="s">
        <v>12862</v>
      </c>
      <c r="G858" t="s">
        <v>20176</v>
      </c>
    </row>
    <row r="859" spans="1:7">
      <c r="A859" t="s">
        <v>20177</v>
      </c>
      <c r="B859" t="s">
        <v>8607</v>
      </c>
      <c r="D859" t="s">
        <v>20178</v>
      </c>
      <c r="E859" t="s">
        <v>8672</v>
      </c>
      <c r="F859" t="s">
        <v>8633</v>
      </c>
      <c r="G859" t="s">
        <v>20179</v>
      </c>
    </row>
    <row r="860" spans="1:7">
      <c r="A860" t="s">
        <v>20180</v>
      </c>
      <c r="B860" t="s">
        <v>8607</v>
      </c>
      <c r="D860" t="s">
        <v>20178</v>
      </c>
      <c r="E860" t="s">
        <v>8672</v>
      </c>
      <c r="F860" t="s">
        <v>8633</v>
      </c>
      <c r="G860" t="s">
        <v>20179</v>
      </c>
    </row>
    <row r="861" spans="1:7">
      <c r="A861" t="s">
        <v>20181</v>
      </c>
      <c r="B861" t="s">
        <v>8626</v>
      </c>
      <c r="D861" t="s">
        <v>20182</v>
      </c>
      <c r="E861" t="s">
        <v>8672</v>
      </c>
      <c r="G861" t="s">
        <v>20183</v>
      </c>
    </row>
    <row r="862" spans="1:7">
      <c r="A862" t="s">
        <v>20184</v>
      </c>
      <c r="B862" t="s">
        <v>8607</v>
      </c>
      <c r="D862" t="s">
        <v>20185</v>
      </c>
      <c r="E862" t="s">
        <v>8672</v>
      </c>
      <c r="F862" t="s">
        <v>20186</v>
      </c>
      <c r="G862" t="s">
        <v>20187</v>
      </c>
    </row>
    <row r="863" spans="1:7">
      <c r="A863" t="s">
        <v>20188</v>
      </c>
      <c r="B863" t="s">
        <v>8626</v>
      </c>
      <c r="D863" t="s">
        <v>20189</v>
      </c>
      <c r="E863" t="s">
        <v>8672</v>
      </c>
      <c r="G863" t="s">
        <v>20190</v>
      </c>
    </row>
    <row r="864" spans="1:7">
      <c r="A864" t="s">
        <v>20191</v>
      </c>
      <c r="B864" t="s">
        <v>8626</v>
      </c>
      <c r="D864" t="s">
        <v>20192</v>
      </c>
      <c r="E864" t="s">
        <v>8672</v>
      </c>
      <c r="F864" t="s">
        <v>20193</v>
      </c>
      <c r="G864" t="s">
        <v>20194</v>
      </c>
    </row>
    <row r="865" spans="1:7">
      <c r="A865" t="s">
        <v>20195</v>
      </c>
      <c r="B865" t="s">
        <v>8607</v>
      </c>
      <c r="C865" t="s">
        <v>20196</v>
      </c>
      <c r="D865" t="s">
        <v>20197</v>
      </c>
      <c r="E865" t="s">
        <v>8672</v>
      </c>
      <c r="F865" t="s">
        <v>17320</v>
      </c>
      <c r="G865" t="s">
        <v>20198</v>
      </c>
    </row>
    <row r="866" spans="1:7">
      <c r="A866" t="s">
        <v>20199</v>
      </c>
      <c r="B866" t="s">
        <v>8607</v>
      </c>
      <c r="D866" t="s">
        <v>20200</v>
      </c>
      <c r="E866" t="s">
        <v>8672</v>
      </c>
      <c r="F866" t="s">
        <v>20201</v>
      </c>
      <c r="G866" t="s">
        <v>20202</v>
      </c>
    </row>
    <row r="867" spans="1:7">
      <c r="A867" t="s">
        <v>20203</v>
      </c>
      <c r="B867" t="s">
        <v>8626</v>
      </c>
      <c r="C867" t="s">
        <v>20204</v>
      </c>
      <c r="D867" t="s">
        <v>20205</v>
      </c>
      <c r="E867" t="s">
        <v>8672</v>
      </c>
      <c r="F867" t="s">
        <v>20206</v>
      </c>
      <c r="G867" t="s">
        <v>20207</v>
      </c>
    </row>
    <row r="868" spans="1:7">
      <c r="A868" t="s">
        <v>20208</v>
      </c>
      <c r="B868" t="s">
        <v>8607</v>
      </c>
      <c r="C868" t="s">
        <v>20209</v>
      </c>
      <c r="D868" t="s">
        <v>20210</v>
      </c>
      <c r="E868" t="s">
        <v>8672</v>
      </c>
      <c r="F868" t="s">
        <v>17320</v>
      </c>
      <c r="G868" t="s">
        <v>20211</v>
      </c>
    </row>
    <row r="869" spans="1:7">
      <c r="A869" t="s">
        <v>20212</v>
      </c>
      <c r="B869" t="s">
        <v>8607</v>
      </c>
      <c r="C869" t="s">
        <v>20213</v>
      </c>
      <c r="D869" t="s">
        <v>20210</v>
      </c>
      <c r="E869" t="s">
        <v>8672</v>
      </c>
      <c r="F869" t="s">
        <v>17320</v>
      </c>
      <c r="G869" t="s">
        <v>20211</v>
      </c>
    </row>
    <row r="870" spans="1:7">
      <c r="A870" t="s">
        <v>20214</v>
      </c>
      <c r="B870" t="s">
        <v>8626</v>
      </c>
      <c r="C870" t="s">
        <v>20215</v>
      </c>
      <c r="D870" t="s">
        <v>20216</v>
      </c>
      <c r="E870" t="s">
        <v>8672</v>
      </c>
      <c r="F870" t="s">
        <v>17320</v>
      </c>
      <c r="G870" t="s">
        <v>20217</v>
      </c>
    </row>
    <row r="871" spans="1:7">
      <c r="A871" t="s">
        <v>20218</v>
      </c>
      <c r="B871" t="s">
        <v>8607</v>
      </c>
      <c r="C871" t="s">
        <v>20219</v>
      </c>
      <c r="D871" t="s">
        <v>20220</v>
      </c>
      <c r="E871" t="s">
        <v>8672</v>
      </c>
      <c r="F871" t="s">
        <v>17320</v>
      </c>
      <c r="G871" t="s">
        <v>20221</v>
      </c>
    </row>
    <row r="872" spans="1:7">
      <c r="A872" t="s">
        <v>20222</v>
      </c>
      <c r="B872" t="s">
        <v>8607</v>
      </c>
      <c r="C872" t="s">
        <v>20223</v>
      </c>
      <c r="D872" t="s">
        <v>20220</v>
      </c>
      <c r="E872" t="s">
        <v>8672</v>
      </c>
      <c r="F872" t="s">
        <v>17320</v>
      </c>
      <c r="G872" t="s">
        <v>20224</v>
      </c>
    </row>
    <row r="873" spans="1:7">
      <c r="A873" t="s">
        <v>20225</v>
      </c>
      <c r="B873" t="s">
        <v>8626</v>
      </c>
      <c r="C873" t="s">
        <v>20226</v>
      </c>
      <c r="D873" t="s">
        <v>20227</v>
      </c>
      <c r="E873" t="s">
        <v>8672</v>
      </c>
      <c r="F873" t="s">
        <v>17320</v>
      </c>
      <c r="G873" t="s">
        <v>20228</v>
      </c>
    </row>
    <row r="874" spans="1:7">
      <c r="A874" t="s">
        <v>20229</v>
      </c>
      <c r="B874" t="s">
        <v>8626</v>
      </c>
      <c r="C874" t="s">
        <v>20230</v>
      </c>
      <c r="D874" t="s">
        <v>20231</v>
      </c>
      <c r="E874" t="s">
        <v>8672</v>
      </c>
      <c r="F874" t="s">
        <v>17320</v>
      </c>
      <c r="G874" t="s">
        <v>20232</v>
      </c>
    </row>
    <row r="875" spans="1:7">
      <c r="A875" t="s">
        <v>20233</v>
      </c>
      <c r="B875" t="s">
        <v>8607</v>
      </c>
      <c r="C875" t="s">
        <v>20234</v>
      </c>
      <c r="D875" t="s">
        <v>20235</v>
      </c>
      <c r="E875" t="s">
        <v>8672</v>
      </c>
      <c r="F875" t="s">
        <v>17320</v>
      </c>
      <c r="G875" t="s">
        <v>20236</v>
      </c>
    </row>
    <row r="876" spans="1:7">
      <c r="A876" t="s">
        <v>20237</v>
      </c>
      <c r="B876" t="s">
        <v>8607</v>
      </c>
      <c r="C876" t="s">
        <v>20238</v>
      </c>
      <c r="D876" t="s">
        <v>20239</v>
      </c>
      <c r="E876" t="s">
        <v>8672</v>
      </c>
      <c r="F876" t="s">
        <v>17320</v>
      </c>
      <c r="G876" t="s">
        <v>20240</v>
      </c>
    </row>
    <row r="877" spans="1:7">
      <c r="A877" t="s">
        <v>20241</v>
      </c>
      <c r="B877" t="s">
        <v>8626</v>
      </c>
      <c r="C877" t="s">
        <v>20242</v>
      </c>
      <c r="D877" t="s">
        <v>20243</v>
      </c>
      <c r="E877" t="s">
        <v>8672</v>
      </c>
      <c r="F877" t="s">
        <v>9378</v>
      </c>
      <c r="G877" t="s">
        <v>20244</v>
      </c>
    </row>
    <row r="878" spans="1:7">
      <c r="A878" t="s">
        <v>20245</v>
      </c>
      <c r="B878" t="s">
        <v>8626</v>
      </c>
      <c r="C878" t="s">
        <v>20242</v>
      </c>
      <c r="D878" t="s">
        <v>20246</v>
      </c>
      <c r="E878" t="s">
        <v>8672</v>
      </c>
      <c r="F878" t="s">
        <v>9378</v>
      </c>
      <c r="G878" t="s">
        <v>20247</v>
      </c>
    </row>
    <row r="879" spans="1:7">
      <c r="A879" t="s">
        <v>20248</v>
      </c>
      <c r="B879" t="s">
        <v>8607</v>
      </c>
      <c r="C879" t="s">
        <v>20249</v>
      </c>
      <c r="D879" t="s">
        <v>20250</v>
      </c>
      <c r="E879" t="s">
        <v>8672</v>
      </c>
      <c r="F879" t="s">
        <v>9378</v>
      </c>
      <c r="G879" t="s">
        <v>20251</v>
      </c>
    </row>
    <row r="880" spans="1:7">
      <c r="A880" t="s">
        <v>20252</v>
      </c>
      <c r="B880" t="s">
        <v>8607</v>
      </c>
      <c r="C880" t="s">
        <v>20242</v>
      </c>
      <c r="D880" t="s">
        <v>20253</v>
      </c>
      <c r="E880" t="s">
        <v>8672</v>
      </c>
      <c r="F880" t="s">
        <v>9378</v>
      </c>
      <c r="G880" t="s">
        <v>20254</v>
      </c>
    </row>
    <row r="881" spans="1:7">
      <c r="A881" t="s">
        <v>20255</v>
      </c>
      <c r="B881" t="s">
        <v>8607</v>
      </c>
      <c r="C881" t="s">
        <v>20242</v>
      </c>
      <c r="D881" t="s">
        <v>20253</v>
      </c>
      <c r="E881" t="s">
        <v>8672</v>
      </c>
      <c r="F881" t="s">
        <v>9378</v>
      </c>
      <c r="G881" t="s">
        <v>20254</v>
      </c>
    </row>
    <row r="882" spans="1:7">
      <c r="A882" t="s">
        <v>20256</v>
      </c>
      <c r="B882" t="s">
        <v>8607</v>
      </c>
      <c r="C882" t="s">
        <v>20242</v>
      </c>
      <c r="D882" t="s">
        <v>20253</v>
      </c>
      <c r="E882" t="s">
        <v>8672</v>
      </c>
      <c r="F882" t="s">
        <v>9378</v>
      </c>
      <c r="G882" t="s">
        <v>20254</v>
      </c>
    </row>
    <row r="883" spans="1:7">
      <c r="A883" t="s">
        <v>20257</v>
      </c>
      <c r="B883" t="s">
        <v>8607</v>
      </c>
      <c r="C883" t="s">
        <v>20258</v>
      </c>
      <c r="D883" t="s">
        <v>20259</v>
      </c>
      <c r="E883" t="s">
        <v>8672</v>
      </c>
      <c r="F883" t="s">
        <v>9378</v>
      </c>
      <c r="G883" t="s">
        <v>20260</v>
      </c>
    </row>
    <row r="884" spans="1:7">
      <c r="A884" t="s">
        <v>20261</v>
      </c>
      <c r="B884" t="s">
        <v>8607</v>
      </c>
      <c r="C884" t="s">
        <v>14873</v>
      </c>
      <c r="D884" t="s">
        <v>20262</v>
      </c>
      <c r="E884" t="s">
        <v>8672</v>
      </c>
      <c r="F884" t="s">
        <v>9378</v>
      </c>
      <c r="G884" t="s">
        <v>20251</v>
      </c>
    </row>
    <row r="885" spans="1:7">
      <c r="A885" t="s">
        <v>20263</v>
      </c>
      <c r="B885" t="s">
        <v>8607</v>
      </c>
      <c r="C885" t="s">
        <v>20264</v>
      </c>
      <c r="D885" t="s">
        <v>20265</v>
      </c>
      <c r="E885" t="s">
        <v>8672</v>
      </c>
      <c r="F885" t="s">
        <v>9378</v>
      </c>
      <c r="G885" t="s">
        <v>20260</v>
      </c>
    </row>
    <row r="886" spans="1:7">
      <c r="A886" t="s">
        <v>20266</v>
      </c>
      <c r="B886" t="s">
        <v>8626</v>
      </c>
      <c r="C886" t="s">
        <v>20267</v>
      </c>
      <c r="D886" t="s">
        <v>20268</v>
      </c>
      <c r="E886" t="s">
        <v>8672</v>
      </c>
      <c r="F886" t="s">
        <v>9268</v>
      </c>
      <c r="G886" t="s">
        <v>20269</v>
      </c>
    </row>
    <row r="887" spans="1:7">
      <c r="A887" t="s">
        <v>20270</v>
      </c>
      <c r="B887" t="s">
        <v>8607</v>
      </c>
      <c r="C887" t="s">
        <v>17308</v>
      </c>
      <c r="D887" t="s">
        <v>17649</v>
      </c>
      <c r="E887" t="s">
        <v>8672</v>
      </c>
      <c r="F887" t="s">
        <v>17310</v>
      </c>
      <c r="G887" t="s">
        <v>20271</v>
      </c>
    </row>
    <row r="888" spans="1:7">
      <c r="A888" t="s">
        <v>20272</v>
      </c>
      <c r="B888" t="s">
        <v>8607</v>
      </c>
      <c r="C888" t="s">
        <v>20273</v>
      </c>
      <c r="D888" t="s">
        <v>20274</v>
      </c>
      <c r="E888" t="s">
        <v>8672</v>
      </c>
      <c r="F888" t="s">
        <v>9002</v>
      </c>
      <c r="G888" t="s">
        <v>20275</v>
      </c>
    </row>
    <row r="889" spans="1:7">
      <c r="A889" t="s">
        <v>20276</v>
      </c>
      <c r="B889" t="s">
        <v>8607</v>
      </c>
      <c r="C889" t="s">
        <v>20273</v>
      </c>
      <c r="D889" t="s">
        <v>20277</v>
      </c>
      <c r="E889" t="s">
        <v>8672</v>
      </c>
      <c r="F889" t="s">
        <v>9002</v>
      </c>
      <c r="G889" t="s">
        <v>20278</v>
      </c>
    </row>
    <row r="890" spans="1:7">
      <c r="A890" t="s">
        <v>20279</v>
      </c>
      <c r="B890" t="s">
        <v>8607</v>
      </c>
      <c r="C890" t="s">
        <v>20273</v>
      </c>
      <c r="D890" t="s">
        <v>20280</v>
      </c>
      <c r="E890" t="s">
        <v>8672</v>
      </c>
      <c r="F890" t="s">
        <v>9002</v>
      </c>
      <c r="G890" t="s">
        <v>20281</v>
      </c>
    </row>
    <row r="891" spans="1:7">
      <c r="A891" t="s">
        <v>20282</v>
      </c>
      <c r="B891" t="s">
        <v>8607</v>
      </c>
      <c r="C891" t="s">
        <v>20273</v>
      </c>
      <c r="D891" t="s">
        <v>20280</v>
      </c>
      <c r="E891" t="s">
        <v>8672</v>
      </c>
      <c r="F891" t="s">
        <v>9002</v>
      </c>
      <c r="G891" t="s">
        <v>20283</v>
      </c>
    </row>
    <row r="892" spans="1:7">
      <c r="A892" t="s">
        <v>20284</v>
      </c>
      <c r="B892" t="s">
        <v>8607</v>
      </c>
      <c r="C892" t="s">
        <v>20273</v>
      </c>
      <c r="D892" t="s">
        <v>20280</v>
      </c>
      <c r="E892" t="s">
        <v>8672</v>
      </c>
      <c r="F892" t="s">
        <v>9002</v>
      </c>
      <c r="G892" t="s">
        <v>20283</v>
      </c>
    </row>
    <row r="893" spans="1:7">
      <c r="A893" t="s">
        <v>20285</v>
      </c>
      <c r="B893" t="s">
        <v>8607</v>
      </c>
      <c r="C893" t="s">
        <v>20273</v>
      </c>
      <c r="D893" t="s">
        <v>20280</v>
      </c>
      <c r="E893" t="s">
        <v>8672</v>
      </c>
      <c r="F893" t="s">
        <v>9002</v>
      </c>
      <c r="G893" t="s">
        <v>20283</v>
      </c>
    </row>
    <row r="894" spans="1:7">
      <c r="A894" t="s">
        <v>20286</v>
      </c>
      <c r="B894" t="s">
        <v>8607</v>
      </c>
      <c r="C894" t="s">
        <v>20273</v>
      </c>
      <c r="D894" t="s">
        <v>20280</v>
      </c>
      <c r="E894" t="s">
        <v>8672</v>
      </c>
      <c r="F894" t="s">
        <v>9002</v>
      </c>
      <c r="G894" t="s">
        <v>20283</v>
      </c>
    </row>
    <row r="895" spans="1:7">
      <c r="A895" t="s">
        <v>20287</v>
      </c>
      <c r="B895" t="s">
        <v>8607</v>
      </c>
      <c r="C895" t="s">
        <v>20273</v>
      </c>
      <c r="D895" t="s">
        <v>20280</v>
      </c>
      <c r="E895" t="s">
        <v>8672</v>
      </c>
      <c r="F895" t="s">
        <v>9002</v>
      </c>
      <c r="G895" t="s">
        <v>20283</v>
      </c>
    </row>
    <row r="896" spans="1:7">
      <c r="A896" t="s">
        <v>20288</v>
      </c>
      <c r="B896" t="s">
        <v>8607</v>
      </c>
      <c r="C896" t="s">
        <v>20273</v>
      </c>
      <c r="D896" t="s">
        <v>20280</v>
      </c>
      <c r="E896" t="s">
        <v>8672</v>
      </c>
      <c r="F896" t="s">
        <v>9002</v>
      </c>
      <c r="G896" t="s">
        <v>20283</v>
      </c>
    </row>
    <row r="897" spans="1:7">
      <c r="A897" t="s">
        <v>20289</v>
      </c>
      <c r="B897" t="s">
        <v>8607</v>
      </c>
      <c r="C897" t="s">
        <v>20273</v>
      </c>
      <c r="D897" t="s">
        <v>20280</v>
      </c>
      <c r="E897" t="s">
        <v>8672</v>
      </c>
      <c r="F897" t="s">
        <v>9002</v>
      </c>
      <c r="G897" t="s">
        <v>20283</v>
      </c>
    </row>
    <row r="898" spans="1:7">
      <c r="A898" t="s">
        <v>20290</v>
      </c>
      <c r="B898" t="s">
        <v>8607</v>
      </c>
      <c r="C898" t="s">
        <v>20273</v>
      </c>
      <c r="D898" t="s">
        <v>20280</v>
      </c>
      <c r="E898" t="s">
        <v>8672</v>
      </c>
      <c r="F898" t="s">
        <v>9002</v>
      </c>
      <c r="G898" t="s">
        <v>20283</v>
      </c>
    </row>
    <row r="899" spans="1:7">
      <c r="A899" t="s">
        <v>20291</v>
      </c>
      <c r="B899" t="s">
        <v>8607</v>
      </c>
      <c r="C899" t="s">
        <v>20273</v>
      </c>
      <c r="D899" t="s">
        <v>20280</v>
      </c>
      <c r="E899" t="s">
        <v>8672</v>
      </c>
      <c r="F899" t="s">
        <v>9002</v>
      </c>
      <c r="G899" t="s">
        <v>20283</v>
      </c>
    </row>
    <row r="900" spans="1:7">
      <c r="A900" t="s">
        <v>20292</v>
      </c>
      <c r="B900" t="s">
        <v>8607</v>
      </c>
      <c r="C900" t="s">
        <v>20273</v>
      </c>
      <c r="D900" t="s">
        <v>20280</v>
      </c>
      <c r="E900" t="s">
        <v>8672</v>
      </c>
      <c r="F900" t="s">
        <v>9002</v>
      </c>
      <c r="G900" t="s">
        <v>20283</v>
      </c>
    </row>
    <row r="901" spans="1:7">
      <c r="A901" t="s">
        <v>20293</v>
      </c>
      <c r="B901" t="s">
        <v>8607</v>
      </c>
      <c r="C901" t="s">
        <v>20273</v>
      </c>
      <c r="D901" t="s">
        <v>20280</v>
      </c>
      <c r="E901" t="s">
        <v>8672</v>
      </c>
      <c r="F901" t="s">
        <v>9002</v>
      </c>
      <c r="G901" t="s">
        <v>20278</v>
      </c>
    </row>
    <row r="902" spans="1:7">
      <c r="A902" t="s">
        <v>20294</v>
      </c>
      <c r="B902" t="s">
        <v>8607</v>
      </c>
      <c r="C902" t="s">
        <v>20273</v>
      </c>
      <c r="D902" t="s">
        <v>20280</v>
      </c>
      <c r="E902" t="s">
        <v>8672</v>
      </c>
      <c r="F902" t="s">
        <v>9002</v>
      </c>
      <c r="G902" t="s">
        <v>20295</v>
      </c>
    </row>
    <row r="903" spans="1:7">
      <c r="A903" t="s">
        <v>20296</v>
      </c>
      <c r="B903" t="s">
        <v>8607</v>
      </c>
      <c r="C903" t="s">
        <v>20273</v>
      </c>
      <c r="D903" t="s">
        <v>20280</v>
      </c>
      <c r="E903" t="s">
        <v>8672</v>
      </c>
      <c r="F903" t="s">
        <v>9002</v>
      </c>
      <c r="G903" t="s">
        <v>20283</v>
      </c>
    </row>
    <row r="904" spans="1:7">
      <c r="A904" t="s">
        <v>20297</v>
      </c>
      <c r="B904" t="s">
        <v>8607</v>
      </c>
      <c r="C904" t="s">
        <v>20273</v>
      </c>
      <c r="D904" t="s">
        <v>20280</v>
      </c>
      <c r="E904" t="s">
        <v>8672</v>
      </c>
      <c r="F904" t="s">
        <v>9002</v>
      </c>
      <c r="G904" t="s">
        <v>20283</v>
      </c>
    </row>
    <row r="905" spans="1:7">
      <c r="A905" t="s">
        <v>20298</v>
      </c>
      <c r="B905" t="s">
        <v>8607</v>
      </c>
      <c r="C905" t="s">
        <v>20273</v>
      </c>
      <c r="D905" t="s">
        <v>20280</v>
      </c>
      <c r="E905" t="s">
        <v>8672</v>
      </c>
      <c r="F905" t="s">
        <v>9002</v>
      </c>
      <c r="G905" t="s">
        <v>20283</v>
      </c>
    </row>
    <row r="906" spans="1:7">
      <c r="A906" t="s">
        <v>20299</v>
      </c>
      <c r="B906" t="s">
        <v>8607</v>
      </c>
      <c r="C906" t="s">
        <v>20273</v>
      </c>
      <c r="D906" t="s">
        <v>20280</v>
      </c>
      <c r="E906" t="s">
        <v>8672</v>
      </c>
      <c r="F906" t="s">
        <v>9002</v>
      </c>
      <c r="G906" t="s">
        <v>20283</v>
      </c>
    </row>
    <row r="907" spans="1:7">
      <c r="A907" t="s">
        <v>20300</v>
      </c>
      <c r="B907" t="s">
        <v>8607</v>
      </c>
      <c r="C907" t="s">
        <v>20301</v>
      </c>
      <c r="D907" t="s">
        <v>20302</v>
      </c>
      <c r="E907" t="s">
        <v>8672</v>
      </c>
      <c r="F907" t="s">
        <v>9002</v>
      </c>
      <c r="G907" t="s">
        <v>20303</v>
      </c>
    </row>
    <row r="908" spans="1:7">
      <c r="A908" t="s">
        <v>20304</v>
      </c>
      <c r="B908" t="s">
        <v>8607</v>
      </c>
      <c r="C908" t="s">
        <v>20273</v>
      </c>
      <c r="D908" t="s">
        <v>20305</v>
      </c>
      <c r="E908" t="s">
        <v>8672</v>
      </c>
      <c r="F908" t="s">
        <v>9002</v>
      </c>
      <c r="G908" t="s">
        <v>20306</v>
      </c>
    </row>
    <row r="909" spans="1:7">
      <c r="A909" t="s">
        <v>20307</v>
      </c>
      <c r="B909" t="s">
        <v>8607</v>
      </c>
      <c r="C909" t="s">
        <v>20308</v>
      </c>
      <c r="D909" t="s">
        <v>20309</v>
      </c>
      <c r="E909" t="s">
        <v>8672</v>
      </c>
      <c r="F909" t="s">
        <v>9002</v>
      </c>
      <c r="G909" t="s">
        <v>20310</v>
      </c>
    </row>
    <row r="910" spans="1:7">
      <c r="A910" t="s">
        <v>20311</v>
      </c>
      <c r="B910" t="s">
        <v>8607</v>
      </c>
      <c r="C910" t="s">
        <v>20273</v>
      </c>
      <c r="D910" t="s">
        <v>20312</v>
      </c>
      <c r="E910" t="s">
        <v>8672</v>
      </c>
      <c r="F910" t="s">
        <v>9002</v>
      </c>
      <c r="G910" t="s">
        <v>20313</v>
      </c>
    </row>
    <row r="911" spans="1:7">
      <c r="A911" t="s">
        <v>20314</v>
      </c>
      <c r="B911" t="s">
        <v>8607</v>
      </c>
      <c r="C911" t="s">
        <v>20315</v>
      </c>
      <c r="D911" t="s">
        <v>20316</v>
      </c>
      <c r="E911" t="s">
        <v>8672</v>
      </c>
      <c r="F911" t="s">
        <v>9002</v>
      </c>
      <c r="G911" t="s">
        <v>20317</v>
      </c>
    </row>
    <row r="912" spans="1:7">
      <c r="A912" t="s">
        <v>20318</v>
      </c>
      <c r="B912" t="s">
        <v>8607</v>
      </c>
      <c r="D912" t="s">
        <v>20319</v>
      </c>
      <c r="E912" t="s">
        <v>8672</v>
      </c>
      <c r="F912" t="s">
        <v>9002</v>
      </c>
      <c r="G912" t="s">
        <v>20320</v>
      </c>
    </row>
    <row r="913" spans="1:7">
      <c r="A913" t="s">
        <v>20321</v>
      </c>
      <c r="B913" t="s">
        <v>8626</v>
      </c>
      <c r="C913" t="s">
        <v>20273</v>
      </c>
      <c r="D913" t="s">
        <v>20322</v>
      </c>
      <c r="E913" t="s">
        <v>8672</v>
      </c>
      <c r="F913" t="s">
        <v>9002</v>
      </c>
      <c r="G913" t="s">
        <v>20323</v>
      </c>
    </row>
    <row r="914" spans="1:7">
      <c r="A914" t="s">
        <v>20324</v>
      </c>
      <c r="B914" t="s">
        <v>8607</v>
      </c>
      <c r="C914" t="s">
        <v>20325</v>
      </c>
      <c r="D914" t="s">
        <v>20326</v>
      </c>
      <c r="E914" t="s">
        <v>8672</v>
      </c>
      <c r="F914" t="s">
        <v>9002</v>
      </c>
      <c r="G914" t="s">
        <v>20327</v>
      </c>
    </row>
    <row r="915" spans="1:7">
      <c r="A915" t="s">
        <v>20328</v>
      </c>
      <c r="B915" t="s">
        <v>8607</v>
      </c>
      <c r="C915" t="s">
        <v>10208</v>
      </c>
      <c r="D915" t="s">
        <v>20329</v>
      </c>
      <c r="E915" t="s">
        <v>8672</v>
      </c>
      <c r="F915" t="s">
        <v>9002</v>
      </c>
      <c r="G915" t="s">
        <v>20330</v>
      </c>
    </row>
    <row r="916" spans="1:7">
      <c r="A916" t="s">
        <v>20331</v>
      </c>
      <c r="B916" t="s">
        <v>8607</v>
      </c>
      <c r="C916" t="s">
        <v>20332</v>
      </c>
      <c r="D916" t="s">
        <v>20333</v>
      </c>
      <c r="E916" t="s">
        <v>8672</v>
      </c>
      <c r="F916" t="s">
        <v>9002</v>
      </c>
      <c r="G916" t="s">
        <v>20334</v>
      </c>
    </row>
    <row r="917" spans="1:7">
      <c r="A917" t="s">
        <v>20335</v>
      </c>
      <c r="B917" t="s">
        <v>8607</v>
      </c>
      <c r="C917" t="s">
        <v>11174</v>
      </c>
      <c r="D917" t="s">
        <v>20333</v>
      </c>
      <c r="E917" t="s">
        <v>8672</v>
      </c>
      <c r="F917" t="s">
        <v>9002</v>
      </c>
      <c r="G917" t="s">
        <v>20334</v>
      </c>
    </row>
    <row r="918" spans="1:7">
      <c r="A918" t="s">
        <v>20336</v>
      </c>
      <c r="B918" t="s">
        <v>8607</v>
      </c>
      <c r="C918" t="s">
        <v>20337</v>
      </c>
      <c r="D918" t="s">
        <v>20333</v>
      </c>
      <c r="E918" t="s">
        <v>8672</v>
      </c>
      <c r="F918" t="s">
        <v>9002</v>
      </c>
      <c r="G918" t="s">
        <v>20334</v>
      </c>
    </row>
    <row r="919" spans="1:7">
      <c r="A919" t="s">
        <v>20338</v>
      </c>
      <c r="B919" t="s">
        <v>8607</v>
      </c>
      <c r="D919" t="s">
        <v>20339</v>
      </c>
      <c r="E919" t="s">
        <v>8672</v>
      </c>
      <c r="F919" t="s">
        <v>9002</v>
      </c>
      <c r="G919" t="s">
        <v>20320</v>
      </c>
    </row>
    <row r="920" spans="1:7">
      <c r="A920" t="s">
        <v>20340</v>
      </c>
      <c r="B920" t="s">
        <v>8607</v>
      </c>
      <c r="C920" t="s">
        <v>20341</v>
      </c>
      <c r="D920" t="s">
        <v>20342</v>
      </c>
      <c r="E920" t="s">
        <v>8672</v>
      </c>
      <c r="F920" t="s">
        <v>9002</v>
      </c>
      <c r="G920" t="s">
        <v>20343</v>
      </c>
    </row>
    <row r="921" spans="1:7">
      <c r="A921" t="s">
        <v>20344</v>
      </c>
      <c r="B921" t="s">
        <v>8626</v>
      </c>
      <c r="D921" t="s">
        <v>20345</v>
      </c>
      <c r="E921" t="s">
        <v>8672</v>
      </c>
      <c r="F921" t="s">
        <v>9002</v>
      </c>
      <c r="G921" t="s">
        <v>20346</v>
      </c>
    </row>
    <row r="922" spans="1:7">
      <c r="A922" t="s">
        <v>20347</v>
      </c>
      <c r="B922" t="s">
        <v>8626</v>
      </c>
      <c r="C922" t="s">
        <v>20348</v>
      </c>
      <c r="D922" t="s">
        <v>20349</v>
      </c>
      <c r="E922" t="s">
        <v>8672</v>
      </c>
      <c r="F922" t="s">
        <v>9002</v>
      </c>
      <c r="G922" t="s">
        <v>20350</v>
      </c>
    </row>
    <row r="923" spans="1:7">
      <c r="A923" t="s">
        <v>20351</v>
      </c>
      <c r="B923" t="s">
        <v>8626</v>
      </c>
      <c r="C923" t="s">
        <v>20352</v>
      </c>
      <c r="D923" t="s">
        <v>20353</v>
      </c>
      <c r="E923" t="s">
        <v>8672</v>
      </c>
      <c r="F923" t="s">
        <v>9002</v>
      </c>
      <c r="G923" t="s">
        <v>20350</v>
      </c>
    </row>
    <row r="924" spans="1:7">
      <c r="A924" t="s">
        <v>20354</v>
      </c>
      <c r="B924" t="s">
        <v>8626</v>
      </c>
      <c r="C924" t="s">
        <v>20355</v>
      </c>
      <c r="D924" t="s">
        <v>20353</v>
      </c>
      <c r="E924" t="s">
        <v>8672</v>
      </c>
      <c r="F924" t="s">
        <v>9002</v>
      </c>
      <c r="G924" t="s">
        <v>20356</v>
      </c>
    </row>
    <row r="925" spans="1:7">
      <c r="A925" t="s">
        <v>20357</v>
      </c>
      <c r="B925" t="s">
        <v>8607</v>
      </c>
      <c r="D925" t="s">
        <v>20358</v>
      </c>
      <c r="E925" t="s">
        <v>8672</v>
      </c>
      <c r="F925" t="s">
        <v>9002</v>
      </c>
      <c r="G925" t="s">
        <v>20320</v>
      </c>
    </row>
    <row r="926" spans="1:7">
      <c r="A926" t="s">
        <v>20359</v>
      </c>
      <c r="B926" t="s">
        <v>8607</v>
      </c>
      <c r="C926" t="s">
        <v>20360</v>
      </c>
      <c r="D926" t="s">
        <v>20358</v>
      </c>
      <c r="E926" t="s">
        <v>8672</v>
      </c>
      <c r="F926" t="s">
        <v>9002</v>
      </c>
      <c r="G926" t="s">
        <v>20361</v>
      </c>
    </row>
    <row r="927" spans="1:7">
      <c r="A927" t="s">
        <v>20362</v>
      </c>
      <c r="B927" t="s">
        <v>8607</v>
      </c>
      <c r="C927" t="s">
        <v>20273</v>
      </c>
      <c r="D927" t="s">
        <v>20363</v>
      </c>
      <c r="E927" t="s">
        <v>8672</v>
      </c>
      <c r="F927" t="s">
        <v>9002</v>
      </c>
      <c r="G927" t="s">
        <v>20364</v>
      </c>
    </row>
    <row r="928" spans="1:7">
      <c r="A928" t="s">
        <v>20365</v>
      </c>
      <c r="B928" t="s">
        <v>8607</v>
      </c>
      <c r="C928" t="s">
        <v>20366</v>
      </c>
      <c r="D928" t="s">
        <v>20367</v>
      </c>
      <c r="E928" t="s">
        <v>8672</v>
      </c>
      <c r="F928" t="s">
        <v>9002</v>
      </c>
      <c r="G928" t="s">
        <v>20368</v>
      </c>
    </row>
    <row r="929" spans="1:7">
      <c r="A929" t="s">
        <v>20369</v>
      </c>
      <c r="B929" t="s">
        <v>8626</v>
      </c>
      <c r="C929" t="s">
        <v>20370</v>
      </c>
      <c r="D929" t="s">
        <v>20371</v>
      </c>
      <c r="E929" t="s">
        <v>8672</v>
      </c>
      <c r="G929" t="s">
        <v>20372</v>
      </c>
    </row>
    <row r="930" spans="1:7">
      <c r="A930" t="s">
        <v>20373</v>
      </c>
      <c r="B930" t="s">
        <v>8626</v>
      </c>
      <c r="C930" t="s">
        <v>20374</v>
      </c>
      <c r="D930" t="s">
        <v>20375</v>
      </c>
      <c r="E930" t="s">
        <v>8672</v>
      </c>
      <c r="G930" t="s">
        <v>20376</v>
      </c>
    </row>
    <row r="931" spans="1:7">
      <c r="A931" t="s">
        <v>20377</v>
      </c>
      <c r="B931" t="s">
        <v>8626</v>
      </c>
      <c r="C931" t="s">
        <v>20378</v>
      </c>
      <c r="D931" t="s">
        <v>20379</v>
      </c>
      <c r="E931" t="s">
        <v>8672</v>
      </c>
      <c r="G931" t="s">
        <v>20380</v>
      </c>
    </row>
    <row r="932" spans="1:7">
      <c r="A932" t="s">
        <v>20381</v>
      </c>
      <c r="B932" t="s">
        <v>8626</v>
      </c>
      <c r="C932" t="s">
        <v>20378</v>
      </c>
      <c r="D932" t="s">
        <v>20379</v>
      </c>
      <c r="E932" t="s">
        <v>8672</v>
      </c>
      <c r="G932" t="s">
        <v>20380</v>
      </c>
    </row>
    <row r="933" spans="1:7">
      <c r="A933" t="s">
        <v>20382</v>
      </c>
      <c r="B933" t="s">
        <v>8607</v>
      </c>
      <c r="C933" t="s">
        <v>20383</v>
      </c>
      <c r="D933" t="s">
        <v>9249</v>
      </c>
      <c r="E933" t="s">
        <v>8672</v>
      </c>
      <c r="F933" t="s">
        <v>9250</v>
      </c>
      <c r="G933" t="s">
        <v>20384</v>
      </c>
    </row>
    <row r="934" spans="1:7">
      <c r="A934" t="s">
        <v>20385</v>
      </c>
      <c r="B934" t="s">
        <v>8607</v>
      </c>
      <c r="C934" t="s">
        <v>20383</v>
      </c>
      <c r="D934" t="s">
        <v>20386</v>
      </c>
      <c r="E934" t="s">
        <v>8672</v>
      </c>
      <c r="F934" t="s">
        <v>9250</v>
      </c>
      <c r="G934" t="s">
        <v>20384</v>
      </c>
    </row>
    <row r="935" spans="1:7">
      <c r="A935" t="s">
        <v>20387</v>
      </c>
      <c r="B935" t="s">
        <v>8607</v>
      </c>
      <c r="C935" t="s">
        <v>20388</v>
      </c>
      <c r="D935" t="s">
        <v>20389</v>
      </c>
      <c r="E935" t="s">
        <v>8672</v>
      </c>
      <c r="F935" t="s">
        <v>20390</v>
      </c>
      <c r="G935" t="s">
        <v>20391</v>
      </c>
    </row>
    <row r="936" spans="1:7">
      <c r="A936" t="s">
        <v>20392</v>
      </c>
      <c r="B936" t="s">
        <v>8607</v>
      </c>
      <c r="C936" t="s">
        <v>20393</v>
      </c>
      <c r="D936" t="s">
        <v>20394</v>
      </c>
      <c r="E936" t="s">
        <v>8672</v>
      </c>
      <c r="F936" t="s">
        <v>9250</v>
      </c>
      <c r="G936" t="s">
        <v>20384</v>
      </c>
    </row>
    <row r="937" spans="1:7">
      <c r="A937" t="s">
        <v>20395</v>
      </c>
      <c r="B937" t="s">
        <v>8607</v>
      </c>
      <c r="C937" t="s">
        <v>20396</v>
      </c>
      <c r="D937" t="s">
        <v>20397</v>
      </c>
      <c r="E937" t="s">
        <v>8672</v>
      </c>
      <c r="F937" t="s">
        <v>9250</v>
      </c>
      <c r="G937" t="s">
        <v>20398</v>
      </c>
    </row>
    <row r="938" spans="1:7">
      <c r="A938" t="s">
        <v>20399</v>
      </c>
      <c r="B938" t="s">
        <v>8607</v>
      </c>
      <c r="C938" t="s">
        <v>20400</v>
      </c>
      <c r="D938" t="s">
        <v>20397</v>
      </c>
      <c r="E938" t="s">
        <v>8672</v>
      </c>
      <c r="F938" t="s">
        <v>9250</v>
      </c>
      <c r="G938" t="s">
        <v>20398</v>
      </c>
    </row>
    <row r="939" spans="1:7">
      <c r="A939" t="s">
        <v>20401</v>
      </c>
      <c r="B939" t="s">
        <v>8607</v>
      </c>
      <c r="C939" t="s">
        <v>20383</v>
      </c>
      <c r="D939" t="s">
        <v>20402</v>
      </c>
      <c r="E939" t="s">
        <v>8672</v>
      </c>
      <c r="F939" t="s">
        <v>9250</v>
      </c>
      <c r="G939" t="s">
        <v>20403</v>
      </c>
    </row>
    <row r="940" spans="1:7">
      <c r="A940" t="s">
        <v>20404</v>
      </c>
      <c r="B940" t="s">
        <v>8607</v>
      </c>
      <c r="C940" t="s">
        <v>20383</v>
      </c>
      <c r="D940" t="s">
        <v>20402</v>
      </c>
      <c r="E940" t="s">
        <v>8672</v>
      </c>
      <c r="F940" t="s">
        <v>9250</v>
      </c>
      <c r="G940" t="s">
        <v>20403</v>
      </c>
    </row>
    <row r="941" spans="1:7">
      <c r="A941" t="s">
        <v>20405</v>
      </c>
      <c r="B941" t="s">
        <v>8607</v>
      </c>
      <c r="C941" t="s">
        <v>20406</v>
      </c>
      <c r="D941" t="s">
        <v>20407</v>
      </c>
      <c r="E941" t="s">
        <v>8672</v>
      </c>
      <c r="F941" t="s">
        <v>20408</v>
      </c>
      <c r="G941" t="s">
        <v>20409</v>
      </c>
    </row>
    <row r="942" spans="1:7">
      <c r="A942" t="s">
        <v>20410</v>
      </c>
      <c r="B942" t="s">
        <v>8626</v>
      </c>
      <c r="D942" t="s">
        <v>20411</v>
      </c>
      <c r="E942" t="s">
        <v>8672</v>
      </c>
      <c r="F942" t="s">
        <v>20412</v>
      </c>
      <c r="G942" t="s">
        <v>20413</v>
      </c>
    </row>
    <row r="943" spans="1:7">
      <c r="A943" t="s">
        <v>20414</v>
      </c>
      <c r="B943" t="s">
        <v>8607</v>
      </c>
      <c r="D943" t="s">
        <v>20415</v>
      </c>
      <c r="E943" t="s">
        <v>8672</v>
      </c>
      <c r="F943" t="s">
        <v>20412</v>
      </c>
      <c r="G943" t="s">
        <v>20416</v>
      </c>
    </row>
    <row r="944" spans="1:7">
      <c r="A944" t="s">
        <v>20417</v>
      </c>
      <c r="B944" t="s">
        <v>8626</v>
      </c>
      <c r="C944" t="s">
        <v>20418</v>
      </c>
      <c r="D944" t="s">
        <v>20419</v>
      </c>
      <c r="E944" t="s">
        <v>8672</v>
      </c>
      <c r="F944" t="s">
        <v>20408</v>
      </c>
      <c r="G944" t="s">
        <v>20420</v>
      </c>
    </row>
    <row r="945" spans="1:7">
      <c r="A945" t="s">
        <v>20421</v>
      </c>
      <c r="B945" t="s">
        <v>8626</v>
      </c>
      <c r="D945" t="s">
        <v>20422</v>
      </c>
      <c r="E945" t="s">
        <v>8672</v>
      </c>
      <c r="F945" t="s">
        <v>20423</v>
      </c>
      <c r="G945" t="s">
        <v>20424</v>
      </c>
    </row>
    <row r="946" spans="1:7">
      <c r="A946" t="s">
        <v>20425</v>
      </c>
      <c r="B946" t="s">
        <v>8626</v>
      </c>
      <c r="C946" t="s">
        <v>20426</v>
      </c>
      <c r="D946" t="s">
        <v>20427</v>
      </c>
      <c r="E946" t="s">
        <v>8672</v>
      </c>
      <c r="G946" t="s">
        <v>20428</v>
      </c>
    </row>
    <row r="947" spans="1:7">
      <c r="A947" t="s">
        <v>20429</v>
      </c>
      <c r="B947" t="s">
        <v>8607</v>
      </c>
      <c r="C947" t="s">
        <v>20430</v>
      </c>
      <c r="D947" t="s">
        <v>20431</v>
      </c>
      <c r="E947" t="s">
        <v>8672</v>
      </c>
      <c r="F947" t="s">
        <v>20423</v>
      </c>
      <c r="G947" t="s">
        <v>20432</v>
      </c>
    </row>
    <row r="948" spans="1:7">
      <c r="A948" t="s">
        <v>20433</v>
      </c>
      <c r="B948" t="s">
        <v>8626</v>
      </c>
      <c r="C948" t="s">
        <v>20434</v>
      </c>
      <c r="D948" t="s">
        <v>20435</v>
      </c>
      <c r="E948" t="s">
        <v>8672</v>
      </c>
      <c r="F948" t="s">
        <v>9677</v>
      </c>
      <c r="G948" t="s">
        <v>20436</v>
      </c>
    </row>
    <row r="949" spans="1:7">
      <c r="A949" t="s">
        <v>20437</v>
      </c>
      <c r="B949" t="s">
        <v>8626</v>
      </c>
      <c r="C949" t="s">
        <v>20438</v>
      </c>
      <c r="D949" t="s">
        <v>20439</v>
      </c>
      <c r="E949" t="s">
        <v>8672</v>
      </c>
      <c r="F949" t="s">
        <v>9677</v>
      </c>
      <c r="G949" t="s">
        <v>20440</v>
      </c>
    </row>
    <row r="950" spans="1:7">
      <c r="A950" t="s">
        <v>20441</v>
      </c>
      <c r="B950" t="s">
        <v>8607</v>
      </c>
      <c r="C950" t="s">
        <v>20442</v>
      </c>
      <c r="D950" t="s">
        <v>20443</v>
      </c>
      <c r="E950" t="s">
        <v>8672</v>
      </c>
      <c r="F950" t="s">
        <v>20444</v>
      </c>
      <c r="G950" t="s">
        <v>20445</v>
      </c>
    </row>
    <row r="951" spans="1:7">
      <c r="A951" t="s">
        <v>20446</v>
      </c>
      <c r="B951" t="s">
        <v>8626</v>
      </c>
      <c r="C951" t="s">
        <v>20447</v>
      </c>
      <c r="D951" t="s">
        <v>20448</v>
      </c>
      <c r="E951" t="s">
        <v>8672</v>
      </c>
      <c r="F951" t="s">
        <v>20444</v>
      </c>
      <c r="G951" t="s">
        <v>20449</v>
      </c>
    </row>
    <row r="952" spans="1:7">
      <c r="A952" t="s">
        <v>20450</v>
      </c>
      <c r="B952" t="s">
        <v>8607</v>
      </c>
      <c r="C952" t="s">
        <v>20451</v>
      </c>
      <c r="D952" t="s">
        <v>20452</v>
      </c>
      <c r="E952" t="s">
        <v>8672</v>
      </c>
      <c r="F952" t="s">
        <v>20444</v>
      </c>
      <c r="G952" t="s">
        <v>20453</v>
      </c>
    </row>
    <row r="953" spans="1:7">
      <c r="A953" t="s">
        <v>20454</v>
      </c>
      <c r="B953" t="s">
        <v>8607</v>
      </c>
      <c r="C953" t="s">
        <v>20455</v>
      </c>
      <c r="D953" t="s">
        <v>20456</v>
      </c>
      <c r="E953" t="s">
        <v>8672</v>
      </c>
      <c r="F953" t="s">
        <v>20444</v>
      </c>
      <c r="G953" t="s">
        <v>20457</v>
      </c>
    </row>
    <row r="954" spans="1:7">
      <c r="A954" t="s">
        <v>20458</v>
      </c>
      <c r="B954" t="s">
        <v>8607</v>
      </c>
      <c r="C954" t="s">
        <v>20459</v>
      </c>
      <c r="D954" t="s">
        <v>20460</v>
      </c>
      <c r="E954" t="s">
        <v>8672</v>
      </c>
      <c r="F954" t="s">
        <v>20444</v>
      </c>
      <c r="G954" t="s">
        <v>20461</v>
      </c>
    </row>
    <row r="955" spans="1:7">
      <c r="A955" t="s">
        <v>20462</v>
      </c>
      <c r="B955" t="s">
        <v>8626</v>
      </c>
      <c r="C955" t="s">
        <v>20463</v>
      </c>
      <c r="D955" t="s">
        <v>20464</v>
      </c>
      <c r="E955" t="s">
        <v>8672</v>
      </c>
      <c r="F955" t="s">
        <v>20444</v>
      </c>
      <c r="G955" t="s">
        <v>20465</v>
      </c>
    </row>
    <row r="956" spans="1:7">
      <c r="A956" t="s">
        <v>20466</v>
      </c>
      <c r="B956" t="s">
        <v>8607</v>
      </c>
      <c r="C956" t="s">
        <v>20467</v>
      </c>
      <c r="D956" t="s">
        <v>20468</v>
      </c>
      <c r="E956" t="s">
        <v>8672</v>
      </c>
      <c r="F956" t="s">
        <v>20444</v>
      </c>
      <c r="G956" t="s">
        <v>20469</v>
      </c>
    </row>
    <row r="957" spans="1:7">
      <c r="A957" t="s">
        <v>20470</v>
      </c>
      <c r="B957" t="s">
        <v>8607</v>
      </c>
      <c r="C957" t="s">
        <v>20471</v>
      </c>
      <c r="D957" t="s">
        <v>20472</v>
      </c>
      <c r="E957" t="s">
        <v>8672</v>
      </c>
      <c r="F957" t="s">
        <v>20473</v>
      </c>
      <c r="G957" t="s">
        <v>20474</v>
      </c>
    </row>
    <row r="958" spans="1:7">
      <c r="A958" t="s">
        <v>20475</v>
      </c>
      <c r="B958" t="s">
        <v>8626</v>
      </c>
      <c r="C958" t="s">
        <v>20476</v>
      </c>
      <c r="D958" t="s">
        <v>20477</v>
      </c>
      <c r="E958" t="s">
        <v>8672</v>
      </c>
      <c r="F958" t="s">
        <v>20473</v>
      </c>
      <c r="G958" t="s">
        <v>20478</v>
      </c>
    </row>
    <row r="959" spans="1:7">
      <c r="A959" t="s">
        <v>20479</v>
      </c>
      <c r="B959" t="s">
        <v>8626</v>
      </c>
      <c r="C959" t="s">
        <v>20480</v>
      </c>
      <c r="D959" t="s">
        <v>20481</v>
      </c>
      <c r="E959" t="s">
        <v>8672</v>
      </c>
      <c r="F959" t="s">
        <v>20473</v>
      </c>
      <c r="G959" t="s">
        <v>20482</v>
      </c>
    </row>
    <row r="960" spans="1:7">
      <c r="A960" t="s">
        <v>20483</v>
      </c>
      <c r="B960" t="s">
        <v>8607</v>
      </c>
      <c r="C960" t="s">
        <v>20484</v>
      </c>
      <c r="D960" t="s">
        <v>20485</v>
      </c>
      <c r="E960" t="s">
        <v>8672</v>
      </c>
      <c r="F960" t="s">
        <v>20473</v>
      </c>
      <c r="G960" t="s">
        <v>20486</v>
      </c>
    </row>
    <row r="961" spans="1:7">
      <c r="A961" t="s">
        <v>20487</v>
      </c>
      <c r="B961" t="s">
        <v>8626</v>
      </c>
      <c r="C961" t="s">
        <v>20488</v>
      </c>
      <c r="D961" t="s">
        <v>20489</v>
      </c>
      <c r="E961" t="s">
        <v>8672</v>
      </c>
      <c r="F961" t="s">
        <v>20473</v>
      </c>
      <c r="G961" t="s">
        <v>20490</v>
      </c>
    </row>
    <row r="962" spans="1:7">
      <c r="A962" t="s">
        <v>20491</v>
      </c>
      <c r="B962" t="s">
        <v>8626</v>
      </c>
      <c r="C962" t="s">
        <v>20492</v>
      </c>
      <c r="D962" t="s">
        <v>20493</v>
      </c>
      <c r="E962" t="s">
        <v>8672</v>
      </c>
      <c r="F962" t="s">
        <v>20473</v>
      </c>
      <c r="G962" t="s">
        <v>20494</v>
      </c>
    </row>
    <row r="963" spans="1:7">
      <c r="A963" t="s">
        <v>20495</v>
      </c>
      <c r="B963" t="s">
        <v>8626</v>
      </c>
      <c r="C963" t="s">
        <v>20476</v>
      </c>
      <c r="D963" t="s">
        <v>20496</v>
      </c>
      <c r="E963" t="s">
        <v>8672</v>
      </c>
      <c r="F963" t="s">
        <v>20473</v>
      </c>
      <c r="G963" t="s">
        <v>20497</v>
      </c>
    </row>
    <row r="964" spans="1:7">
      <c r="A964" t="s">
        <v>20498</v>
      </c>
      <c r="B964" t="s">
        <v>8607</v>
      </c>
      <c r="C964" t="s">
        <v>20480</v>
      </c>
      <c r="D964" t="s">
        <v>20499</v>
      </c>
      <c r="E964" t="s">
        <v>8672</v>
      </c>
      <c r="F964" t="s">
        <v>20473</v>
      </c>
      <c r="G964" t="s">
        <v>20500</v>
      </c>
    </row>
    <row r="965" spans="1:7">
      <c r="A965" t="s">
        <v>20501</v>
      </c>
      <c r="B965" t="s">
        <v>8626</v>
      </c>
      <c r="C965" t="s">
        <v>20502</v>
      </c>
      <c r="D965" t="s">
        <v>20503</v>
      </c>
      <c r="E965" t="s">
        <v>8672</v>
      </c>
      <c r="F965" t="s">
        <v>20473</v>
      </c>
      <c r="G965" t="s">
        <v>20504</v>
      </c>
    </row>
    <row r="966" spans="1:7">
      <c r="A966" t="s">
        <v>20505</v>
      </c>
      <c r="B966" t="s">
        <v>8626</v>
      </c>
      <c r="C966" t="s">
        <v>20492</v>
      </c>
      <c r="D966" t="s">
        <v>20506</v>
      </c>
      <c r="E966" t="s">
        <v>8672</v>
      </c>
      <c r="F966" t="s">
        <v>20473</v>
      </c>
      <c r="G966" t="s">
        <v>20507</v>
      </c>
    </row>
    <row r="967" spans="1:7">
      <c r="A967" t="s">
        <v>20508</v>
      </c>
      <c r="B967" t="s">
        <v>8607</v>
      </c>
      <c r="C967" t="s">
        <v>20509</v>
      </c>
      <c r="D967" t="s">
        <v>20510</v>
      </c>
      <c r="E967" t="s">
        <v>8672</v>
      </c>
      <c r="F967" t="s">
        <v>20473</v>
      </c>
      <c r="G967" t="s">
        <v>20486</v>
      </c>
    </row>
    <row r="968" spans="1:7">
      <c r="A968" t="s">
        <v>20511</v>
      </c>
      <c r="B968" t="s">
        <v>8626</v>
      </c>
      <c r="C968" t="s">
        <v>20512</v>
      </c>
      <c r="D968" t="s">
        <v>20513</v>
      </c>
      <c r="E968" t="s">
        <v>8672</v>
      </c>
      <c r="F968" t="s">
        <v>20514</v>
      </c>
      <c r="G968" t="s">
        <v>20515</v>
      </c>
    </row>
    <row r="969" spans="1:7">
      <c r="A969" t="s">
        <v>20516</v>
      </c>
      <c r="B969" t="s">
        <v>8626</v>
      </c>
      <c r="C969" t="s">
        <v>20517</v>
      </c>
      <c r="D969" t="s">
        <v>20518</v>
      </c>
      <c r="E969" t="s">
        <v>8672</v>
      </c>
      <c r="F969" t="s">
        <v>20514</v>
      </c>
      <c r="G969" t="s">
        <v>20519</v>
      </c>
    </row>
    <row r="970" spans="1:7">
      <c r="A970" t="s">
        <v>20520</v>
      </c>
      <c r="B970" t="s">
        <v>8607</v>
      </c>
      <c r="C970" t="s">
        <v>20521</v>
      </c>
      <c r="D970" t="s">
        <v>20522</v>
      </c>
      <c r="E970" t="s">
        <v>8672</v>
      </c>
      <c r="F970" t="s">
        <v>17310</v>
      </c>
      <c r="G970" t="s">
        <v>20523</v>
      </c>
    </row>
    <row r="971" spans="1:7">
      <c r="A971" t="s">
        <v>20524</v>
      </c>
      <c r="B971" t="s">
        <v>8607</v>
      </c>
      <c r="C971" t="s">
        <v>20525</v>
      </c>
      <c r="D971" t="s">
        <v>17309</v>
      </c>
      <c r="E971" t="s">
        <v>8672</v>
      </c>
      <c r="F971" t="s">
        <v>17310</v>
      </c>
      <c r="G971" t="s">
        <v>20526</v>
      </c>
    </row>
    <row r="972" spans="1:7">
      <c r="A972" t="s">
        <v>20527</v>
      </c>
      <c r="B972" t="s">
        <v>8607</v>
      </c>
      <c r="C972" t="s">
        <v>20528</v>
      </c>
      <c r="D972" t="s">
        <v>17309</v>
      </c>
      <c r="E972" t="s">
        <v>8672</v>
      </c>
      <c r="F972" t="s">
        <v>17310</v>
      </c>
      <c r="G972" t="s">
        <v>20529</v>
      </c>
    </row>
    <row r="973" spans="1:7">
      <c r="A973" t="s">
        <v>20530</v>
      </c>
      <c r="B973" t="s">
        <v>8607</v>
      </c>
      <c r="C973" t="s">
        <v>20525</v>
      </c>
      <c r="D973" t="s">
        <v>17309</v>
      </c>
      <c r="E973" t="s">
        <v>8672</v>
      </c>
      <c r="F973" t="s">
        <v>17310</v>
      </c>
      <c r="G973" t="s">
        <v>20531</v>
      </c>
    </row>
    <row r="974" spans="1:7">
      <c r="A974" t="s">
        <v>20532</v>
      </c>
      <c r="B974" t="s">
        <v>8607</v>
      </c>
      <c r="C974" t="s">
        <v>20525</v>
      </c>
      <c r="D974" t="s">
        <v>17309</v>
      </c>
      <c r="E974" t="s">
        <v>8672</v>
      </c>
      <c r="F974" t="s">
        <v>17310</v>
      </c>
      <c r="G974" t="s">
        <v>20526</v>
      </c>
    </row>
    <row r="975" spans="1:7">
      <c r="A975" t="s">
        <v>20533</v>
      </c>
      <c r="B975" t="s">
        <v>8607</v>
      </c>
      <c r="C975" t="s">
        <v>17308</v>
      </c>
      <c r="D975" t="s">
        <v>17309</v>
      </c>
      <c r="E975" t="s">
        <v>8672</v>
      </c>
      <c r="F975" t="s">
        <v>17310</v>
      </c>
      <c r="G975" t="s">
        <v>20534</v>
      </c>
    </row>
    <row r="976" spans="1:7">
      <c r="A976" t="s">
        <v>20535</v>
      </c>
      <c r="B976" t="s">
        <v>8607</v>
      </c>
      <c r="C976" t="s">
        <v>20525</v>
      </c>
      <c r="D976" t="s">
        <v>17309</v>
      </c>
      <c r="E976" t="s">
        <v>8672</v>
      </c>
      <c r="F976" t="s">
        <v>17310</v>
      </c>
      <c r="G976" t="s">
        <v>20536</v>
      </c>
    </row>
    <row r="977" spans="1:7">
      <c r="A977" t="s">
        <v>20537</v>
      </c>
      <c r="B977" t="s">
        <v>8626</v>
      </c>
      <c r="C977" t="s">
        <v>20525</v>
      </c>
      <c r="D977" t="s">
        <v>17309</v>
      </c>
      <c r="E977" t="s">
        <v>8672</v>
      </c>
      <c r="F977" t="s">
        <v>17310</v>
      </c>
      <c r="G977" t="s">
        <v>20538</v>
      </c>
    </row>
    <row r="978" spans="1:7">
      <c r="A978" t="s">
        <v>20539</v>
      </c>
      <c r="B978" t="s">
        <v>8607</v>
      </c>
      <c r="C978" t="s">
        <v>17308</v>
      </c>
      <c r="D978" t="s">
        <v>17309</v>
      </c>
      <c r="E978" t="s">
        <v>8672</v>
      </c>
      <c r="F978" t="s">
        <v>17310</v>
      </c>
      <c r="G978" t="s">
        <v>20271</v>
      </c>
    </row>
    <row r="979" spans="1:7">
      <c r="A979" t="s">
        <v>20540</v>
      </c>
      <c r="B979" t="s">
        <v>8607</v>
      </c>
      <c r="C979" t="s">
        <v>20528</v>
      </c>
      <c r="D979" t="s">
        <v>17309</v>
      </c>
      <c r="E979" t="s">
        <v>8672</v>
      </c>
      <c r="F979" t="s">
        <v>17310</v>
      </c>
      <c r="G979" t="s">
        <v>20541</v>
      </c>
    </row>
    <row r="980" spans="1:7">
      <c r="A980" t="s">
        <v>20542</v>
      </c>
      <c r="B980" t="s">
        <v>8607</v>
      </c>
      <c r="C980" t="s">
        <v>20525</v>
      </c>
      <c r="D980" t="s">
        <v>17309</v>
      </c>
      <c r="E980" t="s">
        <v>8672</v>
      </c>
      <c r="F980" t="s">
        <v>17310</v>
      </c>
      <c r="G980" t="s">
        <v>20526</v>
      </c>
    </row>
    <row r="981" spans="1:7">
      <c r="A981" t="s">
        <v>20543</v>
      </c>
      <c r="B981" t="s">
        <v>8607</v>
      </c>
      <c r="D981" t="s">
        <v>17309</v>
      </c>
      <c r="E981" t="s">
        <v>8672</v>
      </c>
      <c r="F981" t="s">
        <v>17310</v>
      </c>
      <c r="G981" t="s">
        <v>20271</v>
      </c>
    </row>
    <row r="982" spans="1:7">
      <c r="A982" t="s">
        <v>20544</v>
      </c>
      <c r="B982" t="s">
        <v>8626</v>
      </c>
      <c r="C982" t="s">
        <v>20525</v>
      </c>
      <c r="D982" t="s">
        <v>17309</v>
      </c>
      <c r="E982" t="s">
        <v>8672</v>
      </c>
      <c r="F982" t="s">
        <v>17310</v>
      </c>
      <c r="G982" t="s">
        <v>20545</v>
      </c>
    </row>
    <row r="983" spans="1:7">
      <c r="A983" t="s">
        <v>20546</v>
      </c>
      <c r="B983" t="s">
        <v>8607</v>
      </c>
      <c r="C983" t="s">
        <v>20525</v>
      </c>
      <c r="D983" t="s">
        <v>17309</v>
      </c>
      <c r="E983" t="s">
        <v>8672</v>
      </c>
      <c r="F983" t="s">
        <v>17310</v>
      </c>
      <c r="G983" t="s">
        <v>20547</v>
      </c>
    </row>
    <row r="984" spans="1:7">
      <c r="A984" t="s">
        <v>20548</v>
      </c>
      <c r="B984" t="s">
        <v>8607</v>
      </c>
      <c r="D984" t="s">
        <v>17309</v>
      </c>
      <c r="E984" t="s">
        <v>8672</v>
      </c>
      <c r="F984" t="s">
        <v>17310</v>
      </c>
      <c r="G984" t="s">
        <v>20549</v>
      </c>
    </row>
    <row r="985" spans="1:7">
      <c r="A985" t="s">
        <v>20550</v>
      </c>
      <c r="B985" t="s">
        <v>8626</v>
      </c>
      <c r="C985" t="s">
        <v>20525</v>
      </c>
      <c r="D985" t="s">
        <v>17309</v>
      </c>
      <c r="E985" t="s">
        <v>8672</v>
      </c>
      <c r="F985" t="s">
        <v>17310</v>
      </c>
      <c r="G985" t="s">
        <v>20551</v>
      </c>
    </row>
    <row r="986" spans="1:7">
      <c r="A986" t="s">
        <v>20552</v>
      </c>
      <c r="B986" t="s">
        <v>8607</v>
      </c>
      <c r="C986" t="s">
        <v>20525</v>
      </c>
      <c r="D986" t="s">
        <v>17309</v>
      </c>
      <c r="E986" t="s">
        <v>8672</v>
      </c>
      <c r="F986" t="s">
        <v>17310</v>
      </c>
      <c r="G986" t="s">
        <v>20526</v>
      </c>
    </row>
    <row r="987" spans="1:7">
      <c r="A987" t="s">
        <v>20553</v>
      </c>
      <c r="B987" t="s">
        <v>8607</v>
      </c>
      <c r="D987" t="s">
        <v>17309</v>
      </c>
      <c r="E987" t="s">
        <v>8672</v>
      </c>
      <c r="F987" t="s">
        <v>17310</v>
      </c>
      <c r="G987" t="s">
        <v>20271</v>
      </c>
    </row>
    <row r="988" spans="1:7">
      <c r="A988" t="s">
        <v>20554</v>
      </c>
      <c r="B988" t="s">
        <v>8626</v>
      </c>
      <c r="C988" t="s">
        <v>20525</v>
      </c>
      <c r="D988" t="s">
        <v>17309</v>
      </c>
      <c r="E988" t="s">
        <v>8672</v>
      </c>
      <c r="F988" t="s">
        <v>17310</v>
      </c>
      <c r="G988" t="s">
        <v>20551</v>
      </c>
    </row>
    <row r="989" spans="1:7">
      <c r="A989" t="s">
        <v>20555</v>
      </c>
      <c r="B989" t="s">
        <v>8607</v>
      </c>
      <c r="C989" t="s">
        <v>17308</v>
      </c>
      <c r="D989" t="s">
        <v>17309</v>
      </c>
      <c r="E989" t="s">
        <v>8672</v>
      </c>
      <c r="F989" t="s">
        <v>17310</v>
      </c>
      <c r="G989" t="s">
        <v>20271</v>
      </c>
    </row>
    <row r="990" spans="1:7">
      <c r="A990" t="s">
        <v>20556</v>
      </c>
      <c r="B990" t="s">
        <v>8607</v>
      </c>
      <c r="C990" t="s">
        <v>20525</v>
      </c>
      <c r="D990" t="s">
        <v>17309</v>
      </c>
      <c r="E990" t="s">
        <v>8672</v>
      </c>
      <c r="F990" t="s">
        <v>17310</v>
      </c>
      <c r="G990" t="s">
        <v>20557</v>
      </c>
    </row>
    <row r="991" spans="1:7">
      <c r="A991" t="s">
        <v>20558</v>
      </c>
      <c r="B991" t="s">
        <v>8607</v>
      </c>
      <c r="C991" t="s">
        <v>20559</v>
      </c>
      <c r="D991" t="s">
        <v>17309</v>
      </c>
      <c r="E991" t="s">
        <v>8672</v>
      </c>
      <c r="F991" t="s">
        <v>17310</v>
      </c>
      <c r="G991" t="s">
        <v>20549</v>
      </c>
    </row>
    <row r="992" spans="1:7">
      <c r="A992" t="s">
        <v>20560</v>
      </c>
      <c r="B992" t="s">
        <v>8607</v>
      </c>
      <c r="C992" t="s">
        <v>20525</v>
      </c>
      <c r="D992" t="s">
        <v>17309</v>
      </c>
      <c r="E992" t="s">
        <v>8672</v>
      </c>
      <c r="F992" t="s">
        <v>17310</v>
      </c>
      <c r="G992" t="s">
        <v>20547</v>
      </c>
    </row>
    <row r="993" spans="1:7">
      <c r="A993" t="s">
        <v>20561</v>
      </c>
      <c r="B993" t="s">
        <v>8607</v>
      </c>
      <c r="C993" t="s">
        <v>17308</v>
      </c>
      <c r="D993" t="s">
        <v>17309</v>
      </c>
      <c r="E993" t="s">
        <v>8672</v>
      </c>
      <c r="F993" t="s">
        <v>17310</v>
      </c>
      <c r="G993" t="s">
        <v>17581</v>
      </c>
    </row>
    <row r="994" spans="1:7">
      <c r="A994" t="s">
        <v>20562</v>
      </c>
      <c r="B994" t="s">
        <v>8626</v>
      </c>
      <c r="C994" t="s">
        <v>20525</v>
      </c>
      <c r="D994" t="s">
        <v>17309</v>
      </c>
      <c r="E994" t="s">
        <v>8672</v>
      </c>
      <c r="F994" t="s">
        <v>17310</v>
      </c>
      <c r="G994" t="s">
        <v>20563</v>
      </c>
    </row>
    <row r="995" spans="1:7">
      <c r="A995" t="s">
        <v>20564</v>
      </c>
      <c r="B995" t="s">
        <v>8626</v>
      </c>
      <c r="C995" t="s">
        <v>20525</v>
      </c>
      <c r="D995" t="s">
        <v>17309</v>
      </c>
      <c r="E995" t="s">
        <v>8672</v>
      </c>
      <c r="F995" t="s">
        <v>17310</v>
      </c>
      <c r="G995" t="s">
        <v>20538</v>
      </c>
    </row>
    <row r="996" spans="1:7">
      <c r="A996" t="s">
        <v>20565</v>
      </c>
      <c r="B996" t="s">
        <v>8626</v>
      </c>
      <c r="C996" t="s">
        <v>20525</v>
      </c>
      <c r="D996" t="s">
        <v>17309</v>
      </c>
      <c r="E996" t="s">
        <v>8672</v>
      </c>
      <c r="F996" t="s">
        <v>17310</v>
      </c>
      <c r="G996" t="s">
        <v>20563</v>
      </c>
    </row>
    <row r="997" spans="1:7">
      <c r="A997" t="s">
        <v>20566</v>
      </c>
      <c r="B997" t="s">
        <v>8626</v>
      </c>
      <c r="C997" t="s">
        <v>20525</v>
      </c>
      <c r="D997" t="s">
        <v>17309</v>
      </c>
      <c r="E997" t="s">
        <v>8672</v>
      </c>
      <c r="F997" t="s">
        <v>17310</v>
      </c>
      <c r="G997" t="s">
        <v>20563</v>
      </c>
    </row>
    <row r="998" spans="1:7">
      <c r="A998" t="s">
        <v>20567</v>
      </c>
      <c r="B998" t="s">
        <v>8607</v>
      </c>
      <c r="C998" t="s">
        <v>20525</v>
      </c>
      <c r="D998" t="s">
        <v>17309</v>
      </c>
      <c r="E998" t="s">
        <v>8672</v>
      </c>
      <c r="F998" t="s">
        <v>17310</v>
      </c>
      <c r="G998" t="s">
        <v>20526</v>
      </c>
    </row>
    <row r="999" spans="1:7">
      <c r="A999" t="s">
        <v>20568</v>
      </c>
      <c r="B999" t="s">
        <v>8626</v>
      </c>
      <c r="C999" t="s">
        <v>20528</v>
      </c>
      <c r="D999" t="s">
        <v>17309</v>
      </c>
      <c r="E999" t="s">
        <v>8672</v>
      </c>
      <c r="F999" t="s">
        <v>17310</v>
      </c>
      <c r="G999" t="s">
        <v>20551</v>
      </c>
    </row>
    <row r="1000" spans="1:7">
      <c r="A1000" t="s">
        <v>20569</v>
      </c>
      <c r="B1000" t="s">
        <v>8607</v>
      </c>
      <c r="C1000" t="s">
        <v>17308</v>
      </c>
      <c r="D1000" t="s">
        <v>20570</v>
      </c>
      <c r="E1000" t="s">
        <v>8672</v>
      </c>
      <c r="F1000" t="s">
        <v>17310</v>
      </c>
      <c r="G1000" t="s">
        <v>20271</v>
      </c>
    </row>
    <row r="1001" spans="1:7">
      <c r="A1001" t="s">
        <v>20571</v>
      </c>
      <c r="B1001" t="s">
        <v>8607</v>
      </c>
      <c r="C1001" t="s">
        <v>20525</v>
      </c>
      <c r="D1001" t="s">
        <v>20570</v>
      </c>
      <c r="E1001" t="s">
        <v>8672</v>
      </c>
      <c r="F1001" t="s">
        <v>17310</v>
      </c>
      <c r="G1001" t="s">
        <v>20572</v>
      </c>
    </row>
    <row r="1002" spans="1:7">
      <c r="A1002" t="s">
        <v>20573</v>
      </c>
      <c r="B1002" t="s">
        <v>8607</v>
      </c>
      <c r="C1002" t="s">
        <v>17308</v>
      </c>
      <c r="D1002" t="s">
        <v>20570</v>
      </c>
      <c r="E1002" t="s">
        <v>8672</v>
      </c>
      <c r="F1002" t="s">
        <v>17310</v>
      </c>
      <c r="G1002" t="s">
        <v>20574</v>
      </c>
    </row>
    <row r="1003" spans="1:7">
      <c r="A1003" t="s">
        <v>20575</v>
      </c>
      <c r="B1003" t="s">
        <v>8607</v>
      </c>
      <c r="C1003" t="s">
        <v>17308</v>
      </c>
      <c r="D1003" t="s">
        <v>20570</v>
      </c>
      <c r="E1003" t="s">
        <v>8672</v>
      </c>
      <c r="F1003" t="s">
        <v>17310</v>
      </c>
      <c r="G1003" t="s">
        <v>20576</v>
      </c>
    </row>
    <row r="1004" spans="1:7">
      <c r="A1004" t="s">
        <v>20577</v>
      </c>
      <c r="B1004" t="s">
        <v>8607</v>
      </c>
      <c r="D1004" t="s">
        <v>20570</v>
      </c>
      <c r="E1004" t="s">
        <v>8672</v>
      </c>
      <c r="F1004" t="s">
        <v>17310</v>
      </c>
      <c r="G1004" t="s">
        <v>20271</v>
      </c>
    </row>
    <row r="1005" spans="1:7">
      <c r="A1005" t="s">
        <v>20578</v>
      </c>
      <c r="B1005" t="s">
        <v>8607</v>
      </c>
      <c r="C1005" t="s">
        <v>17308</v>
      </c>
      <c r="D1005" t="s">
        <v>20570</v>
      </c>
      <c r="E1005" t="s">
        <v>8672</v>
      </c>
      <c r="F1005" t="s">
        <v>17310</v>
      </c>
      <c r="G1005" t="s">
        <v>20271</v>
      </c>
    </row>
    <row r="1006" spans="1:7">
      <c r="A1006" t="s">
        <v>20579</v>
      </c>
      <c r="B1006" t="s">
        <v>8607</v>
      </c>
      <c r="C1006" t="s">
        <v>17308</v>
      </c>
      <c r="D1006" t="s">
        <v>20570</v>
      </c>
      <c r="E1006" t="s">
        <v>8672</v>
      </c>
      <c r="F1006" t="s">
        <v>17310</v>
      </c>
      <c r="G1006" t="s">
        <v>20271</v>
      </c>
    </row>
    <row r="1007" spans="1:7">
      <c r="A1007" t="s">
        <v>20580</v>
      </c>
      <c r="B1007" t="s">
        <v>8607</v>
      </c>
      <c r="C1007" t="s">
        <v>17308</v>
      </c>
      <c r="D1007" t="s">
        <v>20570</v>
      </c>
      <c r="E1007" t="s">
        <v>8672</v>
      </c>
      <c r="F1007" t="s">
        <v>17310</v>
      </c>
      <c r="G1007" t="s">
        <v>20581</v>
      </c>
    </row>
    <row r="1008" spans="1:7">
      <c r="A1008" t="s">
        <v>20582</v>
      </c>
      <c r="B1008" t="s">
        <v>8607</v>
      </c>
      <c r="C1008" t="s">
        <v>17308</v>
      </c>
      <c r="D1008" t="s">
        <v>20570</v>
      </c>
      <c r="E1008" t="s">
        <v>8672</v>
      </c>
      <c r="F1008" t="s">
        <v>17310</v>
      </c>
      <c r="G1008" t="s">
        <v>20271</v>
      </c>
    </row>
    <row r="1009" spans="1:7">
      <c r="A1009" t="s">
        <v>20583</v>
      </c>
      <c r="B1009" t="s">
        <v>8607</v>
      </c>
      <c r="D1009" t="s">
        <v>20584</v>
      </c>
      <c r="E1009" t="s">
        <v>8672</v>
      </c>
      <c r="F1009" t="s">
        <v>17310</v>
      </c>
      <c r="G1009" t="s">
        <v>20585</v>
      </c>
    </row>
    <row r="1010" spans="1:7">
      <c r="A1010" t="s">
        <v>20586</v>
      </c>
      <c r="B1010" t="s">
        <v>8607</v>
      </c>
      <c r="C1010" t="s">
        <v>20587</v>
      </c>
      <c r="D1010" t="s">
        <v>20588</v>
      </c>
      <c r="E1010" t="s">
        <v>8672</v>
      </c>
      <c r="F1010" t="s">
        <v>17310</v>
      </c>
      <c r="G1010" t="s">
        <v>20589</v>
      </c>
    </row>
    <row r="1011" spans="1:7">
      <c r="A1011" t="s">
        <v>20590</v>
      </c>
      <c r="B1011" t="s">
        <v>8607</v>
      </c>
      <c r="C1011" t="s">
        <v>20591</v>
      </c>
      <c r="D1011" t="s">
        <v>20592</v>
      </c>
      <c r="E1011" t="s">
        <v>8672</v>
      </c>
      <c r="F1011" t="s">
        <v>17310</v>
      </c>
      <c r="G1011" t="s">
        <v>20593</v>
      </c>
    </row>
    <row r="1012" spans="1:7">
      <c r="A1012" t="s">
        <v>20594</v>
      </c>
      <c r="B1012" t="s">
        <v>8607</v>
      </c>
      <c r="C1012" t="s">
        <v>20595</v>
      </c>
      <c r="D1012" t="s">
        <v>20596</v>
      </c>
      <c r="E1012" t="s">
        <v>8672</v>
      </c>
      <c r="F1012" t="s">
        <v>9039</v>
      </c>
      <c r="G1012" t="s">
        <v>20597</v>
      </c>
    </row>
    <row r="1013" spans="1:7">
      <c r="A1013" t="s">
        <v>20598</v>
      </c>
      <c r="B1013" t="s">
        <v>8626</v>
      </c>
      <c r="C1013" t="s">
        <v>19676</v>
      </c>
      <c r="D1013" t="s">
        <v>20599</v>
      </c>
      <c r="E1013" t="s">
        <v>8672</v>
      </c>
      <c r="F1013" t="s">
        <v>9039</v>
      </c>
      <c r="G1013" t="s">
        <v>19680</v>
      </c>
    </row>
    <row r="1014" spans="1:7">
      <c r="A1014" t="s">
        <v>20600</v>
      </c>
      <c r="B1014" t="s">
        <v>8607</v>
      </c>
      <c r="C1014" t="s">
        <v>20601</v>
      </c>
      <c r="D1014" t="s">
        <v>20602</v>
      </c>
      <c r="E1014" t="s">
        <v>8672</v>
      </c>
      <c r="F1014" t="s">
        <v>17310</v>
      </c>
      <c r="G1014" t="s">
        <v>20603</v>
      </c>
    </row>
    <row r="1015" spans="1:7">
      <c r="A1015" t="s">
        <v>20604</v>
      </c>
      <c r="B1015" t="s">
        <v>8607</v>
      </c>
      <c r="C1015" t="s">
        <v>20601</v>
      </c>
      <c r="D1015" t="s">
        <v>20602</v>
      </c>
      <c r="E1015" t="s">
        <v>8672</v>
      </c>
      <c r="F1015" t="s">
        <v>17310</v>
      </c>
      <c r="G1015" t="s">
        <v>20603</v>
      </c>
    </row>
    <row r="1016" spans="1:7">
      <c r="A1016" t="s">
        <v>20605</v>
      </c>
      <c r="B1016" t="s">
        <v>8607</v>
      </c>
      <c r="C1016" t="s">
        <v>20606</v>
      </c>
      <c r="D1016" t="s">
        <v>20607</v>
      </c>
      <c r="E1016" t="s">
        <v>8672</v>
      </c>
      <c r="F1016" t="s">
        <v>17310</v>
      </c>
      <c r="G1016" t="s">
        <v>20608</v>
      </c>
    </row>
    <row r="1017" spans="1:7">
      <c r="A1017" t="s">
        <v>20609</v>
      </c>
      <c r="B1017" t="s">
        <v>8607</v>
      </c>
      <c r="C1017" t="s">
        <v>19676</v>
      </c>
      <c r="D1017" t="s">
        <v>20607</v>
      </c>
      <c r="E1017" t="s">
        <v>8672</v>
      </c>
      <c r="F1017" t="s">
        <v>17310</v>
      </c>
      <c r="G1017" t="s">
        <v>20610</v>
      </c>
    </row>
    <row r="1018" spans="1:7">
      <c r="A1018" t="s">
        <v>20611</v>
      </c>
      <c r="B1018" t="s">
        <v>8607</v>
      </c>
      <c r="D1018" t="s">
        <v>20612</v>
      </c>
      <c r="E1018" t="s">
        <v>8672</v>
      </c>
      <c r="F1018" t="s">
        <v>17310</v>
      </c>
      <c r="G1018" t="s">
        <v>20613</v>
      </c>
    </row>
    <row r="1019" spans="1:7">
      <c r="A1019" t="s">
        <v>20614</v>
      </c>
      <c r="B1019" t="s">
        <v>8607</v>
      </c>
      <c r="C1019" t="s">
        <v>20615</v>
      </c>
      <c r="D1019" t="s">
        <v>20616</v>
      </c>
      <c r="E1019" t="s">
        <v>8672</v>
      </c>
      <c r="F1019" t="s">
        <v>17310</v>
      </c>
      <c r="G1019" t="s">
        <v>20617</v>
      </c>
    </row>
    <row r="1020" spans="1:7">
      <c r="A1020" t="s">
        <v>20618</v>
      </c>
      <c r="B1020" t="s">
        <v>8607</v>
      </c>
      <c r="C1020" t="s">
        <v>20619</v>
      </c>
      <c r="D1020" t="s">
        <v>20620</v>
      </c>
      <c r="E1020" t="s">
        <v>8672</v>
      </c>
      <c r="F1020" t="s">
        <v>17310</v>
      </c>
      <c r="G1020" t="s">
        <v>20621</v>
      </c>
    </row>
    <row r="1021" spans="1:7">
      <c r="A1021" t="s">
        <v>20622</v>
      </c>
      <c r="B1021" t="s">
        <v>8607</v>
      </c>
      <c r="C1021" t="s">
        <v>19625</v>
      </c>
      <c r="D1021" t="s">
        <v>20623</v>
      </c>
      <c r="E1021" t="s">
        <v>8672</v>
      </c>
      <c r="F1021" t="s">
        <v>9039</v>
      </c>
      <c r="G1021" t="s">
        <v>20624</v>
      </c>
    </row>
    <row r="1022" spans="1:7">
      <c r="A1022" t="s">
        <v>20625</v>
      </c>
      <c r="B1022" t="s">
        <v>8607</v>
      </c>
      <c r="C1022" t="s">
        <v>20626</v>
      </c>
      <c r="D1022" t="s">
        <v>20627</v>
      </c>
      <c r="E1022" t="s">
        <v>8672</v>
      </c>
      <c r="F1022" t="s">
        <v>17310</v>
      </c>
      <c r="G1022" t="s">
        <v>20628</v>
      </c>
    </row>
    <row r="1023" spans="1:7">
      <c r="A1023" t="s">
        <v>20629</v>
      </c>
      <c r="B1023" t="s">
        <v>8607</v>
      </c>
      <c r="D1023" t="s">
        <v>20630</v>
      </c>
      <c r="E1023" t="s">
        <v>8672</v>
      </c>
      <c r="F1023" t="s">
        <v>17310</v>
      </c>
      <c r="G1023" t="s">
        <v>20271</v>
      </c>
    </row>
    <row r="1024" spans="1:7">
      <c r="A1024" t="s">
        <v>20631</v>
      </c>
      <c r="B1024" t="s">
        <v>8607</v>
      </c>
      <c r="C1024" t="s">
        <v>20632</v>
      </c>
      <c r="D1024" t="s">
        <v>20633</v>
      </c>
      <c r="E1024" t="s">
        <v>8672</v>
      </c>
      <c r="F1024" t="s">
        <v>17310</v>
      </c>
      <c r="G1024" t="s">
        <v>20634</v>
      </c>
    </row>
    <row r="1025" spans="1:7">
      <c r="A1025" t="s">
        <v>20635</v>
      </c>
      <c r="B1025" t="s">
        <v>8607</v>
      </c>
      <c r="C1025" t="s">
        <v>20636</v>
      </c>
      <c r="D1025" t="s">
        <v>20633</v>
      </c>
      <c r="E1025" t="s">
        <v>8672</v>
      </c>
      <c r="F1025" t="s">
        <v>17310</v>
      </c>
      <c r="G1025" t="s">
        <v>20634</v>
      </c>
    </row>
    <row r="1026" spans="1:7">
      <c r="A1026" t="s">
        <v>20637</v>
      </c>
      <c r="B1026" t="s">
        <v>8607</v>
      </c>
      <c r="C1026" t="s">
        <v>20638</v>
      </c>
      <c r="D1026" t="s">
        <v>20639</v>
      </c>
      <c r="E1026" t="s">
        <v>8672</v>
      </c>
      <c r="F1026" t="s">
        <v>17310</v>
      </c>
      <c r="G1026" t="s">
        <v>20640</v>
      </c>
    </row>
    <row r="1027" spans="1:7">
      <c r="A1027" t="s">
        <v>20641</v>
      </c>
      <c r="B1027" t="s">
        <v>8607</v>
      </c>
      <c r="C1027" t="s">
        <v>20642</v>
      </c>
      <c r="D1027" t="s">
        <v>20643</v>
      </c>
      <c r="E1027" t="s">
        <v>8672</v>
      </c>
      <c r="F1027" t="s">
        <v>17310</v>
      </c>
      <c r="G1027" t="s">
        <v>20271</v>
      </c>
    </row>
    <row r="1028" spans="1:7">
      <c r="A1028" t="s">
        <v>20644</v>
      </c>
      <c r="B1028" t="s">
        <v>8607</v>
      </c>
      <c r="C1028" t="s">
        <v>20619</v>
      </c>
      <c r="D1028" t="s">
        <v>20645</v>
      </c>
      <c r="E1028" t="s">
        <v>8672</v>
      </c>
      <c r="F1028" t="s">
        <v>17310</v>
      </c>
      <c r="G1028" t="s">
        <v>20646</v>
      </c>
    </row>
    <row r="1029" spans="1:7">
      <c r="A1029" t="s">
        <v>20647</v>
      </c>
      <c r="B1029" t="s">
        <v>8607</v>
      </c>
      <c r="C1029" t="s">
        <v>20632</v>
      </c>
      <c r="D1029" t="s">
        <v>20648</v>
      </c>
      <c r="E1029" t="s">
        <v>8672</v>
      </c>
      <c r="F1029" t="s">
        <v>17310</v>
      </c>
      <c r="G1029" t="s">
        <v>20271</v>
      </c>
    </row>
    <row r="1030" spans="1:7">
      <c r="A1030" t="s">
        <v>20649</v>
      </c>
      <c r="B1030" t="s">
        <v>8607</v>
      </c>
      <c r="C1030" t="s">
        <v>20632</v>
      </c>
      <c r="D1030" t="s">
        <v>20648</v>
      </c>
      <c r="E1030" t="s">
        <v>8672</v>
      </c>
      <c r="F1030" t="s">
        <v>17310</v>
      </c>
      <c r="G1030" t="s">
        <v>20271</v>
      </c>
    </row>
    <row r="1031" spans="1:7">
      <c r="A1031" t="s">
        <v>20650</v>
      </c>
      <c r="B1031" t="s">
        <v>8626</v>
      </c>
      <c r="C1031" t="s">
        <v>20651</v>
      </c>
      <c r="D1031" t="s">
        <v>20652</v>
      </c>
      <c r="E1031" t="s">
        <v>8672</v>
      </c>
      <c r="F1031" t="s">
        <v>17310</v>
      </c>
      <c r="G1031" t="s">
        <v>20653</v>
      </c>
    </row>
    <row r="1032" spans="1:7">
      <c r="A1032" t="s">
        <v>20654</v>
      </c>
      <c r="B1032" t="s">
        <v>8607</v>
      </c>
      <c r="C1032" t="s">
        <v>20591</v>
      </c>
      <c r="D1032" t="s">
        <v>20655</v>
      </c>
      <c r="E1032" t="s">
        <v>8672</v>
      </c>
      <c r="F1032" t="s">
        <v>17310</v>
      </c>
      <c r="G1032" t="s">
        <v>20656</v>
      </c>
    </row>
    <row r="1033" spans="1:7">
      <c r="A1033" t="s">
        <v>20657</v>
      </c>
      <c r="B1033" t="s">
        <v>8607</v>
      </c>
      <c r="C1033" t="s">
        <v>20591</v>
      </c>
      <c r="D1033" t="s">
        <v>20655</v>
      </c>
      <c r="E1033" t="s">
        <v>8672</v>
      </c>
      <c r="F1033" t="s">
        <v>17310</v>
      </c>
      <c r="G1033" t="s">
        <v>20656</v>
      </c>
    </row>
    <row r="1034" spans="1:7">
      <c r="A1034" t="s">
        <v>20658</v>
      </c>
      <c r="B1034" t="s">
        <v>8607</v>
      </c>
      <c r="C1034" t="s">
        <v>20659</v>
      </c>
      <c r="D1034" t="s">
        <v>20660</v>
      </c>
      <c r="E1034" t="s">
        <v>8672</v>
      </c>
      <c r="F1034" t="s">
        <v>17310</v>
      </c>
      <c r="G1034" t="s">
        <v>20640</v>
      </c>
    </row>
    <row r="1035" spans="1:7">
      <c r="A1035" t="s">
        <v>20661</v>
      </c>
      <c r="B1035" t="s">
        <v>8626</v>
      </c>
      <c r="C1035" t="s">
        <v>19625</v>
      </c>
      <c r="D1035" t="s">
        <v>20660</v>
      </c>
      <c r="E1035" t="s">
        <v>8672</v>
      </c>
      <c r="F1035" t="s">
        <v>9039</v>
      </c>
      <c r="G1035" t="s">
        <v>20662</v>
      </c>
    </row>
    <row r="1036" spans="1:7">
      <c r="A1036" t="s">
        <v>20663</v>
      </c>
      <c r="B1036" t="s">
        <v>8607</v>
      </c>
      <c r="D1036" t="s">
        <v>17590</v>
      </c>
      <c r="E1036" t="s">
        <v>8672</v>
      </c>
      <c r="F1036" t="s">
        <v>17310</v>
      </c>
      <c r="G1036" t="s">
        <v>17316</v>
      </c>
    </row>
    <row r="1037" spans="1:7">
      <c r="A1037" t="s">
        <v>20664</v>
      </c>
      <c r="B1037" t="s">
        <v>8607</v>
      </c>
      <c r="C1037" t="s">
        <v>20619</v>
      </c>
      <c r="D1037" t="s">
        <v>20665</v>
      </c>
      <c r="E1037" t="s">
        <v>8672</v>
      </c>
      <c r="F1037" t="s">
        <v>17310</v>
      </c>
      <c r="G1037" t="s">
        <v>20666</v>
      </c>
    </row>
    <row r="1038" spans="1:7">
      <c r="A1038" t="s">
        <v>20667</v>
      </c>
      <c r="B1038" t="s">
        <v>8607</v>
      </c>
      <c r="C1038" t="s">
        <v>20668</v>
      </c>
      <c r="D1038" t="s">
        <v>20669</v>
      </c>
      <c r="E1038" t="s">
        <v>8672</v>
      </c>
      <c r="F1038" t="s">
        <v>17310</v>
      </c>
      <c r="G1038" t="s">
        <v>20640</v>
      </c>
    </row>
    <row r="1039" spans="1:7">
      <c r="A1039" t="s">
        <v>20670</v>
      </c>
      <c r="B1039" t="s">
        <v>8626</v>
      </c>
      <c r="C1039" t="s">
        <v>20671</v>
      </c>
      <c r="D1039" t="s">
        <v>20672</v>
      </c>
      <c r="E1039" t="s">
        <v>8672</v>
      </c>
      <c r="F1039" t="s">
        <v>17310</v>
      </c>
      <c r="G1039" t="s">
        <v>20673</v>
      </c>
    </row>
    <row r="1040" spans="1:7">
      <c r="A1040" t="s">
        <v>20674</v>
      </c>
      <c r="B1040" t="s">
        <v>8626</v>
      </c>
      <c r="C1040" t="s">
        <v>20675</v>
      </c>
      <c r="D1040" t="s">
        <v>20676</v>
      </c>
      <c r="E1040" t="s">
        <v>8672</v>
      </c>
      <c r="G1040" t="s">
        <v>20677</v>
      </c>
    </row>
    <row r="1041" spans="1:7">
      <c r="A1041" t="s">
        <v>20678</v>
      </c>
      <c r="B1041" t="s">
        <v>8607</v>
      </c>
      <c r="C1041" t="s">
        <v>20601</v>
      </c>
      <c r="D1041" t="s">
        <v>20679</v>
      </c>
      <c r="E1041" t="s">
        <v>8672</v>
      </c>
      <c r="F1041" t="s">
        <v>17310</v>
      </c>
      <c r="G1041" t="s">
        <v>20680</v>
      </c>
    </row>
    <row r="1042" spans="1:7">
      <c r="A1042" t="s">
        <v>20681</v>
      </c>
      <c r="B1042" t="s">
        <v>8607</v>
      </c>
      <c r="C1042" t="s">
        <v>20601</v>
      </c>
      <c r="D1042" t="s">
        <v>20679</v>
      </c>
      <c r="E1042" t="s">
        <v>8672</v>
      </c>
      <c r="F1042" t="s">
        <v>17310</v>
      </c>
      <c r="G1042" t="s">
        <v>20680</v>
      </c>
    </row>
    <row r="1043" spans="1:7">
      <c r="A1043" t="s">
        <v>20682</v>
      </c>
      <c r="B1043" t="s">
        <v>8607</v>
      </c>
      <c r="C1043" t="s">
        <v>20632</v>
      </c>
      <c r="D1043" t="s">
        <v>20683</v>
      </c>
      <c r="E1043" t="s">
        <v>8672</v>
      </c>
      <c r="F1043" t="s">
        <v>17310</v>
      </c>
      <c r="G1043" t="s">
        <v>20684</v>
      </c>
    </row>
    <row r="1044" spans="1:7">
      <c r="A1044" t="s">
        <v>20685</v>
      </c>
      <c r="B1044" t="s">
        <v>8607</v>
      </c>
      <c r="C1044" t="s">
        <v>19625</v>
      </c>
      <c r="D1044" t="s">
        <v>20686</v>
      </c>
      <c r="E1044" t="s">
        <v>8672</v>
      </c>
      <c r="F1044" t="s">
        <v>9039</v>
      </c>
      <c r="G1044" t="s">
        <v>20687</v>
      </c>
    </row>
    <row r="1045" spans="1:7">
      <c r="A1045" t="s">
        <v>20688</v>
      </c>
      <c r="B1045" t="s">
        <v>8607</v>
      </c>
      <c r="C1045" t="s">
        <v>20689</v>
      </c>
      <c r="D1045" t="s">
        <v>20690</v>
      </c>
      <c r="E1045" t="s">
        <v>8672</v>
      </c>
      <c r="F1045" t="s">
        <v>17310</v>
      </c>
      <c r="G1045" t="s">
        <v>20691</v>
      </c>
    </row>
    <row r="1046" spans="1:7">
      <c r="A1046" t="s">
        <v>20692</v>
      </c>
      <c r="B1046" t="s">
        <v>8607</v>
      </c>
      <c r="D1046" t="s">
        <v>20693</v>
      </c>
      <c r="E1046" t="s">
        <v>8672</v>
      </c>
      <c r="F1046" t="s">
        <v>17310</v>
      </c>
      <c r="G1046" t="s">
        <v>20271</v>
      </c>
    </row>
    <row r="1047" spans="1:7">
      <c r="A1047" t="s">
        <v>20694</v>
      </c>
      <c r="B1047" t="s">
        <v>8607</v>
      </c>
      <c r="C1047" t="s">
        <v>20619</v>
      </c>
      <c r="D1047" t="s">
        <v>20695</v>
      </c>
      <c r="E1047" t="s">
        <v>8672</v>
      </c>
      <c r="F1047" t="s">
        <v>17310</v>
      </c>
      <c r="G1047" t="s">
        <v>20696</v>
      </c>
    </row>
    <row r="1048" spans="1:7">
      <c r="A1048" t="s">
        <v>20697</v>
      </c>
      <c r="B1048" t="s">
        <v>8607</v>
      </c>
      <c r="C1048" t="s">
        <v>20601</v>
      </c>
      <c r="D1048" t="s">
        <v>20698</v>
      </c>
      <c r="E1048" t="s">
        <v>8672</v>
      </c>
      <c r="F1048" t="s">
        <v>17310</v>
      </c>
      <c r="G1048" t="s">
        <v>20699</v>
      </c>
    </row>
    <row r="1049" spans="1:7">
      <c r="A1049" t="s">
        <v>20700</v>
      </c>
      <c r="B1049" t="s">
        <v>8607</v>
      </c>
      <c r="C1049" t="s">
        <v>20701</v>
      </c>
      <c r="D1049" t="s">
        <v>20702</v>
      </c>
      <c r="E1049" t="s">
        <v>8672</v>
      </c>
      <c r="F1049" t="s">
        <v>17310</v>
      </c>
      <c r="G1049" t="s">
        <v>20610</v>
      </c>
    </row>
    <row r="1050" spans="1:7">
      <c r="A1050" t="s">
        <v>20703</v>
      </c>
      <c r="B1050" t="s">
        <v>8607</v>
      </c>
      <c r="C1050" t="s">
        <v>20659</v>
      </c>
      <c r="D1050" t="s">
        <v>20704</v>
      </c>
      <c r="E1050" t="s">
        <v>8672</v>
      </c>
      <c r="F1050" t="s">
        <v>17310</v>
      </c>
      <c r="G1050" t="s">
        <v>20640</v>
      </c>
    </row>
    <row r="1051" spans="1:7">
      <c r="A1051" t="s">
        <v>20705</v>
      </c>
      <c r="C1051" t="s">
        <v>20636</v>
      </c>
      <c r="D1051" t="s">
        <v>20706</v>
      </c>
      <c r="E1051" t="s">
        <v>8672</v>
      </c>
      <c r="G1051" t="s">
        <v>20707</v>
      </c>
    </row>
    <row r="1052" spans="1:7">
      <c r="A1052" t="s">
        <v>20708</v>
      </c>
      <c r="B1052" t="s">
        <v>8607</v>
      </c>
      <c r="C1052" t="s">
        <v>17589</v>
      </c>
      <c r="D1052" t="s">
        <v>20709</v>
      </c>
      <c r="E1052" t="s">
        <v>8672</v>
      </c>
      <c r="F1052" t="s">
        <v>17310</v>
      </c>
      <c r="G1052" t="s">
        <v>20710</v>
      </c>
    </row>
    <row r="1053" spans="1:7">
      <c r="A1053" t="s">
        <v>20711</v>
      </c>
      <c r="B1053" t="s">
        <v>8607</v>
      </c>
      <c r="C1053" t="s">
        <v>17589</v>
      </c>
      <c r="D1053" t="s">
        <v>20712</v>
      </c>
      <c r="E1053" t="s">
        <v>8672</v>
      </c>
      <c r="F1053" t="s">
        <v>17310</v>
      </c>
      <c r="G1053" t="s">
        <v>20713</v>
      </c>
    </row>
    <row r="1054" spans="1:7">
      <c r="A1054" t="s">
        <v>20714</v>
      </c>
      <c r="B1054" t="s">
        <v>8607</v>
      </c>
      <c r="C1054" t="s">
        <v>20615</v>
      </c>
      <c r="D1054" t="s">
        <v>20715</v>
      </c>
      <c r="E1054" t="s">
        <v>8672</v>
      </c>
      <c r="F1054" t="s">
        <v>17310</v>
      </c>
      <c r="G1054" t="s">
        <v>20716</v>
      </c>
    </row>
    <row r="1055" spans="1:7">
      <c r="A1055" t="s">
        <v>20717</v>
      </c>
      <c r="B1055" t="s">
        <v>8607</v>
      </c>
      <c r="C1055" t="s">
        <v>20601</v>
      </c>
      <c r="D1055" t="s">
        <v>20718</v>
      </c>
      <c r="E1055" t="s">
        <v>8672</v>
      </c>
      <c r="F1055" t="s">
        <v>17310</v>
      </c>
      <c r="G1055" t="s">
        <v>20719</v>
      </c>
    </row>
    <row r="1056" spans="1:7">
      <c r="A1056" t="s">
        <v>20720</v>
      </c>
      <c r="B1056" t="s">
        <v>8607</v>
      </c>
      <c r="C1056" t="s">
        <v>20601</v>
      </c>
      <c r="D1056" t="s">
        <v>20718</v>
      </c>
      <c r="E1056" t="s">
        <v>8672</v>
      </c>
      <c r="F1056" t="s">
        <v>17310</v>
      </c>
      <c r="G1056" t="s">
        <v>20719</v>
      </c>
    </row>
    <row r="1057" spans="1:7">
      <c r="A1057" t="s">
        <v>20721</v>
      </c>
      <c r="B1057" t="s">
        <v>8607</v>
      </c>
      <c r="C1057" t="s">
        <v>20601</v>
      </c>
      <c r="D1057" t="s">
        <v>20718</v>
      </c>
      <c r="E1057" t="s">
        <v>8672</v>
      </c>
      <c r="F1057" t="s">
        <v>17310</v>
      </c>
      <c r="G1057" t="s">
        <v>20719</v>
      </c>
    </row>
    <row r="1058" spans="1:7">
      <c r="A1058" t="s">
        <v>20722</v>
      </c>
      <c r="B1058" t="s">
        <v>8607</v>
      </c>
      <c r="C1058" t="s">
        <v>20601</v>
      </c>
      <c r="D1058" t="s">
        <v>20718</v>
      </c>
      <c r="E1058" t="s">
        <v>8672</v>
      </c>
      <c r="F1058" t="s">
        <v>17310</v>
      </c>
      <c r="G1058" t="s">
        <v>20723</v>
      </c>
    </row>
    <row r="1059" spans="1:7">
      <c r="A1059" t="s">
        <v>20724</v>
      </c>
      <c r="B1059" t="s">
        <v>8607</v>
      </c>
      <c r="C1059" t="s">
        <v>19625</v>
      </c>
      <c r="D1059" t="s">
        <v>20725</v>
      </c>
      <c r="E1059" t="s">
        <v>8672</v>
      </c>
      <c r="F1059" t="s">
        <v>9039</v>
      </c>
      <c r="G1059" t="s">
        <v>20726</v>
      </c>
    </row>
    <row r="1060" spans="1:7">
      <c r="A1060" t="s">
        <v>20727</v>
      </c>
      <c r="B1060" t="s">
        <v>8607</v>
      </c>
      <c r="C1060" t="s">
        <v>20601</v>
      </c>
      <c r="D1060" t="s">
        <v>20728</v>
      </c>
      <c r="E1060" t="s">
        <v>8672</v>
      </c>
      <c r="F1060" t="s">
        <v>17310</v>
      </c>
      <c r="G1060" t="s">
        <v>20729</v>
      </c>
    </row>
    <row r="1061" spans="1:7">
      <c r="A1061" t="s">
        <v>20730</v>
      </c>
      <c r="B1061" t="s">
        <v>8607</v>
      </c>
      <c r="C1061" t="s">
        <v>20601</v>
      </c>
      <c r="D1061" t="s">
        <v>20731</v>
      </c>
      <c r="E1061" t="s">
        <v>8672</v>
      </c>
      <c r="F1061" t="s">
        <v>17310</v>
      </c>
      <c r="G1061" t="s">
        <v>20732</v>
      </c>
    </row>
    <row r="1062" spans="1:7">
      <c r="A1062" t="s">
        <v>20733</v>
      </c>
      <c r="B1062" t="s">
        <v>8607</v>
      </c>
      <c r="C1062" t="s">
        <v>20601</v>
      </c>
      <c r="D1062" t="s">
        <v>20734</v>
      </c>
      <c r="E1062" t="s">
        <v>8672</v>
      </c>
      <c r="F1062" t="s">
        <v>17310</v>
      </c>
      <c r="G1062" t="s">
        <v>20691</v>
      </c>
    </row>
    <row r="1063" spans="1:7">
      <c r="A1063" t="s">
        <v>20735</v>
      </c>
      <c r="B1063" t="s">
        <v>8607</v>
      </c>
      <c r="D1063" t="s">
        <v>20736</v>
      </c>
      <c r="E1063" t="s">
        <v>8672</v>
      </c>
      <c r="F1063" t="s">
        <v>17310</v>
      </c>
      <c r="G1063" t="s">
        <v>20271</v>
      </c>
    </row>
    <row r="1064" spans="1:7">
      <c r="A1064" t="s">
        <v>20737</v>
      </c>
      <c r="B1064" t="s">
        <v>8607</v>
      </c>
      <c r="C1064" t="s">
        <v>17589</v>
      </c>
      <c r="D1064" t="s">
        <v>20736</v>
      </c>
      <c r="E1064" t="s">
        <v>8672</v>
      </c>
      <c r="F1064" t="s">
        <v>17310</v>
      </c>
      <c r="G1064" t="s">
        <v>20738</v>
      </c>
    </row>
    <row r="1065" spans="1:7">
      <c r="A1065" t="s">
        <v>20739</v>
      </c>
      <c r="B1065" t="s">
        <v>8607</v>
      </c>
      <c r="C1065" t="s">
        <v>19676</v>
      </c>
      <c r="D1065" t="s">
        <v>20740</v>
      </c>
      <c r="E1065" t="s">
        <v>8672</v>
      </c>
      <c r="F1065" t="s">
        <v>9039</v>
      </c>
      <c r="G1065" t="s">
        <v>19632</v>
      </c>
    </row>
    <row r="1066" spans="1:7">
      <c r="A1066" t="s">
        <v>20741</v>
      </c>
      <c r="B1066" t="s">
        <v>8607</v>
      </c>
      <c r="C1066" t="s">
        <v>20525</v>
      </c>
      <c r="D1066" t="s">
        <v>20742</v>
      </c>
      <c r="E1066" t="s">
        <v>8672</v>
      </c>
      <c r="F1066" t="s">
        <v>17310</v>
      </c>
      <c r="G1066" t="s">
        <v>20536</v>
      </c>
    </row>
    <row r="1067" spans="1:7">
      <c r="A1067" t="s">
        <v>20743</v>
      </c>
      <c r="B1067" t="s">
        <v>8607</v>
      </c>
      <c r="C1067" t="s">
        <v>20525</v>
      </c>
      <c r="D1067" t="s">
        <v>20742</v>
      </c>
      <c r="E1067" t="s">
        <v>8672</v>
      </c>
      <c r="F1067" t="s">
        <v>17310</v>
      </c>
      <c r="G1067" t="s">
        <v>20526</v>
      </c>
    </row>
    <row r="1068" spans="1:7">
      <c r="A1068" t="s">
        <v>20744</v>
      </c>
      <c r="B1068" t="s">
        <v>8607</v>
      </c>
      <c r="C1068" t="s">
        <v>20528</v>
      </c>
      <c r="D1068" t="s">
        <v>20742</v>
      </c>
      <c r="E1068" t="s">
        <v>8672</v>
      </c>
      <c r="F1068" t="s">
        <v>17310</v>
      </c>
      <c r="G1068" t="s">
        <v>20745</v>
      </c>
    </row>
    <row r="1069" spans="1:7">
      <c r="A1069" t="s">
        <v>20746</v>
      </c>
      <c r="B1069" t="s">
        <v>8607</v>
      </c>
      <c r="C1069" t="s">
        <v>20601</v>
      </c>
      <c r="D1069" t="s">
        <v>20747</v>
      </c>
      <c r="E1069" t="s">
        <v>8672</v>
      </c>
      <c r="F1069" t="s">
        <v>17310</v>
      </c>
      <c r="G1069" t="s">
        <v>20680</v>
      </c>
    </row>
    <row r="1070" spans="1:7">
      <c r="A1070" t="s">
        <v>20748</v>
      </c>
      <c r="B1070" t="s">
        <v>8607</v>
      </c>
      <c r="C1070" t="s">
        <v>20595</v>
      </c>
      <c r="D1070" t="s">
        <v>20749</v>
      </c>
      <c r="E1070" t="s">
        <v>8672</v>
      </c>
      <c r="F1070" t="s">
        <v>9039</v>
      </c>
      <c r="G1070" t="s">
        <v>20597</v>
      </c>
    </row>
    <row r="1071" spans="1:7">
      <c r="A1071" t="s">
        <v>20750</v>
      </c>
      <c r="B1071" t="s">
        <v>8607</v>
      </c>
      <c r="C1071" t="s">
        <v>19630</v>
      </c>
      <c r="D1071" t="s">
        <v>20751</v>
      </c>
      <c r="E1071" t="s">
        <v>8672</v>
      </c>
      <c r="F1071" t="s">
        <v>17310</v>
      </c>
      <c r="G1071" t="s">
        <v>20752</v>
      </c>
    </row>
    <row r="1072" spans="1:7">
      <c r="A1072" t="s">
        <v>20753</v>
      </c>
      <c r="B1072" t="s">
        <v>8607</v>
      </c>
      <c r="C1072" t="s">
        <v>20601</v>
      </c>
      <c r="D1072" t="s">
        <v>20754</v>
      </c>
      <c r="E1072" t="s">
        <v>8672</v>
      </c>
      <c r="F1072" t="s">
        <v>17310</v>
      </c>
      <c r="G1072" t="s">
        <v>20755</v>
      </c>
    </row>
    <row r="1073" spans="1:7">
      <c r="A1073" t="s">
        <v>20756</v>
      </c>
      <c r="B1073" t="s">
        <v>8607</v>
      </c>
      <c r="C1073" t="s">
        <v>20757</v>
      </c>
      <c r="D1073" t="s">
        <v>20758</v>
      </c>
      <c r="E1073" t="s">
        <v>8672</v>
      </c>
      <c r="F1073" t="s">
        <v>17310</v>
      </c>
      <c r="G1073" t="s">
        <v>17316</v>
      </c>
    </row>
    <row r="1074" spans="1:7">
      <c r="A1074" t="s">
        <v>20759</v>
      </c>
      <c r="B1074" t="s">
        <v>8607</v>
      </c>
      <c r="C1074" t="s">
        <v>20626</v>
      </c>
      <c r="D1074" t="s">
        <v>20760</v>
      </c>
      <c r="E1074" t="s">
        <v>8672</v>
      </c>
      <c r="F1074" t="s">
        <v>9039</v>
      </c>
      <c r="G1074" t="s">
        <v>20761</v>
      </c>
    </row>
    <row r="1075" spans="1:7">
      <c r="A1075" t="s">
        <v>20762</v>
      </c>
      <c r="B1075" t="s">
        <v>8626</v>
      </c>
      <c r="C1075" t="s">
        <v>20615</v>
      </c>
      <c r="D1075" t="s">
        <v>20763</v>
      </c>
      <c r="E1075" t="s">
        <v>8672</v>
      </c>
      <c r="F1075" t="s">
        <v>17310</v>
      </c>
      <c r="G1075" t="s">
        <v>20764</v>
      </c>
    </row>
    <row r="1076" spans="1:7">
      <c r="A1076" t="s">
        <v>20765</v>
      </c>
      <c r="B1076" t="s">
        <v>8607</v>
      </c>
      <c r="C1076" t="s">
        <v>20659</v>
      </c>
      <c r="D1076" t="s">
        <v>20766</v>
      </c>
      <c r="E1076" t="s">
        <v>8672</v>
      </c>
      <c r="F1076" t="s">
        <v>17310</v>
      </c>
      <c r="G1076" t="s">
        <v>20271</v>
      </c>
    </row>
    <row r="1077" spans="1:7">
      <c r="A1077" t="s">
        <v>20767</v>
      </c>
      <c r="B1077" t="s">
        <v>8607</v>
      </c>
      <c r="C1077" t="s">
        <v>19630</v>
      </c>
      <c r="D1077" t="s">
        <v>20768</v>
      </c>
      <c r="E1077" t="s">
        <v>8672</v>
      </c>
      <c r="F1077" t="s">
        <v>17310</v>
      </c>
      <c r="G1077" t="s">
        <v>20752</v>
      </c>
    </row>
    <row r="1078" spans="1:7">
      <c r="A1078" t="s">
        <v>20769</v>
      </c>
      <c r="B1078" t="s">
        <v>8607</v>
      </c>
      <c r="C1078" t="s">
        <v>20619</v>
      </c>
      <c r="D1078" t="s">
        <v>20770</v>
      </c>
      <c r="E1078" t="s">
        <v>8672</v>
      </c>
      <c r="F1078" t="s">
        <v>17310</v>
      </c>
      <c r="G1078" t="s">
        <v>20771</v>
      </c>
    </row>
    <row r="1079" spans="1:7">
      <c r="A1079" t="s">
        <v>20772</v>
      </c>
      <c r="B1079" t="s">
        <v>8607</v>
      </c>
      <c r="C1079" t="s">
        <v>20659</v>
      </c>
      <c r="D1079" t="s">
        <v>20773</v>
      </c>
      <c r="E1079" t="s">
        <v>8672</v>
      </c>
      <c r="F1079" t="s">
        <v>17310</v>
      </c>
      <c r="G1079" t="s">
        <v>20271</v>
      </c>
    </row>
    <row r="1080" spans="1:7">
      <c r="A1080" t="s">
        <v>20774</v>
      </c>
      <c r="B1080" t="s">
        <v>8607</v>
      </c>
      <c r="C1080" t="s">
        <v>20559</v>
      </c>
      <c r="D1080" t="s">
        <v>20775</v>
      </c>
      <c r="E1080" t="s">
        <v>8672</v>
      </c>
      <c r="F1080" t="s">
        <v>17310</v>
      </c>
      <c r="G1080" t="s">
        <v>20776</v>
      </c>
    </row>
    <row r="1081" spans="1:7">
      <c r="A1081" t="s">
        <v>20777</v>
      </c>
      <c r="B1081" t="s">
        <v>8607</v>
      </c>
      <c r="C1081" t="s">
        <v>20525</v>
      </c>
      <c r="D1081" t="s">
        <v>20775</v>
      </c>
      <c r="E1081" t="s">
        <v>8672</v>
      </c>
      <c r="F1081" t="s">
        <v>17310</v>
      </c>
      <c r="G1081" t="s">
        <v>20778</v>
      </c>
    </row>
    <row r="1082" spans="1:7">
      <c r="A1082" t="s">
        <v>20779</v>
      </c>
      <c r="B1082" t="s">
        <v>8607</v>
      </c>
      <c r="C1082" t="s">
        <v>20528</v>
      </c>
      <c r="D1082" t="s">
        <v>20775</v>
      </c>
      <c r="E1082" t="s">
        <v>8672</v>
      </c>
      <c r="F1082" t="s">
        <v>17310</v>
      </c>
      <c r="G1082" t="s">
        <v>20780</v>
      </c>
    </row>
    <row r="1083" spans="1:7">
      <c r="A1083" t="s">
        <v>20781</v>
      </c>
      <c r="B1083" t="s">
        <v>8626</v>
      </c>
      <c r="C1083" t="s">
        <v>20528</v>
      </c>
      <c r="D1083" t="s">
        <v>20775</v>
      </c>
      <c r="E1083" t="s">
        <v>8672</v>
      </c>
      <c r="F1083" t="s">
        <v>17310</v>
      </c>
      <c r="G1083" t="s">
        <v>20782</v>
      </c>
    </row>
    <row r="1084" spans="1:7">
      <c r="A1084" t="s">
        <v>20783</v>
      </c>
      <c r="B1084" t="s">
        <v>8607</v>
      </c>
      <c r="C1084" t="s">
        <v>17308</v>
      </c>
      <c r="D1084" t="s">
        <v>20775</v>
      </c>
      <c r="E1084" t="s">
        <v>8672</v>
      </c>
      <c r="F1084" t="s">
        <v>17310</v>
      </c>
      <c r="G1084" t="s">
        <v>20784</v>
      </c>
    </row>
    <row r="1085" spans="1:7">
      <c r="A1085" t="s">
        <v>20785</v>
      </c>
      <c r="B1085" t="s">
        <v>8607</v>
      </c>
      <c r="C1085" t="s">
        <v>17308</v>
      </c>
      <c r="D1085" t="s">
        <v>20775</v>
      </c>
      <c r="E1085" t="s">
        <v>8672</v>
      </c>
      <c r="F1085" t="s">
        <v>17310</v>
      </c>
      <c r="G1085" t="s">
        <v>17581</v>
      </c>
    </row>
    <row r="1086" spans="1:7">
      <c r="A1086" t="s">
        <v>20786</v>
      </c>
      <c r="B1086" t="s">
        <v>8607</v>
      </c>
      <c r="C1086" t="s">
        <v>20525</v>
      </c>
      <c r="D1086" t="s">
        <v>20775</v>
      </c>
      <c r="E1086" t="s">
        <v>8672</v>
      </c>
      <c r="F1086" t="s">
        <v>17310</v>
      </c>
      <c r="G1086" t="s">
        <v>20787</v>
      </c>
    </row>
    <row r="1087" spans="1:7">
      <c r="A1087" t="s">
        <v>20788</v>
      </c>
      <c r="B1087" t="s">
        <v>8607</v>
      </c>
      <c r="C1087" t="s">
        <v>20525</v>
      </c>
      <c r="D1087" t="s">
        <v>20775</v>
      </c>
      <c r="E1087" t="s">
        <v>8672</v>
      </c>
      <c r="F1087" t="s">
        <v>17310</v>
      </c>
      <c r="G1087" t="s">
        <v>20780</v>
      </c>
    </row>
    <row r="1088" spans="1:7">
      <c r="A1088" t="s">
        <v>20789</v>
      </c>
      <c r="B1088" t="s">
        <v>8607</v>
      </c>
      <c r="C1088" t="s">
        <v>20528</v>
      </c>
      <c r="D1088" t="s">
        <v>20775</v>
      </c>
      <c r="E1088" t="s">
        <v>8672</v>
      </c>
      <c r="F1088" t="s">
        <v>17310</v>
      </c>
      <c r="G1088" t="s">
        <v>20790</v>
      </c>
    </row>
    <row r="1089" spans="1:7">
      <c r="A1089" t="s">
        <v>20791</v>
      </c>
      <c r="B1089" t="s">
        <v>8626</v>
      </c>
      <c r="C1089" t="s">
        <v>20525</v>
      </c>
      <c r="D1089" t="s">
        <v>20775</v>
      </c>
      <c r="E1089" t="s">
        <v>8672</v>
      </c>
      <c r="F1089" t="s">
        <v>17310</v>
      </c>
      <c r="G1089" t="s">
        <v>20792</v>
      </c>
    </row>
    <row r="1090" spans="1:7">
      <c r="A1090" t="s">
        <v>20793</v>
      </c>
      <c r="B1090" t="s">
        <v>8607</v>
      </c>
      <c r="C1090" t="s">
        <v>20528</v>
      </c>
      <c r="D1090" t="s">
        <v>20775</v>
      </c>
      <c r="E1090" t="s">
        <v>8672</v>
      </c>
      <c r="F1090" t="s">
        <v>17310</v>
      </c>
      <c r="G1090" t="s">
        <v>20780</v>
      </c>
    </row>
    <row r="1091" spans="1:7">
      <c r="A1091" t="s">
        <v>20794</v>
      </c>
      <c r="B1091" t="s">
        <v>8626</v>
      </c>
      <c r="C1091" t="s">
        <v>20757</v>
      </c>
      <c r="D1091" t="s">
        <v>20795</v>
      </c>
      <c r="E1091" t="s">
        <v>8672</v>
      </c>
      <c r="F1091" t="s">
        <v>17310</v>
      </c>
      <c r="G1091" t="s">
        <v>20796</v>
      </c>
    </row>
    <row r="1092" spans="1:7">
      <c r="A1092" t="s">
        <v>20797</v>
      </c>
      <c r="B1092" t="s">
        <v>8626</v>
      </c>
      <c r="C1092" t="s">
        <v>19630</v>
      </c>
      <c r="D1092" t="s">
        <v>20798</v>
      </c>
      <c r="E1092" t="s">
        <v>8672</v>
      </c>
      <c r="G1092" t="s">
        <v>20799</v>
      </c>
    </row>
    <row r="1093" spans="1:7">
      <c r="A1093" t="s">
        <v>20800</v>
      </c>
      <c r="B1093" t="s">
        <v>8607</v>
      </c>
      <c r="C1093" t="s">
        <v>20591</v>
      </c>
      <c r="D1093" t="s">
        <v>20801</v>
      </c>
      <c r="E1093" t="s">
        <v>8672</v>
      </c>
      <c r="F1093" t="s">
        <v>17310</v>
      </c>
      <c r="G1093" t="s">
        <v>20802</v>
      </c>
    </row>
    <row r="1094" spans="1:7">
      <c r="A1094" t="s">
        <v>20803</v>
      </c>
      <c r="B1094" t="s">
        <v>8607</v>
      </c>
      <c r="C1094" t="s">
        <v>20591</v>
      </c>
      <c r="D1094" t="s">
        <v>20801</v>
      </c>
      <c r="E1094" t="s">
        <v>8672</v>
      </c>
      <c r="F1094" t="s">
        <v>17310</v>
      </c>
      <c r="G1094" t="s">
        <v>20804</v>
      </c>
    </row>
    <row r="1095" spans="1:7">
      <c r="A1095" t="s">
        <v>20805</v>
      </c>
      <c r="B1095" t="s">
        <v>8607</v>
      </c>
      <c r="C1095" t="s">
        <v>20591</v>
      </c>
      <c r="D1095" t="s">
        <v>20801</v>
      </c>
      <c r="E1095" t="s">
        <v>8672</v>
      </c>
      <c r="F1095" t="s">
        <v>17310</v>
      </c>
      <c r="G1095" t="s">
        <v>20804</v>
      </c>
    </row>
    <row r="1096" spans="1:7">
      <c r="A1096" t="s">
        <v>20806</v>
      </c>
      <c r="B1096" t="s">
        <v>8607</v>
      </c>
      <c r="C1096" t="s">
        <v>20591</v>
      </c>
      <c r="D1096" t="s">
        <v>20801</v>
      </c>
      <c r="E1096" t="s">
        <v>8672</v>
      </c>
      <c r="F1096" t="s">
        <v>17310</v>
      </c>
      <c r="G1096" t="s">
        <v>20807</v>
      </c>
    </row>
    <row r="1097" spans="1:7">
      <c r="A1097" t="s">
        <v>20808</v>
      </c>
      <c r="B1097" t="s">
        <v>8607</v>
      </c>
      <c r="C1097" t="s">
        <v>20591</v>
      </c>
      <c r="D1097" t="s">
        <v>20809</v>
      </c>
      <c r="E1097" t="s">
        <v>8672</v>
      </c>
      <c r="F1097" t="s">
        <v>17310</v>
      </c>
      <c r="G1097" t="s">
        <v>20656</v>
      </c>
    </row>
    <row r="1098" spans="1:7">
      <c r="A1098" t="s">
        <v>20810</v>
      </c>
      <c r="B1098" t="s">
        <v>8626</v>
      </c>
      <c r="C1098" t="s">
        <v>20591</v>
      </c>
      <c r="D1098" t="s">
        <v>20811</v>
      </c>
      <c r="E1098" t="s">
        <v>8672</v>
      </c>
      <c r="F1098" t="s">
        <v>17310</v>
      </c>
      <c r="G1098" t="s">
        <v>20812</v>
      </c>
    </row>
    <row r="1099" spans="1:7">
      <c r="A1099" t="s">
        <v>20813</v>
      </c>
      <c r="B1099" t="s">
        <v>8626</v>
      </c>
      <c r="C1099" t="s">
        <v>20814</v>
      </c>
      <c r="D1099" t="s">
        <v>14626</v>
      </c>
      <c r="E1099" t="s">
        <v>8672</v>
      </c>
      <c r="F1099" t="s">
        <v>14627</v>
      </c>
      <c r="G1099" t="s">
        <v>20815</v>
      </c>
    </row>
    <row r="1100" spans="1:7">
      <c r="A1100" t="s">
        <v>20816</v>
      </c>
      <c r="B1100" t="s">
        <v>8626</v>
      </c>
      <c r="C1100" t="s">
        <v>14625</v>
      </c>
      <c r="D1100" t="s">
        <v>14626</v>
      </c>
      <c r="E1100" t="s">
        <v>8672</v>
      </c>
      <c r="F1100" t="s">
        <v>14627</v>
      </c>
      <c r="G1100" t="s">
        <v>20817</v>
      </c>
    </row>
    <row r="1101" spans="1:7">
      <c r="A1101" t="s">
        <v>20818</v>
      </c>
      <c r="B1101" t="s">
        <v>8626</v>
      </c>
      <c r="C1101" t="s">
        <v>14625</v>
      </c>
      <c r="D1101" t="s">
        <v>14626</v>
      </c>
      <c r="E1101" t="s">
        <v>8672</v>
      </c>
      <c r="F1101" t="s">
        <v>14627</v>
      </c>
      <c r="G1101" t="s">
        <v>20819</v>
      </c>
    </row>
    <row r="1102" spans="1:7">
      <c r="A1102" t="s">
        <v>20820</v>
      </c>
      <c r="B1102" t="s">
        <v>8626</v>
      </c>
      <c r="C1102" t="s">
        <v>20814</v>
      </c>
      <c r="D1102" t="s">
        <v>14626</v>
      </c>
      <c r="E1102" t="s">
        <v>8672</v>
      </c>
      <c r="F1102" t="s">
        <v>14627</v>
      </c>
      <c r="G1102" t="s">
        <v>20821</v>
      </c>
    </row>
    <row r="1103" spans="1:7">
      <c r="A1103" t="s">
        <v>20822</v>
      </c>
      <c r="B1103" t="s">
        <v>8626</v>
      </c>
      <c r="C1103" t="s">
        <v>14625</v>
      </c>
      <c r="D1103" t="s">
        <v>14626</v>
      </c>
      <c r="E1103" t="s">
        <v>8672</v>
      </c>
      <c r="F1103" t="s">
        <v>14627</v>
      </c>
      <c r="G1103" t="s">
        <v>20823</v>
      </c>
    </row>
    <row r="1104" spans="1:7">
      <c r="A1104" t="s">
        <v>20824</v>
      </c>
      <c r="B1104" t="s">
        <v>8626</v>
      </c>
      <c r="D1104" t="s">
        <v>14626</v>
      </c>
      <c r="E1104" t="s">
        <v>8672</v>
      </c>
      <c r="F1104" t="s">
        <v>14627</v>
      </c>
      <c r="G1104" t="s">
        <v>20825</v>
      </c>
    </row>
    <row r="1105" spans="1:7">
      <c r="A1105" t="s">
        <v>20826</v>
      </c>
      <c r="B1105" t="s">
        <v>8607</v>
      </c>
      <c r="C1105" t="s">
        <v>20814</v>
      </c>
      <c r="D1105" t="s">
        <v>14626</v>
      </c>
      <c r="E1105" t="s">
        <v>8672</v>
      </c>
      <c r="F1105" t="s">
        <v>14627</v>
      </c>
      <c r="G1105" t="s">
        <v>20827</v>
      </c>
    </row>
    <row r="1106" spans="1:7">
      <c r="A1106" t="s">
        <v>20828</v>
      </c>
      <c r="B1106" t="s">
        <v>8626</v>
      </c>
      <c r="C1106" t="s">
        <v>14625</v>
      </c>
      <c r="D1106" t="s">
        <v>14626</v>
      </c>
      <c r="E1106" t="s">
        <v>8672</v>
      </c>
      <c r="F1106" t="s">
        <v>14627</v>
      </c>
      <c r="G1106" t="s">
        <v>20829</v>
      </c>
    </row>
    <row r="1107" spans="1:7">
      <c r="A1107" t="s">
        <v>20830</v>
      </c>
      <c r="B1107" t="s">
        <v>8626</v>
      </c>
      <c r="C1107" t="s">
        <v>14625</v>
      </c>
      <c r="D1107" t="s">
        <v>14626</v>
      </c>
      <c r="E1107" t="s">
        <v>8672</v>
      </c>
      <c r="F1107" t="s">
        <v>14627</v>
      </c>
      <c r="G1107" t="s">
        <v>20831</v>
      </c>
    </row>
    <row r="1108" spans="1:7">
      <c r="A1108" t="s">
        <v>20832</v>
      </c>
      <c r="B1108" t="s">
        <v>8607</v>
      </c>
      <c r="C1108" t="s">
        <v>20814</v>
      </c>
      <c r="D1108" t="s">
        <v>14626</v>
      </c>
      <c r="E1108" t="s">
        <v>8672</v>
      </c>
      <c r="F1108" t="s">
        <v>14627</v>
      </c>
      <c r="G1108" t="s">
        <v>20833</v>
      </c>
    </row>
    <row r="1109" spans="1:7">
      <c r="A1109" t="s">
        <v>20834</v>
      </c>
      <c r="B1109" t="s">
        <v>8626</v>
      </c>
      <c r="C1109" t="s">
        <v>14625</v>
      </c>
      <c r="D1109" t="s">
        <v>14626</v>
      </c>
      <c r="E1109" t="s">
        <v>8672</v>
      </c>
      <c r="F1109" t="s">
        <v>14627</v>
      </c>
      <c r="G1109" t="s">
        <v>20835</v>
      </c>
    </row>
    <row r="1110" spans="1:7">
      <c r="A1110" t="s">
        <v>20836</v>
      </c>
      <c r="B1110" t="s">
        <v>8626</v>
      </c>
      <c r="C1110" t="s">
        <v>20837</v>
      </c>
      <c r="D1110" t="s">
        <v>20838</v>
      </c>
      <c r="E1110" t="s">
        <v>8672</v>
      </c>
      <c r="F1110" t="s">
        <v>20839</v>
      </c>
      <c r="G1110" t="s">
        <v>20840</v>
      </c>
    </row>
    <row r="1111" spans="1:7">
      <c r="A1111" t="s">
        <v>20841</v>
      </c>
      <c r="B1111" t="s">
        <v>8607</v>
      </c>
      <c r="D1111" t="s">
        <v>11917</v>
      </c>
      <c r="E1111" t="s">
        <v>8672</v>
      </c>
      <c r="F1111" t="s">
        <v>11990</v>
      </c>
      <c r="G1111" t="s">
        <v>20842</v>
      </c>
    </row>
    <row r="1112" spans="1:7">
      <c r="A1112" t="s">
        <v>20843</v>
      </c>
      <c r="B1112" t="s">
        <v>8626</v>
      </c>
      <c r="D1112" t="s">
        <v>11917</v>
      </c>
      <c r="E1112" t="s">
        <v>8672</v>
      </c>
      <c r="F1112" t="s">
        <v>20844</v>
      </c>
      <c r="G1112" t="s">
        <v>20845</v>
      </c>
    </row>
    <row r="1113" spans="1:7">
      <c r="A1113" t="s">
        <v>20846</v>
      </c>
      <c r="B1113" t="s">
        <v>8626</v>
      </c>
      <c r="D1113" t="s">
        <v>11917</v>
      </c>
      <c r="E1113" t="s">
        <v>8672</v>
      </c>
      <c r="F1113" t="s">
        <v>13241</v>
      </c>
      <c r="G1113" t="s">
        <v>20847</v>
      </c>
    </row>
    <row r="1114" spans="1:7">
      <c r="A1114" t="s">
        <v>20848</v>
      </c>
      <c r="B1114" t="s">
        <v>8626</v>
      </c>
      <c r="D1114" t="s">
        <v>11917</v>
      </c>
      <c r="E1114" t="s">
        <v>8672</v>
      </c>
      <c r="F1114" t="s">
        <v>8623</v>
      </c>
      <c r="G1114" t="s">
        <v>20849</v>
      </c>
    </row>
    <row r="1115" spans="1:7">
      <c r="A1115" t="s">
        <v>20850</v>
      </c>
      <c r="B1115" t="s">
        <v>8626</v>
      </c>
      <c r="D1115" t="s">
        <v>11917</v>
      </c>
      <c r="E1115" t="s">
        <v>8672</v>
      </c>
      <c r="F1115" t="s">
        <v>8623</v>
      </c>
      <c r="G1115" t="s">
        <v>20851</v>
      </c>
    </row>
    <row r="1116" spans="1:7">
      <c r="A1116" t="s">
        <v>20852</v>
      </c>
      <c r="B1116" t="s">
        <v>8626</v>
      </c>
      <c r="D1116" t="s">
        <v>11917</v>
      </c>
      <c r="E1116" t="s">
        <v>8672</v>
      </c>
      <c r="F1116" t="s">
        <v>8623</v>
      </c>
      <c r="G1116" t="s">
        <v>20853</v>
      </c>
    </row>
    <row r="1117" spans="1:7">
      <c r="A1117" t="s">
        <v>20854</v>
      </c>
      <c r="B1117" t="s">
        <v>8626</v>
      </c>
      <c r="D1117" t="s">
        <v>11917</v>
      </c>
      <c r="E1117" t="s">
        <v>8672</v>
      </c>
      <c r="F1117" t="s">
        <v>8623</v>
      </c>
      <c r="G1117" t="s">
        <v>20855</v>
      </c>
    </row>
    <row r="1118" spans="1:7">
      <c r="A1118" t="s">
        <v>20856</v>
      </c>
      <c r="B1118" t="s">
        <v>8607</v>
      </c>
      <c r="D1118" t="s">
        <v>11917</v>
      </c>
      <c r="E1118" t="s">
        <v>8672</v>
      </c>
      <c r="F1118" t="s">
        <v>8623</v>
      </c>
      <c r="G1118" t="s">
        <v>20857</v>
      </c>
    </row>
    <row r="1119" spans="1:7">
      <c r="A1119" t="s">
        <v>20858</v>
      </c>
      <c r="B1119" t="s">
        <v>8626</v>
      </c>
      <c r="D1119" t="s">
        <v>11917</v>
      </c>
      <c r="E1119" t="s">
        <v>8672</v>
      </c>
      <c r="F1119" t="s">
        <v>8623</v>
      </c>
      <c r="G1119" t="s">
        <v>20859</v>
      </c>
    </row>
    <row r="1120" spans="1:7">
      <c r="A1120" t="s">
        <v>20860</v>
      </c>
      <c r="B1120" t="s">
        <v>8607</v>
      </c>
      <c r="D1120" t="s">
        <v>11917</v>
      </c>
      <c r="E1120" t="s">
        <v>8672</v>
      </c>
      <c r="F1120" t="s">
        <v>8623</v>
      </c>
      <c r="G1120" t="s">
        <v>15082</v>
      </c>
    </row>
    <row r="1121" spans="1:7">
      <c r="A1121" t="s">
        <v>20861</v>
      </c>
      <c r="B1121" t="s">
        <v>8607</v>
      </c>
      <c r="D1121" t="s">
        <v>11917</v>
      </c>
      <c r="E1121" t="s">
        <v>8672</v>
      </c>
      <c r="F1121" t="s">
        <v>12216</v>
      </c>
      <c r="G1121" t="s">
        <v>20862</v>
      </c>
    </row>
    <row r="1122" spans="1:7">
      <c r="A1122" t="s">
        <v>20863</v>
      </c>
      <c r="B1122" t="s">
        <v>8607</v>
      </c>
      <c r="D1122" t="s">
        <v>11917</v>
      </c>
      <c r="E1122" t="s">
        <v>8672</v>
      </c>
      <c r="F1122" t="s">
        <v>8623</v>
      </c>
      <c r="G1122" t="s">
        <v>15082</v>
      </c>
    </row>
    <row r="1123" spans="1:7">
      <c r="A1123" t="s">
        <v>20864</v>
      </c>
      <c r="B1123" t="s">
        <v>8626</v>
      </c>
      <c r="D1123" t="s">
        <v>20865</v>
      </c>
      <c r="E1123" t="s">
        <v>8672</v>
      </c>
      <c r="F1123" t="s">
        <v>20866</v>
      </c>
      <c r="G1123" t="s">
        <v>20867</v>
      </c>
    </row>
    <row r="1124" spans="1:7">
      <c r="A1124" t="s">
        <v>20868</v>
      </c>
      <c r="B1124" t="s">
        <v>8607</v>
      </c>
      <c r="C1124" t="s">
        <v>20869</v>
      </c>
      <c r="D1124" t="s">
        <v>20870</v>
      </c>
      <c r="E1124" t="s">
        <v>8672</v>
      </c>
      <c r="F1124" t="s">
        <v>20871</v>
      </c>
      <c r="G1124" t="s">
        <v>20872</v>
      </c>
    </row>
    <row r="1125" spans="1:7">
      <c r="A1125" t="s">
        <v>20873</v>
      </c>
      <c r="B1125" t="s">
        <v>8607</v>
      </c>
      <c r="C1125" t="s">
        <v>20869</v>
      </c>
      <c r="D1125" t="s">
        <v>20874</v>
      </c>
      <c r="E1125" t="s">
        <v>8672</v>
      </c>
      <c r="F1125" t="s">
        <v>20871</v>
      </c>
      <c r="G1125" t="s">
        <v>20875</v>
      </c>
    </row>
    <row r="1126" spans="1:7">
      <c r="A1126" t="s">
        <v>20876</v>
      </c>
      <c r="B1126" t="s">
        <v>8626</v>
      </c>
      <c r="C1126" t="s">
        <v>20877</v>
      </c>
      <c r="D1126" t="s">
        <v>20878</v>
      </c>
      <c r="E1126" t="s">
        <v>8672</v>
      </c>
      <c r="F1126" t="s">
        <v>14108</v>
      </c>
      <c r="G1126" t="s">
        <v>20879</v>
      </c>
    </row>
    <row r="1127" spans="1:7">
      <c r="A1127" t="s">
        <v>20880</v>
      </c>
      <c r="B1127" t="s">
        <v>8626</v>
      </c>
      <c r="D1127" t="s">
        <v>9022</v>
      </c>
      <c r="E1127" t="s">
        <v>8672</v>
      </c>
      <c r="F1127" t="s">
        <v>14108</v>
      </c>
      <c r="G1127" t="s">
        <v>20881</v>
      </c>
    </row>
    <row r="1128" spans="1:7">
      <c r="A1128" t="s">
        <v>20882</v>
      </c>
      <c r="B1128" t="s">
        <v>8626</v>
      </c>
      <c r="C1128" t="s">
        <v>20883</v>
      </c>
      <c r="D1128" t="s">
        <v>20884</v>
      </c>
      <c r="E1128" t="s">
        <v>8672</v>
      </c>
      <c r="F1128" t="s">
        <v>14108</v>
      </c>
      <c r="G1128" t="s">
        <v>20885</v>
      </c>
    </row>
    <row r="1129" spans="1:7">
      <c r="A1129" t="s">
        <v>20886</v>
      </c>
      <c r="B1129" t="s">
        <v>8626</v>
      </c>
      <c r="D1129" t="s">
        <v>20887</v>
      </c>
      <c r="E1129" t="s">
        <v>8672</v>
      </c>
      <c r="F1129" t="s">
        <v>14108</v>
      </c>
      <c r="G1129" t="s">
        <v>20888</v>
      </c>
    </row>
    <row r="1130" spans="1:7">
      <c r="A1130" t="s">
        <v>20889</v>
      </c>
      <c r="B1130" t="s">
        <v>8626</v>
      </c>
      <c r="D1130" t="s">
        <v>20890</v>
      </c>
      <c r="E1130" t="s">
        <v>8672</v>
      </c>
      <c r="F1130" t="s">
        <v>14108</v>
      </c>
      <c r="G1130" t="s">
        <v>20891</v>
      </c>
    </row>
    <row r="1131" spans="1:7">
      <c r="A1131" t="s">
        <v>20892</v>
      </c>
      <c r="B1131" t="s">
        <v>8626</v>
      </c>
      <c r="D1131" t="s">
        <v>20890</v>
      </c>
      <c r="E1131" t="s">
        <v>8672</v>
      </c>
      <c r="F1131" t="s">
        <v>14108</v>
      </c>
      <c r="G1131" t="s">
        <v>20891</v>
      </c>
    </row>
    <row r="1132" spans="1:7">
      <c r="A1132" t="s">
        <v>20893</v>
      </c>
      <c r="B1132" t="s">
        <v>8607</v>
      </c>
      <c r="D1132" t="s">
        <v>20890</v>
      </c>
      <c r="E1132" t="s">
        <v>8672</v>
      </c>
      <c r="F1132" t="s">
        <v>14108</v>
      </c>
      <c r="G1132" t="s">
        <v>20894</v>
      </c>
    </row>
    <row r="1133" spans="1:7">
      <c r="A1133" t="s">
        <v>20895</v>
      </c>
      <c r="B1133" t="s">
        <v>8607</v>
      </c>
      <c r="D1133" t="s">
        <v>20890</v>
      </c>
      <c r="E1133" t="s">
        <v>8672</v>
      </c>
      <c r="F1133" t="s">
        <v>14108</v>
      </c>
      <c r="G1133" t="s">
        <v>20896</v>
      </c>
    </row>
    <row r="1134" spans="1:7">
      <c r="A1134" t="s">
        <v>20897</v>
      </c>
      <c r="B1134" t="s">
        <v>8607</v>
      </c>
      <c r="D1134" t="s">
        <v>20898</v>
      </c>
      <c r="E1134" t="s">
        <v>8672</v>
      </c>
      <c r="F1134" t="s">
        <v>20051</v>
      </c>
      <c r="G1134" t="s">
        <v>20899</v>
      </c>
    </row>
    <row r="1135" spans="1:7">
      <c r="A1135" t="s">
        <v>20900</v>
      </c>
      <c r="B1135" t="s">
        <v>8626</v>
      </c>
      <c r="D1135" t="s">
        <v>20901</v>
      </c>
      <c r="E1135" t="s">
        <v>8672</v>
      </c>
      <c r="F1135" t="s">
        <v>14108</v>
      </c>
      <c r="G1135" t="s">
        <v>20902</v>
      </c>
    </row>
    <row r="1136" spans="1:7">
      <c r="A1136" t="s">
        <v>20903</v>
      </c>
      <c r="B1136" t="s">
        <v>8607</v>
      </c>
      <c r="C1136" t="s">
        <v>20904</v>
      </c>
      <c r="D1136" t="s">
        <v>20901</v>
      </c>
      <c r="E1136" t="s">
        <v>8672</v>
      </c>
      <c r="F1136" t="s">
        <v>14108</v>
      </c>
      <c r="G1136" t="s">
        <v>20905</v>
      </c>
    </row>
    <row r="1137" spans="1:7">
      <c r="A1137" t="s">
        <v>20906</v>
      </c>
      <c r="B1137" t="s">
        <v>8626</v>
      </c>
      <c r="D1137" t="s">
        <v>20901</v>
      </c>
      <c r="E1137" t="s">
        <v>8672</v>
      </c>
      <c r="F1137" t="s">
        <v>14108</v>
      </c>
      <c r="G1137" t="s">
        <v>20907</v>
      </c>
    </row>
    <row r="1138" spans="1:7">
      <c r="A1138" t="s">
        <v>20908</v>
      </c>
      <c r="B1138" t="s">
        <v>8607</v>
      </c>
      <c r="D1138" t="s">
        <v>20901</v>
      </c>
      <c r="E1138" t="s">
        <v>8672</v>
      </c>
      <c r="F1138" t="s">
        <v>14108</v>
      </c>
      <c r="G1138" t="s">
        <v>20909</v>
      </c>
    </row>
    <row r="1139" spans="1:7">
      <c r="A1139" t="s">
        <v>20910</v>
      </c>
      <c r="B1139" t="s">
        <v>8607</v>
      </c>
      <c r="D1139" t="s">
        <v>20901</v>
      </c>
      <c r="E1139" t="s">
        <v>8672</v>
      </c>
      <c r="F1139" t="s">
        <v>14108</v>
      </c>
      <c r="G1139" t="s">
        <v>20911</v>
      </c>
    </row>
    <row r="1140" spans="1:7">
      <c r="A1140" t="s">
        <v>20912</v>
      </c>
      <c r="B1140" t="s">
        <v>8626</v>
      </c>
      <c r="D1140" t="s">
        <v>20901</v>
      </c>
      <c r="E1140" t="s">
        <v>8672</v>
      </c>
      <c r="F1140" t="s">
        <v>14108</v>
      </c>
      <c r="G1140" t="s">
        <v>20913</v>
      </c>
    </row>
    <row r="1141" spans="1:7">
      <c r="A1141" t="s">
        <v>20914</v>
      </c>
      <c r="B1141" t="s">
        <v>8626</v>
      </c>
      <c r="C1141" t="s">
        <v>20904</v>
      </c>
      <c r="D1141" t="s">
        <v>20901</v>
      </c>
      <c r="E1141" t="s">
        <v>8672</v>
      </c>
      <c r="F1141" t="s">
        <v>14108</v>
      </c>
      <c r="G1141" t="s">
        <v>20915</v>
      </c>
    </row>
    <row r="1142" spans="1:7">
      <c r="A1142" t="s">
        <v>20916</v>
      </c>
      <c r="B1142" t="s">
        <v>8607</v>
      </c>
      <c r="D1142" t="s">
        <v>20901</v>
      </c>
      <c r="E1142" t="s">
        <v>8672</v>
      </c>
      <c r="F1142" t="s">
        <v>14108</v>
      </c>
      <c r="G1142" t="s">
        <v>20911</v>
      </c>
    </row>
    <row r="1143" spans="1:7">
      <c r="A1143" t="s">
        <v>20917</v>
      </c>
      <c r="B1143" t="s">
        <v>8626</v>
      </c>
      <c r="C1143" t="s">
        <v>20918</v>
      </c>
      <c r="D1143" t="s">
        <v>20919</v>
      </c>
      <c r="E1143" t="s">
        <v>8672</v>
      </c>
      <c r="F1143" t="s">
        <v>20920</v>
      </c>
      <c r="G1143" t="s">
        <v>20921</v>
      </c>
    </row>
    <row r="1144" spans="1:7">
      <c r="A1144" t="s">
        <v>20922</v>
      </c>
      <c r="B1144" t="s">
        <v>8607</v>
      </c>
      <c r="C1144" t="s">
        <v>20923</v>
      </c>
      <c r="D1144" t="s">
        <v>20924</v>
      </c>
      <c r="E1144" t="s">
        <v>8672</v>
      </c>
      <c r="F1144" t="s">
        <v>14108</v>
      </c>
      <c r="G1144" t="s">
        <v>20925</v>
      </c>
    </row>
    <row r="1145" spans="1:7">
      <c r="A1145" t="s">
        <v>20926</v>
      </c>
      <c r="B1145" t="s">
        <v>8626</v>
      </c>
      <c r="C1145" t="s">
        <v>20927</v>
      </c>
      <c r="D1145" t="s">
        <v>20928</v>
      </c>
      <c r="E1145" t="s">
        <v>8672</v>
      </c>
      <c r="F1145" t="s">
        <v>11540</v>
      </c>
      <c r="G1145" t="s">
        <v>20929</v>
      </c>
    </row>
    <row r="1146" spans="1:7">
      <c r="A1146" t="s">
        <v>20930</v>
      </c>
      <c r="B1146" t="s">
        <v>8626</v>
      </c>
      <c r="C1146" t="s">
        <v>20931</v>
      </c>
      <c r="D1146" t="s">
        <v>20932</v>
      </c>
      <c r="E1146" t="s">
        <v>8672</v>
      </c>
      <c r="F1146" t="s">
        <v>11540</v>
      </c>
      <c r="G1146" t="s">
        <v>20933</v>
      </c>
    </row>
    <row r="1147" spans="1:7">
      <c r="A1147" t="s">
        <v>20934</v>
      </c>
      <c r="B1147" t="s">
        <v>8607</v>
      </c>
      <c r="C1147" t="s">
        <v>18623</v>
      </c>
      <c r="D1147" t="s">
        <v>20935</v>
      </c>
      <c r="E1147" t="s">
        <v>8672</v>
      </c>
      <c r="F1147" t="s">
        <v>11540</v>
      </c>
      <c r="G1147" t="s">
        <v>18625</v>
      </c>
    </row>
    <row r="1148" spans="1:7">
      <c r="A1148" t="s">
        <v>20936</v>
      </c>
      <c r="B1148" t="s">
        <v>8607</v>
      </c>
      <c r="C1148" t="s">
        <v>20937</v>
      </c>
      <c r="D1148" t="s">
        <v>20938</v>
      </c>
      <c r="E1148" t="s">
        <v>8672</v>
      </c>
      <c r="F1148" t="s">
        <v>11540</v>
      </c>
      <c r="G1148" t="s">
        <v>20939</v>
      </c>
    </row>
    <row r="1149" spans="1:7">
      <c r="A1149" t="s">
        <v>20940</v>
      </c>
      <c r="B1149" t="s">
        <v>8607</v>
      </c>
      <c r="D1149" t="s">
        <v>20941</v>
      </c>
      <c r="E1149" t="s">
        <v>8672</v>
      </c>
      <c r="F1149" t="s">
        <v>20942</v>
      </c>
      <c r="G1149" t="s">
        <v>20943</v>
      </c>
    </row>
    <row r="1150" spans="1:7">
      <c r="A1150" t="s">
        <v>20944</v>
      </c>
      <c r="B1150" t="s">
        <v>8607</v>
      </c>
      <c r="C1150" t="s">
        <v>20945</v>
      </c>
      <c r="D1150" t="s">
        <v>20946</v>
      </c>
      <c r="E1150" t="s">
        <v>8672</v>
      </c>
      <c r="F1150" t="s">
        <v>11540</v>
      </c>
      <c r="G1150" t="s">
        <v>20947</v>
      </c>
    </row>
    <row r="1151" spans="1:7">
      <c r="A1151" t="s">
        <v>20948</v>
      </c>
      <c r="B1151" t="s">
        <v>8626</v>
      </c>
      <c r="D1151" t="s">
        <v>20949</v>
      </c>
      <c r="E1151" t="s">
        <v>8672</v>
      </c>
      <c r="F1151" t="s">
        <v>18636</v>
      </c>
      <c r="G1151" t="s">
        <v>20950</v>
      </c>
    </row>
    <row r="1152" spans="1:7">
      <c r="A1152" t="s">
        <v>20951</v>
      </c>
      <c r="B1152" t="s">
        <v>8607</v>
      </c>
      <c r="C1152" t="s">
        <v>20931</v>
      </c>
      <c r="D1152" t="s">
        <v>20952</v>
      </c>
      <c r="E1152" t="s">
        <v>8672</v>
      </c>
      <c r="F1152" t="s">
        <v>11540</v>
      </c>
      <c r="G1152" t="s">
        <v>20953</v>
      </c>
    </row>
    <row r="1153" spans="1:7">
      <c r="A1153" t="s">
        <v>20954</v>
      </c>
      <c r="B1153" t="s">
        <v>8607</v>
      </c>
      <c r="D1153" t="s">
        <v>20952</v>
      </c>
      <c r="E1153" t="s">
        <v>8672</v>
      </c>
      <c r="F1153" t="s">
        <v>11540</v>
      </c>
      <c r="G1153" t="s">
        <v>20955</v>
      </c>
    </row>
    <row r="1154" spans="1:7">
      <c r="A1154" t="s">
        <v>20956</v>
      </c>
      <c r="B1154" t="s">
        <v>8607</v>
      </c>
      <c r="C1154" t="s">
        <v>20957</v>
      </c>
      <c r="D1154" t="s">
        <v>20952</v>
      </c>
      <c r="E1154" t="s">
        <v>8672</v>
      </c>
      <c r="F1154" t="s">
        <v>11540</v>
      </c>
      <c r="G1154" t="s">
        <v>20958</v>
      </c>
    </row>
    <row r="1155" spans="1:7">
      <c r="A1155" t="s">
        <v>20959</v>
      </c>
      <c r="B1155" t="s">
        <v>8626</v>
      </c>
      <c r="C1155" t="s">
        <v>20960</v>
      </c>
      <c r="D1155" t="s">
        <v>20961</v>
      </c>
      <c r="E1155" t="s">
        <v>8672</v>
      </c>
      <c r="F1155" t="s">
        <v>11272</v>
      </c>
      <c r="G1155" t="s">
        <v>20962</v>
      </c>
    </row>
    <row r="1156" spans="1:7">
      <c r="A1156" t="s">
        <v>20963</v>
      </c>
      <c r="B1156" t="s">
        <v>8607</v>
      </c>
      <c r="C1156" t="s">
        <v>20957</v>
      </c>
      <c r="D1156" t="s">
        <v>20964</v>
      </c>
      <c r="E1156" t="s">
        <v>8672</v>
      </c>
      <c r="F1156" t="s">
        <v>11540</v>
      </c>
      <c r="G1156" t="s">
        <v>20965</v>
      </c>
    </row>
    <row r="1157" spans="1:7">
      <c r="A1157" t="s">
        <v>20966</v>
      </c>
      <c r="B1157" t="s">
        <v>8626</v>
      </c>
      <c r="C1157" t="s">
        <v>20967</v>
      </c>
      <c r="D1157" t="s">
        <v>20968</v>
      </c>
      <c r="E1157" t="s">
        <v>8672</v>
      </c>
      <c r="F1157" t="s">
        <v>9002</v>
      </c>
      <c r="G1157" t="s">
        <v>20969</v>
      </c>
    </row>
    <row r="1158" spans="1:7">
      <c r="A1158" t="s">
        <v>20970</v>
      </c>
      <c r="B1158" t="s">
        <v>8626</v>
      </c>
      <c r="C1158" t="s">
        <v>20967</v>
      </c>
      <c r="D1158" t="s">
        <v>20968</v>
      </c>
      <c r="E1158" t="s">
        <v>8672</v>
      </c>
      <c r="F1158" t="s">
        <v>9002</v>
      </c>
      <c r="G1158" t="s">
        <v>20969</v>
      </c>
    </row>
    <row r="1159" spans="1:7">
      <c r="A1159" t="s">
        <v>20971</v>
      </c>
      <c r="B1159" t="s">
        <v>8626</v>
      </c>
      <c r="C1159" t="s">
        <v>20972</v>
      </c>
      <c r="D1159" t="s">
        <v>20973</v>
      </c>
      <c r="E1159" t="s">
        <v>8672</v>
      </c>
      <c r="F1159" t="s">
        <v>11540</v>
      </c>
      <c r="G1159" t="s">
        <v>20974</v>
      </c>
    </row>
    <row r="1160" spans="1:7">
      <c r="A1160" t="s">
        <v>20975</v>
      </c>
      <c r="B1160" t="s">
        <v>8626</v>
      </c>
      <c r="C1160" t="s">
        <v>20957</v>
      </c>
      <c r="D1160" t="s">
        <v>20976</v>
      </c>
      <c r="E1160" t="s">
        <v>8672</v>
      </c>
      <c r="F1160" t="s">
        <v>11540</v>
      </c>
      <c r="G1160" t="s">
        <v>20977</v>
      </c>
    </row>
    <row r="1161" spans="1:7">
      <c r="A1161" t="s">
        <v>20978</v>
      </c>
      <c r="B1161" t="s">
        <v>8626</v>
      </c>
      <c r="C1161" t="s">
        <v>20957</v>
      </c>
      <c r="D1161" t="s">
        <v>20976</v>
      </c>
      <c r="E1161" t="s">
        <v>8672</v>
      </c>
      <c r="F1161" t="s">
        <v>11540</v>
      </c>
      <c r="G1161" t="s">
        <v>20979</v>
      </c>
    </row>
    <row r="1162" spans="1:7">
      <c r="A1162" t="s">
        <v>20980</v>
      </c>
      <c r="B1162" t="s">
        <v>8607</v>
      </c>
      <c r="C1162" t="s">
        <v>20957</v>
      </c>
      <c r="D1162" t="s">
        <v>20976</v>
      </c>
      <c r="E1162" t="s">
        <v>8672</v>
      </c>
      <c r="F1162" t="s">
        <v>11540</v>
      </c>
      <c r="G1162" t="s">
        <v>20981</v>
      </c>
    </row>
    <row r="1163" spans="1:7">
      <c r="A1163" t="s">
        <v>20982</v>
      </c>
      <c r="B1163" t="s">
        <v>8607</v>
      </c>
      <c r="C1163" t="s">
        <v>20957</v>
      </c>
      <c r="D1163" t="s">
        <v>20983</v>
      </c>
      <c r="E1163" t="s">
        <v>8672</v>
      </c>
      <c r="F1163" t="s">
        <v>11540</v>
      </c>
      <c r="G1163" t="s">
        <v>20984</v>
      </c>
    </row>
    <row r="1164" spans="1:7">
      <c r="A1164" t="s">
        <v>20985</v>
      </c>
      <c r="B1164" t="s">
        <v>8607</v>
      </c>
      <c r="C1164" t="s">
        <v>20972</v>
      </c>
      <c r="D1164" t="s">
        <v>20986</v>
      </c>
      <c r="E1164" t="s">
        <v>8672</v>
      </c>
      <c r="F1164" t="s">
        <v>11540</v>
      </c>
      <c r="G1164" t="s">
        <v>20987</v>
      </c>
    </row>
    <row r="1165" spans="1:7">
      <c r="A1165" t="s">
        <v>20988</v>
      </c>
      <c r="B1165" t="s">
        <v>8607</v>
      </c>
      <c r="C1165" t="s">
        <v>20957</v>
      </c>
      <c r="D1165" t="s">
        <v>20986</v>
      </c>
      <c r="E1165" t="s">
        <v>8672</v>
      </c>
      <c r="F1165" t="s">
        <v>11540</v>
      </c>
      <c r="G1165" t="s">
        <v>20989</v>
      </c>
    </row>
    <row r="1166" spans="1:7">
      <c r="A1166" t="s">
        <v>20990</v>
      </c>
      <c r="B1166" t="s">
        <v>8607</v>
      </c>
      <c r="C1166" t="s">
        <v>20957</v>
      </c>
      <c r="D1166" t="s">
        <v>20986</v>
      </c>
      <c r="E1166" t="s">
        <v>8672</v>
      </c>
      <c r="F1166" t="s">
        <v>11540</v>
      </c>
      <c r="G1166" t="s">
        <v>20991</v>
      </c>
    </row>
    <row r="1167" spans="1:7">
      <c r="A1167" t="s">
        <v>20992</v>
      </c>
      <c r="B1167" t="s">
        <v>8607</v>
      </c>
      <c r="C1167" t="s">
        <v>11270</v>
      </c>
      <c r="D1167" t="s">
        <v>20993</v>
      </c>
      <c r="E1167" t="s">
        <v>8672</v>
      </c>
      <c r="F1167" t="s">
        <v>11540</v>
      </c>
      <c r="G1167" t="s">
        <v>20994</v>
      </c>
    </row>
    <row r="1168" spans="1:7">
      <c r="A1168" t="s">
        <v>20995</v>
      </c>
      <c r="B1168" t="s">
        <v>8607</v>
      </c>
      <c r="C1168" t="s">
        <v>20957</v>
      </c>
      <c r="D1168" t="s">
        <v>20993</v>
      </c>
      <c r="E1168" t="s">
        <v>8672</v>
      </c>
      <c r="F1168" t="s">
        <v>11540</v>
      </c>
      <c r="G1168" t="s">
        <v>20996</v>
      </c>
    </row>
    <row r="1169" spans="1:7">
      <c r="A1169" t="s">
        <v>20997</v>
      </c>
      <c r="B1169" t="s">
        <v>8607</v>
      </c>
      <c r="C1169" t="s">
        <v>20957</v>
      </c>
      <c r="D1169" t="s">
        <v>20993</v>
      </c>
      <c r="E1169" t="s">
        <v>8672</v>
      </c>
      <c r="F1169" t="s">
        <v>11540</v>
      </c>
      <c r="G1169" t="s">
        <v>20998</v>
      </c>
    </row>
    <row r="1170" spans="1:7">
      <c r="A1170" t="s">
        <v>20999</v>
      </c>
      <c r="B1170" t="s">
        <v>8607</v>
      </c>
      <c r="C1170" t="s">
        <v>20957</v>
      </c>
      <c r="D1170" t="s">
        <v>20993</v>
      </c>
      <c r="E1170" t="s">
        <v>8672</v>
      </c>
      <c r="F1170" t="s">
        <v>11540</v>
      </c>
      <c r="G1170" t="s">
        <v>21000</v>
      </c>
    </row>
    <row r="1171" spans="1:7">
      <c r="A1171" t="s">
        <v>21001</v>
      </c>
      <c r="B1171" t="s">
        <v>8607</v>
      </c>
      <c r="C1171" t="s">
        <v>20957</v>
      </c>
      <c r="D1171" t="s">
        <v>20993</v>
      </c>
      <c r="E1171" t="s">
        <v>8672</v>
      </c>
      <c r="F1171" t="s">
        <v>11540</v>
      </c>
      <c r="G1171" t="s">
        <v>20996</v>
      </c>
    </row>
    <row r="1172" spans="1:7">
      <c r="A1172" t="s">
        <v>21002</v>
      </c>
      <c r="B1172" t="s">
        <v>8607</v>
      </c>
      <c r="C1172" t="s">
        <v>20957</v>
      </c>
      <c r="D1172" t="s">
        <v>20993</v>
      </c>
      <c r="E1172" t="s">
        <v>8672</v>
      </c>
      <c r="F1172" t="s">
        <v>11540</v>
      </c>
      <c r="G1172" t="s">
        <v>21003</v>
      </c>
    </row>
    <row r="1173" spans="1:7">
      <c r="A1173" t="s">
        <v>21004</v>
      </c>
      <c r="B1173" t="s">
        <v>8607</v>
      </c>
      <c r="C1173" t="s">
        <v>11270</v>
      </c>
      <c r="D1173" t="s">
        <v>20993</v>
      </c>
      <c r="E1173" t="s">
        <v>8672</v>
      </c>
      <c r="F1173" t="s">
        <v>11540</v>
      </c>
      <c r="G1173" t="s">
        <v>20994</v>
      </c>
    </row>
    <row r="1174" spans="1:7">
      <c r="A1174" t="s">
        <v>21005</v>
      </c>
      <c r="B1174" t="s">
        <v>8607</v>
      </c>
      <c r="C1174" t="s">
        <v>21006</v>
      </c>
      <c r="D1174" t="s">
        <v>21007</v>
      </c>
      <c r="E1174" t="s">
        <v>8672</v>
      </c>
      <c r="F1174" t="s">
        <v>11540</v>
      </c>
      <c r="G1174" t="s">
        <v>21008</v>
      </c>
    </row>
    <row r="1175" spans="1:7">
      <c r="A1175" t="s">
        <v>21009</v>
      </c>
      <c r="B1175" t="s">
        <v>8607</v>
      </c>
      <c r="C1175" t="s">
        <v>11270</v>
      </c>
      <c r="D1175" t="s">
        <v>21010</v>
      </c>
      <c r="E1175" t="s">
        <v>8672</v>
      </c>
      <c r="F1175" t="s">
        <v>11540</v>
      </c>
      <c r="G1175" t="s">
        <v>21011</v>
      </c>
    </row>
    <row r="1176" spans="1:7">
      <c r="A1176" t="s">
        <v>21012</v>
      </c>
      <c r="B1176" t="s">
        <v>8607</v>
      </c>
      <c r="C1176" t="s">
        <v>21006</v>
      </c>
      <c r="D1176" t="s">
        <v>21013</v>
      </c>
      <c r="E1176" t="s">
        <v>8672</v>
      </c>
      <c r="F1176" t="s">
        <v>11540</v>
      </c>
      <c r="G1176" t="s">
        <v>21014</v>
      </c>
    </row>
    <row r="1177" spans="1:7">
      <c r="A1177" t="s">
        <v>21015</v>
      </c>
      <c r="B1177" t="s">
        <v>8607</v>
      </c>
      <c r="C1177" t="s">
        <v>20957</v>
      </c>
      <c r="D1177" t="s">
        <v>21013</v>
      </c>
      <c r="E1177" t="s">
        <v>8672</v>
      </c>
      <c r="F1177" t="s">
        <v>11540</v>
      </c>
      <c r="G1177" t="s">
        <v>21014</v>
      </c>
    </row>
    <row r="1178" spans="1:7">
      <c r="A1178" t="s">
        <v>21016</v>
      </c>
      <c r="B1178" t="s">
        <v>8607</v>
      </c>
      <c r="C1178" t="s">
        <v>20927</v>
      </c>
      <c r="D1178" t="s">
        <v>21013</v>
      </c>
      <c r="E1178" t="s">
        <v>8672</v>
      </c>
      <c r="F1178" t="s">
        <v>11540</v>
      </c>
      <c r="G1178" t="s">
        <v>21017</v>
      </c>
    </row>
    <row r="1179" spans="1:7">
      <c r="A1179" t="s">
        <v>21018</v>
      </c>
      <c r="B1179" t="s">
        <v>8626</v>
      </c>
      <c r="C1179" t="s">
        <v>20967</v>
      </c>
      <c r="D1179" t="s">
        <v>21019</v>
      </c>
      <c r="E1179" t="s">
        <v>8672</v>
      </c>
      <c r="F1179" t="s">
        <v>9002</v>
      </c>
      <c r="G1179" t="s">
        <v>20969</v>
      </c>
    </row>
    <row r="1180" spans="1:7">
      <c r="A1180" t="s">
        <v>21020</v>
      </c>
      <c r="B1180" t="s">
        <v>8626</v>
      </c>
      <c r="C1180" t="s">
        <v>21006</v>
      </c>
      <c r="D1180" t="s">
        <v>21019</v>
      </c>
      <c r="E1180" t="s">
        <v>8672</v>
      </c>
      <c r="F1180" t="s">
        <v>9002</v>
      </c>
      <c r="G1180" t="s">
        <v>21021</v>
      </c>
    </row>
    <row r="1181" spans="1:7">
      <c r="A1181" t="s">
        <v>21022</v>
      </c>
      <c r="B1181" t="s">
        <v>8626</v>
      </c>
      <c r="C1181" t="s">
        <v>20967</v>
      </c>
      <c r="D1181" t="s">
        <v>21019</v>
      </c>
      <c r="E1181" t="s">
        <v>8672</v>
      </c>
      <c r="F1181" t="s">
        <v>9002</v>
      </c>
      <c r="G1181" t="s">
        <v>20969</v>
      </c>
    </row>
    <row r="1182" spans="1:7">
      <c r="A1182" t="s">
        <v>21023</v>
      </c>
      <c r="B1182" t="s">
        <v>8626</v>
      </c>
      <c r="D1182" t="s">
        <v>21019</v>
      </c>
      <c r="E1182" t="s">
        <v>8672</v>
      </c>
      <c r="F1182" t="s">
        <v>9002</v>
      </c>
      <c r="G1182" t="s">
        <v>21021</v>
      </c>
    </row>
    <row r="1183" spans="1:7">
      <c r="A1183" t="s">
        <v>21024</v>
      </c>
      <c r="B1183" t="s">
        <v>8626</v>
      </c>
      <c r="C1183" t="s">
        <v>20967</v>
      </c>
      <c r="D1183" t="s">
        <v>21019</v>
      </c>
      <c r="E1183" t="s">
        <v>8672</v>
      </c>
      <c r="F1183" t="s">
        <v>9002</v>
      </c>
      <c r="G1183" t="s">
        <v>20969</v>
      </c>
    </row>
    <row r="1184" spans="1:7">
      <c r="A1184" t="s">
        <v>21025</v>
      </c>
      <c r="B1184" t="s">
        <v>8626</v>
      </c>
      <c r="C1184" t="s">
        <v>13103</v>
      </c>
      <c r="D1184" t="s">
        <v>21019</v>
      </c>
      <c r="E1184" t="s">
        <v>8672</v>
      </c>
      <c r="F1184" t="s">
        <v>9002</v>
      </c>
      <c r="G1184" t="s">
        <v>20969</v>
      </c>
    </row>
    <row r="1185" spans="1:7">
      <c r="A1185" t="s">
        <v>21026</v>
      </c>
      <c r="B1185" t="s">
        <v>8607</v>
      </c>
      <c r="C1185" t="s">
        <v>21006</v>
      </c>
      <c r="D1185" t="s">
        <v>21027</v>
      </c>
      <c r="E1185" t="s">
        <v>8672</v>
      </c>
      <c r="F1185" t="s">
        <v>11540</v>
      </c>
      <c r="G1185" t="s">
        <v>21028</v>
      </c>
    </row>
    <row r="1186" spans="1:7">
      <c r="A1186" t="s">
        <v>21029</v>
      </c>
      <c r="B1186" t="s">
        <v>8607</v>
      </c>
      <c r="C1186" t="s">
        <v>20937</v>
      </c>
      <c r="D1186" t="s">
        <v>21030</v>
      </c>
      <c r="E1186" t="s">
        <v>8672</v>
      </c>
      <c r="F1186" t="s">
        <v>11540</v>
      </c>
      <c r="G1186" t="s">
        <v>20939</v>
      </c>
    </row>
    <row r="1187" spans="1:7">
      <c r="A1187" t="s">
        <v>21031</v>
      </c>
      <c r="B1187" t="s">
        <v>8607</v>
      </c>
      <c r="C1187" t="s">
        <v>12127</v>
      </c>
      <c r="D1187" t="s">
        <v>21032</v>
      </c>
      <c r="E1187" t="s">
        <v>8672</v>
      </c>
      <c r="F1187" t="s">
        <v>11540</v>
      </c>
      <c r="G1187" t="s">
        <v>21033</v>
      </c>
    </row>
    <row r="1188" spans="1:7">
      <c r="A1188" t="s">
        <v>21034</v>
      </c>
      <c r="B1188" t="s">
        <v>8607</v>
      </c>
      <c r="C1188" t="s">
        <v>20957</v>
      </c>
      <c r="D1188" t="s">
        <v>21035</v>
      </c>
      <c r="E1188" t="s">
        <v>8672</v>
      </c>
      <c r="F1188" t="s">
        <v>20942</v>
      </c>
      <c r="G1188" t="s">
        <v>20943</v>
      </c>
    </row>
    <row r="1189" spans="1:7">
      <c r="A1189" t="s">
        <v>21036</v>
      </c>
      <c r="B1189" t="s">
        <v>8626</v>
      </c>
      <c r="C1189" t="s">
        <v>21037</v>
      </c>
      <c r="D1189" t="s">
        <v>21038</v>
      </c>
      <c r="E1189" t="s">
        <v>8672</v>
      </c>
      <c r="F1189" t="s">
        <v>11540</v>
      </c>
      <c r="G1189" t="s">
        <v>21039</v>
      </c>
    </row>
    <row r="1190" spans="1:7">
      <c r="A1190" t="s">
        <v>21040</v>
      </c>
      <c r="B1190" t="s">
        <v>8607</v>
      </c>
      <c r="C1190" t="s">
        <v>21041</v>
      </c>
      <c r="D1190" t="s">
        <v>21042</v>
      </c>
      <c r="E1190" t="s">
        <v>8672</v>
      </c>
      <c r="F1190" t="s">
        <v>9002</v>
      </c>
      <c r="G1190" t="s">
        <v>21043</v>
      </c>
    </row>
    <row r="1191" spans="1:7">
      <c r="A1191" t="s">
        <v>21044</v>
      </c>
      <c r="B1191" t="s">
        <v>8607</v>
      </c>
      <c r="C1191" t="s">
        <v>21041</v>
      </c>
      <c r="D1191" t="s">
        <v>21045</v>
      </c>
      <c r="E1191" t="s">
        <v>8672</v>
      </c>
      <c r="F1191" t="s">
        <v>9002</v>
      </c>
      <c r="G1191" t="s">
        <v>21046</v>
      </c>
    </row>
    <row r="1192" spans="1:7">
      <c r="A1192" t="s">
        <v>21047</v>
      </c>
      <c r="B1192" t="s">
        <v>8607</v>
      </c>
      <c r="C1192" t="s">
        <v>21041</v>
      </c>
      <c r="D1192" t="s">
        <v>21045</v>
      </c>
      <c r="E1192" t="s">
        <v>8672</v>
      </c>
      <c r="F1192" t="s">
        <v>9002</v>
      </c>
      <c r="G1192" t="s">
        <v>21048</v>
      </c>
    </row>
    <row r="1193" spans="1:7">
      <c r="A1193" t="s">
        <v>21049</v>
      </c>
      <c r="B1193" t="s">
        <v>8607</v>
      </c>
      <c r="C1193" t="s">
        <v>21041</v>
      </c>
      <c r="D1193" t="s">
        <v>21050</v>
      </c>
      <c r="E1193" t="s">
        <v>8672</v>
      </c>
      <c r="F1193" t="s">
        <v>9002</v>
      </c>
      <c r="G1193" t="s">
        <v>21046</v>
      </c>
    </row>
    <row r="1194" spans="1:7">
      <c r="A1194" t="s">
        <v>21051</v>
      </c>
      <c r="B1194" t="s">
        <v>8607</v>
      </c>
      <c r="C1194" t="s">
        <v>21041</v>
      </c>
      <c r="D1194" t="s">
        <v>21050</v>
      </c>
      <c r="E1194" t="s">
        <v>8672</v>
      </c>
      <c r="F1194" t="s">
        <v>9002</v>
      </c>
      <c r="G1194" t="s">
        <v>21046</v>
      </c>
    </row>
    <row r="1195" spans="1:7">
      <c r="A1195" t="s">
        <v>21052</v>
      </c>
      <c r="B1195" t="s">
        <v>8607</v>
      </c>
      <c r="C1195" t="s">
        <v>15907</v>
      </c>
      <c r="D1195" t="s">
        <v>21053</v>
      </c>
      <c r="E1195" t="s">
        <v>8672</v>
      </c>
      <c r="F1195" t="s">
        <v>9002</v>
      </c>
      <c r="G1195" t="s">
        <v>21054</v>
      </c>
    </row>
    <row r="1196" spans="1:7">
      <c r="A1196" t="s">
        <v>21055</v>
      </c>
      <c r="B1196" t="s">
        <v>8607</v>
      </c>
      <c r="C1196" t="s">
        <v>21041</v>
      </c>
      <c r="D1196" t="s">
        <v>21056</v>
      </c>
      <c r="E1196" t="s">
        <v>8672</v>
      </c>
      <c r="F1196" t="s">
        <v>9002</v>
      </c>
      <c r="G1196" t="s">
        <v>21057</v>
      </c>
    </row>
    <row r="1197" spans="1:7">
      <c r="A1197" t="s">
        <v>21058</v>
      </c>
      <c r="B1197" t="s">
        <v>8607</v>
      </c>
      <c r="C1197" t="s">
        <v>15907</v>
      </c>
      <c r="D1197" t="s">
        <v>10830</v>
      </c>
      <c r="E1197" t="s">
        <v>8672</v>
      </c>
      <c r="F1197" t="s">
        <v>9002</v>
      </c>
      <c r="G1197" t="s">
        <v>21059</v>
      </c>
    </row>
    <row r="1198" spans="1:7">
      <c r="A1198" t="s">
        <v>21060</v>
      </c>
      <c r="B1198" t="s">
        <v>8607</v>
      </c>
      <c r="C1198" t="s">
        <v>15907</v>
      </c>
      <c r="D1198" t="s">
        <v>10830</v>
      </c>
      <c r="E1198" t="s">
        <v>8672</v>
      </c>
      <c r="F1198" t="s">
        <v>9002</v>
      </c>
      <c r="G1198" t="s">
        <v>21061</v>
      </c>
    </row>
    <row r="1199" spans="1:7">
      <c r="A1199" t="s">
        <v>21062</v>
      </c>
      <c r="B1199" t="s">
        <v>8626</v>
      </c>
      <c r="D1199" t="s">
        <v>21063</v>
      </c>
      <c r="E1199" t="s">
        <v>8672</v>
      </c>
      <c r="F1199" t="s">
        <v>9002</v>
      </c>
      <c r="G1199" t="s">
        <v>21064</v>
      </c>
    </row>
    <row r="1200" spans="1:7">
      <c r="A1200" t="s">
        <v>21065</v>
      </c>
      <c r="B1200" t="s">
        <v>8607</v>
      </c>
      <c r="C1200" t="s">
        <v>21041</v>
      </c>
      <c r="D1200" t="s">
        <v>21066</v>
      </c>
      <c r="E1200" t="s">
        <v>8672</v>
      </c>
      <c r="F1200" t="s">
        <v>9002</v>
      </c>
      <c r="G1200" t="s">
        <v>21046</v>
      </c>
    </row>
    <row r="1201" spans="1:7">
      <c r="A1201" t="s">
        <v>21067</v>
      </c>
      <c r="B1201" t="s">
        <v>8607</v>
      </c>
      <c r="C1201" t="s">
        <v>21041</v>
      </c>
      <c r="D1201" t="s">
        <v>21068</v>
      </c>
      <c r="E1201" t="s">
        <v>8672</v>
      </c>
      <c r="F1201" t="s">
        <v>9002</v>
      </c>
      <c r="G1201" t="s">
        <v>21069</v>
      </c>
    </row>
    <row r="1202" spans="1:7">
      <c r="A1202" t="s">
        <v>21070</v>
      </c>
      <c r="B1202" t="s">
        <v>8607</v>
      </c>
      <c r="C1202" t="s">
        <v>21041</v>
      </c>
      <c r="D1202" t="s">
        <v>21068</v>
      </c>
      <c r="E1202" t="s">
        <v>8672</v>
      </c>
      <c r="F1202" t="s">
        <v>9002</v>
      </c>
      <c r="G1202" t="s">
        <v>21069</v>
      </c>
    </row>
    <row r="1203" spans="1:7">
      <c r="A1203" t="s">
        <v>21071</v>
      </c>
      <c r="B1203" t="s">
        <v>8607</v>
      </c>
      <c r="C1203" t="s">
        <v>21041</v>
      </c>
      <c r="D1203" t="s">
        <v>21072</v>
      </c>
      <c r="E1203" t="s">
        <v>8672</v>
      </c>
      <c r="F1203" t="s">
        <v>9002</v>
      </c>
      <c r="G1203" t="s">
        <v>21046</v>
      </c>
    </row>
    <row r="1204" spans="1:7">
      <c r="A1204" t="s">
        <v>21073</v>
      </c>
      <c r="B1204" t="s">
        <v>8607</v>
      </c>
      <c r="C1204" t="s">
        <v>21041</v>
      </c>
      <c r="D1204" t="s">
        <v>21072</v>
      </c>
      <c r="E1204" t="s">
        <v>8672</v>
      </c>
      <c r="F1204" t="s">
        <v>9002</v>
      </c>
      <c r="G1204" t="s">
        <v>21046</v>
      </c>
    </row>
    <row r="1205" spans="1:7">
      <c r="A1205" t="s">
        <v>21074</v>
      </c>
      <c r="B1205" t="s">
        <v>8607</v>
      </c>
      <c r="C1205" t="s">
        <v>17447</v>
      </c>
      <c r="D1205" t="s">
        <v>17448</v>
      </c>
      <c r="E1205" t="s">
        <v>8672</v>
      </c>
      <c r="F1205" t="s">
        <v>9002</v>
      </c>
      <c r="G1205" t="s">
        <v>21075</v>
      </c>
    </row>
    <row r="1206" spans="1:7">
      <c r="A1206" t="s">
        <v>21076</v>
      </c>
      <c r="B1206" t="s">
        <v>8607</v>
      </c>
      <c r="C1206" t="s">
        <v>21041</v>
      </c>
      <c r="D1206" t="s">
        <v>21077</v>
      </c>
      <c r="E1206" t="s">
        <v>8672</v>
      </c>
      <c r="F1206" t="s">
        <v>21078</v>
      </c>
      <c r="G1206" t="s">
        <v>21079</v>
      </c>
    </row>
    <row r="1207" spans="1:7">
      <c r="A1207" t="s">
        <v>21080</v>
      </c>
      <c r="B1207" t="s">
        <v>8607</v>
      </c>
      <c r="D1207" t="s">
        <v>21081</v>
      </c>
      <c r="E1207" t="s">
        <v>8672</v>
      </c>
      <c r="F1207" t="s">
        <v>9002</v>
      </c>
      <c r="G1207" t="s">
        <v>21082</v>
      </c>
    </row>
    <row r="1208" spans="1:7">
      <c r="A1208" t="s">
        <v>21083</v>
      </c>
      <c r="B1208" t="s">
        <v>8626</v>
      </c>
      <c r="C1208" t="s">
        <v>21084</v>
      </c>
      <c r="D1208" t="s">
        <v>21085</v>
      </c>
      <c r="E1208" t="s">
        <v>8672</v>
      </c>
      <c r="F1208" t="s">
        <v>9002</v>
      </c>
      <c r="G1208" t="s">
        <v>21086</v>
      </c>
    </row>
    <row r="1209" spans="1:7">
      <c r="A1209" t="s">
        <v>21087</v>
      </c>
      <c r="B1209" t="s">
        <v>8607</v>
      </c>
      <c r="C1209" t="s">
        <v>17447</v>
      </c>
      <c r="D1209" t="s">
        <v>21088</v>
      </c>
      <c r="E1209" t="s">
        <v>8672</v>
      </c>
      <c r="F1209" t="s">
        <v>9002</v>
      </c>
      <c r="G1209" t="s">
        <v>21089</v>
      </c>
    </row>
    <row r="1210" spans="1:7">
      <c r="A1210" t="s">
        <v>21090</v>
      </c>
      <c r="B1210" t="s">
        <v>8626</v>
      </c>
      <c r="C1210" t="s">
        <v>17447</v>
      </c>
      <c r="D1210" t="s">
        <v>21091</v>
      </c>
      <c r="E1210" t="s">
        <v>8672</v>
      </c>
      <c r="F1210" t="s">
        <v>9002</v>
      </c>
      <c r="G1210" t="s">
        <v>19902</v>
      </c>
    </row>
    <row r="1211" spans="1:7">
      <c r="A1211" t="s">
        <v>21092</v>
      </c>
      <c r="B1211" t="s">
        <v>8626</v>
      </c>
      <c r="C1211" t="s">
        <v>17447</v>
      </c>
      <c r="D1211" t="s">
        <v>21091</v>
      </c>
      <c r="E1211" t="s">
        <v>8672</v>
      </c>
      <c r="F1211" t="s">
        <v>9002</v>
      </c>
      <c r="G1211" t="s">
        <v>21093</v>
      </c>
    </row>
    <row r="1212" spans="1:7">
      <c r="A1212" t="s">
        <v>21094</v>
      </c>
      <c r="B1212" t="s">
        <v>8607</v>
      </c>
      <c r="C1212" t="s">
        <v>15907</v>
      </c>
      <c r="D1212" t="s">
        <v>11911</v>
      </c>
      <c r="E1212" t="s">
        <v>8672</v>
      </c>
      <c r="F1212" t="s">
        <v>9002</v>
      </c>
      <c r="G1212" t="s">
        <v>21061</v>
      </c>
    </row>
    <row r="1213" spans="1:7">
      <c r="A1213" t="s">
        <v>21095</v>
      </c>
      <c r="B1213" t="s">
        <v>8607</v>
      </c>
      <c r="D1213" t="s">
        <v>21096</v>
      </c>
      <c r="E1213" t="s">
        <v>8672</v>
      </c>
      <c r="F1213" t="s">
        <v>9002</v>
      </c>
      <c r="G1213" t="s">
        <v>21097</v>
      </c>
    </row>
    <row r="1214" spans="1:7">
      <c r="A1214" t="s">
        <v>21098</v>
      </c>
      <c r="B1214" t="s">
        <v>8607</v>
      </c>
      <c r="C1214" t="s">
        <v>17447</v>
      </c>
      <c r="D1214" t="s">
        <v>21099</v>
      </c>
      <c r="E1214" t="s">
        <v>8672</v>
      </c>
      <c r="F1214" t="s">
        <v>9002</v>
      </c>
      <c r="G1214" t="s">
        <v>21100</v>
      </c>
    </row>
    <row r="1215" spans="1:7">
      <c r="A1215" t="s">
        <v>21101</v>
      </c>
      <c r="B1215" t="s">
        <v>8607</v>
      </c>
      <c r="C1215" t="s">
        <v>21041</v>
      </c>
      <c r="D1215" t="s">
        <v>21102</v>
      </c>
      <c r="E1215" t="s">
        <v>8672</v>
      </c>
      <c r="F1215" t="s">
        <v>9002</v>
      </c>
      <c r="G1215" t="s">
        <v>21046</v>
      </c>
    </row>
    <row r="1216" spans="1:7">
      <c r="A1216" t="s">
        <v>21103</v>
      </c>
      <c r="B1216" t="s">
        <v>8607</v>
      </c>
      <c r="C1216" t="s">
        <v>21041</v>
      </c>
      <c r="D1216" t="s">
        <v>21104</v>
      </c>
      <c r="E1216" t="s">
        <v>8672</v>
      </c>
      <c r="F1216" t="s">
        <v>9002</v>
      </c>
      <c r="G1216" t="s">
        <v>21105</v>
      </c>
    </row>
    <row r="1217" spans="1:7">
      <c r="A1217" t="s">
        <v>21106</v>
      </c>
      <c r="B1217" t="s">
        <v>8607</v>
      </c>
      <c r="C1217" t="s">
        <v>21041</v>
      </c>
      <c r="D1217" t="s">
        <v>21107</v>
      </c>
      <c r="E1217" t="s">
        <v>8672</v>
      </c>
      <c r="F1217" t="s">
        <v>9002</v>
      </c>
      <c r="G1217" t="s">
        <v>21046</v>
      </c>
    </row>
    <row r="1218" spans="1:7">
      <c r="A1218" t="s">
        <v>21108</v>
      </c>
      <c r="B1218" t="s">
        <v>8607</v>
      </c>
      <c r="C1218" t="s">
        <v>21041</v>
      </c>
      <c r="D1218" t="s">
        <v>21109</v>
      </c>
      <c r="E1218" t="s">
        <v>8672</v>
      </c>
      <c r="F1218" t="s">
        <v>9002</v>
      </c>
      <c r="G1218" t="s">
        <v>21046</v>
      </c>
    </row>
    <row r="1219" spans="1:7">
      <c r="A1219" t="s">
        <v>21110</v>
      </c>
      <c r="B1219" t="s">
        <v>8607</v>
      </c>
      <c r="C1219" t="s">
        <v>21041</v>
      </c>
      <c r="D1219" t="s">
        <v>21111</v>
      </c>
      <c r="E1219" t="s">
        <v>8672</v>
      </c>
      <c r="F1219" t="s">
        <v>9002</v>
      </c>
      <c r="G1219" t="s">
        <v>21046</v>
      </c>
    </row>
    <row r="1220" spans="1:7">
      <c r="A1220" t="s">
        <v>21112</v>
      </c>
      <c r="B1220" t="s">
        <v>8607</v>
      </c>
      <c r="C1220" t="s">
        <v>21041</v>
      </c>
      <c r="D1220" t="s">
        <v>21113</v>
      </c>
      <c r="E1220" t="s">
        <v>8672</v>
      </c>
      <c r="F1220" t="s">
        <v>9002</v>
      </c>
      <c r="G1220" t="s">
        <v>21114</v>
      </c>
    </row>
    <row r="1221" spans="1:7">
      <c r="A1221" t="s">
        <v>21115</v>
      </c>
      <c r="B1221" t="s">
        <v>8607</v>
      </c>
      <c r="C1221" t="s">
        <v>21041</v>
      </c>
      <c r="D1221" t="s">
        <v>21113</v>
      </c>
      <c r="E1221" t="s">
        <v>8672</v>
      </c>
      <c r="F1221" t="s">
        <v>9002</v>
      </c>
      <c r="G1221" t="s">
        <v>21116</v>
      </c>
    </row>
    <row r="1222" spans="1:7">
      <c r="A1222" t="s">
        <v>21117</v>
      </c>
      <c r="B1222" t="s">
        <v>8607</v>
      </c>
      <c r="C1222" t="s">
        <v>21041</v>
      </c>
      <c r="D1222" t="s">
        <v>21118</v>
      </c>
      <c r="E1222" t="s">
        <v>8672</v>
      </c>
      <c r="F1222" t="s">
        <v>9002</v>
      </c>
      <c r="G1222" t="s">
        <v>21116</v>
      </c>
    </row>
    <row r="1223" spans="1:7">
      <c r="A1223" t="s">
        <v>21119</v>
      </c>
      <c r="B1223" t="s">
        <v>8626</v>
      </c>
      <c r="D1223" t="s">
        <v>21120</v>
      </c>
      <c r="E1223" t="s">
        <v>8672</v>
      </c>
      <c r="F1223" t="s">
        <v>9002</v>
      </c>
      <c r="G1223" t="s">
        <v>21121</v>
      </c>
    </row>
    <row r="1224" spans="1:7">
      <c r="A1224" t="s">
        <v>21122</v>
      </c>
      <c r="B1224" t="s">
        <v>8626</v>
      </c>
      <c r="D1224" t="s">
        <v>21120</v>
      </c>
      <c r="E1224" t="s">
        <v>8672</v>
      </c>
      <c r="F1224" t="s">
        <v>9002</v>
      </c>
      <c r="G1224" t="s">
        <v>21123</v>
      </c>
    </row>
    <row r="1225" spans="1:7">
      <c r="A1225" t="s">
        <v>21124</v>
      </c>
      <c r="B1225" t="s">
        <v>8607</v>
      </c>
      <c r="C1225" t="s">
        <v>20967</v>
      </c>
      <c r="D1225" t="s">
        <v>21125</v>
      </c>
      <c r="E1225" t="s">
        <v>8672</v>
      </c>
      <c r="F1225" t="s">
        <v>9002</v>
      </c>
      <c r="G1225" t="s">
        <v>21126</v>
      </c>
    </row>
    <row r="1226" spans="1:7">
      <c r="A1226" t="s">
        <v>21127</v>
      </c>
      <c r="B1226" t="s">
        <v>8626</v>
      </c>
      <c r="C1226" t="s">
        <v>21128</v>
      </c>
      <c r="D1226" t="s">
        <v>21125</v>
      </c>
      <c r="E1226" t="s">
        <v>8672</v>
      </c>
      <c r="F1226" t="s">
        <v>9002</v>
      </c>
      <c r="G1226" t="s">
        <v>21129</v>
      </c>
    </row>
    <row r="1227" spans="1:7">
      <c r="A1227" t="s">
        <v>21130</v>
      </c>
      <c r="B1227" t="s">
        <v>8626</v>
      </c>
      <c r="C1227" t="s">
        <v>11538</v>
      </c>
      <c r="D1227" t="s">
        <v>21125</v>
      </c>
      <c r="E1227" t="s">
        <v>8672</v>
      </c>
      <c r="F1227" t="s">
        <v>9002</v>
      </c>
      <c r="G1227" t="s">
        <v>21021</v>
      </c>
    </row>
    <row r="1228" spans="1:7">
      <c r="A1228" t="s">
        <v>21131</v>
      </c>
      <c r="B1228" t="s">
        <v>8626</v>
      </c>
      <c r="C1228" t="s">
        <v>11538</v>
      </c>
      <c r="D1228" t="s">
        <v>21125</v>
      </c>
      <c r="E1228" t="s">
        <v>8672</v>
      </c>
      <c r="F1228" t="s">
        <v>9002</v>
      </c>
      <c r="G1228" t="s">
        <v>21021</v>
      </c>
    </row>
    <row r="1229" spans="1:7">
      <c r="A1229" t="s">
        <v>21132</v>
      </c>
      <c r="B1229" t="s">
        <v>8626</v>
      </c>
      <c r="C1229" t="s">
        <v>11538</v>
      </c>
      <c r="D1229" t="s">
        <v>21125</v>
      </c>
      <c r="E1229" t="s">
        <v>8672</v>
      </c>
      <c r="F1229" t="s">
        <v>9002</v>
      </c>
      <c r="G1229" t="s">
        <v>21021</v>
      </c>
    </row>
    <row r="1230" spans="1:7">
      <c r="A1230" t="s">
        <v>21133</v>
      </c>
      <c r="B1230" t="s">
        <v>8626</v>
      </c>
      <c r="C1230" t="s">
        <v>11538</v>
      </c>
      <c r="D1230" t="s">
        <v>21125</v>
      </c>
      <c r="E1230" t="s">
        <v>8672</v>
      </c>
      <c r="F1230" t="s">
        <v>9002</v>
      </c>
      <c r="G1230" t="s">
        <v>21021</v>
      </c>
    </row>
    <row r="1231" spans="1:7">
      <c r="A1231" t="s">
        <v>21134</v>
      </c>
      <c r="B1231" t="s">
        <v>8626</v>
      </c>
      <c r="C1231" t="s">
        <v>11538</v>
      </c>
      <c r="D1231" t="s">
        <v>21125</v>
      </c>
      <c r="E1231" t="s">
        <v>8672</v>
      </c>
      <c r="F1231" t="s">
        <v>9002</v>
      </c>
      <c r="G1231" t="s">
        <v>21021</v>
      </c>
    </row>
    <row r="1232" spans="1:7">
      <c r="A1232" t="s">
        <v>21135</v>
      </c>
      <c r="B1232" t="s">
        <v>8626</v>
      </c>
      <c r="C1232" t="s">
        <v>11538</v>
      </c>
      <c r="D1232" t="s">
        <v>21125</v>
      </c>
      <c r="E1232" t="s">
        <v>8672</v>
      </c>
      <c r="F1232" t="s">
        <v>9002</v>
      </c>
      <c r="G1232" t="s">
        <v>21021</v>
      </c>
    </row>
    <row r="1233" spans="1:7">
      <c r="A1233" t="s">
        <v>21136</v>
      </c>
      <c r="B1233" t="s">
        <v>8626</v>
      </c>
      <c r="C1233" t="s">
        <v>11538</v>
      </c>
      <c r="D1233" t="s">
        <v>21125</v>
      </c>
      <c r="E1233" t="s">
        <v>8672</v>
      </c>
      <c r="F1233" t="s">
        <v>9002</v>
      </c>
      <c r="G1233" t="s">
        <v>21021</v>
      </c>
    </row>
    <row r="1234" spans="1:7">
      <c r="A1234" t="s">
        <v>21137</v>
      </c>
      <c r="B1234" t="s">
        <v>8626</v>
      </c>
      <c r="C1234" t="s">
        <v>21006</v>
      </c>
      <c r="D1234" t="s">
        <v>21125</v>
      </c>
      <c r="E1234" t="s">
        <v>8672</v>
      </c>
      <c r="F1234" t="s">
        <v>9002</v>
      </c>
      <c r="G1234" t="s">
        <v>21021</v>
      </c>
    </row>
    <row r="1235" spans="1:7">
      <c r="A1235" t="s">
        <v>21138</v>
      </c>
      <c r="B1235" t="s">
        <v>8607</v>
      </c>
      <c r="C1235" t="s">
        <v>21041</v>
      </c>
      <c r="D1235" t="s">
        <v>21139</v>
      </c>
      <c r="E1235" t="s">
        <v>8672</v>
      </c>
      <c r="F1235" t="s">
        <v>9002</v>
      </c>
      <c r="G1235" t="s">
        <v>21140</v>
      </c>
    </row>
    <row r="1236" spans="1:7">
      <c r="A1236" t="s">
        <v>21141</v>
      </c>
      <c r="B1236" t="s">
        <v>8607</v>
      </c>
      <c r="C1236" t="s">
        <v>21041</v>
      </c>
      <c r="D1236" t="s">
        <v>21139</v>
      </c>
      <c r="E1236" t="s">
        <v>8672</v>
      </c>
      <c r="F1236" t="s">
        <v>9002</v>
      </c>
      <c r="G1236" t="s">
        <v>21140</v>
      </c>
    </row>
    <row r="1237" spans="1:7">
      <c r="A1237" t="s">
        <v>21142</v>
      </c>
      <c r="B1237" t="s">
        <v>8626</v>
      </c>
      <c r="D1237" t="s">
        <v>21143</v>
      </c>
      <c r="E1237" t="s">
        <v>8672</v>
      </c>
      <c r="F1237" t="s">
        <v>9002</v>
      </c>
      <c r="G1237" t="s">
        <v>21144</v>
      </c>
    </row>
    <row r="1238" spans="1:7">
      <c r="A1238" t="s">
        <v>21145</v>
      </c>
      <c r="B1238" t="s">
        <v>8607</v>
      </c>
      <c r="D1238" t="s">
        <v>21143</v>
      </c>
      <c r="E1238" t="s">
        <v>8672</v>
      </c>
      <c r="F1238" t="s">
        <v>9002</v>
      </c>
      <c r="G1238" t="s">
        <v>21146</v>
      </c>
    </row>
    <row r="1239" spans="1:7">
      <c r="A1239" t="s">
        <v>21147</v>
      </c>
      <c r="B1239" t="s">
        <v>8626</v>
      </c>
      <c r="C1239" t="s">
        <v>21148</v>
      </c>
      <c r="D1239" t="s">
        <v>21143</v>
      </c>
      <c r="E1239" t="s">
        <v>8672</v>
      </c>
      <c r="F1239" t="s">
        <v>9002</v>
      </c>
      <c r="G1239" t="s">
        <v>21144</v>
      </c>
    </row>
    <row r="1240" spans="1:7">
      <c r="A1240" t="s">
        <v>21149</v>
      </c>
      <c r="B1240" t="s">
        <v>8607</v>
      </c>
      <c r="D1240" t="s">
        <v>21143</v>
      </c>
      <c r="E1240" t="s">
        <v>8672</v>
      </c>
      <c r="F1240" t="s">
        <v>9002</v>
      </c>
      <c r="G1240" t="s">
        <v>21146</v>
      </c>
    </row>
    <row r="1241" spans="1:7">
      <c r="A1241" t="s">
        <v>21150</v>
      </c>
      <c r="B1241" t="s">
        <v>8607</v>
      </c>
      <c r="D1241" t="s">
        <v>21143</v>
      </c>
      <c r="E1241" t="s">
        <v>8672</v>
      </c>
      <c r="F1241" t="s">
        <v>9002</v>
      </c>
      <c r="G1241" t="s">
        <v>21146</v>
      </c>
    </row>
    <row r="1242" spans="1:7">
      <c r="A1242" t="s">
        <v>21151</v>
      </c>
      <c r="B1242" t="s">
        <v>8607</v>
      </c>
      <c r="D1242" t="s">
        <v>21143</v>
      </c>
      <c r="E1242" t="s">
        <v>8672</v>
      </c>
      <c r="F1242" t="s">
        <v>9002</v>
      </c>
      <c r="G1242" t="s">
        <v>21146</v>
      </c>
    </row>
    <row r="1243" spans="1:7">
      <c r="A1243" t="s">
        <v>21152</v>
      </c>
      <c r="B1243" t="s">
        <v>8607</v>
      </c>
      <c r="D1243" t="s">
        <v>21143</v>
      </c>
      <c r="E1243" t="s">
        <v>8672</v>
      </c>
      <c r="F1243" t="s">
        <v>9002</v>
      </c>
      <c r="G1243" t="s">
        <v>21146</v>
      </c>
    </row>
    <row r="1244" spans="1:7">
      <c r="A1244" t="s">
        <v>21153</v>
      </c>
      <c r="B1244" t="s">
        <v>8626</v>
      </c>
      <c r="D1244" t="s">
        <v>21143</v>
      </c>
      <c r="E1244" t="s">
        <v>8672</v>
      </c>
      <c r="F1244" t="s">
        <v>9002</v>
      </c>
      <c r="G1244" t="s">
        <v>21154</v>
      </c>
    </row>
    <row r="1245" spans="1:7">
      <c r="A1245" t="s">
        <v>21155</v>
      </c>
      <c r="B1245" t="s">
        <v>8607</v>
      </c>
      <c r="D1245" t="s">
        <v>21143</v>
      </c>
      <c r="E1245" t="s">
        <v>8672</v>
      </c>
      <c r="F1245" t="s">
        <v>9002</v>
      </c>
      <c r="G1245" t="s">
        <v>21146</v>
      </c>
    </row>
    <row r="1246" spans="1:7">
      <c r="A1246" t="s">
        <v>21156</v>
      </c>
      <c r="B1246" t="s">
        <v>8626</v>
      </c>
      <c r="C1246" t="s">
        <v>21157</v>
      </c>
      <c r="D1246" t="s">
        <v>21143</v>
      </c>
      <c r="E1246" t="s">
        <v>8672</v>
      </c>
      <c r="F1246" t="s">
        <v>9002</v>
      </c>
      <c r="G1246" t="s">
        <v>21144</v>
      </c>
    </row>
    <row r="1247" spans="1:7">
      <c r="A1247" t="s">
        <v>21158</v>
      </c>
      <c r="B1247" t="s">
        <v>8626</v>
      </c>
      <c r="D1247" t="s">
        <v>21143</v>
      </c>
      <c r="E1247" t="s">
        <v>8672</v>
      </c>
      <c r="F1247" t="s">
        <v>9002</v>
      </c>
      <c r="G1247" t="s">
        <v>21144</v>
      </c>
    </row>
    <row r="1248" spans="1:7">
      <c r="A1248" t="s">
        <v>21159</v>
      </c>
      <c r="B1248" t="s">
        <v>8607</v>
      </c>
      <c r="C1248" t="s">
        <v>20325</v>
      </c>
      <c r="D1248" t="s">
        <v>21143</v>
      </c>
      <c r="E1248" t="s">
        <v>8672</v>
      </c>
      <c r="F1248" t="s">
        <v>9002</v>
      </c>
      <c r="G1248" t="s">
        <v>21146</v>
      </c>
    </row>
    <row r="1249" spans="1:7">
      <c r="A1249" t="s">
        <v>21160</v>
      </c>
      <c r="B1249" t="s">
        <v>8626</v>
      </c>
      <c r="C1249" t="s">
        <v>21157</v>
      </c>
      <c r="D1249" t="s">
        <v>21143</v>
      </c>
      <c r="E1249" t="s">
        <v>8672</v>
      </c>
      <c r="F1249" t="s">
        <v>9002</v>
      </c>
      <c r="G1249" t="s">
        <v>21144</v>
      </c>
    </row>
    <row r="1250" spans="1:7">
      <c r="A1250" t="s">
        <v>21161</v>
      </c>
      <c r="B1250" t="s">
        <v>8626</v>
      </c>
      <c r="C1250" t="s">
        <v>21157</v>
      </c>
      <c r="D1250" t="s">
        <v>21143</v>
      </c>
      <c r="E1250" t="s">
        <v>8672</v>
      </c>
      <c r="F1250" t="s">
        <v>9002</v>
      </c>
      <c r="G1250" t="s">
        <v>21144</v>
      </c>
    </row>
    <row r="1251" spans="1:7">
      <c r="A1251" t="s">
        <v>21162</v>
      </c>
      <c r="B1251" t="s">
        <v>8607</v>
      </c>
      <c r="D1251" t="s">
        <v>21143</v>
      </c>
      <c r="E1251" t="s">
        <v>8672</v>
      </c>
      <c r="F1251" t="s">
        <v>9002</v>
      </c>
      <c r="G1251" t="s">
        <v>21163</v>
      </c>
    </row>
    <row r="1252" spans="1:7">
      <c r="A1252" t="s">
        <v>21164</v>
      </c>
      <c r="B1252" t="s">
        <v>8607</v>
      </c>
      <c r="D1252" t="s">
        <v>21143</v>
      </c>
      <c r="E1252" t="s">
        <v>8672</v>
      </c>
      <c r="F1252" t="s">
        <v>9002</v>
      </c>
      <c r="G1252" t="s">
        <v>21146</v>
      </c>
    </row>
    <row r="1253" spans="1:7">
      <c r="A1253" t="s">
        <v>21165</v>
      </c>
      <c r="B1253" t="s">
        <v>8607</v>
      </c>
      <c r="C1253" t="s">
        <v>20325</v>
      </c>
      <c r="D1253" t="s">
        <v>21143</v>
      </c>
      <c r="E1253" t="s">
        <v>8672</v>
      </c>
      <c r="F1253" t="s">
        <v>9002</v>
      </c>
      <c r="G1253" t="s">
        <v>21146</v>
      </c>
    </row>
    <row r="1254" spans="1:7">
      <c r="A1254" t="s">
        <v>21166</v>
      </c>
      <c r="B1254" t="s">
        <v>8607</v>
      </c>
      <c r="C1254" t="s">
        <v>21041</v>
      </c>
      <c r="D1254" t="s">
        <v>21167</v>
      </c>
      <c r="E1254" t="s">
        <v>8672</v>
      </c>
      <c r="F1254" t="s">
        <v>9002</v>
      </c>
      <c r="G1254" t="s">
        <v>21046</v>
      </c>
    </row>
    <row r="1255" spans="1:7">
      <c r="A1255" t="s">
        <v>21168</v>
      </c>
      <c r="B1255" t="s">
        <v>8607</v>
      </c>
      <c r="C1255" t="s">
        <v>21041</v>
      </c>
      <c r="D1255" t="s">
        <v>21169</v>
      </c>
      <c r="E1255" t="s">
        <v>8672</v>
      </c>
      <c r="F1255" t="s">
        <v>9002</v>
      </c>
      <c r="G1255" t="s">
        <v>21170</v>
      </c>
    </row>
    <row r="1256" spans="1:7">
      <c r="A1256" t="s">
        <v>21171</v>
      </c>
      <c r="B1256" t="s">
        <v>8626</v>
      </c>
      <c r="C1256" t="s">
        <v>21041</v>
      </c>
      <c r="D1256" t="s">
        <v>21169</v>
      </c>
      <c r="E1256" t="s">
        <v>8672</v>
      </c>
      <c r="F1256" t="s">
        <v>9002</v>
      </c>
      <c r="G1256" t="s">
        <v>21172</v>
      </c>
    </row>
    <row r="1257" spans="1:7">
      <c r="A1257" t="s">
        <v>21173</v>
      </c>
      <c r="B1257" t="s">
        <v>8607</v>
      </c>
      <c r="C1257" t="s">
        <v>21041</v>
      </c>
      <c r="D1257" t="s">
        <v>21169</v>
      </c>
      <c r="E1257" t="s">
        <v>8672</v>
      </c>
      <c r="F1257" t="s">
        <v>9002</v>
      </c>
      <c r="G1257" t="s">
        <v>21174</v>
      </c>
    </row>
    <row r="1258" spans="1:7">
      <c r="A1258" t="s">
        <v>21175</v>
      </c>
      <c r="B1258" t="s">
        <v>8607</v>
      </c>
      <c r="D1258" t="s">
        <v>21169</v>
      </c>
      <c r="E1258" t="s">
        <v>8672</v>
      </c>
      <c r="F1258" t="s">
        <v>9002</v>
      </c>
      <c r="G1258" t="s">
        <v>21174</v>
      </c>
    </row>
    <row r="1259" spans="1:7">
      <c r="A1259" t="s">
        <v>21176</v>
      </c>
      <c r="B1259" t="s">
        <v>8607</v>
      </c>
      <c r="C1259" t="s">
        <v>17447</v>
      </c>
      <c r="D1259" t="s">
        <v>21177</v>
      </c>
      <c r="E1259" t="s">
        <v>8672</v>
      </c>
      <c r="F1259" t="s">
        <v>9002</v>
      </c>
      <c r="G1259" t="s">
        <v>21178</v>
      </c>
    </row>
    <row r="1260" spans="1:7">
      <c r="A1260" t="s">
        <v>21179</v>
      </c>
      <c r="B1260" t="s">
        <v>8607</v>
      </c>
      <c r="C1260" t="s">
        <v>21041</v>
      </c>
      <c r="D1260" t="s">
        <v>21180</v>
      </c>
      <c r="E1260" t="s">
        <v>8672</v>
      </c>
      <c r="F1260" t="s">
        <v>9002</v>
      </c>
      <c r="G1260" t="s">
        <v>21170</v>
      </c>
    </row>
    <row r="1261" spans="1:7">
      <c r="A1261" t="s">
        <v>21181</v>
      </c>
      <c r="B1261" t="s">
        <v>8607</v>
      </c>
      <c r="C1261" t="s">
        <v>21182</v>
      </c>
      <c r="D1261" t="s">
        <v>21183</v>
      </c>
      <c r="E1261" t="s">
        <v>8672</v>
      </c>
      <c r="F1261" t="s">
        <v>9002</v>
      </c>
      <c r="G1261" t="s">
        <v>21184</v>
      </c>
    </row>
    <row r="1262" spans="1:7">
      <c r="A1262" t="s">
        <v>21185</v>
      </c>
      <c r="B1262" t="s">
        <v>8607</v>
      </c>
      <c r="D1262" t="s">
        <v>21186</v>
      </c>
      <c r="E1262" t="s">
        <v>8672</v>
      </c>
      <c r="F1262" t="s">
        <v>9002</v>
      </c>
      <c r="G1262" t="s">
        <v>21187</v>
      </c>
    </row>
    <row r="1263" spans="1:7">
      <c r="A1263" t="s">
        <v>21188</v>
      </c>
      <c r="B1263" t="s">
        <v>8607</v>
      </c>
      <c r="D1263" t="s">
        <v>21186</v>
      </c>
      <c r="E1263" t="s">
        <v>8672</v>
      </c>
      <c r="F1263" t="s">
        <v>9002</v>
      </c>
      <c r="G1263" t="s">
        <v>21189</v>
      </c>
    </row>
    <row r="1264" spans="1:7">
      <c r="A1264" t="s">
        <v>21190</v>
      </c>
      <c r="B1264" t="s">
        <v>8607</v>
      </c>
      <c r="C1264" t="s">
        <v>17447</v>
      </c>
      <c r="D1264" t="s">
        <v>17895</v>
      </c>
      <c r="E1264" t="s">
        <v>8672</v>
      </c>
      <c r="F1264" t="s">
        <v>9002</v>
      </c>
      <c r="G1264" t="s">
        <v>21191</v>
      </c>
    </row>
    <row r="1265" spans="1:7">
      <c r="A1265" t="s">
        <v>21192</v>
      </c>
      <c r="B1265" t="s">
        <v>8607</v>
      </c>
      <c r="C1265" t="s">
        <v>17447</v>
      </c>
      <c r="D1265" t="s">
        <v>17895</v>
      </c>
      <c r="E1265" t="s">
        <v>8672</v>
      </c>
      <c r="F1265" t="s">
        <v>9002</v>
      </c>
      <c r="G1265" t="s">
        <v>17896</v>
      </c>
    </row>
    <row r="1266" spans="1:7">
      <c r="A1266" t="s">
        <v>21193</v>
      </c>
      <c r="B1266" t="s">
        <v>8626</v>
      </c>
      <c r="C1266" t="s">
        <v>17447</v>
      </c>
      <c r="D1266" t="s">
        <v>17895</v>
      </c>
      <c r="E1266" t="s">
        <v>8672</v>
      </c>
      <c r="F1266" t="s">
        <v>9002</v>
      </c>
      <c r="G1266" t="s">
        <v>21194</v>
      </c>
    </row>
    <row r="1267" spans="1:7">
      <c r="A1267" t="s">
        <v>21195</v>
      </c>
      <c r="B1267" t="s">
        <v>8607</v>
      </c>
      <c r="C1267" t="s">
        <v>17447</v>
      </c>
      <c r="D1267" t="s">
        <v>17895</v>
      </c>
      <c r="E1267" t="s">
        <v>8672</v>
      </c>
      <c r="F1267" t="s">
        <v>9002</v>
      </c>
      <c r="G1267" t="s">
        <v>17449</v>
      </c>
    </row>
    <row r="1268" spans="1:7">
      <c r="A1268" t="s">
        <v>21196</v>
      </c>
      <c r="B1268" t="s">
        <v>8607</v>
      </c>
      <c r="C1268" t="s">
        <v>17447</v>
      </c>
      <c r="D1268" t="s">
        <v>17895</v>
      </c>
      <c r="E1268" t="s">
        <v>8672</v>
      </c>
      <c r="F1268" t="s">
        <v>9002</v>
      </c>
      <c r="G1268" t="s">
        <v>17896</v>
      </c>
    </row>
    <row r="1269" spans="1:7">
      <c r="A1269" t="s">
        <v>21197</v>
      </c>
      <c r="B1269" t="s">
        <v>8607</v>
      </c>
      <c r="C1269" t="s">
        <v>17447</v>
      </c>
      <c r="D1269" t="s">
        <v>17895</v>
      </c>
      <c r="E1269" t="s">
        <v>8672</v>
      </c>
      <c r="F1269" t="s">
        <v>9002</v>
      </c>
      <c r="G1269" t="s">
        <v>17896</v>
      </c>
    </row>
    <row r="1270" spans="1:7">
      <c r="A1270" t="s">
        <v>21198</v>
      </c>
      <c r="B1270" t="s">
        <v>8607</v>
      </c>
      <c r="C1270" t="s">
        <v>17447</v>
      </c>
      <c r="D1270" t="s">
        <v>17895</v>
      </c>
      <c r="E1270" t="s">
        <v>8672</v>
      </c>
      <c r="F1270" t="s">
        <v>9002</v>
      </c>
      <c r="G1270" t="s">
        <v>21075</v>
      </c>
    </row>
    <row r="1271" spans="1:7">
      <c r="A1271" t="s">
        <v>21199</v>
      </c>
      <c r="B1271" t="s">
        <v>8607</v>
      </c>
      <c r="C1271" t="s">
        <v>17447</v>
      </c>
      <c r="D1271" t="s">
        <v>17895</v>
      </c>
      <c r="E1271" t="s">
        <v>8672</v>
      </c>
      <c r="F1271" t="s">
        <v>9002</v>
      </c>
      <c r="G1271" t="s">
        <v>17449</v>
      </c>
    </row>
    <row r="1272" spans="1:7">
      <c r="A1272" t="s">
        <v>21200</v>
      </c>
      <c r="B1272" t="s">
        <v>8607</v>
      </c>
      <c r="C1272" t="s">
        <v>21041</v>
      </c>
      <c r="D1272" t="s">
        <v>21201</v>
      </c>
      <c r="E1272" t="s">
        <v>8672</v>
      </c>
      <c r="F1272" t="s">
        <v>9002</v>
      </c>
      <c r="G1272" t="s">
        <v>21202</v>
      </c>
    </row>
    <row r="1273" spans="1:7">
      <c r="A1273" t="s">
        <v>21203</v>
      </c>
      <c r="B1273" t="s">
        <v>8607</v>
      </c>
      <c r="C1273" t="s">
        <v>21041</v>
      </c>
      <c r="D1273" t="s">
        <v>21201</v>
      </c>
      <c r="E1273" t="s">
        <v>8672</v>
      </c>
      <c r="F1273" t="s">
        <v>9002</v>
      </c>
      <c r="G1273" t="s">
        <v>21046</v>
      </c>
    </row>
    <row r="1274" spans="1:7">
      <c r="A1274" t="s">
        <v>21204</v>
      </c>
      <c r="B1274" t="s">
        <v>8607</v>
      </c>
      <c r="D1274" t="s">
        <v>21205</v>
      </c>
      <c r="E1274" t="s">
        <v>8672</v>
      </c>
      <c r="F1274" t="s">
        <v>21206</v>
      </c>
      <c r="G1274" t="s">
        <v>21207</v>
      </c>
    </row>
    <row r="1275" spans="1:7">
      <c r="A1275" t="s">
        <v>21208</v>
      </c>
      <c r="B1275" t="s">
        <v>8626</v>
      </c>
      <c r="D1275" t="s">
        <v>21209</v>
      </c>
      <c r="E1275" t="s">
        <v>8672</v>
      </c>
      <c r="G1275" t="s">
        <v>21210</v>
      </c>
    </row>
    <row r="1276" spans="1:7">
      <c r="A1276" t="s">
        <v>21211</v>
      </c>
      <c r="B1276" t="s">
        <v>8607</v>
      </c>
      <c r="C1276" t="s">
        <v>21212</v>
      </c>
      <c r="D1276" t="s">
        <v>21213</v>
      </c>
      <c r="E1276" t="s">
        <v>8672</v>
      </c>
      <c r="F1276" t="s">
        <v>21214</v>
      </c>
      <c r="G1276" t="s">
        <v>21215</v>
      </c>
    </row>
    <row r="1277" spans="1:7">
      <c r="A1277" t="s">
        <v>21216</v>
      </c>
      <c r="B1277" t="s">
        <v>8626</v>
      </c>
      <c r="D1277" t="s">
        <v>21217</v>
      </c>
      <c r="E1277" t="s">
        <v>8672</v>
      </c>
      <c r="F1277" t="s">
        <v>21214</v>
      </c>
      <c r="G1277" t="s">
        <v>21218</v>
      </c>
    </row>
    <row r="1278" spans="1:7">
      <c r="A1278" t="s">
        <v>21219</v>
      </c>
      <c r="B1278" t="s">
        <v>8607</v>
      </c>
      <c r="C1278" t="s">
        <v>21220</v>
      </c>
      <c r="D1278" t="s">
        <v>21217</v>
      </c>
      <c r="E1278" t="s">
        <v>8672</v>
      </c>
      <c r="F1278" t="s">
        <v>21214</v>
      </c>
      <c r="G1278" t="s">
        <v>21221</v>
      </c>
    </row>
    <row r="1279" spans="1:7">
      <c r="A1279" t="s">
        <v>21222</v>
      </c>
      <c r="B1279" t="s">
        <v>8626</v>
      </c>
      <c r="D1279" t="s">
        <v>21217</v>
      </c>
      <c r="E1279" t="s">
        <v>8672</v>
      </c>
      <c r="F1279" t="s">
        <v>21214</v>
      </c>
      <c r="G1279" t="s">
        <v>21218</v>
      </c>
    </row>
    <row r="1280" spans="1:7">
      <c r="A1280" t="s">
        <v>21223</v>
      </c>
      <c r="B1280" t="s">
        <v>8607</v>
      </c>
      <c r="D1280" t="s">
        <v>21224</v>
      </c>
      <c r="E1280" t="s">
        <v>8672</v>
      </c>
      <c r="F1280" t="s">
        <v>21225</v>
      </c>
      <c r="G1280" t="s">
        <v>21226</v>
      </c>
    </row>
    <row r="1281" spans="1:7">
      <c r="A1281" t="s">
        <v>21227</v>
      </c>
      <c r="B1281" t="s">
        <v>8607</v>
      </c>
      <c r="D1281" t="s">
        <v>21228</v>
      </c>
      <c r="E1281" t="s">
        <v>8672</v>
      </c>
      <c r="F1281" t="s">
        <v>21229</v>
      </c>
      <c r="G1281" t="s">
        <v>21230</v>
      </c>
    </row>
    <row r="1282" spans="1:7">
      <c r="A1282" t="s">
        <v>21231</v>
      </c>
      <c r="B1282" t="s">
        <v>8607</v>
      </c>
      <c r="D1282" t="s">
        <v>21232</v>
      </c>
      <c r="E1282" t="s">
        <v>8672</v>
      </c>
      <c r="F1282" t="s">
        <v>21229</v>
      </c>
      <c r="G1282" t="s">
        <v>21233</v>
      </c>
    </row>
    <row r="1283" spans="1:7">
      <c r="A1283" t="s">
        <v>21234</v>
      </c>
      <c r="B1283" t="s">
        <v>8626</v>
      </c>
      <c r="D1283" t="s">
        <v>21235</v>
      </c>
      <c r="E1283" t="s">
        <v>8672</v>
      </c>
      <c r="F1283" t="s">
        <v>21229</v>
      </c>
      <c r="G1283" t="s">
        <v>21236</v>
      </c>
    </row>
    <row r="1284" spans="1:7">
      <c r="A1284" t="s">
        <v>21237</v>
      </c>
      <c r="B1284" t="s">
        <v>8626</v>
      </c>
      <c r="D1284" t="s">
        <v>21238</v>
      </c>
      <c r="E1284" t="s">
        <v>8672</v>
      </c>
      <c r="G1284" t="s">
        <v>21239</v>
      </c>
    </row>
    <row r="1285" spans="1:7">
      <c r="A1285" t="s">
        <v>21240</v>
      </c>
      <c r="B1285" t="s">
        <v>8607</v>
      </c>
      <c r="D1285" t="s">
        <v>21241</v>
      </c>
      <c r="E1285" t="s">
        <v>8672</v>
      </c>
      <c r="F1285" t="s">
        <v>18877</v>
      </c>
      <c r="G1285" t="s">
        <v>21242</v>
      </c>
    </row>
    <row r="1286" spans="1:7">
      <c r="A1286" t="s">
        <v>21243</v>
      </c>
      <c r="B1286" t="s">
        <v>8607</v>
      </c>
      <c r="D1286" t="s">
        <v>21244</v>
      </c>
      <c r="E1286" t="s">
        <v>8672</v>
      </c>
      <c r="F1286" t="s">
        <v>19537</v>
      </c>
      <c r="G1286" t="s">
        <v>21245</v>
      </c>
    </row>
    <row r="1287" spans="1:7">
      <c r="A1287" t="s">
        <v>21246</v>
      </c>
      <c r="B1287" t="s">
        <v>8607</v>
      </c>
      <c r="D1287" t="s">
        <v>21247</v>
      </c>
      <c r="E1287" t="s">
        <v>8672</v>
      </c>
      <c r="F1287" t="s">
        <v>19537</v>
      </c>
      <c r="G1287" t="s">
        <v>21248</v>
      </c>
    </row>
    <row r="1288" spans="1:7">
      <c r="A1288" t="s">
        <v>21249</v>
      </c>
      <c r="B1288" t="s">
        <v>8607</v>
      </c>
      <c r="C1288" t="s">
        <v>21250</v>
      </c>
      <c r="D1288" t="s">
        <v>21251</v>
      </c>
      <c r="E1288" t="s">
        <v>8672</v>
      </c>
      <c r="G1288" t="s">
        <v>21252</v>
      </c>
    </row>
    <row r="1289" spans="1:7">
      <c r="A1289" t="s">
        <v>21253</v>
      </c>
      <c r="B1289" t="s">
        <v>8626</v>
      </c>
      <c r="C1289" t="s">
        <v>21254</v>
      </c>
      <c r="D1289" t="s">
        <v>21255</v>
      </c>
      <c r="E1289" t="s">
        <v>8672</v>
      </c>
      <c r="F1289" t="s">
        <v>11943</v>
      </c>
      <c r="G1289" t="s">
        <v>21256</v>
      </c>
    </row>
    <row r="1290" spans="1:7">
      <c r="A1290" t="s">
        <v>21257</v>
      </c>
      <c r="B1290" t="s">
        <v>8607</v>
      </c>
      <c r="C1290" t="s">
        <v>21258</v>
      </c>
      <c r="D1290" t="s">
        <v>17509</v>
      </c>
      <c r="E1290" t="s">
        <v>8672</v>
      </c>
      <c r="F1290" t="s">
        <v>11943</v>
      </c>
      <c r="G1290" t="s">
        <v>17510</v>
      </c>
    </row>
    <row r="1291" spans="1:7">
      <c r="A1291" t="s">
        <v>21259</v>
      </c>
      <c r="B1291" t="s">
        <v>8626</v>
      </c>
      <c r="C1291" t="s">
        <v>21260</v>
      </c>
      <c r="D1291" t="s">
        <v>17509</v>
      </c>
      <c r="E1291" t="s">
        <v>8672</v>
      </c>
      <c r="F1291" t="s">
        <v>11943</v>
      </c>
      <c r="G1291" t="s">
        <v>21261</v>
      </c>
    </row>
    <row r="1292" spans="1:7">
      <c r="A1292" t="s">
        <v>21262</v>
      </c>
      <c r="B1292" t="s">
        <v>8626</v>
      </c>
      <c r="C1292" t="s">
        <v>21260</v>
      </c>
      <c r="D1292" t="s">
        <v>17509</v>
      </c>
      <c r="E1292" t="s">
        <v>8672</v>
      </c>
      <c r="F1292" t="s">
        <v>11943</v>
      </c>
      <c r="G1292" t="s">
        <v>21261</v>
      </c>
    </row>
    <row r="1293" spans="1:7">
      <c r="A1293" t="s">
        <v>21263</v>
      </c>
      <c r="B1293" t="s">
        <v>8607</v>
      </c>
      <c r="C1293" t="s">
        <v>21041</v>
      </c>
      <c r="D1293" t="s">
        <v>21264</v>
      </c>
      <c r="E1293" t="s">
        <v>8672</v>
      </c>
      <c r="F1293" t="s">
        <v>9002</v>
      </c>
      <c r="G1293" t="s">
        <v>21046</v>
      </c>
    </row>
    <row r="1294" spans="1:7">
      <c r="A1294" t="s">
        <v>21265</v>
      </c>
      <c r="B1294" t="s">
        <v>8607</v>
      </c>
      <c r="C1294" t="s">
        <v>21041</v>
      </c>
      <c r="D1294" t="s">
        <v>21264</v>
      </c>
      <c r="E1294" t="s">
        <v>8672</v>
      </c>
      <c r="F1294" t="s">
        <v>9002</v>
      </c>
      <c r="G1294" t="s">
        <v>21046</v>
      </c>
    </row>
    <row r="1295" spans="1:7">
      <c r="A1295" t="s">
        <v>21266</v>
      </c>
      <c r="D1295" t="s">
        <v>21267</v>
      </c>
      <c r="E1295" t="s">
        <v>8672</v>
      </c>
      <c r="G1295" t="s">
        <v>21268</v>
      </c>
    </row>
    <row r="1296" spans="1:7">
      <c r="A1296" t="s">
        <v>21269</v>
      </c>
      <c r="B1296" t="s">
        <v>8607</v>
      </c>
      <c r="C1296" t="s">
        <v>20615</v>
      </c>
      <c r="D1296" t="s">
        <v>21270</v>
      </c>
      <c r="E1296" t="s">
        <v>8672</v>
      </c>
      <c r="F1296" t="s">
        <v>17310</v>
      </c>
      <c r="G1296" t="s">
        <v>20610</v>
      </c>
    </row>
    <row r="1297" spans="1:7">
      <c r="A1297" t="s">
        <v>21271</v>
      </c>
      <c r="B1297" t="s">
        <v>8607</v>
      </c>
      <c r="D1297" t="s">
        <v>21272</v>
      </c>
      <c r="E1297" t="s">
        <v>8672</v>
      </c>
      <c r="F1297" t="s">
        <v>17310</v>
      </c>
      <c r="G1297" t="s">
        <v>21273</v>
      </c>
    </row>
    <row r="1298" spans="1:7">
      <c r="A1298" t="s">
        <v>21274</v>
      </c>
      <c r="B1298" t="s">
        <v>8607</v>
      </c>
      <c r="D1298" t="s">
        <v>21275</v>
      </c>
      <c r="E1298" t="s">
        <v>8672</v>
      </c>
      <c r="F1298" t="s">
        <v>17932</v>
      </c>
      <c r="G1298" t="s">
        <v>21276</v>
      </c>
    </row>
    <row r="1299" spans="1:7">
      <c r="A1299" t="s">
        <v>21277</v>
      </c>
      <c r="B1299" t="s">
        <v>8607</v>
      </c>
      <c r="C1299" t="s">
        <v>21278</v>
      </c>
      <c r="D1299" t="s">
        <v>21279</v>
      </c>
      <c r="E1299" t="s">
        <v>8672</v>
      </c>
      <c r="F1299" t="s">
        <v>21280</v>
      </c>
      <c r="G1299" t="s">
        <v>21281</v>
      </c>
    </row>
    <row r="1300" spans="1:7">
      <c r="A1300" t="s">
        <v>21282</v>
      </c>
      <c r="B1300" t="s">
        <v>8626</v>
      </c>
      <c r="C1300" t="s">
        <v>21283</v>
      </c>
      <c r="D1300" t="s">
        <v>21284</v>
      </c>
      <c r="E1300" t="s">
        <v>8672</v>
      </c>
      <c r="G1300" t="s">
        <v>21285</v>
      </c>
    </row>
    <row r="1301" spans="1:7">
      <c r="A1301" t="s">
        <v>21286</v>
      </c>
      <c r="B1301" t="s">
        <v>8626</v>
      </c>
      <c r="C1301" t="s">
        <v>21287</v>
      </c>
      <c r="D1301" t="s">
        <v>21288</v>
      </c>
      <c r="E1301" t="s">
        <v>8672</v>
      </c>
      <c r="F1301" t="s">
        <v>21289</v>
      </c>
      <c r="G1301" t="s">
        <v>21290</v>
      </c>
    </row>
    <row r="1302" spans="1:7">
      <c r="A1302" t="s">
        <v>21291</v>
      </c>
      <c r="B1302" t="s">
        <v>8607</v>
      </c>
      <c r="D1302" t="s">
        <v>21292</v>
      </c>
      <c r="E1302" t="s">
        <v>8672</v>
      </c>
      <c r="F1302" t="s">
        <v>21280</v>
      </c>
      <c r="G1302" t="s">
        <v>21293</v>
      </c>
    </row>
    <row r="1303" spans="1:7">
      <c r="A1303" t="s">
        <v>21294</v>
      </c>
      <c r="B1303" t="s">
        <v>8607</v>
      </c>
      <c r="D1303" t="s">
        <v>21295</v>
      </c>
      <c r="E1303" t="s">
        <v>8672</v>
      </c>
      <c r="F1303" t="s">
        <v>21280</v>
      </c>
      <c r="G1303" t="s">
        <v>21293</v>
      </c>
    </row>
    <row r="1304" spans="1:7">
      <c r="A1304" t="s">
        <v>21296</v>
      </c>
      <c r="B1304" t="s">
        <v>8607</v>
      </c>
      <c r="D1304" t="s">
        <v>21297</v>
      </c>
      <c r="E1304" t="s">
        <v>8672</v>
      </c>
      <c r="F1304" t="s">
        <v>21280</v>
      </c>
      <c r="G1304" t="s">
        <v>21281</v>
      </c>
    </row>
    <row r="1305" spans="1:7">
      <c r="A1305" t="s">
        <v>21298</v>
      </c>
      <c r="B1305" t="s">
        <v>8607</v>
      </c>
      <c r="D1305" t="s">
        <v>21299</v>
      </c>
      <c r="E1305" t="s">
        <v>8672</v>
      </c>
      <c r="F1305" t="s">
        <v>21280</v>
      </c>
      <c r="G1305" t="s">
        <v>21300</v>
      </c>
    </row>
    <row r="1306" spans="1:7">
      <c r="A1306" t="s">
        <v>21301</v>
      </c>
      <c r="B1306" t="s">
        <v>8607</v>
      </c>
      <c r="D1306" t="s">
        <v>21299</v>
      </c>
      <c r="E1306" t="s">
        <v>8672</v>
      </c>
      <c r="F1306" t="s">
        <v>21280</v>
      </c>
      <c r="G1306" t="s">
        <v>21300</v>
      </c>
    </row>
    <row r="1307" spans="1:7">
      <c r="A1307" t="s">
        <v>21302</v>
      </c>
      <c r="B1307" t="s">
        <v>8607</v>
      </c>
      <c r="D1307" t="s">
        <v>21299</v>
      </c>
      <c r="E1307" t="s">
        <v>8672</v>
      </c>
      <c r="F1307" t="s">
        <v>21280</v>
      </c>
      <c r="G1307" t="s">
        <v>21300</v>
      </c>
    </row>
    <row r="1308" spans="1:7">
      <c r="A1308" t="s">
        <v>21303</v>
      </c>
      <c r="B1308" t="s">
        <v>8607</v>
      </c>
      <c r="D1308" t="s">
        <v>21299</v>
      </c>
      <c r="E1308" t="s">
        <v>8672</v>
      </c>
      <c r="F1308" t="s">
        <v>21280</v>
      </c>
      <c r="G1308" t="s">
        <v>21300</v>
      </c>
    </row>
    <row r="1309" spans="1:7">
      <c r="A1309" t="s">
        <v>21304</v>
      </c>
      <c r="C1309" t="s">
        <v>21305</v>
      </c>
      <c r="D1309" t="s">
        <v>21306</v>
      </c>
      <c r="E1309" t="s">
        <v>8672</v>
      </c>
      <c r="G1309" t="s">
        <v>21307</v>
      </c>
    </row>
    <row r="1310" spans="1:7">
      <c r="A1310" t="s">
        <v>21308</v>
      </c>
      <c r="B1310" t="s">
        <v>8607</v>
      </c>
      <c r="D1310" t="s">
        <v>21309</v>
      </c>
      <c r="E1310" t="s">
        <v>8672</v>
      </c>
      <c r="F1310" t="s">
        <v>21280</v>
      </c>
      <c r="G1310" t="s">
        <v>21281</v>
      </c>
    </row>
    <row r="1311" spans="1:7">
      <c r="A1311" t="s">
        <v>21310</v>
      </c>
      <c r="B1311" t="s">
        <v>8626</v>
      </c>
      <c r="C1311" t="s">
        <v>21311</v>
      </c>
      <c r="D1311" t="s">
        <v>21312</v>
      </c>
      <c r="E1311" t="s">
        <v>8672</v>
      </c>
      <c r="F1311" t="s">
        <v>21313</v>
      </c>
      <c r="G1311" t="s">
        <v>21314</v>
      </c>
    </row>
    <row r="1312" spans="1:7">
      <c r="A1312" t="s">
        <v>21315</v>
      </c>
      <c r="B1312" t="s">
        <v>8626</v>
      </c>
      <c r="C1312" t="s">
        <v>21316</v>
      </c>
      <c r="D1312" t="s">
        <v>21317</v>
      </c>
      <c r="E1312" t="s">
        <v>8672</v>
      </c>
      <c r="F1312" t="s">
        <v>21313</v>
      </c>
      <c r="G1312" t="s">
        <v>21314</v>
      </c>
    </row>
    <row r="1313" spans="1:7">
      <c r="A1313" t="s">
        <v>21318</v>
      </c>
      <c r="B1313" t="s">
        <v>8626</v>
      </c>
      <c r="C1313" t="s">
        <v>21319</v>
      </c>
      <c r="D1313" t="s">
        <v>21320</v>
      </c>
      <c r="E1313" t="s">
        <v>8672</v>
      </c>
      <c r="F1313" t="s">
        <v>21313</v>
      </c>
      <c r="G1313" t="s">
        <v>21321</v>
      </c>
    </row>
    <row r="1314" spans="1:7">
      <c r="A1314" t="s">
        <v>21322</v>
      </c>
      <c r="B1314" t="s">
        <v>8626</v>
      </c>
      <c r="C1314" t="s">
        <v>21319</v>
      </c>
      <c r="D1314" t="s">
        <v>21323</v>
      </c>
      <c r="E1314" t="s">
        <v>8672</v>
      </c>
      <c r="F1314" t="s">
        <v>21313</v>
      </c>
      <c r="G1314" t="s">
        <v>21324</v>
      </c>
    </row>
    <row r="1315" spans="1:7">
      <c r="A1315" t="s">
        <v>21325</v>
      </c>
      <c r="B1315" t="s">
        <v>8626</v>
      </c>
      <c r="C1315" t="s">
        <v>21319</v>
      </c>
      <c r="D1315" t="s">
        <v>21326</v>
      </c>
      <c r="E1315" t="s">
        <v>8672</v>
      </c>
      <c r="F1315" t="s">
        <v>21313</v>
      </c>
      <c r="G1315" t="s">
        <v>21327</v>
      </c>
    </row>
    <row r="1316" spans="1:7">
      <c r="A1316" t="s">
        <v>21328</v>
      </c>
      <c r="B1316" t="s">
        <v>8626</v>
      </c>
      <c r="C1316" t="s">
        <v>21329</v>
      </c>
      <c r="D1316" t="s">
        <v>21330</v>
      </c>
      <c r="E1316" t="s">
        <v>8672</v>
      </c>
      <c r="F1316" t="s">
        <v>21331</v>
      </c>
      <c r="G1316" t="s">
        <v>21332</v>
      </c>
    </row>
    <row r="1317" spans="1:7">
      <c r="A1317" t="s">
        <v>21333</v>
      </c>
      <c r="B1317" t="s">
        <v>8607</v>
      </c>
      <c r="D1317" t="s">
        <v>21330</v>
      </c>
      <c r="E1317" t="s">
        <v>8672</v>
      </c>
      <c r="F1317" t="s">
        <v>21331</v>
      </c>
      <c r="G1317" t="s">
        <v>21334</v>
      </c>
    </row>
    <row r="1318" spans="1:7">
      <c r="A1318" t="s">
        <v>21335</v>
      </c>
      <c r="B1318" t="s">
        <v>8626</v>
      </c>
      <c r="C1318" t="s">
        <v>21329</v>
      </c>
      <c r="D1318" t="s">
        <v>21330</v>
      </c>
      <c r="E1318" t="s">
        <v>8672</v>
      </c>
      <c r="F1318" t="s">
        <v>21331</v>
      </c>
      <c r="G1318" t="s">
        <v>21336</v>
      </c>
    </row>
    <row r="1319" spans="1:7">
      <c r="A1319" t="s">
        <v>21337</v>
      </c>
      <c r="B1319" t="s">
        <v>8607</v>
      </c>
      <c r="D1319" t="s">
        <v>21338</v>
      </c>
      <c r="E1319" t="s">
        <v>8672</v>
      </c>
      <c r="F1319" t="s">
        <v>21339</v>
      </c>
      <c r="G1319" t="s">
        <v>21340</v>
      </c>
    </row>
    <row r="1320" spans="1:7">
      <c r="A1320" t="s">
        <v>21341</v>
      </c>
      <c r="B1320" t="s">
        <v>8607</v>
      </c>
      <c r="D1320" t="s">
        <v>21342</v>
      </c>
      <c r="E1320" t="s">
        <v>8672</v>
      </c>
      <c r="F1320" t="s">
        <v>9512</v>
      </c>
      <c r="G1320" t="s">
        <v>21343</v>
      </c>
    </row>
    <row r="1321" spans="1:7">
      <c r="A1321" t="s">
        <v>21344</v>
      </c>
      <c r="B1321" t="s">
        <v>8607</v>
      </c>
      <c r="C1321" t="s">
        <v>21345</v>
      </c>
      <c r="D1321" t="s">
        <v>9939</v>
      </c>
      <c r="E1321" t="s">
        <v>8672</v>
      </c>
      <c r="F1321" t="s">
        <v>9512</v>
      </c>
      <c r="G1321" t="s">
        <v>21346</v>
      </c>
    </row>
    <row r="1322" spans="1:7">
      <c r="A1322" t="s">
        <v>21347</v>
      </c>
      <c r="B1322" t="s">
        <v>8607</v>
      </c>
      <c r="C1322" t="s">
        <v>17270</v>
      </c>
      <c r="D1322" t="s">
        <v>9939</v>
      </c>
      <c r="E1322" t="s">
        <v>8672</v>
      </c>
      <c r="F1322" t="s">
        <v>9512</v>
      </c>
      <c r="G1322" t="s">
        <v>21348</v>
      </c>
    </row>
    <row r="1323" spans="1:7">
      <c r="A1323" t="s">
        <v>21349</v>
      </c>
      <c r="B1323" t="s">
        <v>8607</v>
      </c>
      <c r="C1323" t="s">
        <v>21345</v>
      </c>
      <c r="D1323" t="s">
        <v>9939</v>
      </c>
      <c r="E1323" t="s">
        <v>8672</v>
      </c>
      <c r="F1323" t="s">
        <v>9512</v>
      </c>
      <c r="G1323" t="s">
        <v>21348</v>
      </c>
    </row>
    <row r="1324" spans="1:7">
      <c r="A1324" t="s">
        <v>21350</v>
      </c>
      <c r="B1324" t="s">
        <v>8607</v>
      </c>
      <c r="D1324" t="s">
        <v>9939</v>
      </c>
      <c r="E1324" t="s">
        <v>8672</v>
      </c>
      <c r="F1324" t="s">
        <v>9512</v>
      </c>
      <c r="G1324" t="s">
        <v>21351</v>
      </c>
    </row>
    <row r="1325" spans="1:7">
      <c r="A1325" t="s">
        <v>21352</v>
      </c>
      <c r="B1325" t="s">
        <v>8607</v>
      </c>
      <c r="C1325" t="s">
        <v>17270</v>
      </c>
      <c r="D1325" t="s">
        <v>9939</v>
      </c>
      <c r="E1325" t="s">
        <v>8672</v>
      </c>
      <c r="F1325" t="s">
        <v>9512</v>
      </c>
      <c r="G1325" t="s">
        <v>21353</v>
      </c>
    </row>
    <row r="1326" spans="1:7">
      <c r="A1326" t="s">
        <v>21354</v>
      </c>
      <c r="B1326" t="s">
        <v>8607</v>
      </c>
      <c r="C1326" t="s">
        <v>9510</v>
      </c>
      <c r="D1326" t="s">
        <v>9939</v>
      </c>
      <c r="E1326" t="s">
        <v>8672</v>
      </c>
      <c r="F1326" t="s">
        <v>9512</v>
      </c>
      <c r="G1326" t="s">
        <v>21355</v>
      </c>
    </row>
    <row r="1327" spans="1:7">
      <c r="A1327" t="s">
        <v>21356</v>
      </c>
      <c r="B1327" t="s">
        <v>8607</v>
      </c>
      <c r="C1327" t="s">
        <v>17270</v>
      </c>
      <c r="D1327" t="s">
        <v>21357</v>
      </c>
      <c r="E1327" t="s">
        <v>8672</v>
      </c>
      <c r="F1327" t="s">
        <v>9512</v>
      </c>
      <c r="G1327" t="s">
        <v>21358</v>
      </c>
    </row>
    <row r="1328" spans="1:7">
      <c r="A1328" t="s">
        <v>21359</v>
      </c>
      <c r="B1328" t="s">
        <v>8607</v>
      </c>
      <c r="C1328" t="s">
        <v>17270</v>
      </c>
      <c r="D1328" t="s">
        <v>21357</v>
      </c>
      <c r="E1328" t="s">
        <v>8672</v>
      </c>
      <c r="F1328" t="s">
        <v>9512</v>
      </c>
      <c r="G1328" t="s">
        <v>21358</v>
      </c>
    </row>
    <row r="1329" spans="1:7">
      <c r="A1329" t="s">
        <v>21360</v>
      </c>
      <c r="B1329" t="s">
        <v>8607</v>
      </c>
      <c r="C1329" t="s">
        <v>17270</v>
      </c>
      <c r="D1329" t="s">
        <v>21357</v>
      </c>
      <c r="E1329" t="s">
        <v>8672</v>
      </c>
      <c r="F1329" t="s">
        <v>9512</v>
      </c>
      <c r="G1329" t="s">
        <v>21361</v>
      </c>
    </row>
    <row r="1330" spans="1:7">
      <c r="A1330" t="s">
        <v>21362</v>
      </c>
      <c r="B1330" t="s">
        <v>8607</v>
      </c>
      <c r="C1330" t="s">
        <v>21363</v>
      </c>
      <c r="D1330" t="s">
        <v>21364</v>
      </c>
      <c r="E1330" t="s">
        <v>8672</v>
      </c>
      <c r="F1330" t="s">
        <v>9512</v>
      </c>
      <c r="G1330" t="s">
        <v>21365</v>
      </c>
    </row>
    <row r="1331" spans="1:7">
      <c r="A1331" t="s">
        <v>21366</v>
      </c>
      <c r="B1331" t="s">
        <v>8607</v>
      </c>
      <c r="D1331" t="s">
        <v>21364</v>
      </c>
      <c r="E1331" t="s">
        <v>8672</v>
      </c>
      <c r="F1331" t="s">
        <v>9512</v>
      </c>
      <c r="G1331" t="s">
        <v>21367</v>
      </c>
    </row>
    <row r="1332" spans="1:7">
      <c r="A1332" t="s">
        <v>21368</v>
      </c>
      <c r="B1332" t="s">
        <v>8626</v>
      </c>
      <c r="D1332" t="s">
        <v>21369</v>
      </c>
      <c r="E1332" t="s">
        <v>8672</v>
      </c>
      <c r="F1332" t="s">
        <v>21370</v>
      </c>
      <c r="G1332" t="s">
        <v>21371</v>
      </c>
    </row>
    <row r="1333" spans="1:7">
      <c r="A1333" t="s">
        <v>21372</v>
      </c>
      <c r="B1333" t="s">
        <v>8626</v>
      </c>
      <c r="C1333" t="s">
        <v>21373</v>
      </c>
      <c r="D1333" t="s">
        <v>21374</v>
      </c>
      <c r="E1333" t="s">
        <v>8672</v>
      </c>
      <c r="F1333" t="s">
        <v>14108</v>
      </c>
      <c r="G1333" t="s">
        <v>21375</v>
      </c>
    </row>
    <row r="1334" spans="1:7">
      <c r="A1334" t="s">
        <v>21376</v>
      </c>
      <c r="B1334" t="s">
        <v>8607</v>
      </c>
      <c r="C1334" t="s">
        <v>21377</v>
      </c>
      <c r="D1334" t="s">
        <v>21378</v>
      </c>
      <c r="E1334" t="s">
        <v>8672</v>
      </c>
      <c r="F1334" t="s">
        <v>21379</v>
      </c>
      <c r="G1334" t="s">
        <v>21380</v>
      </c>
    </row>
    <row r="1335" spans="1:7">
      <c r="A1335" t="s">
        <v>21381</v>
      </c>
      <c r="B1335" t="s">
        <v>8607</v>
      </c>
      <c r="C1335" t="s">
        <v>21382</v>
      </c>
      <c r="D1335" t="s">
        <v>21383</v>
      </c>
      <c r="E1335" t="s">
        <v>8672</v>
      </c>
      <c r="F1335" t="s">
        <v>21379</v>
      </c>
      <c r="G1335" t="s">
        <v>21384</v>
      </c>
    </row>
    <row r="1336" spans="1:7">
      <c r="A1336" t="s">
        <v>21385</v>
      </c>
      <c r="B1336" t="s">
        <v>8607</v>
      </c>
      <c r="C1336" t="s">
        <v>21386</v>
      </c>
      <c r="D1336" t="s">
        <v>21387</v>
      </c>
      <c r="E1336" t="s">
        <v>8672</v>
      </c>
      <c r="F1336" t="s">
        <v>21379</v>
      </c>
      <c r="G1336" t="s">
        <v>21388</v>
      </c>
    </row>
    <row r="1337" spans="1:7">
      <c r="A1337" t="s">
        <v>21389</v>
      </c>
      <c r="B1337" t="s">
        <v>8626</v>
      </c>
      <c r="D1337" t="s">
        <v>21390</v>
      </c>
      <c r="E1337" t="s">
        <v>8672</v>
      </c>
      <c r="G1337" t="s">
        <v>21391</v>
      </c>
    </row>
    <row r="1338" spans="1:7">
      <c r="A1338" t="s">
        <v>21392</v>
      </c>
      <c r="B1338" t="s">
        <v>8607</v>
      </c>
      <c r="D1338" t="s">
        <v>21393</v>
      </c>
      <c r="E1338" t="s">
        <v>8672</v>
      </c>
      <c r="F1338" t="s">
        <v>21394</v>
      </c>
      <c r="G1338" t="s">
        <v>21395</v>
      </c>
    </row>
    <row r="1339" spans="1:7">
      <c r="A1339" t="s">
        <v>21396</v>
      </c>
      <c r="B1339" t="s">
        <v>8626</v>
      </c>
      <c r="D1339" t="s">
        <v>21397</v>
      </c>
      <c r="E1339" t="s">
        <v>8672</v>
      </c>
      <c r="F1339" t="s">
        <v>21394</v>
      </c>
      <c r="G1339" t="s">
        <v>21398</v>
      </c>
    </row>
    <row r="1340" spans="1:7">
      <c r="A1340" t="s">
        <v>21399</v>
      </c>
      <c r="B1340" t="s">
        <v>8626</v>
      </c>
      <c r="C1340" t="s">
        <v>20814</v>
      </c>
      <c r="D1340" t="s">
        <v>21400</v>
      </c>
      <c r="E1340" t="s">
        <v>8672</v>
      </c>
      <c r="F1340" t="s">
        <v>14627</v>
      </c>
      <c r="G1340" t="s">
        <v>21401</v>
      </c>
    </row>
    <row r="1341" spans="1:7">
      <c r="A1341" t="s">
        <v>21402</v>
      </c>
      <c r="B1341" t="s">
        <v>8607</v>
      </c>
      <c r="C1341" t="s">
        <v>16379</v>
      </c>
      <c r="D1341" t="s">
        <v>21403</v>
      </c>
      <c r="E1341" t="s">
        <v>8672</v>
      </c>
      <c r="F1341" t="s">
        <v>9002</v>
      </c>
      <c r="G1341" t="s">
        <v>21404</v>
      </c>
    </row>
    <row r="1342" spans="1:7">
      <c r="A1342" t="s">
        <v>21405</v>
      </c>
      <c r="B1342" t="s">
        <v>8607</v>
      </c>
      <c r="C1342" t="s">
        <v>21041</v>
      </c>
      <c r="D1342" t="s">
        <v>21403</v>
      </c>
      <c r="E1342" t="s">
        <v>8672</v>
      </c>
      <c r="F1342" t="s">
        <v>9002</v>
      </c>
      <c r="G1342" t="s">
        <v>21406</v>
      </c>
    </row>
    <row r="1343" spans="1:7">
      <c r="A1343" t="s">
        <v>21407</v>
      </c>
      <c r="B1343" t="s">
        <v>8607</v>
      </c>
      <c r="C1343" t="s">
        <v>16379</v>
      </c>
      <c r="D1343" t="s">
        <v>21403</v>
      </c>
      <c r="E1343" t="s">
        <v>8672</v>
      </c>
      <c r="F1343" t="s">
        <v>9002</v>
      </c>
      <c r="G1343" t="s">
        <v>21408</v>
      </c>
    </row>
    <row r="1344" spans="1:7">
      <c r="A1344" t="s">
        <v>21409</v>
      </c>
      <c r="B1344" t="s">
        <v>8607</v>
      </c>
      <c r="C1344" t="s">
        <v>17447</v>
      </c>
      <c r="D1344" t="s">
        <v>21403</v>
      </c>
      <c r="E1344" t="s">
        <v>8672</v>
      </c>
      <c r="F1344" t="s">
        <v>9002</v>
      </c>
      <c r="G1344" t="s">
        <v>21404</v>
      </c>
    </row>
    <row r="1345" spans="1:7">
      <c r="A1345" t="s">
        <v>21410</v>
      </c>
      <c r="B1345" t="s">
        <v>8607</v>
      </c>
      <c r="C1345" t="s">
        <v>21411</v>
      </c>
      <c r="D1345" t="s">
        <v>21412</v>
      </c>
      <c r="E1345" t="s">
        <v>8672</v>
      </c>
      <c r="F1345" t="s">
        <v>15822</v>
      </c>
      <c r="G1345" t="s">
        <v>21413</v>
      </c>
    </row>
    <row r="1346" spans="1:7">
      <c r="A1346" t="s">
        <v>21414</v>
      </c>
      <c r="B1346" t="s">
        <v>8626</v>
      </c>
      <c r="C1346" t="s">
        <v>21415</v>
      </c>
      <c r="D1346" t="s">
        <v>21416</v>
      </c>
      <c r="E1346" t="s">
        <v>8672</v>
      </c>
      <c r="F1346" t="s">
        <v>15822</v>
      </c>
      <c r="G1346" t="s">
        <v>21417</v>
      </c>
    </row>
    <row r="1347" spans="1:7">
      <c r="A1347" t="s">
        <v>21418</v>
      </c>
      <c r="B1347" t="s">
        <v>8607</v>
      </c>
      <c r="C1347" t="s">
        <v>21415</v>
      </c>
      <c r="D1347" t="s">
        <v>21419</v>
      </c>
      <c r="E1347" t="s">
        <v>8672</v>
      </c>
      <c r="F1347" t="s">
        <v>15822</v>
      </c>
      <c r="G1347" t="s">
        <v>21420</v>
      </c>
    </row>
    <row r="1348" spans="1:7">
      <c r="A1348" t="s">
        <v>21421</v>
      </c>
      <c r="B1348" t="s">
        <v>8607</v>
      </c>
      <c r="C1348" t="s">
        <v>21415</v>
      </c>
      <c r="D1348" t="s">
        <v>21422</v>
      </c>
      <c r="E1348" t="s">
        <v>8672</v>
      </c>
      <c r="F1348" t="s">
        <v>15822</v>
      </c>
      <c r="G1348" t="s">
        <v>21423</v>
      </c>
    </row>
    <row r="1349" spans="1:7">
      <c r="A1349" t="s">
        <v>21424</v>
      </c>
      <c r="B1349" t="s">
        <v>8626</v>
      </c>
      <c r="C1349" t="s">
        <v>21425</v>
      </c>
      <c r="D1349" t="s">
        <v>21422</v>
      </c>
      <c r="E1349" t="s">
        <v>8672</v>
      </c>
      <c r="F1349" t="s">
        <v>15822</v>
      </c>
      <c r="G1349" t="s">
        <v>21417</v>
      </c>
    </row>
    <row r="1350" spans="1:7">
      <c r="A1350" t="s">
        <v>21426</v>
      </c>
      <c r="B1350" t="s">
        <v>8626</v>
      </c>
      <c r="C1350" t="s">
        <v>21415</v>
      </c>
      <c r="D1350" t="s">
        <v>21422</v>
      </c>
      <c r="E1350" t="s">
        <v>8672</v>
      </c>
      <c r="F1350" t="s">
        <v>15822</v>
      </c>
      <c r="G1350" t="s">
        <v>21427</v>
      </c>
    </row>
    <row r="1351" spans="1:7">
      <c r="A1351" t="s">
        <v>21428</v>
      </c>
      <c r="B1351" t="s">
        <v>8607</v>
      </c>
      <c r="C1351" t="s">
        <v>21415</v>
      </c>
      <c r="D1351" t="s">
        <v>21422</v>
      </c>
      <c r="E1351" t="s">
        <v>8672</v>
      </c>
      <c r="F1351" t="s">
        <v>15822</v>
      </c>
      <c r="G1351" t="s">
        <v>21429</v>
      </c>
    </row>
    <row r="1352" spans="1:7">
      <c r="A1352" t="s">
        <v>21430</v>
      </c>
      <c r="B1352" t="s">
        <v>8607</v>
      </c>
      <c r="C1352" t="s">
        <v>21415</v>
      </c>
      <c r="D1352" t="s">
        <v>21422</v>
      </c>
      <c r="E1352" t="s">
        <v>8672</v>
      </c>
      <c r="F1352" t="s">
        <v>15822</v>
      </c>
      <c r="G1352" t="s">
        <v>21431</v>
      </c>
    </row>
    <row r="1353" spans="1:7">
      <c r="A1353" t="s">
        <v>21432</v>
      </c>
      <c r="B1353" t="s">
        <v>8607</v>
      </c>
      <c r="C1353" t="s">
        <v>21433</v>
      </c>
      <c r="D1353" t="s">
        <v>21434</v>
      </c>
      <c r="E1353" t="s">
        <v>8672</v>
      </c>
      <c r="F1353" t="s">
        <v>14108</v>
      </c>
      <c r="G1353" t="s">
        <v>21435</v>
      </c>
    </row>
    <row r="1354" spans="1:7">
      <c r="A1354" t="s">
        <v>21436</v>
      </c>
      <c r="B1354" t="s">
        <v>8607</v>
      </c>
      <c r="C1354" t="s">
        <v>21437</v>
      </c>
      <c r="D1354" t="s">
        <v>21438</v>
      </c>
      <c r="E1354" t="s">
        <v>8672</v>
      </c>
      <c r="G1354" t="s">
        <v>21439</v>
      </c>
    </row>
    <row r="1355" spans="1:7">
      <c r="A1355" t="s">
        <v>21440</v>
      </c>
      <c r="B1355" t="s">
        <v>8626</v>
      </c>
      <c r="D1355" t="s">
        <v>21441</v>
      </c>
      <c r="E1355" t="s">
        <v>8672</v>
      </c>
      <c r="F1355" t="s">
        <v>21331</v>
      </c>
      <c r="G1355" t="s">
        <v>21442</v>
      </c>
    </row>
    <row r="1356" spans="1:7">
      <c r="A1356" t="s">
        <v>21443</v>
      </c>
      <c r="B1356" t="s">
        <v>8607</v>
      </c>
      <c r="C1356" t="s">
        <v>20957</v>
      </c>
      <c r="D1356" t="s">
        <v>21444</v>
      </c>
      <c r="E1356" t="s">
        <v>8672</v>
      </c>
      <c r="F1356" t="s">
        <v>11540</v>
      </c>
      <c r="G1356" t="s">
        <v>21445</v>
      </c>
    </row>
    <row r="1357" spans="1:7">
      <c r="A1357" t="s">
        <v>21446</v>
      </c>
      <c r="B1357" t="s">
        <v>8626</v>
      </c>
      <c r="C1357" t="s">
        <v>21447</v>
      </c>
      <c r="D1357" t="s">
        <v>21448</v>
      </c>
      <c r="E1357" t="s">
        <v>8672</v>
      </c>
      <c r="G1357" t="s">
        <v>21449</v>
      </c>
    </row>
    <row r="1358" spans="1:7">
      <c r="A1358" t="s">
        <v>21450</v>
      </c>
      <c r="B1358" t="s">
        <v>8607</v>
      </c>
      <c r="C1358" t="s">
        <v>14734</v>
      </c>
      <c r="D1358" t="s">
        <v>9267</v>
      </c>
      <c r="E1358" t="s">
        <v>8672</v>
      </c>
      <c r="F1358" t="s">
        <v>9268</v>
      </c>
      <c r="G1358" t="s">
        <v>21451</v>
      </c>
    </row>
    <row r="1359" spans="1:7">
      <c r="A1359" t="s">
        <v>21452</v>
      </c>
      <c r="B1359" t="s">
        <v>8607</v>
      </c>
      <c r="C1359" t="s">
        <v>21453</v>
      </c>
      <c r="D1359" t="s">
        <v>9267</v>
      </c>
      <c r="E1359" t="s">
        <v>8672</v>
      </c>
      <c r="F1359" t="s">
        <v>9268</v>
      </c>
      <c r="G1359" t="s">
        <v>21451</v>
      </c>
    </row>
    <row r="1360" spans="1:7">
      <c r="A1360" t="s">
        <v>21454</v>
      </c>
      <c r="B1360" t="s">
        <v>8607</v>
      </c>
      <c r="C1360" t="s">
        <v>21455</v>
      </c>
      <c r="D1360" t="s">
        <v>9267</v>
      </c>
      <c r="E1360" t="s">
        <v>8672</v>
      </c>
      <c r="F1360" t="s">
        <v>9268</v>
      </c>
      <c r="G1360" t="s">
        <v>21456</v>
      </c>
    </row>
    <row r="1361" spans="1:7">
      <c r="A1361" t="s">
        <v>21457</v>
      </c>
      <c r="B1361" t="s">
        <v>8607</v>
      </c>
      <c r="C1361" t="s">
        <v>9266</v>
      </c>
      <c r="D1361" t="s">
        <v>9267</v>
      </c>
      <c r="E1361" t="s">
        <v>8672</v>
      </c>
      <c r="F1361" t="s">
        <v>9268</v>
      </c>
      <c r="G1361" t="s">
        <v>21458</v>
      </c>
    </row>
    <row r="1362" spans="1:7">
      <c r="A1362" t="s">
        <v>21459</v>
      </c>
      <c r="B1362" t="s">
        <v>8626</v>
      </c>
      <c r="C1362" t="s">
        <v>9266</v>
      </c>
      <c r="D1362" t="s">
        <v>21460</v>
      </c>
      <c r="E1362" t="s">
        <v>8672</v>
      </c>
      <c r="F1362" t="s">
        <v>9268</v>
      </c>
      <c r="G1362" t="s">
        <v>21461</v>
      </c>
    </row>
    <row r="1363" spans="1:7">
      <c r="A1363" t="s">
        <v>21462</v>
      </c>
      <c r="B1363" t="s">
        <v>8607</v>
      </c>
      <c r="C1363" t="s">
        <v>21463</v>
      </c>
      <c r="D1363" t="s">
        <v>21464</v>
      </c>
      <c r="E1363" t="s">
        <v>8672</v>
      </c>
      <c r="F1363" t="s">
        <v>9268</v>
      </c>
      <c r="G1363" t="s">
        <v>21465</v>
      </c>
    </row>
    <row r="1364" spans="1:7">
      <c r="A1364" t="s">
        <v>21466</v>
      </c>
      <c r="B1364" t="s">
        <v>8607</v>
      </c>
      <c r="D1364" t="s">
        <v>21467</v>
      </c>
      <c r="E1364" t="s">
        <v>8672</v>
      </c>
      <c r="F1364" t="s">
        <v>15202</v>
      </c>
      <c r="G1364" t="s">
        <v>21468</v>
      </c>
    </row>
    <row r="1365" spans="1:7">
      <c r="A1365" t="s">
        <v>21469</v>
      </c>
      <c r="B1365" t="s">
        <v>8607</v>
      </c>
      <c r="C1365" t="s">
        <v>21470</v>
      </c>
      <c r="D1365" t="s">
        <v>21471</v>
      </c>
      <c r="E1365" t="s">
        <v>8672</v>
      </c>
      <c r="F1365" t="s">
        <v>9378</v>
      </c>
      <c r="G1365" t="s">
        <v>21472</v>
      </c>
    </row>
    <row r="1366" spans="1:7">
      <c r="A1366" t="s">
        <v>21473</v>
      </c>
      <c r="B1366" t="s">
        <v>8607</v>
      </c>
      <c r="C1366" t="s">
        <v>21474</v>
      </c>
      <c r="D1366" t="s">
        <v>21475</v>
      </c>
      <c r="E1366" t="s">
        <v>8672</v>
      </c>
      <c r="F1366" t="s">
        <v>9378</v>
      </c>
      <c r="G1366" t="s">
        <v>21476</v>
      </c>
    </row>
    <row r="1367" spans="1:7">
      <c r="A1367" t="s">
        <v>21477</v>
      </c>
      <c r="B1367" t="s">
        <v>8607</v>
      </c>
      <c r="C1367" t="s">
        <v>21478</v>
      </c>
      <c r="D1367" t="s">
        <v>21479</v>
      </c>
      <c r="E1367" t="s">
        <v>8672</v>
      </c>
      <c r="F1367" t="s">
        <v>9378</v>
      </c>
      <c r="G1367" t="s">
        <v>21472</v>
      </c>
    </row>
    <row r="1368" spans="1:7">
      <c r="A1368" t="s">
        <v>21480</v>
      </c>
      <c r="B1368" t="s">
        <v>8626</v>
      </c>
      <c r="C1368" t="s">
        <v>21481</v>
      </c>
      <c r="D1368" t="s">
        <v>21482</v>
      </c>
      <c r="E1368" t="s">
        <v>8672</v>
      </c>
      <c r="F1368" t="s">
        <v>9378</v>
      </c>
      <c r="G1368" t="s">
        <v>21483</v>
      </c>
    </row>
    <row r="1369" spans="1:7">
      <c r="A1369" t="s">
        <v>21484</v>
      </c>
      <c r="B1369" t="s">
        <v>8607</v>
      </c>
      <c r="D1369" t="s">
        <v>21485</v>
      </c>
      <c r="E1369" t="s">
        <v>8672</v>
      </c>
      <c r="F1369" t="s">
        <v>21486</v>
      </c>
      <c r="G1369" t="s">
        <v>21487</v>
      </c>
    </row>
    <row r="1370" spans="1:7">
      <c r="A1370" t="s">
        <v>21488</v>
      </c>
      <c r="B1370" t="s">
        <v>8607</v>
      </c>
      <c r="D1370" t="s">
        <v>21485</v>
      </c>
      <c r="E1370" t="s">
        <v>8672</v>
      </c>
      <c r="F1370" t="s">
        <v>21486</v>
      </c>
      <c r="G1370" t="s">
        <v>21489</v>
      </c>
    </row>
    <row r="1371" spans="1:7">
      <c r="A1371" t="s">
        <v>21490</v>
      </c>
      <c r="B1371" t="s">
        <v>8607</v>
      </c>
      <c r="D1371" t="s">
        <v>21485</v>
      </c>
      <c r="E1371" t="s">
        <v>8672</v>
      </c>
      <c r="F1371" t="s">
        <v>21486</v>
      </c>
      <c r="G1371" t="s">
        <v>21491</v>
      </c>
    </row>
    <row r="1372" spans="1:7">
      <c r="A1372" t="s">
        <v>21492</v>
      </c>
      <c r="B1372" t="s">
        <v>8607</v>
      </c>
      <c r="C1372" t="s">
        <v>21493</v>
      </c>
      <c r="D1372" t="s">
        <v>21494</v>
      </c>
      <c r="E1372" t="s">
        <v>8672</v>
      </c>
      <c r="F1372" t="s">
        <v>21495</v>
      </c>
      <c r="G1372" t="s">
        <v>21496</v>
      </c>
    </row>
    <row r="1373" spans="1:7">
      <c r="A1373" t="s">
        <v>21497</v>
      </c>
      <c r="B1373" t="s">
        <v>8607</v>
      </c>
      <c r="D1373" t="s">
        <v>21498</v>
      </c>
      <c r="E1373" t="s">
        <v>8672</v>
      </c>
      <c r="F1373" t="s">
        <v>21499</v>
      </c>
      <c r="G1373" t="s">
        <v>21500</v>
      </c>
    </row>
    <row r="1374" spans="1:7">
      <c r="A1374" t="s">
        <v>21501</v>
      </c>
      <c r="C1374" t="s">
        <v>21502</v>
      </c>
      <c r="D1374" t="s">
        <v>21503</v>
      </c>
      <c r="E1374" t="s">
        <v>8672</v>
      </c>
      <c r="G1374" t="s">
        <v>21504</v>
      </c>
    </row>
    <row r="1375" spans="1:7">
      <c r="A1375" t="s">
        <v>21505</v>
      </c>
      <c r="B1375" t="s">
        <v>8626</v>
      </c>
      <c r="C1375" t="s">
        <v>21506</v>
      </c>
      <c r="D1375" t="s">
        <v>21507</v>
      </c>
      <c r="E1375" t="s">
        <v>8672</v>
      </c>
      <c r="F1375" t="s">
        <v>17790</v>
      </c>
      <c r="G1375" t="s">
        <v>21508</v>
      </c>
    </row>
    <row r="1376" spans="1:7">
      <c r="A1376" t="s">
        <v>21509</v>
      </c>
      <c r="B1376" t="s">
        <v>8607</v>
      </c>
      <c r="C1376" t="s">
        <v>21506</v>
      </c>
      <c r="D1376" t="s">
        <v>21507</v>
      </c>
      <c r="E1376" t="s">
        <v>8672</v>
      </c>
      <c r="F1376" t="s">
        <v>17790</v>
      </c>
      <c r="G1376" t="s">
        <v>21510</v>
      </c>
    </row>
    <row r="1377" spans="1:7">
      <c r="A1377" t="s">
        <v>21511</v>
      </c>
      <c r="B1377" t="s">
        <v>8607</v>
      </c>
      <c r="C1377" t="s">
        <v>21506</v>
      </c>
      <c r="D1377" t="s">
        <v>21507</v>
      </c>
      <c r="E1377" t="s">
        <v>8672</v>
      </c>
      <c r="F1377" t="s">
        <v>17790</v>
      </c>
      <c r="G1377" t="s">
        <v>21510</v>
      </c>
    </row>
    <row r="1378" spans="1:7">
      <c r="A1378" t="s">
        <v>21512</v>
      </c>
      <c r="B1378" t="s">
        <v>8607</v>
      </c>
      <c r="C1378" t="s">
        <v>21506</v>
      </c>
      <c r="D1378" t="s">
        <v>21507</v>
      </c>
      <c r="E1378" t="s">
        <v>8672</v>
      </c>
      <c r="F1378" t="s">
        <v>17790</v>
      </c>
      <c r="G1378" t="s">
        <v>21510</v>
      </c>
    </row>
    <row r="1379" spans="1:7">
      <c r="A1379" t="s">
        <v>21513</v>
      </c>
      <c r="B1379" t="s">
        <v>8607</v>
      </c>
      <c r="C1379" t="s">
        <v>21506</v>
      </c>
      <c r="D1379" t="s">
        <v>21507</v>
      </c>
      <c r="E1379" t="s">
        <v>8672</v>
      </c>
      <c r="F1379" t="s">
        <v>17790</v>
      </c>
      <c r="G1379" t="s">
        <v>21510</v>
      </c>
    </row>
    <row r="1380" spans="1:7">
      <c r="A1380" t="s">
        <v>21514</v>
      </c>
      <c r="B1380" t="s">
        <v>8607</v>
      </c>
      <c r="C1380" t="s">
        <v>21506</v>
      </c>
      <c r="D1380" t="s">
        <v>21507</v>
      </c>
      <c r="E1380" t="s">
        <v>8672</v>
      </c>
      <c r="F1380" t="s">
        <v>17790</v>
      </c>
      <c r="G1380" t="s">
        <v>21515</v>
      </c>
    </row>
    <row r="1381" spans="1:7">
      <c r="A1381" t="s">
        <v>21516</v>
      </c>
      <c r="B1381" t="s">
        <v>8607</v>
      </c>
      <c r="D1381" t="s">
        <v>21507</v>
      </c>
      <c r="E1381" t="s">
        <v>8672</v>
      </c>
      <c r="F1381" t="s">
        <v>17790</v>
      </c>
      <c r="G1381" t="s">
        <v>21517</v>
      </c>
    </row>
    <row r="1382" spans="1:7">
      <c r="A1382" t="s">
        <v>21518</v>
      </c>
      <c r="B1382" t="s">
        <v>8607</v>
      </c>
      <c r="C1382" t="s">
        <v>21506</v>
      </c>
      <c r="D1382" t="s">
        <v>21507</v>
      </c>
      <c r="E1382" t="s">
        <v>8672</v>
      </c>
      <c r="F1382" t="s">
        <v>17790</v>
      </c>
      <c r="G1382" t="s">
        <v>21517</v>
      </c>
    </row>
    <row r="1383" spans="1:7">
      <c r="A1383" t="s">
        <v>21519</v>
      </c>
      <c r="B1383" t="s">
        <v>8607</v>
      </c>
      <c r="C1383" t="s">
        <v>21506</v>
      </c>
      <c r="D1383" t="s">
        <v>21507</v>
      </c>
      <c r="E1383" t="s">
        <v>8672</v>
      </c>
      <c r="F1383" t="s">
        <v>17790</v>
      </c>
      <c r="G1383" t="s">
        <v>21510</v>
      </c>
    </row>
    <row r="1384" spans="1:7">
      <c r="A1384" t="s">
        <v>21520</v>
      </c>
      <c r="B1384" t="s">
        <v>8607</v>
      </c>
      <c r="C1384" t="s">
        <v>21506</v>
      </c>
      <c r="D1384" t="s">
        <v>21507</v>
      </c>
      <c r="E1384" t="s">
        <v>8672</v>
      </c>
      <c r="F1384" t="s">
        <v>17790</v>
      </c>
      <c r="G1384" t="s">
        <v>21515</v>
      </c>
    </row>
    <row r="1385" spans="1:7">
      <c r="A1385" t="s">
        <v>21521</v>
      </c>
      <c r="B1385" t="s">
        <v>8607</v>
      </c>
      <c r="C1385" t="s">
        <v>21506</v>
      </c>
      <c r="D1385" t="s">
        <v>21507</v>
      </c>
      <c r="E1385" t="s">
        <v>8672</v>
      </c>
      <c r="F1385" t="s">
        <v>17790</v>
      </c>
      <c r="G1385" t="s">
        <v>21510</v>
      </c>
    </row>
    <row r="1386" spans="1:7">
      <c r="A1386" t="s">
        <v>21522</v>
      </c>
      <c r="B1386" t="s">
        <v>8607</v>
      </c>
      <c r="D1386" t="s">
        <v>21507</v>
      </c>
      <c r="E1386" t="s">
        <v>8672</v>
      </c>
      <c r="F1386" t="s">
        <v>17790</v>
      </c>
      <c r="G1386" t="s">
        <v>17791</v>
      </c>
    </row>
    <row r="1387" spans="1:7">
      <c r="A1387" t="s">
        <v>21523</v>
      </c>
      <c r="B1387" t="s">
        <v>8607</v>
      </c>
      <c r="C1387" t="s">
        <v>21506</v>
      </c>
      <c r="D1387" t="s">
        <v>21507</v>
      </c>
      <c r="E1387" t="s">
        <v>8672</v>
      </c>
      <c r="F1387" t="s">
        <v>17790</v>
      </c>
      <c r="G1387" t="s">
        <v>21524</v>
      </c>
    </row>
    <row r="1388" spans="1:7">
      <c r="A1388" t="s">
        <v>21525</v>
      </c>
      <c r="B1388" t="s">
        <v>8607</v>
      </c>
      <c r="C1388" t="s">
        <v>21506</v>
      </c>
      <c r="D1388" t="s">
        <v>21507</v>
      </c>
      <c r="E1388" t="s">
        <v>8672</v>
      </c>
      <c r="F1388" t="s">
        <v>17790</v>
      </c>
      <c r="G1388" t="s">
        <v>21510</v>
      </c>
    </row>
    <row r="1389" spans="1:7">
      <c r="A1389" t="s">
        <v>21526</v>
      </c>
      <c r="B1389" t="s">
        <v>8607</v>
      </c>
      <c r="C1389" t="s">
        <v>21506</v>
      </c>
      <c r="D1389" t="s">
        <v>21507</v>
      </c>
      <c r="E1389" t="s">
        <v>8672</v>
      </c>
      <c r="F1389" t="s">
        <v>17790</v>
      </c>
      <c r="G1389" t="s">
        <v>21527</v>
      </c>
    </row>
    <row r="1390" spans="1:7">
      <c r="A1390" t="s">
        <v>21528</v>
      </c>
      <c r="B1390" t="s">
        <v>8607</v>
      </c>
      <c r="C1390" t="s">
        <v>21506</v>
      </c>
      <c r="D1390" t="s">
        <v>21507</v>
      </c>
      <c r="E1390" t="s">
        <v>8672</v>
      </c>
      <c r="F1390" t="s">
        <v>17790</v>
      </c>
      <c r="G1390" t="s">
        <v>21510</v>
      </c>
    </row>
    <row r="1391" spans="1:7">
      <c r="A1391" t="s">
        <v>21529</v>
      </c>
      <c r="B1391" t="s">
        <v>8607</v>
      </c>
      <c r="C1391" t="s">
        <v>21506</v>
      </c>
      <c r="D1391" t="s">
        <v>21507</v>
      </c>
      <c r="E1391" t="s">
        <v>8672</v>
      </c>
      <c r="F1391" t="s">
        <v>17790</v>
      </c>
      <c r="G1391" t="s">
        <v>21510</v>
      </c>
    </row>
    <row r="1392" spans="1:7">
      <c r="A1392" t="s">
        <v>21530</v>
      </c>
      <c r="B1392" t="s">
        <v>8607</v>
      </c>
      <c r="C1392" t="s">
        <v>21506</v>
      </c>
      <c r="D1392" t="s">
        <v>21507</v>
      </c>
      <c r="E1392" t="s">
        <v>8672</v>
      </c>
      <c r="F1392" t="s">
        <v>17790</v>
      </c>
      <c r="G1392" t="s">
        <v>21510</v>
      </c>
    </row>
    <row r="1393" spans="1:7">
      <c r="A1393" t="s">
        <v>21531</v>
      </c>
      <c r="B1393" t="s">
        <v>8607</v>
      </c>
      <c r="C1393" t="s">
        <v>21506</v>
      </c>
      <c r="D1393" t="s">
        <v>21507</v>
      </c>
      <c r="E1393" t="s">
        <v>8672</v>
      </c>
      <c r="F1393" t="s">
        <v>17790</v>
      </c>
      <c r="G1393" t="s">
        <v>21510</v>
      </c>
    </row>
    <row r="1394" spans="1:7">
      <c r="A1394" t="s">
        <v>21532</v>
      </c>
      <c r="B1394" t="s">
        <v>8607</v>
      </c>
      <c r="C1394" t="s">
        <v>21506</v>
      </c>
      <c r="D1394" t="s">
        <v>21507</v>
      </c>
      <c r="E1394" t="s">
        <v>8672</v>
      </c>
      <c r="F1394" t="s">
        <v>17790</v>
      </c>
      <c r="G1394" t="s">
        <v>21524</v>
      </c>
    </row>
    <row r="1395" spans="1:7">
      <c r="A1395" t="s">
        <v>21533</v>
      </c>
      <c r="B1395" t="s">
        <v>8607</v>
      </c>
      <c r="C1395" t="s">
        <v>21506</v>
      </c>
      <c r="D1395" t="s">
        <v>21507</v>
      </c>
      <c r="E1395" t="s">
        <v>8672</v>
      </c>
      <c r="F1395" t="s">
        <v>17790</v>
      </c>
      <c r="G1395" t="s">
        <v>21510</v>
      </c>
    </row>
    <row r="1396" spans="1:7">
      <c r="A1396" t="s">
        <v>21534</v>
      </c>
      <c r="B1396" t="s">
        <v>8607</v>
      </c>
      <c r="C1396" t="s">
        <v>21506</v>
      </c>
      <c r="D1396" t="s">
        <v>21507</v>
      </c>
      <c r="E1396" t="s">
        <v>8672</v>
      </c>
      <c r="F1396" t="s">
        <v>17790</v>
      </c>
      <c r="G1396" t="s">
        <v>21510</v>
      </c>
    </row>
    <row r="1397" spans="1:7">
      <c r="A1397" t="s">
        <v>21535</v>
      </c>
      <c r="B1397" t="s">
        <v>8626</v>
      </c>
      <c r="C1397" t="s">
        <v>21506</v>
      </c>
      <c r="D1397" t="s">
        <v>21507</v>
      </c>
      <c r="E1397" t="s">
        <v>8672</v>
      </c>
      <c r="F1397" t="s">
        <v>17790</v>
      </c>
      <c r="G1397" t="s">
        <v>21536</v>
      </c>
    </row>
    <row r="1398" spans="1:7">
      <c r="A1398" t="s">
        <v>21537</v>
      </c>
      <c r="B1398" t="s">
        <v>8607</v>
      </c>
      <c r="C1398" t="s">
        <v>21506</v>
      </c>
      <c r="D1398" t="s">
        <v>21507</v>
      </c>
      <c r="E1398" t="s">
        <v>8672</v>
      </c>
      <c r="F1398" t="s">
        <v>17790</v>
      </c>
      <c r="G1398" t="s">
        <v>21510</v>
      </c>
    </row>
    <row r="1399" spans="1:7">
      <c r="A1399" t="s">
        <v>21538</v>
      </c>
      <c r="B1399" t="s">
        <v>8607</v>
      </c>
      <c r="C1399" t="s">
        <v>21506</v>
      </c>
      <c r="D1399" t="s">
        <v>21507</v>
      </c>
      <c r="E1399" t="s">
        <v>8672</v>
      </c>
      <c r="F1399" t="s">
        <v>17790</v>
      </c>
      <c r="G1399" t="s">
        <v>21510</v>
      </c>
    </row>
    <row r="1400" spans="1:7">
      <c r="A1400" t="s">
        <v>21539</v>
      </c>
      <c r="B1400" t="s">
        <v>8607</v>
      </c>
      <c r="D1400" t="s">
        <v>21540</v>
      </c>
      <c r="E1400" t="s">
        <v>8672</v>
      </c>
      <c r="F1400" t="s">
        <v>17790</v>
      </c>
      <c r="G1400" t="s">
        <v>21541</v>
      </c>
    </row>
    <row r="1401" spans="1:7">
      <c r="A1401" t="s">
        <v>21542</v>
      </c>
      <c r="B1401" t="s">
        <v>8607</v>
      </c>
      <c r="D1401" t="s">
        <v>21543</v>
      </c>
      <c r="E1401" t="s">
        <v>8672</v>
      </c>
      <c r="F1401" t="s">
        <v>17790</v>
      </c>
      <c r="G1401" t="s">
        <v>21544</v>
      </c>
    </row>
    <row r="1402" spans="1:7">
      <c r="A1402" t="s">
        <v>21545</v>
      </c>
      <c r="B1402" t="s">
        <v>8626</v>
      </c>
      <c r="D1402" t="s">
        <v>12463</v>
      </c>
      <c r="E1402" t="s">
        <v>8672</v>
      </c>
      <c r="F1402" t="s">
        <v>12464</v>
      </c>
      <c r="G1402" t="s">
        <v>21546</v>
      </c>
    </row>
    <row r="1403" spans="1:7">
      <c r="A1403" t="s">
        <v>21547</v>
      </c>
      <c r="B1403" t="s">
        <v>8607</v>
      </c>
      <c r="C1403" t="s">
        <v>21548</v>
      </c>
      <c r="D1403" t="s">
        <v>21549</v>
      </c>
      <c r="E1403" t="s">
        <v>8672</v>
      </c>
      <c r="F1403" t="s">
        <v>21550</v>
      </c>
      <c r="G1403" t="s">
        <v>21551</v>
      </c>
    </row>
    <row r="1404" spans="1:7">
      <c r="A1404" t="s">
        <v>21552</v>
      </c>
      <c r="B1404" t="s">
        <v>8607</v>
      </c>
      <c r="C1404" t="s">
        <v>21553</v>
      </c>
      <c r="D1404" t="s">
        <v>21554</v>
      </c>
      <c r="E1404" t="s">
        <v>8672</v>
      </c>
      <c r="F1404" t="s">
        <v>21550</v>
      </c>
      <c r="G1404" t="s">
        <v>21551</v>
      </c>
    </row>
    <row r="1405" spans="1:7">
      <c r="A1405" t="s">
        <v>21555</v>
      </c>
      <c r="B1405" t="s">
        <v>8607</v>
      </c>
      <c r="D1405" t="s">
        <v>21556</v>
      </c>
      <c r="E1405" t="s">
        <v>8672</v>
      </c>
      <c r="F1405" t="s">
        <v>9512</v>
      </c>
      <c r="G1405" t="s">
        <v>21557</v>
      </c>
    </row>
    <row r="1406" spans="1:7">
      <c r="A1406" t="s">
        <v>21558</v>
      </c>
      <c r="B1406" t="s">
        <v>8607</v>
      </c>
      <c r="C1406" t="s">
        <v>21559</v>
      </c>
      <c r="D1406" t="s">
        <v>21560</v>
      </c>
      <c r="E1406" t="s">
        <v>8672</v>
      </c>
      <c r="F1406" t="s">
        <v>9338</v>
      </c>
      <c r="G1406" t="s">
        <v>21561</v>
      </c>
    </row>
    <row r="1407" spans="1:7">
      <c r="A1407" t="s">
        <v>21562</v>
      </c>
      <c r="B1407" t="s">
        <v>8626</v>
      </c>
      <c r="D1407" t="s">
        <v>21563</v>
      </c>
      <c r="E1407" t="s">
        <v>8672</v>
      </c>
      <c r="G1407" t="s">
        <v>21564</v>
      </c>
    </row>
    <row r="1408" spans="1:7">
      <c r="A1408" t="s">
        <v>21565</v>
      </c>
      <c r="B1408" t="s">
        <v>8607</v>
      </c>
      <c r="D1408" t="s">
        <v>21566</v>
      </c>
      <c r="E1408" t="s">
        <v>8672</v>
      </c>
      <c r="F1408" t="s">
        <v>21567</v>
      </c>
      <c r="G1408" t="s">
        <v>21568</v>
      </c>
    </row>
    <row r="1409" spans="1:7">
      <c r="A1409" t="s">
        <v>21569</v>
      </c>
      <c r="B1409" t="s">
        <v>8607</v>
      </c>
      <c r="D1409" t="s">
        <v>21566</v>
      </c>
      <c r="E1409" t="s">
        <v>8672</v>
      </c>
      <c r="F1409" t="s">
        <v>21567</v>
      </c>
      <c r="G1409" t="s">
        <v>21568</v>
      </c>
    </row>
    <row r="1410" spans="1:7">
      <c r="A1410" t="s">
        <v>21570</v>
      </c>
      <c r="B1410" t="s">
        <v>8626</v>
      </c>
      <c r="C1410" t="s">
        <v>21571</v>
      </c>
      <c r="D1410" t="s">
        <v>21572</v>
      </c>
      <c r="E1410" t="s">
        <v>8672</v>
      </c>
      <c r="F1410" t="s">
        <v>21573</v>
      </c>
      <c r="G1410" t="s">
        <v>21574</v>
      </c>
    </row>
    <row r="1411" spans="1:7">
      <c r="A1411" t="s">
        <v>21575</v>
      </c>
      <c r="B1411" t="s">
        <v>8626</v>
      </c>
      <c r="C1411" t="s">
        <v>21576</v>
      </c>
      <c r="D1411" t="s">
        <v>21577</v>
      </c>
      <c r="E1411" t="s">
        <v>8672</v>
      </c>
      <c r="F1411" t="s">
        <v>21573</v>
      </c>
      <c r="G1411" t="s">
        <v>21578</v>
      </c>
    </row>
    <row r="1412" spans="1:7">
      <c r="A1412" t="s">
        <v>21579</v>
      </c>
      <c r="B1412" t="s">
        <v>8607</v>
      </c>
      <c r="C1412" t="s">
        <v>21571</v>
      </c>
      <c r="D1412" t="s">
        <v>21580</v>
      </c>
      <c r="E1412" t="s">
        <v>8672</v>
      </c>
      <c r="F1412" t="s">
        <v>21573</v>
      </c>
      <c r="G1412" t="s">
        <v>21581</v>
      </c>
    </row>
    <row r="1413" spans="1:7">
      <c r="A1413" t="s">
        <v>21582</v>
      </c>
      <c r="B1413" t="s">
        <v>8607</v>
      </c>
      <c r="D1413" t="s">
        <v>21583</v>
      </c>
      <c r="E1413" t="s">
        <v>8672</v>
      </c>
      <c r="F1413" t="s">
        <v>21573</v>
      </c>
      <c r="G1413" t="s">
        <v>21584</v>
      </c>
    </row>
    <row r="1414" spans="1:7">
      <c r="A1414" t="s">
        <v>21585</v>
      </c>
      <c r="B1414" t="s">
        <v>8607</v>
      </c>
      <c r="D1414" t="s">
        <v>21586</v>
      </c>
      <c r="E1414" t="s">
        <v>8672</v>
      </c>
      <c r="F1414" t="s">
        <v>17444</v>
      </c>
      <c r="G1414" t="s">
        <v>21587</v>
      </c>
    </row>
    <row r="1415" spans="1:7">
      <c r="A1415" t="s">
        <v>21588</v>
      </c>
      <c r="B1415" t="s">
        <v>8607</v>
      </c>
      <c r="D1415" t="s">
        <v>21586</v>
      </c>
      <c r="E1415" t="s">
        <v>8672</v>
      </c>
      <c r="G1415" t="s">
        <v>17890</v>
      </c>
    </row>
    <row r="1416" spans="1:7">
      <c r="A1416" t="s">
        <v>21589</v>
      </c>
      <c r="B1416" t="s">
        <v>8607</v>
      </c>
      <c r="D1416" t="s">
        <v>21586</v>
      </c>
      <c r="E1416" t="s">
        <v>8672</v>
      </c>
      <c r="F1416" t="s">
        <v>17444</v>
      </c>
      <c r="G1416" t="s">
        <v>21590</v>
      </c>
    </row>
    <row r="1417" spans="1:7">
      <c r="A1417" t="s">
        <v>21591</v>
      </c>
      <c r="B1417" t="s">
        <v>8607</v>
      </c>
      <c r="D1417" t="s">
        <v>21586</v>
      </c>
      <c r="E1417" t="s">
        <v>8672</v>
      </c>
      <c r="G1417" t="s">
        <v>21592</v>
      </c>
    </row>
    <row r="1418" spans="1:7">
      <c r="A1418" t="s">
        <v>21593</v>
      </c>
      <c r="B1418" t="s">
        <v>8607</v>
      </c>
      <c r="D1418" t="s">
        <v>21586</v>
      </c>
      <c r="E1418" t="s">
        <v>8672</v>
      </c>
      <c r="F1418" t="s">
        <v>17444</v>
      </c>
      <c r="G1418" t="s">
        <v>21594</v>
      </c>
    </row>
    <row r="1419" spans="1:7">
      <c r="A1419" t="s">
        <v>21595</v>
      </c>
      <c r="B1419" t="s">
        <v>8607</v>
      </c>
      <c r="D1419" t="s">
        <v>21586</v>
      </c>
      <c r="E1419" t="s">
        <v>8672</v>
      </c>
      <c r="F1419" t="s">
        <v>17444</v>
      </c>
      <c r="G1419" t="s">
        <v>21590</v>
      </c>
    </row>
    <row r="1420" spans="1:7">
      <c r="A1420" t="s">
        <v>21596</v>
      </c>
      <c r="B1420" t="s">
        <v>8607</v>
      </c>
      <c r="D1420" t="s">
        <v>21597</v>
      </c>
      <c r="E1420" t="s">
        <v>8672</v>
      </c>
      <c r="F1420" t="s">
        <v>21499</v>
      </c>
      <c r="G1420" t="s">
        <v>21598</v>
      </c>
    </row>
    <row r="1421" spans="1:7">
      <c r="A1421" t="s">
        <v>21599</v>
      </c>
      <c r="B1421" t="s">
        <v>8607</v>
      </c>
      <c r="C1421" t="s">
        <v>13203</v>
      </c>
      <c r="D1421" t="s">
        <v>21600</v>
      </c>
      <c r="E1421" t="s">
        <v>8672</v>
      </c>
      <c r="F1421" t="s">
        <v>9002</v>
      </c>
      <c r="G1421" t="s">
        <v>21601</v>
      </c>
    </row>
    <row r="1422" spans="1:7">
      <c r="A1422" t="s">
        <v>21602</v>
      </c>
      <c r="B1422" t="s">
        <v>8607</v>
      </c>
      <c r="C1422" t="s">
        <v>21603</v>
      </c>
      <c r="D1422" t="s">
        <v>21604</v>
      </c>
      <c r="E1422" t="s">
        <v>8672</v>
      </c>
      <c r="F1422" t="s">
        <v>9002</v>
      </c>
      <c r="G1422" t="s">
        <v>21605</v>
      </c>
    </row>
    <row r="1423" spans="1:7">
      <c r="A1423" t="s">
        <v>21606</v>
      </c>
      <c r="B1423" t="s">
        <v>8626</v>
      </c>
      <c r="D1423" t="s">
        <v>21607</v>
      </c>
      <c r="E1423" t="s">
        <v>8672</v>
      </c>
      <c r="F1423" t="s">
        <v>21331</v>
      </c>
      <c r="G1423" t="s">
        <v>21608</v>
      </c>
    </row>
    <row r="1424" spans="1:7">
      <c r="A1424" t="s">
        <v>21609</v>
      </c>
      <c r="B1424" t="s">
        <v>8626</v>
      </c>
      <c r="D1424" t="s">
        <v>21607</v>
      </c>
      <c r="E1424" t="s">
        <v>8672</v>
      </c>
      <c r="F1424" t="s">
        <v>21331</v>
      </c>
      <c r="G1424" t="s">
        <v>21610</v>
      </c>
    </row>
    <row r="1425" spans="1:7">
      <c r="A1425" t="s">
        <v>21611</v>
      </c>
      <c r="B1425" t="s">
        <v>8607</v>
      </c>
      <c r="D1425" t="s">
        <v>21612</v>
      </c>
      <c r="E1425" t="s">
        <v>8672</v>
      </c>
      <c r="F1425" t="s">
        <v>21331</v>
      </c>
      <c r="G1425" t="s">
        <v>21613</v>
      </c>
    </row>
    <row r="1426" spans="1:7">
      <c r="A1426" t="s">
        <v>21614</v>
      </c>
      <c r="B1426" t="s">
        <v>8626</v>
      </c>
      <c r="D1426" t="s">
        <v>21615</v>
      </c>
      <c r="E1426" t="s">
        <v>8672</v>
      </c>
      <c r="F1426" t="s">
        <v>21331</v>
      </c>
      <c r="G1426" t="s">
        <v>21616</v>
      </c>
    </row>
    <row r="1427" spans="1:7">
      <c r="A1427" t="s">
        <v>21617</v>
      </c>
      <c r="B1427" t="s">
        <v>8607</v>
      </c>
      <c r="D1427" t="s">
        <v>21618</v>
      </c>
      <c r="E1427" t="s">
        <v>8672</v>
      </c>
      <c r="F1427" t="s">
        <v>21331</v>
      </c>
      <c r="G1427" t="s">
        <v>21619</v>
      </c>
    </row>
    <row r="1428" spans="1:7">
      <c r="A1428" t="s">
        <v>21620</v>
      </c>
      <c r="B1428" t="s">
        <v>8626</v>
      </c>
      <c r="D1428" t="s">
        <v>21621</v>
      </c>
      <c r="E1428" t="s">
        <v>8672</v>
      </c>
      <c r="F1428" t="s">
        <v>21331</v>
      </c>
      <c r="G1428" t="s">
        <v>21622</v>
      </c>
    </row>
    <row r="1429" spans="1:7">
      <c r="A1429" t="s">
        <v>21623</v>
      </c>
      <c r="B1429" t="s">
        <v>8607</v>
      </c>
      <c r="D1429" t="s">
        <v>21624</v>
      </c>
      <c r="E1429" t="s">
        <v>8672</v>
      </c>
      <c r="F1429" t="s">
        <v>21331</v>
      </c>
      <c r="G1429" t="s">
        <v>21625</v>
      </c>
    </row>
    <row r="1430" spans="1:7">
      <c r="A1430" t="s">
        <v>21626</v>
      </c>
      <c r="B1430" t="s">
        <v>8626</v>
      </c>
      <c r="D1430" t="s">
        <v>21627</v>
      </c>
      <c r="E1430" t="s">
        <v>8672</v>
      </c>
      <c r="F1430" t="s">
        <v>12398</v>
      </c>
      <c r="G1430" t="s">
        <v>21628</v>
      </c>
    </row>
    <row r="1431" spans="1:7">
      <c r="A1431" t="s">
        <v>21629</v>
      </c>
      <c r="B1431" t="s">
        <v>8607</v>
      </c>
      <c r="D1431" t="s">
        <v>21630</v>
      </c>
      <c r="E1431" t="s">
        <v>8672</v>
      </c>
      <c r="F1431" t="s">
        <v>17874</v>
      </c>
      <c r="G1431" t="s">
        <v>21631</v>
      </c>
    </row>
    <row r="1432" spans="1:7">
      <c r="A1432" t="s">
        <v>21632</v>
      </c>
      <c r="B1432" t="s">
        <v>8626</v>
      </c>
      <c r="C1432" t="s">
        <v>21633</v>
      </c>
      <c r="D1432" t="s">
        <v>21634</v>
      </c>
      <c r="E1432" t="s">
        <v>8672</v>
      </c>
      <c r="F1432" t="s">
        <v>11364</v>
      </c>
      <c r="G1432" t="s">
        <v>21635</v>
      </c>
    </row>
    <row r="1433" spans="1:7">
      <c r="A1433" t="s">
        <v>21636</v>
      </c>
      <c r="B1433" t="s">
        <v>8626</v>
      </c>
      <c r="C1433" t="s">
        <v>21633</v>
      </c>
      <c r="D1433" t="s">
        <v>21634</v>
      </c>
      <c r="E1433" t="s">
        <v>8672</v>
      </c>
      <c r="F1433" t="s">
        <v>11364</v>
      </c>
      <c r="G1433" t="s">
        <v>21635</v>
      </c>
    </row>
    <row r="1434" spans="1:7">
      <c r="A1434" t="s">
        <v>21637</v>
      </c>
      <c r="B1434" t="s">
        <v>8626</v>
      </c>
      <c r="C1434" t="s">
        <v>11362</v>
      </c>
      <c r="D1434" t="s">
        <v>21634</v>
      </c>
      <c r="E1434" t="s">
        <v>8672</v>
      </c>
      <c r="F1434" t="s">
        <v>11364</v>
      </c>
      <c r="G1434" t="s">
        <v>21638</v>
      </c>
    </row>
    <row r="1435" spans="1:7">
      <c r="A1435" t="s">
        <v>21639</v>
      </c>
      <c r="B1435" t="s">
        <v>8626</v>
      </c>
      <c r="C1435" t="s">
        <v>16254</v>
      </c>
      <c r="D1435" t="s">
        <v>21640</v>
      </c>
      <c r="E1435" t="s">
        <v>8672</v>
      </c>
      <c r="F1435" t="s">
        <v>11364</v>
      </c>
      <c r="G1435" t="s">
        <v>21638</v>
      </c>
    </row>
    <row r="1436" spans="1:7">
      <c r="A1436" t="s">
        <v>21641</v>
      </c>
      <c r="B1436" t="s">
        <v>8626</v>
      </c>
      <c r="C1436" t="s">
        <v>21642</v>
      </c>
      <c r="D1436" t="s">
        <v>21640</v>
      </c>
      <c r="E1436" t="s">
        <v>8672</v>
      </c>
      <c r="F1436" t="s">
        <v>11364</v>
      </c>
      <c r="G1436" t="s">
        <v>21643</v>
      </c>
    </row>
    <row r="1437" spans="1:7">
      <c r="A1437" t="s">
        <v>21644</v>
      </c>
      <c r="B1437" t="s">
        <v>8626</v>
      </c>
      <c r="D1437" t="s">
        <v>21645</v>
      </c>
      <c r="E1437" t="s">
        <v>8672</v>
      </c>
      <c r="F1437" t="s">
        <v>12464</v>
      </c>
      <c r="G1437" t="s">
        <v>21646</v>
      </c>
    </row>
    <row r="1438" spans="1:7">
      <c r="A1438" t="s">
        <v>21647</v>
      </c>
      <c r="B1438" t="s">
        <v>8607</v>
      </c>
      <c r="D1438" t="s">
        <v>21648</v>
      </c>
      <c r="E1438" t="s">
        <v>8672</v>
      </c>
      <c r="F1438" t="s">
        <v>9018</v>
      </c>
      <c r="G1438" t="s">
        <v>21649</v>
      </c>
    </row>
    <row r="1439" spans="1:7">
      <c r="A1439" t="s">
        <v>21650</v>
      </c>
      <c r="B1439" t="s">
        <v>8607</v>
      </c>
      <c r="C1439" t="s">
        <v>21651</v>
      </c>
      <c r="D1439" t="s">
        <v>21648</v>
      </c>
      <c r="E1439" t="s">
        <v>8672</v>
      </c>
      <c r="F1439" t="s">
        <v>9018</v>
      </c>
      <c r="G1439" t="s">
        <v>21652</v>
      </c>
    </row>
    <row r="1440" spans="1:7">
      <c r="A1440" t="s">
        <v>21653</v>
      </c>
      <c r="B1440" t="s">
        <v>8626</v>
      </c>
      <c r="D1440" t="s">
        <v>21648</v>
      </c>
      <c r="E1440" t="s">
        <v>8672</v>
      </c>
      <c r="F1440" t="s">
        <v>9018</v>
      </c>
      <c r="G1440" t="s">
        <v>21654</v>
      </c>
    </row>
    <row r="1441" spans="1:7">
      <c r="A1441" t="s">
        <v>21655</v>
      </c>
      <c r="B1441" t="s">
        <v>8626</v>
      </c>
      <c r="C1441" t="s">
        <v>21656</v>
      </c>
      <c r="D1441" t="s">
        <v>21648</v>
      </c>
      <c r="E1441" t="s">
        <v>8672</v>
      </c>
      <c r="F1441" t="s">
        <v>9018</v>
      </c>
      <c r="G1441" t="s">
        <v>21657</v>
      </c>
    </row>
    <row r="1442" spans="1:7">
      <c r="A1442" t="s">
        <v>21658</v>
      </c>
      <c r="B1442" t="s">
        <v>8607</v>
      </c>
      <c r="D1442" t="s">
        <v>21648</v>
      </c>
      <c r="E1442" t="s">
        <v>8672</v>
      </c>
      <c r="F1442" t="s">
        <v>9018</v>
      </c>
      <c r="G1442" t="s">
        <v>21659</v>
      </c>
    </row>
    <row r="1443" spans="1:7">
      <c r="A1443" t="s">
        <v>21660</v>
      </c>
      <c r="B1443" t="s">
        <v>8626</v>
      </c>
      <c r="C1443" t="s">
        <v>21661</v>
      </c>
      <c r="D1443" t="s">
        <v>21648</v>
      </c>
      <c r="E1443" t="s">
        <v>8672</v>
      </c>
      <c r="F1443" t="s">
        <v>9018</v>
      </c>
      <c r="G1443" t="s">
        <v>21662</v>
      </c>
    </row>
    <row r="1444" spans="1:7">
      <c r="A1444" t="s">
        <v>21663</v>
      </c>
      <c r="B1444" t="s">
        <v>8626</v>
      </c>
      <c r="D1444" t="s">
        <v>21648</v>
      </c>
      <c r="E1444" t="s">
        <v>8672</v>
      </c>
      <c r="F1444" t="s">
        <v>9018</v>
      </c>
      <c r="G1444" t="s">
        <v>21664</v>
      </c>
    </row>
    <row r="1445" spans="1:7">
      <c r="A1445" t="s">
        <v>21665</v>
      </c>
      <c r="B1445" t="s">
        <v>8607</v>
      </c>
      <c r="D1445" t="s">
        <v>21648</v>
      </c>
      <c r="E1445" t="s">
        <v>8672</v>
      </c>
      <c r="F1445" t="s">
        <v>9018</v>
      </c>
      <c r="G1445" t="s">
        <v>21666</v>
      </c>
    </row>
    <row r="1446" spans="1:7">
      <c r="A1446" t="s">
        <v>21667</v>
      </c>
      <c r="B1446" t="s">
        <v>8607</v>
      </c>
      <c r="C1446" t="s">
        <v>21668</v>
      </c>
      <c r="D1446" t="s">
        <v>21648</v>
      </c>
      <c r="E1446" t="s">
        <v>8672</v>
      </c>
      <c r="F1446" t="s">
        <v>9018</v>
      </c>
      <c r="G1446" t="s">
        <v>21669</v>
      </c>
    </row>
    <row r="1447" spans="1:7">
      <c r="A1447" t="s">
        <v>21670</v>
      </c>
      <c r="B1447" t="s">
        <v>8626</v>
      </c>
      <c r="D1447" t="s">
        <v>21648</v>
      </c>
      <c r="E1447" t="s">
        <v>8672</v>
      </c>
      <c r="F1447" t="s">
        <v>9018</v>
      </c>
      <c r="G1447" t="s">
        <v>21671</v>
      </c>
    </row>
    <row r="1448" spans="1:7">
      <c r="A1448" t="s">
        <v>21672</v>
      </c>
      <c r="B1448" t="s">
        <v>8626</v>
      </c>
      <c r="D1448" t="s">
        <v>21648</v>
      </c>
      <c r="E1448" t="s">
        <v>8672</v>
      </c>
      <c r="F1448" t="s">
        <v>9018</v>
      </c>
      <c r="G1448" t="s">
        <v>21673</v>
      </c>
    </row>
    <row r="1449" spans="1:7">
      <c r="A1449" t="s">
        <v>21674</v>
      </c>
      <c r="B1449" t="s">
        <v>8607</v>
      </c>
      <c r="D1449" t="s">
        <v>21675</v>
      </c>
      <c r="E1449" t="s">
        <v>8672</v>
      </c>
      <c r="F1449" t="s">
        <v>21676</v>
      </c>
      <c r="G1449" t="s">
        <v>21677</v>
      </c>
    </row>
    <row r="1450" spans="1:7">
      <c r="A1450" t="s">
        <v>21678</v>
      </c>
      <c r="B1450" t="s">
        <v>8626</v>
      </c>
      <c r="C1450" t="s">
        <v>21679</v>
      </c>
      <c r="D1450" t="s">
        <v>21680</v>
      </c>
      <c r="E1450" t="s">
        <v>8672</v>
      </c>
      <c r="F1450" t="s">
        <v>21681</v>
      </c>
      <c r="G1450" t="s">
        <v>21682</v>
      </c>
    </row>
    <row r="1451" spans="1:7">
      <c r="A1451" t="s">
        <v>21683</v>
      </c>
      <c r="B1451" t="s">
        <v>8626</v>
      </c>
      <c r="D1451" t="s">
        <v>21684</v>
      </c>
      <c r="E1451" t="s">
        <v>8672</v>
      </c>
      <c r="G1451" t="s">
        <v>21685</v>
      </c>
    </row>
    <row r="1452" spans="1:7">
      <c r="A1452" t="s">
        <v>21686</v>
      </c>
      <c r="B1452" t="s">
        <v>8626</v>
      </c>
      <c r="C1452" t="s">
        <v>21679</v>
      </c>
      <c r="D1452" t="s">
        <v>21687</v>
      </c>
      <c r="E1452" t="s">
        <v>8672</v>
      </c>
      <c r="F1452" t="s">
        <v>21681</v>
      </c>
      <c r="G1452" t="s">
        <v>21688</v>
      </c>
    </row>
    <row r="1453" spans="1:7">
      <c r="A1453" t="s">
        <v>21689</v>
      </c>
      <c r="B1453" t="s">
        <v>8607</v>
      </c>
      <c r="D1453" t="s">
        <v>21690</v>
      </c>
      <c r="E1453" t="s">
        <v>8672</v>
      </c>
      <c r="F1453" t="s">
        <v>8863</v>
      </c>
      <c r="G1453" t="s">
        <v>21691</v>
      </c>
    </row>
    <row r="1454" spans="1:7">
      <c r="A1454" t="s">
        <v>21692</v>
      </c>
      <c r="B1454" t="s">
        <v>8607</v>
      </c>
      <c r="C1454" t="s">
        <v>21693</v>
      </c>
      <c r="D1454" t="s">
        <v>21694</v>
      </c>
      <c r="E1454" t="s">
        <v>8672</v>
      </c>
      <c r="F1454" t="s">
        <v>8863</v>
      </c>
      <c r="G1454" t="s">
        <v>21691</v>
      </c>
    </row>
    <row r="1455" spans="1:7">
      <c r="A1455" t="s">
        <v>21695</v>
      </c>
      <c r="B1455" t="s">
        <v>8607</v>
      </c>
      <c r="C1455" t="s">
        <v>21696</v>
      </c>
      <c r="D1455" t="s">
        <v>21694</v>
      </c>
      <c r="E1455" t="s">
        <v>8672</v>
      </c>
      <c r="F1455" t="s">
        <v>8863</v>
      </c>
      <c r="G1455" t="s">
        <v>21691</v>
      </c>
    </row>
    <row r="1456" spans="1:7">
      <c r="A1456" t="s">
        <v>21697</v>
      </c>
      <c r="B1456" t="s">
        <v>8626</v>
      </c>
      <c r="C1456" t="s">
        <v>10379</v>
      </c>
      <c r="D1456" t="s">
        <v>8862</v>
      </c>
      <c r="E1456" t="s">
        <v>8672</v>
      </c>
      <c r="F1456" t="s">
        <v>8863</v>
      </c>
      <c r="G1456" t="s">
        <v>10380</v>
      </c>
    </row>
    <row r="1457" spans="1:7">
      <c r="A1457" t="s">
        <v>21698</v>
      </c>
      <c r="B1457" t="s">
        <v>8626</v>
      </c>
      <c r="D1457" t="s">
        <v>21699</v>
      </c>
      <c r="E1457" t="s">
        <v>8672</v>
      </c>
      <c r="F1457" t="s">
        <v>21700</v>
      </c>
      <c r="G1457" t="s">
        <v>21701</v>
      </c>
    </row>
    <row r="1458" spans="1:7">
      <c r="A1458" t="s">
        <v>21702</v>
      </c>
      <c r="B1458" t="s">
        <v>8626</v>
      </c>
      <c r="D1458" t="s">
        <v>21703</v>
      </c>
      <c r="E1458" t="s">
        <v>8672</v>
      </c>
      <c r="F1458" t="s">
        <v>21700</v>
      </c>
      <c r="G1458" t="s">
        <v>21704</v>
      </c>
    </row>
    <row r="1459" spans="1:7">
      <c r="A1459" t="s">
        <v>21705</v>
      </c>
      <c r="B1459" t="s">
        <v>8626</v>
      </c>
      <c r="D1459" t="s">
        <v>21703</v>
      </c>
      <c r="E1459" t="s">
        <v>8672</v>
      </c>
      <c r="F1459" t="s">
        <v>21700</v>
      </c>
      <c r="G1459" t="s">
        <v>21706</v>
      </c>
    </row>
    <row r="1460" spans="1:7">
      <c r="A1460" t="s">
        <v>21707</v>
      </c>
      <c r="B1460" t="s">
        <v>8607</v>
      </c>
      <c r="D1460" t="s">
        <v>21708</v>
      </c>
      <c r="E1460" t="s">
        <v>8672</v>
      </c>
      <c r="F1460" t="s">
        <v>19276</v>
      </c>
      <c r="G1460" t="s">
        <v>21709</v>
      </c>
    </row>
    <row r="1461" spans="1:7">
      <c r="A1461" t="s">
        <v>21710</v>
      </c>
      <c r="B1461" t="s">
        <v>8607</v>
      </c>
      <c r="C1461" t="s">
        <v>21711</v>
      </c>
      <c r="D1461" t="s">
        <v>21712</v>
      </c>
      <c r="E1461" t="s">
        <v>8672</v>
      </c>
      <c r="F1461" t="s">
        <v>21713</v>
      </c>
      <c r="G1461" t="s">
        <v>21714</v>
      </c>
    </row>
    <row r="1462" spans="1:7">
      <c r="A1462" t="s">
        <v>21715</v>
      </c>
      <c r="B1462" t="s">
        <v>8626</v>
      </c>
      <c r="D1462" t="s">
        <v>21716</v>
      </c>
      <c r="E1462" t="s">
        <v>8672</v>
      </c>
      <c r="F1462" t="s">
        <v>21713</v>
      </c>
      <c r="G1462" t="s">
        <v>21717</v>
      </c>
    </row>
    <row r="1463" spans="1:7">
      <c r="A1463" t="s">
        <v>21718</v>
      </c>
      <c r="B1463" t="s">
        <v>8626</v>
      </c>
      <c r="C1463" t="s">
        <v>17654</v>
      </c>
      <c r="D1463" t="s">
        <v>21719</v>
      </c>
      <c r="E1463" t="s">
        <v>8672</v>
      </c>
      <c r="F1463" t="s">
        <v>17656</v>
      </c>
      <c r="G1463" t="s">
        <v>21720</v>
      </c>
    </row>
    <row r="1464" spans="1:7">
      <c r="A1464" t="s">
        <v>21721</v>
      </c>
      <c r="B1464" t="s">
        <v>8626</v>
      </c>
      <c r="C1464" t="s">
        <v>17654</v>
      </c>
      <c r="D1464" t="s">
        <v>21722</v>
      </c>
      <c r="E1464" t="s">
        <v>8672</v>
      </c>
      <c r="F1464" t="s">
        <v>17656</v>
      </c>
      <c r="G1464" t="s">
        <v>21723</v>
      </c>
    </row>
    <row r="1465" spans="1:7">
      <c r="A1465" t="s">
        <v>21724</v>
      </c>
      <c r="B1465" t="s">
        <v>8626</v>
      </c>
      <c r="C1465" t="s">
        <v>17654</v>
      </c>
      <c r="D1465" t="s">
        <v>21725</v>
      </c>
      <c r="E1465" t="s">
        <v>8672</v>
      </c>
      <c r="F1465" t="s">
        <v>17656</v>
      </c>
      <c r="G1465" t="s">
        <v>21726</v>
      </c>
    </row>
    <row r="1466" spans="1:7">
      <c r="A1466" t="s">
        <v>21727</v>
      </c>
      <c r="B1466" t="s">
        <v>8626</v>
      </c>
      <c r="C1466" t="s">
        <v>17654</v>
      </c>
      <c r="D1466" t="s">
        <v>21728</v>
      </c>
      <c r="E1466" t="s">
        <v>8672</v>
      </c>
      <c r="F1466" t="s">
        <v>17656</v>
      </c>
      <c r="G1466" t="s">
        <v>21729</v>
      </c>
    </row>
    <row r="1467" spans="1:7">
      <c r="A1467" t="s">
        <v>21730</v>
      </c>
      <c r="B1467" t="s">
        <v>8626</v>
      </c>
      <c r="C1467" t="s">
        <v>21731</v>
      </c>
      <c r="D1467" t="s">
        <v>21732</v>
      </c>
      <c r="E1467" t="s">
        <v>8672</v>
      </c>
      <c r="F1467" t="s">
        <v>21733</v>
      </c>
      <c r="G1467" t="s">
        <v>21734</v>
      </c>
    </row>
    <row r="1468" spans="1:7">
      <c r="A1468" t="s">
        <v>21735</v>
      </c>
      <c r="B1468" t="s">
        <v>8607</v>
      </c>
      <c r="D1468" t="s">
        <v>21732</v>
      </c>
      <c r="E1468" t="s">
        <v>8672</v>
      </c>
      <c r="G1468" t="s">
        <v>21736</v>
      </c>
    </row>
    <row r="1469" spans="1:7">
      <c r="A1469" t="s">
        <v>21737</v>
      </c>
      <c r="B1469" t="s">
        <v>8607</v>
      </c>
      <c r="D1469" t="s">
        <v>21738</v>
      </c>
      <c r="E1469" t="s">
        <v>8672</v>
      </c>
      <c r="G1469" t="s">
        <v>21739</v>
      </c>
    </row>
    <row r="1470" spans="1:7">
      <c r="A1470" t="s">
        <v>21740</v>
      </c>
      <c r="B1470" t="s">
        <v>8626</v>
      </c>
      <c r="D1470" t="s">
        <v>21741</v>
      </c>
      <c r="E1470" t="s">
        <v>8672</v>
      </c>
      <c r="F1470" t="s">
        <v>21742</v>
      </c>
      <c r="G1470" t="s">
        <v>21743</v>
      </c>
    </row>
    <row r="1471" spans="1:7">
      <c r="A1471" t="s">
        <v>21744</v>
      </c>
      <c r="B1471" t="s">
        <v>8626</v>
      </c>
      <c r="D1471" t="s">
        <v>21741</v>
      </c>
      <c r="E1471" t="s">
        <v>8672</v>
      </c>
      <c r="F1471" t="s">
        <v>21742</v>
      </c>
      <c r="G1471" t="s">
        <v>21745</v>
      </c>
    </row>
    <row r="1472" spans="1:7">
      <c r="A1472" t="s">
        <v>21746</v>
      </c>
      <c r="B1472" t="s">
        <v>8626</v>
      </c>
      <c r="D1472" t="s">
        <v>21741</v>
      </c>
      <c r="E1472" t="s">
        <v>8672</v>
      </c>
      <c r="F1472" t="s">
        <v>21742</v>
      </c>
      <c r="G1472" t="s">
        <v>21747</v>
      </c>
    </row>
    <row r="1473" spans="1:7">
      <c r="A1473" t="s">
        <v>21748</v>
      </c>
      <c r="B1473" t="s">
        <v>8626</v>
      </c>
      <c r="D1473" t="s">
        <v>21749</v>
      </c>
      <c r="E1473" t="s">
        <v>8672</v>
      </c>
      <c r="G1473" t="s">
        <v>21750</v>
      </c>
    </row>
    <row r="1474" spans="1:7">
      <c r="A1474" t="s">
        <v>21751</v>
      </c>
      <c r="B1474" t="s">
        <v>8626</v>
      </c>
      <c r="C1474" t="s">
        <v>21752</v>
      </c>
      <c r="D1474" t="s">
        <v>21753</v>
      </c>
      <c r="E1474" t="s">
        <v>8672</v>
      </c>
      <c r="F1474" t="s">
        <v>21754</v>
      </c>
      <c r="G1474" t="s">
        <v>21755</v>
      </c>
    </row>
    <row r="1475" spans="1:7">
      <c r="A1475" t="s">
        <v>21756</v>
      </c>
      <c r="B1475" t="s">
        <v>8607</v>
      </c>
      <c r="D1475" t="s">
        <v>21757</v>
      </c>
      <c r="E1475" t="s">
        <v>8672</v>
      </c>
      <c r="F1475" t="s">
        <v>21754</v>
      </c>
      <c r="G1475" t="s">
        <v>21758</v>
      </c>
    </row>
    <row r="1476" spans="1:7">
      <c r="A1476" t="s">
        <v>21759</v>
      </c>
      <c r="B1476" t="s">
        <v>8607</v>
      </c>
      <c r="C1476" t="s">
        <v>21760</v>
      </c>
      <c r="D1476" t="s">
        <v>21761</v>
      </c>
      <c r="E1476" t="s">
        <v>8672</v>
      </c>
      <c r="F1476" t="s">
        <v>21754</v>
      </c>
      <c r="G1476" t="s">
        <v>21758</v>
      </c>
    </row>
    <row r="1477" spans="1:7">
      <c r="A1477" t="s">
        <v>21762</v>
      </c>
      <c r="B1477" t="s">
        <v>8607</v>
      </c>
      <c r="C1477" t="s">
        <v>21763</v>
      </c>
      <c r="D1477" t="s">
        <v>21764</v>
      </c>
      <c r="E1477" t="s">
        <v>8672</v>
      </c>
      <c r="F1477" t="s">
        <v>21754</v>
      </c>
      <c r="G1477" t="s">
        <v>21765</v>
      </c>
    </row>
    <row r="1478" spans="1:7">
      <c r="A1478" t="s">
        <v>21766</v>
      </c>
      <c r="B1478" t="s">
        <v>8626</v>
      </c>
      <c r="C1478" t="s">
        <v>21767</v>
      </c>
      <c r="D1478" t="s">
        <v>21768</v>
      </c>
      <c r="E1478" t="s">
        <v>8672</v>
      </c>
      <c r="F1478" t="s">
        <v>21754</v>
      </c>
      <c r="G1478" t="s">
        <v>21769</v>
      </c>
    </row>
    <row r="1479" spans="1:7">
      <c r="A1479" t="s">
        <v>21770</v>
      </c>
      <c r="B1479" t="s">
        <v>8607</v>
      </c>
      <c r="D1479" t="s">
        <v>21771</v>
      </c>
      <c r="E1479" t="s">
        <v>8672</v>
      </c>
      <c r="F1479" t="s">
        <v>21754</v>
      </c>
      <c r="G1479" t="s">
        <v>21772</v>
      </c>
    </row>
    <row r="1480" spans="1:7">
      <c r="A1480" t="s">
        <v>21773</v>
      </c>
      <c r="B1480" t="s">
        <v>8607</v>
      </c>
      <c r="D1480" t="s">
        <v>21771</v>
      </c>
      <c r="E1480" t="s">
        <v>8672</v>
      </c>
      <c r="F1480" t="s">
        <v>21754</v>
      </c>
      <c r="G1480" t="s">
        <v>21772</v>
      </c>
    </row>
    <row r="1481" spans="1:7">
      <c r="A1481" t="s">
        <v>21774</v>
      </c>
      <c r="B1481" t="s">
        <v>8626</v>
      </c>
      <c r="D1481" t="s">
        <v>21771</v>
      </c>
      <c r="E1481" t="s">
        <v>8672</v>
      </c>
      <c r="F1481" t="s">
        <v>21754</v>
      </c>
      <c r="G1481" t="s">
        <v>21775</v>
      </c>
    </row>
    <row r="1482" spans="1:7">
      <c r="A1482" t="s">
        <v>21776</v>
      </c>
      <c r="B1482" t="s">
        <v>8626</v>
      </c>
      <c r="D1482" t="s">
        <v>21777</v>
      </c>
      <c r="E1482" t="s">
        <v>8672</v>
      </c>
      <c r="F1482" t="s">
        <v>21754</v>
      </c>
      <c r="G1482" t="s">
        <v>21778</v>
      </c>
    </row>
    <row r="1483" spans="1:7">
      <c r="A1483" t="s">
        <v>21779</v>
      </c>
      <c r="B1483" t="s">
        <v>8607</v>
      </c>
      <c r="C1483" t="s">
        <v>21780</v>
      </c>
      <c r="D1483" t="s">
        <v>21781</v>
      </c>
      <c r="E1483" t="s">
        <v>8672</v>
      </c>
      <c r="F1483" t="s">
        <v>21754</v>
      </c>
      <c r="G1483" t="s">
        <v>21782</v>
      </c>
    </row>
    <row r="1484" spans="1:7">
      <c r="A1484" t="s">
        <v>21783</v>
      </c>
      <c r="B1484" t="s">
        <v>8626</v>
      </c>
      <c r="C1484" t="s">
        <v>21784</v>
      </c>
      <c r="D1484" t="s">
        <v>21785</v>
      </c>
      <c r="E1484" t="s">
        <v>8672</v>
      </c>
      <c r="F1484" t="s">
        <v>21754</v>
      </c>
      <c r="G1484" t="s">
        <v>21786</v>
      </c>
    </row>
    <row r="1485" spans="1:7">
      <c r="A1485" t="s">
        <v>21787</v>
      </c>
      <c r="B1485" t="s">
        <v>8626</v>
      </c>
      <c r="D1485" t="s">
        <v>21788</v>
      </c>
      <c r="E1485" t="s">
        <v>8672</v>
      </c>
      <c r="G1485" t="s">
        <v>21789</v>
      </c>
    </row>
    <row r="1486" spans="1:7">
      <c r="A1486" t="s">
        <v>21790</v>
      </c>
      <c r="B1486" t="s">
        <v>8626</v>
      </c>
      <c r="C1486" t="s">
        <v>21791</v>
      </c>
      <c r="D1486" t="s">
        <v>21792</v>
      </c>
      <c r="E1486" t="s">
        <v>8672</v>
      </c>
      <c r="F1486" t="s">
        <v>21754</v>
      </c>
      <c r="G1486" t="s">
        <v>21793</v>
      </c>
    </row>
    <row r="1487" spans="1:7">
      <c r="A1487" t="s">
        <v>21794</v>
      </c>
      <c r="B1487" t="s">
        <v>8626</v>
      </c>
      <c r="C1487" t="s">
        <v>21795</v>
      </c>
      <c r="D1487" t="s">
        <v>21796</v>
      </c>
      <c r="E1487" t="s">
        <v>8672</v>
      </c>
      <c r="F1487" t="s">
        <v>21754</v>
      </c>
      <c r="G1487" t="s">
        <v>21797</v>
      </c>
    </row>
    <row r="1488" spans="1:7">
      <c r="A1488" t="s">
        <v>21798</v>
      </c>
      <c r="B1488" t="s">
        <v>8626</v>
      </c>
      <c r="C1488" t="s">
        <v>21799</v>
      </c>
      <c r="D1488" t="s">
        <v>21800</v>
      </c>
      <c r="E1488" t="s">
        <v>8672</v>
      </c>
      <c r="F1488" t="s">
        <v>21754</v>
      </c>
      <c r="G1488" t="s">
        <v>21793</v>
      </c>
    </row>
    <row r="1489" spans="1:7">
      <c r="A1489" t="s">
        <v>21801</v>
      </c>
      <c r="B1489" t="s">
        <v>8626</v>
      </c>
      <c r="C1489" t="s">
        <v>21799</v>
      </c>
      <c r="D1489" t="s">
        <v>21802</v>
      </c>
      <c r="E1489" t="s">
        <v>8672</v>
      </c>
      <c r="F1489" t="s">
        <v>21754</v>
      </c>
      <c r="G1489" t="s">
        <v>21803</v>
      </c>
    </row>
    <row r="1490" spans="1:7">
      <c r="A1490" t="s">
        <v>21804</v>
      </c>
      <c r="B1490" t="s">
        <v>8626</v>
      </c>
      <c r="D1490" t="s">
        <v>21805</v>
      </c>
      <c r="E1490" t="s">
        <v>8672</v>
      </c>
      <c r="F1490" t="s">
        <v>21754</v>
      </c>
      <c r="G1490" t="s">
        <v>21806</v>
      </c>
    </row>
    <row r="1491" spans="1:7">
      <c r="A1491" t="s">
        <v>21807</v>
      </c>
      <c r="B1491" t="s">
        <v>8626</v>
      </c>
      <c r="C1491" t="s">
        <v>21808</v>
      </c>
      <c r="D1491" t="s">
        <v>21809</v>
      </c>
      <c r="E1491" t="s">
        <v>8672</v>
      </c>
      <c r="F1491" t="s">
        <v>21754</v>
      </c>
      <c r="G1491" t="s">
        <v>21810</v>
      </c>
    </row>
    <row r="1492" spans="1:7">
      <c r="A1492" t="s">
        <v>21811</v>
      </c>
      <c r="B1492" t="s">
        <v>8607</v>
      </c>
      <c r="D1492" t="s">
        <v>21812</v>
      </c>
      <c r="E1492" t="s">
        <v>8672</v>
      </c>
      <c r="F1492" t="s">
        <v>21754</v>
      </c>
      <c r="G1492" t="s">
        <v>21758</v>
      </c>
    </row>
    <row r="1493" spans="1:7">
      <c r="A1493" t="s">
        <v>21813</v>
      </c>
      <c r="B1493" t="s">
        <v>8607</v>
      </c>
      <c r="D1493" t="s">
        <v>21812</v>
      </c>
      <c r="E1493" t="s">
        <v>8672</v>
      </c>
      <c r="F1493" t="s">
        <v>21754</v>
      </c>
      <c r="G1493" t="s">
        <v>21758</v>
      </c>
    </row>
    <row r="1494" spans="1:7">
      <c r="A1494" t="s">
        <v>21814</v>
      </c>
      <c r="B1494" t="s">
        <v>8626</v>
      </c>
      <c r="C1494" t="s">
        <v>21808</v>
      </c>
      <c r="D1494" t="s">
        <v>21815</v>
      </c>
      <c r="E1494" t="s">
        <v>8672</v>
      </c>
      <c r="F1494" t="s">
        <v>21816</v>
      </c>
      <c r="G1494" t="s">
        <v>21817</v>
      </c>
    </row>
    <row r="1495" spans="1:7">
      <c r="A1495" t="s">
        <v>21818</v>
      </c>
      <c r="B1495" t="s">
        <v>8626</v>
      </c>
      <c r="C1495" t="s">
        <v>21819</v>
      </c>
      <c r="D1495" t="s">
        <v>21820</v>
      </c>
      <c r="E1495" t="s">
        <v>8672</v>
      </c>
      <c r="F1495" t="s">
        <v>21754</v>
      </c>
      <c r="G1495" t="s">
        <v>21821</v>
      </c>
    </row>
    <row r="1496" spans="1:7">
      <c r="A1496" t="s">
        <v>21822</v>
      </c>
      <c r="B1496" t="s">
        <v>8607</v>
      </c>
      <c r="C1496" t="s">
        <v>21823</v>
      </c>
      <c r="D1496" t="s">
        <v>21824</v>
      </c>
      <c r="E1496" t="s">
        <v>8672</v>
      </c>
      <c r="F1496" t="s">
        <v>21754</v>
      </c>
      <c r="G1496" t="s">
        <v>21758</v>
      </c>
    </row>
    <row r="1497" spans="1:7">
      <c r="A1497" t="s">
        <v>21825</v>
      </c>
      <c r="B1497" t="s">
        <v>8626</v>
      </c>
      <c r="C1497" t="s">
        <v>21826</v>
      </c>
      <c r="D1497" t="s">
        <v>21827</v>
      </c>
      <c r="E1497" t="s">
        <v>8672</v>
      </c>
      <c r="F1497" t="s">
        <v>21754</v>
      </c>
      <c r="G1497" t="s">
        <v>21828</v>
      </c>
    </row>
    <row r="1498" spans="1:7">
      <c r="A1498" t="s">
        <v>21829</v>
      </c>
      <c r="B1498" t="s">
        <v>8626</v>
      </c>
      <c r="C1498" t="s">
        <v>21830</v>
      </c>
      <c r="D1498" t="s">
        <v>21831</v>
      </c>
      <c r="E1498" t="s">
        <v>8672</v>
      </c>
      <c r="F1498" t="s">
        <v>21832</v>
      </c>
      <c r="G1498" t="s">
        <v>21833</v>
      </c>
    </row>
    <row r="1499" spans="1:7">
      <c r="A1499" t="s">
        <v>21834</v>
      </c>
      <c r="B1499" t="s">
        <v>8607</v>
      </c>
      <c r="C1499" t="s">
        <v>21835</v>
      </c>
      <c r="D1499" t="s">
        <v>21836</v>
      </c>
      <c r="E1499" t="s">
        <v>8672</v>
      </c>
      <c r="F1499" t="s">
        <v>21837</v>
      </c>
      <c r="G1499" t="s">
        <v>21838</v>
      </c>
    </row>
    <row r="1500" spans="1:7">
      <c r="A1500" t="s">
        <v>21839</v>
      </c>
      <c r="B1500" t="s">
        <v>8607</v>
      </c>
      <c r="C1500" t="s">
        <v>21840</v>
      </c>
      <c r="D1500" t="s">
        <v>21841</v>
      </c>
      <c r="E1500" t="s">
        <v>8672</v>
      </c>
      <c r="F1500" t="s">
        <v>21837</v>
      </c>
      <c r="G1500" t="s">
        <v>21842</v>
      </c>
    </row>
    <row r="1501" spans="1:7">
      <c r="A1501" t="s">
        <v>21843</v>
      </c>
      <c r="B1501" t="s">
        <v>8607</v>
      </c>
      <c r="C1501" t="s">
        <v>21840</v>
      </c>
      <c r="D1501" t="s">
        <v>21844</v>
      </c>
      <c r="E1501" t="s">
        <v>8672</v>
      </c>
      <c r="F1501" t="s">
        <v>21837</v>
      </c>
      <c r="G1501" t="s">
        <v>21845</v>
      </c>
    </row>
    <row r="1502" spans="1:7">
      <c r="A1502" t="s">
        <v>21846</v>
      </c>
      <c r="B1502" t="s">
        <v>8607</v>
      </c>
      <c r="C1502" t="s">
        <v>21847</v>
      </c>
      <c r="D1502" t="s">
        <v>21844</v>
      </c>
      <c r="E1502" t="s">
        <v>8672</v>
      </c>
      <c r="F1502" t="s">
        <v>21837</v>
      </c>
      <c r="G1502" t="s">
        <v>21848</v>
      </c>
    </row>
    <row r="1503" spans="1:7">
      <c r="A1503" t="s">
        <v>21849</v>
      </c>
      <c r="B1503" t="s">
        <v>8607</v>
      </c>
      <c r="C1503" t="s">
        <v>21850</v>
      </c>
      <c r="D1503" t="s">
        <v>21851</v>
      </c>
      <c r="E1503" t="s">
        <v>8672</v>
      </c>
      <c r="F1503" t="s">
        <v>21837</v>
      </c>
      <c r="G1503" t="s">
        <v>21852</v>
      </c>
    </row>
    <row r="1504" spans="1:7">
      <c r="A1504" t="s">
        <v>21853</v>
      </c>
      <c r="B1504" t="s">
        <v>8607</v>
      </c>
      <c r="C1504" t="s">
        <v>21847</v>
      </c>
      <c r="D1504" t="s">
        <v>21851</v>
      </c>
      <c r="E1504" t="s">
        <v>8672</v>
      </c>
      <c r="F1504" t="s">
        <v>21837</v>
      </c>
      <c r="G1504" t="s">
        <v>21854</v>
      </c>
    </row>
    <row r="1505" spans="1:7">
      <c r="A1505" t="s">
        <v>21855</v>
      </c>
      <c r="B1505" t="s">
        <v>8626</v>
      </c>
      <c r="C1505" t="s">
        <v>21856</v>
      </c>
      <c r="D1505" t="s">
        <v>21857</v>
      </c>
      <c r="E1505" t="s">
        <v>8672</v>
      </c>
      <c r="F1505" t="s">
        <v>16400</v>
      </c>
      <c r="G1505" t="s">
        <v>21858</v>
      </c>
    </row>
    <row r="1506" spans="1:7">
      <c r="A1506" t="s">
        <v>21859</v>
      </c>
      <c r="B1506" t="s">
        <v>8607</v>
      </c>
      <c r="C1506" t="s">
        <v>21860</v>
      </c>
      <c r="D1506" t="s">
        <v>21861</v>
      </c>
      <c r="E1506" t="s">
        <v>8672</v>
      </c>
      <c r="F1506" t="s">
        <v>16400</v>
      </c>
      <c r="G1506" t="s">
        <v>21862</v>
      </c>
    </row>
    <row r="1507" spans="1:7">
      <c r="A1507" t="s">
        <v>21863</v>
      </c>
      <c r="B1507" t="s">
        <v>8607</v>
      </c>
      <c r="C1507" t="s">
        <v>21864</v>
      </c>
      <c r="D1507" t="s">
        <v>21861</v>
      </c>
      <c r="E1507" t="s">
        <v>8672</v>
      </c>
      <c r="F1507" t="s">
        <v>16400</v>
      </c>
      <c r="G1507" t="s">
        <v>21865</v>
      </c>
    </row>
    <row r="1508" spans="1:7">
      <c r="A1508" t="s">
        <v>21866</v>
      </c>
      <c r="B1508" t="s">
        <v>8607</v>
      </c>
      <c r="C1508" t="s">
        <v>21864</v>
      </c>
      <c r="D1508" t="s">
        <v>21861</v>
      </c>
      <c r="E1508" t="s">
        <v>8672</v>
      </c>
      <c r="F1508" t="s">
        <v>16400</v>
      </c>
      <c r="G1508" t="s">
        <v>21867</v>
      </c>
    </row>
    <row r="1509" spans="1:7">
      <c r="A1509" t="s">
        <v>21868</v>
      </c>
      <c r="B1509" t="s">
        <v>8607</v>
      </c>
      <c r="C1509" t="s">
        <v>21860</v>
      </c>
      <c r="D1509" t="s">
        <v>21861</v>
      </c>
      <c r="E1509" t="s">
        <v>8672</v>
      </c>
      <c r="F1509" t="s">
        <v>16400</v>
      </c>
      <c r="G1509" t="s">
        <v>21869</v>
      </c>
    </row>
    <row r="1510" spans="1:7">
      <c r="A1510" t="s">
        <v>21870</v>
      </c>
      <c r="B1510" t="s">
        <v>8626</v>
      </c>
      <c r="C1510" t="s">
        <v>21860</v>
      </c>
      <c r="D1510" t="s">
        <v>21861</v>
      </c>
      <c r="E1510" t="s">
        <v>8672</v>
      </c>
      <c r="F1510" t="s">
        <v>16400</v>
      </c>
      <c r="G1510" t="s">
        <v>21871</v>
      </c>
    </row>
    <row r="1511" spans="1:7">
      <c r="A1511" t="s">
        <v>21872</v>
      </c>
      <c r="B1511" t="s">
        <v>8626</v>
      </c>
      <c r="D1511" t="s">
        <v>21873</v>
      </c>
      <c r="E1511" t="s">
        <v>8672</v>
      </c>
      <c r="F1511" t="s">
        <v>16400</v>
      </c>
      <c r="G1511" t="s">
        <v>21874</v>
      </c>
    </row>
    <row r="1512" spans="1:7">
      <c r="A1512" t="s">
        <v>21875</v>
      </c>
      <c r="B1512" t="s">
        <v>8607</v>
      </c>
      <c r="C1512" t="s">
        <v>21876</v>
      </c>
      <c r="D1512" t="s">
        <v>9051</v>
      </c>
      <c r="E1512" t="s">
        <v>8672</v>
      </c>
      <c r="F1512" t="s">
        <v>9052</v>
      </c>
      <c r="G1512" t="s">
        <v>21877</v>
      </c>
    </row>
    <row r="1513" spans="1:7">
      <c r="A1513" t="s">
        <v>21878</v>
      </c>
      <c r="B1513" t="s">
        <v>8626</v>
      </c>
      <c r="C1513" t="s">
        <v>21148</v>
      </c>
      <c r="D1513" t="s">
        <v>21879</v>
      </c>
      <c r="E1513" t="s">
        <v>8672</v>
      </c>
      <c r="F1513" t="s">
        <v>11889</v>
      </c>
      <c r="G1513" t="s">
        <v>21880</v>
      </c>
    </row>
    <row r="1514" spans="1:7">
      <c r="A1514" t="s">
        <v>21881</v>
      </c>
      <c r="B1514" t="s">
        <v>8626</v>
      </c>
      <c r="C1514" t="s">
        <v>21882</v>
      </c>
      <c r="D1514" t="s">
        <v>21883</v>
      </c>
      <c r="E1514" t="s">
        <v>8642</v>
      </c>
      <c r="G1514" t="s">
        <v>21884</v>
      </c>
    </row>
    <row r="1515" spans="1:7">
      <c r="A1515" t="s">
        <v>21885</v>
      </c>
      <c r="B1515" t="s">
        <v>8607</v>
      </c>
      <c r="C1515" t="s">
        <v>21886</v>
      </c>
      <c r="D1515" t="s">
        <v>21887</v>
      </c>
      <c r="E1515" t="s">
        <v>8642</v>
      </c>
      <c r="F1515" t="s">
        <v>18062</v>
      </c>
      <c r="G1515" t="s">
        <v>21888</v>
      </c>
    </row>
    <row r="1516" spans="1:7">
      <c r="A1516" t="s">
        <v>21889</v>
      </c>
      <c r="B1516" t="s">
        <v>8607</v>
      </c>
      <c r="C1516" t="s">
        <v>21890</v>
      </c>
      <c r="D1516" t="s">
        <v>21891</v>
      </c>
      <c r="E1516" t="s">
        <v>8642</v>
      </c>
      <c r="F1516" t="s">
        <v>18062</v>
      </c>
      <c r="G1516" t="s">
        <v>21892</v>
      </c>
    </row>
    <row r="1517" spans="1:7">
      <c r="A1517" t="s">
        <v>21893</v>
      </c>
      <c r="B1517" t="s">
        <v>8607</v>
      </c>
      <c r="C1517" t="s">
        <v>18068</v>
      </c>
      <c r="D1517" t="s">
        <v>21891</v>
      </c>
      <c r="E1517" t="s">
        <v>8642</v>
      </c>
      <c r="F1517" t="s">
        <v>18062</v>
      </c>
      <c r="G1517" t="s">
        <v>21894</v>
      </c>
    </row>
    <row r="1518" spans="1:7">
      <c r="A1518" t="s">
        <v>21895</v>
      </c>
      <c r="B1518" t="s">
        <v>8607</v>
      </c>
      <c r="C1518" t="s">
        <v>21896</v>
      </c>
      <c r="D1518" t="s">
        <v>21891</v>
      </c>
      <c r="E1518" t="s">
        <v>8642</v>
      </c>
      <c r="F1518" t="s">
        <v>18062</v>
      </c>
      <c r="G1518" t="s">
        <v>21894</v>
      </c>
    </row>
    <row r="1519" spans="1:7">
      <c r="A1519" t="s">
        <v>21897</v>
      </c>
      <c r="B1519" t="s">
        <v>8607</v>
      </c>
      <c r="C1519" t="s">
        <v>18068</v>
      </c>
      <c r="D1519" t="s">
        <v>21891</v>
      </c>
      <c r="E1519" t="s">
        <v>8642</v>
      </c>
      <c r="F1519" t="s">
        <v>18062</v>
      </c>
      <c r="G1519" t="s">
        <v>21894</v>
      </c>
    </row>
    <row r="1520" spans="1:7">
      <c r="A1520" t="s">
        <v>21898</v>
      </c>
      <c r="B1520" t="s">
        <v>8607</v>
      </c>
      <c r="C1520" t="s">
        <v>21899</v>
      </c>
      <c r="D1520" t="s">
        <v>21900</v>
      </c>
      <c r="E1520" t="s">
        <v>8642</v>
      </c>
      <c r="F1520" t="s">
        <v>9695</v>
      </c>
      <c r="G1520" t="s">
        <v>21901</v>
      </c>
    </row>
    <row r="1521" spans="1:7">
      <c r="A1521" t="s">
        <v>21902</v>
      </c>
      <c r="B1521" t="s">
        <v>8607</v>
      </c>
      <c r="C1521" t="s">
        <v>21899</v>
      </c>
      <c r="D1521" t="s">
        <v>21900</v>
      </c>
      <c r="E1521" t="s">
        <v>8642</v>
      </c>
      <c r="F1521" t="s">
        <v>9695</v>
      </c>
      <c r="G1521" t="s">
        <v>21903</v>
      </c>
    </row>
    <row r="1522" spans="1:7">
      <c r="A1522" t="s">
        <v>21904</v>
      </c>
      <c r="B1522" t="s">
        <v>8607</v>
      </c>
      <c r="C1522" t="s">
        <v>21899</v>
      </c>
      <c r="D1522" t="s">
        <v>21900</v>
      </c>
      <c r="E1522" t="s">
        <v>8642</v>
      </c>
      <c r="F1522" t="s">
        <v>9695</v>
      </c>
      <c r="G1522" t="s">
        <v>21905</v>
      </c>
    </row>
    <row r="1523" spans="1:7">
      <c r="A1523" t="s">
        <v>21906</v>
      </c>
      <c r="B1523" t="s">
        <v>8607</v>
      </c>
      <c r="D1523" t="s">
        <v>21907</v>
      </c>
      <c r="E1523" t="s">
        <v>8642</v>
      </c>
      <c r="F1523" t="s">
        <v>17932</v>
      </c>
      <c r="G1523" t="s">
        <v>21908</v>
      </c>
    </row>
    <row r="1524" spans="1:7">
      <c r="A1524" t="s">
        <v>21909</v>
      </c>
      <c r="B1524" t="s">
        <v>8607</v>
      </c>
      <c r="C1524" t="s">
        <v>21910</v>
      </c>
      <c r="D1524" t="s">
        <v>21911</v>
      </c>
      <c r="E1524" t="s">
        <v>8642</v>
      </c>
      <c r="F1524" t="s">
        <v>21912</v>
      </c>
      <c r="G1524" t="s">
        <v>21913</v>
      </c>
    </row>
    <row r="1525" spans="1:7">
      <c r="A1525" t="s">
        <v>21914</v>
      </c>
      <c r="B1525" t="s">
        <v>8626</v>
      </c>
      <c r="D1525" t="s">
        <v>21915</v>
      </c>
      <c r="E1525" t="s">
        <v>8642</v>
      </c>
      <c r="F1525" t="s">
        <v>21912</v>
      </c>
      <c r="G1525" t="s">
        <v>21916</v>
      </c>
    </row>
    <row r="1526" spans="1:7">
      <c r="A1526" t="s">
        <v>21917</v>
      </c>
      <c r="B1526" t="s">
        <v>8626</v>
      </c>
      <c r="D1526" t="s">
        <v>21915</v>
      </c>
      <c r="E1526" t="s">
        <v>8642</v>
      </c>
      <c r="F1526" t="s">
        <v>21912</v>
      </c>
      <c r="G1526" t="s">
        <v>21918</v>
      </c>
    </row>
    <row r="1527" spans="1:7">
      <c r="A1527" t="s">
        <v>21919</v>
      </c>
      <c r="B1527" t="s">
        <v>8607</v>
      </c>
      <c r="D1527" t="s">
        <v>21920</v>
      </c>
      <c r="E1527" t="s">
        <v>8642</v>
      </c>
      <c r="F1527" t="s">
        <v>21912</v>
      </c>
      <c r="G1527" t="s">
        <v>21921</v>
      </c>
    </row>
    <row r="1528" spans="1:7">
      <c r="A1528" t="s">
        <v>21922</v>
      </c>
      <c r="B1528" t="s">
        <v>8626</v>
      </c>
      <c r="C1528" t="s">
        <v>21910</v>
      </c>
      <c r="D1528" t="s">
        <v>21923</v>
      </c>
      <c r="E1528" t="s">
        <v>8642</v>
      </c>
      <c r="F1528" t="s">
        <v>21912</v>
      </c>
      <c r="G1528" t="s">
        <v>21924</v>
      </c>
    </row>
    <row r="1529" spans="1:7">
      <c r="A1529" t="s">
        <v>21925</v>
      </c>
      <c r="B1529" t="s">
        <v>8626</v>
      </c>
      <c r="C1529" t="s">
        <v>21910</v>
      </c>
      <c r="D1529" t="s">
        <v>21923</v>
      </c>
      <c r="E1529" t="s">
        <v>8642</v>
      </c>
      <c r="F1529" t="s">
        <v>21912</v>
      </c>
      <c r="G1529" t="s">
        <v>21924</v>
      </c>
    </row>
    <row r="1530" spans="1:7">
      <c r="A1530" t="s">
        <v>21926</v>
      </c>
      <c r="B1530" t="s">
        <v>8626</v>
      </c>
      <c r="C1530" t="s">
        <v>21927</v>
      </c>
      <c r="D1530" t="s">
        <v>21928</v>
      </c>
      <c r="E1530" t="s">
        <v>8642</v>
      </c>
      <c r="G1530" t="s">
        <v>21929</v>
      </c>
    </row>
    <row r="1531" spans="1:7">
      <c r="A1531" t="s">
        <v>21930</v>
      </c>
      <c r="B1531" t="s">
        <v>8626</v>
      </c>
      <c r="C1531" t="s">
        <v>21910</v>
      </c>
      <c r="D1531" t="s">
        <v>21931</v>
      </c>
      <c r="E1531" t="s">
        <v>8642</v>
      </c>
      <c r="F1531" t="s">
        <v>21912</v>
      </c>
      <c r="G1531" t="s">
        <v>21932</v>
      </c>
    </row>
    <row r="1532" spans="1:7">
      <c r="A1532" t="s">
        <v>21933</v>
      </c>
      <c r="B1532" t="s">
        <v>8626</v>
      </c>
      <c r="C1532" t="s">
        <v>21910</v>
      </c>
      <c r="D1532" t="s">
        <v>21931</v>
      </c>
      <c r="E1532" t="s">
        <v>8642</v>
      </c>
      <c r="F1532" t="s">
        <v>21912</v>
      </c>
      <c r="G1532" t="s">
        <v>21934</v>
      </c>
    </row>
    <row r="1533" spans="1:7">
      <c r="A1533" t="s">
        <v>21935</v>
      </c>
      <c r="B1533" t="s">
        <v>8626</v>
      </c>
      <c r="C1533" t="s">
        <v>21910</v>
      </c>
      <c r="D1533" t="s">
        <v>21931</v>
      </c>
      <c r="E1533" t="s">
        <v>8642</v>
      </c>
      <c r="F1533" t="s">
        <v>21912</v>
      </c>
      <c r="G1533" t="s">
        <v>21936</v>
      </c>
    </row>
    <row r="1534" spans="1:7">
      <c r="A1534" t="s">
        <v>21937</v>
      </c>
      <c r="B1534" t="s">
        <v>8607</v>
      </c>
      <c r="C1534" t="s">
        <v>21910</v>
      </c>
      <c r="D1534" t="s">
        <v>21938</v>
      </c>
      <c r="E1534" t="s">
        <v>8642</v>
      </c>
      <c r="F1534" t="s">
        <v>21912</v>
      </c>
      <c r="G1534" t="s">
        <v>21939</v>
      </c>
    </row>
    <row r="1535" spans="1:7">
      <c r="A1535" t="s">
        <v>21940</v>
      </c>
      <c r="B1535" t="s">
        <v>8607</v>
      </c>
      <c r="D1535" t="s">
        <v>21941</v>
      </c>
      <c r="E1535" t="s">
        <v>8642</v>
      </c>
      <c r="F1535" t="s">
        <v>21912</v>
      </c>
      <c r="G1535" t="s">
        <v>21942</v>
      </c>
    </row>
    <row r="1536" spans="1:7">
      <c r="A1536" t="s">
        <v>21943</v>
      </c>
      <c r="B1536" t="s">
        <v>8607</v>
      </c>
      <c r="C1536" t="s">
        <v>21910</v>
      </c>
      <c r="D1536" t="s">
        <v>21944</v>
      </c>
      <c r="E1536" t="s">
        <v>8642</v>
      </c>
      <c r="F1536" t="s">
        <v>21912</v>
      </c>
      <c r="G1536" t="s">
        <v>21945</v>
      </c>
    </row>
    <row r="1537" spans="1:7">
      <c r="A1537" t="s">
        <v>21946</v>
      </c>
      <c r="B1537" t="s">
        <v>8626</v>
      </c>
      <c r="C1537" t="s">
        <v>21947</v>
      </c>
      <c r="D1537" t="s">
        <v>21948</v>
      </c>
      <c r="E1537" t="s">
        <v>8642</v>
      </c>
      <c r="G1537" t="s">
        <v>21949</v>
      </c>
    </row>
    <row r="1538" spans="1:7">
      <c r="A1538" t="s">
        <v>21950</v>
      </c>
      <c r="B1538" t="s">
        <v>8607</v>
      </c>
      <c r="C1538" t="s">
        <v>21951</v>
      </c>
      <c r="D1538" t="s">
        <v>21952</v>
      </c>
      <c r="E1538" t="s">
        <v>8642</v>
      </c>
      <c r="F1538" t="s">
        <v>21953</v>
      </c>
      <c r="G1538" t="s">
        <v>21954</v>
      </c>
    </row>
    <row r="1539" spans="1:7">
      <c r="A1539" t="s">
        <v>21955</v>
      </c>
      <c r="B1539" t="s">
        <v>8626</v>
      </c>
      <c r="D1539" t="s">
        <v>21952</v>
      </c>
      <c r="E1539" t="s">
        <v>8642</v>
      </c>
      <c r="F1539" t="s">
        <v>21953</v>
      </c>
      <c r="G1539" t="s">
        <v>21956</v>
      </c>
    </row>
    <row r="1540" spans="1:7">
      <c r="A1540" t="s">
        <v>21957</v>
      </c>
      <c r="B1540" t="s">
        <v>8607</v>
      </c>
      <c r="C1540" t="s">
        <v>21958</v>
      </c>
      <c r="D1540" t="s">
        <v>21952</v>
      </c>
      <c r="E1540" t="s">
        <v>8642</v>
      </c>
      <c r="F1540" t="s">
        <v>21953</v>
      </c>
      <c r="G1540" t="s">
        <v>21954</v>
      </c>
    </row>
    <row r="1541" spans="1:7">
      <c r="A1541" t="s">
        <v>21959</v>
      </c>
      <c r="B1541" t="s">
        <v>8607</v>
      </c>
      <c r="C1541" t="s">
        <v>21960</v>
      </c>
      <c r="D1541" t="s">
        <v>21961</v>
      </c>
      <c r="E1541" t="s">
        <v>8642</v>
      </c>
      <c r="F1541" t="s">
        <v>21953</v>
      </c>
      <c r="G1541" t="s">
        <v>21954</v>
      </c>
    </row>
    <row r="1542" spans="1:7">
      <c r="A1542" t="s">
        <v>21962</v>
      </c>
      <c r="B1542" t="s">
        <v>8607</v>
      </c>
      <c r="D1542" t="s">
        <v>21963</v>
      </c>
      <c r="E1542" t="s">
        <v>8642</v>
      </c>
      <c r="F1542" t="s">
        <v>21953</v>
      </c>
      <c r="G1542" t="s">
        <v>21964</v>
      </c>
    </row>
    <row r="1543" spans="1:7">
      <c r="A1543" t="s">
        <v>21965</v>
      </c>
      <c r="B1543" t="s">
        <v>8607</v>
      </c>
      <c r="C1543" t="s">
        <v>21966</v>
      </c>
      <c r="D1543" t="s">
        <v>21963</v>
      </c>
      <c r="E1543" t="s">
        <v>8642</v>
      </c>
      <c r="F1543" t="s">
        <v>21953</v>
      </c>
      <c r="G1543" t="s">
        <v>21967</v>
      </c>
    </row>
    <row r="1544" spans="1:7">
      <c r="A1544" t="s">
        <v>21968</v>
      </c>
      <c r="B1544" t="s">
        <v>8607</v>
      </c>
      <c r="C1544" t="s">
        <v>21969</v>
      </c>
      <c r="D1544" t="s">
        <v>21970</v>
      </c>
      <c r="E1544" t="s">
        <v>8642</v>
      </c>
      <c r="F1544" t="s">
        <v>21953</v>
      </c>
      <c r="G1544" t="s">
        <v>21954</v>
      </c>
    </row>
    <row r="1545" spans="1:7">
      <c r="A1545" t="s">
        <v>21971</v>
      </c>
      <c r="B1545" t="s">
        <v>8607</v>
      </c>
      <c r="C1545" t="s">
        <v>21972</v>
      </c>
      <c r="D1545" t="s">
        <v>21973</v>
      </c>
      <c r="E1545" t="s">
        <v>8642</v>
      </c>
      <c r="F1545" t="s">
        <v>21953</v>
      </c>
      <c r="G1545" t="s">
        <v>21967</v>
      </c>
    </row>
    <row r="1546" spans="1:7">
      <c r="A1546" t="s">
        <v>21974</v>
      </c>
      <c r="B1546" t="s">
        <v>8607</v>
      </c>
      <c r="C1546" t="s">
        <v>21975</v>
      </c>
      <c r="D1546" t="s">
        <v>21976</v>
      </c>
      <c r="E1546" t="s">
        <v>8642</v>
      </c>
      <c r="F1546" t="s">
        <v>8754</v>
      </c>
      <c r="G1546" t="s">
        <v>21977</v>
      </c>
    </row>
    <row r="1547" spans="1:7">
      <c r="A1547" t="s">
        <v>21978</v>
      </c>
      <c r="B1547" t="s">
        <v>8607</v>
      </c>
      <c r="C1547" t="s">
        <v>21979</v>
      </c>
      <c r="D1547" t="s">
        <v>21980</v>
      </c>
      <c r="E1547" t="s">
        <v>8642</v>
      </c>
      <c r="F1547" t="s">
        <v>8754</v>
      </c>
      <c r="G1547" t="s">
        <v>21981</v>
      </c>
    </row>
    <row r="1548" spans="1:7">
      <c r="A1548" t="s">
        <v>21982</v>
      </c>
      <c r="B1548" t="s">
        <v>8607</v>
      </c>
      <c r="C1548" t="s">
        <v>21983</v>
      </c>
      <c r="D1548" t="s">
        <v>21984</v>
      </c>
      <c r="E1548" t="s">
        <v>8642</v>
      </c>
      <c r="F1548" t="s">
        <v>8754</v>
      </c>
      <c r="G1548" t="s">
        <v>21985</v>
      </c>
    </row>
    <row r="1549" spans="1:7">
      <c r="A1549" t="s">
        <v>21986</v>
      </c>
      <c r="B1549" t="s">
        <v>8607</v>
      </c>
      <c r="C1549" t="s">
        <v>21987</v>
      </c>
      <c r="D1549" t="s">
        <v>21988</v>
      </c>
      <c r="E1549" t="s">
        <v>8642</v>
      </c>
      <c r="F1549" t="s">
        <v>8754</v>
      </c>
      <c r="G1549" t="s">
        <v>21981</v>
      </c>
    </row>
    <row r="1550" spans="1:7">
      <c r="A1550" t="s">
        <v>21989</v>
      </c>
      <c r="B1550" t="s">
        <v>8607</v>
      </c>
      <c r="C1550" t="s">
        <v>21990</v>
      </c>
      <c r="D1550" t="s">
        <v>21991</v>
      </c>
      <c r="E1550" t="s">
        <v>8642</v>
      </c>
      <c r="F1550" t="s">
        <v>8754</v>
      </c>
      <c r="G1550" t="s">
        <v>21992</v>
      </c>
    </row>
    <row r="1551" spans="1:7">
      <c r="A1551" t="s">
        <v>21993</v>
      </c>
      <c r="B1551" t="s">
        <v>8607</v>
      </c>
      <c r="C1551" t="s">
        <v>21994</v>
      </c>
      <c r="D1551" t="s">
        <v>21995</v>
      </c>
      <c r="E1551" t="s">
        <v>8642</v>
      </c>
      <c r="F1551" t="s">
        <v>8754</v>
      </c>
      <c r="G1551" t="s">
        <v>21996</v>
      </c>
    </row>
    <row r="1552" spans="1:7">
      <c r="A1552" t="s">
        <v>21997</v>
      </c>
      <c r="B1552" t="s">
        <v>8607</v>
      </c>
      <c r="C1552" t="s">
        <v>21998</v>
      </c>
      <c r="D1552" t="s">
        <v>21999</v>
      </c>
      <c r="E1552" t="s">
        <v>8642</v>
      </c>
      <c r="F1552" t="s">
        <v>8754</v>
      </c>
      <c r="G1552" t="s">
        <v>22000</v>
      </c>
    </row>
    <row r="1553" spans="1:7">
      <c r="A1553" t="s">
        <v>22001</v>
      </c>
      <c r="B1553" t="s">
        <v>8607</v>
      </c>
      <c r="C1553" t="s">
        <v>22002</v>
      </c>
      <c r="D1553" t="s">
        <v>22003</v>
      </c>
      <c r="E1553" t="s">
        <v>8642</v>
      </c>
      <c r="F1553" t="s">
        <v>8754</v>
      </c>
      <c r="G1553" t="s">
        <v>22004</v>
      </c>
    </row>
    <row r="1554" spans="1:7">
      <c r="A1554" t="s">
        <v>22005</v>
      </c>
      <c r="B1554" t="s">
        <v>8626</v>
      </c>
      <c r="C1554" t="s">
        <v>22006</v>
      </c>
      <c r="D1554" t="s">
        <v>22007</v>
      </c>
      <c r="E1554" t="s">
        <v>8642</v>
      </c>
      <c r="F1554" t="s">
        <v>8754</v>
      </c>
      <c r="G1554" t="s">
        <v>22008</v>
      </c>
    </row>
    <row r="1555" spans="1:7">
      <c r="A1555" t="s">
        <v>22009</v>
      </c>
      <c r="B1555" t="s">
        <v>8607</v>
      </c>
      <c r="C1555" t="s">
        <v>22010</v>
      </c>
      <c r="D1555" t="s">
        <v>22011</v>
      </c>
      <c r="E1555" t="s">
        <v>8642</v>
      </c>
      <c r="F1555" t="s">
        <v>8754</v>
      </c>
      <c r="G1555" t="s">
        <v>22012</v>
      </c>
    </row>
    <row r="1556" spans="1:7">
      <c r="A1556" t="s">
        <v>22013</v>
      </c>
      <c r="B1556" t="s">
        <v>8607</v>
      </c>
      <c r="C1556" t="s">
        <v>21990</v>
      </c>
      <c r="D1556" t="s">
        <v>22014</v>
      </c>
      <c r="E1556" t="s">
        <v>8642</v>
      </c>
      <c r="F1556" t="s">
        <v>8754</v>
      </c>
      <c r="G1556" t="s">
        <v>22015</v>
      </c>
    </row>
    <row r="1557" spans="1:7">
      <c r="A1557" t="s">
        <v>22016</v>
      </c>
      <c r="B1557" t="s">
        <v>8607</v>
      </c>
      <c r="C1557" t="s">
        <v>22017</v>
      </c>
      <c r="D1557" t="s">
        <v>22014</v>
      </c>
      <c r="E1557" t="s">
        <v>8642</v>
      </c>
      <c r="F1557" t="s">
        <v>8754</v>
      </c>
      <c r="G1557" t="s">
        <v>22018</v>
      </c>
    </row>
    <row r="1558" spans="1:7">
      <c r="A1558" t="s">
        <v>22019</v>
      </c>
      <c r="B1558" t="s">
        <v>8607</v>
      </c>
      <c r="C1558" t="s">
        <v>21990</v>
      </c>
      <c r="D1558" t="s">
        <v>22014</v>
      </c>
      <c r="E1558" t="s">
        <v>8642</v>
      </c>
      <c r="F1558" t="s">
        <v>8754</v>
      </c>
      <c r="G1558" t="s">
        <v>22020</v>
      </c>
    </row>
    <row r="1559" spans="1:7">
      <c r="A1559" t="s">
        <v>22021</v>
      </c>
      <c r="B1559" t="s">
        <v>8607</v>
      </c>
      <c r="C1559" t="s">
        <v>21975</v>
      </c>
      <c r="D1559" t="s">
        <v>22022</v>
      </c>
      <c r="E1559" t="s">
        <v>8642</v>
      </c>
      <c r="F1559" t="s">
        <v>8754</v>
      </c>
      <c r="G1559" t="s">
        <v>21977</v>
      </c>
    </row>
    <row r="1560" spans="1:7">
      <c r="A1560" t="s">
        <v>22023</v>
      </c>
      <c r="B1560" t="s">
        <v>8607</v>
      </c>
      <c r="C1560" t="s">
        <v>22024</v>
      </c>
      <c r="D1560" t="s">
        <v>22025</v>
      </c>
      <c r="E1560" t="s">
        <v>8642</v>
      </c>
      <c r="F1560" t="s">
        <v>8754</v>
      </c>
      <c r="G1560" t="s">
        <v>22026</v>
      </c>
    </row>
    <row r="1561" spans="1:7">
      <c r="A1561" t="s">
        <v>22027</v>
      </c>
      <c r="B1561" t="s">
        <v>8607</v>
      </c>
      <c r="C1561" t="s">
        <v>22028</v>
      </c>
      <c r="D1561" t="s">
        <v>22029</v>
      </c>
      <c r="E1561" t="s">
        <v>8642</v>
      </c>
      <c r="F1561" t="s">
        <v>8754</v>
      </c>
      <c r="G1561" t="s">
        <v>22030</v>
      </c>
    </row>
    <row r="1562" spans="1:7">
      <c r="A1562" t="s">
        <v>22031</v>
      </c>
      <c r="B1562" t="s">
        <v>8607</v>
      </c>
      <c r="C1562" t="s">
        <v>8752</v>
      </c>
      <c r="D1562" t="s">
        <v>22032</v>
      </c>
      <c r="E1562" t="s">
        <v>8642</v>
      </c>
      <c r="F1562" t="s">
        <v>8754</v>
      </c>
      <c r="G1562" t="s">
        <v>22012</v>
      </c>
    </row>
    <row r="1563" spans="1:7">
      <c r="A1563" t="s">
        <v>22033</v>
      </c>
      <c r="B1563" t="s">
        <v>8607</v>
      </c>
      <c r="C1563" t="s">
        <v>21975</v>
      </c>
      <c r="D1563" t="s">
        <v>22034</v>
      </c>
      <c r="E1563" t="s">
        <v>8642</v>
      </c>
      <c r="F1563" t="s">
        <v>8754</v>
      </c>
      <c r="G1563" t="s">
        <v>22035</v>
      </c>
    </row>
    <row r="1564" spans="1:7">
      <c r="A1564" t="s">
        <v>22036</v>
      </c>
      <c r="B1564" t="s">
        <v>8607</v>
      </c>
      <c r="C1564" t="s">
        <v>21998</v>
      </c>
      <c r="D1564" t="s">
        <v>22037</v>
      </c>
      <c r="E1564" t="s">
        <v>8642</v>
      </c>
      <c r="F1564" t="s">
        <v>8754</v>
      </c>
      <c r="G1564" t="s">
        <v>22038</v>
      </c>
    </row>
    <row r="1565" spans="1:7">
      <c r="A1565" t="s">
        <v>22039</v>
      </c>
      <c r="B1565" t="s">
        <v>8626</v>
      </c>
      <c r="C1565" t="s">
        <v>22040</v>
      </c>
      <c r="D1565" t="s">
        <v>22041</v>
      </c>
      <c r="E1565" t="s">
        <v>8642</v>
      </c>
      <c r="F1565" t="s">
        <v>8754</v>
      </c>
      <c r="G1565" t="s">
        <v>22042</v>
      </c>
    </row>
    <row r="1566" spans="1:7">
      <c r="A1566" t="s">
        <v>22043</v>
      </c>
      <c r="B1566" t="s">
        <v>8607</v>
      </c>
      <c r="D1566" t="s">
        <v>22044</v>
      </c>
      <c r="E1566" t="s">
        <v>8642</v>
      </c>
      <c r="F1566" t="s">
        <v>9145</v>
      </c>
      <c r="G1566" t="s">
        <v>22045</v>
      </c>
    </row>
    <row r="1567" spans="1:7">
      <c r="A1567" t="s">
        <v>22046</v>
      </c>
      <c r="B1567" t="s">
        <v>8607</v>
      </c>
      <c r="C1567" t="s">
        <v>22047</v>
      </c>
      <c r="D1567" t="s">
        <v>22044</v>
      </c>
      <c r="E1567" t="s">
        <v>8642</v>
      </c>
      <c r="F1567" t="s">
        <v>9145</v>
      </c>
      <c r="G1567" t="s">
        <v>22045</v>
      </c>
    </row>
    <row r="1568" spans="1:7">
      <c r="A1568" t="s">
        <v>22048</v>
      </c>
      <c r="B1568" t="s">
        <v>8607</v>
      </c>
      <c r="C1568" t="s">
        <v>22049</v>
      </c>
      <c r="D1568" t="s">
        <v>22044</v>
      </c>
      <c r="E1568" t="s">
        <v>8642</v>
      </c>
      <c r="F1568" t="s">
        <v>9145</v>
      </c>
      <c r="G1568" t="s">
        <v>22050</v>
      </c>
    </row>
    <row r="1569" spans="1:7">
      <c r="A1569" t="s">
        <v>22051</v>
      </c>
      <c r="B1569" t="s">
        <v>8607</v>
      </c>
      <c r="C1569" t="s">
        <v>22052</v>
      </c>
      <c r="D1569" t="s">
        <v>22053</v>
      </c>
      <c r="E1569" t="s">
        <v>8642</v>
      </c>
      <c r="F1569" t="s">
        <v>9145</v>
      </c>
      <c r="G1569" t="s">
        <v>22054</v>
      </c>
    </row>
    <row r="1570" spans="1:7">
      <c r="A1570" t="s">
        <v>22055</v>
      </c>
      <c r="B1570" t="s">
        <v>8626</v>
      </c>
      <c r="C1570" t="s">
        <v>22056</v>
      </c>
      <c r="D1570" t="s">
        <v>22057</v>
      </c>
      <c r="E1570" t="s">
        <v>8642</v>
      </c>
      <c r="F1570" t="s">
        <v>9145</v>
      </c>
      <c r="G1570" t="s">
        <v>22058</v>
      </c>
    </row>
    <row r="1571" spans="1:7">
      <c r="A1571" t="s">
        <v>22059</v>
      </c>
      <c r="B1571" t="s">
        <v>8626</v>
      </c>
      <c r="C1571" t="s">
        <v>22060</v>
      </c>
      <c r="D1571" t="s">
        <v>22061</v>
      </c>
      <c r="E1571" t="s">
        <v>8642</v>
      </c>
      <c r="F1571" t="s">
        <v>9145</v>
      </c>
      <c r="G1571" t="s">
        <v>22062</v>
      </c>
    </row>
    <row r="1572" spans="1:7">
      <c r="A1572" t="s">
        <v>22063</v>
      </c>
      <c r="B1572" t="s">
        <v>8607</v>
      </c>
      <c r="C1572" t="s">
        <v>22064</v>
      </c>
      <c r="D1572" t="s">
        <v>22065</v>
      </c>
      <c r="E1572" t="s">
        <v>8642</v>
      </c>
      <c r="F1572" t="s">
        <v>9145</v>
      </c>
      <c r="G1572" t="s">
        <v>22066</v>
      </c>
    </row>
    <row r="1573" spans="1:7">
      <c r="A1573" t="s">
        <v>22067</v>
      </c>
      <c r="B1573" t="s">
        <v>8607</v>
      </c>
      <c r="C1573" t="s">
        <v>22068</v>
      </c>
      <c r="D1573" t="s">
        <v>22069</v>
      </c>
      <c r="E1573" t="s">
        <v>8642</v>
      </c>
      <c r="F1573" t="s">
        <v>9145</v>
      </c>
      <c r="G1573" t="s">
        <v>22070</v>
      </c>
    </row>
    <row r="1574" spans="1:7">
      <c r="A1574" t="s">
        <v>22071</v>
      </c>
      <c r="B1574" t="s">
        <v>8626</v>
      </c>
      <c r="C1574" t="s">
        <v>22068</v>
      </c>
      <c r="D1574" t="s">
        <v>22072</v>
      </c>
      <c r="E1574" t="s">
        <v>8642</v>
      </c>
      <c r="F1574" t="s">
        <v>9145</v>
      </c>
      <c r="G1574" t="s">
        <v>22073</v>
      </c>
    </row>
    <row r="1575" spans="1:7">
      <c r="A1575" t="s">
        <v>22074</v>
      </c>
      <c r="B1575" t="s">
        <v>8607</v>
      </c>
      <c r="C1575" t="s">
        <v>22064</v>
      </c>
      <c r="D1575" t="s">
        <v>22075</v>
      </c>
      <c r="E1575" t="s">
        <v>8642</v>
      </c>
      <c r="F1575" t="s">
        <v>9145</v>
      </c>
      <c r="G1575" t="s">
        <v>22076</v>
      </c>
    </row>
    <row r="1576" spans="1:7">
      <c r="A1576" t="s">
        <v>22077</v>
      </c>
      <c r="B1576" t="s">
        <v>8626</v>
      </c>
      <c r="C1576" t="s">
        <v>22078</v>
      </c>
      <c r="D1576" t="s">
        <v>22079</v>
      </c>
      <c r="E1576" t="s">
        <v>8642</v>
      </c>
      <c r="F1576" t="s">
        <v>9145</v>
      </c>
      <c r="G1576" t="s">
        <v>22080</v>
      </c>
    </row>
    <row r="1577" spans="1:7">
      <c r="A1577" t="s">
        <v>22081</v>
      </c>
      <c r="B1577" t="s">
        <v>8626</v>
      </c>
      <c r="C1577" t="s">
        <v>22082</v>
      </c>
      <c r="D1577" t="s">
        <v>22083</v>
      </c>
      <c r="E1577" t="s">
        <v>8642</v>
      </c>
      <c r="F1577" t="s">
        <v>9145</v>
      </c>
      <c r="G1577" t="s">
        <v>22084</v>
      </c>
    </row>
    <row r="1578" spans="1:7">
      <c r="A1578" t="s">
        <v>22085</v>
      </c>
      <c r="B1578" t="s">
        <v>8626</v>
      </c>
      <c r="C1578" t="s">
        <v>22078</v>
      </c>
      <c r="D1578" t="s">
        <v>22086</v>
      </c>
      <c r="E1578" t="s">
        <v>8642</v>
      </c>
      <c r="F1578" t="s">
        <v>9145</v>
      </c>
      <c r="G1578" t="s">
        <v>22080</v>
      </c>
    </row>
    <row r="1579" spans="1:7">
      <c r="A1579" t="s">
        <v>22087</v>
      </c>
      <c r="B1579" t="s">
        <v>8607</v>
      </c>
      <c r="C1579" t="s">
        <v>22064</v>
      </c>
      <c r="D1579" t="s">
        <v>22088</v>
      </c>
      <c r="E1579" t="s">
        <v>8642</v>
      </c>
      <c r="F1579" t="s">
        <v>9145</v>
      </c>
      <c r="G1579" t="s">
        <v>22066</v>
      </c>
    </row>
    <row r="1580" spans="1:7">
      <c r="A1580" t="s">
        <v>22089</v>
      </c>
      <c r="B1580" t="s">
        <v>8607</v>
      </c>
      <c r="C1580" t="s">
        <v>22090</v>
      </c>
      <c r="D1580" t="s">
        <v>22091</v>
      </c>
      <c r="E1580" t="s">
        <v>8642</v>
      </c>
      <c r="F1580" t="s">
        <v>8975</v>
      </c>
      <c r="G1580" t="s">
        <v>22092</v>
      </c>
    </row>
    <row r="1581" spans="1:7">
      <c r="A1581" t="s">
        <v>22093</v>
      </c>
      <c r="B1581" t="s">
        <v>8626</v>
      </c>
      <c r="C1581" t="s">
        <v>22094</v>
      </c>
      <c r="D1581" t="s">
        <v>22095</v>
      </c>
      <c r="E1581" t="s">
        <v>8642</v>
      </c>
      <c r="F1581" t="s">
        <v>8975</v>
      </c>
      <c r="G1581" t="s">
        <v>22096</v>
      </c>
    </row>
    <row r="1582" spans="1:7">
      <c r="A1582" t="s">
        <v>22097</v>
      </c>
      <c r="B1582" t="s">
        <v>8607</v>
      </c>
      <c r="C1582" t="s">
        <v>22098</v>
      </c>
      <c r="D1582" t="s">
        <v>22099</v>
      </c>
      <c r="E1582" t="s">
        <v>8642</v>
      </c>
      <c r="F1582" t="s">
        <v>8975</v>
      </c>
      <c r="G1582" t="s">
        <v>22100</v>
      </c>
    </row>
    <row r="1583" spans="1:7">
      <c r="A1583" t="s">
        <v>22101</v>
      </c>
      <c r="B1583" t="s">
        <v>8607</v>
      </c>
      <c r="C1583" t="s">
        <v>22098</v>
      </c>
      <c r="D1583" t="s">
        <v>22099</v>
      </c>
      <c r="E1583" t="s">
        <v>8642</v>
      </c>
      <c r="F1583" t="s">
        <v>8975</v>
      </c>
      <c r="G1583" t="s">
        <v>22100</v>
      </c>
    </row>
    <row r="1584" spans="1:7">
      <c r="A1584" t="s">
        <v>22102</v>
      </c>
      <c r="B1584" t="s">
        <v>8607</v>
      </c>
      <c r="C1584" t="s">
        <v>22098</v>
      </c>
      <c r="D1584" t="s">
        <v>22099</v>
      </c>
      <c r="E1584" t="s">
        <v>8642</v>
      </c>
      <c r="F1584" t="s">
        <v>8975</v>
      </c>
      <c r="G1584" t="s">
        <v>22103</v>
      </c>
    </row>
    <row r="1585" spans="1:7">
      <c r="A1585" t="s">
        <v>22104</v>
      </c>
      <c r="B1585" t="s">
        <v>8626</v>
      </c>
      <c r="C1585" t="s">
        <v>22105</v>
      </c>
      <c r="D1585" t="s">
        <v>22106</v>
      </c>
      <c r="E1585" t="s">
        <v>8642</v>
      </c>
      <c r="F1585" t="s">
        <v>8975</v>
      </c>
      <c r="G1585" t="s">
        <v>22107</v>
      </c>
    </row>
    <row r="1586" spans="1:7">
      <c r="A1586" t="s">
        <v>22108</v>
      </c>
      <c r="B1586" t="s">
        <v>8626</v>
      </c>
      <c r="C1586" t="s">
        <v>22105</v>
      </c>
      <c r="D1586" t="s">
        <v>22109</v>
      </c>
      <c r="E1586" t="s">
        <v>8642</v>
      </c>
      <c r="F1586" t="s">
        <v>8975</v>
      </c>
      <c r="G1586" t="s">
        <v>22110</v>
      </c>
    </row>
    <row r="1587" spans="1:7">
      <c r="A1587" t="s">
        <v>22111</v>
      </c>
      <c r="B1587" t="s">
        <v>8607</v>
      </c>
      <c r="C1587" t="s">
        <v>22112</v>
      </c>
      <c r="D1587" t="s">
        <v>22113</v>
      </c>
      <c r="E1587" t="s">
        <v>8642</v>
      </c>
      <c r="F1587" t="s">
        <v>8975</v>
      </c>
      <c r="G1587" t="s">
        <v>22114</v>
      </c>
    </row>
    <row r="1588" spans="1:7">
      <c r="A1588" t="s">
        <v>22115</v>
      </c>
      <c r="B1588" t="s">
        <v>8607</v>
      </c>
      <c r="C1588" t="s">
        <v>22112</v>
      </c>
      <c r="D1588" t="s">
        <v>22116</v>
      </c>
      <c r="E1588" t="s">
        <v>8642</v>
      </c>
      <c r="F1588" t="s">
        <v>8975</v>
      </c>
      <c r="G1588" t="s">
        <v>22114</v>
      </c>
    </row>
    <row r="1589" spans="1:7">
      <c r="A1589" t="s">
        <v>22117</v>
      </c>
      <c r="B1589" t="s">
        <v>8607</v>
      </c>
      <c r="C1589" t="s">
        <v>22118</v>
      </c>
      <c r="D1589" t="s">
        <v>22119</v>
      </c>
      <c r="E1589" t="s">
        <v>8642</v>
      </c>
      <c r="F1589" t="s">
        <v>8975</v>
      </c>
      <c r="G1589" t="s">
        <v>22120</v>
      </c>
    </row>
    <row r="1590" spans="1:7">
      <c r="A1590" t="s">
        <v>22121</v>
      </c>
      <c r="B1590" t="s">
        <v>8626</v>
      </c>
      <c r="C1590" t="s">
        <v>22098</v>
      </c>
      <c r="D1590" t="s">
        <v>22119</v>
      </c>
      <c r="E1590" t="s">
        <v>8642</v>
      </c>
      <c r="F1590" t="s">
        <v>8975</v>
      </c>
      <c r="G1590" t="s">
        <v>22122</v>
      </c>
    </row>
    <row r="1591" spans="1:7">
      <c r="A1591" t="s">
        <v>22123</v>
      </c>
      <c r="B1591" t="s">
        <v>8607</v>
      </c>
      <c r="C1591" t="s">
        <v>22112</v>
      </c>
      <c r="D1591" t="s">
        <v>22119</v>
      </c>
      <c r="E1591" t="s">
        <v>8642</v>
      </c>
      <c r="F1591" t="s">
        <v>8975</v>
      </c>
      <c r="G1591" t="s">
        <v>22120</v>
      </c>
    </row>
    <row r="1592" spans="1:7">
      <c r="A1592" t="s">
        <v>22124</v>
      </c>
      <c r="B1592" t="s">
        <v>8626</v>
      </c>
      <c r="C1592" t="s">
        <v>22098</v>
      </c>
      <c r="D1592" t="s">
        <v>22119</v>
      </c>
      <c r="E1592" t="s">
        <v>8642</v>
      </c>
      <c r="F1592" t="s">
        <v>8975</v>
      </c>
      <c r="G1592" t="s">
        <v>22125</v>
      </c>
    </row>
    <row r="1593" spans="1:7">
      <c r="A1593" t="s">
        <v>22126</v>
      </c>
      <c r="B1593" t="s">
        <v>8607</v>
      </c>
      <c r="C1593" t="s">
        <v>22098</v>
      </c>
      <c r="D1593" t="s">
        <v>22127</v>
      </c>
      <c r="E1593" t="s">
        <v>8642</v>
      </c>
      <c r="F1593" t="s">
        <v>8975</v>
      </c>
      <c r="G1593" t="s">
        <v>22128</v>
      </c>
    </row>
    <row r="1594" spans="1:7">
      <c r="A1594" t="s">
        <v>22129</v>
      </c>
      <c r="B1594" t="s">
        <v>8626</v>
      </c>
      <c r="C1594" t="s">
        <v>22098</v>
      </c>
      <c r="D1594" t="s">
        <v>22127</v>
      </c>
      <c r="E1594" t="s">
        <v>8642</v>
      </c>
      <c r="F1594" t="s">
        <v>8975</v>
      </c>
      <c r="G1594" t="s">
        <v>22130</v>
      </c>
    </row>
    <row r="1595" spans="1:7">
      <c r="A1595" t="s">
        <v>22131</v>
      </c>
      <c r="B1595" t="s">
        <v>8626</v>
      </c>
      <c r="C1595" t="s">
        <v>22098</v>
      </c>
      <c r="D1595" t="s">
        <v>22127</v>
      </c>
      <c r="E1595" t="s">
        <v>8642</v>
      </c>
      <c r="F1595" t="s">
        <v>8975</v>
      </c>
      <c r="G1595" t="s">
        <v>22130</v>
      </c>
    </row>
    <row r="1596" spans="1:7">
      <c r="A1596" t="s">
        <v>22132</v>
      </c>
      <c r="B1596" t="s">
        <v>8626</v>
      </c>
      <c r="C1596" t="s">
        <v>22133</v>
      </c>
      <c r="D1596" t="s">
        <v>22127</v>
      </c>
      <c r="E1596" t="s">
        <v>8642</v>
      </c>
      <c r="F1596" t="s">
        <v>8975</v>
      </c>
      <c r="G1596" t="s">
        <v>22134</v>
      </c>
    </row>
    <row r="1597" spans="1:7">
      <c r="A1597" t="s">
        <v>22135</v>
      </c>
      <c r="B1597" t="s">
        <v>8626</v>
      </c>
      <c r="C1597" t="s">
        <v>22136</v>
      </c>
      <c r="D1597" t="s">
        <v>22137</v>
      </c>
      <c r="E1597" t="s">
        <v>8642</v>
      </c>
      <c r="F1597" t="s">
        <v>8975</v>
      </c>
      <c r="G1597" t="s">
        <v>22138</v>
      </c>
    </row>
    <row r="1598" spans="1:7">
      <c r="A1598" t="s">
        <v>22139</v>
      </c>
      <c r="B1598" t="s">
        <v>8607</v>
      </c>
      <c r="C1598" t="s">
        <v>22133</v>
      </c>
      <c r="D1598" t="s">
        <v>22140</v>
      </c>
      <c r="E1598" t="s">
        <v>8642</v>
      </c>
      <c r="F1598" t="s">
        <v>8975</v>
      </c>
      <c r="G1598" t="s">
        <v>22141</v>
      </c>
    </row>
    <row r="1599" spans="1:7">
      <c r="A1599" t="s">
        <v>22142</v>
      </c>
      <c r="B1599" t="s">
        <v>8626</v>
      </c>
      <c r="C1599" t="s">
        <v>22098</v>
      </c>
      <c r="D1599" t="s">
        <v>22143</v>
      </c>
      <c r="E1599" t="s">
        <v>8642</v>
      </c>
      <c r="F1599" t="s">
        <v>8975</v>
      </c>
      <c r="G1599" t="s">
        <v>22144</v>
      </c>
    </row>
    <row r="1600" spans="1:7">
      <c r="A1600" t="s">
        <v>22145</v>
      </c>
      <c r="B1600" t="s">
        <v>8626</v>
      </c>
      <c r="C1600" t="s">
        <v>22146</v>
      </c>
      <c r="D1600" t="s">
        <v>22147</v>
      </c>
      <c r="E1600" t="s">
        <v>8642</v>
      </c>
      <c r="F1600" t="s">
        <v>8975</v>
      </c>
      <c r="G1600" t="s">
        <v>22148</v>
      </c>
    </row>
    <row r="1601" spans="1:7">
      <c r="A1601" t="s">
        <v>22149</v>
      </c>
      <c r="B1601" t="s">
        <v>8607</v>
      </c>
      <c r="C1601" t="s">
        <v>22136</v>
      </c>
      <c r="D1601" t="s">
        <v>22150</v>
      </c>
      <c r="E1601" t="s">
        <v>8642</v>
      </c>
      <c r="F1601" t="s">
        <v>18777</v>
      </c>
      <c r="G1601" t="s">
        <v>22151</v>
      </c>
    </row>
    <row r="1602" spans="1:7">
      <c r="A1602" t="s">
        <v>22152</v>
      </c>
      <c r="B1602" t="s">
        <v>8626</v>
      </c>
      <c r="C1602" t="s">
        <v>13097</v>
      </c>
      <c r="D1602" t="s">
        <v>22153</v>
      </c>
      <c r="E1602" t="s">
        <v>8642</v>
      </c>
      <c r="F1602" t="s">
        <v>8975</v>
      </c>
      <c r="G1602" t="s">
        <v>22154</v>
      </c>
    </row>
    <row r="1603" spans="1:7">
      <c r="A1603" t="s">
        <v>22155</v>
      </c>
      <c r="B1603" t="s">
        <v>8626</v>
      </c>
      <c r="C1603" t="s">
        <v>22098</v>
      </c>
      <c r="D1603" t="s">
        <v>22156</v>
      </c>
      <c r="E1603" t="s">
        <v>8642</v>
      </c>
      <c r="F1603" t="s">
        <v>8975</v>
      </c>
      <c r="G1603" t="s">
        <v>22157</v>
      </c>
    </row>
    <row r="1604" spans="1:7">
      <c r="A1604" t="s">
        <v>22158</v>
      </c>
      <c r="B1604" t="s">
        <v>8626</v>
      </c>
      <c r="C1604" t="s">
        <v>22133</v>
      </c>
      <c r="D1604" t="s">
        <v>22159</v>
      </c>
      <c r="E1604" t="s">
        <v>8642</v>
      </c>
      <c r="F1604" t="s">
        <v>8975</v>
      </c>
      <c r="G1604" t="s">
        <v>22160</v>
      </c>
    </row>
    <row r="1605" spans="1:7">
      <c r="A1605" t="s">
        <v>22161</v>
      </c>
      <c r="B1605" t="s">
        <v>8626</v>
      </c>
      <c r="C1605" t="s">
        <v>22098</v>
      </c>
      <c r="D1605" t="s">
        <v>22159</v>
      </c>
      <c r="E1605" t="s">
        <v>8642</v>
      </c>
      <c r="F1605" t="s">
        <v>8975</v>
      </c>
      <c r="G1605" t="s">
        <v>22162</v>
      </c>
    </row>
    <row r="1606" spans="1:7">
      <c r="A1606" t="s">
        <v>22163</v>
      </c>
      <c r="B1606" t="s">
        <v>8626</v>
      </c>
      <c r="C1606" t="s">
        <v>22090</v>
      </c>
      <c r="D1606" t="s">
        <v>22164</v>
      </c>
      <c r="E1606" t="s">
        <v>8642</v>
      </c>
      <c r="F1606" t="s">
        <v>8975</v>
      </c>
      <c r="G1606" t="s">
        <v>22165</v>
      </c>
    </row>
    <row r="1607" spans="1:7">
      <c r="A1607" t="s">
        <v>22166</v>
      </c>
      <c r="B1607" t="s">
        <v>8626</v>
      </c>
      <c r="C1607" t="s">
        <v>22090</v>
      </c>
      <c r="D1607" t="s">
        <v>22167</v>
      </c>
      <c r="E1607" t="s">
        <v>8642</v>
      </c>
      <c r="F1607" t="s">
        <v>8975</v>
      </c>
      <c r="G1607" t="s">
        <v>22168</v>
      </c>
    </row>
    <row r="1608" spans="1:7">
      <c r="A1608" t="s">
        <v>22169</v>
      </c>
      <c r="B1608" t="s">
        <v>8607</v>
      </c>
      <c r="D1608" t="s">
        <v>22170</v>
      </c>
      <c r="E1608" t="s">
        <v>8642</v>
      </c>
      <c r="F1608" t="s">
        <v>8975</v>
      </c>
      <c r="G1608" t="s">
        <v>22171</v>
      </c>
    </row>
    <row r="1609" spans="1:7">
      <c r="A1609" t="s">
        <v>22172</v>
      </c>
      <c r="B1609" t="s">
        <v>8607</v>
      </c>
      <c r="D1609" t="s">
        <v>22170</v>
      </c>
      <c r="E1609" t="s">
        <v>8642</v>
      </c>
      <c r="F1609" t="s">
        <v>8975</v>
      </c>
      <c r="G1609" t="s">
        <v>22171</v>
      </c>
    </row>
    <row r="1610" spans="1:7">
      <c r="A1610" t="s">
        <v>22173</v>
      </c>
      <c r="B1610" t="s">
        <v>8626</v>
      </c>
      <c r="C1610" t="s">
        <v>22090</v>
      </c>
      <c r="D1610" t="s">
        <v>22170</v>
      </c>
      <c r="E1610" t="s">
        <v>8642</v>
      </c>
      <c r="F1610" t="s">
        <v>8975</v>
      </c>
      <c r="G1610" t="s">
        <v>22174</v>
      </c>
    </row>
    <row r="1611" spans="1:7">
      <c r="A1611" t="s">
        <v>22175</v>
      </c>
      <c r="B1611" t="s">
        <v>8607</v>
      </c>
      <c r="C1611" t="s">
        <v>22090</v>
      </c>
      <c r="D1611" t="s">
        <v>22170</v>
      </c>
      <c r="E1611" t="s">
        <v>8642</v>
      </c>
      <c r="F1611" t="s">
        <v>8975</v>
      </c>
      <c r="G1611" t="s">
        <v>22171</v>
      </c>
    </row>
    <row r="1612" spans="1:7">
      <c r="A1612" t="s">
        <v>22176</v>
      </c>
      <c r="B1612" t="s">
        <v>8626</v>
      </c>
      <c r="C1612" t="s">
        <v>22090</v>
      </c>
      <c r="D1612" t="s">
        <v>22170</v>
      </c>
      <c r="E1612" t="s">
        <v>8642</v>
      </c>
      <c r="F1612" t="s">
        <v>8975</v>
      </c>
      <c r="G1612" t="s">
        <v>22177</v>
      </c>
    </row>
    <row r="1613" spans="1:7">
      <c r="A1613" t="s">
        <v>22178</v>
      </c>
      <c r="B1613" t="s">
        <v>8607</v>
      </c>
      <c r="C1613" t="s">
        <v>22090</v>
      </c>
      <c r="D1613" t="s">
        <v>22170</v>
      </c>
      <c r="E1613" t="s">
        <v>8642</v>
      </c>
      <c r="F1613" t="s">
        <v>8975</v>
      </c>
      <c r="G1613" t="s">
        <v>22179</v>
      </c>
    </row>
    <row r="1614" spans="1:7">
      <c r="A1614" t="s">
        <v>22180</v>
      </c>
      <c r="B1614" t="s">
        <v>8626</v>
      </c>
      <c r="C1614" t="s">
        <v>22090</v>
      </c>
      <c r="D1614" t="s">
        <v>22170</v>
      </c>
      <c r="E1614" t="s">
        <v>8642</v>
      </c>
      <c r="F1614" t="s">
        <v>8975</v>
      </c>
      <c r="G1614" t="s">
        <v>22181</v>
      </c>
    </row>
    <row r="1615" spans="1:7">
      <c r="A1615" t="s">
        <v>22182</v>
      </c>
      <c r="B1615" t="s">
        <v>8607</v>
      </c>
      <c r="C1615" t="s">
        <v>22090</v>
      </c>
      <c r="D1615" t="s">
        <v>22170</v>
      </c>
      <c r="E1615" t="s">
        <v>8642</v>
      </c>
      <c r="F1615" t="s">
        <v>8975</v>
      </c>
      <c r="G1615" t="s">
        <v>22171</v>
      </c>
    </row>
    <row r="1616" spans="1:7">
      <c r="A1616" t="s">
        <v>22183</v>
      </c>
      <c r="B1616" t="s">
        <v>8626</v>
      </c>
      <c r="C1616" t="s">
        <v>22105</v>
      </c>
      <c r="D1616" t="s">
        <v>22184</v>
      </c>
      <c r="E1616" t="s">
        <v>8642</v>
      </c>
      <c r="F1616" t="s">
        <v>8975</v>
      </c>
      <c r="G1616" t="s">
        <v>22185</v>
      </c>
    </row>
    <row r="1617" spans="1:7">
      <c r="A1617" t="s">
        <v>22186</v>
      </c>
      <c r="B1617" t="s">
        <v>8607</v>
      </c>
      <c r="C1617" t="s">
        <v>22187</v>
      </c>
      <c r="D1617" t="s">
        <v>22188</v>
      </c>
      <c r="E1617" t="s">
        <v>8642</v>
      </c>
      <c r="F1617" t="s">
        <v>8975</v>
      </c>
      <c r="G1617" t="s">
        <v>22092</v>
      </c>
    </row>
    <row r="1618" spans="1:7">
      <c r="A1618" t="s">
        <v>22189</v>
      </c>
      <c r="B1618" t="s">
        <v>8626</v>
      </c>
      <c r="C1618" t="s">
        <v>22090</v>
      </c>
      <c r="D1618" t="s">
        <v>22190</v>
      </c>
      <c r="E1618" t="s">
        <v>8642</v>
      </c>
      <c r="F1618" t="s">
        <v>8975</v>
      </c>
      <c r="G1618" t="s">
        <v>22191</v>
      </c>
    </row>
    <row r="1619" spans="1:7">
      <c r="A1619" t="s">
        <v>22192</v>
      </c>
      <c r="B1619" t="s">
        <v>8626</v>
      </c>
      <c r="C1619" t="s">
        <v>22193</v>
      </c>
      <c r="D1619" t="s">
        <v>22194</v>
      </c>
      <c r="E1619" t="s">
        <v>8642</v>
      </c>
      <c r="F1619" t="s">
        <v>8975</v>
      </c>
      <c r="G1619" t="s">
        <v>22195</v>
      </c>
    </row>
    <row r="1620" spans="1:7">
      <c r="A1620" t="s">
        <v>22196</v>
      </c>
      <c r="B1620" t="s">
        <v>8607</v>
      </c>
      <c r="C1620" t="s">
        <v>22090</v>
      </c>
      <c r="D1620" t="s">
        <v>22197</v>
      </c>
      <c r="E1620" t="s">
        <v>8642</v>
      </c>
      <c r="F1620" t="s">
        <v>8975</v>
      </c>
      <c r="G1620" t="s">
        <v>22092</v>
      </c>
    </row>
    <row r="1621" spans="1:7">
      <c r="A1621" t="s">
        <v>22198</v>
      </c>
      <c r="B1621" t="s">
        <v>8607</v>
      </c>
      <c r="C1621" t="s">
        <v>22090</v>
      </c>
      <c r="D1621" t="s">
        <v>22197</v>
      </c>
      <c r="E1621" t="s">
        <v>8642</v>
      </c>
      <c r="F1621" t="s">
        <v>8975</v>
      </c>
      <c r="G1621" t="s">
        <v>22092</v>
      </c>
    </row>
    <row r="1622" spans="1:7">
      <c r="A1622" t="s">
        <v>22199</v>
      </c>
      <c r="B1622" t="s">
        <v>8607</v>
      </c>
      <c r="C1622" t="s">
        <v>22090</v>
      </c>
      <c r="D1622" t="s">
        <v>22197</v>
      </c>
      <c r="E1622" t="s">
        <v>8642</v>
      </c>
      <c r="F1622" t="s">
        <v>8975</v>
      </c>
      <c r="G1622" t="s">
        <v>22092</v>
      </c>
    </row>
    <row r="1623" spans="1:7">
      <c r="A1623" t="s">
        <v>22200</v>
      </c>
      <c r="B1623" t="s">
        <v>8607</v>
      </c>
      <c r="C1623" t="s">
        <v>22090</v>
      </c>
      <c r="D1623" t="s">
        <v>22201</v>
      </c>
      <c r="E1623" t="s">
        <v>8642</v>
      </c>
      <c r="F1623" t="s">
        <v>8975</v>
      </c>
      <c r="G1623" t="s">
        <v>22092</v>
      </c>
    </row>
    <row r="1624" spans="1:7">
      <c r="A1624" t="s">
        <v>22202</v>
      </c>
      <c r="B1624" t="s">
        <v>8607</v>
      </c>
      <c r="C1624" t="s">
        <v>22193</v>
      </c>
      <c r="D1624" t="s">
        <v>22203</v>
      </c>
      <c r="E1624" t="s">
        <v>8642</v>
      </c>
      <c r="F1624" t="s">
        <v>8975</v>
      </c>
      <c r="G1624" t="s">
        <v>22204</v>
      </c>
    </row>
    <row r="1625" spans="1:7">
      <c r="A1625" t="s">
        <v>22205</v>
      </c>
      <c r="B1625" t="s">
        <v>8607</v>
      </c>
      <c r="C1625" t="s">
        <v>22193</v>
      </c>
      <c r="D1625" t="s">
        <v>22203</v>
      </c>
      <c r="E1625" t="s">
        <v>8642</v>
      </c>
      <c r="F1625" t="s">
        <v>8975</v>
      </c>
      <c r="G1625" t="s">
        <v>22206</v>
      </c>
    </row>
    <row r="1626" spans="1:7">
      <c r="A1626" t="s">
        <v>22207</v>
      </c>
      <c r="B1626" t="s">
        <v>8626</v>
      </c>
      <c r="C1626" t="s">
        <v>22208</v>
      </c>
      <c r="D1626" t="s">
        <v>22209</v>
      </c>
      <c r="E1626" t="s">
        <v>8642</v>
      </c>
      <c r="F1626" t="s">
        <v>8975</v>
      </c>
      <c r="G1626" t="s">
        <v>22210</v>
      </c>
    </row>
    <row r="1627" spans="1:7">
      <c r="A1627" t="s">
        <v>22211</v>
      </c>
      <c r="B1627" t="s">
        <v>8626</v>
      </c>
      <c r="C1627" t="s">
        <v>22212</v>
      </c>
      <c r="D1627" t="s">
        <v>22209</v>
      </c>
      <c r="E1627" t="s">
        <v>8642</v>
      </c>
      <c r="F1627" t="s">
        <v>8975</v>
      </c>
      <c r="G1627" t="s">
        <v>22210</v>
      </c>
    </row>
    <row r="1628" spans="1:7">
      <c r="A1628" t="s">
        <v>22213</v>
      </c>
      <c r="B1628" t="s">
        <v>8626</v>
      </c>
      <c r="C1628" t="s">
        <v>22208</v>
      </c>
      <c r="D1628" t="s">
        <v>22209</v>
      </c>
      <c r="E1628" t="s">
        <v>8642</v>
      </c>
      <c r="F1628" t="s">
        <v>8975</v>
      </c>
      <c r="G1628" t="s">
        <v>22210</v>
      </c>
    </row>
    <row r="1629" spans="1:7">
      <c r="A1629" t="s">
        <v>22214</v>
      </c>
      <c r="B1629" t="s">
        <v>8626</v>
      </c>
      <c r="C1629" t="s">
        <v>22098</v>
      </c>
      <c r="D1629" t="s">
        <v>22215</v>
      </c>
      <c r="E1629" t="s">
        <v>8642</v>
      </c>
      <c r="F1629" t="s">
        <v>8975</v>
      </c>
      <c r="G1629" t="s">
        <v>22216</v>
      </c>
    </row>
    <row r="1630" spans="1:7">
      <c r="A1630" t="s">
        <v>22217</v>
      </c>
      <c r="B1630" t="s">
        <v>8626</v>
      </c>
      <c r="C1630" t="s">
        <v>22112</v>
      </c>
      <c r="D1630" t="s">
        <v>22218</v>
      </c>
      <c r="E1630" t="s">
        <v>8642</v>
      </c>
      <c r="F1630" t="s">
        <v>8975</v>
      </c>
      <c r="G1630" t="s">
        <v>22216</v>
      </c>
    </row>
    <row r="1631" spans="1:7">
      <c r="A1631" t="s">
        <v>22219</v>
      </c>
      <c r="B1631" t="s">
        <v>8607</v>
      </c>
      <c r="C1631" t="s">
        <v>22098</v>
      </c>
      <c r="D1631" t="s">
        <v>22220</v>
      </c>
      <c r="E1631" t="s">
        <v>8642</v>
      </c>
      <c r="F1631" t="s">
        <v>8975</v>
      </c>
      <c r="G1631" t="s">
        <v>22221</v>
      </c>
    </row>
    <row r="1632" spans="1:7">
      <c r="A1632" t="s">
        <v>22222</v>
      </c>
      <c r="B1632" t="s">
        <v>8607</v>
      </c>
      <c r="C1632" t="s">
        <v>22090</v>
      </c>
      <c r="D1632" t="s">
        <v>22223</v>
      </c>
      <c r="E1632" t="s">
        <v>8642</v>
      </c>
      <c r="F1632" t="s">
        <v>8975</v>
      </c>
      <c r="G1632" t="s">
        <v>22092</v>
      </c>
    </row>
    <row r="1633" spans="1:7">
      <c r="A1633" t="s">
        <v>22224</v>
      </c>
      <c r="B1633" t="s">
        <v>8607</v>
      </c>
      <c r="C1633" t="s">
        <v>22090</v>
      </c>
      <c r="D1633" t="s">
        <v>22223</v>
      </c>
      <c r="E1633" t="s">
        <v>8642</v>
      </c>
      <c r="F1633" t="s">
        <v>8975</v>
      </c>
      <c r="G1633" t="s">
        <v>22092</v>
      </c>
    </row>
    <row r="1634" spans="1:7">
      <c r="A1634" t="s">
        <v>22225</v>
      </c>
      <c r="B1634" t="s">
        <v>8607</v>
      </c>
      <c r="C1634" t="s">
        <v>22090</v>
      </c>
      <c r="D1634" t="s">
        <v>22223</v>
      </c>
      <c r="E1634" t="s">
        <v>8642</v>
      </c>
      <c r="F1634" t="s">
        <v>8975</v>
      </c>
      <c r="G1634" t="s">
        <v>22092</v>
      </c>
    </row>
    <row r="1635" spans="1:7">
      <c r="A1635" t="s">
        <v>22226</v>
      </c>
      <c r="B1635" t="s">
        <v>8626</v>
      </c>
      <c r="C1635" t="s">
        <v>22227</v>
      </c>
      <c r="D1635" t="s">
        <v>22228</v>
      </c>
      <c r="E1635" t="s">
        <v>8642</v>
      </c>
      <c r="G1635" t="s">
        <v>22229</v>
      </c>
    </row>
    <row r="1636" spans="1:7">
      <c r="A1636" t="s">
        <v>22230</v>
      </c>
      <c r="B1636" t="s">
        <v>8626</v>
      </c>
      <c r="C1636" t="s">
        <v>22231</v>
      </c>
      <c r="D1636" t="s">
        <v>22232</v>
      </c>
      <c r="E1636" t="s">
        <v>8642</v>
      </c>
      <c r="G1636" t="s">
        <v>22233</v>
      </c>
    </row>
    <row r="1637" spans="1:7">
      <c r="A1637" t="s">
        <v>22234</v>
      </c>
      <c r="B1637" t="s">
        <v>8626</v>
      </c>
      <c r="C1637" t="s">
        <v>9471</v>
      </c>
      <c r="D1637" t="s">
        <v>9472</v>
      </c>
      <c r="E1637" t="s">
        <v>8642</v>
      </c>
      <c r="F1637" t="s">
        <v>9473</v>
      </c>
      <c r="G1637" t="s">
        <v>22235</v>
      </c>
    </row>
    <row r="1638" spans="1:7">
      <c r="A1638" t="s">
        <v>22236</v>
      </c>
      <c r="B1638" t="s">
        <v>8626</v>
      </c>
      <c r="C1638" t="s">
        <v>9471</v>
      </c>
      <c r="D1638" t="s">
        <v>9472</v>
      </c>
      <c r="E1638" t="s">
        <v>8642</v>
      </c>
      <c r="F1638" t="s">
        <v>9473</v>
      </c>
      <c r="G1638" t="s">
        <v>22237</v>
      </c>
    </row>
    <row r="1639" spans="1:7">
      <c r="A1639" t="s">
        <v>22238</v>
      </c>
      <c r="B1639" t="s">
        <v>8607</v>
      </c>
      <c r="C1639" t="s">
        <v>9471</v>
      </c>
      <c r="D1639" t="s">
        <v>9472</v>
      </c>
      <c r="E1639" t="s">
        <v>8642</v>
      </c>
      <c r="F1639" t="s">
        <v>9473</v>
      </c>
      <c r="G1639" t="s">
        <v>22239</v>
      </c>
    </row>
    <row r="1640" spans="1:7">
      <c r="A1640" t="s">
        <v>22240</v>
      </c>
      <c r="B1640" t="s">
        <v>8607</v>
      </c>
      <c r="C1640" t="s">
        <v>9471</v>
      </c>
      <c r="D1640" t="s">
        <v>9472</v>
      </c>
      <c r="E1640" t="s">
        <v>8642</v>
      </c>
      <c r="F1640" t="s">
        <v>9473</v>
      </c>
      <c r="G1640" t="s">
        <v>22241</v>
      </c>
    </row>
    <row r="1641" spans="1:7">
      <c r="A1641" t="s">
        <v>22242</v>
      </c>
      <c r="B1641" t="s">
        <v>8626</v>
      </c>
      <c r="C1641" t="s">
        <v>9471</v>
      </c>
      <c r="D1641" t="s">
        <v>9472</v>
      </c>
      <c r="E1641" t="s">
        <v>8642</v>
      </c>
      <c r="F1641" t="s">
        <v>9473</v>
      </c>
      <c r="G1641" t="s">
        <v>22243</v>
      </c>
    </row>
    <row r="1642" spans="1:7">
      <c r="A1642" t="s">
        <v>22244</v>
      </c>
      <c r="B1642" t="s">
        <v>8626</v>
      </c>
      <c r="C1642" t="s">
        <v>9471</v>
      </c>
      <c r="D1642" t="s">
        <v>9472</v>
      </c>
      <c r="E1642" t="s">
        <v>8642</v>
      </c>
      <c r="F1642" t="s">
        <v>9473</v>
      </c>
      <c r="G1642" t="s">
        <v>22245</v>
      </c>
    </row>
    <row r="1643" spans="1:7">
      <c r="A1643" t="s">
        <v>22246</v>
      </c>
      <c r="B1643" t="s">
        <v>8607</v>
      </c>
      <c r="C1643" t="s">
        <v>9471</v>
      </c>
      <c r="D1643" t="s">
        <v>9472</v>
      </c>
      <c r="E1643" t="s">
        <v>8642</v>
      </c>
      <c r="F1643" t="s">
        <v>9473</v>
      </c>
      <c r="G1643" t="s">
        <v>22247</v>
      </c>
    </row>
    <row r="1644" spans="1:7">
      <c r="A1644" t="s">
        <v>22248</v>
      </c>
      <c r="B1644" t="s">
        <v>8607</v>
      </c>
      <c r="C1644" t="s">
        <v>22249</v>
      </c>
      <c r="D1644" t="s">
        <v>22250</v>
      </c>
      <c r="E1644" t="s">
        <v>8642</v>
      </c>
      <c r="F1644" t="s">
        <v>11109</v>
      </c>
      <c r="G1644" t="s">
        <v>22251</v>
      </c>
    </row>
    <row r="1645" spans="1:7">
      <c r="A1645" t="s">
        <v>22252</v>
      </c>
      <c r="B1645" t="s">
        <v>8607</v>
      </c>
      <c r="C1645" t="s">
        <v>22253</v>
      </c>
      <c r="D1645" t="s">
        <v>13874</v>
      </c>
      <c r="E1645" t="s">
        <v>8642</v>
      </c>
      <c r="F1645" t="s">
        <v>11109</v>
      </c>
      <c r="G1645" t="s">
        <v>22251</v>
      </c>
    </row>
    <row r="1646" spans="1:7">
      <c r="A1646" t="s">
        <v>22254</v>
      </c>
      <c r="B1646" t="s">
        <v>8626</v>
      </c>
      <c r="C1646" t="s">
        <v>22255</v>
      </c>
      <c r="D1646" t="s">
        <v>22256</v>
      </c>
      <c r="E1646" t="s">
        <v>8642</v>
      </c>
      <c r="F1646" t="s">
        <v>11109</v>
      </c>
      <c r="G1646" t="s">
        <v>22257</v>
      </c>
    </row>
    <row r="1647" spans="1:7">
      <c r="A1647" t="s">
        <v>22258</v>
      </c>
      <c r="B1647" t="s">
        <v>8607</v>
      </c>
      <c r="D1647" t="s">
        <v>22259</v>
      </c>
      <c r="E1647" t="s">
        <v>8642</v>
      </c>
      <c r="F1647" t="s">
        <v>11109</v>
      </c>
      <c r="G1647" t="s">
        <v>22260</v>
      </c>
    </row>
    <row r="1648" spans="1:7">
      <c r="A1648" t="s">
        <v>22261</v>
      </c>
      <c r="B1648" t="s">
        <v>8626</v>
      </c>
      <c r="C1648" t="s">
        <v>22262</v>
      </c>
      <c r="D1648" t="s">
        <v>22263</v>
      </c>
      <c r="E1648" t="s">
        <v>8642</v>
      </c>
      <c r="F1648" t="s">
        <v>11109</v>
      </c>
      <c r="G1648" t="s">
        <v>22264</v>
      </c>
    </row>
    <row r="1649" spans="1:7">
      <c r="A1649" t="s">
        <v>22265</v>
      </c>
      <c r="B1649" t="s">
        <v>8607</v>
      </c>
      <c r="C1649" t="s">
        <v>22266</v>
      </c>
      <c r="D1649" t="s">
        <v>22267</v>
      </c>
      <c r="E1649" t="s">
        <v>8642</v>
      </c>
      <c r="F1649" t="s">
        <v>22268</v>
      </c>
      <c r="G1649" t="s">
        <v>22269</v>
      </c>
    </row>
    <row r="1650" spans="1:7">
      <c r="A1650" t="s">
        <v>22270</v>
      </c>
      <c r="B1650" t="s">
        <v>8607</v>
      </c>
      <c r="C1650" t="s">
        <v>22271</v>
      </c>
      <c r="D1650" t="s">
        <v>22272</v>
      </c>
      <c r="E1650" t="s">
        <v>8642</v>
      </c>
      <c r="F1650" t="s">
        <v>22268</v>
      </c>
      <c r="G1650" t="s">
        <v>22273</v>
      </c>
    </row>
    <row r="1651" spans="1:7">
      <c r="A1651" t="s">
        <v>22274</v>
      </c>
      <c r="B1651" t="s">
        <v>8607</v>
      </c>
      <c r="C1651" t="s">
        <v>22275</v>
      </c>
      <c r="D1651" t="s">
        <v>22276</v>
      </c>
      <c r="E1651" t="s">
        <v>8642</v>
      </c>
      <c r="F1651" t="s">
        <v>22268</v>
      </c>
      <c r="G1651" t="s">
        <v>22277</v>
      </c>
    </row>
    <row r="1652" spans="1:7">
      <c r="A1652" t="s">
        <v>22278</v>
      </c>
      <c r="B1652" t="s">
        <v>8607</v>
      </c>
      <c r="C1652" t="s">
        <v>22279</v>
      </c>
      <c r="D1652" t="s">
        <v>22280</v>
      </c>
      <c r="E1652" t="s">
        <v>8642</v>
      </c>
      <c r="F1652" t="s">
        <v>22268</v>
      </c>
      <c r="G1652" t="s">
        <v>22281</v>
      </c>
    </row>
    <row r="1653" spans="1:7">
      <c r="A1653" t="s">
        <v>22282</v>
      </c>
      <c r="D1653" t="s">
        <v>22283</v>
      </c>
      <c r="E1653" t="s">
        <v>8642</v>
      </c>
      <c r="G1653" t="s">
        <v>22284</v>
      </c>
    </row>
    <row r="1654" spans="1:7">
      <c r="A1654" t="s">
        <v>22285</v>
      </c>
      <c r="B1654" t="s">
        <v>8626</v>
      </c>
      <c r="D1654" t="s">
        <v>22286</v>
      </c>
      <c r="E1654" t="s">
        <v>8642</v>
      </c>
      <c r="F1654" t="s">
        <v>14714</v>
      </c>
      <c r="G1654" t="s">
        <v>22287</v>
      </c>
    </row>
    <row r="1655" spans="1:7">
      <c r="A1655" t="s">
        <v>22288</v>
      </c>
      <c r="B1655" t="s">
        <v>8626</v>
      </c>
      <c r="C1655" t="s">
        <v>22289</v>
      </c>
      <c r="D1655" t="s">
        <v>22290</v>
      </c>
      <c r="E1655" t="s">
        <v>8642</v>
      </c>
      <c r="F1655" t="s">
        <v>22291</v>
      </c>
      <c r="G1655" t="s">
        <v>22292</v>
      </c>
    </row>
    <row r="1656" spans="1:7">
      <c r="A1656" t="s">
        <v>22293</v>
      </c>
      <c r="B1656" t="s">
        <v>8626</v>
      </c>
      <c r="C1656" t="s">
        <v>22294</v>
      </c>
      <c r="D1656" t="s">
        <v>22295</v>
      </c>
      <c r="E1656" t="s">
        <v>8642</v>
      </c>
      <c r="F1656" t="s">
        <v>16807</v>
      </c>
      <c r="G1656" t="s">
        <v>22296</v>
      </c>
    </row>
    <row r="1657" spans="1:7">
      <c r="A1657" t="s">
        <v>22297</v>
      </c>
      <c r="D1657" t="s">
        <v>22298</v>
      </c>
      <c r="E1657" t="s">
        <v>8642</v>
      </c>
      <c r="G1657" t="s">
        <v>22299</v>
      </c>
    </row>
    <row r="1658" spans="1:7">
      <c r="A1658" t="s">
        <v>22300</v>
      </c>
      <c r="B1658" t="s">
        <v>8626</v>
      </c>
      <c r="C1658" t="s">
        <v>22301</v>
      </c>
      <c r="D1658" t="s">
        <v>22302</v>
      </c>
      <c r="E1658" t="s">
        <v>8642</v>
      </c>
      <c r="F1658" t="s">
        <v>16807</v>
      </c>
      <c r="G1658" t="s">
        <v>22303</v>
      </c>
    </row>
    <row r="1659" spans="1:7">
      <c r="A1659" t="s">
        <v>22304</v>
      </c>
      <c r="B1659" t="s">
        <v>8607</v>
      </c>
      <c r="C1659" t="s">
        <v>22305</v>
      </c>
      <c r="D1659" t="s">
        <v>22306</v>
      </c>
      <c r="E1659" t="s">
        <v>8642</v>
      </c>
      <c r="F1659" t="s">
        <v>16807</v>
      </c>
      <c r="G1659" t="s">
        <v>22307</v>
      </c>
    </row>
    <row r="1660" spans="1:7">
      <c r="A1660" t="s">
        <v>22308</v>
      </c>
      <c r="B1660" t="s">
        <v>8607</v>
      </c>
      <c r="D1660" t="s">
        <v>22309</v>
      </c>
      <c r="E1660" t="s">
        <v>8642</v>
      </c>
      <c r="F1660" t="s">
        <v>22310</v>
      </c>
      <c r="G1660" t="s">
        <v>22311</v>
      </c>
    </row>
    <row r="1661" spans="1:7">
      <c r="A1661" t="s">
        <v>22312</v>
      </c>
      <c r="B1661" t="s">
        <v>8626</v>
      </c>
      <c r="C1661" t="s">
        <v>22313</v>
      </c>
      <c r="D1661" t="s">
        <v>22314</v>
      </c>
      <c r="E1661" t="s">
        <v>8642</v>
      </c>
      <c r="G1661" t="s">
        <v>22315</v>
      </c>
    </row>
    <row r="1662" spans="1:7">
      <c r="A1662" t="s">
        <v>22316</v>
      </c>
      <c r="B1662" t="s">
        <v>8626</v>
      </c>
      <c r="C1662" t="s">
        <v>22317</v>
      </c>
      <c r="D1662" t="s">
        <v>22318</v>
      </c>
      <c r="E1662" t="s">
        <v>8642</v>
      </c>
      <c r="G1662" t="s">
        <v>22319</v>
      </c>
    </row>
    <row r="1663" spans="1:7">
      <c r="A1663" t="s">
        <v>22320</v>
      </c>
      <c r="B1663" t="s">
        <v>8607</v>
      </c>
      <c r="D1663" t="s">
        <v>22321</v>
      </c>
      <c r="E1663" t="s">
        <v>8642</v>
      </c>
      <c r="F1663" t="s">
        <v>22322</v>
      </c>
      <c r="G1663" t="s">
        <v>22323</v>
      </c>
    </row>
    <row r="1664" spans="1:7">
      <c r="A1664" t="s">
        <v>22324</v>
      </c>
      <c r="B1664" t="s">
        <v>8607</v>
      </c>
      <c r="D1664" t="s">
        <v>22325</v>
      </c>
      <c r="E1664" t="s">
        <v>8642</v>
      </c>
      <c r="F1664" t="s">
        <v>14714</v>
      </c>
      <c r="G1664" t="s">
        <v>22326</v>
      </c>
    </row>
    <row r="1665" spans="1:7">
      <c r="A1665" t="s">
        <v>22327</v>
      </c>
      <c r="B1665" t="s">
        <v>8607</v>
      </c>
      <c r="C1665" t="s">
        <v>22328</v>
      </c>
      <c r="D1665" t="s">
        <v>22329</v>
      </c>
      <c r="E1665" t="s">
        <v>8642</v>
      </c>
      <c r="F1665" t="s">
        <v>22330</v>
      </c>
      <c r="G1665" t="s">
        <v>22331</v>
      </c>
    </row>
    <row r="1666" spans="1:7">
      <c r="A1666" t="s">
        <v>22332</v>
      </c>
      <c r="B1666" t="s">
        <v>8607</v>
      </c>
      <c r="C1666" t="s">
        <v>22328</v>
      </c>
      <c r="D1666" t="s">
        <v>22333</v>
      </c>
      <c r="E1666" t="s">
        <v>8642</v>
      </c>
      <c r="F1666" t="s">
        <v>22330</v>
      </c>
      <c r="G1666" t="s">
        <v>22334</v>
      </c>
    </row>
    <row r="1667" spans="1:7">
      <c r="A1667" t="s">
        <v>22335</v>
      </c>
      <c r="B1667" t="s">
        <v>8607</v>
      </c>
      <c r="C1667" t="s">
        <v>22328</v>
      </c>
      <c r="D1667" t="s">
        <v>22336</v>
      </c>
      <c r="E1667" t="s">
        <v>8642</v>
      </c>
      <c r="F1667" t="s">
        <v>22330</v>
      </c>
      <c r="G1667" t="s">
        <v>22337</v>
      </c>
    </row>
    <row r="1668" spans="1:7">
      <c r="A1668" t="s">
        <v>22338</v>
      </c>
      <c r="B1668" t="s">
        <v>8607</v>
      </c>
      <c r="C1668" t="s">
        <v>22328</v>
      </c>
      <c r="D1668" t="s">
        <v>22339</v>
      </c>
      <c r="E1668" t="s">
        <v>8642</v>
      </c>
      <c r="F1668" t="s">
        <v>22330</v>
      </c>
      <c r="G1668" t="s">
        <v>22331</v>
      </c>
    </row>
    <row r="1669" spans="1:7">
      <c r="A1669" t="s">
        <v>22340</v>
      </c>
      <c r="B1669" t="s">
        <v>8607</v>
      </c>
      <c r="C1669" t="s">
        <v>22328</v>
      </c>
      <c r="D1669" t="s">
        <v>22339</v>
      </c>
      <c r="E1669" t="s">
        <v>8642</v>
      </c>
      <c r="F1669" t="s">
        <v>22330</v>
      </c>
      <c r="G1669" t="s">
        <v>22331</v>
      </c>
    </row>
    <row r="1670" spans="1:7">
      <c r="A1670" t="s">
        <v>22341</v>
      </c>
      <c r="B1670" t="s">
        <v>8626</v>
      </c>
      <c r="C1670" t="s">
        <v>22342</v>
      </c>
      <c r="D1670" t="s">
        <v>22339</v>
      </c>
      <c r="E1670" t="s">
        <v>8642</v>
      </c>
      <c r="F1670" t="s">
        <v>22330</v>
      </c>
      <c r="G1670" t="s">
        <v>22343</v>
      </c>
    </row>
    <row r="1671" spans="1:7">
      <c r="A1671" t="s">
        <v>22344</v>
      </c>
      <c r="B1671" t="s">
        <v>8626</v>
      </c>
      <c r="C1671" t="s">
        <v>18369</v>
      </c>
      <c r="D1671" t="s">
        <v>22345</v>
      </c>
      <c r="E1671" t="s">
        <v>8642</v>
      </c>
      <c r="F1671" t="s">
        <v>18160</v>
      </c>
      <c r="G1671" t="s">
        <v>22346</v>
      </c>
    </row>
    <row r="1672" spans="1:7">
      <c r="A1672" t="s">
        <v>22347</v>
      </c>
      <c r="B1672" t="s">
        <v>8607</v>
      </c>
      <c r="D1672" t="s">
        <v>22348</v>
      </c>
      <c r="E1672" t="s">
        <v>8642</v>
      </c>
      <c r="F1672" t="s">
        <v>18371</v>
      </c>
      <c r="G1672" t="s">
        <v>22349</v>
      </c>
    </row>
    <row r="1673" spans="1:7">
      <c r="A1673" t="s">
        <v>22350</v>
      </c>
      <c r="B1673" t="s">
        <v>8607</v>
      </c>
      <c r="C1673" t="s">
        <v>22351</v>
      </c>
      <c r="D1673" t="s">
        <v>22352</v>
      </c>
      <c r="E1673" t="s">
        <v>8642</v>
      </c>
      <c r="F1673" t="s">
        <v>9219</v>
      </c>
      <c r="G1673" t="s">
        <v>22353</v>
      </c>
    </row>
    <row r="1674" spans="1:7">
      <c r="A1674" t="s">
        <v>22354</v>
      </c>
      <c r="B1674" t="s">
        <v>8607</v>
      </c>
      <c r="C1674" t="s">
        <v>22351</v>
      </c>
      <c r="D1674" t="s">
        <v>22352</v>
      </c>
      <c r="E1674" t="s">
        <v>8642</v>
      </c>
      <c r="F1674" t="s">
        <v>9219</v>
      </c>
      <c r="G1674" t="s">
        <v>22353</v>
      </c>
    </row>
    <row r="1675" spans="1:7">
      <c r="A1675" t="s">
        <v>22355</v>
      </c>
      <c r="B1675" t="s">
        <v>8626</v>
      </c>
      <c r="C1675" t="s">
        <v>22356</v>
      </c>
      <c r="D1675" t="s">
        <v>22352</v>
      </c>
      <c r="E1675" t="s">
        <v>8642</v>
      </c>
      <c r="F1675" t="s">
        <v>9219</v>
      </c>
      <c r="G1675" t="s">
        <v>22357</v>
      </c>
    </row>
    <row r="1676" spans="1:7">
      <c r="A1676" t="s">
        <v>22358</v>
      </c>
      <c r="B1676" t="s">
        <v>8607</v>
      </c>
      <c r="C1676" t="s">
        <v>22356</v>
      </c>
      <c r="D1676" t="s">
        <v>22352</v>
      </c>
      <c r="E1676" t="s">
        <v>8642</v>
      </c>
      <c r="F1676" t="s">
        <v>9219</v>
      </c>
      <c r="G1676" t="s">
        <v>22359</v>
      </c>
    </row>
    <row r="1677" spans="1:7">
      <c r="A1677" t="s">
        <v>22360</v>
      </c>
      <c r="B1677" t="s">
        <v>8607</v>
      </c>
      <c r="C1677" t="s">
        <v>22361</v>
      </c>
      <c r="D1677" t="s">
        <v>22352</v>
      </c>
      <c r="E1677" t="s">
        <v>8642</v>
      </c>
      <c r="F1677" t="s">
        <v>9219</v>
      </c>
      <c r="G1677" t="s">
        <v>22362</v>
      </c>
    </row>
    <row r="1678" spans="1:7">
      <c r="A1678" t="s">
        <v>22363</v>
      </c>
      <c r="B1678" t="s">
        <v>8626</v>
      </c>
      <c r="D1678" t="s">
        <v>22364</v>
      </c>
      <c r="E1678" t="s">
        <v>8642</v>
      </c>
      <c r="G1678" t="s">
        <v>22365</v>
      </c>
    </row>
    <row r="1679" spans="1:7">
      <c r="A1679" t="s">
        <v>22366</v>
      </c>
      <c r="B1679" t="s">
        <v>8626</v>
      </c>
      <c r="C1679" t="s">
        <v>22367</v>
      </c>
      <c r="D1679" t="s">
        <v>22364</v>
      </c>
      <c r="E1679" t="s">
        <v>8642</v>
      </c>
      <c r="G1679" t="s">
        <v>22365</v>
      </c>
    </row>
    <row r="1680" spans="1:7">
      <c r="A1680" t="s">
        <v>22368</v>
      </c>
      <c r="B1680" t="s">
        <v>8626</v>
      </c>
      <c r="C1680" t="s">
        <v>22369</v>
      </c>
      <c r="D1680" t="s">
        <v>22370</v>
      </c>
      <c r="E1680" t="s">
        <v>8642</v>
      </c>
      <c r="G1680" t="s">
        <v>22365</v>
      </c>
    </row>
    <row r="1681" spans="1:7">
      <c r="A1681" t="s">
        <v>22371</v>
      </c>
      <c r="B1681" t="s">
        <v>8626</v>
      </c>
      <c r="C1681" t="s">
        <v>22372</v>
      </c>
      <c r="D1681" t="s">
        <v>22373</v>
      </c>
      <c r="E1681" t="s">
        <v>8642</v>
      </c>
      <c r="F1681" t="s">
        <v>22374</v>
      </c>
      <c r="G1681" t="s">
        <v>22375</v>
      </c>
    </row>
    <row r="1682" spans="1:7">
      <c r="A1682" t="s">
        <v>22376</v>
      </c>
      <c r="B1682" t="s">
        <v>8607</v>
      </c>
      <c r="D1682" t="s">
        <v>22373</v>
      </c>
      <c r="E1682" t="s">
        <v>8642</v>
      </c>
      <c r="F1682" t="s">
        <v>22374</v>
      </c>
      <c r="G1682" t="s">
        <v>22377</v>
      </c>
    </row>
    <row r="1683" spans="1:7">
      <c r="A1683" t="s">
        <v>22378</v>
      </c>
      <c r="B1683" t="s">
        <v>8626</v>
      </c>
      <c r="D1683" t="s">
        <v>22373</v>
      </c>
      <c r="E1683" t="s">
        <v>8642</v>
      </c>
      <c r="F1683" t="s">
        <v>22374</v>
      </c>
      <c r="G1683" t="s">
        <v>22375</v>
      </c>
    </row>
    <row r="1684" spans="1:7">
      <c r="A1684" t="s">
        <v>22379</v>
      </c>
      <c r="B1684" t="s">
        <v>8626</v>
      </c>
      <c r="C1684" t="s">
        <v>22380</v>
      </c>
      <c r="D1684" t="s">
        <v>22381</v>
      </c>
      <c r="E1684" t="s">
        <v>8642</v>
      </c>
      <c r="F1684" t="s">
        <v>22374</v>
      </c>
      <c r="G1684" t="s">
        <v>22382</v>
      </c>
    </row>
    <row r="1685" spans="1:7">
      <c r="A1685" t="s">
        <v>22383</v>
      </c>
      <c r="B1685" t="s">
        <v>8626</v>
      </c>
      <c r="D1685" t="s">
        <v>22384</v>
      </c>
      <c r="E1685" t="s">
        <v>8642</v>
      </c>
      <c r="F1685" t="s">
        <v>22374</v>
      </c>
      <c r="G1685" t="s">
        <v>22375</v>
      </c>
    </row>
    <row r="1686" spans="1:7">
      <c r="A1686" t="s">
        <v>22385</v>
      </c>
      <c r="B1686" t="s">
        <v>8626</v>
      </c>
      <c r="C1686" t="s">
        <v>22380</v>
      </c>
      <c r="D1686" t="s">
        <v>22384</v>
      </c>
      <c r="E1686" t="s">
        <v>8642</v>
      </c>
      <c r="F1686" t="s">
        <v>22374</v>
      </c>
      <c r="G1686" t="s">
        <v>22386</v>
      </c>
    </row>
    <row r="1687" spans="1:7">
      <c r="A1687" t="s">
        <v>22387</v>
      </c>
      <c r="B1687" t="s">
        <v>8607</v>
      </c>
      <c r="C1687" t="s">
        <v>22388</v>
      </c>
      <c r="D1687" t="s">
        <v>16947</v>
      </c>
      <c r="E1687" t="s">
        <v>8642</v>
      </c>
      <c r="F1687" t="s">
        <v>9268</v>
      </c>
      <c r="G1687" t="s">
        <v>22389</v>
      </c>
    </row>
    <row r="1688" spans="1:7">
      <c r="A1688" t="s">
        <v>22390</v>
      </c>
      <c r="B1688" t="s">
        <v>8626</v>
      </c>
      <c r="C1688" t="s">
        <v>22388</v>
      </c>
      <c r="D1688" t="s">
        <v>16947</v>
      </c>
      <c r="E1688" t="s">
        <v>8642</v>
      </c>
      <c r="F1688" t="s">
        <v>9268</v>
      </c>
      <c r="G1688" t="s">
        <v>22391</v>
      </c>
    </row>
    <row r="1689" spans="1:7">
      <c r="A1689" t="s">
        <v>22392</v>
      </c>
      <c r="B1689" t="s">
        <v>8626</v>
      </c>
      <c r="D1689" t="s">
        <v>22393</v>
      </c>
      <c r="E1689" t="s">
        <v>8642</v>
      </c>
      <c r="F1689" t="s">
        <v>8913</v>
      </c>
      <c r="G1689" t="s">
        <v>22394</v>
      </c>
    </row>
    <row r="1690" spans="1:7">
      <c r="A1690" t="s">
        <v>22395</v>
      </c>
      <c r="B1690" t="s">
        <v>8626</v>
      </c>
      <c r="C1690" t="s">
        <v>22396</v>
      </c>
      <c r="D1690" t="s">
        <v>22397</v>
      </c>
      <c r="E1690" t="s">
        <v>8642</v>
      </c>
      <c r="G1690" t="s">
        <v>22398</v>
      </c>
    </row>
    <row r="1691" spans="1:7">
      <c r="A1691" t="s">
        <v>22399</v>
      </c>
      <c r="B1691" t="s">
        <v>8607</v>
      </c>
      <c r="C1691" t="s">
        <v>22400</v>
      </c>
      <c r="D1691" t="s">
        <v>22401</v>
      </c>
      <c r="E1691" t="s">
        <v>8642</v>
      </c>
      <c r="F1691" t="s">
        <v>22402</v>
      </c>
      <c r="G1691" t="s">
        <v>22403</v>
      </c>
    </row>
    <row r="1692" spans="1:7">
      <c r="A1692" t="s">
        <v>22404</v>
      </c>
      <c r="B1692" t="s">
        <v>8607</v>
      </c>
      <c r="C1692" t="s">
        <v>22400</v>
      </c>
      <c r="D1692" t="s">
        <v>22405</v>
      </c>
      <c r="E1692" t="s">
        <v>8642</v>
      </c>
      <c r="F1692" t="s">
        <v>22402</v>
      </c>
      <c r="G1692" t="s">
        <v>22403</v>
      </c>
    </row>
    <row r="1693" spans="1:7">
      <c r="A1693" t="s">
        <v>22406</v>
      </c>
      <c r="B1693" t="s">
        <v>8607</v>
      </c>
      <c r="D1693" t="s">
        <v>22407</v>
      </c>
      <c r="E1693" t="s">
        <v>8642</v>
      </c>
      <c r="F1693" t="s">
        <v>21495</v>
      </c>
      <c r="G1693" t="s">
        <v>22408</v>
      </c>
    </row>
    <row r="1694" spans="1:7">
      <c r="A1694" t="s">
        <v>22409</v>
      </c>
      <c r="B1694" t="s">
        <v>8607</v>
      </c>
      <c r="D1694" t="s">
        <v>22410</v>
      </c>
      <c r="E1694" t="s">
        <v>8642</v>
      </c>
      <c r="G1694" t="s">
        <v>22411</v>
      </c>
    </row>
    <row r="1695" spans="1:7">
      <c r="A1695" t="s">
        <v>22412</v>
      </c>
      <c r="B1695" t="s">
        <v>8607</v>
      </c>
      <c r="D1695" t="s">
        <v>22410</v>
      </c>
      <c r="E1695" t="s">
        <v>8642</v>
      </c>
      <c r="G1695" t="s">
        <v>22411</v>
      </c>
    </row>
    <row r="1696" spans="1:7">
      <c r="A1696" t="s">
        <v>22413</v>
      </c>
      <c r="B1696" t="s">
        <v>8607</v>
      </c>
      <c r="D1696" t="s">
        <v>22410</v>
      </c>
      <c r="E1696" t="s">
        <v>8642</v>
      </c>
      <c r="G1696" t="s">
        <v>22411</v>
      </c>
    </row>
    <row r="1697" spans="1:7">
      <c r="A1697" t="s">
        <v>22414</v>
      </c>
      <c r="B1697" t="s">
        <v>8607</v>
      </c>
      <c r="D1697" t="s">
        <v>22410</v>
      </c>
      <c r="E1697" t="s">
        <v>8642</v>
      </c>
      <c r="G1697" t="s">
        <v>22411</v>
      </c>
    </row>
    <row r="1698" spans="1:7">
      <c r="A1698" t="s">
        <v>22415</v>
      </c>
      <c r="B1698" t="s">
        <v>8607</v>
      </c>
      <c r="D1698" t="s">
        <v>22410</v>
      </c>
      <c r="E1698" t="s">
        <v>8642</v>
      </c>
      <c r="G1698" t="s">
        <v>22411</v>
      </c>
    </row>
    <row r="1699" spans="1:7">
      <c r="A1699" t="s">
        <v>22416</v>
      </c>
      <c r="B1699" t="s">
        <v>8607</v>
      </c>
      <c r="D1699" t="s">
        <v>22410</v>
      </c>
      <c r="E1699" t="s">
        <v>8642</v>
      </c>
      <c r="G1699" t="s">
        <v>22411</v>
      </c>
    </row>
    <row r="1700" spans="1:7">
      <c r="A1700" t="s">
        <v>22417</v>
      </c>
      <c r="B1700" t="s">
        <v>8607</v>
      </c>
      <c r="C1700" t="s">
        <v>22418</v>
      </c>
      <c r="D1700" t="s">
        <v>22419</v>
      </c>
      <c r="E1700" t="s">
        <v>8642</v>
      </c>
      <c r="F1700" t="s">
        <v>15811</v>
      </c>
      <c r="G1700" t="s">
        <v>22420</v>
      </c>
    </row>
    <row r="1701" spans="1:7">
      <c r="A1701" t="s">
        <v>22421</v>
      </c>
      <c r="B1701" t="s">
        <v>8626</v>
      </c>
      <c r="D1701" t="s">
        <v>22422</v>
      </c>
      <c r="E1701" t="s">
        <v>8642</v>
      </c>
      <c r="G1701" t="s">
        <v>22423</v>
      </c>
    </row>
    <row r="1702" spans="1:7">
      <c r="A1702" t="s">
        <v>22424</v>
      </c>
      <c r="B1702" t="s">
        <v>8626</v>
      </c>
      <c r="D1702" t="s">
        <v>22425</v>
      </c>
      <c r="E1702" t="s">
        <v>8642</v>
      </c>
      <c r="G1702" t="s">
        <v>22426</v>
      </c>
    </row>
    <row r="1703" spans="1:7">
      <c r="A1703" t="s">
        <v>22427</v>
      </c>
      <c r="B1703" t="s">
        <v>8607</v>
      </c>
      <c r="D1703" t="s">
        <v>8720</v>
      </c>
      <c r="E1703" t="s">
        <v>8642</v>
      </c>
      <c r="F1703" t="s">
        <v>8721</v>
      </c>
      <c r="G1703" t="s">
        <v>10679</v>
      </c>
    </row>
    <row r="1704" spans="1:7">
      <c r="A1704" t="s">
        <v>22428</v>
      </c>
      <c r="B1704" t="s">
        <v>8607</v>
      </c>
      <c r="C1704" t="s">
        <v>22429</v>
      </c>
      <c r="D1704" t="s">
        <v>22430</v>
      </c>
      <c r="E1704" t="s">
        <v>8642</v>
      </c>
      <c r="G1704" t="s">
        <v>22431</v>
      </c>
    </row>
    <row r="1705" spans="1:7">
      <c r="A1705" t="s">
        <v>22432</v>
      </c>
      <c r="B1705" t="s">
        <v>8607</v>
      </c>
      <c r="D1705" t="s">
        <v>22430</v>
      </c>
      <c r="E1705" t="s">
        <v>8642</v>
      </c>
      <c r="G1705" t="s">
        <v>22431</v>
      </c>
    </row>
    <row r="1706" spans="1:7">
      <c r="A1706" t="s">
        <v>22433</v>
      </c>
      <c r="B1706" t="s">
        <v>8607</v>
      </c>
      <c r="D1706" t="s">
        <v>22430</v>
      </c>
      <c r="E1706" t="s">
        <v>8642</v>
      </c>
      <c r="G1706" t="s">
        <v>22431</v>
      </c>
    </row>
    <row r="1707" spans="1:7">
      <c r="A1707" t="s">
        <v>22434</v>
      </c>
      <c r="B1707" t="s">
        <v>8607</v>
      </c>
      <c r="D1707" t="s">
        <v>22430</v>
      </c>
      <c r="E1707" t="s">
        <v>8642</v>
      </c>
      <c r="G1707" t="s">
        <v>22431</v>
      </c>
    </row>
    <row r="1708" spans="1:7">
      <c r="A1708" t="s">
        <v>22435</v>
      </c>
      <c r="B1708" t="s">
        <v>8607</v>
      </c>
      <c r="C1708" t="s">
        <v>22429</v>
      </c>
      <c r="D1708" t="s">
        <v>22430</v>
      </c>
      <c r="E1708" t="s">
        <v>8642</v>
      </c>
      <c r="G1708" t="s">
        <v>22431</v>
      </c>
    </row>
    <row r="1709" spans="1:7">
      <c r="A1709" t="s">
        <v>22436</v>
      </c>
      <c r="B1709" t="s">
        <v>8607</v>
      </c>
      <c r="C1709" t="s">
        <v>22429</v>
      </c>
      <c r="D1709" t="s">
        <v>22430</v>
      </c>
      <c r="E1709" t="s">
        <v>8642</v>
      </c>
      <c r="G1709" t="s">
        <v>22431</v>
      </c>
    </row>
    <row r="1710" spans="1:7">
      <c r="A1710" t="s">
        <v>22437</v>
      </c>
      <c r="B1710" t="s">
        <v>8607</v>
      </c>
      <c r="D1710" t="s">
        <v>22430</v>
      </c>
      <c r="E1710" t="s">
        <v>8642</v>
      </c>
      <c r="G1710" t="s">
        <v>22431</v>
      </c>
    </row>
    <row r="1711" spans="1:7">
      <c r="A1711" t="s">
        <v>22438</v>
      </c>
      <c r="B1711" t="s">
        <v>8607</v>
      </c>
      <c r="D1711" t="s">
        <v>22430</v>
      </c>
      <c r="E1711" t="s">
        <v>8642</v>
      </c>
      <c r="G1711" t="s">
        <v>22431</v>
      </c>
    </row>
    <row r="1712" spans="1:7">
      <c r="A1712" t="s">
        <v>22439</v>
      </c>
      <c r="B1712" t="s">
        <v>8607</v>
      </c>
      <c r="D1712" t="s">
        <v>22430</v>
      </c>
      <c r="E1712" t="s">
        <v>8642</v>
      </c>
      <c r="G1712" t="s">
        <v>22431</v>
      </c>
    </row>
    <row r="1713" spans="1:7">
      <c r="A1713" t="s">
        <v>22440</v>
      </c>
      <c r="B1713" t="s">
        <v>8607</v>
      </c>
      <c r="D1713" t="s">
        <v>22430</v>
      </c>
      <c r="E1713" t="s">
        <v>8642</v>
      </c>
      <c r="G1713" t="s">
        <v>22431</v>
      </c>
    </row>
    <row r="1714" spans="1:7">
      <c r="A1714" t="s">
        <v>22441</v>
      </c>
      <c r="B1714" t="s">
        <v>8607</v>
      </c>
      <c r="D1714" t="s">
        <v>22430</v>
      </c>
      <c r="E1714" t="s">
        <v>8642</v>
      </c>
      <c r="G1714" t="s">
        <v>22431</v>
      </c>
    </row>
    <row r="1715" spans="1:7">
      <c r="A1715" t="s">
        <v>22442</v>
      </c>
      <c r="B1715" t="s">
        <v>8607</v>
      </c>
      <c r="C1715" t="s">
        <v>22429</v>
      </c>
      <c r="D1715" t="s">
        <v>22430</v>
      </c>
      <c r="E1715" t="s">
        <v>8642</v>
      </c>
      <c r="G1715" t="s">
        <v>22431</v>
      </c>
    </row>
    <row r="1716" spans="1:7">
      <c r="A1716" t="s">
        <v>22443</v>
      </c>
      <c r="B1716" t="s">
        <v>8607</v>
      </c>
      <c r="D1716" t="s">
        <v>22430</v>
      </c>
      <c r="E1716" t="s">
        <v>8642</v>
      </c>
      <c r="G1716" t="s">
        <v>22431</v>
      </c>
    </row>
    <row r="1717" spans="1:7">
      <c r="A1717" t="s">
        <v>22444</v>
      </c>
      <c r="B1717" t="s">
        <v>8607</v>
      </c>
      <c r="D1717" t="s">
        <v>22430</v>
      </c>
      <c r="E1717" t="s">
        <v>8642</v>
      </c>
      <c r="G1717" t="s">
        <v>22431</v>
      </c>
    </row>
    <row r="1718" spans="1:7">
      <c r="A1718" t="s">
        <v>22445</v>
      </c>
      <c r="B1718" t="s">
        <v>8607</v>
      </c>
      <c r="C1718" t="s">
        <v>22429</v>
      </c>
      <c r="D1718" t="s">
        <v>22430</v>
      </c>
      <c r="E1718" t="s">
        <v>8642</v>
      </c>
      <c r="G1718" t="s">
        <v>22431</v>
      </c>
    </row>
    <row r="1719" spans="1:7">
      <c r="A1719" t="s">
        <v>22446</v>
      </c>
      <c r="B1719" t="s">
        <v>8607</v>
      </c>
      <c r="C1719" t="s">
        <v>22429</v>
      </c>
      <c r="D1719" t="s">
        <v>22430</v>
      </c>
      <c r="E1719" t="s">
        <v>8642</v>
      </c>
      <c r="G1719" t="s">
        <v>22431</v>
      </c>
    </row>
    <row r="1720" spans="1:7">
      <c r="A1720" t="s">
        <v>22447</v>
      </c>
      <c r="B1720" t="s">
        <v>8607</v>
      </c>
      <c r="D1720" t="s">
        <v>22448</v>
      </c>
      <c r="E1720" t="s">
        <v>8642</v>
      </c>
      <c r="F1720" t="s">
        <v>8721</v>
      </c>
      <c r="G1720" t="s">
        <v>22449</v>
      </c>
    </row>
    <row r="1721" spans="1:7">
      <c r="A1721" t="s">
        <v>22450</v>
      </c>
      <c r="B1721" t="s">
        <v>8607</v>
      </c>
      <c r="D1721" t="s">
        <v>22448</v>
      </c>
      <c r="E1721" t="s">
        <v>8642</v>
      </c>
      <c r="F1721" t="s">
        <v>8721</v>
      </c>
      <c r="G1721" t="s">
        <v>22449</v>
      </c>
    </row>
    <row r="1722" spans="1:7">
      <c r="A1722" t="s">
        <v>22451</v>
      </c>
      <c r="B1722" t="s">
        <v>8607</v>
      </c>
      <c r="D1722" t="s">
        <v>22448</v>
      </c>
      <c r="E1722" t="s">
        <v>8642</v>
      </c>
      <c r="F1722" t="s">
        <v>8721</v>
      </c>
      <c r="G1722" t="s">
        <v>22449</v>
      </c>
    </row>
    <row r="1723" spans="1:7">
      <c r="A1723" t="s">
        <v>22452</v>
      </c>
      <c r="B1723" t="s">
        <v>8607</v>
      </c>
      <c r="D1723" t="s">
        <v>22448</v>
      </c>
      <c r="E1723" t="s">
        <v>8642</v>
      </c>
      <c r="F1723" t="s">
        <v>8721</v>
      </c>
      <c r="G1723" t="s">
        <v>22449</v>
      </c>
    </row>
    <row r="1724" spans="1:7">
      <c r="A1724" t="s">
        <v>22453</v>
      </c>
      <c r="B1724" t="s">
        <v>8607</v>
      </c>
      <c r="D1724" t="s">
        <v>22448</v>
      </c>
      <c r="E1724" t="s">
        <v>8642</v>
      </c>
      <c r="F1724" t="s">
        <v>8721</v>
      </c>
      <c r="G1724" t="s">
        <v>22449</v>
      </c>
    </row>
    <row r="1725" spans="1:7">
      <c r="A1725" t="s">
        <v>22454</v>
      </c>
      <c r="B1725" t="s">
        <v>8607</v>
      </c>
      <c r="D1725" t="s">
        <v>22448</v>
      </c>
      <c r="E1725" t="s">
        <v>8642</v>
      </c>
      <c r="F1725" t="s">
        <v>8721</v>
      </c>
      <c r="G1725" t="s">
        <v>22449</v>
      </c>
    </row>
    <row r="1726" spans="1:7">
      <c r="A1726" t="s">
        <v>22455</v>
      </c>
      <c r="B1726" t="s">
        <v>8626</v>
      </c>
      <c r="C1726" t="s">
        <v>22456</v>
      </c>
      <c r="D1726" t="s">
        <v>22457</v>
      </c>
      <c r="E1726" t="s">
        <v>8642</v>
      </c>
      <c r="F1726" t="s">
        <v>22458</v>
      </c>
      <c r="G1726" t="s">
        <v>22459</v>
      </c>
    </row>
    <row r="1727" spans="1:7">
      <c r="A1727" t="s">
        <v>22460</v>
      </c>
      <c r="B1727" t="s">
        <v>8607</v>
      </c>
      <c r="C1727" t="s">
        <v>10816</v>
      </c>
      <c r="D1727" t="s">
        <v>10817</v>
      </c>
      <c r="E1727" t="s">
        <v>8642</v>
      </c>
      <c r="F1727" t="s">
        <v>8975</v>
      </c>
      <c r="G1727" t="s">
        <v>10818</v>
      </c>
    </row>
    <row r="1728" spans="1:7">
      <c r="A1728" t="s">
        <v>22461</v>
      </c>
      <c r="B1728" t="s">
        <v>8607</v>
      </c>
      <c r="C1728" t="s">
        <v>10816</v>
      </c>
      <c r="D1728" t="s">
        <v>10817</v>
      </c>
      <c r="E1728" t="s">
        <v>8642</v>
      </c>
      <c r="F1728" t="s">
        <v>8975</v>
      </c>
      <c r="G1728" t="s">
        <v>10818</v>
      </c>
    </row>
    <row r="1729" spans="1:7">
      <c r="A1729" t="s">
        <v>22462</v>
      </c>
      <c r="B1729" t="s">
        <v>8607</v>
      </c>
      <c r="C1729" t="s">
        <v>10816</v>
      </c>
      <c r="D1729" t="s">
        <v>10817</v>
      </c>
      <c r="E1729" t="s">
        <v>8642</v>
      </c>
      <c r="F1729" t="s">
        <v>8975</v>
      </c>
      <c r="G1729" t="s">
        <v>10818</v>
      </c>
    </row>
    <row r="1730" spans="1:7">
      <c r="A1730" t="s">
        <v>22463</v>
      </c>
      <c r="B1730" t="s">
        <v>8607</v>
      </c>
      <c r="C1730" t="s">
        <v>10816</v>
      </c>
      <c r="D1730" t="s">
        <v>10817</v>
      </c>
      <c r="E1730" t="s">
        <v>8642</v>
      </c>
      <c r="F1730" t="s">
        <v>8975</v>
      </c>
      <c r="G1730" t="s">
        <v>17852</v>
      </c>
    </row>
    <row r="1731" spans="1:7">
      <c r="A1731" t="s">
        <v>22464</v>
      </c>
      <c r="B1731" t="s">
        <v>8607</v>
      </c>
      <c r="C1731" t="s">
        <v>10816</v>
      </c>
      <c r="D1731" t="s">
        <v>10817</v>
      </c>
      <c r="E1731" t="s">
        <v>8642</v>
      </c>
      <c r="F1731" t="s">
        <v>8975</v>
      </c>
      <c r="G1731" t="s">
        <v>17852</v>
      </c>
    </row>
    <row r="1732" spans="1:7">
      <c r="A1732" t="s">
        <v>22465</v>
      </c>
      <c r="B1732" t="s">
        <v>8607</v>
      </c>
      <c r="C1732" t="s">
        <v>10816</v>
      </c>
      <c r="D1732" t="s">
        <v>10817</v>
      </c>
      <c r="E1732" t="s">
        <v>8642</v>
      </c>
      <c r="F1732" t="s">
        <v>8975</v>
      </c>
      <c r="G1732" t="s">
        <v>22466</v>
      </c>
    </row>
    <row r="1733" spans="1:7">
      <c r="A1733" t="s">
        <v>22467</v>
      </c>
      <c r="B1733" t="s">
        <v>8607</v>
      </c>
      <c r="C1733" t="s">
        <v>10816</v>
      </c>
      <c r="D1733" t="s">
        <v>10817</v>
      </c>
      <c r="E1733" t="s">
        <v>8642</v>
      </c>
      <c r="F1733" t="s">
        <v>8975</v>
      </c>
      <c r="G1733" t="s">
        <v>17852</v>
      </c>
    </row>
    <row r="1734" spans="1:7">
      <c r="A1734" t="s">
        <v>22468</v>
      </c>
      <c r="B1734" t="s">
        <v>8607</v>
      </c>
      <c r="C1734" t="s">
        <v>10816</v>
      </c>
      <c r="D1734" t="s">
        <v>10817</v>
      </c>
      <c r="E1734" t="s">
        <v>8642</v>
      </c>
      <c r="F1734" t="s">
        <v>8975</v>
      </c>
      <c r="G1734" t="s">
        <v>17852</v>
      </c>
    </row>
    <row r="1735" spans="1:7">
      <c r="A1735" t="s">
        <v>22469</v>
      </c>
      <c r="B1735" t="s">
        <v>8607</v>
      </c>
      <c r="C1735" t="s">
        <v>10816</v>
      </c>
      <c r="D1735" t="s">
        <v>10817</v>
      </c>
      <c r="E1735" t="s">
        <v>8642</v>
      </c>
      <c r="F1735" t="s">
        <v>8975</v>
      </c>
      <c r="G1735" t="s">
        <v>22470</v>
      </c>
    </row>
    <row r="1736" spans="1:7">
      <c r="A1736" t="s">
        <v>22471</v>
      </c>
      <c r="B1736" t="s">
        <v>8607</v>
      </c>
      <c r="C1736" t="s">
        <v>22472</v>
      </c>
      <c r="D1736" t="s">
        <v>10817</v>
      </c>
      <c r="E1736" t="s">
        <v>8642</v>
      </c>
      <c r="F1736" t="s">
        <v>8975</v>
      </c>
      <c r="G1736" t="s">
        <v>17852</v>
      </c>
    </row>
    <row r="1737" spans="1:7">
      <c r="A1737" t="s">
        <v>22473</v>
      </c>
      <c r="B1737" t="s">
        <v>8607</v>
      </c>
      <c r="D1737" t="s">
        <v>10817</v>
      </c>
      <c r="E1737" t="s">
        <v>8642</v>
      </c>
      <c r="F1737" t="s">
        <v>8975</v>
      </c>
      <c r="G1737" t="s">
        <v>22474</v>
      </c>
    </row>
    <row r="1738" spans="1:7">
      <c r="A1738" t="s">
        <v>22475</v>
      </c>
      <c r="B1738" t="s">
        <v>8626</v>
      </c>
      <c r="C1738" t="s">
        <v>10816</v>
      </c>
      <c r="D1738" t="s">
        <v>10817</v>
      </c>
      <c r="E1738" t="s">
        <v>8642</v>
      </c>
      <c r="F1738" t="s">
        <v>8975</v>
      </c>
      <c r="G1738" t="s">
        <v>22476</v>
      </c>
    </row>
    <row r="1739" spans="1:7">
      <c r="A1739" t="s">
        <v>22477</v>
      </c>
      <c r="B1739" t="s">
        <v>8607</v>
      </c>
      <c r="C1739" t="s">
        <v>10816</v>
      </c>
      <c r="D1739" t="s">
        <v>10817</v>
      </c>
      <c r="E1739" t="s">
        <v>8642</v>
      </c>
      <c r="F1739" t="s">
        <v>8975</v>
      </c>
      <c r="G1739" t="s">
        <v>22474</v>
      </c>
    </row>
    <row r="1740" spans="1:7">
      <c r="A1740" t="s">
        <v>22478</v>
      </c>
      <c r="B1740" t="s">
        <v>8607</v>
      </c>
      <c r="C1740" t="s">
        <v>22479</v>
      </c>
      <c r="D1740" t="s">
        <v>10817</v>
      </c>
      <c r="E1740" t="s">
        <v>8642</v>
      </c>
      <c r="F1740" t="s">
        <v>8975</v>
      </c>
      <c r="G1740" t="s">
        <v>22480</v>
      </c>
    </row>
    <row r="1741" spans="1:7">
      <c r="A1741" t="s">
        <v>22481</v>
      </c>
      <c r="B1741" t="s">
        <v>8607</v>
      </c>
      <c r="C1741" t="s">
        <v>10816</v>
      </c>
      <c r="D1741" t="s">
        <v>10817</v>
      </c>
      <c r="E1741" t="s">
        <v>8642</v>
      </c>
      <c r="F1741" t="s">
        <v>8975</v>
      </c>
      <c r="G1741" t="s">
        <v>22470</v>
      </c>
    </row>
    <row r="1742" spans="1:7">
      <c r="A1742" t="s">
        <v>22482</v>
      </c>
      <c r="B1742" t="s">
        <v>8607</v>
      </c>
      <c r="C1742" t="s">
        <v>10816</v>
      </c>
      <c r="D1742" t="s">
        <v>10817</v>
      </c>
      <c r="E1742" t="s">
        <v>8642</v>
      </c>
      <c r="F1742" t="s">
        <v>8975</v>
      </c>
      <c r="G1742" t="s">
        <v>17852</v>
      </c>
    </row>
    <row r="1743" spans="1:7">
      <c r="A1743" t="s">
        <v>22483</v>
      </c>
      <c r="B1743" t="s">
        <v>8607</v>
      </c>
      <c r="C1743" t="s">
        <v>10816</v>
      </c>
      <c r="D1743" t="s">
        <v>10817</v>
      </c>
      <c r="E1743" t="s">
        <v>8642</v>
      </c>
      <c r="F1743" t="s">
        <v>8975</v>
      </c>
      <c r="G1743" t="s">
        <v>17852</v>
      </c>
    </row>
    <row r="1744" spans="1:7">
      <c r="A1744" t="s">
        <v>22484</v>
      </c>
      <c r="B1744" t="s">
        <v>8607</v>
      </c>
      <c r="C1744" t="s">
        <v>22485</v>
      </c>
      <c r="D1744" t="s">
        <v>10817</v>
      </c>
      <c r="E1744" t="s">
        <v>8642</v>
      </c>
      <c r="F1744" t="s">
        <v>8975</v>
      </c>
      <c r="G1744" t="s">
        <v>22486</v>
      </c>
    </row>
    <row r="1745" spans="1:7">
      <c r="A1745" t="s">
        <v>22487</v>
      </c>
      <c r="B1745" t="s">
        <v>8607</v>
      </c>
      <c r="C1745" t="s">
        <v>22488</v>
      </c>
      <c r="D1745" t="s">
        <v>10817</v>
      </c>
      <c r="E1745" t="s">
        <v>8642</v>
      </c>
      <c r="F1745" t="s">
        <v>8975</v>
      </c>
      <c r="G1745" t="s">
        <v>22470</v>
      </c>
    </row>
    <row r="1746" spans="1:7">
      <c r="A1746" t="s">
        <v>22489</v>
      </c>
      <c r="B1746" t="s">
        <v>8607</v>
      </c>
      <c r="C1746" t="s">
        <v>10816</v>
      </c>
      <c r="D1746" t="s">
        <v>10817</v>
      </c>
      <c r="E1746" t="s">
        <v>8642</v>
      </c>
      <c r="F1746" t="s">
        <v>8975</v>
      </c>
      <c r="G1746" t="s">
        <v>17852</v>
      </c>
    </row>
    <row r="1747" spans="1:7">
      <c r="A1747" t="s">
        <v>22490</v>
      </c>
      <c r="B1747" t="s">
        <v>8607</v>
      </c>
      <c r="C1747" t="s">
        <v>22472</v>
      </c>
      <c r="D1747" t="s">
        <v>10817</v>
      </c>
      <c r="E1747" t="s">
        <v>8642</v>
      </c>
      <c r="F1747" t="s">
        <v>8975</v>
      </c>
      <c r="G1747" t="s">
        <v>22470</v>
      </c>
    </row>
    <row r="1748" spans="1:7">
      <c r="A1748" t="s">
        <v>22491</v>
      </c>
      <c r="B1748" t="s">
        <v>8607</v>
      </c>
      <c r="C1748" t="s">
        <v>10816</v>
      </c>
      <c r="D1748" t="s">
        <v>10817</v>
      </c>
      <c r="E1748" t="s">
        <v>8642</v>
      </c>
      <c r="F1748" t="s">
        <v>8975</v>
      </c>
      <c r="G1748" t="s">
        <v>17852</v>
      </c>
    </row>
    <row r="1749" spans="1:7">
      <c r="A1749" t="s">
        <v>22492</v>
      </c>
      <c r="B1749" t="s">
        <v>8607</v>
      </c>
      <c r="D1749" t="s">
        <v>10817</v>
      </c>
      <c r="E1749" t="s">
        <v>8642</v>
      </c>
      <c r="F1749" t="s">
        <v>8975</v>
      </c>
      <c r="G1749" t="s">
        <v>22493</v>
      </c>
    </row>
    <row r="1750" spans="1:7">
      <c r="A1750" t="s">
        <v>22494</v>
      </c>
      <c r="B1750" t="s">
        <v>8626</v>
      </c>
      <c r="C1750" t="s">
        <v>10816</v>
      </c>
      <c r="D1750" t="s">
        <v>10817</v>
      </c>
      <c r="E1750" t="s">
        <v>8642</v>
      </c>
      <c r="F1750" t="s">
        <v>8975</v>
      </c>
      <c r="G1750" t="s">
        <v>22476</v>
      </c>
    </row>
    <row r="1751" spans="1:7">
      <c r="A1751" t="s">
        <v>22495</v>
      </c>
      <c r="B1751" t="s">
        <v>8607</v>
      </c>
      <c r="C1751" t="s">
        <v>22485</v>
      </c>
      <c r="D1751" t="s">
        <v>10817</v>
      </c>
      <c r="E1751" t="s">
        <v>8642</v>
      </c>
      <c r="F1751" t="s">
        <v>8975</v>
      </c>
      <c r="G1751" t="s">
        <v>22496</v>
      </c>
    </row>
    <row r="1752" spans="1:7">
      <c r="A1752" t="s">
        <v>22497</v>
      </c>
      <c r="B1752" t="s">
        <v>8607</v>
      </c>
      <c r="C1752" t="s">
        <v>22485</v>
      </c>
      <c r="D1752" t="s">
        <v>10817</v>
      </c>
      <c r="E1752" t="s">
        <v>8642</v>
      </c>
      <c r="F1752" t="s">
        <v>8975</v>
      </c>
      <c r="G1752" t="s">
        <v>22466</v>
      </c>
    </row>
    <row r="1753" spans="1:7">
      <c r="A1753" t="s">
        <v>22498</v>
      </c>
      <c r="B1753" t="s">
        <v>8607</v>
      </c>
      <c r="C1753" t="s">
        <v>22208</v>
      </c>
      <c r="D1753" t="s">
        <v>10817</v>
      </c>
      <c r="E1753" t="s">
        <v>8642</v>
      </c>
      <c r="F1753" t="s">
        <v>8975</v>
      </c>
      <c r="G1753" t="s">
        <v>22470</v>
      </c>
    </row>
    <row r="1754" spans="1:7">
      <c r="A1754" t="s">
        <v>22499</v>
      </c>
      <c r="B1754" t="s">
        <v>8607</v>
      </c>
      <c r="C1754" t="s">
        <v>10816</v>
      </c>
      <c r="D1754" t="s">
        <v>10817</v>
      </c>
      <c r="E1754" t="s">
        <v>8642</v>
      </c>
      <c r="F1754" t="s">
        <v>8975</v>
      </c>
      <c r="G1754" t="s">
        <v>22470</v>
      </c>
    </row>
    <row r="1755" spans="1:7">
      <c r="A1755" t="s">
        <v>22500</v>
      </c>
      <c r="B1755" t="s">
        <v>8607</v>
      </c>
      <c r="D1755" t="s">
        <v>10817</v>
      </c>
      <c r="E1755" t="s">
        <v>8642</v>
      </c>
      <c r="F1755" t="s">
        <v>8975</v>
      </c>
      <c r="G1755" t="s">
        <v>22466</v>
      </c>
    </row>
    <row r="1756" spans="1:7">
      <c r="A1756" t="s">
        <v>22501</v>
      </c>
      <c r="B1756" t="s">
        <v>8607</v>
      </c>
      <c r="C1756" t="s">
        <v>10816</v>
      </c>
      <c r="D1756" t="s">
        <v>10817</v>
      </c>
      <c r="E1756" t="s">
        <v>8642</v>
      </c>
      <c r="F1756" t="s">
        <v>8975</v>
      </c>
      <c r="G1756" t="s">
        <v>17852</v>
      </c>
    </row>
    <row r="1757" spans="1:7">
      <c r="A1757" t="s">
        <v>22502</v>
      </c>
      <c r="B1757" t="s">
        <v>8607</v>
      </c>
      <c r="C1757" t="s">
        <v>10816</v>
      </c>
      <c r="D1757" t="s">
        <v>10817</v>
      </c>
      <c r="E1757" t="s">
        <v>8642</v>
      </c>
      <c r="F1757" t="s">
        <v>8975</v>
      </c>
      <c r="G1757" t="s">
        <v>22496</v>
      </c>
    </row>
    <row r="1758" spans="1:7">
      <c r="A1758" t="s">
        <v>22503</v>
      </c>
      <c r="B1758" t="s">
        <v>8607</v>
      </c>
      <c r="C1758" t="s">
        <v>22472</v>
      </c>
      <c r="D1758" t="s">
        <v>10817</v>
      </c>
      <c r="E1758" t="s">
        <v>8642</v>
      </c>
      <c r="F1758" t="s">
        <v>8975</v>
      </c>
      <c r="G1758" t="s">
        <v>22470</v>
      </c>
    </row>
    <row r="1759" spans="1:7">
      <c r="A1759" t="s">
        <v>22504</v>
      </c>
      <c r="B1759" t="s">
        <v>8607</v>
      </c>
      <c r="C1759" t="s">
        <v>10816</v>
      </c>
      <c r="D1759" t="s">
        <v>10817</v>
      </c>
      <c r="E1759" t="s">
        <v>8642</v>
      </c>
      <c r="F1759" t="s">
        <v>8975</v>
      </c>
      <c r="G1759" t="s">
        <v>17852</v>
      </c>
    </row>
    <row r="1760" spans="1:7">
      <c r="A1760" t="s">
        <v>22505</v>
      </c>
      <c r="B1760" t="s">
        <v>8607</v>
      </c>
      <c r="C1760" t="s">
        <v>10816</v>
      </c>
      <c r="D1760" t="s">
        <v>10817</v>
      </c>
      <c r="E1760" t="s">
        <v>8642</v>
      </c>
      <c r="F1760" t="s">
        <v>8975</v>
      </c>
      <c r="G1760" t="s">
        <v>17852</v>
      </c>
    </row>
    <row r="1761" spans="1:7">
      <c r="A1761" t="s">
        <v>22506</v>
      </c>
      <c r="B1761" t="s">
        <v>8607</v>
      </c>
      <c r="C1761" t="s">
        <v>22507</v>
      </c>
      <c r="D1761" t="s">
        <v>10817</v>
      </c>
      <c r="E1761" t="s">
        <v>8642</v>
      </c>
      <c r="F1761" t="s">
        <v>8975</v>
      </c>
      <c r="G1761" t="s">
        <v>22496</v>
      </c>
    </row>
    <row r="1762" spans="1:7">
      <c r="A1762" t="s">
        <v>22508</v>
      </c>
      <c r="B1762" t="s">
        <v>8607</v>
      </c>
      <c r="C1762" t="s">
        <v>10816</v>
      </c>
      <c r="D1762" t="s">
        <v>10817</v>
      </c>
      <c r="E1762" t="s">
        <v>8642</v>
      </c>
      <c r="F1762" t="s">
        <v>8975</v>
      </c>
      <c r="G1762" t="s">
        <v>10818</v>
      </c>
    </row>
    <row r="1763" spans="1:7">
      <c r="A1763" t="s">
        <v>22509</v>
      </c>
      <c r="B1763" t="s">
        <v>8626</v>
      </c>
      <c r="C1763" t="s">
        <v>10816</v>
      </c>
      <c r="D1763" t="s">
        <v>10817</v>
      </c>
      <c r="E1763" t="s">
        <v>8642</v>
      </c>
      <c r="F1763" t="s">
        <v>8975</v>
      </c>
      <c r="G1763" t="s">
        <v>22476</v>
      </c>
    </row>
    <row r="1764" spans="1:7">
      <c r="A1764" t="s">
        <v>22510</v>
      </c>
      <c r="B1764" t="s">
        <v>8607</v>
      </c>
      <c r="C1764" t="s">
        <v>22472</v>
      </c>
      <c r="D1764" t="s">
        <v>10817</v>
      </c>
      <c r="E1764" t="s">
        <v>8642</v>
      </c>
      <c r="F1764" t="s">
        <v>8975</v>
      </c>
      <c r="G1764" t="s">
        <v>17852</v>
      </c>
    </row>
    <row r="1765" spans="1:7">
      <c r="A1765" t="s">
        <v>22511</v>
      </c>
      <c r="B1765" t="s">
        <v>8607</v>
      </c>
      <c r="C1765" t="s">
        <v>10816</v>
      </c>
      <c r="D1765" t="s">
        <v>10817</v>
      </c>
      <c r="E1765" t="s">
        <v>8642</v>
      </c>
      <c r="F1765" t="s">
        <v>8975</v>
      </c>
      <c r="G1765" t="s">
        <v>22466</v>
      </c>
    </row>
    <row r="1766" spans="1:7">
      <c r="A1766" t="s">
        <v>22512</v>
      </c>
      <c r="B1766" t="s">
        <v>8607</v>
      </c>
      <c r="C1766" t="s">
        <v>10816</v>
      </c>
      <c r="D1766" t="s">
        <v>10817</v>
      </c>
      <c r="E1766" t="s">
        <v>8642</v>
      </c>
      <c r="F1766" t="s">
        <v>8975</v>
      </c>
      <c r="G1766" t="s">
        <v>17852</v>
      </c>
    </row>
    <row r="1767" spans="1:7">
      <c r="A1767" t="s">
        <v>22513</v>
      </c>
      <c r="B1767" t="s">
        <v>8607</v>
      </c>
      <c r="C1767" t="s">
        <v>10816</v>
      </c>
      <c r="D1767" t="s">
        <v>10817</v>
      </c>
      <c r="E1767" t="s">
        <v>8642</v>
      </c>
      <c r="F1767" t="s">
        <v>8975</v>
      </c>
      <c r="G1767" t="s">
        <v>17852</v>
      </c>
    </row>
    <row r="1768" spans="1:7">
      <c r="A1768" t="s">
        <v>22514</v>
      </c>
      <c r="B1768" t="s">
        <v>8607</v>
      </c>
      <c r="D1768" t="s">
        <v>10817</v>
      </c>
      <c r="E1768" t="s">
        <v>8642</v>
      </c>
      <c r="F1768" t="s">
        <v>8975</v>
      </c>
      <c r="G1768" t="s">
        <v>22515</v>
      </c>
    </row>
    <row r="1769" spans="1:7">
      <c r="A1769" t="s">
        <v>22516</v>
      </c>
      <c r="B1769" t="s">
        <v>8607</v>
      </c>
      <c r="C1769" t="s">
        <v>22208</v>
      </c>
      <c r="D1769" t="s">
        <v>10817</v>
      </c>
      <c r="E1769" t="s">
        <v>8642</v>
      </c>
      <c r="F1769" t="s">
        <v>8975</v>
      </c>
      <c r="G1769" t="s">
        <v>22470</v>
      </c>
    </row>
    <row r="1770" spans="1:7">
      <c r="A1770" t="s">
        <v>22517</v>
      </c>
      <c r="B1770" t="s">
        <v>8607</v>
      </c>
      <c r="C1770" t="s">
        <v>10816</v>
      </c>
      <c r="D1770" t="s">
        <v>10817</v>
      </c>
      <c r="E1770" t="s">
        <v>8642</v>
      </c>
      <c r="F1770" t="s">
        <v>8975</v>
      </c>
      <c r="G1770" t="s">
        <v>22518</v>
      </c>
    </row>
    <row r="1771" spans="1:7">
      <c r="A1771" t="s">
        <v>22519</v>
      </c>
      <c r="B1771" t="s">
        <v>8626</v>
      </c>
      <c r="C1771" t="s">
        <v>22208</v>
      </c>
      <c r="D1771" t="s">
        <v>10817</v>
      </c>
      <c r="E1771" t="s">
        <v>8642</v>
      </c>
      <c r="F1771" t="s">
        <v>8975</v>
      </c>
      <c r="G1771" t="s">
        <v>22476</v>
      </c>
    </row>
    <row r="1772" spans="1:7">
      <c r="A1772" t="s">
        <v>22520</v>
      </c>
      <c r="B1772" t="s">
        <v>8607</v>
      </c>
      <c r="C1772" t="s">
        <v>10816</v>
      </c>
      <c r="D1772" t="s">
        <v>10817</v>
      </c>
      <c r="E1772" t="s">
        <v>8642</v>
      </c>
      <c r="F1772" t="s">
        <v>8975</v>
      </c>
      <c r="G1772" t="s">
        <v>17852</v>
      </c>
    </row>
    <row r="1773" spans="1:7">
      <c r="A1773" t="s">
        <v>22521</v>
      </c>
      <c r="B1773" t="s">
        <v>8607</v>
      </c>
      <c r="C1773" t="s">
        <v>10816</v>
      </c>
      <c r="D1773" t="s">
        <v>10817</v>
      </c>
      <c r="E1773" t="s">
        <v>8642</v>
      </c>
      <c r="F1773" t="s">
        <v>8975</v>
      </c>
      <c r="G1773" t="s">
        <v>22486</v>
      </c>
    </row>
    <row r="1774" spans="1:7">
      <c r="A1774" t="s">
        <v>22522</v>
      </c>
      <c r="B1774" t="s">
        <v>8607</v>
      </c>
      <c r="C1774" t="s">
        <v>10816</v>
      </c>
      <c r="D1774" t="s">
        <v>10817</v>
      </c>
      <c r="E1774" t="s">
        <v>8642</v>
      </c>
      <c r="F1774" t="s">
        <v>8975</v>
      </c>
      <c r="G1774" t="s">
        <v>10818</v>
      </c>
    </row>
    <row r="1775" spans="1:7">
      <c r="A1775" t="s">
        <v>22523</v>
      </c>
      <c r="B1775" t="s">
        <v>8607</v>
      </c>
      <c r="D1775" t="s">
        <v>10817</v>
      </c>
      <c r="E1775" t="s">
        <v>8642</v>
      </c>
      <c r="F1775" t="s">
        <v>8975</v>
      </c>
      <c r="G1775" t="s">
        <v>17852</v>
      </c>
    </row>
    <row r="1776" spans="1:7">
      <c r="A1776" t="s">
        <v>22524</v>
      </c>
      <c r="B1776" t="s">
        <v>8607</v>
      </c>
      <c r="C1776" t="s">
        <v>22133</v>
      </c>
      <c r="D1776" t="s">
        <v>10817</v>
      </c>
      <c r="E1776" t="s">
        <v>8642</v>
      </c>
      <c r="F1776" t="s">
        <v>8975</v>
      </c>
      <c r="G1776" t="s">
        <v>17852</v>
      </c>
    </row>
    <row r="1777" spans="1:7">
      <c r="A1777" t="s">
        <v>22525</v>
      </c>
      <c r="B1777" t="s">
        <v>8607</v>
      </c>
      <c r="C1777" t="s">
        <v>10816</v>
      </c>
      <c r="D1777" t="s">
        <v>10817</v>
      </c>
      <c r="E1777" t="s">
        <v>8642</v>
      </c>
      <c r="F1777" t="s">
        <v>8975</v>
      </c>
      <c r="G1777" t="s">
        <v>17852</v>
      </c>
    </row>
    <row r="1778" spans="1:7">
      <c r="A1778" t="s">
        <v>22526</v>
      </c>
      <c r="B1778" t="s">
        <v>8607</v>
      </c>
      <c r="C1778" t="s">
        <v>10816</v>
      </c>
      <c r="D1778" t="s">
        <v>10817</v>
      </c>
      <c r="E1778" t="s">
        <v>8642</v>
      </c>
      <c r="F1778" t="s">
        <v>8975</v>
      </c>
      <c r="G1778" t="s">
        <v>17852</v>
      </c>
    </row>
    <row r="1779" spans="1:7">
      <c r="A1779" t="s">
        <v>22527</v>
      </c>
      <c r="B1779" t="s">
        <v>8607</v>
      </c>
      <c r="C1779" t="s">
        <v>10816</v>
      </c>
      <c r="D1779" t="s">
        <v>10817</v>
      </c>
      <c r="E1779" t="s">
        <v>8642</v>
      </c>
      <c r="F1779" t="s">
        <v>8975</v>
      </c>
      <c r="G1779" t="s">
        <v>22470</v>
      </c>
    </row>
    <row r="1780" spans="1:7">
      <c r="A1780" t="s">
        <v>22528</v>
      </c>
      <c r="B1780" t="s">
        <v>8607</v>
      </c>
      <c r="C1780" t="s">
        <v>10816</v>
      </c>
      <c r="D1780" t="s">
        <v>10817</v>
      </c>
      <c r="E1780" t="s">
        <v>8642</v>
      </c>
      <c r="F1780" t="s">
        <v>8975</v>
      </c>
      <c r="G1780" t="s">
        <v>17852</v>
      </c>
    </row>
    <row r="1781" spans="1:7">
      <c r="A1781" t="s">
        <v>22529</v>
      </c>
      <c r="B1781" t="s">
        <v>8607</v>
      </c>
      <c r="C1781" t="s">
        <v>10816</v>
      </c>
      <c r="D1781" t="s">
        <v>22530</v>
      </c>
      <c r="E1781" t="s">
        <v>8642</v>
      </c>
      <c r="F1781" t="s">
        <v>8975</v>
      </c>
      <c r="G1781" t="s">
        <v>22470</v>
      </c>
    </row>
    <row r="1782" spans="1:7">
      <c r="A1782" t="s">
        <v>22531</v>
      </c>
      <c r="B1782" t="s">
        <v>8626</v>
      </c>
      <c r="C1782" t="s">
        <v>10816</v>
      </c>
      <c r="D1782" t="s">
        <v>22532</v>
      </c>
      <c r="E1782" t="s">
        <v>8642</v>
      </c>
      <c r="F1782" t="s">
        <v>8975</v>
      </c>
      <c r="G1782" t="s">
        <v>22533</v>
      </c>
    </row>
    <row r="1783" spans="1:7">
      <c r="A1783" t="s">
        <v>22534</v>
      </c>
      <c r="B1783" t="s">
        <v>8626</v>
      </c>
      <c r="C1783" t="s">
        <v>10816</v>
      </c>
      <c r="D1783" t="s">
        <v>22532</v>
      </c>
      <c r="E1783" t="s">
        <v>8642</v>
      </c>
      <c r="F1783" t="s">
        <v>8975</v>
      </c>
      <c r="G1783" t="s">
        <v>22533</v>
      </c>
    </row>
    <row r="1784" spans="1:7">
      <c r="A1784" t="s">
        <v>22535</v>
      </c>
      <c r="B1784" t="s">
        <v>8626</v>
      </c>
      <c r="C1784" t="s">
        <v>10816</v>
      </c>
      <c r="D1784" t="s">
        <v>22532</v>
      </c>
      <c r="E1784" t="s">
        <v>8642</v>
      </c>
      <c r="F1784" t="s">
        <v>8975</v>
      </c>
      <c r="G1784" t="s">
        <v>22536</v>
      </c>
    </row>
    <row r="1785" spans="1:7">
      <c r="A1785" t="s">
        <v>22537</v>
      </c>
      <c r="B1785" t="s">
        <v>8626</v>
      </c>
      <c r="D1785" t="s">
        <v>22538</v>
      </c>
      <c r="E1785" t="s">
        <v>8642</v>
      </c>
      <c r="F1785" t="s">
        <v>17760</v>
      </c>
      <c r="G1785" t="s">
        <v>22539</v>
      </c>
    </row>
    <row r="1786" spans="1:7">
      <c r="A1786" t="s">
        <v>22540</v>
      </c>
      <c r="B1786" t="s">
        <v>8607</v>
      </c>
      <c r="D1786" t="s">
        <v>22538</v>
      </c>
      <c r="E1786" t="s">
        <v>8642</v>
      </c>
      <c r="F1786" t="s">
        <v>17310</v>
      </c>
      <c r="G1786" t="s">
        <v>22541</v>
      </c>
    </row>
    <row r="1787" spans="1:7">
      <c r="A1787" t="s">
        <v>22542</v>
      </c>
      <c r="B1787" t="s">
        <v>8626</v>
      </c>
      <c r="C1787" t="s">
        <v>22543</v>
      </c>
      <c r="D1787" t="s">
        <v>22544</v>
      </c>
      <c r="E1787" t="s">
        <v>8642</v>
      </c>
      <c r="F1787" t="s">
        <v>9145</v>
      </c>
      <c r="G1787" t="s">
        <v>22545</v>
      </c>
    </row>
    <row r="1788" spans="1:7">
      <c r="A1788" t="s">
        <v>22546</v>
      </c>
      <c r="B1788" t="s">
        <v>8626</v>
      </c>
      <c r="C1788" t="s">
        <v>22543</v>
      </c>
      <c r="D1788" t="s">
        <v>22547</v>
      </c>
      <c r="E1788" t="s">
        <v>8642</v>
      </c>
      <c r="F1788" t="s">
        <v>9145</v>
      </c>
      <c r="G1788" t="s">
        <v>22548</v>
      </c>
    </row>
    <row r="1789" spans="1:7">
      <c r="A1789" t="s">
        <v>22549</v>
      </c>
      <c r="B1789" t="s">
        <v>8607</v>
      </c>
      <c r="C1789" t="s">
        <v>10816</v>
      </c>
      <c r="D1789" t="s">
        <v>22550</v>
      </c>
      <c r="E1789" t="s">
        <v>8642</v>
      </c>
      <c r="F1789" t="s">
        <v>8975</v>
      </c>
      <c r="G1789" t="s">
        <v>22470</v>
      </c>
    </row>
    <row r="1790" spans="1:7">
      <c r="A1790" t="s">
        <v>22551</v>
      </c>
      <c r="B1790" t="s">
        <v>8607</v>
      </c>
      <c r="C1790" t="s">
        <v>22485</v>
      </c>
      <c r="D1790" t="s">
        <v>22550</v>
      </c>
      <c r="E1790" t="s">
        <v>8642</v>
      </c>
      <c r="F1790" t="s">
        <v>8975</v>
      </c>
      <c r="G1790" t="s">
        <v>22466</v>
      </c>
    </row>
    <row r="1791" spans="1:7">
      <c r="A1791" t="s">
        <v>22552</v>
      </c>
      <c r="B1791" t="s">
        <v>8607</v>
      </c>
      <c r="C1791" t="s">
        <v>10816</v>
      </c>
      <c r="D1791" t="s">
        <v>22550</v>
      </c>
      <c r="E1791" t="s">
        <v>8642</v>
      </c>
      <c r="F1791" t="s">
        <v>8975</v>
      </c>
      <c r="G1791" t="s">
        <v>17852</v>
      </c>
    </row>
    <row r="1792" spans="1:7">
      <c r="A1792" t="s">
        <v>22553</v>
      </c>
      <c r="B1792" t="s">
        <v>8607</v>
      </c>
      <c r="C1792" t="s">
        <v>10816</v>
      </c>
      <c r="D1792" t="s">
        <v>22550</v>
      </c>
      <c r="E1792" t="s">
        <v>8642</v>
      </c>
      <c r="F1792" t="s">
        <v>8975</v>
      </c>
      <c r="G1792" t="s">
        <v>22486</v>
      </c>
    </row>
    <row r="1793" spans="1:7">
      <c r="A1793" t="s">
        <v>22554</v>
      </c>
      <c r="B1793" t="s">
        <v>8607</v>
      </c>
      <c r="C1793" t="s">
        <v>10816</v>
      </c>
      <c r="D1793" t="s">
        <v>22550</v>
      </c>
      <c r="E1793" t="s">
        <v>8642</v>
      </c>
      <c r="F1793" t="s">
        <v>8975</v>
      </c>
      <c r="G1793" t="s">
        <v>22470</v>
      </c>
    </row>
    <row r="1794" spans="1:7">
      <c r="A1794" t="s">
        <v>22555</v>
      </c>
      <c r="B1794" t="s">
        <v>8607</v>
      </c>
      <c r="C1794" t="s">
        <v>22488</v>
      </c>
      <c r="D1794" t="s">
        <v>22550</v>
      </c>
      <c r="E1794" t="s">
        <v>8642</v>
      </c>
      <c r="F1794" t="s">
        <v>8975</v>
      </c>
      <c r="G1794" t="s">
        <v>17852</v>
      </c>
    </row>
    <row r="1795" spans="1:7">
      <c r="A1795" t="s">
        <v>22556</v>
      </c>
      <c r="B1795" t="s">
        <v>8607</v>
      </c>
      <c r="C1795" t="s">
        <v>10816</v>
      </c>
      <c r="D1795" t="s">
        <v>22550</v>
      </c>
      <c r="E1795" t="s">
        <v>8642</v>
      </c>
      <c r="F1795" t="s">
        <v>8975</v>
      </c>
      <c r="G1795" t="s">
        <v>22470</v>
      </c>
    </row>
    <row r="1796" spans="1:7">
      <c r="A1796" t="s">
        <v>22557</v>
      </c>
      <c r="B1796" t="s">
        <v>8607</v>
      </c>
      <c r="C1796" t="s">
        <v>10816</v>
      </c>
      <c r="D1796" t="s">
        <v>22550</v>
      </c>
      <c r="E1796" t="s">
        <v>8642</v>
      </c>
      <c r="F1796" t="s">
        <v>8975</v>
      </c>
      <c r="G1796" t="s">
        <v>22486</v>
      </c>
    </row>
    <row r="1797" spans="1:7">
      <c r="A1797" t="s">
        <v>22558</v>
      </c>
      <c r="B1797" t="s">
        <v>8607</v>
      </c>
      <c r="C1797" t="s">
        <v>10816</v>
      </c>
      <c r="D1797" t="s">
        <v>22550</v>
      </c>
      <c r="E1797" t="s">
        <v>8642</v>
      </c>
      <c r="F1797" t="s">
        <v>8975</v>
      </c>
      <c r="G1797" t="s">
        <v>22470</v>
      </c>
    </row>
    <row r="1798" spans="1:7">
      <c r="A1798" t="s">
        <v>22559</v>
      </c>
      <c r="B1798" t="s">
        <v>8607</v>
      </c>
      <c r="C1798" t="s">
        <v>10816</v>
      </c>
      <c r="D1798" t="s">
        <v>22550</v>
      </c>
      <c r="E1798" t="s">
        <v>8642</v>
      </c>
      <c r="F1798" t="s">
        <v>8975</v>
      </c>
      <c r="G1798" t="s">
        <v>17852</v>
      </c>
    </row>
    <row r="1799" spans="1:7">
      <c r="A1799" t="s">
        <v>22560</v>
      </c>
      <c r="B1799" t="s">
        <v>8607</v>
      </c>
      <c r="C1799" t="s">
        <v>22507</v>
      </c>
      <c r="D1799" t="s">
        <v>22561</v>
      </c>
      <c r="E1799" t="s">
        <v>8642</v>
      </c>
      <c r="F1799" t="s">
        <v>8975</v>
      </c>
      <c r="G1799" t="s">
        <v>17852</v>
      </c>
    </row>
    <row r="1800" spans="1:7">
      <c r="A1800" t="s">
        <v>22562</v>
      </c>
      <c r="B1800" t="s">
        <v>8607</v>
      </c>
      <c r="C1800" t="s">
        <v>22485</v>
      </c>
      <c r="D1800" t="s">
        <v>22561</v>
      </c>
      <c r="E1800" t="s">
        <v>8642</v>
      </c>
      <c r="F1800" t="s">
        <v>8975</v>
      </c>
      <c r="G1800" t="s">
        <v>22496</v>
      </c>
    </row>
    <row r="1801" spans="1:7">
      <c r="A1801" t="s">
        <v>22563</v>
      </c>
      <c r="B1801" t="s">
        <v>8626</v>
      </c>
      <c r="C1801" t="s">
        <v>22212</v>
      </c>
      <c r="D1801" t="s">
        <v>22564</v>
      </c>
      <c r="E1801" t="s">
        <v>8642</v>
      </c>
      <c r="F1801" t="s">
        <v>8975</v>
      </c>
      <c r="G1801" t="s">
        <v>22565</v>
      </c>
    </row>
    <row r="1802" spans="1:7">
      <c r="A1802" t="s">
        <v>22566</v>
      </c>
      <c r="B1802" t="s">
        <v>8626</v>
      </c>
      <c r="C1802" t="s">
        <v>22472</v>
      </c>
      <c r="D1802" t="s">
        <v>22567</v>
      </c>
      <c r="E1802" t="s">
        <v>8642</v>
      </c>
      <c r="F1802" t="s">
        <v>8975</v>
      </c>
      <c r="G1802" t="s">
        <v>22565</v>
      </c>
    </row>
    <row r="1803" spans="1:7">
      <c r="A1803" t="s">
        <v>22568</v>
      </c>
      <c r="B1803" t="s">
        <v>8607</v>
      </c>
      <c r="C1803" t="s">
        <v>22078</v>
      </c>
      <c r="D1803" t="s">
        <v>22569</v>
      </c>
      <c r="E1803" t="s">
        <v>8642</v>
      </c>
      <c r="F1803" t="s">
        <v>9145</v>
      </c>
      <c r="G1803" t="s">
        <v>22570</v>
      </c>
    </row>
    <row r="1804" spans="1:7">
      <c r="A1804" t="s">
        <v>22571</v>
      </c>
      <c r="B1804" t="s">
        <v>8607</v>
      </c>
      <c r="C1804" t="s">
        <v>22543</v>
      </c>
      <c r="D1804" t="s">
        <v>22569</v>
      </c>
      <c r="E1804" t="s">
        <v>8642</v>
      </c>
      <c r="F1804" t="s">
        <v>9145</v>
      </c>
      <c r="G1804" t="s">
        <v>22570</v>
      </c>
    </row>
    <row r="1805" spans="1:7">
      <c r="A1805" t="s">
        <v>22572</v>
      </c>
      <c r="B1805" t="s">
        <v>8626</v>
      </c>
      <c r="C1805" t="s">
        <v>22060</v>
      </c>
      <c r="D1805" t="s">
        <v>22573</v>
      </c>
      <c r="E1805" t="s">
        <v>8642</v>
      </c>
      <c r="F1805" t="s">
        <v>9145</v>
      </c>
      <c r="G1805" t="s">
        <v>22574</v>
      </c>
    </row>
    <row r="1806" spans="1:7">
      <c r="A1806" t="s">
        <v>22575</v>
      </c>
      <c r="B1806" t="s">
        <v>8626</v>
      </c>
      <c r="C1806" t="s">
        <v>22064</v>
      </c>
      <c r="D1806" t="s">
        <v>22576</v>
      </c>
      <c r="E1806" t="s">
        <v>8642</v>
      </c>
      <c r="F1806" t="s">
        <v>9145</v>
      </c>
      <c r="G1806" t="s">
        <v>22577</v>
      </c>
    </row>
    <row r="1807" spans="1:7">
      <c r="A1807" t="s">
        <v>22578</v>
      </c>
      <c r="B1807" t="s">
        <v>8607</v>
      </c>
      <c r="C1807" t="s">
        <v>22479</v>
      </c>
      <c r="D1807" t="s">
        <v>22579</v>
      </c>
      <c r="E1807" t="s">
        <v>8642</v>
      </c>
      <c r="F1807" t="s">
        <v>8975</v>
      </c>
      <c r="G1807" t="s">
        <v>17852</v>
      </c>
    </row>
    <row r="1808" spans="1:7">
      <c r="A1808" t="s">
        <v>22580</v>
      </c>
      <c r="B1808" t="s">
        <v>8607</v>
      </c>
      <c r="C1808" t="s">
        <v>22208</v>
      </c>
      <c r="D1808" t="s">
        <v>22579</v>
      </c>
      <c r="E1808" t="s">
        <v>8642</v>
      </c>
      <c r="F1808" t="s">
        <v>8975</v>
      </c>
      <c r="G1808" t="s">
        <v>22581</v>
      </c>
    </row>
    <row r="1809" spans="1:7">
      <c r="A1809" t="s">
        <v>22582</v>
      </c>
      <c r="B1809" t="s">
        <v>8607</v>
      </c>
      <c r="C1809" t="s">
        <v>17641</v>
      </c>
      <c r="D1809" t="s">
        <v>22583</v>
      </c>
      <c r="E1809" t="s">
        <v>8642</v>
      </c>
      <c r="F1809" t="s">
        <v>17643</v>
      </c>
      <c r="G1809" t="s">
        <v>22584</v>
      </c>
    </row>
    <row r="1810" spans="1:7">
      <c r="A1810" t="s">
        <v>22585</v>
      </c>
      <c r="B1810" t="s">
        <v>8626</v>
      </c>
      <c r="C1810" t="s">
        <v>22586</v>
      </c>
      <c r="D1810" t="s">
        <v>22583</v>
      </c>
      <c r="E1810" t="s">
        <v>8642</v>
      </c>
      <c r="F1810" t="s">
        <v>17643</v>
      </c>
      <c r="G1810" t="s">
        <v>22587</v>
      </c>
    </row>
    <row r="1811" spans="1:7">
      <c r="A1811" t="s">
        <v>22588</v>
      </c>
      <c r="B1811" t="s">
        <v>8607</v>
      </c>
      <c r="C1811" t="s">
        <v>22586</v>
      </c>
      <c r="D1811" t="s">
        <v>22583</v>
      </c>
      <c r="E1811" t="s">
        <v>8642</v>
      </c>
      <c r="F1811" t="s">
        <v>17643</v>
      </c>
      <c r="G1811" t="s">
        <v>22589</v>
      </c>
    </row>
    <row r="1812" spans="1:7">
      <c r="A1812" t="s">
        <v>22590</v>
      </c>
      <c r="B1812" t="s">
        <v>8607</v>
      </c>
      <c r="D1812" t="s">
        <v>22583</v>
      </c>
      <c r="E1812" t="s">
        <v>8642</v>
      </c>
      <c r="G1812" t="s">
        <v>22584</v>
      </c>
    </row>
    <row r="1813" spans="1:7">
      <c r="A1813" t="s">
        <v>22591</v>
      </c>
      <c r="B1813" t="s">
        <v>8607</v>
      </c>
      <c r="C1813" t="s">
        <v>17641</v>
      </c>
      <c r="D1813" t="s">
        <v>22583</v>
      </c>
      <c r="E1813" t="s">
        <v>8642</v>
      </c>
      <c r="F1813" t="s">
        <v>17643</v>
      </c>
      <c r="G1813" t="s">
        <v>17644</v>
      </c>
    </row>
    <row r="1814" spans="1:7">
      <c r="A1814" t="s">
        <v>22592</v>
      </c>
      <c r="B1814" t="s">
        <v>8607</v>
      </c>
      <c r="D1814" t="s">
        <v>22583</v>
      </c>
      <c r="E1814" t="s">
        <v>8642</v>
      </c>
      <c r="F1814" t="s">
        <v>17643</v>
      </c>
      <c r="G1814" t="s">
        <v>22584</v>
      </c>
    </row>
    <row r="1815" spans="1:7">
      <c r="A1815" t="s">
        <v>22593</v>
      </c>
      <c r="B1815" t="s">
        <v>8607</v>
      </c>
      <c r="C1815" t="s">
        <v>22586</v>
      </c>
      <c r="D1815" t="s">
        <v>22583</v>
      </c>
      <c r="E1815" t="s">
        <v>8642</v>
      </c>
      <c r="F1815" t="s">
        <v>17643</v>
      </c>
      <c r="G1815" t="s">
        <v>22594</v>
      </c>
    </row>
    <row r="1816" spans="1:7">
      <c r="A1816" t="s">
        <v>22595</v>
      </c>
      <c r="B1816" t="s">
        <v>8607</v>
      </c>
      <c r="C1816" t="s">
        <v>22596</v>
      </c>
      <c r="D1816" t="s">
        <v>22597</v>
      </c>
      <c r="E1816" t="s">
        <v>8642</v>
      </c>
      <c r="F1816" t="s">
        <v>17643</v>
      </c>
      <c r="G1816" t="s">
        <v>22598</v>
      </c>
    </row>
    <row r="1817" spans="1:7">
      <c r="A1817" t="s">
        <v>22599</v>
      </c>
      <c r="B1817" t="s">
        <v>8607</v>
      </c>
      <c r="D1817" t="s">
        <v>22600</v>
      </c>
      <c r="E1817" t="s">
        <v>8642</v>
      </c>
      <c r="F1817" t="s">
        <v>17643</v>
      </c>
      <c r="G1817" t="s">
        <v>22601</v>
      </c>
    </row>
    <row r="1818" spans="1:7">
      <c r="A1818" t="s">
        <v>22602</v>
      </c>
      <c r="B1818" t="s">
        <v>8626</v>
      </c>
      <c r="D1818" t="s">
        <v>22600</v>
      </c>
      <c r="E1818" t="s">
        <v>8642</v>
      </c>
      <c r="F1818" t="s">
        <v>17643</v>
      </c>
      <c r="G1818" t="s">
        <v>22603</v>
      </c>
    </row>
    <row r="1819" spans="1:7">
      <c r="A1819" t="s">
        <v>22604</v>
      </c>
      <c r="B1819" t="s">
        <v>8607</v>
      </c>
      <c r="C1819" t="s">
        <v>22060</v>
      </c>
      <c r="D1819" t="s">
        <v>22600</v>
      </c>
      <c r="E1819" t="s">
        <v>8642</v>
      </c>
      <c r="F1819" t="s">
        <v>17643</v>
      </c>
      <c r="G1819" t="s">
        <v>22605</v>
      </c>
    </row>
    <row r="1820" spans="1:7">
      <c r="A1820" t="s">
        <v>22606</v>
      </c>
      <c r="B1820" t="s">
        <v>8626</v>
      </c>
      <c r="D1820" t="s">
        <v>22607</v>
      </c>
      <c r="E1820" t="s">
        <v>8642</v>
      </c>
      <c r="F1820" t="s">
        <v>17643</v>
      </c>
      <c r="G1820" t="s">
        <v>22608</v>
      </c>
    </row>
    <row r="1821" spans="1:7">
      <c r="A1821" t="s">
        <v>22609</v>
      </c>
      <c r="B1821" t="s">
        <v>8607</v>
      </c>
      <c r="D1821" t="s">
        <v>22607</v>
      </c>
      <c r="E1821" t="s">
        <v>8642</v>
      </c>
      <c r="F1821" t="s">
        <v>17643</v>
      </c>
      <c r="G1821" t="s">
        <v>22610</v>
      </c>
    </row>
    <row r="1822" spans="1:7">
      <c r="A1822" t="s">
        <v>22611</v>
      </c>
      <c r="B1822" t="s">
        <v>8626</v>
      </c>
      <c r="D1822" t="s">
        <v>22607</v>
      </c>
      <c r="E1822" t="s">
        <v>8642</v>
      </c>
      <c r="F1822" t="s">
        <v>17643</v>
      </c>
      <c r="G1822" t="s">
        <v>22608</v>
      </c>
    </row>
    <row r="1823" spans="1:7">
      <c r="A1823" t="s">
        <v>22612</v>
      </c>
      <c r="B1823" t="s">
        <v>8607</v>
      </c>
      <c r="D1823" t="s">
        <v>22607</v>
      </c>
      <c r="E1823" t="s">
        <v>8642</v>
      </c>
      <c r="F1823" t="s">
        <v>17643</v>
      </c>
      <c r="G1823" t="s">
        <v>22610</v>
      </c>
    </row>
    <row r="1824" spans="1:7">
      <c r="A1824" t="s">
        <v>22613</v>
      </c>
      <c r="B1824" t="s">
        <v>8607</v>
      </c>
      <c r="D1824" t="s">
        <v>22614</v>
      </c>
      <c r="E1824" t="s">
        <v>8642</v>
      </c>
      <c r="F1824" t="s">
        <v>17643</v>
      </c>
      <c r="G1824" t="s">
        <v>22615</v>
      </c>
    </row>
    <row r="1825" spans="1:7">
      <c r="A1825" t="s">
        <v>22616</v>
      </c>
      <c r="B1825" t="s">
        <v>8607</v>
      </c>
      <c r="D1825" t="s">
        <v>22614</v>
      </c>
      <c r="E1825" t="s">
        <v>8642</v>
      </c>
      <c r="F1825" t="s">
        <v>17643</v>
      </c>
      <c r="G1825" t="s">
        <v>22617</v>
      </c>
    </row>
    <row r="1826" spans="1:7">
      <c r="A1826" t="s">
        <v>22618</v>
      </c>
      <c r="B1826" t="s">
        <v>8607</v>
      </c>
      <c r="D1826" t="s">
        <v>22614</v>
      </c>
      <c r="E1826" t="s">
        <v>8642</v>
      </c>
      <c r="F1826" t="s">
        <v>17643</v>
      </c>
      <c r="G1826" t="s">
        <v>22619</v>
      </c>
    </row>
    <row r="1827" spans="1:7">
      <c r="A1827" t="s">
        <v>22620</v>
      </c>
      <c r="B1827" t="s">
        <v>8607</v>
      </c>
      <c r="D1827" t="s">
        <v>22614</v>
      </c>
      <c r="E1827" t="s">
        <v>8642</v>
      </c>
      <c r="F1827" t="s">
        <v>17643</v>
      </c>
      <c r="G1827" t="s">
        <v>22621</v>
      </c>
    </row>
    <row r="1828" spans="1:7">
      <c r="A1828" t="s">
        <v>22622</v>
      </c>
      <c r="B1828" t="s">
        <v>8607</v>
      </c>
      <c r="D1828" t="s">
        <v>22614</v>
      </c>
      <c r="E1828" t="s">
        <v>8642</v>
      </c>
      <c r="F1828" t="s">
        <v>17643</v>
      </c>
      <c r="G1828" t="s">
        <v>22617</v>
      </c>
    </row>
    <row r="1829" spans="1:7">
      <c r="A1829" t="s">
        <v>22623</v>
      </c>
      <c r="B1829" t="s">
        <v>8607</v>
      </c>
      <c r="C1829" t="s">
        <v>22624</v>
      </c>
      <c r="D1829" t="s">
        <v>22625</v>
      </c>
      <c r="E1829" t="s">
        <v>8642</v>
      </c>
      <c r="F1829" t="s">
        <v>17643</v>
      </c>
      <c r="G1829" t="s">
        <v>22626</v>
      </c>
    </row>
    <row r="1830" spans="1:7">
      <c r="A1830" t="s">
        <v>22627</v>
      </c>
      <c r="B1830" t="s">
        <v>8607</v>
      </c>
      <c r="C1830" t="s">
        <v>22628</v>
      </c>
      <c r="D1830" t="s">
        <v>22629</v>
      </c>
      <c r="E1830" t="s">
        <v>8642</v>
      </c>
      <c r="F1830" t="s">
        <v>17643</v>
      </c>
      <c r="G1830" t="s">
        <v>22630</v>
      </c>
    </row>
    <row r="1831" spans="1:7">
      <c r="A1831" t="s">
        <v>22631</v>
      </c>
      <c r="B1831" t="s">
        <v>8626</v>
      </c>
      <c r="C1831" t="s">
        <v>22628</v>
      </c>
      <c r="D1831" t="s">
        <v>22632</v>
      </c>
      <c r="E1831" t="s">
        <v>8642</v>
      </c>
      <c r="F1831" t="s">
        <v>17643</v>
      </c>
      <c r="G1831" t="s">
        <v>22633</v>
      </c>
    </row>
    <row r="1832" spans="1:7">
      <c r="A1832" t="s">
        <v>22634</v>
      </c>
      <c r="B1832" t="s">
        <v>8626</v>
      </c>
      <c r="C1832" t="s">
        <v>22628</v>
      </c>
      <c r="D1832" t="s">
        <v>22632</v>
      </c>
      <c r="E1832" t="s">
        <v>8642</v>
      </c>
      <c r="F1832" t="s">
        <v>17643</v>
      </c>
      <c r="G1832" t="s">
        <v>22633</v>
      </c>
    </row>
    <row r="1833" spans="1:7">
      <c r="A1833" t="s">
        <v>22635</v>
      </c>
      <c r="B1833" t="s">
        <v>8626</v>
      </c>
      <c r="C1833" t="s">
        <v>22628</v>
      </c>
      <c r="D1833" t="s">
        <v>22632</v>
      </c>
      <c r="E1833" t="s">
        <v>8642</v>
      </c>
      <c r="F1833" t="s">
        <v>17643</v>
      </c>
      <c r="G1833" t="s">
        <v>22633</v>
      </c>
    </row>
    <row r="1834" spans="1:7">
      <c r="A1834" t="s">
        <v>22636</v>
      </c>
      <c r="B1834" t="s">
        <v>8626</v>
      </c>
      <c r="C1834" t="s">
        <v>22628</v>
      </c>
      <c r="D1834" t="s">
        <v>22632</v>
      </c>
      <c r="E1834" t="s">
        <v>8642</v>
      </c>
      <c r="F1834" t="s">
        <v>17643</v>
      </c>
      <c r="G1834" t="s">
        <v>22633</v>
      </c>
    </row>
    <row r="1835" spans="1:7">
      <c r="A1835" t="s">
        <v>22637</v>
      </c>
      <c r="B1835" t="s">
        <v>8607</v>
      </c>
      <c r="C1835" t="s">
        <v>22628</v>
      </c>
      <c r="D1835" t="s">
        <v>22632</v>
      </c>
      <c r="E1835" t="s">
        <v>8642</v>
      </c>
      <c r="F1835" t="s">
        <v>17643</v>
      </c>
      <c r="G1835" t="s">
        <v>22638</v>
      </c>
    </row>
    <row r="1836" spans="1:7">
      <c r="A1836" t="s">
        <v>22639</v>
      </c>
      <c r="B1836" t="s">
        <v>8607</v>
      </c>
      <c r="C1836" t="s">
        <v>22628</v>
      </c>
      <c r="D1836" t="s">
        <v>22632</v>
      </c>
      <c r="E1836" t="s">
        <v>8642</v>
      </c>
      <c r="F1836" t="s">
        <v>17643</v>
      </c>
      <c r="G1836" t="s">
        <v>22640</v>
      </c>
    </row>
    <row r="1837" spans="1:7">
      <c r="A1837" t="s">
        <v>22641</v>
      </c>
      <c r="B1837" t="s">
        <v>8607</v>
      </c>
      <c r="C1837" t="s">
        <v>22628</v>
      </c>
      <c r="D1837" t="s">
        <v>22632</v>
      </c>
      <c r="E1837" t="s">
        <v>8642</v>
      </c>
      <c r="F1837" t="s">
        <v>17643</v>
      </c>
      <c r="G1837" t="s">
        <v>22626</v>
      </c>
    </row>
    <row r="1838" spans="1:7">
      <c r="A1838" t="s">
        <v>22642</v>
      </c>
      <c r="B1838" t="s">
        <v>8626</v>
      </c>
      <c r="C1838" t="s">
        <v>22628</v>
      </c>
      <c r="D1838" t="s">
        <v>22632</v>
      </c>
      <c r="E1838" t="s">
        <v>8642</v>
      </c>
      <c r="F1838" t="s">
        <v>17643</v>
      </c>
      <c r="G1838" t="s">
        <v>22633</v>
      </c>
    </row>
    <row r="1839" spans="1:7">
      <c r="A1839" t="s">
        <v>22643</v>
      </c>
      <c r="B1839" t="s">
        <v>8626</v>
      </c>
      <c r="C1839" t="s">
        <v>22628</v>
      </c>
      <c r="D1839" t="s">
        <v>22632</v>
      </c>
      <c r="E1839" t="s">
        <v>8642</v>
      </c>
      <c r="F1839" t="s">
        <v>17643</v>
      </c>
      <c r="G1839" t="s">
        <v>22633</v>
      </c>
    </row>
    <row r="1840" spans="1:7">
      <c r="A1840" t="s">
        <v>22644</v>
      </c>
      <c r="B1840" t="s">
        <v>8607</v>
      </c>
      <c r="C1840" t="s">
        <v>17641</v>
      </c>
      <c r="D1840" t="s">
        <v>17642</v>
      </c>
      <c r="E1840" t="s">
        <v>8642</v>
      </c>
      <c r="F1840" t="s">
        <v>17643</v>
      </c>
      <c r="G1840" t="s">
        <v>22645</v>
      </c>
    </row>
    <row r="1841" spans="1:7">
      <c r="A1841" t="s">
        <v>22646</v>
      </c>
      <c r="B1841" t="s">
        <v>8607</v>
      </c>
      <c r="C1841" t="s">
        <v>22647</v>
      </c>
      <c r="D1841" t="s">
        <v>17642</v>
      </c>
      <c r="E1841" t="s">
        <v>8642</v>
      </c>
      <c r="F1841" t="s">
        <v>17643</v>
      </c>
      <c r="G1841" t="s">
        <v>22584</v>
      </c>
    </row>
    <row r="1842" spans="1:7">
      <c r="A1842" t="s">
        <v>22648</v>
      </c>
      <c r="B1842" t="s">
        <v>8607</v>
      </c>
      <c r="C1842" t="s">
        <v>17641</v>
      </c>
      <c r="D1842" t="s">
        <v>17642</v>
      </c>
      <c r="E1842" t="s">
        <v>8642</v>
      </c>
      <c r="F1842" t="s">
        <v>17643</v>
      </c>
      <c r="G1842" t="s">
        <v>22649</v>
      </c>
    </row>
    <row r="1843" spans="1:7">
      <c r="A1843" t="s">
        <v>22650</v>
      </c>
      <c r="B1843" t="s">
        <v>8607</v>
      </c>
      <c r="C1843" t="s">
        <v>17641</v>
      </c>
      <c r="D1843" t="s">
        <v>17642</v>
      </c>
      <c r="E1843" t="s">
        <v>8642</v>
      </c>
      <c r="F1843" t="s">
        <v>17643</v>
      </c>
      <c r="G1843" t="s">
        <v>22594</v>
      </c>
    </row>
    <row r="1844" spans="1:7">
      <c r="A1844" t="s">
        <v>22651</v>
      </c>
      <c r="B1844" t="s">
        <v>8607</v>
      </c>
      <c r="C1844" t="s">
        <v>17641</v>
      </c>
      <c r="D1844" t="s">
        <v>17642</v>
      </c>
      <c r="E1844" t="s">
        <v>8642</v>
      </c>
      <c r="F1844" t="s">
        <v>17643</v>
      </c>
      <c r="G1844" t="s">
        <v>22594</v>
      </c>
    </row>
    <row r="1845" spans="1:7">
      <c r="A1845" t="s">
        <v>22652</v>
      </c>
      <c r="B1845" t="s">
        <v>8607</v>
      </c>
      <c r="C1845" t="s">
        <v>22647</v>
      </c>
      <c r="D1845" t="s">
        <v>17642</v>
      </c>
      <c r="E1845" t="s">
        <v>8642</v>
      </c>
      <c r="F1845" t="s">
        <v>17643</v>
      </c>
      <c r="G1845" t="s">
        <v>22653</v>
      </c>
    </row>
    <row r="1846" spans="1:7">
      <c r="A1846" t="s">
        <v>22654</v>
      </c>
      <c r="B1846" t="s">
        <v>8607</v>
      </c>
      <c r="C1846" t="s">
        <v>17641</v>
      </c>
      <c r="D1846" t="s">
        <v>17642</v>
      </c>
      <c r="E1846" t="s">
        <v>8642</v>
      </c>
      <c r="F1846" t="s">
        <v>17643</v>
      </c>
      <c r="G1846" t="s">
        <v>22653</v>
      </c>
    </row>
    <row r="1847" spans="1:7">
      <c r="A1847" t="s">
        <v>22655</v>
      </c>
      <c r="B1847" t="s">
        <v>8607</v>
      </c>
      <c r="C1847" t="s">
        <v>17641</v>
      </c>
      <c r="D1847" t="s">
        <v>17642</v>
      </c>
      <c r="E1847" t="s">
        <v>8642</v>
      </c>
      <c r="F1847" t="s">
        <v>17643</v>
      </c>
      <c r="G1847" t="s">
        <v>22653</v>
      </c>
    </row>
    <row r="1848" spans="1:7">
      <c r="A1848" t="s">
        <v>22656</v>
      </c>
      <c r="B1848" t="s">
        <v>8607</v>
      </c>
      <c r="C1848" t="s">
        <v>22647</v>
      </c>
      <c r="D1848" t="s">
        <v>17642</v>
      </c>
      <c r="E1848" t="s">
        <v>8642</v>
      </c>
      <c r="F1848" t="s">
        <v>17643</v>
      </c>
      <c r="G1848" t="s">
        <v>22649</v>
      </c>
    </row>
    <row r="1849" spans="1:7">
      <c r="A1849" t="s">
        <v>22657</v>
      </c>
      <c r="B1849" t="s">
        <v>8607</v>
      </c>
      <c r="C1849" t="s">
        <v>22647</v>
      </c>
      <c r="D1849" t="s">
        <v>17642</v>
      </c>
      <c r="E1849" t="s">
        <v>8642</v>
      </c>
      <c r="F1849" t="s">
        <v>17643</v>
      </c>
      <c r="G1849" t="s">
        <v>22594</v>
      </c>
    </row>
    <row r="1850" spans="1:7">
      <c r="A1850" t="s">
        <v>22658</v>
      </c>
      <c r="B1850" t="s">
        <v>8607</v>
      </c>
      <c r="C1850" t="s">
        <v>22659</v>
      </c>
      <c r="D1850" t="s">
        <v>17642</v>
      </c>
      <c r="E1850" t="s">
        <v>8642</v>
      </c>
      <c r="F1850" t="s">
        <v>17643</v>
      </c>
      <c r="G1850" t="s">
        <v>22584</v>
      </c>
    </row>
    <row r="1851" spans="1:7">
      <c r="A1851" t="s">
        <v>22660</v>
      </c>
      <c r="B1851" t="s">
        <v>8607</v>
      </c>
      <c r="C1851" t="s">
        <v>17641</v>
      </c>
      <c r="D1851" t="s">
        <v>17642</v>
      </c>
      <c r="E1851" t="s">
        <v>8642</v>
      </c>
      <c r="F1851" t="s">
        <v>17643</v>
      </c>
      <c r="G1851" t="s">
        <v>22653</v>
      </c>
    </row>
    <row r="1852" spans="1:7">
      <c r="A1852" t="s">
        <v>22661</v>
      </c>
      <c r="B1852" t="s">
        <v>8607</v>
      </c>
      <c r="C1852" t="s">
        <v>22662</v>
      </c>
      <c r="D1852" t="s">
        <v>17642</v>
      </c>
      <c r="E1852" t="s">
        <v>8642</v>
      </c>
      <c r="F1852" t="s">
        <v>17643</v>
      </c>
      <c r="G1852" t="s">
        <v>22584</v>
      </c>
    </row>
    <row r="1853" spans="1:7">
      <c r="A1853" t="s">
        <v>22663</v>
      </c>
      <c r="B1853" t="s">
        <v>8607</v>
      </c>
      <c r="C1853" t="s">
        <v>22647</v>
      </c>
      <c r="D1853" t="s">
        <v>17642</v>
      </c>
      <c r="E1853" t="s">
        <v>8642</v>
      </c>
      <c r="F1853" t="s">
        <v>17643</v>
      </c>
      <c r="G1853" t="s">
        <v>22664</v>
      </c>
    </row>
    <row r="1854" spans="1:7">
      <c r="A1854" t="s">
        <v>22665</v>
      </c>
      <c r="B1854" t="s">
        <v>8607</v>
      </c>
      <c r="C1854" t="s">
        <v>22666</v>
      </c>
      <c r="D1854" t="s">
        <v>17642</v>
      </c>
      <c r="E1854" t="s">
        <v>8642</v>
      </c>
      <c r="F1854" t="s">
        <v>17643</v>
      </c>
      <c r="G1854" t="s">
        <v>22584</v>
      </c>
    </row>
    <row r="1855" spans="1:7">
      <c r="A1855" t="s">
        <v>22667</v>
      </c>
      <c r="B1855" t="s">
        <v>8607</v>
      </c>
      <c r="C1855" t="s">
        <v>22647</v>
      </c>
      <c r="D1855" t="s">
        <v>17642</v>
      </c>
      <c r="E1855" t="s">
        <v>8642</v>
      </c>
      <c r="F1855" t="s">
        <v>17643</v>
      </c>
      <c r="G1855" t="s">
        <v>17644</v>
      </c>
    </row>
    <row r="1856" spans="1:7">
      <c r="A1856" t="s">
        <v>22668</v>
      </c>
      <c r="B1856" t="s">
        <v>8607</v>
      </c>
      <c r="C1856" t="s">
        <v>17641</v>
      </c>
      <c r="D1856" t="s">
        <v>17642</v>
      </c>
      <c r="E1856" t="s">
        <v>8642</v>
      </c>
      <c r="F1856" t="s">
        <v>17643</v>
      </c>
      <c r="G1856" t="s">
        <v>22584</v>
      </c>
    </row>
    <row r="1857" spans="1:7">
      <c r="A1857" t="s">
        <v>22669</v>
      </c>
      <c r="B1857" t="s">
        <v>8607</v>
      </c>
      <c r="C1857" t="s">
        <v>17641</v>
      </c>
      <c r="D1857" t="s">
        <v>17642</v>
      </c>
      <c r="E1857" t="s">
        <v>8642</v>
      </c>
      <c r="F1857" t="s">
        <v>17643</v>
      </c>
      <c r="G1857" t="s">
        <v>22670</v>
      </c>
    </row>
    <row r="1858" spans="1:7">
      <c r="A1858" t="s">
        <v>22671</v>
      </c>
      <c r="B1858" t="s">
        <v>8607</v>
      </c>
      <c r="C1858" t="s">
        <v>22672</v>
      </c>
      <c r="D1858" t="s">
        <v>17642</v>
      </c>
      <c r="E1858" t="s">
        <v>8642</v>
      </c>
      <c r="F1858" t="s">
        <v>17643</v>
      </c>
      <c r="G1858" t="s">
        <v>22594</v>
      </c>
    </row>
    <row r="1859" spans="1:7">
      <c r="A1859" t="s">
        <v>22673</v>
      </c>
      <c r="B1859" t="s">
        <v>8607</v>
      </c>
      <c r="C1859" t="s">
        <v>22647</v>
      </c>
      <c r="D1859" t="s">
        <v>17642</v>
      </c>
      <c r="E1859" t="s">
        <v>8642</v>
      </c>
      <c r="F1859" t="s">
        <v>17643</v>
      </c>
      <c r="G1859" t="s">
        <v>22674</v>
      </c>
    </row>
    <row r="1860" spans="1:7">
      <c r="A1860" t="s">
        <v>22675</v>
      </c>
      <c r="B1860" t="s">
        <v>8607</v>
      </c>
      <c r="C1860" t="s">
        <v>17641</v>
      </c>
      <c r="D1860" t="s">
        <v>17642</v>
      </c>
      <c r="E1860" t="s">
        <v>8642</v>
      </c>
      <c r="F1860" t="s">
        <v>17643</v>
      </c>
      <c r="G1860" t="s">
        <v>22594</v>
      </c>
    </row>
    <row r="1861" spans="1:7">
      <c r="A1861" t="s">
        <v>22676</v>
      </c>
      <c r="B1861" t="s">
        <v>8607</v>
      </c>
      <c r="C1861" t="s">
        <v>22647</v>
      </c>
      <c r="D1861" t="s">
        <v>17642</v>
      </c>
      <c r="E1861" t="s">
        <v>8642</v>
      </c>
      <c r="F1861" t="s">
        <v>17643</v>
      </c>
      <c r="G1861" t="s">
        <v>22584</v>
      </c>
    </row>
    <row r="1862" spans="1:7">
      <c r="A1862" t="s">
        <v>22677</v>
      </c>
      <c r="B1862" t="s">
        <v>8607</v>
      </c>
      <c r="C1862" t="s">
        <v>22659</v>
      </c>
      <c r="D1862" t="s">
        <v>17642</v>
      </c>
      <c r="E1862" t="s">
        <v>8642</v>
      </c>
      <c r="F1862" t="s">
        <v>17643</v>
      </c>
      <c r="G1862" t="s">
        <v>22678</v>
      </c>
    </row>
    <row r="1863" spans="1:7">
      <c r="A1863" t="s">
        <v>22679</v>
      </c>
      <c r="B1863" t="s">
        <v>8607</v>
      </c>
      <c r="C1863" t="s">
        <v>22647</v>
      </c>
      <c r="D1863" t="s">
        <v>17642</v>
      </c>
      <c r="E1863" t="s">
        <v>8642</v>
      </c>
      <c r="F1863" t="s">
        <v>17643</v>
      </c>
      <c r="G1863" t="s">
        <v>22594</v>
      </c>
    </row>
    <row r="1864" spans="1:7">
      <c r="A1864" t="s">
        <v>22680</v>
      </c>
      <c r="B1864" t="s">
        <v>8607</v>
      </c>
      <c r="C1864" t="s">
        <v>17641</v>
      </c>
      <c r="D1864" t="s">
        <v>17642</v>
      </c>
      <c r="E1864" t="s">
        <v>8642</v>
      </c>
      <c r="F1864" t="s">
        <v>17643</v>
      </c>
      <c r="G1864" t="s">
        <v>22653</v>
      </c>
    </row>
    <row r="1865" spans="1:7">
      <c r="A1865" t="s">
        <v>22681</v>
      </c>
      <c r="B1865" t="s">
        <v>8607</v>
      </c>
      <c r="C1865" t="s">
        <v>22682</v>
      </c>
      <c r="D1865" t="s">
        <v>17642</v>
      </c>
      <c r="E1865" t="s">
        <v>8642</v>
      </c>
      <c r="F1865" t="s">
        <v>17643</v>
      </c>
      <c r="G1865" t="s">
        <v>22683</v>
      </c>
    </row>
    <row r="1866" spans="1:7">
      <c r="A1866" t="s">
        <v>22684</v>
      </c>
      <c r="B1866" t="s">
        <v>8607</v>
      </c>
      <c r="C1866" t="s">
        <v>22647</v>
      </c>
      <c r="D1866" t="s">
        <v>17642</v>
      </c>
      <c r="E1866" t="s">
        <v>8642</v>
      </c>
      <c r="F1866" t="s">
        <v>17643</v>
      </c>
      <c r="G1866" t="s">
        <v>17644</v>
      </c>
    </row>
    <row r="1867" spans="1:7">
      <c r="A1867" t="s">
        <v>22685</v>
      </c>
      <c r="B1867" t="s">
        <v>8607</v>
      </c>
      <c r="C1867" t="s">
        <v>22647</v>
      </c>
      <c r="D1867" t="s">
        <v>17642</v>
      </c>
      <c r="E1867" t="s">
        <v>8642</v>
      </c>
      <c r="F1867" t="s">
        <v>17643</v>
      </c>
      <c r="G1867" t="s">
        <v>22649</v>
      </c>
    </row>
    <row r="1868" spans="1:7">
      <c r="A1868" t="s">
        <v>22686</v>
      </c>
      <c r="B1868" t="s">
        <v>8607</v>
      </c>
      <c r="C1868" t="s">
        <v>22647</v>
      </c>
      <c r="D1868" t="s">
        <v>17642</v>
      </c>
      <c r="E1868" t="s">
        <v>8642</v>
      </c>
      <c r="F1868" t="s">
        <v>17643</v>
      </c>
      <c r="G1868" t="s">
        <v>22584</v>
      </c>
    </row>
    <row r="1869" spans="1:7">
      <c r="A1869" t="s">
        <v>22687</v>
      </c>
      <c r="B1869" t="s">
        <v>8607</v>
      </c>
      <c r="C1869" t="s">
        <v>22647</v>
      </c>
      <c r="D1869" t="s">
        <v>17642</v>
      </c>
      <c r="E1869" t="s">
        <v>8642</v>
      </c>
      <c r="F1869" t="s">
        <v>17643</v>
      </c>
      <c r="G1869" t="s">
        <v>22649</v>
      </c>
    </row>
    <row r="1870" spans="1:7">
      <c r="A1870" t="s">
        <v>22688</v>
      </c>
      <c r="B1870" t="s">
        <v>8607</v>
      </c>
      <c r="C1870" t="s">
        <v>22647</v>
      </c>
      <c r="D1870" t="s">
        <v>17642</v>
      </c>
      <c r="E1870" t="s">
        <v>8642</v>
      </c>
      <c r="F1870" t="s">
        <v>17643</v>
      </c>
      <c r="G1870" t="s">
        <v>17644</v>
      </c>
    </row>
    <row r="1871" spans="1:7">
      <c r="A1871" t="s">
        <v>22689</v>
      </c>
      <c r="B1871" t="s">
        <v>8607</v>
      </c>
      <c r="C1871" t="s">
        <v>22647</v>
      </c>
      <c r="D1871" t="s">
        <v>17642</v>
      </c>
      <c r="E1871" t="s">
        <v>8642</v>
      </c>
      <c r="F1871" t="s">
        <v>17643</v>
      </c>
      <c r="G1871" t="s">
        <v>22690</v>
      </c>
    </row>
    <row r="1872" spans="1:7">
      <c r="A1872" t="s">
        <v>22691</v>
      </c>
      <c r="B1872" t="s">
        <v>8607</v>
      </c>
      <c r="C1872" t="s">
        <v>17641</v>
      </c>
      <c r="D1872" t="s">
        <v>17642</v>
      </c>
      <c r="E1872" t="s">
        <v>8642</v>
      </c>
      <c r="F1872" t="s">
        <v>17643</v>
      </c>
      <c r="G1872" t="s">
        <v>22649</v>
      </c>
    </row>
    <row r="1873" spans="1:7">
      <c r="A1873" t="s">
        <v>22692</v>
      </c>
      <c r="B1873" t="s">
        <v>8607</v>
      </c>
      <c r="C1873" t="s">
        <v>22647</v>
      </c>
      <c r="D1873" t="s">
        <v>17642</v>
      </c>
      <c r="E1873" t="s">
        <v>8642</v>
      </c>
      <c r="F1873" t="s">
        <v>17643</v>
      </c>
      <c r="G1873" t="s">
        <v>22653</v>
      </c>
    </row>
    <row r="1874" spans="1:7">
      <c r="A1874" t="s">
        <v>22693</v>
      </c>
      <c r="B1874" t="s">
        <v>8607</v>
      </c>
      <c r="C1874" t="s">
        <v>22586</v>
      </c>
      <c r="D1874" t="s">
        <v>17642</v>
      </c>
      <c r="E1874" t="s">
        <v>8642</v>
      </c>
      <c r="F1874" t="s">
        <v>17643</v>
      </c>
      <c r="G1874" t="s">
        <v>22694</v>
      </c>
    </row>
    <row r="1875" spans="1:7">
      <c r="A1875" t="s">
        <v>22695</v>
      </c>
      <c r="B1875" t="s">
        <v>8607</v>
      </c>
      <c r="C1875" t="s">
        <v>22647</v>
      </c>
      <c r="D1875" t="s">
        <v>17642</v>
      </c>
      <c r="E1875" t="s">
        <v>8642</v>
      </c>
      <c r="F1875" t="s">
        <v>17643</v>
      </c>
      <c r="G1875" t="s">
        <v>17644</v>
      </c>
    </row>
    <row r="1876" spans="1:7">
      <c r="A1876" t="s">
        <v>22696</v>
      </c>
      <c r="B1876" t="s">
        <v>8607</v>
      </c>
      <c r="C1876" t="s">
        <v>22647</v>
      </c>
      <c r="D1876" t="s">
        <v>17642</v>
      </c>
      <c r="E1876" t="s">
        <v>8642</v>
      </c>
      <c r="F1876" t="s">
        <v>17643</v>
      </c>
      <c r="G1876" t="s">
        <v>22690</v>
      </c>
    </row>
    <row r="1877" spans="1:7">
      <c r="A1877" t="s">
        <v>22697</v>
      </c>
      <c r="B1877" t="s">
        <v>8607</v>
      </c>
      <c r="C1877" t="s">
        <v>22698</v>
      </c>
      <c r="D1877" t="s">
        <v>17642</v>
      </c>
      <c r="E1877" t="s">
        <v>8642</v>
      </c>
      <c r="F1877" t="s">
        <v>17643</v>
      </c>
      <c r="G1877" t="s">
        <v>22674</v>
      </c>
    </row>
    <row r="1878" spans="1:7">
      <c r="A1878" t="s">
        <v>22699</v>
      </c>
      <c r="B1878" t="s">
        <v>8607</v>
      </c>
      <c r="C1878" t="s">
        <v>17641</v>
      </c>
      <c r="D1878" t="s">
        <v>17642</v>
      </c>
      <c r="E1878" t="s">
        <v>8642</v>
      </c>
      <c r="F1878" t="s">
        <v>17643</v>
      </c>
      <c r="G1878" t="s">
        <v>22664</v>
      </c>
    </row>
    <row r="1879" spans="1:7">
      <c r="A1879" t="s">
        <v>22700</v>
      </c>
      <c r="B1879" t="s">
        <v>8607</v>
      </c>
      <c r="C1879" t="s">
        <v>17641</v>
      </c>
      <c r="D1879" t="s">
        <v>17642</v>
      </c>
      <c r="E1879" t="s">
        <v>8642</v>
      </c>
      <c r="F1879" t="s">
        <v>17643</v>
      </c>
      <c r="G1879" t="s">
        <v>22701</v>
      </c>
    </row>
    <row r="1880" spans="1:7">
      <c r="A1880" t="s">
        <v>22702</v>
      </c>
      <c r="B1880" t="s">
        <v>8607</v>
      </c>
      <c r="C1880" t="s">
        <v>22647</v>
      </c>
      <c r="D1880" t="s">
        <v>17642</v>
      </c>
      <c r="E1880" t="s">
        <v>8642</v>
      </c>
      <c r="F1880" t="s">
        <v>17643</v>
      </c>
      <c r="G1880" t="s">
        <v>22594</v>
      </c>
    </row>
    <row r="1881" spans="1:7">
      <c r="A1881" t="s">
        <v>22703</v>
      </c>
      <c r="B1881" t="s">
        <v>8607</v>
      </c>
      <c r="C1881" t="s">
        <v>17641</v>
      </c>
      <c r="D1881" t="s">
        <v>17642</v>
      </c>
      <c r="E1881" t="s">
        <v>8642</v>
      </c>
      <c r="F1881" t="s">
        <v>17643</v>
      </c>
      <c r="G1881" t="s">
        <v>22649</v>
      </c>
    </row>
    <row r="1882" spans="1:7">
      <c r="A1882" t="s">
        <v>22704</v>
      </c>
      <c r="B1882" t="s">
        <v>8607</v>
      </c>
      <c r="C1882" t="s">
        <v>22647</v>
      </c>
      <c r="D1882" t="s">
        <v>17642</v>
      </c>
      <c r="E1882" t="s">
        <v>8642</v>
      </c>
      <c r="F1882" t="s">
        <v>17643</v>
      </c>
      <c r="G1882" t="s">
        <v>17644</v>
      </c>
    </row>
    <row r="1883" spans="1:7">
      <c r="A1883" t="s">
        <v>22705</v>
      </c>
      <c r="B1883" t="s">
        <v>8607</v>
      </c>
      <c r="C1883" t="s">
        <v>22647</v>
      </c>
      <c r="D1883" t="s">
        <v>17642</v>
      </c>
      <c r="E1883" t="s">
        <v>8642</v>
      </c>
      <c r="F1883" t="s">
        <v>17643</v>
      </c>
      <c r="G1883" t="s">
        <v>22584</v>
      </c>
    </row>
    <row r="1884" spans="1:7">
      <c r="A1884" t="s">
        <v>22706</v>
      </c>
      <c r="B1884" t="s">
        <v>8607</v>
      </c>
      <c r="C1884" t="s">
        <v>22682</v>
      </c>
      <c r="D1884" t="s">
        <v>17642</v>
      </c>
      <c r="E1884" t="s">
        <v>8642</v>
      </c>
      <c r="F1884" t="s">
        <v>17643</v>
      </c>
      <c r="G1884" t="s">
        <v>22683</v>
      </c>
    </row>
    <row r="1885" spans="1:7">
      <c r="A1885" t="s">
        <v>22707</v>
      </c>
      <c r="B1885" t="s">
        <v>8607</v>
      </c>
      <c r="C1885" t="s">
        <v>17641</v>
      </c>
      <c r="D1885" t="s">
        <v>17642</v>
      </c>
      <c r="E1885" t="s">
        <v>8642</v>
      </c>
      <c r="F1885" t="s">
        <v>17643</v>
      </c>
      <c r="G1885" t="s">
        <v>22584</v>
      </c>
    </row>
    <row r="1886" spans="1:7">
      <c r="A1886" t="s">
        <v>22708</v>
      </c>
      <c r="B1886" t="s">
        <v>8607</v>
      </c>
      <c r="C1886" t="s">
        <v>22647</v>
      </c>
      <c r="D1886" t="s">
        <v>17642</v>
      </c>
      <c r="E1886" t="s">
        <v>8642</v>
      </c>
      <c r="F1886" t="s">
        <v>17643</v>
      </c>
      <c r="G1886" t="s">
        <v>22584</v>
      </c>
    </row>
    <row r="1887" spans="1:7">
      <c r="A1887" t="s">
        <v>22709</v>
      </c>
      <c r="B1887" t="s">
        <v>8607</v>
      </c>
      <c r="C1887" t="s">
        <v>22647</v>
      </c>
      <c r="D1887" t="s">
        <v>17642</v>
      </c>
      <c r="E1887" t="s">
        <v>8642</v>
      </c>
      <c r="F1887" t="s">
        <v>17643</v>
      </c>
      <c r="G1887" t="s">
        <v>22690</v>
      </c>
    </row>
    <row r="1888" spans="1:7">
      <c r="A1888" t="s">
        <v>22710</v>
      </c>
      <c r="B1888" t="s">
        <v>8607</v>
      </c>
      <c r="C1888" t="s">
        <v>22647</v>
      </c>
      <c r="D1888" t="s">
        <v>17642</v>
      </c>
      <c r="E1888" t="s">
        <v>8642</v>
      </c>
      <c r="F1888" t="s">
        <v>17643</v>
      </c>
      <c r="G1888" t="s">
        <v>22690</v>
      </c>
    </row>
    <row r="1889" spans="1:7">
      <c r="A1889" t="s">
        <v>22711</v>
      </c>
      <c r="B1889" t="s">
        <v>8607</v>
      </c>
      <c r="C1889" t="s">
        <v>17641</v>
      </c>
      <c r="D1889" t="s">
        <v>17642</v>
      </c>
      <c r="E1889" t="s">
        <v>8642</v>
      </c>
      <c r="F1889" t="s">
        <v>17643</v>
      </c>
      <c r="G1889" t="s">
        <v>17644</v>
      </c>
    </row>
    <row r="1890" spans="1:7">
      <c r="A1890" t="s">
        <v>22712</v>
      </c>
      <c r="B1890" t="s">
        <v>8607</v>
      </c>
      <c r="C1890" t="s">
        <v>22647</v>
      </c>
      <c r="D1890" t="s">
        <v>17642</v>
      </c>
      <c r="E1890" t="s">
        <v>8642</v>
      </c>
      <c r="F1890" t="s">
        <v>17643</v>
      </c>
      <c r="G1890" t="s">
        <v>22664</v>
      </c>
    </row>
    <row r="1891" spans="1:7">
      <c r="A1891" t="s">
        <v>22713</v>
      </c>
      <c r="B1891" t="s">
        <v>8607</v>
      </c>
      <c r="C1891" t="s">
        <v>22647</v>
      </c>
      <c r="D1891" t="s">
        <v>17642</v>
      </c>
      <c r="E1891" t="s">
        <v>8642</v>
      </c>
      <c r="F1891" t="s">
        <v>17643</v>
      </c>
      <c r="G1891" t="s">
        <v>17644</v>
      </c>
    </row>
    <row r="1892" spans="1:7">
      <c r="A1892" t="s">
        <v>22714</v>
      </c>
      <c r="B1892" t="s">
        <v>8626</v>
      </c>
      <c r="C1892" t="s">
        <v>22628</v>
      </c>
      <c r="D1892" t="s">
        <v>22715</v>
      </c>
      <c r="E1892" t="s">
        <v>8642</v>
      </c>
      <c r="F1892" t="s">
        <v>17643</v>
      </c>
      <c r="G1892" t="s">
        <v>22716</v>
      </c>
    </row>
    <row r="1893" spans="1:7">
      <c r="A1893" t="s">
        <v>22717</v>
      </c>
      <c r="B1893" t="s">
        <v>8626</v>
      </c>
      <c r="C1893" t="s">
        <v>22624</v>
      </c>
      <c r="D1893" t="s">
        <v>22715</v>
      </c>
      <c r="E1893" t="s">
        <v>8642</v>
      </c>
      <c r="F1893" t="s">
        <v>17643</v>
      </c>
      <c r="G1893" t="s">
        <v>22716</v>
      </c>
    </row>
    <row r="1894" spans="1:7">
      <c r="A1894" t="s">
        <v>22718</v>
      </c>
      <c r="B1894" t="s">
        <v>8626</v>
      </c>
      <c r="C1894" t="s">
        <v>22624</v>
      </c>
      <c r="D1894" t="s">
        <v>22719</v>
      </c>
      <c r="E1894" t="s">
        <v>8642</v>
      </c>
      <c r="F1894" t="s">
        <v>17643</v>
      </c>
      <c r="G1894" t="s">
        <v>22716</v>
      </c>
    </row>
    <row r="1895" spans="1:7">
      <c r="A1895" t="s">
        <v>22720</v>
      </c>
      <c r="B1895" t="s">
        <v>8626</v>
      </c>
      <c r="C1895" t="s">
        <v>22628</v>
      </c>
      <c r="D1895" t="s">
        <v>22721</v>
      </c>
      <c r="E1895" t="s">
        <v>8642</v>
      </c>
      <c r="F1895" t="s">
        <v>17643</v>
      </c>
      <c r="G1895" t="s">
        <v>22722</v>
      </c>
    </row>
    <row r="1896" spans="1:7">
      <c r="A1896" t="s">
        <v>22723</v>
      </c>
      <c r="B1896" t="s">
        <v>8607</v>
      </c>
      <c r="C1896" t="s">
        <v>22647</v>
      </c>
      <c r="D1896" t="s">
        <v>22724</v>
      </c>
      <c r="E1896" t="s">
        <v>8642</v>
      </c>
      <c r="F1896" t="s">
        <v>17643</v>
      </c>
      <c r="G1896" t="s">
        <v>22725</v>
      </c>
    </row>
    <row r="1897" spans="1:7">
      <c r="A1897" t="s">
        <v>22726</v>
      </c>
      <c r="B1897" t="s">
        <v>8607</v>
      </c>
      <c r="C1897" t="s">
        <v>22727</v>
      </c>
      <c r="D1897" t="s">
        <v>22728</v>
      </c>
      <c r="E1897" t="s">
        <v>8642</v>
      </c>
      <c r="F1897" t="s">
        <v>17643</v>
      </c>
      <c r="G1897" t="s">
        <v>22729</v>
      </c>
    </row>
    <row r="1898" spans="1:7">
      <c r="A1898" t="s">
        <v>22730</v>
      </c>
      <c r="B1898" t="s">
        <v>8626</v>
      </c>
      <c r="C1898" t="s">
        <v>22731</v>
      </c>
      <c r="D1898" t="s">
        <v>22732</v>
      </c>
      <c r="E1898" t="s">
        <v>8642</v>
      </c>
      <c r="F1898" t="s">
        <v>8691</v>
      </c>
      <c r="G1898" t="s">
        <v>22733</v>
      </c>
    </row>
    <row r="1899" spans="1:7">
      <c r="A1899" t="s">
        <v>22734</v>
      </c>
      <c r="B1899" t="s">
        <v>8626</v>
      </c>
      <c r="C1899" t="s">
        <v>22735</v>
      </c>
      <c r="D1899" t="s">
        <v>22736</v>
      </c>
      <c r="E1899" t="s">
        <v>8642</v>
      </c>
      <c r="F1899" t="s">
        <v>22737</v>
      </c>
      <c r="G1899" t="s">
        <v>22738</v>
      </c>
    </row>
    <row r="1900" spans="1:7">
      <c r="A1900" t="s">
        <v>22739</v>
      </c>
      <c r="B1900" t="s">
        <v>8607</v>
      </c>
      <c r="C1900" t="s">
        <v>22735</v>
      </c>
      <c r="D1900" t="s">
        <v>22740</v>
      </c>
      <c r="E1900" t="s">
        <v>8642</v>
      </c>
      <c r="F1900" t="s">
        <v>22737</v>
      </c>
      <c r="G1900" t="s">
        <v>22741</v>
      </c>
    </row>
    <row r="1901" spans="1:7">
      <c r="A1901" t="s">
        <v>22742</v>
      </c>
      <c r="B1901" t="s">
        <v>8626</v>
      </c>
      <c r="C1901" t="s">
        <v>22743</v>
      </c>
      <c r="D1901" t="s">
        <v>22744</v>
      </c>
      <c r="E1901" t="s">
        <v>8642</v>
      </c>
      <c r="F1901" t="s">
        <v>22737</v>
      </c>
      <c r="G1901" t="s">
        <v>22745</v>
      </c>
    </row>
    <row r="1902" spans="1:7">
      <c r="A1902" t="s">
        <v>22746</v>
      </c>
      <c r="B1902" t="s">
        <v>8626</v>
      </c>
      <c r="C1902" t="s">
        <v>22743</v>
      </c>
      <c r="D1902" t="s">
        <v>22744</v>
      </c>
      <c r="E1902" t="s">
        <v>8642</v>
      </c>
      <c r="F1902" t="s">
        <v>22737</v>
      </c>
      <c r="G1902" t="s">
        <v>22747</v>
      </c>
    </row>
    <row r="1903" spans="1:7">
      <c r="A1903" t="s">
        <v>22748</v>
      </c>
      <c r="B1903" t="s">
        <v>8626</v>
      </c>
      <c r="C1903" t="s">
        <v>22749</v>
      </c>
      <c r="D1903" t="s">
        <v>22744</v>
      </c>
      <c r="E1903" t="s">
        <v>8642</v>
      </c>
      <c r="F1903" t="s">
        <v>22737</v>
      </c>
      <c r="G1903" t="s">
        <v>22750</v>
      </c>
    </row>
    <row r="1904" spans="1:7">
      <c r="A1904" t="s">
        <v>22751</v>
      </c>
      <c r="B1904" t="s">
        <v>8626</v>
      </c>
      <c r="C1904" t="s">
        <v>22749</v>
      </c>
      <c r="D1904" t="s">
        <v>22752</v>
      </c>
      <c r="E1904" t="s">
        <v>8642</v>
      </c>
      <c r="F1904" t="s">
        <v>22737</v>
      </c>
      <c r="G1904" t="s">
        <v>22753</v>
      </c>
    </row>
    <row r="1905" spans="1:7">
      <c r="A1905" t="s">
        <v>22754</v>
      </c>
      <c r="C1905" t="s">
        <v>22755</v>
      </c>
      <c r="D1905" t="s">
        <v>22756</v>
      </c>
      <c r="E1905" t="s">
        <v>8642</v>
      </c>
      <c r="G1905" t="s">
        <v>22757</v>
      </c>
    </row>
    <row r="1906" spans="1:7">
      <c r="A1906" t="s">
        <v>22758</v>
      </c>
      <c r="B1906" t="s">
        <v>8626</v>
      </c>
      <c r="C1906" t="s">
        <v>22759</v>
      </c>
      <c r="D1906" t="s">
        <v>22760</v>
      </c>
      <c r="E1906" t="s">
        <v>8642</v>
      </c>
      <c r="G1906" t="s">
        <v>22761</v>
      </c>
    </row>
    <row r="1907" spans="1:7">
      <c r="A1907" t="s">
        <v>22762</v>
      </c>
      <c r="B1907" t="s">
        <v>8626</v>
      </c>
      <c r="C1907" t="s">
        <v>22763</v>
      </c>
      <c r="D1907" t="s">
        <v>22764</v>
      </c>
      <c r="E1907" t="s">
        <v>8642</v>
      </c>
      <c r="G1907" t="s">
        <v>22765</v>
      </c>
    </row>
    <row r="1908" spans="1:7">
      <c r="A1908" t="s">
        <v>22766</v>
      </c>
      <c r="B1908" t="s">
        <v>8626</v>
      </c>
      <c r="C1908" t="s">
        <v>22767</v>
      </c>
      <c r="D1908" t="s">
        <v>22768</v>
      </c>
      <c r="E1908" t="s">
        <v>8642</v>
      </c>
      <c r="F1908" t="s">
        <v>22769</v>
      </c>
      <c r="G1908" t="s">
        <v>22770</v>
      </c>
    </row>
    <row r="1909" spans="1:7">
      <c r="A1909" t="s">
        <v>22771</v>
      </c>
      <c r="B1909" t="s">
        <v>8607</v>
      </c>
      <c r="D1909" t="s">
        <v>22772</v>
      </c>
      <c r="E1909" t="s">
        <v>8642</v>
      </c>
      <c r="F1909" t="s">
        <v>22769</v>
      </c>
      <c r="G1909" t="s">
        <v>22773</v>
      </c>
    </row>
    <row r="1910" spans="1:7">
      <c r="A1910" t="s">
        <v>22774</v>
      </c>
      <c r="B1910" t="s">
        <v>8626</v>
      </c>
      <c r="C1910" t="s">
        <v>22775</v>
      </c>
      <c r="D1910" t="s">
        <v>22776</v>
      </c>
      <c r="E1910" t="s">
        <v>8642</v>
      </c>
      <c r="F1910" t="s">
        <v>22769</v>
      </c>
      <c r="G1910" t="s">
        <v>22777</v>
      </c>
    </row>
    <row r="1911" spans="1:7">
      <c r="A1911" t="s">
        <v>22778</v>
      </c>
      <c r="B1911" t="s">
        <v>8626</v>
      </c>
      <c r="C1911" t="s">
        <v>22779</v>
      </c>
      <c r="D1911" t="s">
        <v>22780</v>
      </c>
      <c r="E1911" t="s">
        <v>8642</v>
      </c>
      <c r="F1911" t="s">
        <v>22781</v>
      </c>
      <c r="G1911" t="s">
        <v>22782</v>
      </c>
    </row>
    <row r="1912" spans="1:7">
      <c r="A1912" t="s">
        <v>22783</v>
      </c>
      <c r="B1912" t="s">
        <v>8626</v>
      </c>
      <c r="C1912" t="s">
        <v>22784</v>
      </c>
      <c r="D1912" t="s">
        <v>22785</v>
      </c>
      <c r="E1912" t="s">
        <v>8642</v>
      </c>
      <c r="F1912" t="s">
        <v>22781</v>
      </c>
      <c r="G1912" t="s">
        <v>22786</v>
      </c>
    </row>
    <row r="1913" spans="1:7">
      <c r="A1913" t="s">
        <v>22787</v>
      </c>
      <c r="B1913" t="s">
        <v>8626</v>
      </c>
      <c r="C1913" t="s">
        <v>22779</v>
      </c>
      <c r="D1913" t="s">
        <v>22788</v>
      </c>
      <c r="E1913" t="s">
        <v>8642</v>
      </c>
      <c r="F1913" t="s">
        <v>22781</v>
      </c>
      <c r="G1913" t="s">
        <v>22789</v>
      </c>
    </row>
    <row r="1914" spans="1:7">
      <c r="A1914" t="s">
        <v>22790</v>
      </c>
      <c r="B1914" t="s">
        <v>8626</v>
      </c>
      <c r="C1914" t="s">
        <v>22779</v>
      </c>
      <c r="D1914" t="s">
        <v>22788</v>
      </c>
      <c r="E1914" t="s">
        <v>8642</v>
      </c>
      <c r="F1914" t="s">
        <v>22781</v>
      </c>
      <c r="G1914" t="s">
        <v>22791</v>
      </c>
    </row>
    <row r="1915" spans="1:7">
      <c r="A1915" t="s">
        <v>22792</v>
      </c>
      <c r="B1915" t="s">
        <v>8626</v>
      </c>
      <c r="D1915" t="s">
        <v>22793</v>
      </c>
      <c r="E1915" t="s">
        <v>8642</v>
      </c>
      <c r="F1915" t="s">
        <v>22769</v>
      </c>
      <c r="G1915" t="s">
        <v>22777</v>
      </c>
    </row>
    <row r="1916" spans="1:7">
      <c r="A1916" t="s">
        <v>22794</v>
      </c>
      <c r="B1916" t="s">
        <v>8626</v>
      </c>
      <c r="D1916" t="s">
        <v>22793</v>
      </c>
      <c r="E1916" t="s">
        <v>8642</v>
      </c>
      <c r="F1916" t="s">
        <v>22769</v>
      </c>
      <c r="G1916" t="s">
        <v>22777</v>
      </c>
    </row>
    <row r="1917" spans="1:7">
      <c r="A1917" t="s">
        <v>22795</v>
      </c>
      <c r="B1917" t="s">
        <v>8626</v>
      </c>
      <c r="D1917" t="s">
        <v>22793</v>
      </c>
      <c r="E1917" t="s">
        <v>8642</v>
      </c>
      <c r="F1917" t="s">
        <v>22769</v>
      </c>
      <c r="G1917" t="s">
        <v>22796</v>
      </c>
    </row>
    <row r="1918" spans="1:7">
      <c r="A1918" t="s">
        <v>22797</v>
      </c>
      <c r="B1918" t="s">
        <v>8626</v>
      </c>
      <c r="C1918" t="s">
        <v>22784</v>
      </c>
      <c r="D1918" t="s">
        <v>22798</v>
      </c>
      <c r="E1918" t="s">
        <v>8642</v>
      </c>
      <c r="F1918" t="s">
        <v>22781</v>
      </c>
      <c r="G1918" t="s">
        <v>22799</v>
      </c>
    </row>
    <row r="1919" spans="1:7">
      <c r="A1919" t="s">
        <v>22800</v>
      </c>
      <c r="B1919" t="s">
        <v>8607</v>
      </c>
      <c r="C1919" t="s">
        <v>22784</v>
      </c>
      <c r="D1919" t="s">
        <v>22801</v>
      </c>
      <c r="E1919" t="s">
        <v>8642</v>
      </c>
      <c r="F1919" t="s">
        <v>22781</v>
      </c>
      <c r="G1919" t="s">
        <v>22802</v>
      </c>
    </row>
    <row r="1920" spans="1:7">
      <c r="A1920" t="s">
        <v>22803</v>
      </c>
      <c r="B1920" t="s">
        <v>8607</v>
      </c>
      <c r="C1920" t="s">
        <v>22804</v>
      </c>
      <c r="D1920" t="s">
        <v>22805</v>
      </c>
      <c r="E1920" t="s">
        <v>8642</v>
      </c>
      <c r="F1920" t="s">
        <v>22806</v>
      </c>
      <c r="G1920" t="s">
        <v>22807</v>
      </c>
    </row>
    <row r="1921" spans="1:7">
      <c r="A1921" t="s">
        <v>22808</v>
      </c>
      <c r="B1921" t="s">
        <v>8607</v>
      </c>
      <c r="C1921" t="s">
        <v>22809</v>
      </c>
      <c r="D1921" t="s">
        <v>22810</v>
      </c>
      <c r="E1921" t="s">
        <v>8642</v>
      </c>
      <c r="F1921" t="s">
        <v>22806</v>
      </c>
      <c r="G1921" t="s">
        <v>22811</v>
      </c>
    </row>
    <row r="1922" spans="1:7">
      <c r="A1922" t="s">
        <v>22812</v>
      </c>
      <c r="B1922" t="s">
        <v>8607</v>
      </c>
      <c r="C1922" t="s">
        <v>22813</v>
      </c>
      <c r="D1922" t="s">
        <v>22814</v>
      </c>
      <c r="E1922" t="s">
        <v>8642</v>
      </c>
      <c r="F1922" t="s">
        <v>22806</v>
      </c>
      <c r="G1922" t="s">
        <v>22815</v>
      </c>
    </row>
    <row r="1923" spans="1:7">
      <c r="A1923" t="s">
        <v>22816</v>
      </c>
      <c r="B1923" t="s">
        <v>8607</v>
      </c>
      <c r="C1923" t="s">
        <v>22813</v>
      </c>
      <c r="D1923" t="s">
        <v>22817</v>
      </c>
      <c r="E1923" t="s">
        <v>8642</v>
      </c>
      <c r="F1923" t="s">
        <v>22806</v>
      </c>
      <c r="G1923" t="s">
        <v>22818</v>
      </c>
    </row>
    <row r="1924" spans="1:7">
      <c r="A1924" t="s">
        <v>22819</v>
      </c>
      <c r="B1924" t="s">
        <v>8626</v>
      </c>
      <c r="C1924" t="s">
        <v>22813</v>
      </c>
      <c r="D1924" t="s">
        <v>22820</v>
      </c>
      <c r="E1924" t="s">
        <v>8642</v>
      </c>
      <c r="F1924" t="s">
        <v>22806</v>
      </c>
      <c r="G1924" t="s">
        <v>22821</v>
      </c>
    </row>
    <row r="1925" spans="1:7">
      <c r="A1925" t="s">
        <v>22822</v>
      </c>
      <c r="D1925" t="s">
        <v>22823</v>
      </c>
      <c r="E1925" t="s">
        <v>8642</v>
      </c>
      <c r="G1925" t="s">
        <v>22824</v>
      </c>
    </row>
    <row r="1926" spans="1:7">
      <c r="A1926" t="s">
        <v>22825</v>
      </c>
      <c r="B1926" t="s">
        <v>8626</v>
      </c>
      <c r="D1926" t="s">
        <v>22826</v>
      </c>
      <c r="E1926" t="s">
        <v>8642</v>
      </c>
      <c r="G1926" t="s">
        <v>22827</v>
      </c>
    </row>
    <row r="1927" spans="1:7">
      <c r="A1927" t="s">
        <v>22828</v>
      </c>
      <c r="B1927" t="s">
        <v>8626</v>
      </c>
      <c r="C1927" t="s">
        <v>22829</v>
      </c>
      <c r="D1927" t="s">
        <v>22830</v>
      </c>
      <c r="E1927" t="s">
        <v>8642</v>
      </c>
      <c r="F1927" t="s">
        <v>22831</v>
      </c>
      <c r="G1927" t="s">
        <v>22832</v>
      </c>
    </row>
    <row r="1928" spans="1:7">
      <c r="A1928" t="s">
        <v>22833</v>
      </c>
      <c r="B1928" t="s">
        <v>8626</v>
      </c>
      <c r="C1928" t="s">
        <v>22829</v>
      </c>
      <c r="D1928" t="s">
        <v>22834</v>
      </c>
      <c r="E1928" t="s">
        <v>8642</v>
      </c>
      <c r="F1928" t="s">
        <v>22831</v>
      </c>
      <c r="G1928" t="s">
        <v>22835</v>
      </c>
    </row>
    <row r="1929" spans="1:7">
      <c r="A1929" t="s">
        <v>22836</v>
      </c>
      <c r="B1929" t="s">
        <v>8626</v>
      </c>
      <c r="C1929" t="s">
        <v>22837</v>
      </c>
      <c r="D1929" t="s">
        <v>22834</v>
      </c>
      <c r="E1929" t="s">
        <v>8642</v>
      </c>
      <c r="F1929" t="s">
        <v>22831</v>
      </c>
      <c r="G1929" t="s">
        <v>22838</v>
      </c>
    </row>
    <row r="1930" spans="1:7">
      <c r="A1930" t="s">
        <v>22839</v>
      </c>
      <c r="B1930" t="s">
        <v>8626</v>
      </c>
      <c r="C1930" t="s">
        <v>22837</v>
      </c>
      <c r="D1930" t="s">
        <v>22840</v>
      </c>
      <c r="E1930" t="s">
        <v>8642</v>
      </c>
      <c r="F1930" t="s">
        <v>22831</v>
      </c>
      <c r="G1930" t="s">
        <v>22841</v>
      </c>
    </row>
    <row r="1931" spans="1:7">
      <c r="A1931" t="s">
        <v>22842</v>
      </c>
      <c r="B1931" t="s">
        <v>8626</v>
      </c>
      <c r="C1931" t="s">
        <v>22843</v>
      </c>
      <c r="D1931" t="s">
        <v>22840</v>
      </c>
      <c r="E1931" t="s">
        <v>8642</v>
      </c>
      <c r="G1931" t="s">
        <v>22844</v>
      </c>
    </row>
    <row r="1932" spans="1:7">
      <c r="A1932" t="s">
        <v>22845</v>
      </c>
      <c r="B1932" t="s">
        <v>8626</v>
      </c>
      <c r="C1932" t="s">
        <v>22846</v>
      </c>
      <c r="D1932" t="s">
        <v>22847</v>
      </c>
      <c r="E1932" t="s">
        <v>8642</v>
      </c>
      <c r="F1932" t="s">
        <v>9476</v>
      </c>
      <c r="G1932" t="s">
        <v>22848</v>
      </c>
    </row>
    <row r="1933" spans="1:7">
      <c r="A1933" t="s">
        <v>22849</v>
      </c>
      <c r="B1933" t="s">
        <v>8626</v>
      </c>
      <c r="C1933" t="s">
        <v>22846</v>
      </c>
      <c r="D1933" t="s">
        <v>22847</v>
      </c>
      <c r="E1933" t="s">
        <v>8642</v>
      </c>
      <c r="F1933" t="s">
        <v>9476</v>
      </c>
      <c r="G1933" t="s">
        <v>22850</v>
      </c>
    </row>
    <row r="1934" spans="1:7">
      <c r="A1934" t="s">
        <v>22851</v>
      </c>
      <c r="B1934" t="s">
        <v>8626</v>
      </c>
      <c r="C1934" t="s">
        <v>22846</v>
      </c>
      <c r="D1934" t="s">
        <v>22847</v>
      </c>
      <c r="E1934" t="s">
        <v>8642</v>
      </c>
      <c r="F1934" t="s">
        <v>9476</v>
      </c>
      <c r="G1934" t="s">
        <v>22852</v>
      </c>
    </row>
    <row r="1935" spans="1:7">
      <c r="A1935" t="s">
        <v>22853</v>
      </c>
      <c r="B1935" t="s">
        <v>8607</v>
      </c>
      <c r="C1935" t="s">
        <v>22846</v>
      </c>
      <c r="D1935" t="s">
        <v>22854</v>
      </c>
      <c r="E1935" t="s">
        <v>8642</v>
      </c>
      <c r="F1935" t="s">
        <v>9476</v>
      </c>
      <c r="G1935" t="s">
        <v>22855</v>
      </c>
    </row>
    <row r="1936" spans="1:7">
      <c r="A1936" t="s">
        <v>22856</v>
      </c>
      <c r="B1936" t="s">
        <v>8626</v>
      </c>
      <c r="C1936" t="s">
        <v>22846</v>
      </c>
      <c r="D1936" t="s">
        <v>22854</v>
      </c>
      <c r="E1936" t="s">
        <v>8642</v>
      </c>
      <c r="F1936" t="s">
        <v>9476</v>
      </c>
      <c r="G1936" t="s">
        <v>22857</v>
      </c>
    </row>
    <row r="1937" spans="1:7">
      <c r="A1937" t="s">
        <v>22858</v>
      </c>
      <c r="B1937" t="s">
        <v>8626</v>
      </c>
      <c r="C1937" t="s">
        <v>14845</v>
      </c>
      <c r="D1937" t="s">
        <v>22859</v>
      </c>
      <c r="E1937" t="s">
        <v>8642</v>
      </c>
      <c r="F1937" t="s">
        <v>9476</v>
      </c>
      <c r="G1937" t="s">
        <v>22860</v>
      </c>
    </row>
    <row r="1938" spans="1:7">
      <c r="A1938" t="s">
        <v>22861</v>
      </c>
      <c r="B1938" t="s">
        <v>8607</v>
      </c>
      <c r="C1938" t="s">
        <v>22862</v>
      </c>
      <c r="D1938" t="s">
        <v>22863</v>
      </c>
      <c r="E1938" t="s">
        <v>8642</v>
      </c>
      <c r="F1938" t="s">
        <v>22864</v>
      </c>
      <c r="G1938" t="s">
        <v>22865</v>
      </c>
    </row>
    <row r="1939" spans="1:7">
      <c r="A1939" t="s">
        <v>22866</v>
      </c>
      <c r="B1939" t="s">
        <v>8607</v>
      </c>
      <c r="C1939" t="s">
        <v>22867</v>
      </c>
      <c r="D1939" t="s">
        <v>22868</v>
      </c>
      <c r="E1939" t="s">
        <v>8642</v>
      </c>
      <c r="F1939" t="s">
        <v>9476</v>
      </c>
      <c r="G1939" t="s">
        <v>22869</v>
      </c>
    </row>
    <row r="1940" spans="1:7">
      <c r="A1940" t="s">
        <v>22870</v>
      </c>
      <c r="B1940" t="s">
        <v>8607</v>
      </c>
      <c r="D1940" t="s">
        <v>22871</v>
      </c>
      <c r="E1940" t="s">
        <v>8642</v>
      </c>
      <c r="F1940" t="s">
        <v>9476</v>
      </c>
      <c r="G1940" t="s">
        <v>22872</v>
      </c>
    </row>
    <row r="1941" spans="1:7">
      <c r="A1941" t="s">
        <v>22873</v>
      </c>
      <c r="B1941" t="s">
        <v>8626</v>
      </c>
      <c r="C1941" t="s">
        <v>22874</v>
      </c>
      <c r="D1941" t="s">
        <v>22875</v>
      </c>
      <c r="E1941" t="s">
        <v>8642</v>
      </c>
      <c r="F1941" t="s">
        <v>9476</v>
      </c>
      <c r="G1941" t="s">
        <v>22876</v>
      </c>
    </row>
    <row r="1942" spans="1:7">
      <c r="A1942" t="s">
        <v>22877</v>
      </c>
      <c r="B1942" t="s">
        <v>8607</v>
      </c>
      <c r="C1942" t="s">
        <v>22846</v>
      </c>
      <c r="D1942" t="s">
        <v>22878</v>
      </c>
      <c r="E1942" t="s">
        <v>8642</v>
      </c>
      <c r="F1942" t="s">
        <v>9476</v>
      </c>
      <c r="G1942" t="s">
        <v>22879</v>
      </c>
    </row>
    <row r="1943" spans="1:7">
      <c r="A1943" t="s">
        <v>22880</v>
      </c>
      <c r="B1943" t="s">
        <v>8626</v>
      </c>
      <c r="C1943" t="s">
        <v>22846</v>
      </c>
      <c r="D1943" t="s">
        <v>22878</v>
      </c>
      <c r="E1943" t="s">
        <v>8642</v>
      </c>
      <c r="F1943" t="s">
        <v>9476</v>
      </c>
      <c r="G1943" t="s">
        <v>22881</v>
      </c>
    </row>
    <row r="1944" spans="1:7">
      <c r="A1944" t="s">
        <v>22882</v>
      </c>
      <c r="B1944" t="s">
        <v>8607</v>
      </c>
      <c r="C1944" t="s">
        <v>22846</v>
      </c>
      <c r="D1944" t="s">
        <v>22878</v>
      </c>
      <c r="E1944" t="s">
        <v>8642</v>
      </c>
      <c r="F1944" t="s">
        <v>9476</v>
      </c>
      <c r="G1944" t="s">
        <v>22879</v>
      </c>
    </row>
    <row r="1945" spans="1:7">
      <c r="A1945" t="s">
        <v>22883</v>
      </c>
      <c r="B1945" t="s">
        <v>8607</v>
      </c>
      <c r="C1945" t="s">
        <v>22846</v>
      </c>
      <c r="D1945" t="s">
        <v>22878</v>
      </c>
      <c r="E1945" t="s">
        <v>8642</v>
      </c>
      <c r="F1945" t="s">
        <v>9476</v>
      </c>
      <c r="G1945" t="s">
        <v>22879</v>
      </c>
    </row>
    <row r="1946" spans="1:7">
      <c r="A1946" t="s">
        <v>22884</v>
      </c>
      <c r="B1946" t="s">
        <v>8626</v>
      </c>
      <c r="C1946" t="s">
        <v>14845</v>
      </c>
      <c r="D1946" t="s">
        <v>22885</v>
      </c>
      <c r="E1946" t="s">
        <v>8642</v>
      </c>
      <c r="F1946" t="s">
        <v>9476</v>
      </c>
      <c r="G1946" t="s">
        <v>22886</v>
      </c>
    </row>
    <row r="1947" spans="1:7">
      <c r="A1947" t="s">
        <v>22887</v>
      </c>
      <c r="B1947" t="s">
        <v>8607</v>
      </c>
      <c r="C1947" t="s">
        <v>22846</v>
      </c>
      <c r="D1947" t="s">
        <v>22888</v>
      </c>
      <c r="E1947" t="s">
        <v>8642</v>
      </c>
      <c r="F1947" t="s">
        <v>9476</v>
      </c>
      <c r="G1947" t="s">
        <v>22889</v>
      </c>
    </row>
    <row r="1948" spans="1:7">
      <c r="A1948" t="s">
        <v>22890</v>
      </c>
      <c r="B1948" t="s">
        <v>8626</v>
      </c>
      <c r="C1948" t="s">
        <v>22891</v>
      </c>
      <c r="D1948" t="s">
        <v>22892</v>
      </c>
      <c r="E1948" t="s">
        <v>8642</v>
      </c>
      <c r="F1948" t="s">
        <v>9476</v>
      </c>
      <c r="G1948" t="s">
        <v>22893</v>
      </c>
    </row>
    <row r="1949" spans="1:7">
      <c r="A1949" t="s">
        <v>22894</v>
      </c>
      <c r="B1949" t="s">
        <v>8626</v>
      </c>
      <c r="C1949" t="s">
        <v>22846</v>
      </c>
      <c r="D1949" t="s">
        <v>22895</v>
      </c>
      <c r="E1949" t="s">
        <v>8642</v>
      </c>
      <c r="F1949" t="s">
        <v>9476</v>
      </c>
      <c r="G1949" t="s">
        <v>22896</v>
      </c>
    </row>
    <row r="1950" spans="1:7">
      <c r="A1950" t="s">
        <v>22897</v>
      </c>
      <c r="B1950" t="s">
        <v>8626</v>
      </c>
      <c r="C1950" t="s">
        <v>22898</v>
      </c>
      <c r="D1950" t="s">
        <v>22899</v>
      </c>
      <c r="E1950" t="s">
        <v>8642</v>
      </c>
      <c r="F1950" t="s">
        <v>22900</v>
      </c>
      <c r="G1950" t="s">
        <v>22901</v>
      </c>
    </row>
    <row r="1951" spans="1:7">
      <c r="A1951" t="s">
        <v>22902</v>
      </c>
      <c r="B1951" t="s">
        <v>8626</v>
      </c>
      <c r="D1951" t="s">
        <v>22899</v>
      </c>
      <c r="E1951" t="s">
        <v>8642</v>
      </c>
      <c r="F1951" t="s">
        <v>22900</v>
      </c>
      <c r="G1951" t="s">
        <v>22903</v>
      </c>
    </row>
    <row r="1952" spans="1:7">
      <c r="A1952" t="s">
        <v>22904</v>
      </c>
      <c r="B1952" t="s">
        <v>8626</v>
      </c>
      <c r="D1952" t="s">
        <v>22899</v>
      </c>
      <c r="E1952" t="s">
        <v>8642</v>
      </c>
      <c r="F1952" t="s">
        <v>22900</v>
      </c>
      <c r="G1952" t="s">
        <v>22903</v>
      </c>
    </row>
    <row r="1953" spans="1:7">
      <c r="A1953" t="s">
        <v>22905</v>
      </c>
      <c r="B1953" t="s">
        <v>8607</v>
      </c>
      <c r="D1953" t="s">
        <v>22899</v>
      </c>
      <c r="E1953" t="s">
        <v>8642</v>
      </c>
      <c r="F1953" t="s">
        <v>22900</v>
      </c>
      <c r="G1953" t="s">
        <v>22906</v>
      </c>
    </row>
    <row r="1954" spans="1:7">
      <c r="A1954" t="s">
        <v>22907</v>
      </c>
      <c r="B1954" t="s">
        <v>8626</v>
      </c>
      <c r="D1954" t="s">
        <v>22899</v>
      </c>
      <c r="E1954" t="s">
        <v>8642</v>
      </c>
      <c r="F1954" t="s">
        <v>22900</v>
      </c>
      <c r="G1954" t="s">
        <v>22903</v>
      </c>
    </row>
    <row r="1955" spans="1:7">
      <c r="A1955" t="s">
        <v>22908</v>
      </c>
      <c r="B1955" t="s">
        <v>8626</v>
      </c>
      <c r="D1955" t="s">
        <v>22899</v>
      </c>
      <c r="E1955" t="s">
        <v>8642</v>
      </c>
      <c r="F1955" t="s">
        <v>22900</v>
      </c>
      <c r="G1955" t="s">
        <v>22903</v>
      </c>
    </row>
    <row r="1956" spans="1:7">
      <c r="A1956" t="s">
        <v>22909</v>
      </c>
      <c r="D1956" t="s">
        <v>22910</v>
      </c>
      <c r="E1956" t="s">
        <v>8642</v>
      </c>
      <c r="G1956" t="s">
        <v>22911</v>
      </c>
    </row>
    <row r="1957" spans="1:7">
      <c r="A1957" t="s">
        <v>22912</v>
      </c>
      <c r="B1957" t="s">
        <v>8607</v>
      </c>
      <c r="D1957" t="s">
        <v>22913</v>
      </c>
      <c r="E1957" t="s">
        <v>8642</v>
      </c>
      <c r="F1957" t="s">
        <v>22914</v>
      </c>
      <c r="G1957" t="s">
        <v>22915</v>
      </c>
    </row>
    <row r="1958" spans="1:7">
      <c r="A1958" t="s">
        <v>22916</v>
      </c>
      <c r="B1958" t="s">
        <v>8626</v>
      </c>
      <c r="C1958" t="s">
        <v>22917</v>
      </c>
      <c r="D1958" t="s">
        <v>22918</v>
      </c>
      <c r="E1958" t="s">
        <v>8642</v>
      </c>
      <c r="F1958" t="s">
        <v>15927</v>
      </c>
      <c r="G1958" t="s">
        <v>22919</v>
      </c>
    </row>
    <row r="1959" spans="1:7">
      <c r="A1959" t="s">
        <v>22920</v>
      </c>
      <c r="D1959" t="s">
        <v>22921</v>
      </c>
      <c r="E1959" t="s">
        <v>8642</v>
      </c>
      <c r="G1959" t="s">
        <v>22922</v>
      </c>
    </row>
    <row r="1960" spans="1:7">
      <c r="A1960" t="s">
        <v>22923</v>
      </c>
      <c r="D1960" t="s">
        <v>22921</v>
      </c>
      <c r="E1960" t="s">
        <v>8642</v>
      </c>
      <c r="G1960" t="s">
        <v>22924</v>
      </c>
    </row>
    <row r="1961" spans="1:7">
      <c r="A1961" t="s">
        <v>22925</v>
      </c>
      <c r="B1961" t="s">
        <v>8626</v>
      </c>
      <c r="C1961" t="s">
        <v>22926</v>
      </c>
      <c r="D1961" t="s">
        <v>22927</v>
      </c>
      <c r="E1961" t="s">
        <v>8642</v>
      </c>
      <c r="F1961" t="s">
        <v>19455</v>
      </c>
      <c r="G1961" t="s">
        <v>22928</v>
      </c>
    </row>
    <row r="1962" spans="1:7">
      <c r="A1962" t="s">
        <v>22929</v>
      </c>
      <c r="B1962" t="s">
        <v>8626</v>
      </c>
      <c r="D1962" t="s">
        <v>22930</v>
      </c>
      <c r="E1962" t="s">
        <v>8642</v>
      </c>
      <c r="F1962" t="s">
        <v>16412</v>
      </c>
      <c r="G1962" t="s">
        <v>22931</v>
      </c>
    </row>
    <row r="1963" spans="1:7">
      <c r="A1963" t="s">
        <v>22932</v>
      </c>
      <c r="B1963" t="s">
        <v>8607</v>
      </c>
      <c r="C1963" t="s">
        <v>17708</v>
      </c>
      <c r="D1963" t="s">
        <v>22933</v>
      </c>
      <c r="E1963" t="s">
        <v>8642</v>
      </c>
      <c r="F1963" t="s">
        <v>19455</v>
      </c>
      <c r="G1963" t="s">
        <v>22934</v>
      </c>
    </row>
    <row r="1964" spans="1:7">
      <c r="A1964" t="s">
        <v>22935</v>
      </c>
      <c r="B1964" t="s">
        <v>8626</v>
      </c>
      <c r="D1964" t="s">
        <v>22933</v>
      </c>
      <c r="E1964" t="s">
        <v>8642</v>
      </c>
      <c r="F1964" t="s">
        <v>19455</v>
      </c>
      <c r="G1964" t="s">
        <v>22936</v>
      </c>
    </row>
    <row r="1965" spans="1:7">
      <c r="A1965" t="s">
        <v>22937</v>
      </c>
      <c r="B1965" t="s">
        <v>8607</v>
      </c>
      <c r="D1965" t="s">
        <v>22938</v>
      </c>
      <c r="E1965" t="s">
        <v>8642</v>
      </c>
      <c r="G1965" t="s">
        <v>22939</v>
      </c>
    </row>
    <row r="1966" spans="1:7">
      <c r="A1966" t="s">
        <v>22940</v>
      </c>
      <c r="B1966" t="s">
        <v>8607</v>
      </c>
      <c r="D1966" t="s">
        <v>22941</v>
      </c>
      <c r="E1966" t="s">
        <v>8642</v>
      </c>
      <c r="F1966" t="s">
        <v>22942</v>
      </c>
      <c r="G1966" t="s">
        <v>22943</v>
      </c>
    </row>
    <row r="1967" spans="1:7">
      <c r="A1967" t="s">
        <v>22944</v>
      </c>
      <c r="B1967" t="s">
        <v>8607</v>
      </c>
      <c r="D1967" t="s">
        <v>22941</v>
      </c>
      <c r="E1967" t="s">
        <v>8642</v>
      </c>
      <c r="F1967" t="s">
        <v>22942</v>
      </c>
      <c r="G1967" t="s">
        <v>22943</v>
      </c>
    </row>
    <row r="1968" spans="1:7">
      <c r="A1968" t="s">
        <v>22945</v>
      </c>
      <c r="B1968" t="s">
        <v>8607</v>
      </c>
      <c r="D1968" t="s">
        <v>22941</v>
      </c>
      <c r="E1968" t="s">
        <v>8642</v>
      </c>
      <c r="F1968" t="s">
        <v>22942</v>
      </c>
      <c r="G1968" t="s">
        <v>22946</v>
      </c>
    </row>
    <row r="1969" spans="1:7">
      <c r="A1969" t="s">
        <v>22947</v>
      </c>
      <c r="D1969" t="s">
        <v>22948</v>
      </c>
      <c r="E1969" t="s">
        <v>8642</v>
      </c>
      <c r="G1969" t="s">
        <v>22949</v>
      </c>
    </row>
    <row r="1970" spans="1:7">
      <c r="A1970" t="s">
        <v>22950</v>
      </c>
      <c r="B1970" t="s">
        <v>8626</v>
      </c>
      <c r="C1970" t="s">
        <v>22951</v>
      </c>
      <c r="D1970" t="s">
        <v>22952</v>
      </c>
      <c r="E1970" t="s">
        <v>8642</v>
      </c>
      <c r="F1970" t="s">
        <v>22942</v>
      </c>
      <c r="G1970" t="s">
        <v>22953</v>
      </c>
    </row>
    <row r="1971" spans="1:7">
      <c r="A1971" t="s">
        <v>22954</v>
      </c>
      <c r="B1971" t="s">
        <v>8626</v>
      </c>
      <c r="C1971" t="s">
        <v>22955</v>
      </c>
      <c r="D1971" t="s">
        <v>22952</v>
      </c>
      <c r="E1971" t="s">
        <v>8642</v>
      </c>
      <c r="F1971" t="s">
        <v>22942</v>
      </c>
      <c r="G1971" t="s">
        <v>22953</v>
      </c>
    </row>
    <row r="1972" spans="1:7">
      <c r="A1972" t="s">
        <v>22956</v>
      </c>
      <c r="B1972" t="s">
        <v>8626</v>
      </c>
      <c r="C1972" t="s">
        <v>22955</v>
      </c>
      <c r="D1972" t="s">
        <v>22952</v>
      </c>
      <c r="E1972" t="s">
        <v>8642</v>
      </c>
      <c r="F1972" t="s">
        <v>22942</v>
      </c>
      <c r="G1972" t="s">
        <v>22953</v>
      </c>
    </row>
    <row r="1973" spans="1:7">
      <c r="A1973" t="s">
        <v>22957</v>
      </c>
      <c r="B1973" t="s">
        <v>8626</v>
      </c>
      <c r="D1973" t="s">
        <v>22958</v>
      </c>
      <c r="E1973" t="s">
        <v>8642</v>
      </c>
      <c r="F1973" t="s">
        <v>9606</v>
      </c>
      <c r="G1973" t="s">
        <v>22959</v>
      </c>
    </row>
    <row r="1974" spans="1:7">
      <c r="A1974" t="s">
        <v>22960</v>
      </c>
      <c r="B1974" t="s">
        <v>8607</v>
      </c>
      <c r="D1974" t="s">
        <v>22958</v>
      </c>
      <c r="E1974" t="s">
        <v>8642</v>
      </c>
      <c r="F1974" t="s">
        <v>22942</v>
      </c>
      <c r="G1974" t="s">
        <v>22961</v>
      </c>
    </row>
    <row r="1975" spans="1:7">
      <c r="A1975" t="s">
        <v>22962</v>
      </c>
      <c r="B1975" t="s">
        <v>8626</v>
      </c>
      <c r="D1975" t="s">
        <v>22958</v>
      </c>
      <c r="E1975" t="s">
        <v>8642</v>
      </c>
      <c r="F1975" t="s">
        <v>9606</v>
      </c>
      <c r="G1975" t="s">
        <v>22959</v>
      </c>
    </row>
    <row r="1976" spans="1:7">
      <c r="A1976" t="s">
        <v>22963</v>
      </c>
      <c r="D1976" t="s">
        <v>22964</v>
      </c>
      <c r="E1976" t="s">
        <v>8642</v>
      </c>
      <c r="G1976" t="s">
        <v>22965</v>
      </c>
    </row>
    <row r="1977" spans="1:7">
      <c r="A1977" t="s">
        <v>22966</v>
      </c>
      <c r="B1977" t="s">
        <v>8607</v>
      </c>
      <c r="C1977" t="s">
        <v>22967</v>
      </c>
      <c r="D1977" t="s">
        <v>22964</v>
      </c>
      <c r="E1977" t="s">
        <v>8642</v>
      </c>
      <c r="F1977" t="s">
        <v>22968</v>
      </c>
      <c r="G1977" t="s">
        <v>22969</v>
      </c>
    </row>
    <row r="1978" spans="1:7">
      <c r="A1978" t="s">
        <v>22970</v>
      </c>
      <c r="B1978" t="s">
        <v>8607</v>
      </c>
      <c r="D1978" t="s">
        <v>22971</v>
      </c>
      <c r="E1978" t="s">
        <v>8642</v>
      </c>
      <c r="F1978" t="s">
        <v>19368</v>
      </c>
      <c r="G1978" t="s">
        <v>19374</v>
      </c>
    </row>
    <row r="1979" spans="1:7">
      <c r="A1979" t="s">
        <v>22972</v>
      </c>
      <c r="B1979" t="s">
        <v>8626</v>
      </c>
      <c r="D1979" t="s">
        <v>22971</v>
      </c>
      <c r="E1979" t="s">
        <v>8642</v>
      </c>
      <c r="F1979" t="s">
        <v>19368</v>
      </c>
      <c r="G1979" t="s">
        <v>22973</v>
      </c>
    </row>
    <row r="1980" spans="1:7">
      <c r="A1980" t="s">
        <v>22974</v>
      </c>
      <c r="B1980" t="s">
        <v>8607</v>
      </c>
      <c r="D1980" t="s">
        <v>22971</v>
      </c>
      <c r="E1980" t="s">
        <v>8642</v>
      </c>
      <c r="F1980" t="s">
        <v>19368</v>
      </c>
      <c r="G1980" t="s">
        <v>19374</v>
      </c>
    </row>
    <row r="1981" spans="1:7">
      <c r="A1981" t="s">
        <v>22975</v>
      </c>
      <c r="B1981" t="s">
        <v>8626</v>
      </c>
      <c r="D1981" t="s">
        <v>22976</v>
      </c>
      <c r="E1981" t="s">
        <v>8642</v>
      </c>
      <c r="F1981" t="s">
        <v>22977</v>
      </c>
      <c r="G1981" t="s">
        <v>22978</v>
      </c>
    </row>
    <row r="1982" spans="1:7">
      <c r="A1982" t="s">
        <v>22979</v>
      </c>
      <c r="B1982" t="s">
        <v>8626</v>
      </c>
      <c r="D1982" t="s">
        <v>22980</v>
      </c>
      <c r="E1982" t="s">
        <v>8642</v>
      </c>
      <c r="F1982" t="s">
        <v>22981</v>
      </c>
      <c r="G1982" t="s">
        <v>22982</v>
      </c>
    </row>
    <row r="1983" spans="1:7">
      <c r="A1983" t="s">
        <v>22983</v>
      </c>
      <c r="B1983" t="s">
        <v>8626</v>
      </c>
      <c r="D1983" t="s">
        <v>22980</v>
      </c>
      <c r="E1983" t="s">
        <v>8642</v>
      </c>
      <c r="F1983" t="s">
        <v>22981</v>
      </c>
      <c r="G1983" t="s">
        <v>22984</v>
      </c>
    </row>
    <row r="1984" spans="1:7">
      <c r="A1984" t="s">
        <v>22985</v>
      </c>
      <c r="B1984" t="s">
        <v>8607</v>
      </c>
      <c r="D1984" t="s">
        <v>22986</v>
      </c>
      <c r="E1984" t="s">
        <v>8642</v>
      </c>
      <c r="F1984" t="s">
        <v>18260</v>
      </c>
      <c r="G1984" t="s">
        <v>22987</v>
      </c>
    </row>
    <row r="1985" spans="1:7">
      <c r="A1985" t="s">
        <v>22988</v>
      </c>
      <c r="B1985" t="s">
        <v>8626</v>
      </c>
      <c r="D1985" t="s">
        <v>22986</v>
      </c>
      <c r="E1985" t="s">
        <v>8642</v>
      </c>
      <c r="F1985" t="s">
        <v>22989</v>
      </c>
      <c r="G1985" t="s">
        <v>22990</v>
      </c>
    </row>
    <row r="1986" spans="1:7">
      <c r="A1986" t="s">
        <v>22991</v>
      </c>
      <c r="D1986" t="s">
        <v>22992</v>
      </c>
      <c r="E1986" t="s">
        <v>8642</v>
      </c>
      <c r="G1986" t="s">
        <v>22993</v>
      </c>
    </row>
    <row r="1987" spans="1:7">
      <c r="A1987" t="s">
        <v>22994</v>
      </c>
      <c r="D1987" t="s">
        <v>22992</v>
      </c>
      <c r="E1987" t="s">
        <v>8642</v>
      </c>
      <c r="G1987" t="s">
        <v>22995</v>
      </c>
    </row>
    <row r="1988" spans="1:7">
      <c r="A1988" t="s">
        <v>22996</v>
      </c>
      <c r="B1988" t="s">
        <v>8607</v>
      </c>
      <c r="C1988" t="s">
        <v>22997</v>
      </c>
      <c r="D1988" t="s">
        <v>22998</v>
      </c>
      <c r="E1988" t="s">
        <v>8642</v>
      </c>
      <c r="F1988" t="s">
        <v>22999</v>
      </c>
      <c r="G1988" t="s">
        <v>23000</v>
      </c>
    </row>
    <row r="1989" spans="1:7">
      <c r="A1989" t="s">
        <v>23001</v>
      </c>
      <c r="B1989" t="s">
        <v>8607</v>
      </c>
      <c r="D1989" t="s">
        <v>23002</v>
      </c>
      <c r="E1989" t="s">
        <v>8642</v>
      </c>
      <c r="F1989" t="s">
        <v>19368</v>
      </c>
      <c r="G1989" t="s">
        <v>19374</v>
      </c>
    </row>
    <row r="1990" spans="1:7">
      <c r="A1990" t="s">
        <v>23003</v>
      </c>
      <c r="B1990" t="s">
        <v>8607</v>
      </c>
      <c r="D1990" t="s">
        <v>23002</v>
      </c>
      <c r="E1990" t="s">
        <v>8642</v>
      </c>
      <c r="F1990" t="s">
        <v>19368</v>
      </c>
      <c r="G1990" t="s">
        <v>23004</v>
      </c>
    </row>
    <row r="1991" spans="1:7">
      <c r="A1991" t="s">
        <v>23005</v>
      </c>
      <c r="B1991" t="s">
        <v>8626</v>
      </c>
      <c r="D1991" t="s">
        <v>23006</v>
      </c>
      <c r="E1991" t="s">
        <v>8642</v>
      </c>
      <c r="G1991" t="s">
        <v>23007</v>
      </c>
    </row>
    <row r="1992" spans="1:7">
      <c r="A1992" t="s">
        <v>23008</v>
      </c>
      <c r="B1992" t="s">
        <v>8607</v>
      </c>
      <c r="D1992" t="s">
        <v>23009</v>
      </c>
      <c r="E1992" t="s">
        <v>8642</v>
      </c>
      <c r="F1992" t="s">
        <v>12458</v>
      </c>
      <c r="G1992" t="s">
        <v>18906</v>
      </c>
    </row>
    <row r="1993" spans="1:7">
      <c r="A1993" t="s">
        <v>23010</v>
      </c>
      <c r="B1993" t="s">
        <v>8607</v>
      </c>
      <c r="D1993" t="s">
        <v>23009</v>
      </c>
      <c r="E1993" t="s">
        <v>8642</v>
      </c>
      <c r="F1993" t="s">
        <v>12458</v>
      </c>
      <c r="G1993" t="s">
        <v>18906</v>
      </c>
    </row>
    <row r="1994" spans="1:7">
      <c r="A1994" t="s">
        <v>23011</v>
      </c>
      <c r="B1994" t="s">
        <v>8626</v>
      </c>
      <c r="C1994" t="s">
        <v>23012</v>
      </c>
      <c r="D1994" t="s">
        <v>23013</v>
      </c>
      <c r="E1994" t="s">
        <v>8642</v>
      </c>
      <c r="F1994" t="s">
        <v>8623</v>
      </c>
      <c r="G1994" t="s">
        <v>23014</v>
      </c>
    </row>
    <row r="1995" spans="1:7">
      <c r="A1995" t="s">
        <v>23015</v>
      </c>
      <c r="B1995" t="s">
        <v>8626</v>
      </c>
      <c r="C1995" t="s">
        <v>23016</v>
      </c>
      <c r="D1995" t="s">
        <v>23013</v>
      </c>
      <c r="E1995" t="s">
        <v>8642</v>
      </c>
      <c r="F1995" t="s">
        <v>23017</v>
      </c>
      <c r="G1995" t="s">
        <v>23018</v>
      </c>
    </row>
    <row r="1996" spans="1:7">
      <c r="A1996" t="s">
        <v>23019</v>
      </c>
      <c r="B1996" t="s">
        <v>8626</v>
      </c>
      <c r="D1996" t="s">
        <v>23020</v>
      </c>
      <c r="E1996" t="s">
        <v>8642</v>
      </c>
      <c r="G1996" t="s">
        <v>23021</v>
      </c>
    </row>
    <row r="1997" spans="1:7">
      <c r="A1997" t="s">
        <v>23022</v>
      </c>
      <c r="D1997" t="s">
        <v>23023</v>
      </c>
      <c r="E1997" t="s">
        <v>8642</v>
      </c>
      <c r="G1997" t="s">
        <v>23024</v>
      </c>
    </row>
    <row r="1998" spans="1:7">
      <c r="A1998" t="s">
        <v>23025</v>
      </c>
      <c r="B1998" t="s">
        <v>8607</v>
      </c>
      <c r="D1998" t="s">
        <v>23026</v>
      </c>
      <c r="E1998" t="s">
        <v>8642</v>
      </c>
      <c r="F1998" t="s">
        <v>22402</v>
      </c>
      <c r="G1998" t="s">
        <v>23027</v>
      </c>
    </row>
    <row r="1999" spans="1:7">
      <c r="A1999" t="s">
        <v>23028</v>
      </c>
      <c r="B1999" t="s">
        <v>8607</v>
      </c>
      <c r="D1999" t="s">
        <v>23029</v>
      </c>
      <c r="E1999" t="s">
        <v>8642</v>
      </c>
      <c r="F1999" t="s">
        <v>22402</v>
      </c>
      <c r="G1999" t="s">
        <v>23030</v>
      </c>
    </row>
    <row r="2000" spans="1:7">
      <c r="A2000" t="s">
        <v>23031</v>
      </c>
      <c r="B2000" t="s">
        <v>8626</v>
      </c>
      <c r="C2000" t="s">
        <v>23032</v>
      </c>
      <c r="D2000" t="s">
        <v>23033</v>
      </c>
      <c r="E2000" t="s">
        <v>8642</v>
      </c>
      <c r="F2000" t="s">
        <v>22402</v>
      </c>
      <c r="G2000" t="s">
        <v>23034</v>
      </c>
    </row>
    <row r="2001" spans="1:7">
      <c r="A2001" t="s">
        <v>23035</v>
      </c>
      <c r="B2001" t="s">
        <v>8607</v>
      </c>
      <c r="D2001" t="s">
        <v>23036</v>
      </c>
      <c r="E2001" t="s">
        <v>8642</v>
      </c>
      <c r="F2001" t="s">
        <v>13312</v>
      </c>
      <c r="G2001" t="s">
        <v>23037</v>
      </c>
    </row>
    <row r="2002" spans="1:7">
      <c r="A2002" t="s">
        <v>23038</v>
      </c>
      <c r="B2002" t="s">
        <v>8626</v>
      </c>
      <c r="C2002" t="s">
        <v>23039</v>
      </c>
      <c r="D2002" t="s">
        <v>23036</v>
      </c>
      <c r="E2002" t="s">
        <v>8642</v>
      </c>
      <c r="F2002" t="s">
        <v>13312</v>
      </c>
      <c r="G2002" t="s">
        <v>23040</v>
      </c>
    </row>
    <row r="2003" spans="1:7">
      <c r="A2003" t="s">
        <v>23041</v>
      </c>
      <c r="B2003" t="s">
        <v>8626</v>
      </c>
      <c r="C2003" t="s">
        <v>23042</v>
      </c>
      <c r="D2003" t="s">
        <v>23043</v>
      </c>
      <c r="E2003" t="s">
        <v>8642</v>
      </c>
      <c r="F2003" t="s">
        <v>23044</v>
      </c>
      <c r="G2003" t="s">
        <v>23045</v>
      </c>
    </row>
    <row r="2004" spans="1:7">
      <c r="A2004" t="s">
        <v>23046</v>
      </c>
      <c r="B2004" t="s">
        <v>8626</v>
      </c>
      <c r="C2004" t="s">
        <v>23042</v>
      </c>
      <c r="D2004" t="s">
        <v>23047</v>
      </c>
      <c r="E2004" t="s">
        <v>8642</v>
      </c>
      <c r="F2004" t="s">
        <v>13312</v>
      </c>
      <c r="G2004" t="s">
        <v>23048</v>
      </c>
    </row>
    <row r="2005" spans="1:7">
      <c r="A2005" t="s">
        <v>23049</v>
      </c>
      <c r="B2005" t="s">
        <v>8626</v>
      </c>
      <c r="C2005" t="s">
        <v>23050</v>
      </c>
      <c r="D2005" t="s">
        <v>23051</v>
      </c>
      <c r="E2005" t="s">
        <v>8642</v>
      </c>
      <c r="F2005" t="s">
        <v>13312</v>
      </c>
      <c r="G2005" t="s">
        <v>23052</v>
      </c>
    </row>
    <row r="2006" spans="1:7">
      <c r="A2006" t="s">
        <v>23053</v>
      </c>
      <c r="B2006" t="s">
        <v>8626</v>
      </c>
      <c r="C2006" t="s">
        <v>23054</v>
      </c>
      <c r="D2006" t="s">
        <v>23055</v>
      </c>
      <c r="E2006" t="s">
        <v>8642</v>
      </c>
      <c r="F2006" t="s">
        <v>13312</v>
      </c>
      <c r="G2006" t="s">
        <v>23056</v>
      </c>
    </row>
    <row r="2007" spans="1:7">
      <c r="A2007" t="s">
        <v>23057</v>
      </c>
      <c r="B2007" t="s">
        <v>8626</v>
      </c>
      <c r="C2007" t="s">
        <v>23058</v>
      </c>
      <c r="D2007" t="s">
        <v>23055</v>
      </c>
      <c r="E2007" t="s">
        <v>8642</v>
      </c>
      <c r="F2007" t="s">
        <v>13312</v>
      </c>
      <c r="G2007" t="s">
        <v>23059</v>
      </c>
    </row>
    <row r="2008" spans="1:7">
      <c r="A2008" t="s">
        <v>23060</v>
      </c>
      <c r="B2008" t="s">
        <v>8626</v>
      </c>
      <c r="D2008" t="s">
        <v>23061</v>
      </c>
      <c r="E2008" t="s">
        <v>8642</v>
      </c>
      <c r="F2008" t="s">
        <v>13312</v>
      </c>
      <c r="G2008" t="s">
        <v>23062</v>
      </c>
    </row>
    <row r="2009" spans="1:7">
      <c r="A2009" t="s">
        <v>23063</v>
      </c>
      <c r="B2009" t="s">
        <v>8607</v>
      </c>
      <c r="C2009" t="s">
        <v>23039</v>
      </c>
      <c r="D2009" t="s">
        <v>23064</v>
      </c>
      <c r="E2009" t="s">
        <v>8642</v>
      </c>
      <c r="F2009" t="s">
        <v>13312</v>
      </c>
      <c r="G2009" t="s">
        <v>23065</v>
      </c>
    </row>
    <row r="2010" spans="1:7">
      <c r="A2010" t="s">
        <v>23066</v>
      </c>
      <c r="B2010" t="s">
        <v>8626</v>
      </c>
      <c r="D2010" t="s">
        <v>23067</v>
      </c>
      <c r="E2010" t="s">
        <v>8642</v>
      </c>
      <c r="F2010" t="s">
        <v>23068</v>
      </c>
      <c r="G2010" t="s">
        <v>23069</v>
      </c>
    </row>
    <row r="2011" spans="1:7">
      <c r="A2011" t="s">
        <v>23070</v>
      </c>
      <c r="B2011" t="s">
        <v>8607</v>
      </c>
      <c r="D2011" t="s">
        <v>23067</v>
      </c>
      <c r="E2011" t="s">
        <v>8642</v>
      </c>
      <c r="F2011" t="s">
        <v>23068</v>
      </c>
      <c r="G2011" t="s">
        <v>23071</v>
      </c>
    </row>
    <row r="2012" spans="1:7">
      <c r="A2012" t="s">
        <v>23072</v>
      </c>
      <c r="B2012" t="s">
        <v>8626</v>
      </c>
      <c r="C2012" t="s">
        <v>23073</v>
      </c>
      <c r="D2012" t="s">
        <v>23074</v>
      </c>
      <c r="E2012" t="s">
        <v>8642</v>
      </c>
      <c r="F2012" t="s">
        <v>23075</v>
      </c>
      <c r="G2012" t="s">
        <v>23076</v>
      </c>
    </row>
    <row r="2013" spans="1:7">
      <c r="A2013" t="s">
        <v>23077</v>
      </c>
      <c r="B2013" t="s">
        <v>8626</v>
      </c>
      <c r="D2013" t="s">
        <v>23078</v>
      </c>
      <c r="E2013" t="s">
        <v>8642</v>
      </c>
      <c r="F2013" t="s">
        <v>12458</v>
      </c>
      <c r="G2013" t="s">
        <v>23079</v>
      </c>
    </row>
    <row r="2014" spans="1:7">
      <c r="A2014" t="s">
        <v>23080</v>
      </c>
      <c r="B2014" t="s">
        <v>8607</v>
      </c>
      <c r="D2014" t="s">
        <v>23081</v>
      </c>
      <c r="E2014" t="s">
        <v>8642</v>
      </c>
      <c r="F2014" t="s">
        <v>23082</v>
      </c>
      <c r="G2014" t="s">
        <v>23083</v>
      </c>
    </row>
    <row r="2015" spans="1:7">
      <c r="A2015" t="s">
        <v>23084</v>
      </c>
      <c r="B2015" t="s">
        <v>8607</v>
      </c>
      <c r="D2015" t="s">
        <v>23081</v>
      </c>
      <c r="E2015" t="s">
        <v>8642</v>
      </c>
      <c r="F2015" t="s">
        <v>23082</v>
      </c>
      <c r="G2015" t="s">
        <v>23085</v>
      </c>
    </row>
    <row r="2016" spans="1:7">
      <c r="A2016" t="s">
        <v>23086</v>
      </c>
      <c r="B2016" t="s">
        <v>8607</v>
      </c>
      <c r="D2016" t="s">
        <v>23081</v>
      </c>
      <c r="E2016" t="s">
        <v>8642</v>
      </c>
      <c r="F2016" t="s">
        <v>23082</v>
      </c>
      <c r="G2016" t="s">
        <v>23083</v>
      </c>
    </row>
    <row r="2017" spans="1:7">
      <c r="A2017" t="s">
        <v>23087</v>
      </c>
      <c r="B2017" t="s">
        <v>8607</v>
      </c>
      <c r="D2017" t="s">
        <v>23081</v>
      </c>
      <c r="E2017" t="s">
        <v>8642</v>
      </c>
      <c r="F2017" t="s">
        <v>23082</v>
      </c>
      <c r="G2017" t="s">
        <v>23083</v>
      </c>
    </row>
    <row r="2018" spans="1:7">
      <c r="A2018" t="s">
        <v>23088</v>
      </c>
      <c r="B2018" t="s">
        <v>8607</v>
      </c>
      <c r="D2018" t="s">
        <v>23081</v>
      </c>
      <c r="E2018" t="s">
        <v>8642</v>
      </c>
      <c r="F2018" t="s">
        <v>23082</v>
      </c>
      <c r="G2018" t="s">
        <v>23083</v>
      </c>
    </row>
    <row r="2019" spans="1:7">
      <c r="A2019" t="s">
        <v>23089</v>
      </c>
      <c r="B2019" t="s">
        <v>8607</v>
      </c>
      <c r="D2019" t="s">
        <v>23081</v>
      </c>
      <c r="E2019" t="s">
        <v>8642</v>
      </c>
      <c r="F2019" t="s">
        <v>23082</v>
      </c>
      <c r="G2019" t="s">
        <v>23085</v>
      </c>
    </row>
    <row r="2020" spans="1:7">
      <c r="A2020" t="s">
        <v>23090</v>
      </c>
      <c r="B2020" t="s">
        <v>8607</v>
      </c>
      <c r="D2020" t="s">
        <v>23081</v>
      </c>
      <c r="E2020" t="s">
        <v>8642</v>
      </c>
      <c r="F2020" t="s">
        <v>23082</v>
      </c>
      <c r="G2020" t="s">
        <v>23083</v>
      </c>
    </row>
    <row r="2021" spans="1:7">
      <c r="A2021" t="s">
        <v>23091</v>
      </c>
      <c r="B2021" t="s">
        <v>8607</v>
      </c>
      <c r="D2021" t="s">
        <v>23081</v>
      </c>
      <c r="E2021" t="s">
        <v>8642</v>
      </c>
      <c r="F2021" t="s">
        <v>23082</v>
      </c>
      <c r="G2021" t="s">
        <v>23092</v>
      </c>
    </row>
    <row r="2022" spans="1:7">
      <c r="A2022" t="s">
        <v>23093</v>
      </c>
      <c r="B2022" t="s">
        <v>8626</v>
      </c>
      <c r="D2022" t="s">
        <v>23081</v>
      </c>
      <c r="E2022" t="s">
        <v>8642</v>
      </c>
      <c r="F2022" t="s">
        <v>23082</v>
      </c>
      <c r="G2022" t="s">
        <v>23094</v>
      </c>
    </row>
    <row r="2023" spans="1:7">
      <c r="A2023" t="s">
        <v>23095</v>
      </c>
      <c r="B2023" t="s">
        <v>8607</v>
      </c>
      <c r="D2023" t="s">
        <v>23081</v>
      </c>
      <c r="E2023" t="s">
        <v>8642</v>
      </c>
      <c r="F2023" t="s">
        <v>23082</v>
      </c>
      <c r="G2023" t="s">
        <v>23092</v>
      </c>
    </row>
    <row r="2024" spans="1:7">
      <c r="A2024" t="s">
        <v>23096</v>
      </c>
      <c r="B2024" t="s">
        <v>8607</v>
      </c>
      <c r="D2024" t="s">
        <v>23081</v>
      </c>
      <c r="E2024" t="s">
        <v>8642</v>
      </c>
      <c r="F2024" t="s">
        <v>23082</v>
      </c>
      <c r="G2024" t="s">
        <v>23085</v>
      </c>
    </row>
    <row r="2025" spans="1:7">
      <c r="A2025" t="s">
        <v>23097</v>
      </c>
      <c r="B2025" t="s">
        <v>8607</v>
      </c>
      <c r="D2025" t="s">
        <v>23081</v>
      </c>
      <c r="E2025" t="s">
        <v>8642</v>
      </c>
      <c r="F2025" t="s">
        <v>23082</v>
      </c>
      <c r="G2025" t="s">
        <v>23092</v>
      </c>
    </row>
    <row r="2026" spans="1:7">
      <c r="A2026" t="s">
        <v>23098</v>
      </c>
      <c r="B2026" t="s">
        <v>8626</v>
      </c>
      <c r="D2026" t="s">
        <v>23099</v>
      </c>
      <c r="E2026" t="s">
        <v>8642</v>
      </c>
      <c r="F2026" t="s">
        <v>18476</v>
      </c>
      <c r="G2026" t="s">
        <v>23100</v>
      </c>
    </row>
    <row r="2027" spans="1:7">
      <c r="A2027" t="s">
        <v>23101</v>
      </c>
      <c r="B2027" t="s">
        <v>8626</v>
      </c>
      <c r="D2027" t="s">
        <v>23102</v>
      </c>
      <c r="E2027" t="s">
        <v>8642</v>
      </c>
      <c r="F2027" t="s">
        <v>12458</v>
      </c>
      <c r="G2027" t="s">
        <v>23103</v>
      </c>
    </row>
    <row r="2028" spans="1:7">
      <c r="A2028" t="s">
        <v>23104</v>
      </c>
      <c r="B2028" t="s">
        <v>8626</v>
      </c>
      <c r="D2028" t="s">
        <v>23105</v>
      </c>
      <c r="E2028" t="s">
        <v>8642</v>
      </c>
      <c r="F2028" t="s">
        <v>15549</v>
      </c>
      <c r="G2028" t="s">
        <v>23106</v>
      </c>
    </row>
    <row r="2029" spans="1:7">
      <c r="A2029" t="s">
        <v>23107</v>
      </c>
      <c r="B2029" t="s">
        <v>8626</v>
      </c>
      <c r="D2029" t="s">
        <v>23105</v>
      </c>
      <c r="E2029" t="s">
        <v>8642</v>
      </c>
      <c r="F2029" t="s">
        <v>15549</v>
      </c>
      <c r="G2029" t="s">
        <v>23106</v>
      </c>
    </row>
    <row r="2030" spans="1:7">
      <c r="A2030" t="s">
        <v>23108</v>
      </c>
      <c r="B2030" t="s">
        <v>8626</v>
      </c>
      <c r="D2030" t="s">
        <v>23105</v>
      </c>
      <c r="E2030" t="s">
        <v>8642</v>
      </c>
      <c r="G2030" t="s">
        <v>23109</v>
      </c>
    </row>
    <row r="2031" spans="1:7">
      <c r="A2031" t="s">
        <v>23110</v>
      </c>
      <c r="B2031" t="s">
        <v>8626</v>
      </c>
      <c r="C2031" t="s">
        <v>23111</v>
      </c>
      <c r="D2031" t="s">
        <v>23112</v>
      </c>
      <c r="E2031" t="s">
        <v>8642</v>
      </c>
      <c r="G2031" t="s">
        <v>23113</v>
      </c>
    </row>
    <row r="2032" spans="1:7">
      <c r="A2032" t="s">
        <v>23114</v>
      </c>
      <c r="B2032" t="s">
        <v>8626</v>
      </c>
      <c r="D2032" t="s">
        <v>23115</v>
      </c>
      <c r="E2032" t="s">
        <v>8642</v>
      </c>
      <c r="F2032" t="s">
        <v>23116</v>
      </c>
      <c r="G2032" t="s">
        <v>23117</v>
      </c>
    </row>
    <row r="2033" spans="1:7">
      <c r="A2033" t="s">
        <v>23118</v>
      </c>
      <c r="B2033" t="s">
        <v>8626</v>
      </c>
      <c r="C2033" t="s">
        <v>23119</v>
      </c>
      <c r="D2033" t="s">
        <v>23120</v>
      </c>
      <c r="E2033" t="s">
        <v>8642</v>
      </c>
      <c r="F2033" t="s">
        <v>10860</v>
      </c>
      <c r="G2033" t="s">
        <v>23121</v>
      </c>
    </row>
    <row r="2034" spans="1:7">
      <c r="A2034" t="s">
        <v>23122</v>
      </c>
      <c r="B2034" t="s">
        <v>8626</v>
      </c>
      <c r="C2034" t="s">
        <v>23123</v>
      </c>
      <c r="D2034" t="s">
        <v>23120</v>
      </c>
      <c r="E2034" t="s">
        <v>8642</v>
      </c>
      <c r="F2034" t="s">
        <v>10860</v>
      </c>
      <c r="G2034" t="s">
        <v>23121</v>
      </c>
    </row>
    <row r="2035" spans="1:7">
      <c r="A2035" t="s">
        <v>23124</v>
      </c>
      <c r="B2035" t="s">
        <v>8607</v>
      </c>
      <c r="C2035" t="s">
        <v>23125</v>
      </c>
      <c r="D2035" t="s">
        <v>23126</v>
      </c>
      <c r="E2035" t="s">
        <v>8642</v>
      </c>
      <c r="G2035" t="s">
        <v>23127</v>
      </c>
    </row>
    <row r="2036" spans="1:7">
      <c r="A2036" t="s">
        <v>23128</v>
      </c>
      <c r="B2036" t="s">
        <v>8626</v>
      </c>
      <c r="D2036" t="s">
        <v>23129</v>
      </c>
      <c r="E2036" t="s">
        <v>8642</v>
      </c>
      <c r="F2036" t="s">
        <v>19368</v>
      </c>
      <c r="G2036" t="s">
        <v>23130</v>
      </c>
    </row>
    <row r="2037" spans="1:7">
      <c r="A2037" t="s">
        <v>23131</v>
      </c>
      <c r="B2037" t="s">
        <v>8626</v>
      </c>
      <c r="D2037" t="s">
        <v>23129</v>
      </c>
      <c r="E2037" t="s">
        <v>8642</v>
      </c>
      <c r="F2037" t="s">
        <v>23132</v>
      </c>
      <c r="G2037" t="s">
        <v>23133</v>
      </c>
    </row>
    <row r="2038" spans="1:7">
      <c r="A2038" t="s">
        <v>23134</v>
      </c>
      <c r="B2038" t="s">
        <v>8626</v>
      </c>
      <c r="C2038" t="s">
        <v>23135</v>
      </c>
      <c r="D2038" t="s">
        <v>23136</v>
      </c>
      <c r="E2038" t="s">
        <v>8642</v>
      </c>
      <c r="F2038" t="s">
        <v>18608</v>
      </c>
      <c r="G2038" t="s">
        <v>23137</v>
      </c>
    </row>
    <row r="2039" spans="1:7">
      <c r="A2039" t="s">
        <v>23138</v>
      </c>
      <c r="B2039" t="s">
        <v>8607</v>
      </c>
      <c r="D2039" t="s">
        <v>23139</v>
      </c>
      <c r="E2039" t="s">
        <v>8642</v>
      </c>
      <c r="F2039" t="s">
        <v>17824</v>
      </c>
      <c r="G2039" t="s">
        <v>23140</v>
      </c>
    </row>
    <row r="2040" spans="1:7">
      <c r="A2040" t="s">
        <v>23141</v>
      </c>
      <c r="B2040" t="s">
        <v>8626</v>
      </c>
      <c r="C2040" t="s">
        <v>23142</v>
      </c>
      <c r="D2040" t="s">
        <v>23143</v>
      </c>
      <c r="E2040" t="s">
        <v>8642</v>
      </c>
      <c r="F2040" t="s">
        <v>23144</v>
      </c>
      <c r="G2040" t="s">
        <v>23145</v>
      </c>
    </row>
    <row r="2041" spans="1:7">
      <c r="A2041" t="s">
        <v>23146</v>
      </c>
      <c r="B2041" t="s">
        <v>8607</v>
      </c>
      <c r="C2041" t="s">
        <v>23147</v>
      </c>
      <c r="D2041" t="s">
        <v>23148</v>
      </c>
      <c r="E2041" t="s">
        <v>8642</v>
      </c>
      <c r="F2041" t="s">
        <v>19419</v>
      </c>
      <c r="G2041" t="s">
        <v>23149</v>
      </c>
    </row>
    <row r="2042" spans="1:7">
      <c r="A2042" t="s">
        <v>23150</v>
      </c>
      <c r="B2042" t="s">
        <v>8626</v>
      </c>
      <c r="C2042" t="s">
        <v>23151</v>
      </c>
      <c r="D2042" t="s">
        <v>23152</v>
      </c>
      <c r="E2042" t="s">
        <v>8642</v>
      </c>
      <c r="F2042" t="s">
        <v>23153</v>
      </c>
      <c r="G2042" t="s">
        <v>23154</v>
      </c>
    </row>
    <row r="2043" spans="1:7">
      <c r="A2043" t="s">
        <v>23155</v>
      </c>
      <c r="B2043" t="s">
        <v>8607</v>
      </c>
      <c r="D2043" t="s">
        <v>23156</v>
      </c>
      <c r="E2043" t="s">
        <v>8642</v>
      </c>
      <c r="F2043" t="s">
        <v>19419</v>
      </c>
      <c r="G2043" t="s">
        <v>23149</v>
      </c>
    </row>
    <row r="2044" spans="1:7">
      <c r="A2044" t="s">
        <v>23157</v>
      </c>
      <c r="B2044" t="s">
        <v>8626</v>
      </c>
      <c r="C2044" t="s">
        <v>23158</v>
      </c>
      <c r="D2044" t="s">
        <v>23159</v>
      </c>
      <c r="E2044" t="s">
        <v>8642</v>
      </c>
      <c r="F2044" t="s">
        <v>23160</v>
      </c>
      <c r="G2044" t="s">
        <v>23161</v>
      </c>
    </row>
    <row r="2045" spans="1:7">
      <c r="A2045" t="s">
        <v>23162</v>
      </c>
      <c r="B2045" t="s">
        <v>8607</v>
      </c>
      <c r="D2045" t="s">
        <v>23163</v>
      </c>
      <c r="E2045" t="s">
        <v>8642</v>
      </c>
      <c r="F2045" t="s">
        <v>23164</v>
      </c>
      <c r="G2045" t="s">
        <v>23165</v>
      </c>
    </row>
    <row r="2046" spans="1:7">
      <c r="A2046" t="s">
        <v>23166</v>
      </c>
      <c r="B2046" t="s">
        <v>8607</v>
      </c>
      <c r="C2046" t="s">
        <v>23167</v>
      </c>
      <c r="D2046" t="s">
        <v>23168</v>
      </c>
      <c r="E2046" t="s">
        <v>8642</v>
      </c>
      <c r="F2046" t="s">
        <v>23160</v>
      </c>
      <c r="G2046" t="s">
        <v>23169</v>
      </c>
    </row>
    <row r="2047" spans="1:7">
      <c r="A2047" t="s">
        <v>23170</v>
      </c>
      <c r="B2047" t="s">
        <v>8607</v>
      </c>
      <c r="C2047" t="s">
        <v>23171</v>
      </c>
      <c r="D2047" t="s">
        <v>23172</v>
      </c>
      <c r="E2047" t="s">
        <v>8642</v>
      </c>
      <c r="F2047" t="s">
        <v>23164</v>
      </c>
      <c r="G2047" t="s">
        <v>23173</v>
      </c>
    </row>
    <row r="2048" spans="1:7">
      <c r="A2048" t="s">
        <v>23174</v>
      </c>
      <c r="B2048" t="s">
        <v>8607</v>
      </c>
      <c r="C2048" t="s">
        <v>23175</v>
      </c>
      <c r="D2048" t="s">
        <v>23176</v>
      </c>
      <c r="E2048" t="s">
        <v>8642</v>
      </c>
      <c r="F2048" t="s">
        <v>15549</v>
      </c>
      <c r="G2048" t="s">
        <v>23177</v>
      </c>
    </row>
    <row r="2049" spans="1:7">
      <c r="A2049" t="s">
        <v>23178</v>
      </c>
      <c r="B2049" t="s">
        <v>8607</v>
      </c>
      <c r="C2049" t="s">
        <v>23175</v>
      </c>
      <c r="D2049" t="s">
        <v>23176</v>
      </c>
      <c r="E2049" t="s">
        <v>8642</v>
      </c>
      <c r="F2049" t="s">
        <v>15549</v>
      </c>
      <c r="G2049" t="s">
        <v>23179</v>
      </c>
    </row>
    <row r="2050" spans="1:7">
      <c r="A2050" t="s">
        <v>23180</v>
      </c>
      <c r="B2050" t="s">
        <v>8607</v>
      </c>
      <c r="D2050" t="s">
        <v>23181</v>
      </c>
      <c r="E2050" t="s">
        <v>8642</v>
      </c>
      <c r="F2050" t="s">
        <v>10356</v>
      </c>
      <c r="G2050" t="s">
        <v>19934</v>
      </c>
    </row>
    <row r="2051" spans="1:7">
      <c r="A2051" t="s">
        <v>23182</v>
      </c>
      <c r="B2051" t="s">
        <v>8626</v>
      </c>
      <c r="C2051" t="s">
        <v>23183</v>
      </c>
      <c r="D2051" t="s">
        <v>23184</v>
      </c>
      <c r="E2051" t="s">
        <v>8642</v>
      </c>
      <c r="F2051" t="s">
        <v>23144</v>
      </c>
      <c r="G2051" t="s">
        <v>23185</v>
      </c>
    </row>
    <row r="2052" spans="1:7">
      <c r="A2052" t="s">
        <v>23186</v>
      </c>
      <c r="C2052" t="s">
        <v>23187</v>
      </c>
      <c r="D2052" t="s">
        <v>23188</v>
      </c>
      <c r="E2052" t="s">
        <v>8642</v>
      </c>
      <c r="G2052" t="s">
        <v>23189</v>
      </c>
    </row>
    <row r="2053" spans="1:7">
      <c r="A2053" t="s">
        <v>23190</v>
      </c>
      <c r="B2053" t="s">
        <v>8607</v>
      </c>
      <c r="D2053" t="s">
        <v>23191</v>
      </c>
      <c r="E2053" t="s">
        <v>8642</v>
      </c>
      <c r="F2053" t="s">
        <v>15549</v>
      </c>
      <c r="G2053" t="s">
        <v>23192</v>
      </c>
    </row>
    <row r="2054" spans="1:7">
      <c r="A2054" t="s">
        <v>23193</v>
      </c>
      <c r="B2054" t="s">
        <v>8607</v>
      </c>
      <c r="D2054" t="s">
        <v>23194</v>
      </c>
      <c r="E2054" t="s">
        <v>8642</v>
      </c>
      <c r="F2054" t="s">
        <v>23195</v>
      </c>
      <c r="G2054" t="s">
        <v>23196</v>
      </c>
    </row>
    <row r="2055" spans="1:7">
      <c r="A2055" t="s">
        <v>23197</v>
      </c>
      <c r="B2055" t="s">
        <v>8607</v>
      </c>
      <c r="D2055" t="s">
        <v>23194</v>
      </c>
      <c r="E2055" t="s">
        <v>8642</v>
      </c>
      <c r="F2055" t="s">
        <v>15549</v>
      </c>
      <c r="G2055" t="s">
        <v>23196</v>
      </c>
    </row>
    <row r="2056" spans="1:7">
      <c r="A2056" t="s">
        <v>23198</v>
      </c>
      <c r="B2056" t="s">
        <v>8607</v>
      </c>
      <c r="D2056" t="s">
        <v>23194</v>
      </c>
      <c r="E2056" t="s">
        <v>8642</v>
      </c>
      <c r="F2056" t="s">
        <v>23195</v>
      </c>
      <c r="G2056" t="s">
        <v>23196</v>
      </c>
    </row>
    <row r="2057" spans="1:7">
      <c r="A2057" t="s">
        <v>23199</v>
      </c>
      <c r="B2057" t="s">
        <v>8607</v>
      </c>
      <c r="D2057" t="s">
        <v>23200</v>
      </c>
      <c r="E2057" t="s">
        <v>8642</v>
      </c>
      <c r="F2057" t="s">
        <v>15549</v>
      </c>
      <c r="G2057" t="s">
        <v>23201</v>
      </c>
    </row>
    <row r="2058" spans="1:7">
      <c r="A2058" t="s">
        <v>23202</v>
      </c>
      <c r="B2058" t="s">
        <v>8607</v>
      </c>
      <c r="D2058" t="s">
        <v>23203</v>
      </c>
      <c r="E2058" t="s">
        <v>8642</v>
      </c>
      <c r="F2058" t="s">
        <v>23195</v>
      </c>
      <c r="G2058" t="s">
        <v>23204</v>
      </c>
    </row>
    <row r="2059" spans="1:7">
      <c r="A2059" t="s">
        <v>23205</v>
      </c>
      <c r="B2059" t="s">
        <v>8607</v>
      </c>
      <c r="D2059" t="s">
        <v>23206</v>
      </c>
      <c r="E2059" t="s">
        <v>8642</v>
      </c>
      <c r="F2059" t="s">
        <v>15549</v>
      </c>
      <c r="G2059" t="s">
        <v>23207</v>
      </c>
    </row>
    <row r="2060" spans="1:7">
      <c r="A2060" t="s">
        <v>23208</v>
      </c>
      <c r="B2060" t="s">
        <v>8607</v>
      </c>
      <c r="D2060" t="s">
        <v>23209</v>
      </c>
      <c r="E2060" t="s">
        <v>8642</v>
      </c>
      <c r="F2060" t="s">
        <v>23195</v>
      </c>
      <c r="G2060" t="s">
        <v>23196</v>
      </c>
    </row>
    <row r="2061" spans="1:7">
      <c r="A2061" t="s">
        <v>23210</v>
      </c>
      <c r="B2061" t="s">
        <v>8607</v>
      </c>
      <c r="D2061" t="s">
        <v>23209</v>
      </c>
      <c r="E2061" t="s">
        <v>8642</v>
      </c>
      <c r="F2061" t="s">
        <v>23195</v>
      </c>
      <c r="G2061" t="s">
        <v>23196</v>
      </c>
    </row>
    <row r="2062" spans="1:7">
      <c r="A2062" t="s">
        <v>23211</v>
      </c>
      <c r="B2062" t="s">
        <v>8607</v>
      </c>
      <c r="D2062" t="s">
        <v>23209</v>
      </c>
      <c r="E2062" t="s">
        <v>8642</v>
      </c>
      <c r="F2062" t="s">
        <v>23195</v>
      </c>
      <c r="G2062" t="s">
        <v>23196</v>
      </c>
    </row>
    <row r="2063" spans="1:7">
      <c r="A2063" t="s">
        <v>23212</v>
      </c>
      <c r="B2063" t="s">
        <v>8626</v>
      </c>
      <c r="D2063" t="s">
        <v>23213</v>
      </c>
      <c r="E2063" t="s">
        <v>8642</v>
      </c>
      <c r="F2063" t="s">
        <v>15549</v>
      </c>
      <c r="G2063" t="s">
        <v>23214</v>
      </c>
    </row>
    <row r="2064" spans="1:7">
      <c r="A2064" t="s">
        <v>23215</v>
      </c>
      <c r="B2064" t="s">
        <v>8607</v>
      </c>
      <c r="D2064" t="s">
        <v>23216</v>
      </c>
      <c r="E2064" t="s">
        <v>8642</v>
      </c>
      <c r="F2064" t="s">
        <v>13938</v>
      </c>
      <c r="G2064" t="s">
        <v>23217</v>
      </c>
    </row>
    <row r="2065" spans="1:7">
      <c r="A2065" t="s">
        <v>23218</v>
      </c>
      <c r="B2065" t="s">
        <v>8607</v>
      </c>
      <c r="D2065" t="s">
        <v>23216</v>
      </c>
      <c r="E2065" t="s">
        <v>8642</v>
      </c>
      <c r="F2065" t="s">
        <v>15549</v>
      </c>
      <c r="G2065" t="s">
        <v>23219</v>
      </c>
    </row>
    <row r="2066" spans="1:7">
      <c r="A2066" t="s">
        <v>23220</v>
      </c>
      <c r="B2066" t="s">
        <v>8607</v>
      </c>
      <c r="D2066" t="s">
        <v>23216</v>
      </c>
      <c r="E2066" t="s">
        <v>8642</v>
      </c>
      <c r="F2066" t="s">
        <v>13938</v>
      </c>
      <c r="G2066" t="s">
        <v>23221</v>
      </c>
    </row>
    <row r="2067" spans="1:7">
      <c r="A2067" t="s">
        <v>23222</v>
      </c>
      <c r="B2067" t="s">
        <v>8626</v>
      </c>
      <c r="D2067" t="s">
        <v>23223</v>
      </c>
      <c r="E2067" t="s">
        <v>8642</v>
      </c>
      <c r="F2067" t="s">
        <v>15549</v>
      </c>
      <c r="G2067" t="s">
        <v>23224</v>
      </c>
    </row>
    <row r="2068" spans="1:7">
      <c r="A2068" t="s">
        <v>23225</v>
      </c>
      <c r="B2068" t="s">
        <v>8607</v>
      </c>
      <c r="D2068" t="s">
        <v>23223</v>
      </c>
      <c r="E2068" t="s">
        <v>8642</v>
      </c>
      <c r="F2068" t="s">
        <v>15549</v>
      </c>
      <c r="G2068" t="s">
        <v>23226</v>
      </c>
    </row>
    <row r="2069" spans="1:7">
      <c r="A2069" t="s">
        <v>23227</v>
      </c>
      <c r="B2069" t="s">
        <v>8607</v>
      </c>
      <c r="D2069" t="s">
        <v>23223</v>
      </c>
      <c r="E2069" t="s">
        <v>8642</v>
      </c>
      <c r="F2069" t="s">
        <v>15549</v>
      </c>
      <c r="G2069" t="s">
        <v>23228</v>
      </c>
    </row>
    <row r="2070" spans="1:7">
      <c r="A2070" t="s">
        <v>23229</v>
      </c>
      <c r="B2070" t="s">
        <v>8607</v>
      </c>
      <c r="D2070" t="s">
        <v>23223</v>
      </c>
      <c r="E2070" t="s">
        <v>8642</v>
      </c>
      <c r="F2070" t="s">
        <v>15549</v>
      </c>
      <c r="G2070" t="s">
        <v>23228</v>
      </c>
    </row>
    <row r="2071" spans="1:7">
      <c r="A2071" t="s">
        <v>23230</v>
      </c>
      <c r="B2071" t="s">
        <v>8626</v>
      </c>
      <c r="D2071" t="s">
        <v>23223</v>
      </c>
      <c r="E2071" t="s">
        <v>8642</v>
      </c>
      <c r="F2071" t="s">
        <v>15549</v>
      </c>
      <c r="G2071" t="s">
        <v>23231</v>
      </c>
    </row>
    <row r="2072" spans="1:7">
      <c r="A2072" t="s">
        <v>23232</v>
      </c>
      <c r="B2072" t="s">
        <v>8607</v>
      </c>
      <c r="D2072" t="s">
        <v>23223</v>
      </c>
      <c r="E2072" t="s">
        <v>8642</v>
      </c>
      <c r="F2072" t="s">
        <v>15549</v>
      </c>
      <c r="G2072" t="s">
        <v>23233</v>
      </c>
    </row>
    <row r="2073" spans="1:7">
      <c r="A2073" t="s">
        <v>23234</v>
      </c>
      <c r="B2073" t="s">
        <v>8607</v>
      </c>
      <c r="D2073" t="s">
        <v>23223</v>
      </c>
      <c r="E2073" t="s">
        <v>8642</v>
      </c>
      <c r="F2073" t="s">
        <v>15549</v>
      </c>
      <c r="G2073" t="s">
        <v>23228</v>
      </c>
    </row>
    <row r="2074" spans="1:7">
      <c r="A2074" t="s">
        <v>23235</v>
      </c>
      <c r="B2074" t="s">
        <v>8607</v>
      </c>
      <c r="D2074" t="s">
        <v>23236</v>
      </c>
      <c r="E2074" t="s">
        <v>8642</v>
      </c>
      <c r="F2074" t="s">
        <v>23195</v>
      </c>
      <c r="G2074" t="s">
        <v>23196</v>
      </c>
    </row>
    <row r="2075" spans="1:7">
      <c r="A2075" t="s">
        <v>23237</v>
      </c>
      <c r="B2075" t="s">
        <v>8607</v>
      </c>
      <c r="D2075" t="s">
        <v>23238</v>
      </c>
      <c r="E2075" t="s">
        <v>8642</v>
      </c>
      <c r="F2075" t="s">
        <v>15549</v>
      </c>
      <c r="G2075" t="s">
        <v>23226</v>
      </c>
    </row>
    <row r="2076" spans="1:7">
      <c r="A2076" t="s">
        <v>23239</v>
      </c>
      <c r="B2076" t="s">
        <v>8607</v>
      </c>
      <c r="D2076" t="s">
        <v>23240</v>
      </c>
      <c r="E2076" t="s">
        <v>8642</v>
      </c>
      <c r="F2076" t="s">
        <v>15549</v>
      </c>
      <c r="G2076" t="s">
        <v>23228</v>
      </c>
    </row>
    <row r="2077" spans="1:7">
      <c r="A2077" t="s">
        <v>23241</v>
      </c>
      <c r="B2077" t="s">
        <v>8607</v>
      </c>
      <c r="D2077" t="s">
        <v>23240</v>
      </c>
      <c r="E2077" t="s">
        <v>8642</v>
      </c>
      <c r="F2077" t="s">
        <v>15549</v>
      </c>
      <c r="G2077" t="s">
        <v>23201</v>
      </c>
    </row>
    <row r="2078" spans="1:7">
      <c r="A2078" t="s">
        <v>23242</v>
      </c>
      <c r="B2078" t="s">
        <v>8607</v>
      </c>
      <c r="D2078" t="s">
        <v>23240</v>
      </c>
      <c r="E2078" t="s">
        <v>8642</v>
      </c>
      <c r="F2078" t="s">
        <v>15549</v>
      </c>
      <c r="G2078" t="s">
        <v>23228</v>
      </c>
    </row>
    <row r="2079" spans="1:7">
      <c r="A2079" t="s">
        <v>23243</v>
      </c>
      <c r="B2079" t="s">
        <v>8607</v>
      </c>
      <c r="D2079" t="s">
        <v>23240</v>
      </c>
      <c r="E2079" t="s">
        <v>8642</v>
      </c>
      <c r="F2079" t="s">
        <v>15549</v>
      </c>
      <c r="G2079" t="s">
        <v>23201</v>
      </c>
    </row>
    <row r="2080" spans="1:7">
      <c r="A2080" t="s">
        <v>23244</v>
      </c>
      <c r="B2080" t="s">
        <v>8607</v>
      </c>
      <c r="D2080" t="s">
        <v>23240</v>
      </c>
      <c r="E2080" t="s">
        <v>8642</v>
      </c>
      <c r="F2080" t="s">
        <v>15549</v>
      </c>
      <c r="G2080" t="s">
        <v>23228</v>
      </c>
    </row>
    <row r="2081" spans="1:7">
      <c r="A2081" t="s">
        <v>23245</v>
      </c>
      <c r="B2081" t="s">
        <v>8607</v>
      </c>
      <c r="D2081" t="s">
        <v>23240</v>
      </c>
      <c r="E2081" t="s">
        <v>8642</v>
      </c>
      <c r="F2081" t="s">
        <v>15549</v>
      </c>
      <c r="G2081" t="s">
        <v>23201</v>
      </c>
    </row>
    <row r="2082" spans="1:7">
      <c r="A2082" t="s">
        <v>23246</v>
      </c>
      <c r="B2082" t="s">
        <v>8607</v>
      </c>
      <c r="D2082" t="s">
        <v>23240</v>
      </c>
      <c r="E2082" t="s">
        <v>8642</v>
      </c>
      <c r="F2082" t="s">
        <v>15549</v>
      </c>
      <c r="G2082" t="s">
        <v>23201</v>
      </c>
    </row>
    <row r="2083" spans="1:7">
      <c r="A2083" t="s">
        <v>23247</v>
      </c>
      <c r="B2083" t="s">
        <v>8607</v>
      </c>
      <c r="D2083" t="s">
        <v>23240</v>
      </c>
      <c r="E2083" t="s">
        <v>8642</v>
      </c>
      <c r="F2083" t="s">
        <v>15549</v>
      </c>
      <c r="G2083" t="s">
        <v>23201</v>
      </c>
    </row>
    <row r="2084" spans="1:7">
      <c r="A2084" t="s">
        <v>23248</v>
      </c>
      <c r="B2084" t="s">
        <v>8607</v>
      </c>
      <c r="D2084" t="s">
        <v>23240</v>
      </c>
      <c r="E2084" t="s">
        <v>8642</v>
      </c>
      <c r="F2084" t="s">
        <v>15549</v>
      </c>
      <c r="G2084" t="s">
        <v>23201</v>
      </c>
    </row>
    <row r="2085" spans="1:7">
      <c r="A2085" t="s">
        <v>23249</v>
      </c>
      <c r="B2085" t="s">
        <v>8607</v>
      </c>
      <c r="D2085" t="s">
        <v>23240</v>
      </c>
      <c r="E2085" t="s">
        <v>8642</v>
      </c>
      <c r="F2085" t="s">
        <v>15549</v>
      </c>
      <c r="G2085" t="s">
        <v>23228</v>
      </c>
    </row>
    <row r="2086" spans="1:7">
      <c r="A2086" t="s">
        <v>23250</v>
      </c>
      <c r="B2086" t="s">
        <v>8607</v>
      </c>
      <c r="D2086" t="s">
        <v>23251</v>
      </c>
      <c r="E2086" t="s">
        <v>8642</v>
      </c>
      <c r="F2086" t="s">
        <v>15549</v>
      </c>
      <c r="G2086" t="s">
        <v>23252</v>
      </c>
    </row>
    <row r="2087" spans="1:7">
      <c r="A2087" t="s">
        <v>23253</v>
      </c>
      <c r="B2087" t="s">
        <v>8607</v>
      </c>
      <c r="C2087" t="s">
        <v>15547</v>
      </c>
      <c r="D2087" t="s">
        <v>23254</v>
      </c>
      <c r="E2087" t="s">
        <v>8642</v>
      </c>
      <c r="F2087" t="s">
        <v>15549</v>
      </c>
      <c r="G2087" t="s">
        <v>23192</v>
      </c>
    </row>
    <row r="2088" spans="1:7">
      <c r="A2088" t="s">
        <v>23255</v>
      </c>
      <c r="B2088" t="s">
        <v>8607</v>
      </c>
      <c r="C2088" t="s">
        <v>15547</v>
      </c>
      <c r="D2088" t="s">
        <v>23254</v>
      </c>
      <c r="E2088" t="s">
        <v>8642</v>
      </c>
      <c r="F2088" t="s">
        <v>15549</v>
      </c>
      <c r="G2088" t="s">
        <v>23192</v>
      </c>
    </row>
    <row r="2089" spans="1:7">
      <c r="A2089" t="s">
        <v>23256</v>
      </c>
      <c r="B2089" t="s">
        <v>8607</v>
      </c>
      <c r="D2089" t="s">
        <v>23257</v>
      </c>
      <c r="E2089" t="s">
        <v>8642</v>
      </c>
      <c r="F2089" t="s">
        <v>15549</v>
      </c>
      <c r="G2089" t="s">
        <v>23192</v>
      </c>
    </row>
    <row r="2090" spans="1:7">
      <c r="A2090" t="s">
        <v>23258</v>
      </c>
      <c r="B2090" t="s">
        <v>8626</v>
      </c>
      <c r="D2090" t="s">
        <v>23257</v>
      </c>
      <c r="E2090" t="s">
        <v>8642</v>
      </c>
      <c r="F2090" t="s">
        <v>15549</v>
      </c>
      <c r="G2090" t="s">
        <v>23259</v>
      </c>
    </row>
    <row r="2091" spans="1:7">
      <c r="A2091" t="s">
        <v>23260</v>
      </c>
      <c r="B2091" t="s">
        <v>8607</v>
      </c>
      <c r="C2091" t="s">
        <v>15547</v>
      </c>
      <c r="D2091" t="s">
        <v>23257</v>
      </c>
      <c r="E2091" t="s">
        <v>8642</v>
      </c>
      <c r="F2091" t="s">
        <v>15549</v>
      </c>
      <c r="G2091" t="s">
        <v>23261</v>
      </c>
    </row>
    <row r="2092" spans="1:7">
      <c r="A2092" t="s">
        <v>23262</v>
      </c>
      <c r="B2092" t="s">
        <v>8607</v>
      </c>
      <c r="C2092" t="s">
        <v>15547</v>
      </c>
      <c r="D2092" t="s">
        <v>23257</v>
      </c>
      <c r="E2092" t="s">
        <v>8642</v>
      </c>
      <c r="F2092" t="s">
        <v>15549</v>
      </c>
      <c r="G2092" t="s">
        <v>23252</v>
      </c>
    </row>
    <row r="2093" spans="1:7">
      <c r="A2093" t="s">
        <v>23263</v>
      </c>
      <c r="B2093" t="s">
        <v>8626</v>
      </c>
      <c r="C2093" t="s">
        <v>15547</v>
      </c>
      <c r="D2093" t="s">
        <v>23257</v>
      </c>
      <c r="E2093" t="s">
        <v>8642</v>
      </c>
      <c r="F2093" t="s">
        <v>15549</v>
      </c>
      <c r="G2093" t="s">
        <v>23264</v>
      </c>
    </row>
    <row r="2094" spans="1:7">
      <c r="A2094" t="s">
        <v>23265</v>
      </c>
      <c r="B2094" t="s">
        <v>8607</v>
      </c>
      <c r="D2094" t="s">
        <v>23257</v>
      </c>
      <c r="E2094" t="s">
        <v>8642</v>
      </c>
      <c r="F2094" t="s">
        <v>15549</v>
      </c>
      <c r="G2094" t="s">
        <v>23192</v>
      </c>
    </row>
    <row r="2095" spans="1:7">
      <c r="A2095" t="s">
        <v>23266</v>
      </c>
      <c r="B2095" t="s">
        <v>8607</v>
      </c>
      <c r="D2095" t="s">
        <v>23257</v>
      </c>
      <c r="E2095" t="s">
        <v>8642</v>
      </c>
      <c r="F2095" t="s">
        <v>15549</v>
      </c>
      <c r="G2095" t="s">
        <v>23192</v>
      </c>
    </row>
    <row r="2096" spans="1:7">
      <c r="A2096" t="s">
        <v>23267</v>
      </c>
      <c r="B2096" t="s">
        <v>8607</v>
      </c>
      <c r="C2096" t="s">
        <v>15547</v>
      </c>
      <c r="D2096" t="s">
        <v>23257</v>
      </c>
      <c r="E2096" t="s">
        <v>8642</v>
      </c>
      <c r="F2096" t="s">
        <v>15549</v>
      </c>
      <c r="G2096" t="s">
        <v>23192</v>
      </c>
    </row>
    <row r="2097" spans="1:7">
      <c r="A2097" t="s">
        <v>23268</v>
      </c>
      <c r="B2097" t="s">
        <v>8626</v>
      </c>
      <c r="D2097" t="s">
        <v>23269</v>
      </c>
      <c r="E2097" t="s">
        <v>8642</v>
      </c>
      <c r="F2097" t="s">
        <v>15549</v>
      </c>
      <c r="G2097" t="s">
        <v>23270</v>
      </c>
    </row>
    <row r="2098" spans="1:7">
      <c r="A2098" t="s">
        <v>23271</v>
      </c>
      <c r="B2098" t="s">
        <v>8626</v>
      </c>
      <c r="D2098" t="s">
        <v>23269</v>
      </c>
      <c r="E2098" t="s">
        <v>8642</v>
      </c>
      <c r="F2098" t="s">
        <v>15549</v>
      </c>
      <c r="G2098" t="s">
        <v>23270</v>
      </c>
    </row>
    <row r="2099" spans="1:7">
      <c r="A2099" t="s">
        <v>23272</v>
      </c>
      <c r="B2099" t="s">
        <v>8626</v>
      </c>
      <c r="D2099" t="s">
        <v>23269</v>
      </c>
      <c r="E2099" t="s">
        <v>8642</v>
      </c>
      <c r="F2099" t="s">
        <v>15549</v>
      </c>
      <c r="G2099" t="s">
        <v>23270</v>
      </c>
    </row>
    <row r="2100" spans="1:7">
      <c r="A2100" t="s">
        <v>23273</v>
      </c>
      <c r="B2100" t="s">
        <v>8607</v>
      </c>
      <c r="D2100" t="s">
        <v>23274</v>
      </c>
      <c r="E2100" t="s">
        <v>8642</v>
      </c>
      <c r="F2100" t="s">
        <v>15549</v>
      </c>
      <c r="G2100" t="s">
        <v>23192</v>
      </c>
    </row>
    <row r="2101" spans="1:7">
      <c r="A2101" t="s">
        <v>23275</v>
      </c>
      <c r="B2101" t="s">
        <v>8626</v>
      </c>
      <c r="D2101" t="s">
        <v>23276</v>
      </c>
      <c r="E2101" t="s">
        <v>8642</v>
      </c>
      <c r="F2101" t="s">
        <v>8797</v>
      </c>
      <c r="G2101" t="s">
        <v>23277</v>
      </c>
    </row>
    <row r="2102" spans="1:7">
      <c r="A2102" t="s">
        <v>23278</v>
      </c>
      <c r="B2102" t="s">
        <v>8607</v>
      </c>
      <c r="D2102" t="s">
        <v>23279</v>
      </c>
      <c r="E2102" t="s">
        <v>8642</v>
      </c>
      <c r="F2102" t="s">
        <v>23280</v>
      </c>
      <c r="G2102" t="s">
        <v>17247</v>
      </c>
    </row>
    <row r="2103" spans="1:7">
      <c r="A2103" t="s">
        <v>23281</v>
      </c>
      <c r="B2103" t="s">
        <v>8626</v>
      </c>
      <c r="C2103" t="s">
        <v>23282</v>
      </c>
      <c r="D2103" t="s">
        <v>23283</v>
      </c>
      <c r="E2103" t="s">
        <v>8642</v>
      </c>
      <c r="F2103" t="s">
        <v>23284</v>
      </c>
      <c r="G2103" t="s">
        <v>23285</v>
      </c>
    </row>
    <row r="2104" spans="1:7">
      <c r="A2104" t="s">
        <v>23286</v>
      </c>
      <c r="B2104" t="s">
        <v>8607</v>
      </c>
      <c r="D2104" t="s">
        <v>23287</v>
      </c>
      <c r="E2104" t="s">
        <v>8642</v>
      </c>
      <c r="F2104" t="s">
        <v>23288</v>
      </c>
      <c r="G2104" t="s">
        <v>23289</v>
      </c>
    </row>
    <row r="2105" spans="1:7">
      <c r="A2105" t="s">
        <v>23290</v>
      </c>
      <c r="B2105" t="s">
        <v>8626</v>
      </c>
      <c r="C2105" t="s">
        <v>23291</v>
      </c>
      <c r="D2105" t="s">
        <v>23292</v>
      </c>
      <c r="E2105" t="s">
        <v>8642</v>
      </c>
      <c r="F2105" t="s">
        <v>8623</v>
      </c>
      <c r="G2105" t="s">
        <v>23293</v>
      </c>
    </row>
    <row r="2106" spans="1:7">
      <c r="A2106" t="s">
        <v>23294</v>
      </c>
      <c r="B2106" t="s">
        <v>8626</v>
      </c>
      <c r="D2106" t="s">
        <v>23292</v>
      </c>
      <c r="E2106" t="s">
        <v>8642</v>
      </c>
      <c r="F2106" t="s">
        <v>23295</v>
      </c>
      <c r="G2106" t="s">
        <v>23296</v>
      </c>
    </row>
    <row r="2107" spans="1:7">
      <c r="A2107" t="s">
        <v>23297</v>
      </c>
      <c r="B2107" t="s">
        <v>8626</v>
      </c>
      <c r="C2107" t="s">
        <v>23298</v>
      </c>
      <c r="D2107" t="s">
        <v>23299</v>
      </c>
      <c r="E2107" t="s">
        <v>8642</v>
      </c>
      <c r="F2107" t="s">
        <v>8623</v>
      </c>
      <c r="G2107" t="s">
        <v>23300</v>
      </c>
    </row>
    <row r="2108" spans="1:7">
      <c r="A2108" t="s">
        <v>23301</v>
      </c>
      <c r="B2108" t="s">
        <v>8626</v>
      </c>
      <c r="D2108" t="s">
        <v>23302</v>
      </c>
      <c r="E2108" t="s">
        <v>8642</v>
      </c>
      <c r="G2108" t="s">
        <v>23303</v>
      </c>
    </row>
    <row r="2109" spans="1:7">
      <c r="A2109" t="s">
        <v>23304</v>
      </c>
      <c r="B2109" t="s">
        <v>8626</v>
      </c>
      <c r="C2109" t="s">
        <v>23305</v>
      </c>
      <c r="D2109" t="s">
        <v>23306</v>
      </c>
      <c r="E2109" t="s">
        <v>8642</v>
      </c>
      <c r="F2109" t="s">
        <v>8623</v>
      </c>
      <c r="G2109" t="s">
        <v>23307</v>
      </c>
    </row>
    <row r="2110" spans="1:7">
      <c r="A2110" t="s">
        <v>23308</v>
      </c>
      <c r="B2110" t="s">
        <v>8626</v>
      </c>
      <c r="C2110" t="s">
        <v>23305</v>
      </c>
      <c r="D2110" t="s">
        <v>23306</v>
      </c>
      <c r="E2110" t="s">
        <v>8642</v>
      </c>
      <c r="F2110" t="s">
        <v>8623</v>
      </c>
      <c r="G2110" t="s">
        <v>23307</v>
      </c>
    </row>
    <row r="2111" spans="1:7">
      <c r="A2111" t="s">
        <v>23309</v>
      </c>
      <c r="B2111" t="s">
        <v>8607</v>
      </c>
      <c r="C2111" t="s">
        <v>23310</v>
      </c>
      <c r="D2111" t="s">
        <v>23311</v>
      </c>
      <c r="E2111" t="s">
        <v>8642</v>
      </c>
      <c r="F2111" t="s">
        <v>23017</v>
      </c>
      <c r="G2111" t="s">
        <v>23312</v>
      </c>
    </row>
    <row r="2112" spans="1:7">
      <c r="A2112" t="s">
        <v>23313</v>
      </c>
      <c r="B2112" t="s">
        <v>8607</v>
      </c>
      <c r="C2112" t="s">
        <v>23314</v>
      </c>
      <c r="D2112" t="s">
        <v>23315</v>
      </c>
      <c r="E2112" t="s">
        <v>8642</v>
      </c>
      <c r="F2112" t="s">
        <v>11607</v>
      </c>
      <c r="G2112" t="s">
        <v>23316</v>
      </c>
    </row>
    <row r="2113" spans="1:7">
      <c r="A2113" t="s">
        <v>23317</v>
      </c>
      <c r="B2113" t="s">
        <v>8607</v>
      </c>
      <c r="D2113" t="s">
        <v>23318</v>
      </c>
      <c r="E2113" t="s">
        <v>8642</v>
      </c>
      <c r="F2113" t="s">
        <v>23319</v>
      </c>
      <c r="G2113" t="s">
        <v>23320</v>
      </c>
    </row>
    <row r="2114" spans="1:7">
      <c r="A2114" t="s">
        <v>23321</v>
      </c>
      <c r="B2114" t="s">
        <v>8626</v>
      </c>
      <c r="C2114" t="s">
        <v>10582</v>
      </c>
      <c r="D2114" t="s">
        <v>10583</v>
      </c>
      <c r="E2114" t="s">
        <v>8642</v>
      </c>
      <c r="F2114" t="s">
        <v>9219</v>
      </c>
      <c r="G2114" t="s">
        <v>23322</v>
      </c>
    </row>
    <row r="2115" spans="1:7">
      <c r="A2115" t="s">
        <v>23323</v>
      </c>
      <c r="B2115" t="s">
        <v>8626</v>
      </c>
      <c r="C2115" t="s">
        <v>10582</v>
      </c>
      <c r="D2115" t="s">
        <v>10583</v>
      </c>
      <c r="E2115" t="s">
        <v>8642</v>
      </c>
      <c r="F2115" t="s">
        <v>9219</v>
      </c>
      <c r="G2115" t="s">
        <v>23322</v>
      </c>
    </row>
    <row r="2116" spans="1:7">
      <c r="A2116" t="s">
        <v>23324</v>
      </c>
      <c r="B2116" t="s">
        <v>8626</v>
      </c>
      <c r="C2116" t="s">
        <v>23325</v>
      </c>
      <c r="D2116" t="s">
        <v>10583</v>
      </c>
      <c r="E2116" t="s">
        <v>8642</v>
      </c>
      <c r="F2116" t="s">
        <v>9219</v>
      </c>
      <c r="G2116" t="s">
        <v>23326</v>
      </c>
    </row>
    <row r="2117" spans="1:7">
      <c r="A2117" t="s">
        <v>23327</v>
      </c>
      <c r="B2117" t="s">
        <v>8626</v>
      </c>
      <c r="C2117" t="s">
        <v>23328</v>
      </c>
      <c r="D2117" s="28" t="s">
        <v>23329</v>
      </c>
      <c r="E2117" t="s">
        <v>23330</v>
      </c>
      <c r="F2117" t="s">
        <v>21754</v>
      </c>
      <c r="G2117" t="s">
        <v>23331</v>
      </c>
    </row>
    <row r="2118" spans="1:7">
      <c r="A2118" t="s">
        <v>23332</v>
      </c>
      <c r="B2118" t="s">
        <v>8607</v>
      </c>
      <c r="D2118" s="28" t="s">
        <v>23333</v>
      </c>
      <c r="E2118" t="s">
        <v>23330</v>
      </c>
      <c r="F2118" t="s">
        <v>21754</v>
      </c>
      <c r="G2118" t="s">
        <v>21758</v>
      </c>
    </row>
    <row r="2119" spans="1:7">
      <c r="A2119" t="s">
        <v>23334</v>
      </c>
      <c r="B2119" t="s">
        <v>8607</v>
      </c>
      <c r="C2119" t="s">
        <v>23335</v>
      </c>
      <c r="D2119" s="28" t="s">
        <v>23336</v>
      </c>
      <c r="E2119" t="s">
        <v>23330</v>
      </c>
      <c r="F2119" t="s">
        <v>10451</v>
      </c>
      <c r="G2119" t="s">
        <v>23337</v>
      </c>
    </row>
    <row r="2120" spans="1:7">
      <c r="A2120" t="s">
        <v>23338</v>
      </c>
      <c r="B2120" t="s">
        <v>8626</v>
      </c>
      <c r="C2120" t="s">
        <v>23339</v>
      </c>
      <c r="D2120" s="28" t="s">
        <v>23340</v>
      </c>
      <c r="E2120" t="s">
        <v>23330</v>
      </c>
      <c r="F2120" t="s">
        <v>10451</v>
      </c>
      <c r="G2120" t="s">
        <v>23341</v>
      </c>
    </row>
    <row r="2121" spans="1:7">
      <c r="A2121" t="s">
        <v>23342</v>
      </c>
      <c r="B2121" t="s">
        <v>8626</v>
      </c>
      <c r="C2121" t="s">
        <v>13094</v>
      </c>
      <c r="D2121" s="28" t="s">
        <v>12574</v>
      </c>
      <c r="E2121" t="s">
        <v>23330</v>
      </c>
      <c r="F2121" t="s">
        <v>10451</v>
      </c>
      <c r="G2121" t="s">
        <v>23343</v>
      </c>
    </row>
    <row r="2122" spans="1:7">
      <c r="A2122" t="s">
        <v>23344</v>
      </c>
      <c r="B2122" t="s">
        <v>8607</v>
      </c>
      <c r="C2122" t="s">
        <v>19896</v>
      </c>
      <c r="D2122" s="28" t="s">
        <v>23345</v>
      </c>
      <c r="E2122" t="s">
        <v>23330</v>
      </c>
      <c r="F2122" t="s">
        <v>9002</v>
      </c>
      <c r="G2122" t="s">
        <v>23346</v>
      </c>
    </row>
    <row r="2123" spans="1:7">
      <c r="A2123" t="s">
        <v>23347</v>
      </c>
      <c r="B2123" t="s">
        <v>8607</v>
      </c>
      <c r="C2123" t="s">
        <v>23348</v>
      </c>
      <c r="D2123" s="28" t="s">
        <v>23349</v>
      </c>
      <c r="E2123" t="s">
        <v>23330</v>
      </c>
      <c r="F2123" t="s">
        <v>9018</v>
      </c>
      <c r="G2123" t="s">
        <v>23350</v>
      </c>
    </row>
    <row r="2124" spans="1:7">
      <c r="A2124" t="s">
        <v>23351</v>
      </c>
      <c r="B2124" t="s">
        <v>8607</v>
      </c>
      <c r="C2124" t="s">
        <v>23352</v>
      </c>
      <c r="D2124" s="28" t="s">
        <v>23353</v>
      </c>
      <c r="E2124" t="s">
        <v>23330</v>
      </c>
      <c r="F2124" t="s">
        <v>23354</v>
      </c>
      <c r="G2124" t="s">
        <v>23355</v>
      </c>
    </row>
    <row r="2125" spans="1:7">
      <c r="A2125" t="s">
        <v>23356</v>
      </c>
      <c r="B2125" t="s">
        <v>8626</v>
      </c>
      <c r="C2125" t="s">
        <v>23357</v>
      </c>
      <c r="D2125" s="28" t="s">
        <v>23358</v>
      </c>
      <c r="E2125" t="s">
        <v>23330</v>
      </c>
      <c r="F2125" t="s">
        <v>23359</v>
      </c>
      <c r="G2125" t="s">
        <v>23360</v>
      </c>
    </row>
    <row r="2126" spans="1:7">
      <c r="A2126" t="s">
        <v>23361</v>
      </c>
      <c r="B2126" t="s">
        <v>8607</v>
      </c>
      <c r="C2126" t="s">
        <v>23362</v>
      </c>
      <c r="D2126" s="28" t="s">
        <v>23363</v>
      </c>
      <c r="E2126" t="s">
        <v>23330</v>
      </c>
      <c r="F2126" t="s">
        <v>17320</v>
      </c>
      <c r="G2126" t="s">
        <v>23364</v>
      </c>
    </row>
    <row r="2127" spans="1:7">
      <c r="A2127" t="s">
        <v>23365</v>
      </c>
      <c r="B2127" t="s">
        <v>8607</v>
      </c>
      <c r="C2127" t="s">
        <v>23366</v>
      </c>
      <c r="D2127" s="28" t="s">
        <v>23367</v>
      </c>
      <c r="E2127" t="s">
        <v>23330</v>
      </c>
      <c r="F2127" t="s">
        <v>17257</v>
      </c>
      <c r="G2127" t="s">
        <v>23368</v>
      </c>
    </row>
    <row r="2128" spans="1:7">
      <c r="A2128" t="s">
        <v>23369</v>
      </c>
      <c r="B2128" t="s">
        <v>8607</v>
      </c>
      <c r="C2128" t="s">
        <v>17646</v>
      </c>
      <c r="D2128" s="28" t="s">
        <v>23370</v>
      </c>
      <c r="E2128" t="s">
        <v>23330</v>
      </c>
      <c r="F2128" t="s">
        <v>23371</v>
      </c>
      <c r="G2128" t="s">
        <v>23372</v>
      </c>
    </row>
    <row r="2129" spans="1:7">
      <c r="A2129" t="s">
        <v>23373</v>
      </c>
      <c r="B2129" t="s">
        <v>8607</v>
      </c>
      <c r="C2129" t="s">
        <v>18774</v>
      </c>
      <c r="D2129" s="28" t="s">
        <v>23370</v>
      </c>
      <c r="E2129" t="s">
        <v>23330</v>
      </c>
      <c r="F2129" t="s">
        <v>9002</v>
      </c>
      <c r="G2129" t="s">
        <v>23374</v>
      </c>
    </row>
    <row r="2130" spans="1:7">
      <c r="A2130" t="s">
        <v>23375</v>
      </c>
      <c r="B2130" t="s">
        <v>8626</v>
      </c>
      <c r="D2130" s="28" t="s">
        <v>23376</v>
      </c>
      <c r="E2130" t="s">
        <v>23330</v>
      </c>
      <c r="F2130" t="s">
        <v>17305</v>
      </c>
      <c r="G2130" t="s">
        <v>23377</v>
      </c>
    </row>
    <row r="2131" spans="1:7">
      <c r="A2131" t="s">
        <v>23378</v>
      </c>
      <c r="B2131" t="s">
        <v>8607</v>
      </c>
      <c r="D2131" s="28" t="s">
        <v>23379</v>
      </c>
      <c r="E2131" t="s">
        <v>23330</v>
      </c>
      <c r="F2131" t="s">
        <v>17305</v>
      </c>
      <c r="G2131" t="s">
        <v>23380</v>
      </c>
    </row>
    <row r="2132" spans="1:7">
      <c r="A2132" t="s">
        <v>23381</v>
      </c>
      <c r="B2132" t="s">
        <v>8607</v>
      </c>
      <c r="C2132" t="s">
        <v>19896</v>
      </c>
      <c r="D2132" s="28" t="s">
        <v>23379</v>
      </c>
      <c r="E2132" t="s">
        <v>23330</v>
      </c>
      <c r="F2132" t="s">
        <v>17305</v>
      </c>
      <c r="G2132" t="s">
        <v>23380</v>
      </c>
    </row>
    <row r="2133" spans="1:7">
      <c r="A2133" t="s">
        <v>23382</v>
      </c>
      <c r="B2133" t="s">
        <v>8607</v>
      </c>
      <c r="D2133" s="28" t="s">
        <v>23383</v>
      </c>
      <c r="E2133" t="s">
        <v>23330</v>
      </c>
      <c r="F2133" t="s">
        <v>17305</v>
      </c>
      <c r="G2133" t="s">
        <v>23384</v>
      </c>
    </row>
    <row r="2134" spans="1:7">
      <c r="A2134" t="s">
        <v>23385</v>
      </c>
      <c r="B2134" t="s">
        <v>8607</v>
      </c>
      <c r="D2134" s="28" t="s">
        <v>23383</v>
      </c>
      <c r="E2134" t="s">
        <v>23330</v>
      </c>
      <c r="F2134" t="s">
        <v>17305</v>
      </c>
      <c r="G2134" t="s">
        <v>23386</v>
      </c>
    </row>
    <row r="2135" spans="1:7">
      <c r="A2135" t="s">
        <v>23387</v>
      </c>
      <c r="B2135" t="s">
        <v>8607</v>
      </c>
      <c r="D2135" s="28" t="s">
        <v>23388</v>
      </c>
      <c r="E2135" t="s">
        <v>23330</v>
      </c>
      <c r="F2135" t="s">
        <v>23389</v>
      </c>
      <c r="G2135" t="s">
        <v>23390</v>
      </c>
    </row>
    <row r="2136" spans="1:7">
      <c r="A2136" t="s">
        <v>23391</v>
      </c>
      <c r="B2136" t="s">
        <v>8607</v>
      </c>
      <c r="D2136" s="28" t="s">
        <v>23392</v>
      </c>
      <c r="E2136" t="s">
        <v>23330</v>
      </c>
      <c r="F2136" t="s">
        <v>17305</v>
      </c>
      <c r="G2136" t="s">
        <v>23393</v>
      </c>
    </row>
    <row r="2137" spans="1:7">
      <c r="A2137" t="s">
        <v>23394</v>
      </c>
      <c r="B2137" t="s">
        <v>8607</v>
      </c>
      <c r="D2137" s="28" t="s">
        <v>23392</v>
      </c>
      <c r="E2137" t="s">
        <v>23330</v>
      </c>
      <c r="F2137" t="s">
        <v>17305</v>
      </c>
      <c r="G2137" t="s">
        <v>23393</v>
      </c>
    </row>
    <row r="2138" spans="1:7">
      <c r="A2138" t="s">
        <v>23395</v>
      </c>
      <c r="B2138" t="s">
        <v>8626</v>
      </c>
      <c r="D2138" s="28" t="s">
        <v>23392</v>
      </c>
      <c r="E2138" t="s">
        <v>23330</v>
      </c>
      <c r="F2138" t="s">
        <v>17305</v>
      </c>
      <c r="G2138" t="s">
        <v>23396</v>
      </c>
    </row>
    <row r="2139" spans="1:7">
      <c r="A2139" t="s">
        <v>23397</v>
      </c>
      <c r="B2139" t="s">
        <v>8607</v>
      </c>
      <c r="D2139" s="28" t="s">
        <v>23392</v>
      </c>
      <c r="E2139" t="s">
        <v>23330</v>
      </c>
      <c r="F2139" t="s">
        <v>17305</v>
      </c>
      <c r="G2139" t="s">
        <v>23398</v>
      </c>
    </row>
    <row r="2140" spans="1:7">
      <c r="A2140" t="s">
        <v>23399</v>
      </c>
      <c r="B2140" t="s">
        <v>8607</v>
      </c>
      <c r="C2140" t="s">
        <v>23400</v>
      </c>
      <c r="D2140" s="28" t="s">
        <v>23392</v>
      </c>
      <c r="E2140" t="s">
        <v>23330</v>
      </c>
      <c r="F2140" t="s">
        <v>17305</v>
      </c>
      <c r="G2140" t="s">
        <v>23401</v>
      </c>
    </row>
    <row r="2141" spans="1:7">
      <c r="A2141" t="s">
        <v>23402</v>
      </c>
      <c r="B2141" t="s">
        <v>8607</v>
      </c>
      <c r="D2141" s="28" t="s">
        <v>23392</v>
      </c>
      <c r="E2141" t="s">
        <v>23330</v>
      </c>
      <c r="F2141" t="s">
        <v>17305</v>
      </c>
      <c r="G2141" t="s">
        <v>23384</v>
      </c>
    </row>
    <row r="2142" spans="1:7">
      <c r="A2142" t="s">
        <v>23403</v>
      </c>
      <c r="B2142" t="s">
        <v>8607</v>
      </c>
      <c r="D2142" s="28" t="s">
        <v>23392</v>
      </c>
      <c r="E2142" t="s">
        <v>23330</v>
      </c>
      <c r="F2142" t="s">
        <v>17305</v>
      </c>
      <c r="G2142" t="s">
        <v>23393</v>
      </c>
    </row>
    <row r="2143" spans="1:7">
      <c r="A2143" t="s">
        <v>23404</v>
      </c>
      <c r="B2143" t="s">
        <v>8607</v>
      </c>
      <c r="C2143" t="s">
        <v>23405</v>
      </c>
      <c r="D2143" s="28" t="s">
        <v>23392</v>
      </c>
      <c r="E2143" t="s">
        <v>23330</v>
      </c>
      <c r="F2143" t="s">
        <v>17305</v>
      </c>
      <c r="G2143" t="s">
        <v>23401</v>
      </c>
    </row>
    <row r="2144" spans="1:7">
      <c r="A2144" t="s">
        <v>23406</v>
      </c>
      <c r="B2144" t="s">
        <v>8607</v>
      </c>
      <c r="D2144" s="28" t="s">
        <v>23392</v>
      </c>
      <c r="E2144" t="s">
        <v>23330</v>
      </c>
      <c r="F2144" t="s">
        <v>17305</v>
      </c>
      <c r="G2144" t="s">
        <v>23401</v>
      </c>
    </row>
    <row r="2145" spans="1:7">
      <c r="A2145" t="s">
        <v>23407</v>
      </c>
      <c r="B2145" t="s">
        <v>8607</v>
      </c>
      <c r="D2145" s="28" t="s">
        <v>23392</v>
      </c>
      <c r="E2145" t="s">
        <v>23330</v>
      </c>
      <c r="F2145" t="s">
        <v>17305</v>
      </c>
      <c r="G2145" t="s">
        <v>23408</v>
      </c>
    </row>
    <row r="2146" spans="1:7">
      <c r="A2146" t="s">
        <v>23409</v>
      </c>
      <c r="B2146" t="s">
        <v>8607</v>
      </c>
      <c r="D2146" s="28" t="s">
        <v>23392</v>
      </c>
      <c r="E2146" t="s">
        <v>23330</v>
      </c>
      <c r="F2146" t="s">
        <v>17305</v>
      </c>
      <c r="G2146" t="s">
        <v>23410</v>
      </c>
    </row>
    <row r="2147" spans="1:7">
      <c r="A2147" t="s">
        <v>23411</v>
      </c>
      <c r="B2147" t="s">
        <v>8607</v>
      </c>
      <c r="D2147" s="28" t="s">
        <v>23392</v>
      </c>
      <c r="E2147" t="s">
        <v>23330</v>
      </c>
      <c r="F2147" t="s">
        <v>17305</v>
      </c>
      <c r="G2147" t="s">
        <v>23408</v>
      </c>
    </row>
    <row r="2148" spans="1:7">
      <c r="A2148" t="s">
        <v>23412</v>
      </c>
      <c r="B2148" t="s">
        <v>8607</v>
      </c>
      <c r="D2148" s="28" t="s">
        <v>23392</v>
      </c>
      <c r="E2148" t="s">
        <v>23330</v>
      </c>
      <c r="F2148" t="s">
        <v>17305</v>
      </c>
      <c r="G2148" t="s">
        <v>23384</v>
      </c>
    </row>
    <row r="2149" spans="1:7">
      <c r="A2149" t="s">
        <v>23413</v>
      </c>
      <c r="B2149" t="s">
        <v>8607</v>
      </c>
      <c r="D2149" s="28" t="s">
        <v>23392</v>
      </c>
      <c r="E2149" t="s">
        <v>23330</v>
      </c>
      <c r="F2149" t="s">
        <v>17305</v>
      </c>
      <c r="G2149" t="s">
        <v>23401</v>
      </c>
    </row>
    <row r="2150" spans="1:7">
      <c r="A2150" t="s">
        <v>23414</v>
      </c>
      <c r="B2150" t="s">
        <v>8607</v>
      </c>
      <c r="D2150" s="28" t="s">
        <v>23415</v>
      </c>
      <c r="E2150" t="s">
        <v>23330</v>
      </c>
      <c r="F2150" t="s">
        <v>17305</v>
      </c>
      <c r="G2150" t="s">
        <v>23393</v>
      </c>
    </row>
    <row r="2151" spans="1:7">
      <c r="A2151" t="s">
        <v>23416</v>
      </c>
      <c r="B2151" t="s">
        <v>8626</v>
      </c>
      <c r="C2151" t="s">
        <v>23417</v>
      </c>
      <c r="D2151" s="28" t="s">
        <v>23418</v>
      </c>
      <c r="E2151" t="s">
        <v>23330</v>
      </c>
      <c r="F2151" t="s">
        <v>17305</v>
      </c>
      <c r="G2151" t="s">
        <v>23419</v>
      </c>
    </row>
    <row r="2152" spans="1:7">
      <c r="A2152" t="s">
        <v>23420</v>
      </c>
      <c r="B2152" t="s">
        <v>8626</v>
      </c>
      <c r="C2152" t="s">
        <v>23421</v>
      </c>
      <c r="D2152" s="28" t="s">
        <v>23422</v>
      </c>
      <c r="E2152" t="s">
        <v>23330</v>
      </c>
      <c r="F2152" t="s">
        <v>17305</v>
      </c>
      <c r="G2152" t="s">
        <v>23423</v>
      </c>
    </row>
    <row r="2153" spans="1:7">
      <c r="A2153" t="s">
        <v>23424</v>
      </c>
      <c r="B2153" t="s">
        <v>8626</v>
      </c>
      <c r="C2153" t="s">
        <v>17303</v>
      </c>
      <c r="D2153" s="28" t="s">
        <v>23425</v>
      </c>
      <c r="E2153" t="s">
        <v>23330</v>
      </c>
      <c r="F2153" t="s">
        <v>17305</v>
      </c>
      <c r="G2153" t="s">
        <v>23426</v>
      </c>
    </row>
    <row r="2154" spans="1:7">
      <c r="A2154" t="s">
        <v>23427</v>
      </c>
      <c r="B2154" t="s">
        <v>8626</v>
      </c>
      <c r="C2154" t="s">
        <v>17303</v>
      </c>
      <c r="D2154" s="28" t="s">
        <v>23425</v>
      </c>
      <c r="E2154" t="s">
        <v>23330</v>
      </c>
      <c r="F2154" t="s">
        <v>17305</v>
      </c>
      <c r="G2154" t="s">
        <v>23426</v>
      </c>
    </row>
    <row r="2155" spans="1:7">
      <c r="A2155" t="s">
        <v>23428</v>
      </c>
      <c r="B2155" t="s">
        <v>8626</v>
      </c>
      <c r="C2155" t="s">
        <v>17303</v>
      </c>
      <c r="D2155" s="28" t="s">
        <v>23429</v>
      </c>
      <c r="E2155" t="s">
        <v>23330</v>
      </c>
      <c r="F2155" t="s">
        <v>17305</v>
      </c>
      <c r="G2155" t="s">
        <v>23430</v>
      </c>
    </row>
    <row r="2156" spans="1:7">
      <c r="A2156" t="s">
        <v>23431</v>
      </c>
      <c r="B2156" t="s">
        <v>8607</v>
      </c>
      <c r="C2156" t="s">
        <v>17303</v>
      </c>
      <c r="D2156" s="28" t="s">
        <v>23429</v>
      </c>
      <c r="E2156" t="s">
        <v>23330</v>
      </c>
      <c r="F2156" t="s">
        <v>17305</v>
      </c>
      <c r="G2156" t="s">
        <v>23432</v>
      </c>
    </row>
    <row r="2157" spans="1:7">
      <c r="A2157" t="s">
        <v>23433</v>
      </c>
      <c r="B2157" t="s">
        <v>8607</v>
      </c>
      <c r="C2157" t="s">
        <v>17303</v>
      </c>
      <c r="D2157" s="28" t="s">
        <v>23429</v>
      </c>
      <c r="E2157" t="s">
        <v>23330</v>
      </c>
      <c r="F2157" t="s">
        <v>17305</v>
      </c>
      <c r="G2157" t="s">
        <v>23434</v>
      </c>
    </row>
    <row r="2158" spans="1:7">
      <c r="A2158" t="s">
        <v>23435</v>
      </c>
      <c r="B2158" t="s">
        <v>8626</v>
      </c>
      <c r="C2158" t="s">
        <v>17303</v>
      </c>
      <c r="D2158" s="28" t="s">
        <v>23429</v>
      </c>
      <c r="E2158" t="s">
        <v>23330</v>
      </c>
      <c r="F2158" t="s">
        <v>17305</v>
      </c>
      <c r="G2158" t="s">
        <v>23436</v>
      </c>
    </row>
    <row r="2159" spans="1:7">
      <c r="A2159" t="s">
        <v>23437</v>
      </c>
      <c r="B2159" t="s">
        <v>8626</v>
      </c>
      <c r="C2159" t="s">
        <v>17303</v>
      </c>
      <c r="D2159" s="28" t="s">
        <v>23429</v>
      </c>
      <c r="E2159" t="s">
        <v>23330</v>
      </c>
      <c r="F2159" t="s">
        <v>17305</v>
      </c>
      <c r="G2159" t="s">
        <v>23436</v>
      </c>
    </row>
    <row r="2160" spans="1:7">
      <c r="A2160" t="s">
        <v>23438</v>
      </c>
      <c r="B2160" t="s">
        <v>8607</v>
      </c>
      <c r="C2160" t="s">
        <v>23439</v>
      </c>
      <c r="D2160" s="28" t="s">
        <v>23440</v>
      </c>
      <c r="E2160" t="s">
        <v>23330</v>
      </c>
      <c r="F2160" t="s">
        <v>17305</v>
      </c>
      <c r="G2160" t="s">
        <v>23441</v>
      </c>
    </row>
    <row r="2161" spans="1:7">
      <c r="A2161" t="s">
        <v>23442</v>
      </c>
      <c r="B2161" t="s">
        <v>8626</v>
      </c>
      <c r="C2161" t="s">
        <v>23443</v>
      </c>
      <c r="D2161" s="28" t="s">
        <v>23444</v>
      </c>
      <c r="E2161" t="s">
        <v>23330</v>
      </c>
      <c r="F2161" t="s">
        <v>17305</v>
      </c>
      <c r="G2161" t="s">
        <v>23445</v>
      </c>
    </row>
    <row r="2162" spans="1:7">
      <c r="A2162" t="s">
        <v>23446</v>
      </c>
      <c r="B2162" t="s">
        <v>8626</v>
      </c>
      <c r="C2162" t="s">
        <v>23443</v>
      </c>
      <c r="D2162" s="28" t="s">
        <v>23444</v>
      </c>
      <c r="E2162" t="s">
        <v>23330</v>
      </c>
      <c r="F2162" t="s">
        <v>17305</v>
      </c>
      <c r="G2162" t="s">
        <v>23445</v>
      </c>
    </row>
    <row r="2163" spans="1:7">
      <c r="A2163" t="s">
        <v>23447</v>
      </c>
      <c r="B2163" t="s">
        <v>8607</v>
      </c>
      <c r="D2163" s="28" t="s">
        <v>23444</v>
      </c>
      <c r="E2163" t="s">
        <v>23330</v>
      </c>
      <c r="F2163" t="s">
        <v>17305</v>
      </c>
      <c r="G2163" t="s">
        <v>23448</v>
      </c>
    </row>
    <row r="2164" spans="1:7">
      <c r="A2164" t="s">
        <v>23449</v>
      </c>
      <c r="B2164" t="s">
        <v>8607</v>
      </c>
      <c r="D2164" s="28" t="s">
        <v>23450</v>
      </c>
      <c r="E2164" t="s">
        <v>23330</v>
      </c>
      <c r="F2164" t="s">
        <v>17305</v>
      </c>
      <c r="G2164" t="s">
        <v>23451</v>
      </c>
    </row>
    <row r="2165" spans="1:7">
      <c r="A2165" t="s">
        <v>23452</v>
      </c>
      <c r="B2165" t="s">
        <v>8607</v>
      </c>
      <c r="D2165" s="28" t="s">
        <v>23453</v>
      </c>
      <c r="E2165" t="s">
        <v>23330</v>
      </c>
      <c r="F2165" t="s">
        <v>17305</v>
      </c>
      <c r="G2165" t="s">
        <v>23401</v>
      </c>
    </row>
    <row r="2166" spans="1:7">
      <c r="A2166" t="s">
        <v>23454</v>
      </c>
      <c r="B2166" t="s">
        <v>8607</v>
      </c>
      <c r="C2166" t="s">
        <v>23443</v>
      </c>
      <c r="D2166" s="28" t="s">
        <v>23455</v>
      </c>
      <c r="E2166" t="s">
        <v>23330</v>
      </c>
      <c r="F2166" t="s">
        <v>17305</v>
      </c>
      <c r="G2166" t="s">
        <v>23456</v>
      </c>
    </row>
    <row r="2167" spans="1:7">
      <c r="A2167" t="s">
        <v>23457</v>
      </c>
      <c r="B2167" t="s">
        <v>8626</v>
      </c>
      <c r="C2167" t="s">
        <v>23417</v>
      </c>
      <c r="D2167" s="28" t="s">
        <v>23458</v>
      </c>
      <c r="E2167" t="s">
        <v>23330</v>
      </c>
      <c r="F2167" t="s">
        <v>17305</v>
      </c>
      <c r="G2167" t="s">
        <v>23459</v>
      </c>
    </row>
    <row r="2168" spans="1:7">
      <c r="A2168" t="s">
        <v>23460</v>
      </c>
      <c r="B2168" t="s">
        <v>8607</v>
      </c>
      <c r="C2168" t="s">
        <v>17303</v>
      </c>
      <c r="D2168" s="28" t="s">
        <v>23461</v>
      </c>
      <c r="E2168" t="s">
        <v>23330</v>
      </c>
      <c r="F2168" t="s">
        <v>17305</v>
      </c>
      <c r="G2168" t="s">
        <v>23462</v>
      </c>
    </row>
    <row r="2169" spans="1:7">
      <c r="A2169" t="s">
        <v>23463</v>
      </c>
      <c r="B2169" t="s">
        <v>8626</v>
      </c>
      <c r="D2169" s="28" t="s">
        <v>23464</v>
      </c>
      <c r="E2169" t="s">
        <v>23330</v>
      </c>
      <c r="F2169" t="s">
        <v>23465</v>
      </c>
      <c r="G2169" t="s">
        <v>23466</v>
      </c>
    </row>
    <row r="2170" spans="1:7">
      <c r="A2170" t="s">
        <v>23467</v>
      </c>
      <c r="B2170" t="s">
        <v>8607</v>
      </c>
      <c r="D2170" s="28" t="s">
        <v>23464</v>
      </c>
      <c r="E2170" t="s">
        <v>23330</v>
      </c>
      <c r="F2170" t="s">
        <v>23465</v>
      </c>
      <c r="G2170" t="s">
        <v>23468</v>
      </c>
    </row>
    <row r="2171" spans="1:7">
      <c r="A2171" t="s">
        <v>23469</v>
      </c>
      <c r="B2171" t="s">
        <v>8607</v>
      </c>
      <c r="C2171" t="s">
        <v>17303</v>
      </c>
      <c r="D2171" s="28" t="s">
        <v>23470</v>
      </c>
      <c r="E2171" t="s">
        <v>23330</v>
      </c>
      <c r="F2171" t="s">
        <v>17305</v>
      </c>
      <c r="G2171" t="s">
        <v>23471</v>
      </c>
    </row>
    <row r="2172" spans="1:7">
      <c r="A2172" t="s">
        <v>23472</v>
      </c>
      <c r="B2172" t="s">
        <v>8607</v>
      </c>
      <c r="D2172" s="28" t="s">
        <v>23473</v>
      </c>
      <c r="E2172" t="s">
        <v>23330</v>
      </c>
      <c r="F2172" t="s">
        <v>17305</v>
      </c>
      <c r="G2172" t="s">
        <v>23474</v>
      </c>
    </row>
    <row r="2173" spans="1:7">
      <c r="A2173" t="s">
        <v>23475</v>
      </c>
      <c r="B2173" t="s">
        <v>8607</v>
      </c>
      <c r="C2173" t="s">
        <v>23443</v>
      </c>
      <c r="D2173" s="28" t="s">
        <v>23473</v>
      </c>
      <c r="E2173" t="s">
        <v>23330</v>
      </c>
      <c r="F2173" t="s">
        <v>17305</v>
      </c>
      <c r="G2173" t="s">
        <v>23474</v>
      </c>
    </row>
    <row r="2174" spans="1:7">
      <c r="A2174" t="s">
        <v>23476</v>
      </c>
      <c r="B2174" t="s">
        <v>8607</v>
      </c>
      <c r="D2174" s="28" t="s">
        <v>23473</v>
      </c>
      <c r="E2174" t="s">
        <v>23330</v>
      </c>
      <c r="F2174" t="s">
        <v>17305</v>
      </c>
      <c r="G2174" t="s">
        <v>23477</v>
      </c>
    </row>
    <row r="2175" spans="1:7">
      <c r="A2175" t="s">
        <v>23478</v>
      </c>
      <c r="B2175" t="s">
        <v>8626</v>
      </c>
      <c r="D2175" s="28" t="s">
        <v>23479</v>
      </c>
      <c r="E2175" t="s">
        <v>23330</v>
      </c>
      <c r="F2175" t="s">
        <v>17305</v>
      </c>
      <c r="G2175" t="s">
        <v>23480</v>
      </c>
    </row>
    <row r="2176" spans="1:7">
      <c r="A2176" t="s">
        <v>23481</v>
      </c>
      <c r="B2176" t="s">
        <v>8607</v>
      </c>
      <c r="C2176" t="s">
        <v>17303</v>
      </c>
      <c r="D2176" s="28" t="s">
        <v>23479</v>
      </c>
      <c r="E2176" t="s">
        <v>23330</v>
      </c>
      <c r="F2176" t="s">
        <v>17305</v>
      </c>
      <c r="G2176" t="s">
        <v>23482</v>
      </c>
    </row>
    <row r="2177" spans="1:7">
      <c r="A2177" t="s">
        <v>23483</v>
      </c>
      <c r="B2177" t="s">
        <v>8626</v>
      </c>
      <c r="D2177" s="28" t="s">
        <v>23479</v>
      </c>
      <c r="E2177" t="s">
        <v>23330</v>
      </c>
      <c r="F2177" t="s">
        <v>17305</v>
      </c>
      <c r="G2177" t="s">
        <v>23484</v>
      </c>
    </row>
    <row r="2178" spans="1:7">
      <c r="A2178" t="s">
        <v>23485</v>
      </c>
      <c r="B2178" t="s">
        <v>8626</v>
      </c>
      <c r="C2178" t="s">
        <v>17303</v>
      </c>
      <c r="D2178" s="28" t="s">
        <v>23479</v>
      </c>
      <c r="E2178" t="s">
        <v>23330</v>
      </c>
      <c r="F2178" t="s">
        <v>23465</v>
      </c>
      <c r="G2178" t="s">
        <v>23486</v>
      </c>
    </row>
    <row r="2179" spans="1:7">
      <c r="A2179" t="s">
        <v>23487</v>
      </c>
      <c r="B2179" t="s">
        <v>8626</v>
      </c>
      <c r="C2179" t="s">
        <v>23488</v>
      </c>
      <c r="D2179" s="28" t="s">
        <v>23479</v>
      </c>
      <c r="E2179" t="s">
        <v>23330</v>
      </c>
      <c r="F2179" t="s">
        <v>17305</v>
      </c>
      <c r="G2179" t="s">
        <v>23489</v>
      </c>
    </row>
    <row r="2180" spans="1:7">
      <c r="A2180" t="s">
        <v>23490</v>
      </c>
      <c r="B2180" t="s">
        <v>8607</v>
      </c>
      <c r="C2180" t="s">
        <v>23488</v>
      </c>
      <c r="D2180" s="28" t="s">
        <v>23479</v>
      </c>
      <c r="E2180" t="s">
        <v>23330</v>
      </c>
      <c r="F2180" t="s">
        <v>17305</v>
      </c>
      <c r="G2180" t="s">
        <v>23491</v>
      </c>
    </row>
    <row r="2181" spans="1:7">
      <c r="A2181" t="s">
        <v>23492</v>
      </c>
      <c r="B2181" t="s">
        <v>8626</v>
      </c>
      <c r="C2181" t="s">
        <v>23488</v>
      </c>
      <c r="D2181" s="28" t="s">
        <v>23479</v>
      </c>
      <c r="E2181" t="s">
        <v>23330</v>
      </c>
      <c r="F2181" t="s">
        <v>17305</v>
      </c>
      <c r="G2181" t="s">
        <v>23493</v>
      </c>
    </row>
    <row r="2182" spans="1:7">
      <c r="A2182" t="s">
        <v>23494</v>
      </c>
      <c r="B2182" t="s">
        <v>8626</v>
      </c>
      <c r="C2182" t="s">
        <v>23421</v>
      </c>
      <c r="D2182" s="28" t="s">
        <v>23495</v>
      </c>
      <c r="E2182" t="s">
        <v>23330</v>
      </c>
      <c r="F2182" t="s">
        <v>17305</v>
      </c>
      <c r="G2182" t="s">
        <v>23496</v>
      </c>
    </row>
    <row r="2183" spans="1:7">
      <c r="A2183" t="s">
        <v>23497</v>
      </c>
      <c r="B2183" t="s">
        <v>8626</v>
      </c>
      <c r="C2183" t="s">
        <v>17303</v>
      </c>
      <c r="D2183" s="28" t="s">
        <v>23498</v>
      </c>
      <c r="E2183" t="s">
        <v>23330</v>
      </c>
      <c r="F2183" t="s">
        <v>17305</v>
      </c>
      <c r="G2183" t="s">
        <v>23499</v>
      </c>
    </row>
    <row r="2184" spans="1:7">
      <c r="A2184" t="s">
        <v>23500</v>
      </c>
      <c r="B2184" t="s">
        <v>8607</v>
      </c>
      <c r="C2184" t="s">
        <v>17303</v>
      </c>
      <c r="D2184" s="28" t="s">
        <v>23498</v>
      </c>
      <c r="E2184" t="s">
        <v>23330</v>
      </c>
      <c r="F2184" t="s">
        <v>17305</v>
      </c>
      <c r="G2184" t="s">
        <v>23456</v>
      </c>
    </row>
    <row r="2185" spans="1:7">
      <c r="A2185" t="s">
        <v>23501</v>
      </c>
      <c r="B2185" t="s">
        <v>8607</v>
      </c>
      <c r="C2185" t="s">
        <v>17303</v>
      </c>
      <c r="D2185" s="28" t="s">
        <v>23498</v>
      </c>
      <c r="E2185" t="s">
        <v>23330</v>
      </c>
      <c r="F2185" t="s">
        <v>17305</v>
      </c>
      <c r="G2185" t="s">
        <v>23456</v>
      </c>
    </row>
    <row r="2186" spans="1:7">
      <c r="A2186" t="s">
        <v>23502</v>
      </c>
      <c r="B2186" t="s">
        <v>8607</v>
      </c>
      <c r="C2186" t="s">
        <v>23439</v>
      </c>
      <c r="D2186" s="28" t="s">
        <v>23503</v>
      </c>
      <c r="E2186" t="s">
        <v>23330</v>
      </c>
      <c r="F2186" t="s">
        <v>23465</v>
      </c>
      <c r="G2186" t="s">
        <v>23504</v>
      </c>
    </row>
    <row r="2187" spans="1:7">
      <c r="A2187" t="s">
        <v>23505</v>
      </c>
      <c r="B2187" t="s">
        <v>8626</v>
      </c>
      <c r="D2187" s="28" t="s">
        <v>23506</v>
      </c>
      <c r="E2187" t="s">
        <v>23330</v>
      </c>
      <c r="F2187" t="s">
        <v>23507</v>
      </c>
      <c r="G2187" t="s">
        <v>23508</v>
      </c>
    </row>
    <row r="2188" spans="1:7">
      <c r="A2188" t="s">
        <v>23509</v>
      </c>
      <c r="B2188" t="s">
        <v>8626</v>
      </c>
      <c r="D2188" s="28" t="s">
        <v>23506</v>
      </c>
      <c r="E2188" t="s">
        <v>23330</v>
      </c>
      <c r="F2188" t="s">
        <v>23507</v>
      </c>
      <c r="G2188" t="s">
        <v>23510</v>
      </c>
    </row>
    <row r="2189" spans="1:7">
      <c r="A2189" t="s">
        <v>23511</v>
      </c>
      <c r="B2189" t="s">
        <v>8607</v>
      </c>
      <c r="D2189" s="28" t="s">
        <v>23506</v>
      </c>
      <c r="E2189" t="s">
        <v>23330</v>
      </c>
      <c r="F2189" t="s">
        <v>23507</v>
      </c>
      <c r="G2189" t="s">
        <v>23512</v>
      </c>
    </row>
    <row r="2190" spans="1:7">
      <c r="A2190" t="s">
        <v>23513</v>
      </c>
      <c r="B2190" t="s">
        <v>8607</v>
      </c>
      <c r="D2190" s="28" t="s">
        <v>23506</v>
      </c>
      <c r="E2190" t="s">
        <v>23330</v>
      </c>
      <c r="F2190" t="s">
        <v>23507</v>
      </c>
      <c r="G2190" t="s">
        <v>23514</v>
      </c>
    </row>
    <row r="2191" spans="1:7">
      <c r="A2191" t="s">
        <v>23515</v>
      </c>
      <c r="B2191" t="s">
        <v>8626</v>
      </c>
      <c r="C2191" t="s">
        <v>17303</v>
      </c>
      <c r="D2191" s="28" t="s">
        <v>23516</v>
      </c>
      <c r="E2191" t="s">
        <v>23330</v>
      </c>
      <c r="F2191" t="s">
        <v>17305</v>
      </c>
      <c r="G2191" t="s">
        <v>23517</v>
      </c>
    </row>
    <row r="2192" spans="1:7">
      <c r="A2192" t="s">
        <v>23518</v>
      </c>
      <c r="B2192" t="s">
        <v>8607</v>
      </c>
      <c r="D2192" s="28" t="s">
        <v>23519</v>
      </c>
      <c r="E2192" t="s">
        <v>23330</v>
      </c>
      <c r="F2192" t="s">
        <v>17305</v>
      </c>
      <c r="G2192" t="s">
        <v>23520</v>
      </c>
    </row>
    <row r="2193" spans="1:7">
      <c r="A2193" t="s">
        <v>23521</v>
      </c>
      <c r="B2193" t="s">
        <v>8607</v>
      </c>
      <c r="C2193" t="s">
        <v>17303</v>
      </c>
      <c r="D2193" s="28" t="s">
        <v>23522</v>
      </c>
      <c r="E2193" t="s">
        <v>23330</v>
      </c>
      <c r="F2193" t="s">
        <v>17305</v>
      </c>
      <c r="G2193" t="s">
        <v>23523</v>
      </c>
    </row>
    <row r="2194" spans="1:7">
      <c r="A2194" t="s">
        <v>23524</v>
      </c>
      <c r="B2194" t="s">
        <v>8626</v>
      </c>
      <c r="C2194" t="s">
        <v>17303</v>
      </c>
      <c r="D2194" s="28" t="s">
        <v>23522</v>
      </c>
      <c r="E2194" t="s">
        <v>23330</v>
      </c>
      <c r="F2194" t="s">
        <v>17305</v>
      </c>
      <c r="G2194" t="s">
        <v>23525</v>
      </c>
    </row>
    <row r="2195" spans="1:7">
      <c r="A2195" t="s">
        <v>23526</v>
      </c>
      <c r="B2195" t="s">
        <v>8626</v>
      </c>
      <c r="C2195" t="s">
        <v>17303</v>
      </c>
      <c r="D2195" s="28" t="s">
        <v>23522</v>
      </c>
      <c r="E2195" t="s">
        <v>23330</v>
      </c>
      <c r="F2195" t="s">
        <v>17305</v>
      </c>
      <c r="G2195" t="s">
        <v>23527</v>
      </c>
    </row>
    <row r="2196" spans="1:7">
      <c r="A2196" t="s">
        <v>23528</v>
      </c>
      <c r="B2196" t="s">
        <v>8626</v>
      </c>
      <c r="D2196" s="28" t="s">
        <v>23529</v>
      </c>
      <c r="E2196" t="s">
        <v>23330</v>
      </c>
      <c r="F2196" t="s">
        <v>17305</v>
      </c>
      <c r="G2196" t="s">
        <v>23530</v>
      </c>
    </row>
    <row r="2197" spans="1:7">
      <c r="A2197" t="s">
        <v>23531</v>
      </c>
      <c r="B2197" t="s">
        <v>8626</v>
      </c>
      <c r="D2197" s="28" t="s">
        <v>23532</v>
      </c>
      <c r="E2197" t="s">
        <v>23330</v>
      </c>
      <c r="F2197" t="s">
        <v>17305</v>
      </c>
      <c r="G2197" t="s">
        <v>23533</v>
      </c>
    </row>
    <row r="2198" spans="1:7">
      <c r="A2198" t="s">
        <v>23534</v>
      </c>
      <c r="B2198" t="s">
        <v>8626</v>
      </c>
      <c r="C2198" t="s">
        <v>23443</v>
      </c>
      <c r="D2198" s="28" t="s">
        <v>23532</v>
      </c>
      <c r="E2198" t="s">
        <v>23330</v>
      </c>
      <c r="F2198" t="s">
        <v>17305</v>
      </c>
      <c r="G2198" t="s">
        <v>23535</v>
      </c>
    </row>
    <row r="2199" spans="1:7">
      <c r="A2199" t="s">
        <v>23536</v>
      </c>
      <c r="B2199" t="s">
        <v>8626</v>
      </c>
      <c r="D2199" s="28" t="s">
        <v>23532</v>
      </c>
      <c r="E2199" t="s">
        <v>23330</v>
      </c>
      <c r="F2199" t="s">
        <v>17305</v>
      </c>
      <c r="G2199" t="s">
        <v>23533</v>
      </c>
    </row>
    <row r="2200" spans="1:7">
      <c r="A2200" t="s">
        <v>23537</v>
      </c>
      <c r="B2200" t="s">
        <v>8626</v>
      </c>
      <c r="D2200" s="28" t="s">
        <v>23532</v>
      </c>
      <c r="E2200" t="s">
        <v>23330</v>
      </c>
      <c r="F2200" t="s">
        <v>17305</v>
      </c>
      <c r="G2200" t="s">
        <v>23533</v>
      </c>
    </row>
    <row r="2201" spans="1:7">
      <c r="A2201" t="s">
        <v>23538</v>
      </c>
      <c r="B2201" t="s">
        <v>8607</v>
      </c>
      <c r="D2201" s="28" t="s">
        <v>23532</v>
      </c>
      <c r="E2201" t="s">
        <v>23330</v>
      </c>
      <c r="F2201" t="s">
        <v>17305</v>
      </c>
      <c r="G2201" t="s">
        <v>23539</v>
      </c>
    </row>
    <row r="2202" spans="1:7">
      <c r="A2202" t="s">
        <v>23540</v>
      </c>
      <c r="B2202" t="s">
        <v>8607</v>
      </c>
      <c r="C2202" t="s">
        <v>23541</v>
      </c>
      <c r="D2202" s="28" t="s">
        <v>23532</v>
      </c>
      <c r="E2202" t="s">
        <v>23330</v>
      </c>
      <c r="F2202" t="s">
        <v>17305</v>
      </c>
      <c r="G2202" t="s">
        <v>23539</v>
      </c>
    </row>
    <row r="2203" spans="1:7">
      <c r="A2203" t="s">
        <v>23542</v>
      </c>
      <c r="B2203" t="s">
        <v>8626</v>
      </c>
      <c r="D2203" s="28" t="s">
        <v>23532</v>
      </c>
      <c r="E2203" t="s">
        <v>23330</v>
      </c>
      <c r="F2203" t="s">
        <v>17305</v>
      </c>
      <c r="G2203" t="s">
        <v>23543</v>
      </c>
    </row>
    <row r="2204" spans="1:7">
      <c r="A2204" t="s">
        <v>23544</v>
      </c>
      <c r="B2204" t="s">
        <v>8607</v>
      </c>
      <c r="C2204" t="s">
        <v>23443</v>
      </c>
      <c r="D2204" s="28" t="s">
        <v>23532</v>
      </c>
      <c r="E2204" t="s">
        <v>23330</v>
      </c>
      <c r="F2204" t="s">
        <v>17305</v>
      </c>
      <c r="G2204" t="s">
        <v>23545</v>
      </c>
    </row>
    <row r="2205" spans="1:7">
      <c r="A2205" t="s">
        <v>23546</v>
      </c>
      <c r="B2205" t="s">
        <v>8607</v>
      </c>
      <c r="C2205" t="s">
        <v>23421</v>
      </c>
      <c r="D2205" s="28" t="s">
        <v>23532</v>
      </c>
      <c r="E2205" t="s">
        <v>23330</v>
      </c>
      <c r="F2205" t="s">
        <v>17305</v>
      </c>
      <c r="G2205" t="s">
        <v>23474</v>
      </c>
    </row>
    <row r="2206" spans="1:7">
      <c r="A2206" t="s">
        <v>23547</v>
      </c>
      <c r="B2206" t="s">
        <v>8607</v>
      </c>
      <c r="C2206" t="s">
        <v>23443</v>
      </c>
      <c r="D2206" s="28" t="s">
        <v>23532</v>
      </c>
      <c r="E2206" t="s">
        <v>23330</v>
      </c>
      <c r="F2206" t="s">
        <v>17305</v>
      </c>
      <c r="G2206" t="s">
        <v>23474</v>
      </c>
    </row>
    <row r="2207" spans="1:7">
      <c r="A2207" t="s">
        <v>23548</v>
      </c>
      <c r="B2207" t="s">
        <v>8607</v>
      </c>
      <c r="C2207" t="s">
        <v>23443</v>
      </c>
      <c r="D2207" s="28" t="s">
        <v>23532</v>
      </c>
      <c r="E2207" t="s">
        <v>23330</v>
      </c>
      <c r="F2207" t="s">
        <v>17305</v>
      </c>
      <c r="G2207" t="s">
        <v>23545</v>
      </c>
    </row>
    <row r="2208" spans="1:7">
      <c r="A2208" t="s">
        <v>23549</v>
      </c>
      <c r="B2208" t="s">
        <v>8607</v>
      </c>
      <c r="D2208" s="28" t="s">
        <v>23550</v>
      </c>
      <c r="E2208" t="s">
        <v>23330</v>
      </c>
      <c r="F2208" t="s">
        <v>17305</v>
      </c>
      <c r="G2208" t="s">
        <v>23551</v>
      </c>
    </row>
    <row r="2209" spans="1:7">
      <c r="A2209" t="s">
        <v>23552</v>
      </c>
      <c r="B2209" t="s">
        <v>8607</v>
      </c>
      <c r="D2209" s="28" t="s">
        <v>23553</v>
      </c>
      <c r="E2209" t="s">
        <v>23330</v>
      </c>
      <c r="F2209" t="s">
        <v>23554</v>
      </c>
      <c r="G2209" t="s">
        <v>23555</v>
      </c>
    </row>
    <row r="2210" spans="1:7">
      <c r="A2210" t="s">
        <v>23556</v>
      </c>
      <c r="B2210" t="s">
        <v>8607</v>
      </c>
      <c r="D2210" s="28" t="s">
        <v>23557</v>
      </c>
      <c r="E2210" t="s">
        <v>23330</v>
      </c>
      <c r="F2210" t="s">
        <v>23554</v>
      </c>
      <c r="G2210" t="s">
        <v>23558</v>
      </c>
    </row>
    <row r="2211" spans="1:7">
      <c r="A2211" t="s">
        <v>23559</v>
      </c>
      <c r="B2211" t="s">
        <v>8607</v>
      </c>
      <c r="D2211" s="28" t="s">
        <v>23557</v>
      </c>
      <c r="E2211" t="s">
        <v>23330</v>
      </c>
      <c r="F2211" t="s">
        <v>23554</v>
      </c>
      <c r="G2211" t="s">
        <v>23558</v>
      </c>
    </row>
    <row r="2212" spans="1:7">
      <c r="A2212" t="s">
        <v>23560</v>
      </c>
      <c r="B2212" t="s">
        <v>8607</v>
      </c>
      <c r="D2212" s="28" t="s">
        <v>23557</v>
      </c>
      <c r="E2212" t="s">
        <v>23330</v>
      </c>
      <c r="F2212" t="s">
        <v>23554</v>
      </c>
      <c r="G2212" t="s">
        <v>23558</v>
      </c>
    </row>
    <row r="2213" spans="1:7">
      <c r="A2213" t="s">
        <v>23561</v>
      </c>
      <c r="B2213" t="s">
        <v>8607</v>
      </c>
      <c r="D2213" s="28" t="s">
        <v>23562</v>
      </c>
      <c r="E2213" t="s">
        <v>23330</v>
      </c>
      <c r="F2213" t="s">
        <v>23554</v>
      </c>
      <c r="G2213" t="s">
        <v>23563</v>
      </c>
    </row>
    <row r="2214" spans="1:7">
      <c r="A2214" t="s">
        <v>23564</v>
      </c>
      <c r="B2214" t="s">
        <v>8607</v>
      </c>
      <c r="D2214" s="28" t="s">
        <v>23562</v>
      </c>
      <c r="E2214" t="s">
        <v>23330</v>
      </c>
      <c r="F2214" t="s">
        <v>23554</v>
      </c>
      <c r="G2214" t="s">
        <v>23563</v>
      </c>
    </row>
    <row r="2215" spans="1:7">
      <c r="A2215" t="s">
        <v>23565</v>
      </c>
      <c r="B2215" t="s">
        <v>8607</v>
      </c>
      <c r="C2215" t="s">
        <v>23566</v>
      </c>
      <c r="D2215" s="28" t="s">
        <v>23567</v>
      </c>
      <c r="E2215" t="s">
        <v>23330</v>
      </c>
      <c r="F2215" t="s">
        <v>23554</v>
      </c>
      <c r="G2215" t="s">
        <v>23568</v>
      </c>
    </row>
    <row r="2216" spans="1:7">
      <c r="A2216" t="s">
        <v>23569</v>
      </c>
      <c r="B2216" t="s">
        <v>8607</v>
      </c>
      <c r="D2216" s="28" t="s">
        <v>23567</v>
      </c>
      <c r="E2216" t="s">
        <v>23330</v>
      </c>
      <c r="F2216" t="s">
        <v>23554</v>
      </c>
      <c r="G2216" t="s">
        <v>23570</v>
      </c>
    </row>
    <row r="2217" spans="1:7">
      <c r="A2217" t="s">
        <v>23571</v>
      </c>
      <c r="B2217" t="s">
        <v>8607</v>
      </c>
      <c r="C2217" t="s">
        <v>23572</v>
      </c>
      <c r="D2217" s="28" t="s">
        <v>23567</v>
      </c>
      <c r="E2217" t="s">
        <v>23330</v>
      </c>
      <c r="F2217" t="s">
        <v>23573</v>
      </c>
      <c r="G2217" t="s">
        <v>23574</v>
      </c>
    </row>
    <row r="2218" spans="1:7">
      <c r="A2218" t="s">
        <v>23575</v>
      </c>
      <c r="B2218" t="s">
        <v>8607</v>
      </c>
      <c r="D2218" s="28" t="s">
        <v>23567</v>
      </c>
      <c r="E2218" t="s">
        <v>23330</v>
      </c>
      <c r="F2218" t="s">
        <v>23554</v>
      </c>
      <c r="G2218" t="s">
        <v>23563</v>
      </c>
    </row>
    <row r="2219" spans="1:7">
      <c r="A2219" t="s">
        <v>23576</v>
      </c>
      <c r="B2219" t="s">
        <v>8607</v>
      </c>
      <c r="D2219" s="28" t="s">
        <v>23567</v>
      </c>
      <c r="E2219" t="s">
        <v>23330</v>
      </c>
      <c r="F2219" t="s">
        <v>23554</v>
      </c>
      <c r="G2219" t="s">
        <v>23577</v>
      </c>
    </row>
    <row r="2220" spans="1:7">
      <c r="A2220" t="s">
        <v>23578</v>
      </c>
      <c r="B2220" t="s">
        <v>8626</v>
      </c>
      <c r="D2220" s="28" t="s">
        <v>23567</v>
      </c>
      <c r="E2220" t="s">
        <v>23330</v>
      </c>
      <c r="F2220" t="s">
        <v>17779</v>
      </c>
      <c r="G2220" t="s">
        <v>23579</v>
      </c>
    </row>
    <row r="2221" spans="1:7">
      <c r="A2221" t="s">
        <v>23580</v>
      </c>
      <c r="B2221" t="s">
        <v>8607</v>
      </c>
      <c r="D2221" s="28" t="s">
        <v>23581</v>
      </c>
      <c r="E2221" t="s">
        <v>23330</v>
      </c>
      <c r="F2221" t="s">
        <v>23554</v>
      </c>
      <c r="G2221" t="s">
        <v>23582</v>
      </c>
    </row>
    <row r="2222" spans="1:7">
      <c r="A2222" t="s">
        <v>23583</v>
      </c>
      <c r="B2222" t="s">
        <v>8607</v>
      </c>
      <c r="D2222" s="28" t="s">
        <v>23581</v>
      </c>
      <c r="E2222" t="s">
        <v>23330</v>
      </c>
      <c r="F2222" t="s">
        <v>23584</v>
      </c>
      <c r="G2222" t="s">
        <v>23585</v>
      </c>
    </row>
    <row r="2223" spans="1:7">
      <c r="A2223" t="s">
        <v>23586</v>
      </c>
      <c r="B2223" t="s">
        <v>8607</v>
      </c>
      <c r="D2223" s="28" t="s">
        <v>23587</v>
      </c>
      <c r="E2223" t="s">
        <v>23330</v>
      </c>
      <c r="F2223" t="s">
        <v>23554</v>
      </c>
      <c r="G2223" t="s">
        <v>23563</v>
      </c>
    </row>
    <row r="2224" spans="1:7">
      <c r="A2224" t="s">
        <v>23588</v>
      </c>
      <c r="B2224" t="s">
        <v>8607</v>
      </c>
      <c r="D2224" s="28" t="s">
        <v>23589</v>
      </c>
      <c r="E2224" t="s">
        <v>23330</v>
      </c>
      <c r="F2224" t="s">
        <v>23584</v>
      </c>
      <c r="G2224" t="s">
        <v>23585</v>
      </c>
    </row>
    <row r="2225" spans="1:7">
      <c r="A2225" t="s">
        <v>23590</v>
      </c>
      <c r="B2225" t="s">
        <v>8607</v>
      </c>
      <c r="D2225" s="28" t="s">
        <v>23589</v>
      </c>
      <c r="E2225" t="s">
        <v>23330</v>
      </c>
      <c r="F2225" t="s">
        <v>23584</v>
      </c>
      <c r="G2225" t="s">
        <v>23585</v>
      </c>
    </row>
    <row r="2226" spans="1:7">
      <c r="A2226" t="s">
        <v>23591</v>
      </c>
      <c r="B2226" t="s">
        <v>8607</v>
      </c>
      <c r="D2226" s="28" t="s">
        <v>23589</v>
      </c>
      <c r="E2226" t="s">
        <v>23330</v>
      </c>
      <c r="F2226" t="s">
        <v>23584</v>
      </c>
      <c r="G2226" t="s">
        <v>23585</v>
      </c>
    </row>
    <row r="2227" spans="1:7">
      <c r="A2227" t="s">
        <v>23592</v>
      </c>
      <c r="B2227" t="s">
        <v>8607</v>
      </c>
      <c r="C2227" t="s">
        <v>21311</v>
      </c>
      <c r="D2227" s="28" t="s">
        <v>23593</v>
      </c>
      <c r="E2227" t="s">
        <v>23330</v>
      </c>
      <c r="F2227" t="s">
        <v>23573</v>
      </c>
      <c r="G2227" t="s">
        <v>23574</v>
      </c>
    </row>
    <row r="2228" spans="1:7">
      <c r="A2228" t="s">
        <v>23594</v>
      </c>
      <c r="B2228" t="s">
        <v>8607</v>
      </c>
      <c r="D2228" s="28" t="s">
        <v>23595</v>
      </c>
      <c r="E2228" t="s">
        <v>23330</v>
      </c>
      <c r="F2228" t="s">
        <v>23554</v>
      </c>
      <c r="G2228" t="s">
        <v>23596</v>
      </c>
    </row>
    <row r="2229" spans="1:7">
      <c r="A2229" t="s">
        <v>23597</v>
      </c>
      <c r="B2229" t="s">
        <v>8607</v>
      </c>
      <c r="D2229" s="28" t="s">
        <v>23595</v>
      </c>
      <c r="E2229" t="s">
        <v>23330</v>
      </c>
      <c r="F2229" t="s">
        <v>23554</v>
      </c>
      <c r="G2229" t="s">
        <v>23596</v>
      </c>
    </row>
    <row r="2230" spans="1:7">
      <c r="A2230" t="s">
        <v>23598</v>
      </c>
      <c r="B2230" t="s">
        <v>8607</v>
      </c>
      <c r="D2230" s="28" t="s">
        <v>23595</v>
      </c>
      <c r="E2230" t="s">
        <v>23330</v>
      </c>
      <c r="F2230" t="s">
        <v>23554</v>
      </c>
      <c r="G2230" t="s">
        <v>23599</v>
      </c>
    </row>
    <row r="2231" spans="1:7">
      <c r="A2231" t="s">
        <v>23600</v>
      </c>
      <c r="B2231" t="s">
        <v>8607</v>
      </c>
      <c r="D2231" s="28" t="s">
        <v>23595</v>
      </c>
      <c r="E2231" t="s">
        <v>23330</v>
      </c>
      <c r="F2231" t="s">
        <v>23554</v>
      </c>
      <c r="G2231" t="s">
        <v>23601</v>
      </c>
    </row>
    <row r="2232" spans="1:7">
      <c r="A2232" t="s">
        <v>23602</v>
      </c>
      <c r="B2232" t="s">
        <v>8607</v>
      </c>
      <c r="D2232" s="28" t="s">
        <v>23595</v>
      </c>
      <c r="E2232" t="s">
        <v>23330</v>
      </c>
      <c r="F2232" t="s">
        <v>23554</v>
      </c>
      <c r="G2232" t="s">
        <v>23603</v>
      </c>
    </row>
    <row r="2233" spans="1:7">
      <c r="A2233" t="s">
        <v>23604</v>
      </c>
      <c r="B2233" t="s">
        <v>8607</v>
      </c>
      <c r="D2233" s="28" t="s">
        <v>23595</v>
      </c>
      <c r="E2233" t="s">
        <v>23330</v>
      </c>
      <c r="F2233" t="s">
        <v>23554</v>
      </c>
      <c r="G2233" t="s">
        <v>23605</v>
      </c>
    </row>
    <row r="2234" spans="1:7">
      <c r="A2234" t="s">
        <v>23606</v>
      </c>
      <c r="B2234" t="s">
        <v>8607</v>
      </c>
      <c r="D2234" s="28" t="s">
        <v>23595</v>
      </c>
      <c r="E2234" t="s">
        <v>23330</v>
      </c>
      <c r="F2234" t="s">
        <v>23554</v>
      </c>
      <c r="G2234" t="s">
        <v>23607</v>
      </c>
    </row>
    <row r="2235" spans="1:7">
      <c r="A2235" t="s">
        <v>23608</v>
      </c>
      <c r="B2235" t="s">
        <v>8607</v>
      </c>
      <c r="C2235" t="s">
        <v>23609</v>
      </c>
      <c r="D2235" s="28" t="s">
        <v>23595</v>
      </c>
      <c r="E2235" t="s">
        <v>23330</v>
      </c>
      <c r="F2235" t="s">
        <v>23554</v>
      </c>
      <c r="G2235" t="s">
        <v>23610</v>
      </c>
    </row>
    <row r="2236" spans="1:7">
      <c r="A2236" t="s">
        <v>23611</v>
      </c>
      <c r="B2236" t="s">
        <v>8607</v>
      </c>
      <c r="D2236" s="28" t="s">
        <v>23595</v>
      </c>
      <c r="E2236" t="s">
        <v>23330</v>
      </c>
      <c r="F2236" t="s">
        <v>23554</v>
      </c>
      <c r="G2236" t="s">
        <v>23612</v>
      </c>
    </row>
    <row r="2237" spans="1:7">
      <c r="A2237" t="s">
        <v>23613</v>
      </c>
      <c r="B2237" t="s">
        <v>8607</v>
      </c>
      <c r="D2237" s="28" t="s">
        <v>23595</v>
      </c>
      <c r="E2237" t="s">
        <v>23330</v>
      </c>
      <c r="F2237" t="s">
        <v>23554</v>
      </c>
      <c r="G2237" t="s">
        <v>23601</v>
      </c>
    </row>
    <row r="2238" spans="1:7">
      <c r="A2238" t="s">
        <v>23614</v>
      </c>
      <c r="B2238" t="s">
        <v>8607</v>
      </c>
      <c r="D2238" s="28" t="s">
        <v>23595</v>
      </c>
      <c r="E2238" t="s">
        <v>23330</v>
      </c>
      <c r="F2238" t="s">
        <v>23554</v>
      </c>
      <c r="G2238" t="s">
        <v>23612</v>
      </c>
    </row>
    <row r="2239" spans="1:7">
      <c r="A2239" t="s">
        <v>23615</v>
      </c>
      <c r="B2239" t="s">
        <v>8607</v>
      </c>
      <c r="C2239" t="s">
        <v>23609</v>
      </c>
      <c r="D2239" s="28" t="s">
        <v>23616</v>
      </c>
      <c r="E2239" t="s">
        <v>23330</v>
      </c>
      <c r="F2239" t="s">
        <v>23554</v>
      </c>
      <c r="G2239" t="s">
        <v>23617</v>
      </c>
    </row>
    <row r="2240" spans="1:7">
      <c r="A2240" t="s">
        <v>23618</v>
      </c>
      <c r="B2240" t="s">
        <v>8626</v>
      </c>
      <c r="C2240" t="s">
        <v>23619</v>
      </c>
      <c r="D2240" s="28" t="s">
        <v>23620</v>
      </c>
      <c r="E2240" t="s">
        <v>23330</v>
      </c>
      <c r="F2240" t="s">
        <v>12302</v>
      </c>
      <c r="G2240" t="s">
        <v>23621</v>
      </c>
    </row>
    <row r="2241" spans="1:7">
      <c r="A2241" t="s">
        <v>23622</v>
      </c>
      <c r="B2241" t="s">
        <v>8607</v>
      </c>
      <c r="D2241" s="28" t="s">
        <v>23623</v>
      </c>
      <c r="E2241" t="s">
        <v>23330</v>
      </c>
      <c r="F2241" t="s">
        <v>18755</v>
      </c>
      <c r="G2241" t="s">
        <v>23624</v>
      </c>
    </row>
    <row r="2242" spans="1:7">
      <c r="A2242" t="s">
        <v>23625</v>
      </c>
      <c r="B2242" t="s">
        <v>8626</v>
      </c>
      <c r="C2242" t="s">
        <v>18872</v>
      </c>
      <c r="D2242" s="28" t="s">
        <v>23626</v>
      </c>
      <c r="E2242" t="s">
        <v>23330</v>
      </c>
      <c r="F2242" t="s">
        <v>18755</v>
      </c>
      <c r="G2242" t="s">
        <v>18874</v>
      </c>
    </row>
    <row r="2243" spans="1:7">
      <c r="A2243" t="s">
        <v>23627</v>
      </c>
      <c r="B2243" t="s">
        <v>8607</v>
      </c>
      <c r="C2243" t="s">
        <v>23628</v>
      </c>
      <c r="D2243" s="28" t="s">
        <v>23629</v>
      </c>
      <c r="E2243" t="s">
        <v>23330</v>
      </c>
      <c r="F2243" t="s">
        <v>23630</v>
      </c>
      <c r="G2243" t="s">
        <v>23631</v>
      </c>
    </row>
    <row r="2244" spans="1:7">
      <c r="A2244" t="s">
        <v>23632</v>
      </c>
      <c r="B2244" t="s">
        <v>8607</v>
      </c>
      <c r="D2244" s="28" t="s">
        <v>23629</v>
      </c>
      <c r="E2244" t="s">
        <v>23330</v>
      </c>
      <c r="F2244" t="s">
        <v>23630</v>
      </c>
      <c r="G2244" t="s">
        <v>23631</v>
      </c>
    </row>
    <row r="2245" spans="1:7">
      <c r="A2245" t="s">
        <v>23633</v>
      </c>
      <c r="B2245" t="s">
        <v>8607</v>
      </c>
      <c r="D2245" s="28" t="s">
        <v>23634</v>
      </c>
      <c r="E2245" t="s">
        <v>23330</v>
      </c>
      <c r="F2245" t="s">
        <v>23630</v>
      </c>
      <c r="G2245" t="s">
        <v>23635</v>
      </c>
    </row>
    <row r="2246" spans="1:7">
      <c r="A2246" t="s">
        <v>23636</v>
      </c>
      <c r="B2246" t="s">
        <v>8607</v>
      </c>
      <c r="D2246" s="28" t="s">
        <v>23634</v>
      </c>
      <c r="E2246" t="s">
        <v>23330</v>
      </c>
      <c r="F2246" t="s">
        <v>23630</v>
      </c>
      <c r="G2246" t="s">
        <v>23637</v>
      </c>
    </row>
    <row r="2247" spans="1:7">
      <c r="A2247" t="s">
        <v>23638</v>
      </c>
      <c r="B2247" t="s">
        <v>8626</v>
      </c>
      <c r="D2247" s="28" t="s">
        <v>23639</v>
      </c>
      <c r="E2247" t="s">
        <v>23330</v>
      </c>
      <c r="G2247" t="s">
        <v>23640</v>
      </c>
    </row>
    <row r="2248" spans="1:7">
      <c r="A2248" t="s">
        <v>23641</v>
      </c>
      <c r="B2248" t="s">
        <v>8626</v>
      </c>
      <c r="D2248" s="28" t="s">
        <v>23642</v>
      </c>
      <c r="E2248" t="s">
        <v>23330</v>
      </c>
      <c r="F2248" t="s">
        <v>23630</v>
      </c>
      <c r="G2248" t="s">
        <v>23643</v>
      </c>
    </row>
    <row r="2249" spans="1:7">
      <c r="A2249" t="s">
        <v>23644</v>
      </c>
      <c r="B2249" t="s">
        <v>8607</v>
      </c>
      <c r="D2249" s="28" t="s">
        <v>23645</v>
      </c>
      <c r="E2249" t="s">
        <v>23330</v>
      </c>
      <c r="F2249" t="s">
        <v>23630</v>
      </c>
      <c r="G2249" t="s">
        <v>23646</v>
      </c>
    </row>
    <row r="2250" spans="1:7">
      <c r="A2250" t="s">
        <v>23647</v>
      </c>
      <c r="B2250" t="s">
        <v>8607</v>
      </c>
      <c r="D2250" s="28" t="s">
        <v>23648</v>
      </c>
      <c r="E2250" t="s">
        <v>23330</v>
      </c>
      <c r="F2250" t="s">
        <v>23630</v>
      </c>
      <c r="G2250" t="s">
        <v>23646</v>
      </c>
    </row>
    <row r="2251" spans="1:7">
      <c r="A2251" t="s">
        <v>23649</v>
      </c>
      <c r="D2251" s="28" t="s">
        <v>23650</v>
      </c>
      <c r="E2251" t="s">
        <v>23330</v>
      </c>
      <c r="G2251" t="s">
        <v>23651</v>
      </c>
    </row>
    <row r="2252" spans="1:7">
      <c r="A2252" t="s">
        <v>23652</v>
      </c>
      <c r="B2252" t="s">
        <v>8607</v>
      </c>
      <c r="C2252" t="s">
        <v>23628</v>
      </c>
      <c r="D2252" s="28" t="s">
        <v>23653</v>
      </c>
      <c r="E2252" t="s">
        <v>23330</v>
      </c>
      <c r="F2252" t="s">
        <v>23630</v>
      </c>
      <c r="G2252" t="s">
        <v>23631</v>
      </c>
    </row>
    <row r="2253" spans="1:7">
      <c r="A2253" t="s">
        <v>23654</v>
      </c>
      <c r="B2253" t="s">
        <v>8607</v>
      </c>
      <c r="D2253" s="28" t="s">
        <v>23655</v>
      </c>
      <c r="E2253" t="s">
        <v>23330</v>
      </c>
      <c r="F2253" t="s">
        <v>23630</v>
      </c>
      <c r="G2253" t="s">
        <v>23656</v>
      </c>
    </row>
    <row r="2254" spans="1:7">
      <c r="A2254" t="s">
        <v>23657</v>
      </c>
      <c r="B2254" t="s">
        <v>8607</v>
      </c>
      <c r="D2254" s="28" t="s">
        <v>23655</v>
      </c>
      <c r="E2254" t="s">
        <v>23330</v>
      </c>
      <c r="F2254" t="s">
        <v>23630</v>
      </c>
      <c r="G2254" t="s">
        <v>23658</v>
      </c>
    </row>
    <row r="2255" spans="1:7">
      <c r="A2255" t="s">
        <v>23659</v>
      </c>
      <c r="B2255" t="s">
        <v>8607</v>
      </c>
      <c r="D2255" s="28" t="s">
        <v>23655</v>
      </c>
      <c r="E2255" t="s">
        <v>23330</v>
      </c>
      <c r="F2255" t="s">
        <v>23630</v>
      </c>
      <c r="G2255" t="s">
        <v>23660</v>
      </c>
    </row>
    <row r="2256" spans="1:7">
      <c r="A2256" t="s">
        <v>23661</v>
      </c>
      <c r="B2256" t="s">
        <v>8607</v>
      </c>
      <c r="D2256" s="28" t="s">
        <v>23655</v>
      </c>
      <c r="E2256" t="s">
        <v>23330</v>
      </c>
      <c r="F2256" t="s">
        <v>23630</v>
      </c>
      <c r="G2256" t="s">
        <v>23662</v>
      </c>
    </row>
    <row r="2257" spans="1:7">
      <c r="A2257" t="s">
        <v>23663</v>
      </c>
      <c r="B2257" t="s">
        <v>8607</v>
      </c>
      <c r="C2257" t="s">
        <v>23628</v>
      </c>
      <c r="D2257" s="28" t="s">
        <v>23664</v>
      </c>
      <c r="E2257" t="s">
        <v>23330</v>
      </c>
      <c r="F2257" t="s">
        <v>23630</v>
      </c>
      <c r="G2257" t="s">
        <v>23631</v>
      </c>
    </row>
    <row r="2258" spans="1:7">
      <c r="A2258" t="s">
        <v>23665</v>
      </c>
      <c r="B2258" t="s">
        <v>8626</v>
      </c>
      <c r="D2258" s="28" t="s">
        <v>23666</v>
      </c>
      <c r="E2258" t="s">
        <v>23330</v>
      </c>
      <c r="F2258" t="s">
        <v>23667</v>
      </c>
      <c r="G2258" t="s">
        <v>23668</v>
      </c>
    </row>
    <row r="2259" spans="1:7">
      <c r="A2259" t="s">
        <v>23669</v>
      </c>
      <c r="B2259" t="s">
        <v>8626</v>
      </c>
      <c r="D2259" s="28" t="s">
        <v>23670</v>
      </c>
      <c r="E2259" t="s">
        <v>23330</v>
      </c>
      <c r="F2259" t="s">
        <v>23667</v>
      </c>
      <c r="G2259" t="s">
        <v>23671</v>
      </c>
    </row>
    <row r="2260" spans="1:7">
      <c r="A2260" t="s">
        <v>23672</v>
      </c>
      <c r="B2260" t="s">
        <v>8607</v>
      </c>
      <c r="C2260" t="s">
        <v>23628</v>
      </c>
      <c r="D2260" s="28" t="s">
        <v>23673</v>
      </c>
      <c r="E2260" t="s">
        <v>23330</v>
      </c>
      <c r="F2260" t="s">
        <v>23630</v>
      </c>
      <c r="G2260" t="s">
        <v>23631</v>
      </c>
    </row>
    <row r="2261" spans="1:7">
      <c r="A2261" t="s">
        <v>23674</v>
      </c>
      <c r="B2261" t="s">
        <v>8607</v>
      </c>
      <c r="C2261" t="s">
        <v>23628</v>
      </c>
      <c r="D2261" s="28" t="s">
        <v>23673</v>
      </c>
      <c r="E2261" t="s">
        <v>23330</v>
      </c>
      <c r="F2261" t="s">
        <v>23630</v>
      </c>
      <c r="G2261" t="s">
        <v>23631</v>
      </c>
    </row>
    <row r="2262" spans="1:7">
      <c r="A2262" t="s">
        <v>23675</v>
      </c>
      <c r="B2262" t="s">
        <v>8607</v>
      </c>
      <c r="C2262" t="s">
        <v>23676</v>
      </c>
      <c r="D2262" s="28" t="s">
        <v>23673</v>
      </c>
      <c r="E2262" t="s">
        <v>23330</v>
      </c>
      <c r="F2262" t="s">
        <v>23630</v>
      </c>
      <c r="G2262" t="s">
        <v>23677</v>
      </c>
    </row>
    <row r="2263" spans="1:7">
      <c r="A2263" t="s">
        <v>23678</v>
      </c>
      <c r="B2263" t="s">
        <v>8626</v>
      </c>
      <c r="D2263" s="28" t="s">
        <v>23679</v>
      </c>
      <c r="E2263" t="s">
        <v>23330</v>
      </c>
      <c r="F2263" t="s">
        <v>23680</v>
      </c>
      <c r="G2263" t="s">
        <v>23681</v>
      </c>
    </row>
    <row r="2264" spans="1:7">
      <c r="A2264" t="s">
        <v>23682</v>
      </c>
      <c r="B2264" t="s">
        <v>8626</v>
      </c>
      <c r="D2264" s="28" t="s">
        <v>23679</v>
      </c>
      <c r="E2264" t="s">
        <v>23330</v>
      </c>
      <c r="F2264" t="s">
        <v>23680</v>
      </c>
      <c r="G2264" t="s">
        <v>23683</v>
      </c>
    </row>
    <row r="2265" spans="1:7">
      <c r="A2265" t="s">
        <v>23684</v>
      </c>
      <c r="B2265" t="s">
        <v>8607</v>
      </c>
      <c r="D2265" s="28" t="s">
        <v>23679</v>
      </c>
      <c r="E2265" t="s">
        <v>23330</v>
      </c>
      <c r="G2265" t="s">
        <v>23685</v>
      </c>
    </row>
    <row r="2266" spans="1:7">
      <c r="A2266" t="s">
        <v>23686</v>
      </c>
      <c r="D2266" s="28" t="s">
        <v>23687</v>
      </c>
      <c r="E2266" t="s">
        <v>23330</v>
      </c>
      <c r="G2266" t="s">
        <v>23688</v>
      </c>
    </row>
    <row r="2267" spans="1:7">
      <c r="A2267" t="s">
        <v>23689</v>
      </c>
      <c r="B2267" t="s">
        <v>8607</v>
      </c>
      <c r="D2267" s="28" t="s">
        <v>23690</v>
      </c>
      <c r="E2267" t="s">
        <v>23330</v>
      </c>
      <c r="F2267" t="s">
        <v>23691</v>
      </c>
      <c r="G2267" t="s">
        <v>23692</v>
      </c>
    </row>
    <row r="2268" spans="1:7">
      <c r="A2268" t="s">
        <v>23693</v>
      </c>
      <c r="B2268" t="s">
        <v>8607</v>
      </c>
      <c r="D2268" s="28" t="s">
        <v>23694</v>
      </c>
      <c r="E2268" t="s">
        <v>23330</v>
      </c>
      <c r="F2268" t="s">
        <v>23691</v>
      </c>
      <c r="G2268" t="s">
        <v>23695</v>
      </c>
    </row>
    <row r="2269" spans="1:7">
      <c r="A2269" t="s">
        <v>23696</v>
      </c>
      <c r="B2269" t="s">
        <v>8626</v>
      </c>
      <c r="D2269" s="28" t="s">
        <v>23697</v>
      </c>
      <c r="E2269" t="s">
        <v>23330</v>
      </c>
      <c r="G2269" t="s">
        <v>23698</v>
      </c>
    </row>
    <row r="2270" spans="1:7">
      <c r="A2270" t="s">
        <v>23699</v>
      </c>
      <c r="B2270" t="s">
        <v>8607</v>
      </c>
      <c r="D2270" s="28" t="s">
        <v>23700</v>
      </c>
      <c r="E2270" t="s">
        <v>23330</v>
      </c>
      <c r="F2270" t="s">
        <v>17721</v>
      </c>
      <c r="G2270" t="s">
        <v>23701</v>
      </c>
    </row>
    <row r="2271" spans="1:7">
      <c r="A2271" t="s">
        <v>23702</v>
      </c>
      <c r="B2271" t="s">
        <v>8626</v>
      </c>
      <c r="D2271" s="28" t="s">
        <v>23703</v>
      </c>
      <c r="E2271" t="s">
        <v>23330</v>
      </c>
      <c r="F2271" t="s">
        <v>17369</v>
      </c>
      <c r="G2271" t="s">
        <v>23704</v>
      </c>
    </row>
    <row r="2272" spans="1:7">
      <c r="A2272" t="s">
        <v>23705</v>
      </c>
      <c r="B2272" t="s">
        <v>8626</v>
      </c>
      <c r="D2272" s="28" t="s">
        <v>23703</v>
      </c>
      <c r="E2272" t="s">
        <v>23330</v>
      </c>
      <c r="F2272" t="s">
        <v>17369</v>
      </c>
      <c r="G2272" t="s">
        <v>23704</v>
      </c>
    </row>
    <row r="2273" spans="1:7">
      <c r="A2273" t="s">
        <v>23706</v>
      </c>
      <c r="B2273" t="s">
        <v>8626</v>
      </c>
      <c r="C2273" t="s">
        <v>17376</v>
      </c>
      <c r="D2273" s="28" t="s">
        <v>23703</v>
      </c>
      <c r="E2273" t="s">
        <v>23330</v>
      </c>
      <c r="F2273" t="s">
        <v>17369</v>
      </c>
      <c r="G2273" t="s">
        <v>23704</v>
      </c>
    </row>
    <row r="2274" spans="1:7">
      <c r="A2274" t="s">
        <v>23707</v>
      </c>
      <c r="B2274" t="s">
        <v>8626</v>
      </c>
      <c r="D2274" s="28" t="s">
        <v>23703</v>
      </c>
      <c r="E2274" t="s">
        <v>23330</v>
      </c>
      <c r="F2274" t="s">
        <v>17369</v>
      </c>
      <c r="G2274" t="s">
        <v>23704</v>
      </c>
    </row>
    <row r="2275" spans="1:7">
      <c r="A2275" t="s">
        <v>23708</v>
      </c>
      <c r="B2275" t="s">
        <v>8626</v>
      </c>
      <c r="D2275" s="28" t="s">
        <v>23703</v>
      </c>
      <c r="E2275" t="s">
        <v>23330</v>
      </c>
      <c r="F2275" t="s">
        <v>17369</v>
      </c>
      <c r="G2275" t="s">
        <v>23704</v>
      </c>
    </row>
    <row r="2276" spans="1:7">
      <c r="A2276" t="s">
        <v>23709</v>
      </c>
      <c r="B2276" t="s">
        <v>8626</v>
      </c>
      <c r="D2276" s="28" t="s">
        <v>23703</v>
      </c>
      <c r="E2276" t="s">
        <v>23330</v>
      </c>
      <c r="F2276" t="s">
        <v>17369</v>
      </c>
      <c r="G2276" t="s">
        <v>23704</v>
      </c>
    </row>
    <row r="2277" spans="1:7">
      <c r="A2277" t="s">
        <v>23710</v>
      </c>
      <c r="B2277" t="s">
        <v>8626</v>
      </c>
      <c r="D2277" s="28" t="s">
        <v>23703</v>
      </c>
      <c r="E2277" t="s">
        <v>23330</v>
      </c>
      <c r="F2277" t="s">
        <v>17369</v>
      </c>
      <c r="G2277" t="s">
        <v>23704</v>
      </c>
    </row>
    <row r="2278" spans="1:7">
      <c r="A2278" t="s">
        <v>23711</v>
      </c>
      <c r="B2278" t="s">
        <v>8626</v>
      </c>
      <c r="D2278" s="28" t="s">
        <v>23703</v>
      </c>
      <c r="E2278" t="s">
        <v>23330</v>
      </c>
      <c r="F2278" t="s">
        <v>17721</v>
      </c>
      <c r="G2278" t="s">
        <v>23712</v>
      </c>
    </row>
    <row r="2279" spans="1:7">
      <c r="A2279" t="s">
        <v>23713</v>
      </c>
      <c r="B2279" t="s">
        <v>8607</v>
      </c>
      <c r="D2279" s="28" t="s">
        <v>23703</v>
      </c>
      <c r="E2279" t="s">
        <v>23330</v>
      </c>
      <c r="F2279" t="s">
        <v>17369</v>
      </c>
      <c r="G2279" t="s">
        <v>23714</v>
      </c>
    </row>
    <row r="2280" spans="1:7">
      <c r="A2280" t="s">
        <v>23715</v>
      </c>
      <c r="B2280" t="s">
        <v>8626</v>
      </c>
      <c r="D2280" s="28" t="s">
        <v>23703</v>
      </c>
      <c r="E2280" t="s">
        <v>23330</v>
      </c>
      <c r="F2280" t="s">
        <v>21567</v>
      </c>
      <c r="G2280" t="s">
        <v>23716</v>
      </c>
    </row>
    <row r="2281" spans="1:7">
      <c r="A2281" t="s">
        <v>23717</v>
      </c>
      <c r="B2281" t="s">
        <v>8626</v>
      </c>
      <c r="D2281" s="28" t="s">
        <v>23703</v>
      </c>
      <c r="E2281" t="s">
        <v>23330</v>
      </c>
      <c r="F2281" t="s">
        <v>17369</v>
      </c>
      <c r="G2281" t="s">
        <v>23704</v>
      </c>
    </row>
    <row r="2282" spans="1:7">
      <c r="A2282" t="s">
        <v>23718</v>
      </c>
      <c r="B2282" t="s">
        <v>8626</v>
      </c>
      <c r="D2282" s="28" t="s">
        <v>23703</v>
      </c>
      <c r="E2282" t="s">
        <v>23330</v>
      </c>
      <c r="F2282" t="s">
        <v>17369</v>
      </c>
      <c r="G2282" t="s">
        <v>23704</v>
      </c>
    </row>
    <row r="2283" spans="1:7">
      <c r="A2283" t="s">
        <v>23719</v>
      </c>
      <c r="B2283" t="s">
        <v>8607</v>
      </c>
      <c r="D2283" s="28" t="s">
        <v>23703</v>
      </c>
      <c r="E2283" t="s">
        <v>23330</v>
      </c>
      <c r="F2283" t="s">
        <v>21567</v>
      </c>
      <c r="G2283" t="s">
        <v>23720</v>
      </c>
    </row>
    <row r="2284" spans="1:7">
      <c r="A2284" t="s">
        <v>23721</v>
      </c>
      <c r="B2284" t="s">
        <v>8626</v>
      </c>
      <c r="D2284" s="28" t="s">
        <v>23703</v>
      </c>
      <c r="E2284" t="s">
        <v>23330</v>
      </c>
      <c r="F2284" t="s">
        <v>17369</v>
      </c>
      <c r="G2284" t="s">
        <v>23704</v>
      </c>
    </row>
    <row r="2285" spans="1:7">
      <c r="A2285" t="s">
        <v>23722</v>
      </c>
      <c r="B2285" t="s">
        <v>8626</v>
      </c>
      <c r="D2285" s="28" t="s">
        <v>23703</v>
      </c>
      <c r="E2285" t="s">
        <v>23330</v>
      </c>
      <c r="F2285" t="s">
        <v>17369</v>
      </c>
      <c r="G2285" t="s">
        <v>23704</v>
      </c>
    </row>
    <row r="2286" spans="1:7">
      <c r="A2286" t="s">
        <v>23723</v>
      </c>
      <c r="B2286" t="s">
        <v>8607</v>
      </c>
      <c r="D2286" s="28" t="s">
        <v>23703</v>
      </c>
      <c r="E2286" t="s">
        <v>23330</v>
      </c>
      <c r="F2286" t="s">
        <v>21567</v>
      </c>
      <c r="G2286" t="s">
        <v>23720</v>
      </c>
    </row>
    <row r="2287" spans="1:7">
      <c r="A2287" t="s">
        <v>23724</v>
      </c>
      <c r="B2287" t="s">
        <v>8607</v>
      </c>
      <c r="D2287" s="28" t="s">
        <v>23703</v>
      </c>
      <c r="E2287" t="s">
        <v>23330</v>
      </c>
      <c r="F2287" t="s">
        <v>21567</v>
      </c>
      <c r="G2287" t="s">
        <v>23720</v>
      </c>
    </row>
    <row r="2288" spans="1:7">
      <c r="A2288" t="s">
        <v>23725</v>
      </c>
      <c r="B2288" t="s">
        <v>8626</v>
      </c>
      <c r="C2288" t="s">
        <v>17376</v>
      </c>
      <c r="D2288" s="28" t="s">
        <v>23703</v>
      </c>
      <c r="E2288" t="s">
        <v>23330</v>
      </c>
      <c r="F2288" t="s">
        <v>17369</v>
      </c>
      <c r="G2288" t="s">
        <v>23704</v>
      </c>
    </row>
    <row r="2289" spans="1:7">
      <c r="A2289" t="s">
        <v>23726</v>
      </c>
      <c r="B2289" t="s">
        <v>8626</v>
      </c>
      <c r="D2289" s="28" t="s">
        <v>23703</v>
      </c>
      <c r="E2289" t="s">
        <v>23330</v>
      </c>
      <c r="F2289" t="s">
        <v>17369</v>
      </c>
      <c r="G2289" t="s">
        <v>23704</v>
      </c>
    </row>
    <row r="2290" spans="1:7">
      <c r="A2290" t="s">
        <v>23727</v>
      </c>
      <c r="B2290" t="s">
        <v>8607</v>
      </c>
      <c r="C2290" t="s">
        <v>9104</v>
      </c>
      <c r="D2290" s="28" t="s">
        <v>23703</v>
      </c>
      <c r="E2290" t="s">
        <v>23330</v>
      </c>
      <c r="F2290" t="s">
        <v>17369</v>
      </c>
      <c r="G2290" t="s">
        <v>23728</v>
      </c>
    </row>
    <row r="2291" spans="1:7">
      <c r="A2291" t="s">
        <v>23729</v>
      </c>
      <c r="B2291" t="s">
        <v>8626</v>
      </c>
      <c r="D2291" s="28" t="s">
        <v>23703</v>
      </c>
      <c r="E2291" t="s">
        <v>23330</v>
      </c>
      <c r="F2291" t="s">
        <v>21567</v>
      </c>
      <c r="G2291" t="s">
        <v>23716</v>
      </c>
    </row>
    <row r="2292" spans="1:7">
      <c r="A2292" t="s">
        <v>23730</v>
      </c>
      <c r="B2292" t="s">
        <v>8626</v>
      </c>
      <c r="D2292" s="28" t="s">
        <v>23703</v>
      </c>
      <c r="E2292" t="s">
        <v>23330</v>
      </c>
      <c r="F2292" t="s">
        <v>17369</v>
      </c>
      <c r="G2292" t="s">
        <v>23704</v>
      </c>
    </row>
    <row r="2293" spans="1:7">
      <c r="A2293" t="s">
        <v>23731</v>
      </c>
      <c r="B2293" t="s">
        <v>8607</v>
      </c>
      <c r="D2293" s="28" t="s">
        <v>17368</v>
      </c>
      <c r="E2293" t="s">
        <v>23330</v>
      </c>
      <c r="F2293" t="s">
        <v>23732</v>
      </c>
      <c r="G2293" t="s">
        <v>23733</v>
      </c>
    </row>
    <row r="2294" spans="1:7">
      <c r="A2294" t="s">
        <v>23734</v>
      </c>
      <c r="B2294" t="s">
        <v>8626</v>
      </c>
      <c r="D2294" s="28" t="s">
        <v>23735</v>
      </c>
      <c r="E2294" t="s">
        <v>23330</v>
      </c>
      <c r="F2294" t="s">
        <v>23736</v>
      </c>
      <c r="G2294" t="s">
        <v>23737</v>
      </c>
    </row>
    <row r="2295" spans="1:7">
      <c r="A2295" t="s">
        <v>23738</v>
      </c>
      <c r="B2295" t="s">
        <v>8607</v>
      </c>
      <c r="D2295" s="28" t="s">
        <v>23739</v>
      </c>
      <c r="E2295" t="s">
        <v>23330</v>
      </c>
      <c r="F2295" t="s">
        <v>23740</v>
      </c>
      <c r="G2295" t="s">
        <v>23741</v>
      </c>
    </row>
    <row r="2296" spans="1:7">
      <c r="A2296" t="s">
        <v>23742</v>
      </c>
      <c r="B2296" t="s">
        <v>8626</v>
      </c>
      <c r="C2296" t="s">
        <v>9104</v>
      </c>
      <c r="D2296" s="28" t="s">
        <v>23743</v>
      </c>
      <c r="E2296" t="s">
        <v>23330</v>
      </c>
      <c r="F2296" t="s">
        <v>8678</v>
      </c>
      <c r="G2296" t="s">
        <v>23744</v>
      </c>
    </row>
    <row r="2297" spans="1:7">
      <c r="A2297" t="s">
        <v>23745</v>
      </c>
      <c r="B2297" t="s">
        <v>8626</v>
      </c>
      <c r="D2297" s="28" t="s">
        <v>14956</v>
      </c>
      <c r="E2297" t="s">
        <v>23330</v>
      </c>
      <c r="F2297" t="s">
        <v>21567</v>
      </c>
      <c r="G2297" t="s">
        <v>23746</v>
      </c>
    </row>
    <row r="2298" spans="1:7">
      <c r="A2298" t="s">
        <v>23747</v>
      </c>
      <c r="B2298" t="s">
        <v>8607</v>
      </c>
      <c r="D2298" s="28" t="s">
        <v>23748</v>
      </c>
      <c r="E2298" t="s">
        <v>23330</v>
      </c>
      <c r="F2298" t="s">
        <v>8629</v>
      </c>
      <c r="G2298" t="s">
        <v>23749</v>
      </c>
    </row>
    <row r="2299" spans="1:7">
      <c r="A2299" t="s">
        <v>23750</v>
      </c>
      <c r="B2299" t="s">
        <v>8607</v>
      </c>
      <c r="D2299" s="28" t="s">
        <v>23751</v>
      </c>
      <c r="E2299" t="s">
        <v>23330</v>
      </c>
      <c r="F2299" t="s">
        <v>11990</v>
      </c>
      <c r="G2299" t="s">
        <v>23752</v>
      </c>
    </row>
    <row r="2300" spans="1:7">
      <c r="A2300" t="s">
        <v>23753</v>
      </c>
      <c r="B2300" t="s">
        <v>8626</v>
      </c>
      <c r="C2300" t="s">
        <v>23754</v>
      </c>
      <c r="D2300" s="28" t="s">
        <v>23755</v>
      </c>
      <c r="E2300" t="s">
        <v>23330</v>
      </c>
      <c r="F2300" t="s">
        <v>23756</v>
      </c>
      <c r="G2300" t="s">
        <v>23757</v>
      </c>
    </row>
    <row r="2301" spans="1:7">
      <c r="A2301" t="s">
        <v>23758</v>
      </c>
      <c r="B2301" t="s">
        <v>8607</v>
      </c>
      <c r="C2301" t="s">
        <v>23754</v>
      </c>
      <c r="D2301" s="28" t="s">
        <v>23755</v>
      </c>
      <c r="E2301" t="s">
        <v>23330</v>
      </c>
      <c r="F2301" t="s">
        <v>23756</v>
      </c>
      <c r="G2301" t="s">
        <v>23759</v>
      </c>
    </row>
    <row r="2302" spans="1:7">
      <c r="A2302" t="s">
        <v>23760</v>
      </c>
      <c r="B2302" t="s">
        <v>8607</v>
      </c>
      <c r="C2302" t="s">
        <v>23754</v>
      </c>
      <c r="D2302" s="28" t="s">
        <v>23761</v>
      </c>
      <c r="E2302" t="s">
        <v>23330</v>
      </c>
      <c r="F2302" t="s">
        <v>23762</v>
      </c>
      <c r="G2302" t="s">
        <v>23763</v>
      </c>
    </row>
    <row r="2303" spans="1:7">
      <c r="A2303" t="s">
        <v>23764</v>
      </c>
      <c r="B2303" t="s">
        <v>8607</v>
      </c>
      <c r="C2303" t="s">
        <v>23754</v>
      </c>
      <c r="D2303" s="28" t="s">
        <v>23765</v>
      </c>
      <c r="E2303" t="s">
        <v>23330</v>
      </c>
      <c r="F2303" t="s">
        <v>23756</v>
      </c>
      <c r="G2303" t="s">
        <v>23766</v>
      </c>
    </row>
    <row r="2304" spans="1:7">
      <c r="A2304" t="s">
        <v>23767</v>
      </c>
      <c r="B2304" t="s">
        <v>8607</v>
      </c>
      <c r="C2304" t="s">
        <v>23754</v>
      </c>
      <c r="D2304" s="28" t="s">
        <v>23765</v>
      </c>
      <c r="E2304" t="s">
        <v>23330</v>
      </c>
      <c r="F2304" t="s">
        <v>23768</v>
      </c>
      <c r="G2304" t="s">
        <v>23769</v>
      </c>
    </row>
    <row r="2305" spans="1:7">
      <c r="A2305" t="s">
        <v>23770</v>
      </c>
      <c r="B2305" t="s">
        <v>8607</v>
      </c>
      <c r="C2305" t="s">
        <v>23754</v>
      </c>
      <c r="D2305" s="28" t="s">
        <v>23765</v>
      </c>
      <c r="E2305" t="s">
        <v>23330</v>
      </c>
      <c r="F2305" t="s">
        <v>23756</v>
      </c>
      <c r="G2305" t="s">
        <v>23771</v>
      </c>
    </row>
    <row r="2306" spans="1:7">
      <c r="A2306" t="s">
        <v>23772</v>
      </c>
      <c r="B2306" t="s">
        <v>8607</v>
      </c>
      <c r="C2306" t="s">
        <v>23773</v>
      </c>
      <c r="D2306" s="28" t="s">
        <v>23765</v>
      </c>
      <c r="E2306" t="s">
        <v>23330</v>
      </c>
      <c r="F2306" t="s">
        <v>23762</v>
      </c>
      <c r="G2306" t="s">
        <v>23763</v>
      </c>
    </row>
    <row r="2307" spans="1:7">
      <c r="A2307" t="s">
        <v>23774</v>
      </c>
      <c r="B2307" t="s">
        <v>8626</v>
      </c>
      <c r="C2307" t="s">
        <v>23754</v>
      </c>
      <c r="D2307" s="28" t="s">
        <v>23765</v>
      </c>
      <c r="E2307" t="s">
        <v>23330</v>
      </c>
      <c r="F2307" t="s">
        <v>23756</v>
      </c>
      <c r="G2307" t="s">
        <v>23757</v>
      </c>
    </row>
    <row r="2308" spans="1:7">
      <c r="A2308" t="s">
        <v>23775</v>
      </c>
      <c r="B2308" t="s">
        <v>8607</v>
      </c>
      <c r="C2308" t="s">
        <v>23754</v>
      </c>
      <c r="D2308" s="28" t="s">
        <v>23765</v>
      </c>
      <c r="E2308" t="s">
        <v>23330</v>
      </c>
      <c r="F2308" t="s">
        <v>23756</v>
      </c>
      <c r="G2308" t="s">
        <v>23776</v>
      </c>
    </row>
    <row r="2309" spans="1:7">
      <c r="A2309" t="s">
        <v>23777</v>
      </c>
      <c r="B2309" t="s">
        <v>8607</v>
      </c>
      <c r="C2309" t="s">
        <v>23754</v>
      </c>
      <c r="D2309" s="28" t="s">
        <v>23765</v>
      </c>
      <c r="E2309" t="s">
        <v>23330</v>
      </c>
      <c r="F2309" t="s">
        <v>23756</v>
      </c>
      <c r="G2309" t="s">
        <v>23778</v>
      </c>
    </row>
    <row r="2310" spans="1:7">
      <c r="A2310" t="s">
        <v>23779</v>
      </c>
      <c r="B2310" t="s">
        <v>8607</v>
      </c>
      <c r="D2310" s="28" t="s">
        <v>23780</v>
      </c>
      <c r="E2310" t="s">
        <v>23330</v>
      </c>
      <c r="F2310" t="s">
        <v>23781</v>
      </c>
      <c r="G2310" t="s">
        <v>23782</v>
      </c>
    </row>
    <row r="2311" spans="1:7">
      <c r="A2311" t="s">
        <v>23783</v>
      </c>
      <c r="B2311" t="s">
        <v>8626</v>
      </c>
      <c r="C2311" t="s">
        <v>23773</v>
      </c>
      <c r="D2311" s="28" t="s">
        <v>23784</v>
      </c>
      <c r="E2311" t="s">
        <v>23330</v>
      </c>
      <c r="F2311" t="s">
        <v>23756</v>
      </c>
      <c r="G2311" t="s">
        <v>23757</v>
      </c>
    </row>
    <row r="2312" spans="1:7">
      <c r="A2312" t="s">
        <v>23785</v>
      </c>
      <c r="B2312" t="s">
        <v>8626</v>
      </c>
      <c r="C2312" t="s">
        <v>23786</v>
      </c>
      <c r="D2312" s="28" t="s">
        <v>23787</v>
      </c>
      <c r="E2312" t="s">
        <v>23330</v>
      </c>
      <c r="F2312" t="s">
        <v>10060</v>
      </c>
      <c r="G2312" t="s">
        <v>23788</v>
      </c>
    </row>
    <row r="2313" spans="1:7">
      <c r="A2313" t="s">
        <v>23789</v>
      </c>
      <c r="B2313" t="s">
        <v>8607</v>
      </c>
      <c r="C2313" t="s">
        <v>23790</v>
      </c>
      <c r="D2313" s="28" t="s">
        <v>23791</v>
      </c>
      <c r="E2313" t="s">
        <v>23330</v>
      </c>
      <c r="F2313" t="s">
        <v>10060</v>
      </c>
      <c r="G2313" t="s">
        <v>23792</v>
      </c>
    </row>
    <row r="2314" spans="1:7">
      <c r="A2314" t="s">
        <v>23793</v>
      </c>
      <c r="B2314" t="s">
        <v>8607</v>
      </c>
      <c r="C2314" t="s">
        <v>23794</v>
      </c>
      <c r="D2314" s="28" t="s">
        <v>23795</v>
      </c>
      <c r="E2314" t="s">
        <v>23330</v>
      </c>
      <c r="F2314" t="s">
        <v>23796</v>
      </c>
      <c r="G2314" t="s">
        <v>23797</v>
      </c>
    </row>
    <row r="2315" spans="1:7">
      <c r="A2315" t="s">
        <v>23798</v>
      </c>
      <c r="B2315" t="s">
        <v>8607</v>
      </c>
      <c r="D2315" s="28" t="s">
        <v>23799</v>
      </c>
      <c r="E2315" t="s">
        <v>23330</v>
      </c>
      <c r="F2315" t="s">
        <v>23796</v>
      </c>
      <c r="G2315" t="s">
        <v>23800</v>
      </c>
    </row>
    <row r="2316" spans="1:7">
      <c r="A2316" t="s">
        <v>23801</v>
      </c>
      <c r="B2316" t="s">
        <v>8607</v>
      </c>
      <c r="C2316" t="s">
        <v>23794</v>
      </c>
      <c r="D2316" s="28" t="s">
        <v>23799</v>
      </c>
      <c r="E2316" t="s">
        <v>23330</v>
      </c>
      <c r="F2316" t="s">
        <v>18777</v>
      </c>
      <c r="G2316" t="s">
        <v>23802</v>
      </c>
    </row>
    <row r="2317" spans="1:7">
      <c r="A2317" t="s">
        <v>23803</v>
      </c>
      <c r="B2317" t="s">
        <v>8607</v>
      </c>
      <c r="C2317" t="s">
        <v>23794</v>
      </c>
      <c r="D2317" s="28" t="s">
        <v>23804</v>
      </c>
      <c r="E2317" t="s">
        <v>23330</v>
      </c>
      <c r="F2317" t="s">
        <v>18777</v>
      </c>
      <c r="G2317" t="s">
        <v>23797</v>
      </c>
    </row>
    <row r="2318" spans="1:7">
      <c r="A2318" t="s">
        <v>23805</v>
      </c>
      <c r="B2318" t="s">
        <v>8607</v>
      </c>
      <c r="D2318" s="28" t="s">
        <v>23806</v>
      </c>
      <c r="E2318" t="s">
        <v>23330</v>
      </c>
      <c r="F2318" t="s">
        <v>23796</v>
      </c>
      <c r="G2318" t="s">
        <v>23807</v>
      </c>
    </row>
    <row r="2319" spans="1:7">
      <c r="A2319" t="s">
        <v>23808</v>
      </c>
      <c r="B2319" t="s">
        <v>8607</v>
      </c>
      <c r="C2319" t="s">
        <v>23794</v>
      </c>
      <c r="D2319" s="28" t="s">
        <v>23809</v>
      </c>
      <c r="E2319" t="s">
        <v>23330</v>
      </c>
      <c r="F2319" t="s">
        <v>18777</v>
      </c>
      <c r="G2319" t="s">
        <v>23810</v>
      </c>
    </row>
    <row r="2320" spans="1:7">
      <c r="A2320" t="s">
        <v>23811</v>
      </c>
      <c r="B2320" t="s">
        <v>8626</v>
      </c>
      <c r="C2320" t="s">
        <v>23794</v>
      </c>
      <c r="D2320" s="28" t="s">
        <v>23812</v>
      </c>
      <c r="E2320" t="s">
        <v>23330</v>
      </c>
      <c r="F2320" t="s">
        <v>23796</v>
      </c>
      <c r="G2320" t="s">
        <v>23813</v>
      </c>
    </row>
    <row r="2321" spans="1:7">
      <c r="A2321" t="s">
        <v>23814</v>
      </c>
      <c r="B2321" t="s">
        <v>8626</v>
      </c>
      <c r="C2321" t="s">
        <v>23794</v>
      </c>
      <c r="D2321" s="28" t="s">
        <v>23812</v>
      </c>
      <c r="E2321" t="s">
        <v>23330</v>
      </c>
      <c r="F2321" t="s">
        <v>23796</v>
      </c>
      <c r="G2321" t="s">
        <v>23813</v>
      </c>
    </row>
    <row r="2322" spans="1:7">
      <c r="A2322" t="s">
        <v>23815</v>
      </c>
      <c r="B2322" t="s">
        <v>8626</v>
      </c>
      <c r="D2322" s="28" t="s">
        <v>23816</v>
      </c>
      <c r="E2322" t="s">
        <v>23330</v>
      </c>
      <c r="F2322" t="s">
        <v>23796</v>
      </c>
      <c r="G2322" t="s">
        <v>23817</v>
      </c>
    </row>
    <row r="2323" spans="1:7">
      <c r="A2323" t="s">
        <v>23818</v>
      </c>
      <c r="B2323" t="s">
        <v>8607</v>
      </c>
      <c r="D2323" s="28" t="s">
        <v>23819</v>
      </c>
      <c r="E2323" t="s">
        <v>23330</v>
      </c>
      <c r="F2323" t="s">
        <v>23796</v>
      </c>
      <c r="G2323" t="s">
        <v>23820</v>
      </c>
    </row>
    <row r="2324" spans="1:7">
      <c r="A2324" t="s">
        <v>23821</v>
      </c>
      <c r="B2324" t="s">
        <v>8626</v>
      </c>
      <c r="D2324" s="28" t="s">
        <v>23822</v>
      </c>
      <c r="E2324" t="s">
        <v>23330</v>
      </c>
      <c r="F2324" t="s">
        <v>23796</v>
      </c>
      <c r="G2324" t="s">
        <v>23823</v>
      </c>
    </row>
    <row r="2325" spans="1:7">
      <c r="A2325" t="s">
        <v>23824</v>
      </c>
      <c r="B2325" t="s">
        <v>8607</v>
      </c>
      <c r="C2325" t="s">
        <v>23794</v>
      </c>
      <c r="D2325" s="28" t="s">
        <v>23825</v>
      </c>
      <c r="E2325" t="s">
        <v>23330</v>
      </c>
      <c r="F2325" t="s">
        <v>23796</v>
      </c>
      <c r="G2325" t="s">
        <v>23826</v>
      </c>
    </row>
    <row r="2326" spans="1:7">
      <c r="A2326" t="s">
        <v>23827</v>
      </c>
      <c r="B2326" t="s">
        <v>8607</v>
      </c>
      <c r="C2326" t="s">
        <v>23794</v>
      </c>
      <c r="D2326" s="28" t="s">
        <v>23828</v>
      </c>
      <c r="E2326" t="s">
        <v>23330</v>
      </c>
      <c r="F2326" t="s">
        <v>23796</v>
      </c>
      <c r="G2326" t="s">
        <v>23807</v>
      </c>
    </row>
    <row r="2327" spans="1:7">
      <c r="A2327" t="s">
        <v>23829</v>
      </c>
      <c r="B2327" t="s">
        <v>8607</v>
      </c>
      <c r="D2327" s="28" t="s">
        <v>23830</v>
      </c>
      <c r="E2327" t="s">
        <v>23330</v>
      </c>
      <c r="F2327" t="s">
        <v>23796</v>
      </c>
      <c r="G2327" t="s">
        <v>23807</v>
      </c>
    </row>
    <row r="2328" spans="1:7">
      <c r="A2328" t="s">
        <v>23831</v>
      </c>
      <c r="B2328" t="s">
        <v>8626</v>
      </c>
      <c r="C2328" t="s">
        <v>23832</v>
      </c>
      <c r="D2328" s="28" t="s">
        <v>23833</v>
      </c>
      <c r="E2328" t="s">
        <v>23330</v>
      </c>
      <c r="G2328" t="s">
        <v>23834</v>
      </c>
    </row>
    <row r="2329" spans="1:7">
      <c r="A2329" t="s">
        <v>23835</v>
      </c>
      <c r="B2329" t="s">
        <v>8607</v>
      </c>
      <c r="C2329" t="s">
        <v>23836</v>
      </c>
      <c r="D2329" s="28" t="s">
        <v>23837</v>
      </c>
      <c r="E2329" t="s">
        <v>23330</v>
      </c>
      <c r="F2329" t="s">
        <v>23838</v>
      </c>
      <c r="G2329" t="s">
        <v>23839</v>
      </c>
    </row>
    <row r="2330" spans="1:7">
      <c r="A2330" t="s">
        <v>23840</v>
      </c>
      <c r="B2330" t="s">
        <v>8607</v>
      </c>
      <c r="D2330" s="28" t="s">
        <v>23841</v>
      </c>
      <c r="E2330" t="s">
        <v>23330</v>
      </c>
      <c r="F2330" t="s">
        <v>10060</v>
      </c>
      <c r="G2330" t="s">
        <v>23842</v>
      </c>
    </row>
    <row r="2331" spans="1:7">
      <c r="A2331" t="s">
        <v>23843</v>
      </c>
      <c r="B2331" t="s">
        <v>8607</v>
      </c>
      <c r="D2331" s="28" t="s">
        <v>23844</v>
      </c>
      <c r="E2331" t="s">
        <v>23330</v>
      </c>
      <c r="F2331" t="s">
        <v>10060</v>
      </c>
      <c r="G2331" t="s">
        <v>23845</v>
      </c>
    </row>
    <row r="2332" spans="1:7">
      <c r="A2332" t="s">
        <v>23846</v>
      </c>
      <c r="B2332" t="s">
        <v>8607</v>
      </c>
      <c r="C2332" t="s">
        <v>23847</v>
      </c>
      <c r="D2332" s="28" t="s">
        <v>23848</v>
      </c>
      <c r="E2332" t="s">
        <v>23330</v>
      </c>
      <c r="F2332" t="s">
        <v>10060</v>
      </c>
      <c r="G2332" t="s">
        <v>23849</v>
      </c>
    </row>
    <row r="2333" spans="1:7">
      <c r="A2333" t="s">
        <v>23850</v>
      </c>
      <c r="B2333" t="s">
        <v>8626</v>
      </c>
      <c r="D2333" s="28" t="s">
        <v>23851</v>
      </c>
      <c r="E2333" t="s">
        <v>23330</v>
      </c>
      <c r="F2333" t="s">
        <v>10060</v>
      </c>
      <c r="G2333" t="s">
        <v>23852</v>
      </c>
    </row>
    <row r="2334" spans="1:7">
      <c r="A2334" t="s">
        <v>23853</v>
      </c>
      <c r="B2334" t="s">
        <v>8607</v>
      </c>
      <c r="D2334" s="28" t="s">
        <v>23854</v>
      </c>
      <c r="E2334" t="s">
        <v>23330</v>
      </c>
      <c r="F2334" t="s">
        <v>10060</v>
      </c>
      <c r="G2334" t="s">
        <v>23855</v>
      </c>
    </row>
    <row r="2335" spans="1:7">
      <c r="A2335" t="s">
        <v>23856</v>
      </c>
      <c r="B2335" t="s">
        <v>8607</v>
      </c>
      <c r="C2335" t="s">
        <v>23857</v>
      </c>
      <c r="D2335" s="28" t="s">
        <v>23858</v>
      </c>
      <c r="E2335" t="s">
        <v>23330</v>
      </c>
      <c r="F2335" t="s">
        <v>23859</v>
      </c>
      <c r="G2335" t="s">
        <v>23860</v>
      </c>
    </row>
    <row r="2336" spans="1:7">
      <c r="A2336" t="s">
        <v>23861</v>
      </c>
      <c r="B2336" t="s">
        <v>8607</v>
      </c>
      <c r="C2336" t="s">
        <v>23857</v>
      </c>
      <c r="D2336" s="28" t="s">
        <v>23862</v>
      </c>
      <c r="E2336" t="s">
        <v>23330</v>
      </c>
      <c r="F2336" t="s">
        <v>23859</v>
      </c>
      <c r="G2336" t="s">
        <v>23863</v>
      </c>
    </row>
    <row r="2337" spans="1:7">
      <c r="A2337" t="s">
        <v>23864</v>
      </c>
      <c r="B2337" t="s">
        <v>8626</v>
      </c>
      <c r="C2337" t="s">
        <v>23857</v>
      </c>
      <c r="D2337" s="28" t="s">
        <v>23862</v>
      </c>
      <c r="E2337" t="s">
        <v>23330</v>
      </c>
      <c r="F2337" t="s">
        <v>23859</v>
      </c>
      <c r="G2337" t="s">
        <v>23865</v>
      </c>
    </row>
    <row r="2338" spans="1:7">
      <c r="A2338" t="s">
        <v>23866</v>
      </c>
      <c r="B2338" t="s">
        <v>8626</v>
      </c>
      <c r="C2338" t="s">
        <v>23867</v>
      </c>
      <c r="D2338" s="28" t="s">
        <v>23868</v>
      </c>
      <c r="E2338" t="s">
        <v>23330</v>
      </c>
      <c r="F2338" t="s">
        <v>23859</v>
      </c>
      <c r="G2338" t="s">
        <v>23869</v>
      </c>
    </row>
    <row r="2339" spans="1:7">
      <c r="A2339" t="s">
        <v>23870</v>
      </c>
      <c r="B2339" t="s">
        <v>8626</v>
      </c>
      <c r="D2339" s="28" t="s">
        <v>23871</v>
      </c>
      <c r="E2339" t="s">
        <v>23330</v>
      </c>
      <c r="F2339" t="s">
        <v>23859</v>
      </c>
      <c r="G2339" t="s">
        <v>23872</v>
      </c>
    </row>
    <row r="2340" spans="1:7">
      <c r="A2340" t="s">
        <v>23873</v>
      </c>
      <c r="B2340" t="s">
        <v>8607</v>
      </c>
      <c r="D2340" s="28" t="s">
        <v>23874</v>
      </c>
      <c r="E2340" t="s">
        <v>23330</v>
      </c>
      <c r="F2340" t="s">
        <v>23859</v>
      </c>
      <c r="G2340" t="s">
        <v>23875</v>
      </c>
    </row>
    <row r="2341" spans="1:7">
      <c r="A2341" t="s">
        <v>23876</v>
      </c>
      <c r="B2341" t="s">
        <v>8607</v>
      </c>
      <c r="D2341" s="28" t="s">
        <v>23877</v>
      </c>
      <c r="E2341" t="s">
        <v>23330</v>
      </c>
      <c r="F2341" t="s">
        <v>17784</v>
      </c>
      <c r="G2341" t="s">
        <v>23878</v>
      </c>
    </row>
    <row r="2342" spans="1:7">
      <c r="A2342" t="s">
        <v>23879</v>
      </c>
      <c r="B2342" t="s">
        <v>8607</v>
      </c>
      <c r="D2342" s="28" t="s">
        <v>23880</v>
      </c>
      <c r="E2342" t="s">
        <v>23330</v>
      </c>
      <c r="F2342" t="s">
        <v>17784</v>
      </c>
      <c r="G2342" t="s">
        <v>23878</v>
      </c>
    </row>
    <row r="2343" spans="1:7">
      <c r="A2343" t="s">
        <v>23881</v>
      </c>
      <c r="B2343" t="s">
        <v>8607</v>
      </c>
      <c r="D2343" s="28" t="s">
        <v>23882</v>
      </c>
      <c r="E2343" t="s">
        <v>23330</v>
      </c>
      <c r="F2343" t="s">
        <v>17784</v>
      </c>
      <c r="G2343" t="s">
        <v>23878</v>
      </c>
    </row>
    <row r="2344" spans="1:7">
      <c r="A2344" t="s">
        <v>23883</v>
      </c>
      <c r="B2344" t="s">
        <v>8607</v>
      </c>
      <c r="D2344" s="28" t="s">
        <v>23882</v>
      </c>
      <c r="E2344" t="s">
        <v>23330</v>
      </c>
      <c r="F2344" t="s">
        <v>17784</v>
      </c>
      <c r="G2344" t="s">
        <v>23878</v>
      </c>
    </row>
    <row r="2345" spans="1:7">
      <c r="A2345" t="s">
        <v>23884</v>
      </c>
      <c r="B2345" t="s">
        <v>8607</v>
      </c>
      <c r="C2345" t="s">
        <v>17782</v>
      </c>
      <c r="D2345" s="28" t="s">
        <v>23882</v>
      </c>
      <c r="E2345" t="s">
        <v>23330</v>
      </c>
      <c r="F2345" t="s">
        <v>17784</v>
      </c>
      <c r="G2345" t="s">
        <v>23878</v>
      </c>
    </row>
    <row r="2346" spans="1:7">
      <c r="A2346" t="s">
        <v>23885</v>
      </c>
      <c r="B2346" t="s">
        <v>8607</v>
      </c>
      <c r="D2346" s="28" t="s">
        <v>23882</v>
      </c>
      <c r="E2346" t="s">
        <v>23330</v>
      </c>
      <c r="F2346" t="s">
        <v>17784</v>
      </c>
      <c r="G2346" t="s">
        <v>23878</v>
      </c>
    </row>
    <row r="2347" spans="1:7">
      <c r="A2347" t="s">
        <v>23886</v>
      </c>
      <c r="B2347" t="s">
        <v>8607</v>
      </c>
      <c r="D2347" s="28" t="s">
        <v>23882</v>
      </c>
      <c r="E2347" t="s">
        <v>23330</v>
      </c>
      <c r="F2347" t="s">
        <v>17784</v>
      </c>
      <c r="G2347" t="s">
        <v>23878</v>
      </c>
    </row>
    <row r="2348" spans="1:7">
      <c r="A2348" t="s">
        <v>23887</v>
      </c>
      <c r="B2348" t="s">
        <v>8607</v>
      </c>
      <c r="D2348" s="28" t="s">
        <v>23882</v>
      </c>
      <c r="E2348" t="s">
        <v>23330</v>
      </c>
      <c r="F2348" t="s">
        <v>17784</v>
      </c>
      <c r="G2348" t="s">
        <v>23878</v>
      </c>
    </row>
    <row r="2349" spans="1:7">
      <c r="A2349" t="s">
        <v>23888</v>
      </c>
      <c r="B2349" t="s">
        <v>8607</v>
      </c>
      <c r="D2349" s="28" t="s">
        <v>23882</v>
      </c>
      <c r="E2349" t="s">
        <v>23330</v>
      </c>
      <c r="F2349" t="s">
        <v>17784</v>
      </c>
      <c r="G2349" t="s">
        <v>23878</v>
      </c>
    </row>
    <row r="2350" spans="1:7">
      <c r="A2350" t="s">
        <v>23889</v>
      </c>
      <c r="B2350" t="s">
        <v>8607</v>
      </c>
      <c r="C2350" t="s">
        <v>17782</v>
      </c>
      <c r="D2350" s="28" t="s">
        <v>23882</v>
      </c>
      <c r="E2350" t="s">
        <v>23330</v>
      </c>
      <c r="F2350" t="s">
        <v>17784</v>
      </c>
      <c r="G2350" t="s">
        <v>23878</v>
      </c>
    </row>
    <row r="2351" spans="1:7">
      <c r="A2351" t="s">
        <v>23890</v>
      </c>
      <c r="B2351" t="s">
        <v>8607</v>
      </c>
      <c r="C2351" t="s">
        <v>17782</v>
      </c>
      <c r="D2351" s="28" t="s">
        <v>23882</v>
      </c>
      <c r="E2351" t="s">
        <v>23330</v>
      </c>
      <c r="F2351" t="s">
        <v>17784</v>
      </c>
      <c r="G2351" t="s">
        <v>23878</v>
      </c>
    </row>
    <row r="2352" spans="1:7">
      <c r="A2352" t="s">
        <v>23891</v>
      </c>
      <c r="B2352" t="s">
        <v>8607</v>
      </c>
      <c r="D2352" s="28" t="s">
        <v>23882</v>
      </c>
      <c r="E2352" t="s">
        <v>23330</v>
      </c>
      <c r="F2352" t="s">
        <v>17784</v>
      </c>
      <c r="G2352" t="s">
        <v>23878</v>
      </c>
    </row>
    <row r="2353" spans="1:7">
      <c r="A2353" t="s">
        <v>23892</v>
      </c>
      <c r="B2353" t="s">
        <v>8607</v>
      </c>
      <c r="D2353" s="28" t="s">
        <v>23882</v>
      </c>
      <c r="E2353" t="s">
        <v>23330</v>
      </c>
      <c r="F2353" t="s">
        <v>17784</v>
      </c>
      <c r="G2353" t="s">
        <v>23878</v>
      </c>
    </row>
    <row r="2354" spans="1:7">
      <c r="A2354" t="s">
        <v>23893</v>
      </c>
      <c r="B2354" t="s">
        <v>8607</v>
      </c>
      <c r="D2354" s="28" t="s">
        <v>23894</v>
      </c>
      <c r="E2354" t="s">
        <v>23330</v>
      </c>
      <c r="F2354" t="s">
        <v>17784</v>
      </c>
      <c r="G2354" t="s">
        <v>23878</v>
      </c>
    </row>
    <row r="2355" spans="1:7">
      <c r="A2355" t="s">
        <v>23895</v>
      </c>
      <c r="B2355" t="s">
        <v>8607</v>
      </c>
      <c r="D2355" s="28" t="s">
        <v>23894</v>
      </c>
      <c r="E2355" t="s">
        <v>23330</v>
      </c>
      <c r="F2355" t="s">
        <v>17784</v>
      </c>
      <c r="G2355" t="s">
        <v>23878</v>
      </c>
    </row>
    <row r="2356" spans="1:7">
      <c r="A2356" t="s">
        <v>23896</v>
      </c>
      <c r="B2356" t="s">
        <v>8607</v>
      </c>
      <c r="D2356" s="28" t="s">
        <v>23897</v>
      </c>
      <c r="E2356" t="s">
        <v>23330</v>
      </c>
      <c r="F2356" t="s">
        <v>17784</v>
      </c>
      <c r="G2356" t="s">
        <v>23878</v>
      </c>
    </row>
    <row r="2357" spans="1:7">
      <c r="A2357" t="s">
        <v>23898</v>
      </c>
      <c r="B2357" t="s">
        <v>8607</v>
      </c>
      <c r="D2357" s="28" t="s">
        <v>23897</v>
      </c>
      <c r="E2357" t="s">
        <v>23330</v>
      </c>
      <c r="F2357" t="s">
        <v>17784</v>
      </c>
      <c r="G2357" t="s">
        <v>23878</v>
      </c>
    </row>
    <row r="2358" spans="1:7">
      <c r="A2358" t="s">
        <v>23899</v>
      </c>
      <c r="B2358" t="s">
        <v>8607</v>
      </c>
      <c r="C2358" t="s">
        <v>17782</v>
      </c>
      <c r="D2358" s="28" t="s">
        <v>23900</v>
      </c>
      <c r="E2358" t="s">
        <v>23330</v>
      </c>
      <c r="F2358" t="s">
        <v>17784</v>
      </c>
      <c r="G2358" t="s">
        <v>23901</v>
      </c>
    </row>
    <row r="2359" spans="1:7">
      <c r="A2359" t="s">
        <v>23902</v>
      </c>
      <c r="B2359" t="s">
        <v>8607</v>
      </c>
      <c r="C2359" t="s">
        <v>23903</v>
      </c>
      <c r="D2359" s="28" t="s">
        <v>23900</v>
      </c>
      <c r="E2359" t="s">
        <v>23330</v>
      </c>
      <c r="F2359" t="s">
        <v>17784</v>
      </c>
      <c r="G2359" t="s">
        <v>23904</v>
      </c>
    </row>
    <row r="2360" spans="1:7">
      <c r="A2360" t="s">
        <v>23905</v>
      </c>
      <c r="B2360" t="s">
        <v>8626</v>
      </c>
      <c r="D2360" s="28" t="s">
        <v>23900</v>
      </c>
      <c r="E2360" t="s">
        <v>23330</v>
      </c>
      <c r="F2360" t="s">
        <v>17784</v>
      </c>
      <c r="G2360" t="s">
        <v>23906</v>
      </c>
    </row>
    <row r="2361" spans="1:7">
      <c r="A2361" t="s">
        <v>23907</v>
      </c>
      <c r="B2361" t="s">
        <v>8626</v>
      </c>
      <c r="C2361" t="s">
        <v>17782</v>
      </c>
      <c r="D2361" s="28" t="s">
        <v>23900</v>
      </c>
      <c r="E2361" t="s">
        <v>23330</v>
      </c>
      <c r="F2361" t="s">
        <v>17784</v>
      </c>
      <c r="G2361" t="s">
        <v>23908</v>
      </c>
    </row>
    <row r="2362" spans="1:7">
      <c r="A2362" t="s">
        <v>23909</v>
      </c>
      <c r="B2362" t="s">
        <v>8607</v>
      </c>
      <c r="C2362" t="s">
        <v>17782</v>
      </c>
      <c r="D2362" s="28" t="s">
        <v>23910</v>
      </c>
      <c r="E2362" t="s">
        <v>23330</v>
      </c>
      <c r="F2362" t="s">
        <v>17784</v>
      </c>
      <c r="G2362" t="s">
        <v>23878</v>
      </c>
    </row>
    <row r="2363" spans="1:7">
      <c r="A2363" t="s">
        <v>23911</v>
      </c>
      <c r="B2363" t="s">
        <v>8607</v>
      </c>
      <c r="C2363" t="s">
        <v>23903</v>
      </c>
      <c r="D2363" s="28" t="s">
        <v>23912</v>
      </c>
      <c r="E2363" t="s">
        <v>23330</v>
      </c>
      <c r="F2363" t="s">
        <v>17784</v>
      </c>
      <c r="G2363" t="s">
        <v>23913</v>
      </c>
    </row>
    <row r="2364" spans="1:7">
      <c r="A2364" t="s">
        <v>23914</v>
      </c>
      <c r="B2364" t="s">
        <v>8607</v>
      </c>
      <c r="D2364" s="28" t="s">
        <v>23915</v>
      </c>
      <c r="E2364" t="s">
        <v>23330</v>
      </c>
      <c r="F2364" t="s">
        <v>17784</v>
      </c>
      <c r="G2364" t="s">
        <v>23878</v>
      </c>
    </row>
    <row r="2365" spans="1:7">
      <c r="A2365" t="s">
        <v>23916</v>
      </c>
      <c r="B2365" t="s">
        <v>8607</v>
      </c>
      <c r="D2365" s="28" t="s">
        <v>23917</v>
      </c>
      <c r="E2365" t="s">
        <v>23330</v>
      </c>
      <c r="F2365" t="s">
        <v>17784</v>
      </c>
      <c r="G2365" t="s">
        <v>23878</v>
      </c>
    </row>
    <row r="2366" spans="1:7">
      <c r="A2366" t="s">
        <v>23918</v>
      </c>
      <c r="B2366" t="s">
        <v>8607</v>
      </c>
      <c r="D2366" s="28" t="s">
        <v>23917</v>
      </c>
      <c r="E2366" t="s">
        <v>23330</v>
      </c>
      <c r="F2366" t="s">
        <v>17784</v>
      </c>
      <c r="G2366" t="s">
        <v>23878</v>
      </c>
    </row>
    <row r="2367" spans="1:7">
      <c r="A2367" t="s">
        <v>23919</v>
      </c>
      <c r="B2367" t="s">
        <v>8626</v>
      </c>
      <c r="C2367" t="s">
        <v>17782</v>
      </c>
      <c r="D2367" s="28" t="s">
        <v>23920</v>
      </c>
      <c r="E2367" t="s">
        <v>23330</v>
      </c>
      <c r="F2367" t="s">
        <v>17784</v>
      </c>
      <c r="G2367" t="s">
        <v>23921</v>
      </c>
    </row>
    <row r="2368" spans="1:7">
      <c r="A2368" t="s">
        <v>23922</v>
      </c>
      <c r="B2368" t="s">
        <v>8607</v>
      </c>
      <c r="D2368" s="28" t="s">
        <v>23923</v>
      </c>
      <c r="E2368" t="s">
        <v>23330</v>
      </c>
      <c r="F2368" t="s">
        <v>9835</v>
      </c>
      <c r="G2368" t="s">
        <v>23924</v>
      </c>
    </row>
    <row r="2369" spans="1:7">
      <c r="A2369" t="s">
        <v>23925</v>
      </c>
      <c r="B2369" t="s">
        <v>8607</v>
      </c>
      <c r="C2369" t="s">
        <v>23926</v>
      </c>
      <c r="D2369" s="28" t="s">
        <v>23927</v>
      </c>
      <c r="E2369" t="s">
        <v>23330</v>
      </c>
      <c r="F2369" t="s">
        <v>23928</v>
      </c>
      <c r="G2369" t="s">
        <v>23929</v>
      </c>
    </row>
    <row r="2370" spans="1:7">
      <c r="A2370" t="s">
        <v>23930</v>
      </c>
      <c r="B2370" t="s">
        <v>8626</v>
      </c>
      <c r="C2370" t="s">
        <v>23926</v>
      </c>
      <c r="D2370" s="28" t="s">
        <v>23927</v>
      </c>
      <c r="E2370" t="s">
        <v>23330</v>
      </c>
      <c r="F2370" t="s">
        <v>23928</v>
      </c>
      <c r="G2370" t="s">
        <v>23931</v>
      </c>
    </row>
    <row r="2371" spans="1:7">
      <c r="A2371" t="s">
        <v>23932</v>
      </c>
      <c r="B2371" t="s">
        <v>8626</v>
      </c>
      <c r="D2371" s="28" t="s">
        <v>23933</v>
      </c>
      <c r="E2371" t="s">
        <v>23330</v>
      </c>
      <c r="F2371" t="s">
        <v>17784</v>
      </c>
      <c r="G2371" t="s">
        <v>23934</v>
      </c>
    </row>
    <row r="2372" spans="1:7">
      <c r="A2372" t="s">
        <v>23935</v>
      </c>
      <c r="B2372" t="s">
        <v>8626</v>
      </c>
      <c r="C2372" t="s">
        <v>17782</v>
      </c>
      <c r="D2372" s="28" t="s">
        <v>23936</v>
      </c>
      <c r="E2372" t="s">
        <v>23330</v>
      </c>
      <c r="F2372" t="s">
        <v>17784</v>
      </c>
      <c r="G2372" t="s">
        <v>23921</v>
      </c>
    </row>
    <row r="2373" spans="1:7">
      <c r="A2373" t="s">
        <v>23937</v>
      </c>
      <c r="B2373" t="s">
        <v>8607</v>
      </c>
      <c r="C2373" t="s">
        <v>23903</v>
      </c>
      <c r="D2373" s="28" t="s">
        <v>23938</v>
      </c>
      <c r="E2373" t="s">
        <v>23330</v>
      </c>
      <c r="F2373" t="s">
        <v>17784</v>
      </c>
      <c r="G2373" t="s">
        <v>23939</v>
      </c>
    </row>
    <row r="2374" spans="1:7">
      <c r="A2374" t="s">
        <v>23940</v>
      </c>
      <c r="B2374" t="s">
        <v>8607</v>
      </c>
      <c r="D2374" s="28" t="s">
        <v>23938</v>
      </c>
      <c r="E2374" t="s">
        <v>23330</v>
      </c>
      <c r="F2374" t="s">
        <v>17784</v>
      </c>
      <c r="G2374" t="s">
        <v>23941</v>
      </c>
    </row>
    <row r="2375" spans="1:7">
      <c r="A2375" t="s">
        <v>23942</v>
      </c>
      <c r="B2375" t="s">
        <v>8626</v>
      </c>
      <c r="C2375" t="s">
        <v>17871</v>
      </c>
      <c r="D2375" s="28" t="s">
        <v>23943</v>
      </c>
      <c r="E2375" t="s">
        <v>23330</v>
      </c>
      <c r="F2375" t="s">
        <v>17349</v>
      </c>
      <c r="G2375" t="s">
        <v>23944</v>
      </c>
    </row>
    <row r="2376" spans="1:7">
      <c r="A2376" t="s">
        <v>23945</v>
      </c>
      <c r="B2376" t="s">
        <v>8607</v>
      </c>
      <c r="C2376" t="s">
        <v>23946</v>
      </c>
      <c r="D2376" s="28" t="s">
        <v>23947</v>
      </c>
      <c r="E2376" t="s">
        <v>23330</v>
      </c>
      <c r="F2376" t="s">
        <v>17349</v>
      </c>
      <c r="G2376" t="s">
        <v>23948</v>
      </c>
    </row>
    <row r="2377" spans="1:7">
      <c r="A2377" t="s">
        <v>23949</v>
      </c>
      <c r="B2377" t="s">
        <v>8607</v>
      </c>
      <c r="C2377" t="s">
        <v>23946</v>
      </c>
      <c r="D2377" s="28" t="s">
        <v>23947</v>
      </c>
      <c r="E2377" t="s">
        <v>23330</v>
      </c>
      <c r="F2377" t="s">
        <v>17349</v>
      </c>
      <c r="G2377" t="s">
        <v>23948</v>
      </c>
    </row>
    <row r="2378" spans="1:7">
      <c r="A2378" t="s">
        <v>23950</v>
      </c>
      <c r="B2378" t="s">
        <v>8607</v>
      </c>
      <c r="C2378" t="s">
        <v>17782</v>
      </c>
      <c r="D2378" s="28" t="s">
        <v>23951</v>
      </c>
      <c r="E2378" t="s">
        <v>23330</v>
      </c>
      <c r="F2378" t="s">
        <v>17784</v>
      </c>
      <c r="G2378" t="s">
        <v>23878</v>
      </c>
    </row>
    <row r="2379" spans="1:7">
      <c r="A2379" t="s">
        <v>23952</v>
      </c>
      <c r="B2379" t="s">
        <v>8607</v>
      </c>
      <c r="C2379" t="s">
        <v>17782</v>
      </c>
      <c r="D2379" s="28" t="s">
        <v>23951</v>
      </c>
      <c r="E2379" t="s">
        <v>23330</v>
      </c>
      <c r="F2379" t="s">
        <v>17784</v>
      </c>
      <c r="G2379" t="s">
        <v>23878</v>
      </c>
    </row>
    <row r="2380" spans="1:7">
      <c r="A2380" t="s">
        <v>23953</v>
      </c>
      <c r="B2380" t="s">
        <v>8607</v>
      </c>
      <c r="C2380" t="s">
        <v>17782</v>
      </c>
      <c r="D2380" s="28" t="s">
        <v>23951</v>
      </c>
      <c r="E2380" t="s">
        <v>23330</v>
      </c>
      <c r="F2380" t="s">
        <v>17784</v>
      </c>
      <c r="G2380" t="s">
        <v>23878</v>
      </c>
    </row>
    <row r="2381" spans="1:7">
      <c r="A2381" t="s">
        <v>23954</v>
      </c>
      <c r="B2381" t="s">
        <v>8626</v>
      </c>
      <c r="C2381" t="s">
        <v>17871</v>
      </c>
      <c r="D2381" s="28" t="s">
        <v>23955</v>
      </c>
      <c r="E2381" t="s">
        <v>23330</v>
      </c>
      <c r="F2381" t="s">
        <v>17349</v>
      </c>
      <c r="G2381" t="s">
        <v>23944</v>
      </c>
    </row>
    <row r="2382" spans="1:7">
      <c r="A2382" t="s">
        <v>23956</v>
      </c>
      <c r="B2382" t="s">
        <v>8626</v>
      </c>
      <c r="D2382" s="28" t="s">
        <v>23957</v>
      </c>
      <c r="E2382" t="s">
        <v>23330</v>
      </c>
      <c r="F2382" t="s">
        <v>23958</v>
      </c>
      <c r="G2382" t="s">
        <v>23959</v>
      </c>
    </row>
    <row r="2383" spans="1:7">
      <c r="A2383" t="s">
        <v>23960</v>
      </c>
      <c r="B2383" t="s">
        <v>8626</v>
      </c>
      <c r="D2383" s="28" t="s">
        <v>23961</v>
      </c>
      <c r="E2383" t="s">
        <v>23330</v>
      </c>
      <c r="F2383" t="s">
        <v>23958</v>
      </c>
      <c r="G2383" t="s">
        <v>23962</v>
      </c>
    </row>
    <row r="2384" spans="1:7">
      <c r="A2384" t="s">
        <v>23963</v>
      </c>
      <c r="B2384" t="s">
        <v>8607</v>
      </c>
      <c r="D2384" s="28" t="s">
        <v>23964</v>
      </c>
      <c r="E2384" t="s">
        <v>23330</v>
      </c>
      <c r="G2384" t="s">
        <v>23965</v>
      </c>
    </row>
    <row r="2385" spans="1:7">
      <c r="A2385" t="s">
        <v>23966</v>
      </c>
      <c r="B2385" t="s">
        <v>8607</v>
      </c>
      <c r="D2385" s="28" t="s">
        <v>23967</v>
      </c>
      <c r="E2385" t="s">
        <v>23330</v>
      </c>
      <c r="F2385" t="s">
        <v>23968</v>
      </c>
      <c r="G2385" t="s">
        <v>23969</v>
      </c>
    </row>
    <row r="2386" spans="1:7">
      <c r="A2386" t="s">
        <v>23970</v>
      </c>
      <c r="B2386" t="s">
        <v>8626</v>
      </c>
      <c r="C2386" t="s">
        <v>23971</v>
      </c>
      <c r="D2386" s="28" t="s">
        <v>23972</v>
      </c>
      <c r="E2386" t="s">
        <v>23330</v>
      </c>
      <c r="F2386" t="s">
        <v>23973</v>
      </c>
      <c r="G2386" t="s">
        <v>23974</v>
      </c>
    </row>
    <row r="2387" spans="1:7">
      <c r="A2387" t="s">
        <v>23975</v>
      </c>
      <c r="B2387" t="s">
        <v>8607</v>
      </c>
      <c r="D2387" s="28" t="s">
        <v>23976</v>
      </c>
      <c r="E2387" t="s">
        <v>23330</v>
      </c>
      <c r="F2387" t="s">
        <v>17760</v>
      </c>
      <c r="G2387" t="s">
        <v>23977</v>
      </c>
    </row>
    <row r="2388" spans="1:7">
      <c r="A2388" t="s">
        <v>23978</v>
      </c>
      <c r="B2388" t="s">
        <v>8626</v>
      </c>
      <c r="D2388" s="28" t="s">
        <v>23976</v>
      </c>
      <c r="E2388" t="s">
        <v>23330</v>
      </c>
      <c r="F2388" t="s">
        <v>17760</v>
      </c>
      <c r="G2388" t="s">
        <v>23979</v>
      </c>
    </row>
    <row r="2389" spans="1:7">
      <c r="A2389" t="s">
        <v>23980</v>
      </c>
      <c r="B2389" t="s">
        <v>8607</v>
      </c>
      <c r="D2389" s="28" t="s">
        <v>23981</v>
      </c>
      <c r="E2389" t="s">
        <v>23330</v>
      </c>
      <c r="F2389" t="s">
        <v>17760</v>
      </c>
      <c r="G2389" t="s">
        <v>23982</v>
      </c>
    </row>
    <row r="2390" spans="1:7">
      <c r="A2390" t="s">
        <v>23983</v>
      </c>
      <c r="B2390" t="s">
        <v>8607</v>
      </c>
      <c r="C2390" t="s">
        <v>23984</v>
      </c>
      <c r="D2390" s="28" t="s">
        <v>23981</v>
      </c>
      <c r="E2390" t="s">
        <v>23330</v>
      </c>
      <c r="F2390" t="s">
        <v>17760</v>
      </c>
      <c r="G2390" t="s">
        <v>23982</v>
      </c>
    </row>
    <row r="2391" spans="1:7">
      <c r="A2391" t="s">
        <v>23985</v>
      </c>
      <c r="B2391" t="s">
        <v>8607</v>
      </c>
      <c r="C2391" t="s">
        <v>18483</v>
      </c>
      <c r="D2391" s="28" t="s">
        <v>23986</v>
      </c>
      <c r="E2391" t="s">
        <v>23330</v>
      </c>
      <c r="F2391" t="s">
        <v>17760</v>
      </c>
      <c r="G2391" t="s">
        <v>23987</v>
      </c>
    </row>
    <row r="2392" spans="1:7">
      <c r="A2392" t="s">
        <v>23988</v>
      </c>
      <c r="B2392" t="s">
        <v>8607</v>
      </c>
      <c r="C2392" t="s">
        <v>18483</v>
      </c>
      <c r="D2392" s="28" t="s">
        <v>23989</v>
      </c>
      <c r="E2392" t="s">
        <v>23330</v>
      </c>
      <c r="F2392" t="s">
        <v>17760</v>
      </c>
      <c r="G2392" t="s">
        <v>23987</v>
      </c>
    </row>
    <row r="2393" spans="1:7">
      <c r="A2393" t="s">
        <v>23990</v>
      </c>
      <c r="B2393" t="s">
        <v>8607</v>
      </c>
      <c r="D2393" s="28" t="s">
        <v>23991</v>
      </c>
      <c r="E2393" t="s">
        <v>23330</v>
      </c>
      <c r="G2393" t="s">
        <v>23992</v>
      </c>
    </row>
    <row r="2394" spans="1:7">
      <c r="A2394" t="s">
        <v>23993</v>
      </c>
      <c r="B2394" t="s">
        <v>8607</v>
      </c>
      <c r="C2394" t="s">
        <v>23994</v>
      </c>
      <c r="D2394" s="28" t="s">
        <v>23991</v>
      </c>
      <c r="E2394" t="s">
        <v>23330</v>
      </c>
      <c r="G2394" t="s">
        <v>23992</v>
      </c>
    </row>
    <row r="2395" spans="1:7">
      <c r="A2395" t="s">
        <v>23995</v>
      </c>
      <c r="B2395" t="s">
        <v>8607</v>
      </c>
      <c r="C2395" t="s">
        <v>23996</v>
      </c>
      <c r="D2395" s="28" t="s">
        <v>23991</v>
      </c>
      <c r="E2395" t="s">
        <v>23330</v>
      </c>
      <c r="F2395" t="s">
        <v>23997</v>
      </c>
      <c r="G2395" t="s">
        <v>23992</v>
      </c>
    </row>
    <row r="2396" spans="1:7">
      <c r="A2396" t="s">
        <v>23998</v>
      </c>
      <c r="B2396" t="s">
        <v>8607</v>
      </c>
      <c r="D2396" s="28" t="s">
        <v>23991</v>
      </c>
      <c r="E2396" t="s">
        <v>23330</v>
      </c>
      <c r="F2396" t="s">
        <v>23997</v>
      </c>
      <c r="G2396" t="s">
        <v>23992</v>
      </c>
    </row>
    <row r="2397" spans="1:7">
      <c r="A2397" t="s">
        <v>23999</v>
      </c>
      <c r="B2397" t="s">
        <v>8607</v>
      </c>
      <c r="D2397" s="28" t="s">
        <v>23991</v>
      </c>
      <c r="E2397" t="s">
        <v>23330</v>
      </c>
      <c r="F2397" t="s">
        <v>23997</v>
      </c>
      <c r="G2397" t="s">
        <v>23992</v>
      </c>
    </row>
    <row r="2398" spans="1:7">
      <c r="A2398" t="s">
        <v>24000</v>
      </c>
      <c r="B2398" t="s">
        <v>8607</v>
      </c>
      <c r="D2398" s="28" t="s">
        <v>23991</v>
      </c>
      <c r="E2398" t="s">
        <v>23330</v>
      </c>
      <c r="F2398" t="s">
        <v>23997</v>
      </c>
      <c r="G2398" t="s">
        <v>23992</v>
      </c>
    </row>
    <row r="2399" spans="1:7">
      <c r="A2399" t="s">
        <v>24001</v>
      </c>
      <c r="B2399" t="s">
        <v>8626</v>
      </c>
      <c r="C2399" t="s">
        <v>23994</v>
      </c>
      <c r="D2399" s="28" t="s">
        <v>23991</v>
      </c>
      <c r="E2399" t="s">
        <v>23330</v>
      </c>
      <c r="F2399" t="s">
        <v>24002</v>
      </c>
      <c r="G2399" t="s">
        <v>24003</v>
      </c>
    </row>
    <row r="2400" spans="1:7">
      <c r="A2400" t="s">
        <v>24004</v>
      </c>
      <c r="B2400" t="s">
        <v>8626</v>
      </c>
      <c r="C2400" t="s">
        <v>23994</v>
      </c>
      <c r="D2400" s="28" t="s">
        <v>24005</v>
      </c>
      <c r="E2400" t="s">
        <v>23330</v>
      </c>
      <c r="F2400" t="s">
        <v>24002</v>
      </c>
      <c r="G2400" t="s">
        <v>24006</v>
      </c>
    </row>
    <row r="2401" spans="1:7">
      <c r="A2401" t="s">
        <v>24007</v>
      </c>
      <c r="B2401" t="s">
        <v>8607</v>
      </c>
      <c r="C2401" t="s">
        <v>24008</v>
      </c>
      <c r="D2401" s="28" t="s">
        <v>24009</v>
      </c>
      <c r="E2401" t="s">
        <v>23330</v>
      </c>
      <c r="F2401" t="s">
        <v>23371</v>
      </c>
      <c r="G2401" t="s">
        <v>24010</v>
      </c>
    </row>
    <row r="2402" spans="1:7">
      <c r="A2402" t="s">
        <v>24011</v>
      </c>
      <c r="B2402" t="s">
        <v>8607</v>
      </c>
      <c r="C2402" t="s">
        <v>24008</v>
      </c>
      <c r="D2402" s="28" t="s">
        <v>24009</v>
      </c>
      <c r="E2402" t="s">
        <v>23330</v>
      </c>
      <c r="F2402" t="s">
        <v>23371</v>
      </c>
      <c r="G2402" t="s">
        <v>24010</v>
      </c>
    </row>
    <row r="2403" spans="1:7">
      <c r="A2403" t="s">
        <v>24012</v>
      </c>
      <c r="B2403" t="s">
        <v>8607</v>
      </c>
      <c r="D2403" s="28" t="s">
        <v>24013</v>
      </c>
      <c r="E2403" t="s">
        <v>23330</v>
      </c>
      <c r="F2403" t="s">
        <v>23465</v>
      </c>
      <c r="G2403" t="s">
        <v>24014</v>
      </c>
    </row>
    <row r="2404" spans="1:7">
      <c r="A2404" t="s">
        <v>24015</v>
      </c>
      <c r="B2404" t="s">
        <v>8626</v>
      </c>
      <c r="C2404" t="s">
        <v>24008</v>
      </c>
      <c r="D2404" s="28" t="s">
        <v>24013</v>
      </c>
      <c r="E2404" t="s">
        <v>23330</v>
      </c>
      <c r="F2404" t="s">
        <v>24016</v>
      </c>
      <c r="G2404" t="s">
        <v>24017</v>
      </c>
    </row>
    <row r="2405" spans="1:7">
      <c r="A2405" t="s">
        <v>24018</v>
      </c>
      <c r="B2405" t="s">
        <v>8607</v>
      </c>
      <c r="C2405" t="s">
        <v>24008</v>
      </c>
      <c r="D2405" s="28" t="s">
        <v>24013</v>
      </c>
      <c r="E2405" t="s">
        <v>23330</v>
      </c>
      <c r="F2405" t="s">
        <v>17305</v>
      </c>
      <c r="G2405" t="s">
        <v>24019</v>
      </c>
    </row>
    <row r="2406" spans="1:7">
      <c r="A2406" t="s">
        <v>24020</v>
      </c>
      <c r="B2406" t="s">
        <v>8607</v>
      </c>
      <c r="D2406" s="28" t="s">
        <v>24021</v>
      </c>
      <c r="E2406" t="s">
        <v>23330</v>
      </c>
      <c r="F2406" t="s">
        <v>24022</v>
      </c>
      <c r="G2406" t="s">
        <v>24023</v>
      </c>
    </row>
    <row r="2407" spans="1:7">
      <c r="A2407" t="s">
        <v>24024</v>
      </c>
      <c r="B2407" t="s">
        <v>8626</v>
      </c>
      <c r="D2407" s="28" t="s">
        <v>24025</v>
      </c>
      <c r="E2407" t="s">
        <v>23330</v>
      </c>
      <c r="F2407" t="s">
        <v>24022</v>
      </c>
      <c r="G2407" t="s">
        <v>24026</v>
      </c>
    </row>
    <row r="2408" spans="1:7">
      <c r="A2408" t="s">
        <v>24027</v>
      </c>
      <c r="B2408" t="s">
        <v>8607</v>
      </c>
      <c r="C2408" t="s">
        <v>24028</v>
      </c>
      <c r="D2408" s="28" t="s">
        <v>24029</v>
      </c>
      <c r="E2408" t="s">
        <v>23330</v>
      </c>
      <c r="F2408" t="s">
        <v>24022</v>
      </c>
      <c r="G2408" t="s">
        <v>24023</v>
      </c>
    </row>
    <row r="2409" spans="1:7">
      <c r="A2409" t="s">
        <v>24030</v>
      </c>
      <c r="B2409" t="s">
        <v>8607</v>
      </c>
      <c r="D2409" s="28" t="s">
        <v>24029</v>
      </c>
      <c r="E2409" t="s">
        <v>23330</v>
      </c>
      <c r="F2409" t="s">
        <v>24022</v>
      </c>
      <c r="G2409" t="s">
        <v>24023</v>
      </c>
    </row>
    <row r="2410" spans="1:7">
      <c r="A2410" t="s">
        <v>24031</v>
      </c>
      <c r="B2410" t="s">
        <v>8607</v>
      </c>
      <c r="C2410" t="s">
        <v>24028</v>
      </c>
      <c r="D2410" s="28" t="s">
        <v>24032</v>
      </c>
      <c r="E2410" t="s">
        <v>23330</v>
      </c>
      <c r="F2410" t="s">
        <v>24022</v>
      </c>
      <c r="G2410" t="s">
        <v>24023</v>
      </c>
    </row>
    <row r="2411" spans="1:7">
      <c r="A2411" t="s">
        <v>24033</v>
      </c>
      <c r="B2411" t="s">
        <v>8607</v>
      </c>
      <c r="C2411" t="s">
        <v>24028</v>
      </c>
      <c r="D2411" s="28" t="s">
        <v>24034</v>
      </c>
      <c r="E2411" t="s">
        <v>23330</v>
      </c>
      <c r="F2411" t="s">
        <v>24022</v>
      </c>
      <c r="G2411" t="s">
        <v>24035</v>
      </c>
    </row>
    <row r="2412" spans="1:7">
      <c r="A2412" t="s">
        <v>24036</v>
      </c>
      <c r="B2412" t="s">
        <v>8607</v>
      </c>
      <c r="C2412" t="s">
        <v>24028</v>
      </c>
      <c r="D2412" s="28" t="s">
        <v>24037</v>
      </c>
      <c r="E2412" t="s">
        <v>23330</v>
      </c>
      <c r="F2412" t="s">
        <v>24022</v>
      </c>
      <c r="G2412" t="s">
        <v>24023</v>
      </c>
    </row>
    <row r="2413" spans="1:7">
      <c r="A2413" t="s">
        <v>24038</v>
      </c>
      <c r="B2413" t="s">
        <v>8626</v>
      </c>
      <c r="C2413" t="s">
        <v>24039</v>
      </c>
      <c r="D2413" s="28" t="s">
        <v>24040</v>
      </c>
      <c r="E2413" t="s">
        <v>23330</v>
      </c>
      <c r="G2413" t="s">
        <v>24041</v>
      </c>
    </row>
    <row r="2414" spans="1:7">
      <c r="A2414" t="s">
        <v>24042</v>
      </c>
      <c r="B2414" t="s">
        <v>8607</v>
      </c>
      <c r="D2414" s="28" t="s">
        <v>24043</v>
      </c>
      <c r="E2414" t="s">
        <v>23330</v>
      </c>
      <c r="G2414" t="s">
        <v>24044</v>
      </c>
    </row>
    <row r="2415" spans="1:7">
      <c r="A2415" t="s">
        <v>24045</v>
      </c>
      <c r="B2415" t="s">
        <v>8607</v>
      </c>
      <c r="C2415" t="s">
        <v>24046</v>
      </c>
      <c r="D2415" s="28" t="s">
        <v>24047</v>
      </c>
      <c r="E2415" t="s">
        <v>23330</v>
      </c>
      <c r="F2415" t="s">
        <v>23928</v>
      </c>
      <c r="G2415" t="s">
        <v>24048</v>
      </c>
    </row>
    <row r="2416" spans="1:7">
      <c r="A2416" t="s">
        <v>24049</v>
      </c>
      <c r="B2416" t="s">
        <v>8607</v>
      </c>
      <c r="D2416" s="28" t="s">
        <v>24050</v>
      </c>
      <c r="E2416" t="s">
        <v>23330</v>
      </c>
      <c r="F2416" t="s">
        <v>23928</v>
      </c>
      <c r="G2416" t="s">
        <v>24051</v>
      </c>
    </row>
    <row r="2417" spans="1:7">
      <c r="A2417" t="s">
        <v>24052</v>
      </c>
      <c r="B2417" t="s">
        <v>8607</v>
      </c>
      <c r="D2417" s="28" t="s">
        <v>24050</v>
      </c>
      <c r="E2417" t="s">
        <v>23330</v>
      </c>
      <c r="F2417" t="s">
        <v>23928</v>
      </c>
      <c r="G2417" t="s">
        <v>24051</v>
      </c>
    </row>
    <row r="2418" spans="1:7">
      <c r="A2418" t="s">
        <v>24053</v>
      </c>
      <c r="B2418" t="s">
        <v>8626</v>
      </c>
      <c r="D2418" s="28" t="s">
        <v>24050</v>
      </c>
      <c r="E2418" t="s">
        <v>23330</v>
      </c>
      <c r="F2418" t="s">
        <v>23928</v>
      </c>
      <c r="G2418" t="s">
        <v>24054</v>
      </c>
    </row>
    <row r="2419" spans="1:7">
      <c r="A2419" t="s">
        <v>24055</v>
      </c>
      <c r="B2419" t="s">
        <v>8607</v>
      </c>
      <c r="D2419" s="28" t="s">
        <v>24050</v>
      </c>
      <c r="E2419" t="s">
        <v>23330</v>
      </c>
      <c r="F2419" t="s">
        <v>23928</v>
      </c>
      <c r="G2419" t="s">
        <v>24056</v>
      </c>
    </row>
    <row r="2420" spans="1:7">
      <c r="A2420" t="s">
        <v>24057</v>
      </c>
      <c r="B2420" t="s">
        <v>8607</v>
      </c>
      <c r="D2420" s="28" t="s">
        <v>24050</v>
      </c>
      <c r="E2420" t="s">
        <v>23330</v>
      </c>
      <c r="F2420" t="s">
        <v>23928</v>
      </c>
      <c r="G2420" t="s">
        <v>24056</v>
      </c>
    </row>
    <row r="2421" spans="1:7">
      <c r="A2421" t="s">
        <v>24058</v>
      </c>
      <c r="B2421" t="s">
        <v>8626</v>
      </c>
      <c r="D2421" s="28" t="s">
        <v>24050</v>
      </c>
      <c r="E2421" t="s">
        <v>23330</v>
      </c>
      <c r="F2421" t="s">
        <v>23928</v>
      </c>
      <c r="G2421" t="s">
        <v>24059</v>
      </c>
    </row>
    <row r="2422" spans="1:7">
      <c r="A2422" t="s">
        <v>24060</v>
      </c>
      <c r="B2422" t="s">
        <v>8607</v>
      </c>
      <c r="D2422" s="28" t="s">
        <v>24050</v>
      </c>
      <c r="E2422" t="s">
        <v>23330</v>
      </c>
      <c r="F2422" t="s">
        <v>23928</v>
      </c>
      <c r="G2422" t="s">
        <v>24056</v>
      </c>
    </row>
    <row r="2423" spans="1:7">
      <c r="A2423" t="s">
        <v>24061</v>
      </c>
      <c r="B2423" t="s">
        <v>8626</v>
      </c>
      <c r="D2423" s="28" t="s">
        <v>24050</v>
      </c>
      <c r="E2423" t="s">
        <v>23330</v>
      </c>
      <c r="F2423" t="s">
        <v>23928</v>
      </c>
      <c r="G2423" t="s">
        <v>24054</v>
      </c>
    </row>
    <row r="2424" spans="1:7">
      <c r="A2424" t="s">
        <v>24062</v>
      </c>
      <c r="B2424" t="s">
        <v>8626</v>
      </c>
      <c r="D2424" s="28" t="s">
        <v>24050</v>
      </c>
      <c r="E2424" t="s">
        <v>23330</v>
      </c>
      <c r="F2424" t="s">
        <v>23928</v>
      </c>
      <c r="G2424" t="s">
        <v>24054</v>
      </c>
    </row>
    <row r="2425" spans="1:7">
      <c r="A2425" t="s">
        <v>24063</v>
      </c>
      <c r="B2425" t="s">
        <v>8607</v>
      </c>
      <c r="D2425" s="28" t="s">
        <v>24050</v>
      </c>
      <c r="E2425" t="s">
        <v>23330</v>
      </c>
      <c r="F2425" t="s">
        <v>23928</v>
      </c>
      <c r="G2425" t="s">
        <v>24056</v>
      </c>
    </row>
    <row r="2426" spans="1:7">
      <c r="A2426" t="s">
        <v>24064</v>
      </c>
      <c r="B2426" t="s">
        <v>8607</v>
      </c>
      <c r="D2426" s="28" t="s">
        <v>24050</v>
      </c>
      <c r="E2426" t="s">
        <v>23330</v>
      </c>
      <c r="F2426" t="s">
        <v>23928</v>
      </c>
      <c r="G2426" t="s">
        <v>24056</v>
      </c>
    </row>
    <row r="2427" spans="1:7">
      <c r="A2427" t="s">
        <v>24065</v>
      </c>
      <c r="B2427" t="s">
        <v>8607</v>
      </c>
      <c r="D2427" s="28" t="s">
        <v>24050</v>
      </c>
      <c r="E2427" t="s">
        <v>23330</v>
      </c>
      <c r="F2427" t="s">
        <v>23928</v>
      </c>
      <c r="G2427" t="s">
        <v>24056</v>
      </c>
    </row>
    <row r="2428" spans="1:7">
      <c r="A2428" t="s">
        <v>24066</v>
      </c>
      <c r="B2428" t="s">
        <v>8626</v>
      </c>
      <c r="D2428" s="28" t="s">
        <v>24050</v>
      </c>
      <c r="E2428" t="s">
        <v>23330</v>
      </c>
      <c r="F2428" t="s">
        <v>23928</v>
      </c>
      <c r="G2428" t="s">
        <v>24054</v>
      </c>
    </row>
    <row r="2429" spans="1:7">
      <c r="A2429" t="s">
        <v>24067</v>
      </c>
      <c r="B2429" t="s">
        <v>8607</v>
      </c>
      <c r="D2429" s="28" t="s">
        <v>24050</v>
      </c>
      <c r="E2429" t="s">
        <v>23330</v>
      </c>
      <c r="F2429" t="s">
        <v>23928</v>
      </c>
      <c r="G2429" t="s">
        <v>24056</v>
      </c>
    </row>
    <row r="2430" spans="1:7">
      <c r="A2430" t="s">
        <v>24068</v>
      </c>
      <c r="B2430" t="s">
        <v>8607</v>
      </c>
      <c r="D2430" s="28" t="s">
        <v>24050</v>
      </c>
      <c r="E2430" t="s">
        <v>23330</v>
      </c>
      <c r="F2430" t="s">
        <v>23928</v>
      </c>
      <c r="G2430" t="s">
        <v>24056</v>
      </c>
    </row>
    <row r="2431" spans="1:7">
      <c r="A2431" t="s">
        <v>24069</v>
      </c>
      <c r="B2431" t="s">
        <v>8607</v>
      </c>
      <c r="D2431" s="28" t="s">
        <v>24050</v>
      </c>
      <c r="E2431" t="s">
        <v>23330</v>
      </c>
      <c r="F2431" t="s">
        <v>23928</v>
      </c>
      <c r="G2431" t="s">
        <v>24056</v>
      </c>
    </row>
    <row r="2432" spans="1:7">
      <c r="A2432" t="s">
        <v>24070</v>
      </c>
      <c r="B2432" t="s">
        <v>8626</v>
      </c>
      <c r="D2432" s="28" t="s">
        <v>24050</v>
      </c>
      <c r="E2432" t="s">
        <v>23330</v>
      </c>
      <c r="F2432" t="s">
        <v>23928</v>
      </c>
      <c r="G2432" t="s">
        <v>24054</v>
      </c>
    </row>
    <row r="2433" spans="1:7">
      <c r="A2433" t="s">
        <v>24071</v>
      </c>
      <c r="B2433" t="s">
        <v>8607</v>
      </c>
      <c r="D2433" s="28" t="s">
        <v>24050</v>
      </c>
      <c r="E2433" t="s">
        <v>23330</v>
      </c>
      <c r="F2433" t="s">
        <v>23928</v>
      </c>
      <c r="G2433" t="s">
        <v>24072</v>
      </c>
    </row>
    <row r="2434" spans="1:7">
      <c r="A2434" t="s">
        <v>24073</v>
      </c>
      <c r="B2434" t="s">
        <v>8607</v>
      </c>
      <c r="D2434" s="28" t="s">
        <v>24050</v>
      </c>
      <c r="E2434" t="s">
        <v>23330</v>
      </c>
      <c r="F2434" t="s">
        <v>23928</v>
      </c>
      <c r="G2434" t="s">
        <v>24056</v>
      </c>
    </row>
    <row r="2435" spans="1:7">
      <c r="A2435" t="s">
        <v>24074</v>
      </c>
      <c r="B2435" t="s">
        <v>8626</v>
      </c>
      <c r="D2435" s="28" t="s">
        <v>24050</v>
      </c>
      <c r="E2435" t="s">
        <v>23330</v>
      </c>
      <c r="F2435" t="s">
        <v>23928</v>
      </c>
      <c r="G2435" t="s">
        <v>24054</v>
      </c>
    </row>
    <row r="2436" spans="1:7">
      <c r="A2436" t="s">
        <v>24075</v>
      </c>
      <c r="B2436" t="s">
        <v>8607</v>
      </c>
      <c r="D2436" s="28" t="s">
        <v>24050</v>
      </c>
      <c r="E2436" t="s">
        <v>23330</v>
      </c>
      <c r="F2436" t="s">
        <v>23928</v>
      </c>
      <c r="G2436" t="s">
        <v>24051</v>
      </c>
    </row>
    <row r="2437" spans="1:7">
      <c r="A2437" t="s">
        <v>24076</v>
      </c>
      <c r="B2437" t="s">
        <v>8607</v>
      </c>
      <c r="D2437" s="28" t="s">
        <v>24050</v>
      </c>
      <c r="E2437" t="s">
        <v>23330</v>
      </c>
      <c r="F2437" t="s">
        <v>23928</v>
      </c>
      <c r="G2437" t="s">
        <v>24056</v>
      </c>
    </row>
    <row r="2438" spans="1:7">
      <c r="A2438" t="s">
        <v>24077</v>
      </c>
      <c r="B2438" t="s">
        <v>8607</v>
      </c>
      <c r="D2438" s="28" t="s">
        <v>24050</v>
      </c>
      <c r="E2438" t="s">
        <v>23330</v>
      </c>
      <c r="F2438" t="s">
        <v>23928</v>
      </c>
      <c r="G2438" t="s">
        <v>24056</v>
      </c>
    </row>
    <row r="2439" spans="1:7">
      <c r="A2439" t="s">
        <v>24078</v>
      </c>
      <c r="B2439" t="s">
        <v>8607</v>
      </c>
      <c r="D2439" s="28" t="s">
        <v>24050</v>
      </c>
      <c r="E2439" t="s">
        <v>23330</v>
      </c>
      <c r="F2439" t="s">
        <v>23928</v>
      </c>
      <c r="G2439" t="s">
        <v>24056</v>
      </c>
    </row>
    <row r="2440" spans="1:7">
      <c r="A2440" t="s">
        <v>24079</v>
      </c>
      <c r="B2440" t="s">
        <v>8607</v>
      </c>
      <c r="D2440" s="28" t="s">
        <v>24050</v>
      </c>
      <c r="E2440" t="s">
        <v>23330</v>
      </c>
      <c r="F2440" t="s">
        <v>23928</v>
      </c>
      <c r="G2440" t="s">
        <v>24056</v>
      </c>
    </row>
    <row r="2441" spans="1:7">
      <c r="A2441" t="s">
        <v>24080</v>
      </c>
      <c r="B2441" t="s">
        <v>8607</v>
      </c>
      <c r="D2441" s="28" t="s">
        <v>24050</v>
      </c>
      <c r="E2441" t="s">
        <v>23330</v>
      </c>
      <c r="F2441" t="s">
        <v>23928</v>
      </c>
      <c r="G2441" t="s">
        <v>24056</v>
      </c>
    </row>
    <row r="2442" spans="1:7">
      <c r="A2442" t="s">
        <v>24081</v>
      </c>
      <c r="B2442" t="s">
        <v>8607</v>
      </c>
      <c r="D2442" s="28" t="s">
        <v>24050</v>
      </c>
      <c r="E2442" t="s">
        <v>23330</v>
      </c>
      <c r="F2442" t="s">
        <v>23928</v>
      </c>
      <c r="G2442" t="s">
        <v>24056</v>
      </c>
    </row>
    <row r="2443" spans="1:7">
      <c r="A2443" t="s">
        <v>24082</v>
      </c>
      <c r="B2443" t="s">
        <v>8607</v>
      </c>
      <c r="D2443" s="28" t="s">
        <v>24050</v>
      </c>
      <c r="E2443" t="s">
        <v>23330</v>
      </c>
      <c r="F2443" t="s">
        <v>23928</v>
      </c>
      <c r="G2443" t="s">
        <v>24072</v>
      </c>
    </row>
    <row r="2444" spans="1:7">
      <c r="A2444" t="s">
        <v>24083</v>
      </c>
      <c r="B2444" t="s">
        <v>8607</v>
      </c>
      <c r="D2444" s="28" t="s">
        <v>24050</v>
      </c>
      <c r="E2444" t="s">
        <v>23330</v>
      </c>
      <c r="F2444" t="s">
        <v>23928</v>
      </c>
      <c r="G2444" t="s">
        <v>24056</v>
      </c>
    </row>
    <row r="2445" spans="1:7">
      <c r="A2445" t="s">
        <v>24084</v>
      </c>
      <c r="B2445" t="s">
        <v>8607</v>
      </c>
      <c r="D2445" s="28" t="s">
        <v>24050</v>
      </c>
      <c r="E2445" t="s">
        <v>23330</v>
      </c>
      <c r="F2445" t="s">
        <v>23928</v>
      </c>
      <c r="G2445" t="s">
        <v>24056</v>
      </c>
    </row>
    <row r="2446" spans="1:7">
      <c r="A2446" t="s">
        <v>24085</v>
      </c>
      <c r="B2446" t="s">
        <v>8626</v>
      </c>
      <c r="D2446" s="28" t="s">
        <v>24050</v>
      </c>
      <c r="E2446" t="s">
        <v>23330</v>
      </c>
      <c r="F2446" t="s">
        <v>23928</v>
      </c>
      <c r="G2446" t="s">
        <v>24054</v>
      </c>
    </row>
    <row r="2447" spans="1:7">
      <c r="A2447" t="s">
        <v>24086</v>
      </c>
      <c r="B2447" t="s">
        <v>8607</v>
      </c>
      <c r="D2447" s="28" t="s">
        <v>24087</v>
      </c>
      <c r="E2447" t="s">
        <v>23330</v>
      </c>
      <c r="F2447" t="s">
        <v>23928</v>
      </c>
      <c r="G2447" t="s">
        <v>24088</v>
      </c>
    </row>
    <row r="2448" spans="1:7">
      <c r="A2448" t="s">
        <v>24089</v>
      </c>
      <c r="B2448" t="s">
        <v>8607</v>
      </c>
      <c r="D2448" s="28" t="s">
        <v>24087</v>
      </c>
      <c r="E2448" t="s">
        <v>23330</v>
      </c>
      <c r="F2448" t="s">
        <v>23928</v>
      </c>
      <c r="G2448" t="s">
        <v>24088</v>
      </c>
    </row>
    <row r="2449" spans="1:7">
      <c r="A2449" t="s">
        <v>24090</v>
      </c>
      <c r="B2449" t="s">
        <v>8607</v>
      </c>
      <c r="D2449" s="28" t="s">
        <v>24087</v>
      </c>
      <c r="E2449" t="s">
        <v>23330</v>
      </c>
      <c r="F2449" t="s">
        <v>23928</v>
      </c>
      <c r="G2449" t="s">
        <v>24088</v>
      </c>
    </row>
    <row r="2450" spans="1:7">
      <c r="A2450" t="s">
        <v>24091</v>
      </c>
      <c r="B2450" t="s">
        <v>8607</v>
      </c>
      <c r="D2450" s="28" t="s">
        <v>24087</v>
      </c>
      <c r="E2450" t="s">
        <v>23330</v>
      </c>
      <c r="F2450" t="s">
        <v>23928</v>
      </c>
      <c r="G2450" t="s">
        <v>24056</v>
      </c>
    </row>
    <row r="2451" spans="1:7">
      <c r="A2451" t="s">
        <v>24092</v>
      </c>
      <c r="B2451" t="s">
        <v>8607</v>
      </c>
      <c r="D2451" s="28" t="s">
        <v>24087</v>
      </c>
      <c r="E2451" t="s">
        <v>23330</v>
      </c>
      <c r="F2451" t="s">
        <v>23928</v>
      </c>
      <c r="G2451" t="s">
        <v>24093</v>
      </c>
    </row>
    <row r="2452" spans="1:7">
      <c r="A2452" t="s">
        <v>24094</v>
      </c>
      <c r="B2452" t="s">
        <v>8607</v>
      </c>
      <c r="D2452" s="28" t="s">
        <v>24095</v>
      </c>
      <c r="E2452" t="s">
        <v>23330</v>
      </c>
      <c r="F2452" t="s">
        <v>24096</v>
      </c>
      <c r="G2452" t="s">
        <v>24097</v>
      </c>
    </row>
    <row r="2453" spans="1:7">
      <c r="A2453" t="s">
        <v>24098</v>
      </c>
      <c r="B2453" t="s">
        <v>8607</v>
      </c>
      <c r="D2453" s="28" t="s">
        <v>24095</v>
      </c>
      <c r="E2453" t="s">
        <v>23330</v>
      </c>
      <c r="F2453" t="s">
        <v>24096</v>
      </c>
      <c r="G2453" t="s">
        <v>24097</v>
      </c>
    </row>
    <row r="2454" spans="1:7">
      <c r="A2454" t="s">
        <v>24099</v>
      </c>
      <c r="B2454" t="s">
        <v>8607</v>
      </c>
      <c r="D2454" s="28" t="s">
        <v>24095</v>
      </c>
      <c r="E2454" t="s">
        <v>23330</v>
      </c>
      <c r="F2454" t="s">
        <v>24096</v>
      </c>
      <c r="G2454" t="s">
        <v>24097</v>
      </c>
    </row>
    <row r="2455" spans="1:7">
      <c r="A2455" t="s">
        <v>24100</v>
      </c>
      <c r="B2455" t="s">
        <v>8607</v>
      </c>
      <c r="D2455" s="28" t="s">
        <v>24095</v>
      </c>
      <c r="E2455" t="s">
        <v>23330</v>
      </c>
      <c r="F2455" t="s">
        <v>24096</v>
      </c>
      <c r="G2455" t="s">
        <v>24097</v>
      </c>
    </row>
    <row r="2456" spans="1:7">
      <c r="A2456" t="s">
        <v>24101</v>
      </c>
      <c r="B2456" t="s">
        <v>8607</v>
      </c>
      <c r="D2456" s="28" t="s">
        <v>24095</v>
      </c>
      <c r="E2456" t="s">
        <v>23330</v>
      </c>
      <c r="F2456" t="s">
        <v>24096</v>
      </c>
      <c r="G2456" t="s">
        <v>24097</v>
      </c>
    </row>
    <row r="2457" spans="1:7">
      <c r="A2457" t="s">
        <v>24102</v>
      </c>
      <c r="B2457" t="s">
        <v>8607</v>
      </c>
      <c r="D2457" s="28" t="s">
        <v>24095</v>
      </c>
      <c r="E2457" t="s">
        <v>23330</v>
      </c>
      <c r="F2457" t="s">
        <v>24096</v>
      </c>
      <c r="G2457" t="s">
        <v>24097</v>
      </c>
    </row>
    <row r="2458" spans="1:7">
      <c r="A2458" t="s">
        <v>24103</v>
      </c>
      <c r="B2458" t="s">
        <v>8607</v>
      </c>
      <c r="D2458" s="28" t="s">
        <v>24095</v>
      </c>
      <c r="E2458" t="s">
        <v>23330</v>
      </c>
      <c r="G2458" t="s">
        <v>24097</v>
      </c>
    </row>
    <row r="2459" spans="1:7">
      <c r="A2459" t="s">
        <v>24104</v>
      </c>
      <c r="B2459" t="s">
        <v>8607</v>
      </c>
      <c r="D2459" s="28" t="s">
        <v>24095</v>
      </c>
      <c r="E2459" t="s">
        <v>23330</v>
      </c>
      <c r="F2459" t="s">
        <v>24096</v>
      </c>
      <c r="G2459" t="s">
        <v>24105</v>
      </c>
    </row>
    <row r="2460" spans="1:7">
      <c r="A2460" t="s">
        <v>24106</v>
      </c>
      <c r="B2460" t="s">
        <v>8607</v>
      </c>
      <c r="D2460" s="28" t="s">
        <v>24095</v>
      </c>
      <c r="E2460" t="s">
        <v>23330</v>
      </c>
      <c r="F2460" t="s">
        <v>24096</v>
      </c>
      <c r="G2460" t="s">
        <v>24105</v>
      </c>
    </row>
    <row r="2461" spans="1:7">
      <c r="A2461" t="s">
        <v>24107</v>
      </c>
      <c r="B2461" t="s">
        <v>8607</v>
      </c>
      <c r="D2461" s="28" t="s">
        <v>24095</v>
      </c>
      <c r="E2461" t="s">
        <v>23330</v>
      </c>
      <c r="F2461" t="s">
        <v>24096</v>
      </c>
      <c r="G2461" t="s">
        <v>24097</v>
      </c>
    </row>
    <row r="2462" spans="1:7">
      <c r="A2462" t="s">
        <v>24108</v>
      </c>
      <c r="B2462" t="s">
        <v>8626</v>
      </c>
      <c r="C2462" t="s">
        <v>24109</v>
      </c>
      <c r="D2462" s="28" t="s">
        <v>24110</v>
      </c>
      <c r="E2462" t="s">
        <v>23330</v>
      </c>
      <c r="F2462" t="s">
        <v>24096</v>
      </c>
      <c r="G2462" t="s">
        <v>24111</v>
      </c>
    </row>
    <row r="2463" spans="1:7">
      <c r="A2463" t="s">
        <v>24112</v>
      </c>
      <c r="B2463" t="s">
        <v>8626</v>
      </c>
      <c r="D2463" s="28" t="s">
        <v>24113</v>
      </c>
      <c r="E2463" t="s">
        <v>23330</v>
      </c>
      <c r="G2463" t="s">
        <v>24114</v>
      </c>
    </row>
    <row r="2464" spans="1:7">
      <c r="A2464" t="s">
        <v>24115</v>
      </c>
      <c r="B2464" t="s">
        <v>8626</v>
      </c>
      <c r="D2464" s="28" t="s">
        <v>24116</v>
      </c>
      <c r="E2464" t="s">
        <v>23330</v>
      </c>
      <c r="F2464" t="s">
        <v>24117</v>
      </c>
      <c r="G2464" t="s">
        <v>24118</v>
      </c>
    </row>
    <row r="2465" spans="1:7">
      <c r="A2465" t="s">
        <v>24119</v>
      </c>
      <c r="B2465" t="s">
        <v>8626</v>
      </c>
      <c r="D2465" s="28" t="s">
        <v>24120</v>
      </c>
      <c r="E2465" t="s">
        <v>23330</v>
      </c>
      <c r="F2465" t="s">
        <v>24121</v>
      </c>
      <c r="G2465" t="s">
        <v>24122</v>
      </c>
    </row>
    <row r="2466" spans="1:7">
      <c r="A2466" t="s">
        <v>24123</v>
      </c>
      <c r="B2466" t="s">
        <v>8607</v>
      </c>
      <c r="D2466" s="28" t="s">
        <v>24120</v>
      </c>
      <c r="E2466" t="s">
        <v>23330</v>
      </c>
      <c r="F2466" t="s">
        <v>24121</v>
      </c>
      <c r="G2466" t="s">
        <v>24124</v>
      </c>
    </row>
    <row r="2467" spans="1:7">
      <c r="A2467" t="s">
        <v>24125</v>
      </c>
      <c r="B2467" t="s">
        <v>8626</v>
      </c>
      <c r="D2467" s="28" t="s">
        <v>24120</v>
      </c>
      <c r="E2467" t="s">
        <v>23330</v>
      </c>
      <c r="F2467" t="s">
        <v>24121</v>
      </c>
      <c r="G2467" t="s">
        <v>24126</v>
      </c>
    </row>
    <row r="2468" spans="1:7">
      <c r="A2468" t="s">
        <v>24127</v>
      </c>
      <c r="B2468" t="s">
        <v>8607</v>
      </c>
      <c r="D2468" s="28" t="s">
        <v>24120</v>
      </c>
      <c r="E2468" t="s">
        <v>23330</v>
      </c>
      <c r="F2468" t="s">
        <v>24121</v>
      </c>
      <c r="G2468" t="s">
        <v>24124</v>
      </c>
    </row>
    <row r="2469" spans="1:7">
      <c r="A2469" t="s">
        <v>24128</v>
      </c>
      <c r="B2469" t="s">
        <v>8607</v>
      </c>
      <c r="D2469" s="28" t="s">
        <v>24120</v>
      </c>
      <c r="E2469" t="s">
        <v>23330</v>
      </c>
      <c r="F2469" t="s">
        <v>24121</v>
      </c>
      <c r="G2469" t="s">
        <v>24129</v>
      </c>
    </row>
    <row r="2470" spans="1:7">
      <c r="A2470" t="s">
        <v>24130</v>
      </c>
      <c r="B2470" t="s">
        <v>8607</v>
      </c>
      <c r="D2470" s="28" t="s">
        <v>24120</v>
      </c>
      <c r="E2470" t="s">
        <v>23330</v>
      </c>
      <c r="F2470" t="s">
        <v>24121</v>
      </c>
      <c r="G2470" t="s">
        <v>24131</v>
      </c>
    </row>
    <row r="2471" spans="1:7">
      <c r="A2471" t="s">
        <v>24132</v>
      </c>
      <c r="B2471" t="s">
        <v>8607</v>
      </c>
      <c r="D2471" s="28" t="s">
        <v>24133</v>
      </c>
      <c r="E2471" t="s">
        <v>23330</v>
      </c>
      <c r="F2471" t="s">
        <v>24134</v>
      </c>
      <c r="G2471" t="s">
        <v>24135</v>
      </c>
    </row>
    <row r="2472" spans="1:7">
      <c r="A2472" t="s">
        <v>24136</v>
      </c>
      <c r="B2472" t="s">
        <v>8626</v>
      </c>
      <c r="D2472" s="28" t="s">
        <v>24133</v>
      </c>
      <c r="E2472" t="s">
        <v>23330</v>
      </c>
      <c r="F2472" t="s">
        <v>24134</v>
      </c>
      <c r="G2472" t="s">
        <v>24137</v>
      </c>
    </row>
    <row r="2473" spans="1:7">
      <c r="A2473" t="s">
        <v>24138</v>
      </c>
      <c r="B2473" t="s">
        <v>8626</v>
      </c>
      <c r="D2473" s="28" t="s">
        <v>24139</v>
      </c>
      <c r="E2473" t="s">
        <v>23330</v>
      </c>
      <c r="F2473" t="s">
        <v>24134</v>
      </c>
      <c r="G2473" t="s">
        <v>24140</v>
      </c>
    </row>
    <row r="2474" spans="1:7">
      <c r="A2474" t="s">
        <v>24141</v>
      </c>
      <c r="B2474" t="s">
        <v>8607</v>
      </c>
      <c r="D2474" s="28" t="s">
        <v>24139</v>
      </c>
      <c r="E2474" t="s">
        <v>23330</v>
      </c>
      <c r="F2474" t="s">
        <v>24134</v>
      </c>
      <c r="G2474" t="s">
        <v>24142</v>
      </c>
    </row>
    <row r="2475" spans="1:7">
      <c r="A2475" t="s">
        <v>24143</v>
      </c>
      <c r="B2475" t="s">
        <v>8626</v>
      </c>
      <c r="D2475" s="28" t="s">
        <v>24139</v>
      </c>
      <c r="E2475" t="s">
        <v>23330</v>
      </c>
      <c r="F2475" t="s">
        <v>24134</v>
      </c>
      <c r="G2475" t="s">
        <v>24137</v>
      </c>
    </row>
    <row r="2476" spans="1:7">
      <c r="A2476" t="s">
        <v>24144</v>
      </c>
      <c r="B2476" t="s">
        <v>8626</v>
      </c>
      <c r="D2476" s="28" t="s">
        <v>24145</v>
      </c>
      <c r="E2476" t="s">
        <v>23330</v>
      </c>
      <c r="F2476" t="s">
        <v>24146</v>
      </c>
      <c r="G2476" t="s">
        <v>24147</v>
      </c>
    </row>
    <row r="2477" spans="1:7">
      <c r="A2477" t="s">
        <v>24148</v>
      </c>
      <c r="B2477" t="s">
        <v>8607</v>
      </c>
      <c r="C2477" t="s">
        <v>23417</v>
      </c>
      <c r="D2477" s="28" t="s">
        <v>24149</v>
      </c>
      <c r="E2477" t="s">
        <v>23330</v>
      </c>
      <c r="F2477" t="s">
        <v>17305</v>
      </c>
      <c r="G2477" t="s">
        <v>24150</v>
      </c>
    </row>
    <row r="2478" spans="1:7">
      <c r="A2478" t="s">
        <v>24151</v>
      </c>
      <c r="B2478" t="s">
        <v>8607</v>
      </c>
      <c r="C2478" t="s">
        <v>23439</v>
      </c>
      <c r="D2478" s="28" t="s">
        <v>17700</v>
      </c>
      <c r="E2478" t="s">
        <v>23330</v>
      </c>
      <c r="F2478" t="s">
        <v>17305</v>
      </c>
      <c r="G2478" t="s">
        <v>24152</v>
      </c>
    </row>
    <row r="2479" spans="1:7">
      <c r="A2479" t="s">
        <v>24153</v>
      </c>
      <c r="B2479" t="s">
        <v>8607</v>
      </c>
      <c r="C2479" t="s">
        <v>23439</v>
      </c>
      <c r="D2479" s="28" t="s">
        <v>17700</v>
      </c>
      <c r="E2479" t="s">
        <v>23330</v>
      </c>
      <c r="F2479" t="s">
        <v>17305</v>
      </c>
      <c r="G2479" t="s">
        <v>24152</v>
      </c>
    </row>
    <row r="2480" spans="1:7">
      <c r="A2480" t="s">
        <v>24154</v>
      </c>
      <c r="B2480" t="s">
        <v>8607</v>
      </c>
      <c r="C2480" t="s">
        <v>23439</v>
      </c>
      <c r="D2480" s="28" t="s">
        <v>17700</v>
      </c>
      <c r="E2480" t="s">
        <v>23330</v>
      </c>
      <c r="F2480" t="s">
        <v>17305</v>
      </c>
      <c r="G2480" t="s">
        <v>24155</v>
      </c>
    </row>
    <row r="2481" spans="1:7">
      <c r="A2481" t="s">
        <v>24156</v>
      </c>
      <c r="B2481" t="s">
        <v>8607</v>
      </c>
      <c r="C2481" t="s">
        <v>23439</v>
      </c>
      <c r="D2481" s="28" t="s">
        <v>17700</v>
      </c>
      <c r="E2481" t="s">
        <v>23330</v>
      </c>
      <c r="F2481" t="s">
        <v>17305</v>
      </c>
      <c r="G2481" t="s">
        <v>24152</v>
      </c>
    </row>
    <row r="2482" spans="1:7">
      <c r="A2482" t="s">
        <v>24157</v>
      </c>
      <c r="B2482" t="s">
        <v>8607</v>
      </c>
      <c r="D2482" s="28" t="s">
        <v>24158</v>
      </c>
      <c r="E2482" t="s">
        <v>23330</v>
      </c>
      <c r="F2482" t="s">
        <v>24159</v>
      </c>
      <c r="G2482" t="s">
        <v>24160</v>
      </c>
    </row>
    <row r="2483" spans="1:7">
      <c r="A2483" t="s">
        <v>24161</v>
      </c>
      <c r="B2483" t="s">
        <v>8607</v>
      </c>
      <c r="D2483" s="28" t="s">
        <v>24158</v>
      </c>
      <c r="E2483" t="s">
        <v>23330</v>
      </c>
      <c r="F2483" t="s">
        <v>24159</v>
      </c>
      <c r="G2483" t="s">
        <v>24162</v>
      </c>
    </row>
    <row r="2484" spans="1:7">
      <c r="A2484" t="s">
        <v>24163</v>
      </c>
      <c r="B2484" t="s">
        <v>8607</v>
      </c>
      <c r="D2484" s="28" t="s">
        <v>24158</v>
      </c>
      <c r="E2484" t="s">
        <v>23330</v>
      </c>
      <c r="F2484" t="s">
        <v>24159</v>
      </c>
      <c r="G2484" t="s">
        <v>24164</v>
      </c>
    </row>
    <row r="2485" spans="1:7">
      <c r="A2485" t="s">
        <v>24165</v>
      </c>
      <c r="B2485" t="s">
        <v>8607</v>
      </c>
      <c r="D2485" s="28" t="s">
        <v>24158</v>
      </c>
      <c r="E2485" t="s">
        <v>23330</v>
      </c>
      <c r="F2485" t="s">
        <v>24159</v>
      </c>
      <c r="G2485" t="s">
        <v>24162</v>
      </c>
    </row>
    <row r="2486" spans="1:7">
      <c r="A2486" t="s">
        <v>24166</v>
      </c>
      <c r="B2486" t="s">
        <v>8607</v>
      </c>
      <c r="D2486" s="28" t="s">
        <v>24158</v>
      </c>
      <c r="E2486" t="s">
        <v>23330</v>
      </c>
      <c r="F2486" t="s">
        <v>24159</v>
      </c>
      <c r="G2486" t="s">
        <v>24164</v>
      </c>
    </row>
    <row r="2487" spans="1:7">
      <c r="A2487" t="s">
        <v>24167</v>
      </c>
      <c r="B2487" t="s">
        <v>8607</v>
      </c>
      <c r="D2487" s="28" t="s">
        <v>24158</v>
      </c>
      <c r="E2487" t="s">
        <v>23330</v>
      </c>
      <c r="F2487" t="s">
        <v>24159</v>
      </c>
      <c r="G2487" t="s">
        <v>24162</v>
      </c>
    </row>
    <row r="2488" spans="1:7">
      <c r="A2488" t="s">
        <v>24168</v>
      </c>
      <c r="B2488" t="s">
        <v>8607</v>
      </c>
      <c r="D2488" s="28" t="s">
        <v>24158</v>
      </c>
      <c r="E2488" t="s">
        <v>23330</v>
      </c>
      <c r="F2488" t="s">
        <v>24159</v>
      </c>
      <c r="G2488" t="s">
        <v>24162</v>
      </c>
    </row>
    <row r="2489" spans="1:7">
      <c r="A2489" t="s">
        <v>24169</v>
      </c>
      <c r="B2489" t="s">
        <v>8607</v>
      </c>
      <c r="C2489" t="s">
        <v>24170</v>
      </c>
      <c r="D2489" s="28" t="s">
        <v>24158</v>
      </c>
      <c r="E2489" t="s">
        <v>23330</v>
      </c>
      <c r="F2489" t="s">
        <v>24159</v>
      </c>
      <c r="G2489" t="s">
        <v>24162</v>
      </c>
    </row>
    <row r="2490" spans="1:7">
      <c r="A2490" t="s">
        <v>24171</v>
      </c>
      <c r="B2490" t="s">
        <v>8607</v>
      </c>
      <c r="D2490" s="28" t="s">
        <v>24158</v>
      </c>
      <c r="E2490" t="s">
        <v>23330</v>
      </c>
      <c r="F2490" t="s">
        <v>24159</v>
      </c>
      <c r="G2490" t="s">
        <v>24162</v>
      </c>
    </row>
    <row r="2491" spans="1:7">
      <c r="A2491" t="s">
        <v>24172</v>
      </c>
      <c r="B2491" t="s">
        <v>8607</v>
      </c>
      <c r="D2491" s="28" t="s">
        <v>24158</v>
      </c>
      <c r="E2491" t="s">
        <v>23330</v>
      </c>
      <c r="F2491" t="s">
        <v>24159</v>
      </c>
      <c r="G2491" t="s">
        <v>24162</v>
      </c>
    </row>
    <row r="2492" spans="1:7">
      <c r="A2492" t="s">
        <v>24173</v>
      </c>
      <c r="B2492" t="s">
        <v>8607</v>
      </c>
      <c r="D2492" s="28" t="s">
        <v>24158</v>
      </c>
      <c r="E2492" t="s">
        <v>23330</v>
      </c>
      <c r="F2492" t="s">
        <v>24159</v>
      </c>
      <c r="G2492" t="s">
        <v>24162</v>
      </c>
    </row>
    <row r="2493" spans="1:7">
      <c r="A2493" t="s">
        <v>24174</v>
      </c>
      <c r="B2493" t="s">
        <v>8607</v>
      </c>
      <c r="D2493" s="28" t="s">
        <v>24158</v>
      </c>
      <c r="E2493" t="s">
        <v>23330</v>
      </c>
      <c r="F2493" t="s">
        <v>24159</v>
      </c>
      <c r="G2493" t="s">
        <v>24162</v>
      </c>
    </row>
    <row r="2494" spans="1:7">
      <c r="A2494" t="s">
        <v>24175</v>
      </c>
      <c r="B2494" t="s">
        <v>8607</v>
      </c>
      <c r="D2494" s="28" t="s">
        <v>24158</v>
      </c>
      <c r="E2494" t="s">
        <v>23330</v>
      </c>
      <c r="F2494" t="s">
        <v>24159</v>
      </c>
      <c r="G2494" t="s">
        <v>24162</v>
      </c>
    </row>
    <row r="2495" spans="1:7">
      <c r="A2495" t="s">
        <v>24176</v>
      </c>
      <c r="B2495" t="s">
        <v>8626</v>
      </c>
      <c r="C2495" t="s">
        <v>24177</v>
      </c>
      <c r="D2495" s="28" t="s">
        <v>24178</v>
      </c>
      <c r="E2495" t="s">
        <v>23330</v>
      </c>
      <c r="F2495" t="s">
        <v>17305</v>
      </c>
      <c r="G2495" t="s">
        <v>24179</v>
      </c>
    </row>
    <row r="2496" spans="1:7">
      <c r="A2496" t="s">
        <v>24180</v>
      </c>
      <c r="B2496" t="s">
        <v>8626</v>
      </c>
      <c r="C2496" t="s">
        <v>24177</v>
      </c>
      <c r="D2496" s="28" t="s">
        <v>24178</v>
      </c>
      <c r="E2496" t="s">
        <v>23330</v>
      </c>
      <c r="F2496" t="s">
        <v>17305</v>
      </c>
      <c r="G2496" t="s">
        <v>24181</v>
      </c>
    </row>
    <row r="2497" spans="1:7">
      <c r="A2497" t="s">
        <v>24182</v>
      </c>
      <c r="B2497" t="s">
        <v>8626</v>
      </c>
      <c r="C2497" t="s">
        <v>24177</v>
      </c>
      <c r="D2497" s="28" t="s">
        <v>24178</v>
      </c>
      <c r="E2497" t="s">
        <v>23330</v>
      </c>
      <c r="F2497" t="s">
        <v>17305</v>
      </c>
      <c r="G2497" t="s">
        <v>24179</v>
      </c>
    </row>
    <row r="2498" spans="1:7">
      <c r="A2498" t="s">
        <v>24183</v>
      </c>
      <c r="B2498" t="s">
        <v>8626</v>
      </c>
      <c r="C2498" t="s">
        <v>24177</v>
      </c>
      <c r="D2498" s="28" t="s">
        <v>24184</v>
      </c>
      <c r="E2498" t="s">
        <v>23330</v>
      </c>
      <c r="F2498" t="s">
        <v>17305</v>
      </c>
      <c r="G2498" t="s">
        <v>24185</v>
      </c>
    </row>
    <row r="2499" spans="1:7">
      <c r="A2499" t="s">
        <v>24186</v>
      </c>
      <c r="B2499" t="s">
        <v>8607</v>
      </c>
      <c r="C2499" t="s">
        <v>17773</v>
      </c>
      <c r="D2499" s="28" t="s">
        <v>24187</v>
      </c>
      <c r="E2499" t="s">
        <v>23330</v>
      </c>
      <c r="F2499" t="s">
        <v>17305</v>
      </c>
      <c r="G2499" t="s">
        <v>24188</v>
      </c>
    </row>
    <row r="2500" spans="1:7">
      <c r="A2500" t="s">
        <v>24189</v>
      </c>
      <c r="B2500" t="s">
        <v>8607</v>
      </c>
      <c r="C2500" t="s">
        <v>17773</v>
      </c>
      <c r="D2500" s="28" t="s">
        <v>24187</v>
      </c>
      <c r="E2500" t="s">
        <v>23330</v>
      </c>
      <c r="F2500" t="s">
        <v>17305</v>
      </c>
      <c r="G2500" t="s">
        <v>24188</v>
      </c>
    </row>
    <row r="2501" spans="1:7">
      <c r="A2501" t="s">
        <v>24190</v>
      </c>
      <c r="B2501" t="s">
        <v>8607</v>
      </c>
      <c r="C2501" t="s">
        <v>17773</v>
      </c>
      <c r="D2501" s="28" t="s">
        <v>24187</v>
      </c>
      <c r="E2501" t="s">
        <v>23330</v>
      </c>
      <c r="F2501" t="s">
        <v>17305</v>
      </c>
      <c r="G2501" t="s">
        <v>24188</v>
      </c>
    </row>
    <row r="2502" spans="1:7">
      <c r="A2502" t="s">
        <v>24191</v>
      </c>
      <c r="B2502" t="s">
        <v>8626</v>
      </c>
      <c r="C2502" t="s">
        <v>17773</v>
      </c>
      <c r="D2502" s="28" t="s">
        <v>24187</v>
      </c>
      <c r="E2502" t="s">
        <v>23330</v>
      </c>
      <c r="F2502" t="s">
        <v>17305</v>
      </c>
      <c r="G2502" t="s">
        <v>24192</v>
      </c>
    </row>
    <row r="2503" spans="1:7">
      <c r="A2503" t="s">
        <v>24193</v>
      </c>
      <c r="B2503" t="s">
        <v>8607</v>
      </c>
      <c r="C2503" t="s">
        <v>17773</v>
      </c>
      <c r="D2503" s="28" t="s">
        <v>24187</v>
      </c>
      <c r="E2503" t="s">
        <v>23330</v>
      </c>
      <c r="F2503" t="s">
        <v>17305</v>
      </c>
      <c r="G2503" t="s">
        <v>24188</v>
      </c>
    </row>
    <row r="2504" spans="1:7">
      <c r="A2504" t="s">
        <v>24194</v>
      </c>
      <c r="B2504" t="s">
        <v>8626</v>
      </c>
      <c r="C2504" t="s">
        <v>17773</v>
      </c>
      <c r="D2504" s="28" t="s">
        <v>24187</v>
      </c>
      <c r="E2504" t="s">
        <v>23330</v>
      </c>
      <c r="F2504" t="s">
        <v>17305</v>
      </c>
      <c r="G2504" t="s">
        <v>24192</v>
      </c>
    </row>
    <row r="2505" spans="1:7">
      <c r="A2505" t="s">
        <v>24195</v>
      </c>
      <c r="B2505" t="s">
        <v>8607</v>
      </c>
      <c r="C2505" t="s">
        <v>17773</v>
      </c>
      <c r="D2505" s="28" t="s">
        <v>24187</v>
      </c>
      <c r="E2505" t="s">
        <v>23330</v>
      </c>
      <c r="F2505" t="s">
        <v>17305</v>
      </c>
      <c r="G2505" t="s">
        <v>24188</v>
      </c>
    </row>
    <row r="2506" spans="1:7">
      <c r="A2506" t="s">
        <v>24196</v>
      </c>
      <c r="B2506" t="s">
        <v>8607</v>
      </c>
      <c r="C2506" t="s">
        <v>17773</v>
      </c>
      <c r="D2506" s="28" t="s">
        <v>24187</v>
      </c>
      <c r="E2506" t="s">
        <v>23330</v>
      </c>
      <c r="F2506" t="s">
        <v>17305</v>
      </c>
      <c r="G2506" t="s">
        <v>24188</v>
      </c>
    </row>
    <row r="2507" spans="1:7">
      <c r="A2507" t="s">
        <v>24197</v>
      </c>
      <c r="B2507" t="s">
        <v>8607</v>
      </c>
      <c r="C2507" t="s">
        <v>17773</v>
      </c>
      <c r="D2507" s="28" t="s">
        <v>24187</v>
      </c>
      <c r="E2507" t="s">
        <v>23330</v>
      </c>
      <c r="F2507" t="s">
        <v>17305</v>
      </c>
      <c r="G2507" t="s">
        <v>24188</v>
      </c>
    </row>
    <row r="2508" spans="1:7">
      <c r="A2508" t="s">
        <v>24198</v>
      </c>
      <c r="B2508" t="s">
        <v>8607</v>
      </c>
      <c r="C2508" t="s">
        <v>24177</v>
      </c>
      <c r="D2508" s="28" t="s">
        <v>24187</v>
      </c>
      <c r="E2508" t="s">
        <v>23330</v>
      </c>
      <c r="F2508" t="s">
        <v>17305</v>
      </c>
      <c r="G2508" t="s">
        <v>24188</v>
      </c>
    </row>
    <row r="2509" spans="1:7">
      <c r="A2509" t="s">
        <v>24199</v>
      </c>
      <c r="B2509" t="s">
        <v>8607</v>
      </c>
      <c r="C2509" t="s">
        <v>24177</v>
      </c>
      <c r="D2509" s="28" t="s">
        <v>24187</v>
      </c>
      <c r="E2509" t="s">
        <v>23330</v>
      </c>
      <c r="F2509" t="s">
        <v>17305</v>
      </c>
      <c r="G2509" t="s">
        <v>24188</v>
      </c>
    </row>
    <row r="2510" spans="1:7">
      <c r="A2510" t="s">
        <v>24200</v>
      </c>
      <c r="B2510" t="s">
        <v>8607</v>
      </c>
      <c r="C2510" t="s">
        <v>24177</v>
      </c>
      <c r="D2510" s="28" t="s">
        <v>24187</v>
      </c>
      <c r="E2510" t="s">
        <v>23330</v>
      </c>
      <c r="F2510" t="s">
        <v>17305</v>
      </c>
      <c r="G2510" t="s">
        <v>24188</v>
      </c>
    </row>
    <row r="2511" spans="1:7">
      <c r="A2511" t="s">
        <v>24201</v>
      </c>
      <c r="B2511" t="s">
        <v>8607</v>
      </c>
      <c r="C2511" t="s">
        <v>24177</v>
      </c>
      <c r="D2511" s="28" t="s">
        <v>24187</v>
      </c>
      <c r="E2511" t="s">
        <v>23330</v>
      </c>
      <c r="F2511" t="s">
        <v>17305</v>
      </c>
      <c r="G2511" t="s">
        <v>24188</v>
      </c>
    </row>
    <row r="2512" spans="1:7">
      <c r="A2512" t="s">
        <v>24202</v>
      </c>
      <c r="B2512" t="s">
        <v>8607</v>
      </c>
      <c r="C2512" t="s">
        <v>17773</v>
      </c>
      <c r="D2512" s="28" t="s">
        <v>24187</v>
      </c>
      <c r="E2512" t="s">
        <v>23330</v>
      </c>
      <c r="F2512" t="s">
        <v>17305</v>
      </c>
      <c r="G2512" t="s">
        <v>24188</v>
      </c>
    </row>
    <row r="2513" spans="1:7">
      <c r="A2513" t="s">
        <v>24203</v>
      </c>
      <c r="B2513" t="s">
        <v>8607</v>
      </c>
      <c r="C2513" t="s">
        <v>24177</v>
      </c>
      <c r="D2513" s="28" t="s">
        <v>24187</v>
      </c>
      <c r="E2513" t="s">
        <v>23330</v>
      </c>
      <c r="F2513" t="s">
        <v>17305</v>
      </c>
      <c r="G2513" t="s">
        <v>24188</v>
      </c>
    </row>
    <row r="2514" spans="1:7">
      <c r="A2514" t="s">
        <v>24204</v>
      </c>
      <c r="B2514" t="s">
        <v>8607</v>
      </c>
      <c r="C2514" t="s">
        <v>24177</v>
      </c>
      <c r="D2514" s="28" t="s">
        <v>24187</v>
      </c>
      <c r="E2514" t="s">
        <v>23330</v>
      </c>
      <c r="F2514" t="s">
        <v>17305</v>
      </c>
      <c r="G2514" t="s">
        <v>24188</v>
      </c>
    </row>
    <row r="2515" spans="1:7">
      <c r="A2515" t="s">
        <v>24205</v>
      </c>
      <c r="B2515" t="s">
        <v>8626</v>
      </c>
      <c r="C2515" t="s">
        <v>17773</v>
      </c>
      <c r="D2515" s="28" t="s">
        <v>24206</v>
      </c>
      <c r="E2515" t="s">
        <v>23330</v>
      </c>
      <c r="F2515" t="s">
        <v>17305</v>
      </c>
      <c r="G2515" t="s">
        <v>24207</v>
      </c>
    </row>
    <row r="2516" spans="1:7">
      <c r="A2516" t="s">
        <v>24208</v>
      </c>
      <c r="B2516" t="s">
        <v>8607</v>
      </c>
      <c r="C2516" t="s">
        <v>17773</v>
      </c>
      <c r="D2516" s="28" t="s">
        <v>24209</v>
      </c>
      <c r="E2516" t="s">
        <v>23330</v>
      </c>
      <c r="F2516" t="s">
        <v>17305</v>
      </c>
      <c r="G2516" t="s">
        <v>24188</v>
      </c>
    </row>
    <row r="2517" spans="1:7">
      <c r="A2517" t="s">
        <v>24210</v>
      </c>
      <c r="B2517" t="s">
        <v>8626</v>
      </c>
      <c r="C2517" t="s">
        <v>17773</v>
      </c>
      <c r="D2517" s="28" t="s">
        <v>24211</v>
      </c>
      <c r="E2517" t="s">
        <v>23330</v>
      </c>
      <c r="F2517" t="s">
        <v>17305</v>
      </c>
      <c r="G2517" t="s">
        <v>24212</v>
      </c>
    </row>
    <row r="2518" spans="1:7">
      <c r="A2518" t="s">
        <v>24213</v>
      </c>
      <c r="B2518" t="s">
        <v>8607</v>
      </c>
      <c r="C2518" t="s">
        <v>24214</v>
      </c>
      <c r="D2518" s="28" t="s">
        <v>24215</v>
      </c>
      <c r="E2518" t="s">
        <v>23330</v>
      </c>
      <c r="F2518" t="s">
        <v>24216</v>
      </c>
      <c r="G2518" t="s">
        <v>24217</v>
      </c>
    </row>
    <row r="2519" spans="1:7">
      <c r="A2519" t="s">
        <v>24218</v>
      </c>
      <c r="B2519" t="s">
        <v>8626</v>
      </c>
      <c r="C2519" t="s">
        <v>24214</v>
      </c>
      <c r="D2519" s="28" t="s">
        <v>24215</v>
      </c>
      <c r="E2519" t="s">
        <v>23330</v>
      </c>
      <c r="F2519" t="s">
        <v>24216</v>
      </c>
      <c r="G2519" t="s">
        <v>24219</v>
      </c>
    </row>
    <row r="2520" spans="1:7">
      <c r="A2520" t="s">
        <v>24220</v>
      </c>
      <c r="B2520" t="s">
        <v>8607</v>
      </c>
      <c r="D2520" s="28" t="s">
        <v>24221</v>
      </c>
      <c r="E2520" t="s">
        <v>23330</v>
      </c>
      <c r="F2520" t="s">
        <v>17369</v>
      </c>
      <c r="G2520" t="s">
        <v>24222</v>
      </c>
    </row>
    <row r="2521" spans="1:7">
      <c r="A2521" t="s">
        <v>24223</v>
      </c>
      <c r="B2521" t="s">
        <v>8607</v>
      </c>
      <c r="D2521" s="28" t="s">
        <v>24221</v>
      </c>
      <c r="E2521" t="s">
        <v>23330</v>
      </c>
      <c r="F2521" t="s">
        <v>24224</v>
      </c>
      <c r="G2521" t="s">
        <v>24225</v>
      </c>
    </row>
    <row r="2522" spans="1:7">
      <c r="A2522" t="s">
        <v>24226</v>
      </c>
      <c r="B2522" t="s">
        <v>8607</v>
      </c>
      <c r="D2522" s="28" t="s">
        <v>24227</v>
      </c>
      <c r="E2522" t="s">
        <v>23330</v>
      </c>
      <c r="F2522" t="s">
        <v>20001</v>
      </c>
      <c r="G2522" t="s">
        <v>24228</v>
      </c>
    </row>
    <row r="2523" spans="1:7">
      <c r="A2523" t="s">
        <v>24229</v>
      </c>
      <c r="B2523" t="s">
        <v>8607</v>
      </c>
      <c r="C2523" t="s">
        <v>24230</v>
      </c>
      <c r="D2523" s="28" t="s">
        <v>24231</v>
      </c>
      <c r="E2523" t="s">
        <v>23330</v>
      </c>
      <c r="F2523" t="s">
        <v>20001</v>
      </c>
      <c r="G2523" t="s">
        <v>24228</v>
      </c>
    </row>
    <row r="2524" spans="1:7">
      <c r="A2524" t="s">
        <v>24232</v>
      </c>
      <c r="B2524" t="s">
        <v>8607</v>
      </c>
      <c r="D2524" s="28" t="s">
        <v>24233</v>
      </c>
      <c r="E2524" t="s">
        <v>23330</v>
      </c>
      <c r="F2524" t="s">
        <v>20001</v>
      </c>
      <c r="G2524" t="s">
        <v>24228</v>
      </c>
    </row>
    <row r="2525" spans="1:7">
      <c r="A2525" t="s">
        <v>24234</v>
      </c>
      <c r="B2525" t="s">
        <v>8607</v>
      </c>
      <c r="D2525" s="28" t="s">
        <v>24235</v>
      </c>
      <c r="E2525" t="s">
        <v>23330</v>
      </c>
      <c r="F2525" t="s">
        <v>21567</v>
      </c>
      <c r="G2525" t="s">
        <v>23720</v>
      </c>
    </row>
    <row r="2526" spans="1:7">
      <c r="A2526" t="s">
        <v>24236</v>
      </c>
      <c r="B2526" t="s">
        <v>8607</v>
      </c>
      <c r="D2526" s="28" t="s">
        <v>24235</v>
      </c>
      <c r="E2526" t="s">
        <v>23330</v>
      </c>
      <c r="F2526" t="s">
        <v>21567</v>
      </c>
      <c r="G2526" t="s">
        <v>23720</v>
      </c>
    </row>
    <row r="2527" spans="1:7">
      <c r="A2527" t="s">
        <v>24237</v>
      </c>
      <c r="B2527" t="s">
        <v>8626</v>
      </c>
      <c r="C2527" t="s">
        <v>24238</v>
      </c>
      <c r="D2527" s="28" t="s">
        <v>24239</v>
      </c>
      <c r="E2527" t="s">
        <v>23330</v>
      </c>
      <c r="F2527" t="s">
        <v>24240</v>
      </c>
      <c r="G2527" t="s">
        <v>24241</v>
      </c>
    </row>
    <row r="2528" spans="1:7">
      <c r="A2528" t="s">
        <v>24242</v>
      </c>
      <c r="B2528" t="s">
        <v>8626</v>
      </c>
      <c r="D2528" s="28" t="s">
        <v>24243</v>
      </c>
      <c r="E2528" t="s">
        <v>23330</v>
      </c>
      <c r="F2528" t="s">
        <v>17349</v>
      </c>
      <c r="G2528" t="s">
        <v>24244</v>
      </c>
    </row>
    <row r="2529" spans="1:7">
      <c r="A2529" t="s">
        <v>24245</v>
      </c>
      <c r="B2529" t="s">
        <v>8607</v>
      </c>
      <c r="D2529" s="28" t="s">
        <v>24243</v>
      </c>
      <c r="E2529" t="s">
        <v>23330</v>
      </c>
      <c r="F2529" t="s">
        <v>17349</v>
      </c>
      <c r="G2529" t="s">
        <v>24246</v>
      </c>
    </row>
    <row r="2530" spans="1:7">
      <c r="A2530" t="s">
        <v>24247</v>
      </c>
      <c r="B2530" t="s">
        <v>8607</v>
      </c>
      <c r="D2530" s="28" t="s">
        <v>24243</v>
      </c>
      <c r="E2530" t="s">
        <v>23330</v>
      </c>
      <c r="F2530" t="s">
        <v>17349</v>
      </c>
      <c r="G2530" t="s">
        <v>24246</v>
      </c>
    </row>
    <row r="2531" spans="1:7">
      <c r="A2531" t="s">
        <v>24248</v>
      </c>
      <c r="B2531" t="s">
        <v>8607</v>
      </c>
      <c r="D2531" s="28" t="s">
        <v>24243</v>
      </c>
      <c r="E2531" t="s">
        <v>23330</v>
      </c>
      <c r="F2531" t="s">
        <v>17349</v>
      </c>
      <c r="G2531" t="s">
        <v>24246</v>
      </c>
    </row>
    <row r="2532" spans="1:7">
      <c r="A2532" t="s">
        <v>24249</v>
      </c>
      <c r="B2532" t="s">
        <v>8607</v>
      </c>
      <c r="D2532" s="28" t="s">
        <v>24243</v>
      </c>
      <c r="E2532" t="s">
        <v>23330</v>
      </c>
      <c r="F2532" t="s">
        <v>17349</v>
      </c>
      <c r="G2532" t="s">
        <v>24246</v>
      </c>
    </row>
    <row r="2533" spans="1:7">
      <c r="A2533" t="s">
        <v>24250</v>
      </c>
      <c r="B2533" t="s">
        <v>8607</v>
      </c>
      <c r="D2533" s="28" t="s">
        <v>24243</v>
      </c>
      <c r="E2533" t="s">
        <v>23330</v>
      </c>
      <c r="F2533" t="s">
        <v>17349</v>
      </c>
      <c r="G2533" t="s">
        <v>24246</v>
      </c>
    </row>
    <row r="2534" spans="1:7">
      <c r="A2534" t="s">
        <v>24251</v>
      </c>
      <c r="B2534" t="s">
        <v>8607</v>
      </c>
      <c r="D2534" s="28" t="s">
        <v>24243</v>
      </c>
      <c r="E2534" t="s">
        <v>23330</v>
      </c>
      <c r="F2534" t="s">
        <v>17349</v>
      </c>
      <c r="G2534" t="s">
        <v>24246</v>
      </c>
    </row>
    <row r="2535" spans="1:7">
      <c r="A2535" t="s">
        <v>24252</v>
      </c>
      <c r="B2535" t="s">
        <v>8607</v>
      </c>
      <c r="D2535" s="28" t="s">
        <v>24243</v>
      </c>
      <c r="E2535" t="s">
        <v>23330</v>
      </c>
      <c r="F2535" t="s">
        <v>17349</v>
      </c>
      <c r="G2535" t="s">
        <v>24246</v>
      </c>
    </row>
    <row r="2536" spans="1:7">
      <c r="A2536" t="s">
        <v>24253</v>
      </c>
      <c r="B2536" t="s">
        <v>8607</v>
      </c>
      <c r="D2536" s="28" t="s">
        <v>24243</v>
      </c>
      <c r="E2536" t="s">
        <v>23330</v>
      </c>
      <c r="F2536" t="s">
        <v>17349</v>
      </c>
      <c r="G2536" t="s">
        <v>24246</v>
      </c>
    </row>
    <row r="2537" spans="1:7">
      <c r="A2537" t="s">
        <v>24254</v>
      </c>
      <c r="B2537" t="s">
        <v>8607</v>
      </c>
      <c r="D2537" s="28" t="s">
        <v>24243</v>
      </c>
      <c r="E2537" t="s">
        <v>23330</v>
      </c>
      <c r="F2537" t="s">
        <v>17349</v>
      </c>
      <c r="G2537" t="s">
        <v>24246</v>
      </c>
    </row>
    <row r="2538" spans="1:7">
      <c r="A2538" t="s">
        <v>24255</v>
      </c>
      <c r="B2538" t="s">
        <v>8607</v>
      </c>
      <c r="D2538" s="28" t="s">
        <v>24243</v>
      </c>
      <c r="E2538" t="s">
        <v>23330</v>
      </c>
      <c r="F2538" t="s">
        <v>17349</v>
      </c>
      <c r="G2538" t="s">
        <v>24246</v>
      </c>
    </row>
    <row r="2539" spans="1:7">
      <c r="A2539" t="s">
        <v>24256</v>
      </c>
      <c r="B2539" t="s">
        <v>8607</v>
      </c>
      <c r="D2539" s="28" t="s">
        <v>24243</v>
      </c>
      <c r="E2539" t="s">
        <v>23330</v>
      </c>
      <c r="F2539" t="s">
        <v>17349</v>
      </c>
      <c r="G2539" t="s">
        <v>24246</v>
      </c>
    </row>
    <row r="2540" spans="1:7">
      <c r="A2540" t="s">
        <v>24257</v>
      </c>
      <c r="B2540" t="s">
        <v>8607</v>
      </c>
      <c r="D2540" s="28" t="s">
        <v>24243</v>
      </c>
      <c r="E2540" t="s">
        <v>23330</v>
      </c>
      <c r="F2540" t="s">
        <v>17349</v>
      </c>
      <c r="G2540" t="s">
        <v>24246</v>
      </c>
    </row>
    <row r="2541" spans="1:7">
      <c r="A2541" t="s">
        <v>24258</v>
      </c>
      <c r="B2541" t="s">
        <v>8607</v>
      </c>
      <c r="D2541" s="28" t="s">
        <v>24243</v>
      </c>
      <c r="E2541" t="s">
        <v>23330</v>
      </c>
      <c r="F2541" t="s">
        <v>17349</v>
      </c>
      <c r="G2541" t="s">
        <v>24246</v>
      </c>
    </row>
    <row r="2542" spans="1:7">
      <c r="A2542" t="s">
        <v>24259</v>
      </c>
      <c r="B2542" t="s">
        <v>8607</v>
      </c>
      <c r="D2542" s="28" t="s">
        <v>24243</v>
      </c>
      <c r="E2542" t="s">
        <v>23330</v>
      </c>
      <c r="F2542" t="s">
        <v>17349</v>
      </c>
      <c r="G2542" t="s">
        <v>24246</v>
      </c>
    </row>
    <row r="2543" spans="1:7">
      <c r="A2543" t="s">
        <v>24260</v>
      </c>
      <c r="B2543" t="s">
        <v>8607</v>
      </c>
      <c r="D2543" s="28" t="s">
        <v>24243</v>
      </c>
      <c r="E2543" t="s">
        <v>23330</v>
      </c>
      <c r="F2543" t="s">
        <v>17349</v>
      </c>
      <c r="G2543" t="s">
        <v>24246</v>
      </c>
    </row>
    <row r="2544" spans="1:7">
      <c r="A2544" t="s">
        <v>24261</v>
      </c>
      <c r="B2544" t="s">
        <v>8626</v>
      </c>
      <c r="D2544" s="28" t="s">
        <v>24243</v>
      </c>
      <c r="E2544" t="s">
        <v>23330</v>
      </c>
      <c r="F2544" t="s">
        <v>17349</v>
      </c>
      <c r="G2544" t="s">
        <v>24244</v>
      </c>
    </row>
    <row r="2545" spans="1:7">
      <c r="A2545" t="s">
        <v>24262</v>
      </c>
      <c r="B2545" t="s">
        <v>8607</v>
      </c>
      <c r="D2545" s="28" t="s">
        <v>24243</v>
      </c>
      <c r="E2545" t="s">
        <v>23330</v>
      </c>
      <c r="F2545" t="s">
        <v>17349</v>
      </c>
      <c r="G2545" t="s">
        <v>24246</v>
      </c>
    </row>
    <row r="2546" spans="1:7">
      <c r="A2546" t="s">
        <v>24263</v>
      </c>
      <c r="B2546" t="s">
        <v>8607</v>
      </c>
      <c r="D2546" s="28" t="s">
        <v>24243</v>
      </c>
      <c r="E2546" t="s">
        <v>23330</v>
      </c>
      <c r="F2546" t="s">
        <v>17349</v>
      </c>
      <c r="G2546" t="s">
        <v>24246</v>
      </c>
    </row>
    <row r="2547" spans="1:7">
      <c r="A2547" t="s">
        <v>24264</v>
      </c>
      <c r="B2547" t="s">
        <v>8607</v>
      </c>
      <c r="D2547" s="28" t="s">
        <v>24243</v>
      </c>
      <c r="E2547" t="s">
        <v>23330</v>
      </c>
      <c r="F2547" t="s">
        <v>17349</v>
      </c>
      <c r="G2547" t="s">
        <v>24246</v>
      </c>
    </row>
    <row r="2548" spans="1:7">
      <c r="A2548" t="s">
        <v>24265</v>
      </c>
      <c r="B2548" t="s">
        <v>8626</v>
      </c>
      <c r="D2548" s="28" t="s">
        <v>24243</v>
      </c>
      <c r="E2548" t="s">
        <v>23330</v>
      </c>
      <c r="F2548" t="s">
        <v>17349</v>
      </c>
      <c r="G2548" t="s">
        <v>24244</v>
      </c>
    </row>
    <row r="2549" spans="1:7">
      <c r="A2549" t="s">
        <v>24266</v>
      </c>
      <c r="B2549" t="s">
        <v>8626</v>
      </c>
      <c r="C2549" t="s">
        <v>17347</v>
      </c>
      <c r="D2549" s="28" t="s">
        <v>17348</v>
      </c>
      <c r="E2549" t="s">
        <v>23330</v>
      </c>
      <c r="F2549" t="s">
        <v>17349</v>
      </c>
      <c r="G2549" t="s">
        <v>24267</v>
      </c>
    </row>
    <row r="2550" spans="1:7">
      <c r="A2550" t="s">
        <v>24268</v>
      </c>
      <c r="B2550" t="s">
        <v>8607</v>
      </c>
      <c r="C2550" t="s">
        <v>17347</v>
      </c>
      <c r="D2550" s="28" t="s">
        <v>17348</v>
      </c>
      <c r="E2550" t="s">
        <v>23330</v>
      </c>
      <c r="F2550" t="s">
        <v>17349</v>
      </c>
      <c r="G2550" t="s">
        <v>24269</v>
      </c>
    </row>
    <row r="2551" spans="1:7">
      <c r="A2551" t="s">
        <v>24270</v>
      </c>
      <c r="B2551" t="s">
        <v>8607</v>
      </c>
      <c r="C2551" t="s">
        <v>23946</v>
      </c>
      <c r="D2551" s="28" t="s">
        <v>24271</v>
      </c>
      <c r="E2551" t="s">
        <v>23330</v>
      </c>
      <c r="F2551" t="s">
        <v>17349</v>
      </c>
      <c r="G2551" t="s">
        <v>24272</v>
      </c>
    </row>
    <row r="2552" spans="1:7">
      <c r="A2552" t="s">
        <v>24273</v>
      </c>
      <c r="B2552" t="s">
        <v>8607</v>
      </c>
      <c r="D2552" s="28" t="s">
        <v>24274</v>
      </c>
      <c r="E2552" t="s">
        <v>23330</v>
      </c>
      <c r="F2552" t="s">
        <v>17349</v>
      </c>
      <c r="G2552" t="s">
        <v>24275</v>
      </c>
    </row>
    <row r="2553" spans="1:7">
      <c r="A2553" t="s">
        <v>24276</v>
      </c>
      <c r="B2553" t="s">
        <v>8607</v>
      </c>
      <c r="D2553" s="28" t="s">
        <v>24277</v>
      </c>
      <c r="E2553" t="s">
        <v>23330</v>
      </c>
      <c r="F2553" t="s">
        <v>17349</v>
      </c>
      <c r="G2553" t="s">
        <v>24278</v>
      </c>
    </row>
    <row r="2554" spans="1:7">
      <c r="A2554" t="s">
        <v>24279</v>
      </c>
      <c r="B2554" t="s">
        <v>8626</v>
      </c>
      <c r="D2554" s="28" t="s">
        <v>24280</v>
      </c>
      <c r="E2554" t="s">
        <v>23330</v>
      </c>
      <c r="F2554" t="s">
        <v>17349</v>
      </c>
      <c r="G2554" t="s">
        <v>24281</v>
      </c>
    </row>
    <row r="2555" spans="1:7">
      <c r="A2555" t="s">
        <v>24282</v>
      </c>
      <c r="B2555" t="s">
        <v>8607</v>
      </c>
      <c r="D2555" s="28" t="s">
        <v>24283</v>
      </c>
      <c r="E2555" t="s">
        <v>23330</v>
      </c>
      <c r="F2555" t="s">
        <v>17349</v>
      </c>
      <c r="G2555" t="s">
        <v>24284</v>
      </c>
    </row>
    <row r="2556" spans="1:7">
      <c r="A2556" t="s">
        <v>24285</v>
      </c>
      <c r="B2556" t="s">
        <v>8607</v>
      </c>
      <c r="C2556" t="s">
        <v>17347</v>
      </c>
      <c r="D2556" s="28" t="s">
        <v>24286</v>
      </c>
      <c r="E2556" t="s">
        <v>23330</v>
      </c>
      <c r="F2556" t="s">
        <v>17349</v>
      </c>
      <c r="G2556" t="s">
        <v>24287</v>
      </c>
    </row>
    <row r="2557" spans="1:7">
      <c r="A2557" t="s">
        <v>24288</v>
      </c>
      <c r="B2557" t="s">
        <v>8607</v>
      </c>
      <c r="C2557" t="s">
        <v>24289</v>
      </c>
      <c r="D2557" s="28" t="s">
        <v>24290</v>
      </c>
      <c r="E2557" t="s">
        <v>23330</v>
      </c>
      <c r="F2557" t="s">
        <v>24291</v>
      </c>
      <c r="G2557" t="s">
        <v>24292</v>
      </c>
    </row>
    <row r="2558" spans="1:7">
      <c r="A2558" t="s">
        <v>24293</v>
      </c>
      <c r="B2558" t="s">
        <v>8626</v>
      </c>
      <c r="D2558" s="28" t="s">
        <v>11411</v>
      </c>
      <c r="E2558" t="s">
        <v>23330</v>
      </c>
      <c r="F2558" t="s">
        <v>8623</v>
      </c>
      <c r="G2558" t="s">
        <v>11412</v>
      </c>
    </row>
    <row r="2559" spans="1:7">
      <c r="A2559" t="s">
        <v>24294</v>
      </c>
      <c r="B2559" t="s">
        <v>8626</v>
      </c>
      <c r="D2559" s="28" t="s">
        <v>24295</v>
      </c>
      <c r="E2559" t="s">
        <v>23330</v>
      </c>
      <c r="F2559" t="s">
        <v>24296</v>
      </c>
      <c r="G2559" t="s">
        <v>24297</v>
      </c>
    </row>
    <row r="2560" spans="1:7">
      <c r="A2560" t="s">
        <v>24298</v>
      </c>
      <c r="B2560" t="s">
        <v>8626</v>
      </c>
      <c r="C2560" t="s">
        <v>24299</v>
      </c>
      <c r="D2560" s="28" t="s">
        <v>24300</v>
      </c>
      <c r="E2560" t="s">
        <v>23330</v>
      </c>
      <c r="F2560" t="s">
        <v>8623</v>
      </c>
      <c r="G2560" t="s">
        <v>24301</v>
      </c>
    </row>
    <row r="2561" spans="1:7">
      <c r="A2561" t="s">
        <v>24302</v>
      </c>
      <c r="B2561" t="s">
        <v>8626</v>
      </c>
      <c r="C2561" t="s">
        <v>24303</v>
      </c>
      <c r="D2561" s="28" t="s">
        <v>24300</v>
      </c>
      <c r="E2561" t="s">
        <v>23330</v>
      </c>
      <c r="F2561" t="s">
        <v>8623</v>
      </c>
      <c r="G2561" t="s">
        <v>24304</v>
      </c>
    </row>
    <row r="2562" spans="1:7">
      <c r="A2562" t="s">
        <v>24305</v>
      </c>
      <c r="B2562" t="s">
        <v>8626</v>
      </c>
      <c r="D2562" s="28" t="s">
        <v>24306</v>
      </c>
      <c r="E2562" t="s">
        <v>23330</v>
      </c>
      <c r="F2562" t="s">
        <v>8623</v>
      </c>
      <c r="G2562" t="s">
        <v>24307</v>
      </c>
    </row>
    <row r="2563" spans="1:7">
      <c r="A2563" t="s">
        <v>24308</v>
      </c>
      <c r="B2563" t="s">
        <v>8607</v>
      </c>
      <c r="D2563" s="28" t="s">
        <v>24309</v>
      </c>
      <c r="E2563" t="s">
        <v>23330</v>
      </c>
      <c r="F2563" t="s">
        <v>17246</v>
      </c>
      <c r="G2563" t="s">
        <v>24310</v>
      </c>
    </row>
    <row r="2564" spans="1:7">
      <c r="A2564" t="s">
        <v>24311</v>
      </c>
      <c r="B2564" t="s">
        <v>8607</v>
      </c>
      <c r="C2564" t="s">
        <v>24312</v>
      </c>
      <c r="D2564" s="28" t="s">
        <v>24313</v>
      </c>
      <c r="E2564" t="s">
        <v>23330</v>
      </c>
      <c r="F2564" t="s">
        <v>8623</v>
      </c>
      <c r="G2564" t="s">
        <v>24314</v>
      </c>
    </row>
    <row r="2565" spans="1:7">
      <c r="A2565" t="s">
        <v>24315</v>
      </c>
      <c r="B2565" t="s">
        <v>8607</v>
      </c>
      <c r="D2565" s="28" t="s">
        <v>24316</v>
      </c>
      <c r="E2565" t="s">
        <v>23330</v>
      </c>
      <c r="F2565" t="s">
        <v>8623</v>
      </c>
      <c r="G2565" t="s">
        <v>24317</v>
      </c>
    </row>
    <row r="2566" spans="1:7">
      <c r="A2566" t="s">
        <v>24318</v>
      </c>
      <c r="B2566" t="s">
        <v>8626</v>
      </c>
      <c r="D2566" s="28" t="s">
        <v>24319</v>
      </c>
      <c r="E2566" t="s">
        <v>23330</v>
      </c>
      <c r="F2566" t="s">
        <v>8623</v>
      </c>
      <c r="G2566" t="s">
        <v>24320</v>
      </c>
    </row>
    <row r="2567" spans="1:7">
      <c r="A2567" t="s">
        <v>24321</v>
      </c>
      <c r="B2567" t="s">
        <v>8626</v>
      </c>
      <c r="D2567" s="28" t="s">
        <v>24322</v>
      </c>
      <c r="E2567" t="s">
        <v>23330</v>
      </c>
      <c r="F2567" t="s">
        <v>8623</v>
      </c>
      <c r="G2567" t="s">
        <v>24323</v>
      </c>
    </row>
    <row r="2568" spans="1:7">
      <c r="A2568" t="s">
        <v>24324</v>
      </c>
      <c r="B2568" t="s">
        <v>8626</v>
      </c>
      <c r="D2568" s="28" t="s">
        <v>24322</v>
      </c>
      <c r="E2568" t="s">
        <v>23330</v>
      </c>
      <c r="F2568" t="s">
        <v>8623</v>
      </c>
      <c r="G2568" t="s">
        <v>24325</v>
      </c>
    </row>
    <row r="2569" spans="1:7">
      <c r="A2569" t="s">
        <v>24326</v>
      </c>
      <c r="B2569" t="s">
        <v>8626</v>
      </c>
      <c r="D2569" s="28" t="s">
        <v>24322</v>
      </c>
      <c r="E2569" t="s">
        <v>23330</v>
      </c>
      <c r="F2569" t="s">
        <v>8623</v>
      </c>
      <c r="G2569" t="s">
        <v>24327</v>
      </c>
    </row>
    <row r="2570" spans="1:7">
      <c r="A2570" t="s">
        <v>24328</v>
      </c>
      <c r="B2570" t="s">
        <v>8626</v>
      </c>
      <c r="D2570" s="28" t="s">
        <v>24329</v>
      </c>
      <c r="E2570" t="s">
        <v>23330</v>
      </c>
      <c r="F2570" t="s">
        <v>8623</v>
      </c>
      <c r="G2570" t="s">
        <v>24330</v>
      </c>
    </row>
    <row r="2571" spans="1:7">
      <c r="A2571" t="s">
        <v>24331</v>
      </c>
      <c r="B2571" t="s">
        <v>8607</v>
      </c>
      <c r="D2571" s="28" t="s">
        <v>24332</v>
      </c>
      <c r="E2571" t="s">
        <v>23330</v>
      </c>
      <c r="F2571" t="s">
        <v>8623</v>
      </c>
      <c r="G2571" t="s">
        <v>24333</v>
      </c>
    </row>
    <row r="2572" spans="1:7">
      <c r="A2572" t="s">
        <v>24334</v>
      </c>
      <c r="B2572" t="s">
        <v>8607</v>
      </c>
      <c r="D2572" s="28" t="s">
        <v>24335</v>
      </c>
      <c r="E2572" t="s">
        <v>23330</v>
      </c>
      <c r="F2572" t="s">
        <v>24336</v>
      </c>
      <c r="G2572" t="s">
        <v>24337</v>
      </c>
    </row>
    <row r="2573" spans="1:7">
      <c r="A2573" t="s">
        <v>24338</v>
      </c>
      <c r="B2573" t="s">
        <v>8607</v>
      </c>
      <c r="D2573" s="28" t="s">
        <v>24335</v>
      </c>
      <c r="E2573" t="s">
        <v>23330</v>
      </c>
      <c r="G2573" t="s">
        <v>24339</v>
      </c>
    </row>
    <row r="2574" spans="1:7">
      <c r="A2574" t="s">
        <v>24340</v>
      </c>
      <c r="B2574" t="s">
        <v>8607</v>
      </c>
      <c r="C2574" t="s">
        <v>24303</v>
      </c>
      <c r="D2574" s="28" t="s">
        <v>24335</v>
      </c>
      <c r="E2574" t="s">
        <v>23330</v>
      </c>
      <c r="F2574" t="s">
        <v>8623</v>
      </c>
      <c r="G2574" t="s">
        <v>24341</v>
      </c>
    </row>
    <row r="2575" spans="1:7">
      <c r="A2575" t="s">
        <v>24342</v>
      </c>
      <c r="B2575" t="s">
        <v>8626</v>
      </c>
      <c r="C2575" t="s">
        <v>17777</v>
      </c>
      <c r="D2575" s="28" t="s">
        <v>24343</v>
      </c>
      <c r="E2575" t="s">
        <v>23330</v>
      </c>
      <c r="F2575" t="s">
        <v>17779</v>
      </c>
      <c r="G2575" t="s">
        <v>24344</v>
      </c>
    </row>
    <row r="2576" spans="1:7">
      <c r="A2576" t="s">
        <v>24345</v>
      </c>
      <c r="B2576" t="s">
        <v>8607</v>
      </c>
      <c r="C2576" t="s">
        <v>17864</v>
      </c>
      <c r="D2576" s="28" t="s">
        <v>24346</v>
      </c>
      <c r="E2576" t="s">
        <v>23330</v>
      </c>
      <c r="F2576" t="s">
        <v>17779</v>
      </c>
      <c r="G2576" t="s">
        <v>24347</v>
      </c>
    </row>
    <row r="2577" spans="1:7">
      <c r="A2577" t="s">
        <v>24348</v>
      </c>
      <c r="B2577" t="s">
        <v>8626</v>
      </c>
      <c r="C2577" t="s">
        <v>17864</v>
      </c>
      <c r="D2577" s="28" t="s">
        <v>24349</v>
      </c>
      <c r="E2577" t="s">
        <v>23330</v>
      </c>
      <c r="F2577" t="s">
        <v>17779</v>
      </c>
      <c r="G2577" t="s">
        <v>24350</v>
      </c>
    </row>
    <row r="2578" spans="1:7">
      <c r="A2578" t="s">
        <v>24351</v>
      </c>
      <c r="B2578" t="s">
        <v>8626</v>
      </c>
      <c r="D2578" s="28" t="s">
        <v>24352</v>
      </c>
      <c r="E2578" t="s">
        <v>23330</v>
      </c>
      <c r="F2578" t="s">
        <v>17779</v>
      </c>
      <c r="G2578" t="s">
        <v>24353</v>
      </c>
    </row>
    <row r="2579" spans="1:7">
      <c r="A2579" t="s">
        <v>24354</v>
      </c>
      <c r="B2579" t="s">
        <v>8607</v>
      </c>
      <c r="D2579" s="28" t="s">
        <v>24355</v>
      </c>
      <c r="E2579" t="s">
        <v>23330</v>
      </c>
      <c r="F2579" t="s">
        <v>17779</v>
      </c>
      <c r="G2579" t="s">
        <v>24356</v>
      </c>
    </row>
    <row r="2580" spans="1:7">
      <c r="A2580" t="s">
        <v>24357</v>
      </c>
      <c r="B2580" t="s">
        <v>8607</v>
      </c>
      <c r="C2580" t="s">
        <v>24358</v>
      </c>
      <c r="D2580" s="28" t="s">
        <v>24355</v>
      </c>
      <c r="E2580" t="s">
        <v>23330</v>
      </c>
      <c r="F2580" t="s">
        <v>17779</v>
      </c>
      <c r="G2580" t="s">
        <v>24359</v>
      </c>
    </row>
    <row r="2581" spans="1:7">
      <c r="A2581" t="s">
        <v>24360</v>
      </c>
      <c r="B2581" t="s">
        <v>8607</v>
      </c>
      <c r="C2581" t="s">
        <v>17864</v>
      </c>
      <c r="D2581" s="28" t="s">
        <v>24361</v>
      </c>
      <c r="E2581" t="s">
        <v>23330</v>
      </c>
      <c r="F2581" t="s">
        <v>17779</v>
      </c>
      <c r="G2581" t="s">
        <v>24347</v>
      </c>
    </row>
    <row r="2582" spans="1:7">
      <c r="A2582" t="s">
        <v>24362</v>
      </c>
      <c r="B2582" t="s">
        <v>8626</v>
      </c>
      <c r="D2582" s="28" t="s">
        <v>24363</v>
      </c>
      <c r="E2582" t="s">
        <v>23330</v>
      </c>
      <c r="F2582" t="s">
        <v>17779</v>
      </c>
      <c r="G2582" t="s">
        <v>24364</v>
      </c>
    </row>
    <row r="2583" spans="1:7">
      <c r="A2583" t="s">
        <v>24365</v>
      </c>
      <c r="B2583" t="s">
        <v>8626</v>
      </c>
      <c r="C2583" t="s">
        <v>24366</v>
      </c>
      <c r="D2583" s="28" t="s">
        <v>24367</v>
      </c>
      <c r="E2583" t="s">
        <v>23330</v>
      </c>
      <c r="F2583" t="s">
        <v>17779</v>
      </c>
      <c r="G2583" t="s">
        <v>24368</v>
      </c>
    </row>
    <row r="2584" spans="1:7">
      <c r="A2584" t="s">
        <v>24369</v>
      </c>
      <c r="B2584" t="s">
        <v>8607</v>
      </c>
      <c r="C2584" t="s">
        <v>17864</v>
      </c>
      <c r="D2584" s="28" t="s">
        <v>24370</v>
      </c>
      <c r="E2584" t="s">
        <v>23330</v>
      </c>
      <c r="F2584" t="s">
        <v>17779</v>
      </c>
      <c r="G2584" t="s">
        <v>24347</v>
      </c>
    </row>
    <row r="2585" spans="1:7">
      <c r="A2585" t="s">
        <v>24371</v>
      </c>
      <c r="B2585" t="s">
        <v>8607</v>
      </c>
      <c r="C2585" t="s">
        <v>17864</v>
      </c>
      <c r="D2585" s="28" t="s">
        <v>24370</v>
      </c>
      <c r="E2585" t="s">
        <v>23330</v>
      </c>
      <c r="F2585" t="s">
        <v>17779</v>
      </c>
      <c r="G2585" t="s">
        <v>24347</v>
      </c>
    </row>
    <row r="2586" spans="1:7">
      <c r="A2586" t="s">
        <v>24372</v>
      </c>
      <c r="B2586" t="s">
        <v>8607</v>
      </c>
      <c r="C2586" t="s">
        <v>17864</v>
      </c>
      <c r="D2586" s="28" t="s">
        <v>24370</v>
      </c>
      <c r="E2586" t="s">
        <v>23330</v>
      </c>
      <c r="F2586" t="s">
        <v>17779</v>
      </c>
      <c r="G2586" t="s">
        <v>24347</v>
      </c>
    </row>
    <row r="2587" spans="1:7">
      <c r="A2587" t="s">
        <v>24373</v>
      </c>
      <c r="B2587" t="s">
        <v>8607</v>
      </c>
      <c r="C2587" t="s">
        <v>17864</v>
      </c>
      <c r="D2587" s="28" t="s">
        <v>24370</v>
      </c>
      <c r="E2587" t="s">
        <v>23330</v>
      </c>
      <c r="F2587" t="s">
        <v>17779</v>
      </c>
      <c r="G2587" t="s">
        <v>24347</v>
      </c>
    </row>
    <row r="2588" spans="1:7">
      <c r="A2588" t="s">
        <v>24374</v>
      </c>
      <c r="B2588" t="s">
        <v>8607</v>
      </c>
      <c r="C2588" t="s">
        <v>17864</v>
      </c>
      <c r="D2588" s="28" t="s">
        <v>24370</v>
      </c>
      <c r="E2588" t="s">
        <v>23330</v>
      </c>
      <c r="F2588" t="s">
        <v>17779</v>
      </c>
      <c r="G2588" t="s">
        <v>24347</v>
      </c>
    </row>
    <row r="2589" spans="1:7">
      <c r="A2589" t="s">
        <v>24375</v>
      </c>
      <c r="B2589" t="s">
        <v>8607</v>
      </c>
      <c r="C2589" t="s">
        <v>17864</v>
      </c>
      <c r="D2589" s="28" t="s">
        <v>24370</v>
      </c>
      <c r="E2589" t="s">
        <v>23330</v>
      </c>
      <c r="F2589" t="s">
        <v>17779</v>
      </c>
      <c r="G2589" t="s">
        <v>24347</v>
      </c>
    </row>
    <row r="2590" spans="1:7">
      <c r="A2590" t="s">
        <v>24376</v>
      </c>
      <c r="B2590" t="s">
        <v>8607</v>
      </c>
      <c r="C2590" t="s">
        <v>17864</v>
      </c>
      <c r="D2590" s="28" t="s">
        <v>24370</v>
      </c>
      <c r="E2590" t="s">
        <v>23330</v>
      </c>
      <c r="F2590" t="s">
        <v>17779</v>
      </c>
      <c r="G2590" t="s">
        <v>24347</v>
      </c>
    </row>
    <row r="2591" spans="1:7">
      <c r="A2591" t="s">
        <v>24377</v>
      </c>
      <c r="B2591" t="s">
        <v>8607</v>
      </c>
      <c r="C2591" t="s">
        <v>17864</v>
      </c>
      <c r="D2591" s="28" t="s">
        <v>24370</v>
      </c>
      <c r="E2591" t="s">
        <v>23330</v>
      </c>
      <c r="F2591" t="s">
        <v>17779</v>
      </c>
      <c r="G2591" t="s">
        <v>24347</v>
      </c>
    </row>
    <row r="2592" spans="1:7">
      <c r="A2592" t="s">
        <v>24378</v>
      </c>
      <c r="B2592" t="s">
        <v>8607</v>
      </c>
      <c r="C2592" t="s">
        <v>17864</v>
      </c>
      <c r="D2592" s="28" t="s">
        <v>24370</v>
      </c>
      <c r="E2592" t="s">
        <v>23330</v>
      </c>
      <c r="F2592" t="s">
        <v>17779</v>
      </c>
      <c r="G2592" t="s">
        <v>24347</v>
      </c>
    </row>
    <row r="2593" spans="1:7">
      <c r="A2593" t="s">
        <v>24379</v>
      </c>
      <c r="B2593" t="s">
        <v>8607</v>
      </c>
      <c r="D2593" s="28" t="s">
        <v>24380</v>
      </c>
      <c r="E2593" t="s">
        <v>23330</v>
      </c>
      <c r="F2593" t="s">
        <v>17779</v>
      </c>
      <c r="G2593" t="s">
        <v>24381</v>
      </c>
    </row>
    <row r="2594" spans="1:7">
      <c r="A2594" t="s">
        <v>24382</v>
      </c>
      <c r="B2594" t="s">
        <v>8607</v>
      </c>
      <c r="D2594" s="28" t="s">
        <v>24380</v>
      </c>
      <c r="E2594" t="s">
        <v>23330</v>
      </c>
      <c r="F2594" t="s">
        <v>17779</v>
      </c>
      <c r="G2594" t="s">
        <v>24381</v>
      </c>
    </row>
    <row r="2595" spans="1:7">
      <c r="A2595" t="s">
        <v>24383</v>
      </c>
      <c r="B2595" t="s">
        <v>8607</v>
      </c>
      <c r="D2595" s="28" t="s">
        <v>24380</v>
      </c>
      <c r="E2595" t="s">
        <v>23330</v>
      </c>
      <c r="F2595" t="s">
        <v>17779</v>
      </c>
      <c r="G2595" t="s">
        <v>24381</v>
      </c>
    </row>
    <row r="2596" spans="1:7">
      <c r="A2596" t="s">
        <v>24384</v>
      </c>
      <c r="B2596" t="s">
        <v>8607</v>
      </c>
      <c r="D2596" s="28" t="s">
        <v>24380</v>
      </c>
      <c r="E2596" t="s">
        <v>23330</v>
      </c>
      <c r="F2596" t="s">
        <v>17779</v>
      </c>
      <c r="G2596" t="s">
        <v>24381</v>
      </c>
    </row>
    <row r="2597" spans="1:7">
      <c r="A2597" t="s">
        <v>24385</v>
      </c>
      <c r="B2597" t="s">
        <v>8607</v>
      </c>
      <c r="D2597" s="28" t="s">
        <v>24380</v>
      </c>
      <c r="E2597" t="s">
        <v>23330</v>
      </c>
      <c r="F2597" t="s">
        <v>17779</v>
      </c>
      <c r="G2597" t="s">
        <v>24386</v>
      </c>
    </row>
    <row r="2598" spans="1:7">
      <c r="A2598" t="s">
        <v>24387</v>
      </c>
      <c r="B2598" t="s">
        <v>8626</v>
      </c>
      <c r="C2598" t="s">
        <v>24388</v>
      </c>
      <c r="D2598" s="28" t="s">
        <v>24389</v>
      </c>
      <c r="E2598" t="s">
        <v>23330</v>
      </c>
      <c r="F2598" t="s">
        <v>17779</v>
      </c>
      <c r="G2598" t="s">
        <v>24390</v>
      </c>
    </row>
    <row r="2599" spans="1:7">
      <c r="A2599" t="s">
        <v>24391</v>
      </c>
      <c r="B2599" t="s">
        <v>8626</v>
      </c>
      <c r="D2599" s="28" t="s">
        <v>24392</v>
      </c>
      <c r="E2599" t="s">
        <v>23330</v>
      </c>
      <c r="G2599" t="s">
        <v>24393</v>
      </c>
    </row>
    <row r="2600" spans="1:7">
      <c r="A2600" t="s">
        <v>24394</v>
      </c>
      <c r="B2600" t="s">
        <v>8607</v>
      </c>
      <c r="C2600" t="s">
        <v>17864</v>
      </c>
      <c r="D2600" s="28" t="s">
        <v>24395</v>
      </c>
      <c r="E2600" t="s">
        <v>23330</v>
      </c>
      <c r="F2600" t="s">
        <v>17779</v>
      </c>
      <c r="G2600" t="s">
        <v>24347</v>
      </c>
    </row>
    <row r="2601" spans="1:7">
      <c r="A2601" t="s">
        <v>24396</v>
      </c>
      <c r="B2601" t="s">
        <v>8607</v>
      </c>
      <c r="C2601" t="s">
        <v>17864</v>
      </c>
      <c r="D2601" s="28" t="s">
        <v>24397</v>
      </c>
      <c r="E2601" t="s">
        <v>23330</v>
      </c>
      <c r="F2601" t="s">
        <v>17779</v>
      </c>
      <c r="G2601" t="s">
        <v>24347</v>
      </c>
    </row>
    <row r="2602" spans="1:7">
      <c r="A2602" t="s">
        <v>24398</v>
      </c>
      <c r="B2602" t="s">
        <v>8607</v>
      </c>
      <c r="C2602" t="s">
        <v>17864</v>
      </c>
      <c r="D2602" s="28" t="s">
        <v>24397</v>
      </c>
      <c r="E2602" t="s">
        <v>23330</v>
      </c>
      <c r="F2602" t="s">
        <v>17779</v>
      </c>
      <c r="G2602" t="s">
        <v>24347</v>
      </c>
    </row>
    <row r="2603" spans="1:7">
      <c r="A2603" t="s">
        <v>24399</v>
      </c>
      <c r="B2603" t="s">
        <v>8607</v>
      </c>
      <c r="C2603" t="s">
        <v>17864</v>
      </c>
      <c r="D2603" s="28" t="s">
        <v>24397</v>
      </c>
      <c r="E2603" t="s">
        <v>23330</v>
      </c>
      <c r="F2603" t="s">
        <v>17779</v>
      </c>
      <c r="G2603" t="s">
        <v>24347</v>
      </c>
    </row>
    <row r="2604" spans="1:7">
      <c r="A2604" t="s">
        <v>24400</v>
      </c>
      <c r="B2604" t="s">
        <v>8607</v>
      </c>
      <c r="C2604" t="s">
        <v>17864</v>
      </c>
      <c r="D2604" s="28" t="s">
        <v>24397</v>
      </c>
      <c r="E2604" t="s">
        <v>23330</v>
      </c>
      <c r="F2604" t="s">
        <v>17779</v>
      </c>
      <c r="G2604" t="s">
        <v>24347</v>
      </c>
    </row>
    <row r="2605" spans="1:7">
      <c r="A2605" t="s">
        <v>24401</v>
      </c>
      <c r="B2605" t="s">
        <v>8607</v>
      </c>
      <c r="C2605" t="s">
        <v>17864</v>
      </c>
      <c r="D2605" s="28" t="s">
        <v>24397</v>
      </c>
      <c r="E2605" t="s">
        <v>23330</v>
      </c>
      <c r="F2605" t="s">
        <v>17779</v>
      </c>
      <c r="G2605" t="s">
        <v>24347</v>
      </c>
    </row>
    <row r="2606" spans="1:7">
      <c r="A2606" t="s">
        <v>24402</v>
      </c>
      <c r="B2606" t="s">
        <v>8607</v>
      </c>
      <c r="C2606" t="s">
        <v>17864</v>
      </c>
      <c r="D2606" s="28" t="s">
        <v>24397</v>
      </c>
      <c r="E2606" t="s">
        <v>23330</v>
      </c>
      <c r="F2606" t="s">
        <v>17779</v>
      </c>
      <c r="G2606" t="s">
        <v>24347</v>
      </c>
    </row>
    <row r="2607" spans="1:7">
      <c r="A2607" t="s">
        <v>24403</v>
      </c>
      <c r="B2607" t="s">
        <v>8626</v>
      </c>
      <c r="D2607" s="28" t="s">
        <v>24404</v>
      </c>
      <c r="E2607" t="s">
        <v>23330</v>
      </c>
      <c r="F2607" t="s">
        <v>17779</v>
      </c>
      <c r="G2607" t="s">
        <v>24405</v>
      </c>
    </row>
    <row r="2608" spans="1:7">
      <c r="A2608" t="s">
        <v>24406</v>
      </c>
      <c r="B2608" t="s">
        <v>8607</v>
      </c>
      <c r="C2608" t="s">
        <v>17864</v>
      </c>
      <c r="D2608" s="28" t="s">
        <v>24407</v>
      </c>
      <c r="E2608" t="s">
        <v>23330</v>
      </c>
      <c r="F2608" t="s">
        <v>17779</v>
      </c>
      <c r="G2608" t="s">
        <v>24347</v>
      </c>
    </row>
    <row r="2609" spans="1:7">
      <c r="A2609" t="s">
        <v>24408</v>
      </c>
      <c r="B2609" t="s">
        <v>8607</v>
      </c>
      <c r="C2609" t="s">
        <v>17864</v>
      </c>
      <c r="D2609" s="28" t="s">
        <v>24407</v>
      </c>
      <c r="E2609" t="s">
        <v>23330</v>
      </c>
      <c r="F2609" t="s">
        <v>17779</v>
      </c>
      <c r="G2609" t="s">
        <v>24409</v>
      </c>
    </row>
    <row r="2610" spans="1:7">
      <c r="A2610" t="s">
        <v>24410</v>
      </c>
      <c r="B2610" t="s">
        <v>8607</v>
      </c>
      <c r="C2610" t="s">
        <v>17864</v>
      </c>
      <c r="D2610" s="28" t="s">
        <v>24407</v>
      </c>
      <c r="E2610" t="s">
        <v>23330</v>
      </c>
      <c r="F2610" t="s">
        <v>17779</v>
      </c>
      <c r="G2610" t="s">
        <v>24347</v>
      </c>
    </row>
    <row r="2611" spans="1:7">
      <c r="A2611" t="s">
        <v>24411</v>
      </c>
      <c r="B2611" t="s">
        <v>8626</v>
      </c>
      <c r="C2611" t="s">
        <v>24388</v>
      </c>
      <c r="D2611" s="28" t="s">
        <v>24412</v>
      </c>
      <c r="E2611" t="s">
        <v>23330</v>
      </c>
      <c r="F2611" t="s">
        <v>17779</v>
      </c>
      <c r="G2611" t="s">
        <v>24390</v>
      </c>
    </row>
    <row r="2612" spans="1:7">
      <c r="A2612" t="s">
        <v>24413</v>
      </c>
      <c r="B2612" t="s">
        <v>8626</v>
      </c>
      <c r="C2612" t="s">
        <v>24388</v>
      </c>
      <c r="D2612" s="28" t="s">
        <v>24412</v>
      </c>
      <c r="E2612" t="s">
        <v>23330</v>
      </c>
      <c r="F2612" t="s">
        <v>17779</v>
      </c>
      <c r="G2612" t="s">
        <v>24390</v>
      </c>
    </row>
    <row r="2613" spans="1:7">
      <c r="A2613" t="s">
        <v>24414</v>
      </c>
      <c r="B2613" t="s">
        <v>8607</v>
      </c>
      <c r="C2613" t="s">
        <v>24358</v>
      </c>
      <c r="D2613" s="28" t="s">
        <v>24412</v>
      </c>
      <c r="E2613" t="s">
        <v>23330</v>
      </c>
      <c r="F2613" t="s">
        <v>17779</v>
      </c>
      <c r="G2613" t="s">
        <v>24415</v>
      </c>
    </row>
    <row r="2614" spans="1:7">
      <c r="A2614" t="s">
        <v>24416</v>
      </c>
      <c r="B2614" t="s">
        <v>8607</v>
      </c>
      <c r="C2614" t="s">
        <v>24366</v>
      </c>
      <c r="D2614" s="28" t="s">
        <v>24412</v>
      </c>
      <c r="E2614" t="s">
        <v>23330</v>
      </c>
      <c r="F2614" t="s">
        <v>17779</v>
      </c>
      <c r="G2614" t="s">
        <v>24417</v>
      </c>
    </row>
    <row r="2615" spans="1:7">
      <c r="A2615" t="s">
        <v>24418</v>
      </c>
      <c r="B2615" t="s">
        <v>8626</v>
      </c>
      <c r="C2615" t="s">
        <v>24366</v>
      </c>
      <c r="D2615" s="28" t="s">
        <v>24419</v>
      </c>
      <c r="E2615" t="s">
        <v>23330</v>
      </c>
      <c r="F2615" t="s">
        <v>17779</v>
      </c>
      <c r="G2615" t="s">
        <v>24420</v>
      </c>
    </row>
    <row r="2616" spans="1:7">
      <c r="A2616" t="s">
        <v>24421</v>
      </c>
      <c r="B2616" t="s">
        <v>8626</v>
      </c>
      <c r="D2616" s="28" t="s">
        <v>24422</v>
      </c>
      <c r="E2616" t="s">
        <v>23330</v>
      </c>
      <c r="F2616" t="s">
        <v>24423</v>
      </c>
      <c r="G2616" t="s">
        <v>24424</v>
      </c>
    </row>
    <row r="2617" spans="1:7">
      <c r="A2617" t="s">
        <v>24425</v>
      </c>
      <c r="B2617" t="s">
        <v>8626</v>
      </c>
      <c r="C2617" t="s">
        <v>24426</v>
      </c>
      <c r="D2617" s="28" t="s">
        <v>24427</v>
      </c>
      <c r="E2617" t="s">
        <v>23330</v>
      </c>
      <c r="F2617" t="s">
        <v>24428</v>
      </c>
      <c r="G2617" t="s">
        <v>24429</v>
      </c>
    </row>
    <row r="2618" spans="1:7">
      <c r="A2618" t="s">
        <v>24430</v>
      </c>
      <c r="B2618" t="s">
        <v>8626</v>
      </c>
      <c r="D2618" s="28" t="s">
        <v>24431</v>
      </c>
      <c r="E2618" t="s">
        <v>23330</v>
      </c>
      <c r="F2618" t="s">
        <v>24432</v>
      </c>
      <c r="G2618" t="s">
        <v>24433</v>
      </c>
    </row>
    <row r="2619" spans="1:7">
      <c r="A2619" t="s">
        <v>24434</v>
      </c>
      <c r="B2619" t="s">
        <v>8607</v>
      </c>
      <c r="D2619" s="28" t="s">
        <v>24435</v>
      </c>
      <c r="E2619" t="s">
        <v>23330</v>
      </c>
      <c r="F2619" t="s">
        <v>19419</v>
      </c>
      <c r="G2619" t="s">
        <v>24436</v>
      </c>
    </row>
    <row r="2620" spans="1:7">
      <c r="A2620" t="s">
        <v>24437</v>
      </c>
      <c r="B2620" t="s">
        <v>8626</v>
      </c>
      <c r="D2620" s="28" t="s">
        <v>24438</v>
      </c>
      <c r="E2620" t="s">
        <v>23330</v>
      </c>
      <c r="F2620" t="s">
        <v>19419</v>
      </c>
      <c r="G2620" t="s">
        <v>24439</v>
      </c>
    </row>
    <row r="2621" spans="1:7">
      <c r="A2621" t="s">
        <v>24440</v>
      </c>
      <c r="B2621" t="s">
        <v>8626</v>
      </c>
      <c r="D2621" s="28" t="s">
        <v>24441</v>
      </c>
      <c r="E2621" t="s">
        <v>23330</v>
      </c>
      <c r="F2621" t="s">
        <v>19419</v>
      </c>
      <c r="G2621" t="s">
        <v>24442</v>
      </c>
    </row>
    <row r="2622" spans="1:7">
      <c r="A2622" t="s">
        <v>24443</v>
      </c>
      <c r="B2622" t="s">
        <v>8626</v>
      </c>
      <c r="C2622" t="s">
        <v>24444</v>
      </c>
      <c r="D2622" s="28" t="s">
        <v>24445</v>
      </c>
      <c r="E2622" t="s">
        <v>23330</v>
      </c>
      <c r="F2622" t="s">
        <v>19419</v>
      </c>
      <c r="G2622" t="s">
        <v>24446</v>
      </c>
    </row>
    <row r="2623" spans="1:7">
      <c r="A2623" t="s">
        <v>24447</v>
      </c>
      <c r="B2623" t="s">
        <v>8607</v>
      </c>
      <c r="D2623" s="28" t="s">
        <v>24448</v>
      </c>
      <c r="E2623" t="s">
        <v>23330</v>
      </c>
      <c r="F2623" t="s">
        <v>8623</v>
      </c>
      <c r="G2623" t="s">
        <v>19104</v>
      </c>
    </row>
    <row r="2624" spans="1:7">
      <c r="A2624" t="s">
        <v>24449</v>
      </c>
      <c r="B2624" t="s">
        <v>8626</v>
      </c>
      <c r="D2624" s="28" t="s">
        <v>24450</v>
      </c>
      <c r="E2624" t="s">
        <v>23330</v>
      </c>
      <c r="F2624" t="s">
        <v>24432</v>
      </c>
      <c r="G2624" t="s">
        <v>24451</v>
      </c>
    </row>
    <row r="2625" spans="1:7">
      <c r="A2625" t="s">
        <v>24452</v>
      </c>
      <c r="B2625" t="s">
        <v>8607</v>
      </c>
      <c r="D2625" s="28" t="s">
        <v>24453</v>
      </c>
      <c r="E2625" t="s">
        <v>23330</v>
      </c>
      <c r="F2625" t="s">
        <v>17843</v>
      </c>
      <c r="G2625" t="s">
        <v>24454</v>
      </c>
    </row>
    <row r="2626" spans="1:7">
      <c r="A2626" t="s">
        <v>24455</v>
      </c>
      <c r="B2626" t="s">
        <v>8626</v>
      </c>
      <c r="C2626" t="s">
        <v>24456</v>
      </c>
      <c r="D2626" s="28" t="s">
        <v>24453</v>
      </c>
      <c r="E2626" t="s">
        <v>23330</v>
      </c>
      <c r="F2626" t="s">
        <v>19419</v>
      </c>
      <c r="G2626" t="s">
        <v>24457</v>
      </c>
    </row>
    <row r="2627" spans="1:7">
      <c r="A2627" t="s">
        <v>24458</v>
      </c>
      <c r="B2627" t="s">
        <v>8626</v>
      </c>
      <c r="C2627" t="s">
        <v>17841</v>
      </c>
      <c r="D2627" s="28" t="s">
        <v>24453</v>
      </c>
      <c r="E2627" t="s">
        <v>23330</v>
      </c>
      <c r="F2627" t="s">
        <v>17843</v>
      </c>
      <c r="G2627" t="s">
        <v>24459</v>
      </c>
    </row>
    <row r="2628" spans="1:7">
      <c r="A2628" t="s">
        <v>24460</v>
      </c>
      <c r="B2628" t="s">
        <v>8626</v>
      </c>
      <c r="D2628" s="28" t="s">
        <v>24453</v>
      </c>
      <c r="E2628" t="s">
        <v>23330</v>
      </c>
      <c r="F2628" t="s">
        <v>17843</v>
      </c>
      <c r="G2628" t="s">
        <v>24461</v>
      </c>
    </row>
    <row r="2629" spans="1:7">
      <c r="A2629" t="s">
        <v>24462</v>
      </c>
      <c r="B2629" t="s">
        <v>8607</v>
      </c>
      <c r="D2629" s="28" t="s">
        <v>24453</v>
      </c>
      <c r="E2629" t="s">
        <v>23330</v>
      </c>
      <c r="F2629" t="s">
        <v>19419</v>
      </c>
      <c r="G2629" t="s">
        <v>24454</v>
      </c>
    </row>
    <row r="2630" spans="1:7">
      <c r="A2630" t="s">
        <v>24463</v>
      </c>
      <c r="B2630" t="s">
        <v>8626</v>
      </c>
      <c r="D2630" s="28" t="s">
        <v>24453</v>
      </c>
      <c r="E2630" t="s">
        <v>23330</v>
      </c>
      <c r="F2630" t="s">
        <v>19419</v>
      </c>
      <c r="G2630" t="s">
        <v>24461</v>
      </c>
    </row>
    <row r="2631" spans="1:7">
      <c r="A2631" t="s">
        <v>24464</v>
      </c>
      <c r="B2631" t="s">
        <v>8607</v>
      </c>
      <c r="D2631" s="28" t="s">
        <v>24453</v>
      </c>
      <c r="E2631" t="s">
        <v>23330</v>
      </c>
      <c r="F2631" t="s">
        <v>17843</v>
      </c>
      <c r="G2631" t="s">
        <v>24454</v>
      </c>
    </row>
    <row r="2632" spans="1:7">
      <c r="A2632" t="s">
        <v>24465</v>
      </c>
      <c r="B2632" t="s">
        <v>8607</v>
      </c>
      <c r="C2632" t="s">
        <v>17841</v>
      </c>
      <c r="D2632" s="28" t="s">
        <v>24453</v>
      </c>
      <c r="E2632" t="s">
        <v>23330</v>
      </c>
      <c r="F2632" t="s">
        <v>19419</v>
      </c>
      <c r="G2632" t="s">
        <v>24454</v>
      </c>
    </row>
    <row r="2633" spans="1:7">
      <c r="A2633" t="s">
        <v>24466</v>
      </c>
      <c r="B2633" t="s">
        <v>8607</v>
      </c>
      <c r="D2633" s="28" t="s">
        <v>24453</v>
      </c>
      <c r="E2633" t="s">
        <v>23330</v>
      </c>
      <c r="F2633" t="s">
        <v>19419</v>
      </c>
      <c r="G2633" t="s">
        <v>24454</v>
      </c>
    </row>
    <row r="2634" spans="1:7">
      <c r="A2634" t="s">
        <v>24467</v>
      </c>
      <c r="B2634" t="s">
        <v>8607</v>
      </c>
      <c r="C2634" t="s">
        <v>17841</v>
      </c>
      <c r="D2634" s="28" t="s">
        <v>24453</v>
      </c>
      <c r="E2634" t="s">
        <v>23330</v>
      </c>
      <c r="F2634" t="s">
        <v>19419</v>
      </c>
      <c r="G2634" t="s">
        <v>24454</v>
      </c>
    </row>
    <row r="2635" spans="1:7">
      <c r="A2635" t="s">
        <v>24468</v>
      </c>
      <c r="B2635" t="s">
        <v>8607</v>
      </c>
      <c r="D2635" s="28" t="s">
        <v>24453</v>
      </c>
      <c r="E2635" t="s">
        <v>23330</v>
      </c>
      <c r="F2635" t="s">
        <v>17843</v>
      </c>
      <c r="G2635" t="s">
        <v>24454</v>
      </c>
    </row>
    <row r="2636" spans="1:7">
      <c r="A2636" t="s">
        <v>24469</v>
      </c>
      <c r="B2636" t="s">
        <v>8626</v>
      </c>
      <c r="D2636" s="28" t="s">
        <v>24470</v>
      </c>
      <c r="E2636" t="s">
        <v>23330</v>
      </c>
      <c r="F2636" t="s">
        <v>19419</v>
      </c>
      <c r="G2636" t="s">
        <v>24471</v>
      </c>
    </row>
    <row r="2637" spans="1:7">
      <c r="A2637" t="s">
        <v>24472</v>
      </c>
      <c r="B2637" t="s">
        <v>8626</v>
      </c>
      <c r="C2637" t="s">
        <v>24473</v>
      </c>
      <c r="D2637" s="28" t="s">
        <v>24474</v>
      </c>
      <c r="E2637" t="s">
        <v>23330</v>
      </c>
      <c r="F2637" t="s">
        <v>8623</v>
      </c>
      <c r="G2637" t="s">
        <v>24475</v>
      </c>
    </row>
    <row r="2638" spans="1:7">
      <c r="A2638" t="s">
        <v>24476</v>
      </c>
      <c r="B2638" t="s">
        <v>8626</v>
      </c>
      <c r="D2638" s="28" t="s">
        <v>24477</v>
      </c>
      <c r="E2638" t="s">
        <v>23330</v>
      </c>
      <c r="F2638" t="s">
        <v>19419</v>
      </c>
      <c r="G2638" t="s">
        <v>24478</v>
      </c>
    </row>
    <row r="2639" spans="1:7">
      <c r="A2639" t="s">
        <v>24479</v>
      </c>
      <c r="B2639" t="s">
        <v>8626</v>
      </c>
      <c r="D2639" s="28" t="s">
        <v>24477</v>
      </c>
      <c r="E2639" t="s">
        <v>23330</v>
      </c>
      <c r="F2639" t="s">
        <v>18923</v>
      </c>
      <c r="G2639" t="s">
        <v>24480</v>
      </c>
    </row>
    <row r="2640" spans="1:7">
      <c r="A2640" t="s">
        <v>24481</v>
      </c>
      <c r="B2640" t="s">
        <v>8626</v>
      </c>
      <c r="D2640" s="28" t="s">
        <v>24477</v>
      </c>
      <c r="E2640" t="s">
        <v>23330</v>
      </c>
      <c r="F2640" t="s">
        <v>18923</v>
      </c>
      <c r="G2640" t="s">
        <v>24482</v>
      </c>
    </row>
    <row r="2641" spans="1:7">
      <c r="A2641" t="s">
        <v>24483</v>
      </c>
      <c r="B2641" t="s">
        <v>8607</v>
      </c>
      <c r="D2641" s="28" t="s">
        <v>24484</v>
      </c>
      <c r="E2641" t="s">
        <v>23330</v>
      </c>
      <c r="F2641" t="s">
        <v>24432</v>
      </c>
      <c r="G2641" t="s">
        <v>24485</v>
      </c>
    </row>
    <row r="2642" spans="1:7">
      <c r="A2642" t="s">
        <v>24486</v>
      </c>
      <c r="B2642" t="s">
        <v>8607</v>
      </c>
      <c r="D2642" s="28" t="s">
        <v>24484</v>
      </c>
      <c r="E2642" t="s">
        <v>23330</v>
      </c>
      <c r="F2642" t="s">
        <v>24432</v>
      </c>
      <c r="G2642" t="s">
        <v>24487</v>
      </c>
    </row>
    <row r="2643" spans="1:7">
      <c r="A2643" t="s">
        <v>24488</v>
      </c>
      <c r="B2643" t="s">
        <v>8607</v>
      </c>
      <c r="C2643" t="s">
        <v>17376</v>
      </c>
      <c r="D2643" s="28" t="s">
        <v>24489</v>
      </c>
      <c r="E2643" t="s">
        <v>23330</v>
      </c>
      <c r="F2643" t="s">
        <v>17721</v>
      </c>
      <c r="G2643" t="s">
        <v>24490</v>
      </c>
    </row>
    <row r="2644" spans="1:7">
      <c r="A2644" t="s">
        <v>24491</v>
      </c>
      <c r="B2644" t="s">
        <v>8607</v>
      </c>
      <c r="C2644" t="s">
        <v>17376</v>
      </c>
      <c r="D2644" s="28" t="s">
        <v>24492</v>
      </c>
      <c r="E2644" t="s">
        <v>23330</v>
      </c>
      <c r="F2644" t="s">
        <v>21567</v>
      </c>
      <c r="G2644" t="s">
        <v>24493</v>
      </c>
    </row>
    <row r="2645" spans="1:7">
      <c r="A2645" t="s">
        <v>24494</v>
      </c>
      <c r="B2645" t="s">
        <v>8626</v>
      </c>
      <c r="D2645" s="28" t="s">
        <v>24495</v>
      </c>
      <c r="E2645" t="s">
        <v>23330</v>
      </c>
      <c r="F2645" t="s">
        <v>21567</v>
      </c>
      <c r="G2645" t="s">
        <v>23716</v>
      </c>
    </row>
    <row r="2646" spans="1:7">
      <c r="A2646" t="s">
        <v>24496</v>
      </c>
      <c r="B2646" t="s">
        <v>8607</v>
      </c>
      <c r="D2646" s="28" t="s">
        <v>24495</v>
      </c>
      <c r="E2646" t="s">
        <v>23330</v>
      </c>
      <c r="F2646" t="s">
        <v>21567</v>
      </c>
      <c r="G2646" t="s">
        <v>23720</v>
      </c>
    </row>
    <row r="2647" spans="1:7">
      <c r="A2647" t="s">
        <v>24497</v>
      </c>
      <c r="B2647" t="s">
        <v>8607</v>
      </c>
      <c r="D2647" s="28" t="s">
        <v>24495</v>
      </c>
      <c r="E2647" t="s">
        <v>23330</v>
      </c>
      <c r="F2647" t="s">
        <v>21567</v>
      </c>
      <c r="G2647" t="s">
        <v>23720</v>
      </c>
    </row>
    <row r="2648" spans="1:7">
      <c r="A2648" t="s">
        <v>24498</v>
      </c>
      <c r="B2648" t="s">
        <v>8607</v>
      </c>
      <c r="C2648" t="s">
        <v>17376</v>
      </c>
      <c r="D2648" s="28" t="s">
        <v>24499</v>
      </c>
      <c r="E2648" t="s">
        <v>23330</v>
      </c>
      <c r="F2648" t="s">
        <v>17721</v>
      </c>
      <c r="G2648" t="s">
        <v>24490</v>
      </c>
    </row>
    <row r="2649" spans="1:7">
      <c r="A2649" t="s">
        <v>24500</v>
      </c>
      <c r="B2649" t="s">
        <v>8626</v>
      </c>
      <c r="D2649" s="28" t="s">
        <v>24499</v>
      </c>
      <c r="E2649" t="s">
        <v>23330</v>
      </c>
      <c r="F2649" t="s">
        <v>17369</v>
      </c>
      <c r="G2649" t="s">
        <v>24501</v>
      </c>
    </row>
    <row r="2650" spans="1:7">
      <c r="A2650" t="s">
        <v>24502</v>
      </c>
      <c r="B2650" t="s">
        <v>8607</v>
      </c>
      <c r="C2650" t="s">
        <v>17376</v>
      </c>
      <c r="D2650" s="28" t="s">
        <v>24499</v>
      </c>
      <c r="E2650" t="s">
        <v>23330</v>
      </c>
      <c r="F2650" t="s">
        <v>17721</v>
      </c>
      <c r="G2650" t="s">
        <v>23701</v>
      </c>
    </row>
    <row r="2651" spans="1:7">
      <c r="A2651" t="s">
        <v>24503</v>
      </c>
      <c r="B2651" t="s">
        <v>8607</v>
      </c>
      <c r="C2651" t="s">
        <v>17376</v>
      </c>
      <c r="D2651" s="28" t="s">
        <v>24499</v>
      </c>
      <c r="E2651" t="s">
        <v>23330</v>
      </c>
      <c r="F2651" t="s">
        <v>17721</v>
      </c>
      <c r="G2651" t="s">
        <v>23701</v>
      </c>
    </row>
    <row r="2652" spans="1:7">
      <c r="A2652" t="s">
        <v>24504</v>
      </c>
      <c r="B2652" t="s">
        <v>8607</v>
      </c>
      <c r="C2652" t="s">
        <v>17376</v>
      </c>
      <c r="D2652" s="28" t="s">
        <v>24499</v>
      </c>
      <c r="E2652" t="s">
        <v>23330</v>
      </c>
      <c r="F2652" t="s">
        <v>17721</v>
      </c>
      <c r="G2652" t="s">
        <v>23701</v>
      </c>
    </row>
    <row r="2653" spans="1:7">
      <c r="A2653" t="s">
        <v>24505</v>
      </c>
      <c r="B2653" t="s">
        <v>8607</v>
      </c>
      <c r="D2653" s="28" t="s">
        <v>24506</v>
      </c>
      <c r="E2653" t="s">
        <v>23330</v>
      </c>
      <c r="F2653" t="s">
        <v>21567</v>
      </c>
      <c r="G2653" t="s">
        <v>24507</v>
      </c>
    </row>
    <row r="2654" spans="1:7">
      <c r="A2654" t="s">
        <v>24508</v>
      </c>
      <c r="B2654" t="s">
        <v>8607</v>
      </c>
      <c r="D2654" s="28" t="s">
        <v>24509</v>
      </c>
      <c r="E2654" t="s">
        <v>23330</v>
      </c>
      <c r="F2654" t="s">
        <v>24510</v>
      </c>
      <c r="G2654" t="s">
        <v>24511</v>
      </c>
    </row>
    <row r="2655" spans="1:7">
      <c r="A2655" t="s">
        <v>24512</v>
      </c>
      <c r="B2655" t="s">
        <v>8607</v>
      </c>
      <c r="D2655" s="28" t="s">
        <v>24513</v>
      </c>
      <c r="E2655" t="s">
        <v>23330</v>
      </c>
      <c r="F2655" t="s">
        <v>17760</v>
      </c>
      <c r="G2655" t="s">
        <v>24514</v>
      </c>
    </row>
    <row r="2656" spans="1:7">
      <c r="A2656" t="s">
        <v>24515</v>
      </c>
      <c r="B2656" t="s">
        <v>8626</v>
      </c>
      <c r="C2656" t="s">
        <v>18479</v>
      </c>
      <c r="D2656" s="28" t="s">
        <v>24516</v>
      </c>
      <c r="E2656" t="s">
        <v>23330</v>
      </c>
      <c r="F2656" t="s">
        <v>17760</v>
      </c>
      <c r="G2656" t="s">
        <v>24517</v>
      </c>
    </row>
    <row r="2657" spans="1:7">
      <c r="A2657" t="s">
        <v>24518</v>
      </c>
      <c r="B2657" t="s">
        <v>8607</v>
      </c>
      <c r="C2657" t="s">
        <v>24519</v>
      </c>
      <c r="D2657" s="28" t="s">
        <v>24520</v>
      </c>
      <c r="E2657" t="s">
        <v>23330</v>
      </c>
      <c r="F2657" t="s">
        <v>24521</v>
      </c>
      <c r="G2657" t="s">
        <v>24522</v>
      </c>
    </row>
    <row r="2658" spans="1:7">
      <c r="A2658" t="s">
        <v>24523</v>
      </c>
      <c r="B2658" t="s">
        <v>8607</v>
      </c>
      <c r="C2658" t="s">
        <v>24524</v>
      </c>
      <c r="D2658" s="28" t="s">
        <v>24525</v>
      </c>
      <c r="E2658" t="s">
        <v>23330</v>
      </c>
      <c r="F2658" t="s">
        <v>17760</v>
      </c>
      <c r="G2658" t="s">
        <v>24526</v>
      </c>
    </row>
    <row r="2659" spans="1:7">
      <c r="A2659" t="s">
        <v>24527</v>
      </c>
      <c r="B2659" t="s">
        <v>8607</v>
      </c>
      <c r="C2659" t="s">
        <v>24524</v>
      </c>
      <c r="D2659" s="28" t="s">
        <v>24525</v>
      </c>
      <c r="E2659" t="s">
        <v>23330</v>
      </c>
      <c r="F2659" t="s">
        <v>17760</v>
      </c>
      <c r="G2659" t="s">
        <v>24526</v>
      </c>
    </row>
    <row r="2660" spans="1:7">
      <c r="A2660" t="s">
        <v>24528</v>
      </c>
      <c r="B2660" t="s">
        <v>8607</v>
      </c>
      <c r="D2660" s="28" t="s">
        <v>24525</v>
      </c>
      <c r="E2660" t="s">
        <v>23330</v>
      </c>
      <c r="F2660" t="s">
        <v>17760</v>
      </c>
      <c r="G2660" t="s">
        <v>24526</v>
      </c>
    </row>
    <row r="2661" spans="1:7">
      <c r="A2661" t="s">
        <v>24529</v>
      </c>
      <c r="B2661" t="s">
        <v>8607</v>
      </c>
      <c r="C2661" t="s">
        <v>24524</v>
      </c>
      <c r="D2661" s="28" t="s">
        <v>24525</v>
      </c>
      <c r="E2661" t="s">
        <v>23330</v>
      </c>
      <c r="F2661" t="s">
        <v>17760</v>
      </c>
      <c r="G2661" t="s">
        <v>24526</v>
      </c>
    </row>
    <row r="2662" spans="1:7">
      <c r="A2662" t="s">
        <v>24530</v>
      </c>
      <c r="B2662" t="s">
        <v>8607</v>
      </c>
      <c r="D2662" s="28" t="s">
        <v>24531</v>
      </c>
      <c r="E2662" t="s">
        <v>23330</v>
      </c>
      <c r="F2662" t="s">
        <v>17760</v>
      </c>
      <c r="G2662" t="s">
        <v>24526</v>
      </c>
    </row>
    <row r="2663" spans="1:7">
      <c r="A2663" t="s">
        <v>24532</v>
      </c>
      <c r="B2663" t="s">
        <v>8607</v>
      </c>
      <c r="D2663" s="28" t="s">
        <v>24533</v>
      </c>
      <c r="E2663" t="s">
        <v>23330</v>
      </c>
      <c r="F2663" t="s">
        <v>17760</v>
      </c>
      <c r="G2663" t="s">
        <v>24526</v>
      </c>
    </row>
    <row r="2664" spans="1:7">
      <c r="A2664" t="s">
        <v>24534</v>
      </c>
      <c r="B2664" t="s">
        <v>8607</v>
      </c>
      <c r="D2664" s="28" t="s">
        <v>24533</v>
      </c>
      <c r="E2664" t="s">
        <v>23330</v>
      </c>
      <c r="F2664" t="s">
        <v>17760</v>
      </c>
      <c r="G2664" t="s">
        <v>24526</v>
      </c>
    </row>
    <row r="2665" spans="1:7">
      <c r="A2665" t="s">
        <v>24535</v>
      </c>
      <c r="B2665" t="s">
        <v>8607</v>
      </c>
      <c r="D2665" s="28" t="s">
        <v>24533</v>
      </c>
      <c r="E2665" t="s">
        <v>23330</v>
      </c>
      <c r="F2665" t="s">
        <v>17760</v>
      </c>
      <c r="G2665" t="s">
        <v>24526</v>
      </c>
    </row>
    <row r="2666" spans="1:7">
      <c r="A2666" t="s">
        <v>24536</v>
      </c>
      <c r="B2666" t="s">
        <v>8607</v>
      </c>
      <c r="D2666" s="28" t="s">
        <v>24533</v>
      </c>
      <c r="E2666" t="s">
        <v>23330</v>
      </c>
      <c r="F2666" t="s">
        <v>17760</v>
      </c>
      <c r="G2666" t="s">
        <v>24526</v>
      </c>
    </row>
    <row r="2667" spans="1:7">
      <c r="A2667" t="s">
        <v>24537</v>
      </c>
      <c r="B2667" t="s">
        <v>8607</v>
      </c>
      <c r="D2667" s="28" t="s">
        <v>24538</v>
      </c>
      <c r="E2667" t="s">
        <v>23330</v>
      </c>
      <c r="F2667" t="s">
        <v>17760</v>
      </c>
      <c r="G2667" t="s">
        <v>24514</v>
      </c>
    </row>
    <row r="2668" spans="1:7">
      <c r="A2668" t="s">
        <v>24539</v>
      </c>
      <c r="B2668" t="s">
        <v>8626</v>
      </c>
      <c r="D2668" s="28" t="s">
        <v>24540</v>
      </c>
      <c r="E2668" t="s">
        <v>23330</v>
      </c>
      <c r="F2668" t="s">
        <v>17760</v>
      </c>
      <c r="G2668" t="s">
        <v>24541</v>
      </c>
    </row>
    <row r="2669" spans="1:7">
      <c r="A2669" t="s">
        <v>24542</v>
      </c>
      <c r="B2669" t="s">
        <v>8607</v>
      </c>
      <c r="D2669" s="28" t="s">
        <v>24543</v>
      </c>
      <c r="E2669" t="s">
        <v>23330</v>
      </c>
      <c r="F2669" t="s">
        <v>17760</v>
      </c>
      <c r="G2669" t="s">
        <v>24514</v>
      </c>
    </row>
    <row r="2670" spans="1:7">
      <c r="A2670" t="s">
        <v>24544</v>
      </c>
      <c r="B2670" t="s">
        <v>8626</v>
      </c>
      <c r="D2670" s="28" t="s">
        <v>24545</v>
      </c>
      <c r="E2670" t="s">
        <v>23330</v>
      </c>
      <c r="F2670" t="s">
        <v>17760</v>
      </c>
      <c r="G2670" t="s">
        <v>24546</v>
      </c>
    </row>
    <row r="2671" spans="1:7">
      <c r="A2671" t="s">
        <v>24547</v>
      </c>
      <c r="B2671" t="s">
        <v>8607</v>
      </c>
      <c r="C2671" t="s">
        <v>24524</v>
      </c>
      <c r="D2671" s="28" t="s">
        <v>24545</v>
      </c>
      <c r="E2671" t="s">
        <v>23330</v>
      </c>
      <c r="F2671" t="s">
        <v>17760</v>
      </c>
      <c r="G2671" t="s">
        <v>24514</v>
      </c>
    </row>
    <row r="2672" spans="1:7">
      <c r="A2672" t="s">
        <v>24548</v>
      </c>
      <c r="B2672" t="s">
        <v>8626</v>
      </c>
      <c r="C2672" t="s">
        <v>18479</v>
      </c>
      <c r="D2672" s="28" t="s">
        <v>24545</v>
      </c>
      <c r="E2672" t="s">
        <v>23330</v>
      </c>
      <c r="F2672" t="s">
        <v>17760</v>
      </c>
      <c r="G2672" t="s">
        <v>24549</v>
      </c>
    </row>
    <row r="2673" spans="1:7">
      <c r="A2673" t="s">
        <v>24550</v>
      </c>
      <c r="B2673" t="s">
        <v>8607</v>
      </c>
      <c r="D2673" s="28" t="s">
        <v>24545</v>
      </c>
      <c r="E2673" t="s">
        <v>23330</v>
      </c>
      <c r="G2673" t="s">
        <v>24514</v>
      </c>
    </row>
    <row r="2674" spans="1:7">
      <c r="A2674" t="s">
        <v>24551</v>
      </c>
      <c r="B2674" t="s">
        <v>8607</v>
      </c>
      <c r="C2674" t="s">
        <v>18479</v>
      </c>
      <c r="D2674" s="28" t="s">
        <v>24545</v>
      </c>
      <c r="E2674" t="s">
        <v>23330</v>
      </c>
      <c r="F2674" t="s">
        <v>17760</v>
      </c>
      <c r="G2674" t="s">
        <v>24552</v>
      </c>
    </row>
    <row r="2675" spans="1:7">
      <c r="A2675" t="s">
        <v>24553</v>
      </c>
      <c r="B2675" t="s">
        <v>8607</v>
      </c>
      <c r="C2675" t="s">
        <v>18479</v>
      </c>
      <c r="D2675" s="28" t="s">
        <v>24554</v>
      </c>
      <c r="E2675" t="s">
        <v>23330</v>
      </c>
      <c r="F2675" t="s">
        <v>17760</v>
      </c>
      <c r="G2675" t="s">
        <v>24514</v>
      </c>
    </row>
    <row r="2676" spans="1:7">
      <c r="A2676" t="s">
        <v>24555</v>
      </c>
      <c r="B2676" t="s">
        <v>8626</v>
      </c>
      <c r="D2676" s="28" t="s">
        <v>24556</v>
      </c>
      <c r="E2676" t="s">
        <v>23330</v>
      </c>
      <c r="F2676" t="s">
        <v>17760</v>
      </c>
      <c r="G2676" t="s">
        <v>24557</v>
      </c>
    </row>
    <row r="2677" spans="1:7">
      <c r="A2677" t="s">
        <v>24558</v>
      </c>
      <c r="B2677" t="s">
        <v>8607</v>
      </c>
      <c r="D2677" s="28" t="s">
        <v>24559</v>
      </c>
      <c r="E2677" t="s">
        <v>23330</v>
      </c>
      <c r="F2677" t="s">
        <v>17760</v>
      </c>
      <c r="G2677" t="s">
        <v>24560</v>
      </c>
    </row>
    <row r="2678" spans="1:7">
      <c r="A2678" t="s">
        <v>24561</v>
      </c>
      <c r="B2678" t="s">
        <v>8626</v>
      </c>
      <c r="D2678" s="28" t="s">
        <v>24562</v>
      </c>
      <c r="E2678" t="s">
        <v>23330</v>
      </c>
      <c r="F2678" t="s">
        <v>17760</v>
      </c>
      <c r="G2678" t="s">
        <v>24541</v>
      </c>
    </row>
    <row r="2679" spans="1:7">
      <c r="A2679" t="s">
        <v>24563</v>
      </c>
      <c r="B2679" t="s">
        <v>8607</v>
      </c>
      <c r="D2679" s="28" t="s">
        <v>24564</v>
      </c>
      <c r="E2679" t="s">
        <v>23330</v>
      </c>
      <c r="F2679" t="s">
        <v>17760</v>
      </c>
      <c r="G2679" t="s">
        <v>24565</v>
      </c>
    </row>
    <row r="2680" spans="1:7">
      <c r="A2680" t="s">
        <v>24566</v>
      </c>
      <c r="B2680" t="s">
        <v>8607</v>
      </c>
      <c r="D2680" s="28" t="s">
        <v>24567</v>
      </c>
      <c r="E2680" t="s">
        <v>23330</v>
      </c>
      <c r="F2680" t="s">
        <v>17760</v>
      </c>
      <c r="G2680" t="s">
        <v>23982</v>
      </c>
    </row>
    <row r="2681" spans="1:7">
      <c r="A2681" t="s">
        <v>24568</v>
      </c>
      <c r="B2681" t="s">
        <v>8607</v>
      </c>
      <c r="D2681" s="28" t="s">
        <v>24569</v>
      </c>
      <c r="E2681" t="s">
        <v>23330</v>
      </c>
      <c r="F2681" t="s">
        <v>17760</v>
      </c>
      <c r="G2681" t="s">
        <v>24570</v>
      </c>
    </row>
    <row r="2682" spans="1:7">
      <c r="A2682" t="s">
        <v>24571</v>
      </c>
      <c r="B2682" t="s">
        <v>8626</v>
      </c>
      <c r="D2682" s="28" t="s">
        <v>24569</v>
      </c>
      <c r="E2682" t="s">
        <v>23330</v>
      </c>
      <c r="F2682" t="s">
        <v>24572</v>
      </c>
      <c r="G2682" t="s">
        <v>24573</v>
      </c>
    </row>
    <row r="2683" spans="1:7">
      <c r="A2683" t="s">
        <v>24574</v>
      </c>
      <c r="B2683" t="s">
        <v>8626</v>
      </c>
      <c r="D2683" s="28" t="s">
        <v>24575</v>
      </c>
      <c r="E2683" t="s">
        <v>23330</v>
      </c>
      <c r="F2683" t="s">
        <v>17760</v>
      </c>
      <c r="G2683" t="s">
        <v>24576</v>
      </c>
    </row>
    <row r="2684" spans="1:7">
      <c r="A2684" t="s">
        <v>24577</v>
      </c>
      <c r="B2684" t="s">
        <v>8626</v>
      </c>
      <c r="D2684" s="28" t="s">
        <v>24575</v>
      </c>
      <c r="E2684" t="s">
        <v>23330</v>
      </c>
      <c r="F2684" t="s">
        <v>17760</v>
      </c>
      <c r="G2684" t="s">
        <v>24578</v>
      </c>
    </row>
    <row r="2685" spans="1:7">
      <c r="A2685" t="s">
        <v>24579</v>
      </c>
      <c r="B2685" t="s">
        <v>8607</v>
      </c>
      <c r="D2685" s="28" t="s">
        <v>24580</v>
      </c>
      <c r="E2685" t="s">
        <v>23330</v>
      </c>
      <c r="F2685" t="s">
        <v>17760</v>
      </c>
      <c r="G2685" t="s">
        <v>24581</v>
      </c>
    </row>
    <row r="2686" spans="1:7">
      <c r="A2686" t="s">
        <v>24582</v>
      </c>
      <c r="B2686" t="s">
        <v>8626</v>
      </c>
      <c r="D2686" s="28" t="s">
        <v>24583</v>
      </c>
      <c r="E2686" t="s">
        <v>23330</v>
      </c>
      <c r="F2686" t="s">
        <v>17760</v>
      </c>
      <c r="G2686" t="s">
        <v>24584</v>
      </c>
    </row>
    <row r="2687" spans="1:7">
      <c r="A2687" t="s">
        <v>24585</v>
      </c>
      <c r="B2687" t="s">
        <v>8607</v>
      </c>
      <c r="D2687" s="28" t="s">
        <v>24586</v>
      </c>
      <c r="E2687" t="s">
        <v>23330</v>
      </c>
      <c r="F2687" t="s">
        <v>17760</v>
      </c>
      <c r="G2687" t="s">
        <v>24587</v>
      </c>
    </row>
    <row r="2688" spans="1:7">
      <c r="A2688" t="s">
        <v>24588</v>
      </c>
      <c r="B2688" t="s">
        <v>8626</v>
      </c>
      <c r="D2688" s="28" t="s">
        <v>24589</v>
      </c>
      <c r="E2688" t="s">
        <v>23330</v>
      </c>
      <c r="F2688" t="s">
        <v>18260</v>
      </c>
      <c r="G2688" t="s">
        <v>24590</v>
      </c>
    </row>
    <row r="2689" spans="1:7">
      <c r="A2689" t="s">
        <v>24591</v>
      </c>
      <c r="B2689" t="s">
        <v>8626</v>
      </c>
      <c r="D2689" s="28" t="s">
        <v>24592</v>
      </c>
      <c r="E2689" t="s">
        <v>23330</v>
      </c>
      <c r="F2689" t="s">
        <v>17760</v>
      </c>
      <c r="G2689" t="s">
        <v>24593</v>
      </c>
    </row>
    <row r="2690" spans="1:7">
      <c r="A2690" t="s">
        <v>24594</v>
      </c>
      <c r="B2690" t="s">
        <v>8607</v>
      </c>
      <c r="D2690" s="28" t="s">
        <v>24595</v>
      </c>
      <c r="E2690" t="s">
        <v>23330</v>
      </c>
      <c r="F2690" t="s">
        <v>17760</v>
      </c>
      <c r="G2690" t="s">
        <v>24596</v>
      </c>
    </row>
    <row r="2691" spans="1:7">
      <c r="A2691" t="s">
        <v>24597</v>
      </c>
      <c r="B2691" t="s">
        <v>8607</v>
      </c>
      <c r="D2691" s="28" t="s">
        <v>24595</v>
      </c>
      <c r="E2691" t="s">
        <v>23330</v>
      </c>
      <c r="F2691" t="s">
        <v>17760</v>
      </c>
      <c r="G2691" t="s">
        <v>24598</v>
      </c>
    </row>
    <row r="2692" spans="1:7">
      <c r="A2692" t="s">
        <v>24599</v>
      </c>
      <c r="B2692" t="s">
        <v>8626</v>
      </c>
      <c r="D2692" s="28" t="s">
        <v>24600</v>
      </c>
      <c r="E2692" t="s">
        <v>23330</v>
      </c>
      <c r="F2692" t="s">
        <v>17760</v>
      </c>
      <c r="G2692" t="s">
        <v>24601</v>
      </c>
    </row>
    <row r="2693" spans="1:7">
      <c r="A2693" t="s">
        <v>24602</v>
      </c>
      <c r="B2693" t="s">
        <v>8626</v>
      </c>
      <c r="D2693" s="28" t="s">
        <v>24603</v>
      </c>
      <c r="E2693" t="s">
        <v>23330</v>
      </c>
      <c r="F2693" t="s">
        <v>17760</v>
      </c>
      <c r="G2693" t="s">
        <v>24604</v>
      </c>
    </row>
    <row r="2694" spans="1:7">
      <c r="A2694" t="s">
        <v>24605</v>
      </c>
      <c r="B2694" t="s">
        <v>8626</v>
      </c>
      <c r="D2694" s="28" t="s">
        <v>24606</v>
      </c>
      <c r="E2694" t="s">
        <v>23330</v>
      </c>
      <c r="F2694" t="s">
        <v>17760</v>
      </c>
      <c r="G2694" t="s">
        <v>24604</v>
      </c>
    </row>
    <row r="2695" spans="1:7">
      <c r="A2695" t="s">
        <v>24607</v>
      </c>
      <c r="B2695" t="s">
        <v>8626</v>
      </c>
      <c r="D2695" s="28" t="s">
        <v>24608</v>
      </c>
      <c r="E2695" t="s">
        <v>23330</v>
      </c>
      <c r="F2695" t="s">
        <v>17760</v>
      </c>
      <c r="G2695" t="s">
        <v>24609</v>
      </c>
    </row>
    <row r="2696" spans="1:7">
      <c r="A2696" t="s">
        <v>24610</v>
      </c>
      <c r="B2696" t="s">
        <v>8607</v>
      </c>
      <c r="D2696" s="28" t="s">
        <v>24611</v>
      </c>
      <c r="E2696" t="s">
        <v>23330</v>
      </c>
      <c r="F2696" t="s">
        <v>17760</v>
      </c>
      <c r="G2696" t="s">
        <v>19389</v>
      </c>
    </row>
    <row r="2697" spans="1:7">
      <c r="A2697" t="s">
        <v>24612</v>
      </c>
      <c r="B2697" t="s">
        <v>8607</v>
      </c>
      <c r="D2697" s="28" t="s">
        <v>24611</v>
      </c>
      <c r="E2697" t="s">
        <v>23330</v>
      </c>
      <c r="F2697" t="s">
        <v>17760</v>
      </c>
      <c r="G2697" t="s">
        <v>19389</v>
      </c>
    </row>
    <row r="2698" spans="1:7">
      <c r="A2698" t="s">
        <v>24613</v>
      </c>
      <c r="B2698" t="s">
        <v>8607</v>
      </c>
      <c r="D2698" s="28" t="s">
        <v>24611</v>
      </c>
      <c r="E2698" t="s">
        <v>23330</v>
      </c>
      <c r="F2698" t="s">
        <v>17760</v>
      </c>
      <c r="G2698" t="s">
        <v>19389</v>
      </c>
    </row>
    <row r="2699" spans="1:7">
      <c r="A2699" t="s">
        <v>24614</v>
      </c>
      <c r="B2699" t="s">
        <v>8607</v>
      </c>
      <c r="D2699" s="28" t="s">
        <v>24615</v>
      </c>
      <c r="E2699" t="s">
        <v>23330</v>
      </c>
      <c r="F2699" t="s">
        <v>17760</v>
      </c>
      <c r="G2699" t="s">
        <v>24616</v>
      </c>
    </row>
    <row r="2700" spans="1:7">
      <c r="A2700" t="s">
        <v>24617</v>
      </c>
      <c r="B2700" t="s">
        <v>8607</v>
      </c>
      <c r="D2700" s="28" t="s">
        <v>24615</v>
      </c>
      <c r="E2700" t="s">
        <v>23330</v>
      </c>
      <c r="F2700" t="s">
        <v>17760</v>
      </c>
      <c r="G2700" t="s">
        <v>18497</v>
      </c>
    </row>
    <row r="2701" spans="1:7">
      <c r="A2701" t="s">
        <v>24618</v>
      </c>
      <c r="B2701" t="s">
        <v>8626</v>
      </c>
      <c r="D2701" s="28" t="s">
        <v>24619</v>
      </c>
      <c r="E2701" t="s">
        <v>23330</v>
      </c>
      <c r="F2701" t="s">
        <v>17760</v>
      </c>
      <c r="G2701" t="s">
        <v>24620</v>
      </c>
    </row>
    <row r="2702" spans="1:7">
      <c r="A2702" t="s">
        <v>24621</v>
      </c>
      <c r="B2702" t="s">
        <v>8607</v>
      </c>
      <c r="D2702" s="28" t="s">
        <v>24622</v>
      </c>
      <c r="E2702" t="s">
        <v>23330</v>
      </c>
      <c r="F2702" t="s">
        <v>17760</v>
      </c>
      <c r="G2702" t="s">
        <v>24623</v>
      </c>
    </row>
    <row r="2703" spans="1:7">
      <c r="A2703" t="s">
        <v>24624</v>
      </c>
      <c r="B2703" t="s">
        <v>8626</v>
      </c>
      <c r="D2703" s="28" t="s">
        <v>24625</v>
      </c>
      <c r="E2703" t="s">
        <v>23330</v>
      </c>
      <c r="F2703" t="s">
        <v>17760</v>
      </c>
      <c r="G2703" t="s">
        <v>24626</v>
      </c>
    </row>
    <row r="2704" spans="1:7">
      <c r="A2704" t="s">
        <v>24627</v>
      </c>
      <c r="B2704" t="s">
        <v>8607</v>
      </c>
      <c r="C2704" t="s">
        <v>24628</v>
      </c>
      <c r="D2704" s="28" t="s">
        <v>24629</v>
      </c>
      <c r="E2704" t="s">
        <v>23330</v>
      </c>
      <c r="F2704" t="s">
        <v>17760</v>
      </c>
      <c r="G2704" t="s">
        <v>24630</v>
      </c>
    </row>
    <row r="2705" spans="1:7">
      <c r="A2705" t="s">
        <v>24631</v>
      </c>
      <c r="B2705" t="s">
        <v>8607</v>
      </c>
      <c r="C2705" t="s">
        <v>24632</v>
      </c>
      <c r="D2705" s="28" t="s">
        <v>24629</v>
      </c>
      <c r="E2705" t="s">
        <v>23330</v>
      </c>
      <c r="F2705" t="s">
        <v>17760</v>
      </c>
      <c r="G2705" t="s">
        <v>24630</v>
      </c>
    </row>
    <row r="2706" spans="1:7">
      <c r="A2706" t="s">
        <v>24633</v>
      </c>
      <c r="B2706" t="s">
        <v>8607</v>
      </c>
      <c r="C2706" t="s">
        <v>24632</v>
      </c>
      <c r="D2706" s="28" t="s">
        <v>24629</v>
      </c>
      <c r="E2706" t="s">
        <v>23330</v>
      </c>
      <c r="F2706" t="s">
        <v>17760</v>
      </c>
      <c r="G2706" t="s">
        <v>24630</v>
      </c>
    </row>
    <row r="2707" spans="1:7">
      <c r="A2707" t="s">
        <v>24634</v>
      </c>
      <c r="B2707" t="s">
        <v>8607</v>
      </c>
      <c r="D2707" s="28" t="s">
        <v>24635</v>
      </c>
      <c r="E2707" t="s">
        <v>23330</v>
      </c>
      <c r="F2707" t="s">
        <v>17760</v>
      </c>
      <c r="G2707" t="s">
        <v>24636</v>
      </c>
    </row>
    <row r="2708" spans="1:7">
      <c r="A2708" t="s">
        <v>24637</v>
      </c>
      <c r="B2708" t="s">
        <v>8607</v>
      </c>
      <c r="D2708" s="28" t="s">
        <v>24638</v>
      </c>
      <c r="E2708" t="s">
        <v>23330</v>
      </c>
      <c r="F2708" t="s">
        <v>17760</v>
      </c>
      <c r="G2708" t="s">
        <v>24596</v>
      </c>
    </row>
    <row r="2709" spans="1:7">
      <c r="A2709" t="s">
        <v>24639</v>
      </c>
      <c r="B2709" t="s">
        <v>8607</v>
      </c>
      <c r="D2709" s="28" t="s">
        <v>24638</v>
      </c>
      <c r="E2709" t="s">
        <v>23330</v>
      </c>
      <c r="F2709" t="s">
        <v>17760</v>
      </c>
      <c r="G2709" t="s">
        <v>24640</v>
      </c>
    </row>
    <row r="2710" spans="1:7">
      <c r="A2710" t="s">
        <v>24641</v>
      </c>
      <c r="B2710" t="s">
        <v>8607</v>
      </c>
      <c r="C2710" t="s">
        <v>24519</v>
      </c>
      <c r="D2710" s="28" t="s">
        <v>24642</v>
      </c>
      <c r="E2710" t="s">
        <v>23330</v>
      </c>
      <c r="F2710" t="s">
        <v>24521</v>
      </c>
      <c r="G2710" t="s">
        <v>24643</v>
      </c>
    </row>
    <row r="2711" spans="1:7">
      <c r="A2711" t="s">
        <v>24644</v>
      </c>
      <c r="B2711" t="s">
        <v>8607</v>
      </c>
      <c r="D2711" s="28" t="s">
        <v>24645</v>
      </c>
      <c r="E2711" t="s">
        <v>23330</v>
      </c>
      <c r="F2711" t="s">
        <v>17760</v>
      </c>
      <c r="G2711" t="s">
        <v>24623</v>
      </c>
    </row>
    <row r="2712" spans="1:7">
      <c r="A2712" t="s">
        <v>24646</v>
      </c>
      <c r="B2712" t="s">
        <v>8626</v>
      </c>
      <c r="D2712" s="28" t="s">
        <v>24647</v>
      </c>
      <c r="E2712" t="s">
        <v>23330</v>
      </c>
      <c r="F2712" t="s">
        <v>17760</v>
      </c>
      <c r="G2712" t="s">
        <v>24648</v>
      </c>
    </row>
    <row r="2713" spans="1:7">
      <c r="A2713" t="s">
        <v>24649</v>
      </c>
      <c r="B2713" t="s">
        <v>8626</v>
      </c>
      <c r="D2713" s="28" t="s">
        <v>24650</v>
      </c>
      <c r="E2713" t="s">
        <v>23330</v>
      </c>
      <c r="F2713" t="s">
        <v>17760</v>
      </c>
      <c r="G2713" t="s">
        <v>24651</v>
      </c>
    </row>
    <row r="2714" spans="1:7">
      <c r="A2714" t="s">
        <v>24652</v>
      </c>
      <c r="B2714" t="s">
        <v>8626</v>
      </c>
      <c r="D2714" s="28" t="s">
        <v>24653</v>
      </c>
      <c r="E2714" t="s">
        <v>23330</v>
      </c>
      <c r="F2714" t="s">
        <v>17760</v>
      </c>
      <c r="G2714" t="s">
        <v>24654</v>
      </c>
    </row>
    <row r="2715" spans="1:7">
      <c r="A2715" t="s">
        <v>24655</v>
      </c>
      <c r="B2715" t="s">
        <v>8626</v>
      </c>
      <c r="C2715" t="s">
        <v>24656</v>
      </c>
      <c r="D2715" s="28" t="s">
        <v>24657</v>
      </c>
      <c r="E2715" t="s">
        <v>23330</v>
      </c>
      <c r="F2715" t="s">
        <v>17760</v>
      </c>
      <c r="G2715" t="s">
        <v>24658</v>
      </c>
    </row>
    <row r="2716" spans="1:7">
      <c r="A2716" t="s">
        <v>24659</v>
      </c>
      <c r="B2716" t="s">
        <v>8607</v>
      </c>
      <c r="C2716" t="s">
        <v>18479</v>
      </c>
      <c r="D2716" s="28" t="s">
        <v>24660</v>
      </c>
      <c r="E2716" t="s">
        <v>23330</v>
      </c>
      <c r="F2716" t="s">
        <v>17760</v>
      </c>
      <c r="G2716" t="s">
        <v>24661</v>
      </c>
    </row>
    <row r="2717" spans="1:7">
      <c r="A2717" t="s">
        <v>24662</v>
      </c>
      <c r="B2717" t="s">
        <v>8607</v>
      </c>
      <c r="D2717" s="28" t="s">
        <v>24663</v>
      </c>
      <c r="E2717" t="s">
        <v>23330</v>
      </c>
      <c r="F2717" t="s">
        <v>24664</v>
      </c>
      <c r="G2717" t="s">
        <v>24665</v>
      </c>
    </row>
    <row r="2718" spans="1:7">
      <c r="A2718" t="s">
        <v>24666</v>
      </c>
      <c r="B2718" t="s">
        <v>8607</v>
      </c>
      <c r="D2718" s="28" t="s">
        <v>24667</v>
      </c>
      <c r="E2718" t="s">
        <v>23330</v>
      </c>
      <c r="F2718" t="s">
        <v>24664</v>
      </c>
      <c r="G2718" t="s">
        <v>24668</v>
      </c>
    </row>
    <row r="2719" spans="1:7">
      <c r="A2719" t="s">
        <v>24669</v>
      </c>
      <c r="B2719" t="s">
        <v>8607</v>
      </c>
      <c r="D2719" s="28" t="s">
        <v>24667</v>
      </c>
      <c r="E2719" t="s">
        <v>23330</v>
      </c>
      <c r="F2719" t="s">
        <v>24664</v>
      </c>
      <c r="G2719" t="s">
        <v>24668</v>
      </c>
    </row>
    <row r="2720" spans="1:7">
      <c r="A2720" t="s">
        <v>24670</v>
      </c>
      <c r="B2720" t="s">
        <v>8626</v>
      </c>
      <c r="D2720" s="28" t="s">
        <v>24667</v>
      </c>
      <c r="E2720" t="s">
        <v>23330</v>
      </c>
      <c r="F2720" t="s">
        <v>24664</v>
      </c>
      <c r="G2720" t="s">
        <v>24671</v>
      </c>
    </row>
    <row r="2721" spans="1:7">
      <c r="A2721" t="s">
        <v>24672</v>
      </c>
      <c r="B2721" t="s">
        <v>8626</v>
      </c>
      <c r="D2721" s="28" t="s">
        <v>24667</v>
      </c>
      <c r="E2721" t="s">
        <v>23330</v>
      </c>
      <c r="F2721" t="s">
        <v>24664</v>
      </c>
      <c r="G2721" t="s">
        <v>24671</v>
      </c>
    </row>
    <row r="2722" spans="1:7">
      <c r="A2722" t="s">
        <v>24673</v>
      </c>
      <c r="B2722" t="s">
        <v>8626</v>
      </c>
      <c r="C2722" t="s">
        <v>22997</v>
      </c>
      <c r="D2722" s="28" t="s">
        <v>24674</v>
      </c>
      <c r="E2722" t="s">
        <v>23330</v>
      </c>
      <c r="F2722" t="s">
        <v>24675</v>
      </c>
      <c r="G2722" t="s">
        <v>24676</v>
      </c>
    </row>
    <row r="2723" spans="1:7">
      <c r="A2723" t="s">
        <v>24677</v>
      </c>
      <c r="B2723" t="s">
        <v>8626</v>
      </c>
      <c r="C2723" t="s">
        <v>22997</v>
      </c>
      <c r="D2723" s="28" t="s">
        <v>24674</v>
      </c>
      <c r="E2723" t="s">
        <v>23330</v>
      </c>
      <c r="F2723" t="s">
        <v>8623</v>
      </c>
      <c r="G2723" t="s">
        <v>24678</v>
      </c>
    </row>
    <row r="2724" spans="1:7">
      <c r="A2724" t="s">
        <v>24679</v>
      </c>
      <c r="B2724" t="s">
        <v>8607</v>
      </c>
      <c r="D2724" s="28" t="s">
        <v>24674</v>
      </c>
      <c r="E2724" t="s">
        <v>23330</v>
      </c>
      <c r="F2724" t="s">
        <v>8623</v>
      </c>
      <c r="G2724" t="s">
        <v>24680</v>
      </c>
    </row>
    <row r="2725" spans="1:7">
      <c r="A2725" t="s">
        <v>24681</v>
      </c>
      <c r="B2725" t="s">
        <v>8626</v>
      </c>
      <c r="C2725" t="s">
        <v>22997</v>
      </c>
      <c r="D2725" s="28" t="s">
        <v>24674</v>
      </c>
      <c r="E2725" t="s">
        <v>23330</v>
      </c>
      <c r="F2725" t="s">
        <v>24682</v>
      </c>
      <c r="G2725" t="s">
        <v>24678</v>
      </c>
    </row>
    <row r="2726" spans="1:7">
      <c r="A2726" t="s">
        <v>24683</v>
      </c>
      <c r="B2726" t="s">
        <v>8626</v>
      </c>
      <c r="C2726" t="s">
        <v>24299</v>
      </c>
      <c r="D2726" s="28" t="s">
        <v>24684</v>
      </c>
      <c r="E2726" t="s">
        <v>23330</v>
      </c>
      <c r="F2726" t="s">
        <v>8623</v>
      </c>
      <c r="G2726" t="s">
        <v>24685</v>
      </c>
    </row>
    <row r="2727" spans="1:7">
      <c r="A2727" t="s">
        <v>24686</v>
      </c>
      <c r="B2727" t="s">
        <v>8626</v>
      </c>
      <c r="D2727" s="28" t="s">
        <v>11000</v>
      </c>
      <c r="E2727" t="s">
        <v>23330</v>
      </c>
      <c r="F2727" t="s">
        <v>24687</v>
      </c>
      <c r="G2727" t="s">
        <v>24688</v>
      </c>
    </row>
    <row r="2728" spans="1:7">
      <c r="A2728" t="s">
        <v>24689</v>
      </c>
      <c r="B2728" t="s">
        <v>8607</v>
      </c>
      <c r="C2728" t="s">
        <v>24690</v>
      </c>
      <c r="D2728" s="28" t="s">
        <v>11000</v>
      </c>
      <c r="E2728" t="s">
        <v>23330</v>
      </c>
      <c r="F2728" t="s">
        <v>8623</v>
      </c>
      <c r="G2728" t="s">
        <v>10704</v>
      </c>
    </row>
    <row r="2729" spans="1:7">
      <c r="A2729" t="s">
        <v>24691</v>
      </c>
      <c r="B2729" t="s">
        <v>8607</v>
      </c>
      <c r="D2729" s="28" t="s">
        <v>11000</v>
      </c>
      <c r="E2729" t="s">
        <v>23330</v>
      </c>
      <c r="F2729" t="s">
        <v>24692</v>
      </c>
      <c r="G2729" t="s">
        <v>24693</v>
      </c>
    </row>
    <row r="2730" spans="1:7">
      <c r="A2730" t="s">
        <v>24694</v>
      </c>
      <c r="B2730" t="s">
        <v>8626</v>
      </c>
      <c r="C2730" t="s">
        <v>11572</v>
      </c>
      <c r="D2730" s="28" t="s">
        <v>11000</v>
      </c>
      <c r="E2730" t="s">
        <v>23330</v>
      </c>
      <c r="F2730" t="s">
        <v>8623</v>
      </c>
      <c r="G2730" t="s">
        <v>24695</v>
      </c>
    </row>
    <row r="2731" spans="1:7">
      <c r="A2731" t="s">
        <v>24696</v>
      </c>
      <c r="B2731" t="s">
        <v>8607</v>
      </c>
      <c r="D2731" s="28" t="s">
        <v>11000</v>
      </c>
      <c r="E2731" t="s">
        <v>23330</v>
      </c>
      <c r="F2731" t="s">
        <v>8623</v>
      </c>
      <c r="G2731" t="s">
        <v>24697</v>
      </c>
    </row>
    <row r="2732" spans="1:7">
      <c r="A2732" t="s">
        <v>24698</v>
      </c>
      <c r="B2732" t="s">
        <v>8607</v>
      </c>
      <c r="D2732" s="28" t="s">
        <v>11000</v>
      </c>
      <c r="E2732" t="s">
        <v>23330</v>
      </c>
      <c r="F2732" t="s">
        <v>24699</v>
      </c>
      <c r="G2732" t="s">
        <v>24700</v>
      </c>
    </row>
    <row r="2733" spans="1:7">
      <c r="A2733" t="s">
        <v>24701</v>
      </c>
      <c r="B2733" t="s">
        <v>8607</v>
      </c>
      <c r="C2733" t="s">
        <v>24702</v>
      </c>
      <c r="D2733" s="28" t="s">
        <v>11000</v>
      </c>
      <c r="E2733" t="s">
        <v>23330</v>
      </c>
      <c r="F2733" t="s">
        <v>8623</v>
      </c>
      <c r="G2733" t="s">
        <v>24703</v>
      </c>
    </row>
    <row r="2734" spans="1:7">
      <c r="A2734" t="s">
        <v>24704</v>
      </c>
      <c r="B2734" t="s">
        <v>8607</v>
      </c>
      <c r="C2734" t="s">
        <v>24705</v>
      </c>
      <c r="D2734" s="28" t="s">
        <v>11000</v>
      </c>
      <c r="E2734" t="s">
        <v>23330</v>
      </c>
      <c r="F2734" t="s">
        <v>12216</v>
      </c>
      <c r="G2734" t="s">
        <v>24706</v>
      </c>
    </row>
    <row r="2735" spans="1:7">
      <c r="A2735" t="s">
        <v>24707</v>
      </c>
      <c r="B2735" t="s">
        <v>8607</v>
      </c>
      <c r="D2735" s="28" t="s">
        <v>11000</v>
      </c>
      <c r="E2735" t="s">
        <v>23330</v>
      </c>
      <c r="F2735" t="s">
        <v>24708</v>
      </c>
      <c r="G2735" t="s">
        <v>24709</v>
      </c>
    </row>
    <row r="2736" spans="1:7">
      <c r="A2736" t="s">
        <v>24710</v>
      </c>
      <c r="B2736" t="s">
        <v>8626</v>
      </c>
      <c r="D2736" s="28" t="s">
        <v>11000</v>
      </c>
      <c r="E2736" t="s">
        <v>23330</v>
      </c>
      <c r="F2736" t="s">
        <v>24708</v>
      </c>
      <c r="G2736" t="s">
        <v>24711</v>
      </c>
    </row>
    <row r="2737" spans="1:7">
      <c r="A2737" t="s">
        <v>24712</v>
      </c>
      <c r="B2737" t="s">
        <v>8607</v>
      </c>
      <c r="D2737" s="28" t="s">
        <v>24713</v>
      </c>
      <c r="E2737" t="s">
        <v>23330</v>
      </c>
      <c r="F2737" t="s">
        <v>18513</v>
      </c>
      <c r="G2737" t="s">
        <v>24714</v>
      </c>
    </row>
    <row r="2738" spans="1:7">
      <c r="A2738" t="s">
        <v>24715</v>
      </c>
      <c r="B2738" t="s">
        <v>8607</v>
      </c>
      <c r="D2738" s="28" t="s">
        <v>24713</v>
      </c>
      <c r="E2738" t="s">
        <v>23330</v>
      </c>
      <c r="F2738" t="s">
        <v>18513</v>
      </c>
      <c r="G2738" t="s">
        <v>24714</v>
      </c>
    </row>
    <row r="2739" spans="1:7">
      <c r="A2739" t="s">
        <v>24716</v>
      </c>
      <c r="B2739" t="s">
        <v>8607</v>
      </c>
      <c r="D2739" s="28" t="s">
        <v>24713</v>
      </c>
      <c r="E2739" t="s">
        <v>23330</v>
      </c>
      <c r="F2739" t="s">
        <v>18513</v>
      </c>
      <c r="G2739" t="s">
        <v>24717</v>
      </c>
    </row>
    <row r="2740" spans="1:7">
      <c r="A2740" t="s">
        <v>24718</v>
      </c>
      <c r="B2740" t="s">
        <v>8607</v>
      </c>
      <c r="D2740" s="28" t="s">
        <v>24713</v>
      </c>
      <c r="E2740" t="s">
        <v>23330</v>
      </c>
      <c r="F2740" t="s">
        <v>18513</v>
      </c>
      <c r="G2740" t="s">
        <v>24714</v>
      </c>
    </row>
    <row r="2741" spans="1:7">
      <c r="A2741" t="s">
        <v>24719</v>
      </c>
      <c r="B2741" t="s">
        <v>8607</v>
      </c>
      <c r="D2741" s="28" t="s">
        <v>24713</v>
      </c>
      <c r="E2741" t="s">
        <v>23330</v>
      </c>
      <c r="F2741" t="s">
        <v>18513</v>
      </c>
      <c r="G2741" t="s">
        <v>24720</v>
      </c>
    </row>
    <row r="2742" spans="1:7">
      <c r="A2742" t="s">
        <v>24721</v>
      </c>
      <c r="B2742" t="s">
        <v>8607</v>
      </c>
      <c r="D2742" s="28" t="s">
        <v>24713</v>
      </c>
      <c r="E2742" t="s">
        <v>23330</v>
      </c>
      <c r="F2742" t="s">
        <v>18513</v>
      </c>
      <c r="G2742" t="s">
        <v>24714</v>
      </c>
    </row>
    <row r="2743" spans="1:7">
      <c r="A2743" t="s">
        <v>24722</v>
      </c>
      <c r="B2743" t="s">
        <v>8626</v>
      </c>
      <c r="D2743" s="28" t="s">
        <v>24723</v>
      </c>
      <c r="E2743" t="s">
        <v>23330</v>
      </c>
      <c r="F2743" t="s">
        <v>8623</v>
      </c>
      <c r="G2743" t="s">
        <v>24724</v>
      </c>
    </row>
    <row r="2744" spans="1:7">
      <c r="A2744" t="s">
        <v>24725</v>
      </c>
      <c r="B2744" t="s">
        <v>8626</v>
      </c>
      <c r="D2744" s="28" t="s">
        <v>24723</v>
      </c>
      <c r="E2744" t="s">
        <v>23330</v>
      </c>
      <c r="F2744" t="s">
        <v>8623</v>
      </c>
      <c r="G2744" t="s">
        <v>24726</v>
      </c>
    </row>
    <row r="2745" spans="1:7">
      <c r="A2745" t="s">
        <v>24727</v>
      </c>
      <c r="B2745" t="s">
        <v>8607</v>
      </c>
      <c r="D2745" s="28" t="s">
        <v>24723</v>
      </c>
      <c r="E2745" t="s">
        <v>23330</v>
      </c>
      <c r="F2745" t="s">
        <v>8623</v>
      </c>
      <c r="G2745" t="s">
        <v>24728</v>
      </c>
    </row>
    <row r="2746" spans="1:7">
      <c r="A2746" t="s">
        <v>24729</v>
      </c>
      <c r="B2746" t="s">
        <v>8626</v>
      </c>
      <c r="D2746" s="28" t="s">
        <v>24723</v>
      </c>
      <c r="E2746" t="s">
        <v>23330</v>
      </c>
      <c r="F2746" t="s">
        <v>8623</v>
      </c>
      <c r="G2746" t="s">
        <v>24730</v>
      </c>
    </row>
    <row r="2747" spans="1:7">
      <c r="A2747" t="s">
        <v>24731</v>
      </c>
      <c r="B2747" t="s">
        <v>8626</v>
      </c>
      <c r="D2747" s="28" t="s">
        <v>24723</v>
      </c>
      <c r="E2747" t="s">
        <v>23330</v>
      </c>
      <c r="F2747" t="s">
        <v>8623</v>
      </c>
      <c r="G2747" t="s">
        <v>24732</v>
      </c>
    </row>
    <row r="2748" spans="1:7">
      <c r="A2748" t="s">
        <v>24733</v>
      </c>
      <c r="B2748" t="s">
        <v>8626</v>
      </c>
      <c r="D2748" s="28" t="s">
        <v>24723</v>
      </c>
      <c r="E2748" t="s">
        <v>23330</v>
      </c>
      <c r="F2748" t="s">
        <v>8623</v>
      </c>
      <c r="G2748" t="s">
        <v>24734</v>
      </c>
    </row>
    <row r="2749" spans="1:7">
      <c r="A2749" t="s">
        <v>24735</v>
      </c>
      <c r="B2749" t="s">
        <v>8607</v>
      </c>
      <c r="D2749" s="28" t="s">
        <v>24723</v>
      </c>
      <c r="E2749" t="s">
        <v>23330</v>
      </c>
      <c r="F2749" t="s">
        <v>8623</v>
      </c>
      <c r="G2749" t="s">
        <v>24736</v>
      </c>
    </row>
    <row r="2750" spans="1:7">
      <c r="A2750" t="s">
        <v>24737</v>
      </c>
      <c r="B2750" t="s">
        <v>8607</v>
      </c>
      <c r="D2750" s="28" t="s">
        <v>24723</v>
      </c>
      <c r="E2750" t="s">
        <v>23330</v>
      </c>
      <c r="F2750" t="s">
        <v>8623</v>
      </c>
      <c r="G2750" t="s">
        <v>24738</v>
      </c>
    </row>
    <row r="2751" spans="1:7">
      <c r="A2751" t="s">
        <v>24739</v>
      </c>
      <c r="B2751" t="s">
        <v>8607</v>
      </c>
      <c r="D2751" s="28" t="s">
        <v>24723</v>
      </c>
      <c r="E2751" t="s">
        <v>23330</v>
      </c>
      <c r="F2751" t="s">
        <v>8623</v>
      </c>
      <c r="G2751" t="s">
        <v>24736</v>
      </c>
    </row>
    <row r="2752" spans="1:7">
      <c r="A2752" t="s">
        <v>24740</v>
      </c>
      <c r="B2752" t="s">
        <v>8626</v>
      </c>
      <c r="D2752" s="28" t="s">
        <v>24723</v>
      </c>
      <c r="E2752" t="s">
        <v>23330</v>
      </c>
      <c r="F2752" t="s">
        <v>8623</v>
      </c>
      <c r="G2752" t="s">
        <v>24732</v>
      </c>
    </row>
    <row r="2753" spans="1:7">
      <c r="A2753" t="s">
        <v>24741</v>
      </c>
      <c r="B2753" t="s">
        <v>8626</v>
      </c>
      <c r="D2753" s="28" t="s">
        <v>24742</v>
      </c>
      <c r="E2753" t="s">
        <v>23330</v>
      </c>
      <c r="F2753" t="s">
        <v>8623</v>
      </c>
      <c r="G2753" t="s">
        <v>24743</v>
      </c>
    </row>
    <row r="2754" spans="1:7">
      <c r="A2754" t="s">
        <v>24744</v>
      </c>
      <c r="B2754" t="s">
        <v>8607</v>
      </c>
      <c r="D2754" s="28" t="s">
        <v>24742</v>
      </c>
      <c r="E2754" t="s">
        <v>23330</v>
      </c>
      <c r="F2754" t="s">
        <v>24745</v>
      </c>
      <c r="G2754" t="s">
        <v>24746</v>
      </c>
    </row>
    <row r="2755" spans="1:7">
      <c r="A2755" t="s">
        <v>24747</v>
      </c>
      <c r="B2755" t="s">
        <v>8607</v>
      </c>
      <c r="C2755" t="s">
        <v>22997</v>
      </c>
      <c r="D2755" s="28" t="s">
        <v>24748</v>
      </c>
      <c r="E2755" t="s">
        <v>23330</v>
      </c>
      <c r="F2755" t="s">
        <v>8623</v>
      </c>
      <c r="G2755" t="s">
        <v>24749</v>
      </c>
    </row>
    <row r="2756" spans="1:7">
      <c r="A2756" t="s">
        <v>24750</v>
      </c>
      <c r="B2756" t="s">
        <v>8607</v>
      </c>
      <c r="D2756" s="28" t="s">
        <v>24748</v>
      </c>
      <c r="E2756" t="s">
        <v>23330</v>
      </c>
      <c r="F2756" t="s">
        <v>20844</v>
      </c>
      <c r="G2756" t="s">
        <v>24751</v>
      </c>
    </row>
    <row r="2757" spans="1:7">
      <c r="A2757" t="s">
        <v>24752</v>
      </c>
      <c r="B2757" t="s">
        <v>8607</v>
      </c>
      <c r="C2757" t="s">
        <v>24753</v>
      </c>
      <c r="D2757" s="28" t="s">
        <v>24748</v>
      </c>
      <c r="E2757" t="s">
        <v>23330</v>
      </c>
      <c r="F2757" t="s">
        <v>8623</v>
      </c>
      <c r="G2757" t="s">
        <v>24680</v>
      </c>
    </row>
    <row r="2758" spans="1:7">
      <c r="A2758" t="s">
        <v>24754</v>
      </c>
      <c r="B2758" t="s">
        <v>8607</v>
      </c>
      <c r="C2758" t="s">
        <v>11576</v>
      </c>
      <c r="D2758" s="28" t="s">
        <v>24748</v>
      </c>
      <c r="E2758" t="s">
        <v>23330</v>
      </c>
      <c r="F2758" t="s">
        <v>20844</v>
      </c>
      <c r="G2758" t="s">
        <v>24751</v>
      </c>
    </row>
    <row r="2759" spans="1:7">
      <c r="A2759" t="s">
        <v>24755</v>
      </c>
      <c r="B2759" t="s">
        <v>8607</v>
      </c>
      <c r="C2759" t="s">
        <v>22997</v>
      </c>
      <c r="D2759" s="28" t="s">
        <v>24748</v>
      </c>
      <c r="E2759" t="s">
        <v>23330</v>
      </c>
      <c r="F2759" t="s">
        <v>20844</v>
      </c>
      <c r="G2759" t="s">
        <v>23000</v>
      </c>
    </row>
    <row r="2760" spans="1:7">
      <c r="A2760" t="s">
        <v>24756</v>
      </c>
      <c r="B2760" t="s">
        <v>8626</v>
      </c>
      <c r="C2760" t="s">
        <v>22997</v>
      </c>
      <c r="D2760" s="28" t="s">
        <v>24748</v>
      </c>
      <c r="E2760" t="s">
        <v>23330</v>
      </c>
      <c r="F2760" t="s">
        <v>8623</v>
      </c>
      <c r="G2760" t="s">
        <v>24757</v>
      </c>
    </row>
    <row r="2761" spans="1:7">
      <c r="A2761" t="s">
        <v>24758</v>
      </c>
      <c r="B2761" t="s">
        <v>8607</v>
      </c>
      <c r="C2761" t="s">
        <v>22997</v>
      </c>
      <c r="D2761" s="28" t="s">
        <v>24748</v>
      </c>
      <c r="E2761" t="s">
        <v>23330</v>
      </c>
      <c r="F2761" t="s">
        <v>8623</v>
      </c>
      <c r="G2761" t="s">
        <v>23000</v>
      </c>
    </row>
    <row r="2762" spans="1:7">
      <c r="A2762" t="s">
        <v>24759</v>
      </c>
      <c r="B2762" t="s">
        <v>8607</v>
      </c>
      <c r="C2762" t="s">
        <v>22997</v>
      </c>
      <c r="D2762" s="28" t="s">
        <v>24748</v>
      </c>
      <c r="E2762" t="s">
        <v>23330</v>
      </c>
      <c r="F2762" t="s">
        <v>8623</v>
      </c>
      <c r="G2762" t="s">
        <v>23000</v>
      </c>
    </row>
    <row r="2763" spans="1:7">
      <c r="A2763" t="s">
        <v>24760</v>
      </c>
      <c r="B2763" t="s">
        <v>8626</v>
      </c>
      <c r="C2763" t="s">
        <v>22997</v>
      </c>
      <c r="D2763" s="28" t="s">
        <v>24761</v>
      </c>
      <c r="E2763" t="s">
        <v>23330</v>
      </c>
      <c r="F2763" t="s">
        <v>8623</v>
      </c>
      <c r="G2763" t="s">
        <v>24762</v>
      </c>
    </row>
    <row r="2764" spans="1:7">
      <c r="A2764" t="s">
        <v>24763</v>
      </c>
      <c r="B2764" t="s">
        <v>8607</v>
      </c>
      <c r="D2764" s="28" t="s">
        <v>24764</v>
      </c>
      <c r="E2764" t="s">
        <v>23330</v>
      </c>
      <c r="F2764" t="s">
        <v>24146</v>
      </c>
      <c r="G2764" t="s">
        <v>24765</v>
      </c>
    </row>
    <row r="2765" spans="1:7">
      <c r="A2765" t="s">
        <v>24766</v>
      </c>
      <c r="B2765" t="s">
        <v>8607</v>
      </c>
      <c r="D2765" s="28" t="s">
        <v>24764</v>
      </c>
      <c r="E2765" t="s">
        <v>23330</v>
      </c>
      <c r="F2765" t="s">
        <v>24146</v>
      </c>
      <c r="G2765" t="s">
        <v>24765</v>
      </c>
    </row>
    <row r="2766" spans="1:7">
      <c r="A2766" t="s">
        <v>24767</v>
      </c>
      <c r="B2766" t="s">
        <v>8607</v>
      </c>
      <c r="D2766" s="28" t="s">
        <v>24764</v>
      </c>
      <c r="E2766" t="s">
        <v>23330</v>
      </c>
      <c r="F2766" t="s">
        <v>24146</v>
      </c>
      <c r="G2766" t="s">
        <v>24765</v>
      </c>
    </row>
    <row r="2767" spans="1:7">
      <c r="A2767" t="s">
        <v>24768</v>
      </c>
      <c r="B2767" t="s">
        <v>8607</v>
      </c>
      <c r="D2767" s="28" t="s">
        <v>24769</v>
      </c>
      <c r="E2767" t="s">
        <v>23330</v>
      </c>
      <c r="F2767" t="s">
        <v>24146</v>
      </c>
      <c r="G2767" t="s">
        <v>24765</v>
      </c>
    </row>
    <row r="2768" spans="1:7">
      <c r="A2768" t="s">
        <v>24770</v>
      </c>
      <c r="B2768" t="s">
        <v>8626</v>
      </c>
      <c r="D2768" s="28" t="s">
        <v>24771</v>
      </c>
      <c r="E2768" t="s">
        <v>23330</v>
      </c>
      <c r="F2768" t="s">
        <v>24146</v>
      </c>
      <c r="G2768" t="s">
        <v>24772</v>
      </c>
    </row>
    <row r="2769" spans="1:7">
      <c r="A2769" t="s">
        <v>24773</v>
      </c>
      <c r="B2769" t="s">
        <v>8607</v>
      </c>
      <c r="D2769" s="28" t="s">
        <v>24771</v>
      </c>
      <c r="E2769" t="s">
        <v>23330</v>
      </c>
      <c r="F2769" t="s">
        <v>24146</v>
      </c>
      <c r="G2769" t="s">
        <v>24765</v>
      </c>
    </row>
    <row r="2770" spans="1:7">
      <c r="A2770" t="s">
        <v>24774</v>
      </c>
      <c r="B2770" t="s">
        <v>8607</v>
      </c>
      <c r="C2770" t="s">
        <v>17646</v>
      </c>
      <c r="D2770" s="28" t="s">
        <v>24771</v>
      </c>
      <c r="E2770" t="s">
        <v>23330</v>
      </c>
      <c r="F2770" t="s">
        <v>24146</v>
      </c>
      <c r="G2770" t="s">
        <v>24765</v>
      </c>
    </row>
    <row r="2771" spans="1:7">
      <c r="A2771" t="s">
        <v>24775</v>
      </c>
      <c r="B2771" t="s">
        <v>8607</v>
      </c>
      <c r="D2771" s="28" t="s">
        <v>24771</v>
      </c>
      <c r="E2771" t="s">
        <v>23330</v>
      </c>
      <c r="F2771" t="s">
        <v>24146</v>
      </c>
      <c r="G2771" t="s">
        <v>24765</v>
      </c>
    </row>
    <row r="2772" spans="1:7">
      <c r="A2772" t="s">
        <v>24776</v>
      </c>
      <c r="B2772" t="s">
        <v>8607</v>
      </c>
      <c r="D2772" s="28" t="s">
        <v>24771</v>
      </c>
      <c r="E2772" t="s">
        <v>23330</v>
      </c>
      <c r="F2772" t="s">
        <v>24146</v>
      </c>
      <c r="G2772" t="s">
        <v>24765</v>
      </c>
    </row>
    <row r="2773" spans="1:7">
      <c r="A2773" t="s">
        <v>24777</v>
      </c>
      <c r="B2773" t="s">
        <v>8607</v>
      </c>
      <c r="D2773" s="28" t="s">
        <v>24771</v>
      </c>
      <c r="E2773" t="s">
        <v>23330</v>
      </c>
      <c r="F2773" t="s">
        <v>24146</v>
      </c>
      <c r="G2773" t="s">
        <v>24765</v>
      </c>
    </row>
    <row r="2774" spans="1:7">
      <c r="A2774" t="s">
        <v>24778</v>
      </c>
      <c r="B2774" t="s">
        <v>8607</v>
      </c>
      <c r="D2774" s="28" t="s">
        <v>24771</v>
      </c>
      <c r="E2774" t="s">
        <v>23330</v>
      </c>
      <c r="F2774" t="s">
        <v>24146</v>
      </c>
      <c r="G2774" t="s">
        <v>24765</v>
      </c>
    </row>
    <row r="2775" spans="1:7">
      <c r="A2775" t="s">
        <v>24779</v>
      </c>
      <c r="B2775" t="s">
        <v>8607</v>
      </c>
      <c r="D2775" s="28" t="s">
        <v>24780</v>
      </c>
      <c r="E2775" t="s">
        <v>23330</v>
      </c>
      <c r="F2775" t="s">
        <v>17305</v>
      </c>
      <c r="G2775" t="s">
        <v>24781</v>
      </c>
    </row>
    <row r="2776" spans="1:7">
      <c r="A2776" t="s">
        <v>24782</v>
      </c>
      <c r="B2776" t="s">
        <v>8607</v>
      </c>
      <c r="D2776" s="28" t="s">
        <v>24780</v>
      </c>
      <c r="E2776" t="s">
        <v>23330</v>
      </c>
      <c r="F2776" t="s">
        <v>17305</v>
      </c>
      <c r="G2776" t="s">
        <v>24781</v>
      </c>
    </row>
    <row r="2777" spans="1:7">
      <c r="A2777" t="s">
        <v>24783</v>
      </c>
      <c r="B2777" t="s">
        <v>8607</v>
      </c>
      <c r="D2777" s="28" t="s">
        <v>24784</v>
      </c>
      <c r="E2777" t="s">
        <v>23330</v>
      </c>
      <c r="F2777" t="s">
        <v>24785</v>
      </c>
      <c r="G2777" t="s">
        <v>24786</v>
      </c>
    </row>
    <row r="2778" spans="1:7">
      <c r="A2778" t="s">
        <v>24787</v>
      </c>
      <c r="B2778" t="s">
        <v>8607</v>
      </c>
      <c r="D2778" s="28" t="s">
        <v>24784</v>
      </c>
      <c r="E2778" t="s">
        <v>23330</v>
      </c>
      <c r="F2778" t="s">
        <v>24785</v>
      </c>
      <c r="G2778" t="s">
        <v>24788</v>
      </c>
    </row>
    <row r="2779" spans="1:7">
      <c r="A2779" t="s">
        <v>24789</v>
      </c>
      <c r="B2779" t="s">
        <v>8607</v>
      </c>
      <c r="D2779" s="28" t="s">
        <v>24790</v>
      </c>
      <c r="E2779" t="s">
        <v>23330</v>
      </c>
      <c r="F2779" t="s">
        <v>24785</v>
      </c>
      <c r="G2779" t="s">
        <v>24788</v>
      </c>
    </row>
    <row r="2780" spans="1:7">
      <c r="A2780" t="s">
        <v>24791</v>
      </c>
      <c r="B2780" t="s">
        <v>8607</v>
      </c>
      <c r="D2780" s="28" t="s">
        <v>24790</v>
      </c>
      <c r="E2780" t="s">
        <v>23330</v>
      </c>
      <c r="F2780" t="s">
        <v>24785</v>
      </c>
      <c r="G2780" t="s">
        <v>24792</v>
      </c>
    </row>
    <row r="2781" spans="1:7">
      <c r="A2781" t="s">
        <v>24793</v>
      </c>
      <c r="B2781" t="s">
        <v>8626</v>
      </c>
      <c r="D2781" s="28" t="s">
        <v>24790</v>
      </c>
      <c r="E2781" t="s">
        <v>23330</v>
      </c>
      <c r="F2781" t="s">
        <v>24785</v>
      </c>
      <c r="G2781" t="s">
        <v>24794</v>
      </c>
    </row>
    <row r="2782" spans="1:7">
      <c r="A2782" t="s">
        <v>24795</v>
      </c>
      <c r="B2782" t="s">
        <v>8607</v>
      </c>
      <c r="D2782" s="28" t="s">
        <v>24790</v>
      </c>
      <c r="E2782" t="s">
        <v>23330</v>
      </c>
      <c r="F2782" t="s">
        <v>24796</v>
      </c>
      <c r="G2782" t="s">
        <v>24797</v>
      </c>
    </row>
    <row r="2783" spans="1:7">
      <c r="A2783" t="s">
        <v>24798</v>
      </c>
      <c r="B2783" t="s">
        <v>8626</v>
      </c>
      <c r="D2783" s="28" t="s">
        <v>24790</v>
      </c>
      <c r="E2783" t="s">
        <v>23330</v>
      </c>
      <c r="F2783" t="s">
        <v>24785</v>
      </c>
      <c r="G2783" t="s">
        <v>24794</v>
      </c>
    </row>
    <row r="2784" spans="1:7">
      <c r="A2784" t="s">
        <v>24799</v>
      </c>
      <c r="B2784" t="s">
        <v>8607</v>
      </c>
      <c r="D2784" s="28" t="s">
        <v>24790</v>
      </c>
      <c r="E2784" t="s">
        <v>23330</v>
      </c>
      <c r="F2784" t="s">
        <v>24796</v>
      </c>
      <c r="G2784" t="s">
        <v>24797</v>
      </c>
    </row>
    <row r="2785" spans="1:7">
      <c r="A2785" t="s">
        <v>24800</v>
      </c>
      <c r="B2785" t="s">
        <v>8607</v>
      </c>
      <c r="D2785" s="28" t="s">
        <v>24801</v>
      </c>
      <c r="E2785" t="s">
        <v>23330</v>
      </c>
      <c r="F2785" t="s">
        <v>17305</v>
      </c>
      <c r="G2785" t="s">
        <v>24781</v>
      </c>
    </row>
    <row r="2786" spans="1:7">
      <c r="A2786" t="s">
        <v>24802</v>
      </c>
      <c r="B2786" t="s">
        <v>8607</v>
      </c>
      <c r="D2786" s="28" t="s">
        <v>24803</v>
      </c>
      <c r="E2786" t="s">
        <v>23330</v>
      </c>
      <c r="F2786" t="s">
        <v>17305</v>
      </c>
      <c r="G2786" t="s">
        <v>23401</v>
      </c>
    </row>
    <row r="2787" spans="1:7">
      <c r="A2787" t="s">
        <v>24804</v>
      </c>
      <c r="B2787" t="s">
        <v>8607</v>
      </c>
      <c r="D2787" s="28" t="s">
        <v>24805</v>
      </c>
      <c r="E2787" t="s">
        <v>23330</v>
      </c>
      <c r="F2787" t="s">
        <v>17305</v>
      </c>
      <c r="G2787" t="s">
        <v>24806</v>
      </c>
    </row>
    <row r="2788" spans="1:7">
      <c r="A2788" t="s">
        <v>24807</v>
      </c>
      <c r="B2788" t="s">
        <v>8607</v>
      </c>
      <c r="D2788" s="28" t="s">
        <v>24805</v>
      </c>
      <c r="E2788" t="s">
        <v>23330</v>
      </c>
      <c r="F2788" t="s">
        <v>17305</v>
      </c>
      <c r="G2788" t="s">
        <v>24808</v>
      </c>
    </row>
    <row r="2789" spans="1:7">
      <c r="A2789" t="s">
        <v>24809</v>
      </c>
      <c r="B2789" t="s">
        <v>8626</v>
      </c>
      <c r="D2789" s="28" t="s">
        <v>24805</v>
      </c>
      <c r="E2789" t="s">
        <v>23330</v>
      </c>
      <c r="F2789" t="s">
        <v>17305</v>
      </c>
      <c r="G2789" t="s">
        <v>24810</v>
      </c>
    </row>
    <row r="2790" spans="1:7">
      <c r="A2790" t="s">
        <v>24811</v>
      </c>
      <c r="B2790" t="s">
        <v>8607</v>
      </c>
      <c r="D2790" s="28" t="s">
        <v>24805</v>
      </c>
      <c r="E2790" t="s">
        <v>23330</v>
      </c>
      <c r="F2790" t="s">
        <v>17305</v>
      </c>
      <c r="G2790" t="s">
        <v>24812</v>
      </c>
    </row>
    <row r="2791" spans="1:7">
      <c r="A2791" t="s">
        <v>24813</v>
      </c>
      <c r="B2791" t="s">
        <v>8607</v>
      </c>
      <c r="D2791" s="28" t="s">
        <v>24814</v>
      </c>
      <c r="E2791" t="s">
        <v>23330</v>
      </c>
      <c r="F2791" t="s">
        <v>17305</v>
      </c>
      <c r="G2791" t="s">
        <v>24815</v>
      </c>
    </row>
    <row r="2792" spans="1:7">
      <c r="A2792" t="s">
        <v>24816</v>
      </c>
      <c r="B2792" t="s">
        <v>8607</v>
      </c>
      <c r="C2792" t="s">
        <v>24817</v>
      </c>
      <c r="D2792" s="28" t="s">
        <v>24818</v>
      </c>
      <c r="E2792" t="s">
        <v>23330</v>
      </c>
      <c r="F2792" t="s">
        <v>17305</v>
      </c>
      <c r="G2792" t="s">
        <v>24819</v>
      </c>
    </row>
    <row r="2793" spans="1:7">
      <c r="A2793" t="s">
        <v>24820</v>
      </c>
      <c r="B2793" t="s">
        <v>8607</v>
      </c>
      <c r="C2793" t="s">
        <v>24817</v>
      </c>
      <c r="D2793" s="28" t="s">
        <v>24818</v>
      </c>
      <c r="E2793" t="s">
        <v>23330</v>
      </c>
      <c r="F2793" t="s">
        <v>17305</v>
      </c>
      <c r="G2793" t="s">
        <v>24821</v>
      </c>
    </row>
    <row r="2794" spans="1:7">
      <c r="A2794" t="s">
        <v>24822</v>
      </c>
      <c r="B2794" t="s">
        <v>8607</v>
      </c>
      <c r="C2794" t="s">
        <v>24823</v>
      </c>
      <c r="D2794" s="28" t="s">
        <v>24818</v>
      </c>
      <c r="E2794" t="s">
        <v>23330</v>
      </c>
      <c r="F2794" t="s">
        <v>17305</v>
      </c>
      <c r="G2794" t="s">
        <v>24824</v>
      </c>
    </row>
    <row r="2795" spans="1:7">
      <c r="A2795" t="s">
        <v>24825</v>
      </c>
      <c r="B2795" t="s">
        <v>8607</v>
      </c>
      <c r="C2795" t="s">
        <v>24817</v>
      </c>
      <c r="D2795" s="28" t="s">
        <v>24818</v>
      </c>
      <c r="E2795" t="s">
        <v>23330</v>
      </c>
      <c r="F2795" t="s">
        <v>17305</v>
      </c>
      <c r="G2795" t="s">
        <v>24819</v>
      </c>
    </row>
    <row r="2796" spans="1:7">
      <c r="A2796" t="s">
        <v>24826</v>
      </c>
      <c r="B2796" t="s">
        <v>8607</v>
      </c>
      <c r="C2796" t="s">
        <v>24817</v>
      </c>
      <c r="D2796" s="28" t="s">
        <v>24827</v>
      </c>
      <c r="E2796" t="s">
        <v>23330</v>
      </c>
      <c r="F2796" t="s">
        <v>17305</v>
      </c>
      <c r="G2796" t="s">
        <v>24819</v>
      </c>
    </row>
    <row r="2797" spans="1:7">
      <c r="A2797" t="s">
        <v>24828</v>
      </c>
      <c r="B2797" t="s">
        <v>8607</v>
      </c>
      <c r="D2797" s="28" t="s">
        <v>24827</v>
      </c>
      <c r="E2797" t="s">
        <v>23330</v>
      </c>
      <c r="F2797" t="s">
        <v>17305</v>
      </c>
      <c r="G2797" t="s">
        <v>24829</v>
      </c>
    </row>
    <row r="2798" spans="1:7">
      <c r="A2798" t="s">
        <v>24830</v>
      </c>
      <c r="B2798" t="s">
        <v>8607</v>
      </c>
      <c r="C2798" t="s">
        <v>24817</v>
      </c>
      <c r="D2798" s="28" t="s">
        <v>24827</v>
      </c>
      <c r="E2798" t="s">
        <v>23330</v>
      </c>
      <c r="F2798" t="s">
        <v>17305</v>
      </c>
      <c r="G2798" t="s">
        <v>24821</v>
      </c>
    </row>
    <row r="2799" spans="1:7">
      <c r="A2799" t="s">
        <v>24831</v>
      </c>
      <c r="B2799" t="s">
        <v>8607</v>
      </c>
      <c r="C2799" t="s">
        <v>24817</v>
      </c>
      <c r="D2799" s="28" t="s">
        <v>24827</v>
      </c>
      <c r="E2799" t="s">
        <v>23330</v>
      </c>
      <c r="F2799" t="s">
        <v>17305</v>
      </c>
      <c r="G2799" t="s">
        <v>24824</v>
      </c>
    </row>
    <row r="2800" spans="1:7">
      <c r="A2800" t="s">
        <v>24832</v>
      </c>
      <c r="B2800" t="s">
        <v>8607</v>
      </c>
      <c r="D2800" s="28" t="s">
        <v>24827</v>
      </c>
      <c r="E2800" t="s">
        <v>23330</v>
      </c>
      <c r="F2800" t="s">
        <v>17305</v>
      </c>
      <c r="G2800" t="s">
        <v>24829</v>
      </c>
    </row>
    <row r="2801" spans="1:7">
      <c r="A2801" t="s">
        <v>24833</v>
      </c>
      <c r="B2801" t="s">
        <v>8607</v>
      </c>
      <c r="C2801" t="s">
        <v>24817</v>
      </c>
      <c r="D2801" s="28" t="s">
        <v>24827</v>
      </c>
      <c r="E2801" t="s">
        <v>23330</v>
      </c>
      <c r="F2801" t="s">
        <v>17305</v>
      </c>
      <c r="G2801" t="s">
        <v>24824</v>
      </c>
    </row>
    <row r="2802" spans="1:7">
      <c r="A2802" t="s">
        <v>24834</v>
      </c>
      <c r="B2802" t="s">
        <v>8607</v>
      </c>
      <c r="D2802" s="28" t="s">
        <v>24835</v>
      </c>
      <c r="E2802" t="s">
        <v>23330</v>
      </c>
      <c r="F2802" t="s">
        <v>17305</v>
      </c>
      <c r="G2802" t="s">
        <v>24836</v>
      </c>
    </row>
    <row r="2803" spans="1:7">
      <c r="A2803" t="s">
        <v>24837</v>
      </c>
      <c r="B2803" t="s">
        <v>8607</v>
      </c>
      <c r="D2803" s="28" t="s">
        <v>24835</v>
      </c>
      <c r="E2803" t="s">
        <v>23330</v>
      </c>
      <c r="F2803" t="s">
        <v>17305</v>
      </c>
      <c r="G2803" t="s">
        <v>24838</v>
      </c>
    </row>
    <row r="2804" spans="1:7">
      <c r="A2804" t="s">
        <v>24839</v>
      </c>
      <c r="B2804" t="s">
        <v>8607</v>
      </c>
      <c r="D2804" s="28" t="s">
        <v>24835</v>
      </c>
      <c r="E2804" t="s">
        <v>23330</v>
      </c>
      <c r="F2804" t="s">
        <v>17305</v>
      </c>
      <c r="G2804" t="s">
        <v>24806</v>
      </c>
    </row>
    <row r="2805" spans="1:7">
      <c r="A2805" t="s">
        <v>24840</v>
      </c>
      <c r="B2805" t="s">
        <v>8607</v>
      </c>
      <c r="C2805" t="s">
        <v>8968</v>
      </c>
      <c r="D2805" s="28" t="s">
        <v>24841</v>
      </c>
      <c r="E2805" t="s">
        <v>23330</v>
      </c>
      <c r="F2805" t="s">
        <v>8774</v>
      </c>
      <c r="G2805" t="s">
        <v>24842</v>
      </c>
    </row>
    <row r="2806" spans="1:7">
      <c r="A2806" t="s">
        <v>24843</v>
      </c>
      <c r="B2806" t="s">
        <v>8607</v>
      </c>
      <c r="D2806" s="28" t="s">
        <v>24841</v>
      </c>
      <c r="E2806" t="s">
        <v>23330</v>
      </c>
      <c r="F2806" t="s">
        <v>8774</v>
      </c>
      <c r="G2806" t="s">
        <v>24842</v>
      </c>
    </row>
    <row r="2807" spans="1:7">
      <c r="A2807" t="s">
        <v>24844</v>
      </c>
      <c r="B2807" t="s">
        <v>8626</v>
      </c>
      <c r="C2807" t="s">
        <v>24845</v>
      </c>
      <c r="D2807" s="28" t="s">
        <v>16155</v>
      </c>
      <c r="E2807" t="s">
        <v>23330</v>
      </c>
      <c r="F2807" t="s">
        <v>8774</v>
      </c>
      <c r="G2807" t="s">
        <v>24846</v>
      </c>
    </row>
    <row r="2808" spans="1:7">
      <c r="A2808" t="s">
        <v>24847</v>
      </c>
      <c r="B2808" t="s">
        <v>8607</v>
      </c>
      <c r="C2808" t="s">
        <v>24845</v>
      </c>
      <c r="D2808" s="28" t="s">
        <v>16155</v>
      </c>
      <c r="E2808" t="s">
        <v>23330</v>
      </c>
      <c r="F2808" t="s">
        <v>8774</v>
      </c>
      <c r="G2808" t="s">
        <v>24848</v>
      </c>
    </row>
    <row r="2809" spans="1:7">
      <c r="A2809" t="s">
        <v>24849</v>
      </c>
      <c r="B2809" t="s">
        <v>8626</v>
      </c>
      <c r="C2809" t="s">
        <v>24845</v>
      </c>
      <c r="D2809" s="28" t="s">
        <v>16155</v>
      </c>
      <c r="E2809" t="s">
        <v>23330</v>
      </c>
      <c r="F2809" t="s">
        <v>8774</v>
      </c>
      <c r="G2809" t="s">
        <v>24850</v>
      </c>
    </row>
    <row r="2810" spans="1:7">
      <c r="A2810" t="s">
        <v>24851</v>
      </c>
      <c r="B2810" t="s">
        <v>8607</v>
      </c>
      <c r="D2810" s="28" t="s">
        <v>16155</v>
      </c>
      <c r="E2810" t="s">
        <v>23330</v>
      </c>
      <c r="F2810" t="s">
        <v>8774</v>
      </c>
      <c r="G2810" t="s">
        <v>24842</v>
      </c>
    </row>
    <row r="2811" spans="1:7">
      <c r="A2811" t="s">
        <v>24852</v>
      </c>
      <c r="B2811" t="s">
        <v>8626</v>
      </c>
      <c r="D2811" s="28" t="s">
        <v>16155</v>
      </c>
      <c r="E2811" t="s">
        <v>23330</v>
      </c>
      <c r="F2811" t="s">
        <v>8774</v>
      </c>
      <c r="G2811" t="s">
        <v>24846</v>
      </c>
    </row>
    <row r="2812" spans="1:7">
      <c r="A2812" t="s">
        <v>24853</v>
      </c>
      <c r="B2812" t="s">
        <v>8626</v>
      </c>
      <c r="C2812" t="s">
        <v>24845</v>
      </c>
      <c r="D2812" s="28" t="s">
        <v>16155</v>
      </c>
      <c r="E2812" t="s">
        <v>23330</v>
      </c>
      <c r="F2812" t="s">
        <v>8774</v>
      </c>
      <c r="G2812" t="s">
        <v>24854</v>
      </c>
    </row>
    <row r="2813" spans="1:7">
      <c r="A2813" t="s">
        <v>24855</v>
      </c>
      <c r="B2813" t="s">
        <v>8607</v>
      </c>
      <c r="C2813" t="s">
        <v>8968</v>
      </c>
      <c r="D2813" s="28" t="s">
        <v>15841</v>
      </c>
      <c r="E2813" t="s">
        <v>23330</v>
      </c>
      <c r="F2813" t="s">
        <v>8774</v>
      </c>
      <c r="G2813" t="s">
        <v>24842</v>
      </c>
    </row>
    <row r="2814" spans="1:7">
      <c r="A2814" t="s">
        <v>24856</v>
      </c>
      <c r="B2814" t="s">
        <v>8607</v>
      </c>
      <c r="D2814" s="28" t="s">
        <v>8969</v>
      </c>
      <c r="E2814" t="s">
        <v>23330</v>
      </c>
      <c r="F2814" t="s">
        <v>8774</v>
      </c>
      <c r="G2814" t="s">
        <v>24842</v>
      </c>
    </row>
    <row r="2815" spans="1:7">
      <c r="A2815" t="s">
        <v>24857</v>
      </c>
      <c r="B2815" t="s">
        <v>8607</v>
      </c>
      <c r="C2815" t="s">
        <v>8968</v>
      </c>
      <c r="D2815" s="28" t="s">
        <v>8969</v>
      </c>
      <c r="E2815" t="s">
        <v>23330</v>
      </c>
      <c r="F2815" t="s">
        <v>8774</v>
      </c>
      <c r="G2815" t="s">
        <v>24858</v>
      </c>
    </row>
    <row r="2816" spans="1:7">
      <c r="A2816" t="s">
        <v>24859</v>
      </c>
      <c r="B2816" t="s">
        <v>8607</v>
      </c>
      <c r="C2816" t="s">
        <v>24845</v>
      </c>
      <c r="D2816" s="28" t="s">
        <v>8969</v>
      </c>
      <c r="E2816" t="s">
        <v>23330</v>
      </c>
      <c r="F2816" t="s">
        <v>8774</v>
      </c>
      <c r="G2816" t="s">
        <v>24860</v>
      </c>
    </row>
    <row r="2817" spans="1:7">
      <c r="A2817" t="s">
        <v>24861</v>
      </c>
      <c r="B2817" t="s">
        <v>8607</v>
      </c>
      <c r="C2817" t="s">
        <v>24845</v>
      </c>
      <c r="D2817" s="28" t="s">
        <v>24862</v>
      </c>
      <c r="E2817" t="s">
        <v>23330</v>
      </c>
      <c r="F2817" t="s">
        <v>8774</v>
      </c>
      <c r="G2817" t="s">
        <v>24842</v>
      </c>
    </row>
    <row r="2818" spans="1:7">
      <c r="A2818" t="s">
        <v>24863</v>
      </c>
      <c r="B2818" t="s">
        <v>8607</v>
      </c>
      <c r="C2818" t="s">
        <v>24845</v>
      </c>
      <c r="D2818" s="28" t="s">
        <v>24862</v>
      </c>
      <c r="E2818" t="s">
        <v>23330</v>
      </c>
      <c r="F2818" t="s">
        <v>8774</v>
      </c>
      <c r="G2818" t="s">
        <v>24842</v>
      </c>
    </row>
    <row r="2819" spans="1:7">
      <c r="A2819" t="s">
        <v>24864</v>
      </c>
      <c r="B2819" t="s">
        <v>8607</v>
      </c>
      <c r="C2819" t="s">
        <v>24845</v>
      </c>
      <c r="D2819" s="28" t="s">
        <v>24862</v>
      </c>
      <c r="E2819" t="s">
        <v>23330</v>
      </c>
      <c r="F2819" t="s">
        <v>8774</v>
      </c>
      <c r="G2819" t="s">
        <v>24842</v>
      </c>
    </row>
    <row r="2820" spans="1:7">
      <c r="A2820" t="s">
        <v>24865</v>
      </c>
      <c r="B2820" t="s">
        <v>8607</v>
      </c>
      <c r="C2820" t="s">
        <v>24845</v>
      </c>
      <c r="D2820" s="28" t="s">
        <v>24862</v>
      </c>
      <c r="E2820" t="s">
        <v>23330</v>
      </c>
      <c r="F2820" t="s">
        <v>8774</v>
      </c>
      <c r="G2820" t="s">
        <v>24842</v>
      </c>
    </row>
    <row r="2821" spans="1:7">
      <c r="A2821" t="s">
        <v>24866</v>
      </c>
      <c r="B2821" t="s">
        <v>8626</v>
      </c>
      <c r="C2821" t="s">
        <v>24867</v>
      </c>
      <c r="D2821" s="28" t="s">
        <v>24868</v>
      </c>
      <c r="E2821" t="s">
        <v>23330</v>
      </c>
      <c r="F2821" t="s">
        <v>8774</v>
      </c>
      <c r="G2821" t="s">
        <v>24869</v>
      </c>
    </row>
    <row r="2822" spans="1:7">
      <c r="A2822" t="s">
        <v>24870</v>
      </c>
      <c r="B2822" t="s">
        <v>8626</v>
      </c>
      <c r="D2822" s="28" t="s">
        <v>24871</v>
      </c>
      <c r="E2822" t="s">
        <v>23330</v>
      </c>
      <c r="G2822" t="s">
        <v>24872</v>
      </c>
    </row>
    <row r="2823" spans="1:7">
      <c r="A2823" t="s">
        <v>24873</v>
      </c>
      <c r="B2823" t="s">
        <v>8607</v>
      </c>
      <c r="D2823" s="28" t="s">
        <v>24874</v>
      </c>
      <c r="E2823" t="s">
        <v>23330</v>
      </c>
      <c r="F2823" t="s">
        <v>24875</v>
      </c>
      <c r="G2823" t="s">
        <v>24876</v>
      </c>
    </row>
    <row r="2824" spans="1:7">
      <c r="A2824" t="s">
        <v>24877</v>
      </c>
      <c r="B2824" t="s">
        <v>8607</v>
      </c>
      <c r="D2824" s="28" t="s">
        <v>24874</v>
      </c>
      <c r="E2824" t="s">
        <v>23330</v>
      </c>
      <c r="F2824" t="s">
        <v>24875</v>
      </c>
      <c r="G2824" t="s">
        <v>24876</v>
      </c>
    </row>
    <row r="2825" spans="1:7">
      <c r="A2825" t="s">
        <v>24878</v>
      </c>
      <c r="B2825" t="s">
        <v>8607</v>
      </c>
      <c r="D2825" s="28" t="s">
        <v>24874</v>
      </c>
      <c r="E2825" t="s">
        <v>23330</v>
      </c>
      <c r="F2825" t="s">
        <v>24875</v>
      </c>
      <c r="G2825" t="s">
        <v>24876</v>
      </c>
    </row>
    <row r="2826" spans="1:7">
      <c r="A2826" t="s">
        <v>24879</v>
      </c>
      <c r="B2826" t="s">
        <v>8607</v>
      </c>
      <c r="D2826" s="28" t="s">
        <v>24874</v>
      </c>
      <c r="E2826" t="s">
        <v>23330</v>
      </c>
      <c r="F2826" t="s">
        <v>24875</v>
      </c>
      <c r="G2826" t="s">
        <v>24876</v>
      </c>
    </row>
    <row r="2827" spans="1:7">
      <c r="A2827" t="s">
        <v>24880</v>
      </c>
      <c r="B2827" t="s">
        <v>8607</v>
      </c>
      <c r="D2827" s="28" t="s">
        <v>24874</v>
      </c>
      <c r="E2827" t="s">
        <v>23330</v>
      </c>
      <c r="F2827" t="s">
        <v>24875</v>
      </c>
      <c r="G2827" t="s">
        <v>24876</v>
      </c>
    </row>
    <row r="2828" spans="1:7">
      <c r="A2828" t="s">
        <v>24881</v>
      </c>
      <c r="B2828" t="s">
        <v>8607</v>
      </c>
      <c r="D2828" s="28" t="s">
        <v>24874</v>
      </c>
      <c r="E2828" t="s">
        <v>23330</v>
      </c>
      <c r="F2828" t="s">
        <v>24875</v>
      </c>
      <c r="G2828" t="s">
        <v>24876</v>
      </c>
    </row>
    <row r="2829" spans="1:7">
      <c r="A2829" t="s">
        <v>24882</v>
      </c>
      <c r="B2829" t="s">
        <v>8607</v>
      </c>
      <c r="D2829" s="28" t="s">
        <v>24874</v>
      </c>
      <c r="E2829" t="s">
        <v>23330</v>
      </c>
      <c r="F2829" t="s">
        <v>24875</v>
      </c>
      <c r="G2829" t="s">
        <v>24876</v>
      </c>
    </row>
    <row r="2830" spans="1:7">
      <c r="A2830" t="s">
        <v>24883</v>
      </c>
      <c r="B2830" t="s">
        <v>8607</v>
      </c>
      <c r="D2830" s="28" t="s">
        <v>24874</v>
      </c>
      <c r="E2830" t="s">
        <v>23330</v>
      </c>
      <c r="F2830" t="s">
        <v>24875</v>
      </c>
      <c r="G2830" t="s">
        <v>24876</v>
      </c>
    </row>
    <row r="2831" spans="1:7">
      <c r="A2831" t="s">
        <v>24884</v>
      </c>
      <c r="B2831" t="s">
        <v>8607</v>
      </c>
      <c r="D2831" s="28" t="s">
        <v>24874</v>
      </c>
      <c r="E2831" t="s">
        <v>23330</v>
      </c>
      <c r="F2831" t="s">
        <v>24875</v>
      </c>
      <c r="G2831" t="s">
        <v>24876</v>
      </c>
    </row>
    <row r="2832" spans="1:7">
      <c r="A2832" t="s">
        <v>24885</v>
      </c>
      <c r="B2832" t="s">
        <v>8607</v>
      </c>
      <c r="D2832" s="28" t="s">
        <v>24874</v>
      </c>
      <c r="E2832" t="s">
        <v>23330</v>
      </c>
      <c r="F2832" t="s">
        <v>24875</v>
      </c>
      <c r="G2832" t="s">
        <v>24876</v>
      </c>
    </row>
    <row r="2833" spans="1:7">
      <c r="A2833" t="s">
        <v>24886</v>
      </c>
      <c r="B2833" t="s">
        <v>8607</v>
      </c>
      <c r="D2833" s="28" t="s">
        <v>24874</v>
      </c>
      <c r="E2833" t="s">
        <v>23330</v>
      </c>
      <c r="F2833" t="s">
        <v>24875</v>
      </c>
      <c r="G2833" t="s">
        <v>24876</v>
      </c>
    </row>
    <row r="2834" spans="1:7">
      <c r="A2834" t="s">
        <v>24887</v>
      </c>
      <c r="B2834" t="s">
        <v>8607</v>
      </c>
      <c r="C2834" t="s">
        <v>24867</v>
      </c>
      <c r="D2834" s="28" t="s">
        <v>24888</v>
      </c>
      <c r="E2834" t="s">
        <v>23330</v>
      </c>
      <c r="F2834" t="s">
        <v>8774</v>
      </c>
      <c r="G2834" t="s">
        <v>24889</v>
      </c>
    </row>
    <row r="2835" spans="1:7">
      <c r="A2835" t="s">
        <v>24890</v>
      </c>
      <c r="B2835" t="s">
        <v>8626</v>
      </c>
      <c r="D2835" s="28" t="s">
        <v>24891</v>
      </c>
      <c r="E2835" t="s">
        <v>23330</v>
      </c>
      <c r="F2835" t="s">
        <v>8774</v>
      </c>
      <c r="G2835" t="s">
        <v>24892</v>
      </c>
    </row>
    <row r="2836" spans="1:7">
      <c r="A2836" t="s">
        <v>24893</v>
      </c>
      <c r="B2836" t="s">
        <v>8626</v>
      </c>
      <c r="C2836" t="s">
        <v>24894</v>
      </c>
      <c r="D2836" s="28" t="s">
        <v>24895</v>
      </c>
      <c r="E2836" t="s">
        <v>23330</v>
      </c>
      <c r="F2836" t="s">
        <v>17760</v>
      </c>
      <c r="G2836" t="s">
        <v>24896</v>
      </c>
    </row>
    <row r="2837" spans="1:7">
      <c r="A2837" t="s">
        <v>24897</v>
      </c>
      <c r="B2837" t="s">
        <v>8626</v>
      </c>
      <c r="D2837" s="28" t="s">
        <v>24898</v>
      </c>
      <c r="E2837" t="s">
        <v>23330</v>
      </c>
      <c r="F2837" t="s">
        <v>17760</v>
      </c>
      <c r="G2837" t="s">
        <v>24899</v>
      </c>
    </row>
    <row r="2838" spans="1:7">
      <c r="A2838" t="s">
        <v>24900</v>
      </c>
      <c r="B2838" t="s">
        <v>8626</v>
      </c>
      <c r="D2838" s="28" t="s">
        <v>24898</v>
      </c>
      <c r="E2838" t="s">
        <v>23330</v>
      </c>
      <c r="F2838" t="s">
        <v>17760</v>
      </c>
      <c r="G2838" t="s">
        <v>24899</v>
      </c>
    </row>
    <row r="2839" spans="1:7">
      <c r="A2839" t="s">
        <v>24901</v>
      </c>
      <c r="B2839" t="s">
        <v>8626</v>
      </c>
      <c r="D2839" s="28" t="s">
        <v>24902</v>
      </c>
      <c r="E2839" t="s">
        <v>23330</v>
      </c>
      <c r="F2839" t="s">
        <v>17760</v>
      </c>
      <c r="G2839" t="s">
        <v>24903</v>
      </c>
    </row>
    <row r="2840" spans="1:7">
      <c r="A2840" t="s">
        <v>24904</v>
      </c>
      <c r="B2840" t="s">
        <v>8626</v>
      </c>
      <c r="D2840" s="28" t="s">
        <v>24905</v>
      </c>
      <c r="E2840" t="s">
        <v>23330</v>
      </c>
      <c r="F2840" t="s">
        <v>17760</v>
      </c>
      <c r="G2840" t="s">
        <v>24906</v>
      </c>
    </row>
    <row r="2841" spans="1:7">
      <c r="A2841" t="s">
        <v>24907</v>
      </c>
      <c r="B2841" t="s">
        <v>8626</v>
      </c>
      <c r="D2841" s="28" t="s">
        <v>24905</v>
      </c>
      <c r="E2841" t="s">
        <v>23330</v>
      </c>
      <c r="F2841" t="s">
        <v>17760</v>
      </c>
      <c r="G2841" t="s">
        <v>24906</v>
      </c>
    </row>
    <row r="2842" spans="1:7">
      <c r="A2842" t="s">
        <v>24908</v>
      </c>
      <c r="B2842" t="s">
        <v>8607</v>
      </c>
      <c r="D2842" s="28" t="s">
        <v>24909</v>
      </c>
      <c r="E2842" t="s">
        <v>23330</v>
      </c>
      <c r="F2842" t="s">
        <v>17760</v>
      </c>
      <c r="G2842" t="s">
        <v>24526</v>
      </c>
    </row>
    <row r="2843" spans="1:7">
      <c r="A2843" t="s">
        <v>24910</v>
      </c>
      <c r="B2843" t="s">
        <v>8626</v>
      </c>
      <c r="D2843" s="28" t="s">
        <v>24911</v>
      </c>
      <c r="E2843" t="s">
        <v>23330</v>
      </c>
      <c r="F2843" t="s">
        <v>17760</v>
      </c>
      <c r="G2843" t="s">
        <v>24541</v>
      </c>
    </row>
    <row r="2844" spans="1:7">
      <c r="A2844" t="s">
        <v>24912</v>
      </c>
      <c r="B2844" t="s">
        <v>8626</v>
      </c>
      <c r="D2844" s="28" t="s">
        <v>24911</v>
      </c>
      <c r="E2844" t="s">
        <v>23330</v>
      </c>
      <c r="F2844" t="s">
        <v>17760</v>
      </c>
      <c r="G2844" t="s">
        <v>24541</v>
      </c>
    </row>
    <row r="2845" spans="1:7">
      <c r="A2845" t="s">
        <v>24913</v>
      </c>
      <c r="B2845" t="s">
        <v>8607</v>
      </c>
      <c r="C2845" t="s">
        <v>24524</v>
      </c>
      <c r="D2845" s="28" t="s">
        <v>24914</v>
      </c>
      <c r="E2845" t="s">
        <v>23330</v>
      </c>
      <c r="F2845" t="s">
        <v>17760</v>
      </c>
      <c r="G2845" t="s">
        <v>24526</v>
      </c>
    </row>
    <row r="2846" spans="1:7">
      <c r="A2846" t="s">
        <v>24915</v>
      </c>
      <c r="B2846" t="s">
        <v>8607</v>
      </c>
      <c r="C2846" t="s">
        <v>24656</v>
      </c>
      <c r="D2846" s="28" t="s">
        <v>24914</v>
      </c>
      <c r="E2846" t="s">
        <v>23330</v>
      </c>
      <c r="F2846" t="s">
        <v>17760</v>
      </c>
      <c r="G2846" t="s">
        <v>24526</v>
      </c>
    </row>
    <row r="2847" spans="1:7">
      <c r="A2847" t="s">
        <v>24916</v>
      </c>
      <c r="B2847" t="s">
        <v>8626</v>
      </c>
      <c r="D2847" s="28" t="s">
        <v>24914</v>
      </c>
      <c r="E2847" t="s">
        <v>23330</v>
      </c>
      <c r="F2847" t="s">
        <v>17760</v>
      </c>
      <c r="G2847" t="s">
        <v>24541</v>
      </c>
    </row>
    <row r="2848" spans="1:7">
      <c r="A2848" t="s">
        <v>24917</v>
      </c>
      <c r="B2848" t="s">
        <v>8607</v>
      </c>
      <c r="D2848" s="28" t="s">
        <v>24914</v>
      </c>
      <c r="E2848" t="s">
        <v>23330</v>
      </c>
      <c r="F2848" t="s">
        <v>17760</v>
      </c>
      <c r="G2848" t="s">
        <v>24526</v>
      </c>
    </row>
    <row r="2849" spans="1:7">
      <c r="A2849" t="s">
        <v>24918</v>
      </c>
      <c r="B2849" t="s">
        <v>8607</v>
      </c>
      <c r="C2849" t="s">
        <v>24524</v>
      </c>
      <c r="D2849" s="28" t="s">
        <v>24914</v>
      </c>
      <c r="E2849" t="s">
        <v>23330</v>
      </c>
      <c r="F2849" t="s">
        <v>17760</v>
      </c>
      <c r="G2849" t="s">
        <v>24526</v>
      </c>
    </row>
    <row r="2850" spans="1:7">
      <c r="A2850" t="s">
        <v>24919</v>
      </c>
      <c r="B2850" t="s">
        <v>8626</v>
      </c>
      <c r="C2850" t="s">
        <v>24656</v>
      </c>
      <c r="D2850" s="28" t="s">
        <v>24914</v>
      </c>
      <c r="E2850" t="s">
        <v>23330</v>
      </c>
      <c r="F2850" t="s">
        <v>17760</v>
      </c>
      <c r="G2850" t="s">
        <v>24541</v>
      </c>
    </row>
    <row r="2851" spans="1:7">
      <c r="A2851" t="s">
        <v>24920</v>
      </c>
      <c r="B2851" t="s">
        <v>8626</v>
      </c>
      <c r="D2851" s="28" t="s">
        <v>24914</v>
      </c>
      <c r="E2851" t="s">
        <v>23330</v>
      </c>
      <c r="F2851" t="s">
        <v>17760</v>
      </c>
      <c r="G2851" t="s">
        <v>24541</v>
      </c>
    </row>
    <row r="2852" spans="1:7">
      <c r="A2852" t="s">
        <v>24921</v>
      </c>
      <c r="B2852" t="s">
        <v>8626</v>
      </c>
      <c r="D2852" s="28" t="s">
        <v>24922</v>
      </c>
      <c r="E2852" t="s">
        <v>23330</v>
      </c>
      <c r="F2852" t="s">
        <v>17760</v>
      </c>
      <c r="G2852" t="s">
        <v>24541</v>
      </c>
    </row>
    <row r="2853" spans="1:7">
      <c r="A2853" t="s">
        <v>24923</v>
      </c>
      <c r="B2853" t="s">
        <v>8607</v>
      </c>
      <c r="D2853" s="28" t="s">
        <v>24922</v>
      </c>
      <c r="E2853" t="s">
        <v>23330</v>
      </c>
      <c r="F2853" t="s">
        <v>24924</v>
      </c>
      <c r="G2853" t="s">
        <v>24526</v>
      </c>
    </row>
    <row r="2854" spans="1:7">
      <c r="A2854" t="s">
        <v>24925</v>
      </c>
      <c r="B2854" t="s">
        <v>8607</v>
      </c>
      <c r="D2854" s="28" t="s">
        <v>24926</v>
      </c>
      <c r="E2854" t="s">
        <v>23330</v>
      </c>
      <c r="F2854" t="s">
        <v>17760</v>
      </c>
      <c r="G2854" t="s">
        <v>24927</v>
      </c>
    </row>
    <row r="2855" spans="1:7">
      <c r="A2855" t="s">
        <v>24928</v>
      </c>
      <c r="B2855" t="s">
        <v>8607</v>
      </c>
      <c r="D2855" s="28" t="s">
        <v>24929</v>
      </c>
      <c r="E2855" t="s">
        <v>23330</v>
      </c>
      <c r="F2855" t="s">
        <v>24930</v>
      </c>
      <c r="G2855" t="s">
        <v>24931</v>
      </c>
    </row>
    <row r="2856" spans="1:7">
      <c r="A2856" t="s">
        <v>24932</v>
      </c>
      <c r="B2856" t="s">
        <v>8607</v>
      </c>
      <c r="D2856" s="28" t="s">
        <v>24933</v>
      </c>
      <c r="E2856" t="s">
        <v>23330</v>
      </c>
      <c r="F2856" t="s">
        <v>17381</v>
      </c>
      <c r="G2856" t="s">
        <v>24934</v>
      </c>
    </row>
    <row r="2857" spans="1:7">
      <c r="A2857" t="s">
        <v>24935</v>
      </c>
      <c r="B2857" t="s">
        <v>8607</v>
      </c>
      <c r="D2857" s="28" t="s">
        <v>24933</v>
      </c>
      <c r="E2857" t="s">
        <v>23330</v>
      </c>
      <c r="F2857" t="s">
        <v>17381</v>
      </c>
      <c r="G2857" t="s">
        <v>24934</v>
      </c>
    </row>
    <row r="2858" spans="1:7">
      <c r="A2858" t="s">
        <v>24936</v>
      </c>
      <c r="B2858" t="s">
        <v>8607</v>
      </c>
      <c r="C2858" t="s">
        <v>24937</v>
      </c>
      <c r="D2858" s="28" t="s">
        <v>24933</v>
      </c>
      <c r="E2858" t="s">
        <v>23330</v>
      </c>
      <c r="F2858" t="s">
        <v>17381</v>
      </c>
      <c r="G2858" t="s">
        <v>24934</v>
      </c>
    </row>
    <row r="2859" spans="1:7">
      <c r="A2859" t="s">
        <v>24938</v>
      </c>
      <c r="B2859" t="s">
        <v>8607</v>
      </c>
      <c r="D2859" s="28" t="s">
        <v>24933</v>
      </c>
      <c r="E2859" t="s">
        <v>23330</v>
      </c>
      <c r="F2859" t="s">
        <v>17381</v>
      </c>
      <c r="G2859" t="s">
        <v>24939</v>
      </c>
    </row>
    <row r="2860" spans="1:7">
      <c r="A2860" t="s">
        <v>24940</v>
      </c>
      <c r="B2860" t="s">
        <v>8607</v>
      </c>
      <c r="C2860" t="s">
        <v>24937</v>
      </c>
      <c r="D2860" s="28" t="s">
        <v>24933</v>
      </c>
      <c r="E2860" t="s">
        <v>23330</v>
      </c>
      <c r="F2860" t="s">
        <v>17381</v>
      </c>
      <c r="G2860" t="s">
        <v>24934</v>
      </c>
    </row>
    <row r="2861" spans="1:7">
      <c r="A2861" t="s">
        <v>24941</v>
      </c>
      <c r="B2861" t="s">
        <v>8607</v>
      </c>
      <c r="D2861" s="28" t="s">
        <v>24933</v>
      </c>
      <c r="E2861" t="s">
        <v>23330</v>
      </c>
      <c r="F2861" t="s">
        <v>17381</v>
      </c>
      <c r="G2861" t="s">
        <v>24934</v>
      </c>
    </row>
    <row r="2862" spans="1:7">
      <c r="A2862" t="s">
        <v>24942</v>
      </c>
      <c r="B2862" t="s">
        <v>8626</v>
      </c>
      <c r="C2862" t="s">
        <v>24943</v>
      </c>
      <c r="D2862" s="28" t="s">
        <v>24944</v>
      </c>
      <c r="E2862" t="s">
        <v>23330</v>
      </c>
      <c r="F2862" t="s">
        <v>17381</v>
      </c>
      <c r="G2862" t="s">
        <v>24945</v>
      </c>
    </row>
    <row r="2863" spans="1:7">
      <c r="A2863" t="s">
        <v>24946</v>
      </c>
      <c r="B2863" t="s">
        <v>8626</v>
      </c>
      <c r="C2863" t="s">
        <v>24943</v>
      </c>
      <c r="D2863" s="28" t="s">
        <v>24947</v>
      </c>
      <c r="E2863" t="s">
        <v>23330</v>
      </c>
      <c r="F2863" t="s">
        <v>17381</v>
      </c>
      <c r="G2863" t="s">
        <v>24948</v>
      </c>
    </row>
    <row r="2864" spans="1:7">
      <c r="A2864" t="s">
        <v>24949</v>
      </c>
      <c r="B2864" t="s">
        <v>8607</v>
      </c>
      <c r="C2864" t="s">
        <v>24937</v>
      </c>
      <c r="D2864" s="28" t="s">
        <v>24950</v>
      </c>
      <c r="E2864" t="s">
        <v>23330</v>
      </c>
      <c r="F2864" t="s">
        <v>17381</v>
      </c>
      <c r="G2864" t="s">
        <v>24951</v>
      </c>
    </row>
    <row r="2865" spans="1:7">
      <c r="A2865" t="s">
        <v>24952</v>
      </c>
      <c r="B2865" t="s">
        <v>8626</v>
      </c>
      <c r="C2865" t="s">
        <v>24943</v>
      </c>
      <c r="D2865" s="28" t="s">
        <v>24953</v>
      </c>
      <c r="E2865" t="s">
        <v>23330</v>
      </c>
      <c r="F2865" t="s">
        <v>17381</v>
      </c>
      <c r="G2865" t="s">
        <v>24948</v>
      </c>
    </row>
    <row r="2866" spans="1:7">
      <c r="A2866" t="s">
        <v>24954</v>
      </c>
      <c r="B2866" t="s">
        <v>8607</v>
      </c>
      <c r="D2866" s="28" t="s">
        <v>24955</v>
      </c>
      <c r="E2866" t="s">
        <v>23330</v>
      </c>
      <c r="F2866" t="s">
        <v>17779</v>
      </c>
      <c r="G2866" t="s">
        <v>24956</v>
      </c>
    </row>
    <row r="2867" spans="1:7">
      <c r="A2867" t="s">
        <v>24957</v>
      </c>
      <c r="B2867" t="s">
        <v>8607</v>
      </c>
      <c r="D2867" s="28" t="s">
        <v>24955</v>
      </c>
      <c r="E2867" t="s">
        <v>23330</v>
      </c>
      <c r="F2867" t="s">
        <v>17779</v>
      </c>
      <c r="G2867" t="s">
        <v>24956</v>
      </c>
    </row>
    <row r="2868" spans="1:7">
      <c r="A2868" t="s">
        <v>24958</v>
      </c>
      <c r="B2868" t="s">
        <v>8626</v>
      </c>
      <c r="D2868" s="28" t="s">
        <v>24959</v>
      </c>
      <c r="E2868" t="s">
        <v>23330</v>
      </c>
      <c r="F2868" t="s">
        <v>17305</v>
      </c>
      <c r="G2868" t="s">
        <v>24960</v>
      </c>
    </row>
    <row r="2869" spans="1:7">
      <c r="A2869" t="s">
        <v>24961</v>
      </c>
      <c r="B2869" t="s">
        <v>8607</v>
      </c>
      <c r="D2869" s="28" t="s">
        <v>24962</v>
      </c>
      <c r="E2869" t="s">
        <v>23330</v>
      </c>
      <c r="F2869" t="s">
        <v>17305</v>
      </c>
      <c r="G2869" t="s">
        <v>24963</v>
      </c>
    </row>
    <row r="2870" spans="1:7">
      <c r="A2870" t="s">
        <v>24964</v>
      </c>
      <c r="B2870" t="s">
        <v>8607</v>
      </c>
      <c r="C2870" t="s">
        <v>24965</v>
      </c>
      <c r="D2870" s="28" t="s">
        <v>24966</v>
      </c>
      <c r="E2870" t="s">
        <v>23330</v>
      </c>
      <c r="F2870" t="s">
        <v>17305</v>
      </c>
      <c r="G2870" t="s">
        <v>24967</v>
      </c>
    </row>
    <row r="2871" spans="1:7">
      <c r="A2871" t="s">
        <v>24968</v>
      </c>
      <c r="B2871" t="s">
        <v>8607</v>
      </c>
      <c r="C2871" t="s">
        <v>24965</v>
      </c>
      <c r="D2871" s="28" t="s">
        <v>24966</v>
      </c>
      <c r="E2871" t="s">
        <v>23330</v>
      </c>
      <c r="F2871" t="s">
        <v>17305</v>
      </c>
      <c r="G2871" t="s">
        <v>24967</v>
      </c>
    </row>
    <row r="2872" spans="1:7">
      <c r="A2872" t="s">
        <v>24969</v>
      </c>
      <c r="B2872" t="s">
        <v>8607</v>
      </c>
      <c r="C2872" t="s">
        <v>24965</v>
      </c>
      <c r="D2872" s="28" t="s">
        <v>24966</v>
      </c>
      <c r="E2872" t="s">
        <v>23330</v>
      </c>
      <c r="F2872" t="s">
        <v>17305</v>
      </c>
      <c r="G2872" t="s">
        <v>24967</v>
      </c>
    </row>
    <row r="2873" spans="1:7">
      <c r="A2873" t="s">
        <v>24970</v>
      </c>
      <c r="B2873" t="s">
        <v>8607</v>
      </c>
      <c r="C2873" t="s">
        <v>24971</v>
      </c>
      <c r="D2873" s="28" t="s">
        <v>24966</v>
      </c>
      <c r="E2873" t="s">
        <v>23330</v>
      </c>
      <c r="F2873" t="s">
        <v>17305</v>
      </c>
      <c r="G2873" t="s">
        <v>24967</v>
      </c>
    </row>
    <row r="2874" spans="1:7">
      <c r="A2874" t="s">
        <v>24972</v>
      </c>
      <c r="B2874" t="s">
        <v>8607</v>
      </c>
      <c r="D2874" s="28" t="s">
        <v>24966</v>
      </c>
      <c r="E2874" t="s">
        <v>23330</v>
      </c>
      <c r="F2874" t="s">
        <v>17305</v>
      </c>
      <c r="G2874" t="s">
        <v>24973</v>
      </c>
    </row>
    <row r="2875" spans="1:7">
      <c r="A2875" t="s">
        <v>24974</v>
      </c>
      <c r="B2875" t="s">
        <v>8607</v>
      </c>
      <c r="D2875" s="28" t="s">
        <v>24966</v>
      </c>
      <c r="E2875" t="s">
        <v>23330</v>
      </c>
      <c r="F2875" t="s">
        <v>17305</v>
      </c>
      <c r="G2875" t="s">
        <v>24967</v>
      </c>
    </row>
    <row r="2876" spans="1:7">
      <c r="A2876" t="s">
        <v>24975</v>
      </c>
      <c r="B2876" t="s">
        <v>8626</v>
      </c>
      <c r="C2876" t="s">
        <v>24971</v>
      </c>
      <c r="D2876" s="28" t="s">
        <v>24966</v>
      </c>
      <c r="E2876" t="s">
        <v>23330</v>
      </c>
      <c r="F2876" t="s">
        <v>17305</v>
      </c>
      <c r="G2876" t="s">
        <v>24976</v>
      </c>
    </row>
    <row r="2877" spans="1:7">
      <c r="A2877" t="s">
        <v>24977</v>
      </c>
      <c r="B2877" t="s">
        <v>8607</v>
      </c>
      <c r="C2877" t="s">
        <v>24971</v>
      </c>
      <c r="D2877" s="28" t="s">
        <v>24978</v>
      </c>
      <c r="E2877" t="s">
        <v>23330</v>
      </c>
      <c r="F2877" t="s">
        <v>17305</v>
      </c>
      <c r="G2877" t="s">
        <v>24967</v>
      </c>
    </row>
    <row r="2878" spans="1:7">
      <c r="A2878" t="s">
        <v>24979</v>
      </c>
      <c r="B2878" t="s">
        <v>8607</v>
      </c>
      <c r="D2878" s="28" t="s">
        <v>24980</v>
      </c>
      <c r="E2878" t="s">
        <v>23330</v>
      </c>
      <c r="G2878" t="s">
        <v>24967</v>
      </c>
    </row>
    <row r="2879" spans="1:7">
      <c r="A2879" t="s">
        <v>24981</v>
      </c>
      <c r="B2879" t="s">
        <v>8626</v>
      </c>
      <c r="C2879" t="s">
        <v>24965</v>
      </c>
      <c r="D2879" s="28" t="s">
        <v>24982</v>
      </c>
      <c r="E2879" t="s">
        <v>23330</v>
      </c>
      <c r="F2879" t="s">
        <v>17305</v>
      </c>
      <c r="G2879" t="s">
        <v>24983</v>
      </c>
    </row>
    <row r="2880" spans="1:7">
      <c r="A2880" t="s">
        <v>24984</v>
      </c>
      <c r="B2880" t="s">
        <v>8607</v>
      </c>
      <c r="C2880" t="s">
        <v>17646</v>
      </c>
      <c r="D2880" s="28" t="s">
        <v>24985</v>
      </c>
      <c r="E2880" t="s">
        <v>23330</v>
      </c>
      <c r="F2880" t="s">
        <v>17320</v>
      </c>
      <c r="G2880" t="s">
        <v>17526</v>
      </c>
    </row>
    <row r="2881" spans="1:7">
      <c r="A2881" t="s">
        <v>24986</v>
      </c>
      <c r="C2881" t="s">
        <v>24987</v>
      </c>
      <c r="D2881" s="28" t="s">
        <v>24988</v>
      </c>
      <c r="E2881" t="s">
        <v>23330</v>
      </c>
      <c r="G2881" t="s">
        <v>24989</v>
      </c>
    </row>
    <row r="2882" spans="1:7">
      <c r="A2882" t="s">
        <v>24990</v>
      </c>
      <c r="B2882" t="s">
        <v>8626</v>
      </c>
      <c r="D2882" s="28" t="s">
        <v>24991</v>
      </c>
      <c r="E2882" t="s">
        <v>23330</v>
      </c>
      <c r="F2882" t="s">
        <v>24992</v>
      </c>
      <c r="G2882" t="s">
        <v>24993</v>
      </c>
    </row>
    <row r="2883" spans="1:7">
      <c r="A2883" t="s">
        <v>24994</v>
      </c>
      <c r="B2883" t="s">
        <v>8607</v>
      </c>
      <c r="D2883" s="28" t="s">
        <v>24995</v>
      </c>
      <c r="E2883" t="s">
        <v>23330</v>
      </c>
      <c r="F2883" t="s">
        <v>21331</v>
      </c>
      <c r="G2883" t="s">
        <v>24996</v>
      </c>
    </row>
    <row r="2884" spans="1:7">
      <c r="A2884" t="s">
        <v>24997</v>
      </c>
      <c r="B2884" t="s">
        <v>8607</v>
      </c>
      <c r="D2884" s="28" t="s">
        <v>24998</v>
      </c>
      <c r="E2884" t="s">
        <v>23330</v>
      </c>
      <c r="F2884" t="s">
        <v>21331</v>
      </c>
      <c r="G2884" t="s">
        <v>24999</v>
      </c>
    </row>
    <row r="2885" spans="1:7">
      <c r="A2885" t="s">
        <v>25000</v>
      </c>
      <c r="B2885" t="s">
        <v>8607</v>
      </c>
      <c r="C2885" t="s">
        <v>17376</v>
      </c>
      <c r="D2885" s="28" t="s">
        <v>17720</v>
      </c>
      <c r="E2885" t="s">
        <v>23330</v>
      </c>
      <c r="F2885" t="s">
        <v>17721</v>
      </c>
      <c r="G2885" t="s">
        <v>25001</v>
      </c>
    </row>
    <row r="2886" spans="1:7">
      <c r="A2886" t="s">
        <v>25002</v>
      </c>
      <c r="B2886" t="s">
        <v>8607</v>
      </c>
      <c r="C2886" t="s">
        <v>17376</v>
      </c>
      <c r="D2886" s="28" t="s">
        <v>17720</v>
      </c>
      <c r="E2886" t="s">
        <v>23330</v>
      </c>
      <c r="F2886" t="s">
        <v>21567</v>
      </c>
      <c r="G2886" t="s">
        <v>25003</v>
      </c>
    </row>
    <row r="2887" spans="1:7">
      <c r="A2887" t="s">
        <v>25004</v>
      </c>
      <c r="B2887" t="s">
        <v>8607</v>
      </c>
      <c r="C2887" t="s">
        <v>17376</v>
      </c>
      <c r="D2887" s="28" t="s">
        <v>17720</v>
      </c>
      <c r="E2887" t="s">
        <v>23330</v>
      </c>
      <c r="F2887" t="s">
        <v>21567</v>
      </c>
      <c r="G2887" t="s">
        <v>25005</v>
      </c>
    </row>
    <row r="2888" spans="1:7">
      <c r="A2888" t="s">
        <v>25006</v>
      </c>
      <c r="B2888" t="s">
        <v>8626</v>
      </c>
      <c r="C2888" t="s">
        <v>17376</v>
      </c>
      <c r="D2888" s="28" t="s">
        <v>17720</v>
      </c>
      <c r="E2888" t="s">
        <v>23330</v>
      </c>
      <c r="F2888" t="s">
        <v>17850</v>
      </c>
      <c r="G2888" t="s">
        <v>25007</v>
      </c>
    </row>
    <row r="2889" spans="1:7">
      <c r="A2889" t="s">
        <v>25008</v>
      </c>
      <c r="B2889" t="s">
        <v>8626</v>
      </c>
      <c r="D2889" s="28" t="s">
        <v>25009</v>
      </c>
      <c r="E2889" t="s">
        <v>23330</v>
      </c>
      <c r="F2889" t="s">
        <v>17850</v>
      </c>
      <c r="G2889" t="s">
        <v>25010</v>
      </c>
    </row>
    <row r="2890" spans="1:7">
      <c r="A2890" t="s">
        <v>25011</v>
      </c>
      <c r="B2890" t="s">
        <v>8607</v>
      </c>
      <c r="D2890" s="28" t="s">
        <v>25009</v>
      </c>
      <c r="E2890" t="s">
        <v>23330</v>
      </c>
      <c r="F2890" t="s">
        <v>17850</v>
      </c>
      <c r="G2890" t="s">
        <v>25012</v>
      </c>
    </row>
    <row r="2891" spans="1:7">
      <c r="A2891" t="s">
        <v>25013</v>
      </c>
      <c r="B2891" t="s">
        <v>8607</v>
      </c>
      <c r="D2891" s="28" t="s">
        <v>25009</v>
      </c>
      <c r="E2891" t="s">
        <v>23330</v>
      </c>
      <c r="F2891" t="s">
        <v>17850</v>
      </c>
      <c r="G2891" t="s">
        <v>25014</v>
      </c>
    </row>
    <row r="2892" spans="1:7">
      <c r="A2892" t="s">
        <v>25015</v>
      </c>
      <c r="B2892" t="s">
        <v>8607</v>
      </c>
      <c r="D2892" s="28" t="s">
        <v>25016</v>
      </c>
      <c r="E2892" t="s">
        <v>23330</v>
      </c>
      <c r="F2892" t="s">
        <v>17850</v>
      </c>
      <c r="G2892" t="s">
        <v>25017</v>
      </c>
    </row>
    <row r="2893" spans="1:7">
      <c r="A2893" t="s">
        <v>25018</v>
      </c>
      <c r="B2893" t="s">
        <v>8607</v>
      </c>
      <c r="D2893" s="28" t="s">
        <v>25016</v>
      </c>
      <c r="E2893" t="s">
        <v>23330</v>
      </c>
      <c r="F2893" t="s">
        <v>17850</v>
      </c>
      <c r="G2893" t="s">
        <v>25017</v>
      </c>
    </row>
    <row r="2894" spans="1:7">
      <c r="A2894" t="s">
        <v>25019</v>
      </c>
      <c r="B2894" t="s">
        <v>8607</v>
      </c>
      <c r="D2894" s="28" t="s">
        <v>25016</v>
      </c>
      <c r="E2894" t="s">
        <v>23330</v>
      </c>
      <c r="F2894" t="s">
        <v>17850</v>
      </c>
      <c r="G2894" t="s">
        <v>25020</v>
      </c>
    </row>
    <row r="2895" spans="1:7">
      <c r="A2895" t="s">
        <v>25021</v>
      </c>
      <c r="B2895" t="s">
        <v>8607</v>
      </c>
      <c r="D2895" s="28" t="s">
        <v>25016</v>
      </c>
      <c r="E2895" t="s">
        <v>23330</v>
      </c>
      <c r="F2895" t="s">
        <v>17850</v>
      </c>
      <c r="G2895" t="s">
        <v>25017</v>
      </c>
    </row>
    <row r="2896" spans="1:7">
      <c r="A2896" t="s">
        <v>25022</v>
      </c>
      <c r="B2896" t="s">
        <v>8607</v>
      </c>
      <c r="D2896" s="28" t="s">
        <v>25016</v>
      </c>
      <c r="E2896" t="s">
        <v>23330</v>
      </c>
      <c r="F2896" t="s">
        <v>17850</v>
      </c>
      <c r="G2896" t="s">
        <v>25017</v>
      </c>
    </row>
    <row r="2897" spans="1:7">
      <c r="A2897" t="s">
        <v>25023</v>
      </c>
      <c r="B2897" t="s">
        <v>8607</v>
      </c>
      <c r="D2897" s="28" t="s">
        <v>25024</v>
      </c>
      <c r="E2897" t="s">
        <v>23330</v>
      </c>
      <c r="F2897" t="s">
        <v>24224</v>
      </c>
      <c r="G2897" t="s">
        <v>25025</v>
      </c>
    </row>
    <row r="2898" spans="1:7">
      <c r="A2898" t="s">
        <v>25026</v>
      </c>
      <c r="B2898" t="s">
        <v>8626</v>
      </c>
      <c r="D2898" s="28" t="s">
        <v>25027</v>
      </c>
      <c r="E2898" t="s">
        <v>23330</v>
      </c>
      <c r="G2898" t="s">
        <v>25028</v>
      </c>
    </row>
    <row r="2899" spans="1:7">
      <c r="A2899" t="s">
        <v>25029</v>
      </c>
      <c r="B2899" t="s">
        <v>8626</v>
      </c>
      <c r="D2899" s="28" t="s">
        <v>25027</v>
      </c>
      <c r="E2899" t="s">
        <v>23330</v>
      </c>
      <c r="F2899" t="s">
        <v>21567</v>
      </c>
      <c r="G2899" t="s">
        <v>25030</v>
      </c>
    </row>
    <row r="2900" spans="1:7">
      <c r="A2900" t="s">
        <v>25031</v>
      </c>
      <c r="B2900" t="s">
        <v>8607</v>
      </c>
      <c r="D2900" s="28" t="s">
        <v>25032</v>
      </c>
      <c r="E2900" t="s">
        <v>23330</v>
      </c>
      <c r="F2900" t="s">
        <v>17850</v>
      </c>
      <c r="G2900" t="s">
        <v>25012</v>
      </c>
    </row>
    <row r="2901" spans="1:7">
      <c r="A2901" t="s">
        <v>25033</v>
      </c>
      <c r="B2901" t="s">
        <v>8626</v>
      </c>
      <c r="D2901" s="28" t="s">
        <v>25034</v>
      </c>
      <c r="E2901" t="s">
        <v>23330</v>
      </c>
      <c r="F2901" t="s">
        <v>17850</v>
      </c>
      <c r="G2901" t="s">
        <v>25035</v>
      </c>
    </row>
    <row r="2902" spans="1:7">
      <c r="A2902" t="s">
        <v>25036</v>
      </c>
      <c r="B2902" t="s">
        <v>8607</v>
      </c>
      <c r="D2902" s="28" t="s">
        <v>25037</v>
      </c>
      <c r="E2902" t="s">
        <v>23330</v>
      </c>
      <c r="F2902" t="s">
        <v>21206</v>
      </c>
      <c r="G2902" t="s">
        <v>21207</v>
      </c>
    </row>
    <row r="2903" spans="1:7">
      <c r="A2903" t="s">
        <v>25038</v>
      </c>
      <c r="B2903" t="s">
        <v>8607</v>
      </c>
      <c r="D2903" s="28" t="s">
        <v>25039</v>
      </c>
      <c r="E2903" t="s">
        <v>23330</v>
      </c>
      <c r="F2903" t="s">
        <v>17850</v>
      </c>
      <c r="G2903" t="s">
        <v>25040</v>
      </c>
    </row>
    <row r="2904" spans="1:7">
      <c r="A2904" t="s">
        <v>25041</v>
      </c>
      <c r="B2904" t="s">
        <v>8607</v>
      </c>
      <c r="C2904" t="s">
        <v>23400</v>
      </c>
      <c r="D2904" s="28" t="s">
        <v>25042</v>
      </c>
      <c r="E2904" t="s">
        <v>23330</v>
      </c>
      <c r="F2904" t="s">
        <v>17305</v>
      </c>
      <c r="G2904" t="s">
        <v>25043</v>
      </c>
    </row>
    <row r="2905" spans="1:7">
      <c r="A2905" t="s">
        <v>25044</v>
      </c>
      <c r="B2905" t="s">
        <v>8607</v>
      </c>
      <c r="C2905" t="s">
        <v>23400</v>
      </c>
      <c r="D2905" s="28" t="s">
        <v>25045</v>
      </c>
      <c r="E2905" t="s">
        <v>23330</v>
      </c>
      <c r="F2905" t="s">
        <v>17305</v>
      </c>
      <c r="G2905" t="s">
        <v>25046</v>
      </c>
    </row>
    <row r="2906" spans="1:7">
      <c r="A2906" t="s">
        <v>25047</v>
      </c>
      <c r="B2906" t="s">
        <v>8626</v>
      </c>
      <c r="C2906" t="s">
        <v>23400</v>
      </c>
      <c r="D2906" s="28" t="s">
        <v>25048</v>
      </c>
      <c r="E2906" t="s">
        <v>23330</v>
      </c>
      <c r="F2906" t="s">
        <v>17305</v>
      </c>
      <c r="G2906" t="s">
        <v>25049</v>
      </c>
    </row>
    <row r="2907" spans="1:7">
      <c r="A2907" t="s">
        <v>25050</v>
      </c>
      <c r="B2907" t="s">
        <v>8626</v>
      </c>
      <c r="C2907" t="s">
        <v>23400</v>
      </c>
      <c r="D2907" s="28" t="s">
        <v>25048</v>
      </c>
      <c r="E2907" t="s">
        <v>23330</v>
      </c>
      <c r="F2907" t="s">
        <v>17305</v>
      </c>
      <c r="G2907" t="s">
        <v>25051</v>
      </c>
    </row>
    <row r="2908" spans="1:7">
      <c r="A2908" t="s">
        <v>25052</v>
      </c>
      <c r="B2908" t="s">
        <v>8607</v>
      </c>
      <c r="D2908" s="28" t="s">
        <v>25053</v>
      </c>
      <c r="E2908" t="s">
        <v>23330</v>
      </c>
      <c r="F2908" t="s">
        <v>25054</v>
      </c>
      <c r="G2908" t="s">
        <v>25055</v>
      </c>
    </row>
    <row r="2909" spans="1:7">
      <c r="A2909" t="s">
        <v>25056</v>
      </c>
      <c r="B2909" t="s">
        <v>8626</v>
      </c>
      <c r="D2909" s="28" t="s">
        <v>25057</v>
      </c>
      <c r="E2909" t="s">
        <v>23330</v>
      </c>
      <c r="F2909" t="s">
        <v>25054</v>
      </c>
      <c r="G2909" t="s">
        <v>25058</v>
      </c>
    </row>
    <row r="2910" spans="1:7">
      <c r="A2910" t="s">
        <v>25059</v>
      </c>
      <c r="B2910" t="s">
        <v>8607</v>
      </c>
      <c r="C2910" t="s">
        <v>25060</v>
      </c>
      <c r="D2910" t="s">
        <v>25061</v>
      </c>
      <c r="E2910" t="e">
        <f t="shared" ref="E2910:E2973" si="0">SEARCH("INFORMATION STORAGE AND PROCESSING",D2910)</f>
        <v>#VALUE!</v>
      </c>
      <c r="F2910" t="s">
        <v>23160</v>
      </c>
      <c r="G2910" t="s">
        <v>25062</v>
      </c>
    </row>
    <row r="2911" spans="1:7">
      <c r="A2911" t="s">
        <v>25063</v>
      </c>
      <c r="B2911" t="s">
        <v>8626</v>
      </c>
      <c r="C2911" t="s">
        <v>25060</v>
      </c>
      <c r="D2911" t="s">
        <v>25061</v>
      </c>
      <c r="E2911" t="e">
        <f t="shared" si="0"/>
        <v>#VALUE!</v>
      </c>
      <c r="F2911" t="s">
        <v>23160</v>
      </c>
      <c r="G2911" t="s">
        <v>25064</v>
      </c>
    </row>
    <row r="2912" spans="1:7">
      <c r="A2912" t="s">
        <v>25065</v>
      </c>
      <c r="B2912" t="s">
        <v>8607</v>
      </c>
      <c r="C2912" t="s">
        <v>25066</v>
      </c>
      <c r="D2912" t="s">
        <v>25067</v>
      </c>
      <c r="E2912" t="e">
        <f t="shared" si="0"/>
        <v>#VALUE!</v>
      </c>
      <c r="F2912" t="s">
        <v>9333</v>
      </c>
      <c r="G2912" t="s">
        <v>25068</v>
      </c>
    </row>
    <row r="2913" spans="1:7">
      <c r="A2913" t="s">
        <v>25069</v>
      </c>
      <c r="B2913" t="s">
        <v>8607</v>
      </c>
      <c r="D2913" t="s">
        <v>25070</v>
      </c>
      <c r="E2913" t="e">
        <f t="shared" si="0"/>
        <v>#VALUE!</v>
      </c>
      <c r="G2913" t="s">
        <v>25071</v>
      </c>
    </row>
    <row r="2914" spans="1:7">
      <c r="A2914" t="s">
        <v>25072</v>
      </c>
      <c r="B2914" t="s">
        <v>8626</v>
      </c>
      <c r="D2914" t="s">
        <v>25073</v>
      </c>
      <c r="E2914" t="e">
        <f t="shared" si="0"/>
        <v>#VALUE!</v>
      </c>
      <c r="F2914" t="s">
        <v>25074</v>
      </c>
      <c r="G2914" t="s">
        <v>25075</v>
      </c>
    </row>
    <row r="2915" spans="1:7">
      <c r="A2915" t="s">
        <v>25076</v>
      </c>
      <c r="B2915" t="s">
        <v>8626</v>
      </c>
      <c r="C2915" t="s">
        <v>25077</v>
      </c>
      <c r="D2915" t="s">
        <v>25078</v>
      </c>
      <c r="E2915" t="e">
        <f t="shared" si="0"/>
        <v>#VALUE!</v>
      </c>
      <c r="F2915" t="s">
        <v>25074</v>
      </c>
      <c r="G2915" t="s">
        <v>25079</v>
      </c>
    </row>
    <row r="2916" spans="1:7">
      <c r="A2916" t="s">
        <v>25080</v>
      </c>
      <c r="B2916" t="s">
        <v>8626</v>
      </c>
      <c r="C2916" t="s">
        <v>25081</v>
      </c>
      <c r="D2916" t="s">
        <v>25082</v>
      </c>
      <c r="E2916" t="e">
        <f t="shared" si="0"/>
        <v>#VALUE!</v>
      </c>
      <c r="F2916" t="s">
        <v>25074</v>
      </c>
      <c r="G2916" t="s">
        <v>25083</v>
      </c>
    </row>
    <row r="2917" spans="1:7">
      <c r="A2917" t="s">
        <v>25084</v>
      </c>
      <c r="B2917" t="s">
        <v>8626</v>
      </c>
      <c r="D2917" t="s">
        <v>25085</v>
      </c>
      <c r="E2917" t="e">
        <f t="shared" si="0"/>
        <v>#VALUE!</v>
      </c>
      <c r="F2917" t="s">
        <v>25074</v>
      </c>
      <c r="G2917" t="s">
        <v>25086</v>
      </c>
    </row>
    <row r="2918" spans="1:7">
      <c r="A2918" t="s">
        <v>25087</v>
      </c>
      <c r="B2918" t="s">
        <v>8607</v>
      </c>
      <c r="C2918" t="s">
        <v>25077</v>
      </c>
      <c r="D2918" t="s">
        <v>25088</v>
      </c>
      <c r="E2918" t="e">
        <f t="shared" si="0"/>
        <v>#VALUE!</v>
      </c>
      <c r="F2918" t="s">
        <v>25074</v>
      </c>
      <c r="G2918" t="s">
        <v>25089</v>
      </c>
    </row>
    <row r="2919" spans="1:7">
      <c r="A2919" t="s">
        <v>25090</v>
      </c>
      <c r="B2919" t="s">
        <v>8607</v>
      </c>
      <c r="D2919" t="s">
        <v>25091</v>
      </c>
      <c r="E2919" t="e">
        <f t="shared" si="0"/>
        <v>#VALUE!</v>
      </c>
      <c r="F2919" t="s">
        <v>25074</v>
      </c>
      <c r="G2919" t="s">
        <v>25092</v>
      </c>
    </row>
    <row r="2920" spans="1:7">
      <c r="A2920" t="s">
        <v>25093</v>
      </c>
      <c r="B2920" t="s">
        <v>8607</v>
      </c>
      <c r="D2920" t="s">
        <v>25091</v>
      </c>
      <c r="E2920" t="e">
        <f t="shared" si="0"/>
        <v>#VALUE!</v>
      </c>
      <c r="F2920" t="s">
        <v>25074</v>
      </c>
      <c r="G2920" t="s">
        <v>25094</v>
      </c>
    </row>
    <row r="2921" spans="1:7">
      <c r="A2921" t="s">
        <v>25095</v>
      </c>
      <c r="B2921" t="s">
        <v>8607</v>
      </c>
      <c r="D2921" t="s">
        <v>25091</v>
      </c>
      <c r="E2921" t="e">
        <f t="shared" si="0"/>
        <v>#VALUE!</v>
      </c>
      <c r="F2921" t="s">
        <v>25074</v>
      </c>
      <c r="G2921" t="s">
        <v>25092</v>
      </c>
    </row>
    <row r="2922" spans="1:7">
      <c r="A2922" t="s">
        <v>25096</v>
      </c>
      <c r="B2922" t="s">
        <v>8607</v>
      </c>
      <c r="C2922" t="s">
        <v>25097</v>
      </c>
      <c r="D2922" t="s">
        <v>25098</v>
      </c>
      <c r="E2922" t="e">
        <f t="shared" si="0"/>
        <v>#VALUE!</v>
      </c>
      <c r="F2922" t="s">
        <v>25074</v>
      </c>
      <c r="G2922" t="s">
        <v>25099</v>
      </c>
    </row>
    <row r="2923" spans="1:7">
      <c r="A2923" t="s">
        <v>25100</v>
      </c>
      <c r="B2923" t="s">
        <v>8607</v>
      </c>
      <c r="D2923" t="s">
        <v>25101</v>
      </c>
      <c r="E2923" t="e">
        <f t="shared" si="0"/>
        <v>#VALUE!</v>
      </c>
      <c r="F2923" t="s">
        <v>25102</v>
      </c>
      <c r="G2923" t="s">
        <v>25103</v>
      </c>
    </row>
    <row r="2924" spans="1:7">
      <c r="A2924" t="s">
        <v>25104</v>
      </c>
      <c r="B2924" t="s">
        <v>8607</v>
      </c>
      <c r="D2924" t="s">
        <v>25101</v>
      </c>
      <c r="E2924" t="e">
        <f t="shared" si="0"/>
        <v>#VALUE!</v>
      </c>
      <c r="F2924" t="s">
        <v>25102</v>
      </c>
      <c r="G2924" t="s">
        <v>25103</v>
      </c>
    </row>
    <row r="2925" spans="1:7">
      <c r="A2925" t="s">
        <v>25105</v>
      </c>
      <c r="C2925" t="s">
        <v>25106</v>
      </c>
      <c r="D2925" t="s">
        <v>25107</v>
      </c>
      <c r="E2925" t="e">
        <f t="shared" si="0"/>
        <v>#VALUE!</v>
      </c>
      <c r="G2925" t="s">
        <v>25108</v>
      </c>
    </row>
    <row r="2926" spans="1:7">
      <c r="A2926" t="s">
        <v>25109</v>
      </c>
      <c r="B2926" t="s">
        <v>8607</v>
      </c>
      <c r="D2926" t="s">
        <v>25110</v>
      </c>
      <c r="E2926" t="e">
        <f t="shared" si="0"/>
        <v>#VALUE!</v>
      </c>
      <c r="F2926" t="s">
        <v>19276</v>
      </c>
      <c r="G2926" t="s">
        <v>25111</v>
      </c>
    </row>
    <row r="2927" spans="1:7">
      <c r="A2927" t="s">
        <v>25112</v>
      </c>
      <c r="B2927" t="s">
        <v>8607</v>
      </c>
      <c r="D2927" t="s">
        <v>25110</v>
      </c>
      <c r="E2927" t="e">
        <f t="shared" si="0"/>
        <v>#VALUE!</v>
      </c>
      <c r="F2927" t="s">
        <v>19276</v>
      </c>
      <c r="G2927" t="s">
        <v>25113</v>
      </c>
    </row>
    <row r="2928" spans="1:7">
      <c r="A2928" t="s">
        <v>25114</v>
      </c>
      <c r="B2928" t="s">
        <v>8607</v>
      </c>
      <c r="C2928" t="s">
        <v>25115</v>
      </c>
      <c r="D2928" t="s">
        <v>25110</v>
      </c>
      <c r="E2928" t="e">
        <f t="shared" si="0"/>
        <v>#VALUE!</v>
      </c>
      <c r="F2928" t="s">
        <v>19276</v>
      </c>
      <c r="G2928" t="s">
        <v>25116</v>
      </c>
    </row>
    <row r="2929" spans="1:7">
      <c r="A2929" t="s">
        <v>25117</v>
      </c>
      <c r="B2929" t="s">
        <v>8607</v>
      </c>
      <c r="D2929" t="s">
        <v>25118</v>
      </c>
      <c r="E2929" t="e">
        <f t="shared" si="0"/>
        <v>#VALUE!</v>
      </c>
      <c r="F2929" t="s">
        <v>17760</v>
      </c>
      <c r="G2929" t="s">
        <v>25119</v>
      </c>
    </row>
    <row r="2930" spans="1:7">
      <c r="A2930" t="s">
        <v>25120</v>
      </c>
      <c r="B2930" t="s">
        <v>8626</v>
      </c>
      <c r="D2930" t="s">
        <v>25121</v>
      </c>
      <c r="E2930" t="e">
        <f t="shared" si="0"/>
        <v>#VALUE!</v>
      </c>
      <c r="F2930" t="s">
        <v>10645</v>
      </c>
      <c r="G2930" t="s">
        <v>25122</v>
      </c>
    </row>
    <row r="2931" spans="1:7">
      <c r="A2931" t="s">
        <v>25123</v>
      </c>
      <c r="B2931" t="s">
        <v>8626</v>
      </c>
      <c r="D2931" t="s">
        <v>25124</v>
      </c>
      <c r="E2931" t="e">
        <f t="shared" si="0"/>
        <v>#VALUE!</v>
      </c>
      <c r="G2931" t="s">
        <v>25125</v>
      </c>
    </row>
    <row r="2932" spans="1:7">
      <c r="A2932" t="s">
        <v>25126</v>
      </c>
      <c r="B2932" t="s">
        <v>8626</v>
      </c>
      <c r="D2932" t="s">
        <v>25127</v>
      </c>
      <c r="E2932" t="e">
        <f t="shared" si="0"/>
        <v>#VALUE!</v>
      </c>
      <c r="G2932" t="s">
        <v>25128</v>
      </c>
    </row>
    <row r="2933" spans="1:7">
      <c r="A2933" t="s">
        <v>25129</v>
      </c>
      <c r="B2933" t="s">
        <v>8626</v>
      </c>
      <c r="D2933" t="s">
        <v>25130</v>
      </c>
      <c r="E2933" t="e">
        <f t="shared" si="0"/>
        <v>#VALUE!</v>
      </c>
      <c r="F2933" t="s">
        <v>25131</v>
      </c>
      <c r="G2933" t="s">
        <v>25132</v>
      </c>
    </row>
    <row r="2934" spans="1:7">
      <c r="A2934" t="s">
        <v>25133</v>
      </c>
      <c r="B2934" t="s">
        <v>8626</v>
      </c>
      <c r="D2934" t="s">
        <v>25134</v>
      </c>
      <c r="E2934" t="e">
        <f t="shared" si="0"/>
        <v>#VALUE!</v>
      </c>
      <c r="F2934" t="s">
        <v>25131</v>
      </c>
      <c r="G2934" t="s">
        <v>25135</v>
      </c>
    </row>
    <row r="2935" spans="1:7">
      <c r="A2935" t="s">
        <v>25136</v>
      </c>
      <c r="B2935" t="s">
        <v>8626</v>
      </c>
      <c r="D2935" t="s">
        <v>25137</v>
      </c>
      <c r="E2935" t="e">
        <f t="shared" si="0"/>
        <v>#VALUE!</v>
      </c>
      <c r="F2935" t="s">
        <v>25131</v>
      </c>
      <c r="G2935" t="s">
        <v>25138</v>
      </c>
    </row>
    <row r="2936" spans="1:7">
      <c r="A2936" t="s">
        <v>25139</v>
      </c>
      <c r="B2936" t="s">
        <v>8607</v>
      </c>
      <c r="C2936" t="s">
        <v>25140</v>
      </c>
      <c r="D2936" t="s">
        <v>25137</v>
      </c>
      <c r="E2936" t="e">
        <f t="shared" si="0"/>
        <v>#VALUE!</v>
      </c>
      <c r="F2936" t="s">
        <v>25131</v>
      </c>
      <c r="G2936" t="s">
        <v>25141</v>
      </c>
    </row>
    <row r="2937" spans="1:7">
      <c r="A2937" t="s">
        <v>25142</v>
      </c>
      <c r="B2937" t="s">
        <v>8607</v>
      </c>
      <c r="D2937" t="s">
        <v>25143</v>
      </c>
      <c r="E2937" t="e">
        <f t="shared" si="0"/>
        <v>#VALUE!</v>
      </c>
      <c r="F2937" t="s">
        <v>25131</v>
      </c>
      <c r="G2937" t="s">
        <v>25141</v>
      </c>
    </row>
    <row r="2938" spans="1:7">
      <c r="A2938" t="s">
        <v>25144</v>
      </c>
      <c r="B2938" t="s">
        <v>8626</v>
      </c>
      <c r="C2938" t="s">
        <v>25145</v>
      </c>
      <c r="D2938" t="s">
        <v>25146</v>
      </c>
      <c r="E2938" t="e">
        <f t="shared" si="0"/>
        <v>#VALUE!</v>
      </c>
      <c r="G2938" t="s">
        <v>25147</v>
      </c>
    </row>
    <row r="2939" spans="1:7">
      <c r="A2939" t="s">
        <v>25148</v>
      </c>
      <c r="B2939" t="s">
        <v>8626</v>
      </c>
      <c r="D2939" t="s">
        <v>25149</v>
      </c>
      <c r="E2939" t="e">
        <f t="shared" si="0"/>
        <v>#VALUE!</v>
      </c>
      <c r="F2939" t="s">
        <v>25131</v>
      </c>
      <c r="G2939" t="s">
        <v>25150</v>
      </c>
    </row>
    <row r="2940" spans="1:7">
      <c r="A2940" t="s">
        <v>25151</v>
      </c>
      <c r="B2940" t="s">
        <v>8607</v>
      </c>
      <c r="D2940" t="s">
        <v>25152</v>
      </c>
      <c r="E2940" t="e">
        <f t="shared" si="0"/>
        <v>#VALUE!</v>
      </c>
      <c r="F2940" t="s">
        <v>25131</v>
      </c>
      <c r="G2940" t="s">
        <v>25141</v>
      </c>
    </row>
    <row r="2941" spans="1:7">
      <c r="A2941" t="s">
        <v>25153</v>
      </c>
      <c r="B2941" t="s">
        <v>8607</v>
      </c>
      <c r="C2941" t="s">
        <v>25140</v>
      </c>
      <c r="D2941" t="s">
        <v>25154</v>
      </c>
      <c r="E2941" t="e">
        <f t="shared" si="0"/>
        <v>#VALUE!</v>
      </c>
      <c r="F2941" t="s">
        <v>25131</v>
      </c>
      <c r="G2941" t="s">
        <v>25141</v>
      </c>
    </row>
    <row r="2942" spans="1:7">
      <c r="A2942" t="s">
        <v>25155</v>
      </c>
      <c r="B2942" t="s">
        <v>8626</v>
      </c>
      <c r="D2942" t="s">
        <v>25154</v>
      </c>
      <c r="E2942" t="e">
        <f t="shared" si="0"/>
        <v>#VALUE!</v>
      </c>
      <c r="F2942" t="s">
        <v>25131</v>
      </c>
      <c r="G2942" t="s">
        <v>25138</v>
      </c>
    </row>
    <row r="2943" spans="1:7">
      <c r="A2943" t="s">
        <v>25156</v>
      </c>
      <c r="B2943" t="s">
        <v>8607</v>
      </c>
      <c r="C2943" t="s">
        <v>18606</v>
      </c>
      <c r="D2943" t="s">
        <v>25157</v>
      </c>
      <c r="E2943" t="e">
        <f t="shared" si="0"/>
        <v>#VALUE!</v>
      </c>
      <c r="F2943" t="s">
        <v>18608</v>
      </c>
      <c r="G2943" t="s">
        <v>25158</v>
      </c>
    </row>
    <row r="2944" spans="1:7">
      <c r="A2944" t="s">
        <v>25159</v>
      </c>
      <c r="B2944" t="s">
        <v>8607</v>
      </c>
      <c r="D2944" t="s">
        <v>25160</v>
      </c>
      <c r="E2944" t="e">
        <f t="shared" si="0"/>
        <v>#VALUE!</v>
      </c>
      <c r="F2944" t="s">
        <v>9002</v>
      </c>
      <c r="G2944" t="s">
        <v>21404</v>
      </c>
    </row>
    <row r="2945" spans="1:7">
      <c r="A2945" t="s">
        <v>25161</v>
      </c>
      <c r="B2945" t="s">
        <v>8607</v>
      </c>
      <c r="D2945" t="s">
        <v>25162</v>
      </c>
      <c r="E2945" t="e">
        <f t="shared" si="0"/>
        <v>#VALUE!</v>
      </c>
      <c r="F2945" t="s">
        <v>18286</v>
      </c>
      <c r="G2945" t="s">
        <v>25163</v>
      </c>
    </row>
    <row r="2946" spans="1:7">
      <c r="A2946" t="s">
        <v>25164</v>
      </c>
      <c r="B2946" t="s">
        <v>8607</v>
      </c>
      <c r="D2946" t="s">
        <v>25165</v>
      </c>
      <c r="E2946" t="e">
        <f t="shared" si="0"/>
        <v>#VALUE!</v>
      </c>
      <c r="F2946" t="s">
        <v>25166</v>
      </c>
      <c r="G2946" t="s">
        <v>25167</v>
      </c>
    </row>
    <row r="2947" spans="1:7">
      <c r="A2947" t="s">
        <v>25168</v>
      </c>
      <c r="B2947" t="s">
        <v>8607</v>
      </c>
      <c r="D2947" t="s">
        <v>25165</v>
      </c>
      <c r="E2947" t="e">
        <f t="shared" si="0"/>
        <v>#VALUE!</v>
      </c>
      <c r="F2947" t="s">
        <v>25166</v>
      </c>
      <c r="G2947" t="s">
        <v>25167</v>
      </c>
    </row>
    <row r="2948" spans="1:7">
      <c r="A2948" t="s">
        <v>25169</v>
      </c>
      <c r="B2948" t="s">
        <v>8607</v>
      </c>
      <c r="D2948" t="s">
        <v>25170</v>
      </c>
      <c r="E2948" t="e">
        <f t="shared" si="0"/>
        <v>#VALUE!</v>
      </c>
      <c r="F2948" t="s">
        <v>18371</v>
      </c>
      <c r="G2948" t="s">
        <v>25171</v>
      </c>
    </row>
    <row r="2949" spans="1:7">
      <c r="A2949" t="s">
        <v>25172</v>
      </c>
      <c r="B2949" t="s">
        <v>8607</v>
      </c>
      <c r="D2949" t="s">
        <v>25173</v>
      </c>
      <c r="E2949" t="e">
        <f t="shared" si="0"/>
        <v>#VALUE!</v>
      </c>
      <c r="F2949" t="s">
        <v>25174</v>
      </c>
      <c r="G2949" t="s">
        <v>25175</v>
      </c>
    </row>
    <row r="2950" spans="1:7">
      <c r="A2950" t="s">
        <v>25176</v>
      </c>
      <c r="B2950" t="s">
        <v>8626</v>
      </c>
      <c r="D2950" t="s">
        <v>25177</v>
      </c>
      <c r="E2950" t="e">
        <f t="shared" si="0"/>
        <v>#VALUE!</v>
      </c>
      <c r="F2950" t="s">
        <v>25174</v>
      </c>
      <c r="G2950" t="s">
        <v>25178</v>
      </c>
    </row>
    <row r="2951" spans="1:7">
      <c r="A2951" t="s">
        <v>25179</v>
      </c>
      <c r="B2951" t="s">
        <v>8607</v>
      </c>
      <c r="D2951" t="s">
        <v>25180</v>
      </c>
      <c r="E2951" t="e">
        <f t="shared" si="0"/>
        <v>#VALUE!</v>
      </c>
      <c r="F2951" t="s">
        <v>25174</v>
      </c>
      <c r="G2951" t="s">
        <v>25175</v>
      </c>
    </row>
    <row r="2952" spans="1:7">
      <c r="A2952" t="s">
        <v>25181</v>
      </c>
      <c r="B2952" t="s">
        <v>8626</v>
      </c>
      <c r="D2952" t="s">
        <v>25180</v>
      </c>
      <c r="E2952" t="e">
        <f t="shared" si="0"/>
        <v>#VALUE!</v>
      </c>
      <c r="F2952" t="s">
        <v>25174</v>
      </c>
      <c r="G2952" t="s">
        <v>25182</v>
      </c>
    </row>
    <row r="2953" spans="1:7">
      <c r="A2953" t="s">
        <v>25183</v>
      </c>
      <c r="B2953" t="s">
        <v>8626</v>
      </c>
      <c r="D2953" t="s">
        <v>25184</v>
      </c>
      <c r="E2953" t="e">
        <f t="shared" si="0"/>
        <v>#VALUE!</v>
      </c>
      <c r="F2953" t="s">
        <v>25174</v>
      </c>
      <c r="G2953" t="s">
        <v>25185</v>
      </c>
    </row>
    <row r="2954" spans="1:7">
      <c r="A2954" t="s">
        <v>25186</v>
      </c>
      <c r="B2954" t="s">
        <v>8626</v>
      </c>
      <c r="D2954" t="s">
        <v>25184</v>
      </c>
      <c r="E2954" t="e">
        <f t="shared" si="0"/>
        <v>#VALUE!</v>
      </c>
      <c r="F2954" t="s">
        <v>25174</v>
      </c>
      <c r="G2954" t="s">
        <v>25178</v>
      </c>
    </row>
    <row r="2955" spans="1:7">
      <c r="A2955" t="s">
        <v>25187</v>
      </c>
      <c r="B2955" t="s">
        <v>8626</v>
      </c>
      <c r="D2955" t="s">
        <v>25184</v>
      </c>
      <c r="E2955" t="e">
        <f t="shared" si="0"/>
        <v>#VALUE!</v>
      </c>
      <c r="F2955" t="s">
        <v>25174</v>
      </c>
      <c r="G2955" t="s">
        <v>25185</v>
      </c>
    </row>
    <row r="2956" spans="1:7">
      <c r="A2956" t="s">
        <v>25188</v>
      </c>
      <c r="B2956" t="s">
        <v>8607</v>
      </c>
      <c r="D2956" t="s">
        <v>25189</v>
      </c>
      <c r="E2956" t="e">
        <f t="shared" si="0"/>
        <v>#VALUE!</v>
      </c>
      <c r="F2956" t="s">
        <v>8984</v>
      </c>
      <c r="G2956" t="s">
        <v>25190</v>
      </c>
    </row>
    <row r="2957" spans="1:7">
      <c r="A2957" t="s">
        <v>25191</v>
      </c>
      <c r="B2957" t="s">
        <v>8607</v>
      </c>
      <c r="D2957" t="s">
        <v>25189</v>
      </c>
      <c r="E2957" t="e">
        <f t="shared" si="0"/>
        <v>#VALUE!</v>
      </c>
      <c r="F2957" t="s">
        <v>8984</v>
      </c>
      <c r="G2957" t="s">
        <v>25192</v>
      </c>
    </row>
    <row r="2958" spans="1:7">
      <c r="A2958" t="s">
        <v>25193</v>
      </c>
      <c r="B2958" t="s">
        <v>8607</v>
      </c>
      <c r="D2958" t="s">
        <v>25189</v>
      </c>
      <c r="E2958" t="e">
        <f t="shared" si="0"/>
        <v>#VALUE!</v>
      </c>
      <c r="F2958" t="s">
        <v>8984</v>
      </c>
      <c r="G2958" t="s">
        <v>25194</v>
      </c>
    </row>
    <row r="2959" spans="1:7">
      <c r="A2959" t="s">
        <v>25195</v>
      </c>
      <c r="B2959" t="s">
        <v>8626</v>
      </c>
      <c r="C2959" t="s">
        <v>25196</v>
      </c>
      <c r="D2959" t="s">
        <v>25197</v>
      </c>
      <c r="E2959" t="e">
        <f t="shared" si="0"/>
        <v>#VALUE!</v>
      </c>
      <c r="F2959" t="s">
        <v>8984</v>
      </c>
      <c r="G2959" t="s">
        <v>25198</v>
      </c>
    </row>
    <row r="2960" spans="1:7">
      <c r="A2960" t="s">
        <v>25199</v>
      </c>
      <c r="B2960" t="s">
        <v>8607</v>
      </c>
      <c r="D2960" t="s">
        <v>25200</v>
      </c>
      <c r="E2960" t="e">
        <f t="shared" si="0"/>
        <v>#VALUE!</v>
      </c>
      <c r="F2960" t="s">
        <v>8984</v>
      </c>
      <c r="G2960" t="s">
        <v>25201</v>
      </c>
    </row>
    <row r="2961" spans="1:7">
      <c r="A2961" t="s">
        <v>25202</v>
      </c>
      <c r="B2961" t="s">
        <v>8626</v>
      </c>
      <c r="C2961" t="s">
        <v>8982</v>
      </c>
      <c r="D2961" t="s">
        <v>25203</v>
      </c>
      <c r="E2961" t="e">
        <f t="shared" si="0"/>
        <v>#VALUE!</v>
      </c>
      <c r="F2961" t="s">
        <v>8984</v>
      </c>
      <c r="G2961" t="s">
        <v>25204</v>
      </c>
    </row>
    <row r="2962" spans="1:7">
      <c r="A2962" t="s">
        <v>25205</v>
      </c>
      <c r="B2962" t="s">
        <v>8607</v>
      </c>
      <c r="C2962" t="s">
        <v>8982</v>
      </c>
      <c r="D2962" t="s">
        <v>14633</v>
      </c>
      <c r="E2962" t="e">
        <f t="shared" si="0"/>
        <v>#VALUE!</v>
      </c>
      <c r="F2962" t="s">
        <v>8984</v>
      </c>
      <c r="G2962" t="s">
        <v>25206</v>
      </c>
    </row>
    <row r="2963" spans="1:7">
      <c r="A2963" t="s">
        <v>25207</v>
      </c>
      <c r="B2963" t="s">
        <v>8607</v>
      </c>
      <c r="C2963" t="s">
        <v>25208</v>
      </c>
      <c r="D2963" t="s">
        <v>25209</v>
      </c>
      <c r="E2963" t="e">
        <f t="shared" si="0"/>
        <v>#VALUE!</v>
      </c>
      <c r="F2963" t="s">
        <v>25210</v>
      </c>
      <c r="G2963" t="s">
        <v>25211</v>
      </c>
    </row>
    <row r="2964" spans="1:7">
      <c r="A2964" t="s">
        <v>25212</v>
      </c>
      <c r="B2964" t="s">
        <v>8626</v>
      </c>
      <c r="D2964" t="s">
        <v>25213</v>
      </c>
      <c r="E2964" t="e">
        <f t="shared" si="0"/>
        <v>#VALUE!</v>
      </c>
      <c r="F2964" t="s">
        <v>21486</v>
      </c>
      <c r="G2964" t="s">
        <v>25214</v>
      </c>
    </row>
    <row r="2965" spans="1:7">
      <c r="A2965" t="s">
        <v>25215</v>
      </c>
      <c r="B2965" t="s">
        <v>8626</v>
      </c>
      <c r="D2965" t="s">
        <v>25216</v>
      </c>
      <c r="E2965" t="e">
        <f t="shared" si="0"/>
        <v>#VALUE!</v>
      </c>
      <c r="F2965" t="s">
        <v>18009</v>
      </c>
      <c r="G2965" t="s">
        <v>25217</v>
      </c>
    </row>
    <row r="2966" spans="1:7">
      <c r="A2966" t="s">
        <v>25218</v>
      </c>
      <c r="B2966" t="s">
        <v>8626</v>
      </c>
      <c r="C2966" t="s">
        <v>25219</v>
      </c>
      <c r="D2966" t="s">
        <v>25220</v>
      </c>
      <c r="E2966" t="e">
        <f t="shared" si="0"/>
        <v>#VALUE!</v>
      </c>
      <c r="F2966" t="s">
        <v>25221</v>
      </c>
      <c r="G2966" t="s">
        <v>25222</v>
      </c>
    </row>
    <row r="2967" spans="1:7">
      <c r="A2967" t="s">
        <v>25223</v>
      </c>
      <c r="B2967" t="s">
        <v>8607</v>
      </c>
      <c r="C2967" t="s">
        <v>14267</v>
      </c>
      <c r="D2967" t="s">
        <v>25224</v>
      </c>
      <c r="E2967" t="e">
        <f t="shared" si="0"/>
        <v>#VALUE!</v>
      </c>
      <c r="F2967" t="s">
        <v>14268</v>
      </c>
      <c r="G2967" t="s">
        <v>25225</v>
      </c>
    </row>
    <row r="2968" spans="1:7">
      <c r="A2968" t="s">
        <v>25226</v>
      </c>
      <c r="B2968" t="s">
        <v>8607</v>
      </c>
      <c r="D2968" t="s">
        <v>25224</v>
      </c>
      <c r="E2968" t="e">
        <f t="shared" si="0"/>
        <v>#VALUE!</v>
      </c>
      <c r="F2968" t="s">
        <v>14268</v>
      </c>
      <c r="G2968" t="s">
        <v>25227</v>
      </c>
    </row>
    <row r="2969" spans="1:7">
      <c r="A2969" t="s">
        <v>25228</v>
      </c>
      <c r="B2969" t="s">
        <v>8607</v>
      </c>
      <c r="C2969" t="s">
        <v>14267</v>
      </c>
      <c r="D2969" t="s">
        <v>25224</v>
      </c>
      <c r="E2969" t="e">
        <f t="shared" si="0"/>
        <v>#VALUE!</v>
      </c>
      <c r="F2969" t="s">
        <v>14268</v>
      </c>
      <c r="G2969" t="s">
        <v>25225</v>
      </c>
    </row>
    <row r="2970" spans="1:7">
      <c r="A2970" t="s">
        <v>25229</v>
      </c>
      <c r="B2970" t="s">
        <v>8607</v>
      </c>
      <c r="C2970" t="s">
        <v>14267</v>
      </c>
      <c r="D2970" t="s">
        <v>25224</v>
      </c>
      <c r="E2970" t="e">
        <f t="shared" si="0"/>
        <v>#VALUE!</v>
      </c>
      <c r="F2970" t="s">
        <v>14268</v>
      </c>
      <c r="G2970" t="s">
        <v>25225</v>
      </c>
    </row>
    <row r="2971" spans="1:7">
      <c r="A2971" t="s">
        <v>25230</v>
      </c>
      <c r="B2971" t="s">
        <v>8607</v>
      </c>
      <c r="C2971" t="s">
        <v>14267</v>
      </c>
      <c r="D2971" t="s">
        <v>25224</v>
      </c>
      <c r="E2971" t="e">
        <f t="shared" si="0"/>
        <v>#VALUE!</v>
      </c>
      <c r="F2971" t="s">
        <v>14268</v>
      </c>
      <c r="G2971" t="s">
        <v>25231</v>
      </c>
    </row>
    <row r="2972" spans="1:7">
      <c r="A2972" t="s">
        <v>25232</v>
      </c>
      <c r="B2972" t="s">
        <v>8607</v>
      </c>
      <c r="C2972" t="s">
        <v>14267</v>
      </c>
      <c r="D2972" t="s">
        <v>25224</v>
      </c>
      <c r="E2972" t="e">
        <f t="shared" si="0"/>
        <v>#VALUE!</v>
      </c>
      <c r="F2972" t="s">
        <v>14268</v>
      </c>
      <c r="G2972" t="s">
        <v>25225</v>
      </c>
    </row>
    <row r="2973" spans="1:7">
      <c r="A2973" t="s">
        <v>25233</v>
      </c>
      <c r="B2973" t="s">
        <v>8607</v>
      </c>
      <c r="D2973" t="s">
        <v>25234</v>
      </c>
      <c r="E2973" t="e">
        <f t="shared" si="0"/>
        <v>#VALUE!</v>
      </c>
      <c r="F2973" t="s">
        <v>25235</v>
      </c>
      <c r="G2973" t="s">
        <v>25236</v>
      </c>
    </row>
    <row r="2974" spans="1:7">
      <c r="A2974" t="s">
        <v>25237</v>
      </c>
      <c r="B2974" t="s">
        <v>8607</v>
      </c>
      <c r="D2974" t="s">
        <v>25234</v>
      </c>
      <c r="E2974" t="e">
        <f t="shared" ref="E2974:E3037" si="1">SEARCH("INFORMATION STORAGE AND PROCESSING",D2974)</f>
        <v>#VALUE!</v>
      </c>
      <c r="F2974" t="s">
        <v>25235</v>
      </c>
      <c r="G2974" t="s">
        <v>25238</v>
      </c>
    </row>
    <row r="2975" spans="1:7">
      <c r="A2975" t="s">
        <v>25239</v>
      </c>
      <c r="B2975" t="s">
        <v>8607</v>
      </c>
      <c r="D2975" t="s">
        <v>25234</v>
      </c>
      <c r="E2975" t="e">
        <f t="shared" si="1"/>
        <v>#VALUE!</v>
      </c>
      <c r="F2975" t="s">
        <v>25235</v>
      </c>
      <c r="G2975" t="s">
        <v>25240</v>
      </c>
    </row>
    <row r="2976" spans="1:7">
      <c r="A2976" t="s">
        <v>25241</v>
      </c>
      <c r="B2976" t="s">
        <v>8607</v>
      </c>
      <c r="D2976" t="s">
        <v>25234</v>
      </c>
      <c r="E2976" t="e">
        <f t="shared" si="1"/>
        <v>#VALUE!</v>
      </c>
      <c r="F2976" t="s">
        <v>25235</v>
      </c>
      <c r="G2976" t="s">
        <v>25242</v>
      </c>
    </row>
    <row r="2977" spans="1:7">
      <c r="A2977" t="s">
        <v>25243</v>
      </c>
      <c r="B2977" t="s">
        <v>8607</v>
      </c>
      <c r="D2977" t="s">
        <v>25234</v>
      </c>
      <c r="E2977" t="e">
        <f t="shared" si="1"/>
        <v>#VALUE!</v>
      </c>
      <c r="F2977" t="s">
        <v>25235</v>
      </c>
      <c r="G2977" t="s">
        <v>25244</v>
      </c>
    </row>
    <row r="2978" spans="1:7">
      <c r="A2978" t="s">
        <v>25245</v>
      </c>
      <c r="B2978" t="s">
        <v>8607</v>
      </c>
      <c r="D2978" t="s">
        <v>25234</v>
      </c>
      <c r="E2978" t="e">
        <f t="shared" si="1"/>
        <v>#VALUE!</v>
      </c>
      <c r="F2978" t="s">
        <v>25235</v>
      </c>
      <c r="G2978" t="s">
        <v>25236</v>
      </c>
    </row>
    <row r="2979" spans="1:7">
      <c r="A2979" t="s">
        <v>25246</v>
      </c>
      <c r="B2979" t="s">
        <v>8626</v>
      </c>
      <c r="D2979" t="s">
        <v>25247</v>
      </c>
      <c r="E2979" t="e">
        <f t="shared" si="1"/>
        <v>#VALUE!</v>
      </c>
      <c r="G2979" t="s">
        <v>25248</v>
      </c>
    </row>
    <row r="2980" spans="1:7">
      <c r="A2980" t="s">
        <v>25249</v>
      </c>
      <c r="B2980" t="s">
        <v>8626</v>
      </c>
      <c r="D2980" t="s">
        <v>25247</v>
      </c>
      <c r="E2980" t="e">
        <f t="shared" si="1"/>
        <v>#VALUE!</v>
      </c>
      <c r="G2980" t="s">
        <v>25248</v>
      </c>
    </row>
    <row r="2981" spans="1:7">
      <c r="A2981" t="s">
        <v>25250</v>
      </c>
      <c r="B2981" t="s">
        <v>8607</v>
      </c>
      <c r="C2981" t="s">
        <v>17318</v>
      </c>
      <c r="D2981" t="s">
        <v>17647</v>
      </c>
      <c r="E2981" t="e">
        <f t="shared" si="1"/>
        <v>#VALUE!</v>
      </c>
      <c r="F2981" t="s">
        <v>17320</v>
      </c>
      <c r="G2981" t="s">
        <v>17321</v>
      </c>
    </row>
    <row r="2982" spans="1:7">
      <c r="A2982" t="s">
        <v>25251</v>
      </c>
      <c r="B2982" t="s">
        <v>8607</v>
      </c>
      <c r="C2982" t="s">
        <v>17318</v>
      </c>
      <c r="D2982" t="s">
        <v>17647</v>
      </c>
      <c r="E2982" t="e">
        <f t="shared" si="1"/>
        <v>#VALUE!</v>
      </c>
      <c r="F2982" t="s">
        <v>17320</v>
      </c>
      <c r="G2982" t="s">
        <v>17321</v>
      </c>
    </row>
    <row r="2983" spans="1:7">
      <c r="A2983" t="s">
        <v>25252</v>
      </c>
      <c r="B2983" t="s">
        <v>8607</v>
      </c>
      <c r="C2983" t="s">
        <v>21041</v>
      </c>
      <c r="D2983" t="s">
        <v>17647</v>
      </c>
      <c r="E2983" t="e">
        <f t="shared" si="1"/>
        <v>#VALUE!</v>
      </c>
      <c r="F2983" t="s">
        <v>9002</v>
      </c>
      <c r="G2983" t="s">
        <v>25253</v>
      </c>
    </row>
    <row r="2984" spans="1:7">
      <c r="A2984" t="s">
        <v>25254</v>
      </c>
      <c r="B2984" t="s">
        <v>8626</v>
      </c>
      <c r="C2984" t="s">
        <v>25255</v>
      </c>
      <c r="D2984" t="s">
        <v>25256</v>
      </c>
      <c r="E2984" t="e">
        <f t="shared" si="1"/>
        <v>#VALUE!</v>
      </c>
      <c r="G2984" t="s">
        <v>25257</v>
      </c>
    </row>
    <row r="2985" spans="1:7">
      <c r="A2985" t="s">
        <v>25258</v>
      </c>
      <c r="B2985" t="s">
        <v>8607</v>
      </c>
      <c r="D2985" t="s">
        <v>25259</v>
      </c>
      <c r="E2985" t="e">
        <f t="shared" si="1"/>
        <v>#VALUE!</v>
      </c>
      <c r="F2985" t="s">
        <v>25260</v>
      </c>
      <c r="G2985" t="s">
        <v>25261</v>
      </c>
    </row>
    <row r="2986" spans="1:7">
      <c r="A2986" t="s">
        <v>25262</v>
      </c>
      <c r="C2986" t="s">
        <v>25263</v>
      </c>
      <c r="D2986" t="s">
        <v>25264</v>
      </c>
      <c r="E2986" t="e">
        <f t="shared" si="1"/>
        <v>#VALUE!</v>
      </c>
      <c r="G2986" t="s">
        <v>25265</v>
      </c>
    </row>
    <row r="2987" spans="1:7">
      <c r="A2987" t="s">
        <v>25266</v>
      </c>
      <c r="B2987" t="s">
        <v>8607</v>
      </c>
      <c r="C2987" t="s">
        <v>19494</v>
      </c>
      <c r="D2987" t="s">
        <v>25267</v>
      </c>
      <c r="E2987" t="e">
        <f t="shared" si="1"/>
        <v>#VALUE!</v>
      </c>
      <c r="F2987" t="s">
        <v>13312</v>
      </c>
      <c r="G2987" t="s">
        <v>25268</v>
      </c>
    </row>
    <row r="2988" spans="1:7">
      <c r="A2988" t="s">
        <v>25269</v>
      </c>
      <c r="B2988" t="s">
        <v>8626</v>
      </c>
      <c r="C2988" t="s">
        <v>19494</v>
      </c>
      <c r="D2988" t="s">
        <v>25267</v>
      </c>
      <c r="E2988" t="e">
        <f t="shared" si="1"/>
        <v>#VALUE!</v>
      </c>
      <c r="F2988" t="s">
        <v>13312</v>
      </c>
      <c r="G2988" t="s">
        <v>25270</v>
      </c>
    </row>
    <row r="2989" spans="1:7">
      <c r="A2989" t="s">
        <v>25271</v>
      </c>
      <c r="B2989" t="s">
        <v>8607</v>
      </c>
      <c r="C2989" t="s">
        <v>25272</v>
      </c>
      <c r="D2989" t="s">
        <v>25267</v>
      </c>
      <c r="E2989" t="e">
        <f t="shared" si="1"/>
        <v>#VALUE!</v>
      </c>
      <c r="F2989" t="s">
        <v>13312</v>
      </c>
      <c r="G2989" t="s">
        <v>25273</v>
      </c>
    </row>
    <row r="2990" spans="1:7">
      <c r="A2990" t="s">
        <v>25274</v>
      </c>
      <c r="B2990" t="s">
        <v>8626</v>
      </c>
      <c r="C2990" t="s">
        <v>19494</v>
      </c>
      <c r="D2990" t="s">
        <v>25267</v>
      </c>
      <c r="E2990" t="e">
        <f t="shared" si="1"/>
        <v>#VALUE!</v>
      </c>
      <c r="F2990" t="s">
        <v>13312</v>
      </c>
      <c r="G2990" t="s">
        <v>25275</v>
      </c>
    </row>
    <row r="2991" spans="1:7">
      <c r="A2991" t="s">
        <v>25276</v>
      </c>
      <c r="B2991" t="s">
        <v>8626</v>
      </c>
      <c r="C2991" t="s">
        <v>25272</v>
      </c>
      <c r="D2991" t="s">
        <v>25267</v>
      </c>
      <c r="E2991" t="e">
        <f t="shared" si="1"/>
        <v>#VALUE!</v>
      </c>
      <c r="F2991" t="s">
        <v>13312</v>
      </c>
      <c r="G2991" t="s">
        <v>25277</v>
      </c>
    </row>
    <row r="2992" spans="1:7">
      <c r="A2992" t="s">
        <v>25278</v>
      </c>
      <c r="B2992" t="s">
        <v>8626</v>
      </c>
      <c r="C2992" t="s">
        <v>25272</v>
      </c>
      <c r="D2992" t="s">
        <v>25267</v>
      </c>
      <c r="E2992" t="e">
        <f t="shared" si="1"/>
        <v>#VALUE!</v>
      </c>
      <c r="F2992" t="s">
        <v>13312</v>
      </c>
      <c r="G2992" t="s">
        <v>25279</v>
      </c>
    </row>
    <row r="2993" spans="1:7">
      <c r="A2993" t="s">
        <v>25280</v>
      </c>
      <c r="B2993" t="s">
        <v>8626</v>
      </c>
      <c r="C2993" t="s">
        <v>19494</v>
      </c>
      <c r="D2993" t="s">
        <v>25267</v>
      </c>
      <c r="E2993" t="e">
        <f t="shared" si="1"/>
        <v>#VALUE!</v>
      </c>
      <c r="F2993" t="s">
        <v>13312</v>
      </c>
      <c r="G2993" t="s">
        <v>25270</v>
      </c>
    </row>
    <row r="2994" spans="1:7">
      <c r="A2994" t="s">
        <v>25281</v>
      </c>
      <c r="B2994" t="s">
        <v>8626</v>
      </c>
      <c r="C2994" t="s">
        <v>19494</v>
      </c>
      <c r="D2994" t="s">
        <v>25267</v>
      </c>
      <c r="E2994" t="e">
        <f t="shared" si="1"/>
        <v>#VALUE!</v>
      </c>
      <c r="F2994" t="s">
        <v>13312</v>
      </c>
      <c r="G2994" t="s">
        <v>25282</v>
      </c>
    </row>
    <row r="2995" spans="1:7">
      <c r="A2995" t="s">
        <v>25283</v>
      </c>
      <c r="B2995" t="s">
        <v>8626</v>
      </c>
      <c r="C2995" t="s">
        <v>25272</v>
      </c>
      <c r="D2995" t="s">
        <v>25267</v>
      </c>
      <c r="E2995" t="e">
        <f t="shared" si="1"/>
        <v>#VALUE!</v>
      </c>
      <c r="F2995" t="s">
        <v>13312</v>
      </c>
      <c r="G2995" t="s">
        <v>25279</v>
      </c>
    </row>
    <row r="2996" spans="1:7">
      <c r="A2996" t="s">
        <v>25284</v>
      </c>
      <c r="B2996" t="s">
        <v>8607</v>
      </c>
      <c r="C2996" t="s">
        <v>25272</v>
      </c>
      <c r="D2996" t="s">
        <v>25267</v>
      </c>
      <c r="E2996" t="e">
        <f t="shared" si="1"/>
        <v>#VALUE!</v>
      </c>
      <c r="F2996" t="s">
        <v>13312</v>
      </c>
      <c r="G2996" t="s">
        <v>25273</v>
      </c>
    </row>
    <row r="2997" spans="1:7">
      <c r="A2997" t="s">
        <v>25285</v>
      </c>
      <c r="B2997" t="s">
        <v>8626</v>
      </c>
      <c r="C2997" t="s">
        <v>19494</v>
      </c>
      <c r="D2997" t="s">
        <v>25267</v>
      </c>
      <c r="E2997" t="e">
        <f t="shared" si="1"/>
        <v>#VALUE!</v>
      </c>
      <c r="F2997" t="s">
        <v>13312</v>
      </c>
      <c r="G2997" t="s">
        <v>25270</v>
      </c>
    </row>
    <row r="2998" spans="1:7">
      <c r="A2998" t="s">
        <v>25286</v>
      </c>
      <c r="B2998" t="s">
        <v>8626</v>
      </c>
      <c r="C2998" t="s">
        <v>19494</v>
      </c>
      <c r="D2998" t="s">
        <v>25267</v>
      </c>
      <c r="E2998" t="e">
        <f t="shared" si="1"/>
        <v>#VALUE!</v>
      </c>
      <c r="F2998" t="s">
        <v>13312</v>
      </c>
      <c r="G2998" t="s">
        <v>25275</v>
      </c>
    </row>
    <row r="2999" spans="1:7">
      <c r="A2999" t="s">
        <v>25287</v>
      </c>
      <c r="B2999" t="s">
        <v>8607</v>
      </c>
      <c r="C2999" t="s">
        <v>19494</v>
      </c>
      <c r="D2999" t="s">
        <v>25267</v>
      </c>
      <c r="E2999" t="e">
        <f t="shared" si="1"/>
        <v>#VALUE!</v>
      </c>
      <c r="F2999" t="s">
        <v>13312</v>
      </c>
      <c r="G2999" t="s">
        <v>25288</v>
      </c>
    </row>
    <row r="3000" spans="1:7">
      <c r="A3000" t="s">
        <v>25289</v>
      </c>
      <c r="B3000" t="s">
        <v>8607</v>
      </c>
      <c r="C3000" t="s">
        <v>25272</v>
      </c>
      <c r="D3000" t="s">
        <v>25267</v>
      </c>
      <c r="E3000" t="e">
        <f t="shared" si="1"/>
        <v>#VALUE!</v>
      </c>
      <c r="F3000" t="s">
        <v>13312</v>
      </c>
      <c r="G3000" t="s">
        <v>25273</v>
      </c>
    </row>
    <row r="3001" spans="1:7">
      <c r="A3001" t="s">
        <v>25290</v>
      </c>
      <c r="B3001" t="s">
        <v>8607</v>
      </c>
      <c r="C3001" t="s">
        <v>25272</v>
      </c>
      <c r="D3001" t="s">
        <v>25267</v>
      </c>
      <c r="E3001" t="e">
        <f t="shared" si="1"/>
        <v>#VALUE!</v>
      </c>
      <c r="F3001" t="s">
        <v>13312</v>
      </c>
      <c r="G3001" t="s">
        <v>25273</v>
      </c>
    </row>
    <row r="3002" spans="1:7">
      <c r="A3002" t="s">
        <v>25291</v>
      </c>
      <c r="B3002" t="s">
        <v>8607</v>
      </c>
      <c r="C3002" t="s">
        <v>19494</v>
      </c>
      <c r="D3002" t="s">
        <v>25267</v>
      </c>
      <c r="E3002" t="e">
        <f t="shared" si="1"/>
        <v>#VALUE!</v>
      </c>
      <c r="F3002" t="s">
        <v>13312</v>
      </c>
      <c r="G3002" t="s">
        <v>25292</v>
      </c>
    </row>
    <row r="3003" spans="1:7">
      <c r="A3003" t="s">
        <v>25293</v>
      </c>
      <c r="B3003" t="s">
        <v>8626</v>
      </c>
      <c r="C3003" t="s">
        <v>19494</v>
      </c>
      <c r="D3003" t="s">
        <v>25267</v>
      </c>
      <c r="E3003" t="e">
        <f t="shared" si="1"/>
        <v>#VALUE!</v>
      </c>
      <c r="F3003" t="s">
        <v>13312</v>
      </c>
      <c r="G3003" t="s">
        <v>25294</v>
      </c>
    </row>
    <row r="3004" spans="1:7">
      <c r="A3004" t="s">
        <v>25295</v>
      </c>
      <c r="B3004" t="s">
        <v>8607</v>
      </c>
      <c r="C3004" t="s">
        <v>19494</v>
      </c>
      <c r="D3004" t="s">
        <v>25267</v>
      </c>
      <c r="E3004" t="e">
        <f t="shared" si="1"/>
        <v>#VALUE!</v>
      </c>
      <c r="F3004" t="s">
        <v>13312</v>
      </c>
      <c r="G3004" t="s">
        <v>25296</v>
      </c>
    </row>
    <row r="3005" spans="1:7">
      <c r="A3005" t="s">
        <v>25297</v>
      </c>
      <c r="B3005" t="s">
        <v>8607</v>
      </c>
      <c r="C3005" t="s">
        <v>25272</v>
      </c>
      <c r="D3005" t="s">
        <v>25267</v>
      </c>
      <c r="E3005" t="e">
        <f t="shared" si="1"/>
        <v>#VALUE!</v>
      </c>
      <c r="F3005" t="s">
        <v>13312</v>
      </c>
      <c r="G3005" t="s">
        <v>25296</v>
      </c>
    </row>
    <row r="3006" spans="1:7">
      <c r="A3006" t="s">
        <v>25298</v>
      </c>
      <c r="B3006" t="s">
        <v>8607</v>
      </c>
      <c r="C3006" t="s">
        <v>19494</v>
      </c>
      <c r="D3006" t="s">
        <v>25267</v>
      </c>
      <c r="E3006" t="e">
        <f t="shared" si="1"/>
        <v>#VALUE!</v>
      </c>
      <c r="F3006" t="s">
        <v>13312</v>
      </c>
      <c r="G3006" t="s">
        <v>25273</v>
      </c>
    </row>
    <row r="3007" spans="1:7">
      <c r="A3007" t="s">
        <v>25299</v>
      </c>
      <c r="B3007" t="s">
        <v>8607</v>
      </c>
      <c r="D3007" t="s">
        <v>25300</v>
      </c>
      <c r="E3007" t="e">
        <f t="shared" si="1"/>
        <v>#VALUE!</v>
      </c>
      <c r="F3007" t="s">
        <v>25301</v>
      </c>
      <c r="G3007" t="s">
        <v>25302</v>
      </c>
    </row>
    <row r="3008" spans="1:7">
      <c r="A3008" t="s">
        <v>25303</v>
      </c>
      <c r="B3008" t="s">
        <v>8607</v>
      </c>
      <c r="D3008" t="s">
        <v>25300</v>
      </c>
      <c r="E3008" t="e">
        <f t="shared" si="1"/>
        <v>#VALUE!</v>
      </c>
      <c r="F3008" t="s">
        <v>25301</v>
      </c>
      <c r="G3008" t="s">
        <v>25304</v>
      </c>
    </row>
    <row r="3009" spans="1:7">
      <c r="A3009" t="s">
        <v>25305</v>
      </c>
      <c r="B3009" t="s">
        <v>8607</v>
      </c>
      <c r="D3009" t="s">
        <v>25300</v>
      </c>
      <c r="E3009" t="e">
        <f t="shared" si="1"/>
        <v>#VALUE!</v>
      </c>
      <c r="F3009" t="s">
        <v>25301</v>
      </c>
      <c r="G3009" t="s">
        <v>25306</v>
      </c>
    </row>
    <row r="3010" spans="1:7">
      <c r="A3010" t="s">
        <v>25307</v>
      </c>
      <c r="B3010" t="s">
        <v>8626</v>
      </c>
      <c r="D3010" t="s">
        <v>25300</v>
      </c>
      <c r="E3010" t="e">
        <f t="shared" si="1"/>
        <v>#VALUE!</v>
      </c>
      <c r="F3010" t="s">
        <v>25301</v>
      </c>
      <c r="G3010" t="s">
        <v>25308</v>
      </c>
    </row>
    <row r="3011" spans="1:7">
      <c r="A3011" t="s">
        <v>25309</v>
      </c>
      <c r="B3011" t="s">
        <v>8626</v>
      </c>
      <c r="D3011" t="s">
        <v>25300</v>
      </c>
      <c r="E3011" t="e">
        <f t="shared" si="1"/>
        <v>#VALUE!</v>
      </c>
      <c r="F3011" t="s">
        <v>25301</v>
      </c>
      <c r="G3011" t="s">
        <v>25310</v>
      </c>
    </row>
    <row r="3012" spans="1:7">
      <c r="A3012" t="s">
        <v>25311</v>
      </c>
      <c r="B3012" t="s">
        <v>8626</v>
      </c>
      <c r="D3012" t="s">
        <v>25300</v>
      </c>
      <c r="E3012" t="e">
        <f t="shared" si="1"/>
        <v>#VALUE!</v>
      </c>
      <c r="F3012" t="s">
        <v>25301</v>
      </c>
      <c r="G3012" t="s">
        <v>25312</v>
      </c>
    </row>
    <row r="3013" spans="1:7">
      <c r="A3013" t="s">
        <v>25313</v>
      </c>
      <c r="B3013" t="s">
        <v>8626</v>
      </c>
      <c r="D3013" t="s">
        <v>25314</v>
      </c>
      <c r="E3013" t="e">
        <f t="shared" si="1"/>
        <v>#VALUE!</v>
      </c>
      <c r="F3013" t="s">
        <v>17638</v>
      </c>
      <c r="G3013" t="s">
        <v>25315</v>
      </c>
    </row>
    <row r="3014" spans="1:7">
      <c r="A3014" t="s">
        <v>25316</v>
      </c>
      <c r="B3014" t="s">
        <v>8626</v>
      </c>
      <c r="D3014" t="s">
        <v>25317</v>
      </c>
      <c r="E3014" t="e">
        <f t="shared" si="1"/>
        <v>#VALUE!</v>
      </c>
      <c r="F3014" t="s">
        <v>17638</v>
      </c>
      <c r="G3014" t="s">
        <v>25318</v>
      </c>
    </row>
    <row r="3015" spans="1:7">
      <c r="A3015" t="s">
        <v>25319</v>
      </c>
      <c r="B3015" t="s">
        <v>8607</v>
      </c>
      <c r="D3015" t="s">
        <v>25317</v>
      </c>
      <c r="E3015" t="e">
        <f t="shared" si="1"/>
        <v>#VALUE!</v>
      </c>
      <c r="F3015" t="s">
        <v>17638</v>
      </c>
      <c r="G3015" t="s">
        <v>25320</v>
      </c>
    </row>
    <row r="3016" spans="1:7">
      <c r="A3016" t="s">
        <v>25321</v>
      </c>
      <c r="B3016" t="s">
        <v>8607</v>
      </c>
      <c r="D3016" t="s">
        <v>25317</v>
      </c>
      <c r="E3016" t="e">
        <f t="shared" si="1"/>
        <v>#VALUE!</v>
      </c>
      <c r="F3016" t="s">
        <v>17638</v>
      </c>
      <c r="G3016" t="s">
        <v>25320</v>
      </c>
    </row>
    <row r="3017" spans="1:7">
      <c r="A3017" t="s">
        <v>25322</v>
      </c>
      <c r="B3017" t="s">
        <v>8607</v>
      </c>
      <c r="D3017" t="s">
        <v>25317</v>
      </c>
      <c r="E3017" t="e">
        <f t="shared" si="1"/>
        <v>#VALUE!</v>
      </c>
      <c r="F3017" t="s">
        <v>17638</v>
      </c>
      <c r="G3017" t="s">
        <v>25320</v>
      </c>
    </row>
    <row r="3018" spans="1:7">
      <c r="A3018" t="s">
        <v>25323</v>
      </c>
      <c r="B3018" t="s">
        <v>8626</v>
      </c>
      <c r="D3018" t="s">
        <v>25324</v>
      </c>
      <c r="E3018" t="e">
        <f t="shared" si="1"/>
        <v>#VALUE!</v>
      </c>
      <c r="F3018" t="s">
        <v>17638</v>
      </c>
      <c r="G3018" t="s">
        <v>25325</v>
      </c>
    </row>
    <row r="3019" spans="1:7">
      <c r="A3019" t="s">
        <v>25326</v>
      </c>
      <c r="B3019" t="s">
        <v>8626</v>
      </c>
      <c r="D3019" t="s">
        <v>17637</v>
      </c>
      <c r="E3019" t="e">
        <f t="shared" si="1"/>
        <v>#VALUE!</v>
      </c>
      <c r="F3019" t="s">
        <v>17638</v>
      </c>
      <c r="G3019" t="s">
        <v>25327</v>
      </c>
    </row>
    <row r="3020" spans="1:7">
      <c r="A3020" t="s">
        <v>25328</v>
      </c>
      <c r="B3020" t="s">
        <v>8626</v>
      </c>
      <c r="C3020" t="s">
        <v>25329</v>
      </c>
      <c r="D3020" t="s">
        <v>17637</v>
      </c>
      <c r="E3020" t="e">
        <f t="shared" si="1"/>
        <v>#VALUE!</v>
      </c>
      <c r="F3020" t="s">
        <v>17638</v>
      </c>
      <c r="G3020" t="s">
        <v>25330</v>
      </c>
    </row>
    <row r="3021" spans="1:7">
      <c r="A3021" t="s">
        <v>25331</v>
      </c>
      <c r="B3021" t="s">
        <v>8626</v>
      </c>
      <c r="D3021" t="s">
        <v>17637</v>
      </c>
      <c r="E3021" t="e">
        <f t="shared" si="1"/>
        <v>#VALUE!</v>
      </c>
      <c r="F3021" t="s">
        <v>19276</v>
      </c>
      <c r="G3021" t="s">
        <v>25332</v>
      </c>
    </row>
    <row r="3022" spans="1:7">
      <c r="A3022" t="s">
        <v>25333</v>
      </c>
      <c r="B3022" t="s">
        <v>8626</v>
      </c>
      <c r="D3022" t="s">
        <v>17637</v>
      </c>
      <c r="E3022" t="e">
        <f t="shared" si="1"/>
        <v>#VALUE!</v>
      </c>
      <c r="F3022" t="s">
        <v>17638</v>
      </c>
      <c r="G3022" t="s">
        <v>25327</v>
      </c>
    </row>
    <row r="3023" spans="1:7">
      <c r="A3023" t="s">
        <v>25334</v>
      </c>
      <c r="B3023" t="s">
        <v>8626</v>
      </c>
      <c r="D3023" t="s">
        <v>17637</v>
      </c>
      <c r="E3023" t="e">
        <f t="shared" si="1"/>
        <v>#VALUE!</v>
      </c>
      <c r="F3023" t="s">
        <v>17638</v>
      </c>
      <c r="G3023" t="s">
        <v>25335</v>
      </c>
    </row>
    <row r="3024" spans="1:7">
      <c r="A3024" t="s">
        <v>25336</v>
      </c>
      <c r="B3024" t="s">
        <v>8626</v>
      </c>
      <c r="C3024" t="s">
        <v>17636</v>
      </c>
      <c r="D3024" t="s">
        <v>17637</v>
      </c>
      <c r="E3024" t="e">
        <f t="shared" si="1"/>
        <v>#VALUE!</v>
      </c>
      <c r="F3024" t="s">
        <v>17638</v>
      </c>
      <c r="G3024" t="s">
        <v>17639</v>
      </c>
    </row>
    <row r="3025" spans="1:7">
      <c r="A3025" t="s">
        <v>25337</v>
      </c>
      <c r="B3025" t="s">
        <v>8626</v>
      </c>
      <c r="D3025" t="s">
        <v>25338</v>
      </c>
      <c r="E3025" t="e">
        <f t="shared" si="1"/>
        <v>#VALUE!</v>
      </c>
      <c r="F3025" t="s">
        <v>17638</v>
      </c>
      <c r="G3025" t="s">
        <v>25339</v>
      </c>
    </row>
    <row r="3026" spans="1:7">
      <c r="A3026" t="s">
        <v>25340</v>
      </c>
      <c r="B3026" t="s">
        <v>8626</v>
      </c>
      <c r="D3026" t="s">
        <v>25338</v>
      </c>
      <c r="E3026" t="e">
        <f t="shared" si="1"/>
        <v>#VALUE!</v>
      </c>
      <c r="F3026" t="s">
        <v>17638</v>
      </c>
      <c r="G3026" t="s">
        <v>25341</v>
      </c>
    </row>
    <row r="3027" spans="1:7">
      <c r="A3027" t="s">
        <v>25342</v>
      </c>
      <c r="B3027" t="s">
        <v>8626</v>
      </c>
      <c r="D3027" t="s">
        <v>25338</v>
      </c>
      <c r="E3027" t="e">
        <f t="shared" si="1"/>
        <v>#VALUE!</v>
      </c>
      <c r="F3027" t="s">
        <v>17638</v>
      </c>
      <c r="G3027" t="s">
        <v>25343</v>
      </c>
    </row>
    <row r="3028" spans="1:7">
      <c r="A3028" t="s">
        <v>25344</v>
      </c>
      <c r="B3028" t="s">
        <v>8607</v>
      </c>
      <c r="C3028" t="s">
        <v>25345</v>
      </c>
      <c r="D3028" t="s">
        <v>25346</v>
      </c>
      <c r="E3028" t="e">
        <f t="shared" si="1"/>
        <v>#VALUE!</v>
      </c>
      <c r="F3028" t="s">
        <v>25347</v>
      </c>
      <c r="G3028" t="s">
        <v>25348</v>
      </c>
    </row>
    <row r="3029" spans="1:7">
      <c r="A3029" t="s">
        <v>25349</v>
      </c>
      <c r="B3029" t="s">
        <v>8607</v>
      </c>
      <c r="D3029" t="s">
        <v>25350</v>
      </c>
      <c r="E3029" t="e">
        <f t="shared" si="1"/>
        <v>#VALUE!</v>
      </c>
      <c r="G3029" t="s">
        <v>25351</v>
      </c>
    </row>
    <row r="3030" spans="1:7">
      <c r="A3030" t="s">
        <v>25352</v>
      </c>
      <c r="B3030" t="s">
        <v>8626</v>
      </c>
      <c r="D3030" t="s">
        <v>25353</v>
      </c>
      <c r="E3030" t="e">
        <f t="shared" si="1"/>
        <v>#VALUE!</v>
      </c>
      <c r="F3030" t="s">
        <v>17638</v>
      </c>
      <c r="G3030" t="s">
        <v>25354</v>
      </c>
    </row>
    <row r="3031" spans="1:7">
      <c r="A3031" t="s">
        <v>25355</v>
      </c>
      <c r="B3031" t="s">
        <v>8607</v>
      </c>
      <c r="C3031" t="s">
        <v>17636</v>
      </c>
      <c r="D3031" t="s">
        <v>25356</v>
      </c>
      <c r="E3031" t="e">
        <f t="shared" si="1"/>
        <v>#VALUE!</v>
      </c>
      <c r="F3031" t="s">
        <v>17638</v>
      </c>
      <c r="G3031" t="s">
        <v>25357</v>
      </c>
    </row>
    <row r="3032" spans="1:7">
      <c r="A3032" t="s">
        <v>25358</v>
      </c>
      <c r="B3032" t="s">
        <v>8626</v>
      </c>
      <c r="D3032" t="s">
        <v>25356</v>
      </c>
      <c r="E3032" t="e">
        <f t="shared" si="1"/>
        <v>#VALUE!</v>
      </c>
      <c r="F3032" t="s">
        <v>17638</v>
      </c>
      <c r="G3032" t="s">
        <v>25359</v>
      </c>
    </row>
    <row r="3033" spans="1:7">
      <c r="A3033" t="s">
        <v>25360</v>
      </c>
      <c r="B3033" t="s">
        <v>8607</v>
      </c>
      <c r="C3033" t="s">
        <v>25329</v>
      </c>
      <c r="D3033" t="s">
        <v>25361</v>
      </c>
      <c r="E3033" t="e">
        <f t="shared" si="1"/>
        <v>#VALUE!</v>
      </c>
      <c r="F3033" t="s">
        <v>25362</v>
      </c>
      <c r="G3033" t="s">
        <v>25363</v>
      </c>
    </row>
    <row r="3034" spans="1:7">
      <c r="A3034" t="s">
        <v>25364</v>
      </c>
      <c r="B3034" t="s">
        <v>8626</v>
      </c>
      <c r="C3034" t="s">
        <v>25365</v>
      </c>
      <c r="D3034" t="s">
        <v>25366</v>
      </c>
      <c r="E3034" t="e">
        <f t="shared" si="1"/>
        <v>#VALUE!</v>
      </c>
      <c r="F3034" t="s">
        <v>9755</v>
      </c>
      <c r="G3034" t="s">
        <v>25367</v>
      </c>
    </row>
    <row r="3035" spans="1:7">
      <c r="A3035" t="s">
        <v>25368</v>
      </c>
      <c r="B3035" t="s">
        <v>8607</v>
      </c>
      <c r="C3035" t="s">
        <v>25369</v>
      </c>
      <c r="D3035" t="s">
        <v>25370</v>
      </c>
      <c r="E3035" t="e">
        <f t="shared" si="1"/>
        <v>#VALUE!</v>
      </c>
      <c r="F3035" t="s">
        <v>9755</v>
      </c>
      <c r="G3035" t="s">
        <v>25371</v>
      </c>
    </row>
    <row r="3036" spans="1:7">
      <c r="A3036" t="s">
        <v>25372</v>
      </c>
      <c r="B3036" t="s">
        <v>8626</v>
      </c>
      <c r="D3036" t="s">
        <v>25373</v>
      </c>
      <c r="E3036" t="e">
        <f t="shared" si="1"/>
        <v>#VALUE!</v>
      </c>
      <c r="G3036" t="s">
        <v>25374</v>
      </c>
    </row>
    <row r="3037" spans="1:7">
      <c r="A3037" t="s">
        <v>25375</v>
      </c>
      <c r="B3037" t="s">
        <v>8626</v>
      </c>
      <c r="C3037" t="s">
        <v>25376</v>
      </c>
      <c r="D3037" t="s">
        <v>25377</v>
      </c>
      <c r="E3037" t="e">
        <f t="shared" si="1"/>
        <v>#VALUE!</v>
      </c>
      <c r="G3037" t="s">
        <v>25378</v>
      </c>
    </row>
    <row r="3038" spans="1:7">
      <c r="A3038" t="s">
        <v>25379</v>
      </c>
      <c r="B3038" t="s">
        <v>8607</v>
      </c>
      <c r="D3038" t="s">
        <v>25380</v>
      </c>
      <c r="E3038" t="e">
        <f t="shared" ref="E3038:E3101" si="2">SEARCH("INFORMATION STORAGE AND PROCESSING",D3038)</f>
        <v>#VALUE!</v>
      </c>
      <c r="G3038" t="s">
        <v>25381</v>
      </c>
    </row>
    <row r="3039" spans="1:7">
      <c r="A3039" t="s">
        <v>25382</v>
      </c>
      <c r="B3039" t="s">
        <v>8607</v>
      </c>
      <c r="D3039" t="s">
        <v>25380</v>
      </c>
      <c r="E3039" t="e">
        <f t="shared" si="2"/>
        <v>#VALUE!</v>
      </c>
      <c r="G3039" t="s">
        <v>25381</v>
      </c>
    </row>
    <row r="3040" spans="1:7">
      <c r="A3040" t="s">
        <v>25383</v>
      </c>
      <c r="B3040" t="s">
        <v>8626</v>
      </c>
      <c r="C3040" t="s">
        <v>25384</v>
      </c>
      <c r="D3040" t="s">
        <v>25385</v>
      </c>
      <c r="E3040" t="e">
        <f t="shared" si="2"/>
        <v>#VALUE!</v>
      </c>
      <c r="G3040" t="s">
        <v>25386</v>
      </c>
    </row>
    <row r="3041" spans="1:7">
      <c r="A3041" t="s">
        <v>25387</v>
      </c>
      <c r="B3041" t="s">
        <v>8626</v>
      </c>
      <c r="C3041" t="s">
        <v>25384</v>
      </c>
      <c r="D3041" t="s">
        <v>25388</v>
      </c>
      <c r="E3041" t="e">
        <f t="shared" si="2"/>
        <v>#VALUE!</v>
      </c>
      <c r="G3041" t="s">
        <v>25389</v>
      </c>
    </row>
    <row r="3042" spans="1:7">
      <c r="A3042" t="s">
        <v>25390</v>
      </c>
      <c r="B3042" t="s">
        <v>8626</v>
      </c>
      <c r="C3042" t="s">
        <v>25391</v>
      </c>
      <c r="D3042" t="s">
        <v>25392</v>
      </c>
      <c r="E3042" t="e">
        <f t="shared" si="2"/>
        <v>#VALUE!</v>
      </c>
      <c r="G3042" t="s">
        <v>25393</v>
      </c>
    </row>
    <row r="3043" spans="1:7">
      <c r="A3043" t="s">
        <v>25394</v>
      </c>
      <c r="B3043" t="s">
        <v>8607</v>
      </c>
      <c r="D3043" t="s">
        <v>25395</v>
      </c>
      <c r="E3043" t="e">
        <f t="shared" si="2"/>
        <v>#VALUE!</v>
      </c>
      <c r="F3043" t="s">
        <v>18923</v>
      </c>
      <c r="G3043" t="s">
        <v>25396</v>
      </c>
    </row>
    <row r="3044" spans="1:7">
      <c r="A3044" t="s">
        <v>25397</v>
      </c>
      <c r="B3044" t="s">
        <v>8607</v>
      </c>
      <c r="D3044" t="s">
        <v>25398</v>
      </c>
      <c r="E3044" t="e">
        <f t="shared" si="2"/>
        <v>#VALUE!</v>
      </c>
      <c r="G3044" t="s">
        <v>25399</v>
      </c>
    </row>
    <row r="3045" spans="1:7">
      <c r="A3045" t="s">
        <v>25400</v>
      </c>
      <c r="B3045" t="s">
        <v>8607</v>
      </c>
      <c r="D3045" t="s">
        <v>25401</v>
      </c>
      <c r="E3045" t="e">
        <f t="shared" si="2"/>
        <v>#VALUE!</v>
      </c>
      <c r="F3045" t="s">
        <v>18476</v>
      </c>
      <c r="G3045" t="s">
        <v>25402</v>
      </c>
    </row>
    <row r="3046" spans="1:7">
      <c r="A3046" t="s">
        <v>25403</v>
      </c>
      <c r="B3046" t="s">
        <v>8626</v>
      </c>
      <c r="D3046" t="s">
        <v>25401</v>
      </c>
      <c r="E3046" t="e">
        <f t="shared" si="2"/>
        <v>#VALUE!</v>
      </c>
      <c r="F3046" t="s">
        <v>12458</v>
      </c>
      <c r="G3046" t="s">
        <v>25404</v>
      </c>
    </row>
    <row r="3047" spans="1:7">
      <c r="A3047" t="s">
        <v>25405</v>
      </c>
      <c r="B3047" t="s">
        <v>8607</v>
      </c>
      <c r="C3047" t="s">
        <v>25406</v>
      </c>
      <c r="D3047" t="s">
        <v>25407</v>
      </c>
      <c r="E3047" t="e">
        <f t="shared" si="2"/>
        <v>#VALUE!</v>
      </c>
      <c r="F3047" t="s">
        <v>25408</v>
      </c>
      <c r="G3047" t="s">
        <v>25409</v>
      </c>
    </row>
    <row r="3048" spans="1:7">
      <c r="A3048" t="s">
        <v>25410</v>
      </c>
      <c r="B3048" t="s">
        <v>8607</v>
      </c>
      <c r="D3048" t="s">
        <v>25411</v>
      </c>
      <c r="E3048" t="e">
        <f t="shared" si="2"/>
        <v>#VALUE!</v>
      </c>
      <c r="F3048" t="s">
        <v>12458</v>
      </c>
      <c r="G3048" t="s">
        <v>25412</v>
      </c>
    </row>
    <row r="3049" spans="1:7">
      <c r="A3049" t="s">
        <v>25413</v>
      </c>
      <c r="B3049" t="s">
        <v>8626</v>
      </c>
      <c r="D3049" t="s">
        <v>25414</v>
      </c>
      <c r="E3049" t="e">
        <f t="shared" si="2"/>
        <v>#VALUE!</v>
      </c>
      <c r="F3049" t="s">
        <v>17246</v>
      </c>
      <c r="G3049" t="s">
        <v>25415</v>
      </c>
    </row>
    <row r="3050" spans="1:7">
      <c r="A3050" t="s">
        <v>25416</v>
      </c>
      <c r="B3050" t="s">
        <v>8607</v>
      </c>
      <c r="D3050" t="s">
        <v>25414</v>
      </c>
      <c r="E3050" t="e">
        <f t="shared" si="2"/>
        <v>#VALUE!</v>
      </c>
      <c r="F3050" t="s">
        <v>11334</v>
      </c>
      <c r="G3050" t="s">
        <v>25417</v>
      </c>
    </row>
    <row r="3051" spans="1:7">
      <c r="A3051" t="s">
        <v>25418</v>
      </c>
      <c r="B3051" t="s">
        <v>8626</v>
      </c>
      <c r="D3051" t="s">
        <v>25414</v>
      </c>
      <c r="E3051" t="e">
        <f t="shared" si="2"/>
        <v>#VALUE!</v>
      </c>
      <c r="F3051" t="s">
        <v>17246</v>
      </c>
      <c r="G3051" t="s">
        <v>18973</v>
      </c>
    </row>
    <row r="3052" spans="1:7">
      <c r="A3052" t="s">
        <v>25419</v>
      </c>
      <c r="B3052" t="s">
        <v>8626</v>
      </c>
      <c r="D3052" t="s">
        <v>25414</v>
      </c>
      <c r="E3052" t="e">
        <f t="shared" si="2"/>
        <v>#VALUE!</v>
      </c>
      <c r="F3052" t="s">
        <v>8623</v>
      </c>
      <c r="G3052" t="s">
        <v>25420</v>
      </c>
    </row>
    <row r="3053" spans="1:7">
      <c r="A3053" t="s">
        <v>25421</v>
      </c>
      <c r="B3053" t="s">
        <v>8607</v>
      </c>
      <c r="D3053" t="s">
        <v>25414</v>
      </c>
      <c r="E3053" t="e">
        <f t="shared" si="2"/>
        <v>#VALUE!</v>
      </c>
      <c r="G3053" t="s">
        <v>22411</v>
      </c>
    </row>
    <row r="3054" spans="1:7">
      <c r="A3054" t="s">
        <v>25422</v>
      </c>
      <c r="B3054" t="s">
        <v>8607</v>
      </c>
      <c r="D3054" t="s">
        <v>25423</v>
      </c>
      <c r="E3054" t="e">
        <f t="shared" si="2"/>
        <v>#VALUE!</v>
      </c>
      <c r="F3054" t="s">
        <v>12458</v>
      </c>
      <c r="G3054" t="s">
        <v>18906</v>
      </c>
    </row>
    <row r="3055" spans="1:7">
      <c r="A3055" t="s">
        <v>25424</v>
      </c>
      <c r="B3055" t="s">
        <v>8626</v>
      </c>
      <c r="D3055" t="s">
        <v>25423</v>
      </c>
      <c r="E3055" t="e">
        <f t="shared" si="2"/>
        <v>#VALUE!</v>
      </c>
      <c r="F3055" t="s">
        <v>18476</v>
      </c>
      <c r="G3055" t="s">
        <v>25425</v>
      </c>
    </row>
    <row r="3056" spans="1:7">
      <c r="A3056" t="s">
        <v>25426</v>
      </c>
      <c r="B3056" t="s">
        <v>8626</v>
      </c>
      <c r="D3056" t="s">
        <v>25423</v>
      </c>
      <c r="E3056" t="e">
        <f t="shared" si="2"/>
        <v>#VALUE!</v>
      </c>
      <c r="F3056" t="s">
        <v>12458</v>
      </c>
      <c r="G3056" t="s">
        <v>25425</v>
      </c>
    </row>
    <row r="3057" spans="1:7">
      <c r="A3057" t="s">
        <v>25427</v>
      </c>
      <c r="B3057" t="s">
        <v>8626</v>
      </c>
      <c r="D3057" t="s">
        <v>25423</v>
      </c>
      <c r="E3057" t="e">
        <f t="shared" si="2"/>
        <v>#VALUE!</v>
      </c>
      <c r="G3057" t="s">
        <v>25428</v>
      </c>
    </row>
    <row r="3058" spans="1:7">
      <c r="A3058" t="s">
        <v>25429</v>
      </c>
      <c r="B3058" t="s">
        <v>8607</v>
      </c>
      <c r="C3058" t="s">
        <v>21041</v>
      </c>
      <c r="D3058" t="s">
        <v>25430</v>
      </c>
      <c r="E3058" t="e">
        <f t="shared" si="2"/>
        <v>#VALUE!</v>
      </c>
      <c r="F3058" t="s">
        <v>9002</v>
      </c>
      <c r="G3058" t="s">
        <v>21601</v>
      </c>
    </row>
    <row r="3059" spans="1:7">
      <c r="A3059" t="s">
        <v>25431</v>
      </c>
      <c r="B3059" t="s">
        <v>8607</v>
      </c>
      <c r="C3059" t="s">
        <v>25432</v>
      </c>
      <c r="D3059" t="s">
        <v>25433</v>
      </c>
      <c r="E3059" t="e">
        <f t="shared" si="2"/>
        <v>#VALUE!</v>
      </c>
      <c r="F3059" t="s">
        <v>20051</v>
      </c>
      <c r="G3059" t="s">
        <v>25434</v>
      </c>
    </row>
    <row r="3060" spans="1:7">
      <c r="A3060" t="s">
        <v>25435</v>
      </c>
      <c r="B3060" t="s">
        <v>8607</v>
      </c>
      <c r="D3060" t="s">
        <v>25436</v>
      </c>
      <c r="E3060" t="e">
        <f t="shared" si="2"/>
        <v>#VALUE!</v>
      </c>
      <c r="F3060" t="s">
        <v>20051</v>
      </c>
      <c r="G3060" t="s">
        <v>25437</v>
      </c>
    </row>
    <row r="3061" spans="1:7">
      <c r="A3061" t="s">
        <v>25438</v>
      </c>
      <c r="B3061" t="s">
        <v>8626</v>
      </c>
      <c r="D3061" t="s">
        <v>25436</v>
      </c>
      <c r="E3061" t="e">
        <f t="shared" si="2"/>
        <v>#VALUE!</v>
      </c>
      <c r="F3061" t="s">
        <v>20051</v>
      </c>
      <c r="G3061" t="s">
        <v>25439</v>
      </c>
    </row>
    <row r="3062" spans="1:7">
      <c r="A3062" t="s">
        <v>25440</v>
      </c>
      <c r="B3062" t="s">
        <v>8626</v>
      </c>
      <c r="D3062" t="s">
        <v>25436</v>
      </c>
      <c r="E3062" t="e">
        <f t="shared" si="2"/>
        <v>#VALUE!</v>
      </c>
      <c r="F3062" t="s">
        <v>20051</v>
      </c>
      <c r="G3062" t="s">
        <v>25441</v>
      </c>
    </row>
    <row r="3063" spans="1:7">
      <c r="A3063" t="s">
        <v>25442</v>
      </c>
      <c r="B3063" t="s">
        <v>8607</v>
      </c>
      <c r="D3063" t="s">
        <v>25443</v>
      </c>
      <c r="E3063" t="e">
        <f t="shared" si="2"/>
        <v>#VALUE!</v>
      </c>
      <c r="F3063" t="s">
        <v>20051</v>
      </c>
      <c r="G3063" t="s">
        <v>25444</v>
      </c>
    </row>
    <row r="3064" spans="1:7">
      <c r="A3064" t="s">
        <v>25445</v>
      </c>
      <c r="B3064" t="s">
        <v>8607</v>
      </c>
      <c r="D3064" t="s">
        <v>25446</v>
      </c>
      <c r="E3064" t="e">
        <f t="shared" si="2"/>
        <v>#VALUE!</v>
      </c>
      <c r="F3064" t="s">
        <v>20051</v>
      </c>
      <c r="G3064" t="s">
        <v>20899</v>
      </c>
    </row>
    <row r="3065" spans="1:7">
      <c r="A3065" t="s">
        <v>25447</v>
      </c>
      <c r="B3065" t="s">
        <v>8607</v>
      </c>
      <c r="D3065" t="s">
        <v>25446</v>
      </c>
      <c r="E3065" t="e">
        <f t="shared" si="2"/>
        <v>#VALUE!</v>
      </c>
      <c r="F3065" t="s">
        <v>20051</v>
      </c>
      <c r="G3065" t="s">
        <v>20899</v>
      </c>
    </row>
    <row r="3066" spans="1:7">
      <c r="A3066" t="s">
        <v>25448</v>
      </c>
      <c r="B3066" t="s">
        <v>8607</v>
      </c>
      <c r="D3066" t="s">
        <v>25449</v>
      </c>
      <c r="E3066" t="e">
        <f t="shared" si="2"/>
        <v>#VALUE!</v>
      </c>
      <c r="F3066" t="s">
        <v>20051</v>
      </c>
      <c r="G3066" t="s">
        <v>25450</v>
      </c>
    </row>
    <row r="3067" spans="1:7">
      <c r="A3067" t="s">
        <v>25451</v>
      </c>
      <c r="B3067" t="s">
        <v>8626</v>
      </c>
      <c r="D3067" t="s">
        <v>25452</v>
      </c>
      <c r="E3067" t="e">
        <f t="shared" si="2"/>
        <v>#VALUE!</v>
      </c>
      <c r="F3067" t="s">
        <v>25453</v>
      </c>
      <c r="G3067" t="s">
        <v>25454</v>
      </c>
    </row>
    <row r="3068" spans="1:7">
      <c r="A3068" t="s">
        <v>25455</v>
      </c>
      <c r="B3068" t="s">
        <v>8626</v>
      </c>
      <c r="D3068" t="s">
        <v>8628</v>
      </c>
      <c r="E3068" t="e">
        <f t="shared" si="2"/>
        <v>#VALUE!</v>
      </c>
      <c r="F3068" t="s">
        <v>8629</v>
      </c>
      <c r="G3068" t="s">
        <v>14759</v>
      </c>
    </row>
    <row r="3069" spans="1:7">
      <c r="A3069" t="s">
        <v>25456</v>
      </c>
      <c r="B3069" t="s">
        <v>8626</v>
      </c>
      <c r="D3069" t="s">
        <v>8628</v>
      </c>
      <c r="E3069" t="e">
        <f t="shared" si="2"/>
        <v>#VALUE!</v>
      </c>
      <c r="F3069" t="s">
        <v>8629</v>
      </c>
      <c r="G3069" t="s">
        <v>14759</v>
      </c>
    </row>
    <row r="3070" spans="1:7">
      <c r="A3070" t="s">
        <v>25457</v>
      </c>
      <c r="B3070" t="s">
        <v>8607</v>
      </c>
      <c r="D3070" t="s">
        <v>25458</v>
      </c>
      <c r="E3070" t="e">
        <f t="shared" si="2"/>
        <v>#VALUE!</v>
      </c>
      <c r="F3070" t="s">
        <v>25459</v>
      </c>
      <c r="G3070" t="s">
        <v>25460</v>
      </c>
    </row>
    <row r="3071" spans="1:7">
      <c r="A3071" t="s">
        <v>25461</v>
      </c>
      <c r="B3071" t="s">
        <v>8607</v>
      </c>
      <c r="D3071" t="s">
        <v>25458</v>
      </c>
      <c r="E3071" t="e">
        <f t="shared" si="2"/>
        <v>#VALUE!</v>
      </c>
      <c r="F3071" t="s">
        <v>25459</v>
      </c>
      <c r="G3071" t="s">
        <v>25462</v>
      </c>
    </row>
    <row r="3072" spans="1:7">
      <c r="A3072" t="s">
        <v>25463</v>
      </c>
      <c r="B3072" t="s">
        <v>8626</v>
      </c>
      <c r="D3072" t="s">
        <v>25464</v>
      </c>
      <c r="E3072" t="e">
        <f t="shared" si="2"/>
        <v>#VALUE!</v>
      </c>
      <c r="F3072" t="s">
        <v>25459</v>
      </c>
      <c r="G3072" t="s">
        <v>25465</v>
      </c>
    </row>
    <row r="3073" spans="1:7">
      <c r="A3073" t="s">
        <v>25466</v>
      </c>
      <c r="B3073" t="s">
        <v>8607</v>
      </c>
      <c r="D3073" t="s">
        <v>25467</v>
      </c>
      <c r="E3073" t="e">
        <f t="shared" si="2"/>
        <v>#VALUE!</v>
      </c>
      <c r="F3073" t="s">
        <v>25459</v>
      </c>
      <c r="G3073" t="s">
        <v>23969</v>
      </c>
    </row>
    <row r="3074" spans="1:7">
      <c r="A3074" t="s">
        <v>25468</v>
      </c>
      <c r="B3074" t="s">
        <v>8626</v>
      </c>
      <c r="D3074" t="s">
        <v>25469</v>
      </c>
      <c r="E3074" t="e">
        <f t="shared" si="2"/>
        <v>#VALUE!</v>
      </c>
      <c r="F3074" t="s">
        <v>12458</v>
      </c>
      <c r="G3074" t="s">
        <v>25425</v>
      </c>
    </row>
    <row r="3075" spans="1:7">
      <c r="A3075" t="s">
        <v>25470</v>
      </c>
      <c r="B3075" t="s">
        <v>8607</v>
      </c>
      <c r="C3075" t="s">
        <v>25471</v>
      </c>
      <c r="D3075" t="s">
        <v>25472</v>
      </c>
      <c r="E3075" t="e">
        <f t="shared" si="2"/>
        <v>#VALUE!</v>
      </c>
      <c r="F3075" t="s">
        <v>25473</v>
      </c>
      <c r="G3075" t="s">
        <v>25474</v>
      </c>
    </row>
    <row r="3076" spans="1:7">
      <c r="A3076" t="s">
        <v>25475</v>
      </c>
      <c r="B3076" t="s">
        <v>8607</v>
      </c>
      <c r="C3076" t="s">
        <v>25471</v>
      </c>
      <c r="D3076" t="s">
        <v>25472</v>
      </c>
      <c r="E3076" t="e">
        <f t="shared" si="2"/>
        <v>#VALUE!</v>
      </c>
      <c r="F3076" t="s">
        <v>25473</v>
      </c>
      <c r="G3076" t="s">
        <v>25476</v>
      </c>
    </row>
    <row r="3077" spans="1:7">
      <c r="A3077" t="s">
        <v>25477</v>
      </c>
      <c r="B3077" t="s">
        <v>8626</v>
      </c>
      <c r="C3077" t="s">
        <v>25478</v>
      </c>
      <c r="D3077" t="s">
        <v>25479</v>
      </c>
      <c r="E3077" t="e">
        <f t="shared" si="2"/>
        <v>#VALUE!</v>
      </c>
      <c r="F3077" t="s">
        <v>25473</v>
      </c>
      <c r="G3077" t="s">
        <v>25480</v>
      </c>
    </row>
    <row r="3078" spans="1:7">
      <c r="A3078" t="s">
        <v>25481</v>
      </c>
      <c r="D3078" t="s">
        <v>25482</v>
      </c>
      <c r="E3078" t="e">
        <f t="shared" si="2"/>
        <v>#VALUE!</v>
      </c>
      <c r="G3078" t="s">
        <v>25483</v>
      </c>
    </row>
    <row r="3079" spans="1:7">
      <c r="A3079" t="s">
        <v>25484</v>
      </c>
      <c r="B3079" t="s">
        <v>8607</v>
      </c>
      <c r="D3079" t="s">
        <v>25485</v>
      </c>
      <c r="E3079" t="e">
        <f t="shared" si="2"/>
        <v>#VALUE!</v>
      </c>
      <c r="F3079" t="s">
        <v>25486</v>
      </c>
      <c r="G3079" t="s">
        <v>25487</v>
      </c>
    </row>
    <row r="3080" spans="1:7">
      <c r="A3080" t="s">
        <v>25488</v>
      </c>
      <c r="B3080" t="s">
        <v>8607</v>
      </c>
      <c r="D3080" t="s">
        <v>25489</v>
      </c>
      <c r="E3080" t="e">
        <f t="shared" si="2"/>
        <v>#VALUE!</v>
      </c>
      <c r="F3080" t="s">
        <v>25486</v>
      </c>
      <c r="G3080" t="s">
        <v>25490</v>
      </c>
    </row>
    <row r="3081" spans="1:7">
      <c r="A3081" t="s">
        <v>25491</v>
      </c>
      <c r="B3081" t="s">
        <v>8626</v>
      </c>
      <c r="D3081" t="s">
        <v>25492</v>
      </c>
      <c r="E3081" t="e">
        <f t="shared" si="2"/>
        <v>#VALUE!</v>
      </c>
      <c r="F3081" t="s">
        <v>25486</v>
      </c>
      <c r="G3081" t="s">
        <v>25493</v>
      </c>
    </row>
    <row r="3082" spans="1:7">
      <c r="A3082" t="s">
        <v>25494</v>
      </c>
      <c r="B3082" t="s">
        <v>8607</v>
      </c>
      <c r="C3082" t="s">
        <v>25495</v>
      </c>
      <c r="D3082" t="s">
        <v>25496</v>
      </c>
      <c r="E3082" t="e">
        <f t="shared" si="2"/>
        <v>#VALUE!</v>
      </c>
      <c r="F3082" t="s">
        <v>23928</v>
      </c>
      <c r="G3082" t="s">
        <v>25497</v>
      </c>
    </row>
    <row r="3083" spans="1:7">
      <c r="A3083" t="s">
        <v>25498</v>
      </c>
      <c r="B3083" t="s">
        <v>8626</v>
      </c>
      <c r="C3083" t="s">
        <v>25499</v>
      </c>
      <c r="D3083" t="s">
        <v>25500</v>
      </c>
      <c r="E3083" t="e">
        <f t="shared" si="2"/>
        <v>#VALUE!</v>
      </c>
      <c r="F3083" t="s">
        <v>23928</v>
      </c>
      <c r="G3083" t="s">
        <v>25501</v>
      </c>
    </row>
    <row r="3084" spans="1:7">
      <c r="A3084" t="s">
        <v>25502</v>
      </c>
      <c r="B3084" t="s">
        <v>8607</v>
      </c>
      <c r="D3084" t="s">
        <v>25503</v>
      </c>
      <c r="E3084" t="e">
        <f t="shared" si="2"/>
        <v>#VALUE!</v>
      </c>
      <c r="F3084" t="s">
        <v>23928</v>
      </c>
      <c r="G3084" t="s">
        <v>25504</v>
      </c>
    </row>
    <row r="3085" spans="1:7">
      <c r="A3085" t="s">
        <v>25505</v>
      </c>
      <c r="B3085" t="s">
        <v>8607</v>
      </c>
      <c r="D3085" t="s">
        <v>25506</v>
      </c>
      <c r="E3085" t="e">
        <f t="shared" si="2"/>
        <v>#VALUE!</v>
      </c>
      <c r="F3085" t="s">
        <v>23928</v>
      </c>
      <c r="G3085" t="s">
        <v>25507</v>
      </c>
    </row>
    <row r="3086" spans="1:7">
      <c r="A3086" t="s">
        <v>25508</v>
      </c>
      <c r="B3086" t="s">
        <v>8607</v>
      </c>
      <c r="D3086" t="s">
        <v>25509</v>
      </c>
      <c r="E3086" t="e">
        <f t="shared" si="2"/>
        <v>#VALUE!</v>
      </c>
      <c r="F3086" t="s">
        <v>23928</v>
      </c>
      <c r="G3086" t="s">
        <v>25510</v>
      </c>
    </row>
    <row r="3087" spans="1:7">
      <c r="A3087" t="s">
        <v>25511</v>
      </c>
      <c r="B3087" t="s">
        <v>8626</v>
      </c>
      <c r="D3087" t="s">
        <v>25512</v>
      </c>
      <c r="E3087" t="e">
        <f t="shared" si="2"/>
        <v>#VALUE!</v>
      </c>
      <c r="F3087" t="s">
        <v>23928</v>
      </c>
      <c r="G3087" t="s">
        <v>25513</v>
      </c>
    </row>
    <row r="3088" spans="1:7">
      <c r="A3088" t="s">
        <v>25514</v>
      </c>
      <c r="B3088" t="s">
        <v>8626</v>
      </c>
      <c r="D3088" t="s">
        <v>25512</v>
      </c>
      <c r="E3088" t="e">
        <f t="shared" si="2"/>
        <v>#VALUE!</v>
      </c>
      <c r="F3088" t="s">
        <v>23928</v>
      </c>
      <c r="G3088" t="s">
        <v>25515</v>
      </c>
    </row>
    <row r="3089" spans="1:7">
      <c r="A3089" t="s">
        <v>25516</v>
      </c>
      <c r="B3089" t="s">
        <v>8626</v>
      </c>
      <c r="C3089" t="s">
        <v>23926</v>
      </c>
      <c r="D3089" t="s">
        <v>25517</v>
      </c>
      <c r="E3089" t="e">
        <f t="shared" si="2"/>
        <v>#VALUE!</v>
      </c>
      <c r="F3089" t="s">
        <v>23928</v>
      </c>
      <c r="G3089" t="s">
        <v>25518</v>
      </c>
    </row>
    <row r="3090" spans="1:7">
      <c r="A3090" t="s">
        <v>25519</v>
      </c>
      <c r="B3090" t="s">
        <v>8626</v>
      </c>
      <c r="D3090" t="s">
        <v>25520</v>
      </c>
      <c r="E3090" t="e">
        <f t="shared" si="2"/>
        <v>#VALUE!</v>
      </c>
      <c r="F3090" t="s">
        <v>18854</v>
      </c>
      <c r="G3090" t="s">
        <v>25521</v>
      </c>
    </row>
    <row r="3091" spans="1:7">
      <c r="A3091" t="s">
        <v>25522</v>
      </c>
      <c r="B3091" t="s">
        <v>8626</v>
      </c>
      <c r="D3091" t="s">
        <v>25523</v>
      </c>
      <c r="E3091" t="e">
        <f t="shared" si="2"/>
        <v>#VALUE!</v>
      </c>
      <c r="F3091" t="s">
        <v>25524</v>
      </c>
      <c r="G3091" t="s">
        <v>25525</v>
      </c>
    </row>
    <row r="3092" spans="1:7">
      <c r="A3092" t="s">
        <v>25526</v>
      </c>
      <c r="B3092" t="s">
        <v>8607</v>
      </c>
      <c r="D3092" t="s">
        <v>25527</v>
      </c>
      <c r="E3092" t="e">
        <f t="shared" si="2"/>
        <v>#VALUE!</v>
      </c>
      <c r="F3092" t="s">
        <v>25524</v>
      </c>
      <c r="G3092" t="s">
        <v>25528</v>
      </c>
    </row>
    <row r="3093" spans="1:7">
      <c r="A3093" t="s">
        <v>25529</v>
      </c>
      <c r="B3093" t="s">
        <v>8607</v>
      </c>
      <c r="D3093" t="s">
        <v>25530</v>
      </c>
      <c r="E3093" t="e">
        <f t="shared" si="2"/>
        <v>#VALUE!</v>
      </c>
      <c r="F3093" t="s">
        <v>25524</v>
      </c>
      <c r="G3093" t="s">
        <v>25528</v>
      </c>
    </row>
    <row r="3094" spans="1:7">
      <c r="A3094" t="s">
        <v>25531</v>
      </c>
      <c r="B3094" t="s">
        <v>8607</v>
      </c>
      <c r="D3094" t="s">
        <v>25532</v>
      </c>
      <c r="E3094" t="e">
        <f t="shared" si="2"/>
        <v>#VALUE!</v>
      </c>
      <c r="F3094" t="s">
        <v>9018</v>
      </c>
      <c r="G3094" t="s">
        <v>25533</v>
      </c>
    </row>
    <row r="3095" spans="1:7">
      <c r="A3095" t="s">
        <v>25534</v>
      </c>
      <c r="B3095" t="s">
        <v>8607</v>
      </c>
      <c r="C3095" t="s">
        <v>25535</v>
      </c>
      <c r="D3095" t="s">
        <v>25536</v>
      </c>
      <c r="E3095" t="e">
        <f t="shared" si="2"/>
        <v>#VALUE!</v>
      </c>
      <c r="F3095" t="s">
        <v>25537</v>
      </c>
      <c r="G3095" t="s">
        <v>25538</v>
      </c>
    </row>
    <row r="3096" spans="1:7">
      <c r="A3096" t="s">
        <v>25539</v>
      </c>
      <c r="B3096" t="s">
        <v>8607</v>
      </c>
      <c r="C3096" t="s">
        <v>25540</v>
      </c>
      <c r="D3096" t="s">
        <v>25541</v>
      </c>
      <c r="E3096" t="e">
        <f t="shared" si="2"/>
        <v>#VALUE!</v>
      </c>
      <c r="G3096" t="s">
        <v>25542</v>
      </c>
    </row>
    <row r="3097" spans="1:7">
      <c r="A3097" t="s">
        <v>25543</v>
      </c>
      <c r="B3097" t="s">
        <v>8626</v>
      </c>
      <c r="C3097" t="s">
        <v>25544</v>
      </c>
      <c r="D3097" t="s">
        <v>25545</v>
      </c>
      <c r="E3097" t="e">
        <f t="shared" si="2"/>
        <v>#VALUE!</v>
      </c>
      <c r="F3097" t="s">
        <v>25537</v>
      </c>
      <c r="G3097" t="s">
        <v>25546</v>
      </c>
    </row>
    <row r="3098" spans="1:7">
      <c r="A3098" t="s">
        <v>25547</v>
      </c>
      <c r="B3098" t="s">
        <v>8607</v>
      </c>
      <c r="D3098" t="s">
        <v>25548</v>
      </c>
      <c r="E3098" t="e">
        <f t="shared" si="2"/>
        <v>#VALUE!</v>
      </c>
      <c r="F3098" t="s">
        <v>21331</v>
      </c>
      <c r="G3098" t="s">
        <v>25549</v>
      </c>
    </row>
    <row r="3099" spans="1:7">
      <c r="A3099" t="s">
        <v>25550</v>
      </c>
      <c r="B3099" t="s">
        <v>8607</v>
      </c>
      <c r="D3099" t="s">
        <v>25548</v>
      </c>
      <c r="E3099" t="e">
        <f t="shared" si="2"/>
        <v>#VALUE!</v>
      </c>
      <c r="F3099" t="s">
        <v>21331</v>
      </c>
      <c r="G3099" t="s">
        <v>25549</v>
      </c>
    </row>
    <row r="3100" spans="1:7">
      <c r="A3100" t="s">
        <v>25551</v>
      </c>
      <c r="B3100" t="s">
        <v>8607</v>
      </c>
      <c r="D3100" t="s">
        <v>25552</v>
      </c>
      <c r="E3100" t="e">
        <f t="shared" si="2"/>
        <v>#VALUE!</v>
      </c>
      <c r="F3100" t="s">
        <v>21331</v>
      </c>
      <c r="G3100" t="s">
        <v>25553</v>
      </c>
    </row>
    <row r="3101" spans="1:7">
      <c r="A3101" t="s">
        <v>25554</v>
      </c>
      <c r="B3101" t="s">
        <v>8626</v>
      </c>
      <c r="D3101" t="s">
        <v>25555</v>
      </c>
      <c r="E3101" t="e">
        <f t="shared" si="2"/>
        <v>#VALUE!</v>
      </c>
      <c r="F3101" t="s">
        <v>21331</v>
      </c>
      <c r="G3101" t="s">
        <v>21442</v>
      </c>
    </row>
    <row r="3102" spans="1:7">
      <c r="A3102" t="s">
        <v>25556</v>
      </c>
      <c r="B3102" t="s">
        <v>8626</v>
      </c>
      <c r="C3102" t="s">
        <v>25557</v>
      </c>
      <c r="D3102" t="s">
        <v>25558</v>
      </c>
      <c r="E3102" t="e">
        <f t="shared" ref="E3102:E3165" si="3">SEARCH("INFORMATION STORAGE AND PROCESSING",D3102)</f>
        <v>#VALUE!</v>
      </c>
      <c r="F3102" t="s">
        <v>21331</v>
      </c>
      <c r="G3102" t="s">
        <v>25559</v>
      </c>
    </row>
    <row r="3103" spans="1:7">
      <c r="A3103" t="s">
        <v>25560</v>
      </c>
      <c r="B3103" t="s">
        <v>8626</v>
      </c>
      <c r="D3103" t="s">
        <v>25561</v>
      </c>
      <c r="E3103" t="e">
        <f t="shared" si="3"/>
        <v>#VALUE!</v>
      </c>
      <c r="F3103" t="s">
        <v>25562</v>
      </c>
      <c r="G3103" t="s">
        <v>25563</v>
      </c>
    </row>
    <row r="3104" spans="1:7">
      <c r="A3104" t="s">
        <v>25564</v>
      </c>
      <c r="B3104" t="s">
        <v>8626</v>
      </c>
      <c r="D3104" t="s">
        <v>25561</v>
      </c>
      <c r="E3104" t="e">
        <f t="shared" si="3"/>
        <v>#VALUE!</v>
      </c>
      <c r="F3104" t="s">
        <v>25562</v>
      </c>
      <c r="G3104" t="s">
        <v>25563</v>
      </c>
    </row>
    <row r="3105" spans="1:7">
      <c r="A3105" t="s">
        <v>25565</v>
      </c>
      <c r="B3105" t="s">
        <v>8607</v>
      </c>
      <c r="D3105" t="s">
        <v>25566</v>
      </c>
      <c r="E3105" t="e">
        <f t="shared" si="3"/>
        <v>#VALUE!</v>
      </c>
      <c r="F3105" t="s">
        <v>21331</v>
      </c>
      <c r="G3105" t="s">
        <v>25567</v>
      </c>
    </row>
    <row r="3106" spans="1:7">
      <c r="A3106" t="s">
        <v>25568</v>
      </c>
      <c r="B3106" t="s">
        <v>8607</v>
      </c>
      <c r="D3106" t="s">
        <v>25566</v>
      </c>
      <c r="E3106" t="e">
        <f t="shared" si="3"/>
        <v>#VALUE!</v>
      </c>
      <c r="F3106" t="s">
        <v>21331</v>
      </c>
      <c r="G3106" t="s">
        <v>25567</v>
      </c>
    </row>
    <row r="3107" spans="1:7">
      <c r="A3107" t="s">
        <v>25569</v>
      </c>
      <c r="B3107" t="s">
        <v>8626</v>
      </c>
      <c r="D3107" t="s">
        <v>25566</v>
      </c>
      <c r="E3107" t="e">
        <f t="shared" si="3"/>
        <v>#VALUE!</v>
      </c>
      <c r="F3107" t="s">
        <v>21331</v>
      </c>
      <c r="G3107" t="s">
        <v>21622</v>
      </c>
    </row>
    <row r="3108" spans="1:7">
      <c r="A3108" t="s">
        <v>25570</v>
      </c>
      <c r="B3108" t="s">
        <v>8607</v>
      </c>
      <c r="D3108" t="s">
        <v>25566</v>
      </c>
      <c r="E3108" t="e">
        <f t="shared" si="3"/>
        <v>#VALUE!</v>
      </c>
      <c r="F3108" t="s">
        <v>21331</v>
      </c>
      <c r="G3108" t="s">
        <v>25567</v>
      </c>
    </row>
    <row r="3109" spans="1:7">
      <c r="A3109" t="s">
        <v>25571</v>
      </c>
      <c r="B3109" t="s">
        <v>8607</v>
      </c>
      <c r="D3109" t="s">
        <v>25566</v>
      </c>
      <c r="E3109" t="e">
        <f t="shared" si="3"/>
        <v>#VALUE!</v>
      </c>
      <c r="F3109" t="s">
        <v>21331</v>
      </c>
      <c r="G3109" t="s">
        <v>25567</v>
      </c>
    </row>
    <row r="3110" spans="1:7">
      <c r="A3110" t="s">
        <v>25572</v>
      </c>
      <c r="B3110" t="s">
        <v>8626</v>
      </c>
      <c r="D3110" t="s">
        <v>25566</v>
      </c>
      <c r="E3110" t="e">
        <f t="shared" si="3"/>
        <v>#VALUE!</v>
      </c>
      <c r="F3110" t="s">
        <v>21331</v>
      </c>
      <c r="G3110" t="s">
        <v>25573</v>
      </c>
    </row>
    <row r="3111" spans="1:7">
      <c r="A3111" t="s">
        <v>25574</v>
      </c>
      <c r="B3111" t="s">
        <v>8607</v>
      </c>
      <c r="D3111" t="s">
        <v>25566</v>
      </c>
      <c r="E3111" t="e">
        <f t="shared" si="3"/>
        <v>#VALUE!</v>
      </c>
      <c r="F3111" t="s">
        <v>21331</v>
      </c>
      <c r="G3111" t="s">
        <v>25567</v>
      </c>
    </row>
    <row r="3112" spans="1:7">
      <c r="A3112" t="s">
        <v>25575</v>
      </c>
      <c r="B3112" t="s">
        <v>8607</v>
      </c>
      <c r="D3112" t="s">
        <v>25576</v>
      </c>
      <c r="E3112" t="e">
        <f t="shared" si="3"/>
        <v>#VALUE!</v>
      </c>
      <c r="F3112" t="s">
        <v>25577</v>
      </c>
      <c r="G3112" t="s">
        <v>25578</v>
      </c>
    </row>
    <row r="3113" spans="1:7">
      <c r="A3113" t="s">
        <v>25579</v>
      </c>
      <c r="B3113" t="s">
        <v>8607</v>
      </c>
      <c r="D3113" t="s">
        <v>25576</v>
      </c>
      <c r="E3113" t="e">
        <f t="shared" si="3"/>
        <v>#VALUE!</v>
      </c>
      <c r="F3113" t="s">
        <v>25577</v>
      </c>
      <c r="G3113" t="s">
        <v>25578</v>
      </c>
    </row>
    <row r="3114" spans="1:7">
      <c r="A3114" t="s">
        <v>25580</v>
      </c>
      <c r="B3114" t="s">
        <v>8607</v>
      </c>
      <c r="D3114" t="s">
        <v>25576</v>
      </c>
      <c r="E3114" t="e">
        <f t="shared" si="3"/>
        <v>#VALUE!</v>
      </c>
      <c r="F3114" t="s">
        <v>25577</v>
      </c>
      <c r="G3114" t="s">
        <v>25578</v>
      </c>
    </row>
    <row r="3115" spans="1:7">
      <c r="A3115" t="s">
        <v>25581</v>
      </c>
      <c r="B3115" t="s">
        <v>8626</v>
      </c>
      <c r="C3115" t="s">
        <v>25582</v>
      </c>
      <c r="D3115" t="s">
        <v>25583</v>
      </c>
      <c r="E3115" t="e">
        <f t="shared" si="3"/>
        <v>#VALUE!</v>
      </c>
      <c r="F3115" t="s">
        <v>25577</v>
      </c>
      <c r="G3115" t="s">
        <v>25584</v>
      </c>
    </row>
    <row r="3116" spans="1:7">
      <c r="A3116" t="s">
        <v>25585</v>
      </c>
      <c r="B3116" t="s">
        <v>8626</v>
      </c>
      <c r="D3116" t="s">
        <v>25586</v>
      </c>
      <c r="E3116" t="e">
        <f t="shared" si="3"/>
        <v>#VALUE!</v>
      </c>
      <c r="F3116" t="s">
        <v>25577</v>
      </c>
      <c r="G3116" t="s">
        <v>25587</v>
      </c>
    </row>
    <row r="3117" spans="1:7">
      <c r="A3117" t="s">
        <v>25588</v>
      </c>
      <c r="B3117" t="s">
        <v>8626</v>
      </c>
      <c r="D3117" t="s">
        <v>25586</v>
      </c>
      <c r="E3117" t="e">
        <f t="shared" si="3"/>
        <v>#VALUE!</v>
      </c>
      <c r="F3117" t="s">
        <v>25577</v>
      </c>
      <c r="G3117" t="s">
        <v>25587</v>
      </c>
    </row>
    <row r="3118" spans="1:7">
      <c r="A3118" t="s">
        <v>25589</v>
      </c>
      <c r="D3118" t="s">
        <v>25590</v>
      </c>
      <c r="E3118" t="e">
        <f t="shared" si="3"/>
        <v>#VALUE!</v>
      </c>
      <c r="G3118" t="s">
        <v>25591</v>
      </c>
    </row>
    <row r="3119" spans="1:7">
      <c r="A3119" t="s">
        <v>25592</v>
      </c>
      <c r="D3119" t="s">
        <v>25593</v>
      </c>
      <c r="E3119" t="e">
        <f t="shared" si="3"/>
        <v>#VALUE!</v>
      </c>
      <c r="G3119" t="s">
        <v>25594</v>
      </c>
    </row>
    <row r="3120" spans="1:7">
      <c r="A3120" t="s">
        <v>25595</v>
      </c>
      <c r="D3120" t="s">
        <v>25596</v>
      </c>
      <c r="E3120" t="e">
        <f t="shared" si="3"/>
        <v>#VALUE!</v>
      </c>
      <c r="G3120" t="s">
        <v>25597</v>
      </c>
    </row>
    <row r="3121" spans="1:7">
      <c r="A3121" t="s">
        <v>25598</v>
      </c>
      <c r="B3121" t="s">
        <v>8626</v>
      </c>
      <c r="D3121" t="s">
        <v>25599</v>
      </c>
      <c r="E3121" t="e">
        <f t="shared" si="3"/>
        <v>#VALUE!</v>
      </c>
      <c r="F3121" t="s">
        <v>25600</v>
      </c>
      <c r="G3121" t="s">
        <v>25601</v>
      </c>
    </row>
    <row r="3122" spans="1:7">
      <c r="A3122" t="s">
        <v>25602</v>
      </c>
      <c r="B3122" t="s">
        <v>8626</v>
      </c>
      <c r="D3122" t="s">
        <v>25599</v>
      </c>
      <c r="E3122" t="e">
        <f t="shared" si="3"/>
        <v>#VALUE!</v>
      </c>
      <c r="F3122" t="s">
        <v>25600</v>
      </c>
      <c r="G3122" t="s">
        <v>25601</v>
      </c>
    </row>
    <row r="3123" spans="1:7">
      <c r="A3123" t="s">
        <v>25603</v>
      </c>
      <c r="B3123" t="s">
        <v>8626</v>
      </c>
      <c r="D3123" t="s">
        <v>25599</v>
      </c>
      <c r="E3123" t="e">
        <f t="shared" si="3"/>
        <v>#VALUE!</v>
      </c>
      <c r="F3123" t="s">
        <v>25600</v>
      </c>
      <c r="G3123" t="s">
        <v>25601</v>
      </c>
    </row>
    <row r="3124" spans="1:7">
      <c r="A3124" t="s">
        <v>25604</v>
      </c>
      <c r="B3124" t="s">
        <v>8626</v>
      </c>
      <c r="D3124" t="s">
        <v>25599</v>
      </c>
      <c r="E3124" t="e">
        <f t="shared" si="3"/>
        <v>#VALUE!</v>
      </c>
      <c r="F3124" t="s">
        <v>25600</v>
      </c>
      <c r="G3124" t="s">
        <v>25605</v>
      </c>
    </row>
    <row r="3125" spans="1:7">
      <c r="A3125" t="s">
        <v>25606</v>
      </c>
      <c r="B3125" t="s">
        <v>8626</v>
      </c>
      <c r="D3125" t="s">
        <v>25607</v>
      </c>
      <c r="E3125" t="e">
        <f t="shared" si="3"/>
        <v>#VALUE!</v>
      </c>
      <c r="F3125" t="s">
        <v>25600</v>
      </c>
      <c r="G3125" t="s">
        <v>25608</v>
      </c>
    </row>
    <row r="3126" spans="1:7">
      <c r="A3126" t="s">
        <v>25609</v>
      </c>
      <c r="B3126" t="s">
        <v>8626</v>
      </c>
      <c r="D3126" t="s">
        <v>25610</v>
      </c>
      <c r="E3126" t="e">
        <f t="shared" si="3"/>
        <v>#VALUE!</v>
      </c>
      <c r="F3126" t="s">
        <v>25600</v>
      </c>
      <c r="G3126" t="s">
        <v>25611</v>
      </c>
    </row>
    <row r="3127" spans="1:7">
      <c r="A3127" t="s">
        <v>25612</v>
      </c>
      <c r="B3127" t="s">
        <v>8626</v>
      </c>
      <c r="D3127" t="s">
        <v>25613</v>
      </c>
      <c r="E3127" t="e">
        <f t="shared" si="3"/>
        <v>#VALUE!</v>
      </c>
      <c r="F3127" t="s">
        <v>25600</v>
      </c>
      <c r="G3127" t="s">
        <v>25614</v>
      </c>
    </row>
    <row r="3128" spans="1:7">
      <c r="A3128" t="s">
        <v>25615</v>
      </c>
      <c r="B3128" t="s">
        <v>8626</v>
      </c>
      <c r="D3128" t="s">
        <v>25616</v>
      </c>
      <c r="E3128" t="e">
        <f t="shared" si="3"/>
        <v>#VALUE!</v>
      </c>
      <c r="F3128" t="s">
        <v>25600</v>
      </c>
      <c r="G3128" t="s">
        <v>25617</v>
      </c>
    </row>
    <row r="3129" spans="1:7">
      <c r="A3129" t="s">
        <v>25618</v>
      </c>
      <c r="B3129" t="s">
        <v>8607</v>
      </c>
      <c r="D3129" t="s">
        <v>25619</v>
      </c>
      <c r="E3129" t="e">
        <f t="shared" si="3"/>
        <v>#VALUE!</v>
      </c>
      <c r="F3129" t="s">
        <v>18286</v>
      </c>
      <c r="G3129" t="s">
        <v>25620</v>
      </c>
    </row>
    <row r="3130" spans="1:7">
      <c r="A3130" t="s">
        <v>25621</v>
      </c>
      <c r="B3130" t="s">
        <v>8626</v>
      </c>
      <c r="D3130" t="s">
        <v>25622</v>
      </c>
      <c r="E3130" t="e">
        <f t="shared" si="3"/>
        <v>#VALUE!</v>
      </c>
      <c r="F3130" t="s">
        <v>25600</v>
      </c>
      <c r="G3130" t="s">
        <v>25623</v>
      </c>
    </row>
    <row r="3131" spans="1:7">
      <c r="A3131" t="s">
        <v>25624</v>
      </c>
      <c r="B3131" t="s">
        <v>8626</v>
      </c>
      <c r="D3131" t="s">
        <v>25625</v>
      </c>
      <c r="E3131" t="e">
        <f t="shared" si="3"/>
        <v>#VALUE!</v>
      </c>
      <c r="F3131" t="s">
        <v>13312</v>
      </c>
      <c r="G3131" t="s">
        <v>25626</v>
      </c>
    </row>
    <row r="3132" spans="1:7">
      <c r="A3132" t="s">
        <v>25627</v>
      </c>
      <c r="B3132" t="s">
        <v>8626</v>
      </c>
      <c r="D3132" t="s">
        <v>25628</v>
      </c>
      <c r="E3132" t="e">
        <f t="shared" si="3"/>
        <v>#VALUE!</v>
      </c>
      <c r="F3132" t="s">
        <v>25600</v>
      </c>
      <c r="G3132" t="s">
        <v>25629</v>
      </c>
    </row>
    <row r="3133" spans="1:7">
      <c r="A3133" t="s">
        <v>25630</v>
      </c>
      <c r="B3133" t="s">
        <v>8626</v>
      </c>
      <c r="D3133" t="s">
        <v>25628</v>
      </c>
      <c r="E3133" t="e">
        <f t="shared" si="3"/>
        <v>#VALUE!</v>
      </c>
      <c r="F3133" t="s">
        <v>25600</v>
      </c>
      <c r="G3133" t="s">
        <v>25629</v>
      </c>
    </row>
    <row r="3134" spans="1:7">
      <c r="A3134" t="s">
        <v>25631</v>
      </c>
      <c r="B3134" t="s">
        <v>8626</v>
      </c>
      <c r="D3134" t="s">
        <v>25628</v>
      </c>
      <c r="E3134" t="e">
        <f t="shared" si="3"/>
        <v>#VALUE!</v>
      </c>
      <c r="F3134" t="s">
        <v>25600</v>
      </c>
      <c r="G3134" t="s">
        <v>25632</v>
      </c>
    </row>
    <row r="3135" spans="1:7">
      <c r="A3135" t="s">
        <v>25633</v>
      </c>
      <c r="B3135" t="s">
        <v>8607</v>
      </c>
      <c r="C3135" t="s">
        <v>25634</v>
      </c>
      <c r="D3135" t="s">
        <v>25635</v>
      </c>
      <c r="E3135" t="e">
        <f t="shared" si="3"/>
        <v>#VALUE!</v>
      </c>
      <c r="F3135" t="s">
        <v>21912</v>
      </c>
      <c r="G3135" t="s">
        <v>25636</v>
      </c>
    </row>
    <row r="3136" spans="1:7">
      <c r="A3136" t="s">
        <v>25637</v>
      </c>
      <c r="B3136" t="s">
        <v>8607</v>
      </c>
      <c r="C3136" t="s">
        <v>25634</v>
      </c>
      <c r="D3136" t="s">
        <v>25638</v>
      </c>
      <c r="E3136" t="e">
        <f t="shared" si="3"/>
        <v>#VALUE!</v>
      </c>
      <c r="F3136" t="s">
        <v>21912</v>
      </c>
      <c r="G3136" t="s">
        <v>25636</v>
      </c>
    </row>
    <row r="3137" spans="1:7">
      <c r="A3137" t="s">
        <v>25639</v>
      </c>
      <c r="B3137" t="s">
        <v>8607</v>
      </c>
      <c r="C3137" t="s">
        <v>25634</v>
      </c>
      <c r="D3137" t="s">
        <v>25640</v>
      </c>
      <c r="E3137" t="e">
        <f t="shared" si="3"/>
        <v>#VALUE!</v>
      </c>
      <c r="F3137" t="s">
        <v>21912</v>
      </c>
      <c r="G3137" t="s">
        <v>25641</v>
      </c>
    </row>
    <row r="3138" spans="1:7">
      <c r="A3138" t="s">
        <v>25642</v>
      </c>
      <c r="B3138" t="s">
        <v>8607</v>
      </c>
      <c r="C3138" t="s">
        <v>25643</v>
      </c>
      <c r="D3138" t="s">
        <v>25644</v>
      </c>
      <c r="E3138" t="e">
        <f t="shared" si="3"/>
        <v>#VALUE!</v>
      </c>
      <c r="F3138" t="s">
        <v>21953</v>
      </c>
      <c r="G3138" t="s">
        <v>21954</v>
      </c>
    </row>
    <row r="3139" spans="1:7">
      <c r="A3139" t="s">
        <v>25645</v>
      </c>
      <c r="B3139" t="s">
        <v>8626</v>
      </c>
      <c r="D3139" t="s">
        <v>25646</v>
      </c>
      <c r="E3139" t="e">
        <f t="shared" si="3"/>
        <v>#VALUE!</v>
      </c>
      <c r="F3139" t="s">
        <v>15202</v>
      </c>
      <c r="G3139" t="s">
        <v>25647</v>
      </c>
    </row>
    <row r="3140" spans="1:7">
      <c r="A3140" t="s">
        <v>25648</v>
      </c>
      <c r="B3140" t="s">
        <v>8626</v>
      </c>
      <c r="D3140" t="s">
        <v>25649</v>
      </c>
      <c r="E3140" t="e">
        <f t="shared" si="3"/>
        <v>#VALUE!</v>
      </c>
      <c r="G3140" t="s">
        <v>25650</v>
      </c>
    </row>
    <row r="3141" spans="1:7">
      <c r="A3141" t="s">
        <v>25651</v>
      </c>
      <c r="B3141" t="s">
        <v>8607</v>
      </c>
      <c r="D3141" t="s">
        <v>25652</v>
      </c>
      <c r="E3141" t="e">
        <f t="shared" si="3"/>
        <v>#VALUE!</v>
      </c>
      <c r="G3141" t="s">
        <v>25653</v>
      </c>
    </row>
    <row r="3142" spans="1:7">
      <c r="A3142" t="s">
        <v>25654</v>
      </c>
      <c r="B3142" t="s">
        <v>8626</v>
      </c>
      <c r="D3142" t="s">
        <v>25655</v>
      </c>
      <c r="E3142" t="e">
        <f t="shared" si="3"/>
        <v>#VALUE!</v>
      </c>
      <c r="F3142" t="s">
        <v>25656</v>
      </c>
      <c r="G3142" t="s">
        <v>25657</v>
      </c>
    </row>
    <row r="3143" spans="1:7">
      <c r="A3143" t="s">
        <v>25658</v>
      </c>
      <c r="B3143" t="s">
        <v>8607</v>
      </c>
      <c r="C3143" t="s">
        <v>25659</v>
      </c>
      <c r="D3143" t="s">
        <v>25660</v>
      </c>
      <c r="E3143" t="e">
        <f t="shared" si="3"/>
        <v>#VALUE!</v>
      </c>
      <c r="F3143" t="s">
        <v>9018</v>
      </c>
      <c r="G3143" t="s">
        <v>25661</v>
      </c>
    </row>
    <row r="3144" spans="1:7">
      <c r="A3144" t="s">
        <v>25662</v>
      </c>
      <c r="B3144" t="s">
        <v>8607</v>
      </c>
      <c r="C3144" t="s">
        <v>25659</v>
      </c>
      <c r="D3144" t="s">
        <v>25663</v>
      </c>
      <c r="E3144" t="e">
        <f t="shared" si="3"/>
        <v>#VALUE!</v>
      </c>
      <c r="F3144" t="s">
        <v>9018</v>
      </c>
      <c r="G3144" t="s">
        <v>25664</v>
      </c>
    </row>
    <row r="3145" spans="1:7">
      <c r="A3145" t="s">
        <v>25665</v>
      </c>
      <c r="B3145" t="s">
        <v>8607</v>
      </c>
      <c r="C3145" t="s">
        <v>25659</v>
      </c>
      <c r="D3145" t="s">
        <v>25663</v>
      </c>
      <c r="E3145" t="e">
        <f t="shared" si="3"/>
        <v>#VALUE!</v>
      </c>
      <c r="F3145" t="s">
        <v>9018</v>
      </c>
      <c r="G3145" t="s">
        <v>25664</v>
      </c>
    </row>
    <row r="3146" spans="1:7">
      <c r="A3146" t="s">
        <v>25666</v>
      </c>
      <c r="B3146" t="s">
        <v>8607</v>
      </c>
      <c r="C3146" t="s">
        <v>25659</v>
      </c>
      <c r="D3146" t="s">
        <v>25667</v>
      </c>
      <c r="E3146" t="e">
        <f t="shared" si="3"/>
        <v>#VALUE!</v>
      </c>
      <c r="F3146" t="s">
        <v>9018</v>
      </c>
      <c r="G3146" t="s">
        <v>25668</v>
      </c>
    </row>
    <row r="3147" spans="1:7">
      <c r="A3147" t="s">
        <v>25669</v>
      </c>
      <c r="B3147" t="s">
        <v>8607</v>
      </c>
      <c r="C3147" t="s">
        <v>25670</v>
      </c>
      <c r="D3147" t="s">
        <v>25671</v>
      </c>
      <c r="E3147" t="e">
        <f t="shared" si="3"/>
        <v>#VALUE!</v>
      </c>
      <c r="F3147" t="s">
        <v>9018</v>
      </c>
      <c r="G3147" t="s">
        <v>25672</v>
      </c>
    </row>
    <row r="3148" spans="1:7">
      <c r="A3148" t="s">
        <v>25673</v>
      </c>
      <c r="B3148" t="s">
        <v>8607</v>
      </c>
      <c r="C3148" t="s">
        <v>25670</v>
      </c>
      <c r="D3148" t="s">
        <v>25671</v>
      </c>
      <c r="E3148" t="e">
        <f t="shared" si="3"/>
        <v>#VALUE!</v>
      </c>
      <c r="F3148" t="s">
        <v>9018</v>
      </c>
      <c r="G3148" t="s">
        <v>25672</v>
      </c>
    </row>
    <row r="3149" spans="1:7">
      <c r="A3149" t="s">
        <v>25674</v>
      </c>
      <c r="B3149" t="s">
        <v>8607</v>
      </c>
      <c r="C3149" t="s">
        <v>25670</v>
      </c>
      <c r="D3149" t="s">
        <v>25671</v>
      </c>
      <c r="E3149" t="e">
        <f t="shared" si="3"/>
        <v>#VALUE!</v>
      </c>
      <c r="F3149" t="s">
        <v>9018</v>
      </c>
      <c r="G3149" t="s">
        <v>25672</v>
      </c>
    </row>
    <row r="3150" spans="1:7">
      <c r="A3150" t="s">
        <v>25675</v>
      </c>
      <c r="B3150" t="s">
        <v>8607</v>
      </c>
      <c r="C3150" t="s">
        <v>25659</v>
      </c>
      <c r="D3150" t="s">
        <v>25676</v>
      </c>
      <c r="E3150" t="e">
        <f t="shared" si="3"/>
        <v>#VALUE!</v>
      </c>
      <c r="F3150" t="s">
        <v>9018</v>
      </c>
      <c r="G3150" t="s">
        <v>25677</v>
      </c>
    </row>
    <row r="3151" spans="1:7">
      <c r="A3151" t="s">
        <v>25678</v>
      </c>
      <c r="B3151" t="s">
        <v>8607</v>
      </c>
      <c r="C3151" t="s">
        <v>25679</v>
      </c>
      <c r="D3151" t="s">
        <v>25680</v>
      </c>
      <c r="E3151" t="e">
        <f t="shared" si="3"/>
        <v>#VALUE!</v>
      </c>
      <c r="F3151" t="s">
        <v>9018</v>
      </c>
      <c r="G3151" t="s">
        <v>25681</v>
      </c>
    </row>
    <row r="3152" spans="1:7">
      <c r="A3152" t="s">
        <v>25682</v>
      </c>
      <c r="B3152" t="s">
        <v>8607</v>
      </c>
      <c r="C3152" t="s">
        <v>25659</v>
      </c>
      <c r="D3152" t="s">
        <v>25683</v>
      </c>
      <c r="E3152" t="e">
        <f t="shared" si="3"/>
        <v>#VALUE!</v>
      </c>
      <c r="F3152" t="s">
        <v>9018</v>
      </c>
      <c r="G3152" t="s">
        <v>25684</v>
      </c>
    </row>
    <row r="3153" spans="1:7">
      <c r="A3153" t="s">
        <v>25685</v>
      </c>
      <c r="B3153" t="s">
        <v>8607</v>
      </c>
      <c r="C3153" t="s">
        <v>25659</v>
      </c>
      <c r="D3153" t="s">
        <v>25683</v>
      </c>
      <c r="E3153" t="e">
        <f t="shared" si="3"/>
        <v>#VALUE!</v>
      </c>
      <c r="F3153" t="s">
        <v>9018</v>
      </c>
      <c r="G3153" t="s">
        <v>25684</v>
      </c>
    </row>
    <row r="3154" spans="1:7">
      <c r="A3154" t="s">
        <v>25686</v>
      </c>
      <c r="B3154" t="s">
        <v>8607</v>
      </c>
      <c r="C3154" t="s">
        <v>25659</v>
      </c>
      <c r="D3154" t="s">
        <v>25687</v>
      </c>
      <c r="E3154" t="e">
        <f t="shared" si="3"/>
        <v>#VALUE!</v>
      </c>
      <c r="F3154" t="s">
        <v>9018</v>
      </c>
      <c r="G3154" t="s">
        <v>25684</v>
      </c>
    </row>
    <row r="3155" spans="1:7">
      <c r="A3155" t="s">
        <v>25688</v>
      </c>
      <c r="B3155" t="s">
        <v>8607</v>
      </c>
      <c r="C3155" t="s">
        <v>25659</v>
      </c>
      <c r="D3155" t="s">
        <v>25687</v>
      </c>
      <c r="E3155" t="e">
        <f t="shared" si="3"/>
        <v>#VALUE!</v>
      </c>
      <c r="F3155" t="s">
        <v>9018</v>
      </c>
      <c r="G3155" t="s">
        <v>25677</v>
      </c>
    </row>
    <row r="3156" spans="1:7">
      <c r="A3156" t="s">
        <v>25689</v>
      </c>
      <c r="B3156" t="s">
        <v>8607</v>
      </c>
      <c r="C3156" t="s">
        <v>25659</v>
      </c>
      <c r="D3156" t="s">
        <v>25687</v>
      </c>
      <c r="E3156" t="e">
        <f t="shared" si="3"/>
        <v>#VALUE!</v>
      </c>
      <c r="F3156" t="s">
        <v>9018</v>
      </c>
      <c r="G3156" t="s">
        <v>25690</v>
      </c>
    </row>
    <row r="3157" spans="1:7">
      <c r="A3157" t="s">
        <v>25691</v>
      </c>
      <c r="B3157" t="s">
        <v>8607</v>
      </c>
      <c r="C3157" t="s">
        <v>25659</v>
      </c>
      <c r="D3157" t="s">
        <v>25687</v>
      </c>
      <c r="E3157" t="e">
        <f t="shared" si="3"/>
        <v>#VALUE!</v>
      </c>
      <c r="F3157" t="s">
        <v>9018</v>
      </c>
      <c r="G3157" t="s">
        <v>25692</v>
      </c>
    </row>
    <row r="3158" spans="1:7">
      <c r="A3158" t="s">
        <v>25693</v>
      </c>
      <c r="B3158" t="s">
        <v>8607</v>
      </c>
      <c r="C3158" t="s">
        <v>25659</v>
      </c>
      <c r="D3158" t="s">
        <v>25687</v>
      </c>
      <c r="E3158" t="e">
        <f t="shared" si="3"/>
        <v>#VALUE!</v>
      </c>
      <c r="F3158" t="s">
        <v>9018</v>
      </c>
      <c r="G3158" t="s">
        <v>25690</v>
      </c>
    </row>
    <row r="3159" spans="1:7">
      <c r="A3159" t="s">
        <v>25694</v>
      </c>
      <c r="B3159" t="s">
        <v>8607</v>
      </c>
      <c r="C3159" t="s">
        <v>25659</v>
      </c>
      <c r="D3159" t="s">
        <v>25687</v>
      </c>
      <c r="E3159" t="e">
        <f t="shared" si="3"/>
        <v>#VALUE!</v>
      </c>
      <c r="F3159" t="s">
        <v>9018</v>
      </c>
      <c r="G3159" t="s">
        <v>25684</v>
      </c>
    </row>
    <row r="3160" spans="1:7">
      <c r="A3160" t="s">
        <v>25695</v>
      </c>
      <c r="B3160" t="s">
        <v>8607</v>
      </c>
      <c r="C3160" t="s">
        <v>25659</v>
      </c>
      <c r="D3160" t="s">
        <v>25687</v>
      </c>
      <c r="E3160" t="e">
        <f t="shared" si="3"/>
        <v>#VALUE!</v>
      </c>
      <c r="F3160" t="s">
        <v>9018</v>
      </c>
      <c r="G3160" t="s">
        <v>25684</v>
      </c>
    </row>
    <row r="3161" spans="1:7">
      <c r="A3161" t="s">
        <v>25696</v>
      </c>
      <c r="B3161" t="s">
        <v>8607</v>
      </c>
      <c r="C3161" t="s">
        <v>25659</v>
      </c>
      <c r="D3161" t="s">
        <v>25687</v>
      </c>
      <c r="E3161" t="e">
        <f t="shared" si="3"/>
        <v>#VALUE!</v>
      </c>
      <c r="F3161" t="s">
        <v>9018</v>
      </c>
      <c r="G3161" t="s">
        <v>25684</v>
      </c>
    </row>
    <row r="3162" spans="1:7">
      <c r="A3162" t="s">
        <v>25697</v>
      </c>
      <c r="B3162" t="s">
        <v>8607</v>
      </c>
      <c r="C3162" t="s">
        <v>25659</v>
      </c>
      <c r="D3162" t="s">
        <v>25698</v>
      </c>
      <c r="E3162" t="e">
        <f t="shared" si="3"/>
        <v>#VALUE!</v>
      </c>
      <c r="F3162" t="s">
        <v>9018</v>
      </c>
      <c r="G3162" t="s">
        <v>25677</v>
      </c>
    </row>
    <row r="3163" spans="1:7">
      <c r="A3163" t="s">
        <v>25699</v>
      </c>
      <c r="B3163" t="s">
        <v>8607</v>
      </c>
      <c r="C3163" t="s">
        <v>25659</v>
      </c>
      <c r="D3163" t="s">
        <v>25700</v>
      </c>
      <c r="E3163" t="e">
        <f t="shared" si="3"/>
        <v>#VALUE!</v>
      </c>
      <c r="F3163" t="s">
        <v>9018</v>
      </c>
      <c r="G3163" t="s">
        <v>25701</v>
      </c>
    </row>
    <row r="3164" spans="1:7">
      <c r="A3164" t="s">
        <v>25702</v>
      </c>
      <c r="B3164" t="s">
        <v>8626</v>
      </c>
      <c r="D3164" t="s">
        <v>25703</v>
      </c>
      <c r="E3164" t="e">
        <f t="shared" si="3"/>
        <v>#VALUE!</v>
      </c>
      <c r="G3164" t="s">
        <v>25704</v>
      </c>
    </row>
    <row r="3165" spans="1:7">
      <c r="A3165" t="s">
        <v>25705</v>
      </c>
      <c r="B3165" t="s">
        <v>8607</v>
      </c>
      <c r="D3165" t="s">
        <v>25706</v>
      </c>
      <c r="E3165" t="e">
        <f t="shared" si="3"/>
        <v>#VALUE!</v>
      </c>
      <c r="F3165" t="s">
        <v>25707</v>
      </c>
      <c r="G3165" t="s">
        <v>25708</v>
      </c>
    </row>
    <row r="3166" spans="1:7">
      <c r="A3166" t="s">
        <v>25709</v>
      </c>
      <c r="B3166" t="s">
        <v>8607</v>
      </c>
      <c r="D3166" t="s">
        <v>25710</v>
      </c>
      <c r="E3166" t="e">
        <f t="shared" ref="E3166:E3229" si="4">SEARCH("INFORMATION STORAGE AND PROCESSING",D3166)</f>
        <v>#VALUE!</v>
      </c>
      <c r="F3166" t="s">
        <v>25707</v>
      </c>
      <c r="G3166" t="s">
        <v>25711</v>
      </c>
    </row>
    <row r="3167" spans="1:7">
      <c r="A3167" t="s">
        <v>25712</v>
      </c>
      <c r="B3167" t="s">
        <v>8626</v>
      </c>
      <c r="C3167" t="s">
        <v>25713</v>
      </c>
      <c r="D3167" t="s">
        <v>25714</v>
      </c>
      <c r="E3167" t="e">
        <f t="shared" si="4"/>
        <v>#VALUE!</v>
      </c>
      <c r="F3167" t="s">
        <v>18476</v>
      </c>
      <c r="G3167" t="s">
        <v>23079</v>
      </c>
    </row>
    <row r="3168" spans="1:7">
      <c r="A3168" t="s">
        <v>25715</v>
      </c>
      <c r="B3168" t="s">
        <v>8626</v>
      </c>
      <c r="C3168" t="s">
        <v>25713</v>
      </c>
      <c r="D3168" t="s">
        <v>25714</v>
      </c>
      <c r="E3168" t="e">
        <f t="shared" si="4"/>
        <v>#VALUE!</v>
      </c>
      <c r="F3168" t="s">
        <v>18476</v>
      </c>
      <c r="G3168" t="s">
        <v>23079</v>
      </c>
    </row>
    <row r="3169" spans="1:7">
      <c r="A3169" t="s">
        <v>25716</v>
      </c>
      <c r="B3169" t="s">
        <v>8626</v>
      </c>
      <c r="C3169" t="s">
        <v>25713</v>
      </c>
      <c r="D3169" t="s">
        <v>25714</v>
      </c>
      <c r="E3169" t="e">
        <f t="shared" si="4"/>
        <v>#VALUE!</v>
      </c>
      <c r="F3169" t="s">
        <v>18476</v>
      </c>
      <c r="G3169" t="s">
        <v>23079</v>
      </c>
    </row>
    <row r="3170" spans="1:7">
      <c r="A3170" t="s">
        <v>25717</v>
      </c>
      <c r="B3170" t="s">
        <v>8607</v>
      </c>
      <c r="D3170" t="s">
        <v>25714</v>
      </c>
      <c r="E3170" t="e">
        <f t="shared" si="4"/>
        <v>#VALUE!</v>
      </c>
      <c r="F3170" t="s">
        <v>12458</v>
      </c>
      <c r="G3170" t="s">
        <v>25718</v>
      </c>
    </row>
    <row r="3171" spans="1:7">
      <c r="A3171" t="s">
        <v>25719</v>
      </c>
      <c r="B3171" t="s">
        <v>8607</v>
      </c>
      <c r="D3171" t="s">
        <v>25720</v>
      </c>
      <c r="E3171" t="e">
        <f t="shared" si="4"/>
        <v>#VALUE!</v>
      </c>
      <c r="F3171" t="s">
        <v>25721</v>
      </c>
      <c r="G3171" t="s">
        <v>25722</v>
      </c>
    </row>
    <row r="3172" spans="1:7">
      <c r="A3172" t="s">
        <v>25723</v>
      </c>
      <c r="D3172" t="s">
        <v>25724</v>
      </c>
      <c r="E3172" t="e">
        <f t="shared" si="4"/>
        <v>#VALUE!</v>
      </c>
      <c r="G3172" t="s">
        <v>25725</v>
      </c>
    </row>
    <row r="3173" spans="1:7">
      <c r="A3173" t="s">
        <v>25726</v>
      </c>
      <c r="B3173" t="s">
        <v>8607</v>
      </c>
      <c r="C3173" t="s">
        <v>25727</v>
      </c>
      <c r="D3173" t="s">
        <v>25728</v>
      </c>
      <c r="E3173" t="e">
        <f t="shared" si="4"/>
        <v>#VALUE!</v>
      </c>
      <c r="G3173" t="s">
        <v>18021</v>
      </c>
    </row>
    <row r="3174" spans="1:7">
      <c r="A3174" t="s">
        <v>25729</v>
      </c>
      <c r="B3174" t="s">
        <v>8607</v>
      </c>
      <c r="C3174" t="s">
        <v>25730</v>
      </c>
      <c r="D3174" t="s">
        <v>25728</v>
      </c>
      <c r="E3174" t="e">
        <f t="shared" si="4"/>
        <v>#VALUE!</v>
      </c>
      <c r="G3174" t="s">
        <v>18021</v>
      </c>
    </row>
    <row r="3175" spans="1:7">
      <c r="A3175" t="s">
        <v>25731</v>
      </c>
      <c r="B3175" t="s">
        <v>8607</v>
      </c>
      <c r="C3175" t="s">
        <v>25730</v>
      </c>
      <c r="D3175" t="s">
        <v>25728</v>
      </c>
      <c r="E3175" t="e">
        <f t="shared" si="4"/>
        <v>#VALUE!</v>
      </c>
      <c r="G3175" t="s">
        <v>18021</v>
      </c>
    </row>
    <row r="3176" spans="1:7">
      <c r="A3176" t="s">
        <v>25732</v>
      </c>
      <c r="B3176" t="s">
        <v>8607</v>
      </c>
      <c r="C3176" t="s">
        <v>25730</v>
      </c>
      <c r="D3176" t="s">
        <v>25728</v>
      </c>
      <c r="E3176" t="e">
        <f t="shared" si="4"/>
        <v>#VALUE!</v>
      </c>
      <c r="G3176" t="s">
        <v>18021</v>
      </c>
    </row>
    <row r="3177" spans="1:7">
      <c r="A3177" t="s">
        <v>25733</v>
      </c>
      <c r="B3177" t="s">
        <v>8607</v>
      </c>
      <c r="C3177" t="s">
        <v>25730</v>
      </c>
      <c r="D3177" t="s">
        <v>25728</v>
      </c>
      <c r="E3177" t="e">
        <f t="shared" si="4"/>
        <v>#VALUE!</v>
      </c>
      <c r="G3177" t="s">
        <v>18021</v>
      </c>
    </row>
    <row r="3178" spans="1:7">
      <c r="A3178" t="s">
        <v>25734</v>
      </c>
      <c r="B3178" t="s">
        <v>8607</v>
      </c>
      <c r="C3178" t="s">
        <v>25730</v>
      </c>
      <c r="D3178" t="s">
        <v>25728</v>
      </c>
      <c r="E3178" t="e">
        <f t="shared" si="4"/>
        <v>#VALUE!</v>
      </c>
      <c r="G3178" t="s">
        <v>18021</v>
      </c>
    </row>
    <row r="3179" spans="1:7">
      <c r="A3179" t="s">
        <v>25735</v>
      </c>
      <c r="B3179" t="s">
        <v>8607</v>
      </c>
      <c r="D3179" t="s">
        <v>25736</v>
      </c>
      <c r="E3179" t="e">
        <f t="shared" si="4"/>
        <v>#VALUE!</v>
      </c>
      <c r="F3179" t="s">
        <v>15927</v>
      </c>
      <c r="G3179" t="s">
        <v>25737</v>
      </c>
    </row>
    <row r="3180" spans="1:7">
      <c r="A3180" t="s">
        <v>25738</v>
      </c>
      <c r="B3180" t="s">
        <v>8626</v>
      </c>
      <c r="D3180" t="s">
        <v>25739</v>
      </c>
      <c r="E3180" t="e">
        <f t="shared" si="4"/>
        <v>#VALUE!</v>
      </c>
      <c r="G3180" t="s">
        <v>25740</v>
      </c>
    </row>
    <row r="3181" spans="1:7">
      <c r="A3181" t="s">
        <v>25741</v>
      </c>
      <c r="B3181" t="s">
        <v>8626</v>
      </c>
      <c r="C3181" t="s">
        <v>25742</v>
      </c>
      <c r="D3181" t="s">
        <v>25743</v>
      </c>
      <c r="E3181" t="e">
        <f t="shared" si="4"/>
        <v>#VALUE!</v>
      </c>
      <c r="G3181" t="s">
        <v>25744</v>
      </c>
    </row>
    <row r="3182" spans="1:7">
      <c r="A3182" t="s">
        <v>25745</v>
      </c>
      <c r="B3182" t="s">
        <v>8607</v>
      </c>
      <c r="C3182" t="s">
        <v>25746</v>
      </c>
      <c r="D3182" t="s">
        <v>25747</v>
      </c>
      <c r="E3182" t="e">
        <f t="shared" si="4"/>
        <v>#VALUE!</v>
      </c>
      <c r="F3182" t="s">
        <v>15811</v>
      </c>
      <c r="G3182" t="s">
        <v>25748</v>
      </c>
    </row>
    <row r="3183" spans="1:7">
      <c r="A3183" t="s">
        <v>25749</v>
      </c>
      <c r="B3183" t="s">
        <v>8607</v>
      </c>
      <c r="C3183" t="s">
        <v>25750</v>
      </c>
      <c r="D3183" t="s">
        <v>25751</v>
      </c>
      <c r="E3183" t="e">
        <f t="shared" si="4"/>
        <v>#VALUE!</v>
      </c>
      <c r="F3183" t="s">
        <v>23160</v>
      </c>
      <c r="G3183" t="s">
        <v>25752</v>
      </c>
    </row>
    <row r="3184" spans="1:7">
      <c r="A3184" t="s">
        <v>25753</v>
      </c>
      <c r="B3184" t="s">
        <v>8607</v>
      </c>
      <c r="C3184" t="s">
        <v>25750</v>
      </c>
      <c r="D3184" t="s">
        <v>25754</v>
      </c>
      <c r="E3184" t="e">
        <f t="shared" si="4"/>
        <v>#VALUE!</v>
      </c>
      <c r="F3184" t="s">
        <v>23160</v>
      </c>
      <c r="G3184" t="s">
        <v>25755</v>
      </c>
    </row>
    <row r="3185" spans="1:7">
      <c r="A3185" t="s">
        <v>25756</v>
      </c>
      <c r="B3185" t="s">
        <v>8626</v>
      </c>
      <c r="C3185" t="s">
        <v>25750</v>
      </c>
      <c r="D3185" t="s">
        <v>25754</v>
      </c>
      <c r="E3185" t="e">
        <f t="shared" si="4"/>
        <v>#VALUE!</v>
      </c>
      <c r="F3185" t="s">
        <v>23160</v>
      </c>
      <c r="G3185" t="s">
        <v>25757</v>
      </c>
    </row>
    <row r="3186" spans="1:7">
      <c r="A3186" t="s">
        <v>25758</v>
      </c>
      <c r="B3186" t="s">
        <v>8626</v>
      </c>
      <c r="D3186" t="s">
        <v>25759</v>
      </c>
      <c r="E3186" t="e">
        <f t="shared" si="4"/>
        <v>#VALUE!</v>
      </c>
      <c r="F3186" t="s">
        <v>25760</v>
      </c>
      <c r="G3186" t="s">
        <v>25761</v>
      </c>
    </row>
    <row r="3187" spans="1:7">
      <c r="A3187" t="s">
        <v>25762</v>
      </c>
      <c r="B3187" t="s">
        <v>8607</v>
      </c>
      <c r="C3187" t="s">
        <v>25750</v>
      </c>
      <c r="D3187" t="s">
        <v>25763</v>
      </c>
      <c r="E3187" t="e">
        <f t="shared" si="4"/>
        <v>#VALUE!</v>
      </c>
      <c r="F3187" t="s">
        <v>23160</v>
      </c>
      <c r="G3187" t="s">
        <v>25764</v>
      </c>
    </row>
    <row r="3188" spans="1:7">
      <c r="A3188" t="s">
        <v>25765</v>
      </c>
      <c r="B3188" t="s">
        <v>8607</v>
      </c>
      <c r="C3188" t="s">
        <v>25750</v>
      </c>
      <c r="D3188" t="s">
        <v>25766</v>
      </c>
      <c r="E3188" t="e">
        <f t="shared" si="4"/>
        <v>#VALUE!</v>
      </c>
      <c r="F3188" t="s">
        <v>23160</v>
      </c>
      <c r="G3188" t="s">
        <v>25752</v>
      </c>
    </row>
    <row r="3189" spans="1:7">
      <c r="A3189" t="s">
        <v>25767</v>
      </c>
      <c r="B3189" t="s">
        <v>8607</v>
      </c>
      <c r="C3189" t="s">
        <v>21856</v>
      </c>
      <c r="D3189" t="s">
        <v>25768</v>
      </c>
      <c r="E3189" t="e">
        <f t="shared" si="4"/>
        <v>#VALUE!</v>
      </c>
      <c r="F3189" t="s">
        <v>23160</v>
      </c>
      <c r="G3189" t="s">
        <v>25769</v>
      </c>
    </row>
    <row r="3190" spans="1:7">
      <c r="A3190" t="s">
        <v>25770</v>
      </c>
      <c r="B3190" t="s">
        <v>8626</v>
      </c>
      <c r="C3190" t="s">
        <v>25771</v>
      </c>
      <c r="D3190" t="s">
        <v>25772</v>
      </c>
      <c r="E3190" t="e">
        <f t="shared" si="4"/>
        <v>#VALUE!</v>
      </c>
      <c r="F3190" t="s">
        <v>25773</v>
      </c>
      <c r="G3190" t="s">
        <v>25774</v>
      </c>
    </row>
    <row r="3191" spans="1:7">
      <c r="A3191" t="s">
        <v>25775</v>
      </c>
      <c r="B3191" t="s">
        <v>8607</v>
      </c>
      <c r="D3191" t="s">
        <v>25772</v>
      </c>
      <c r="E3191" t="e">
        <f t="shared" si="4"/>
        <v>#VALUE!</v>
      </c>
      <c r="F3191" t="s">
        <v>25773</v>
      </c>
      <c r="G3191" t="s">
        <v>25776</v>
      </c>
    </row>
    <row r="3192" spans="1:7">
      <c r="A3192" t="s">
        <v>25777</v>
      </c>
      <c r="B3192" t="s">
        <v>8626</v>
      </c>
      <c r="D3192" t="s">
        <v>25772</v>
      </c>
      <c r="E3192" t="e">
        <f t="shared" si="4"/>
        <v>#VALUE!</v>
      </c>
      <c r="F3192" t="s">
        <v>25773</v>
      </c>
      <c r="G3192" t="s">
        <v>25778</v>
      </c>
    </row>
    <row r="3193" spans="1:7">
      <c r="A3193" t="s">
        <v>25779</v>
      </c>
      <c r="B3193" t="s">
        <v>8607</v>
      </c>
      <c r="D3193" t="s">
        <v>25772</v>
      </c>
      <c r="E3193" t="e">
        <f t="shared" si="4"/>
        <v>#VALUE!</v>
      </c>
      <c r="F3193" t="s">
        <v>25773</v>
      </c>
      <c r="G3193" t="s">
        <v>25780</v>
      </c>
    </row>
    <row r="3194" spans="1:7">
      <c r="A3194" t="s">
        <v>25781</v>
      </c>
      <c r="B3194" t="s">
        <v>8626</v>
      </c>
      <c r="D3194" t="s">
        <v>25772</v>
      </c>
      <c r="E3194" t="e">
        <f t="shared" si="4"/>
        <v>#VALUE!</v>
      </c>
      <c r="F3194" t="s">
        <v>25773</v>
      </c>
      <c r="G3194" t="s">
        <v>25774</v>
      </c>
    </row>
    <row r="3195" spans="1:7">
      <c r="A3195" t="s">
        <v>25782</v>
      </c>
      <c r="B3195" t="s">
        <v>8607</v>
      </c>
      <c r="C3195" t="s">
        <v>16679</v>
      </c>
      <c r="D3195" t="s">
        <v>16680</v>
      </c>
      <c r="E3195" t="e">
        <f t="shared" si="4"/>
        <v>#VALUE!</v>
      </c>
      <c r="F3195" t="s">
        <v>9018</v>
      </c>
      <c r="G3195" t="s">
        <v>25783</v>
      </c>
    </row>
    <row r="3196" spans="1:7">
      <c r="A3196" t="s">
        <v>25784</v>
      </c>
      <c r="B3196" t="s">
        <v>8607</v>
      </c>
      <c r="C3196" t="s">
        <v>16679</v>
      </c>
      <c r="D3196" t="s">
        <v>16680</v>
      </c>
      <c r="E3196" t="e">
        <f t="shared" si="4"/>
        <v>#VALUE!</v>
      </c>
      <c r="F3196" t="s">
        <v>9018</v>
      </c>
      <c r="G3196" t="s">
        <v>25785</v>
      </c>
    </row>
    <row r="3197" spans="1:7">
      <c r="A3197" t="s">
        <v>25786</v>
      </c>
      <c r="B3197" t="s">
        <v>8626</v>
      </c>
      <c r="C3197" t="s">
        <v>21656</v>
      </c>
      <c r="D3197" t="s">
        <v>16680</v>
      </c>
      <c r="E3197" t="e">
        <f t="shared" si="4"/>
        <v>#VALUE!</v>
      </c>
      <c r="F3197" t="s">
        <v>9018</v>
      </c>
      <c r="G3197" t="s">
        <v>25787</v>
      </c>
    </row>
    <row r="3198" spans="1:7">
      <c r="A3198" t="s">
        <v>25788</v>
      </c>
      <c r="B3198" t="s">
        <v>8607</v>
      </c>
      <c r="C3198" t="s">
        <v>16679</v>
      </c>
      <c r="D3198" t="s">
        <v>16680</v>
      </c>
      <c r="E3198" t="e">
        <f t="shared" si="4"/>
        <v>#VALUE!</v>
      </c>
      <c r="F3198" t="s">
        <v>9018</v>
      </c>
      <c r="G3198" t="s">
        <v>25789</v>
      </c>
    </row>
    <row r="3199" spans="1:7">
      <c r="A3199" t="s">
        <v>25790</v>
      </c>
      <c r="B3199" t="s">
        <v>8626</v>
      </c>
      <c r="C3199" t="s">
        <v>25791</v>
      </c>
      <c r="D3199" t="s">
        <v>25792</v>
      </c>
      <c r="E3199" t="e">
        <f t="shared" si="4"/>
        <v>#VALUE!</v>
      </c>
      <c r="F3199" t="s">
        <v>9002</v>
      </c>
      <c r="G3199" t="s">
        <v>25793</v>
      </c>
    </row>
    <row r="3200" spans="1:7">
      <c r="A3200" t="s">
        <v>25794</v>
      </c>
      <c r="B3200" t="s">
        <v>8626</v>
      </c>
      <c r="C3200" t="s">
        <v>18406</v>
      </c>
      <c r="D3200" t="s">
        <v>25795</v>
      </c>
      <c r="E3200" t="e">
        <f t="shared" si="4"/>
        <v>#VALUE!</v>
      </c>
      <c r="F3200" t="s">
        <v>18408</v>
      </c>
      <c r="G3200" t="s">
        <v>25796</v>
      </c>
    </row>
    <row r="3201" spans="1:7">
      <c r="A3201" t="s">
        <v>25797</v>
      </c>
      <c r="B3201" t="s">
        <v>8626</v>
      </c>
      <c r="D3201" t="s">
        <v>25795</v>
      </c>
      <c r="E3201" t="e">
        <f t="shared" si="4"/>
        <v>#VALUE!</v>
      </c>
      <c r="F3201" t="s">
        <v>18408</v>
      </c>
      <c r="G3201" t="s">
        <v>25798</v>
      </c>
    </row>
    <row r="3202" spans="1:7">
      <c r="A3202" t="s">
        <v>25799</v>
      </c>
      <c r="B3202" t="s">
        <v>8626</v>
      </c>
      <c r="C3202" t="s">
        <v>18406</v>
      </c>
      <c r="D3202" t="s">
        <v>25795</v>
      </c>
      <c r="E3202" t="e">
        <f t="shared" si="4"/>
        <v>#VALUE!</v>
      </c>
      <c r="F3202" t="s">
        <v>18408</v>
      </c>
      <c r="G3202" t="s">
        <v>25796</v>
      </c>
    </row>
    <row r="3203" spans="1:7">
      <c r="A3203" t="s">
        <v>25800</v>
      </c>
      <c r="B3203" t="s">
        <v>8607</v>
      </c>
      <c r="D3203" t="s">
        <v>25801</v>
      </c>
      <c r="E3203" t="e">
        <f t="shared" si="4"/>
        <v>#VALUE!</v>
      </c>
      <c r="F3203" t="s">
        <v>25802</v>
      </c>
      <c r="G3203" t="s">
        <v>25803</v>
      </c>
    </row>
    <row r="3204" spans="1:7">
      <c r="A3204" t="s">
        <v>25804</v>
      </c>
      <c r="B3204" t="s">
        <v>8607</v>
      </c>
      <c r="D3204" t="s">
        <v>25805</v>
      </c>
      <c r="E3204" t="e">
        <f t="shared" si="4"/>
        <v>#VALUE!</v>
      </c>
      <c r="F3204" t="s">
        <v>25802</v>
      </c>
      <c r="G3204" t="s">
        <v>25806</v>
      </c>
    </row>
    <row r="3205" spans="1:7">
      <c r="A3205" t="s">
        <v>25807</v>
      </c>
      <c r="B3205" t="s">
        <v>8607</v>
      </c>
      <c r="D3205" t="s">
        <v>25808</v>
      </c>
      <c r="E3205" t="e">
        <f t="shared" si="4"/>
        <v>#VALUE!</v>
      </c>
      <c r="F3205" t="s">
        <v>17369</v>
      </c>
      <c r="G3205" t="s">
        <v>25809</v>
      </c>
    </row>
    <row r="3206" spans="1:7">
      <c r="A3206" t="s">
        <v>25810</v>
      </c>
      <c r="B3206" t="s">
        <v>8626</v>
      </c>
      <c r="D3206" t="s">
        <v>25808</v>
      </c>
      <c r="E3206" t="e">
        <f t="shared" si="4"/>
        <v>#VALUE!</v>
      </c>
      <c r="F3206" t="s">
        <v>17369</v>
      </c>
      <c r="G3206" t="s">
        <v>25811</v>
      </c>
    </row>
    <row r="3207" spans="1:7">
      <c r="A3207" t="s">
        <v>25812</v>
      </c>
      <c r="B3207" t="s">
        <v>8607</v>
      </c>
      <c r="D3207" t="s">
        <v>25813</v>
      </c>
      <c r="E3207" t="e">
        <f t="shared" si="4"/>
        <v>#VALUE!</v>
      </c>
      <c r="G3207" t="s">
        <v>25814</v>
      </c>
    </row>
    <row r="3208" spans="1:7">
      <c r="A3208" t="s">
        <v>25815</v>
      </c>
      <c r="B3208" t="s">
        <v>8607</v>
      </c>
      <c r="D3208" t="s">
        <v>25813</v>
      </c>
      <c r="E3208" t="e">
        <f t="shared" si="4"/>
        <v>#VALUE!</v>
      </c>
      <c r="G3208" t="s">
        <v>25814</v>
      </c>
    </row>
    <row r="3209" spans="1:7">
      <c r="A3209" t="s">
        <v>25816</v>
      </c>
      <c r="B3209" t="s">
        <v>8607</v>
      </c>
      <c r="D3209" t="s">
        <v>25813</v>
      </c>
      <c r="E3209" t="e">
        <f t="shared" si="4"/>
        <v>#VALUE!</v>
      </c>
      <c r="G3209" t="s">
        <v>25814</v>
      </c>
    </row>
    <row r="3210" spans="1:7">
      <c r="A3210" t="s">
        <v>25817</v>
      </c>
      <c r="B3210" t="s">
        <v>8607</v>
      </c>
      <c r="D3210" t="s">
        <v>25818</v>
      </c>
      <c r="E3210" t="e">
        <f t="shared" si="4"/>
        <v>#VALUE!</v>
      </c>
      <c r="F3210" t="s">
        <v>19263</v>
      </c>
      <c r="G3210" t="s">
        <v>25819</v>
      </c>
    </row>
    <row r="3211" spans="1:7">
      <c r="A3211" t="s">
        <v>25820</v>
      </c>
      <c r="B3211" t="s">
        <v>8607</v>
      </c>
      <c r="D3211" t="s">
        <v>25818</v>
      </c>
      <c r="E3211" t="e">
        <f t="shared" si="4"/>
        <v>#VALUE!</v>
      </c>
      <c r="F3211" t="s">
        <v>25821</v>
      </c>
      <c r="G3211" t="s">
        <v>25822</v>
      </c>
    </row>
    <row r="3212" spans="1:7">
      <c r="A3212" t="s">
        <v>25823</v>
      </c>
      <c r="B3212" t="s">
        <v>8607</v>
      </c>
      <c r="D3212" t="s">
        <v>25818</v>
      </c>
      <c r="E3212" t="e">
        <f t="shared" si="4"/>
        <v>#VALUE!</v>
      </c>
      <c r="F3212" t="s">
        <v>25821</v>
      </c>
      <c r="G3212" t="s">
        <v>25822</v>
      </c>
    </row>
    <row r="3213" spans="1:7">
      <c r="A3213" t="s">
        <v>25824</v>
      </c>
      <c r="B3213" t="s">
        <v>8607</v>
      </c>
      <c r="D3213" t="s">
        <v>17941</v>
      </c>
      <c r="E3213" t="e">
        <f t="shared" si="4"/>
        <v>#VALUE!</v>
      </c>
      <c r="F3213" t="s">
        <v>25825</v>
      </c>
      <c r="G3213" t="s">
        <v>25826</v>
      </c>
    </row>
    <row r="3214" spans="1:7">
      <c r="A3214" t="s">
        <v>25827</v>
      </c>
      <c r="B3214" t="s">
        <v>8626</v>
      </c>
      <c r="D3214" t="s">
        <v>17941</v>
      </c>
      <c r="E3214" t="e">
        <f t="shared" si="4"/>
        <v>#VALUE!</v>
      </c>
      <c r="G3214" t="s">
        <v>17942</v>
      </c>
    </row>
    <row r="3215" spans="1:7">
      <c r="A3215" t="s">
        <v>25828</v>
      </c>
      <c r="B3215" t="s">
        <v>8607</v>
      </c>
      <c r="D3215" t="s">
        <v>25829</v>
      </c>
      <c r="E3215" t="e">
        <f t="shared" si="4"/>
        <v>#VALUE!</v>
      </c>
      <c r="F3215" t="s">
        <v>17928</v>
      </c>
      <c r="G3215" t="s">
        <v>25830</v>
      </c>
    </row>
    <row r="3216" spans="1:7">
      <c r="A3216" t="s">
        <v>25831</v>
      </c>
      <c r="B3216" t="s">
        <v>8607</v>
      </c>
      <c r="D3216" t="s">
        <v>25829</v>
      </c>
      <c r="E3216" t="e">
        <f t="shared" si="4"/>
        <v>#VALUE!</v>
      </c>
      <c r="F3216" t="s">
        <v>17928</v>
      </c>
      <c r="G3216" t="s">
        <v>25832</v>
      </c>
    </row>
    <row r="3217" spans="1:7">
      <c r="A3217" t="s">
        <v>25833</v>
      </c>
      <c r="B3217" t="s">
        <v>8607</v>
      </c>
      <c r="D3217" t="s">
        <v>25829</v>
      </c>
      <c r="E3217" t="e">
        <f t="shared" si="4"/>
        <v>#VALUE!</v>
      </c>
      <c r="F3217" t="s">
        <v>17928</v>
      </c>
      <c r="G3217" t="s">
        <v>25832</v>
      </c>
    </row>
    <row r="3218" spans="1:7">
      <c r="A3218" t="s">
        <v>25834</v>
      </c>
      <c r="B3218" t="s">
        <v>8607</v>
      </c>
      <c r="D3218" t="s">
        <v>25829</v>
      </c>
      <c r="E3218" t="e">
        <f t="shared" si="4"/>
        <v>#VALUE!</v>
      </c>
      <c r="F3218" t="s">
        <v>17928</v>
      </c>
      <c r="G3218" t="s">
        <v>25835</v>
      </c>
    </row>
    <row r="3219" spans="1:7">
      <c r="A3219" t="s">
        <v>25836</v>
      </c>
      <c r="B3219" t="s">
        <v>8607</v>
      </c>
      <c r="D3219" t="s">
        <v>25829</v>
      </c>
      <c r="E3219" t="e">
        <f t="shared" si="4"/>
        <v>#VALUE!</v>
      </c>
      <c r="F3219" t="s">
        <v>17928</v>
      </c>
      <c r="G3219" t="s">
        <v>25835</v>
      </c>
    </row>
    <row r="3220" spans="1:7">
      <c r="A3220" t="s">
        <v>25837</v>
      </c>
      <c r="B3220" t="s">
        <v>8607</v>
      </c>
      <c r="D3220" t="s">
        <v>25829</v>
      </c>
      <c r="E3220" t="e">
        <f t="shared" si="4"/>
        <v>#VALUE!</v>
      </c>
      <c r="F3220" t="s">
        <v>17928</v>
      </c>
      <c r="G3220" t="s">
        <v>25832</v>
      </c>
    </row>
    <row r="3221" spans="1:7">
      <c r="A3221" t="s">
        <v>25838</v>
      </c>
      <c r="B3221" t="s">
        <v>8607</v>
      </c>
      <c r="D3221" t="s">
        <v>25829</v>
      </c>
      <c r="E3221" t="e">
        <f t="shared" si="4"/>
        <v>#VALUE!</v>
      </c>
      <c r="F3221" t="s">
        <v>17928</v>
      </c>
      <c r="G3221" t="s">
        <v>25832</v>
      </c>
    </row>
    <row r="3222" spans="1:7">
      <c r="A3222" t="s">
        <v>25839</v>
      </c>
      <c r="B3222" t="s">
        <v>8607</v>
      </c>
      <c r="D3222" t="s">
        <v>25829</v>
      </c>
      <c r="E3222" t="e">
        <f t="shared" si="4"/>
        <v>#VALUE!</v>
      </c>
      <c r="F3222" t="s">
        <v>17928</v>
      </c>
      <c r="G3222" t="s">
        <v>25832</v>
      </c>
    </row>
    <row r="3223" spans="1:7">
      <c r="A3223" t="s">
        <v>25840</v>
      </c>
      <c r="B3223" t="s">
        <v>8607</v>
      </c>
      <c r="D3223" t="s">
        <v>25829</v>
      </c>
      <c r="E3223" t="e">
        <f t="shared" si="4"/>
        <v>#VALUE!</v>
      </c>
      <c r="F3223" t="s">
        <v>17928</v>
      </c>
      <c r="G3223" t="s">
        <v>25832</v>
      </c>
    </row>
    <row r="3224" spans="1:7">
      <c r="A3224" t="s">
        <v>25841</v>
      </c>
      <c r="B3224" t="s">
        <v>8607</v>
      </c>
      <c r="D3224" t="s">
        <v>25829</v>
      </c>
      <c r="E3224" t="e">
        <f t="shared" si="4"/>
        <v>#VALUE!</v>
      </c>
      <c r="F3224" t="s">
        <v>17928</v>
      </c>
      <c r="G3224" t="s">
        <v>25832</v>
      </c>
    </row>
    <row r="3225" spans="1:7">
      <c r="A3225" t="s">
        <v>25842</v>
      </c>
      <c r="B3225" t="s">
        <v>8607</v>
      </c>
      <c r="D3225" t="s">
        <v>25829</v>
      </c>
      <c r="E3225" t="e">
        <f t="shared" si="4"/>
        <v>#VALUE!</v>
      </c>
      <c r="F3225" t="s">
        <v>17928</v>
      </c>
      <c r="G3225" t="s">
        <v>25843</v>
      </c>
    </row>
    <row r="3226" spans="1:7">
      <c r="A3226" t="s">
        <v>25844</v>
      </c>
      <c r="B3226" t="s">
        <v>8607</v>
      </c>
      <c r="D3226" t="s">
        <v>25829</v>
      </c>
      <c r="E3226" t="e">
        <f t="shared" si="4"/>
        <v>#VALUE!</v>
      </c>
      <c r="F3226" t="s">
        <v>17928</v>
      </c>
      <c r="G3226" t="s">
        <v>25830</v>
      </c>
    </row>
    <row r="3227" spans="1:7">
      <c r="A3227" t="s">
        <v>25845</v>
      </c>
      <c r="B3227" t="s">
        <v>8607</v>
      </c>
      <c r="D3227" t="s">
        <v>25829</v>
      </c>
      <c r="E3227" t="e">
        <f t="shared" si="4"/>
        <v>#VALUE!</v>
      </c>
      <c r="F3227" t="s">
        <v>17928</v>
      </c>
      <c r="G3227" t="s">
        <v>25832</v>
      </c>
    </row>
    <row r="3228" spans="1:7">
      <c r="A3228" t="s">
        <v>25846</v>
      </c>
      <c r="B3228" t="s">
        <v>8626</v>
      </c>
      <c r="C3228" t="s">
        <v>24823</v>
      </c>
      <c r="D3228" t="s">
        <v>25847</v>
      </c>
      <c r="E3228" t="e">
        <f t="shared" si="4"/>
        <v>#VALUE!</v>
      </c>
      <c r="F3228" t="s">
        <v>17305</v>
      </c>
      <c r="G3228" t="s">
        <v>25848</v>
      </c>
    </row>
    <row r="3229" spans="1:7">
      <c r="A3229" t="s">
        <v>25849</v>
      </c>
      <c r="B3229" t="s">
        <v>8626</v>
      </c>
      <c r="D3229" t="s">
        <v>25850</v>
      </c>
      <c r="E3229" t="e">
        <f t="shared" si="4"/>
        <v>#VALUE!</v>
      </c>
      <c r="F3229" t="s">
        <v>17305</v>
      </c>
      <c r="G3229" t="s">
        <v>25851</v>
      </c>
    </row>
    <row r="3230" spans="1:7">
      <c r="A3230" t="s">
        <v>25852</v>
      </c>
      <c r="B3230" t="s">
        <v>8626</v>
      </c>
      <c r="C3230" t="s">
        <v>24823</v>
      </c>
      <c r="D3230" t="s">
        <v>25853</v>
      </c>
      <c r="E3230" t="e">
        <f t="shared" ref="E3230:E3293" si="5">SEARCH("INFORMATION STORAGE AND PROCESSING",D3230)</f>
        <v>#VALUE!</v>
      </c>
      <c r="F3230" t="s">
        <v>17305</v>
      </c>
      <c r="G3230" t="s">
        <v>25854</v>
      </c>
    </row>
    <row r="3231" spans="1:7">
      <c r="A3231" t="s">
        <v>25855</v>
      </c>
      <c r="B3231" t="s">
        <v>8607</v>
      </c>
      <c r="C3231" t="s">
        <v>24823</v>
      </c>
      <c r="D3231" t="s">
        <v>25856</v>
      </c>
      <c r="E3231" t="e">
        <f t="shared" si="5"/>
        <v>#VALUE!</v>
      </c>
      <c r="F3231" t="s">
        <v>17305</v>
      </c>
      <c r="G3231" t="s">
        <v>25857</v>
      </c>
    </row>
    <row r="3232" spans="1:7">
      <c r="A3232" t="s">
        <v>25858</v>
      </c>
      <c r="B3232" t="s">
        <v>8626</v>
      </c>
      <c r="D3232" t="s">
        <v>25859</v>
      </c>
      <c r="E3232" t="e">
        <f t="shared" si="5"/>
        <v>#VALUE!</v>
      </c>
      <c r="F3232" t="s">
        <v>17305</v>
      </c>
      <c r="G3232" t="s">
        <v>25860</v>
      </c>
    </row>
    <row r="3233" spans="1:7">
      <c r="A3233" t="s">
        <v>25861</v>
      </c>
      <c r="B3233" t="s">
        <v>8607</v>
      </c>
      <c r="C3233" t="s">
        <v>24823</v>
      </c>
      <c r="D3233" t="s">
        <v>25862</v>
      </c>
      <c r="E3233" t="e">
        <f t="shared" si="5"/>
        <v>#VALUE!</v>
      </c>
      <c r="F3233" t="s">
        <v>17305</v>
      </c>
      <c r="G3233" t="s">
        <v>25857</v>
      </c>
    </row>
    <row r="3234" spans="1:7">
      <c r="A3234" t="s">
        <v>25863</v>
      </c>
      <c r="B3234" t="s">
        <v>8607</v>
      </c>
      <c r="C3234" t="s">
        <v>24817</v>
      </c>
      <c r="D3234" t="s">
        <v>25864</v>
      </c>
      <c r="E3234" t="e">
        <f t="shared" si="5"/>
        <v>#VALUE!</v>
      </c>
      <c r="F3234" t="s">
        <v>17305</v>
      </c>
      <c r="G3234" t="s">
        <v>24819</v>
      </c>
    </row>
    <row r="3235" spans="1:7">
      <c r="A3235" t="s">
        <v>25865</v>
      </c>
      <c r="B3235" t="s">
        <v>8607</v>
      </c>
      <c r="D3235" t="s">
        <v>25864</v>
      </c>
      <c r="E3235" t="e">
        <f t="shared" si="5"/>
        <v>#VALUE!</v>
      </c>
      <c r="F3235" t="s">
        <v>17305</v>
      </c>
      <c r="G3235" t="s">
        <v>25866</v>
      </c>
    </row>
    <row r="3236" spans="1:7">
      <c r="A3236" t="s">
        <v>25867</v>
      </c>
      <c r="B3236" t="s">
        <v>8607</v>
      </c>
      <c r="D3236" t="s">
        <v>25864</v>
      </c>
      <c r="E3236" t="e">
        <f t="shared" si="5"/>
        <v>#VALUE!</v>
      </c>
      <c r="F3236" t="s">
        <v>17305</v>
      </c>
      <c r="G3236" t="s">
        <v>25868</v>
      </c>
    </row>
    <row r="3237" spans="1:7">
      <c r="A3237" t="s">
        <v>25869</v>
      </c>
      <c r="B3237" t="s">
        <v>8607</v>
      </c>
      <c r="D3237" t="s">
        <v>25864</v>
      </c>
      <c r="E3237" t="e">
        <f t="shared" si="5"/>
        <v>#VALUE!</v>
      </c>
      <c r="F3237" t="s">
        <v>17305</v>
      </c>
      <c r="G3237" t="s">
        <v>25868</v>
      </c>
    </row>
    <row r="3238" spans="1:7">
      <c r="A3238" t="s">
        <v>25870</v>
      </c>
      <c r="B3238" t="s">
        <v>8607</v>
      </c>
      <c r="D3238" t="s">
        <v>25871</v>
      </c>
      <c r="E3238" t="e">
        <f t="shared" si="5"/>
        <v>#VALUE!</v>
      </c>
      <c r="F3238" t="s">
        <v>17305</v>
      </c>
      <c r="G3238" t="s">
        <v>25872</v>
      </c>
    </row>
    <row r="3239" spans="1:7">
      <c r="A3239" t="s">
        <v>25873</v>
      </c>
      <c r="B3239" t="s">
        <v>8607</v>
      </c>
      <c r="D3239" t="s">
        <v>25871</v>
      </c>
      <c r="E3239" t="e">
        <f t="shared" si="5"/>
        <v>#VALUE!</v>
      </c>
      <c r="F3239" t="s">
        <v>17305</v>
      </c>
      <c r="G3239" t="s">
        <v>25872</v>
      </c>
    </row>
    <row r="3240" spans="1:7">
      <c r="A3240" t="s">
        <v>25874</v>
      </c>
      <c r="B3240" t="s">
        <v>8607</v>
      </c>
      <c r="D3240" t="s">
        <v>25871</v>
      </c>
      <c r="E3240" t="e">
        <f t="shared" si="5"/>
        <v>#VALUE!</v>
      </c>
      <c r="F3240" t="s">
        <v>17305</v>
      </c>
      <c r="G3240" t="s">
        <v>25875</v>
      </c>
    </row>
    <row r="3241" spans="1:7">
      <c r="A3241" t="s">
        <v>25876</v>
      </c>
      <c r="B3241" t="s">
        <v>8626</v>
      </c>
      <c r="D3241" t="s">
        <v>25877</v>
      </c>
      <c r="E3241" t="e">
        <f t="shared" si="5"/>
        <v>#VALUE!</v>
      </c>
      <c r="F3241" t="s">
        <v>17305</v>
      </c>
      <c r="G3241" t="s">
        <v>25878</v>
      </c>
    </row>
    <row r="3242" spans="1:7">
      <c r="A3242" t="s">
        <v>25879</v>
      </c>
      <c r="B3242" t="s">
        <v>8626</v>
      </c>
      <c r="D3242" t="s">
        <v>25877</v>
      </c>
      <c r="E3242" t="e">
        <f t="shared" si="5"/>
        <v>#VALUE!</v>
      </c>
      <c r="F3242" t="s">
        <v>25880</v>
      </c>
      <c r="G3242" t="s">
        <v>25881</v>
      </c>
    </row>
    <row r="3243" spans="1:7">
      <c r="A3243" t="s">
        <v>25882</v>
      </c>
      <c r="B3243" t="s">
        <v>8626</v>
      </c>
      <c r="C3243" t="s">
        <v>25883</v>
      </c>
      <c r="D3243" t="s">
        <v>25884</v>
      </c>
      <c r="E3243" t="e">
        <f t="shared" si="5"/>
        <v>#VALUE!</v>
      </c>
      <c r="F3243" t="s">
        <v>17305</v>
      </c>
      <c r="G3243" t="s">
        <v>25885</v>
      </c>
    </row>
    <row r="3244" spans="1:7">
      <c r="A3244" t="s">
        <v>25886</v>
      </c>
      <c r="B3244" t="s">
        <v>8607</v>
      </c>
      <c r="C3244" t="s">
        <v>25883</v>
      </c>
      <c r="D3244" t="s">
        <v>25884</v>
      </c>
      <c r="E3244" t="e">
        <f t="shared" si="5"/>
        <v>#VALUE!</v>
      </c>
      <c r="F3244" t="s">
        <v>17305</v>
      </c>
      <c r="G3244" t="s">
        <v>25887</v>
      </c>
    </row>
    <row r="3245" spans="1:7">
      <c r="A3245" t="s">
        <v>25888</v>
      </c>
      <c r="B3245" t="s">
        <v>8626</v>
      </c>
      <c r="C3245" t="s">
        <v>25883</v>
      </c>
      <c r="D3245" t="s">
        <v>25884</v>
      </c>
      <c r="E3245" t="e">
        <f t="shared" si="5"/>
        <v>#VALUE!</v>
      </c>
      <c r="F3245" t="s">
        <v>17305</v>
      </c>
      <c r="G3245" t="s">
        <v>25889</v>
      </c>
    </row>
    <row r="3246" spans="1:7">
      <c r="A3246" t="s">
        <v>25890</v>
      </c>
      <c r="B3246" t="s">
        <v>8607</v>
      </c>
      <c r="C3246" t="s">
        <v>24817</v>
      </c>
      <c r="D3246" t="s">
        <v>25884</v>
      </c>
      <c r="E3246" t="e">
        <f t="shared" si="5"/>
        <v>#VALUE!</v>
      </c>
      <c r="F3246" t="s">
        <v>17305</v>
      </c>
      <c r="G3246" t="s">
        <v>25891</v>
      </c>
    </row>
    <row r="3247" spans="1:7">
      <c r="A3247" t="s">
        <v>25892</v>
      </c>
      <c r="B3247" t="s">
        <v>8607</v>
      </c>
      <c r="C3247" t="s">
        <v>24817</v>
      </c>
      <c r="D3247" t="s">
        <v>25884</v>
      </c>
      <c r="E3247" t="e">
        <f t="shared" si="5"/>
        <v>#VALUE!</v>
      </c>
      <c r="F3247" t="s">
        <v>17305</v>
      </c>
      <c r="G3247" t="s">
        <v>25891</v>
      </c>
    </row>
    <row r="3248" spans="1:7">
      <c r="A3248" t="s">
        <v>25893</v>
      </c>
      <c r="B3248" t="s">
        <v>8626</v>
      </c>
      <c r="C3248" t="s">
        <v>25883</v>
      </c>
      <c r="D3248" t="s">
        <v>25884</v>
      </c>
      <c r="E3248" t="e">
        <f t="shared" si="5"/>
        <v>#VALUE!</v>
      </c>
      <c r="F3248" t="s">
        <v>17305</v>
      </c>
      <c r="G3248" t="s">
        <v>25885</v>
      </c>
    </row>
    <row r="3249" spans="1:7">
      <c r="A3249" t="s">
        <v>25894</v>
      </c>
      <c r="B3249" t="s">
        <v>8626</v>
      </c>
      <c r="C3249" t="s">
        <v>25883</v>
      </c>
      <c r="D3249" t="s">
        <v>25884</v>
      </c>
      <c r="E3249" t="e">
        <f t="shared" si="5"/>
        <v>#VALUE!</v>
      </c>
      <c r="F3249" t="s">
        <v>17305</v>
      </c>
      <c r="G3249" t="s">
        <v>25885</v>
      </c>
    </row>
    <row r="3250" spans="1:7">
      <c r="A3250" t="s">
        <v>25895</v>
      </c>
      <c r="B3250" t="s">
        <v>8607</v>
      </c>
      <c r="C3250" t="s">
        <v>25883</v>
      </c>
      <c r="D3250" t="s">
        <v>25884</v>
      </c>
      <c r="E3250" t="e">
        <f t="shared" si="5"/>
        <v>#VALUE!</v>
      </c>
      <c r="F3250" t="s">
        <v>17305</v>
      </c>
      <c r="G3250" t="s">
        <v>25887</v>
      </c>
    </row>
    <row r="3251" spans="1:7">
      <c r="A3251" t="s">
        <v>25896</v>
      </c>
      <c r="B3251" t="s">
        <v>8626</v>
      </c>
      <c r="C3251" t="s">
        <v>24823</v>
      </c>
      <c r="D3251" t="s">
        <v>25897</v>
      </c>
      <c r="E3251" t="e">
        <f t="shared" si="5"/>
        <v>#VALUE!</v>
      </c>
      <c r="F3251" t="s">
        <v>17305</v>
      </c>
      <c r="G3251" t="s">
        <v>25848</v>
      </c>
    </row>
    <row r="3252" spans="1:7">
      <c r="A3252" t="s">
        <v>25898</v>
      </c>
      <c r="B3252" t="s">
        <v>8607</v>
      </c>
      <c r="D3252" t="s">
        <v>25899</v>
      </c>
      <c r="E3252" t="e">
        <f t="shared" si="5"/>
        <v>#VALUE!</v>
      </c>
      <c r="F3252" t="s">
        <v>17305</v>
      </c>
      <c r="G3252" t="s">
        <v>24819</v>
      </c>
    </row>
    <row r="3253" spans="1:7">
      <c r="A3253" t="s">
        <v>25900</v>
      </c>
      <c r="B3253" t="s">
        <v>8607</v>
      </c>
      <c r="D3253" t="s">
        <v>25899</v>
      </c>
      <c r="E3253" t="e">
        <f t="shared" si="5"/>
        <v>#VALUE!</v>
      </c>
      <c r="F3253" t="s">
        <v>17305</v>
      </c>
      <c r="G3253" t="s">
        <v>25901</v>
      </c>
    </row>
    <row r="3254" spans="1:7">
      <c r="A3254" t="s">
        <v>25902</v>
      </c>
      <c r="B3254" t="s">
        <v>8626</v>
      </c>
      <c r="D3254" t="s">
        <v>25903</v>
      </c>
      <c r="E3254" t="e">
        <f t="shared" si="5"/>
        <v>#VALUE!</v>
      </c>
      <c r="F3254" t="s">
        <v>17305</v>
      </c>
      <c r="G3254" t="s">
        <v>25904</v>
      </c>
    </row>
    <row r="3255" spans="1:7">
      <c r="A3255" t="s">
        <v>25905</v>
      </c>
      <c r="B3255" t="s">
        <v>8607</v>
      </c>
      <c r="D3255" t="s">
        <v>25906</v>
      </c>
      <c r="E3255" t="e">
        <f t="shared" si="5"/>
        <v>#VALUE!</v>
      </c>
      <c r="F3255" t="s">
        <v>17305</v>
      </c>
      <c r="G3255" t="s">
        <v>25875</v>
      </c>
    </row>
    <row r="3256" spans="1:7">
      <c r="A3256" t="s">
        <v>25907</v>
      </c>
      <c r="B3256" t="s">
        <v>8607</v>
      </c>
      <c r="C3256" t="s">
        <v>24823</v>
      </c>
      <c r="D3256" t="s">
        <v>25908</v>
      </c>
      <c r="E3256" t="e">
        <f t="shared" si="5"/>
        <v>#VALUE!</v>
      </c>
      <c r="F3256" t="s">
        <v>17305</v>
      </c>
      <c r="G3256" t="s">
        <v>25909</v>
      </c>
    </row>
    <row r="3257" spans="1:7">
      <c r="A3257" t="s">
        <v>25910</v>
      </c>
      <c r="B3257" t="s">
        <v>8607</v>
      </c>
      <c r="C3257" t="s">
        <v>24823</v>
      </c>
      <c r="D3257" t="s">
        <v>25911</v>
      </c>
      <c r="E3257" t="e">
        <f t="shared" si="5"/>
        <v>#VALUE!</v>
      </c>
      <c r="F3257" t="s">
        <v>17305</v>
      </c>
      <c r="G3257" t="s">
        <v>25912</v>
      </c>
    </row>
    <row r="3258" spans="1:7">
      <c r="A3258" t="s">
        <v>25913</v>
      </c>
      <c r="B3258" t="s">
        <v>8607</v>
      </c>
      <c r="C3258" t="s">
        <v>24823</v>
      </c>
      <c r="D3258" t="s">
        <v>25914</v>
      </c>
      <c r="E3258" t="e">
        <f t="shared" si="5"/>
        <v>#VALUE!</v>
      </c>
      <c r="F3258" t="s">
        <v>17305</v>
      </c>
      <c r="G3258" t="s">
        <v>25915</v>
      </c>
    </row>
    <row r="3259" spans="1:7">
      <c r="A3259" t="s">
        <v>25916</v>
      </c>
      <c r="B3259" t="s">
        <v>8626</v>
      </c>
      <c r="D3259" t="s">
        <v>25917</v>
      </c>
      <c r="E3259" t="e">
        <f t="shared" si="5"/>
        <v>#VALUE!</v>
      </c>
      <c r="F3259" t="s">
        <v>17305</v>
      </c>
      <c r="G3259" t="s">
        <v>25918</v>
      </c>
    </row>
    <row r="3260" spans="1:7">
      <c r="A3260" t="s">
        <v>25919</v>
      </c>
      <c r="B3260" t="s">
        <v>8607</v>
      </c>
      <c r="C3260" t="s">
        <v>25920</v>
      </c>
      <c r="D3260" t="s">
        <v>25921</v>
      </c>
      <c r="E3260" t="e">
        <f t="shared" si="5"/>
        <v>#VALUE!</v>
      </c>
      <c r="F3260" t="s">
        <v>17305</v>
      </c>
      <c r="G3260" t="s">
        <v>25922</v>
      </c>
    </row>
    <row r="3261" spans="1:7">
      <c r="A3261" t="s">
        <v>25923</v>
      </c>
      <c r="B3261" t="s">
        <v>8607</v>
      </c>
      <c r="D3261" t="s">
        <v>17547</v>
      </c>
      <c r="E3261" t="e">
        <f t="shared" si="5"/>
        <v>#VALUE!</v>
      </c>
      <c r="F3261" t="s">
        <v>17305</v>
      </c>
      <c r="G3261" t="s">
        <v>25922</v>
      </c>
    </row>
    <row r="3262" spans="1:7">
      <c r="A3262" t="s">
        <v>25924</v>
      </c>
      <c r="B3262" t="s">
        <v>8607</v>
      </c>
      <c r="C3262" t="s">
        <v>24823</v>
      </c>
      <c r="D3262" t="s">
        <v>25925</v>
      </c>
      <c r="E3262" t="e">
        <f t="shared" si="5"/>
        <v>#VALUE!</v>
      </c>
      <c r="F3262" t="s">
        <v>17305</v>
      </c>
      <c r="G3262" t="s">
        <v>25926</v>
      </c>
    </row>
    <row r="3263" spans="1:7">
      <c r="A3263" t="s">
        <v>25927</v>
      </c>
      <c r="B3263" t="s">
        <v>8607</v>
      </c>
      <c r="D3263" t="s">
        <v>25925</v>
      </c>
      <c r="E3263" t="e">
        <f t="shared" si="5"/>
        <v>#VALUE!</v>
      </c>
      <c r="F3263" t="s">
        <v>17305</v>
      </c>
      <c r="G3263" t="s">
        <v>25926</v>
      </c>
    </row>
    <row r="3264" spans="1:7">
      <c r="A3264" t="s">
        <v>25928</v>
      </c>
      <c r="B3264" t="s">
        <v>8607</v>
      </c>
      <c r="C3264" t="s">
        <v>24823</v>
      </c>
      <c r="D3264" t="s">
        <v>25925</v>
      </c>
      <c r="E3264" t="e">
        <f t="shared" si="5"/>
        <v>#VALUE!</v>
      </c>
      <c r="F3264" t="s">
        <v>17305</v>
      </c>
      <c r="G3264" t="s">
        <v>25929</v>
      </c>
    </row>
    <row r="3265" spans="1:7">
      <c r="A3265" t="s">
        <v>25930</v>
      </c>
      <c r="B3265" t="s">
        <v>8626</v>
      </c>
      <c r="D3265" t="s">
        <v>25931</v>
      </c>
      <c r="E3265" t="e">
        <f t="shared" si="5"/>
        <v>#VALUE!</v>
      </c>
      <c r="F3265" t="s">
        <v>17305</v>
      </c>
      <c r="G3265" t="s">
        <v>25932</v>
      </c>
    </row>
    <row r="3266" spans="1:7">
      <c r="A3266" t="s">
        <v>25933</v>
      </c>
      <c r="B3266" t="s">
        <v>8607</v>
      </c>
      <c r="D3266" t="s">
        <v>25931</v>
      </c>
      <c r="E3266" t="e">
        <f t="shared" si="5"/>
        <v>#VALUE!</v>
      </c>
      <c r="F3266" t="s">
        <v>17305</v>
      </c>
      <c r="G3266" t="s">
        <v>25934</v>
      </c>
    </row>
    <row r="3267" spans="1:7">
      <c r="A3267" t="s">
        <v>25935</v>
      </c>
      <c r="B3267" t="s">
        <v>8607</v>
      </c>
      <c r="C3267" t="s">
        <v>17646</v>
      </c>
      <c r="D3267" t="s">
        <v>25936</v>
      </c>
      <c r="E3267" t="e">
        <f t="shared" si="5"/>
        <v>#VALUE!</v>
      </c>
      <c r="F3267" t="s">
        <v>17305</v>
      </c>
      <c r="G3267" t="s">
        <v>25937</v>
      </c>
    </row>
    <row r="3268" spans="1:7">
      <c r="A3268" t="s">
        <v>25938</v>
      </c>
      <c r="B3268" t="s">
        <v>8626</v>
      </c>
      <c r="C3268" t="s">
        <v>24823</v>
      </c>
      <c r="D3268" t="s">
        <v>25939</v>
      </c>
      <c r="E3268" t="e">
        <f t="shared" si="5"/>
        <v>#VALUE!</v>
      </c>
      <c r="F3268" t="s">
        <v>17305</v>
      </c>
      <c r="G3268" t="s">
        <v>25940</v>
      </c>
    </row>
    <row r="3269" spans="1:7">
      <c r="A3269" t="s">
        <v>25941</v>
      </c>
      <c r="B3269" t="s">
        <v>8626</v>
      </c>
      <c r="C3269" t="s">
        <v>24823</v>
      </c>
      <c r="D3269" t="s">
        <v>25939</v>
      </c>
      <c r="E3269" t="e">
        <f t="shared" si="5"/>
        <v>#VALUE!</v>
      </c>
      <c r="F3269" t="s">
        <v>17305</v>
      </c>
      <c r="G3269" t="s">
        <v>25942</v>
      </c>
    </row>
    <row r="3270" spans="1:7">
      <c r="A3270" t="s">
        <v>25943</v>
      </c>
      <c r="B3270" t="s">
        <v>8626</v>
      </c>
      <c r="C3270" t="s">
        <v>24823</v>
      </c>
      <c r="D3270" t="s">
        <v>25939</v>
      </c>
      <c r="E3270" t="e">
        <f t="shared" si="5"/>
        <v>#VALUE!</v>
      </c>
      <c r="F3270" t="s">
        <v>17305</v>
      </c>
      <c r="G3270" t="s">
        <v>25944</v>
      </c>
    </row>
    <row r="3271" spans="1:7">
      <c r="A3271" t="s">
        <v>25945</v>
      </c>
      <c r="B3271" t="s">
        <v>8626</v>
      </c>
      <c r="C3271" t="s">
        <v>24823</v>
      </c>
      <c r="D3271" t="s">
        <v>25939</v>
      </c>
      <c r="E3271" t="e">
        <f t="shared" si="5"/>
        <v>#VALUE!</v>
      </c>
      <c r="F3271" t="s">
        <v>17305</v>
      </c>
      <c r="G3271" t="s">
        <v>25940</v>
      </c>
    </row>
    <row r="3272" spans="1:7">
      <c r="A3272" t="s">
        <v>25946</v>
      </c>
      <c r="B3272" t="s">
        <v>8626</v>
      </c>
      <c r="C3272" t="s">
        <v>24823</v>
      </c>
      <c r="D3272" t="s">
        <v>25939</v>
      </c>
      <c r="E3272" t="e">
        <f t="shared" si="5"/>
        <v>#VALUE!</v>
      </c>
      <c r="F3272" t="s">
        <v>17305</v>
      </c>
      <c r="G3272" t="s">
        <v>25940</v>
      </c>
    </row>
    <row r="3273" spans="1:7">
      <c r="A3273" t="s">
        <v>25947</v>
      </c>
      <c r="B3273" t="s">
        <v>8626</v>
      </c>
      <c r="C3273" t="s">
        <v>24823</v>
      </c>
      <c r="D3273" t="s">
        <v>25939</v>
      </c>
      <c r="E3273" t="e">
        <f t="shared" si="5"/>
        <v>#VALUE!</v>
      </c>
      <c r="F3273" t="s">
        <v>17305</v>
      </c>
      <c r="G3273" t="s">
        <v>25940</v>
      </c>
    </row>
    <row r="3274" spans="1:7">
      <c r="A3274" t="s">
        <v>25948</v>
      </c>
      <c r="B3274" t="s">
        <v>8626</v>
      </c>
      <c r="D3274" t="s">
        <v>25939</v>
      </c>
      <c r="E3274" t="e">
        <f t="shared" si="5"/>
        <v>#VALUE!</v>
      </c>
      <c r="F3274" t="s">
        <v>17305</v>
      </c>
      <c r="G3274" t="s">
        <v>25949</v>
      </c>
    </row>
    <row r="3275" spans="1:7">
      <c r="A3275" t="s">
        <v>25950</v>
      </c>
      <c r="B3275" t="s">
        <v>8626</v>
      </c>
      <c r="C3275" t="s">
        <v>24823</v>
      </c>
      <c r="D3275" t="s">
        <v>25939</v>
      </c>
      <c r="E3275" t="e">
        <f t="shared" si="5"/>
        <v>#VALUE!</v>
      </c>
      <c r="F3275" t="s">
        <v>17305</v>
      </c>
      <c r="G3275" t="s">
        <v>25949</v>
      </c>
    </row>
    <row r="3276" spans="1:7">
      <c r="A3276" t="s">
        <v>25951</v>
      </c>
      <c r="B3276" t="s">
        <v>8626</v>
      </c>
      <c r="C3276" t="s">
        <v>24823</v>
      </c>
      <c r="D3276" t="s">
        <v>25939</v>
      </c>
      <c r="E3276" t="e">
        <f t="shared" si="5"/>
        <v>#VALUE!</v>
      </c>
      <c r="F3276" t="s">
        <v>17305</v>
      </c>
      <c r="G3276" t="s">
        <v>25942</v>
      </c>
    </row>
    <row r="3277" spans="1:7">
      <c r="A3277" t="s">
        <v>25952</v>
      </c>
      <c r="B3277" t="s">
        <v>8626</v>
      </c>
      <c r="C3277" t="s">
        <v>24823</v>
      </c>
      <c r="D3277" t="s">
        <v>25939</v>
      </c>
      <c r="E3277" t="e">
        <f t="shared" si="5"/>
        <v>#VALUE!</v>
      </c>
      <c r="F3277" t="s">
        <v>17305</v>
      </c>
      <c r="G3277" t="s">
        <v>25940</v>
      </c>
    </row>
    <row r="3278" spans="1:7">
      <c r="A3278" t="s">
        <v>25953</v>
      </c>
      <c r="B3278" t="s">
        <v>8626</v>
      </c>
      <c r="C3278" t="s">
        <v>24823</v>
      </c>
      <c r="D3278" t="s">
        <v>25939</v>
      </c>
      <c r="E3278" t="e">
        <f t="shared" si="5"/>
        <v>#VALUE!</v>
      </c>
      <c r="F3278" t="s">
        <v>17305</v>
      </c>
      <c r="G3278" t="s">
        <v>25940</v>
      </c>
    </row>
    <row r="3279" spans="1:7">
      <c r="A3279" t="s">
        <v>25954</v>
      </c>
      <c r="B3279" t="s">
        <v>8626</v>
      </c>
      <c r="C3279" t="s">
        <v>24823</v>
      </c>
      <c r="D3279" t="s">
        <v>25939</v>
      </c>
      <c r="E3279" t="e">
        <f t="shared" si="5"/>
        <v>#VALUE!</v>
      </c>
      <c r="F3279" t="s">
        <v>17305</v>
      </c>
      <c r="G3279" t="s">
        <v>25940</v>
      </c>
    </row>
    <row r="3280" spans="1:7">
      <c r="A3280" t="s">
        <v>25955</v>
      </c>
      <c r="B3280" t="s">
        <v>8626</v>
      </c>
      <c r="C3280" t="s">
        <v>24823</v>
      </c>
      <c r="D3280" t="s">
        <v>25939</v>
      </c>
      <c r="E3280" t="e">
        <f t="shared" si="5"/>
        <v>#VALUE!</v>
      </c>
      <c r="F3280" t="s">
        <v>17305</v>
      </c>
      <c r="G3280" t="s">
        <v>25940</v>
      </c>
    </row>
    <row r="3281" spans="1:7">
      <c r="A3281" t="s">
        <v>25956</v>
      </c>
      <c r="B3281" t="s">
        <v>8626</v>
      </c>
      <c r="C3281" t="s">
        <v>24823</v>
      </c>
      <c r="D3281" t="s">
        <v>25939</v>
      </c>
      <c r="E3281" t="e">
        <f t="shared" si="5"/>
        <v>#VALUE!</v>
      </c>
      <c r="F3281" t="s">
        <v>17305</v>
      </c>
      <c r="G3281" t="s">
        <v>25940</v>
      </c>
    </row>
    <row r="3282" spans="1:7">
      <c r="A3282" t="s">
        <v>25957</v>
      </c>
      <c r="B3282" t="s">
        <v>8626</v>
      </c>
      <c r="D3282" t="s">
        <v>25958</v>
      </c>
      <c r="E3282" t="e">
        <f t="shared" si="5"/>
        <v>#VALUE!</v>
      </c>
      <c r="F3282" t="s">
        <v>17305</v>
      </c>
      <c r="G3282" t="s">
        <v>25959</v>
      </c>
    </row>
    <row r="3283" spans="1:7">
      <c r="A3283" t="s">
        <v>25960</v>
      </c>
      <c r="B3283" t="s">
        <v>8607</v>
      </c>
      <c r="D3283" t="s">
        <v>25961</v>
      </c>
      <c r="E3283" t="e">
        <f t="shared" si="5"/>
        <v>#VALUE!</v>
      </c>
      <c r="F3283" t="s">
        <v>17305</v>
      </c>
      <c r="G3283" t="s">
        <v>24819</v>
      </c>
    </row>
    <row r="3284" spans="1:7">
      <c r="A3284" t="s">
        <v>25962</v>
      </c>
      <c r="B3284" t="s">
        <v>8607</v>
      </c>
      <c r="D3284" t="s">
        <v>25963</v>
      </c>
      <c r="E3284" t="e">
        <f t="shared" si="5"/>
        <v>#VALUE!</v>
      </c>
      <c r="F3284" t="s">
        <v>25964</v>
      </c>
      <c r="G3284" t="s">
        <v>25965</v>
      </c>
    </row>
    <row r="3285" spans="1:7">
      <c r="A3285" t="s">
        <v>25966</v>
      </c>
      <c r="B3285" t="s">
        <v>8607</v>
      </c>
      <c r="D3285" t="s">
        <v>25963</v>
      </c>
      <c r="E3285" t="e">
        <f t="shared" si="5"/>
        <v>#VALUE!</v>
      </c>
      <c r="F3285" t="s">
        <v>25964</v>
      </c>
      <c r="G3285" t="s">
        <v>25965</v>
      </c>
    </row>
    <row r="3286" spans="1:7">
      <c r="A3286" t="s">
        <v>25967</v>
      </c>
      <c r="B3286" t="s">
        <v>8626</v>
      </c>
      <c r="D3286" t="s">
        <v>25968</v>
      </c>
      <c r="E3286" t="e">
        <f t="shared" si="5"/>
        <v>#VALUE!</v>
      </c>
      <c r="F3286" t="s">
        <v>25964</v>
      </c>
      <c r="G3286" t="s">
        <v>25969</v>
      </c>
    </row>
    <row r="3287" spans="1:7">
      <c r="A3287" t="s">
        <v>25970</v>
      </c>
      <c r="B3287" t="s">
        <v>8607</v>
      </c>
      <c r="D3287" t="s">
        <v>25971</v>
      </c>
      <c r="E3287" t="e">
        <f t="shared" si="5"/>
        <v>#VALUE!</v>
      </c>
      <c r="F3287" t="s">
        <v>25964</v>
      </c>
      <c r="G3287" t="s">
        <v>25972</v>
      </c>
    </row>
    <row r="3288" spans="1:7">
      <c r="A3288" t="s">
        <v>25973</v>
      </c>
      <c r="B3288" t="s">
        <v>8626</v>
      </c>
      <c r="D3288" t="s">
        <v>25974</v>
      </c>
      <c r="E3288" t="e">
        <f t="shared" si="5"/>
        <v>#VALUE!</v>
      </c>
      <c r="F3288" t="s">
        <v>25964</v>
      </c>
      <c r="G3288" t="s">
        <v>25975</v>
      </c>
    </row>
    <row r="3289" spans="1:7">
      <c r="A3289" t="s">
        <v>25976</v>
      </c>
      <c r="B3289" t="s">
        <v>8607</v>
      </c>
      <c r="D3289" t="s">
        <v>25977</v>
      </c>
      <c r="E3289" t="e">
        <f t="shared" si="5"/>
        <v>#VALUE!</v>
      </c>
      <c r="F3289" t="s">
        <v>25978</v>
      </c>
      <c r="G3289" t="s">
        <v>25979</v>
      </c>
    </row>
    <row r="3290" spans="1:7">
      <c r="A3290" t="s">
        <v>25980</v>
      </c>
      <c r="B3290" t="s">
        <v>8607</v>
      </c>
      <c r="D3290" t="s">
        <v>25981</v>
      </c>
      <c r="E3290" t="e">
        <f t="shared" si="5"/>
        <v>#VALUE!</v>
      </c>
      <c r="F3290" t="s">
        <v>25978</v>
      </c>
      <c r="G3290" t="s">
        <v>25982</v>
      </c>
    </row>
    <row r="3291" spans="1:7">
      <c r="A3291" t="s">
        <v>25983</v>
      </c>
      <c r="B3291" t="s">
        <v>8607</v>
      </c>
      <c r="D3291" t="s">
        <v>25981</v>
      </c>
      <c r="E3291" t="e">
        <f t="shared" si="5"/>
        <v>#VALUE!</v>
      </c>
      <c r="F3291" t="s">
        <v>25978</v>
      </c>
      <c r="G3291" t="s">
        <v>25982</v>
      </c>
    </row>
    <row r="3292" spans="1:7">
      <c r="A3292" t="s">
        <v>25984</v>
      </c>
      <c r="B3292" t="s">
        <v>8626</v>
      </c>
      <c r="D3292" t="s">
        <v>25985</v>
      </c>
      <c r="E3292" t="e">
        <f t="shared" si="5"/>
        <v>#VALUE!</v>
      </c>
      <c r="F3292" t="s">
        <v>25986</v>
      </c>
      <c r="G3292" t="s">
        <v>25987</v>
      </c>
    </row>
    <row r="3293" spans="1:7">
      <c r="A3293" t="s">
        <v>25988</v>
      </c>
      <c r="B3293" t="s">
        <v>8626</v>
      </c>
      <c r="D3293" t="s">
        <v>25989</v>
      </c>
      <c r="E3293" t="e">
        <f t="shared" si="5"/>
        <v>#VALUE!</v>
      </c>
      <c r="F3293" t="s">
        <v>25978</v>
      </c>
      <c r="G3293" t="s">
        <v>25990</v>
      </c>
    </row>
    <row r="3294" spans="1:7">
      <c r="A3294" t="s">
        <v>25991</v>
      </c>
      <c r="B3294" t="s">
        <v>8607</v>
      </c>
      <c r="C3294" t="s">
        <v>25992</v>
      </c>
      <c r="D3294" t="s">
        <v>25993</v>
      </c>
      <c r="E3294" t="e">
        <f t="shared" ref="E3294:E3316" si="6">SEARCH("INFORMATION STORAGE AND PROCESSING",D3294)</f>
        <v>#VALUE!</v>
      </c>
      <c r="F3294" t="s">
        <v>25978</v>
      </c>
      <c r="G3294" t="s">
        <v>25994</v>
      </c>
    </row>
    <row r="3295" spans="1:7">
      <c r="A3295" t="s">
        <v>25995</v>
      </c>
      <c r="B3295" t="s">
        <v>8607</v>
      </c>
      <c r="D3295" t="s">
        <v>25993</v>
      </c>
      <c r="E3295" t="e">
        <f t="shared" si="6"/>
        <v>#VALUE!</v>
      </c>
      <c r="F3295" t="s">
        <v>25978</v>
      </c>
      <c r="G3295" t="s">
        <v>25996</v>
      </c>
    </row>
    <row r="3296" spans="1:7">
      <c r="A3296" t="s">
        <v>25997</v>
      </c>
      <c r="B3296" t="s">
        <v>8607</v>
      </c>
      <c r="D3296" t="s">
        <v>25998</v>
      </c>
      <c r="E3296" t="e">
        <f t="shared" si="6"/>
        <v>#VALUE!</v>
      </c>
      <c r="F3296" t="s">
        <v>25978</v>
      </c>
      <c r="G3296" t="s">
        <v>25999</v>
      </c>
    </row>
    <row r="3297" spans="1:7">
      <c r="A3297" t="s">
        <v>26000</v>
      </c>
      <c r="B3297" t="s">
        <v>8626</v>
      </c>
      <c r="D3297" t="s">
        <v>26001</v>
      </c>
      <c r="E3297" t="e">
        <f t="shared" si="6"/>
        <v>#VALUE!</v>
      </c>
      <c r="F3297" t="s">
        <v>25978</v>
      </c>
      <c r="G3297" t="s">
        <v>25990</v>
      </c>
    </row>
    <row r="3298" spans="1:7">
      <c r="A3298" t="s">
        <v>26002</v>
      </c>
      <c r="B3298" t="s">
        <v>8607</v>
      </c>
      <c r="D3298" t="s">
        <v>26003</v>
      </c>
      <c r="E3298" t="e">
        <f t="shared" si="6"/>
        <v>#VALUE!</v>
      </c>
      <c r="F3298" t="s">
        <v>25978</v>
      </c>
      <c r="G3298" t="s">
        <v>26004</v>
      </c>
    </row>
    <row r="3299" spans="1:7">
      <c r="A3299" t="s">
        <v>26005</v>
      </c>
      <c r="B3299" t="s">
        <v>8626</v>
      </c>
      <c r="D3299" t="s">
        <v>26006</v>
      </c>
      <c r="E3299" t="e">
        <f t="shared" si="6"/>
        <v>#VALUE!</v>
      </c>
      <c r="G3299" t="s">
        <v>26007</v>
      </c>
    </row>
    <row r="3300" spans="1:7">
      <c r="A3300" t="s">
        <v>26008</v>
      </c>
      <c r="B3300" t="s">
        <v>8607</v>
      </c>
      <c r="D3300" t="s">
        <v>26009</v>
      </c>
      <c r="E3300" t="e">
        <f t="shared" si="6"/>
        <v>#VALUE!</v>
      </c>
      <c r="F3300" t="s">
        <v>17349</v>
      </c>
      <c r="G3300" t="s">
        <v>26010</v>
      </c>
    </row>
    <row r="3301" spans="1:7">
      <c r="A3301" t="s">
        <v>26011</v>
      </c>
      <c r="B3301" t="s">
        <v>8607</v>
      </c>
      <c r="D3301" t="s">
        <v>26009</v>
      </c>
      <c r="E3301" t="e">
        <f t="shared" si="6"/>
        <v>#VALUE!</v>
      </c>
      <c r="F3301" t="s">
        <v>17349</v>
      </c>
      <c r="G3301" t="s">
        <v>26010</v>
      </c>
    </row>
    <row r="3302" spans="1:7">
      <c r="A3302" t="s">
        <v>26012</v>
      </c>
      <c r="B3302" t="s">
        <v>8607</v>
      </c>
      <c r="D3302" t="s">
        <v>26009</v>
      </c>
      <c r="E3302" t="e">
        <f t="shared" si="6"/>
        <v>#VALUE!</v>
      </c>
      <c r="F3302" t="s">
        <v>17349</v>
      </c>
      <c r="G3302" t="s">
        <v>26010</v>
      </c>
    </row>
    <row r="3303" spans="1:7">
      <c r="A3303" t="s">
        <v>26013</v>
      </c>
      <c r="B3303" t="s">
        <v>8607</v>
      </c>
      <c r="D3303" t="s">
        <v>26009</v>
      </c>
      <c r="E3303" t="e">
        <f t="shared" si="6"/>
        <v>#VALUE!</v>
      </c>
      <c r="F3303" t="s">
        <v>17349</v>
      </c>
      <c r="G3303" t="s">
        <v>26010</v>
      </c>
    </row>
    <row r="3304" spans="1:7">
      <c r="A3304" t="s">
        <v>26014</v>
      </c>
      <c r="B3304" t="s">
        <v>8607</v>
      </c>
      <c r="D3304" t="s">
        <v>26015</v>
      </c>
      <c r="E3304" t="e">
        <f t="shared" si="6"/>
        <v>#VALUE!</v>
      </c>
      <c r="F3304" t="s">
        <v>25721</v>
      </c>
      <c r="G3304" t="s">
        <v>26016</v>
      </c>
    </row>
    <row r="3305" spans="1:7">
      <c r="A3305" t="s">
        <v>26017</v>
      </c>
      <c r="B3305" t="s">
        <v>8626</v>
      </c>
      <c r="C3305" t="s">
        <v>23142</v>
      </c>
      <c r="D3305" t="s">
        <v>26018</v>
      </c>
      <c r="E3305" t="e">
        <f t="shared" si="6"/>
        <v>#VALUE!</v>
      </c>
      <c r="F3305" t="s">
        <v>23144</v>
      </c>
      <c r="G3305" t="s">
        <v>26019</v>
      </c>
    </row>
    <row r="3306" spans="1:7">
      <c r="A3306" t="s">
        <v>26020</v>
      </c>
      <c r="B3306" t="s">
        <v>8626</v>
      </c>
      <c r="C3306" t="s">
        <v>23187</v>
      </c>
      <c r="D3306" t="s">
        <v>26018</v>
      </c>
      <c r="E3306" t="e">
        <f t="shared" si="6"/>
        <v>#VALUE!</v>
      </c>
      <c r="F3306" t="s">
        <v>23144</v>
      </c>
      <c r="G3306" t="s">
        <v>26021</v>
      </c>
    </row>
    <row r="3307" spans="1:7">
      <c r="A3307" t="s">
        <v>26022</v>
      </c>
      <c r="B3307" t="s">
        <v>8607</v>
      </c>
      <c r="D3307" t="s">
        <v>26023</v>
      </c>
      <c r="E3307" t="e">
        <f t="shared" si="6"/>
        <v>#VALUE!</v>
      </c>
      <c r="F3307" t="s">
        <v>26024</v>
      </c>
      <c r="G3307" t="s">
        <v>26025</v>
      </c>
    </row>
    <row r="3308" spans="1:7">
      <c r="A3308" t="s">
        <v>26026</v>
      </c>
      <c r="B3308" t="s">
        <v>8626</v>
      </c>
      <c r="D3308" t="s">
        <v>26027</v>
      </c>
      <c r="E3308" t="e">
        <f t="shared" si="6"/>
        <v>#VALUE!</v>
      </c>
      <c r="G3308" t="s">
        <v>26028</v>
      </c>
    </row>
    <row r="3309" spans="1:7">
      <c r="A3309" t="s">
        <v>26029</v>
      </c>
      <c r="B3309" t="s">
        <v>8607</v>
      </c>
      <c r="C3309" t="s">
        <v>8676</v>
      </c>
      <c r="D3309" t="s">
        <v>26030</v>
      </c>
      <c r="E3309" t="e">
        <f t="shared" si="6"/>
        <v>#VALUE!</v>
      </c>
      <c r="F3309" t="s">
        <v>20001</v>
      </c>
      <c r="G3309" t="s">
        <v>26031</v>
      </c>
    </row>
    <row r="3310" spans="1:7">
      <c r="A3310" t="s">
        <v>26032</v>
      </c>
      <c r="B3310" t="s">
        <v>8607</v>
      </c>
      <c r="D3310" t="s">
        <v>26033</v>
      </c>
      <c r="E3310" t="e">
        <f t="shared" si="6"/>
        <v>#VALUE!</v>
      </c>
      <c r="F3310" t="s">
        <v>23859</v>
      </c>
      <c r="G3310" t="s">
        <v>26034</v>
      </c>
    </row>
    <row r="3311" spans="1:7">
      <c r="A3311" t="s">
        <v>26035</v>
      </c>
      <c r="B3311" t="s">
        <v>8626</v>
      </c>
      <c r="D3311" t="s">
        <v>26036</v>
      </c>
      <c r="E3311" t="e">
        <f t="shared" si="6"/>
        <v>#VALUE!</v>
      </c>
      <c r="F3311" t="s">
        <v>26037</v>
      </c>
      <c r="G3311" t="s">
        <v>26038</v>
      </c>
    </row>
    <row r="3312" spans="1:7">
      <c r="A3312" t="s">
        <v>26039</v>
      </c>
      <c r="B3312" t="s">
        <v>8626</v>
      </c>
      <c r="D3312" t="s">
        <v>26040</v>
      </c>
      <c r="E3312" t="e">
        <f t="shared" si="6"/>
        <v>#VALUE!</v>
      </c>
      <c r="F3312" t="s">
        <v>26037</v>
      </c>
      <c r="G3312" t="s">
        <v>26041</v>
      </c>
    </row>
    <row r="3313" spans="1:7">
      <c r="A3313" t="s">
        <v>26042</v>
      </c>
      <c r="B3313" t="s">
        <v>8626</v>
      </c>
      <c r="D3313" t="s">
        <v>26043</v>
      </c>
      <c r="E3313" t="e">
        <f t="shared" si="6"/>
        <v>#VALUE!</v>
      </c>
      <c r="F3313" t="s">
        <v>26037</v>
      </c>
      <c r="G3313" t="s">
        <v>26044</v>
      </c>
    </row>
    <row r="3314" spans="1:7">
      <c r="A3314" t="s">
        <v>26045</v>
      </c>
      <c r="B3314" t="s">
        <v>8607</v>
      </c>
      <c r="D3314" t="s">
        <v>26043</v>
      </c>
      <c r="E3314" t="e">
        <f t="shared" si="6"/>
        <v>#VALUE!</v>
      </c>
      <c r="F3314" t="s">
        <v>26037</v>
      </c>
      <c r="G3314" t="s">
        <v>26046</v>
      </c>
    </row>
    <row r="3315" spans="1:7">
      <c r="A3315" t="s">
        <v>26047</v>
      </c>
      <c r="B3315" t="s">
        <v>8626</v>
      </c>
      <c r="C3315" t="s">
        <v>26048</v>
      </c>
      <c r="D3315" t="s">
        <v>26049</v>
      </c>
      <c r="E3315" t="e">
        <f t="shared" si="6"/>
        <v>#VALUE!</v>
      </c>
      <c r="F3315" t="s">
        <v>23160</v>
      </c>
      <c r="G3315" t="s">
        <v>26050</v>
      </c>
    </row>
    <row r="3316" spans="1:7">
      <c r="A3316" t="s">
        <v>26051</v>
      </c>
      <c r="B3316" t="s">
        <v>8607</v>
      </c>
      <c r="D3316" t="s">
        <v>26052</v>
      </c>
      <c r="E3316" t="e">
        <f t="shared" si="6"/>
        <v>#VALUE!</v>
      </c>
      <c r="F3316" t="s">
        <v>23164</v>
      </c>
      <c r="G3316" t="s">
        <v>26053</v>
      </c>
    </row>
    <row r="3317" spans="1:7">
      <c r="A3317" t="s">
        <v>26054</v>
      </c>
      <c r="B3317" t="s">
        <v>8607</v>
      </c>
      <c r="G3317" t="s">
        <v>26055</v>
      </c>
    </row>
    <row r="3318" spans="1:7">
      <c r="A3318" t="s">
        <v>26056</v>
      </c>
      <c r="B3318" t="s">
        <v>8607</v>
      </c>
      <c r="G3318" t="s">
        <v>26057</v>
      </c>
    </row>
    <row r="3319" spans="1:7">
      <c r="A3319" t="s">
        <v>26058</v>
      </c>
      <c r="B3319" t="s">
        <v>8607</v>
      </c>
      <c r="F3319" t="s">
        <v>26059</v>
      </c>
      <c r="G3319" t="s">
        <v>26060</v>
      </c>
    </row>
    <row r="3320" spans="1:7">
      <c r="A3320" t="s">
        <v>26061</v>
      </c>
      <c r="B3320" t="s">
        <v>8626</v>
      </c>
      <c r="F3320" t="s">
        <v>26062</v>
      </c>
      <c r="G3320" t="s">
        <v>26063</v>
      </c>
    </row>
    <row r="3321" spans="1:7">
      <c r="A3321" t="s">
        <v>26064</v>
      </c>
      <c r="B3321" t="s">
        <v>8607</v>
      </c>
      <c r="G3321" t="s">
        <v>26065</v>
      </c>
    </row>
    <row r="3322" spans="1:7">
      <c r="A3322" t="s">
        <v>26066</v>
      </c>
      <c r="B3322" t="s">
        <v>8607</v>
      </c>
      <c r="F3322" t="s">
        <v>23667</v>
      </c>
      <c r="G3322" t="s">
        <v>26067</v>
      </c>
    </row>
    <row r="3323" spans="1:7">
      <c r="A3323" t="s">
        <v>26068</v>
      </c>
      <c r="B3323" t="s">
        <v>8607</v>
      </c>
      <c r="F3323" t="s">
        <v>26069</v>
      </c>
      <c r="G3323" t="s">
        <v>26070</v>
      </c>
    </row>
    <row r="3324" spans="1:7">
      <c r="A3324" t="s">
        <v>26071</v>
      </c>
      <c r="B3324" t="s">
        <v>8607</v>
      </c>
      <c r="F3324" t="s">
        <v>26072</v>
      </c>
      <c r="G3324" t="s">
        <v>26073</v>
      </c>
    </row>
    <row r="3325" spans="1:7">
      <c r="A3325" t="s">
        <v>26074</v>
      </c>
      <c r="B3325" t="s">
        <v>8626</v>
      </c>
      <c r="F3325" t="s">
        <v>26075</v>
      </c>
      <c r="G3325" t="s">
        <v>26076</v>
      </c>
    </row>
    <row r="3326" spans="1:7">
      <c r="A3326" t="s">
        <v>26077</v>
      </c>
      <c r="B3326" t="s">
        <v>8607</v>
      </c>
      <c r="C3326" t="s">
        <v>25345</v>
      </c>
      <c r="F3326" t="s">
        <v>13312</v>
      </c>
      <c r="G3326" t="s">
        <v>26078</v>
      </c>
    </row>
    <row r="3327" spans="1:7">
      <c r="A3327" t="s">
        <v>26079</v>
      </c>
      <c r="B3327" t="s">
        <v>8607</v>
      </c>
      <c r="C3327" t="s">
        <v>26080</v>
      </c>
      <c r="F3327" t="s">
        <v>23667</v>
      </c>
      <c r="G3327" t="s">
        <v>26081</v>
      </c>
    </row>
    <row r="3328" spans="1:7">
      <c r="A3328" t="s">
        <v>26082</v>
      </c>
      <c r="B3328" t="s">
        <v>8607</v>
      </c>
      <c r="C3328" t="s">
        <v>26083</v>
      </c>
      <c r="F3328" t="s">
        <v>26084</v>
      </c>
      <c r="G3328" t="s">
        <v>26085</v>
      </c>
    </row>
    <row r="3329" spans="1:7">
      <c r="A3329" t="s">
        <v>26086</v>
      </c>
      <c r="B3329" t="s">
        <v>8607</v>
      </c>
      <c r="C3329" t="s">
        <v>26087</v>
      </c>
      <c r="F3329" t="s">
        <v>26088</v>
      </c>
      <c r="G3329" t="s">
        <v>26089</v>
      </c>
    </row>
    <row r="3330" spans="1:7">
      <c r="A3330" t="s">
        <v>26090</v>
      </c>
      <c r="B3330" t="s">
        <v>8607</v>
      </c>
      <c r="F3330" t="s">
        <v>26091</v>
      </c>
      <c r="G3330" t="s">
        <v>26092</v>
      </c>
    </row>
    <row r="3331" spans="1:7">
      <c r="A3331" t="s">
        <v>26093</v>
      </c>
      <c r="B3331" t="s">
        <v>8607</v>
      </c>
      <c r="F3331" t="s">
        <v>26094</v>
      </c>
      <c r="G3331" t="s">
        <v>26095</v>
      </c>
    </row>
    <row r="3332" spans="1:7">
      <c r="A3332" t="s">
        <v>26096</v>
      </c>
      <c r="B3332" t="s">
        <v>8607</v>
      </c>
      <c r="G3332" t="s">
        <v>26097</v>
      </c>
    </row>
    <row r="3333" spans="1:7">
      <c r="A3333" t="s">
        <v>26098</v>
      </c>
      <c r="B3333" t="s">
        <v>8607</v>
      </c>
      <c r="F3333" t="s">
        <v>26099</v>
      </c>
      <c r="G3333" t="s">
        <v>26100</v>
      </c>
    </row>
    <row r="3334" spans="1:7">
      <c r="A3334" t="s">
        <v>26101</v>
      </c>
      <c r="B3334" t="s">
        <v>8607</v>
      </c>
      <c r="G3334" t="s">
        <v>26102</v>
      </c>
    </row>
    <row r="3335" spans="1:7">
      <c r="A3335" t="s">
        <v>26103</v>
      </c>
      <c r="B3335" t="s">
        <v>8607</v>
      </c>
      <c r="F3335" t="s">
        <v>26104</v>
      </c>
      <c r="G3335" t="s">
        <v>26105</v>
      </c>
    </row>
    <row r="3336" spans="1:7">
      <c r="A3336" t="s">
        <v>26106</v>
      </c>
      <c r="B3336" t="s">
        <v>8607</v>
      </c>
      <c r="C3336" t="s">
        <v>26107</v>
      </c>
      <c r="F3336" t="s">
        <v>26108</v>
      </c>
      <c r="G3336" t="s">
        <v>26109</v>
      </c>
    </row>
    <row r="3337" spans="1:7">
      <c r="A3337" t="s">
        <v>26110</v>
      </c>
      <c r="B3337" t="s">
        <v>8607</v>
      </c>
      <c r="G3337" t="s">
        <v>26111</v>
      </c>
    </row>
    <row r="3338" spans="1:7">
      <c r="A3338" t="s">
        <v>26112</v>
      </c>
      <c r="B3338" t="s">
        <v>8607</v>
      </c>
      <c r="F3338" t="s">
        <v>9018</v>
      </c>
      <c r="G3338" t="s">
        <v>26113</v>
      </c>
    </row>
    <row r="3339" spans="1:7">
      <c r="A3339" t="s">
        <v>26114</v>
      </c>
      <c r="B3339" t="s">
        <v>8607</v>
      </c>
      <c r="F3339" t="s">
        <v>19996</v>
      </c>
      <c r="G3339" t="s">
        <v>19997</v>
      </c>
    </row>
    <row r="3340" spans="1:7">
      <c r="A3340" t="s">
        <v>26115</v>
      </c>
      <c r="B3340" t="s">
        <v>8607</v>
      </c>
      <c r="F3340" t="s">
        <v>26116</v>
      </c>
      <c r="G3340" t="s">
        <v>26117</v>
      </c>
    </row>
    <row r="3341" spans="1:7">
      <c r="A3341" t="s">
        <v>26118</v>
      </c>
      <c r="B3341" t="s">
        <v>8607</v>
      </c>
      <c r="C3341" t="s">
        <v>26119</v>
      </c>
      <c r="F3341" t="s">
        <v>26120</v>
      </c>
      <c r="G3341" t="s">
        <v>26121</v>
      </c>
    </row>
    <row r="3342" spans="1:7">
      <c r="A3342" t="s">
        <v>26122</v>
      </c>
      <c r="B3342" t="s">
        <v>8607</v>
      </c>
      <c r="G3342" t="s">
        <v>26123</v>
      </c>
    </row>
    <row r="3343" spans="1:7">
      <c r="A3343" t="s">
        <v>26124</v>
      </c>
      <c r="B3343" t="s">
        <v>8607</v>
      </c>
      <c r="G3343" t="s">
        <v>26125</v>
      </c>
    </row>
    <row r="3344" spans="1:7">
      <c r="A3344" t="s">
        <v>26126</v>
      </c>
      <c r="B3344" t="s">
        <v>8607</v>
      </c>
      <c r="F3344" t="s">
        <v>26127</v>
      </c>
      <c r="G3344" t="s">
        <v>26128</v>
      </c>
    </row>
    <row r="3345" spans="1:7">
      <c r="A3345" t="s">
        <v>26129</v>
      </c>
      <c r="B3345" t="s">
        <v>8626</v>
      </c>
      <c r="F3345" t="s">
        <v>19966</v>
      </c>
      <c r="G3345" t="s">
        <v>26130</v>
      </c>
    </row>
    <row r="3346" spans="1:7">
      <c r="A3346" t="s">
        <v>26131</v>
      </c>
      <c r="B3346" t="s">
        <v>8607</v>
      </c>
      <c r="G3346" t="s">
        <v>26132</v>
      </c>
    </row>
    <row r="3347" spans="1:7">
      <c r="A3347" t="s">
        <v>26133</v>
      </c>
      <c r="B3347" t="s">
        <v>8626</v>
      </c>
      <c r="G3347" t="s">
        <v>26134</v>
      </c>
    </row>
    <row r="3348" spans="1:7">
      <c r="A3348" t="s">
        <v>26135</v>
      </c>
      <c r="B3348" t="s">
        <v>8607</v>
      </c>
      <c r="C3348" t="s">
        <v>26136</v>
      </c>
      <c r="F3348" t="s">
        <v>26137</v>
      </c>
      <c r="G3348" t="s">
        <v>26138</v>
      </c>
    </row>
    <row r="3349" spans="1:7">
      <c r="A3349" t="s">
        <v>26139</v>
      </c>
      <c r="B3349" t="s">
        <v>8607</v>
      </c>
      <c r="F3349" t="s">
        <v>26116</v>
      </c>
      <c r="G3349" t="s">
        <v>26140</v>
      </c>
    </row>
    <row r="3350" spans="1:7">
      <c r="A3350" t="s">
        <v>26141</v>
      </c>
      <c r="B3350" t="s">
        <v>8607</v>
      </c>
      <c r="F3350" t="s">
        <v>8623</v>
      </c>
      <c r="G3350" t="s">
        <v>26142</v>
      </c>
    </row>
    <row r="3351" spans="1:7">
      <c r="A3351" t="s">
        <v>26143</v>
      </c>
      <c r="B3351" t="s">
        <v>8607</v>
      </c>
      <c r="C3351" t="s">
        <v>26144</v>
      </c>
      <c r="F3351" t="s">
        <v>26145</v>
      </c>
      <c r="G3351" t="s">
        <v>26146</v>
      </c>
    </row>
    <row r="3352" spans="1:7">
      <c r="A3352" t="s">
        <v>26147</v>
      </c>
      <c r="B3352" t="s">
        <v>8607</v>
      </c>
      <c r="F3352" t="s">
        <v>26148</v>
      </c>
      <c r="G3352" t="s">
        <v>26149</v>
      </c>
    </row>
    <row r="3353" spans="1:7">
      <c r="A3353" t="s">
        <v>26150</v>
      </c>
      <c r="B3353" t="s">
        <v>8607</v>
      </c>
      <c r="F3353" t="s">
        <v>26116</v>
      </c>
      <c r="G3353" t="s">
        <v>26151</v>
      </c>
    </row>
    <row r="3354" spans="1:7">
      <c r="A3354" t="s">
        <v>26152</v>
      </c>
      <c r="B3354" t="s">
        <v>8607</v>
      </c>
      <c r="G3354" t="s">
        <v>26153</v>
      </c>
    </row>
    <row r="3355" spans="1:7">
      <c r="A3355" t="s">
        <v>26154</v>
      </c>
      <c r="B3355" t="s">
        <v>8607</v>
      </c>
      <c r="G3355" t="s">
        <v>26155</v>
      </c>
    </row>
    <row r="3356" spans="1:7">
      <c r="A3356" t="s">
        <v>26156</v>
      </c>
      <c r="B3356" t="s">
        <v>8626</v>
      </c>
      <c r="F3356" t="s">
        <v>26157</v>
      </c>
      <c r="G3356" t="s">
        <v>26158</v>
      </c>
    </row>
    <row r="3357" spans="1:7">
      <c r="A3357" t="s">
        <v>26159</v>
      </c>
      <c r="B3357" t="s">
        <v>8607</v>
      </c>
      <c r="G3357" t="s">
        <v>26123</v>
      </c>
    </row>
    <row r="3358" spans="1:7">
      <c r="A3358" t="s">
        <v>26160</v>
      </c>
      <c r="B3358" t="s">
        <v>8626</v>
      </c>
      <c r="F3358" t="s">
        <v>12216</v>
      </c>
      <c r="G3358" t="s">
        <v>26161</v>
      </c>
    </row>
    <row r="3359" spans="1:7">
      <c r="A3359" t="s">
        <v>26162</v>
      </c>
      <c r="B3359" t="s">
        <v>8607</v>
      </c>
      <c r="F3359" t="s">
        <v>26163</v>
      </c>
      <c r="G3359" t="s">
        <v>26164</v>
      </c>
    </row>
    <row r="3360" spans="1:7">
      <c r="A3360" t="s">
        <v>26165</v>
      </c>
      <c r="B3360" t="s">
        <v>8607</v>
      </c>
      <c r="C3360" t="s">
        <v>26166</v>
      </c>
      <c r="F3360" t="s">
        <v>9018</v>
      </c>
      <c r="G3360" t="s">
        <v>26167</v>
      </c>
    </row>
    <row r="3361" spans="1:7">
      <c r="A3361" t="s">
        <v>26168</v>
      </c>
      <c r="B3361" t="s">
        <v>8607</v>
      </c>
      <c r="G3361" t="s">
        <v>26169</v>
      </c>
    </row>
    <row r="3362" spans="1:7">
      <c r="A3362" t="s">
        <v>26170</v>
      </c>
      <c r="B3362" t="s">
        <v>8607</v>
      </c>
      <c r="F3362" t="s">
        <v>26104</v>
      </c>
      <c r="G3362" t="s">
        <v>26171</v>
      </c>
    </row>
    <row r="3363" spans="1:7">
      <c r="A3363" t="s">
        <v>26172</v>
      </c>
      <c r="B3363" t="s">
        <v>8607</v>
      </c>
      <c r="F3363" t="s">
        <v>26173</v>
      </c>
      <c r="G3363" t="s">
        <v>26174</v>
      </c>
    </row>
    <row r="3364" spans="1:7">
      <c r="A3364" t="s">
        <v>26175</v>
      </c>
      <c r="B3364" t="s">
        <v>8607</v>
      </c>
      <c r="F3364" t="s">
        <v>26176</v>
      </c>
      <c r="G3364" t="s">
        <v>26177</v>
      </c>
    </row>
    <row r="3365" spans="1:7">
      <c r="A3365" t="s">
        <v>26178</v>
      </c>
      <c r="B3365" t="s">
        <v>8607</v>
      </c>
      <c r="F3365" t="s">
        <v>26179</v>
      </c>
      <c r="G3365" t="s">
        <v>26180</v>
      </c>
    </row>
    <row r="3366" spans="1:7">
      <c r="A3366" t="s">
        <v>26181</v>
      </c>
      <c r="B3366" t="s">
        <v>8626</v>
      </c>
      <c r="F3366" t="s">
        <v>8623</v>
      </c>
      <c r="G3366" t="s">
        <v>26182</v>
      </c>
    </row>
    <row r="3367" spans="1:7">
      <c r="A3367" t="s">
        <v>26183</v>
      </c>
      <c r="B3367" t="s">
        <v>8607</v>
      </c>
      <c r="F3367" t="s">
        <v>19473</v>
      </c>
      <c r="G3367" t="s">
        <v>26184</v>
      </c>
    </row>
    <row r="3368" spans="1:7">
      <c r="A3368" t="s">
        <v>26185</v>
      </c>
      <c r="B3368" t="s">
        <v>8607</v>
      </c>
      <c r="G3368" t="s">
        <v>26186</v>
      </c>
    </row>
    <row r="3369" spans="1:7">
      <c r="A3369" t="s">
        <v>26187</v>
      </c>
      <c r="B3369" t="s">
        <v>8607</v>
      </c>
      <c r="G3369" t="s">
        <v>26188</v>
      </c>
    </row>
    <row r="3370" spans="1:7">
      <c r="A3370" t="s">
        <v>26189</v>
      </c>
      <c r="B3370" t="s">
        <v>8607</v>
      </c>
      <c r="C3370" t="s">
        <v>26190</v>
      </c>
      <c r="F3370" t="s">
        <v>26191</v>
      </c>
      <c r="G3370" t="s">
        <v>26192</v>
      </c>
    </row>
    <row r="3371" spans="1:7">
      <c r="A3371" t="s">
        <v>26193</v>
      </c>
      <c r="B3371" t="s">
        <v>8607</v>
      </c>
      <c r="G3371" t="s">
        <v>26194</v>
      </c>
    </row>
    <row r="3372" spans="1:7">
      <c r="A3372" t="s">
        <v>26195</v>
      </c>
      <c r="B3372" t="s">
        <v>8607</v>
      </c>
      <c r="F3372" t="s">
        <v>19996</v>
      </c>
      <c r="G3372" t="s">
        <v>26196</v>
      </c>
    </row>
    <row r="3373" spans="1:7">
      <c r="A3373" t="s">
        <v>26197</v>
      </c>
      <c r="B3373" t="s">
        <v>8607</v>
      </c>
      <c r="C3373" t="s">
        <v>26190</v>
      </c>
      <c r="F3373" t="s">
        <v>26191</v>
      </c>
      <c r="G3373" t="s">
        <v>26192</v>
      </c>
    </row>
    <row r="3374" spans="1:7">
      <c r="A3374" t="s">
        <v>26198</v>
      </c>
      <c r="B3374" t="s">
        <v>8607</v>
      </c>
      <c r="F3374" t="s">
        <v>26199</v>
      </c>
      <c r="G3374" t="s">
        <v>26200</v>
      </c>
    </row>
    <row r="3375" spans="1:7">
      <c r="A3375" t="s">
        <v>26201</v>
      </c>
      <c r="B3375" t="s">
        <v>8626</v>
      </c>
      <c r="G3375" t="s">
        <v>26202</v>
      </c>
    </row>
    <row r="3376" spans="1:7">
      <c r="A3376" t="s">
        <v>26203</v>
      </c>
      <c r="B3376" t="s">
        <v>8607</v>
      </c>
      <c r="F3376" t="s">
        <v>26204</v>
      </c>
      <c r="G3376" t="s">
        <v>26205</v>
      </c>
    </row>
    <row r="3377" spans="1:7">
      <c r="A3377" t="s">
        <v>26206</v>
      </c>
      <c r="B3377" t="s">
        <v>8607</v>
      </c>
      <c r="F3377" t="s">
        <v>26207</v>
      </c>
      <c r="G3377" t="s">
        <v>26208</v>
      </c>
    </row>
    <row r="3378" spans="1:7">
      <c r="A3378" t="s">
        <v>26209</v>
      </c>
      <c r="B3378" t="s">
        <v>8607</v>
      </c>
      <c r="G3378" t="s">
        <v>26210</v>
      </c>
    </row>
    <row r="3379" spans="1:7">
      <c r="A3379" t="s">
        <v>26211</v>
      </c>
      <c r="B3379" t="s">
        <v>8607</v>
      </c>
      <c r="F3379" t="s">
        <v>26212</v>
      </c>
      <c r="G3379" t="s">
        <v>26213</v>
      </c>
    </row>
    <row r="3380" spans="1:7">
      <c r="A3380" t="s">
        <v>26214</v>
      </c>
      <c r="B3380" t="s">
        <v>8607</v>
      </c>
      <c r="F3380" t="s">
        <v>17349</v>
      </c>
      <c r="G3380" t="s">
        <v>26215</v>
      </c>
    </row>
    <row r="3381" spans="1:7">
      <c r="A3381" t="s">
        <v>26216</v>
      </c>
      <c r="B3381" t="s">
        <v>8607</v>
      </c>
      <c r="G3381" t="s">
        <v>26217</v>
      </c>
    </row>
    <row r="3382" spans="1:7">
      <c r="A3382" t="s">
        <v>26218</v>
      </c>
      <c r="B3382" t="s">
        <v>8607</v>
      </c>
      <c r="F3382" t="s">
        <v>26104</v>
      </c>
      <c r="G3382" t="s">
        <v>26219</v>
      </c>
    </row>
    <row r="3383" spans="1:7">
      <c r="A3383" t="s">
        <v>26220</v>
      </c>
      <c r="B3383" t="s">
        <v>8626</v>
      </c>
      <c r="C3383" t="s">
        <v>26221</v>
      </c>
      <c r="F3383" t="s">
        <v>9755</v>
      </c>
      <c r="G3383" t="s">
        <v>26222</v>
      </c>
    </row>
    <row r="3384" spans="1:7">
      <c r="A3384" t="s">
        <v>26223</v>
      </c>
      <c r="B3384" t="s">
        <v>8607</v>
      </c>
      <c r="C3384" t="s">
        <v>26107</v>
      </c>
      <c r="F3384" t="s">
        <v>26108</v>
      </c>
      <c r="G3384" t="s">
        <v>26224</v>
      </c>
    </row>
    <row r="3385" spans="1:7">
      <c r="A3385" t="s">
        <v>26225</v>
      </c>
      <c r="B3385" t="s">
        <v>8607</v>
      </c>
      <c r="G3385" t="s">
        <v>26226</v>
      </c>
    </row>
    <row r="3386" spans="1:7">
      <c r="A3386" t="s">
        <v>26227</v>
      </c>
      <c r="B3386" t="s">
        <v>8607</v>
      </c>
      <c r="C3386" t="s">
        <v>26107</v>
      </c>
      <c r="F3386" t="s">
        <v>26108</v>
      </c>
      <c r="G3386" t="s">
        <v>26224</v>
      </c>
    </row>
    <row r="3387" spans="1:7">
      <c r="A3387" t="s">
        <v>26228</v>
      </c>
      <c r="B3387" t="s">
        <v>8607</v>
      </c>
      <c r="G3387" t="s">
        <v>26226</v>
      </c>
    </row>
    <row r="3388" spans="1:7">
      <c r="A3388" t="s">
        <v>26229</v>
      </c>
      <c r="B3388" t="s">
        <v>8607</v>
      </c>
      <c r="F3388" t="s">
        <v>26230</v>
      </c>
      <c r="G3388" t="s">
        <v>26231</v>
      </c>
    </row>
    <row r="3389" spans="1:7">
      <c r="A3389" t="s">
        <v>26232</v>
      </c>
      <c r="B3389" t="s">
        <v>8607</v>
      </c>
      <c r="G3389" t="s">
        <v>26233</v>
      </c>
    </row>
    <row r="3390" spans="1:7">
      <c r="A3390" t="s">
        <v>26234</v>
      </c>
      <c r="B3390" t="s">
        <v>8607</v>
      </c>
      <c r="G3390" t="s">
        <v>26169</v>
      </c>
    </row>
    <row r="3391" spans="1:7">
      <c r="A3391" t="s">
        <v>26235</v>
      </c>
      <c r="B3391" t="s">
        <v>8607</v>
      </c>
      <c r="F3391" t="s">
        <v>26104</v>
      </c>
      <c r="G3391" t="s">
        <v>26236</v>
      </c>
    </row>
    <row r="3392" spans="1:7">
      <c r="A3392" t="s">
        <v>26237</v>
      </c>
      <c r="B3392" t="s">
        <v>8626</v>
      </c>
      <c r="F3392" t="s">
        <v>26173</v>
      </c>
      <c r="G3392" t="s">
        <v>26238</v>
      </c>
    </row>
    <row r="3393" spans="1:7">
      <c r="A3393" t="s">
        <v>26239</v>
      </c>
      <c r="B3393" t="s">
        <v>8626</v>
      </c>
      <c r="G3393" t="s">
        <v>26240</v>
      </c>
    </row>
    <row r="3394" spans="1:7">
      <c r="A3394" t="s">
        <v>26241</v>
      </c>
      <c r="B3394" t="s">
        <v>8607</v>
      </c>
      <c r="F3394" t="s">
        <v>26176</v>
      </c>
      <c r="G3394" t="s">
        <v>26177</v>
      </c>
    </row>
    <row r="3395" spans="1:7">
      <c r="A3395" t="s">
        <v>26242</v>
      </c>
      <c r="B3395" t="s">
        <v>8607</v>
      </c>
      <c r="F3395" t="s">
        <v>26199</v>
      </c>
      <c r="G3395" t="s">
        <v>26243</v>
      </c>
    </row>
    <row r="3396" spans="1:7">
      <c r="A3396" t="s">
        <v>26244</v>
      </c>
      <c r="B3396" t="s">
        <v>8607</v>
      </c>
      <c r="G3396" t="s">
        <v>26245</v>
      </c>
    </row>
    <row r="3397" spans="1:7">
      <c r="A3397" t="s">
        <v>26246</v>
      </c>
      <c r="B3397" t="s">
        <v>8626</v>
      </c>
      <c r="F3397" t="s">
        <v>8623</v>
      </c>
      <c r="G3397" t="s">
        <v>26247</v>
      </c>
    </row>
    <row r="3398" spans="1:7">
      <c r="A3398" t="s">
        <v>26248</v>
      </c>
      <c r="B3398" t="s">
        <v>8607</v>
      </c>
      <c r="F3398" t="s">
        <v>26207</v>
      </c>
      <c r="G3398" t="s">
        <v>26249</v>
      </c>
    </row>
    <row r="3399" spans="1:7">
      <c r="A3399" t="s">
        <v>26250</v>
      </c>
      <c r="B3399" t="s">
        <v>8607</v>
      </c>
      <c r="F3399" t="s">
        <v>26251</v>
      </c>
      <c r="G3399" t="s">
        <v>26252</v>
      </c>
    </row>
    <row r="3400" spans="1:7">
      <c r="A3400" t="s">
        <v>26253</v>
      </c>
      <c r="B3400" t="s">
        <v>8607</v>
      </c>
      <c r="F3400" t="s">
        <v>8623</v>
      </c>
      <c r="G3400" t="s">
        <v>26254</v>
      </c>
    </row>
    <row r="3401" spans="1:7">
      <c r="A3401" t="s">
        <v>26255</v>
      </c>
      <c r="B3401" t="s">
        <v>8607</v>
      </c>
      <c r="F3401" t="s">
        <v>26256</v>
      </c>
      <c r="G3401" t="s">
        <v>26257</v>
      </c>
    </row>
    <row r="3402" spans="1:7">
      <c r="A3402" t="s">
        <v>26258</v>
      </c>
      <c r="B3402" t="s">
        <v>8626</v>
      </c>
      <c r="G3402" t="s">
        <v>26259</v>
      </c>
    </row>
    <row r="3403" spans="1:7">
      <c r="A3403" t="s">
        <v>26260</v>
      </c>
      <c r="B3403" t="s">
        <v>8626</v>
      </c>
      <c r="G3403" t="s">
        <v>26202</v>
      </c>
    </row>
    <row r="3404" spans="1:7">
      <c r="A3404" t="s">
        <v>26261</v>
      </c>
      <c r="B3404" t="s">
        <v>8626</v>
      </c>
      <c r="F3404" t="s">
        <v>23160</v>
      </c>
      <c r="G3404" t="s">
        <v>26262</v>
      </c>
    </row>
    <row r="3405" spans="1:7">
      <c r="A3405" t="s">
        <v>26263</v>
      </c>
      <c r="B3405" t="s">
        <v>8607</v>
      </c>
      <c r="F3405" t="s">
        <v>26264</v>
      </c>
      <c r="G3405" t="s">
        <v>26265</v>
      </c>
    </row>
    <row r="3406" spans="1:7">
      <c r="A3406" t="s">
        <v>26266</v>
      </c>
      <c r="B3406" t="s">
        <v>8607</v>
      </c>
      <c r="F3406" t="s">
        <v>11334</v>
      </c>
      <c r="G3406" t="s">
        <v>19095</v>
      </c>
    </row>
    <row r="3407" spans="1:7">
      <c r="A3407" t="s">
        <v>26267</v>
      </c>
      <c r="B3407" t="s">
        <v>8607</v>
      </c>
      <c r="F3407" t="s">
        <v>26268</v>
      </c>
      <c r="G3407" t="s">
        <v>26269</v>
      </c>
    </row>
    <row r="3408" spans="1:7">
      <c r="A3408" t="s">
        <v>26270</v>
      </c>
      <c r="B3408" t="s">
        <v>8607</v>
      </c>
      <c r="F3408" t="s">
        <v>19380</v>
      </c>
      <c r="G3408" t="s">
        <v>19381</v>
      </c>
    </row>
    <row r="3409" spans="1:7">
      <c r="A3409" t="s">
        <v>26271</v>
      </c>
      <c r="B3409" t="s">
        <v>8607</v>
      </c>
      <c r="F3409" t="s">
        <v>26272</v>
      </c>
      <c r="G3409" t="s">
        <v>26273</v>
      </c>
    </row>
    <row r="3410" spans="1:7">
      <c r="A3410" t="s">
        <v>26274</v>
      </c>
      <c r="B3410" t="s">
        <v>8607</v>
      </c>
      <c r="G3410" t="s">
        <v>26275</v>
      </c>
    </row>
    <row r="3411" spans="1:7">
      <c r="A3411" t="s">
        <v>26276</v>
      </c>
      <c r="B3411" t="s">
        <v>8607</v>
      </c>
      <c r="F3411" t="s">
        <v>26104</v>
      </c>
      <c r="G3411" t="s">
        <v>26105</v>
      </c>
    </row>
    <row r="3412" spans="1:7">
      <c r="A3412" t="s">
        <v>26277</v>
      </c>
      <c r="B3412" t="s">
        <v>8607</v>
      </c>
      <c r="G3412" t="s">
        <v>26278</v>
      </c>
    </row>
    <row r="3413" spans="1:7">
      <c r="A3413" t="s">
        <v>26279</v>
      </c>
      <c r="B3413" t="s">
        <v>8607</v>
      </c>
      <c r="F3413" t="s">
        <v>26104</v>
      </c>
      <c r="G3413" t="s">
        <v>26105</v>
      </c>
    </row>
    <row r="3414" spans="1:7">
      <c r="A3414" t="s">
        <v>26280</v>
      </c>
      <c r="B3414" t="s">
        <v>8607</v>
      </c>
      <c r="C3414" t="s">
        <v>26107</v>
      </c>
      <c r="F3414" t="s">
        <v>26108</v>
      </c>
      <c r="G3414" t="s">
        <v>26109</v>
      </c>
    </row>
    <row r="3415" spans="1:7">
      <c r="A3415" t="s">
        <v>26281</v>
      </c>
      <c r="B3415" t="s">
        <v>8607</v>
      </c>
      <c r="G3415" t="s">
        <v>26111</v>
      </c>
    </row>
    <row r="3416" spans="1:7">
      <c r="A3416" t="s">
        <v>26282</v>
      </c>
      <c r="B3416" t="s">
        <v>8607</v>
      </c>
      <c r="F3416" t="s">
        <v>25102</v>
      </c>
      <c r="G3416" t="s">
        <v>25103</v>
      </c>
    </row>
    <row r="3417" spans="1:7">
      <c r="A3417" t="s">
        <v>26283</v>
      </c>
      <c r="B3417" t="s">
        <v>8607</v>
      </c>
      <c r="C3417" t="s">
        <v>26107</v>
      </c>
      <c r="F3417" t="s">
        <v>26108</v>
      </c>
      <c r="G3417" t="s">
        <v>26109</v>
      </c>
    </row>
    <row r="3418" spans="1:7">
      <c r="A3418" t="s">
        <v>26284</v>
      </c>
      <c r="B3418" t="s">
        <v>8607</v>
      </c>
      <c r="G3418" t="s">
        <v>26278</v>
      </c>
    </row>
    <row r="3419" spans="1:7">
      <c r="A3419" t="s">
        <v>26285</v>
      </c>
      <c r="B3419" t="s">
        <v>8607</v>
      </c>
      <c r="G3419" t="s">
        <v>26111</v>
      </c>
    </row>
    <row r="3420" spans="1:7">
      <c r="A3420" t="s">
        <v>26286</v>
      </c>
      <c r="B3420" t="s">
        <v>8607</v>
      </c>
      <c r="F3420" t="s">
        <v>26287</v>
      </c>
      <c r="G3420" t="s">
        <v>26288</v>
      </c>
    </row>
    <row r="3421" spans="1:7">
      <c r="A3421" t="s">
        <v>26289</v>
      </c>
      <c r="B3421" t="s">
        <v>8607</v>
      </c>
      <c r="C3421" t="s">
        <v>26290</v>
      </c>
      <c r="F3421" t="s">
        <v>26291</v>
      </c>
      <c r="G3421" t="s">
        <v>26292</v>
      </c>
    </row>
    <row r="3422" spans="1:7">
      <c r="A3422" t="s">
        <v>26293</v>
      </c>
      <c r="B3422" t="s">
        <v>8626</v>
      </c>
      <c r="G3422" t="s">
        <v>26294</v>
      </c>
    </row>
    <row r="3423" spans="1:7">
      <c r="A3423" t="s">
        <v>26295</v>
      </c>
      <c r="B3423" t="s">
        <v>8626</v>
      </c>
      <c r="F3423" t="s">
        <v>8623</v>
      </c>
      <c r="G3423" t="s">
        <v>26161</v>
      </c>
    </row>
    <row r="3424" spans="1:7">
      <c r="A3424" t="s">
        <v>26296</v>
      </c>
      <c r="B3424" t="s">
        <v>8607</v>
      </c>
      <c r="F3424" t="s">
        <v>8623</v>
      </c>
      <c r="G3424" t="s">
        <v>26297</v>
      </c>
    </row>
    <row r="3425" spans="1:7">
      <c r="A3425" t="s">
        <v>26298</v>
      </c>
      <c r="B3425" t="s">
        <v>8607</v>
      </c>
      <c r="F3425" t="s">
        <v>26299</v>
      </c>
      <c r="G3425" t="s">
        <v>26300</v>
      </c>
    </row>
    <row r="3426" spans="1:7">
      <c r="A3426" t="s">
        <v>26301</v>
      </c>
      <c r="B3426" t="s">
        <v>8626</v>
      </c>
      <c r="F3426" t="s">
        <v>8623</v>
      </c>
      <c r="G3426" t="s">
        <v>26302</v>
      </c>
    </row>
    <row r="3427" spans="1:7">
      <c r="A3427" t="s">
        <v>26303</v>
      </c>
      <c r="B3427" t="s">
        <v>8607</v>
      </c>
      <c r="F3427" t="s">
        <v>26304</v>
      </c>
      <c r="G3427" t="s">
        <v>26305</v>
      </c>
    </row>
    <row r="3428" spans="1:7">
      <c r="A3428" t="s">
        <v>26306</v>
      </c>
      <c r="B3428" t="s">
        <v>8607</v>
      </c>
      <c r="C3428" t="s">
        <v>26307</v>
      </c>
      <c r="F3428" t="s">
        <v>14285</v>
      </c>
      <c r="G3428" t="s">
        <v>26308</v>
      </c>
    </row>
    <row r="3429" spans="1:7">
      <c r="A3429" t="s">
        <v>26309</v>
      </c>
      <c r="B3429" t="s">
        <v>8626</v>
      </c>
      <c r="F3429" t="s">
        <v>26310</v>
      </c>
      <c r="G3429" t="s">
        <v>26311</v>
      </c>
    </row>
    <row r="3430" spans="1:7">
      <c r="A3430" t="s">
        <v>26312</v>
      </c>
      <c r="B3430" t="s">
        <v>8607</v>
      </c>
      <c r="F3430" t="s">
        <v>19996</v>
      </c>
      <c r="G3430" t="s">
        <v>26313</v>
      </c>
    </row>
    <row r="3431" spans="1:7">
      <c r="A3431" t="s">
        <v>26314</v>
      </c>
      <c r="B3431" t="s">
        <v>8607</v>
      </c>
      <c r="C3431" t="s">
        <v>26315</v>
      </c>
      <c r="F3431" t="s">
        <v>17320</v>
      </c>
      <c r="G3431" t="s">
        <v>26316</v>
      </c>
    </row>
    <row r="3432" spans="1:7">
      <c r="A3432" t="s">
        <v>26317</v>
      </c>
      <c r="B3432" t="s">
        <v>8607</v>
      </c>
      <c r="G3432" t="s">
        <v>26217</v>
      </c>
    </row>
    <row r="3433" spans="1:7">
      <c r="A3433" t="s">
        <v>26318</v>
      </c>
      <c r="B3433" t="s">
        <v>8626</v>
      </c>
      <c r="F3433" t="s">
        <v>9018</v>
      </c>
      <c r="G3433" t="s">
        <v>26319</v>
      </c>
    </row>
    <row r="3434" spans="1:7">
      <c r="A3434" t="s">
        <v>26320</v>
      </c>
      <c r="B3434" t="s">
        <v>8626</v>
      </c>
      <c r="F3434" t="s">
        <v>9018</v>
      </c>
      <c r="G3434" t="s">
        <v>26319</v>
      </c>
    </row>
    <row r="3435" spans="1:7">
      <c r="A3435" t="s">
        <v>26321</v>
      </c>
      <c r="B3435" t="s">
        <v>8607</v>
      </c>
      <c r="G3435" t="s">
        <v>26217</v>
      </c>
    </row>
    <row r="3436" spans="1:7">
      <c r="A3436" t="s">
        <v>26322</v>
      </c>
      <c r="B3436" t="s">
        <v>8607</v>
      </c>
      <c r="F3436" t="s">
        <v>24159</v>
      </c>
      <c r="G3436" t="s">
        <v>26323</v>
      </c>
    </row>
    <row r="3437" spans="1:7">
      <c r="A3437" t="s">
        <v>26324</v>
      </c>
      <c r="B3437" t="s">
        <v>8607</v>
      </c>
      <c r="G3437" t="s">
        <v>26226</v>
      </c>
    </row>
    <row r="3438" spans="1:7">
      <c r="A3438" t="s">
        <v>26325</v>
      </c>
      <c r="B3438" t="s">
        <v>8607</v>
      </c>
      <c r="G3438" t="s">
        <v>26326</v>
      </c>
    </row>
    <row r="3439" spans="1:7">
      <c r="A3439" t="s">
        <v>26327</v>
      </c>
      <c r="B3439" t="s">
        <v>8607</v>
      </c>
      <c r="C3439" t="s">
        <v>26107</v>
      </c>
      <c r="F3439" t="s">
        <v>26108</v>
      </c>
      <c r="G3439" t="s">
        <v>26328</v>
      </c>
    </row>
    <row r="3440" spans="1:7">
      <c r="A3440" t="s">
        <v>26329</v>
      </c>
      <c r="B3440" t="s">
        <v>8607</v>
      </c>
      <c r="F3440" t="s">
        <v>17327</v>
      </c>
      <c r="G3440" t="s">
        <v>26330</v>
      </c>
    </row>
    <row r="3441" spans="1:7">
      <c r="A3441" t="s">
        <v>26331</v>
      </c>
      <c r="B3441" t="s">
        <v>8626</v>
      </c>
      <c r="F3441" t="s">
        <v>26332</v>
      </c>
      <c r="G3441" t="s">
        <v>26333</v>
      </c>
    </row>
    <row r="3442" spans="1:7">
      <c r="A3442" t="s">
        <v>26334</v>
      </c>
      <c r="B3442" t="s">
        <v>8607</v>
      </c>
      <c r="F3442" t="s">
        <v>26163</v>
      </c>
      <c r="G3442" t="s">
        <v>26164</v>
      </c>
    </row>
    <row r="3443" spans="1:7">
      <c r="A3443" t="s">
        <v>26335</v>
      </c>
      <c r="B3443" t="s">
        <v>8607</v>
      </c>
      <c r="F3443" t="s">
        <v>26207</v>
      </c>
      <c r="G3443" t="s">
        <v>26208</v>
      </c>
    </row>
    <row r="3444" spans="1:7">
      <c r="A3444" t="s">
        <v>26336</v>
      </c>
      <c r="B3444" t="s">
        <v>8607</v>
      </c>
      <c r="G3444" t="s">
        <v>26210</v>
      </c>
    </row>
    <row r="3445" spans="1:7">
      <c r="A3445" t="s">
        <v>26337</v>
      </c>
      <c r="B3445" t="s">
        <v>8607</v>
      </c>
      <c r="F3445" t="s">
        <v>26212</v>
      </c>
      <c r="G3445" t="s">
        <v>26213</v>
      </c>
    </row>
    <row r="3446" spans="1:7">
      <c r="A3446" t="s">
        <v>26338</v>
      </c>
      <c r="B3446" t="s">
        <v>8607</v>
      </c>
      <c r="F3446" t="s">
        <v>17349</v>
      </c>
      <c r="G3446" t="s">
        <v>26339</v>
      </c>
    </row>
    <row r="3447" spans="1:7">
      <c r="A3447" t="s">
        <v>26340</v>
      </c>
      <c r="B3447" t="s">
        <v>8607</v>
      </c>
      <c r="G3447" t="s">
        <v>26341</v>
      </c>
    </row>
    <row r="3448" spans="1:7">
      <c r="A3448" t="s">
        <v>26342</v>
      </c>
      <c r="B3448" t="s">
        <v>8607</v>
      </c>
      <c r="F3448" t="s">
        <v>26343</v>
      </c>
      <c r="G3448" t="s">
        <v>26344</v>
      </c>
    </row>
    <row r="3449" spans="1:7">
      <c r="A3449" t="s">
        <v>26345</v>
      </c>
      <c r="B3449" t="s">
        <v>8607</v>
      </c>
      <c r="F3449" t="s">
        <v>26179</v>
      </c>
      <c r="G3449" t="s">
        <v>26346</v>
      </c>
    </row>
    <row r="3450" spans="1:7">
      <c r="A3450" t="s">
        <v>26347</v>
      </c>
      <c r="B3450" t="s">
        <v>8607</v>
      </c>
      <c r="G3450" t="s">
        <v>26348</v>
      </c>
    </row>
    <row r="3451" spans="1:7">
      <c r="A3451" t="s">
        <v>26349</v>
      </c>
      <c r="B3451" t="s">
        <v>8626</v>
      </c>
      <c r="F3451" t="s">
        <v>11334</v>
      </c>
      <c r="G3451" t="s">
        <v>19098</v>
      </c>
    </row>
    <row r="3452" spans="1:7">
      <c r="A3452" t="s">
        <v>26350</v>
      </c>
      <c r="B3452" t="s">
        <v>8607</v>
      </c>
      <c r="F3452" t="s">
        <v>26268</v>
      </c>
      <c r="G3452" t="s">
        <v>26269</v>
      </c>
    </row>
    <row r="3453" spans="1:7">
      <c r="A3453" t="s">
        <v>26351</v>
      </c>
      <c r="B3453" t="s">
        <v>8607</v>
      </c>
      <c r="G3453" t="s">
        <v>19381</v>
      </c>
    </row>
    <row r="3454" spans="1:7">
      <c r="A3454" t="s">
        <v>26352</v>
      </c>
      <c r="B3454" t="s">
        <v>8607</v>
      </c>
      <c r="G3454" t="s">
        <v>26353</v>
      </c>
    </row>
    <row r="3455" spans="1:7">
      <c r="A3455" t="s">
        <v>26354</v>
      </c>
      <c r="B3455" t="s">
        <v>8607</v>
      </c>
      <c r="G3455" t="s">
        <v>26355</v>
      </c>
    </row>
    <row r="3456" spans="1:7">
      <c r="A3456" t="s">
        <v>26356</v>
      </c>
      <c r="B3456" t="s">
        <v>8626</v>
      </c>
      <c r="G3456" t="s">
        <v>17499</v>
      </c>
    </row>
    <row r="3457" spans="1:7">
      <c r="A3457" t="s">
        <v>26357</v>
      </c>
      <c r="B3457" t="s">
        <v>8607</v>
      </c>
      <c r="F3457" t="s">
        <v>26358</v>
      </c>
      <c r="G3457" t="s">
        <v>26359</v>
      </c>
    </row>
    <row r="3458" spans="1:7">
      <c r="A3458" t="s">
        <v>26360</v>
      </c>
      <c r="B3458" t="s">
        <v>8607</v>
      </c>
      <c r="G3458" t="s">
        <v>26361</v>
      </c>
    </row>
    <row r="3459" spans="1:7">
      <c r="A3459" t="s">
        <v>26362</v>
      </c>
      <c r="B3459" t="s">
        <v>8607</v>
      </c>
      <c r="F3459" t="s">
        <v>12862</v>
      </c>
      <c r="G3459" t="s">
        <v>26363</v>
      </c>
    </row>
    <row r="3460" spans="1:7">
      <c r="A3460" t="s">
        <v>26364</v>
      </c>
      <c r="B3460" t="s">
        <v>8607</v>
      </c>
      <c r="F3460" t="s">
        <v>26365</v>
      </c>
      <c r="G3460" t="s">
        <v>26366</v>
      </c>
    </row>
    <row r="3461" spans="1:7">
      <c r="A3461" t="s">
        <v>26367</v>
      </c>
      <c r="B3461" t="s">
        <v>8607</v>
      </c>
      <c r="F3461" t="s">
        <v>26287</v>
      </c>
      <c r="G3461" t="s">
        <v>26288</v>
      </c>
    </row>
    <row r="3462" spans="1:7">
      <c r="A3462" t="s">
        <v>26368</v>
      </c>
      <c r="B3462" t="s">
        <v>8607</v>
      </c>
      <c r="C3462" t="s">
        <v>26290</v>
      </c>
      <c r="F3462" t="s">
        <v>26291</v>
      </c>
      <c r="G3462" t="s">
        <v>26292</v>
      </c>
    </row>
    <row r="3463" spans="1:7">
      <c r="A3463" t="s">
        <v>26369</v>
      </c>
      <c r="B3463" t="s">
        <v>8607</v>
      </c>
      <c r="G3463" t="s">
        <v>26123</v>
      </c>
    </row>
    <row r="3464" spans="1:7">
      <c r="A3464" t="s">
        <v>26370</v>
      </c>
      <c r="B3464" t="s">
        <v>8626</v>
      </c>
      <c r="F3464" t="s">
        <v>12216</v>
      </c>
      <c r="G3464" t="s">
        <v>26161</v>
      </c>
    </row>
    <row r="3465" spans="1:7">
      <c r="A3465" t="s">
        <v>26371</v>
      </c>
      <c r="B3465" t="s">
        <v>8626</v>
      </c>
      <c r="F3465" t="s">
        <v>8629</v>
      </c>
      <c r="G3465" t="s">
        <v>26372</v>
      </c>
    </row>
    <row r="3466" spans="1:7">
      <c r="A3466" t="s">
        <v>26373</v>
      </c>
      <c r="B3466" t="s">
        <v>8607</v>
      </c>
      <c r="F3466" t="s">
        <v>26374</v>
      </c>
      <c r="G3466" t="s">
        <v>26375</v>
      </c>
    </row>
    <row r="3467" spans="1:7">
      <c r="A3467" t="s">
        <v>26376</v>
      </c>
      <c r="B3467" t="s">
        <v>8607</v>
      </c>
      <c r="F3467" t="s">
        <v>26374</v>
      </c>
      <c r="G3467" t="s">
        <v>26377</v>
      </c>
    </row>
    <row r="3468" spans="1:7">
      <c r="A3468" t="s">
        <v>26378</v>
      </c>
      <c r="B3468" t="s">
        <v>8626</v>
      </c>
      <c r="F3468" t="s">
        <v>8623</v>
      </c>
      <c r="G3468" t="s">
        <v>26379</v>
      </c>
    </row>
    <row r="3469" spans="1:7">
      <c r="A3469" t="s">
        <v>26380</v>
      </c>
      <c r="B3469" t="s">
        <v>8626</v>
      </c>
      <c r="G3469" t="s">
        <v>26381</v>
      </c>
    </row>
    <row r="3470" spans="1:7">
      <c r="A3470" t="s">
        <v>26382</v>
      </c>
      <c r="B3470" t="s">
        <v>8626</v>
      </c>
      <c r="F3470" t="s">
        <v>26094</v>
      </c>
      <c r="G3470" t="s">
        <v>26383</v>
      </c>
    </row>
    <row r="3471" spans="1:7">
      <c r="A3471" t="s">
        <v>26384</v>
      </c>
      <c r="B3471" t="s">
        <v>8607</v>
      </c>
      <c r="C3471" t="s">
        <v>20125</v>
      </c>
      <c r="F3471" t="s">
        <v>15811</v>
      </c>
      <c r="G3471" t="s">
        <v>26385</v>
      </c>
    </row>
    <row r="3472" spans="1:7">
      <c r="A3472" t="s">
        <v>26386</v>
      </c>
      <c r="B3472" t="s">
        <v>8607</v>
      </c>
      <c r="F3472" t="s">
        <v>26173</v>
      </c>
      <c r="G3472" t="s">
        <v>26387</v>
      </c>
    </row>
    <row r="3473" spans="1:7">
      <c r="A3473" t="s">
        <v>26388</v>
      </c>
      <c r="B3473" t="s">
        <v>8607</v>
      </c>
      <c r="C3473" t="s">
        <v>26119</v>
      </c>
      <c r="F3473" t="s">
        <v>26120</v>
      </c>
      <c r="G3473" t="s">
        <v>26121</v>
      </c>
    </row>
    <row r="3474" spans="1:7">
      <c r="A3474" t="s">
        <v>26389</v>
      </c>
      <c r="B3474" t="s">
        <v>8607</v>
      </c>
      <c r="G3474" t="s">
        <v>26390</v>
      </c>
    </row>
    <row r="3475" spans="1:7">
      <c r="A3475" t="s">
        <v>26391</v>
      </c>
      <c r="C3475" t="s">
        <v>26392</v>
      </c>
      <c r="G3475" t="s">
        <v>26393</v>
      </c>
    </row>
    <row r="3476" spans="1:7">
      <c r="A3476" t="s">
        <v>26394</v>
      </c>
      <c r="B3476" t="s">
        <v>8607</v>
      </c>
      <c r="F3476" t="s">
        <v>8623</v>
      </c>
      <c r="G3476" t="s">
        <v>26395</v>
      </c>
    </row>
    <row r="3477" spans="1:7">
      <c r="A3477" t="s">
        <v>26396</v>
      </c>
      <c r="B3477" t="s">
        <v>8607</v>
      </c>
      <c r="G3477" t="s">
        <v>26397</v>
      </c>
    </row>
    <row r="3478" spans="1:7">
      <c r="A3478" t="s">
        <v>26398</v>
      </c>
      <c r="B3478" t="s">
        <v>8626</v>
      </c>
      <c r="F3478" t="s">
        <v>26399</v>
      </c>
      <c r="G3478" t="s">
        <v>26400</v>
      </c>
    </row>
    <row r="3479" spans="1:7">
      <c r="A3479" t="s">
        <v>26401</v>
      </c>
      <c r="B3479" t="s">
        <v>8626</v>
      </c>
      <c r="F3479" t="s">
        <v>8623</v>
      </c>
      <c r="G3479" t="s">
        <v>24297</v>
      </c>
    </row>
    <row r="3480" spans="1:7">
      <c r="A3480" t="s">
        <v>26402</v>
      </c>
      <c r="B3480" t="s">
        <v>8607</v>
      </c>
      <c r="G3480" t="s">
        <v>26403</v>
      </c>
    </row>
    <row r="3481" spans="1:7">
      <c r="A3481" t="s">
        <v>26404</v>
      </c>
      <c r="B3481" t="s">
        <v>8607</v>
      </c>
      <c r="F3481" t="s">
        <v>8623</v>
      </c>
      <c r="G3481" t="s">
        <v>26405</v>
      </c>
    </row>
    <row r="3482" spans="1:7">
      <c r="A3482" t="s">
        <v>26406</v>
      </c>
      <c r="B3482" t="s">
        <v>8607</v>
      </c>
      <c r="F3482" t="s">
        <v>26148</v>
      </c>
      <c r="G3482" t="s">
        <v>26407</v>
      </c>
    </row>
    <row r="3483" spans="1:7">
      <c r="A3483" t="s">
        <v>26408</v>
      </c>
      <c r="B3483" t="s">
        <v>8607</v>
      </c>
      <c r="F3483" t="s">
        <v>26148</v>
      </c>
      <c r="G3483" t="s">
        <v>26409</v>
      </c>
    </row>
    <row r="3484" spans="1:7">
      <c r="A3484" t="s">
        <v>26410</v>
      </c>
      <c r="B3484" t="s">
        <v>8607</v>
      </c>
      <c r="F3484" t="s">
        <v>26148</v>
      </c>
      <c r="G3484" t="s">
        <v>26411</v>
      </c>
    </row>
    <row r="3485" spans="1:7">
      <c r="A3485" t="s">
        <v>26412</v>
      </c>
      <c r="B3485" t="s">
        <v>8626</v>
      </c>
      <c r="F3485" t="s">
        <v>26116</v>
      </c>
      <c r="G3485" t="s">
        <v>26413</v>
      </c>
    </row>
    <row r="3486" spans="1:7">
      <c r="A3486" t="s">
        <v>26414</v>
      </c>
      <c r="B3486" t="s">
        <v>8607</v>
      </c>
      <c r="F3486" t="s">
        <v>17760</v>
      </c>
      <c r="G3486" t="s">
        <v>26415</v>
      </c>
    </row>
    <row r="3487" spans="1:7">
      <c r="A3487" t="s">
        <v>26416</v>
      </c>
      <c r="B3487" t="s">
        <v>8626</v>
      </c>
      <c r="F3487" t="s">
        <v>26417</v>
      </c>
      <c r="G3487" t="s">
        <v>26418</v>
      </c>
    </row>
    <row r="3488" spans="1:7">
      <c r="A3488" t="s">
        <v>26419</v>
      </c>
      <c r="B3488" t="s">
        <v>8626</v>
      </c>
      <c r="F3488" t="s">
        <v>26420</v>
      </c>
      <c r="G3488" t="s">
        <v>26421</v>
      </c>
    </row>
    <row r="3489" spans="1:7">
      <c r="A3489" t="s">
        <v>26422</v>
      </c>
      <c r="B3489" t="s">
        <v>8607</v>
      </c>
      <c r="G3489" t="s">
        <v>26423</v>
      </c>
    </row>
    <row r="3490" spans="1:7">
      <c r="A3490" t="s">
        <v>26424</v>
      </c>
      <c r="B3490" t="s">
        <v>8607</v>
      </c>
      <c r="F3490" t="s">
        <v>26425</v>
      </c>
      <c r="G3490" t="s">
        <v>26426</v>
      </c>
    </row>
    <row r="3491" spans="1:7">
      <c r="A3491" t="s">
        <v>26427</v>
      </c>
      <c r="B3491" t="s">
        <v>8607</v>
      </c>
      <c r="F3491" t="s">
        <v>19172</v>
      </c>
      <c r="G3491" t="s">
        <v>19451</v>
      </c>
    </row>
    <row r="3492" spans="1:7">
      <c r="A3492" t="s">
        <v>26428</v>
      </c>
      <c r="B3492" t="s">
        <v>8607</v>
      </c>
      <c r="G3492" t="s">
        <v>26429</v>
      </c>
    </row>
    <row r="3493" spans="1:7">
      <c r="A3493" t="s">
        <v>26430</v>
      </c>
      <c r="B3493" t="s">
        <v>8607</v>
      </c>
      <c r="F3493" t="s">
        <v>26212</v>
      </c>
      <c r="G3493" t="s">
        <v>26431</v>
      </c>
    </row>
    <row r="3494" spans="1:7">
      <c r="A3494" t="s">
        <v>26432</v>
      </c>
      <c r="B3494" t="s">
        <v>8607</v>
      </c>
      <c r="F3494" t="s">
        <v>17349</v>
      </c>
      <c r="G3494" t="s">
        <v>26433</v>
      </c>
    </row>
    <row r="3495" spans="1:7">
      <c r="A3495" t="s">
        <v>26434</v>
      </c>
      <c r="B3495" t="s">
        <v>8626</v>
      </c>
      <c r="G3495" t="s">
        <v>26435</v>
      </c>
    </row>
    <row r="3496" spans="1:7">
      <c r="A3496" t="s">
        <v>26436</v>
      </c>
      <c r="B3496" t="s">
        <v>8607</v>
      </c>
      <c r="F3496" t="s">
        <v>17349</v>
      </c>
      <c r="G3496" t="s">
        <v>26433</v>
      </c>
    </row>
    <row r="3497" spans="1:7">
      <c r="A3497" t="s">
        <v>26437</v>
      </c>
      <c r="B3497" t="s">
        <v>8607</v>
      </c>
      <c r="F3497" t="s">
        <v>26299</v>
      </c>
      <c r="G3497" t="s">
        <v>26438</v>
      </c>
    </row>
    <row r="3498" spans="1:7">
      <c r="A3498" t="s">
        <v>26439</v>
      </c>
      <c r="B3498" t="s">
        <v>8607</v>
      </c>
      <c r="F3498" t="s">
        <v>11334</v>
      </c>
      <c r="G3498" t="s">
        <v>17247</v>
      </c>
    </row>
    <row r="3499" spans="1:7">
      <c r="A3499" t="s">
        <v>26440</v>
      </c>
      <c r="B3499" t="s">
        <v>8626</v>
      </c>
      <c r="F3499" t="s">
        <v>26268</v>
      </c>
      <c r="G3499" t="s">
        <v>26441</v>
      </c>
    </row>
    <row r="3500" spans="1:7">
      <c r="A3500" t="s">
        <v>26442</v>
      </c>
      <c r="B3500" t="s">
        <v>8626</v>
      </c>
      <c r="F3500" t="s">
        <v>8623</v>
      </c>
      <c r="G3500" t="s">
        <v>26443</v>
      </c>
    </row>
    <row r="3501" spans="1:7">
      <c r="A3501" t="s">
        <v>26444</v>
      </c>
      <c r="B3501" t="s">
        <v>8607</v>
      </c>
      <c r="G3501" t="s">
        <v>26445</v>
      </c>
    </row>
    <row r="3502" spans="1:7">
      <c r="A3502" t="s">
        <v>26446</v>
      </c>
      <c r="B3502" t="s">
        <v>8626</v>
      </c>
      <c r="G3502" t="s">
        <v>26447</v>
      </c>
    </row>
    <row r="3503" spans="1:7">
      <c r="A3503" t="s">
        <v>26448</v>
      </c>
      <c r="B3503" t="s">
        <v>8607</v>
      </c>
      <c r="F3503" t="s">
        <v>26449</v>
      </c>
      <c r="G3503" t="s">
        <v>26450</v>
      </c>
    </row>
    <row r="3504" spans="1:7">
      <c r="A3504" t="s">
        <v>26451</v>
      </c>
      <c r="B3504" t="s">
        <v>8607</v>
      </c>
      <c r="F3504" t="s">
        <v>26452</v>
      </c>
      <c r="G3504" t="s">
        <v>26453</v>
      </c>
    </row>
    <row r="3505" spans="1:7">
      <c r="A3505" t="s">
        <v>26454</v>
      </c>
      <c r="B3505" t="s">
        <v>8607</v>
      </c>
      <c r="F3505" t="s">
        <v>17246</v>
      </c>
      <c r="G3505" t="s">
        <v>26455</v>
      </c>
    </row>
    <row r="3506" spans="1:7">
      <c r="A3506" t="s">
        <v>26456</v>
      </c>
      <c r="B3506" t="s">
        <v>8607</v>
      </c>
      <c r="F3506" t="s">
        <v>26148</v>
      </c>
      <c r="G3506" t="s">
        <v>26457</v>
      </c>
    </row>
    <row r="3507" spans="1:7">
      <c r="A3507" t="s">
        <v>26458</v>
      </c>
      <c r="B3507" t="s">
        <v>8607</v>
      </c>
      <c r="F3507" t="s">
        <v>26148</v>
      </c>
      <c r="G3507" t="s">
        <v>26459</v>
      </c>
    </row>
    <row r="3508" spans="1:7">
      <c r="A3508" t="s">
        <v>26460</v>
      </c>
      <c r="B3508" t="s">
        <v>8607</v>
      </c>
      <c r="F3508" t="s">
        <v>26148</v>
      </c>
      <c r="G3508" t="s">
        <v>26409</v>
      </c>
    </row>
    <row r="3509" spans="1:7">
      <c r="A3509" t="s">
        <v>26461</v>
      </c>
      <c r="B3509" t="s">
        <v>8626</v>
      </c>
      <c r="F3509" t="s">
        <v>26116</v>
      </c>
      <c r="G3509" t="s">
        <v>26413</v>
      </c>
    </row>
    <row r="3510" spans="1:7">
      <c r="A3510" t="s">
        <v>26462</v>
      </c>
      <c r="B3510" t="s">
        <v>8607</v>
      </c>
      <c r="F3510" t="s">
        <v>19380</v>
      </c>
      <c r="G3510" t="s">
        <v>26463</v>
      </c>
    </row>
    <row r="3511" spans="1:7">
      <c r="A3511" t="s">
        <v>26464</v>
      </c>
      <c r="B3511" t="s">
        <v>8607</v>
      </c>
      <c r="F3511" t="s">
        <v>26465</v>
      </c>
      <c r="G3511" t="s">
        <v>26275</v>
      </c>
    </row>
    <row r="3512" spans="1:7">
      <c r="A3512" t="s">
        <v>26466</v>
      </c>
      <c r="B3512" t="s">
        <v>8607</v>
      </c>
      <c r="G3512" t="s">
        <v>26341</v>
      </c>
    </row>
    <row r="3513" spans="1:7">
      <c r="A3513" t="s">
        <v>26467</v>
      </c>
      <c r="B3513" t="s">
        <v>8607</v>
      </c>
      <c r="G3513" t="s">
        <v>26217</v>
      </c>
    </row>
    <row r="3514" spans="1:7">
      <c r="A3514" t="s">
        <v>26468</v>
      </c>
      <c r="B3514" t="s">
        <v>8607</v>
      </c>
      <c r="G3514" t="s">
        <v>26226</v>
      </c>
    </row>
    <row r="3515" spans="1:7">
      <c r="A3515" t="s">
        <v>26469</v>
      </c>
      <c r="B3515" t="s">
        <v>8607</v>
      </c>
      <c r="G3515" t="s">
        <v>26470</v>
      </c>
    </row>
    <row r="3516" spans="1:7">
      <c r="A3516" t="s">
        <v>26471</v>
      </c>
      <c r="B3516" t="s">
        <v>8607</v>
      </c>
      <c r="G3516" t="s">
        <v>26155</v>
      </c>
    </row>
    <row r="3517" spans="1:7">
      <c r="A3517" t="s">
        <v>26472</v>
      </c>
      <c r="B3517" t="s">
        <v>8607</v>
      </c>
      <c r="F3517" t="s">
        <v>26343</v>
      </c>
      <c r="G3517" t="s">
        <v>26344</v>
      </c>
    </row>
    <row r="3518" spans="1:7">
      <c r="A3518" t="s">
        <v>26473</v>
      </c>
      <c r="B3518" t="s">
        <v>8607</v>
      </c>
      <c r="F3518" t="s">
        <v>26474</v>
      </c>
      <c r="G3518" t="s">
        <v>26475</v>
      </c>
    </row>
    <row r="3519" spans="1:7">
      <c r="A3519" t="s">
        <v>26476</v>
      </c>
      <c r="B3519" t="s">
        <v>8607</v>
      </c>
      <c r="F3519" t="s">
        <v>17457</v>
      </c>
      <c r="G3519" t="s">
        <v>26477</v>
      </c>
    </row>
    <row r="3520" spans="1:7">
      <c r="A3520" t="s">
        <v>26478</v>
      </c>
      <c r="B3520" t="s">
        <v>8607</v>
      </c>
      <c r="C3520" t="s">
        <v>26479</v>
      </c>
      <c r="F3520" t="s">
        <v>9018</v>
      </c>
      <c r="G3520" t="s">
        <v>26480</v>
      </c>
    </row>
    <row r="3521" spans="1:7">
      <c r="A3521" t="s">
        <v>26481</v>
      </c>
      <c r="B3521" t="s">
        <v>8607</v>
      </c>
      <c r="G3521" t="s">
        <v>26482</v>
      </c>
    </row>
    <row r="3522" spans="1:7">
      <c r="A3522" t="s">
        <v>26483</v>
      </c>
      <c r="B3522" t="s">
        <v>8607</v>
      </c>
      <c r="G3522" t="s">
        <v>26355</v>
      </c>
    </row>
    <row r="3523" spans="1:7">
      <c r="A3523" t="s">
        <v>26484</v>
      </c>
      <c r="B3523" t="s">
        <v>8607</v>
      </c>
      <c r="F3523" t="s">
        <v>26485</v>
      </c>
      <c r="G3523" t="s">
        <v>26486</v>
      </c>
    </row>
    <row r="3524" spans="1:7">
      <c r="A3524" t="s">
        <v>26487</v>
      </c>
      <c r="B3524" t="s">
        <v>8607</v>
      </c>
      <c r="C3524" t="s">
        <v>26190</v>
      </c>
      <c r="F3524" t="s">
        <v>26191</v>
      </c>
      <c r="G3524" t="s">
        <v>26192</v>
      </c>
    </row>
    <row r="3525" spans="1:7">
      <c r="A3525" t="s">
        <v>26488</v>
      </c>
      <c r="B3525" t="s">
        <v>8607</v>
      </c>
      <c r="F3525" t="s">
        <v>26179</v>
      </c>
      <c r="G3525" t="s">
        <v>26346</v>
      </c>
    </row>
    <row r="3526" spans="1:7">
      <c r="A3526" t="s">
        <v>26489</v>
      </c>
      <c r="B3526" t="s">
        <v>8607</v>
      </c>
      <c r="G3526" t="s">
        <v>26403</v>
      </c>
    </row>
    <row r="3527" spans="1:7">
      <c r="A3527" t="s">
        <v>26490</v>
      </c>
      <c r="B3527" t="s">
        <v>8607</v>
      </c>
      <c r="G3527" t="s">
        <v>26169</v>
      </c>
    </row>
    <row r="3528" spans="1:7">
      <c r="A3528" t="s">
        <v>26491</v>
      </c>
      <c r="B3528" t="s">
        <v>8607</v>
      </c>
      <c r="C3528" t="s">
        <v>26107</v>
      </c>
      <c r="F3528" t="s">
        <v>26108</v>
      </c>
      <c r="G3528" t="s">
        <v>26492</v>
      </c>
    </row>
    <row r="3529" spans="1:7">
      <c r="A3529" t="s">
        <v>26493</v>
      </c>
      <c r="B3529" t="s">
        <v>8607</v>
      </c>
      <c r="F3529" t="s">
        <v>26494</v>
      </c>
      <c r="G3529" t="s">
        <v>26495</v>
      </c>
    </row>
    <row r="3530" spans="1:7">
      <c r="A3530" t="s">
        <v>26496</v>
      </c>
      <c r="B3530" t="s">
        <v>8607</v>
      </c>
      <c r="F3530" t="s">
        <v>9018</v>
      </c>
      <c r="G3530" t="s">
        <v>26497</v>
      </c>
    </row>
    <row r="3531" spans="1:7">
      <c r="A3531" t="s">
        <v>26498</v>
      </c>
      <c r="B3531" t="s">
        <v>8607</v>
      </c>
      <c r="F3531" t="s">
        <v>17429</v>
      </c>
      <c r="G3531" t="s">
        <v>26499</v>
      </c>
    </row>
    <row r="3532" spans="1:7">
      <c r="A3532" t="s">
        <v>26500</v>
      </c>
      <c r="B3532" t="s">
        <v>8607</v>
      </c>
      <c r="C3532" t="s">
        <v>26479</v>
      </c>
      <c r="F3532" t="s">
        <v>9018</v>
      </c>
      <c r="G3532" t="s">
        <v>26501</v>
      </c>
    </row>
    <row r="3533" spans="1:7">
      <c r="A3533" t="s">
        <v>26502</v>
      </c>
      <c r="B3533" t="s">
        <v>8607</v>
      </c>
      <c r="C3533" t="s">
        <v>24008</v>
      </c>
      <c r="F3533" t="s">
        <v>17305</v>
      </c>
      <c r="G3533" t="s">
        <v>26503</v>
      </c>
    </row>
    <row r="3534" spans="1:7">
      <c r="A3534" t="s">
        <v>26504</v>
      </c>
      <c r="B3534" t="s">
        <v>8607</v>
      </c>
      <c r="F3534" t="s">
        <v>26505</v>
      </c>
      <c r="G3534" t="s">
        <v>26506</v>
      </c>
    </row>
    <row r="3535" spans="1:7">
      <c r="A3535" t="s">
        <v>26507</v>
      </c>
      <c r="B3535" t="s">
        <v>8607</v>
      </c>
      <c r="C3535" t="s">
        <v>26508</v>
      </c>
      <c r="F3535" t="s">
        <v>22864</v>
      </c>
      <c r="G3535" t="s">
        <v>26509</v>
      </c>
    </row>
    <row r="3536" spans="1:7">
      <c r="A3536" t="s">
        <v>26510</v>
      </c>
      <c r="B3536" t="s">
        <v>8626</v>
      </c>
      <c r="C3536" t="s">
        <v>26479</v>
      </c>
      <c r="F3536" t="s">
        <v>9018</v>
      </c>
      <c r="G3536" t="s">
        <v>26511</v>
      </c>
    </row>
    <row r="3537" spans="1:7">
      <c r="A3537" t="s">
        <v>26512</v>
      </c>
      <c r="B3537" t="s">
        <v>8607</v>
      </c>
      <c r="F3537" t="s">
        <v>26513</v>
      </c>
      <c r="G3537" t="s">
        <v>26514</v>
      </c>
    </row>
    <row r="3538" spans="1:7">
      <c r="A3538" t="s">
        <v>26515</v>
      </c>
      <c r="B3538" t="s">
        <v>8626</v>
      </c>
      <c r="F3538" t="s">
        <v>26516</v>
      </c>
      <c r="G3538" t="s">
        <v>26517</v>
      </c>
    </row>
    <row r="3539" spans="1:7">
      <c r="A3539" t="s">
        <v>26518</v>
      </c>
      <c r="B3539" t="s">
        <v>8607</v>
      </c>
      <c r="F3539" t="s">
        <v>26519</v>
      </c>
      <c r="G3539" t="s">
        <v>26520</v>
      </c>
    </row>
    <row r="3540" spans="1:7">
      <c r="A3540" t="s">
        <v>26521</v>
      </c>
      <c r="B3540" t="s">
        <v>8607</v>
      </c>
      <c r="F3540" t="s">
        <v>12862</v>
      </c>
      <c r="G3540" t="s">
        <v>26522</v>
      </c>
    </row>
    <row r="3541" spans="1:7">
      <c r="A3541" t="s">
        <v>26523</v>
      </c>
      <c r="B3541" t="s">
        <v>8607</v>
      </c>
      <c r="G3541" t="s">
        <v>26217</v>
      </c>
    </row>
    <row r="3542" spans="1:7">
      <c r="A3542" t="s">
        <v>26524</v>
      </c>
      <c r="B3542" t="s">
        <v>8607</v>
      </c>
      <c r="F3542" t="s">
        <v>26494</v>
      </c>
      <c r="G3542" t="s">
        <v>26525</v>
      </c>
    </row>
    <row r="3543" spans="1:7">
      <c r="A3543" t="s">
        <v>26526</v>
      </c>
      <c r="B3543" t="s">
        <v>8607</v>
      </c>
      <c r="F3543" t="s">
        <v>9018</v>
      </c>
      <c r="G3543" t="s">
        <v>26527</v>
      </c>
    </row>
    <row r="3544" spans="1:7">
      <c r="A3544" t="s">
        <v>26528</v>
      </c>
      <c r="G3544" t="s">
        <v>26529</v>
      </c>
    </row>
    <row r="3545" spans="1:7">
      <c r="A3545" t="s">
        <v>26530</v>
      </c>
      <c r="B3545" t="s">
        <v>8607</v>
      </c>
      <c r="F3545" t="s">
        <v>26531</v>
      </c>
      <c r="G3545" t="s">
        <v>26532</v>
      </c>
    </row>
    <row r="3546" spans="1:7">
      <c r="A3546" t="s">
        <v>26533</v>
      </c>
      <c r="B3546" t="s">
        <v>8607</v>
      </c>
      <c r="F3546" t="s">
        <v>26204</v>
      </c>
      <c r="G3546" t="s">
        <v>26534</v>
      </c>
    </row>
    <row r="3547" spans="1:7">
      <c r="A3547" t="s">
        <v>26535</v>
      </c>
      <c r="B3547" t="s">
        <v>8607</v>
      </c>
      <c r="F3547" t="s">
        <v>26204</v>
      </c>
      <c r="G3547" t="s">
        <v>26205</v>
      </c>
    </row>
    <row r="3548" spans="1:7">
      <c r="A3548" t="s">
        <v>26536</v>
      </c>
      <c r="B3548" t="s">
        <v>8607</v>
      </c>
      <c r="F3548" t="s">
        <v>18361</v>
      </c>
      <c r="G3548" t="s">
        <v>26537</v>
      </c>
    </row>
    <row r="3549" spans="1:7">
      <c r="A3549" t="s">
        <v>26538</v>
      </c>
      <c r="B3549" t="s">
        <v>8626</v>
      </c>
      <c r="G3549" t="s">
        <v>26539</v>
      </c>
    </row>
    <row r="3550" spans="1:7">
      <c r="A3550" t="s">
        <v>26540</v>
      </c>
      <c r="B3550" t="s">
        <v>8626</v>
      </c>
      <c r="G3550" t="s">
        <v>26539</v>
      </c>
    </row>
    <row r="3551" spans="1:7">
      <c r="A3551" t="s">
        <v>26541</v>
      </c>
      <c r="B3551" t="s">
        <v>8626</v>
      </c>
      <c r="G3551" t="s">
        <v>26542</v>
      </c>
    </row>
    <row r="3552" spans="1:7">
      <c r="A3552" t="s">
        <v>26543</v>
      </c>
      <c r="B3552" t="s">
        <v>8626</v>
      </c>
      <c r="C3552" t="s">
        <v>26544</v>
      </c>
      <c r="F3552" t="s">
        <v>8623</v>
      </c>
      <c r="G3552" t="s">
        <v>26545</v>
      </c>
    </row>
    <row r="3553" spans="1:7">
      <c r="A3553" t="s">
        <v>26546</v>
      </c>
      <c r="B3553" t="s">
        <v>8626</v>
      </c>
      <c r="F3553" t="s">
        <v>26547</v>
      </c>
      <c r="G3553" t="s">
        <v>26548</v>
      </c>
    </row>
    <row r="3554" spans="1:7">
      <c r="A3554" t="s">
        <v>26549</v>
      </c>
      <c r="B3554" t="s">
        <v>8607</v>
      </c>
      <c r="F3554" t="s">
        <v>26550</v>
      </c>
      <c r="G3554" t="s">
        <v>26551</v>
      </c>
    </row>
    <row r="3555" spans="1:7">
      <c r="A3555" t="s">
        <v>26552</v>
      </c>
      <c r="G3555" t="s">
        <v>26553</v>
      </c>
    </row>
    <row r="3556" spans="1:7">
      <c r="A3556" t="s">
        <v>26554</v>
      </c>
      <c r="B3556" t="s">
        <v>8626</v>
      </c>
      <c r="F3556" t="s">
        <v>26555</v>
      </c>
      <c r="G3556" t="s">
        <v>26556</v>
      </c>
    </row>
    <row r="3557" spans="1:7">
      <c r="A3557" t="s">
        <v>26557</v>
      </c>
      <c r="B3557" t="s">
        <v>8626</v>
      </c>
      <c r="F3557" t="s">
        <v>26558</v>
      </c>
      <c r="G3557" t="s">
        <v>26559</v>
      </c>
    </row>
    <row r="3558" spans="1:7">
      <c r="A3558" t="s">
        <v>26560</v>
      </c>
      <c r="B3558" t="s">
        <v>8626</v>
      </c>
      <c r="F3558" t="s">
        <v>17349</v>
      </c>
      <c r="G3558" t="s">
        <v>26561</v>
      </c>
    </row>
    <row r="3559" spans="1:7">
      <c r="A3559" t="s">
        <v>26562</v>
      </c>
      <c r="B3559" t="s">
        <v>8607</v>
      </c>
      <c r="G3559" t="s">
        <v>26563</v>
      </c>
    </row>
    <row r="3560" spans="1:7">
      <c r="A3560" t="s">
        <v>26564</v>
      </c>
      <c r="B3560" t="s">
        <v>8607</v>
      </c>
      <c r="F3560" t="s">
        <v>26555</v>
      </c>
      <c r="G3560" t="s">
        <v>26565</v>
      </c>
    </row>
    <row r="3561" spans="1:7">
      <c r="A3561" t="s">
        <v>26566</v>
      </c>
      <c r="B3561" t="s">
        <v>8626</v>
      </c>
      <c r="F3561" t="s">
        <v>26558</v>
      </c>
      <c r="G3561" t="s">
        <v>26559</v>
      </c>
    </row>
    <row r="3562" spans="1:7">
      <c r="A3562" t="s">
        <v>26567</v>
      </c>
      <c r="B3562" t="s">
        <v>8626</v>
      </c>
      <c r="F3562" t="s">
        <v>17349</v>
      </c>
      <c r="G3562" t="s">
        <v>26561</v>
      </c>
    </row>
    <row r="3563" spans="1:7">
      <c r="A3563" t="s">
        <v>26568</v>
      </c>
      <c r="B3563" t="s">
        <v>8607</v>
      </c>
      <c r="G3563" t="s">
        <v>26563</v>
      </c>
    </row>
    <row r="3564" spans="1:7">
      <c r="A3564" t="s">
        <v>26569</v>
      </c>
      <c r="B3564" t="s">
        <v>8607</v>
      </c>
      <c r="G3564" t="s">
        <v>26570</v>
      </c>
    </row>
    <row r="3565" spans="1:7">
      <c r="A3565" t="s">
        <v>26571</v>
      </c>
      <c r="B3565" t="s">
        <v>8607</v>
      </c>
      <c r="G3565" t="s">
        <v>26572</v>
      </c>
    </row>
    <row r="3566" spans="1:7">
      <c r="A3566" t="s">
        <v>26573</v>
      </c>
      <c r="B3566" t="s">
        <v>8626</v>
      </c>
      <c r="G3566" t="s">
        <v>26574</v>
      </c>
    </row>
    <row r="3567" spans="1:7">
      <c r="A3567" t="s">
        <v>26575</v>
      </c>
      <c r="B3567" t="s">
        <v>8607</v>
      </c>
      <c r="G3567" t="s">
        <v>26576</v>
      </c>
    </row>
    <row r="3568" spans="1:7">
      <c r="A3568" t="s">
        <v>26577</v>
      </c>
      <c r="B3568" t="s">
        <v>8607</v>
      </c>
      <c r="G3568" t="s">
        <v>10812</v>
      </c>
    </row>
    <row r="3569" spans="1:7">
      <c r="A3569" t="s">
        <v>26578</v>
      </c>
      <c r="B3569" t="s">
        <v>8607</v>
      </c>
      <c r="G3569" t="s">
        <v>26326</v>
      </c>
    </row>
    <row r="3570" spans="1:7">
      <c r="A3570" t="s">
        <v>26579</v>
      </c>
      <c r="B3570" t="s">
        <v>8607</v>
      </c>
      <c r="C3570" t="s">
        <v>26107</v>
      </c>
      <c r="F3570" t="s">
        <v>26108</v>
      </c>
      <c r="G3570" t="s">
        <v>26328</v>
      </c>
    </row>
    <row r="3571" spans="1:7">
      <c r="A3571" t="s">
        <v>26580</v>
      </c>
      <c r="B3571" t="s">
        <v>8607</v>
      </c>
      <c r="F3571" t="s">
        <v>26176</v>
      </c>
      <c r="G3571" t="s">
        <v>26177</v>
      </c>
    </row>
    <row r="3572" spans="1:7">
      <c r="A3572" t="s">
        <v>26581</v>
      </c>
      <c r="B3572" t="s">
        <v>8607</v>
      </c>
      <c r="C3572" t="s">
        <v>24690</v>
      </c>
      <c r="F3572" t="s">
        <v>8623</v>
      </c>
      <c r="G3572" t="s">
        <v>10704</v>
      </c>
    </row>
    <row r="3573" spans="1:7">
      <c r="A3573" t="s">
        <v>26582</v>
      </c>
      <c r="B3573" t="s">
        <v>8626</v>
      </c>
      <c r="C3573" t="s">
        <v>26583</v>
      </c>
      <c r="F3573" t="s">
        <v>26584</v>
      </c>
      <c r="G3573" t="s">
        <v>26585</v>
      </c>
    </row>
    <row r="3574" spans="1:7">
      <c r="A3574" t="s">
        <v>26586</v>
      </c>
      <c r="B3574" t="s">
        <v>8626</v>
      </c>
      <c r="C3574" t="s">
        <v>26583</v>
      </c>
      <c r="F3574" t="s">
        <v>26584</v>
      </c>
      <c r="G3574" t="s">
        <v>26585</v>
      </c>
    </row>
    <row r="3575" spans="1:7">
      <c r="A3575" t="s">
        <v>26587</v>
      </c>
      <c r="B3575" t="s">
        <v>8607</v>
      </c>
      <c r="F3575" t="s">
        <v>26588</v>
      </c>
      <c r="G3575" t="s">
        <v>26589</v>
      </c>
    </row>
    <row r="3576" spans="1:7">
      <c r="A3576" t="s">
        <v>26590</v>
      </c>
      <c r="B3576" t="s">
        <v>8607</v>
      </c>
      <c r="C3576" t="s">
        <v>26591</v>
      </c>
      <c r="F3576" t="s">
        <v>9018</v>
      </c>
      <c r="G3576" t="s">
        <v>26592</v>
      </c>
    </row>
    <row r="3577" spans="1:7">
      <c r="A3577" t="s">
        <v>26593</v>
      </c>
      <c r="B3577" t="s">
        <v>8607</v>
      </c>
      <c r="F3577" t="s">
        <v>17457</v>
      </c>
      <c r="G3577" t="s">
        <v>26594</v>
      </c>
    </row>
    <row r="3578" spans="1:7">
      <c r="A3578" t="s">
        <v>26595</v>
      </c>
      <c r="B3578" t="s">
        <v>8607</v>
      </c>
      <c r="F3578" t="s">
        <v>26596</v>
      </c>
      <c r="G3578" t="s">
        <v>26597</v>
      </c>
    </row>
    <row r="3579" spans="1:7">
      <c r="A3579" t="s">
        <v>26598</v>
      </c>
      <c r="B3579" t="s">
        <v>8626</v>
      </c>
      <c r="G3579" t="s">
        <v>26599</v>
      </c>
    </row>
    <row r="3580" spans="1:7">
      <c r="A3580" t="s">
        <v>26600</v>
      </c>
      <c r="B3580" t="s">
        <v>8607</v>
      </c>
      <c r="C3580" t="s">
        <v>26601</v>
      </c>
      <c r="F3580" t="s">
        <v>26602</v>
      </c>
      <c r="G3580" t="s">
        <v>26603</v>
      </c>
    </row>
    <row r="3581" spans="1:7">
      <c r="A3581" t="s">
        <v>26604</v>
      </c>
      <c r="B3581" t="s">
        <v>8607</v>
      </c>
      <c r="F3581" t="s">
        <v>26588</v>
      </c>
      <c r="G3581" t="s">
        <v>26589</v>
      </c>
    </row>
    <row r="3582" spans="1:7">
      <c r="A3582" t="s">
        <v>26605</v>
      </c>
      <c r="B3582" t="s">
        <v>8607</v>
      </c>
      <c r="C3582" t="s">
        <v>26591</v>
      </c>
      <c r="F3582" t="s">
        <v>9018</v>
      </c>
      <c r="G3582" t="s">
        <v>26592</v>
      </c>
    </row>
    <row r="3583" spans="1:7">
      <c r="A3583" t="s">
        <v>26606</v>
      </c>
      <c r="B3583" t="s">
        <v>8607</v>
      </c>
      <c r="F3583" t="s">
        <v>17457</v>
      </c>
      <c r="G3583" t="s">
        <v>26594</v>
      </c>
    </row>
    <row r="3584" spans="1:7">
      <c r="A3584" t="s">
        <v>26607</v>
      </c>
      <c r="B3584" t="s">
        <v>8607</v>
      </c>
      <c r="F3584" t="s">
        <v>26596</v>
      </c>
      <c r="G3584" t="s">
        <v>26597</v>
      </c>
    </row>
    <row r="3585" spans="1:7">
      <c r="A3585" t="s">
        <v>26608</v>
      </c>
      <c r="B3585" t="s">
        <v>8626</v>
      </c>
      <c r="G3585" t="s">
        <v>26599</v>
      </c>
    </row>
    <row r="3586" spans="1:7">
      <c r="A3586" t="s">
        <v>26609</v>
      </c>
      <c r="B3586" t="s">
        <v>8607</v>
      </c>
      <c r="C3586" t="s">
        <v>26601</v>
      </c>
      <c r="F3586" t="s">
        <v>26602</v>
      </c>
      <c r="G3586" t="s">
        <v>26603</v>
      </c>
    </row>
    <row r="3587" spans="1:7">
      <c r="A3587" t="s">
        <v>26610</v>
      </c>
      <c r="B3587" t="s">
        <v>8626</v>
      </c>
      <c r="F3587" t="s">
        <v>8623</v>
      </c>
      <c r="G3587" t="s">
        <v>26611</v>
      </c>
    </row>
    <row r="3588" spans="1:7">
      <c r="A3588" t="s">
        <v>26612</v>
      </c>
      <c r="B3588" t="s">
        <v>8607</v>
      </c>
      <c r="G3588" t="s">
        <v>18021</v>
      </c>
    </row>
    <row r="3589" spans="1:7">
      <c r="A3589" t="s">
        <v>26613</v>
      </c>
      <c r="B3589" t="s">
        <v>8607</v>
      </c>
      <c r="G3589" t="s">
        <v>18021</v>
      </c>
    </row>
    <row r="3590" spans="1:7">
      <c r="A3590" t="s">
        <v>26614</v>
      </c>
      <c r="B3590" t="s">
        <v>8607</v>
      </c>
      <c r="G3590" t="s">
        <v>18021</v>
      </c>
    </row>
    <row r="3591" spans="1:7">
      <c r="A3591" t="s">
        <v>26615</v>
      </c>
      <c r="B3591" t="s">
        <v>8607</v>
      </c>
      <c r="F3591" t="s">
        <v>17741</v>
      </c>
      <c r="G3591" t="s">
        <v>26616</v>
      </c>
    </row>
    <row r="3592" spans="1:7">
      <c r="A3592" t="s">
        <v>26617</v>
      </c>
      <c r="B3592" t="s">
        <v>8607</v>
      </c>
      <c r="F3592" t="s">
        <v>26618</v>
      </c>
      <c r="G3592" t="s">
        <v>26619</v>
      </c>
    </row>
    <row r="3593" spans="1:7">
      <c r="A3593" t="s">
        <v>26620</v>
      </c>
      <c r="B3593" t="s">
        <v>8607</v>
      </c>
      <c r="F3593" t="s">
        <v>10076</v>
      </c>
      <c r="G3593" t="s">
        <v>26621</v>
      </c>
    </row>
    <row r="3594" spans="1:7">
      <c r="A3594" t="s">
        <v>26622</v>
      </c>
      <c r="G3594" t="s">
        <v>26623</v>
      </c>
    </row>
    <row r="3595" spans="1:7">
      <c r="A3595" t="s">
        <v>26624</v>
      </c>
      <c r="B3595" t="s">
        <v>8607</v>
      </c>
      <c r="F3595" t="s">
        <v>26625</v>
      </c>
      <c r="G3595" t="s">
        <v>26570</v>
      </c>
    </row>
    <row r="3596" spans="1:7">
      <c r="A3596" t="s">
        <v>26626</v>
      </c>
      <c r="B3596" t="s">
        <v>8607</v>
      </c>
      <c r="G3596" t="s">
        <v>26572</v>
      </c>
    </row>
    <row r="3597" spans="1:7">
      <c r="A3597" t="s">
        <v>26627</v>
      </c>
      <c r="B3597" t="s">
        <v>8607</v>
      </c>
      <c r="G3597" t="s">
        <v>26628</v>
      </c>
    </row>
    <row r="3598" spans="1:7">
      <c r="A3598" t="s">
        <v>26629</v>
      </c>
      <c r="B3598" t="s">
        <v>8607</v>
      </c>
      <c r="G3598" t="s">
        <v>26576</v>
      </c>
    </row>
    <row r="3599" spans="1:7">
      <c r="A3599" t="s">
        <v>26630</v>
      </c>
      <c r="B3599" t="s">
        <v>8626</v>
      </c>
      <c r="G3599" t="s">
        <v>26631</v>
      </c>
    </row>
    <row r="3600" spans="1:7">
      <c r="A3600" t="s">
        <v>26632</v>
      </c>
      <c r="B3600" t="s">
        <v>8607</v>
      </c>
      <c r="G3600" t="s">
        <v>26633</v>
      </c>
    </row>
    <row r="3601" spans="1:7">
      <c r="A3601" t="s">
        <v>26634</v>
      </c>
      <c r="B3601" t="s">
        <v>8626</v>
      </c>
      <c r="G3601" t="s">
        <v>26635</v>
      </c>
    </row>
    <row r="3602" spans="1:7">
      <c r="A3602" t="s">
        <v>26636</v>
      </c>
      <c r="B3602" t="s">
        <v>8607</v>
      </c>
      <c r="G3602" t="s">
        <v>26097</v>
      </c>
    </row>
    <row r="3603" spans="1:7">
      <c r="A3603" t="s">
        <v>26637</v>
      </c>
      <c r="B3603" t="s">
        <v>8607</v>
      </c>
      <c r="G3603" t="s">
        <v>26638</v>
      </c>
    </row>
    <row r="3604" spans="1:7">
      <c r="A3604" t="s">
        <v>26639</v>
      </c>
      <c r="B3604" t="s">
        <v>8607</v>
      </c>
      <c r="F3604" t="s">
        <v>17928</v>
      </c>
      <c r="G3604" t="s">
        <v>26640</v>
      </c>
    </row>
    <row r="3605" spans="1:7">
      <c r="A3605" t="s">
        <v>26641</v>
      </c>
      <c r="B3605" t="s">
        <v>8626</v>
      </c>
      <c r="G3605" t="s">
        <v>18595</v>
      </c>
    </row>
    <row r="3606" spans="1:7">
      <c r="A3606" t="s">
        <v>26642</v>
      </c>
      <c r="B3606" t="s">
        <v>8607</v>
      </c>
      <c r="F3606" t="s">
        <v>26643</v>
      </c>
      <c r="G3606" t="s">
        <v>26644</v>
      </c>
    </row>
    <row r="3607" spans="1:7">
      <c r="A3607" t="s">
        <v>26645</v>
      </c>
      <c r="B3607" t="s">
        <v>8607</v>
      </c>
      <c r="F3607" t="s">
        <v>9039</v>
      </c>
      <c r="G3607" t="s">
        <v>26646</v>
      </c>
    </row>
    <row r="3608" spans="1:7">
      <c r="A3608" t="s">
        <v>26647</v>
      </c>
      <c r="B3608" t="s">
        <v>8607</v>
      </c>
      <c r="C3608" t="s">
        <v>26648</v>
      </c>
      <c r="F3608" t="s">
        <v>26649</v>
      </c>
      <c r="G3608" t="s">
        <v>26650</v>
      </c>
    </row>
    <row r="3609" spans="1:7">
      <c r="A3609" t="s">
        <v>26651</v>
      </c>
      <c r="B3609" t="s">
        <v>8607</v>
      </c>
      <c r="G3609" t="s">
        <v>26652</v>
      </c>
    </row>
    <row r="3610" spans="1:7">
      <c r="A3610" t="s">
        <v>26653</v>
      </c>
      <c r="B3610" t="s">
        <v>8626</v>
      </c>
      <c r="F3610" t="s">
        <v>26654</v>
      </c>
      <c r="G3610" t="s">
        <v>26655</v>
      </c>
    </row>
    <row r="3611" spans="1:7">
      <c r="A3611" t="s">
        <v>26656</v>
      </c>
      <c r="B3611" t="s">
        <v>8607</v>
      </c>
      <c r="G3611" t="s">
        <v>26652</v>
      </c>
    </row>
    <row r="3612" spans="1:7">
      <c r="A3612" t="s">
        <v>26657</v>
      </c>
      <c r="B3612" t="s">
        <v>8626</v>
      </c>
      <c r="F3612" t="s">
        <v>26654</v>
      </c>
      <c r="G3612" t="s">
        <v>26655</v>
      </c>
    </row>
    <row r="3613" spans="1:7">
      <c r="A3613" t="s">
        <v>26658</v>
      </c>
      <c r="B3613" t="s">
        <v>8607</v>
      </c>
      <c r="F3613" t="s">
        <v>16287</v>
      </c>
      <c r="G3613" t="s">
        <v>26659</v>
      </c>
    </row>
    <row r="3614" spans="1:7">
      <c r="A3614" t="s">
        <v>26660</v>
      </c>
      <c r="B3614" t="s">
        <v>8607</v>
      </c>
      <c r="C3614" t="s">
        <v>26661</v>
      </c>
      <c r="F3614" t="s">
        <v>26365</v>
      </c>
      <c r="G3614" t="s">
        <v>26662</v>
      </c>
    </row>
    <row r="3615" spans="1:7">
      <c r="A3615" t="s">
        <v>26663</v>
      </c>
      <c r="B3615" t="s">
        <v>8607</v>
      </c>
      <c r="F3615" t="s">
        <v>8623</v>
      </c>
      <c r="G3615" t="s">
        <v>8624</v>
      </c>
    </row>
    <row r="3616" spans="1:7">
      <c r="A3616" t="s">
        <v>26664</v>
      </c>
      <c r="B3616" t="s">
        <v>8626</v>
      </c>
      <c r="C3616" t="s">
        <v>26665</v>
      </c>
      <c r="F3616" t="s">
        <v>26666</v>
      </c>
      <c r="G3616" t="s">
        <v>26667</v>
      </c>
    </row>
    <row r="3617" spans="1:7">
      <c r="A3617" t="s">
        <v>26668</v>
      </c>
      <c r="B3617" t="s">
        <v>8626</v>
      </c>
      <c r="C3617" t="s">
        <v>26669</v>
      </c>
      <c r="F3617" t="s">
        <v>26670</v>
      </c>
      <c r="G3617" t="s">
        <v>26671</v>
      </c>
    </row>
    <row r="3618" spans="1:7">
      <c r="A3618" t="s">
        <v>26672</v>
      </c>
      <c r="B3618" t="s">
        <v>8626</v>
      </c>
      <c r="C3618" t="s">
        <v>26665</v>
      </c>
      <c r="F3618" t="s">
        <v>26666</v>
      </c>
      <c r="G3618" t="s">
        <v>26667</v>
      </c>
    </row>
    <row r="3619" spans="1:7">
      <c r="A3619" t="s">
        <v>26673</v>
      </c>
      <c r="B3619" t="s">
        <v>8626</v>
      </c>
      <c r="C3619" t="s">
        <v>26669</v>
      </c>
      <c r="F3619" t="s">
        <v>26670</v>
      </c>
      <c r="G3619" t="s">
        <v>26671</v>
      </c>
    </row>
    <row r="3620" spans="1:7">
      <c r="A3620" t="s">
        <v>26674</v>
      </c>
      <c r="B3620" t="s">
        <v>8607</v>
      </c>
      <c r="F3620" t="s">
        <v>26675</v>
      </c>
      <c r="G3620" t="s">
        <v>26676</v>
      </c>
    </row>
    <row r="3621" spans="1:7">
      <c r="A3621" t="s">
        <v>26677</v>
      </c>
      <c r="B3621" t="s">
        <v>8607</v>
      </c>
      <c r="F3621" t="s">
        <v>17310</v>
      </c>
      <c r="G3621" t="s">
        <v>26678</v>
      </c>
    </row>
    <row r="3622" spans="1:7">
      <c r="A3622" t="s">
        <v>26679</v>
      </c>
      <c r="B3622" t="s">
        <v>8607</v>
      </c>
      <c r="C3622" t="s">
        <v>26680</v>
      </c>
      <c r="F3622" t="s">
        <v>26681</v>
      </c>
      <c r="G3622" t="s">
        <v>26682</v>
      </c>
    </row>
    <row r="3623" spans="1:7">
      <c r="A3623" t="s">
        <v>26683</v>
      </c>
      <c r="B3623" t="s">
        <v>8626</v>
      </c>
      <c r="F3623" t="s">
        <v>23667</v>
      </c>
      <c r="G3623" t="s">
        <v>23668</v>
      </c>
    </row>
    <row r="3624" spans="1:7">
      <c r="A3624" t="s">
        <v>26684</v>
      </c>
      <c r="B3624" t="s">
        <v>8626</v>
      </c>
      <c r="F3624" t="s">
        <v>23796</v>
      </c>
      <c r="G3624" t="s">
        <v>23823</v>
      </c>
    </row>
    <row r="3625" spans="1:7">
      <c r="A3625" t="s">
        <v>26685</v>
      </c>
      <c r="B3625" t="s">
        <v>8607</v>
      </c>
      <c r="F3625" t="s">
        <v>23667</v>
      </c>
      <c r="G3625" t="s">
        <v>26686</v>
      </c>
    </row>
    <row r="3626" spans="1:7">
      <c r="A3626" t="s">
        <v>26687</v>
      </c>
      <c r="B3626" t="s">
        <v>8607</v>
      </c>
      <c r="G3626" t="s">
        <v>26688</v>
      </c>
    </row>
    <row r="3627" spans="1:7">
      <c r="A3627" t="s">
        <v>26689</v>
      </c>
      <c r="B3627" t="s">
        <v>8607</v>
      </c>
      <c r="F3627" t="s">
        <v>8623</v>
      </c>
      <c r="G3627" t="s">
        <v>26690</v>
      </c>
    </row>
    <row r="3628" spans="1:7">
      <c r="A3628" t="s">
        <v>26691</v>
      </c>
      <c r="B3628" t="s">
        <v>8626</v>
      </c>
      <c r="F3628" t="s">
        <v>8623</v>
      </c>
      <c r="G3628" t="s">
        <v>26692</v>
      </c>
    </row>
    <row r="3629" spans="1:7">
      <c r="A3629" t="s">
        <v>26693</v>
      </c>
      <c r="B3629" t="s">
        <v>8607</v>
      </c>
      <c r="G3629" t="s">
        <v>26217</v>
      </c>
    </row>
    <row r="3630" spans="1:7">
      <c r="A3630" t="s">
        <v>26694</v>
      </c>
      <c r="B3630" t="s">
        <v>8607</v>
      </c>
      <c r="G3630" t="s">
        <v>17899</v>
      </c>
    </row>
    <row r="3631" spans="1:7">
      <c r="A3631" t="s">
        <v>26695</v>
      </c>
      <c r="G3631" t="s">
        <v>26696</v>
      </c>
    </row>
    <row r="3632" spans="1:7">
      <c r="A3632" t="s">
        <v>26697</v>
      </c>
      <c r="B3632" t="s">
        <v>8626</v>
      </c>
      <c r="F3632" t="s">
        <v>26698</v>
      </c>
      <c r="G3632" t="s">
        <v>26699</v>
      </c>
    </row>
    <row r="3633" spans="1:7">
      <c r="A3633" t="s">
        <v>26700</v>
      </c>
      <c r="B3633" t="s">
        <v>8607</v>
      </c>
      <c r="F3633" t="s">
        <v>17643</v>
      </c>
      <c r="G3633" t="s">
        <v>26701</v>
      </c>
    </row>
    <row r="3634" spans="1:7">
      <c r="A3634" t="s">
        <v>26702</v>
      </c>
      <c r="B3634" t="s">
        <v>8607</v>
      </c>
      <c r="F3634" t="s">
        <v>8623</v>
      </c>
      <c r="G3634" t="s">
        <v>13326</v>
      </c>
    </row>
    <row r="3635" spans="1:7">
      <c r="A3635" t="s">
        <v>26703</v>
      </c>
      <c r="B3635" t="s">
        <v>8607</v>
      </c>
      <c r="F3635" t="s">
        <v>8623</v>
      </c>
      <c r="G3635" t="s">
        <v>11991</v>
      </c>
    </row>
    <row r="3636" spans="1:7">
      <c r="A3636" t="s">
        <v>26704</v>
      </c>
      <c r="B3636" t="s">
        <v>8607</v>
      </c>
      <c r="F3636" t="s">
        <v>9018</v>
      </c>
      <c r="G3636" t="s">
        <v>26705</v>
      </c>
    </row>
    <row r="3637" spans="1:7">
      <c r="A3637" t="s">
        <v>26706</v>
      </c>
      <c r="B3637" t="s">
        <v>8607</v>
      </c>
      <c r="G3637" t="s">
        <v>26217</v>
      </c>
    </row>
    <row r="3638" spans="1:7">
      <c r="A3638" t="s">
        <v>26707</v>
      </c>
      <c r="B3638" t="s">
        <v>8607</v>
      </c>
      <c r="F3638" t="s">
        <v>26148</v>
      </c>
      <c r="G3638" t="s">
        <v>26708</v>
      </c>
    </row>
    <row r="3639" spans="1:7">
      <c r="A3639" t="s">
        <v>26709</v>
      </c>
      <c r="B3639" t="s">
        <v>8626</v>
      </c>
      <c r="F3639" t="s">
        <v>26710</v>
      </c>
      <c r="G3639" t="s">
        <v>26711</v>
      </c>
    </row>
    <row r="3640" spans="1:7">
      <c r="A3640" t="s">
        <v>26712</v>
      </c>
      <c r="B3640" t="s">
        <v>8607</v>
      </c>
      <c r="G3640" t="s">
        <v>22411</v>
      </c>
    </row>
    <row r="3641" spans="1:7">
      <c r="A3641" t="s">
        <v>26713</v>
      </c>
      <c r="B3641" t="s">
        <v>8626</v>
      </c>
      <c r="F3641" t="s">
        <v>17246</v>
      </c>
      <c r="G3641" t="s">
        <v>26714</v>
      </c>
    </row>
    <row r="3642" spans="1:7">
      <c r="A3642" t="s">
        <v>26715</v>
      </c>
      <c r="B3642" t="s">
        <v>8607</v>
      </c>
      <c r="F3642" t="s">
        <v>26268</v>
      </c>
      <c r="G3642" t="s">
        <v>26269</v>
      </c>
    </row>
    <row r="3643" spans="1:7">
      <c r="A3643" t="s">
        <v>26716</v>
      </c>
      <c r="B3643" t="s">
        <v>8607</v>
      </c>
      <c r="F3643" t="s">
        <v>26717</v>
      </c>
      <c r="G3643" t="s">
        <v>26718</v>
      </c>
    </row>
    <row r="3644" spans="1:7">
      <c r="A3644" t="s">
        <v>26719</v>
      </c>
      <c r="B3644" t="s">
        <v>8607</v>
      </c>
      <c r="F3644" t="s">
        <v>9562</v>
      </c>
      <c r="G3644" t="s">
        <v>26720</v>
      </c>
    </row>
    <row r="3645" spans="1:7">
      <c r="A3645" t="s">
        <v>26721</v>
      </c>
      <c r="B3645" t="s">
        <v>8607</v>
      </c>
      <c r="F3645" t="s">
        <v>26722</v>
      </c>
      <c r="G3645" t="s">
        <v>26723</v>
      </c>
    </row>
    <row r="3646" spans="1:7">
      <c r="A3646" t="s">
        <v>26724</v>
      </c>
      <c r="B3646" t="s">
        <v>8607</v>
      </c>
      <c r="F3646" t="s">
        <v>26725</v>
      </c>
      <c r="G3646" t="s">
        <v>26726</v>
      </c>
    </row>
    <row r="3647" spans="1:7">
      <c r="A3647" t="s">
        <v>26727</v>
      </c>
      <c r="B3647" t="s">
        <v>8607</v>
      </c>
      <c r="C3647" t="s">
        <v>26728</v>
      </c>
      <c r="F3647" t="s">
        <v>26176</v>
      </c>
      <c r="G3647" t="s">
        <v>26729</v>
      </c>
    </row>
    <row r="3648" spans="1:7">
      <c r="A3648" t="s">
        <v>26730</v>
      </c>
      <c r="B3648" t="s">
        <v>8607</v>
      </c>
      <c r="F3648" t="s">
        <v>9473</v>
      </c>
      <c r="G3648" t="s">
        <v>26731</v>
      </c>
    </row>
    <row r="3649" spans="1:7">
      <c r="A3649" t="s">
        <v>26732</v>
      </c>
      <c r="B3649" t="s">
        <v>8607</v>
      </c>
      <c r="F3649" t="s">
        <v>23164</v>
      </c>
      <c r="G3649" t="s">
        <v>26733</v>
      </c>
    </row>
    <row r="3650" spans="1:7">
      <c r="A3650" t="s">
        <v>26734</v>
      </c>
      <c r="B3650" t="s">
        <v>8607</v>
      </c>
      <c r="F3650" t="s">
        <v>26735</v>
      </c>
      <c r="G3650" t="s">
        <v>26736</v>
      </c>
    </row>
    <row r="3651" spans="1:7">
      <c r="A3651" t="s">
        <v>26737</v>
      </c>
      <c r="B3651" t="s">
        <v>8607</v>
      </c>
      <c r="C3651" t="s">
        <v>26728</v>
      </c>
      <c r="F3651" t="s">
        <v>26176</v>
      </c>
      <c r="G3651" t="s">
        <v>26729</v>
      </c>
    </row>
    <row r="3652" spans="1:7">
      <c r="A3652" t="s">
        <v>26738</v>
      </c>
      <c r="B3652" t="s">
        <v>8607</v>
      </c>
      <c r="F3652" t="s">
        <v>9473</v>
      </c>
      <c r="G3652" t="s">
        <v>26731</v>
      </c>
    </row>
    <row r="3653" spans="1:7">
      <c r="A3653" t="s">
        <v>26739</v>
      </c>
      <c r="B3653" t="s">
        <v>8607</v>
      </c>
      <c r="F3653" t="s">
        <v>23164</v>
      </c>
      <c r="G3653" t="s">
        <v>26733</v>
      </c>
    </row>
    <row r="3654" spans="1:7">
      <c r="A3654" t="s">
        <v>26740</v>
      </c>
      <c r="B3654" t="s">
        <v>8607</v>
      </c>
      <c r="F3654" t="s">
        <v>26485</v>
      </c>
      <c r="G3654" t="s">
        <v>26741</v>
      </c>
    </row>
    <row r="3655" spans="1:7">
      <c r="A3655" t="s">
        <v>26742</v>
      </c>
      <c r="B3655" t="s">
        <v>8626</v>
      </c>
      <c r="F3655" t="s">
        <v>26743</v>
      </c>
      <c r="G3655" t="s">
        <v>26744</v>
      </c>
    </row>
    <row r="3656" spans="1:7">
      <c r="A3656" t="s">
        <v>26745</v>
      </c>
      <c r="B3656" t="s">
        <v>8607</v>
      </c>
      <c r="F3656" t="s">
        <v>9018</v>
      </c>
      <c r="G3656" t="s">
        <v>26746</v>
      </c>
    </row>
    <row r="3657" spans="1:7">
      <c r="A3657" t="s">
        <v>26747</v>
      </c>
      <c r="B3657" t="s">
        <v>8607</v>
      </c>
      <c r="F3657" t="s">
        <v>19996</v>
      </c>
      <c r="G3657" t="s">
        <v>19997</v>
      </c>
    </row>
    <row r="3658" spans="1:7">
      <c r="A3658" t="s">
        <v>26748</v>
      </c>
      <c r="B3658" t="s">
        <v>8607</v>
      </c>
      <c r="F3658" t="s">
        <v>26191</v>
      </c>
      <c r="G3658" t="s">
        <v>26749</v>
      </c>
    </row>
    <row r="3659" spans="1:7">
      <c r="A3659" t="s">
        <v>26750</v>
      </c>
      <c r="B3659" t="s">
        <v>8607</v>
      </c>
      <c r="F3659" t="s">
        <v>26751</v>
      </c>
      <c r="G3659" t="s">
        <v>26752</v>
      </c>
    </row>
    <row r="3660" spans="1:7">
      <c r="A3660" t="s">
        <v>26753</v>
      </c>
      <c r="B3660" t="s">
        <v>8626</v>
      </c>
      <c r="F3660" t="s">
        <v>26754</v>
      </c>
      <c r="G3660" t="s">
        <v>26755</v>
      </c>
    </row>
    <row r="3661" spans="1:7">
      <c r="A3661" t="s">
        <v>26756</v>
      </c>
      <c r="B3661" t="s">
        <v>8607</v>
      </c>
      <c r="G3661" t="s">
        <v>26757</v>
      </c>
    </row>
    <row r="3662" spans="1:7">
      <c r="A3662" t="s">
        <v>26758</v>
      </c>
      <c r="B3662" t="s">
        <v>8626</v>
      </c>
      <c r="F3662" t="s">
        <v>26759</v>
      </c>
      <c r="G3662" t="s">
        <v>26760</v>
      </c>
    </row>
    <row r="3663" spans="1:7">
      <c r="A3663" t="s">
        <v>26761</v>
      </c>
      <c r="B3663" t="s">
        <v>8626</v>
      </c>
      <c r="G3663" t="s">
        <v>26762</v>
      </c>
    </row>
    <row r="3664" spans="1:7">
      <c r="A3664" t="s">
        <v>26763</v>
      </c>
      <c r="B3664" t="s">
        <v>8626</v>
      </c>
      <c r="F3664" t="s">
        <v>26764</v>
      </c>
      <c r="G3664" t="s">
        <v>26765</v>
      </c>
    </row>
    <row r="3665" spans="1:7">
      <c r="A3665" t="s">
        <v>26766</v>
      </c>
      <c r="B3665" t="s">
        <v>8626</v>
      </c>
      <c r="F3665" t="s">
        <v>10356</v>
      </c>
      <c r="G3665" t="s">
        <v>26767</v>
      </c>
    </row>
    <row r="3666" spans="1:7">
      <c r="A3666" t="s">
        <v>26768</v>
      </c>
      <c r="B3666" t="s">
        <v>8607</v>
      </c>
      <c r="F3666" t="s">
        <v>13761</v>
      </c>
      <c r="G3666" t="s">
        <v>26769</v>
      </c>
    </row>
    <row r="3667" spans="1:7">
      <c r="A3667" t="s">
        <v>26770</v>
      </c>
      <c r="B3667" t="s">
        <v>8607</v>
      </c>
      <c r="C3667" t="s">
        <v>8736</v>
      </c>
      <c r="F3667" t="s">
        <v>8737</v>
      </c>
      <c r="G3667" t="s">
        <v>26771</v>
      </c>
    </row>
    <row r="3668" spans="1:7">
      <c r="A3668" t="s">
        <v>26772</v>
      </c>
      <c r="B3668" t="s">
        <v>8607</v>
      </c>
      <c r="F3668" t="s">
        <v>8623</v>
      </c>
      <c r="G3668" t="s">
        <v>26773</v>
      </c>
    </row>
    <row r="3669" spans="1:7">
      <c r="A3669" t="s">
        <v>26774</v>
      </c>
      <c r="B3669" t="s">
        <v>8607</v>
      </c>
      <c r="F3669" t="s">
        <v>8623</v>
      </c>
      <c r="G3669" t="s">
        <v>11991</v>
      </c>
    </row>
    <row r="3670" spans="1:7">
      <c r="A3670" t="s">
        <v>26775</v>
      </c>
      <c r="B3670" t="s">
        <v>8607</v>
      </c>
      <c r="F3670" t="s">
        <v>8623</v>
      </c>
      <c r="G3670" t="s">
        <v>11991</v>
      </c>
    </row>
    <row r="3671" spans="1:7">
      <c r="A3671" t="s">
        <v>26776</v>
      </c>
      <c r="B3671" t="s">
        <v>8607</v>
      </c>
      <c r="F3671" t="s">
        <v>26268</v>
      </c>
      <c r="G3671" t="s">
        <v>26269</v>
      </c>
    </row>
    <row r="3672" spans="1:7">
      <c r="A3672" t="s">
        <v>26777</v>
      </c>
      <c r="B3672" t="s">
        <v>8607</v>
      </c>
      <c r="G3672" t="s">
        <v>26778</v>
      </c>
    </row>
    <row r="3673" spans="1:7">
      <c r="A3673" t="s">
        <v>26779</v>
      </c>
      <c r="B3673" t="s">
        <v>8607</v>
      </c>
      <c r="G3673" t="s">
        <v>26780</v>
      </c>
    </row>
    <row r="3674" spans="1:7">
      <c r="A3674" t="s">
        <v>26781</v>
      </c>
      <c r="B3674" t="s">
        <v>8607</v>
      </c>
      <c r="F3674" t="s">
        <v>26173</v>
      </c>
      <c r="G3674" t="s">
        <v>26782</v>
      </c>
    </row>
    <row r="3675" spans="1:7">
      <c r="A3675" t="s">
        <v>26783</v>
      </c>
      <c r="B3675" t="s">
        <v>8607</v>
      </c>
      <c r="G3675" t="s">
        <v>18545</v>
      </c>
    </row>
    <row r="3676" spans="1:7">
      <c r="A3676" t="s">
        <v>26784</v>
      </c>
      <c r="B3676" t="s">
        <v>8607</v>
      </c>
      <c r="G3676" t="s">
        <v>26785</v>
      </c>
    </row>
    <row r="3677" spans="1:7">
      <c r="A3677" t="s">
        <v>26786</v>
      </c>
      <c r="B3677" t="s">
        <v>8607</v>
      </c>
      <c r="G3677" t="s">
        <v>26638</v>
      </c>
    </row>
    <row r="3678" spans="1:7">
      <c r="A3678" t="s">
        <v>26787</v>
      </c>
      <c r="B3678" t="s">
        <v>8607</v>
      </c>
      <c r="F3678" t="s">
        <v>17928</v>
      </c>
      <c r="G3678" t="s">
        <v>26640</v>
      </c>
    </row>
    <row r="3679" spans="1:7">
      <c r="A3679" t="s">
        <v>26788</v>
      </c>
      <c r="B3679" t="s">
        <v>8607</v>
      </c>
      <c r="G3679" t="s">
        <v>26789</v>
      </c>
    </row>
    <row r="3680" spans="1:7">
      <c r="A3680" t="s">
        <v>26790</v>
      </c>
      <c r="B3680" t="s">
        <v>8607</v>
      </c>
      <c r="G3680" t="s">
        <v>26791</v>
      </c>
    </row>
    <row r="3681" spans="1:7">
      <c r="A3681" t="s">
        <v>26792</v>
      </c>
      <c r="B3681" t="s">
        <v>8607</v>
      </c>
      <c r="F3681" t="s">
        <v>26793</v>
      </c>
      <c r="G3681" t="s">
        <v>26794</v>
      </c>
    </row>
    <row r="3682" spans="1:7">
      <c r="A3682" t="s">
        <v>26795</v>
      </c>
      <c r="B3682" t="s">
        <v>8607</v>
      </c>
      <c r="G3682" t="s">
        <v>26796</v>
      </c>
    </row>
    <row r="3683" spans="1:7">
      <c r="A3683" t="s">
        <v>26797</v>
      </c>
      <c r="B3683" t="s">
        <v>8607</v>
      </c>
      <c r="G3683" t="s">
        <v>26798</v>
      </c>
    </row>
    <row r="3684" spans="1:7">
      <c r="A3684" t="s">
        <v>26799</v>
      </c>
      <c r="B3684" t="s">
        <v>8607</v>
      </c>
      <c r="G3684" t="s">
        <v>26800</v>
      </c>
    </row>
    <row r="3685" spans="1:7">
      <c r="A3685" t="s">
        <v>26801</v>
      </c>
      <c r="B3685" t="s">
        <v>8626</v>
      </c>
      <c r="G3685" t="s">
        <v>26802</v>
      </c>
    </row>
    <row r="3686" spans="1:7">
      <c r="A3686" t="s">
        <v>26803</v>
      </c>
      <c r="B3686" t="s">
        <v>8607</v>
      </c>
      <c r="F3686" t="s">
        <v>9018</v>
      </c>
      <c r="G3686" t="s">
        <v>26804</v>
      </c>
    </row>
    <row r="3687" spans="1:7">
      <c r="A3687" t="s">
        <v>26805</v>
      </c>
      <c r="B3687" t="s">
        <v>8626</v>
      </c>
      <c r="G3687" t="s">
        <v>26802</v>
      </c>
    </row>
    <row r="3688" spans="1:7">
      <c r="A3688" t="s">
        <v>26806</v>
      </c>
      <c r="B3688" t="s">
        <v>8607</v>
      </c>
      <c r="F3688" t="s">
        <v>9018</v>
      </c>
      <c r="G3688" t="s">
        <v>26804</v>
      </c>
    </row>
    <row r="3689" spans="1:7">
      <c r="A3689" t="s">
        <v>26807</v>
      </c>
      <c r="B3689" t="s">
        <v>8607</v>
      </c>
      <c r="F3689" t="s">
        <v>26127</v>
      </c>
      <c r="G3689" t="s">
        <v>26808</v>
      </c>
    </row>
    <row r="3690" spans="1:7">
      <c r="A3690" t="s">
        <v>26809</v>
      </c>
      <c r="B3690" t="s">
        <v>8607</v>
      </c>
      <c r="G3690" t="s">
        <v>26102</v>
      </c>
    </row>
    <row r="3691" spans="1:7">
      <c r="A3691" t="s">
        <v>26810</v>
      </c>
      <c r="B3691" t="s">
        <v>8607</v>
      </c>
      <c r="F3691" t="s">
        <v>26104</v>
      </c>
      <c r="G3691" t="s">
        <v>26105</v>
      </c>
    </row>
    <row r="3692" spans="1:7">
      <c r="A3692" t="s">
        <v>26811</v>
      </c>
      <c r="B3692" t="s">
        <v>8607</v>
      </c>
      <c r="C3692" t="s">
        <v>19994</v>
      </c>
      <c r="F3692" t="s">
        <v>19996</v>
      </c>
      <c r="G3692" t="s">
        <v>19997</v>
      </c>
    </row>
    <row r="3693" spans="1:7">
      <c r="A3693" t="s">
        <v>26812</v>
      </c>
      <c r="B3693" t="s">
        <v>8607</v>
      </c>
      <c r="G3693" t="s">
        <v>26813</v>
      </c>
    </row>
    <row r="3694" spans="1:7">
      <c r="A3694" t="s">
        <v>26814</v>
      </c>
      <c r="B3694" t="s">
        <v>8607</v>
      </c>
      <c r="G3694" t="s">
        <v>26815</v>
      </c>
    </row>
    <row r="3695" spans="1:7">
      <c r="A3695" t="s">
        <v>26816</v>
      </c>
      <c r="B3695" t="s">
        <v>8626</v>
      </c>
      <c r="F3695" t="s">
        <v>10356</v>
      </c>
      <c r="G3695" t="s">
        <v>26817</v>
      </c>
    </row>
    <row r="3696" spans="1:7">
      <c r="A3696" t="s">
        <v>26818</v>
      </c>
      <c r="B3696" t="s">
        <v>8626</v>
      </c>
      <c r="G3696" t="s">
        <v>26819</v>
      </c>
    </row>
    <row r="3697" spans="1:7">
      <c r="A3697" t="s">
        <v>26820</v>
      </c>
      <c r="B3697" t="s">
        <v>8607</v>
      </c>
      <c r="G3697" t="s">
        <v>26813</v>
      </c>
    </row>
    <row r="3698" spans="1:7">
      <c r="A3698" t="s">
        <v>26821</v>
      </c>
      <c r="B3698" t="s">
        <v>8607</v>
      </c>
      <c r="G3698" t="s">
        <v>26815</v>
      </c>
    </row>
    <row r="3699" spans="1:7">
      <c r="A3699" t="s">
        <v>26822</v>
      </c>
      <c r="B3699" t="s">
        <v>8626</v>
      </c>
      <c r="F3699" t="s">
        <v>10356</v>
      </c>
      <c r="G3699" t="s">
        <v>26817</v>
      </c>
    </row>
    <row r="3700" spans="1:7">
      <c r="A3700" t="s">
        <v>26823</v>
      </c>
      <c r="B3700" t="s">
        <v>8626</v>
      </c>
      <c r="G3700" t="s">
        <v>26819</v>
      </c>
    </row>
    <row r="3701" spans="1:7">
      <c r="A3701" t="s">
        <v>26824</v>
      </c>
      <c r="B3701" t="s">
        <v>8607</v>
      </c>
      <c r="C3701" t="s">
        <v>26119</v>
      </c>
      <c r="F3701" t="s">
        <v>26120</v>
      </c>
      <c r="G3701" t="s">
        <v>26825</v>
      </c>
    </row>
    <row r="3702" spans="1:7">
      <c r="A3702" t="s">
        <v>26826</v>
      </c>
      <c r="B3702" t="s">
        <v>8607</v>
      </c>
      <c r="F3702" t="s">
        <v>26827</v>
      </c>
      <c r="G3702" t="s">
        <v>26828</v>
      </c>
    </row>
    <row r="3703" spans="1:7">
      <c r="A3703" t="s">
        <v>26829</v>
      </c>
      <c r="B3703" t="s">
        <v>8626</v>
      </c>
      <c r="G3703" t="s">
        <v>26635</v>
      </c>
    </row>
    <row r="3704" spans="1:7">
      <c r="A3704" t="s">
        <v>26830</v>
      </c>
      <c r="B3704" t="s">
        <v>8607</v>
      </c>
      <c r="C3704" t="s">
        <v>26083</v>
      </c>
      <c r="F3704" t="s">
        <v>26084</v>
      </c>
      <c r="G3704" t="s">
        <v>26831</v>
      </c>
    </row>
    <row r="3705" spans="1:7">
      <c r="A3705" t="s">
        <v>26832</v>
      </c>
      <c r="B3705" t="s">
        <v>8607</v>
      </c>
      <c r="C3705" t="s">
        <v>26087</v>
      </c>
      <c r="F3705" t="s">
        <v>26088</v>
      </c>
      <c r="G3705" t="s">
        <v>26833</v>
      </c>
    </row>
    <row r="3706" spans="1:7">
      <c r="A3706" t="s">
        <v>26834</v>
      </c>
      <c r="B3706" t="s">
        <v>8607</v>
      </c>
      <c r="F3706" t="s">
        <v>26091</v>
      </c>
      <c r="G3706" t="s">
        <v>26835</v>
      </c>
    </row>
    <row r="3707" spans="1:7">
      <c r="A3707" t="s">
        <v>26836</v>
      </c>
      <c r="B3707" t="s">
        <v>8607</v>
      </c>
      <c r="F3707" t="s">
        <v>26094</v>
      </c>
      <c r="G3707" t="s">
        <v>26837</v>
      </c>
    </row>
    <row r="3708" spans="1:7">
      <c r="A3708" t="s">
        <v>26838</v>
      </c>
      <c r="B3708" t="s">
        <v>8607</v>
      </c>
      <c r="C3708" t="s">
        <v>9266</v>
      </c>
      <c r="F3708" t="s">
        <v>9268</v>
      </c>
      <c r="G3708" t="s">
        <v>26839</v>
      </c>
    </row>
    <row r="3709" spans="1:7">
      <c r="A3709" t="s">
        <v>26840</v>
      </c>
      <c r="B3709" t="s">
        <v>8607</v>
      </c>
      <c r="F3709" t="s">
        <v>26841</v>
      </c>
      <c r="G3709" t="s">
        <v>23929</v>
      </c>
    </row>
    <row r="3710" spans="1:7">
      <c r="A3710" t="s">
        <v>26842</v>
      </c>
      <c r="B3710" t="s">
        <v>8626</v>
      </c>
      <c r="F3710" t="s">
        <v>26843</v>
      </c>
      <c r="G3710" t="s">
        <v>26844</v>
      </c>
    </row>
    <row r="3711" spans="1:7">
      <c r="A3711" t="s">
        <v>26845</v>
      </c>
      <c r="B3711" t="s">
        <v>8607</v>
      </c>
      <c r="G3711" t="s">
        <v>26846</v>
      </c>
    </row>
    <row r="3712" spans="1:7">
      <c r="A3712" t="s">
        <v>26847</v>
      </c>
      <c r="G3712" t="s">
        <v>26848</v>
      </c>
    </row>
    <row r="3713" spans="1:7">
      <c r="A3713" t="s">
        <v>26849</v>
      </c>
      <c r="B3713" t="s">
        <v>8607</v>
      </c>
      <c r="C3713" t="s">
        <v>26850</v>
      </c>
      <c r="F3713" t="s">
        <v>26176</v>
      </c>
      <c r="G3713" t="s">
        <v>26851</v>
      </c>
    </row>
    <row r="3714" spans="1:7">
      <c r="A3714" t="s">
        <v>26852</v>
      </c>
      <c r="B3714" t="s">
        <v>8626</v>
      </c>
      <c r="G3714" t="s">
        <v>26853</v>
      </c>
    </row>
    <row r="3715" spans="1:7">
      <c r="A3715" t="s">
        <v>26854</v>
      </c>
      <c r="B3715" t="s">
        <v>8626</v>
      </c>
      <c r="F3715" t="s">
        <v>26855</v>
      </c>
      <c r="G3715" t="s">
        <v>26856</v>
      </c>
    </row>
    <row r="3716" spans="1:7">
      <c r="A3716" t="s">
        <v>26857</v>
      </c>
      <c r="B3716" t="s">
        <v>8626</v>
      </c>
      <c r="F3716" t="s">
        <v>26855</v>
      </c>
      <c r="G3716" t="s">
        <v>26856</v>
      </c>
    </row>
    <row r="3717" spans="1:7">
      <c r="A3717" t="s">
        <v>26858</v>
      </c>
      <c r="B3717" t="s">
        <v>8607</v>
      </c>
      <c r="G3717" t="s">
        <v>26859</v>
      </c>
    </row>
    <row r="3718" spans="1:7">
      <c r="A3718" t="s">
        <v>26860</v>
      </c>
      <c r="B3718" t="s">
        <v>8626</v>
      </c>
      <c r="F3718" t="s">
        <v>8629</v>
      </c>
      <c r="G3718" t="s">
        <v>26861</v>
      </c>
    </row>
    <row r="3719" spans="1:7">
      <c r="A3719" t="s">
        <v>26862</v>
      </c>
      <c r="B3719" t="s">
        <v>8607</v>
      </c>
      <c r="C3719" t="s">
        <v>26863</v>
      </c>
      <c r="F3719" t="s">
        <v>9018</v>
      </c>
      <c r="G3719" t="s">
        <v>26864</v>
      </c>
    </row>
    <row r="3720" spans="1:7">
      <c r="A3720" t="s">
        <v>26865</v>
      </c>
      <c r="B3720" t="s">
        <v>8607</v>
      </c>
      <c r="G3720" t="s">
        <v>26866</v>
      </c>
    </row>
    <row r="3721" spans="1:7">
      <c r="A3721" t="s">
        <v>26867</v>
      </c>
      <c r="B3721" t="s">
        <v>8607</v>
      </c>
      <c r="G3721" t="s">
        <v>26868</v>
      </c>
    </row>
    <row r="3722" spans="1:7">
      <c r="A3722" t="s">
        <v>26869</v>
      </c>
      <c r="B3722" t="s">
        <v>8607</v>
      </c>
      <c r="G3722" t="s">
        <v>26870</v>
      </c>
    </row>
    <row r="3723" spans="1:7">
      <c r="A3723" t="s">
        <v>26871</v>
      </c>
      <c r="B3723" t="s">
        <v>8607</v>
      </c>
      <c r="G3723" t="s">
        <v>26870</v>
      </c>
    </row>
    <row r="3724" spans="1:7">
      <c r="A3724" t="s">
        <v>26872</v>
      </c>
      <c r="B3724" t="s">
        <v>8607</v>
      </c>
      <c r="F3724" t="s">
        <v>8623</v>
      </c>
      <c r="G3724" t="s">
        <v>8624</v>
      </c>
    </row>
    <row r="3725" spans="1:7">
      <c r="A3725" t="s">
        <v>26873</v>
      </c>
      <c r="B3725" t="s">
        <v>8626</v>
      </c>
      <c r="F3725" t="s">
        <v>26874</v>
      </c>
      <c r="G3725" t="s">
        <v>26875</v>
      </c>
    </row>
    <row r="3726" spans="1:7">
      <c r="A3726" t="s">
        <v>26876</v>
      </c>
      <c r="B3726" t="s">
        <v>8607</v>
      </c>
      <c r="F3726" t="s">
        <v>26877</v>
      </c>
      <c r="G3726" t="s">
        <v>26878</v>
      </c>
    </row>
    <row r="3727" spans="1:7">
      <c r="A3727" t="s">
        <v>26879</v>
      </c>
      <c r="B3727" t="s">
        <v>8626</v>
      </c>
      <c r="F3727" t="s">
        <v>26880</v>
      </c>
      <c r="G3727" t="s">
        <v>26881</v>
      </c>
    </row>
    <row r="3728" spans="1:7">
      <c r="A3728" t="s">
        <v>26882</v>
      </c>
      <c r="B3728" t="s">
        <v>8607</v>
      </c>
      <c r="F3728" t="s">
        <v>26883</v>
      </c>
      <c r="G3728" t="s">
        <v>26884</v>
      </c>
    </row>
    <row r="3729" spans="1:7">
      <c r="A3729" t="s">
        <v>26885</v>
      </c>
      <c r="B3729" t="s">
        <v>8607</v>
      </c>
      <c r="F3729" t="s">
        <v>8629</v>
      </c>
      <c r="G3729" t="s">
        <v>26886</v>
      </c>
    </row>
    <row r="3730" spans="1:7">
      <c r="A3730" t="s">
        <v>26887</v>
      </c>
      <c r="B3730" t="s">
        <v>8607</v>
      </c>
      <c r="F3730" t="s">
        <v>9018</v>
      </c>
      <c r="G3730" t="s">
        <v>26888</v>
      </c>
    </row>
    <row r="3731" spans="1:7">
      <c r="A3731" t="s">
        <v>26889</v>
      </c>
      <c r="B3731" t="s">
        <v>8626</v>
      </c>
      <c r="G3731" t="s">
        <v>26890</v>
      </c>
    </row>
    <row r="3732" spans="1:7">
      <c r="A3732" t="s">
        <v>26891</v>
      </c>
      <c r="B3732" t="s">
        <v>8626</v>
      </c>
      <c r="G3732" t="s">
        <v>26892</v>
      </c>
    </row>
    <row r="3733" spans="1:7">
      <c r="A3733" t="s">
        <v>26893</v>
      </c>
      <c r="B3733" t="s">
        <v>8607</v>
      </c>
      <c r="G3733" t="s">
        <v>26785</v>
      </c>
    </row>
    <row r="3734" spans="1:7">
      <c r="A3734" t="s">
        <v>26894</v>
      </c>
      <c r="B3734" t="s">
        <v>8607</v>
      </c>
      <c r="F3734" t="s">
        <v>26173</v>
      </c>
      <c r="G3734" t="s">
        <v>26782</v>
      </c>
    </row>
    <row r="3735" spans="1:7">
      <c r="A3735" t="s">
        <v>26895</v>
      </c>
      <c r="B3735" t="s">
        <v>8607</v>
      </c>
      <c r="F3735" t="s">
        <v>8623</v>
      </c>
      <c r="G3735" t="s">
        <v>11991</v>
      </c>
    </row>
    <row r="3736" spans="1:7">
      <c r="A3736" t="s">
        <v>26896</v>
      </c>
      <c r="B3736" t="s">
        <v>8626</v>
      </c>
      <c r="F3736" t="s">
        <v>26897</v>
      </c>
      <c r="G3736" t="s">
        <v>26898</v>
      </c>
    </row>
    <row r="3737" spans="1:7">
      <c r="A3737" t="s">
        <v>26899</v>
      </c>
      <c r="B3737" t="s">
        <v>8626</v>
      </c>
      <c r="F3737" t="s">
        <v>17320</v>
      </c>
      <c r="G3737" t="s">
        <v>26900</v>
      </c>
    </row>
    <row r="3738" spans="1:7">
      <c r="A3738" t="s">
        <v>26901</v>
      </c>
      <c r="B3738" t="s">
        <v>8626</v>
      </c>
      <c r="F3738" t="s">
        <v>26902</v>
      </c>
      <c r="G3738" t="s">
        <v>26903</v>
      </c>
    </row>
    <row r="3739" spans="1:7">
      <c r="A3739" t="s">
        <v>26904</v>
      </c>
      <c r="B3739" t="s">
        <v>8626</v>
      </c>
      <c r="G3739" t="s">
        <v>26905</v>
      </c>
    </row>
    <row r="3740" spans="1:7">
      <c r="A3740" t="s">
        <v>26906</v>
      </c>
      <c r="B3740" t="s">
        <v>8626</v>
      </c>
      <c r="F3740" t="s">
        <v>26902</v>
      </c>
      <c r="G3740" t="s">
        <v>26903</v>
      </c>
    </row>
    <row r="3741" spans="1:7">
      <c r="A3741" t="s">
        <v>26907</v>
      </c>
      <c r="B3741" t="s">
        <v>8626</v>
      </c>
      <c r="G3741" t="s">
        <v>26905</v>
      </c>
    </row>
    <row r="3742" spans="1:7">
      <c r="A3742" t="s">
        <v>26908</v>
      </c>
      <c r="B3742" t="s">
        <v>8626</v>
      </c>
      <c r="F3742" t="s">
        <v>9363</v>
      </c>
      <c r="G3742" t="s">
        <v>10520</v>
      </c>
    </row>
    <row r="3743" spans="1:7">
      <c r="A3743" t="s">
        <v>26909</v>
      </c>
      <c r="B3743" t="s">
        <v>8607</v>
      </c>
      <c r="F3743" t="s">
        <v>8623</v>
      </c>
      <c r="G3743" t="s">
        <v>11991</v>
      </c>
    </row>
    <row r="3744" spans="1:7">
      <c r="A3744" t="s">
        <v>26910</v>
      </c>
      <c r="B3744" t="s">
        <v>8607</v>
      </c>
      <c r="F3744" t="s">
        <v>26911</v>
      </c>
      <c r="G3744" t="s">
        <v>26912</v>
      </c>
    </row>
    <row r="3745" spans="1:7">
      <c r="A3745" t="s">
        <v>26913</v>
      </c>
      <c r="B3745" t="s">
        <v>8607</v>
      </c>
      <c r="C3745" t="s">
        <v>26648</v>
      </c>
      <c r="F3745" t="s">
        <v>26649</v>
      </c>
      <c r="G3745" t="s">
        <v>26914</v>
      </c>
    </row>
    <row r="3746" spans="1:7">
      <c r="A3746" t="s">
        <v>26915</v>
      </c>
      <c r="B3746" t="s">
        <v>8607</v>
      </c>
      <c r="F3746" t="s">
        <v>21567</v>
      </c>
      <c r="G3746" t="s">
        <v>23720</v>
      </c>
    </row>
    <row r="3747" spans="1:7">
      <c r="A3747" t="s">
        <v>26916</v>
      </c>
      <c r="B3747" t="s">
        <v>8626</v>
      </c>
      <c r="G3747" t="s">
        <v>26917</v>
      </c>
    </row>
    <row r="3748" spans="1:7">
      <c r="A3748" t="s">
        <v>26918</v>
      </c>
      <c r="B3748" t="s">
        <v>8607</v>
      </c>
      <c r="F3748" t="s">
        <v>26919</v>
      </c>
      <c r="G3748" t="s">
        <v>26920</v>
      </c>
    </row>
    <row r="3749" spans="1:7">
      <c r="A3749" t="s">
        <v>26921</v>
      </c>
      <c r="B3749" t="s">
        <v>8607</v>
      </c>
      <c r="C3749" t="s">
        <v>26922</v>
      </c>
      <c r="F3749" t="s">
        <v>17429</v>
      </c>
      <c r="G3749" t="s">
        <v>26923</v>
      </c>
    </row>
    <row r="3750" spans="1:7">
      <c r="A3750" t="s">
        <v>26924</v>
      </c>
      <c r="B3750" t="s">
        <v>8607</v>
      </c>
      <c r="F3750" t="s">
        <v>8623</v>
      </c>
      <c r="G3750" t="s">
        <v>11991</v>
      </c>
    </row>
    <row r="3751" spans="1:7">
      <c r="A3751" t="s">
        <v>26925</v>
      </c>
      <c r="B3751" t="s">
        <v>8607</v>
      </c>
      <c r="F3751" t="s">
        <v>11990</v>
      </c>
      <c r="G3751" t="s">
        <v>11991</v>
      </c>
    </row>
    <row r="3752" spans="1:7">
      <c r="A3752" t="s">
        <v>26926</v>
      </c>
      <c r="B3752" t="s">
        <v>8607</v>
      </c>
      <c r="F3752" t="s">
        <v>11990</v>
      </c>
      <c r="G3752" t="s">
        <v>11991</v>
      </c>
    </row>
    <row r="3753" spans="1:7">
      <c r="A3753" t="s">
        <v>26927</v>
      </c>
      <c r="B3753" t="s">
        <v>8626</v>
      </c>
      <c r="F3753" t="s">
        <v>26928</v>
      </c>
      <c r="G3753" t="s">
        <v>16228</v>
      </c>
    </row>
    <row r="3754" spans="1:7">
      <c r="A3754" t="s">
        <v>26929</v>
      </c>
      <c r="B3754" t="s">
        <v>8626</v>
      </c>
      <c r="F3754" t="s">
        <v>26928</v>
      </c>
      <c r="G3754" t="s">
        <v>16228</v>
      </c>
    </row>
    <row r="3755" spans="1:7">
      <c r="A3755" t="s">
        <v>26930</v>
      </c>
      <c r="B3755" t="s">
        <v>8607</v>
      </c>
      <c r="F3755" t="s">
        <v>26099</v>
      </c>
      <c r="G3755" t="s">
        <v>26931</v>
      </c>
    </row>
    <row r="3756" spans="1:7">
      <c r="A3756" t="s">
        <v>26932</v>
      </c>
      <c r="B3756" t="s">
        <v>8607</v>
      </c>
      <c r="F3756" t="s">
        <v>26069</v>
      </c>
      <c r="G3756" t="s">
        <v>26933</v>
      </c>
    </row>
    <row r="3757" spans="1:7">
      <c r="A3757" t="s">
        <v>26934</v>
      </c>
      <c r="B3757" t="s">
        <v>8607</v>
      </c>
      <c r="C3757" t="s">
        <v>18230</v>
      </c>
      <c r="F3757" t="s">
        <v>13312</v>
      </c>
      <c r="G3757" t="s">
        <v>26935</v>
      </c>
    </row>
    <row r="3758" spans="1:7">
      <c r="A3758" t="s">
        <v>26936</v>
      </c>
      <c r="B3758" t="s">
        <v>8607</v>
      </c>
      <c r="F3758" t="s">
        <v>26937</v>
      </c>
      <c r="G3758" t="s">
        <v>26938</v>
      </c>
    </row>
    <row r="3759" spans="1:7">
      <c r="A3759" t="s">
        <v>26939</v>
      </c>
      <c r="B3759" t="s">
        <v>8607</v>
      </c>
      <c r="C3759" t="s">
        <v>26083</v>
      </c>
      <c r="F3759" t="s">
        <v>26084</v>
      </c>
      <c r="G3759" t="s">
        <v>26940</v>
      </c>
    </row>
    <row r="3760" spans="1:7">
      <c r="A3760" t="s">
        <v>26941</v>
      </c>
      <c r="B3760" t="s">
        <v>8607</v>
      </c>
      <c r="F3760" t="s">
        <v>8623</v>
      </c>
      <c r="G3760" t="s">
        <v>26773</v>
      </c>
    </row>
    <row r="3761" spans="1:7">
      <c r="A3761" t="s">
        <v>26942</v>
      </c>
      <c r="B3761" t="s">
        <v>8626</v>
      </c>
      <c r="C3761" t="s">
        <v>26080</v>
      </c>
      <c r="F3761" t="s">
        <v>23667</v>
      </c>
      <c r="G3761" t="s">
        <v>26943</v>
      </c>
    </row>
    <row r="3762" spans="1:7">
      <c r="A3762" t="s">
        <v>26944</v>
      </c>
      <c r="B3762" t="s">
        <v>8607</v>
      </c>
      <c r="F3762" t="s">
        <v>26911</v>
      </c>
      <c r="G3762" t="s">
        <v>26912</v>
      </c>
    </row>
    <row r="3763" spans="1:7">
      <c r="A3763" t="s">
        <v>26945</v>
      </c>
      <c r="B3763" t="s">
        <v>8607</v>
      </c>
      <c r="C3763" t="s">
        <v>26946</v>
      </c>
      <c r="F3763" t="s">
        <v>26681</v>
      </c>
      <c r="G3763" t="s">
        <v>26682</v>
      </c>
    </row>
    <row r="3764" spans="1:7">
      <c r="A3764" t="s">
        <v>26947</v>
      </c>
      <c r="B3764" t="s">
        <v>8607</v>
      </c>
      <c r="C3764" t="s">
        <v>26648</v>
      </c>
      <c r="F3764" t="s">
        <v>26649</v>
      </c>
      <c r="G3764" t="s">
        <v>26948</v>
      </c>
    </row>
    <row r="3765" spans="1:7">
      <c r="A3765" t="s">
        <v>26949</v>
      </c>
      <c r="B3765" t="s">
        <v>8607</v>
      </c>
      <c r="F3765" t="s">
        <v>26911</v>
      </c>
      <c r="G3765" t="s">
        <v>26912</v>
      </c>
    </row>
    <row r="3766" spans="1:7">
      <c r="A3766" t="s">
        <v>26950</v>
      </c>
      <c r="B3766" t="s">
        <v>8607</v>
      </c>
      <c r="C3766" t="s">
        <v>26946</v>
      </c>
      <c r="F3766" t="s">
        <v>26681</v>
      </c>
      <c r="G3766" t="s">
        <v>26682</v>
      </c>
    </row>
    <row r="3767" spans="1:7">
      <c r="A3767" t="s">
        <v>26951</v>
      </c>
      <c r="B3767" t="s">
        <v>8607</v>
      </c>
      <c r="C3767" t="s">
        <v>26648</v>
      </c>
      <c r="F3767" t="s">
        <v>26649</v>
      </c>
      <c r="G3767" t="s">
        <v>26948</v>
      </c>
    </row>
    <row r="3768" spans="1:7">
      <c r="A3768" t="s">
        <v>26952</v>
      </c>
      <c r="B3768" t="s">
        <v>8607</v>
      </c>
      <c r="F3768" t="s">
        <v>8623</v>
      </c>
      <c r="G3768" t="s">
        <v>11991</v>
      </c>
    </row>
    <row r="3769" spans="1:7">
      <c r="A3769" t="s">
        <v>26953</v>
      </c>
      <c r="B3769" t="s">
        <v>8626</v>
      </c>
      <c r="G3769" t="s">
        <v>26954</v>
      </c>
    </row>
    <row r="3770" spans="1:7">
      <c r="A3770" t="s">
        <v>26955</v>
      </c>
      <c r="B3770" t="s">
        <v>8626</v>
      </c>
      <c r="G3770" t="s">
        <v>26956</v>
      </c>
    </row>
    <row r="3771" spans="1:7">
      <c r="A3771" t="s">
        <v>26957</v>
      </c>
      <c r="B3771" t="s">
        <v>8607</v>
      </c>
      <c r="F3771" t="s">
        <v>18361</v>
      </c>
      <c r="G3771" t="s">
        <v>26537</v>
      </c>
    </row>
    <row r="3772" spans="1:7">
      <c r="A3772" t="s">
        <v>26958</v>
      </c>
      <c r="B3772" t="s">
        <v>8626</v>
      </c>
      <c r="F3772" t="s">
        <v>26399</v>
      </c>
      <c r="G3772" t="s">
        <v>26400</v>
      </c>
    </row>
    <row r="3773" spans="1:7">
      <c r="A3773" t="s">
        <v>26959</v>
      </c>
      <c r="B3773" t="s">
        <v>8626</v>
      </c>
      <c r="G3773" t="s">
        <v>26960</v>
      </c>
    </row>
    <row r="3774" spans="1:7">
      <c r="A3774" t="s">
        <v>26961</v>
      </c>
      <c r="B3774" t="s">
        <v>8607</v>
      </c>
      <c r="F3774" t="s">
        <v>15811</v>
      </c>
      <c r="G3774" t="s">
        <v>26962</v>
      </c>
    </row>
    <row r="3775" spans="1:7">
      <c r="A3775" t="s">
        <v>26963</v>
      </c>
      <c r="B3775" t="s">
        <v>8607</v>
      </c>
      <c r="G3775" t="s">
        <v>26964</v>
      </c>
    </row>
    <row r="3776" spans="1:7">
      <c r="A3776" t="s">
        <v>26965</v>
      </c>
      <c r="B3776" t="s">
        <v>8626</v>
      </c>
      <c r="G3776" t="s">
        <v>26966</v>
      </c>
    </row>
    <row r="3777" spans="1:7">
      <c r="A3777" t="s">
        <v>26967</v>
      </c>
      <c r="B3777" t="s">
        <v>8607</v>
      </c>
      <c r="G3777" t="s">
        <v>26964</v>
      </c>
    </row>
    <row r="3778" spans="1:7">
      <c r="A3778" t="s">
        <v>26968</v>
      </c>
      <c r="B3778" t="s">
        <v>8626</v>
      </c>
      <c r="G3778" t="s">
        <v>26966</v>
      </c>
    </row>
    <row r="3779" spans="1:7">
      <c r="A3779" t="s">
        <v>26969</v>
      </c>
      <c r="B3779" t="s">
        <v>8607</v>
      </c>
      <c r="F3779" t="s">
        <v>15811</v>
      </c>
      <c r="G3779" t="s">
        <v>26962</v>
      </c>
    </row>
    <row r="3780" spans="1:7">
      <c r="A3780" t="s">
        <v>26970</v>
      </c>
      <c r="B3780" t="s">
        <v>8607</v>
      </c>
      <c r="F3780" t="s">
        <v>8623</v>
      </c>
      <c r="G3780" t="s">
        <v>26971</v>
      </c>
    </row>
    <row r="3781" spans="1:7">
      <c r="A3781" t="s">
        <v>26972</v>
      </c>
      <c r="B3781" t="s">
        <v>8607</v>
      </c>
      <c r="F3781" t="s">
        <v>8633</v>
      </c>
      <c r="G3781" t="s">
        <v>20179</v>
      </c>
    </row>
    <row r="3782" spans="1:7">
      <c r="A3782" t="s">
        <v>26973</v>
      </c>
      <c r="B3782" t="s">
        <v>8607</v>
      </c>
      <c r="G3782" t="s">
        <v>26974</v>
      </c>
    </row>
    <row r="3783" spans="1:7">
      <c r="A3783" t="s">
        <v>26975</v>
      </c>
      <c r="B3783" t="s">
        <v>8607</v>
      </c>
      <c r="G3783" t="s">
        <v>18021</v>
      </c>
    </row>
    <row r="3784" spans="1:7">
      <c r="A3784" t="s">
        <v>26976</v>
      </c>
      <c r="B3784" t="s">
        <v>8607</v>
      </c>
      <c r="F3784" t="s">
        <v>17928</v>
      </c>
      <c r="G3784" t="s">
        <v>26640</v>
      </c>
    </row>
    <row r="3785" spans="1:7">
      <c r="A3785" t="s">
        <v>26977</v>
      </c>
      <c r="B3785" t="s">
        <v>8626</v>
      </c>
      <c r="G3785" t="s">
        <v>26978</v>
      </c>
    </row>
    <row r="3786" spans="1:7">
      <c r="A3786" t="s">
        <v>26979</v>
      </c>
      <c r="B3786" t="s">
        <v>8607</v>
      </c>
      <c r="F3786" t="s">
        <v>26980</v>
      </c>
      <c r="G3786" t="s">
        <v>26981</v>
      </c>
    </row>
    <row r="3787" spans="1:7">
      <c r="A3787" t="s">
        <v>26982</v>
      </c>
      <c r="B3787" t="s">
        <v>8607</v>
      </c>
      <c r="G3787" t="s">
        <v>23965</v>
      </c>
    </row>
    <row r="3788" spans="1:7">
      <c r="A3788" t="s">
        <v>26983</v>
      </c>
      <c r="B3788" t="s">
        <v>8607</v>
      </c>
      <c r="F3788" t="s">
        <v>16287</v>
      </c>
      <c r="G3788" t="s">
        <v>26984</v>
      </c>
    </row>
    <row r="3789" spans="1:7">
      <c r="A3789" t="s">
        <v>26985</v>
      </c>
      <c r="B3789" t="s">
        <v>8607</v>
      </c>
      <c r="C3789" t="s">
        <v>26648</v>
      </c>
      <c r="F3789" t="s">
        <v>26649</v>
      </c>
      <c r="G3789" t="s">
        <v>26914</v>
      </c>
    </row>
    <row r="3790" spans="1:7">
      <c r="A3790" t="s">
        <v>26986</v>
      </c>
      <c r="B3790" t="s">
        <v>8607</v>
      </c>
      <c r="G3790" t="s">
        <v>26987</v>
      </c>
    </row>
    <row r="3791" spans="1:7">
      <c r="A3791" t="s">
        <v>26988</v>
      </c>
      <c r="B3791" t="s">
        <v>8607</v>
      </c>
      <c r="F3791" t="s">
        <v>26989</v>
      </c>
      <c r="G3791" t="s">
        <v>26990</v>
      </c>
    </row>
    <row r="3792" spans="1:7">
      <c r="A3792" t="s">
        <v>26991</v>
      </c>
      <c r="B3792" t="s">
        <v>8607</v>
      </c>
      <c r="F3792" t="s">
        <v>26992</v>
      </c>
      <c r="G3792" t="s">
        <v>26993</v>
      </c>
    </row>
    <row r="3793" spans="1:7">
      <c r="A3793" t="s">
        <v>26994</v>
      </c>
      <c r="B3793" t="s">
        <v>8607</v>
      </c>
      <c r="F3793" t="s">
        <v>26995</v>
      </c>
      <c r="G3793" t="s">
        <v>26996</v>
      </c>
    </row>
    <row r="3794" spans="1:7">
      <c r="A3794" t="s">
        <v>26997</v>
      </c>
      <c r="B3794" t="s">
        <v>8607</v>
      </c>
      <c r="G3794" t="s">
        <v>26998</v>
      </c>
    </row>
    <row r="3795" spans="1:7">
      <c r="A3795" t="s">
        <v>26999</v>
      </c>
      <c r="B3795" t="s">
        <v>8607</v>
      </c>
      <c r="F3795" t="s">
        <v>27000</v>
      </c>
      <c r="G3795" t="s">
        <v>27001</v>
      </c>
    </row>
    <row r="3796" spans="1:7">
      <c r="A3796" t="s">
        <v>27002</v>
      </c>
      <c r="B3796" t="s">
        <v>8626</v>
      </c>
      <c r="G3796" t="s">
        <v>27003</v>
      </c>
    </row>
    <row r="3797" spans="1:7">
      <c r="A3797" t="s">
        <v>27004</v>
      </c>
      <c r="B3797" t="s">
        <v>8607</v>
      </c>
      <c r="G3797" t="s">
        <v>26403</v>
      </c>
    </row>
    <row r="3798" spans="1:7">
      <c r="A3798" t="s">
        <v>27005</v>
      </c>
      <c r="B3798" t="s">
        <v>8607</v>
      </c>
      <c r="F3798" t="s">
        <v>8623</v>
      </c>
      <c r="G3798" t="s">
        <v>13326</v>
      </c>
    </row>
    <row r="3799" spans="1:7">
      <c r="A3799" t="s">
        <v>27006</v>
      </c>
      <c r="B3799" t="s">
        <v>8607</v>
      </c>
      <c r="G3799" t="s">
        <v>27007</v>
      </c>
    </row>
    <row r="3800" spans="1:7">
      <c r="A3800" t="s">
        <v>27008</v>
      </c>
      <c r="B3800" t="s">
        <v>8607</v>
      </c>
      <c r="F3800" t="s">
        <v>26104</v>
      </c>
      <c r="G3800" t="s">
        <v>26236</v>
      </c>
    </row>
    <row r="3801" spans="1:7">
      <c r="A3801" t="s">
        <v>27009</v>
      </c>
      <c r="B3801" t="s">
        <v>8607</v>
      </c>
      <c r="F3801" t="s">
        <v>26173</v>
      </c>
      <c r="G3801" t="s">
        <v>26174</v>
      </c>
    </row>
    <row r="3802" spans="1:7">
      <c r="A3802" t="s">
        <v>27010</v>
      </c>
      <c r="B3802" t="s">
        <v>8607</v>
      </c>
      <c r="F3802" t="s">
        <v>26681</v>
      </c>
      <c r="G3802" t="s">
        <v>27011</v>
      </c>
    </row>
    <row r="3803" spans="1:7">
      <c r="A3803" t="s">
        <v>27012</v>
      </c>
      <c r="B3803" t="s">
        <v>8626</v>
      </c>
      <c r="F3803" t="s">
        <v>27013</v>
      </c>
      <c r="G3803" t="s">
        <v>27014</v>
      </c>
    </row>
    <row r="3804" spans="1:7">
      <c r="A3804" t="s">
        <v>27015</v>
      </c>
      <c r="B3804" t="s">
        <v>8607</v>
      </c>
      <c r="F3804" t="s">
        <v>26911</v>
      </c>
      <c r="G3804" t="s">
        <v>26912</v>
      </c>
    </row>
    <row r="3805" spans="1:7">
      <c r="A3805" t="s">
        <v>27016</v>
      </c>
      <c r="B3805" t="s">
        <v>8607</v>
      </c>
      <c r="C3805" t="s">
        <v>26648</v>
      </c>
      <c r="F3805" t="s">
        <v>26649</v>
      </c>
      <c r="G3805" t="s">
        <v>26948</v>
      </c>
    </row>
    <row r="3806" spans="1:7">
      <c r="A3806" t="s">
        <v>27017</v>
      </c>
      <c r="B3806" t="s">
        <v>8626</v>
      </c>
      <c r="F3806" t="s">
        <v>24699</v>
      </c>
      <c r="G3806" t="s">
        <v>26692</v>
      </c>
    </row>
    <row r="3807" spans="1:7">
      <c r="A3807" t="s">
        <v>27018</v>
      </c>
      <c r="B3807" t="s">
        <v>8607</v>
      </c>
      <c r="F3807" t="s">
        <v>8623</v>
      </c>
      <c r="G3807" t="s">
        <v>10704</v>
      </c>
    </row>
    <row r="3808" spans="1:7">
      <c r="A3808" t="s">
        <v>27019</v>
      </c>
      <c r="B3808" t="s">
        <v>8607</v>
      </c>
      <c r="F3808" t="s">
        <v>27020</v>
      </c>
      <c r="G3808" t="s">
        <v>27021</v>
      </c>
    </row>
    <row r="3809" spans="1:7">
      <c r="A3809" t="s">
        <v>27022</v>
      </c>
      <c r="B3809" t="s">
        <v>8607</v>
      </c>
      <c r="F3809" t="s">
        <v>11990</v>
      </c>
      <c r="G3809" t="s">
        <v>11991</v>
      </c>
    </row>
    <row r="3810" spans="1:7">
      <c r="A3810" t="s">
        <v>27023</v>
      </c>
      <c r="B3810" t="s">
        <v>8607</v>
      </c>
      <c r="F3810" t="s">
        <v>8737</v>
      </c>
      <c r="G3810" t="s">
        <v>27024</v>
      </c>
    </row>
    <row r="3811" spans="1:7">
      <c r="A3811" t="s">
        <v>27025</v>
      </c>
      <c r="B3811" t="s">
        <v>8607</v>
      </c>
      <c r="F3811" t="s">
        <v>8623</v>
      </c>
      <c r="G3811" t="s">
        <v>27026</v>
      </c>
    </row>
    <row r="3812" spans="1:7">
      <c r="A3812" t="s">
        <v>27027</v>
      </c>
      <c r="B3812" t="s">
        <v>8607</v>
      </c>
      <c r="F3812" t="s">
        <v>8623</v>
      </c>
      <c r="G3812" t="s">
        <v>27026</v>
      </c>
    </row>
    <row r="3813" spans="1:7">
      <c r="A3813" t="s">
        <v>27028</v>
      </c>
      <c r="B3813" t="s">
        <v>8626</v>
      </c>
      <c r="F3813" t="s">
        <v>8623</v>
      </c>
      <c r="G3813" t="s">
        <v>24297</v>
      </c>
    </row>
    <row r="3814" spans="1:7">
      <c r="A3814" t="s">
        <v>27029</v>
      </c>
      <c r="B3814" t="s">
        <v>8626</v>
      </c>
      <c r="G3814" t="s">
        <v>27030</v>
      </c>
    </row>
    <row r="3815" spans="1:7">
      <c r="A3815" t="s">
        <v>27031</v>
      </c>
      <c r="B3815" t="s">
        <v>8626</v>
      </c>
      <c r="F3815" t="s">
        <v>8623</v>
      </c>
      <c r="G3815" t="s">
        <v>24297</v>
      </c>
    </row>
    <row r="3816" spans="1:7">
      <c r="A3816" t="s">
        <v>27032</v>
      </c>
      <c r="B3816" t="s">
        <v>8626</v>
      </c>
      <c r="F3816" t="s">
        <v>13938</v>
      </c>
      <c r="G3816" t="s">
        <v>27033</v>
      </c>
    </row>
    <row r="3817" spans="1:7">
      <c r="A3817" t="s">
        <v>27034</v>
      </c>
      <c r="B3817" t="s">
        <v>8607</v>
      </c>
      <c r="F3817" t="s">
        <v>27035</v>
      </c>
      <c r="G3817" t="s">
        <v>27036</v>
      </c>
    </row>
    <row r="3818" spans="1:7">
      <c r="A3818" t="s">
        <v>27037</v>
      </c>
      <c r="B3818" t="s">
        <v>8626</v>
      </c>
      <c r="F3818" t="s">
        <v>26204</v>
      </c>
      <c r="G3818" t="s">
        <v>27038</v>
      </c>
    </row>
    <row r="3819" spans="1:7">
      <c r="A3819" t="s">
        <v>27039</v>
      </c>
      <c r="B3819" t="s">
        <v>8607</v>
      </c>
      <c r="F3819" t="s">
        <v>27040</v>
      </c>
      <c r="G3819" t="s">
        <v>27041</v>
      </c>
    </row>
    <row r="3820" spans="1:7">
      <c r="A3820" t="s">
        <v>27042</v>
      </c>
      <c r="B3820" t="s">
        <v>8607</v>
      </c>
      <c r="G3820" t="s">
        <v>26688</v>
      </c>
    </row>
    <row r="3821" spans="1:7">
      <c r="A3821" t="s">
        <v>27043</v>
      </c>
      <c r="B3821" t="s">
        <v>8607</v>
      </c>
      <c r="F3821" t="s">
        <v>27044</v>
      </c>
      <c r="G3821" t="s">
        <v>27045</v>
      </c>
    </row>
    <row r="3822" spans="1:7">
      <c r="A3822" t="s">
        <v>27046</v>
      </c>
      <c r="B3822" t="s">
        <v>8607</v>
      </c>
      <c r="F3822" t="s">
        <v>27047</v>
      </c>
      <c r="G3822" t="s">
        <v>26923</v>
      </c>
    </row>
    <row r="3823" spans="1:7">
      <c r="A3823" t="s">
        <v>27048</v>
      </c>
      <c r="B3823" t="s">
        <v>8626</v>
      </c>
      <c r="F3823" t="s">
        <v>19419</v>
      </c>
      <c r="G3823" t="s">
        <v>27049</v>
      </c>
    </row>
    <row r="3824" spans="1:7">
      <c r="A3824" t="s">
        <v>27050</v>
      </c>
      <c r="B3824" t="s">
        <v>8626</v>
      </c>
      <c r="G3824" t="s">
        <v>26892</v>
      </c>
    </row>
    <row r="3825" spans="1:7">
      <c r="A3825" t="s">
        <v>27051</v>
      </c>
      <c r="B3825" t="s">
        <v>8607</v>
      </c>
      <c r="C3825" t="s">
        <v>26166</v>
      </c>
      <c r="F3825" t="s">
        <v>9018</v>
      </c>
      <c r="G3825" t="s">
        <v>27052</v>
      </c>
    </row>
    <row r="3826" spans="1:7">
      <c r="A3826" t="s">
        <v>27053</v>
      </c>
      <c r="B3826" t="s">
        <v>8626</v>
      </c>
      <c r="G3826" t="s">
        <v>27054</v>
      </c>
    </row>
    <row r="3827" spans="1:7">
      <c r="A3827" t="s">
        <v>27055</v>
      </c>
      <c r="G3827" t="s">
        <v>27056</v>
      </c>
    </row>
    <row r="3828" spans="1:7">
      <c r="A3828" t="s">
        <v>27057</v>
      </c>
      <c r="B3828" t="s">
        <v>8607</v>
      </c>
      <c r="F3828" t="s">
        <v>26104</v>
      </c>
      <c r="G3828" t="s">
        <v>26236</v>
      </c>
    </row>
    <row r="3829" spans="1:7">
      <c r="A3829" t="s">
        <v>27058</v>
      </c>
      <c r="B3829" t="s">
        <v>8607</v>
      </c>
      <c r="F3829" t="s">
        <v>26173</v>
      </c>
      <c r="G3829" t="s">
        <v>26174</v>
      </c>
    </row>
    <row r="3830" spans="1:7">
      <c r="A3830" t="s">
        <v>27059</v>
      </c>
      <c r="B3830" t="s">
        <v>8607</v>
      </c>
      <c r="F3830" t="s">
        <v>26176</v>
      </c>
      <c r="G3830" t="s">
        <v>26177</v>
      </c>
    </row>
    <row r="3831" spans="1:7">
      <c r="A3831" t="s">
        <v>27060</v>
      </c>
      <c r="B3831" t="s">
        <v>8607</v>
      </c>
      <c r="C3831" t="s">
        <v>15608</v>
      </c>
      <c r="F3831" t="s">
        <v>15609</v>
      </c>
      <c r="G3831" t="s">
        <v>27061</v>
      </c>
    </row>
    <row r="3832" spans="1:7">
      <c r="A3832" t="s">
        <v>27062</v>
      </c>
      <c r="B3832" t="s">
        <v>8626</v>
      </c>
      <c r="F3832" t="s">
        <v>27063</v>
      </c>
      <c r="G3832" t="s">
        <v>27064</v>
      </c>
    </row>
    <row r="3833" spans="1:7">
      <c r="A3833" t="s">
        <v>27065</v>
      </c>
      <c r="B3833" t="s">
        <v>8607</v>
      </c>
      <c r="F3833" t="s">
        <v>9018</v>
      </c>
      <c r="G3833" t="s">
        <v>27066</v>
      </c>
    </row>
    <row r="3834" spans="1:7">
      <c r="A3834" t="s">
        <v>27067</v>
      </c>
      <c r="B3834" t="s">
        <v>8607</v>
      </c>
      <c r="F3834" t="s">
        <v>22942</v>
      </c>
      <c r="G3834" t="s">
        <v>22961</v>
      </c>
    </row>
    <row r="3835" spans="1:7">
      <c r="A3835" t="s">
        <v>27068</v>
      </c>
      <c r="G3835" t="s">
        <v>27069</v>
      </c>
    </row>
    <row r="3836" spans="1:7">
      <c r="A3836" t="s">
        <v>27070</v>
      </c>
      <c r="B3836" t="s">
        <v>8607</v>
      </c>
      <c r="G3836" t="s">
        <v>10814</v>
      </c>
    </row>
    <row r="3837" spans="1:7">
      <c r="A3837" t="s">
        <v>27071</v>
      </c>
      <c r="B3837" t="s">
        <v>8626</v>
      </c>
      <c r="F3837" t="s">
        <v>26754</v>
      </c>
      <c r="G3837" t="s">
        <v>27072</v>
      </c>
    </row>
    <row r="3838" spans="1:7">
      <c r="A3838" t="s">
        <v>27073</v>
      </c>
      <c r="B3838" t="s">
        <v>8626</v>
      </c>
      <c r="G3838" t="s">
        <v>27074</v>
      </c>
    </row>
    <row r="3839" spans="1:7">
      <c r="A3839" t="s">
        <v>27075</v>
      </c>
      <c r="G3839" t="s">
        <v>27076</v>
      </c>
    </row>
    <row r="3840" spans="1:7">
      <c r="A3840" t="s">
        <v>27077</v>
      </c>
      <c r="B3840" t="s">
        <v>8607</v>
      </c>
      <c r="C3840" t="s">
        <v>27078</v>
      </c>
      <c r="F3840" t="s">
        <v>19996</v>
      </c>
      <c r="G3840" t="s">
        <v>27079</v>
      </c>
    </row>
    <row r="3841" spans="1:7">
      <c r="A3841" t="s">
        <v>27080</v>
      </c>
      <c r="B3841" t="s">
        <v>8626</v>
      </c>
      <c r="F3841" t="s">
        <v>26399</v>
      </c>
      <c r="G3841" t="s">
        <v>26400</v>
      </c>
    </row>
    <row r="3842" spans="1:7">
      <c r="A3842" t="s">
        <v>27081</v>
      </c>
      <c r="B3842" t="s">
        <v>8626</v>
      </c>
      <c r="F3842" t="s">
        <v>8623</v>
      </c>
      <c r="G3842" t="s">
        <v>24297</v>
      </c>
    </row>
    <row r="3843" spans="1:7">
      <c r="A3843" t="s">
        <v>27082</v>
      </c>
      <c r="B3843" t="s">
        <v>8626</v>
      </c>
      <c r="F3843" t="s">
        <v>8623</v>
      </c>
      <c r="G3843" t="s">
        <v>24297</v>
      </c>
    </row>
    <row r="3844" spans="1:7">
      <c r="A3844" t="s">
        <v>27083</v>
      </c>
      <c r="B3844" t="s">
        <v>8607</v>
      </c>
      <c r="F3844" t="s">
        <v>17349</v>
      </c>
      <c r="G3844" t="s">
        <v>27084</v>
      </c>
    </row>
    <row r="3845" spans="1:7">
      <c r="A3845" t="s">
        <v>27085</v>
      </c>
      <c r="B3845" t="s">
        <v>8607</v>
      </c>
      <c r="F3845" t="s">
        <v>19380</v>
      </c>
      <c r="G3845" t="s">
        <v>27086</v>
      </c>
    </row>
    <row r="3846" spans="1:7">
      <c r="A3846" t="s">
        <v>27087</v>
      </c>
      <c r="B3846" t="s">
        <v>8626</v>
      </c>
      <c r="F3846" t="s">
        <v>18854</v>
      </c>
      <c r="G3846" t="s">
        <v>27088</v>
      </c>
    </row>
    <row r="3847" spans="1:7">
      <c r="A3847" t="s">
        <v>27089</v>
      </c>
      <c r="B3847" t="s">
        <v>8607</v>
      </c>
      <c r="F3847" t="s">
        <v>26465</v>
      </c>
      <c r="G3847" t="s">
        <v>27090</v>
      </c>
    </row>
    <row r="3848" spans="1:7">
      <c r="A3848" t="s">
        <v>27091</v>
      </c>
      <c r="B3848" t="s">
        <v>8607</v>
      </c>
      <c r="C3848" t="s">
        <v>27092</v>
      </c>
      <c r="F3848" t="s">
        <v>9018</v>
      </c>
      <c r="G3848" t="s">
        <v>27093</v>
      </c>
    </row>
    <row r="3849" spans="1:7">
      <c r="A3849" t="s">
        <v>27094</v>
      </c>
      <c r="B3849" t="s">
        <v>8607</v>
      </c>
      <c r="G3849" t="s">
        <v>27095</v>
      </c>
    </row>
    <row r="3850" spans="1:7">
      <c r="A3850" t="s">
        <v>27096</v>
      </c>
      <c r="B3850" t="s">
        <v>8607</v>
      </c>
      <c r="F3850" t="s">
        <v>26343</v>
      </c>
      <c r="G3850" t="s">
        <v>27097</v>
      </c>
    </row>
    <row r="3851" spans="1:7">
      <c r="A3851" t="s">
        <v>27098</v>
      </c>
      <c r="B3851" t="s">
        <v>8607</v>
      </c>
      <c r="F3851" t="s">
        <v>26179</v>
      </c>
      <c r="G3851" t="s">
        <v>27099</v>
      </c>
    </row>
    <row r="3852" spans="1:7">
      <c r="A3852" t="s">
        <v>27100</v>
      </c>
      <c r="B3852" t="s">
        <v>8607</v>
      </c>
      <c r="F3852" t="s">
        <v>9018</v>
      </c>
      <c r="G3852" t="s">
        <v>27101</v>
      </c>
    </row>
    <row r="3853" spans="1:7">
      <c r="A3853" t="s">
        <v>27102</v>
      </c>
      <c r="B3853" t="s">
        <v>8626</v>
      </c>
      <c r="F3853" t="s">
        <v>27103</v>
      </c>
      <c r="G3853" t="s">
        <v>27104</v>
      </c>
    </row>
    <row r="3854" spans="1:7">
      <c r="A3854" t="s">
        <v>27105</v>
      </c>
      <c r="B3854" t="s">
        <v>8607</v>
      </c>
      <c r="G3854" t="s">
        <v>23965</v>
      </c>
    </row>
    <row r="3855" spans="1:7">
      <c r="A3855" t="s">
        <v>27106</v>
      </c>
      <c r="B3855" t="s">
        <v>8607</v>
      </c>
      <c r="G3855" t="s">
        <v>26570</v>
      </c>
    </row>
    <row r="3856" spans="1:7">
      <c r="A3856" t="s">
        <v>27107</v>
      </c>
      <c r="B3856" t="s">
        <v>8607</v>
      </c>
      <c r="G3856" t="s">
        <v>26572</v>
      </c>
    </row>
    <row r="3857" spans="1:7">
      <c r="A3857" t="s">
        <v>27108</v>
      </c>
      <c r="B3857" t="s">
        <v>8607</v>
      </c>
      <c r="G3857" t="s">
        <v>26628</v>
      </c>
    </row>
    <row r="3858" spans="1:7">
      <c r="A3858" t="s">
        <v>27109</v>
      </c>
      <c r="B3858" t="s">
        <v>8607</v>
      </c>
      <c r="G3858" t="s">
        <v>27110</v>
      </c>
    </row>
    <row r="3859" spans="1:7">
      <c r="A3859" t="s">
        <v>27111</v>
      </c>
      <c r="B3859" t="s">
        <v>8607</v>
      </c>
      <c r="G3859" t="s">
        <v>22411</v>
      </c>
    </row>
    <row r="3860" spans="1:7">
      <c r="A3860" t="s">
        <v>27112</v>
      </c>
      <c r="B3860" t="s">
        <v>8607</v>
      </c>
      <c r="F3860" t="s">
        <v>26176</v>
      </c>
      <c r="G3860" t="s">
        <v>26177</v>
      </c>
    </row>
    <row r="3861" spans="1:7">
      <c r="A3861" t="s">
        <v>27113</v>
      </c>
      <c r="B3861" t="s">
        <v>8607</v>
      </c>
      <c r="F3861" t="s">
        <v>12464</v>
      </c>
      <c r="G3861" t="s">
        <v>27114</v>
      </c>
    </row>
    <row r="3862" spans="1:7">
      <c r="A3862" t="s">
        <v>27115</v>
      </c>
      <c r="B3862" t="s">
        <v>8607</v>
      </c>
      <c r="F3862" t="s">
        <v>17429</v>
      </c>
      <c r="G3862" t="s">
        <v>27116</v>
      </c>
    </row>
    <row r="3863" spans="1:7">
      <c r="A3863" t="s">
        <v>27117</v>
      </c>
      <c r="B3863" t="s">
        <v>8607</v>
      </c>
      <c r="C3863" t="s">
        <v>26479</v>
      </c>
      <c r="F3863" t="s">
        <v>9018</v>
      </c>
      <c r="G3863" t="s">
        <v>27118</v>
      </c>
    </row>
    <row r="3864" spans="1:7">
      <c r="A3864" t="s">
        <v>27119</v>
      </c>
      <c r="B3864" t="s">
        <v>8607</v>
      </c>
      <c r="G3864" t="s">
        <v>27120</v>
      </c>
    </row>
    <row r="3865" spans="1:7">
      <c r="A3865" t="s">
        <v>27121</v>
      </c>
      <c r="B3865" t="s">
        <v>8607</v>
      </c>
      <c r="F3865" t="s">
        <v>26116</v>
      </c>
      <c r="G3865" t="s">
        <v>27122</v>
      </c>
    </row>
    <row r="3866" spans="1:7">
      <c r="A3866" t="s">
        <v>27123</v>
      </c>
      <c r="B3866" t="s">
        <v>8626</v>
      </c>
      <c r="F3866" t="s">
        <v>27124</v>
      </c>
      <c r="G3866" t="s">
        <v>27125</v>
      </c>
    </row>
    <row r="3867" spans="1:7">
      <c r="A3867" t="s">
        <v>27126</v>
      </c>
      <c r="B3867" t="s">
        <v>8607</v>
      </c>
      <c r="F3867" t="s">
        <v>26919</v>
      </c>
      <c r="G3867" t="s">
        <v>26920</v>
      </c>
    </row>
    <row r="3868" spans="1:7">
      <c r="A3868" t="s">
        <v>27127</v>
      </c>
      <c r="G3868" t="s">
        <v>27128</v>
      </c>
    </row>
    <row r="3869" spans="1:7">
      <c r="A3869" t="s">
        <v>27129</v>
      </c>
      <c r="B3869" t="s">
        <v>8607</v>
      </c>
      <c r="G3869" t="s">
        <v>26226</v>
      </c>
    </row>
    <row r="3870" spans="1:7">
      <c r="A3870" t="s">
        <v>27130</v>
      </c>
      <c r="B3870" t="s">
        <v>8607</v>
      </c>
      <c r="G3870" t="s">
        <v>26326</v>
      </c>
    </row>
    <row r="3871" spans="1:7">
      <c r="A3871" t="s">
        <v>27131</v>
      </c>
      <c r="B3871" t="s">
        <v>8626</v>
      </c>
      <c r="C3871" t="s">
        <v>26107</v>
      </c>
      <c r="F3871" t="s">
        <v>26108</v>
      </c>
      <c r="G3871" t="s">
        <v>27132</v>
      </c>
    </row>
    <row r="3872" spans="1:7">
      <c r="A3872" t="s">
        <v>27133</v>
      </c>
      <c r="G3872" t="s">
        <v>27134</v>
      </c>
    </row>
    <row r="3873" spans="1:7">
      <c r="A3873" t="s">
        <v>27135</v>
      </c>
      <c r="B3873" t="s">
        <v>8607</v>
      </c>
      <c r="F3873" t="s">
        <v>26980</v>
      </c>
      <c r="G3873" t="s">
        <v>26981</v>
      </c>
    </row>
    <row r="3874" spans="1:7">
      <c r="A3874" t="s">
        <v>27136</v>
      </c>
      <c r="B3874" t="s">
        <v>8607</v>
      </c>
      <c r="G3874" t="s">
        <v>23965</v>
      </c>
    </row>
    <row r="3875" spans="1:7">
      <c r="A3875" t="s">
        <v>27137</v>
      </c>
      <c r="B3875" t="s">
        <v>8626</v>
      </c>
      <c r="F3875" t="s">
        <v>11725</v>
      </c>
      <c r="G3875" t="s">
        <v>27138</v>
      </c>
    </row>
    <row r="3876" spans="1:7">
      <c r="A3876" t="s">
        <v>27139</v>
      </c>
      <c r="B3876" t="s">
        <v>8607</v>
      </c>
      <c r="G3876" t="s">
        <v>26570</v>
      </c>
    </row>
    <row r="3877" spans="1:7">
      <c r="A3877" t="s">
        <v>27140</v>
      </c>
      <c r="B3877" t="s">
        <v>8607</v>
      </c>
      <c r="G3877" t="s">
        <v>26572</v>
      </c>
    </row>
    <row r="3878" spans="1:7">
      <c r="A3878" t="s">
        <v>27141</v>
      </c>
      <c r="B3878" t="s">
        <v>8626</v>
      </c>
      <c r="G3878" t="s">
        <v>27142</v>
      </c>
    </row>
    <row r="3879" spans="1:7">
      <c r="A3879" t="s">
        <v>27143</v>
      </c>
      <c r="G3879" t="s">
        <v>27144</v>
      </c>
    </row>
    <row r="3880" spans="1:7">
      <c r="A3880" t="s">
        <v>27145</v>
      </c>
      <c r="G3880" t="s">
        <v>27146</v>
      </c>
    </row>
    <row r="3881" spans="1:7">
      <c r="A3881" t="s">
        <v>27147</v>
      </c>
      <c r="G3881" t="s">
        <v>27148</v>
      </c>
    </row>
    <row r="3882" spans="1:7">
      <c r="A3882" t="s">
        <v>27149</v>
      </c>
      <c r="B3882" t="s">
        <v>8607</v>
      </c>
      <c r="F3882" t="s">
        <v>8629</v>
      </c>
      <c r="G3882" t="s">
        <v>27150</v>
      </c>
    </row>
    <row r="3883" spans="1:7">
      <c r="A3883" t="s">
        <v>27151</v>
      </c>
      <c r="B3883" t="s">
        <v>8626</v>
      </c>
      <c r="C3883" t="s">
        <v>25883</v>
      </c>
      <c r="F3883" t="s">
        <v>17305</v>
      </c>
      <c r="G3883" t="s">
        <v>27152</v>
      </c>
    </row>
    <row r="3884" spans="1:7">
      <c r="A3884" t="s">
        <v>27153</v>
      </c>
      <c r="B3884" t="s">
        <v>8607</v>
      </c>
      <c r="G3884" t="s">
        <v>26403</v>
      </c>
    </row>
    <row r="3885" spans="1:7">
      <c r="A3885" t="s">
        <v>27154</v>
      </c>
      <c r="B3885" t="s">
        <v>8607</v>
      </c>
      <c r="F3885" t="s">
        <v>12458</v>
      </c>
      <c r="G3885" t="s">
        <v>27155</v>
      </c>
    </row>
    <row r="3886" spans="1:7">
      <c r="A3886" t="s">
        <v>27156</v>
      </c>
      <c r="B3886" t="s">
        <v>8626</v>
      </c>
      <c r="F3886" t="s">
        <v>18361</v>
      </c>
      <c r="G3886" t="s">
        <v>27157</v>
      </c>
    </row>
    <row r="3887" spans="1:7">
      <c r="A3887" t="s">
        <v>27158</v>
      </c>
      <c r="B3887" t="s">
        <v>8607</v>
      </c>
      <c r="C3887" t="s">
        <v>27159</v>
      </c>
      <c r="F3887" t="s">
        <v>27160</v>
      </c>
      <c r="G3887" t="s">
        <v>27161</v>
      </c>
    </row>
    <row r="3888" spans="1:7">
      <c r="A3888" t="s">
        <v>27162</v>
      </c>
      <c r="B3888" t="s">
        <v>8607</v>
      </c>
      <c r="C3888" t="s">
        <v>27163</v>
      </c>
      <c r="F3888" t="s">
        <v>27164</v>
      </c>
      <c r="G3888" t="s">
        <v>27165</v>
      </c>
    </row>
    <row r="3889" spans="1:7">
      <c r="A3889" t="s">
        <v>27166</v>
      </c>
      <c r="B3889" t="s">
        <v>8607</v>
      </c>
      <c r="F3889" t="s">
        <v>27167</v>
      </c>
      <c r="G3889" t="s">
        <v>27168</v>
      </c>
    </row>
    <row r="3890" spans="1:7">
      <c r="A3890" t="s">
        <v>27169</v>
      </c>
      <c r="B3890" t="s">
        <v>8607</v>
      </c>
      <c r="C3890" t="s">
        <v>10675</v>
      </c>
      <c r="F3890" t="s">
        <v>10676</v>
      </c>
      <c r="G3890" t="s">
        <v>27170</v>
      </c>
    </row>
    <row r="3891" spans="1:7">
      <c r="A3891" t="s">
        <v>27171</v>
      </c>
      <c r="B3891" t="s">
        <v>8607</v>
      </c>
      <c r="C3891" t="s">
        <v>27172</v>
      </c>
      <c r="F3891" t="s">
        <v>27173</v>
      </c>
      <c r="G3891" t="s">
        <v>27174</v>
      </c>
    </row>
    <row r="3892" spans="1:7">
      <c r="A3892" t="s">
        <v>27175</v>
      </c>
      <c r="B3892" t="s">
        <v>8607</v>
      </c>
      <c r="C3892" t="s">
        <v>27176</v>
      </c>
      <c r="F3892" t="s">
        <v>27173</v>
      </c>
      <c r="G3892" t="s">
        <v>27177</v>
      </c>
    </row>
    <row r="3893" spans="1:7">
      <c r="A3893" t="s">
        <v>27178</v>
      </c>
      <c r="B3893" t="s">
        <v>8626</v>
      </c>
      <c r="G3893" t="s">
        <v>27179</v>
      </c>
    </row>
    <row r="3894" spans="1:7">
      <c r="A3894" t="s">
        <v>27180</v>
      </c>
      <c r="G3894" t="s">
        <v>27181</v>
      </c>
    </row>
    <row r="3895" spans="1:7">
      <c r="A3895" t="s">
        <v>27182</v>
      </c>
      <c r="B3895" t="s">
        <v>8607</v>
      </c>
      <c r="G3895" t="s">
        <v>27183</v>
      </c>
    </row>
    <row r="3896" spans="1:7">
      <c r="A3896" t="s">
        <v>27184</v>
      </c>
      <c r="B3896" t="s">
        <v>8607</v>
      </c>
      <c r="F3896" t="s">
        <v>27185</v>
      </c>
      <c r="G3896" t="s">
        <v>27186</v>
      </c>
    </row>
    <row r="3897" spans="1:7">
      <c r="A3897" t="s">
        <v>27187</v>
      </c>
      <c r="B3897" t="s">
        <v>8607</v>
      </c>
      <c r="G3897" t="s">
        <v>27188</v>
      </c>
    </row>
    <row r="3898" spans="1:7">
      <c r="A3898" t="s">
        <v>27189</v>
      </c>
      <c r="B3898" t="s">
        <v>8607</v>
      </c>
      <c r="F3898" t="s">
        <v>26268</v>
      </c>
      <c r="G3898" t="s">
        <v>26269</v>
      </c>
    </row>
    <row r="3899" spans="1:7">
      <c r="A3899" t="s">
        <v>27190</v>
      </c>
      <c r="B3899" t="s">
        <v>8607</v>
      </c>
      <c r="F3899" t="s">
        <v>8623</v>
      </c>
      <c r="G3899" t="s">
        <v>27191</v>
      </c>
    </row>
    <row r="3900" spans="1:7">
      <c r="A3900" t="s">
        <v>27192</v>
      </c>
      <c r="B3900" t="s">
        <v>8607</v>
      </c>
      <c r="F3900" t="s">
        <v>27193</v>
      </c>
      <c r="G3900" t="s">
        <v>27194</v>
      </c>
    </row>
    <row r="3901" spans="1:7">
      <c r="A3901" t="s">
        <v>27195</v>
      </c>
      <c r="B3901" t="s">
        <v>8607</v>
      </c>
      <c r="F3901" t="s">
        <v>27196</v>
      </c>
      <c r="G3901" t="s">
        <v>27197</v>
      </c>
    </row>
    <row r="3902" spans="1:7">
      <c r="A3902" t="s">
        <v>27198</v>
      </c>
      <c r="B3902" t="s">
        <v>8607</v>
      </c>
      <c r="F3902" t="s">
        <v>9476</v>
      </c>
      <c r="G3902" t="s">
        <v>27199</v>
      </c>
    </row>
    <row r="3903" spans="1:7">
      <c r="A3903" t="s">
        <v>27200</v>
      </c>
      <c r="B3903" t="s">
        <v>8607</v>
      </c>
      <c r="F3903" t="s">
        <v>27201</v>
      </c>
      <c r="G3903" t="s">
        <v>27202</v>
      </c>
    </row>
    <row r="3904" spans="1:7">
      <c r="A3904" t="s">
        <v>27203</v>
      </c>
      <c r="B3904" t="s">
        <v>8607</v>
      </c>
      <c r="G3904" t="s">
        <v>27204</v>
      </c>
    </row>
    <row r="3905" spans="1:7">
      <c r="A3905" t="s">
        <v>27205</v>
      </c>
      <c r="B3905" t="s">
        <v>8607</v>
      </c>
      <c r="G3905" t="s">
        <v>27206</v>
      </c>
    </row>
    <row r="3906" spans="1:7">
      <c r="A3906" t="s">
        <v>27207</v>
      </c>
      <c r="B3906" t="s">
        <v>8607</v>
      </c>
      <c r="G3906" t="s">
        <v>26217</v>
      </c>
    </row>
    <row r="3907" spans="1:7">
      <c r="A3907" t="s">
        <v>27208</v>
      </c>
      <c r="B3907" t="s">
        <v>8607</v>
      </c>
      <c r="F3907" t="s">
        <v>26474</v>
      </c>
      <c r="G3907" t="s">
        <v>26475</v>
      </c>
    </row>
    <row r="3908" spans="1:7">
      <c r="A3908" t="s">
        <v>27209</v>
      </c>
      <c r="B3908" t="s">
        <v>8626</v>
      </c>
      <c r="G3908" t="s">
        <v>27003</v>
      </c>
    </row>
    <row r="3909" spans="1:7">
      <c r="A3909" t="s">
        <v>27210</v>
      </c>
      <c r="B3909" t="s">
        <v>8607</v>
      </c>
      <c r="G3909" t="s">
        <v>26403</v>
      </c>
    </row>
    <row r="3910" spans="1:7">
      <c r="A3910" t="s">
        <v>27211</v>
      </c>
      <c r="B3910" t="s">
        <v>8607</v>
      </c>
      <c r="F3910" t="s">
        <v>8623</v>
      </c>
      <c r="G3910" t="s">
        <v>26395</v>
      </c>
    </row>
    <row r="3911" spans="1:7">
      <c r="A3911" t="s">
        <v>27212</v>
      </c>
      <c r="B3911" t="s">
        <v>8626</v>
      </c>
      <c r="G3911" t="s">
        <v>27213</v>
      </c>
    </row>
    <row r="3912" spans="1:7">
      <c r="A3912" t="s">
        <v>27214</v>
      </c>
      <c r="B3912" t="s">
        <v>8607</v>
      </c>
      <c r="C3912" t="s">
        <v>27215</v>
      </c>
      <c r="F3912" t="s">
        <v>27216</v>
      </c>
      <c r="G3912" t="s">
        <v>27217</v>
      </c>
    </row>
    <row r="3913" spans="1:7">
      <c r="A3913" t="s">
        <v>27218</v>
      </c>
      <c r="B3913" t="s">
        <v>8607</v>
      </c>
      <c r="C3913" t="s">
        <v>27219</v>
      </c>
      <c r="F3913" t="s">
        <v>27220</v>
      </c>
      <c r="G3913" t="s">
        <v>27221</v>
      </c>
    </row>
    <row r="3914" spans="1:7">
      <c r="A3914" t="s">
        <v>27222</v>
      </c>
      <c r="G3914" t="s">
        <v>27223</v>
      </c>
    </row>
    <row r="3915" spans="1:7">
      <c r="A3915" t="s">
        <v>27224</v>
      </c>
      <c r="B3915" t="s">
        <v>8607</v>
      </c>
      <c r="C3915" t="s">
        <v>27225</v>
      </c>
      <c r="F3915" t="s">
        <v>27047</v>
      </c>
      <c r="G3915" t="s">
        <v>26923</v>
      </c>
    </row>
    <row r="3916" spans="1:7">
      <c r="A3916" t="s">
        <v>27226</v>
      </c>
      <c r="B3916" t="s">
        <v>8626</v>
      </c>
      <c r="F3916" t="s">
        <v>27227</v>
      </c>
      <c r="G3916" t="s">
        <v>27228</v>
      </c>
    </row>
    <row r="3917" spans="1:7">
      <c r="A3917" t="s">
        <v>27229</v>
      </c>
      <c r="B3917" t="s">
        <v>8607</v>
      </c>
      <c r="G3917" t="s">
        <v>26470</v>
      </c>
    </row>
    <row r="3918" spans="1:7">
      <c r="A3918" t="s">
        <v>27230</v>
      </c>
      <c r="B3918" t="s">
        <v>8607</v>
      </c>
      <c r="G3918" t="s">
        <v>26155</v>
      </c>
    </row>
    <row r="3919" spans="1:7">
      <c r="A3919" t="s">
        <v>27231</v>
      </c>
      <c r="B3919" t="s">
        <v>8607</v>
      </c>
      <c r="F3919" t="s">
        <v>26919</v>
      </c>
      <c r="G3919" t="s">
        <v>26920</v>
      </c>
    </row>
    <row r="3920" spans="1:7">
      <c r="A3920" t="s">
        <v>27232</v>
      </c>
      <c r="B3920" t="s">
        <v>8607</v>
      </c>
      <c r="F3920" t="s">
        <v>26989</v>
      </c>
      <c r="G3920" t="s">
        <v>27233</v>
      </c>
    </row>
    <row r="3921" spans="1:7">
      <c r="A3921" t="s">
        <v>27234</v>
      </c>
      <c r="B3921" t="s">
        <v>8607</v>
      </c>
      <c r="F3921" t="s">
        <v>26992</v>
      </c>
      <c r="G3921" t="s">
        <v>26993</v>
      </c>
    </row>
    <row r="3922" spans="1:7">
      <c r="A3922" t="s">
        <v>27235</v>
      </c>
      <c r="B3922" t="s">
        <v>8607</v>
      </c>
      <c r="F3922" t="s">
        <v>26995</v>
      </c>
      <c r="G3922" t="s">
        <v>26996</v>
      </c>
    </row>
    <row r="3923" spans="1:7">
      <c r="A3923" t="s">
        <v>27236</v>
      </c>
      <c r="B3923" t="s">
        <v>8607</v>
      </c>
      <c r="F3923" t="s">
        <v>19188</v>
      </c>
      <c r="G3923" t="s">
        <v>19189</v>
      </c>
    </row>
    <row r="3924" spans="1:7">
      <c r="A3924" t="s">
        <v>27237</v>
      </c>
      <c r="B3924" t="s">
        <v>8607</v>
      </c>
      <c r="C3924" t="s">
        <v>26479</v>
      </c>
      <c r="F3924" t="s">
        <v>9018</v>
      </c>
      <c r="G3924" t="s">
        <v>27238</v>
      </c>
    </row>
    <row r="3925" spans="1:7">
      <c r="A3925" t="s">
        <v>27239</v>
      </c>
      <c r="B3925" t="s">
        <v>8607</v>
      </c>
      <c r="F3925" t="s">
        <v>9018</v>
      </c>
      <c r="G3925" t="s">
        <v>27240</v>
      </c>
    </row>
    <row r="3926" spans="1:7">
      <c r="A3926" t="s">
        <v>27241</v>
      </c>
      <c r="B3926" t="s">
        <v>8626</v>
      </c>
      <c r="F3926" t="s">
        <v>18854</v>
      </c>
      <c r="G3926" t="s">
        <v>27242</v>
      </c>
    </row>
    <row r="3927" spans="1:7">
      <c r="A3927" t="s">
        <v>27243</v>
      </c>
      <c r="B3927" t="s">
        <v>8607</v>
      </c>
      <c r="F3927" t="s">
        <v>26179</v>
      </c>
      <c r="G3927" t="s">
        <v>27244</v>
      </c>
    </row>
    <row r="3928" spans="1:7">
      <c r="A3928" t="s">
        <v>27245</v>
      </c>
      <c r="B3928" t="s">
        <v>8607</v>
      </c>
      <c r="F3928" t="s">
        <v>20844</v>
      </c>
      <c r="G3928" t="s">
        <v>27246</v>
      </c>
    </row>
    <row r="3929" spans="1:7">
      <c r="A3929" t="s">
        <v>27247</v>
      </c>
      <c r="B3929" t="s">
        <v>8607</v>
      </c>
      <c r="F3929" t="s">
        <v>26176</v>
      </c>
      <c r="G3929" t="s">
        <v>27248</v>
      </c>
    </row>
    <row r="3930" spans="1:7">
      <c r="A3930" t="s">
        <v>27249</v>
      </c>
      <c r="B3930" t="s">
        <v>8607</v>
      </c>
      <c r="F3930" t="s">
        <v>26176</v>
      </c>
      <c r="G3930" t="s">
        <v>27250</v>
      </c>
    </row>
    <row r="3931" spans="1:7">
      <c r="A3931" t="s">
        <v>27251</v>
      </c>
      <c r="B3931" t="s">
        <v>8626</v>
      </c>
      <c r="C3931" t="s">
        <v>27252</v>
      </c>
      <c r="F3931" t="s">
        <v>27253</v>
      </c>
      <c r="G3931" t="s">
        <v>27254</v>
      </c>
    </row>
    <row r="3932" spans="1:7">
      <c r="A3932" t="s">
        <v>27255</v>
      </c>
      <c r="B3932" t="s">
        <v>8607</v>
      </c>
      <c r="F3932" t="s">
        <v>17643</v>
      </c>
      <c r="G3932" t="s">
        <v>26701</v>
      </c>
    </row>
    <row r="3933" spans="1:7">
      <c r="A3933" t="s">
        <v>27256</v>
      </c>
      <c r="B3933" t="s">
        <v>8607</v>
      </c>
      <c r="C3933" t="s">
        <v>17308</v>
      </c>
      <c r="F3933" t="s">
        <v>17310</v>
      </c>
      <c r="G3933" t="s">
        <v>17581</v>
      </c>
    </row>
    <row r="3934" spans="1:7">
      <c r="A3934" t="s">
        <v>27257</v>
      </c>
      <c r="B3934" t="s">
        <v>8607</v>
      </c>
      <c r="G3934" t="s">
        <v>26326</v>
      </c>
    </row>
    <row r="3935" spans="1:7">
      <c r="A3935" t="s">
        <v>27258</v>
      </c>
      <c r="B3935" t="s">
        <v>8607</v>
      </c>
      <c r="F3935" t="s">
        <v>8623</v>
      </c>
      <c r="G3935" t="s">
        <v>11991</v>
      </c>
    </row>
    <row r="3936" spans="1:7">
      <c r="A3936" t="s">
        <v>27259</v>
      </c>
      <c r="B3936" t="s">
        <v>8607</v>
      </c>
      <c r="F3936" t="s">
        <v>9018</v>
      </c>
      <c r="G3936" t="s">
        <v>27260</v>
      </c>
    </row>
    <row r="3937" spans="1:7">
      <c r="A3937" t="s">
        <v>27261</v>
      </c>
      <c r="B3937" t="s">
        <v>8607</v>
      </c>
      <c r="G3937" t="s">
        <v>26278</v>
      </c>
    </row>
    <row r="3938" spans="1:7">
      <c r="A3938" t="s">
        <v>27262</v>
      </c>
      <c r="B3938" t="s">
        <v>8607</v>
      </c>
      <c r="F3938" t="s">
        <v>27263</v>
      </c>
      <c r="G3938" t="s">
        <v>20862</v>
      </c>
    </row>
    <row r="3939" spans="1:7">
      <c r="A3939" t="s">
        <v>27264</v>
      </c>
      <c r="B3939" t="s">
        <v>8626</v>
      </c>
      <c r="F3939" t="s">
        <v>27265</v>
      </c>
      <c r="G3939" t="s">
        <v>27266</v>
      </c>
    </row>
    <row r="3940" spans="1:7">
      <c r="A3940" t="s">
        <v>27267</v>
      </c>
      <c r="B3940" t="s">
        <v>8626</v>
      </c>
      <c r="F3940" t="s">
        <v>26928</v>
      </c>
      <c r="G3940" t="s">
        <v>16228</v>
      </c>
    </row>
    <row r="3941" spans="1:7">
      <c r="A3941" t="s">
        <v>27268</v>
      </c>
      <c r="B3941" t="s">
        <v>8607</v>
      </c>
      <c r="F3941" t="s">
        <v>8623</v>
      </c>
      <c r="G3941" t="s">
        <v>10704</v>
      </c>
    </row>
    <row r="3942" spans="1:7">
      <c r="A3942" t="s">
        <v>27269</v>
      </c>
      <c r="B3942" t="s">
        <v>8607</v>
      </c>
      <c r="F3942" t="s">
        <v>8623</v>
      </c>
      <c r="G3942" t="s">
        <v>11991</v>
      </c>
    </row>
    <row r="3943" spans="1:7">
      <c r="A3943" t="s">
        <v>27270</v>
      </c>
      <c r="B3943" t="s">
        <v>8607</v>
      </c>
      <c r="G3943" t="s">
        <v>11934</v>
      </c>
    </row>
    <row r="3944" spans="1:7">
      <c r="A3944" t="s">
        <v>27271</v>
      </c>
      <c r="B3944" t="s">
        <v>8607</v>
      </c>
      <c r="F3944" t="s">
        <v>14672</v>
      </c>
      <c r="G3944" t="s">
        <v>16306</v>
      </c>
    </row>
    <row r="3945" spans="1:7">
      <c r="A3945" t="s">
        <v>27272</v>
      </c>
      <c r="G3945" t="s">
        <v>27273</v>
      </c>
    </row>
    <row r="3946" spans="1:7">
      <c r="A3946" t="s">
        <v>27274</v>
      </c>
      <c r="B3946" t="s">
        <v>8607</v>
      </c>
      <c r="F3946" t="s">
        <v>27275</v>
      </c>
      <c r="G3946" t="s">
        <v>27276</v>
      </c>
    </row>
    <row r="3947" spans="1:7">
      <c r="A3947" t="s">
        <v>27277</v>
      </c>
      <c r="B3947" t="s">
        <v>8607</v>
      </c>
      <c r="F3947" t="s">
        <v>27278</v>
      </c>
      <c r="G3947" t="s">
        <v>27279</v>
      </c>
    </row>
    <row r="3948" spans="1:7">
      <c r="A3948" t="s">
        <v>27280</v>
      </c>
      <c r="B3948" t="s">
        <v>8607</v>
      </c>
      <c r="F3948" t="s">
        <v>19111</v>
      </c>
      <c r="G3948" t="s">
        <v>27281</v>
      </c>
    </row>
    <row r="3949" spans="1:7">
      <c r="A3949" t="s">
        <v>27282</v>
      </c>
      <c r="B3949" t="s">
        <v>8607</v>
      </c>
      <c r="F3949" t="s">
        <v>27283</v>
      </c>
      <c r="G3949" t="s">
        <v>27284</v>
      </c>
    </row>
    <row r="3950" spans="1:7">
      <c r="A3950" t="s">
        <v>27285</v>
      </c>
      <c r="B3950" t="s">
        <v>8607</v>
      </c>
      <c r="F3950" t="s">
        <v>27286</v>
      </c>
      <c r="G3950" t="s">
        <v>27287</v>
      </c>
    </row>
    <row r="3951" spans="1:7">
      <c r="A3951" t="s">
        <v>27288</v>
      </c>
      <c r="B3951" t="s">
        <v>8607</v>
      </c>
      <c r="C3951" t="s">
        <v>18553</v>
      </c>
      <c r="F3951" t="s">
        <v>9018</v>
      </c>
      <c r="G3951" t="s">
        <v>27289</v>
      </c>
    </row>
    <row r="3952" spans="1:7">
      <c r="A3952" t="s">
        <v>27290</v>
      </c>
      <c r="B3952" t="s">
        <v>8607</v>
      </c>
      <c r="F3952" t="s">
        <v>20051</v>
      </c>
      <c r="G3952" t="s">
        <v>27291</v>
      </c>
    </row>
    <row r="3953" spans="1:7">
      <c r="A3953" t="s">
        <v>27292</v>
      </c>
      <c r="B3953" t="s">
        <v>8607</v>
      </c>
      <c r="F3953" t="s">
        <v>9018</v>
      </c>
      <c r="G3953" t="s">
        <v>27293</v>
      </c>
    </row>
    <row r="3954" spans="1:7">
      <c r="A3954" t="s">
        <v>27294</v>
      </c>
      <c r="B3954" t="s">
        <v>8607</v>
      </c>
      <c r="F3954" t="s">
        <v>20051</v>
      </c>
      <c r="G3954" t="s">
        <v>27291</v>
      </c>
    </row>
    <row r="3955" spans="1:7">
      <c r="A3955" t="s">
        <v>27295</v>
      </c>
      <c r="B3955" t="s">
        <v>8607</v>
      </c>
      <c r="G3955" t="s">
        <v>27296</v>
      </c>
    </row>
    <row r="3956" spans="1:7">
      <c r="A3956" t="s">
        <v>27297</v>
      </c>
      <c r="B3956" t="s">
        <v>8607</v>
      </c>
      <c r="F3956" t="s">
        <v>26104</v>
      </c>
      <c r="G3956" t="s">
        <v>27298</v>
      </c>
    </row>
    <row r="3957" spans="1:7">
      <c r="A3957" t="s">
        <v>27299</v>
      </c>
      <c r="B3957" t="s">
        <v>8607</v>
      </c>
      <c r="C3957" t="s">
        <v>26107</v>
      </c>
      <c r="F3957" t="s">
        <v>26108</v>
      </c>
      <c r="G3957" t="s">
        <v>27300</v>
      </c>
    </row>
    <row r="3958" spans="1:7">
      <c r="A3958" t="s">
        <v>27301</v>
      </c>
      <c r="B3958" t="s">
        <v>8626</v>
      </c>
      <c r="F3958" t="s">
        <v>26176</v>
      </c>
      <c r="G3958" t="s">
        <v>27302</v>
      </c>
    </row>
    <row r="3959" spans="1:7">
      <c r="A3959" t="s">
        <v>27303</v>
      </c>
      <c r="B3959" t="s">
        <v>8607</v>
      </c>
      <c r="F3959" t="s">
        <v>16287</v>
      </c>
      <c r="G3959" t="s">
        <v>27304</v>
      </c>
    </row>
    <row r="3960" spans="1:7">
      <c r="A3960" t="s">
        <v>27305</v>
      </c>
      <c r="B3960" t="s">
        <v>8607</v>
      </c>
      <c r="C3960" t="s">
        <v>27172</v>
      </c>
      <c r="F3960" t="s">
        <v>27173</v>
      </c>
      <c r="G3960" t="s">
        <v>27174</v>
      </c>
    </row>
    <row r="3961" spans="1:7">
      <c r="A3961" t="s">
        <v>27306</v>
      </c>
      <c r="B3961" t="s">
        <v>8607</v>
      </c>
      <c r="C3961" t="s">
        <v>27176</v>
      </c>
      <c r="F3961" t="s">
        <v>27173</v>
      </c>
      <c r="G3961" t="s">
        <v>27177</v>
      </c>
    </row>
    <row r="3962" spans="1:7">
      <c r="A3962" t="s">
        <v>27307</v>
      </c>
      <c r="B3962" t="s">
        <v>8607</v>
      </c>
      <c r="C3962" t="s">
        <v>27308</v>
      </c>
      <c r="F3962" t="s">
        <v>27309</v>
      </c>
      <c r="G3962" t="s">
        <v>27310</v>
      </c>
    </row>
    <row r="3963" spans="1:7">
      <c r="A3963" t="s">
        <v>27311</v>
      </c>
      <c r="B3963" t="s">
        <v>8626</v>
      </c>
      <c r="F3963" t="s">
        <v>8623</v>
      </c>
      <c r="G3963" t="s">
        <v>27312</v>
      </c>
    </row>
    <row r="3964" spans="1:7">
      <c r="A3964" t="s">
        <v>27313</v>
      </c>
      <c r="B3964" t="s">
        <v>8626</v>
      </c>
      <c r="F3964" t="s">
        <v>17790</v>
      </c>
      <c r="G3964" t="s">
        <v>27314</v>
      </c>
    </row>
    <row r="3965" spans="1:7">
      <c r="A3965" t="s">
        <v>27315</v>
      </c>
      <c r="B3965" t="s">
        <v>8626</v>
      </c>
      <c r="F3965" t="s">
        <v>10427</v>
      </c>
      <c r="G3965" t="s">
        <v>27316</v>
      </c>
    </row>
    <row r="3966" spans="1:7">
      <c r="A3966" t="s">
        <v>27317</v>
      </c>
      <c r="G3966" t="s">
        <v>27318</v>
      </c>
    </row>
    <row r="3967" spans="1:7">
      <c r="A3967" t="s">
        <v>27319</v>
      </c>
      <c r="B3967" t="s">
        <v>8626</v>
      </c>
      <c r="G3967" t="s">
        <v>27320</v>
      </c>
    </row>
    <row r="3968" spans="1:7">
      <c r="A3968" t="s">
        <v>27321</v>
      </c>
      <c r="B3968" t="s">
        <v>8607</v>
      </c>
      <c r="F3968" t="s">
        <v>26855</v>
      </c>
      <c r="G3968" t="s">
        <v>17899</v>
      </c>
    </row>
    <row r="3969" spans="1:7">
      <c r="A3969" t="s">
        <v>27322</v>
      </c>
      <c r="B3969" t="s">
        <v>8607</v>
      </c>
      <c r="F3969" t="s">
        <v>27323</v>
      </c>
      <c r="G3969" t="s">
        <v>27324</v>
      </c>
    </row>
    <row r="3970" spans="1:7">
      <c r="A3970" t="s">
        <v>27325</v>
      </c>
      <c r="B3970" t="s">
        <v>8626</v>
      </c>
      <c r="G3970" t="s">
        <v>27326</v>
      </c>
    </row>
    <row r="3971" spans="1:7">
      <c r="A3971" t="s">
        <v>27327</v>
      </c>
      <c r="B3971" t="s">
        <v>8607</v>
      </c>
      <c r="F3971" t="s">
        <v>26855</v>
      </c>
      <c r="G3971" t="s">
        <v>17899</v>
      </c>
    </row>
    <row r="3972" spans="1:7">
      <c r="A3972" t="s">
        <v>27328</v>
      </c>
      <c r="B3972" t="s">
        <v>8607</v>
      </c>
      <c r="F3972" t="s">
        <v>27323</v>
      </c>
      <c r="G3972" t="s">
        <v>27324</v>
      </c>
    </row>
    <row r="3973" spans="1:7">
      <c r="A3973" t="s">
        <v>27329</v>
      </c>
      <c r="B3973" t="s">
        <v>8607</v>
      </c>
      <c r="G3973" t="s">
        <v>26652</v>
      </c>
    </row>
    <row r="3974" spans="1:7">
      <c r="A3974" t="s">
        <v>27330</v>
      </c>
      <c r="B3974" t="s">
        <v>8626</v>
      </c>
      <c r="F3974" t="s">
        <v>26654</v>
      </c>
      <c r="G3974" t="s">
        <v>27331</v>
      </c>
    </row>
    <row r="3975" spans="1:7">
      <c r="A3975" t="s">
        <v>27332</v>
      </c>
      <c r="B3975" t="s">
        <v>8607</v>
      </c>
      <c r="F3975" t="s">
        <v>27333</v>
      </c>
      <c r="G3975" t="s">
        <v>27334</v>
      </c>
    </row>
    <row r="3976" spans="1:7">
      <c r="A3976" t="s">
        <v>27335</v>
      </c>
      <c r="B3976" t="s">
        <v>8626</v>
      </c>
      <c r="F3976" t="s">
        <v>27336</v>
      </c>
      <c r="G3976" t="s">
        <v>27337</v>
      </c>
    </row>
    <row r="3977" spans="1:7">
      <c r="A3977" t="s">
        <v>27338</v>
      </c>
      <c r="B3977" t="s">
        <v>8607</v>
      </c>
      <c r="F3977" t="s">
        <v>27339</v>
      </c>
      <c r="G3977" t="s">
        <v>27340</v>
      </c>
    </row>
    <row r="3978" spans="1:7">
      <c r="A3978" t="s">
        <v>27341</v>
      </c>
      <c r="B3978" t="s">
        <v>8607</v>
      </c>
      <c r="F3978" t="s">
        <v>27342</v>
      </c>
      <c r="G3978" t="s">
        <v>27343</v>
      </c>
    </row>
    <row r="3979" spans="1:7">
      <c r="A3979" t="s">
        <v>27344</v>
      </c>
      <c r="B3979" t="s">
        <v>8607</v>
      </c>
      <c r="F3979" t="s">
        <v>13312</v>
      </c>
      <c r="G3979" t="s">
        <v>27345</v>
      </c>
    </row>
    <row r="3980" spans="1:7">
      <c r="A3980" t="s">
        <v>27346</v>
      </c>
      <c r="B3980" t="s">
        <v>8607</v>
      </c>
      <c r="F3980" t="s">
        <v>9018</v>
      </c>
      <c r="G3980" t="s">
        <v>27347</v>
      </c>
    </row>
    <row r="3981" spans="1:7">
      <c r="A3981" t="s">
        <v>27348</v>
      </c>
      <c r="B3981" t="s">
        <v>8626</v>
      </c>
      <c r="G3981" t="s">
        <v>27349</v>
      </c>
    </row>
    <row r="3982" spans="1:7">
      <c r="A3982" t="s">
        <v>27350</v>
      </c>
      <c r="G3982" t="s">
        <v>27351</v>
      </c>
    </row>
    <row r="3983" spans="1:7">
      <c r="A3983" t="s">
        <v>27352</v>
      </c>
      <c r="B3983" t="s">
        <v>8626</v>
      </c>
      <c r="C3983" t="s">
        <v>17799</v>
      </c>
      <c r="F3983" t="s">
        <v>8623</v>
      </c>
      <c r="G3983" t="s">
        <v>27353</v>
      </c>
    </row>
    <row r="3984" spans="1:7">
      <c r="A3984" t="s">
        <v>27354</v>
      </c>
      <c r="B3984" t="s">
        <v>8607</v>
      </c>
      <c r="G3984" t="s">
        <v>27355</v>
      </c>
    </row>
    <row r="3985" spans="1:7">
      <c r="A3985" t="s">
        <v>27356</v>
      </c>
      <c r="B3985" t="s">
        <v>8626</v>
      </c>
      <c r="F3985" t="s">
        <v>17349</v>
      </c>
      <c r="G3985" t="s">
        <v>27357</v>
      </c>
    </row>
    <row r="3986" spans="1:7">
      <c r="A3986" t="s">
        <v>27358</v>
      </c>
      <c r="B3986" t="s">
        <v>8607</v>
      </c>
      <c r="G3986" t="s">
        <v>27355</v>
      </c>
    </row>
    <row r="3987" spans="1:7">
      <c r="A3987" t="s">
        <v>27359</v>
      </c>
      <c r="B3987" t="s">
        <v>8626</v>
      </c>
      <c r="F3987" t="s">
        <v>17349</v>
      </c>
      <c r="G3987" t="s">
        <v>27357</v>
      </c>
    </row>
    <row r="3988" spans="1:7">
      <c r="A3988" t="s">
        <v>27360</v>
      </c>
      <c r="B3988" t="s">
        <v>8607</v>
      </c>
      <c r="F3988" t="s">
        <v>20051</v>
      </c>
      <c r="G3988" t="s">
        <v>27291</v>
      </c>
    </row>
    <row r="3989" spans="1:7">
      <c r="A3989" t="s">
        <v>27361</v>
      </c>
      <c r="B3989" t="s">
        <v>8607</v>
      </c>
      <c r="F3989" t="s">
        <v>17320</v>
      </c>
      <c r="G3989" t="s">
        <v>27362</v>
      </c>
    </row>
    <row r="3990" spans="1:7">
      <c r="A3990" t="s">
        <v>27363</v>
      </c>
      <c r="B3990" t="s">
        <v>8626</v>
      </c>
      <c r="G3990" t="s">
        <v>27364</v>
      </c>
    </row>
    <row r="3991" spans="1:7">
      <c r="A3991" t="s">
        <v>27365</v>
      </c>
      <c r="B3991" t="s">
        <v>8607</v>
      </c>
      <c r="F3991" t="s">
        <v>9018</v>
      </c>
      <c r="G3991" t="s">
        <v>27293</v>
      </c>
    </row>
    <row r="3992" spans="1:7">
      <c r="A3992" t="s">
        <v>27366</v>
      </c>
      <c r="B3992" t="s">
        <v>8607</v>
      </c>
      <c r="F3992" t="s">
        <v>27323</v>
      </c>
      <c r="G3992" t="s">
        <v>27324</v>
      </c>
    </row>
    <row r="3993" spans="1:7">
      <c r="A3993" t="s">
        <v>27367</v>
      </c>
      <c r="B3993" t="s">
        <v>8626</v>
      </c>
      <c r="F3993" t="s">
        <v>26555</v>
      </c>
      <c r="G3993" t="s">
        <v>27368</v>
      </c>
    </row>
    <row r="3994" spans="1:7">
      <c r="A3994" t="s">
        <v>27369</v>
      </c>
      <c r="B3994" t="s">
        <v>8607</v>
      </c>
      <c r="G3994" t="s">
        <v>27370</v>
      </c>
    </row>
    <row r="3995" spans="1:7">
      <c r="A3995" t="s">
        <v>27371</v>
      </c>
      <c r="B3995" t="s">
        <v>8626</v>
      </c>
      <c r="F3995" t="s">
        <v>17349</v>
      </c>
      <c r="G3995" t="s">
        <v>27372</v>
      </c>
    </row>
    <row r="3996" spans="1:7">
      <c r="A3996" t="s">
        <v>27373</v>
      </c>
      <c r="B3996" t="s">
        <v>8626</v>
      </c>
      <c r="G3996" t="s">
        <v>27320</v>
      </c>
    </row>
    <row r="3997" spans="1:7">
      <c r="A3997" t="s">
        <v>27374</v>
      </c>
      <c r="B3997" t="s">
        <v>8607</v>
      </c>
      <c r="F3997" t="s">
        <v>26855</v>
      </c>
      <c r="G3997" t="s">
        <v>17899</v>
      </c>
    </row>
    <row r="3998" spans="1:7">
      <c r="A3998" t="s">
        <v>27375</v>
      </c>
      <c r="B3998" t="s">
        <v>8607</v>
      </c>
      <c r="G3998" t="s">
        <v>25025</v>
      </c>
    </row>
    <row r="3999" spans="1:7">
      <c r="A3999" t="s">
        <v>27376</v>
      </c>
      <c r="B3999" t="s">
        <v>8607</v>
      </c>
      <c r="F3999" t="s">
        <v>27377</v>
      </c>
      <c r="G3999" t="s">
        <v>27378</v>
      </c>
    </row>
    <row r="4000" spans="1:7">
      <c r="A4000" t="s">
        <v>27379</v>
      </c>
      <c r="B4000" t="s">
        <v>8626</v>
      </c>
      <c r="C4000" t="s">
        <v>27380</v>
      </c>
      <c r="F4000" t="s">
        <v>27381</v>
      </c>
      <c r="G4000" t="s">
        <v>27382</v>
      </c>
    </row>
    <row r="4001" spans="1:7">
      <c r="A4001" t="s">
        <v>27383</v>
      </c>
      <c r="B4001" t="s">
        <v>8626</v>
      </c>
      <c r="F4001" t="s">
        <v>27384</v>
      </c>
      <c r="G4001" t="s">
        <v>27385</v>
      </c>
    </row>
    <row r="4002" spans="1:7">
      <c r="A4002" t="s">
        <v>27386</v>
      </c>
      <c r="B4002" t="s">
        <v>8626</v>
      </c>
      <c r="F4002" t="s">
        <v>17779</v>
      </c>
      <c r="G4002" t="s">
        <v>27387</v>
      </c>
    </row>
    <row r="4003" spans="1:7">
      <c r="A4003" t="s">
        <v>27388</v>
      </c>
      <c r="B4003" t="s">
        <v>8626</v>
      </c>
      <c r="F4003" t="s">
        <v>27384</v>
      </c>
      <c r="G4003" t="s">
        <v>27385</v>
      </c>
    </row>
    <row r="4004" spans="1:7">
      <c r="A4004" t="s">
        <v>27389</v>
      </c>
      <c r="B4004" t="s">
        <v>8626</v>
      </c>
      <c r="F4004" t="s">
        <v>17779</v>
      </c>
      <c r="G4004" t="s">
        <v>27387</v>
      </c>
    </row>
    <row r="4005" spans="1:7">
      <c r="A4005" t="s">
        <v>27390</v>
      </c>
      <c r="B4005" t="s">
        <v>8607</v>
      </c>
      <c r="F4005" t="s">
        <v>27391</v>
      </c>
      <c r="G4005" t="s">
        <v>27392</v>
      </c>
    </row>
    <row r="4006" spans="1:7">
      <c r="A4006" t="s">
        <v>27393</v>
      </c>
      <c r="B4006" t="s">
        <v>8607</v>
      </c>
      <c r="F4006" t="s">
        <v>21486</v>
      </c>
      <c r="G4006" t="s">
        <v>27394</v>
      </c>
    </row>
    <row r="4007" spans="1:7">
      <c r="A4007" t="s">
        <v>27395</v>
      </c>
      <c r="B4007" t="s">
        <v>8607</v>
      </c>
      <c r="F4007" t="s">
        <v>26485</v>
      </c>
      <c r="G4007" t="s">
        <v>26486</v>
      </c>
    </row>
    <row r="4008" spans="1:7">
      <c r="A4008" t="s">
        <v>27396</v>
      </c>
      <c r="B4008" t="s">
        <v>8607</v>
      </c>
      <c r="F4008" t="s">
        <v>26485</v>
      </c>
      <c r="G4008" t="s">
        <v>26486</v>
      </c>
    </row>
    <row r="4009" spans="1:7">
      <c r="A4009" t="s">
        <v>27397</v>
      </c>
      <c r="B4009" t="s">
        <v>8607</v>
      </c>
      <c r="G4009" t="s">
        <v>27398</v>
      </c>
    </row>
    <row r="4010" spans="1:7">
      <c r="A4010" t="s">
        <v>27399</v>
      </c>
      <c r="B4010" t="s">
        <v>8607</v>
      </c>
      <c r="C4010" t="s">
        <v>26119</v>
      </c>
      <c r="F4010" t="s">
        <v>26120</v>
      </c>
      <c r="G4010" t="s">
        <v>27400</v>
      </c>
    </row>
    <row r="4011" spans="1:7">
      <c r="A4011" t="s">
        <v>27401</v>
      </c>
      <c r="B4011" t="s">
        <v>8607</v>
      </c>
      <c r="F4011" t="s">
        <v>27402</v>
      </c>
      <c r="G4011" t="s">
        <v>27403</v>
      </c>
    </row>
    <row r="4012" spans="1:7">
      <c r="A4012" t="s">
        <v>27404</v>
      </c>
      <c r="B4012" t="s">
        <v>8607</v>
      </c>
      <c r="C4012" t="s">
        <v>27405</v>
      </c>
      <c r="F4012" t="s">
        <v>9002</v>
      </c>
      <c r="G4012" t="s">
        <v>27406</v>
      </c>
    </row>
    <row r="4013" spans="1:7">
      <c r="A4013" t="s">
        <v>27407</v>
      </c>
      <c r="B4013" t="s">
        <v>8607</v>
      </c>
      <c r="C4013" t="s">
        <v>26661</v>
      </c>
      <c r="F4013" t="s">
        <v>26365</v>
      </c>
      <c r="G4013" t="s">
        <v>27408</v>
      </c>
    </row>
    <row r="4014" spans="1:7">
      <c r="A4014" t="s">
        <v>27409</v>
      </c>
      <c r="B4014" t="s">
        <v>8607</v>
      </c>
      <c r="C4014" t="s">
        <v>27410</v>
      </c>
      <c r="F4014" t="s">
        <v>27411</v>
      </c>
      <c r="G4014" t="s">
        <v>27412</v>
      </c>
    </row>
    <row r="4015" spans="1:7">
      <c r="A4015" t="s">
        <v>27413</v>
      </c>
      <c r="B4015" t="s">
        <v>8607</v>
      </c>
      <c r="C4015" t="s">
        <v>27414</v>
      </c>
      <c r="F4015" t="s">
        <v>26291</v>
      </c>
      <c r="G4015" t="s">
        <v>27415</v>
      </c>
    </row>
    <row r="4016" spans="1:7">
      <c r="A4016" t="s">
        <v>27416</v>
      </c>
      <c r="B4016" t="s">
        <v>8607</v>
      </c>
      <c r="F4016" t="s">
        <v>26091</v>
      </c>
      <c r="G4016" t="s">
        <v>27417</v>
      </c>
    </row>
    <row r="4017" spans="1:7">
      <c r="A4017" t="s">
        <v>27418</v>
      </c>
      <c r="B4017" t="s">
        <v>8607</v>
      </c>
      <c r="F4017" t="s">
        <v>26264</v>
      </c>
      <c r="G4017" t="s">
        <v>26265</v>
      </c>
    </row>
    <row r="4018" spans="1:7">
      <c r="A4018" t="s">
        <v>27419</v>
      </c>
      <c r="B4018" t="s">
        <v>8626</v>
      </c>
      <c r="F4018" t="s">
        <v>27420</v>
      </c>
      <c r="G4018" t="s">
        <v>27421</v>
      </c>
    </row>
    <row r="4019" spans="1:7">
      <c r="A4019" t="s">
        <v>27422</v>
      </c>
      <c r="B4019" t="s">
        <v>8607</v>
      </c>
      <c r="F4019" t="s">
        <v>27423</v>
      </c>
      <c r="G4019" t="s">
        <v>27424</v>
      </c>
    </row>
    <row r="4020" spans="1:7">
      <c r="A4020" t="s">
        <v>27425</v>
      </c>
      <c r="B4020" t="s">
        <v>8607</v>
      </c>
      <c r="F4020" t="s">
        <v>17260</v>
      </c>
      <c r="G4020" t="s">
        <v>27426</v>
      </c>
    </row>
    <row r="4021" spans="1:7">
      <c r="A4021" t="s">
        <v>27427</v>
      </c>
      <c r="B4021" t="s">
        <v>8626</v>
      </c>
      <c r="F4021" t="s">
        <v>27428</v>
      </c>
      <c r="G4021" t="s">
        <v>27429</v>
      </c>
    </row>
    <row r="4022" spans="1:7">
      <c r="A4022" t="s">
        <v>27430</v>
      </c>
      <c r="B4022" t="s">
        <v>8607</v>
      </c>
      <c r="F4022" t="s">
        <v>17928</v>
      </c>
      <c r="G4022" t="s">
        <v>26640</v>
      </c>
    </row>
    <row r="4023" spans="1:7">
      <c r="A4023" t="s">
        <v>27431</v>
      </c>
      <c r="B4023" t="s">
        <v>8626</v>
      </c>
      <c r="G4023" t="s">
        <v>27432</v>
      </c>
    </row>
    <row r="4024" spans="1:7">
      <c r="A4024" t="s">
        <v>27433</v>
      </c>
      <c r="B4024" t="s">
        <v>8626</v>
      </c>
      <c r="F4024" t="s">
        <v>27434</v>
      </c>
      <c r="G4024" t="s">
        <v>27435</v>
      </c>
    </row>
    <row r="4025" spans="1:7">
      <c r="A4025" t="s">
        <v>27436</v>
      </c>
      <c r="B4025" t="s">
        <v>8626</v>
      </c>
      <c r="F4025" t="s">
        <v>27437</v>
      </c>
      <c r="G4025" t="s">
        <v>27438</v>
      </c>
    </row>
    <row r="4026" spans="1:7">
      <c r="A4026" t="s">
        <v>27439</v>
      </c>
      <c r="B4026" t="s">
        <v>8607</v>
      </c>
      <c r="F4026" t="s">
        <v>27440</v>
      </c>
      <c r="G4026" t="s">
        <v>27441</v>
      </c>
    </row>
    <row r="4027" spans="1:7">
      <c r="A4027" t="s">
        <v>27442</v>
      </c>
      <c r="B4027" t="s">
        <v>8607</v>
      </c>
      <c r="F4027" t="s">
        <v>15552</v>
      </c>
      <c r="G4027" t="s">
        <v>27443</v>
      </c>
    </row>
    <row r="4028" spans="1:7">
      <c r="A4028" t="s">
        <v>27444</v>
      </c>
      <c r="B4028" t="s">
        <v>8607</v>
      </c>
      <c r="F4028" t="s">
        <v>27445</v>
      </c>
      <c r="G4028" t="s">
        <v>27446</v>
      </c>
    </row>
    <row r="4029" spans="1:7">
      <c r="A4029" t="s">
        <v>27447</v>
      </c>
      <c r="B4029" t="s">
        <v>8607</v>
      </c>
      <c r="F4029" t="s">
        <v>23371</v>
      </c>
      <c r="G4029" t="s">
        <v>27448</v>
      </c>
    </row>
    <row r="4030" spans="1:7">
      <c r="A4030" t="s">
        <v>27449</v>
      </c>
      <c r="B4030" t="s">
        <v>8626</v>
      </c>
      <c r="F4030" t="s">
        <v>17257</v>
      </c>
      <c r="G4030" t="s">
        <v>27450</v>
      </c>
    </row>
    <row r="4031" spans="1:7">
      <c r="A4031" t="s">
        <v>27451</v>
      </c>
      <c r="B4031" t="s">
        <v>8607</v>
      </c>
      <c r="F4031" t="s">
        <v>17928</v>
      </c>
      <c r="G4031" t="s">
        <v>25832</v>
      </c>
    </row>
    <row r="4032" spans="1:7">
      <c r="A4032" t="s">
        <v>27452</v>
      </c>
      <c r="B4032" t="s">
        <v>8626</v>
      </c>
      <c r="F4032" t="s">
        <v>8623</v>
      </c>
      <c r="G4032" t="s">
        <v>27453</v>
      </c>
    </row>
    <row r="4033" spans="1:7">
      <c r="A4033" t="s">
        <v>27454</v>
      </c>
      <c r="B4033" t="s">
        <v>8607</v>
      </c>
      <c r="F4033" t="s">
        <v>27455</v>
      </c>
      <c r="G4033" t="s">
        <v>27456</v>
      </c>
    </row>
    <row r="4034" spans="1:7">
      <c r="A4034" t="s">
        <v>27457</v>
      </c>
      <c r="B4034" t="s">
        <v>8607</v>
      </c>
      <c r="F4034" t="s">
        <v>27458</v>
      </c>
      <c r="G4034" t="s">
        <v>27459</v>
      </c>
    </row>
    <row r="4035" spans="1:7">
      <c r="A4035" t="s">
        <v>27460</v>
      </c>
      <c r="B4035" t="s">
        <v>8607</v>
      </c>
      <c r="F4035" t="s">
        <v>27458</v>
      </c>
      <c r="G4035" t="s">
        <v>27459</v>
      </c>
    </row>
    <row r="4036" spans="1:7">
      <c r="A4036" t="s">
        <v>27461</v>
      </c>
      <c r="B4036" t="s">
        <v>8607</v>
      </c>
      <c r="F4036" t="s">
        <v>27462</v>
      </c>
      <c r="G4036" t="s">
        <v>27463</v>
      </c>
    </row>
    <row r="4037" spans="1:7">
      <c r="A4037" t="s">
        <v>27464</v>
      </c>
      <c r="B4037" t="s">
        <v>8607</v>
      </c>
      <c r="F4037" t="s">
        <v>27465</v>
      </c>
      <c r="G4037" t="s">
        <v>27466</v>
      </c>
    </row>
    <row r="4038" spans="1:7">
      <c r="A4038" t="s">
        <v>27467</v>
      </c>
      <c r="B4038" t="s">
        <v>8607</v>
      </c>
      <c r="F4038" t="s">
        <v>27468</v>
      </c>
      <c r="G4038" t="s">
        <v>27469</v>
      </c>
    </row>
    <row r="4039" spans="1:7">
      <c r="A4039" t="s">
        <v>27470</v>
      </c>
      <c r="B4039" t="s">
        <v>8607</v>
      </c>
      <c r="F4039" t="s">
        <v>18260</v>
      </c>
      <c r="G4039" t="s">
        <v>22987</v>
      </c>
    </row>
    <row r="4040" spans="1:7">
      <c r="A4040" t="s">
        <v>27471</v>
      </c>
      <c r="B4040" t="s">
        <v>8607</v>
      </c>
      <c r="F4040" t="s">
        <v>9018</v>
      </c>
      <c r="G4040" t="s">
        <v>18567</v>
      </c>
    </row>
    <row r="4041" spans="1:7">
      <c r="A4041" t="s">
        <v>27472</v>
      </c>
      <c r="B4041" t="s">
        <v>8607</v>
      </c>
      <c r="F4041" t="s">
        <v>26207</v>
      </c>
      <c r="G4041" t="s">
        <v>27473</v>
      </c>
    </row>
    <row r="4042" spans="1:7">
      <c r="A4042" t="s">
        <v>27474</v>
      </c>
      <c r="B4042" t="s">
        <v>8607</v>
      </c>
      <c r="F4042" t="s">
        <v>27475</v>
      </c>
      <c r="G4042" t="s">
        <v>27476</v>
      </c>
    </row>
    <row r="4043" spans="1:7">
      <c r="A4043" t="s">
        <v>27477</v>
      </c>
      <c r="B4043" t="s">
        <v>8607</v>
      </c>
      <c r="F4043" t="s">
        <v>27478</v>
      </c>
      <c r="G4043" t="s">
        <v>27479</v>
      </c>
    </row>
    <row r="4044" spans="1:7">
      <c r="A4044" t="s">
        <v>27480</v>
      </c>
      <c r="B4044" t="s">
        <v>8626</v>
      </c>
      <c r="F4044" t="s">
        <v>8623</v>
      </c>
      <c r="G4044" t="s">
        <v>27481</v>
      </c>
    </row>
    <row r="4045" spans="1:7">
      <c r="A4045" t="s">
        <v>27482</v>
      </c>
      <c r="B4045" t="s">
        <v>8607</v>
      </c>
      <c r="F4045" t="s">
        <v>27483</v>
      </c>
      <c r="G4045" t="s">
        <v>27484</v>
      </c>
    </row>
    <row r="4046" spans="1:7">
      <c r="A4046" t="s">
        <v>27485</v>
      </c>
      <c r="B4046" t="s">
        <v>8626</v>
      </c>
      <c r="G4046" t="s">
        <v>27486</v>
      </c>
    </row>
    <row r="4047" spans="1:7">
      <c r="A4047" t="s">
        <v>27487</v>
      </c>
      <c r="B4047" t="s">
        <v>8607</v>
      </c>
      <c r="F4047" t="s">
        <v>8623</v>
      </c>
      <c r="G4047" t="s">
        <v>27488</v>
      </c>
    </row>
    <row r="4048" spans="1:7">
      <c r="A4048" t="s">
        <v>27489</v>
      </c>
      <c r="B4048" t="s">
        <v>8626</v>
      </c>
      <c r="G4048" t="s">
        <v>27490</v>
      </c>
    </row>
    <row r="4049" spans="1:7">
      <c r="A4049" t="s">
        <v>27491</v>
      </c>
      <c r="B4049" t="s">
        <v>8607</v>
      </c>
      <c r="C4049" t="s">
        <v>27492</v>
      </c>
      <c r="F4049" t="s">
        <v>15811</v>
      </c>
      <c r="G4049" t="s">
        <v>27493</v>
      </c>
    </row>
    <row r="4050" spans="1:7">
      <c r="A4050" t="s">
        <v>27494</v>
      </c>
      <c r="B4050" t="s">
        <v>8626</v>
      </c>
      <c r="C4050" t="s">
        <v>18983</v>
      </c>
      <c r="F4050" t="s">
        <v>12862</v>
      </c>
      <c r="G4050" t="s">
        <v>27495</v>
      </c>
    </row>
    <row r="4051" spans="1:7">
      <c r="A4051" t="s">
        <v>27496</v>
      </c>
      <c r="B4051" t="s">
        <v>8607</v>
      </c>
      <c r="C4051" t="s">
        <v>27497</v>
      </c>
      <c r="F4051" t="s">
        <v>15811</v>
      </c>
      <c r="G4051" t="s">
        <v>27498</v>
      </c>
    </row>
    <row r="4052" spans="1:7">
      <c r="A4052" t="s">
        <v>27499</v>
      </c>
      <c r="B4052" t="s">
        <v>8626</v>
      </c>
      <c r="C4052" t="s">
        <v>27500</v>
      </c>
      <c r="F4052" t="s">
        <v>27501</v>
      </c>
      <c r="G4052" t="s">
        <v>27502</v>
      </c>
    </row>
    <row r="4053" spans="1:7">
      <c r="A4053" t="s">
        <v>27503</v>
      </c>
      <c r="B4053" t="s">
        <v>8607</v>
      </c>
      <c r="C4053" t="s">
        <v>27504</v>
      </c>
      <c r="F4053" t="s">
        <v>26291</v>
      </c>
      <c r="G4053" t="s">
        <v>27505</v>
      </c>
    </row>
    <row r="4054" spans="1:7">
      <c r="A4054" t="s">
        <v>27506</v>
      </c>
      <c r="B4054" t="s">
        <v>8607</v>
      </c>
      <c r="F4054" t="s">
        <v>17320</v>
      </c>
      <c r="G4054" t="s">
        <v>27507</v>
      </c>
    </row>
    <row r="4055" spans="1:7">
      <c r="A4055" t="s">
        <v>27508</v>
      </c>
      <c r="B4055" t="s">
        <v>8626</v>
      </c>
      <c r="G4055" t="s">
        <v>27509</v>
      </c>
    </row>
    <row r="4056" spans="1:7">
      <c r="A4056" t="s">
        <v>27510</v>
      </c>
      <c r="B4056" t="s">
        <v>8626</v>
      </c>
      <c r="F4056" t="s">
        <v>27511</v>
      </c>
      <c r="G4056" t="s">
        <v>27512</v>
      </c>
    </row>
    <row r="4057" spans="1:7">
      <c r="A4057" t="s">
        <v>27513</v>
      </c>
      <c r="B4057" t="s">
        <v>8626</v>
      </c>
      <c r="F4057" t="s">
        <v>26843</v>
      </c>
      <c r="G4057" t="s">
        <v>27514</v>
      </c>
    </row>
    <row r="4058" spans="1:7">
      <c r="A4058" t="s">
        <v>27515</v>
      </c>
      <c r="B4058" t="s">
        <v>8607</v>
      </c>
      <c r="G4058" t="s">
        <v>27516</v>
      </c>
    </row>
    <row r="4059" spans="1:7">
      <c r="A4059" t="s">
        <v>27517</v>
      </c>
      <c r="B4059" t="s">
        <v>8626</v>
      </c>
      <c r="F4059" t="s">
        <v>27518</v>
      </c>
      <c r="G4059" t="s">
        <v>27519</v>
      </c>
    </row>
    <row r="4060" spans="1:7">
      <c r="A4060" t="s">
        <v>27520</v>
      </c>
      <c r="B4060" t="s">
        <v>8626</v>
      </c>
      <c r="G4060" t="s">
        <v>27521</v>
      </c>
    </row>
    <row r="4061" spans="1:7">
      <c r="A4061" t="s">
        <v>27522</v>
      </c>
      <c r="B4061" t="s">
        <v>8626</v>
      </c>
      <c r="G4061" t="s">
        <v>27523</v>
      </c>
    </row>
    <row r="4062" spans="1:7">
      <c r="A4062" t="s">
        <v>27524</v>
      </c>
      <c r="B4062" t="s">
        <v>8626</v>
      </c>
      <c r="G4062" t="s">
        <v>27525</v>
      </c>
    </row>
    <row r="4063" spans="1:7">
      <c r="A4063" t="s">
        <v>27526</v>
      </c>
      <c r="B4063" t="s">
        <v>8607</v>
      </c>
      <c r="F4063" t="s">
        <v>26474</v>
      </c>
      <c r="G4063" t="s">
        <v>26475</v>
      </c>
    </row>
    <row r="4064" spans="1:7">
      <c r="A4064" t="s">
        <v>27527</v>
      </c>
      <c r="B4064" t="s">
        <v>8626</v>
      </c>
      <c r="F4064" t="s">
        <v>13312</v>
      </c>
      <c r="G4064" t="s">
        <v>27528</v>
      </c>
    </row>
    <row r="4065" spans="1:7">
      <c r="A4065" t="s">
        <v>27529</v>
      </c>
      <c r="B4065" t="s">
        <v>8607</v>
      </c>
      <c r="F4065" t="s">
        <v>26291</v>
      </c>
      <c r="G4065" t="s">
        <v>27530</v>
      </c>
    </row>
    <row r="4066" spans="1:7">
      <c r="A4066" t="s">
        <v>27531</v>
      </c>
      <c r="B4066" t="s">
        <v>8607</v>
      </c>
      <c r="C4066" t="s">
        <v>9017</v>
      </c>
      <c r="F4066" t="s">
        <v>9018</v>
      </c>
      <c r="G4066" t="s">
        <v>27532</v>
      </c>
    </row>
    <row r="4067" spans="1:7">
      <c r="A4067" t="s">
        <v>27533</v>
      </c>
      <c r="B4067" t="s">
        <v>8626</v>
      </c>
      <c r="F4067" t="s">
        <v>27534</v>
      </c>
      <c r="G4067" t="s">
        <v>27535</v>
      </c>
    </row>
    <row r="4068" spans="1:7">
      <c r="A4068" t="s">
        <v>27536</v>
      </c>
      <c r="B4068" t="s">
        <v>8607</v>
      </c>
      <c r="G4068" t="s">
        <v>27537</v>
      </c>
    </row>
    <row r="4069" spans="1:7">
      <c r="A4069" t="s">
        <v>27538</v>
      </c>
      <c r="B4069" t="s">
        <v>8626</v>
      </c>
      <c r="G4069" t="s">
        <v>27539</v>
      </c>
    </row>
    <row r="4070" spans="1:7">
      <c r="A4070" t="s">
        <v>27540</v>
      </c>
      <c r="B4070" t="s">
        <v>8607</v>
      </c>
      <c r="F4070" t="s">
        <v>27541</v>
      </c>
      <c r="G4070" t="s">
        <v>27542</v>
      </c>
    </row>
    <row r="4071" spans="1:7">
      <c r="A4071" t="s">
        <v>27543</v>
      </c>
      <c r="B4071" t="s">
        <v>8607</v>
      </c>
      <c r="F4071" t="s">
        <v>26365</v>
      </c>
      <c r="G4071" t="s">
        <v>27544</v>
      </c>
    </row>
    <row r="4072" spans="1:7">
      <c r="A4072" t="s">
        <v>27545</v>
      </c>
      <c r="B4072" t="s">
        <v>8607</v>
      </c>
      <c r="C4072" t="s">
        <v>26083</v>
      </c>
      <c r="F4072" t="s">
        <v>26084</v>
      </c>
      <c r="G4072" t="s">
        <v>27546</v>
      </c>
    </row>
    <row r="4073" spans="1:7">
      <c r="A4073" t="s">
        <v>27547</v>
      </c>
      <c r="B4073" t="s">
        <v>8607</v>
      </c>
      <c r="G4073" t="s">
        <v>27548</v>
      </c>
    </row>
    <row r="4074" spans="1:7">
      <c r="A4074" t="s">
        <v>27549</v>
      </c>
      <c r="B4074" t="s">
        <v>8607</v>
      </c>
      <c r="C4074" t="s">
        <v>24008</v>
      </c>
      <c r="F4074" t="s">
        <v>17305</v>
      </c>
      <c r="G4074" t="s">
        <v>26503</v>
      </c>
    </row>
    <row r="4075" spans="1:7">
      <c r="A4075" t="s">
        <v>27550</v>
      </c>
      <c r="B4075" t="s">
        <v>8626</v>
      </c>
      <c r="F4075" t="s">
        <v>26091</v>
      </c>
      <c r="G4075" t="s">
        <v>27551</v>
      </c>
    </row>
    <row r="4076" spans="1:7">
      <c r="A4076" t="s">
        <v>27552</v>
      </c>
      <c r="B4076" t="s">
        <v>8607</v>
      </c>
      <c r="F4076" t="s">
        <v>26091</v>
      </c>
      <c r="G4076" t="s">
        <v>27553</v>
      </c>
    </row>
    <row r="4077" spans="1:7">
      <c r="A4077" t="s">
        <v>27554</v>
      </c>
      <c r="B4077" t="s">
        <v>8607</v>
      </c>
      <c r="F4077" t="s">
        <v>27555</v>
      </c>
      <c r="G4077" t="s">
        <v>27556</v>
      </c>
    </row>
    <row r="4078" spans="1:7">
      <c r="A4078" t="s">
        <v>27557</v>
      </c>
      <c r="B4078" t="s">
        <v>8607</v>
      </c>
      <c r="G4078" t="s">
        <v>27558</v>
      </c>
    </row>
    <row r="4079" spans="1:7">
      <c r="A4079" t="s">
        <v>27559</v>
      </c>
      <c r="B4079" t="s">
        <v>8607</v>
      </c>
      <c r="G4079" t="s">
        <v>27560</v>
      </c>
    </row>
    <row r="4080" spans="1:7">
      <c r="A4080" t="s">
        <v>27561</v>
      </c>
      <c r="B4080" t="s">
        <v>8626</v>
      </c>
      <c r="F4080" t="s">
        <v>27562</v>
      </c>
      <c r="G4080" t="s">
        <v>27563</v>
      </c>
    </row>
    <row r="4081" spans="1:7">
      <c r="A4081" t="s">
        <v>27564</v>
      </c>
      <c r="B4081" t="s">
        <v>8607</v>
      </c>
      <c r="F4081" t="s">
        <v>26855</v>
      </c>
      <c r="G4081" t="s">
        <v>27565</v>
      </c>
    </row>
    <row r="4082" spans="1:7">
      <c r="A4082" t="s">
        <v>27566</v>
      </c>
      <c r="G4082" t="s">
        <v>27567</v>
      </c>
    </row>
    <row r="4083" spans="1:7">
      <c r="A4083" t="s">
        <v>27568</v>
      </c>
      <c r="B4083" t="s">
        <v>8607</v>
      </c>
      <c r="G4083" t="s">
        <v>27569</v>
      </c>
    </row>
    <row r="4084" spans="1:7">
      <c r="A4084" t="s">
        <v>27570</v>
      </c>
      <c r="B4084" t="s">
        <v>8607</v>
      </c>
      <c r="F4084" t="s">
        <v>20844</v>
      </c>
      <c r="G4084" t="s">
        <v>27571</v>
      </c>
    </row>
    <row r="4085" spans="1:7">
      <c r="A4085" t="s">
        <v>27572</v>
      </c>
      <c r="B4085" t="s">
        <v>8626</v>
      </c>
      <c r="F4085" t="s">
        <v>21331</v>
      </c>
      <c r="G4085" t="s">
        <v>27573</v>
      </c>
    </row>
    <row r="4086" spans="1:7">
      <c r="A4086" t="s">
        <v>27574</v>
      </c>
      <c r="B4086" t="s">
        <v>8607</v>
      </c>
      <c r="F4086" t="s">
        <v>26855</v>
      </c>
      <c r="G4086" t="s">
        <v>27575</v>
      </c>
    </row>
    <row r="4087" spans="1:7">
      <c r="A4087" t="s">
        <v>27576</v>
      </c>
      <c r="B4087" t="s">
        <v>8626</v>
      </c>
      <c r="G4087" t="s">
        <v>27577</v>
      </c>
    </row>
    <row r="4088" spans="1:7">
      <c r="A4088" t="s">
        <v>27578</v>
      </c>
      <c r="B4088" t="s">
        <v>8626</v>
      </c>
      <c r="F4088" t="s">
        <v>26207</v>
      </c>
      <c r="G4088" t="s">
        <v>27579</v>
      </c>
    </row>
    <row r="4089" spans="1:7">
      <c r="A4089" t="s">
        <v>27580</v>
      </c>
      <c r="B4089" t="s">
        <v>8607</v>
      </c>
      <c r="G4089" t="s">
        <v>25163</v>
      </c>
    </row>
    <row r="4090" spans="1:7">
      <c r="A4090" t="s">
        <v>27581</v>
      </c>
      <c r="B4090" t="s">
        <v>8607</v>
      </c>
      <c r="F4090" t="s">
        <v>27445</v>
      </c>
      <c r="G4090" t="s">
        <v>27571</v>
      </c>
    </row>
    <row r="4091" spans="1:7">
      <c r="A4091" t="s">
        <v>27582</v>
      </c>
      <c r="B4091" t="s">
        <v>8626</v>
      </c>
      <c r="C4091" t="s">
        <v>27583</v>
      </c>
      <c r="F4091" t="s">
        <v>26207</v>
      </c>
      <c r="G4091" t="s">
        <v>27584</v>
      </c>
    </row>
    <row r="4092" spans="1:7">
      <c r="A4092" t="s">
        <v>27585</v>
      </c>
      <c r="B4092" t="s">
        <v>8626</v>
      </c>
      <c r="G4092" t="s">
        <v>27586</v>
      </c>
    </row>
    <row r="4093" spans="1:7">
      <c r="A4093" t="s">
        <v>27587</v>
      </c>
      <c r="B4093" t="s">
        <v>8607</v>
      </c>
      <c r="F4093" t="s">
        <v>27588</v>
      </c>
      <c r="G4093" t="s">
        <v>27589</v>
      </c>
    </row>
    <row r="4094" spans="1:7">
      <c r="A4094" t="s">
        <v>27590</v>
      </c>
      <c r="B4094" t="s">
        <v>8607</v>
      </c>
      <c r="F4094" t="s">
        <v>27591</v>
      </c>
      <c r="G4094" t="s">
        <v>27592</v>
      </c>
    </row>
    <row r="4095" spans="1:7">
      <c r="A4095" t="s">
        <v>27593</v>
      </c>
      <c r="B4095" t="s">
        <v>8607</v>
      </c>
      <c r="F4095" t="s">
        <v>27594</v>
      </c>
      <c r="G4095" t="s">
        <v>27595</v>
      </c>
    </row>
    <row r="4096" spans="1:7">
      <c r="A4096" t="s">
        <v>27596</v>
      </c>
      <c r="B4096" t="s">
        <v>8607</v>
      </c>
      <c r="F4096" t="s">
        <v>27597</v>
      </c>
      <c r="G4096" t="s">
        <v>27598</v>
      </c>
    </row>
    <row r="4097" spans="1:7">
      <c r="A4097" t="s">
        <v>27599</v>
      </c>
      <c r="B4097" t="s">
        <v>8607</v>
      </c>
      <c r="F4097" t="s">
        <v>27600</v>
      </c>
      <c r="G4097" t="s">
        <v>27601</v>
      </c>
    </row>
    <row r="4098" spans="1:7">
      <c r="A4098" t="s">
        <v>27602</v>
      </c>
      <c r="B4098" t="s">
        <v>8607</v>
      </c>
      <c r="F4098" t="s">
        <v>27603</v>
      </c>
      <c r="G4098" t="s">
        <v>27604</v>
      </c>
    </row>
    <row r="4099" spans="1:7">
      <c r="A4099" t="s">
        <v>27605</v>
      </c>
      <c r="B4099" t="s">
        <v>8607</v>
      </c>
      <c r="F4099" t="s">
        <v>22864</v>
      </c>
      <c r="G4099" t="s">
        <v>27606</v>
      </c>
    </row>
    <row r="4100" spans="1:7">
      <c r="A4100" t="s">
        <v>27607</v>
      </c>
      <c r="B4100" t="s">
        <v>8607</v>
      </c>
      <c r="G4100" t="s">
        <v>27608</v>
      </c>
    </row>
    <row r="4101" spans="1:7">
      <c r="A4101" t="s">
        <v>27609</v>
      </c>
      <c r="B4101" t="s">
        <v>8626</v>
      </c>
      <c r="F4101" t="s">
        <v>27610</v>
      </c>
      <c r="G4101" t="s">
        <v>27611</v>
      </c>
    </row>
    <row r="4102" spans="1:7">
      <c r="A4102" t="s">
        <v>27612</v>
      </c>
      <c r="B4102" t="s">
        <v>8607</v>
      </c>
      <c r="F4102" t="s">
        <v>27613</v>
      </c>
      <c r="G4102" t="s">
        <v>27614</v>
      </c>
    </row>
    <row r="4103" spans="1:7">
      <c r="A4103" t="s">
        <v>27615</v>
      </c>
      <c r="B4103" t="s">
        <v>8607</v>
      </c>
      <c r="F4103" t="s">
        <v>21837</v>
      </c>
      <c r="G4103" t="s">
        <v>27616</v>
      </c>
    </row>
    <row r="4104" spans="1:7">
      <c r="A4104" t="s">
        <v>27617</v>
      </c>
      <c r="B4104" t="s">
        <v>8607</v>
      </c>
      <c r="F4104" t="s">
        <v>9018</v>
      </c>
      <c r="G4104" t="s">
        <v>27618</v>
      </c>
    </row>
    <row r="4105" spans="1:7">
      <c r="A4105" t="s">
        <v>27619</v>
      </c>
      <c r="B4105" t="s">
        <v>8607</v>
      </c>
      <c r="F4105" t="s">
        <v>27620</v>
      </c>
      <c r="G4105" t="s">
        <v>27621</v>
      </c>
    </row>
    <row r="4106" spans="1:7">
      <c r="A4106" t="s">
        <v>27622</v>
      </c>
      <c r="B4106" t="s">
        <v>8607</v>
      </c>
      <c r="F4106" t="s">
        <v>21837</v>
      </c>
      <c r="G4106" t="s">
        <v>27623</v>
      </c>
    </row>
    <row r="4107" spans="1:7">
      <c r="A4107" t="s">
        <v>27624</v>
      </c>
      <c r="B4107" t="s">
        <v>8626</v>
      </c>
      <c r="C4107" t="s">
        <v>27625</v>
      </c>
      <c r="F4107" t="s">
        <v>17621</v>
      </c>
      <c r="G4107" t="s">
        <v>27626</v>
      </c>
    </row>
    <row r="4108" spans="1:7">
      <c r="A4108" t="s">
        <v>27627</v>
      </c>
      <c r="B4108" t="s">
        <v>8607</v>
      </c>
      <c r="F4108" t="s">
        <v>27628</v>
      </c>
      <c r="G4108" t="s">
        <v>27629</v>
      </c>
    </row>
    <row r="4109" spans="1:7">
      <c r="A4109" t="s">
        <v>27630</v>
      </c>
      <c r="B4109" t="s">
        <v>8607</v>
      </c>
      <c r="F4109" t="s">
        <v>8633</v>
      </c>
      <c r="G4109" t="s">
        <v>20179</v>
      </c>
    </row>
    <row r="4110" spans="1:7">
      <c r="A4110" t="s">
        <v>27631</v>
      </c>
      <c r="B4110" t="s">
        <v>8607</v>
      </c>
      <c r="F4110" t="s">
        <v>27632</v>
      </c>
      <c r="G4110" t="s">
        <v>27633</v>
      </c>
    </row>
    <row r="4111" spans="1:7">
      <c r="A4111" t="s">
        <v>27634</v>
      </c>
      <c r="B4111" t="s">
        <v>8607</v>
      </c>
      <c r="F4111" t="s">
        <v>27465</v>
      </c>
      <c r="G4111" t="s">
        <v>27466</v>
      </c>
    </row>
    <row r="4112" spans="1:7">
      <c r="A4112" t="s">
        <v>27635</v>
      </c>
      <c r="B4112" t="s">
        <v>8607</v>
      </c>
      <c r="F4112" t="s">
        <v>27468</v>
      </c>
      <c r="G4112" t="s">
        <v>27469</v>
      </c>
    </row>
    <row r="4113" spans="1:7">
      <c r="A4113" t="s">
        <v>27636</v>
      </c>
      <c r="B4113" t="s">
        <v>8607</v>
      </c>
      <c r="C4113" t="s">
        <v>27637</v>
      </c>
      <c r="F4113" t="s">
        <v>19234</v>
      </c>
      <c r="G4113" t="s">
        <v>27638</v>
      </c>
    </row>
    <row r="4114" spans="1:7">
      <c r="A4114" t="s">
        <v>27639</v>
      </c>
      <c r="B4114" t="s">
        <v>8607</v>
      </c>
      <c r="C4114" t="s">
        <v>27640</v>
      </c>
      <c r="F4114" t="s">
        <v>17349</v>
      </c>
      <c r="G4114" t="s">
        <v>27641</v>
      </c>
    </row>
    <row r="4115" spans="1:7">
      <c r="A4115" t="s">
        <v>27642</v>
      </c>
      <c r="B4115" t="s">
        <v>8607</v>
      </c>
      <c r="F4115" t="s">
        <v>27643</v>
      </c>
      <c r="G4115" t="s">
        <v>27644</v>
      </c>
    </row>
    <row r="4116" spans="1:7">
      <c r="A4116" t="s">
        <v>27645</v>
      </c>
      <c r="B4116" t="s">
        <v>8607</v>
      </c>
      <c r="F4116" t="s">
        <v>27646</v>
      </c>
      <c r="G4116" t="s">
        <v>27647</v>
      </c>
    </row>
    <row r="4117" spans="1:7">
      <c r="A4117" t="s">
        <v>27648</v>
      </c>
      <c r="B4117" t="s">
        <v>8626</v>
      </c>
      <c r="F4117" t="s">
        <v>27649</v>
      </c>
      <c r="G4117" t="s">
        <v>27650</v>
      </c>
    </row>
    <row r="4118" spans="1:7">
      <c r="A4118" t="s">
        <v>27651</v>
      </c>
      <c r="B4118" t="s">
        <v>8607</v>
      </c>
      <c r="F4118" t="s">
        <v>26207</v>
      </c>
      <c r="G4118" t="s">
        <v>27473</v>
      </c>
    </row>
    <row r="4119" spans="1:7">
      <c r="A4119" t="s">
        <v>27652</v>
      </c>
      <c r="B4119" t="s">
        <v>8607</v>
      </c>
      <c r="C4119" t="s">
        <v>27653</v>
      </c>
      <c r="F4119" t="s">
        <v>27654</v>
      </c>
      <c r="G4119" t="s">
        <v>27655</v>
      </c>
    </row>
    <row r="4120" spans="1:7">
      <c r="A4120" t="s">
        <v>27656</v>
      </c>
      <c r="B4120" t="s">
        <v>8607</v>
      </c>
      <c r="G4120" t="s">
        <v>27657</v>
      </c>
    </row>
    <row r="4121" spans="1:7">
      <c r="A4121" t="s">
        <v>27658</v>
      </c>
      <c r="B4121" t="s">
        <v>8607</v>
      </c>
      <c r="F4121" t="s">
        <v>22769</v>
      </c>
      <c r="G4121" t="s">
        <v>27659</v>
      </c>
    </row>
    <row r="4122" spans="1:7">
      <c r="A4122" t="s">
        <v>27660</v>
      </c>
      <c r="B4122" t="s">
        <v>8607</v>
      </c>
      <c r="F4122" t="s">
        <v>17429</v>
      </c>
      <c r="G4122" t="s">
        <v>27661</v>
      </c>
    </row>
    <row r="4123" spans="1:7">
      <c r="A4123" t="s">
        <v>27662</v>
      </c>
      <c r="B4123" t="s">
        <v>8607</v>
      </c>
      <c r="F4123" t="s">
        <v>17429</v>
      </c>
      <c r="G4123" t="s">
        <v>27663</v>
      </c>
    </row>
    <row r="4124" spans="1:7">
      <c r="A4124" t="s">
        <v>27664</v>
      </c>
      <c r="G4124" t="s">
        <v>27665</v>
      </c>
    </row>
    <row r="4125" spans="1:7">
      <c r="A4125" t="s">
        <v>27666</v>
      </c>
      <c r="B4125" t="s">
        <v>8607</v>
      </c>
      <c r="F4125" t="s">
        <v>17790</v>
      </c>
      <c r="G4125" t="s">
        <v>21517</v>
      </c>
    </row>
    <row r="4126" spans="1:7">
      <c r="A4126" t="s">
        <v>27667</v>
      </c>
      <c r="B4126" t="s">
        <v>8607</v>
      </c>
      <c r="F4126" t="s">
        <v>17327</v>
      </c>
      <c r="G4126" t="s">
        <v>27668</v>
      </c>
    </row>
    <row r="4127" spans="1:7">
      <c r="A4127" t="s">
        <v>27669</v>
      </c>
      <c r="B4127" t="s">
        <v>8607</v>
      </c>
      <c r="F4127" t="s">
        <v>17932</v>
      </c>
      <c r="G4127" t="s">
        <v>27670</v>
      </c>
    </row>
    <row r="4128" spans="1:7">
      <c r="A4128" t="s">
        <v>27671</v>
      </c>
      <c r="B4128" t="s">
        <v>8626</v>
      </c>
      <c r="F4128" t="s">
        <v>10076</v>
      </c>
      <c r="G4128" t="s">
        <v>27672</v>
      </c>
    </row>
    <row r="4129" spans="1:7">
      <c r="A4129" t="s">
        <v>27673</v>
      </c>
      <c r="B4129" t="s">
        <v>8626</v>
      </c>
      <c r="F4129" t="s">
        <v>27674</v>
      </c>
      <c r="G4129" t="s">
        <v>27675</v>
      </c>
    </row>
    <row r="4130" spans="1:7">
      <c r="A4130" t="s">
        <v>27676</v>
      </c>
      <c r="B4130" t="s">
        <v>8626</v>
      </c>
      <c r="G4130" t="s">
        <v>27677</v>
      </c>
    </row>
    <row r="4131" spans="1:7">
      <c r="A4131" t="s">
        <v>27678</v>
      </c>
      <c r="B4131" t="s">
        <v>8607</v>
      </c>
      <c r="G4131" t="s">
        <v>27679</v>
      </c>
    </row>
    <row r="4132" spans="1:7">
      <c r="A4132" t="s">
        <v>27680</v>
      </c>
      <c r="B4132" t="s">
        <v>8607</v>
      </c>
      <c r="F4132" t="s">
        <v>27681</v>
      </c>
      <c r="G4132" t="s">
        <v>27682</v>
      </c>
    </row>
    <row r="4133" spans="1:7">
      <c r="A4133" t="s">
        <v>27683</v>
      </c>
      <c r="B4133" t="s">
        <v>8626</v>
      </c>
      <c r="G4133" t="s">
        <v>27684</v>
      </c>
    </row>
    <row r="4134" spans="1:7">
      <c r="A4134" t="s">
        <v>27685</v>
      </c>
      <c r="B4134" t="s">
        <v>8607</v>
      </c>
      <c r="F4134" t="s">
        <v>17327</v>
      </c>
      <c r="G4134" t="s">
        <v>27686</v>
      </c>
    </row>
    <row r="4135" spans="1:7">
      <c r="A4135" t="s">
        <v>27687</v>
      </c>
      <c r="B4135" t="s">
        <v>8607</v>
      </c>
      <c r="F4135" t="s">
        <v>27688</v>
      </c>
      <c r="G4135" t="s">
        <v>27689</v>
      </c>
    </row>
    <row r="4136" spans="1:7">
      <c r="A4136" t="s">
        <v>27690</v>
      </c>
      <c r="B4136" t="s">
        <v>8607</v>
      </c>
      <c r="F4136" t="s">
        <v>17830</v>
      </c>
      <c r="G4136" t="s">
        <v>27691</v>
      </c>
    </row>
    <row r="4137" spans="1:7">
      <c r="A4137" t="s">
        <v>27692</v>
      </c>
      <c r="B4137" t="s">
        <v>8607</v>
      </c>
      <c r="F4137" t="s">
        <v>27693</v>
      </c>
      <c r="G4137" t="s">
        <v>27694</v>
      </c>
    </row>
    <row r="4138" spans="1:7">
      <c r="A4138" t="s">
        <v>27695</v>
      </c>
      <c r="B4138" t="s">
        <v>8607</v>
      </c>
      <c r="F4138" t="s">
        <v>27696</v>
      </c>
      <c r="G4138" t="s">
        <v>27697</v>
      </c>
    </row>
    <row r="4139" spans="1:7">
      <c r="A4139" t="s">
        <v>27698</v>
      </c>
      <c r="B4139" t="s">
        <v>8626</v>
      </c>
      <c r="F4139" t="s">
        <v>27699</v>
      </c>
      <c r="G4139" t="s">
        <v>27700</v>
      </c>
    </row>
    <row r="4140" spans="1:7">
      <c r="A4140" t="s">
        <v>27701</v>
      </c>
      <c r="B4140" t="s">
        <v>8626</v>
      </c>
      <c r="F4140" t="s">
        <v>27702</v>
      </c>
      <c r="G4140" t="s">
        <v>27703</v>
      </c>
    </row>
    <row r="4141" spans="1:7">
      <c r="A4141" t="s">
        <v>27704</v>
      </c>
      <c r="B4141" t="s">
        <v>8607</v>
      </c>
      <c r="F4141" t="s">
        <v>27705</v>
      </c>
      <c r="G4141" t="s">
        <v>27706</v>
      </c>
    </row>
    <row r="4142" spans="1:7">
      <c r="A4142" t="s">
        <v>27707</v>
      </c>
      <c r="B4142" t="s">
        <v>8626</v>
      </c>
      <c r="G4142" t="s">
        <v>27708</v>
      </c>
    </row>
    <row r="4143" spans="1:7">
      <c r="A4143" t="s">
        <v>27709</v>
      </c>
      <c r="B4143" t="s">
        <v>8607</v>
      </c>
      <c r="F4143" t="s">
        <v>27710</v>
      </c>
      <c r="G4143" t="s">
        <v>27711</v>
      </c>
    </row>
    <row r="4144" spans="1:7">
      <c r="A4144" t="s">
        <v>27712</v>
      </c>
      <c r="B4144" t="s">
        <v>8607</v>
      </c>
      <c r="G4144" t="s">
        <v>27713</v>
      </c>
    </row>
    <row r="4145" spans="1:7">
      <c r="A4145" t="s">
        <v>27714</v>
      </c>
      <c r="B4145" t="s">
        <v>8607</v>
      </c>
      <c r="G4145" t="s">
        <v>27715</v>
      </c>
    </row>
    <row r="4146" spans="1:7">
      <c r="A4146" t="s">
        <v>27716</v>
      </c>
      <c r="B4146" t="s">
        <v>8607</v>
      </c>
      <c r="F4146" t="s">
        <v>27717</v>
      </c>
      <c r="G4146" t="s">
        <v>27718</v>
      </c>
    </row>
    <row r="4147" spans="1:7">
      <c r="A4147" t="s">
        <v>27719</v>
      </c>
      <c r="B4147" t="s">
        <v>8607</v>
      </c>
      <c r="F4147" t="s">
        <v>17429</v>
      </c>
      <c r="G4147" t="s">
        <v>27720</v>
      </c>
    </row>
    <row r="4148" spans="1:7">
      <c r="A4148" t="s">
        <v>27721</v>
      </c>
      <c r="B4148" t="s">
        <v>8607</v>
      </c>
      <c r="F4148" t="s">
        <v>27722</v>
      </c>
      <c r="G4148" t="s">
        <v>27723</v>
      </c>
    </row>
    <row r="4149" spans="1:7">
      <c r="A4149" t="s">
        <v>27724</v>
      </c>
      <c r="B4149" t="s">
        <v>8607</v>
      </c>
      <c r="F4149" t="s">
        <v>17920</v>
      </c>
      <c r="G4149" t="s">
        <v>27725</v>
      </c>
    </row>
    <row r="4150" spans="1:7">
      <c r="A4150" t="s">
        <v>27726</v>
      </c>
      <c r="B4150" t="s">
        <v>8607</v>
      </c>
      <c r="F4150" t="s">
        <v>27727</v>
      </c>
      <c r="G4150" t="s">
        <v>27728</v>
      </c>
    </row>
    <row r="4151" spans="1:7">
      <c r="A4151" t="s">
        <v>27729</v>
      </c>
      <c r="G4151" t="s">
        <v>27730</v>
      </c>
    </row>
    <row r="4152" spans="1:7">
      <c r="A4152" t="s">
        <v>27731</v>
      </c>
      <c r="B4152" t="s">
        <v>8607</v>
      </c>
      <c r="F4152" t="s">
        <v>17349</v>
      </c>
      <c r="G4152" t="s">
        <v>24275</v>
      </c>
    </row>
    <row r="4153" spans="1:7">
      <c r="A4153" t="s">
        <v>27732</v>
      </c>
      <c r="B4153" t="s">
        <v>8607</v>
      </c>
      <c r="F4153" t="s">
        <v>17824</v>
      </c>
      <c r="G4153" t="s">
        <v>27733</v>
      </c>
    </row>
    <row r="4154" spans="1:7">
      <c r="A4154" t="s">
        <v>27734</v>
      </c>
      <c r="B4154" t="s">
        <v>8607</v>
      </c>
      <c r="F4154" t="s">
        <v>17830</v>
      </c>
      <c r="G4154" t="s">
        <v>27735</v>
      </c>
    </row>
    <row r="4155" spans="1:7">
      <c r="A4155" t="s">
        <v>27736</v>
      </c>
      <c r="B4155" t="s">
        <v>8607</v>
      </c>
      <c r="F4155" t="s">
        <v>22864</v>
      </c>
      <c r="G4155" t="s">
        <v>27737</v>
      </c>
    </row>
    <row r="4156" spans="1:7">
      <c r="A4156" t="s">
        <v>27738</v>
      </c>
      <c r="B4156" t="s">
        <v>8607</v>
      </c>
      <c r="C4156" t="s">
        <v>27739</v>
      </c>
      <c r="F4156" t="s">
        <v>27740</v>
      </c>
      <c r="G4156" t="s">
        <v>27741</v>
      </c>
    </row>
    <row r="4157" spans="1:7">
      <c r="A4157" t="s">
        <v>27742</v>
      </c>
      <c r="B4157" t="s">
        <v>8607</v>
      </c>
      <c r="G4157" t="s">
        <v>27743</v>
      </c>
    </row>
    <row r="4158" spans="1:7">
      <c r="A4158" t="s">
        <v>27744</v>
      </c>
      <c r="B4158" t="s">
        <v>8607</v>
      </c>
      <c r="G4158" t="s">
        <v>27745</v>
      </c>
    </row>
    <row r="4159" spans="1:7">
      <c r="A4159" t="s">
        <v>27746</v>
      </c>
      <c r="B4159" t="s">
        <v>8626</v>
      </c>
      <c r="F4159" t="s">
        <v>26108</v>
      </c>
      <c r="G4159" t="s">
        <v>27747</v>
      </c>
    </row>
    <row r="4160" spans="1:7">
      <c r="A4160" t="s">
        <v>27748</v>
      </c>
      <c r="B4160" t="s">
        <v>8626</v>
      </c>
      <c r="F4160" t="s">
        <v>17349</v>
      </c>
      <c r="G4160" t="s">
        <v>27749</v>
      </c>
    </row>
    <row r="4161" spans="1:7">
      <c r="A4161" t="s">
        <v>27750</v>
      </c>
      <c r="B4161" t="s">
        <v>8607</v>
      </c>
      <c r="G4161" t="s">
        <v>27751</v>
      </c>
    </row>
    <row r="4162" spans="1:7">
      <c r="A4162" t="s">
        <v>27752</v>
      </c>
      <c r="B4162" t="s">
        <v>8607</v>
      </c>
      <c r="F4162" t="s">
        <v>27753</v>
      </c>
      <c r="G4162" t="s">
        <v>27754</v>
      </c>
    </row>
    <row r="4163" spans="1:7">
      <c r="A4163" t="s">
        <v>27755</v>
      </c>
      <c r="B4163" t="s">
        <v>8607</v>
      </c>
      <c r="G4163" t="s">
        <v>27756</v>
      </c>
    </row>
    <row r="4164" spans="1:7">
      <c r="A4164" t="s">
        <v>27757</v>
      </c>
      <c r="B4164" t="s">
        <v>8607</v>
      </c>
      <c r="F4164" t="s">
        <v>27758</v>
      </c>
      <c r="G4164" t="s">
        <v>27759</v>
      </c>
    </row>
    <row r="4165" spans="1:7">
      <c r="A4165" t="s">
        <v>27760</v>
      </c>
      <c r="B4165" t="s">
        <v>8607</v>
      </c>
      <c r="G4165" t="s">
        <v>24246</v>
      </c>
    </row>
    <row r="4166" spans="1:7">
      <c r="A4166" t="s">
        <v>27761</v>
      </c>
      <c r="B4166" t="s">
        <v>8607</v>
      </c>
      <c r="F4166" t="s">
        <v>27762</v>
      </c>
      <c r="G4166" t="s">
        <v>27763</v>
      </c>
    </row>
    <row r="4167" spans="1:7">
      <c r="A4167" t="s">
        <v>27764</v>
      </c>
      <c r="B4167" t="s">
        <v>8607</v>
      </c>
      <c r="F4167" t="s">
        <v>26555</v>
      </c>
      <c r="G4167" t="s">
        <v>27765</v>
      </c>
    </row>
    <row r="4168" spans="1:7">
      <c r="A4168" t="s">
        <v>27766</v>
      </c>
      <c r="B4168" t="s">
        <v>8607</v>
      </c>
      <c r="F4168" t="s">
        <v>26558</v>
      </c>
      <c r="G4168" t="s">
        <v>27767</v>
      </c>
    </row>
    <row r="4169" spans="1:7">
      <c r="A4169" t="s">
        <v>27768</v>
      </c>
      <c r="B4169" t="s">
        <v>8626</v>
      </c>
      <c r="C4169" t="s">
        <v>27769</v>
      </c>
      <c r="F4169" t="s">
        <v>26207</v>
      </c>
      <c r="G4169" t="s">
        <v>27770</v>
      </c>
    </row>
    <row r="4170" spans="1:7">
      <c r="A4170" t="s">
        <v>27771</v>
      </c>
      <c r="B4170" t="s">
        <v>8607</v>
      </c>
      <c r="F4170" t="s">
        <v>17349</v>
      </c>
      <c r="G4170" t="s">
        <v>27772</v>
      </c>
    </row>
    <row r="4171" spans="1:7">
      <c r="A4171" t="s">
        <v>27773</v>
      </c>
      <c r="B4171" t="s">
        <v>8626</v>
      </c>
      <c r="C4171" t="s">
        <v>27774</v>
      </c>
      <c r="F4171" t="s">
        <v>26425</v>
      </c>
      <c r="G4171" t="s">
        <v>27775</v>
      </c>
    </row>
    <row r="4172" spans="1:7">
      <c r="A4172" t="s">
        <v>27776</v>
      </c>
      <c r="B4172" t="s">
        <v>8626</v>
      </c>
      <c r="C4172" t="s">
        <v>27777</v>
      </c>
      <c r="F4172" t="s">
        <v>19172</v>
      </c>
      <c r="G4172" t="s">
        <v>27778</v>
      </c>
    </row>
    <row r="4173" spans="1:7">
      <c r="A4173" t="s">
        <v>27779</v>
      </c>
      <c r="B4173" t="s">
        <v>8607</v>
      </c>
      <c r="C4173" t="s">
        <v>27780</v>
      </c>
      <c r="F4173" t="s">
        <v>9018</v>
      </c>
      <c r="G4173" t="s">
        <v>27781</v>
      </c>
    </row>
    <row r="4174" spans="1:7">
      <c r="A4174" t="s">
        <v>27782</v>
      </c>
      <c r="B4174" t="s">
        <v>8607</v>
      </c>
      <c r="G4174" t="s">
        <v>27783</v>
      </c>
    </row>
    <row r="4175" spans="1:7">
      <c r="A4175" t="s">
        <v>27784</v>
      </c>
      <c r="B4175" t="s">
        <v>8626</v>
      </c>
      <c r="F4175" t="s">
        <v>27785</v>
      </c>
      <c r="G4175" t="s">
        <v>27786</v>
      </c>
    </row>
    <row r="4176" spans="1:7">
      <c r="A4176" t="s">
        <v>27787</v>
      </c>
      <c r="B4176" t="s">
        <v>8607</v>
      </c>
      <c r="F4176" t="s">
        <v>27594</v>
      </c>
      <c r="G4176" t="s">
        <v>27788</v>
      </c>
    </row>
    <row r="4177" spans="1:7">
      <c r="A4177" t="s">
        <v>27789</v>
      </c>
      <c r="B4177" t="s">
        <v>8607</v>
      </c>
      <c r="F4177" t="s">
        <v>23859</v>
      </c>
      <c r="G4177" t="s">
        <v>27790</v>
      </c>
    </row>
    <row r="4178" spans="1:7">
      <c r="A4178" t="s">
        <v>27791</v>
      </c>
      <c r="B4178" t="s">
        <v>8607</v>
      </c>
      <c r="F4178" t="s">
        <v>26207</v>
      </c>
      <c r="G4178" t="s">
        <v>27792</v>
      </c>
    </row>
    <row r="4179" spans="1:7">
      <c r="A4179" t="s">
        <v>27793</v>
      </c>
      <c r="B4179" t="s">
        <v>8607</v>
      </c>
      <c r="F4179" t="s">
        <v>27794</v>
      </c>
      <c r="G4179" t="s">
        <v>27795</v>
      </c>
    </row>
    <row r="4180" spans="1:7">
      <c r="A4180" t="s">
        <v>27796</v>
      </c>
      <c r="G4180" t="s">
        <v>27797</v>
      </c>
    </row>
    <row r="4181" spans="1:7">
      <c r="A4181" t="s">
        <v>27798</v>
      </c>
      <c r="B4181" t="s">
        <v>8607</v>
      </c>
      <c r="G4181" t="s">
        <v>27799</v>
      </c>
    </row>
    <row r="4182" spans="1:7">
      <c r="A4182" t="s">
        <v>27800</v>
      </c>
      <c r="B4182" t="s">
        <v>8607</v>
      </c>
      <c r="C4182" t="s">
        <v>27769</v>
      </c>
      <c r="F4182" t="s">
        <v>26207</v>
      </c>
      <c r="G4182" t="s">
        <v>27801</v>
      </c>
    </row>
    <row r="4183" spans="1:7">
      <c r="A4183" t="s">
        <v>27802</v>
      </c>
      <c r="G4183" t="s">
        <v>27803</v>
      </c>
    </row>
    <row r="4184" spans="1:7">
      <c r="A4184" t="s">
        <v>27804</v>
      </c>
      <c r="B4184" t="s">
        <v>8607</v>
      </c>
      <c r="F4184" t="s">
        <v>27805</v>
      </c>
      <c r="G4184" t="s">
        <v>27806</v>
      </c>
    </row>
    <row r="4185" spans="1:7">
      <c r="A4185" t="s">
        <v>27807</v>
      </c>
      <c r="B4185" t="s">
        <v>8607</v>
      </c>
      <c r="F4185" t="s">
        <v>17824</v>
      </c>
      <c r="G4185" t="s">
        <v>27733</v>
      </c>
    </row>
    <row r="4186" spans="1:7">
      <c r="A4186" t="s">
        <v>27808</v>
      </c>
      <c r="B4186" t="s">
        <v>8626</v>
      </c>
      <c r="F4186" t="s">
        <v>25054</v>
      </c>
      <c r="G4186" t="s">
        <v>27809</v>
      </c>
    </row>
    <row r="4187" spans="1:7">
      <c r="A4187" t="s">
        <v>27810</v>
      </c>
      <c r="B4187" t="s">
        <v>8607</v>
      </c>
      <c r="F4187" t="s">
        <v>17830</v>
      </c>
      <c r="G4187" t="s">
        <v>27735</v>
      </c>
    </row>
    <row r="4188" spans="1:7">
      <c r="A4188" t="s">
        <v>27811</v>
      </c>
      <c r="B4188" t="s">
        <v>8607</v>
      </c>
      <c r="F4188" t="s">
        <v>17920</v>
      </c>
      <c r="G4188" t="s">
        <v>27725</v>
      </c>
    </row>
    <row r="4189" spans="1:7">
      <c r="A4189" t="s">
        <v>27812</v>
      </c>
      <c r="B4189" t="s">
        <v>8626</v>
      </c>
      <c r="F4189" t="s">
        <v>27813</v>
      </c>
      <c r="G4189" t="s">
        <v>27814</v>
      </c>
    </row>
    <row r="4190" spans="1:7">
      <c r="A4190" t="s">
        <v>27815</v>
      </c>
      <c r="B4190" t="s">
        <v>8607</v>
      </c>
      <c r="F4190" t="s">
        <v>27727</v>
      </c>
      <c r="G4190" t="s">
        <v>27816</v>
      </c>
    </row>
    <row r="4191" spans="1:7">
      <c r="A4191" t="s">
        <v>27817</v>
      </c>
      <c r="B4191" t="s">
        <v>8626</v>
      </c>
      <c r="F4191" t="s">
        <v>24675</v>
      </c>
      <c r="G4191" t="s">
        <v>27818</v>
      </c>
    </row>
    <row r="4192" spans="1:7">
      <c r="A4192" t="s">
        <v>27819</v>
      </c>
      <c r="B4192" t="s">
        <v>8607</v>
      </c>
      <c r="F4192" t="s">
        <v>27820</v>
      </c>
      <c r="G4192" t="s">
        <v>27821</v>
      </c>
    </row>
    <row r="4193" spans="1:7">
      <c r="A4193" t="s">
        <v>27822</v>
      </c>
      <c r="B4193" t="s">
        <v>8607</v>
      </c>
      <c r="F4193" t="s">
        <v>27823</v>
      </c>
      <c r="G4193" t="s">
        <v>27824</v>
      </c>
    </row>
    <row r="4194" spans="1:7">
      <c r="A4194" t="s">
        <v>27825</v>
      </c>
      <c r="B4194" t="s">
        <v>8607</v>
      </c>
      <c r="F4194" t="s">
        <v>27826</v>
      </c>
      <c r="G4194" t="s">
        <v>27827</v>
      </c>
    </row>
    <row r="4195" spans="1:7">
      <c r="A4195" t="s">
        <v>27828</v>
      </c>
      <c r="B4195" t="s">
        <v>8607</v>
      </c>
      <c r="G4195" t="s">
        <v>27829</v>
      </c>
    </row>
    <row r="4196" spans="1:7">
      <c r="A4196" t="s">
        <v>27830</v>
      </c>
      <c r="B4196" t="s">
        <v>8607</v>
      </c>
      <c r="G4196" t="s">
        <v>27831</v>
      </c>
    </row>
    <row r="4197" spans="1:7">
      <c r="A4197" t="s">
        <v>27832</v>
      </c>
      <c r="B4197" t="s">
        <v>8607</v>
      </c>
      <c r="F4197" t="s">
        <v>20844</v>
      </c>
      <c r="G4197" t="s">
        <v>27833</v>
      </c>
    </row>
    <row r="4198" spans="1:7">
      <c r="A4198" t="s">
        <v>27834</v>
      </c>
      <c r="B4198" t="s">
        <v>8607</v>
      </c>
      <c r="F4198" t="s">
        <v>27835</v>
      </c>
      <c r="G4198" t="s">
        <v>27836</v>
      </c>
    </row>
    <row r="4199" spans="1:7">
      <c r="A4199" t="s">
        <v>27837</v>
      </c>
      <c r="B4199" t="s">
        <v>8607</v>
      </c>
      <c r="G4199" t="s">
        <v>27838</v>
      </c>
    </row>
    <row r="4200" spans="1:7">
      <c r="A4200" t="s">
        <v>27839</v>
      </c>
      <c r="B4200" t="s">
        <v>8607</v>
      </c>
      <c r="F4200" t="s">
        <v>17932</v>
      </c>
      <c r="G4200" t="s">
        <v>27840</v>
      </c>
    </row>
    <row r="4201" spans="1:7">
      <c r="A4201" t="s">
        <v>27841</v>
      </c>
      <c r="B4201" t="s">
        <v>8607</v>
      </c>
      <c r="C4201" t="s">
        <v>27842</v>
      </c>
      <c r="F4201" t="s">
        <v>20201</v>
      </c>
      <c r="G4201" t="s">
        <v>27843</v>
      </c>
    </row>
    <row r="4202" spans="1:7">
      <c r="A4202" t="s">
        <v>27844</v>
      </c>
      <c r="B4202" t="s">
        <v>8607</v>
      </c>
      <c r="F4202" t="s">
        <v>20473</v>
      </c>
      <c r="G4202" t="s">
        <v>27845</v>
      </c>
    </row>
    <row r="4203" spans="1:7">
      <c r="A4203" t="s">
        <v>27846</v>
      </c>
      <c r="G4203" t="s">
        <v>27847</v>
      </c>
    </row>
    <row r="4204" spans="1:7">
      <c r="A4204" t="s">
        <v>27848</v>
      </c>
      <c r="B4204" t="s">
        <v>8607</v>
      </c>
      <c r="C4204" t="s">
        <v>27583</v>
      </c>
      <c r="F4204" t="s">
        <v>26207</v>
      </c>
      <c r="G4204" t="s">
        <v>27849</v>
      </c>
    </row>
    <row r="4205" spans="1:7">
      <c r="A4205" t="s">
        <v>27850</v>
      </c>
      <c r="B4205" t="s">
        <v>8626</v>
      </c>
      <c r="G4205" t="s">
        <v>27851</v>
      </c>
    </row>
    <row r="4206" spans="1:7">
      <c r="A4206" t="s">
        <v>27852</v>
      </c>
      <c r="B4206" t="s">
        <v>8607</v>
      </c>
      <c r="F4206" t="s">
        <v>26420</v>
      </c>
      <c r="G4206" t="s">
        <v>27853</v>
      </c>
    </row>
    <row r="4207" spans="1:7">
      <c r="A4207" t="s">
        <v>27854</v>
      </c>
      <c r="B4207" t="s">
        <v>8626</v>
      </c>
      <c r="G4207" t="s">
        <v>27855</v>
      </c>
    </row>
    <row r="4208" spans="1:7">
      <c r="A4208" t="s">
        <v>27856</v>
      </c>
      <c r="B4208" t="s">
        <v>8607</v>
      </c>
      <c r="F4208" t="s">
        <v>26425</v>
      </c>
      <c r="G4208" t="s">
        <v>27857</v>
      </c>
    </row>
    <row r="4209" spans="1:7">
      <c r="A4209" t="s">
        <v>27858</v>
      </c>
      <c r="B4209" t="s">
        <v>8626</v>
      </c>
      <c r="G4209" t="s">
        <v>27859</v>
      </c>
    </row>
    <row r="4210" spans="1:7">
      <c r="A4210" t="s">
        <v>27860</v>
      </c>
      <c r="B4210" t="s">
        <v>8607</v>
      </c>
      <c r="F4210" t="s">
        <v>27740</v>
      </c>
      <c r="G4210" t="s">
        <v>27861</v>
      </c>
    </row>
    <row r="4211" spans="1:7">
      <c r="A4211" t="s">
        <v>27862</v>
      </c>
      <c r="B4211" t="s">
        <v>8607</v>
      </c>
      <c r="G4211" t="s">
        <v>27863</v>
      </c>
    </row>
    <row r="4212" spans="1:7">
      <c r="A4212" t="s">
        <v>27864</v>
      </c>
      <c r="B4212" t="s">
        <v>8607</v>
      </c>
      <c r="F4212" t="s">
        <v>26602</v>
      </c>
      <c r="G4212" t="s">
        <v>27865</v>
      </c>
    </row>
    <row r="4213" spans="1:7">
      <c r="A4213" t="s">
        <v>27866</v>
      </c>
      <c r="B4213" t="s">
        <v>8626</v>
      </c>
      <c r="G4213" t="s">
        <v>27867</v>
      </c>
    </row>
    <row r="4214" spans="1:7">
      <c r="A4214" t="s">
        <v>27868</v>
      </c>
      <c r="B4214" t="s">
        <v>8607</v>
      </c>
      <c r="G4214" t="s">
        <v>27869</v>
      </c>
    </row>
    <row r="4215" spans="1:7">
      <c r="A4215" t="s">
        <v>27870</v>
      </c>
      <c r="B4215" t="s">
        <v>8607</v>
      </c>
      <c r="G4215" t="s">
        <v>27871</v>
      </c>
    </row>
    <row r="4216" spans="1:7">
      <c r="A4216" t="s">
        <v>27872</v>
      </c>
      <c r="B4216" t="s">
        <v>8607</v>
      </c>
      <c r="G4216" t="s">
        <v>27873</v>
      </c>
    </row>
    <row r="4217" spans="1:7">
      <c r="A4217" t="s">
        <v>27874</v>
      </c>
      <c r="B4217" t="s">
        <v>8626</v>
      </c>
      <c r="G4217" t="s">
        <v>27875</v>
      </c>
    </row>
    <row r="4218" spans="1:7">
      <c r="A4218" t="s">
        <v>27876</v>
      </c>
      <c r="B4218" t="s">
        <v>8607</v>
      </c>
      <c r="G4218" t="s">
        <v>27877</v>
      </c>
    </row>
    <row r="4219" spans="1:7">
      <c r="A4219" t="s">
        <v>27878</v>
      </c>
      <c r="B4219" t="s">
        <v>8607</v>
      </c>
      <c r="F4219" t="s">
        <v>27445</v>
      </c>
      <c r="G4219" t="s">
        <v>27879</v>
      </c>
    </row>
    <row r="4220" spans="1:7">
      <c r="A4220" t="s">
        <v>27880</v>
      </c>
      <c r="B4220" t="s">
        <v>8607</v>
      </c>
      <c r="G4220" t="s">
        <v>27881</v>
      </c>
    </row>
    <row r="4221" spans="1:7">
      <c r="A4221" t="s">
        <v>27882</v>
      </c>
      <c r="B4221" t="s">
        <v>8607</v>
      </c>
      <c r="F4221" t="s">
        <v>27423</v>
      </c>
      <c r="G4221" t="s">
        <v>27424</v>
      </c>
    </row>
    <row r="4222" spans="1:7">
      <c r="A4222" t="s">
        <v>27883</v>
      </c>
      <c r="B4222" t="s">
        <v>8626</v>
      </c>
      <c r="G4222" t="s">
        <v>27884</v>
      </c>
    </row>
    <row r="4223" spans="1:7">
      <c r="A4223" t="s">
        <v>27885</v>
      </c>
      <c r="B4223" t="s">
        <v>8607</v>
      </c>
      <c r="F4223" t="s">
        <v>23859</v>
      </c>
      <c r="G4223" t="s">
        <v>27886</v>
      </c>
    </row>
    <row r="4224" spans="1:7">
      <c r="A4224" t="s">
        <v>27887</v>
      </c>
      <c r="B4224" t="s">
        <v>8607</v>
      </c>
      <c r="F4224" t="s">
        <v>17824</v>
      </c>
      <c r="G4224" t="s">
        <v>27733</v>
      </c>
    </row>
    <row r="4225" spans="1:7">
      <c r="A4225" t="s">
        <v>27888</v>
      </c>
      <c r="B4225" t="s">
        <v>8607</v>
      </c>
      <c r="F4225" t="s">
        <v>17830</v>
      </c>
      <c r="G4225" t="s">
        <v>27735</v>
      </c>
    </row>
    <row r="4226" spans="1:7">
      <c r="A4226" t="s">
        <v>27889</v>
      </c>
      <c r="B4226" t="s">
        <v>8607</v>
      </c>
      <c r="F4226" t="s">
        <v>27890</v>
      </c>
      <c r="G4226" t="s">
        <v>27891</v>
      </c>
    </row>
    <row r="4227" spans="1:7">
      <c r="A4227" t="s">
        <v>27892</v>
      </c>
      <c r="B4227" t="s">
        <v>8626</v>
      </c>
      <c r="F4227" t="s">
        <v>27813</v>
      </c>
      <c r="G4227" t="s">
        <v>27814</v>
      </c>
    </row>
    <row r="4228" spans="1:7">
      <c r="A4228" t="s">
        <v>27893</v>
      </c>
      <c r="B4228" t="s">
        <v>8607</v>
      </c>
      <c r="F4228" t="s">
        <v>27727</v>
      </c>
      <c r="G4228" t="s">
        <v>27728</v>
      </c>
    </row>
    <row r="4229" spans="1:7">
      <c r="A4229" t="s">
        <v>27894</v>
      </c>
      <c r="B4229" t="s">
        <v>8607</v>
      </c>
      <c r="F4229" t="s">
        <v>25721</v>
      </c>
      <c r="G4229" t="s">
        <v>27895</v>
      </c>
    </row>
    <row r="4230" spans="1:7">
      <c r="A4230" t="s">
        <v>27896</v>
      </c>
      <c r="B4230" t="s">
        <v>8607</v>
      </c>
      <c r="G4230" t="s">
        <v>27897</v>
      </c>
    </row>
    <row r="4231" spans="1:7">
      <c r="A4231" t="s">
        <v>27898</v>
      </c>
      <c r="B4231" t="s">
        <v>8607</v>
      </c>
      <c r="F4231" t="s">
        <v>27899</v>
      </c>
      <c r="G4231" t="s">
        <v>27900</v>
      </c>
    </row>
    <row r="4232" spans="1:7">
      <c r="A4232" t="s">
        <v>27901</v>
      </c>
      <c r="B4232" t="s">
        <v>8626</v>
      </c>
      <c r="F4232" t="s">
        <v>27902</v>
      </c>
      <c r="G4232" t="s">
        <v>27903</v>
      </c>
    </row>
    <row r="4233" spans="1:7">
      <c r="A4233" t="s">
        <v>27904</v>
      </c>
      <c r="B4233" t="s">
        <v>8626</v>
      </c>
      <c r="G4233" t="s">
        <v>27905</v>
      </c>
    </row>
    <row r="4234" spans="1:7">
      <c r="A4234" t="s">
        <v>27906</v>
      </c>
      <c r="B4234" t="s">
        <v>8626</v>
      </c>
      <c r="F4234" t="s">
        <v>27907</v>
      </c>
      <c r="G4234" t="s">
        <v>27908</v>
      </c>
    </row>
    <row r="4235" spans="1:7">
      <c r="A4235" t="s">
        <v>27909</v>
      </c>
      <c r="B4235" t="s">
        <v>8607</v>
      </c>
      <c r="F4235" t="s">
        <v>27910</v>
      </c>
      <c r="G4235" t="s">
        <v>27911</v>
      </c>
    </row>
    <row r="4236" spans="1:7">
      <c r="A4236" t="s">
        <v>27912</v>
      </c>
      <c r="B4236" t="s">
        <v>8626</v>
      </c>
      <c r="G4236" t="s">
        <v>27913</v>
      </c>
    </row>
    <row r="4237" spans="1:7">
      <c r="A4237" t="s">
        <v>27914</v>
      </c>
      <c r="B4237" t="s">
        <v>8626</v>
      </c>
      <c r="F4237" t="s">
        <v>27915</v>
      </c>
      <c r="G4237" t="s">
        <v>27916</v>
      </c>
    </row>
    <row r="4238" spans="1:7">
      <c r="A4238" t="s">
        <v>27917</v>
      </c>
      <c r="B4238" t="s">
        <v>8626</v>
      </c>
      <c r="F4238" t="s">
        <v>9018</v>
      </c>
      <c r="G4238" t="s">
        <v>27918</v>
      </c>
    </row>
    <row r="4239" spans="1:7">
      <c r="A4239" t="s">
        <v>27919</v>
      </c>
      <c r="B4239" t="s">
        <v>8607</v>
      </c>
      <c r="F4239" t="s">
        <v>20423</v>
      </c>
      <c r="G4239" t="s">
        <v>20432</v>
      </c>
    </row>
    <row r="4240" spans="1:7">
      <c r="A4240" t="s">
        <v>27920</v>
      </c>
      <c r="B4240" t="s">
        <v>8607</v>
      </c>
      <c r="F4240" t="s">
        <v>27753</v>
      </c>
      <c r="G4240" t="s">
        <v>27921</v>
      </c>
    </row>
    <row r="4241" spans="1:7">
      <c r="A4241" t="s">
        <v>27922</v>
      </c>
      <c r="B4241" t="s">
        <v>8626</v>
      </c>
      <c r="F4241" t="s">
        <v>27923</v>
      </c>
      <c r="G4241" t="s">
        <v>27924</v>
      </c>
    </row>
    <row r="4242" spans="1:7">
      <c r="A4242" t="s">
        <v>27925</v>
      </c>
      <c r="B4242" t="s">
        <v>8607</v>
      </c>
      <c r="C4242" t="s">
        <v>24753</v>
      </c>
      <c r="F4242" t="s">
        <v>8623</v>
      </c>
      <c r="G4242" t="s">
        <v>27926</v>
      </c>
    </row>
    <row r="4243" spans="1:7">
      <c r="A4243" t="s">
        <v>27927</v>
      </c>
      <c r="B4243" t="s">
        <v>8607</v>
      </c>
      <c r="F4243" t="s">
        <v>17257</v>
      </c>
      <c r="G4243" t="s">
        <v>17258</v>
      </c>
    </row>
    <row r="4244" spans="1:7">
      <c r="A4244" t="s">
        <v>27928</v>
      </c>
      <c r="B4244" t="s">
        <v>8607</v>
      </c>
      <c r="F4244" t="s">
        <v>17260</v>
      </c>
      <c r="G4244" t="s">
        <v>27426</v>
      </c>
    </row>
    <row r="4245" spans="1:7">
      <c r="A4245" t="s">
        <v>27929</v>
      </c>
      <c r="B4245" t="s">
        <v>8607</v>
      </c>
      <c r="F4245" t="s">
        <v>27930</v>
      </c>
      <c r="G4245" t="s">
        <v>27931</v>
      </c>
    </row>
    <row r="4246" spans="1:7">
      <c r="A4246" t="s">
        <v>27932</v>
      </c>
      <c r="B4246" t="s">
        <v>8607</v>
      </c>
      <c r="F4246" t="s">
        <v>26251</v>
      </c>
      <c r="G4246" t="s">
        <v>26252</v>
      </c>
    </row>
    <row r="4247" spans="1:7">
      <c r="A4247" t="s">
        <v>27933</v>
      </c>
      <c r="B4247" t="s">
        <v>8607</v>
      </c>
      <c r="F4247" t="s">
        <v>23371</v>
      </c>
      <c r="G4247" t="s">
        <v>27448</v>
      </c>
    </row>
    <row r="4248" spans="1:7">
      <c r="A4248" t="s">
        <v>27934</v>
      </c>
      <c r="B4248" t="s">
        <v>8626</v>
      </c>
      <c r="F4248" t="s">
        <v>19514</v>
      </c>
      <c r="G4248" t="s">
        <v>27935</v>
      </c>
    </row>
    <row r="4249" spans="1:7">
      <c r="A4249" t="s">
        <v>27936</v>
      </c>
      <c r="B4249" t="s">
        <v>8607</v>
      </c>
      <c r="F4249" t="s">
        <v>27937</v>
      </c>
      <c r="G4249" t="s">
        <v>27938</v>
      </c>
    </row>
    <row r="4250" spans="1:7">
      <c r="A4250" t="s">
        <v>27939</v>
      </c>
      <c r="B4250" t="s">
        <v>8607</v>
      </c>
      <c r="F4250" t="s">
        <v>20201</v>
      </c>
      <c r="G4250" t="s">
        <v>27940</v>
      </c>
    </row>
    <row r="4251" spans="1:7">
      <c r="A4251" t="s">
        <v>27941</v>
      </c>
      <c r="B4251" t="s">
        <v>8607</v>
      </c>
      <c r="F4251" t="s">
        <v>19996</v>
      </c>
      <c r="G4251" t="s">
        <v>27942</v>
      </c>
    </row>
    <row r="4252" spans="1:7">
      <c r="A4252" t="s">
        <v>27943</v>
      </c>
      <c r="B4252" t="s">
        <v>8607</v>
      </c>
      <c r="F4252" t="s">
        <v>27944</v>
      </c>
      <c r="G4252" t="s">
        <v>27945</v>
      </c>
    </row>
    <row r="4253" spans="1:7">
      <c r="A4253" t="s">
        <v>27946</v>
      </c>
      <c r="B4253" t="s">
        <v>8607</v>
      </c>
      <c r="F4253" t="s">
        <v>27947</v>
      </c>
      <c r="G4253" t="s">
        <v>27948</v>
      </c>
    </row>
    <row r="4254" spans="1:7">
      <c r="A4254" t="s">
        <v>27949</v>
      </c>
      <c r="G4254" t="s">
        <v>27950</v>
      </c>
    </row>
    <row r="4255" spans="1:7">
      <c r="A4255" t="s">
        <v>27951</v>
      </c>
      <c r="G4255" t="s">
        <v>27952</v>
      </c>
    </row>
    <row r="4256" spans="1:7">
      <c r="A4256" t="s">
        <v>27953</v>
      </c>
      <c r="B4256" t="s">
        <v>8607</v>
      </c>
      <c r="G4256" t="s">
        <v>10808</v>
      </c>
    </row>
    <row r="4257" spans="1:7">
      <c r="A4257" t="s">
        <v>27954</v>
      </c>
      <c r="B4257" t="s">
        <v>8607</v>
      </c>
      <c r="G4257" t="s">
        <v>27955</v>
      </c>
    </row>
    <row r="4258" spans="1:7">
      <c r="A4258" t="s">
        <v>27956</v>
      </c>
      <c r="B4258" t="s">
        <v>8607</v>
      </c>
      <c r="C4258" t="s">
        <v>27957</v>
      </c>
      <c r="F4258" t="s">
        <v>27958</v>
      </c>
      <c r="G4258" t="s">
        <v>27959</v>
      </c>
    </row>
    <row r="4259" spans="1:7">
      <c r="A4259" t="s">
        <v>27960</v>
      </c>
      <c r="B4259" t="s">
        <v>8607</v>
      </c>
      <c r="G4259" t="s">
        <v>27961</v>
      </c>
    </row>
    <row r="4260" spans="1:7">
      <c r="A4260" t="s">
        <v>27962</v>
      </c>
      <c r="B4260" t="s">
        <v>8607</v>
      </c>
      <c r="G4260" t="s">
        <v>27963</v>
      </c>
    </row>
    <row r="4261" spans="1:7">
      <c r="A4261" t="s">
        <v>27964</v>
      </c>
      <c r="B4261" t="s">
        <v>8607</v>
      </c>
      <c r="G4261" t="s">
        <v>27965</v>
      </c>
    </row>
    <row r="4262" spans="1:7">
      <c r="A4262" t="s">
        <v>27966</v>
      </c>
      <c r="B4262" t="s">
        <v>8626</v>
      </c>
      <c r="F4262" t="s">
        <v>8623</v>
      </c>
      <c r="G4262" t="s">
        <v>27967</v>
      </c>
    </row>
    <row r="4263" spans="1:7">
      <c r="A4263" t="s">
        <v>27968</v>
      </c>
      <c r="B4263" t="s">
        <v>8607</v>
      </c>
      <c r="F4263" t="s">
        <v>27969</v>
      </c>
      <c r="G4263" t="s">
        <v>27970</v>
      </c>
    </row>
    <row r="4264" spans="1:7">
      <c r="A4264" t="s">
        <v>27971</v>
      </c>
      <c r="B4264" t="s">
        <v>8607</v>
      </c>
      <c r="F4264" t="s">
        <v>26024</v>
      </c>
      <c r="G4264" t="s">
        <v>26025</v>
      </c>
    </row>
    <row r="4265" spans="1:7">
      <c r="A4265" t="s">
        <v>27972</v>
      </c>
      <c r="B4265" t="s">
        <v>8607</v>
      </c>
      <c r="G4265" t="s">
        <v>27973</v>
      </c>
    </row>
    <row r="4266" spans="1:7">
      <c r="A4266" t="s">
        <v>27974</v>
      </c>
      <c r="G4266" t="s">
        <v>27975</v>
      </c>
    </row>
    <row r="4267" spans="1:7">
      <c r="A4267" t="s">
        <v>27976</v>
      </c>
      <c r="B4267" t="s">
        <v>8626</v>
      </c>
      <c r="G4267" t="s">
        <v>27977</v>
      </c>
    </row>
    <row r="4268" spans="1:7">
      <c r="A4268" t="s">
        <v>27978</v>
      </c>
      <c r="B4268" t="s">
        <v>8626</v>
      </c>
      <c r="F4268" t="s">
        <v>27979</v>
      </c>
      <c r="G4268" t="s">
        <v>27980</v>
      </c>
    </row>
    <row r="4269" spans="1:7">
      <c r="A4269" t="s">
        <v>27981</v>
      </c>
      <c r="G4269" t="s">
        <v>27982</v>
      </c>
    </row>
    <row r="4270" spans="1:7">
      <c r="A4270" t="s">
        <v>27983</v>
      </c>
      <c r="G4270" t="s">
        <v>27984</v>
      </c>
    </row>
    <row r="4271" spans="1:7">
      <c r="A4271" t="s">
        <v>27985</v>
      </c>
      <c r="B4271" t="s">
        <v>8607</v>
      </c>
      <c r="F4271" t="s">
        <v>17310</v>
      </c>
      <c r="G4271" t="s">
        <v>20271</v>
      </c>
    </row>
    <row r="4272" spans="1:7">
      <c r="A4272" t="s">
        <v>27986</v>
      </c>
      <c r="B4272" t="s">
        <v>8607</v>
      </c>
      <c r="G4272" t="s">
        <v>27987</v>
      </c>
    </row>
    <row r="4273" spans="1:7">
      <c r="A4273" t="s">
        <v>27988</v>
      </c>
      <c r="B4273" t="s">
        <v>8607</v>
      </c>
      <c r="F4273" t="s">
        <v>9018</v>
      </c>
      <c r="G4273" t="s">
        <v>27989</v>
      </c>
    </row>
    <row r="4274" spans="1:7">
      <c r="A4274" t="s">
        <v>27990</v>
      </c>
      <c r="B4274" t="s">
        <v>8626</v>
      </c>
      <c r="F4274" t="s">
        <v>26176</v>
      </c>
      <c r="G4274" t="s">
        <v>27991</v>
      </c>
    </row>
    <row r="4275" spans="1:7">
      <c r="A4275" t="s">
        <v>27992</v>
      </c>
      <c r="B4275" t="s">
        <v>8626</v>
      </c>
      <c r="F4275" t="s">
        <v>12464</v>
      </c>
      <c r="G4275" t="s">
        <v>27993</v>
      </c>
    </row>
    <row r="4276" spans="1:7">
      <c r="A4276" t="s">
        <v>27994</v>
      </c>
      <c r="B4276" t="s">
        <v>8607</v>
      </c>
      <c r="F4276" t="s">
        <v>17429</v>
      </c>
      <c r="G4276" t="s">
        <v>27995</v>
      </c>
    </row>
    <row r="4277" spans="1:7">
      <c r="A4277" t="s">
        <v>27996</v>
      </c>
      <c r="B4277" t="s">
        <v>8626</v>
      </c>
      <c r="F4277" t="s">
        <v>27377</v>
      </c>
      <c r="G4277" t="s">
        <v>27997</v>
      </c>
    </row>
    <row r="4278" spans="1:7">
      <c r="A4278" t="s">
        <v>27998</v>
      </c>
      <c r="B4278" t="s">
        <v>8607</v>
      </c>
      <c r="G4278" t="s">
        <v>27999</v>
      </c>
    </row>
    <row r="4279" spans="1:7">
      <c r="A4279" t="s">
        <v>28000</v>
      </c>
      <c r="B4279" t="s">
        <v>8626</v>
      </c>
      <c r="F4279" t="s">
        <v>28001</v>
      </c>
      <c r="G4279" t="s">
        <v>28002</v>
      </c>
    </row>
    <row r="4280" spans="1:7">
      <c r="A4280" t="s">
        <v>28003</v>
      </c>
      <c r="B4280" t="s">
        <v>8607</v>
      </c>
      <c r="F4280" t="s">
        <v>28004</v>
      </c>
      <c r="G4280" t="s">
        <v>28005</v>
      </c>
    </row>
    <row r="4281" spans="1:7">
      <c r="A4281" t="s">
        <v>28006</v>
      </c>
      <c r="B4281" t="s">
        <v>8607</v>
      </c>
      <c r="F4281" t="s">
        <v>28007</v>
      </c>
      <c r="G4281" t="s">
        <v>28008</v>
      </c>
    </row>
    <row r="4282" spans="1:7">
      <c r="A4282" t="s">
        <v>28009</v>
      </c>
      <c r="B4282" t="s">
        <v>8607</v>
      </c>
      <c r="F4282" t="s">
        <v>9018</v>
      </c>
      <c r="G4282" t="s">
        <v>18567</v>
      </c>
    </row>
    <row r="4283" spans="1:7">
      <c r="A4283" t="s">
        <v>28010</v>
      </c>
      <c r="B4283" t="s">
        <v>8607</v>
      </c>
      <c r="F4283" t="s">
        <v>28011</v>
      </c>
      <c r="G4283" t="s">
        <v>28012</v>
      </c>
    </row>
    <row r="4284" spans="1:7">
      <c r="A4284" t="s">
        <v>28013</v>
      </c>
      <c r="B4284" t="s">
        <v>8626</v>
      </c>
      <c r="G4284" t="s">
        <v>28014</v>
      </c>
    </row>
    <row r="4285" spans="1:7">
      <c r="A4285" t="s">
        <v>28015</v>
      </c>
      <c r="B4285" t="s">
        <v>8607</v>
      </c>
      <c r="G4285" t="s">
        <v>28016</v>
      </c>
    </row>
    <row r="4286" spans="1:7">
      <c r="A4286" t="s">
        <v>28017</v>
      </c>
      <c r="B4286" t="s">
        <v>8607</v>
      </c>
      <c r="F4286" t="s">
        <v>28018</v>
      </c>
      <c r="G4286" t="s">
        <v>28019</v>
      </c>
    </row>
    <row r="4287" spans="1:7">
      <c r="A4287" t="s">
        <v>28020</v>
      </c>
      <c r="B4287" t="s">
        <v>8626</v>
      </c>
      <c r="F4287" t="s">
        <v>27458</v>
      </c>
      <c r="G4287" t="s">
        <v>28021</v>
      </c>
    </row>
    <row r="4288" spans="1:7">
      <c r="A4288" t="s">
        <v>28022</v>
      </c>
      <c r="B4288" t="s">
        <v>8607</v>
      </c>
      <c r="F4288" t="s">
        <v>8623</v>
      </c>
      <c r="G4288" t="s">
        <v>28023</v>
      </c>
    </row>
    <row r="4289" spans="1:7">
      <c r="A4289" t="s">
        <v>28024</v>
      </c>
      <c r="B4289" t="s">
        <v>8626</v>
      </c>
      <c r="F4289" t="s">
        <v>17928</v>
      </c>
      <c r="G4289" t="s">
        <v>28025</v>
      </c>
    </row>
    <row r="4290" spans="1:7">
      <c r="A4290" t="s">
        <v>28026</v>
      </c>
      <c r="G4290" t="s">
        <v>28027</v>
      </c>
    </row>
    <row r="4291" spans="1:7">
      <c r="A4291" t="s">
        <v>28028</v>
      </c>
      <c r="B4291" t="s">
        <v>8607</v>
      </c>
      <c r="G4291" t="s">
        <v>28029</v>
      </c>
    </row>
    <row r="4292" spans="1:7">
      <c r="A4292" t="s">
        <v>28030</v>
      </c>
      <c r="B4292" t="s">
        <v>8607</v>
      </c>
      <c r="G4292" t="s">
        <v>28031</v>
      </c>
    </row>
    <row r="4293" spans="1:7">
      <c r="A4293" t="s">
        <v>28032</v>
      </c>
      <c r="B4293" t="s">
        <v>8607</v>
      </c>
      <c r="F4293" t="s">
        <v>9018</v>
      </c>
      <c r="G4293" t="s">
        <v>28033</v>
      </c>
    </row>
    <row r="4294" spans="1:7">
      <c r="A4294" t="s">
        <v>28034</v>
      </c>
      <c r="B4294" t="s">
        <v>8607</v>
      </c>
      <c r="F4294" t="s">
        <v>26207</v>
      </c>
      <c r="G4294" t="s">
        <v>28035</v>
      </c>
    </row>
    <row r="4295" spans="1:7">
      <c r="A4295" t="s">
        <v>28036</v>
      </c>
      <c r="B4295" t="s">
        <v>8626</v>
      </c>
      <c r="F4295" t="s">
        <v>26207</v>
      </c>
      <c r="G4295" t="s">
        <v>28037</v>
      </c>
    </row>
    <row r="4296" spans="1:7">
      <c r="A4296" t="s">
        <v>28038</v>
      </c>
      <c r="G4296" t="s">
        <v>28039</v>
      </c>
    </row>
    <row r="4297" spans="1:7">
      <c r="A4297" t="s">
        <v>28040</v>
      </c>
      <c r="B4297" t="s">
        <v>8607</v>
      </c>
      <c r="F4297" t="s">
        <v>28041</v>
      </c>
      <c r="G4297" t="s">
        <v>28042</v>
      </c>
    </row>
    <row r="4298" spans="1:7">
      <c r="A4298" t="s">
        <v>28043</v>
      </c>
      <c r="B4298" t="s">
        <v>8607</v>
      </c>
      <c r="F4298" t="s">
        <v>27594</v>
      </c>
      <c r="G4298" t="s">
        <v>27595</v>
      </c>
    </row>
    <row r="4299" spans="1:7">
      <c r="A4299" t="s">
        <v>28044</v>
      </c>
      <c r="B4299" t="s">
        <v>8607</v>
      </c>
      <c r="F4299" t="s">
        <v>28045</v>
      </c>
      <c r="G4299" t="s">
        <v>28046</v>
      </c>
    </row>
    <row r="4300" spans="1:7">
      <c r="A4300" t="s">
        <v>28047</v>
      </c>
      <c r="B4300" t="s">
        <v>8607</v>
      </c>
      <c r="F4300" t="s">
        <v>21832</v>
      </c>
      <c r="G4300" t="s">
        <v>28048</v>
      </c>
    </row>
    <row r="4301" spans="1:7">
      <c r="A4301" t="s">
        <v>28049</v>
      </c>
      <c r="B4301" t="s">
        <v>8607</v>
      </c>
      <c r="F4301" t="s">
        <v>14285</v>
      </c>
      <c r="G4301" t="s">
        <v>28050</v>
      </c>
    </row>
    <row r="4302" spans="1:7">
      <c r="A4302" t="s">
        <v>28051</v>
      </c>
      <c r="B4302" t="s">
        <v>8607</v>
      </c>
      <c r="F4302" t="s">
        <v>9018</v>
      </c>
      <c r="G4302" t="s">
        <v>28052</v>
      </c>
    </row>
    <row r="4303" spans="1:7">
      <c r="A4303" t="s">
        <v>28053</v>
      </c>
      <c r="B4303" t="s">
        <v>8607</v>
      </c>
      <c r="F4303" t="s">
        <v>26207</v>
      </c>
      <c r="G4303" t="s">
        <v>28054</v>
      </c>
    </row>
    <row r="4304" spans="1:7">
      <c r="A4304" t="s">
        <v>28055</v>
      </c>
      <c r="B4304" t="s">
        <v>8626</v>
      </c>
      <c r="F4304" t="s">
        <v>17349</v>
      </c>
      <c r="G4304" t="s">
        <v>28056</v>
      </c>
    </row>
    <row r="4305" spans="1:7">
      <c r="A4305" t="s">
        <v>28057</v>
      </c>
      <c r="B4305" t="s">
        <v>8607</v>
      </c>
      <c r="F4305" t="s">
        <v>21832</v>
      </c>
      <c r="G4305" t="s">
        <v>28058</v>
      </c>
    </row>
    <row r="4306" spans="1:7">
      <c r="A4306" t="s">
        <v>28059</v>
      </c>
      <c r="B4306" t="s">
        <v>8607</v>
      </c>
      <c r="F4306" t="s">
        <v>26268</v>
      </c>
      <c r="G4306" t="s">
        <v>28060</v>
      </c>
    </row>
    <row r="4307" spans="1:7">
      <c r="A4307" t="s">
        <v>28061</v>
      </c>
      <c r="B4307" t="s">
        <v>8607</v>
      </c>
      <c r="F4307" t="s">
        <v>27826</v>
      </c>
      <c r="G4307" t="s">
        <v>27827</v>
      </c>
    </row>
    <row r="4308" spans="1:7">
      <c r="A4308" t="s">
        <v>28062</v>
      </c>
      <c r="B4308" t="s">
        <v>8607</v>
      </c>
      <c r="G4308" t="s">
        <v>28063</v>
      </c>
    </row>
    <row r="4309" spans="1:7">
      <c r="A4309" t="s">
        <v>28064</v>
      </c>
      <c r="B4309" t="s">
        <v>8607</v>
      </c>
      <c r="F4309" t="s">
        <v>17349</v>
      </c>
      <c r="G4309" t="s">
        <v>28065</v>
      </c>
    </row>
    <row r="4310" spans="1:7">
      <c r="A4310" t="s">
        <v>28066</v>
      </c>
      <c r="B4310" t="s">
        <v>8626</v>
      </c>
      <c r="F4310" t="s">
        <v>20844</v>
      </c>
      <c r="G4310" t="s">
        <v>28067</v>
      </c>
    </row>
    <row r="4311" spans="1:7">
      <c r="A4311" t="s">
        <v>28068</v>
      </c>
      <c r="B4311" t="s">
        <v>8626</v>
      </c>
      <c r="G4311" t="s">
        <v>28069</v>
      </c>
    </row>
    <row r="4312" spans="1:7">
      <c r="A4312" t="s">
        <v>28070</v>
      </c>
      <c r="B4312" t="s">
        <v>8607</v>
      </c>
      <c r="C4312" t="s">
        <v>28071</v>
      </c>
      <c r="F4312" t="s">
        <v>17327</v>
      </c>
      <c r="G4312" t="s">
        <v>28072</v>
      </c>
    </row>
    <row r="4313" spans="1:7">
      <c r="A4313" t="s">
        <v>28073</v>
      </c>
      <c r="B4313" t="s">
        <v>8626</v>
      </c>
      <c r="C4313" t="s">
        <v>26591</v>
      </c>
      <c r="F4313" t="s">
        <v>9018</v>
      </c>
      <c r="G4313" t="s">
        <v>28074</v>
      </c>
    </row>
    <row r="4314" spans="1:7">
      <c r="A4314" t="s">
        <v>28075</v>
      </c>
      <c r="B4314" t="s">
        <v>8607</v>
      </c>
      <c r="F4314" t="s">
        <v>27930</v>
      </c>
      <c r="G4314" t="s">
        <v>28076</v>
      </c>
    </row>
    <row r="4315" spans="1:7">
      <c r="A4315" t="s">
        <v>28077</v>
      </c>
      <c r="B4315" t="s">
        <v>8607</v>
      </c>
      <c r="F4315" t="s">
        <v>27969</v>
      </c>
      <c r="G4315" t="s">
        <v>27970</v>
      </c>
    </row>
    <row r="4316" spans="1:7">
      <c r="A4316" t="s">
        <v>28078</v>
      </c>
      <c r="B4316" t="s">
        <v>8607</v>
      </c>
      <c r="F4316" t="s">
        <v>26024</v>
      </c>
      <c r="G4316" t="s">
        <v>26025</v>
      </c>
    </row>
    <row r="4317" spans="1:7">
      <c r="A4317" t="s">
        <v>28079</v>
      </c>
      <c r="B4317" t="s">
        <v>8607</v>
      </c>
      <c r="G4317" t="s">
        <v>27973</v>
      </c>
    </row>
    <row r="4318" spans="1:7">
      <c r="A4318" t="s">
        <v>28080</v>
      </c>
      <c r="B4318" t="s">
        <v>8626</v>
      </c>
      <c r="F4318" t="s">
        <v>28081</v>
      </c>
      <c r="G4318" t="s">
        <v>28082</v>
      </c>
    </row>
    <row r="4319" spans="1:7">
      <c r="A4319" t="s">
        <v>28083</v>
      </c>
      <c r="B4319" t="s">
        <v>8607</v>
      </c>
      <c r="G4319" t="s">
        <v>28084</v>
      </c>
    </row>
    <row r="4320" spans="1:7">
      <c r="A4320" t="s">
        <v>28085</v>
      </c>
      <c r="B4320" t="s">
        <v>8626</v>
      </c>
      <c r="G4320" t="s">
        <v>28086</v>
      </c>
    </row>
    <row r="4321" spans="1:7">
      <c r="A4321" t="s">
        <v>28087</v>
      </c>
      <c r="B4321" t="s">
        <v>8607</v>
      </c>
      <c r="F4321" t="s">
        <v>28088</v>
      </c>
      <c r="G4321" t="s">
        <v>28089</v>
      </c>
    </row>
    <row r="4322" spans="1:7">
      <c r="A4322" t="s">
        <v>28090</v>
      </c>
      <c r="B4322" t="s">
        <v>8607</v>
      </c>
      <c r="F4322" t="s">
        <v>28091</v>
      </c>
      <c r="G4322" t="s">
        <v>28092</v>
      </c>
    </row>
    <row r="4323" spans="1:7">
      <c r="A4323" t="s">
        <v>28093</v>
      </c>
      <c r="B4323" t="s">
        <v>8607</v>
      </c>
      <c r="C4323" t="s">
        <v>17997</v>
      </c>
      <c r="F4323" t="s">
        <v>28094</v>
      </c>
      <c r="G4323" t="s">
        <v>28095</v>
      </c>
    </row>
    <row r="4324" spans="1:7">
      <c r="A4324" t="s">
        <v>28096</v>
      </c>
      <c r="B4324" t="s">
        <v>8607</v>
      </c>
      <c r="F4324" t="s">
        <v>28097</v>
      </c>
      <c r="G4324" t="s">
        <v>28098</v>
      </c>
    </row>
    <row r="4325" spans="1:7">
      <c r="A4325" t="s">
        <v>28099</v>
      </c>
      <c r="G4325" t="s">
        <v>28100</v>
      </c>
    </row>
    <row r="4326" spans="1:7">
      <c r="A4326" t="s">
        <v>28101</v>
      </c>
      <c r="B4326" t="s">
        <v>8607</v>
      </c>
      <c r="G4326" t="s">
        <v>27743</v>
      </c>
    </row>
    <row r="4327" spans="1:7">
      <c r="A4327" t="s">
        <v>28102</v>
      </c>
      <c r="B4327" t="s">
        <v>8626</v>
      </c>
      <c r="F4327" t="s">
        <v>26108</v>
      </c>
      <c r="G4327" t="s">
        <v>27747</v>
      </c>
    </row>
    <row r="4328" spans="1:7">
      <c r="A4328" t="s">
        <v>28103</v>
      </c>
      <c r="B4328" t="s">
        <v>8607</v>
      </c>
      <c r="G4328" t="s">
        <v>28104</v>
      </c>
    </row>
    <row r="4329" spans="1:7">
      <c r="A4329" t="s">
        <v>28105</v>
      </c>
      <c r="B4329" t="s">
        <v>8607</v>
      </c>
      <c r="G4329" t="s">
        <v>28106</v>
      </c>
    </row>
    <row r="4330" spans="1:7">
      <c r="A4330" t="s">
        <v>28107</v>
      </c>
      <c r="B4330" t="s">
        <v>8607</v>
      </c>
      <c r="G4330" t="s">
        <v>28108</v>
      </c>
    </row>
    <row r="4331" spans="1:7">
      <c r="A4331" t="s">
        <v>28109</v>
      </c>
      <c r="G4331" t="s">
        <v>28110</v>
      </c>
    </row>
    <row r="4332" spans="1:7">
      <c r="A4332" t="s">
        <v>28111</v>
      </c>
      <c r="B4332" t="s">
        <v>8607</v>
      </c>
      <c r="F4332" t="s">
        <v>28001</v>
      </c>
      <c r="G4332" t="s">
        <v>28112</v>
      </c>
    </row>
    <row r="4333" spans="1:7">
      <c r="A4333" t="s">
        <v>28113</v>
      </c>
      <c r="B4333" t="s">
        <v>8607</v>
      </c>
      <c r="F4333" t="s">
        <v>28114</v>
      </c>
      <c r="G4333" t="s">
        <v>28115</v>
      </c>
    </row>
    <row r="4334" spans="1:7">
      <c r="A4334" t="s">
        <v>28116</v>
      </c>
      <c r="B4334" t="s">
        <v>8607</v>
      </c>
      <c r="F4334" t="s">
        <v>28004</v>
      </c>
      <c r="G4334" t="s">
        <v>28117</v>
      </c>
    </row>
    <row r="4335" spans="1:7">
      <c r="A4335" t="s">
        <v>28118</v>
      </c>
      <c r="B4335" t="s">
        <v>8626</v>
      </c>
      <c r="F4335" t="s">
        <v>28119</v>
      </c>
      <c r="G4335" t="s">
        <v>28120</v>
      </c>
    </row>
    <row r="4336" spans="1:7">
      <c r="A4336" t="s">
        <v>28121</v>
      </c>
      <c r="B4336" t="s">
        <v>8607</v>
      </c>
      <c r="F4336" t="s">
        <v>18603</v>
      </c>
      <c r="G4336" t="s">
        <v>28122</v>
      </c>
    </row>
    <row r="4337" spans="1:7">
      <c r="A4337" t="s">
        <v>28123</v>
      </c>
      <c r="B4337" t="s">
        <v>8607</v>
      </c>
      <c r="F4337" t="s">
        <v>17928</v>
      </c>
      <c r="G4337" t="s">
        <v>28124</v>
      </c>
    </row>
    <row r="4338" spans="1:7">
      <c r="A4338" t="s">
        <v>28125</v>
      </c>
      <c r="B4338" t="s">
        <v>8626</v>
      </c>
      <c r="F4338" t="s">
        <v>28126</v>
      </c>
      <c r="G4338" t="s">
        <v>28127</v>
      </c>
    </row>
    <row r="4339" spans="1:7">
      <c r="A4339" t="s">
        <v>28128</v>
      </c>
      <c r="B4339" t="s">
        <v>8607</v>
      </c>
      <c r="F4339" t="s">
        <v>28129</v>
      </c>
      <c r="G4339" t="s">
        <v>28130</v>
      </c>
    </row>
    <row r="4340" spans="1:7">
      <c r="A4340" t="s">
        <v>28131</v>
      </c>
      <c r="B4340" t="s">
        <v>8607</v>
      </c>
      <c r="F4340" t="s">
        <v>17349</v>
      </c>
      <c r="G4340" t="s">
        <v>28132</v>
      </c>
    </row>
    <row r="4341" spans="1:7">
      <c r="A4341" t="s">
        <v>28133</v>
      </c>
      <c r="B4341" t="s">
        <v>8607</v>
      </c>
      <c r="F4341" t="s">
        <v>27423</v>
      </c>
      <c r="G4341" t="s">
        <v>28134</v>
      </c>
    </row>
    <row r="4342" spans="1:7">
      <c r="A4342" t="s">
        <v>28135</v>
      </c>
      <c r="B4342" t="s">
        <v>8607</v>
      </c>
      <c r="F4342" t="s">
        <v>26717</v>
      </c>
      <c r="G4342" t="s">
        <v>28136</v>
      </c>
    </row>
    <row r="4343" spans="1:7">
      <c r="A4343" t="s">
        <v>28137</v>
      </c>
      <c r="B4343" t="s">
        <v>8607</v>
      </c>
      <c r="F4343" t="s">
        <v>9562</v>
      </c>
      <c r="G4343" t="s">
        <v>28138</v>
      </c>
    </row>
    <row r="4344" spans="1:7">
      <c r="A4344" t="s">
        <v>28139</v>
      </c>
      <c r="B4344" t="s">
        <v>8607</v>
      </c>
      <c r="G4344" t="s">
        <v>28140</v>
      </c>
    </row>
    <row r="4345" spans="1:7">
      <c r="A4345" t="s">
        <v>28141</v>
      </c>
      <c r="B4345" t="s">
        <v>8607</v>
      </c>
      <c r="F4345" t="s">
        <v>26725</v>
      </c>
      <c r="G4345" t="s">
        <v>28142</v>
      </c>
    </row>
    <row r="4346" spans="1:7">
      <c r="A4346" t="s">
        <v>28143</v>
      </c>
      <c r="G4346" t="s">
        <v>28144</v>
      </c>
    </row>
    <row r="4347" spans="1:7">
      <c r="A4347" t="s">
        <v>28145</v>
      </c>
      <c r="B4347" t="s">
        <v>8626</v>
      </c>
      <c r="F4347" t="s">
        <v>26919</v>
      </c>
      <c r="G4347" t="s">
        <v>28146</v>
      </c>
    </row>
    <row r="4348" spans="1:7">
      <c r="A4348" t="s">
        <v>28147</v>
      </c>
      <c r="B4348" t="s">
        <v>8607</v>
      </c>
      <c r="F4348" t="s">
        <v>9018</v>
      </c>
      <c r="G4348" t="s">
        <v>18567</v>
      </c>
    </row>
    <row r="4349" spans="1:7">
      <c r="A4349" t="s">
        <v>28148</v>
      </c>
      <c r="B4349" t="s">
        <v>8607</v>
      </c>
      <c r="F4349" t="s">
        <v>28149</v>
      </c>
      <c r="G4349" t="s">
        <v>28150</v>
      </c>
    </row>
    <row r="4350" spans="1:7">
      <c r="A4350" t="s">
        <v>28151</v>
      </c>
      <c r="B4350" t="s">
        <v>8626</v>
      </c>
      <c r="F4350" t="s">
        <v>28152</v>
      </c>
      <c r="G4350" t="s">
        <v>28153</v>
      </c>
    </row>
    <row r="4351" spans="1:7">
      <c r="A4351" t="s">
        <v>28154</v>
      </c>
      <c r="B4351" t="s">
        <v>8626</v>
      </c>
      <c r="F4351" t="s">
        <v>8623</v>
      </c>
      <c r="G4351" t="s">
        <v>28155</v>
      </c>
    </row>
    <row r="4352" spans="1:7">
      <c r="A4352" t="s">
        <v>28156</v>
      </c>
      <c r="B4352" t="s">
        <v>8607</v>
      </c>
      <c r="F4352" t="s">
        <v>26207</v>
      </c>
      <c r="G4352" t="s">
        <v>28157</v>
      </c>
    </row>
    <row r="4353" spans="1:7">
      <c r="A4353" t="s">
        <v>28158</v>
      </c>
      <c r="B4353" t="s">
        <v>8607</v>
      </c>
      <c r="F4353" t="s">
        <v>28159</v>
      </c>
      <c r="G4353" t="s">
        <v>28160</v>
      </c>
    </row>
    <row r="4354" spans="1:7">
      <c r="A4354" t="s">
        <v>28161</v>
      </c>
      <c r="B4354" t="s">
        <v>8607</v>
      </c>
      <c r="G4354" t="s">
        <v>28162</v>
      </c>
    </row>
    <row r="4355" spans="1:7">
      <c r="A4355" t="s">
        <v>28163</v>
      </c>
      <c r="B4355" t="s">
        <v>8607</v>
      </c>
      <c r="G4355" t="s">
        <v>28164</v>
      </c>
    </row>
    <row r="4356" spans="1:7">
      <c r="A4356" t="s">
        <v>28165</v>
      </c>
      <c r="B4356" t="s">
        <v>8607</v>
      </c>
      <c r="G4356" t="s">
        <v>28166</v>
      </c>
    </row>
    <row r="4357" spans="1:7">
      <c r="A4357" t="s">
        <v>28167</v>
      </c>
      <c r="B4357" t="s">
        <v>8626</v>
      </c>
      <c r="C4357" t="s">
        <v>9471</v>
      </c>
      <c r="F4357" t="s">
        <v>9473</v>
      </c>
      <c r="G4357" t="s">
        <v>28168</v>
      </c>
    </row>
    <row r="4358" spans="1:7">
      <c r="A4358" t="s">
        <v>28169</v>
      </c>
      <c r="B4358" t="s">
        <v>8626</v>
      </c>
      <c r="G4358" t="s">
        <v>28170</v>
      </c>
    </row>
    <row r="4359" spans="1:7">
      <c r="A4359" t="s">
        <v>28171</v>
      </c>
      <c r="B4359" t="s">
        <v>8607</v>
      </c>
      <c r="G4359" t="s">
        <v>28172</v>
      </c>
    </row>
    <row r="4360" spans="1:7">
      <c r="A4360" t="s">
        <v>28173</v>
      </c>
      <c r="B4360" t="s">
        <v>8607</v>
      </c>
      <c r="F4360" t="s">
        <v>28174</v>
      </c>
      <c r="G4360" t="s">
        <v>28175</v>
      </c>
    </row>
    <row r="4361" spans="1:7">
      <c r="A4361" t="s">
        <v>28176</v>
      </c>
      <c r="B4361" t="s">
        <v>8607</v>
      </c>
      <c r="F4361" t="s">
        <v>28177</v>
      </c>
      <c r="G4361" t="s">
        <v>28178</v>
      </c>
    </row>
    <row r="4362" spans="1:7">
      <c r="A4362" t="s">
        <v>28179</v>
      </c>
      <c r="B4362" t="s">
        <v>8607</v>
      </c>
      <c r="F4362" t="s">
        <v>17928</v>
      </c>
      <c r="G4362" t="s">
        <v>28180</v>
      </c>
    </row>
    <row r="4363" spans="1:7">
      <c r="A4363" t="s">
        <v>28181</v>
      </c>
      <c r="G4363" t="s">
        <v>28182</v>
      </c>
    </row>
    <row r="4364" spans="1:7">
      <c r="A4364" t="s">
        <v>28183</v>
      </c>
      <c r="B4364" t="s">
        <v>8607</v>
      </c>
      <c r="G4364" t="s">
        <v>28184</v>
      </c>
    </row>
    <row r="4365" spans="1:7">
      <c r="A4365" t="s">
        <v>28185</v>
      </c>
      <c r="B4365" t="s">
        <v>8607</v>
      </c>
      <c r="F4365" t="s">
        <v>17429</v>
      </c>
      <c r="G4365" t="s">
        <v>28186</v>
      </c>
    </row>
    <row r="4366" spans="1:7">
      <c r="A4366" t="s">
        <v>28187</v>
      </c>
      <c r="B4366" t="s">
        <v>8626</v>
      </c>
      <c r="C4366" t="s">
        <v>28188</v>
      </c>
      <c r="F4366" t="s">
        <v>27381</v>
      </c>
      <c r="G4366" t="s">
        <v>28189</v>
      </c>
    </row>
    <row r="4367" spans="1:7">
      <c r="A4367" t="s">
        <v>28190</v>
      </c>
      <c r="B4367" t="s">
        <v>8607</v>
      </c>
      <c r="G4367" t="s">
        <v>28191</v>
      </c>
    </row>
    <row r="4368" spans="1:7">
      <c r="A4368" t="s">
        <v>28192</v>
      </c>
      <c r="G4368" t="s">
        <v>28193</v>
      </c>
    </row>
    <row r="4369" spans="1:7">
      <c r="A4369" t="s">
        <v>28194</v>
      </c>
      <c r="B4369" t="s">
        <v>8607</v>
      </c>
      <c r="F4369" t="s">
        <v>28195</v>
      </c>
      <c r="G4369" t="s">
        <v>28196</v>
      </c>
    </row>
    <row r="4370" spans="1:7">
      <c r="A4370" t="s">
        <v>28197</v>
      </c>
      <c r="B4370" t="s">
        <v>8607</v>
      </c>
      <c r="G4370" t="s">
        <v>28198</v>
      </c>
    </row>
    <row r="4371" spans="1:7">
      <c r="A4371" t="s">
        <v>28199</v>
      </c>
      <c r="B4371" t="s">
        <v>8607</v>
      </c>
      <c r="F4371" t="s">
        <v>28200</v>
      </c>
      <c r="G4371" t="s">
        <v>28201</v>
      </c>
    </row>
    <row r="4372" spans="1:7">
      <c r="A4372" t="s">
        <v>28202</v>
      </c>
      <c r="B4372" t="s">
        <v>8626</v>
      </c>
      <c r="F4372" t="s">
        <v>17349</v>
      </c>
      <c r="G4372" t="s">
        <v>28203</v>
      </c>
    </row>
    <row r="4373" spans="1:7">
      <c r="A4373" t="s">
        <v>28204</v>
      </c>
      <c r="B4373" t="s">
        <v>8607</v>
      </c>
      <c r="F4373" t="s">
        <v>20201</v>
      </c>
      <c r="G4373" t="s">
        <v>28205</v>
      </c>
    </row>
    <row r="4374" spans="1:7">
      <c r="A4374" t="s">
        <v>28206</v>
      </c>
      <c r="B4374" t="s">
        <v>8607</v>
      </c>
      <c r="F4374" t="s">
        <v>28207</v>
      </c>
      <c r="G4374" t="s">
        <v>28208</v>
      </c>
    </row>
    <row r="4375" spans="1:7">
      <c r="A4375" t="s">
        <v>28209</v>
      </c>
      <c r="B4375" t="s">
        <v>8626</v>
      </c>
      <c r="F4375" t="s">
        <v>28210</v>
      </c>
      <c r="G4375" t="s">
        <v>28211</v>
      </c>
    </row>
    <row r="4376" spans="1:7">
      <c r="A4376" t="s">
        <v>28212</v>
      </c>
      <c r="B4376" t="s">
        <v>8607</v>
      </c>
      <c r="F4376" t="s">
        <v>23859</v>
      </c>
      <c r="G4376" t="s">
        <v>28213</v>
      </c>
    </row>
    <row r="4377" spans="1:7">
      <c r="A4377" t="s">
        <v>28214</v>
      </c>
      <c r="B4377" t="s">
        <v>8626</v>
      </c>
      <c r="G4377" t="s">
        <v>28215</v>
      </c>
    </row>
    <row r="4378" spans="1:7">
      <c r="A4378" t="s">
        <v>28216</v>
      </c>
      <c r="B4378" t="s">
        <v>8607</v>
      </c>
      <c r="F4378" t="s">
        <v>9018</v>
      </c>
      <c r="G4378" t="s">
        <v>28217</v>
      </c>
    </row>
    <row r="4379" spans="1:7">
      <c r="A4379" t="s">
        <v>28218</v>
      </c>
      <c r="B4379" t="s">
        <v>8607</v>
      </c>
      <c r="C4379" t="s">
        <v>26479</v>
      </c>
      <c r="F4379" t="s">
        <v>9018</v>
      </c>
      <c r="G4379" t="s">
        <v>28219</v>
      </c>
    </row>
    <row r="4380" spans="1:7">
      <c r="A4380" t="s">
        <v>28220</v>
      </c>
      <c r="B4380" t="s">
        <v>8626</v>
      </c>
      <c r="G4380" t="s">
        <v>28221</v>
      </c>
    </row>
    <row r="4381" spans="1:7">
      <c r="A4381" t="s">
        <v>28222</v>
      </c>
      <c r="B4381" t="s">
        <v>8607</v>
      </c>
      <c r="C4381" t="s">
        <v>27637</v>
      </c>
      <c r="F4381" t="s">
        <v>19234</v>
      </c>
      <c r="G4381" t="s">
        <v>27638</v>
      </c>
    </row>
    <row r="4382" spans="1:7">
      <c r="A4382" t="s">
        <v>28223</v>
      </c>
      <c r="B4382" t="s">
        <v>8607</v>
      </c>
      <c r="F4382" t="s">
        <v>28097</v>
      </c>
      <c r="G4382" t="s">
        <v>28098</v>
      </c>
    </row>
    <row r="4383" spans="1:7">
      <c r="A4383" t="s">
        <v>28224</v>
      </c>
      <c r="B4383" t="s">
        <v>8607</v>
      </c>
      <c r="C4383" t="s">
        <v>28225</v>
      </c>
      <c r="F4383" t="s">
        <v>9018</v>
      </c>
      <c r="G4383" t="s">
        <v>28226</v>
      </c>
    </row>
    <row r="4384" spans="1:7">
      <c r="A4384" t="s">
        <v>28227</v>
      </c>
      <c r="B4384" t="s">
        <v>8607</v>
      </c>
      <c r="F4384" t="s">
        <v>28228</v>
      </c>
      <c r="G4384" t="s">
        <v>28229</v>
      </c>
    </row>
    <row r="4385" spans="1:7">
      <c r="A4385" t="s">
        <v>28230</v>
      </c>
      <c r="B4385" t="s">
        <v>8607</v>
      </c>
      <c r="G4385" t="s">
        <v>28231</v>
      </c>
    </row>
    <row r="4386" spans="1:7">
      <c r="A4386" t="s">
        <v>28232</v>
      </c>
      <c r="B4386" t="s">
        <v>8607</v>
      </c>
      <c r="F4386" t="s">
        <v>28233</v>
      </c>
      <c r="G4386" t="s">
        <v>28234</v>
      </c>
    </row>
    <row r="4387" spans="1:7">
      <c r="A4387" t="s">
        <v>28235</v>
      </c>
      <c r="B4387" t="s">
        <v>8607</v>
      </c>
      <c r="F4387" t="s">
        <v>28236</v>
      </c>
      <c r="G4387" t="s">
        <v>28237</v>
      </c>
    </row>
    <row r="4388" spans="1:7">
      <c r="A4388" t="s">
        <v>28238</v>
      </c>
      <c r="B4388" t="s">
        <v>8607</v>
      </c>
      <c r="C4388" t="s">
        <v>9266</v>
      </c>
      <c r="F4388" t="s">
        <v>9268</v>
      </c>
      <c r="G4388" t="s">
        <v>28239</v>
      </c>
    </row>
    <row r="4389" spans="1:7">
      <c r="A4389" t="s">
        <v>28240</v>
      </c>
      <c r="B4389" t="s">
        <v>8607</v>
      </c>
      <c r="F4389" t="s">
        <v>17310</v>
      </c>
      <c r="G4389" t="s">
        <v>28241</v>
      </c>
    </row>
    <row r="4390" spans="1:7">
      <c r="A4390" t="s">
        <v>28242</v>
      </c>
      <c r="B4390" t="s">
        <v>8607</v>
      </c>
      <c r="F4390" t="s">
        <v>28243</v>
      </c>
      <c r="G4390" t="s">
        <v>28244</v>
      </c>
    </row>
    <row r="4391" spans="1:7">
      <c r="A4391" t="s">
        <v>28245</v>
      </c>
      <c r="B4391" t="s">
        <v>8607</v>
      </c>
      <c r="F4391" t="s">
        <v>9018</v>
      </c>
      <c r="G4391" t="s">
        <v>28246</v>
      </c>
    </row>
    <row r="4392" spans="1:7">
      <c r="A4392" t="s">
        <v>28247</v>
      </c>
      <c r="B4392" t="s">
        <v>8607</v>
      </c>
      <c r="F4392" t="s">
        <v>28248</v>
      </c>
      <c r="G4392" t="s">
        <v>28249</v>
      </c>
    </row>
    <row r="4393" spans="1:7">
      <c r="A4393" t="s">
        <v>28250</v>
      </c>
      <c r="B4393" t="s">
        <v>8607</v>
      </c>
      <c r="F4393" t="s">
        <v>20201</v>
      </c>
      <c r="G4393" t="s">
        <v>28251</v>
      </c>
    </row>
    <row r="4394" spans="1:7">
      <c r="A4394" t="s">
        <v>28252</v>
      </c>
      <c r="B4394" t="s">
        <v>8607</v>
      </c>
      <c r="F4394" t="s">
        <v>28253</v>
      </c>
      <c r="G4394" t="s">
        <v>28254</v>
      </c>
    </row>
    <row r="4395" spans="1:7">
      <c r="A4395" t="s">
        <v>28255</v>
      </c>
      <c r="B4395" t="s">
        <v>8607</v>
      </c>
      <c r="F4395" t="s">
        <v>21700</v>
      </c>
      <c r="G4395" t="s">
        <v>28256</v>
      </c>
    </row>
    <row r="4396" spans="1:7">
      <c r="A4396" t="s">
        <v>28257</v>
      </c>
      <c r="G4396" t="s">
        <v>28258</v>
      </c>
    </row>
    <row r="4397" spans="1:7">
      <c r="A4397" t="s">
        <v>28259</v>
      </c>
      <c r="B4397" t="s">
        <v>8607</v>
      </c>
      <c r="F4397" t="s">
        <v>19473</v>
      </c>
      <c r="G4397" t="s">
        <v>28260</v>
      </c>
    </row>
    <row r="4398" spans="1:7">
      <c r="A4398" t="s">
        <v>28261</v>
      </c>
      <c r="B4398" t="s">
        <v>8607</v>
      </c>
      <c r="G4398" t="s">
        <v>28262</v>
      </c>
    </row>
    <row r="4399" spans="1:7">
      <c r="A4399" t="s">
        <v>28263</v>
      </c>
      <c r="B4399" t="s">
        <v>8626</v>
      </c>
      <c r="F4399" t="s">
        <v>20051</v>
      </c>
      <c r="G4399" t="s">
        <v>28264</v>
      </c>
    </row>
    <row r="4400" spans="1:7">
      <c r="A4400" t="s">
        <v>28265</v>
      </c>
      <c r="B4400" t="s">
        <v>8626</v>
      </c>
      <c r="C4400" t="s">
        <v>25883</v>
      </c>
      <c r="F4400" t="s">
        <v>17305</v>
      </c>
      <c r="G4400" t="s">
        <v>28266</v>
      </c>
    </row>
    <row r="4401" spans="1:7">
      <c r="A4401" t="s">
        <v>28267</v>
      </c>
      <c r="B4401" t="s">
        <v>8607</v>
      </c>
      <c r="G4401" t="s">
        <v>28268</v>
      </c>
    </row>
    <row r="4402" spans="1:7">
      <c r="A4402" t="s">
        <v>28269</v>
      </c>
      <c r="B4402" t="s">
        <v>8607</v>
      </c>
      <c r="F4402" t="s">
        <v>26104</v>
      </c>
      <c r="G4402" t="s">
        <v>28270</v>
      </c>
    </row>
    <row r="4403" spans="1:7">
      <c r="A4403" t="s">
        <v>28271</v>
      </c>
      <c r="B4403" t="s">
        <v>8607</v>
      </c>
      <c r="F4403" t="s">
        <v>26176</v>
      </c>
      <c r="G4403" t="s">
        <v>28272</v>
      </c>
    </row>
    <row r="4404" spans="1:7">
      <c r="A4404" t="s">
        <v>28273</v>
      </c>
      <c r="B4404" t="s">
        <v>8607</v>
      </c>
      <c r="G4404" t="s">
        <v>28274</v>
      </c>
    </row>
    <row r="4405" spans="1:7">
      <c r="A4405" t="s">
        <v>28275</v>
      </c>
      <c r="B4405" t="s">
        <v>8607</v>
      </c>
      <c r="C4405" t="s">
        <v>27252</v>
      </c>
      <c r="F4405" t="s">
        <v>27253</v>
      </c>
      <c r="G4405" t="s">
        <v>28276</v>
      </c>
    </row>
    <row r="4406" spans="1:7">
      <c r="A4406" t="s">
        <v>28277</v>
      </c>
      <c r="B4406" t="s">
        <v>8607</v>
      </c>
      <c r="G4406" t="s">
        <v>28278</v>
      </c>
    </row>
    <row r="4407" spans="1:7">
      <c r="A4407" t="s">
        <v>28279</v>
      </c>
      <c r="B4407" t="s">
        <v>8607</v>
      </c>
      <c r="G4407" t="s">
        <v>28280</v>
      </c>
    </row>
    <row r="4408" spans="1:7">
      <c r="A4408" t="s">
        <v>28281</v>
      </c>
      <c r="B4408" t="s">
        <v>8607</v>
      </c>
      <c r="G4408" t="s">
        <v>28282</v>
      </c>
    </row>
    <row r="4409" spans="1:7">
      <c r="A4409" t="s">
        <v>28283</v>
      </c>
      <c r="B4409" t="s">
        <v>8607</v>
      </c>
      <c r="G4409" t="s">
        <v>28284</v>
      </c>
    </row>
    <row r="4410" spans="1:7">
      <c r="A4410" t="s">
        <v>28285</v>
      </c>
      <c r="B4410" t="s">
        <v>8607</v>
      </c>
      <c r="F4410" t="s">
        <v>28286</v>
      </c>
      <c r="G4410" t="s">
        <v>28287</v>
      </c>
    </row>
    <row r="4411" spans="1:7">
      <c r="A4411" t="s">
        <v>28288</v>
      </c>
      <c r="B4411" t="s">
        <v>8607</v>
      </c>
      <c r="G4411" t="s">
        <v>28289</v>
      </c>
    </row>
    <row r="4412" spans="1:7">
      <c r="A4412" t="s">
        <v>28290</v>
      </c>
      <c r="G4412" t="s">
        <v>28291</v>
      </c>
    </row>
    <row r="4413" spans="1:7">
      <c r="A4413" t="s">
        <v>28292</v>
      </c>
      <c r="B4413" t="s">
        <v>8607</v>
      </c>
      <c r="F4413" t="s">
        <v>28293</v>
      </c>
      <c r="G4413" t="s">
        <v>28294</v>
      </c>
    </row>
    <row r="4414" spans="1:7">
      <c r="A4414" t="s">
        <v>28295</v>
      </c>
      <c r="B4414" t="s">
        <v>8626</v>
      </c>
      <c r="F4414" t="s">
        <v>28296</v>
      </c>
      <c r="G4414" t="s">
        <v>28297</v>
      </c>
    </row>
    <row r="4415" spans="1:7">
      <c r="A4415" t="s">
        <v>28298</v>
      </c>
      <c r="B4415" t="s">
        <v>8607</v>
      </c>
      <c r="G4415" t="s">
        <v>28299</v>
      </c>
    </row>
    <row r="4416" spans="1:7">
      <c r="A4416" t="s">
        <v>28300</v>
      </c>
      <c r="B4416" t="s">
        <v>8607</v>
      </c>
      <c r="F4416" t="s">
        <v>28301</v>
      </c>
      <c r="G4416" t="s">
        <v>28302</v>
      </c>
    </row>
    <row r="4417" spans="1:7">
      <c r="A4417" t="s">
        <v>28303</v>
      </c>
      <c r="B4417" t="s">
        <v>8607</v>
      </c>
      <c r="F4417" t="s">
        <v>28301</v>
      </c>
      <c r="G4417" t="s">
        <v>28304</v>
      </c>
    </row>
    <row r="4418" spans="1:7">
      <c r="A4418" t="s">
        <v>28305</v>
      </c>
      <c r="B4418" t="s">
        <v>8626</v>
      </c>
      <c r="F4418" t="s">
        <v>28306</v>
      </c>
      <c r="G4418" t="s">
        <v>28307</v>
      </c>
    </row>
    <row r="4419" spans="1:7">
      <c r="A4419" t="s">
        <v>28308</v>
      </c>
      <c r="B4419" t="s">
        <v>8626</v>
      </c>
      <c r="F4419" t="s">
        <v>9476</v>
      </c>
      <c r="G4419" t="s">
        <v>28309</v>
      </c>
    </row>
    <row r="4420" spans="1:7">
      <c r="A4420" t="s">
        <v>28310</v>
      </c>
      <c r="B4420" t="s">
        <v>8607</v>
      </c>
      <c r="C4420" t="s">
        <v>28225</v>
      </c>
      <c r="F4420" t="s">
        <v>9018</v>
      </c>
      <c r="G4420" t="s">
        <v>28311</v>
      </c>
    </row>
    <row r="4421" spans="1:7">
      <c r="A4421" t="s">
        <v>28312</v>
      </c>
      <c r="B4421" t="s">
        <v>8607</v>
      </c>
      <c r="F4421" t="s">
        <v>26104</v>
      </c>
      <c r="G4421" t="s">
        <v>26236</v>
      </c>
    </row>
    <row r="4422" spans="1:7">
      <c r="A4422" t="s">
        <v>28313</v>
      </c>
      <c r="B4422" t="s">
        <v>8607</v>
      </c>
      <c r="F4422" t="s">
        <v>26173</v>
      </c>
      <c r="G4422" t="s">
        <v>26174</v>
      </c>
    </row>
    <row r="4423" spans="1:7">
      <c r="A4423" t="s">
        <v>28314</v>
      </c>
      <c r="B4423" t="s">
        <v>8607</v>
      </c>
      <c r="F4423" t="s">
        <v>26176</v>
      </c>
      <c r="G4423" t="s">
        <v>26177</v>
      </c>
    </row>
    <row r="4424" spans="1:7">
      <c r="A4424" t="s">
        <v>28315</v>
      </c>
      <c r="B4424" t="s">
        <v>8626</v>
      </c>
      <c r="F4424" t="s">
        <v>12464</v>
      </c>
      <c r="G4424" t="s">
        <v>28316</v>
      </c>
    </row>
    <row r="4425" spans="1:7">
      <c r="A4425" t="s">
        <v>28317</v>
      </c>
      <c r="G4425" t="s">
        <v>28318</v>
      </c>
    </row>
    <row r="4426" spans="1:7">
      <c r="A4426" t="s">
        <v>28319</v>
      </c>
      <c r="B4426" t="s">
        <v>8607</v>
      </c>
      <c r="G4426" t="s">
        <v>26859</v>
      </c>
    </row>
    <row r="4427" spans="1:7">
      <c r="A4427" t="s">
        <v>28320</v>
      </c>
      <c r="G4427" t="s">
        <v>28321</v>
      </c>
    </row>
    <row r="4428" spans="1:7">
      <c r="A4428" t="s">
        <v>28322</v>
      </c>
      <c r="B4428" t="s">
        <v>8626</v>
      </c>
      <c r="F4428" t="s">
        <v>28323</v>
      </c>
      <c r="G4428" t="s">
        <v>28324</v>
      </c>
    </row>
    <row r="4429" spans="1:7">
      <c r="A4429" t="s">
        <v>28325</v>
      </c>
      <c r="B4429" t="s">
        <v>8607</v>
      </c>
      <c r="G4429" t="s">
        <v>10808</v>
      </c>
    </row>
    <row r="4430" spans="1:7">
      <c r="A4430" t="s">
        <v>28326</v>
      </c>
      <c r="B4430" t="s">
        <v>8626</v>
      </c>
      <c r="F4430" t="s">
        <v>28327</v>
      </c>
      <c r="G4430" t="s">
        <v>28328</v>
      </c>
    </row>
    <row r="4431" spans="1:7">
      <c r="A4431" t="s">
        <v>28329</v>
      </c>
      <c r="B4431" t="s">
        <v>8607</v>
      </c>
      <c r="C4431" t="s">
        <v>28330</v>
      </c>
      <c r="F4431" t="s">
        <v>27958</v>
      </c>
      <c r="G4431" t="s">
        <v>27959</v>
      </c>
    </row>
    <row r="4432" spans="1:7">
      <c r="A4432" t="s">
        <v>28331</v>
      </c>
      <c r="B4432" t="s">
        <v>8607</v>
      </c>
      <c r="G4432" t="s">
        <v>27961</v>
      </c>
    </row>
    <row r="4433" spans="1:7">
      <c r="A4433" t="s">
        <v>28332</v>
      </c>
      <c r="B4433" t="s">
        <v>8607</v>
      </c>
      <c r="G4433" t="s">
        <v>27963</v>
      </c>
    </row>
    <row r="4434" spans="1:7">
      <c r="A4434" t="s">
        <v>28333</v>
      </c>
      <c r="B4434" t="s">
        <v>8607</v>
      </c>
      <c r="F4434" t="s">
        <v>17874</v>
      </c>
      <c r="G4434" t="s">
        <v>21631</v>
      </c>
    </row>
    <row r="4435" spans="1:7">
      <c r="A4435" t="s">
        <v>28334</v>
      </c>
      <c r="B4435" t="s">
        <v>8607</v>
      </c>
      <c r="G4435" t="s">
        <v>27970</v>
      </c>
    </row>
    <row r="4436" spans="1:7">
      <c r="A4436" t="s">
        <v>28335</v>
      </c>
      <c r="B4436" t="s">
        <v>8607</v>
      </c>
      <c r="F4436" t="s">
        <v>26024</v>
      </c>
      <c r="G4436" t="s">
        <v>26025</v>
      </c>
    </row>
    <row r="4437" spans="1:7">
      <c r="A4437" t="s">
        <v>28336</v>
      </c>
      <c r="B4437" t="s">
        <v>8607</v>
      </c>
      <c r="G4437" t="s">
        <v>27973</v>
      </c>
    </row>
    <row r="4438" spans="1:7">
      <c r="A4438" t="s">
        <v>28337</v>
      </c>
      <c r="B4438" t="s">
        <v>8626</v>
      </c>
      <c r="F4438" t="s">
        <v>28338</v>
      </c>
      <c r="G4438" t="s">
        <v>28339</v>
      </c>
    </row>
    <row r="4439" spans="1:7">
      <c r="A4439" t="s">
        <v>28340</v>
      </c>
      <c r="G4439" t="s">
        <v>28341</v>
      </c>
    </row>
    <row r="4440" spans="1:7">
      <c r="A4440" t="s">
        <v>28342</v>
      </c>
      <c r="B4440" t="s">
        <v>8607</v>
      </c>
      <c r="F4440" t="s">
        <v>17310</v>
      </c>
      <c r="G4440" t="s">
        <v>20574</v>
      </c>
    </row>
    <row r="4441" spans="1:7">
      <c r="A4441" t="s">
        <v>28343</v>
      </c>
      <c r="B4441" t="s">
        <v>8607</v>
      </c>
      <c r="G4441" t="s">
        <v>27987</v>
      </c>
    </row>
    <row r="4442" spans="1:7">
      <c r="A4442" t="s">
        <v>28344</v>
      </c>
      <c r="B4442" t="s">
        <v>8607</v>
      </c>
      <c r="F4442" t="s">
        <v>17320</v>
      </c>
      <c r="G4442" t="s">
        <v>19781</v>
      </c>
    </row>
    <row r="4443" spans="1:7">
      <c r="A4443" t="s">
        <v>28345</v>
      </c>
      <c r="B4443" t="s">
        <v>8626</v>
      </c>
      <c r="G4443" t="s">
        <v>28346</v>
      </c>
    </row>
    <row r="4444" spans="1:7">
      <c r="A4444" t="s">
        <v>28347</v>
      </c>
      <c r="B4444" t="s">
        <v>8607</v>
      </c>
      <c r="G4444" t="s">
        <v>28348</v>
      </c>
    </row>
    <row r="4445" spans="1:7">
      <c r="A4445" t="s">
        <v>28349</v>
      </c>
      <c r="B4445" t="s">
        <v>8607</v>
      </c>
      <c r="C4445" t="s">
        <v>17019</v>
      </c>
      <c r="F4445" t="s">
        <v>9018</v>
      </c>
      <c r="G4445" t="s">
        <v>28350</v>
      </c>
    </row>
    <row r="4446" spans="1:7">
      <c r="A4446" t="s">
        <v>28351</v>
      </c>
      <c r="B4446" t="s">
        <v>8607</v>
      </c>
      <c r="F4446" t="s">
        <v>28352</v>
      </c>
      <c r="G4446" t="s">
        <v>28353</v>
      </c>
    </row>
    <row r="4447" spans="1:7">
      <c r="A4447" t="s">
        <v>28354</v>
      </c>
      <c r="B4447" t="s">
        <v>8607</v>
      </c>
      <c r="F4447" t="s">
        <v>27518</v>
      </c>
      <c r="G4447" t="s">
        <v>28355</v>
      </c>
    </row>
    <row r="4448" spans="1:7">
      <c r="A4448" t="s">
        <v>28356</v>
      </c>
      <c r="B4448" t="s">
        <v>8626</v>
      </c>
      <c r="F4448" t="s">
        <v>18854</v>
      </c>
      <c r="G4448" t="s">
        <v>28357</v>
      </c>
    </row>
    <row r="4449" spans="1:7">
      <c r="A4449" t="s">
        <v>28358</v>
      </c>
      <c r="B4449" t="s">
        <v>8626</v>
      </c>
      <c r="F4449" t="s">
        <v>18286</v>
      </c>
      <c r="G4449" t="s">
        <v>28359</v>
      </c>
    </row>
    <row r="4450" spans="1:7">
      <c r="A4450" t="s">
        <v>28360</v>
      </c>
      <c r="B4450" t="s">
        <v>8607</v>
      </c>
      <c r="F4450" t="s">
        <v>24336</v>
      </c>
      <c r="G4450" t="s">
        <v>19107</v>
      </c>
    </row>
    <row r="4451" spans="1:7">
      <c r="A4451" t="s">
        <v>28361</v>
      </c>
      <c r="B4451" t="s">
        <v>8607</v>
      </c>
      <c r="C4451" t="s">
        <v>28362</v>
      </c>
      <c r="F4451" t="s">
        <v>27740</v>
      </c>
      <c r="G4451" t="s">
        <v>28363</v>
      </c>
    </row>
    <row r="4452" spans="1:7">
      <c r="A4452" t="s">
        <v>28364</v>
      </c>
      <c r="B4452" t="s">
        <v>8607</v>
      </c>
      <c r="C4452" t="s">
        <v>28365</v>
      </c>
      <c r="F4452" t="s">
        <v>17349</v>
      </c>
      <c r="G4452" t="s">
        <v>28366</v>
      </c>
    </row>
    <row r="4453" spans="1:7">
      <c r="A4453" t="s">
        <v>28367</v>
      </c>
      <c r="B4453" t="s">
        <v>8607</v>
      </c>
      <c r="F4453" t="s">
        <v>28368</v>
      </c>
      <c r="G4453" t="s">
        <v>28369</v>
      </c>
    </row>
    <row r="4454" spans="1:7">
      <c r="A4454" t="s">
        <v>28370</v>
      </c>
      <c r="B4454" t="s">
        <v>8607</v>
      </c>
      <c r="F4454" t="s">
        <v>27445</v>
      </c>
      <c r="G4454" t="s">
        <v>28371</v>
      </c>
    </row>
    <row r="4455" spans="1:7">
      <c r="A4455" t="s">
        <v>28372</v>
      </c>
      <c r="B4455" t="s">
        <v>8607</v>
      </c>
      <c r="F4455" t="s">
        <v>26725</v>
      </c>
      <c r="G4455" t="s">
        <v>28373</v>
      </c>
    </row>
    <row r="4456" spans="1:7">
      <c r="A4456" t="s">
        <v>28374</v>
      </c>
      <c r="B4456" t="s">
        <v>8607</v>
      </c>
      <c r="F4456" t="s">
        <v>28375</v>
      </c>
      <c r="G4456" t="s">
        <v>28376</v>
      </c>
    </row>
    <row r="4457" spans="1:7">
      <c r="A4457" t="s">
        <v>28377</v>
      </c>
      <c r="B4457" t="s">
        <v>8626</v>
      </c>
      <c r="G4457" t="s">
        <v>28378</v>
      </c>
    </row>
    <row r="4458" spans="1:7">
      <c r="A4458" t="s">
        <v>28379</v>
      </c>
      <c r="B4458" t="s">
        <v>8607</v>
      </c>
      <c r="F4458" t="s">
        <v>28380</v>
      </c>
      <c r="G4458" t="s">
        <v>28381</v>
      </c>
    </row>
    <row r="4459" spans="1:7">
      <c r="A4459" t="s">
        <v>28382</v>
      </c>
      <c r="B4459" t="s">
        <v>8626</v>
      </c>
      <c r="F4459" t="s">
        <v>27930</v>
      </c>
      <c r="G4459" t="s">
        <v>28383</v>
      </c>
    </row>
    <row r="4460" spans="1:7">
      <c r="A4460" t="s">
        <v>28384</v>
      </c>
      <c r="B4460" t="s">
        <v>8626</v>
      </c>
      <c r="C4460" t="s">
        <v>17799</v>
      </c>
      <c r="F4460" t="s">
        <v>8623</v>
      </c>
      <c r="G4460" t="s">
        <v>28385</v>
      </c>
    </row>
    <row r="4461" spans="1:7">
      <c r="A4461" t="s">
        <v>28386</v>
      </c>
      <c r="B4461" t="s">
        <v>8607</v>
      </c>
      <c r="G4461" t="s">
        <v>28387</v>
      </c>
    </row>
    <row r="4462" spans="1:7">
      <c r="A4462" t="s">
        <v>28388</v>
      </c>
      <c r="B4462" t="s">
        <v>8607</v>
      </c>
      <c r="C4462" t="s">
        <v>28389</v>
      </c>
      <c r="F4462" t="s">
        <v>28390</v>
      </c>
      <c r="G4462" t="s">
        <v>28391</v>
      </c>
    </row>
    <row r="4463" spans="1:7">
      <c r="A4463" t="s">
        <v>28392</v>
      </c>
      <c r="B4463" t="s">
        <v>8607</v>
      </c>
      <c r="F4463" t="s">
        <v>26717</v>
      </c>
      <c r="G4463" t="s">
        <v>28393</v>
      </c>
    </row>
    <row r="4464" spans="1:7">
      <c r="A4464" t="s">
        <v>28394</v>
      </c>
      <c r="B4464" t="s">
        <v>8607</v>
      </c>
      <c r="C4464" t="s">
        <v>25883</v>
      </c>
      <c r="F4464" t="s">
        <v>17305</v>
      </c>
      <c r="G4464" t="s">
        <v>28395</v>
      </c>
    </row>
    <row r="4465" spans="1:7">
      <c r="A4465" t="s">
        <v>28396</v>
      </c>
      <c r="B4465" t="s">
        <v>8626</v>
      </c>
      <c r="F4465" t="s">
        <v>27518</v>
      </c>
      <c r="G4465" t="s">
        <v>28397</v>
      </c>
    </row>
    <row r="4466" spans="1:7">
      <c r="A4466" t="s">
        <v>28398</v>
      </c>
      <c r="B4466" t="s">
        <v>8607</v>
      </c>
      <c r="F4466" t="s">
        <v>22989</v>
      </c>
      <c r="G4466" t="s">
        <v>28399</v>
      </c>
    </row>
    <row r="4467" spans="1:7">
      <c r="A4467" t="s">
        <v>28400</v>
      </c>
      <c r="B4467" t="s">
        <v>8607</v>
      </c>
      <c r="C4467" t="s">
        <v>28401</v>
      </c>
      <c r="F4467" t="s">
        <v>18286</v>
      </c>
      <c r="G4467" t="s">
        <v>28402</v>
      </c>
    </row>
    <row r="4468" spans="1:7">
      <c r="A4468" t="s">
        <v>28403</v>
      </c>
      <c r="B4468" t="s">
        <v>8607</v>
      </c>
      <c r="F4468" t="s">
        <v>19974</v>
      </c>
      <c r="G4468" t="s">
        <v>19975</v>
      </c>
    </row>
    <row r="4469" spans="1:7">
      <c r="A4469" t="s">
        <v>28404</v>
      </c>
      <c r="B4469" t="s">
        <v>8607</v>
      </c>
      <c r="F4469" t="s">
        <v>26698</v>
      </c>
      <c r="G4469" t="s">
        <v>28405</v>
      </c>
    </row>
    <row r="4470" spans="1:7">
      <c r="A4470" t="s">
        <v>28406</v>
      </c>
      <c r="B4470" t="s">
        <v>8607</v>
      </c>
      <c r="F4470" t="s">
        <v>28407</v>
      </c>
      <c r="G4470" t="s">
        <v>28408</v>
      </c>
    </row>
    <row r="4471" spans="1:7">
      <c r="A4471" t="s">
        <v>28409</v>
      </c>
      <c r="B4471" t="s">
        <v>8626</v>
      </c>
      <c r="F4471" t="s">
        <v>28410</v>
      </c>
      <c r="G4471" t="s">
        <v>28411</v>
      </c>
    </row>
    <row r="4472" spans="1:7">
      <c r="A4472" t="s">
        <v>28412</v>
      </c>
      <c r="B4472" t="s">
        <v>8607</v>
      </c>
      <c r="F4472" t="s">
        <v>27384</v>
      </c>
      <c r="G4472" t="s">
        <v>28413</v>
      </c>
    </row>
    <row r="4473" spans="1:7">
      <c r="A4473" t="s">
        <v>28414</v>
      </c>
      <c r="B4473" t="s">
        <v>8607</v>
      </c>
      <c r="F4473" t="s">
        <v>28415</v>
      </c>
      <c r="G4473" t="s">
        <v>28416</v>
      </c>
    </row>
    <row r="4474" spans="1:7">
      <c r="A4474" t="s">
        <v>28417</v>
      </c>
      <c r="B4474" t="s">
        <v>8607</v>
      </c>
      <c r="F4474" t="s">
        <v>28418</v>
      </c>
      <c r="G4474" t="s">
        <v>28419</v>
      </c>
    </row>
    <row r="4475" spans="1:7">
      <c r="A4475" t="s">
        <v>28420</v>
      </c>
      <c r="B4475" t="s">
        <v>8607</v>
      </c>
      <c r="F4475" t="s">
        <v>27384</v>
      </c>
      <c r="G4475" t="s">
        <v>28421</v>
      </c>
    </row>
    <row r="4476" spans="1:7">
      <c r="A4476" t="s">
        <v>28422</v>
      </c>
      <c r="G4476" t="s">
        <v>28423</v>
      </c>
    </row>
    <row r="4477" spans="1:7">
      <c r="A4477" t="s">
        <v>28424</v>
      </c>
      <c r="B4477" t="s">
        <v>8607</v>
      </c>
      <c r="F4477" t="s">
        <v>11990</v>
      </c>
      <c r="G4477" t="s">
        <v>11991</v>
      </c>
    </row>
    <row r="4478" spans="1:7">
      <c r="A4478" t="s">
        <v>28425</v>
      </c>
      <c r="B4478" t="s">
        <v>8607</v>
      </c>
      <c r="F4478" t="s">
        <v>26299</v>
      </c>
      <c r="G4478" t="s">
        <v>28426</v>
      </c>
    </row>
    <row r="4479" spans="1:7">
      <c r="A4479" t="s">
        <v>28427</v>
      </c>
      <c r="B4479" t="s">
        <v>8607</v>
      </c>
      <c r="F4479" t="s">
        <v>8623</v>
      </c>
      <c r="G4479" t="s">
        <v>28428</v>
      </c>
    </row>
    <row r="4480" spans="1:7">
      <c r="A4480" t="s">
        <v>28429</v>
      </c>
      <c r="B4480" t="s">
        <v>8607</v>
      </c>
      <c r="F4480" t="s">
        <v>8623</v>
      </c>
      <c r="G4480" t="s">
        <v>28430</v>
      </c>
    </row>
    <row r="4481" spans="1:7">
      <c r="A4481" t="s">
        <v>28431</v>
      </c>
      <c r="B4481" t="s">
        <v>8607</v>
      </c>
      <c r="F4481" t="s">
        <v>8633</v>
      </c>
      <c r="G4481" t="s">
        <v>20179</v>
      </c>
    </row>
    <row r="4482" spans="1:7">
      <c r="A4482" t="s">
        <v>28432</v>
      </c>
      <c r="G4482" t="s">
        <v>28433</v>
      </c>
    </row>
    <row r="4483" spans="1:7">
      <c r="A4483" t="s">
        <v>28434</v>
      </c>
      <c r="G4483" t="s">
        <v>28435</v>
      </c>
    </row>
    <row r="4484" spans="1:7">
      <c r="A4484" t="s">
        <v>28436</v>
      </c>
      <c r="B4484" t="s">
        <v>8626</v>
      </c>
      <c r="G4484" t="s">
        <v>28437</v>
      </c>
    </row>
    <row r="4485" spans="1:7">
      <c r="A4485" t="s">
        <v>28438</v>
      </c>
      <c r="B4485" t="s">
        <v>8607</v>
      </c>
      <c r="C4485" t="s">
        <v>28439</v>
      </c>
      <c r="F4485" t="s">
        <v>17621</v>
      </c>
      <c r="G4485" t="s">
        <v>28440</v>
      </c>
    </row>
    <row r="4486" spans="1:7">
      <c r="A4486" t="s">
        <v>28441</v>
      </c>
      <c r="B4486" t="s">
        <v>8607</v>
      </c>
      <c r="F4486" t="s">
        <v>10076</v>
      </c>
      <c r="G4486" t="s">
        <v>28442</v>
      </c>
    </row>
    <row r="4487" spans="1:7">
      <c r="A4487" t="s">
        <v>28443</v>
      </c>
      <c r="G4487" t="s">
        <v>28444</v>
      </c>
    </row>
    <row r="4488" spans="1:7">
      <c r="A4488" t="s">
        <v>28445</v>
      </c>
      <c r="G4488" t="s">
        <v>28446</v>
      </c>
    </row>
    <row r="4489" spans="1:7">
      <c r="A4489" t="s">
        <v>28447</v>
      </c>
      <c r="B4489" t="s">
        <v>8626</v>
      </c>
      <c r="F4489" t="s">
        <v>17830</v>
      </c>
      <c r="G4489" t="s">
        <v>28448</v>
      </c>
    </row>
    <row r="4490" spans="1:7">
      <c r="A4490" t="s">
        <v>28449</v>
      </c>
      <c r="B4490" t="s">
        <v>8607</v>
      </c>
      <c r="F4490" t="s">
        <v>17920</v>
      </c>
      <c r="G4490" t="s">
        <v>28450</v>
      </c>
    </row>
    <row r="4491" spans="1:7">
      <c r="A4491" t="s">
        <v>28451</v>
      </c>
      <c r="B4491" t="s">
        <v>8607</v>
      </c>
      <c r="F4491" t="s">
        <v>27813</v>
      </c>
      <c r="G4491" t="s">
        <v>28452</v>
      </c>
    </row>
    <row r="4492" spans="1:7">
      <c r="A4492" t="s">
        <v>28453</v>
      </c>
      <c r="B4492" t="s">
        <v>8626</v>
      </c>
      <c r="F4492" t="s">
        <v>28454</v>
      </c>
      <c r="G4492" t="s">
        <v>28455</v>
      </c>
    </row>
    <row r="4493" spans="1:7">
      <c r="A4493" t="s">
        <v>28456</v>
      </c>
      <c r="B4493" t="s">
        <v>8607</v>
      </c>
      <c r="F4493" t="s">
        <v>9018</v>
      </c>
      <c r="G4493" t="s">
        <v>28457</v>
      </c>
    </row>
    <row r="4494" spans="1:7">
      <c r="A4494" t="s">
        <v>28458</v>
      </c>
      <c r="B4494" t="s">
        <v>8607</v>
      </c>
      <c r="F4494" t="s">
        <v>25301</v>
      </c>
      <c r="G4494" t="s">
        <v>28459</v>
      </c>
    </row>
    <row r="4495" spans="1:7">
      <c r="A4495" t="s">
        <v>28460</v>
      </c>
      <c r="B4495" t="s">
        <v>8607</v>
      </c>
      <c r="F4495" t="s">
        <v>28461</v>
      </c>
      <c r="G4495" t="s">
        <v>28462</v>
      </c>
    </row>
    <row r="4496" spans="1:7">
      <c r="A4496" t="s">
        <v>28463</v>
      </c>
      <c r="B4496" t="s">
        <v>8607</v>
      </c>
      <c r="G4496" t="s">
        <v>28464</v>
      </c>
    </row>
    <row r="4497" spans="1:7">
      <c r="A4497" t="s">
        <v>28465</v>
      </c>
      <c r="B4497" t="s">
        <v>8626</v>
      </c>
      <c r="F4497" t="s">
        <v>9018</v>
      </c>
      <c r="G4497" t="s">
        <v>28466</v>
      </c>
    </row>
    <row r="4498" spans="1:7">
      <c r="A4498" t="s">
        <v>28467</v>
      </c>
      <c r="B4498" t="s">
        <v>8607</v>
      </c>
      <c r="C4498" t="s">
        <v>26850</v>
      </c>
      <c r="F4498" t="s">
        <v>26176</v>
      </c>
      <c r="G4498" t="s">
        <v>28468</v>
      </c>
    </row>
    <row r="4499" spans="1:7">
      <c r="A4499" t="s">
        <v>28469</v>
      </c>
      <c r="B4499" t="s">
        <v>8607</v>
      </c>
      <c r="F4499" t="s">
        <v>20201</v>
      </c>
      <c r="G4499" t="s">
        <v>27843</v>
      </c>
    </row>
    <row r="4500" spans="1:7">
      <c r="A4500" t="s">
        <v>28470</v>
      </c>
      <c r="B4500" t="s">
        <v>8607</v>
      </c>
      <c r="F4500" t="s">
        <v>20473</v>
      </c>
      <c r="G4500" t="s">
        <v>28471</v>
      </c>
    </row>
    <row r="4501" spans="1:7">
      <c r="A4501" t="s">
        <v>28472</v>
      </c>
      <c r="B4501" t="s">
        <v>8607</v>
      </c>
      <c r="F4501" t="s">
        <v>17932</v>
      </c>
      <c r="G4501" t="s">
        <v>27840</v>
      </c>
    </row>
    <row r="4502" spans="1:7">
      <c r="A4502" t="s">
        <v>28473</v>
      </c>
      <c r="B4502" t="s">
        <v>8626</v>
      </c>
      <c r="F4502" t="s">
        <v>10076</v>
      </c>
      <c r="G4502" t="s">
        <v>28474</v>
      </c>
    </row>
    <row r="4503" spans="1:7">
      <c r="A4503" t="s">
        <v>28475</v>
      </c>
      <c r="G4503" t="s">
        <v>28476</v>
      </c>
    </row>
    <row r="4504" spans="1:7">
      <c r="A4504" t="s">
        <v>28477</v>
      </c>
      <c r="B4504" t="s">
        <v>8607</v>
      </c>
      <c r="F4504" t="s">
        <v>21567</v>
      </c>
      <c r="G4504" t="s">
        <v>23720</v>
      </c>
    </row>
    <row r="4505" spans="1:7">
      <c r="A4505" t="s">
        <v>28478</v>
      </c>
      <c r="B4505" t="s">
        <v>8607</v>
      </c>
      <c r="F4505" t="s">
        <v>28479</v>
      </c>
      <c r="G4505" t="s">
        <v>28480</v>
      </c>
    </row>
    <row r="4506" spans="1:7">
      <c r="A4506" t="s">
        <v>28481</v>
      </c>
      <c r="B4506" t="s">
        <v>8607</v>
      </c>
      <c r="C4506" t="s">
        <v>28439</v>
      </c>
      <c r="F4506" t="s">
        <v>17621</v>
      </c>
      <c r="G4506" t="s">
        <v>28440</v>
      </c>
    </row>
    <row r="4507" spans="1:7">
      <c r="A4507" t="s">
        <v>28482</v>
      </c>
      <c r="B4507" t="s">
        <v>8626</v>
      </c>
      <c r="G4507" t="s">
        <v>28483</v>
      </c>
    </row>
    <row r="4508" spans="1:7">
      <c r="A4508" t="s">
        <v>28484</v>
      </c>
      <c r="B4508" t="s">
        <v>8626</v>
      </c>
      <c r="C4508" t="s">
        <v>28485</v>
      </c>
      <c r="F4508" t="s">
        <v>28486</v>
      </c>
      <c r="G4508" t="s">
        <v>28487</v>
      </c>
    </row>
    <row r="4509" spans="1:7">
      <c r="A4509" t="s">
        <v>28488</v>
      </c>
      <c r="B4509" t="s">
        <v>8607</v>
      </c>
      <c r="C4509" t="s">
        <v>28489</v>
      </c>
      <c r="F4509" t="s">
        <v>17920</v>
      </c>
      <c r="G4509" t="s">
        <v>28490</v>
      </c>
    </row>
    <row r="4510" spans="1:7">
      <c r="A4510" t="s">
        <v>28491</v>
      </c>
      <c r="B4510" t="s">
        <v>8607</v>
      </c>
      <c r="F4510" t="s">
        <v>24930</v>
      </c>
      <c r="G4510" t="s">
        <v>28492</v>
      </c>
    </row>
    <row r="4511" spans="1:7">
      <c r="A4511" t="s">
        <v>28493</v>
      </c>
      <c r="B4511" t="s">
        <v>8626</v>
      </c>
      <c r="F4511" t="s">
        <v>24930</v>
      </c>
      <c r="G4511" t="s">
        <v>28494</v>
      </c>
    </row>
    <row r="4512" spans="1:7">
      <c r="A4512" t="s">
        <v>28495</v>
      </c>
      <c r="B4512" t="s">
        <v>8607</v>
      </c>
      <c r="G4512" t="s">
        <v>28496</v>
      </c>
    </row>
    <row r="4513" spans="1:7">
      <c r="A4513" t="s">
        <v>28497</v>
      </c>
      <c r="B4513" t="s">
        <v>8607</v>
      </c>
      <c r="F4513" t="s">
        <v>17824</v>
      </c>
      <c r="G4513" t="s">
        <v>28498</v>
      </c>
    </row>
    <row r="4514" spans="1:7">
      <c r="A4514" t="s">
        <v>28499</v>
      </c>
      <c r="B4514" t="s">
        <v>8607</v>
      </c>
      <c r="F4514" t="s">
        <v>28500</v>
      </c>
      <c r="G4514" t="s">
        <v>28501</v>
      </c>
    </row>
    <row r="4515" spans="1:7">
      <c r="A4515" t="s">
        <v>28502</v>
      </c>
      <c r="B4515" t="s">
        <v>8607</v>
      </c>
      <c r="F4515" t="s">
        <v>28503</v>
      </c>
      <c r="G4515" t="s">
        <v>28504</v>
      </c>
    </row>
    <row r="4516" spans="1:7">
      <c r="A4516" t="s">
        <v>28505</v>
      </c>
      <c r="G4516" t="s">
        <v>28506</v>
      </c>
    </row>
    <row r="4517" spans="1:7">
      <c r="A4517" t="s">
        <v>28507</v>
      </c>
      <c r="B4517" t="s">
        <v>8626</v>
      </c>
      <c r="G4517" t="s">
        <v>28508</v>
      </c>
    </row>
    <row r="4518" spans="1:7">
      <c r="A4518" t="s">
        <v>28509</v>
      </c>
      <c r="B4518" t="s">
        <v>8607</v>
      </c>
      <c r="C4518" t="s">
        <v>28439</v>
      </c>
      <c r="F4518" t="s">
        <v>17621</v>
      </c>
      <c r="G4518" t="s">
        <v>28440</v>
      </c>
    </row>
    <row r="4519" spans="1:7">
      <c r="A4519" t="s">
        <v>28510</v>
      </c>
      <c r="B4519" t="s">
        <v>8607</v>
      </c>
      <c r="G4519" t="s">
        <v>28511</v>
      </c>
    </row>
    <row r="4520" spans="1:7">
      <c r="A4520" t="s">
        <v>28512</v>
      </c>
      <c r="B4520" t="s">
        <v>8607</v>
      </c>
      <c r="F4520" t="s">
        <v>8633</v>
      </c>
      <c r="G4520" t="s">
        <v>20179</v>
      </c>
    </row>
    <row r="4521" spans="1:7">
      <c r="A4521" t="s">
        <v>28513</v>
      </c>
      <c r="G4521" t="s">
        <v>28433</v>
      </c>
    </row>
    <row r="4522" spans="1:7">
      <c r="A4522" t="s">
        <v>28514</v>
      </c>
      <c r="B4522" t="s">
        <v>8607</v>
      </c>
      <c r="F4522" t="s">
        <v>28515</v>
      </c>
      <c r="G4522" t="s">
        <v>28516</v>
      </c>
    </row>
    <row r="4523" spans="1:7">
      <c r="A4523" t="s">
        <v>28517</v>
      </c>
      <c r="B4523" t="s">
        <v>8607</v>
      </c>
      <c r="G4523" t="s">
        <v>28518</v>
      </c>
    </row>
    <row r="4524" spans="1:7">
      <c r="A4524" t="s">
        <v>28519</v>
      </c>
      <c r="B4524" t="s">
        <v>8607</v>
      </c>
      <c r="G4524" t="s">
        <v>28520</v>
      </c>
    </row>
    <row r="4525" spans="1:7">
      <c r="A4525" t="s">
        <v>28521</v>
      </c>
      <c r="B4525" t="s">
        <v>8607</v>
      </c>
      <c r="G4525" t="s">
        <v>28522</v>
      </c>
    </row>
    <row r="4526" spans="1:7">
      <c r="A4526" t="s">
        <v>28523</v>
      </c>
      <c r="B4526" t="s">
        <v>8607</v>
      </c>
      <c r="F4526" t="s">
        <v>28524</v>
      </c>
      <c r="G4526" t="s">
        <v>28525</v>
      </c>
    </row>
    <row r="4527" spans="1:7">
      <c r="A4527" t="s">
        <v>28526</v>
      </c>
      <c r="B4527" t="s">
        <v>8607</v>
      </c>
      <c r="G4527" t="s">
        <v>28527</v>
      </c>
    </row>
    <row r="4528" spans="1:7">
      <c r="A4528" t="s">
        <v>28528</v>
      </c>
      <c r="B4528" t="s">
        <v>8607</v>
      </c>
      <c r="F4528" t="s">
        <v>28529</v>
      </c>
      <c r="G4528" t="s">
        <v>28530</v>
      </c>
    </row>
    <row r="4529" spans="1:7">
      <c r="A4529" t="s">
        <v>28531</v>
      </c>
      <c r="B4529" t="s">
        <v>8607</v>
      </c>
      <c r="F4529" t="s">
        <v>28532</v>
      </c>
      <c r="G4529" t="s">
        <v>28533</v>
      </c>
    </row>
    <row r="4530" spans="1:7">
      <c r="A4530" t="s">
        <v>28534</v>
      </c>
      <c r="B4530" t="s">
        <v>8607</v>
      </c>
      <c r="F4530" t="s">
        <v>28535</v>
      </c>
      <c r="G4530" t="s">
        <v>28536</v>
      </c>
    </row>
    <row r="4531" spans="1:7">
      <c r="A4531" t="s">
        <v>28537</v>
      </c>
      <c r="B4531" t="s">
        <v>8607</v>
      </c>
      <c r="F4531" t="s">
        <v>28538</v>
      </c>
      <c r="G4531" t="s">
        <v>28539</v>
      </c>
    </row>
    <row r="4532" spans="1:7">
      <c r="A4532" t="s">
        <v>28540</v>
      </c>
      <c r="B4532" t="s">
        <v>8607</v>
      </c>
      <c r="F4532" t="s">
        <v>17741</v>
      </c>
      <c r="G4532" t="s">
        <v>28541</v>
      </c>
    </row>
    <row r="4533" spans="1:7">
      <c r="A4533" t="s">
        <v>28542</v>
      </c>
      <c r="B4533" t="s">
        <v>8607</v>
      </c>
      <c r="F4533" t="s">
        <v>8623</v>
      </c>
      <c r="G4533" t="s">
        <v>28543</v>
      </c>
    </row>
    <row r="4534" spans="1:7">
      <c r="A4534" t="s">
        <v>28544</v>
      </c>
      <c r="B4534" t="s">
        <v>8607</v>
      </c>
      <c r="F4534" t="s">
        <v>8623</v>
      </c>
      <c r="G4534" t="s">
        <v>28545</v>
      </c>
    </row>
    <row r="4535" spans="1:7">
      <c r="A4535" t="s">
        <v>28546</v>
      </c>
      <c r="B4535" t="s">
        <v>8626</v>
      </c>
      <c r="F4535" t="s">
        <v>12458</v>
      </c>
      <c r="G4535" t="s">
        <v>28547</v>
      </c>
    </row>
    <row r="4536" spans="1:7">
      <c r="A4536" t="s">
        <v>28548</v>
      </c>
      <c r="B4536" t="s">
        <v>8626</v>
      </c>
      <c r="F4536" t="s">
        <v>8623</v>
      </c>
      <c r="G4536" t="s">
        <v>28549</v>
      </c>
    </row>
    <row r="4537" spans="1:7">
      <c r="A4537" t="s">
        <v>28550</v>
      </c>
      <c r="B4537" t="s">
        <v>8626</v>
      </c>
      <c r="G4537" t="s">
        <v>24459</v>
      </c>
    </row>
    <row r="4538" spans="1:7">
      <c r="A4538" t="s">
        <v>28551</v>
      </c>
      <c r="B4538" t="s">
        <v>8626</v>
      </c>
      <c r="G4538" t="s">
        <v>28552</v>
      </c>
    </row>
    <row r="4539" spans="1:7">
      <c r="A4539" t="s">
        <v>28553</v>
      </c>
      <c r="B4539" t="s">
        <v>8607</v>
      </c>
      <c r="G4539" t="s">
        <v>22411</v>
      </c>
    </row>
    <row r="4540" spans="1:7">
      <c r="A4540" t="s">
        <v>28554</v>
      </c>
      <c r="B4540" t="s">
        <v>8626</v>
      </c>
      <c r="G4540" t="s">
        <v>28555</v>
      </c>
    </row>
    <row r="4541" spans="1:7">
      <c r="A4541" t="s">
        <v>28556</v>
      </c>
      <c r="B4541" t="s">
        <v>8626</v>
      </c>
      <c r="G4541" t="s">
        <v>28557</v>
      </c>
    </row>
    <row r="4542" spans="1:7">
      <c r="A4542" t="s">
        <v>28558</v>
      </c>
      <c r="B4542" t="s">
        <v>8607</v>
      </c>
      <c r="G4542" t="s">
        <v>26570</v>
      </c>
    </row>
    <row r="4543" spans="1:7">
      <c r="A4543" t="s">
        <v>28559</v>
      </c>
      <c r="B4543" t="s">
        <v>8607</v>
      </c>
      <c r="G4543" t="s">
        <v>26572</v>
      </c>
    </row>
    <row r="4544" spans="1:7">
      <c r="A4544" t="s">
        <v>28560</v>
      </c>
      <c r="B4544" t="s">
        <v>8626</v>
      </c>
      <c r="F4544" t="s">
        <v>28561</v>
      </c>
      <c r="G4544" t="s">
        <v>26574</v>
      </c>
    </row>
    <row r="4545" spans="1:7">
      <c r="A4545" t="s">
        <v>28562</v>
      </c>
      <c r="B4545" t="s">
        <v>8607</v>
      </c>
      <c r="G4545" t="s">
        <v>26576</v>
      </c>
    </row>
    <row r="4546" spans="1:7">
      <c r="A4546" t="s">
        <v>28563</v>
      </c>
      <c r="B4546" t="s">
        <v>8626</v>
      </c>
      <c r="F4546" t="s">
        <v>12464</v>
      </c>
      <c r="G4546" t="s">
        <v>28564</v>
      </c>
    </row>
    <row r="4547" spans="1:7">
      <c r="A4547" t="s">
        <v>28565</v>
      </c>
      <c r="B4547" t="s">
        <v>8607</v>
      </c>
      <c r="F4547" t="s">
        <v>9018</v>
      </c>
      <c r="G4547" t="s">
        <v>28566</v>
      </c>
    </row>
    <row r="4548" spans="1:7">
      <c r="A4548" t="s">
        <v>28567</v>
      </c>
      <c r="B4548" t="s">
        <v>8607</v>
      </c>
      <c r="F4548" t="s">
        <v>28479</v>
      </c>
      <c r="G4548" t="s">
        <v>28480</v>
      </c>
    </row>
    <row r="4549" spans="1:7">
      <c r="A4549" t="s">
        <v>28568</v>
      </c>
      <c r="B4549" t="s">
        <v>8607</v>
      </c>
      <c r="C4549" t="s">
        <v>28439</v>
      </c>
      <c r="F4549" t="s">
        <v>17621</v>
      </c>
      <c r="G4549" t="s">
        <v>28440</v>
      </c>
    </row>
    <row r="4550" spans="1:7">
      <c r="A4550" t="s">
        <v>28569</v>
      </c>
      <c r="B4550" t="s">
        <v>8607</v>
      </c>
      <c r="G4550" t="s">
        <v>28511</v>
      </c>
    </row>
    <row r="4551" spans="1:7">
      <c r="A4551" t="s">
        <v>28570</v>
      </c>
      <c r="B4551" t="s">
        <v>8607</v>
      </c>
      <c r="F4551" t="s">
        <v>8633</v>
      </c>
      <c r="G4551" t="s">
        <v>28571</v>
      </c>
    </row>
    <row r="4552" spans="1:7">
      <c r="A4552" t="s">
        <v>28572</v>
      </c>
      <c r="B4552" t="s">
        <v>8607</v>
      </c>
      <c r="F4552" t="s">
        <v>28573</v>
      </c>
      <c r="G4552" t="s">
        <v>28574</v>
      </c>
    </row>
    <row r="4553" spans="1:7">
      <c r="A4553" t="s">
        <v>28575</v>
      </c>
      <c r="G4553" t="s">
        <v>28506</v>
      </c>
    </row>
    <row r="4554" spans="1:7">
      <c r="A4554" t="s">
        <v>28576</v>
      </c>
      <c r="B4554" t="s">
        <v>8626</v>
      </c>
      <c r="C4554" t="s">
        <v>18527</v>
      </c>
      <c r="F4554" t="s">
        <v>28577</v>
      </c>
      <c r="G4554" t="s">
        <v>28578</v>
      </c>
    </row>
    <row r="4555" spans="1:7">
      <c r="A4555" t="s">
        <v>28579</v>
      </c>
      <c r="B4555" t="s">
        <v>8626</v>
      </c>
      <c r="G4555" t="s">
        <v>28580</v>
      </c>
    </row>
    <row r="4556" spans="1:7">
      <c r="A4556" t="s">
        <v>28581</v>
      </c>
      <c r="B4556" t="s">
        <v>8626</v>
      </c>
      <c r="G4556" t="s">
        <v>28582</v>
      </c>
    </row>
    <row r="4557" spans="1:7">
      <c r="A4557" t="s">
        <v>28583</v>
      </c>
      <c r="B4557" t="s">
        <v>8607</v>
      </c>
      <c r="G4557" t="s">
        <v>28584</v>
      </c>
    </row>
    <row r="4558" spans="1:7">
      <c r="A4558" t="s">
        <v>28585</v>
      </c>
      <c r="B4558" t="s">
        <v>8626</v>
      </c>
      <c r="F4558" t="s">
        <v>18286</v>
      </c>
      <c r="G4558" t="s">
        <v>28586</v>
      </c>
    </row>
    <row r="4559" spans="1:7">
      <c r="A4559" t="s">
        <v>28587</v>
      </c>
      <c r="B4559" t="s">
        <v>8626</v>
      </c>
      <c r="G4559" t="s">
        <v>28588</v>
      </c>
    </row>
    <row r="4560" spans="1:7">
      <c r="A4560" t="s">
        <v>28589</v>
      </c>
      <c r="B4560" t="s">
        <v>8626</v>
      </c>
      <c r="F4560" t="s">
        <v>28590</v>
      </c>
      <c r="G4560" t="s">
        <v>28591</v>
      </c>
    </row>
    <row r="4561" spans="1:7">
      <c r="A4561" t="s">
        <v>28592</v>
      </c>
      <c r="B4561" t="s">
        <v>8607</v>
      </c>
      <c r="C4561" t="s">
        <v>28439</v>
      </c>
      <c r="F4561" t="s">
        <v>17621</v>
      </c>
      <c r="G4561" t="s">
        <v>28440</v>
      </c>
    </row>
    <row r="4562" spans="1:7">
      <c r="A4562" t="s">
        <v>28593</v>
      </c>
      <c r="B4562" t="s">
        <v>8607</v>
      </c>
      <c r="G4562" t="s">
        <v>28511</v>
      </c>
    </row>
    <row r="4563" spans="1:7">
      <c r="A4563" t="s">
        <v>28594</v>
      </c>
      <c r="B4563" t="s">
        <v>8607</v>
      </c>
      <c r="F4563" t="s">
        <v>27628</v>
      </c>
      <c r="G4563" t="s">
        <v>27629</v>
      </c>
    </row>
    <row r="4564" spans="1:7">
      <c r="A4564" t="s">
        <v>28595</v>
      </c>
      <c r="B4564" t="s">
        <v>8607</v>
      </c>
      <c r="F4564" t="s">
        <v>8633</v>
      </c>
      <c r="G4564" t="s">
        <v>20179</v>
      </c>
    </row>
    <row r="4565" spans="1:7">
      <c r="A4565" t="s">
        <v>28596</v>
      </c>
      <c r="B4565" t="s">
        <v>8607</v>
      </c>
      <c r="F4565" t="s">
        <v>28573</v>
      </c>
      <c r="G4565" t="s">
        <v>28574</v>
      </c>
    </row>
    <row r="4566" spans="1:7">
      <c r="A4566" t="s">
        <v>28597</v>
      </c>
      <c r="B4566" t="s">
        <v>8607</v>
      </c>
      <c r="G4566" t="s">
        <v>28598</v>
      </c>
    </row>
    <row r="4567" spans="1:7">
      <c r="A4567" t="s">
        <v>28599</v>
      </c>
      <c r="B4567" t="s">
        <v>8607</v>
      </c>
      <c r="G4567" t="s">
        <v>28600</v>
      </c>
    </row>
    <row r="4568" spans="1:7">
      <c r="A4568" t="s">
        <v>28601</v>
      </c>
      <c r="B4568" t="s">
        <v>8626</v>
      </c>
      <c r="C4568" t="s">
        <v>18527</v>
      </c>
      <c r="F4568" t="s">
        <v>18286</v>
      </c>
      <c r="G4568" t="s">
        <v>28602</v>
      </c>
    </row>
    <row r="4569" spans="1:7">
      <c r="A4569" t="s">
        <v>28603</v>
      </c>
      <c r="B4569" t="s">
        <v>8626</v>
      </c>
      <c r="G4569" t="s">
        <v>28604</v>
      </c>
    </row>
    <row r="4570" spans="1:7">
      <c r="A4570" t="s">
        <v>28605</v>
      </c>
      <c r="B4570" t="s">
        <v>8607</v>
      </c>
      <c r="F4570" t="s">
        <v>28479</v>
      </c>
      <c r="G4570" t="s">
        <v>28480</v>
      </c>
    </row>
    <row r="4571" spans="1:7">
      <c r="A4571" t="s">
        <v>28606</v>
      </c>
      <c r="B4571" t="s">
        <v>8626</v>
      </c>
      <c r="G4571" t="s">
        <v>28607</v>
      </c>
    </row>
    <row r="4572" spans="1:7">
      <c r="A4572" t="s">
        <v>28608</v>
      </c>
      <c r="B4572" t="s">
        <v>8607</v>
      </c>
      <c r="F4572" t="s">
        <v>28609</v>
      </c>
      <c r="G4572" t="s">
        <v>28610</v>
      </c>
    </row>
    <row r="4573" spans="1:7">
      <c r="A4573" t="s">
        <v>28611</v>
      </c>
      <c r="B4573" t="s">
        <v>8607</v>
      </c>
      <c r="F4573" t="s">
        <v>28612</v>
      </c>
      <c r="G4573" t="s">
        <v>28613</v>
      </c>
    </row>
    <row r="4574" spans="1:7">
      <c r="A4574" t="s">
        <v>28614</v>
      </c>
      <c r="B4574" t="s">
        <v>8626</v>
      </c>
      <c r="F4574" t="s">
        <v>28615</v>
      </c>
      <c r="G4574" t="s">
        <v>28616</v>
      </c>
    </row>
    <row r="4575" spans="1:7">
      <c r="A4575" t="s">
        <v>28617</v>
      </c>
      <c r="G4575" t="s">
        <v>28618</v>
      </c>
    </row>
    <row r="4576" spans="1:7">
      <c r="A4576" t="s">
        <v>28619</v>
      </c>
      <c r="B4576" t="s">
        <v>8607</v>
      </c>
      <c r="F4576" t="s">
        <v>9002</v>
      </c>
      <c r="G4576" t="s">
        <v>28620</v>
      </c>
    </row>
    <row r="4577" spans="1:7">
      <c r="A4577" t="s">
        <v>28621</v>
      </c>
      <c r="B4577" t="s">
        <v>8607</v>
      </c>
      <c r="G4577" t="s">
        <v>28622</v>
      </c>
    </row>
    <row r="4578" spans="1:7">
      <c r="A4578" t="s">
        <v>28623</v>
      </c>
      <c r="B4578" t="s">
        <v>8607</v>
      </c>
      <c r="F4578" t="s">
        <v>27937</v>
      </c>
      <c r="G4578" t="s">
        <v>27938</v>
      </c>
    </row>
    <row r="4579" spans="1:7">
      <c r="A4579" t="s">
        <v>28624</v>
      </c>
      <c r="B4579" t="s">
        <v>8626</v>
      </c>
      <c r="F4579" t="s">
        <v>20201</v>
      </c>
      <c r="G4579" t="s">
        <v>28625</v>
      </c>
    </row>
    <row r="4580" spans="1:7">
      <c r="A4580" t="s">
        <v>28626</v>
      </c>
      <c r="G4580" t="s">
        <v>28627</v>
      </c>
    </row>
    <row r="4581" spans="1:7">
      <c r="A4581" t="s">
        <v>28628</v>
      </c>
      <c r="B4581" t="s">
        <v>8607</v>
      </c>
      <c r="F4581" t="s">
        <v>28629</v>
      </c>
      <c r="G4581" t="s">
        <v>28630</v>
      </c>
    </row>
    <row r="4582" spans="1:7">
      <c r="A4582" t="s">
        <v>28631</v>
      </c>
      <c r="B4582" t="s">
        <v>8607</v>
      </c>
      <c r="F4582" t="s">
        <v>21700</v>
      </c>
      <c r="G4582" t="s">
        <v>28632</v>
      </c>
    </row>
    <row r="4583" spans="1:7">
      <c r="A4583" t="s">
        <v>28633</v>
      </c>
      <c r="B4583" t="s">
        <v>8626</v>
      </c>
      <c r="C4583" t="s">
        <v>28634</v>
      </c>
      <c r="F4583" t="s">
        <v>28097</v>
      </c>
      <c r="G4583" t="s">
        <v>28635</v>
      </c>
    </row>
    <row r="4584" spans="1:7">
      <c r="A4584" t="s">
        <v>28636</v>
      </c>
      <c r="B4584" t="s">
        <v>8607</v>
      </c>
      <c r="F4584" t="s">
        <v>28637</v>
      </c>
      <c r="G4584" t="s">
        <v>28638</v>
      </c>
    </row>
    <row r="4585" spans="1:7">
      <c r="A4585" t="s">
        <v>28639</v>
      </c>
      <c r="B4585" t="s">
        <v>8607</v>
      </c>
      <c r="F4585" t="s">
        <v>13832</v>
      </c>
      <c r="G4585" t="s">
        <v>28640</v>
      </c>
    </row>
    <row r="4586" spans="1:7">
      <c r="A4586" t="s">
        <v>28641</v>
      </c>
      <c r="B4586" t="s">
        <v>8607</v>
      </c>
      <c r="F4586" t="s">
        <v>28642</v>
      </c>
      <c r="G4586" t="s">
        <v>28643</v>
      </c>
    </row>
    <row r="4587" spans="1:7">
      <c r="A4587" t="s">
        <v>28644</v>
      </c>
      <c r="G4587" t="s">
        <v>28645</v>
      </c>
    </row>
    <row r="4588" spans="1:7">
      <c r="A4588" t="s">
        <v>28646</v>
      </c>
      <c r="B4588" t="s">
        <v>8607</v>
      </c>
      <c r="F4588" t="s">
        <v>19111</v>
      </c>
      <c r="G4588" t="s">
        <v>28647</v>
      </c>
    </row>
    <row r="4589" spans="1:7">
      <c r="A4589" t="s">
        <v>28648</v>
      </c>
      <c r="B4589" t="s">
        <v>8607</v>
      </c>
      <c r="F4589" t="s">
        <v>28649</v>
      </c>
      <c r="G4589" t="s">
        <v>28650</v>
      </c>
    </row>
    <row r="4590" spans="1:7">
      <c r="A4590" t="s">
        <v>28651</v>
      </c>
      <c r="B4590" t="s">
        <v>8626</v>
      </c>
      <c r="G4590" t="s">
        <v>28652</v>
      </c>
    </row>
    <row r="4591" spans="1:7">
      <c r="A4591" t="s">
        <v>28653</v>
      </c>
      <c r="B4591" t="s">
        <v>8607</v>
      </c>
      <c r="G4591" t="s">
        <v>28654</v>
      </c>
    </row>
    <row r="4592" spans="1:7">
      <c r="A4592" t="s">
        <v>28655</v>
      </c>
      <c r="B4592" t="s">
        <v>8607</v>
      </c>
      <c r="F4592" t="s">
        <v>28656</v>
      </c>
      <c r="G4592" t="s">
        <v>28657</v>
      </c>
    </row>
    <row r="4593" spans="1:7">
      <c r="A4593" t="s">
        <v>28658</v>
      </c>
      <c r="B4593" t="s">
        <v>8626</v>
      </c>
      <c r="F4593" t="s">
        <v>9018</v>
      </c>
      <c r="G4593" t="s">
        <v>28659</v>
      </c>
    </row>
    <row r="4594" spans="1:7">
      <c r="A4594" t="s">
        <v>28660</v>
      </c>
      <c r="B4594" t="s">
        <v>8607</v>
      </c>
      <c r="C4594" t="s">
        <v>27739</v>
      </c>
      <c r="F4594" t="s">
        <v>27740</v>
      </c>
      <c r="G4594" t="s">
        <v>27741</v>
      </c>
    </row>
    <row r="4595" spans="1:7">
      <c r="A4595" t="s">
        <v>28661</v>
      </c>
      <c r="B4595" t="s">
        <v>8607</v>
      </c>
      <c r="F4595" t="s">
        <v>28662</v>
      </c>
      <c r="G4595" t="s">
        <v>28663</v>
      </c>
    </row>
    <row r="4596" spans="1:7">
      <c r="A4596" t="s">
        <v>28664</v>
      </c>
      <c r="B4596" t="s">
        <v>8607</v>
      </c>
      <c r="C4596" t="s">
        <v>28665</v>
      </c>
      <c r="F4596" t="s">
        <v>28666</v>
      </c>
      <c r="G4596" t="s">
        <v>28667</v>
      </c>
    </row>
    <row r="4597" spans="1:7">
      <c r="A4597" t="s">
        <v>28668</v>
      </c>
      <c r="B4597" t="s">
        <v>8607</v>
      </c>
      <c r="F4597" t="s">
        <v>28669</v>
      </c>
      <c r="G4597" t="s">
        <v>28670</v>
      </c>
    </row>
    <row r="4598" spans="1:7">
      <c r="A4598" t="s">
        <v>28671</v>
      </c>
      <c r="B4598" t="s">
        <v>8607</v>
      </c>
      <c r="C4598" t="s">
        <v>27172</v>
      </c>
      <c r="F4598" t="s">
        <v>27173</v>
      </c>
      <c r="G4598" t="s">
        <v>27174</v>
      </c>
    </row>
    <row r="4599" spans="1:7">
      <c r="A4599" t="s">
        <v>28672</v>
      </c>
      <c r="B4599" t="s">
        <v>8607</v>
      </c>
      <c r="C4599" t="s">
        <v>27176</v>
      </c>
      <c r="F4599" t="s">
        <v>27173</v>
      </c>
      <c r="G4599" t="s">
        <v>27177</v>
      </c>
    </row>
    <row r="4600" spans="1:7">
      <c r="A4600" t="s">
        <v>28673</v>
      </c>
      <c r="B4600" t="s">
        <v>8607</v>
      </c>
      <c r="C4600" t="s">
        <v>27308</v>
      </c>
      <c r="F4600" t="s">
        <v>27309</v>
      </c>
      <c r="G4600" t="s">
        <v>27310</v>
      </c>
    </row>
    <row r="4601" spans="1:7">
      <c r="A4601" t="s">
        <v>28674</v>
      </c>
      <c r="B4601" t="s">
        <v>8626</v>
      </c>
      <c r="F4601" t="s">
        <v>8623</v>
      </c>
      <c r="G4601" t="s">
        <v>27312</v>
      </c>
    </row>
    <row r="4602" spans="1:7">
      <c r="A4602" t="s">
        <v>28675</v>
      </c>
      <c r="B4602" t="s">
        <v>8607</v>
      </c>
      <c r="F4602" t="s">
        <v>28676</v>
      </c>
      <c r="G4602" t="s">
        <v>28677</v>
      </c>
    </row>
    <row r="4603" spans="1:7">
      <c r="A4603" t="s">
        <v>28678</v>
      </c>
      <c r="B4603" t="s">
        <v>8607</v>
      </c>
      <c r="F4603" t="s">
        <v>27336</v>
      </c>
      <c r="G4603" t="s">
        <v>28679</v>
      </c>
    </row>
    <row r="4604" spans="1:7">
      <c r="A4604" t="s">
        <v>28680</v>
      </c>
      <c r="B4604" t="s">
        <v>8607</v>
      </c>
      <c r="F4604" t="s">
        <v>27333</v>
      </c>
      <c r="G4604" t="s">
        <v>28681</v>
      </c>
    </row>
    <row r="4605" spans="1:7">
      <c r="A4605" t="s">
        <v>28682</v>
      </c>
      <c r="B4605" t="s">
        <v>8607</v>
      </c>
      <c r="C4605" t="s">
        <v>28683</v>
      </c>
      <c r="F4605" t="s">
        <v>28684</v>
      </c>
      <c r="G4605" t="s">
        <v>28685</v>
      </c>
    </row>
    <row r="4606" spans="1:7">
      <c r="A4606" t="s">
        <v>28686</v>
      </c>
      <c r="B4606" t="s">
        <v>8607</v>
      </c>
      <c r="C4606" t="s">
        <v>28687</v>
      </c>
      <c r="F4606" t="s">
        <v>28688</v>
      </c>
      <c r="G4606" t="s">
        <v>28689</v>
      </c>
    </row>
    <row r="4607" spans="1:7">
      <c r="A4607" t="s">
        <v>28690</v>
      </c>
      <c r="B4607" t="s">
        <v>8607</v>
      </c>
      <c r="F4607" t="s">
        <v>28691</v>
      </c>
      <c r="G4607" t="s">
        <v>28692</v>
      </c>
    </row>
    <row r="4608" spans="1:7">
      <c r="A4608" t="s">
        <v>28693</v>
      </c>
      <c r="B4608" t="s">
        <v>8607</v>
      </c>
      <c r="F4608" t="s">
        <v>17790</v>
      </c>
      <c r="G4608" t="s">
        <v>17791</v>
      </c>
    </row>
    <row r="4609" spans="1:7">
      <c r="A4609" t="s">
        <v>28694</v>
      </c>
      <c r="B4609" t="s">
        <v>8607</v>
      </c>
      <c r="F4609" t="s">
        <v>17327</v>
      </c>
      <c r="G4609" t="s">
        <v>17328</v>
      </c>
    </row>
    <row r="4610" spans="1:7">
      <c r="A4610" t="s">
        <v>28695</v>
      </c>
      <c r="B4610" t="s">
        <v>8607</v>
      </c>
      <c r="F4610" t="s">
        <v>27693</v>
      </c>
      <c r="G4610" t="s">
        <v>28696</v>
      </c>
    </row>
    <row r="4611" spans="1:7">
      <c r="A4611" t="s">
        <v>28697</v>
      </c>
      <c r="B4611" t="s">
        <v>8626</v>
      </c>
      <c r="G4611" t="s">
        <v>28698</v>
      </c>
    </row>
    <row r="4612" spans="1:7">
      <c r="A4612" t="s">
        <v>28699</v>
      </c>
      <c r="G4612" t="s">
        <v>28700</v>
      </c>
    </row>
    <row r="4613" spans="1:7">
      <c r="A4613" t="s">
        <v>28701</v>
      </c>
      <c r="G4613" t="s">
        <v>28702</v>
      </c>
    </row>
    <row r="4614" spans="1:7">
      <c r="A4614" t="s">
        <v>28703</v>
      </c>
      <c r="B4614" t="s">
        <v>8607</v>
      </c>
      <c r="F4614" t="s">
        <v>28152</v>
      </c>
      <c r="G4614" t="s">
        <v>28704</v>
      </c>
    </row>
    <row r="4615" spans="1:7">
      <c r="A4615" t="s">
        <v>28705</v>
      </c>
      <c r="B4615" t="s">
        <v>8626</v>
      </c>
      <c r="G4615" t="s">
        <v>28706</v>
      </c>
    </row>
    <row r="4616" spans="1:7">
      <c r="A4616" t="s">
        <v>28707</v>
      </c>
      <c r="B4616" t="s">
        <v>8626</v>
      </c>
      <c r="F4616" t="s">
        <v>28001</v>
      </c>
      <c r="G4616" t="s">
        <v>28708</v>
      </c>
    </row>
    <row r="4617" spans="1:7">
      <c r="A4617" t="s">
        <v>28709</v>
      </c>
      <c r="B4617" t="s">
        <v>8607</v>
      </c>
      <c r="F4617" t="s">
        <v>28004</v>
      </c>
      <c r="G4617" t="s">
        <v>28117</v>
      </c>
    </row>
    <row r="4618" spans="1:7">
      <c r="A4618" t="s">
        <v>28710</v>
      </c>
      <c r="B4618" t="s">
        <v>8626</v>
      </c>
      <c r="F4618" t="s">
        <v>28018</v>
      </c>
      <c r="G4618" t="s">
        <v>28711</v>
      </c>
    </row>
    <row r="4619" spans="1:7">
      <c r="A4619" t="s">
        <v>28712</v>
      </c>
      <c r="G4619" t="s">
        <v>28713</v>
      </c>
    </row>
    <row r="4620" spans="1:7">
      <c r="A4620" t="s">
        <v>28714</v>
      </c>
      <c r="G4620" t="s">
        <v>28715</v>
      </c>
    </row>
    <row r="4621" spans="1:7">
      <c r="A4621" t="s">
        <v>28716</v>
      </c>
      <c r="B4621" t="s">
        <v>8626</v>
      </c>
      <c r="F4621" t="s">
        <v>27458</v>
      </c>
      <c r="G4621" t="s">
        <v>28717</v>
      </c>
    </row>
    <row r="4622" spans="1:7">
      <c r="A4622" t="s">
        <v>28718</v>
      </c>
      <c r="B4622" t="s">
        <v>8626</v>
      </c>
      <c r="F4622" t="s">
        <v>28719</v>
      </c>
      <c r="G4622" t="s">
        <v>28720</v>
      </c>
    </row>
    <row r="4623" spans="1:7">
      <c r="A4623" t="s">
        <v>28721</v>
      </c>
      <c r="B4623" t="s">
        <v>8607</v>
      </c>
      <c r="C4623" t="s">
        <v>28722</v>
      </c>
      <c r="F4623" t="s">
        <v>26207</v>
      </c>
      <c r="G4623" t="s">
        <v>28723</v>
      </c>
    </row>
    <row r="4624" spans="1:7">
      <c r="A4624" t="s">
        <v>28724</v>
      </c>
      <c r="B4624" t="s">
        <v>8607</v>
      </c>
      <c r="F4624" t="s">
        <v>28725</v>
      </c>
      <c r="G4624" t="s">
        <v>28726</v>
      </c>
    </row>
    <row r="4625" spans="1:7">
      <c r="A4625" t="s">
        <v>28727</v>
      </c>
      <c r="B4625" t="s">
        <v>8607</v>
      </c>
      <c r="F4625" t="s">
        <v>28728</v>
      </c>
      <c r="G4625" t="s">
        <v>28729</v>
      </c>
    </row>
    <row r="4626" spans="1:7">
      <c r="A4626" t="s">
        <v>28730</v>
      </c>
      <c r="B4626" t="s">
        <v>8607</v>
      </c>
      <c r="C4626" t="s">
        <v>27640</v>
      </c>
      <c r="F4626" t="s">
        <v>17349</v>
      </c>
      <c r="G4626" t="s">
        <v>28731</v>
      </c>
    </row>
    <row r="4627" spans="1:7">
      <c r="A4627" t="s">
        <v>28732</v>
      </c>
      <c r="B4627" t="s">
        <v>8607</v>
      </c>
      <c r="F4627" t="s">
        <v>27643</v>
      </c>
      <c r="G4627" t="s">
        <v>28733</v>
      </c>
    </row>
    <row r="4628" spans="1:7">
      <c r="A4628" t="s">
        <v>28734</v>
      </c>
      <c r="B4628" t="s">
        <v>8626</v>
      </c>
      <c r="F4628" t="s">
        <v>27632</v>
      </c>
      <c r="G4628" t="s">
        <v>28735</v>
      </c>
    </row>
    <row r="4629" spans="1:7">
      <c r="A4629" t="s">
        <v>28736</v>
      </c>
      <c r="B4629" t="s">
        <v>8607</v>
      </c>
      <c r="F4629" t="s">
        <v>27465</v>
      </c>
      <c r="G4629" t="s">
        <v>28737</v>
      </c>
    </row>
    <row r="4630" spans="1:7">
      <c r="A4630" t="s">
        <v>28738</v>
      </c>
      <c r="B4630" t="s">
        <v>8607</v>
      </c>
      <c r="F4630" t="s">
        <v>27468</v>
      </c>
      <c r="G4630" t="s">
        <v>28739</v>
      </c>
    </row>
    <row r="4631" spans="1:7">
      <c r="A4631" t="s">
        <v>28740</v>
      </c>
      <c r="C4631" t="s">
        <v>17723</v>
      </c>
      <c r="G4631" t="s">
        <v>28741</v>
      </c>
    </row>
    <row r="4632" spans="1:7">
      <c r="A4632" t="s">
        <v>28742</v>
      </c>
      <c r="B4632" t="s">
        <v>8607</v>
      </c>
      <c r="F4632" t="s">
        <v>8633</v>
      </c>
      <c r="G4632" t="s">
        <v>28743</v>
      </c>
    </row>
    <row r="4633" spans="1:7">
      <c r="A4633" t="s">
        <v>28744</v>
      </c>
      <c r="G4633" t="s">
        <v>28506</v>
      </c>
    </row>
    <row r="4634" spans="1:7">
      <c r="A4634" t="s">
        <v>28745</v>
      </c>
      <c r="B4634" t="s">
        <v>8607</v>
      </c>
      <c r="C4634" t="s">
        <v>18527</v>
      </c>
      <c r="F4634" t="s">
        <v>18286</v>
      </c>
      <c r="G4634" t="s">
        <v>28746</v>
      </c>
    </row>
    <row r="4635" spans="1:7">
      <c r="A4635" t="s">
        <v>28747</v>
      </c>
      <c r="B4635" t="s">
        <v>8626</v>
      </c>
      <c r="G4635" t="s">
        <v>28604</v>
      </c>
    </row>
    <row r="4636" spans="1:7">
      <c r="A4636" t="s">
        <v>28748</v>
      </c>
      <c r="B4636" t="s">
        <v>8607</v>
      </c>
      <c r="C4636" t="s">
        <v>28439</v>
      </c>
      <c r="F4636" t="s">
        <v>17621</v>
      </c>
      <c r="G4636" t="s">
        <v>28440</v>
      </c>
    </row>
    <row r="4637" spans="1:7">
      <c r="A4637" t="s">
        <v>28749</v>
      </c>
      <c r="B4637" t="s">
        <v>8607</v>
      </c>
      <c r="C4637" t="s">
        <v>28750</v>
      </c>
      <c r="F4637" t="s">
        <v>28751</v>
      </c>
      <c r="G4637" t="s">
        <v>28752</v>
      </c>
    </row>
    <row r="4638" spans="1:7">
      <c r="A4638" t="s">
        <v>28753</v>
      </c>
      <c r="B4638" t="s">
        <v>8607</v>
      </c>
      <c r="F4638" t="s">
        <v>28573</v>
      </c>
      <c r="G4638" t="s">
        <v>26974</v>
      </c>
    </row>
    <row r="4639" spans="1:7">
      <c r="A4639" t="s">
        <v>28754</v>
      </c>
      <c r="B4639" t="s">
        <v>8607</v>
      </c>
      <c r="F4639" t="s">
        <v>9018</v>
      </c>
      <c r="G4639" t="s">
        <v>28755</v>
      </c>
    </row>
    <row r="4640" spans="1:7">
      <c r="A4640" t="s">
        <v>28756</v>
      </c>
      <c r="B4640" t="s">
        <v>8626</v>
      </c>
      <c r="G4640" t="s">
        <v>28757</v>
      </c>
    </row>
    <row r="4641" spans="1:7">
      <c r="A4641" t="s">
        <v>28758</v>
      </c>
      <c r="B4641" t="s">
        <v>8607</v>
      </c>
      <c r="F4641" t="s">
        <v>26827</v>
      </c>
      <c r="G4641" t="s">
        <v>28759</v>
      </c>
    </row>
    <row r="4642" spans="1:7">
      <c r="A4642" t="s">
        <v>28760</v>
      </c>
      <c r="B4642" t="s">
        <v>8626</v>
      </c>
      <c r="G4642" t="s">
        <v>26631</v>
      </c>
    </row>
    <row r="4643" spans="1:7">
      <c r="A4643" t="s">
        <v>28761</v>
      </c>
      <c r="B4643" t="s">
        <v>8626</v>
      </c>
      <c r="G4643" t="s">
        <v>28762</v>
      </c>
    </row>
    <row r="4644" spans="1:7">
      <c r="A4644" t="s">
        <v>28763</v>
      </c>
      <c r="B4644" t="s">
        <v>8607</v>
      </c>
      <c r="F4644" t="s">
        <v>26173</v>
      </c>
      <c r="G4644" t="s">
        <v>26387</v>
      </c>
    </row>
    <row r="4645" spans="1:7">
      <c r="A4645" t="s">
        <v>28764</v>
      </c>
      <c r="B4645" t="s">
        <v>8607</v>
      </c>
      <c r="F4645" t="s">
        <v>26855</v>
      </c>
      <c r="G4645" t="s">
        <v>17899</v>
      </c>
    </row>
    <row r="4646" spans="1:7">
      <c r="A4646" t="s">
        <v>28765</v>
      </c>
      <c r="B4646" t="s">
        <v>8607</v>
      </c>
      <c r="G4646" t="s">
        <v>28766</v>
      </c>
    </row>
    <row r="4647" spans="1:7">
      <c r="A4647" t="s">
        <v>28767</v>
      </c>
      <c r="B4647" t="s">
        <v>8626</v>
      </c>
      <c r="F4647" t="s">
        <v>17498</v>
      </c>
      <c r="G4647" t="s">
        <v>17499</v>
      </c>
    </row>
    <row r="4648" spans="1:7">
      <c r="A4648" t="s">
        <v>28768</v>
      </c>
      <c r="B4648" t="s">
        <v>8626</v>
      </c>
      <c r="G4648" t="s">
        <v>17501</v>
      </c>
    </row>
    <row r="4649" spans="1:7">
      <c r="A4649" t="s">
        <v>28769</v>
      </c>
      <c r="B4649" t="s">
        <v>8626</v>
      </c>
      <c r="G4649" t="s">
        <v>17503</v>
      </c>
    </row>
    <row r="4650" spans="1:7">
      <c r="A4650" t="s">
        <v>28770</v>
      </c>
      <c r="B4650" t="s">
        <v>8626</v>
      </c>
      <c r="G4650" t="s">
        <v>17505</v>
      </c>
    </row>
    <row r="4651" spans="1:7">
      <c r="A4651" t="s">
        <v>28771</v>
      </c>
      <c r="B4651" t="s">
        <v>8626</v>
      </c>
      <c r="G4651" t="s">
        <v>17507</v>
      </c>
    </row>
    <row r="4652" spans="1:7">
      <c r="A4652" t="s">
        <v>28772</v>
      </c>
      <c r="G4652" t="s">
        <v>28773</v>
      </c>
    </row>
    <row r="4653" spans="1:7">
      <c r="A4653" t="s">
        <v>28774</v>
      </c>
      <c r="B4653" t="s">
        <v>8626</v>
      </c>
      <c r="F4653" t="s">
        <v>28775</v>
      </c>
      <c r="G4653" t="s">
        <v>28776</v>
      </c>
    </row>
    <row r="4654" spans="1:7">
      <c r="A4654" t="s">
        <v>28777</v>
      </c>
      <c r="G4654" t="s">
        <v>28778</v>
      </c>
    </row>
    <row r="4655" spans="1:7">
      <c r="A4655" t="s">
        <v>28779</v>
      </c>
      <c r="B4655" t="s">
        <v>8607</v>
      </c>
      <c r="F4655" t="s">
        <v>17643</v>
      </c>
      <c r="G4655" t="s">
        <v>28780</v>
      </c>
    </row>
    <row r="4656" spans="1:7">
      <c r="A4656" t="s">
        <v>28781</v>
      </c>
      <c r="G4656" t="s">
        <v>26696</v>
      </c>
    </row>
    <row r="4657" spans="1:7">
      <c r="A4657" t="s">
        <v>28782</v>
      </c>
      <c r="B4657" t="s">
        <v>8607</v>
      </c>
      <c r="F4657" t="s">
        <v>18667</v>
      </c>
      <c r="G4657" t="s">
        <v>28783</v>
      </c>
    </row>
    <row r="4658" spans="1:7">
      <c r="A4658" t="s">
        <v>28784</v>
      </c>
      <c r="B4658" t="s">
        <v>8607</v>
      </c>
      <c r="F4658" t="s">
        <v>28195</v>
      </c>
      <c r="G4658" t="s">
        <v>28785</v>
      </c>
    </row>
    <row r="4659" spans="1:7">
      <c r="A4659" t="s">
        <v>28786</v>
      </c>
      <c r="B4659" t="s">
        <v>8607</v>
      </c>
      <c r="G4659" t="s">
        <v>27446</v>
      </c>
    </row>
    <row r="4660" spans="1:7">
      <c r="A4660" t="s">
        <v>28787</v>
      </c>
      <c r="B4660" t="s">
        <v>8607</v>
      </c>
      <c r="F4660" t="s">
        <v>28788</v>
      </c>
      <c r="G4660" t="s">
        <v>28789</v>
      </c>
    </row>
    <row r="4661" spans="1:7">
      <c r="A4661" t="s">
        <v>28790</v>
      </c>
      <c r="B4661" t="s">
        <v>8607</v>
      </c>
      <c r="F4661" t="s">
        <v>28791</v>
      </c>
      <c r="G4661" t="s">
        <v>28792</v>
      </c>
    </row>
    <row r="4662" spans="1:7">
      <c r="A4662" t="s">
        <v>28793</v>
      </c>
      <c r="B4662" t="s">
        <v>8607</v>
      </c>
      <c r="F4662" t="s">
        <v>17830</v>
      </c>
      <c r="G4662" t="s">
        <v>28794</v>
      </c>
    </row>
    <row r="4663" spans="1:7">
      <c r="A4663" t="s">
        <v>28795</v>
      </c>
      <c r="B4663" t="s">
        <v>8607</v>
      </c>
      <c r="G4663" t="s">
        <v>28796</v>
      </c>
    </row>
    <row r="4664" spans="1:7">
      <c r="A4664" t="s">
        <v>28797</v>
      </c>
      <c r="B4664" t="s">
        <v>8607</v>
      </c>
      <c r="F4664" t="s">
        <v>28798</v>
      </c>
      <c r="G4664" t="s">
        <v>28799</v>
      </c>
    </row>
    <row r="4665" spans="1:7">
      <c r="A4665" t="s">
        <v>28800</v>
      </c>
      <c r="B4665" t="s">
        <v>8607</v>
      </c>
      <c r="F4665" t="s">
        <v>9835</v>
      </c>
      <c r="G4665" t="s">
        <v>28801</v>
      </c>
    </row>
    <row r="4666" spans="1:7">
      <c r="A4666" t="s">
        <v>28802</v>
      </c>
      <c r="B4666" t="s">
        <v>8607</v>
      </c>
      <c r="G4666" t="s">
        <v>28803</v>
      </c>
    </row>
    <row r="4667" spans="1:7">
      <c r="A4667" t="s">
        <v>28804</v>
      </c>
      <c r="B4667" t="s">
        <v>8626</v>
      </c>
      <c r="G4667" t="s">
        <v>28805</v>
      </c>
    </row>
    <row r="4668" spans="1:7">
      <c r="A4668" t="s">
        <v>28806</v>
      </c>
      <c r="B4668" t="s">
        <v>8607</v>
      </c>
      <c r="G4668" t="s">
        <v>28807</v>
      </c>
    </row>
    <row r="4669" spans="1:7">
      <c r="A4669" t="s">
        <v>28808</v>
      </c>
      <c r="B4669" t="s">
        <v>8607</v>
      </c>
      <c r="F4669" t="s">
        <v>28809</v>
      </c>
      <c r="G4669" t="s">
        <v>28810</v>
      </c>
    </row>
    <row r="4670" spans="1:7">
      <c r="A4670" t="s">
        <v>28811</v>
      </c>
      <c r="B4670" t="s">
        <v>8626</v>
      </c>
      <c r="F4670" t="s">
        <v>17779</v>
      </c>
      <c r="G4670" t="s">
        <v>28812</v>
      </c>
    </row>
    <row r="4671" spans="1:7">
      <c r="A4671" t="s">
        <v>28813</v>
      </c>
      <c r="B4671" t="s">
        <v>8607</v>
      </c>
      <c r="C4671" t="s">
        <v>28439</v>
      </c>
      <c r="F4671" t="s">
        <v>17621</v>
      </c>
      <c r="G4671" t="s">
        <v>28814</v>
      </c>
    </row>
    <row r="4672" spans="1:7">
      <c r="A4672" t="s">
        <v>28815</v>
      </c>
      <c r="B4672" t="s">
        <v>8607</v>
      </c>
      <c r="C4672" t="s">
        <v>28816</v>
      </c>
      <c r="F4672" t="s">
        <v>28817</v>
      </c>
      <c r="G4672" t="s">
        <v>28818</v>
      </c>
    </row>
    <row r="4673" spans="1:7">
      <c r="A4673" t="s">
        <v>28819</v>
      </c>
      <c r="B4673" t="s">
        <v>8626</v>
      </c>
      <c r="C4673" t="s">
        <v>28820</v>
      </c>
      <c r="G4673" t="s">
        <v>28821</v>
      </c>
    </row>
    <row r="4674" spans="1:7">
      <c r="A4674" t="s">
        <v>28822</v>
      </c>
      <c r="B4674" t="s">
        <v>8607</v>
      </c>
      <c r="C4674" t="s">
        <v>28820</v>
      </c>
      <c r="F4674" t="s">
        <v>8633</v>
      </c>
      <c r="G4674" t="s">
        <v>28823</v>
      </c>
    </row>
    <row r="4675" spans="1:7">
      <c r="A4675" t="s">
        <v>28824</v>
      </c>
      <c r="B4675" t="s">
        <v>8626</v>
      </c>
      <c r="C4675" t="s">
        <v>28825</v>
      </c>
      <c r="G4675" t="s">
        <v>28826</v>
      </c>
    </row>
    <row r="4676" spans="1:7">
      <c r="A4676" t="s">
        <v>28827</v>
      </c>
      <c r="B4676" t="s">
        <v>8626</v>
      </c>
      <c r="G4676" t="s">
        <v>28828</v>
      </c>
    </row>
    <row r="4677" spans="1:7">
      <c r="A4677" t="s">
        <v>28829</v>
      </c>
      <c r="B4677" t="s">
        <v>8626</v>
      </c>
      <c r="G4677" t="s">
        <v>28830</v>
      </c>
    </row>
    <row r="4678" spans="1:7">
      <c r="A4678" t="s">
        <v>28831</v>
      </c>
      <c r="B4678" t="s">
        <v>8607</v>
      </c>
      <c r="G4678" t="s">
        <v>26570</v>
      </c>
    </row>
    <row r="4679" spans="1:7">
      <c r="A4679" t="s">
        <v>28832</v>
      </c>
      <c r="B4679" t="s">
        <v>8607</v>
      </c>
      <c r="G4679" t="s">
        <v>26572</v>
      </c>
    </row>
    <row r="4680" spans="1:7">
      <c r="A4680" t="s">
        <v>28833</v>
      </c>
      <c r="B4680" t="s">
        <v>8607</v>
      </c>
      <c r="G4680" t="s">
        <v>26628</v>
      </c>
    </row>
    <row r="4681" spans="1:7">
      <c r="A4681" t="s">
        <v>28834</v>
      </c>
      <c r="B4681" t="s">
        <v>8626</v>
      </c>
      <c r="G4681" t="s">
        <v>28835</v>
      </c>
    </row>
    <row r="4682" spans="1:7">
      <c r="A4682" t="s">
        <v>28836</v>
      </c>
      <c r="B4682" t="s">
        <v>8626</v>
      </c>
      <c r="G4682" t="s">
        <v>28837</v>
      </c>
    </row>
    <row r="4683" spans="1:7">
      <c r="A4683" t="s">
        <v>28838</v>
      </c>
      <c r="B4683" t="s">
        <v>8607</v>
      </c>
      <c r="C4683" t="s">
        <v>28839</v>
      </c>
      <c r="F4683" t="s">
        <v>26069</v>
      </c>
      <c r="G4683" t="s">
        <v>28840</v>
      </c>
    </row>
    <row r="4684" spans="1:7">
      <c r="A4684" t="s">
        <v>28841</v>
      </c>
      <c r="B4684" t="s">
        <v>8626</v>
      </c>
      <c r="C4684" t="s">
        <v>28842</v>
      </c>
      <c r="F4684" t="s">
        <v>9018</v>
      </c>
      <c r="G4684" t="s">
        <v>28843</v>
      </c>
    </row>
    <row r="4685" spans="1:7">
      <c r="A4685" t="s">
        <v>28844</v>
      </c>
      <c r="B4685" t="s">
        <v>8607</v>
      </c>
      <c r="F4685" t="s">
        <v>22981</v>
      </c>
      <c r="G4685" t="s">
        <v>28845</v>
      </c>
    </row>
    <row r="4686" spans="1:7">
      <c r="A4686" t="s">
        <v>28846</v>
      </c>
      <c r="B4686" t="s">
        <v>8607</v>
      </c>
      <c r="F4686" t="s">
        <v>26072</v>
      </c>
      <c r="G4686" t="s">
        <v>28847</v>
      </c>
    </row>
    <row r="4687" spans="1:7">
      <c r="A4687" t="s">
        <v>28848</v>
      </c>
      <c r="B4687" t="s">
        <v>8607</v>
      </c>
      <c r="C4687" t="s">
        <v>25345</v>
      </c>
      <c r="F4687" t="s">
        <v>13312</v>
      </c>
      <c r="G4687" t="s">
        <v>28849</v>
      </c>
    </row>
    <row r="4688" spans="1:7">
      <c r="A4688" t="s">
        <v>28850</v>
      </c>
      <c r="B4688" t="s">
        <v>8607</v>
      </c>
      <c r="C4688" t="s">
        <v>26080</v>
      </c>
      <c r="F4688" t="s">
        <v>23667</v>
      </c>
      <c r="G4688" t="s">
        <v>26081</v>
      </c>
    </row>
    <row r="4689" spans="1:7">
      <c r="A4689" t="s">
        <v>28851</v>
      </c>
      <c r="B4689" t="s">
        <v>8607</v>
      </c>
      <c r="F4689" t="s">
        <v>28852</v>
      </c>
      <c r="G4689" t="s">
        <v>28853</v>
      </c>
    </row>
    <row r="4690" spans="1:7">
      <c r="A4690" t="s">
        <v>28854</v>
      </c>
      <c r="B4690" t="s">
        <v>8626</v>
      </c>
      <c r="C4690" t="s">
        <v>28855</v>
      </c>
      <c r="F4690" t="s">
        <v>28856</v>
      </c>
      <c r="G4690" t="s">
        <v>28857</v>
      </c>
    </row>
    <row r="4691" spans="1:7">
      <c r="A4691" t="s">
        <v>28858</v>
      </c>
      <c r="B4691" t="s">
        <v>8607</v>
      </c>
      <c r="C4691" t="s">
        <v>28855</v>
      </c>
      <c r="F4691" t="s">
        <v>28856</v>
      </c>
      <c r="G4691" t="s">
        <v>28859</v>
      </c>
    </row>
    <row r="4692" spans="1:7">
      <c r="A4692" t="s">
        <v>28860</v>
      </c>
      <c r="B4692" t="s">
        <v>8626</v>
      </c>
      <c r="F4692" t="s">
        <v>18260</v>
      </c>
      <c r="G4692" t="s">
        <v>19393</v>
      </c>
    </row>
    <row r="4693" spans="1:7">
      <c r="A4693" t="s">
        <v>28861</v>
      </c>
      <c r="B4693" t="s">
        <v>8607</v>
      </c>
      <c r="F4693" t="s">
        <v>28862</v>
      </c>
      <c r="G4693" t="s">
        <v>28863</v>
      </c>
    </row>
    <row r="4694" spans="1:7">
      <c r="A4694" t="s">
        <v>28864</v>
      </c>
      <c r="B4694" t="s">
        <v>8607</v>
      </c>
      <c r="F4694" t="s">
        <v>26104</v>
      </c>
      <c r="G4694" t="s">
        <v>27298</v>
      </c>
    </row>
    <row r="4695" spans="1:7">
      <c r="A4695" t="s">
        <v>28865</v>
      </c>
      <c r="B4695" t="s">
        <v>8607</v>
      </c>
      <c r="C4695" t="s">
        <v>28866</v>
      </c>
      <c r="F4695" t="s">
        <v>26108</v>
      </c>
      <c r="G4695" t="s">
        <v>28867</v>
      </c>
    </row>
    <row r="4696" spans="1:7">
      <c r="A4696" t="s">
        <v>28868</v>
      </c>
      <c r="B4696" t="s">
        <v>8607</v>
      </c>
      <c r="F4696" t="s">
        <v>26176</v>
      </c>
      <c r="G4696" t="s">
        <v>28272</v>
      </c>
    </row>
    <row r="4697" spans="1:7">
      <c r="A4697" t="s">
        <v>28869</v>
      </c>
      <c r="B4697" t="s">
        <v>8626</v>
      </c>
      <c r="F4697" t="s">
        <v>17429</v>
      </c>
      <c r="G4697" t="s">
        <v>28870</v>
      </c>
    </row>
    <row r="4698" spans="1:7">
      <c r="A4698" t="s">
        <v>28871</v>
      </c>
      <c r="B4698" t="s">
        <v>8626</v>
      </c>
      <c r="F4698" t="s">
        <v>17928</v>
      </c>
      <c r="G4698" t="s">
        <v>28872</v>
      </c>
    </row>
    <row r="4699" spans="1:7">
      <c r="A4699" t="s">
        <v>28873</v>
      </c>
      <c r="B4699" t="s">
        <v>8626</v>
      </c>
      <c r="F4699" t="s">
        <v>21676</v>
      </c>
      <c r="G4699" t="s">
        <v>28874</v>
      </c>
    </row>
    <row r="4700" spans="1:7">
      <c r="A4700" t="s">
        <v>28875</v>
      </c>
      <c r="B4700" t="s">
        <v>8626</v>
      </c>
      <c r="F4700" t="s">
        <v>26199</v>
      </c>
      <c r="G4700" t="s">
        <v>28876</v>
      </c>
    </row>
    <row r="4701" spans="1:7">
      <c r="A4701" t="s">
        <v>28877</v>
      </c>
      <c r="B4701" t="s">
        <v>8626</v>
      </c>
      <c r="G4701" t="s">
        <v>28878</v>
      </c>
    </row>
    <row r="4702" spans="1:7">
      <c r="A4702" t="s">
        <v>28879</v>
      </c>
      <c r="B4702" t="s">
        <v>8607</v>
      </c>
      <c r="C4702" t="s">
        <v>28071</v>
      </c>
      <c r="F4702" t="s">
        <v>17327</v>
      </c>
      <c r="G4702" t="s">
        <v>28072</v>
      </c>
    </row>
    <row r="4703" spans="1:7">
      <c r="A4703" t="s">
        <v>28880</v>
      </c>
      <c r="B4703" t="s">
        <v>8626</v>
      </c>
      <c r="F4703" t="s">
        <v>9018</v>
      </c>
      <c r="G4703" t="s">
        <v>28466</v>
      </c>
    </row>
    <row r="4704" spans="1:7">
      <c r="A4704" t="s">
        <v>28881</v>
      </c>
      <c r="B4704" t="s">
        <v>8607</v>
      </c>
      <c r="C4704" t="s">
        <v>28882</v>
      </c>
      <c r="F4704" t="s">
        <v>17932</v>
      </c>
      <c r="G4704" t="s">
        <v>28883</v>
      </c>
    </row>
    <row r="4705" spans="1:7">
      <c r="A4705" t="s">
        <v>28884</v>
      </c>
      <c r="B4705" t="s">
        <v>8626</v>
      </c>
      <c r="G4705" t="s">
        <v>28885</v>
      </c>
    </row>
    <row r="4706" spans="1:7">
      <c r="A4706" t="s">
        <v>28886</v>
      </c>
      <c r="B4706" t="s">
        <v>8626</v>
      </c>
      <c r="F4706" t="s">
        <v>28887</v>
      </c>
      <c r="G4706" t="s">
        <v>28888</v>
      </c>
    </row>
    <row r="4707" spans="1:7">
      <c r="A4707" t="s">
        <v>28889</v>
      </c>
      <c r="B4707" t="s">
        <v>8626</v>
      </c>
      <c r="C4707" t="s">
        <v>9266</v>
      </c>
      <c r="F4707" t="s">
        <v>9268</v>
      </c>
      <c r="G4707" t="s">
        <v>28890</v>
      </c>
    </row>
    <row r="4708" spans="1:7">
      <c r="A4708" t="s">
        <v>28891</v>
      </c>
      <c r="B4708" t="s">
        <v>8607</v>
      </c>
      <c r="C4708" t="s">
        <v>28071</v>
      </c>
      <c r="F4708" t="s">
        <v>17327</v>
      </c>
      <c r="G4708" t="s">
        <v>28072</v>
      </c>
    </row>
    <row r="4709" spans="1:7">
      <c r="A4709" t="s">
        <v>28892</v>
      </c>
      <c r="B4709" t="s">
        <v>8626</v>
      </c>
      <c r="C4709" t="s">
        <v>28882</v>
      </c>
      <c r="F4709" t="s">
        <v>17932</v>
      </c>
      <c r="G4709" t="s">
        <v>28893</v>
      </c>
    </row>
    <row r="4710" spans="1:7">
      <c r="A4710" t="s">
        <v>28894</v>
      </c>
      <c r="B4710" t="s">
        <v>8626</v>
      </c>
      <c r="F4710" t="s">
        <v>21676</v>
      </c>
      <c r="G4710" t="s">
        <v>28874</v>
      </c>
    </row>
    <row r="4711" spans="1:7">
      <c r="A4711" t="s">
        <v>28895</v>
      </c>
      <c r="B4711" t="s">
        <v>8626</v>
      </c>
      <c r="F4711" t="s">
        <v>15309</v>
      </c>
      <c r="G4711" t="s">
        <v>28896</v>
      </c>
    </row>
    <row r="4712" spans="1:7">
      <c r="A4712" t="s">
        <v>28897</v>
      </c>
      <c r="B4712" t="s">
        <v>8626</v>
      </c>
      <c r="F4712" t="s">
        <v>23958</v>
      </c>
      <c r="G4712" t="s">
        <v>28898</v>
      </c>
    </row>
    <row r="4713" spans="1:7">
      <c r="A4713" t="s">
        <v>28899</v>
      </c>
      <c r="B4713" t="s">
        <v>8607</v>
      </c>
      <c r="G4713" t="s">
        <v>23878</v>
      </c>
    </row>
    <row r="4714" spans="1:7">
      <c r="A4714" t="s">
        <v>28900</v>
      </c>
      <c r="G4714" t="s">
        <v>28901</v>
      </c>
    </row>
    <row r="4715" spans="1:7">
      <c r="A4715" t="s">
        <v>28902</v>
      </c>
      <c r="B4715" t="s">
        <v>8607</v>
      </c>
      <c r="C4715" t="s">
        <v>28071</v>
      </c>
      <c r="F4715" t="s">
        <v>17327</v>
      </c>
      <c r="G4715" t="s">
        <v>28072</v>
      </c>
    </row>
    <row r="4716" spans="1:7">
      <c r="A4716" t="s">
        <v>28903</v>
      </c>
      <c r="B4716" t="s">
        <v>8626</v>
      </c>
      <c r="F4716" t="s">
        <v>25453</v>
      </c>
      <c r="G4716" t="s">
        <v>28904</v>
      </c>
    </row>
    <row r="4717" spans="1:7">
      <c r="A4717" t="s">
        <v>28905</v>
      </c>
      <c r="B4717" t="s">
        <v>8607</v>
      </c>
      <c r="C4717" t="s">
        <v>28882</v>
      </c>
      <c r="F4717" t="s">
        <v>17932</v>
      </c>
      <c r="G4717" t="s">
        <v>28906</v>
      </c>
    </row>
    <row r="4718" spans="1:7">
      <c r="A4718" t="s">
        <v>28907</v>
      </c>
      <c r="B4718" t="s">
        <v>8607</v>
      </c>
      <c r="F4718" t="s">
        <v>28908</v>
      </c>
      <c r="G4718" t="s">
        <v>28909</v>
      </c>
    </row>
    <row r="4719" spans="1:7">
      <c r="A4719" t="s">
        <v>28910</v>
      </c>
      <c r="B4719" t="s">
        <v>8626</v>
      </c>
      <c r="C4719" t="s">
        <v>28911</v>
      </c>
      <c r="F4719" t="s">
        <v>17429</v>
      </c>
      <c r="G4719" t="s">
        <v>28912</v>
      </c>
    </row>
    <row r="4720" spans="1:7">
      <c r="A4720" t="s">
        <v>28913</v>
      </c>
      <c r="B4720" t="s">
        <v>8607</v>
      </c>
      <c r="G4720" t="s">
        <v>28914</v>
      </c>
    </row>
    <row r="4721" spans="1:7">
      <c r="A4721" t="s">
        <v>28915</v>
      </c>
      <c r="B4721" t="s">
        <v>8607</v>
      </c>
      <c r="G4721" t="s">
        <v>28916</v>
      </c>
    </row>
    <row r="4722" spans="1:7">
      <c r="A4722" t="s">
        <v>28917</v>
      </c>
      <c r="B4722" t="s">
        <v>8607</v>
      </c>
      <c r="G4722" t="s">
        <v>28918</v>
      </c>
    </row>
    <row r="4723" spans="1:7">
      <c r="A4723" t="s">
        <v>28919</v>
      </c>
      <c r="B4723" t="s">
        <v>8626</v>
      </c>
      <c r="F4723" t="s">
        <v>28920</v>
      </c>
      <c r="G4723" t="s">
        <v>28921</v>
      </c>
    </row>
    <row r="4724" spans="1:7">
      <c r="A4724" t="s">
        <v>28922</v>
      </c>
      <c r="B4724" t="s">
        <v>8626</v>
      </c>
      <c r="G4724" t="s">
        <v>28923</v>
      </c>
    </row>
    <row r="4725" spans="1:7">
      <c r="A4725" t="s">
        <v>28924</v>
      </c>
      <c r="B4725" t="s">
        <v>8607</v>
      </c>
      <c r="C4725" t="s">
        <v>26080</v>
      </c>
      <c r="F4725" t="s">
        <v>23667</v>
      </c>
      <c r="G4725" t="s">
        <v>28925</v>
      </c>
    </row>
    <row r="4726" spans="1:7">
      <c r="A4726" t="s">
        <v>28926</v>
      </c>
      <c r="B4726" t="s">
        <v>8607</v>
      </c>
      <c r="F4726" t="s">
        <v>28852</v>
      </c>
      <c r="G4726" t="s">
        <v>28927</v>
      </c>
    </row>
    <row r="4727" spans="1:7">
      <c r="A4727" t="s">
        <v>28928</v>
      </c>
      <c r="B4727" t="s">
        <v>8607</v>
      </c>
      <c r="F4727" t="s">
        <v>28856</v>
      </c>
      <c r="G4727" t="s">
        <v>28929</v>
      </c>
    </row>
    <row r="4728" spans="1:7">
      <c r="A4728" t="s">
        <v>28930</v>
      </c>
      <c r="B4728" t="s">
        <v>8607</v>
      </c>
      <c r="F4728" t="s">
        <v>22981</v>
      </c>
      <c r="G4728" t="s">
        <v>28931</v>
      </c>
    </row>
    <row r="4729" spans="1:7">
      <c r="A4729" t="s">
        <v>28932</v>
      </c>
      <c r="B4729" t="s">
        <v>8607</v>
      </c>
      <c r="F4729" t="s">
        <v>22981</v>
      </c>
      <c r="G4729" t="s">
        <v>28933</v>
      </c>
    </row>
    <row r="4730" spans="1:7">
      <c r="A4730" t="s">
        <v>28934</v>
      </c>
      <c r="B4730" t="s">
        <v>8607</v>
      </c>
      <c r="C4730" t="s">
        <v>28439</v>
      </c>
      <c r="F4730" t="s">
        <v>17621</v>
      </c>
      <c r="G4730" t="s">
        <v>28440</v>
      </c>
    </row>
    <row r="4731" spans="1:7">
      <c r="A4731" t="s">
        <v>28935</v>
      </c>
      <c r="B4731" t="s">
        <v>8607</v>
      </c>
      <c r="F4731" t="s">
        <v>27628</v>
      </c>
      <c r="G4731" t="s">
        <v>28936</v>
      </c>
    </row>
    <row r="4732" spans="1:7">
      <c r="A4732" t="s">
        <v>28937</v>
      </c>
      <c r="B4732" t="s">
        <v>8607</v>
      </c>
      <c r="C4732" t="s">
        <v>28938</v>
      </c>
      <c r="F4732" t="s">
        <v>8633</v>
      </c>
      <c r="G4732" t="s">
        <v>20179</v>
      </c>
    </row>
    <row r="4733" spans="1:7">
      <c r="A4733" t="s">
        <v>28939</v>
      </c>
      <c r="G4733" t="s">
        <v>28940</v>
      </c>
    </row>
    <row r="4734" spans="1:7">
      <c r="A4734" t="s">
        <v>28941</v>
      </c>
      <c r="B4734" t="s">
        <v>8607</v>
      </c>
      <c r="F4734" t="s">
        <v>28942</v>
      </c>
      <c r="G4734" t="s">
        <v>28943</v>
      </c>
    </row>
    <row r="4735" spans="1:7">
      <c r="A4735" t="s">
        <v>28944</v>
      </c>
      <c r="B4735" t="s">
        <v>8607</v>
      </c>
      <c r="G4735" t="s">
        <v>28945</v>
      </c>
    </row>
    <row r="4736" spans="1:7">
      <c r="A4736" t="s">
        <v>28946</v>
      </c>
      <c r="B4736" t="s">
        <v>8607</v>
      </c>
      <c r="F4736" t="s">
        <v>28947</v>
      </c>
      <c r="G4736" t="s">
        <v>28948</v>
      </c>
    </row>
    <row r="4737" spans="1:7">
      <c r="A4737" t="s">
        <v>28949</v>
      </c>
      <c r="B4737" t="s">
        <v>8626</v>
      </c>
      <c r="F4737" t="s">
        <v>9018</v>
      </c>
      <c r="G4737" t="s">
        <v>28950</v>
      </c>
    </row>
    <row r="4738" spans="1:7">
      <c r="A4738" t="s">
        <v>28951</v>
      </c>
      <c r="B4738" t="s">
        <v>8607</v>
      </c>
      <c r="G4738" t="s">
        <v>28952</v>
      </c>
    </row>
    <row r="4739" spans="1:7">
      <c r="A4739" t="s">
        <v>28953</v>
      </c>
      <c r="B4739" t="s">
        <v>8607</v>
      </c>
      <c r="C4739" t="s">
        <v>28954</v>
      </c>
      <c r="F4739" t="s">
        <v>28955</v>
      </c>
      <c r="G4739" t="s">
        <v>28956</v>
      </c>
    </row>
    <row r="4740" spans="1:7">
      <c r="A4740" t="s">
        <v>28957</v>
      </c>
      <c r="B4740" t="s">
        <v>8626</v>
      </c>
      <c r="C4740" t="s">
        <v>17019</v>
      </c>
      <c r="F4740" t="s">
        <v>9018</v>
      </c>
      <c r="G4740" t="s">
        <v>28958</v>
      </c>
    </row>
    <row r="4741" spans="1:7">
      <c r="A4741" t="s">
        <v>28959</v>
      </c>
      <c r="B4741" t="s">
        <v>8626</v>
      </c>
      <c r="G4741" t="s">
        <v>28960</v>
      </c>
    </row>
    <row r="4742" spans="1:7">
      <c r="A4742" t="s">
        <v>28961</v>
      </c>
      <c r="B4742" t="s">
        <v>8626</v>
      </c>
      <c r="G4742" t="s">
        <v>28830</v>
      </c>
    </row>
    <row r="4743" spans="1:7">
      <c r="A4743" t="s">
        <v>28962</v>
      </c>
      <c r="B4743" t="s">
        <v>8607</v>
      </c>
      <c r="G4743" t="s">
        <v>26570</v>
      </c>
    </row>
    <row r="4744" spans="1:7">
      <c r="A4744" t="s">
        <v>28963</v>
      </c>
      <c r="B4744" t="s">
        <v>8607</v>
      </c>
      <c r="G4744" t="s">
        <v>26572</v>
      </c>
    </row>
    <row r="4745" spans="1:7">
      <c r="A4745" t="s">
        <v>28964</v>
      </c>
      <c r="B4745" t="s">
        <v>8607</v>
      </c>
      <c r="G4745" t="s">
        <v>26628</v>
      </c>
    </row>
    <row r="4746" spans="1:7">
      <c r="A4746" t="s">
        <v>28965</v>
      </c>
      <c r="B4746" t="s">
        <v>8607</v>
      </c>
      <c r="G4746" t="s">
        <v>26576</v>
      </c>
    </row>
    <row r="4747" spans="1:7">
      <c r="A4747" t="s">
        <v>28966</v>
      </c>
      <c r="B4747" t="s">
        <v>8626</v>
      </c>
      <c r="C4747" t="s">
        <v>28967</v>
      </c>
      <c r="F4747" t="s">
        <v>9018</v>
      </c>
      <c r="G4747" t="s">
        <v>28968</v>
      </c>
    </row>
    <row r="4748" spans="1:7">
      <c r="A4748" t="s">
        <v>28969</v>
      </c>
      <c r="B4748" t="s">
        <v>8607</v>
      </c>
      <c r="C4748" t="s">
        <v>28071</v>
      </c>
      <c r="F4748" t="s">
        <v>17327</v>
      </c>
      <c r="G4748" t="s">
        <v>28072</v>
      </c>
    </row>
    <row r="4749" spans="1:7">
      <c r="A4749" t="s">
        <v>28970</v>
      </c>
      <c r="G4749" t="s">
        <v>28971</v>
      </c>
    </row>
    <row r="4750" spans="1:7">
      <c r="A4750" t="s">
        <v>28972</v>
      </c>
      <c r="B4750" t="s">
        <v>8607</v>
      </c>
      <c r="G4750" t="s">
        <v>28973</v>
      </c>
    </row>
    <row r="4751" spans="1:7">
      <c r="A4751" t="s">
        <v>28974</v>
      </c>
      <c r="B4751" t="s">
        <v>8607</v>
      </c>
      <c r="F4751" t="s">
        <v>28975</v>
      </c>
      <c r="G4751" t="s">
        <v>28976</v>
      </c>
    </row>
    <row r="4752" spans="1:7">
      <c r="A4752" t="s">
        <v>28977</v>
      </c>
      <c r="B4752" t="s">
        <v>8607</v>
      </c>
      <c r="C4752" t="s">
        <v>28978</v>
      </c>
      <c r="F4752" t="s">
        <v>28979</v>
      </c>
      <c r="G4752" t="s">
        <v>28980</v>
      </c>
    </row>
    <row r="4753" spans="1:7">
      <c r="A4753" t="s">
        <v>28981</v>
      </c>
      <c r="B4753" t="s">
        <v>8607</v>
      </c>
      <c r="C4753" t="s">
        <v>28982</v>
      </c>
      <c r="F4753" t="s">
        <v>9378</v>
      </c>
      <c r="G4753" t="s">
        <v>20254</v>
      </c>
    </row>
    <row r="4754" spans="1:7">
      <c r="A4754" t="s">
        <v>28983</v>
      </c>
      <c r="B4754" t="s">
        <v>8607</v>
      </c>
      <c r="F4754" t="s">
        <v>28984</v>
      </c>
      <c r="G4754" t="s">
        <v>28985</v>
      </c>
    </row>
    <row r="4755" spans="1:7">
      <c r="A4755" t="s">
        <v>28986</v>
      </c>
      <c r="B4755" t="s">
        <v>8626</v>
      </c>
      <c r="C4755" t="s">
        <v>28987</v>
      </c>
      <c r="F4755" t="s">
        <v>28988</v>
      </c>
      <c r="G4755" t="s">
        <v>28989</v>
      </c>
    </row>
    <row r="4756" spans="1:7">
      <c r="A4756" t="s">
        <v>28990</v>
      </c>
      <c r="B4756" t="s">
        <v>8626</v>
      </c>
      <c r="C4756" t="s">
        <v>28991</v>
      </c>
      <c r="F4756" t="s">
        <v>8851</v>
      </c>
      <c r="G4756" t="s">
        <v>20059</v>
      </c>
    </row>
    <row r="4757" spans="1:7">
      <c r="A4757" t="s">
        <v>28992</v>
      </c>
      <c r="B4757" t="s">
        <v>8607</v>
      </c>
      <c r="C4757" t="s">
        <v>20054</v>
      </c>
      <c r="F4757" t="s">
        <v>8851</v>
      </c>
      <c r="G4757" t="s">
        <v>28993</v>
      </c>
    </row>
    <row r="4758" spans="1:7">
      <c r="A4758" t="s">
        <v>28994</v>
      </c>
      <c r="B4758" t="s">
        <v>8607</v>
      </c>
      <c r="F4758" t="s">
        <v>26091</v>
      </c>
      <c r="G4758" t="s">
        <v>27417</v>
      </c>
    </row>
    <row r="4759" spans="1:7">
      <c r="A4759" t="s">
        <v>28995</v>
      </c>
      <c r="B4759" t="s">
        <v>8607</v>
      </c>
      <c r="F4759" t="s">
        <v>27402</v>
      </c>
      <c r="G4759" t="s">
        <v>27403</v>
      </c>
    </row>
    <row r="4760" spans="1:7">
      <c r="A4760" t="s">
        <v>28996</v>
      </c>
      <c r="B4760" t="s">
        <v>8626</v>
      </c>
      <c r="C4760" t="s">
        <v>27405</v>
      </c>
      <c r="F4760" t="s">
        <v>9002</v>
      </c>
      <c r="G4760" t="s">
        <v>28997</v>
      </c>
    </row>
    <row r="4761" spans="1:7">
      <c r="A4761" t="s">
        <v>28998</v>
      </c>
      <c r="B4761" t="s">
        <v>8607</v>
      </c>
      <c r="C4761" t="s">
        <v>27492</v>
      </c>
      <c r="F4761" t="s">
        <v>26519</v>
      </c>
      <c r="G4761" t="s">
        <v>28999</v>
      </c>
    </row>
    <row r="4762" spans="1:7">
      <c r="A4762" t="s">
        <v>29000</v>
      </c>
      <c r="B4762" t="s">
        <v>8607</v>
      </c>
      <c r="C4762" t="s">
        <v>18983</v>
      </c>
      <c r="F4762" t="s">
        <v>12862</v>
      </c>
      <c r="G4762" t="s">
        <v>29001</v>
      </c>
    </row>
    <row r="4763" spans="1:7">
      <c r="A4763" t="s">
        <v>29002</v>
      </c>
      <c r="B4763" t="s">
        <v>8626</v>
      </c>
      <c r="C4763" t="s">
        <v>27497</v>
      </c>
      <c r="F4763" t="s">
        <v>15811</v>
      </c>
      <c r="G4763" t="s">
        <v>29003</v>
      </c>
    </row>
    <row r="4764" spans="1:7">
      <c r="A4764" t="s">
        <v>29004</v>
      </c>
      <c r="B4764" t="s">
        <v>8607</v>
      </c>
      <c r="G4764" t="s">
        <v>19604</v>
      </c>
    </row>
    <row r="4765" spans="1:7">
      <c r="A4765" t="s">
        <v>29005</v>
      </c>
      <c r="B4765" t="s">
        <v>8626</v>
      </c>
      <c r="F4765" t="s">
        <v>27588</v>
      </c>
      <c r="G4765" t="s">
        <v>29006</v>
      </c>
    </row>
    <row r="4766" spans="1:7">
      <c r="A4766" t="s">
        <v>29007</v>
      </c>
      <c r="B4766" t="s">
        <v>8607</v>
      </c>
      <c r="F4766" t="s">
        <v>29008</v>
      </c>
      <c r="G4766" t="s">
        <v>29009</v>
      </c>
    </row>
    <row r="4767" spans="1:7">
      <c r="A4767" t="s">
        <v>29010</v>
      </c>
      <c r="B4767" t="s">
        <v>8607</v>
      </c>
      <c r="C4767" t="s">
        <v>9331</v>
      </c>
      <c r="F4767" t="s">
        <v>9333</v>
      </c>
      <c r="G4767" t="s">
        <v>29011</v>
      </c>
    </row>
    <row r="4768" spans="1:7">
      <c r="A4768" t="s">
        <v>29012</v>
      </c>
      <c r="B4768" t="s">
        <v>8607</v>
      </c>
      <c r="F4768" t="s">
        <v>29013</v>
      </c>
      <c r="G4768" t="s">
        <v>29014</v>
      </c>
    </row>
    <row r="4769" spans="1:7">
      <c r="A4769" t="s">
        <v>29015</v>
      </c>
      <c r="B4769" t="s">
        <v>8626</v>
      </c>
      <c r="F4769" t="s">
        <v>29016</v>
      </c>
      <c r="G4769" t="s">
        <v>29017</v>
      </c>
    </row>
    <row r="4770" spans="1:7">
      <c r="A4770" t="s">
        <v>29018</v>
      </c>
      <c r="B4770" t="s">
        <v>8626</v>
      </c>
      <c r="G4770" t="s">
        <v>29019</v>
      </c>
    </row>
    <row r="4771" spans="1:7">
      <c r="A4771" t="s">
        <v>29020</v>
      </c>
      <c r="B4771" t="s">
        <v>8607</v>
      </c>
      <c r="F4771" t="s">
        <v>26176</v>
      </c>
      <c r="G4771" t="s">
        <v>29021</v>
      </c>
    </row>
    <row r="4772" spans="1:7">
      <c r="A4772" t="s">
        <v>29022</v>
      </c>
      <c r="B4772" t="s">
        <v>8607</v>
      </c>
      <c r="F4772" t="s">
        <v>20423</v>
      </c>
      <c r="G4772" t="s">
        <v>29023</v>
      </c>
    </row>
    <row r="4773" spans="1:7">
      <c r="A4773" t="s">
        <v>29024</v>
      </c>
      <c r="B4773" t="s">
        <v>8626</v>
      </c>
      <c r="F4773" t="s">
        <v>21832</v>
      </c>
      <c r="G4773" t="s">
        <v>29025</v>
      </c>
    </row>
    <row r="4774" spans="1:7">
      <c r="A4774" t="s">
        <v>29026</v>
      </c>
      <c r="B4774" t="s">
        <v>8607</v>
      </c>
      <c r="F4774" t="s">
        <v>8774</v>
      </c>
      <c r="G4774" t="s">
        <v>29027</v>
      </c>
    </row>
    <row r="4775" spans="1:7">
      <c r="A4775" t="s">
        <v>29028</v>
      </c>
      <c r="B4775" t="s">
        <v>8607</v>
      </c>
      <c r="F4775" t="s">
        <v>27915</v>
      </c>
      <c r="G4775" t="s">
        <v>29029</v>
      </c>
    </row>
    <row r="4776" spans="1:7">
      <c r="A4776" t="s">
        <v>29030</v>
      </c>
      <c r="B4776" t="s">
        <v>8607</v>
      </c>
      <c r="F4776" t="s">
        <v>29031</v>
      </c>
      <c r="G4776" t="s">
        <v>29032</v>
      </c>
    </row>
    <row r="4777" spans="1:7">
      <c r="A4777" t="s">
        <v>29033</v>
      </c>
      <c r="B4777" t="s">
        <v>8607</v>
      </c>
      <c r="F4777" t="s">
        <v>17779</v>
      </c>
      <c r="G4777" t="s">
        <v>29034</v>
      </c>
    </row>
    <row r="4778" spans="1:7">
      <c r="A4778" t="s">
        <v>29035</v>
      </c>
      <c r="B4778" t="s">
        <v>8607</v>
      </c>
      <c r="F4778" t="s">
        <v>28418</v>
      </c>
      <c r="G4778" t="s">
        <v>28419</v>
      </c>
    </row>
    <row r="4779" spans="1:7">
      <c r="A4779" t="s">
        <v>29036</v>
      </c>
      <c r="B4779" t="s">
        <v>8607</v>
      </c>
      <c r="F4779" t="s">
        <v>27384</v>
      </c>
      <c r="G4779" t="s">
        <v>28421</v>
      </c>
    </row>
    <row r="4780" spans="1:7">
      <c r="A4780" t="s">
        <v>29037</v>
      </c>
      <c r="B4780" t="s">
        <v>8607</v>
      </c>
      <c r="G4780" t="s">
        <v>29038</v>
      </c>
    </row>
    <row r="4781" spans="1:7">
      <c r="A4781" t="s">
        <v>29039</v>
      </c>
      <c r="B4781" t="s">
        <v>8607</v>
      </c>
      <c r="G4781" t="s">
        <v>29040</v>
      </c>
    </row>
    <row r="4782" spans="1:7">
      <c r="A4782" t="s">
        <v>29041</v>
      </c>
      <c r="B4782" t="s">
        <v>8607</v>
      </c>
      <c r="F4782" t="s">
        <v>17349</v>
      </c>
      <c r="G4782" t="s">
        <v>29042</v>
      </c>
    </row>
    <row r="4783" spans="1:7">
      <c r="A4783" t="s">
        <v>29043</v>
      </c>
      <c r="G4783" t="s">
        <v>29044</v>
      </c>
    </row>
    <row r="4784" spans="1:7">
      <c r="A4784" t="s">
        <v>29045</v>
      </c>
      <c r="B4784" t="s">
        <v>8607</v>
      </c>
      <c r="F4784" t="s">
        <v>28380</v>
      </c>
      <c r="G4784" t="s">
        <v>28381</v>
      </c>
    </row>
    <row r="4785" spans="1:7">
      <c r="A4785" t="s">
        <v>29046</v>
      </c>
      <c r="B4785" t="s">
        <v>8626</v>
      </c>
      <c r="F4785" t="s">
        <v>26024</v>
      </c>
      <c r="G4785" t="s">
        <v>29047</v>
      </c>
    </row>
    <row r="4786" spans="1:7">
      <c r="A4786" t="s">
        <v>29048</v>
      </c>
      <c r="B4786" t="s">
        <v>8607</v>
      </c>
      <c r="F4786" t="s">
        <v>26207</v>
      </c>
      <c r="G4786" t="s">
        <v>27473</v>
      </c>
    </row>
    <row r="4787" spans="1:7">
      <c r="A4787" t="s">
        <v>29049</v>
      </c>
      <c r="B4787" t="s">
        <v>8607</v>
      </c>
      <c r="F4787" t="s">
        <v>28159</v>
      </c>
      <c r="G4787" t="s">
        <v>29050</v>
      </c>
    </row>
    <row r="4788" spans="1:7">
      <c r="A4788" t="s">
        <v>29051</v>
      </c>
      <c r="B4788" t="s">
        <v>8626</v>
      </c>
      <c r="G4788" t="s">
        <v>24459</v>
      </c>
    </row>
    <row r="4789" spans="1:7">
      <c r="A4789" t="s">
        <v>29052</v>
      </c>
      <c r="B4789" t="s">
        <v>8626</v>
      </c>
      <c r="G4789" t="s">
        <v>29053</v>
      </c>
    </row>
    <row r="4790" spans="1:7">
      <c r="A4790" t="s">
        <v>29054</v>
      </c>
      <c r="B4790" t="s">
        <v>8607</v>
      </c>
      <c r="F4790" t="s">
        <v>17741</v>
      </c>
      <c r="G4790" t="s">
        <v>28541</v>
      </c>
    </row>
    <row r="4791" spans="1:7">
      <c r="A4791" t="s">
        <v>29055</v>
      </c>
      <c r="B4791" t="s">
        <v>8607</v>
      </c>
      <c r="F4791" t="s">
        <v>8623</v>
      </c>
      <c r="G4791" t="s">
        <v>29056</v>
      </c>
    </row>
    <row r="4792" spans="1:7">
      <c r="A4792" t="s">
        <v>29057</v>
      </c>
      <c r="B4792" t="s">
        <v>8607</v>
      </c>
      <c r="F4792" t="s">
        <v>29058</v>
      </c>
      <c r="G4792" t="s">
        <v>29059</v>
      </c>
    </row>
    <row r="4793" spans="1:7">
      <c r="A4793" t="s">
        <v>29060</v>
      </c>
      <c r="B4793" t="s">
        <v>8626</v>
      </c>
      <c r="F4793" t="s">
        <v>12458</v>
      </c>
      <c r="G4793" t="s">
        <v>29061</v>
      </c>
    </row>
    <row r="4794" spans="1:7">
      <c r="A4794" t="s">
        <v>29062</v>
      </c>
      <c r="B4794" t="s">
        <v>8607</v>
      </c>
      <c r="F4794" t="s">
        <v>8623</v>
      </c>
      <c r="G4794" t="s">
        <v>11028</v>
      </c>
    </row>
    <row r="4795" spans="1:7">
      <c r="A4795" t="s">
        <v>29063</v>
      </c>
      <c r="B4795" t="s">
        <v>8607</v>
      </c>
      <c r="F4795" t="s">
        <v>15822</v>
      </c>
      <c r="G4795" t="s">
        <v>29064</v>
      </c>
    </row>
    <row r="4796" spans="1:7">
      <c r="A4796" t="s">
        <v>29065</v>
      </c>
      <c r="B4796" t="s">
        <v>8607</v>
      </c>
      <c r="G4796" t="s">
        <v>29066</v>
      </c>
    </row>
    <row r="4797" spans="1:7">
      <c r="A4797" t="s">
        <v>29067</v>
      </c>
      <c r="B4797" t="s">
        <v>8607</v>
      </c>
      <c r="G4797" t="s">
        <v>29068</v>
      </c>
    </row>
    <row r="4798" spans="1:7">
      <c r="A4798" t="s">
        <v>29069</v>
      </c>
      <c r="B4798" t="s">
        <v>8607</v>
      </c>
      <c r="G4798" t="s">
        <v>29070</v>
      </c>
    </row>
    <row r="4799" spans="1:7">
      <c r="A4799" t="s">
        <v>29071</v>
      </c>
      <c r="B4799" t="s">
        <v>8607</v>
      </c>
      <c r="F4799" t="s">
        <v>29072</v>
      </c>
      <c r="G4799" t="s">
        <v>29073</v>
      </c>
    </row>
    <row r="4800" spans="1:7">
      <c r="A4800" t="s">
        <v>29074</v>
      </c>
      <c r="B4800" t="s">
        <v>8607</v>
      </c>
      <c r="G4800" t="s">
        <v>29075</v>
      </c>
    </row>
    <row r="4801" spans="1:7">
      <c r="A4801" t="s">
        <v>29076</v>
      </c>
      <c r="B4801" t="s">
        <v>8607</v>
      </c>
      <c r="G4801" t="s">
        <v>29077</v>
      </c>
    </row>
    <row r="4802" spans="1:7">
      <c r="A4802" t="s">
        <v>29078</v>
      </c>
      <c r="B4802" t="s">
        <v>8607</v>
      </c>
      <c r="F4802" t="s">
        <v>29079</v>
      </c>
      <c r="G4802" t="s">
        <v>29080</v>
      </c>
    </row>
    <row r="4803" spans="1:7">
      <c r="A4803" t="s">
        <v>29081</v>
      </c>
      <c r="B4803" t="s">
        <v>8607</v>
      </c>
      <c r="F4803" t="s">
        <v>9018</v>
      </c>
      <c r="G4803" t="s">
        <v>29082</v>
      </c>
    </row>
    <row r="4804" spans="1:7">
      <c r="A4804" t="s">
        <v>29083</v>
      </c>
      <c r="B4804" t="s">
        <v>8607</v>
      </c>
      <c r="F4804" t="s">
        <v>29084</v>
      </c>
      <c r="G4804" t="s">
        <v>29085</v>
      </c>
    </row>
    <row r="4805" spans="1:7">
      <c r="A4805" t="s">
        <v>29086</v>
      </c>
      <c r="B4805" t="s">
        <v>8607</v>
      </c>
      <c r="F4805" t="s">
        <v>29087</v>
      </c>
      <c r="G4805" t="s">
        <v>29088</v>
      </c>
    </row>
    <row r="4806" spans="1:7">
      <c r="A4806" t="s">
        <v>29089</v>
      </c>
      <c r="B4806" t="s">
        <v>8626</v>
      </c>
      <c r="C4806" t="s">
        <v>25345</v>
      </c>
      <c r="F4806" t="s">
        <v>13312</v>
      </c>
      <c r="G4806" t="s">
        <v>29090</v>
      </c>
    </row>
    <row r="4807" spans="1:7">
      <c r="A4807" t="s">
        <v>29091</v>
      </c>
      <c r="G4807" t="s">
        <v>29092</v>
      </c>
    </row>
    <row r="4808" spans="1:7">
      <c r="A4808" t="s">
        <v>29093</v>
      </c>
      <c r="B4808" t="s">
        <v>8607</v>
      </c>
      <c r="C4808" t="s">
        <v>26080</v>
      </c>
      <c r="F4808" t="s">
        <v>23667</v>
      </c>
      <c r="G4808" t="s">
        <v>29094</v>
      </c>
    </row>
    <row r="4809" spans="1:7">
      <c r="A4809" t="s">
        <v>29095</v>
      </c>
      <c r="B4809" t="s">
        <v>8607</v>
      </c>
      <c r="F4809" t="s">
        <v>28852</v>
      </c>
      <c r="G4809" t="s">
        <v>29096</v>
      </c>
    </row>
    <row r="4810" spans="1:7">
      <c r="A4810" t="s">
        <v>29097</v>
      </c>
      <c r="B4810" t="s">
        <v>8607</v>
      </c>
      <c r="F4810" t="s">
        <v>8623</v>
      </c>
      <c r="G4810" t="s">
        <v>29098</v>
      </c>
    </row>
    <row r="4811" spans="1:7">
      <c r="A4811" t="s">
        <v>29099</v>
      </c>
      <c r="B4811" t="s">
        <v>8607</v>
      </c>
      <c r="C4811" t="s">
        <v>29100</v>
      </c>
      <c r="F4811" t="s">
        <v>8623</v>
      </c>
      <c r="G4811" t="s">
        <v>29101</v>
      </c>
    </row>
    <row r="4812" spans="1:7">
      <c r="A4812" t="s">
        <v>29102</v>
      </c>
      <c r="B4812" t="s">
        <v>8626</v>
      </c>
      <c r="F4812" t="s">
        <v>28856</v>
      </c>
      <c r="G4812" t="s">
        <v>29103</v>
      </c>
    </row>
    <row r="4813" spans="1:7">
      <c r="A4813" t="s">
        <v>29104</v>
      </c>
      <c r="B4813" t="s">
        <v>8607</v>
      </c>
      <c r="F4813" t="s">
        <v>26099</v>
      </c>
      <c r="G4813" t="s">
        <v>29105</v>
      </c>
    </row>
    <row r="4814" spans="1:7">
      <c r="A4814" t="s">
        <v>29106</v>
      </c>
      <c r="B4814" t="s">
        <v>8626</v>
      </c>
      <c r="F4814" t="s">
        <v>26069</v>
      </c>
      <c r="G4814" t="s">
        <v>29107</v>
      </c>
    </row>
    <row r="4815" spans="1:7">
      <c r="A4815" t="s">
        <v>29108</v>
      </c>
      <c r="B4815" t="s">
        <v>8607</v>
      </c>
      <c r="C4815" t="s">
        <v>18230</v>
      </c>
      <c r="F4815" t="s">
        <v>13312</v>
      </c>
      <c r="G4815" t="s">
        <v>18989</v>
      </c>
    </row>
    <row r="4816" spans="1:7">
      <c r="A4816" t="s">
        <v>29109</v>
      </c>
      <c r="B4816" t="s">
        <v>8607</v>
      </c>
      <c r="C4816" t="s">
        <v>26087</v>
      </c>
      <c r="F4816" t="s">
        <v>26088</v>
      </c>
      <c r="G4816" t="s">
        <v>26833</v>
      </c>
    </row>
    <row r="4817" spans="1:7">
      <c r="A4817" t="s">
        <v>29110</v>
      </c>
      <c r="B4817" t="s">
        <v>8607</v>
      </c>
      <c r="F4817" t="s">
        <v>9018</v>
      </c>
      <c r="G4817" t="s">
        <v>29111</v>
      </c>
    </row>
    <row r="4818" spans="1:7">
      <c r="A4818" t="s">
        <v>29112</v>
      </c>
      <c r="B4818" t="s">
        <v>8607</v>
      </c>
      <c r="C4818" t="s">
        <v>29113</v>
      </c>
      <c r="F4818" t="s">
        <v>9018</v>
      </c>
      <c r="G4818" t="s">
        <v>29114</v>
      </c>
    </row>
    <row r="4819" spans="1:7">
      <c r="A4819" t="s">
        <v>29115</v>
      </c>
      <c r="B4819" t="s">
        <v>8626</v>
      </c>
      <c r="G4819" t="s">
        <v>29116</v>
      </c>
    </row>
    <row r="4820" spans="1:7">
      <c r="A4820" t="s">
        <v>29117</v>
      </c>
      <c r="B4820" t="s">
        <v>8607</v>
      </c>
      <c r="C4820" t="s">
        <v>29118</v>
      </c>
      <c r="F4820" t="s">
        <v>29119</v>
      </c>
      <c r="G4820" t="s">
        <v>29120</v>
      </c>
    </row>
    <row r="4821" spans="1:7">
      <c r="A4821" t="s">
        <v>29121</v>
      </c>
      <c r="B4821" t="s">
        <v>8626</v>
      </c>
      <c r="C4821" t="s">
        <v>29122</v>
      </c>
      <c r="F4821" t="s">
        <v>10676</v>
      </c>
      <c r="G4821" t="s">
        <v>29123</v>
      </c>
    </row>
    <row r="4822" spans="1:7">
      <c r="A4822" t="s">
        <v>29124</v>
      </c>
      <c r="B4822" t="s">
        <v>8626</v>
      </c>
      <c r="F4822" t="s">
        <v>29125</v>
      </c>
      <c r="G4822" t="s">
        <v>29126</v>
      </c>
    </row>
    <row r="4823" spans="1:7">
      <c r="A4823" t="s">
        <v>29127</v>
      </c>
      <c r="B4823" t="s">
        <v>8607</v>
      </c>
      <c r="F4823" t="s">
        <v>26094</v>
      </c>
      <c r="G4823" t="s">
        <v>29128</v>
      </c>
    </row>
    <row r="4824" spans="1:7">
      <c r="A4824" t="s">
        <v>29129</v>
      </c>
      <c r="B4824" t="s">
        <v>8607</v>
      </c>
      <c r="G4824" t="s">
        <v>17899</v>
      </c>
    </row>
    <row r="4825" spans="1:7">
      <c r="A4825" t="s">
        <v>29130</v>
      </c>
      <c r="B4825" t="s">
        <v>8607</v>
      </c>
      <c r="G4825" t="s">
        <v>10814</v>
      </c>
    </row>
    <row r="4826" spans="1:7">
      <c r="A4826" t="s">
        <v>29131</v>
      </c>
      <c r="B4826" t="s">
        <v>8626</v>
      </c>
      <c r="F4826" t="s">
        <v>29132</v>
      </c>
      <c r="G4826" t="s">
        <v>29133</v>
      </c>
    </row>
    <row r="4827" spans="1:7">
      <c r="A4827" t="s">
        <v>29134</v>
      </c>
      <c r="B4827" t="s">
        <v>8607</v>
      </c>
      <c r="F4827" t="s">
        <v>29135</v>
      </c>
      <c r="G4827" t="s">
        <v>29136</v>
      </c>
    </row>
    <row r="4828" spans="1:7">
      <c r="A4828" t="s">
        <v>29137</v>
      </c>
      <c r="B4828" t="s">
        <v>8626</v>
      </c>
      <c r="G4828" t="s">
        <v>29138</v>
      </c>
    </row>
    <row r="4829" spans="1:7">
      <c r="A4829" t="s">
        <v>29139</v>
      </c>
      <c r="B4829" t="s">
        <v>8626</v>
      </c>
      <c r="C4829" t="s">
        <v>29140</v>
      </c>
      <c r="F4829" t="s">
        <v>21225</v>
      </c>
      <c r="G4829" t="s">
        <v>29141</v>
      </c>
    </row>
    <row r="4830" spans="1:7">
      <c r="A4830" t="s">
        <v>29142</v>
      </c>
      <c r="B4830" t="s">
        <v>8607</v>
      </c>
      <c r="F4830" t="s">
        <v>17643</v>
      </c>
      <c r="G4830" t="s">
        <v>26701</v>
      </c>
    </row>
    <row r="4831" spans="1:7">
      <c r="A4831" t="s">
        <v>29143</v>
      </c>
      <c r="B4831" t="s">
        <v>8607</v>
      </c>
      <c r="F4831" t="s">
        <v>29144</v>
      </c>
      <c r="G4831" t="s">
        <v>29145</v>
      </c>
    </row>
    <row r="4832" spans="1:7">
      <c r="A4832" t="s">
        <v>29146</v>
      </c>
      <c r="B4832" t="s">
        <v>8607</v>
      </c>
      <c r="F4832" t="s">
        <v>29147</v>
      </c>
      <c r="G4832" t="s">
        <v>29148</v>
      </c>
    </row>
    <row r="4833" spans="1:7">
      <c r="A4833" t="s">
        <v>29149</v>
      </c>
      <c r="B4833" t="s">
        <v>8607</v>
      </c>
      <c r="F4833" t="s">
        <v>29150</v>
      </c>
      <c r="G4833" t="s">
        <v>29151</v>
      </c>
    </row>
    <row r="4834" spans="1:7">
      <c r="A4834" t="s">
        <v>29152</v>
      </c>
      <c r="B4834" t="s">
        <v>8607</v>
      </c>
      <c r="F4834" t="s">
        <v>29153</v>
      </c>
      <c r="G4834" t="s">
        <v>29154</v>
      </c>
    </row>
    <row r="4835" spans="1:7">
      <c r="A4835" t="s">
        <v>29155</v>
      </c>
      <c r="B4835" t="s">
        <v>8607</v>
      </c>
      <c r="F4835" t="s">
        <v>29156</v>
      </c>
      <c r="G4835" t="s">
        <v>29157</v>
      </c>
    </row>
    <row r="4836" spans="1:7">
      <c r="A4836" t="s">
        <v>29158</v>
      </c>
      <c r="B4836" t="s">
        <v>8607</v>
      </c>
      <c r="F4836" t="s">
        <v>29159</v>
      </c>
      <c r="G4836" t="s">
        <v>29160</v>
      </c>
    </row>
    <row r="4837" spans="1:7">
      <c r="A4837" t="s">
        <v>29161</v>
      </c>
      <c r="B4837" t="s">
        <v>8607</v>
      </c>
      <c r="F4837" t="s">
        <v>29159</v>
      </c>
      <c r="G4837" t="s">
        <v>29162</v>
      </c>
    </row>
    <row r="4838" spans="1:7">
      <c r="A4838" t="s">
        <v>29163</v>
      </c>
      <c r="B4838" t="s">
        <v>8607</v>
      </c>
      <c r="F4838" t="s">
        <v>17310</v>
      </c>
      <c r="G4838" t="s">
        <v>20778</v>
      </c>
    </row>
    <row r="4839" spans="1:7">
      <c r="A4839" t="s">
        <v>29164</v>
      </c>
      <c r="B4839" t="s">
        <v>8626</v>
      </c>
      <c r="F4839" t="s">
        <v>9018</v>
      </c>
      <c r="G4839" t="s">
        <v>29165</v>
      </c>
    </row>
    <row r="4840" spans="1:7">
      <c r="A4840" t="s">
        <v>29166</v>
      </c>
      <c r="B4840" t="s">
        <v>8607</v>
      </c>
      <c r="F4840" t="s">
        <v>29167</v>
      </c>
      <c r="G4840" t="s">
        <v>29168</v>
      </c>
    </row>
    <row r="4841" spans="1:7">
      <c r="A4841" t="s">
        <v>29169</v>
      </c>
      <c r="B4841" t="s">
        <v>8607</v>
      </c>
      <c r="F4841" t="s">
        <v>29170</v>
      </c>
      <c r="G4841" t="s">
        <v>29171</v>
      </c>
    </row>
    <row r="4842" spans="1:7">
      <c r="A4842" t="s">
        <v>29172</v>
      </c>
      <c r="B4842" t="s">
        <v>8607</v>
      </c>
      <c r="F4842" t="s">
        <v>29173</v>
      </c>
      <c r="G4842" t="s">
        <v>29174</v>
      </c>
    </row>
    <row r="4843" spans="1:7">
      <c r="A4843" t="s">
        <v>29175</v>
      </c>
      <c r="B4843" t="s">
        <v>8607</v>
      </c>
      <c r="F4843" t="s">
        <v>29176</v>
      </c>
      <c r="G4843" t="s">
        <v>29177</v>
      </c>
    </row>
    <row r="4844" spans="1:7">
      <c r="A4844" t="s">
        <v>29178</v>
      </c>
      <c r="B4844" t="s">
        <v>8607</v>
      </c>
      <c r="C4844" t="s">
        <v>29179</v>
      </c>
      <c r="F4844" t="s">
        <v>17320</v>
      </c>
      <c r="G4844" t="s">
        <v>29180</v>
      </c>
    </row>
    <row r="4845" spans="1:7">
      <c r="A4845" t="s">
        <v>29181</v>
      </c>
      <c r="B4845" t="s">
        <v>8607</v>
      </c>
      <c r="C4845" t="s">
        <v>26315</v>
      </c>
      <c r="F4845" t="s">
        <v>17320</v>
      </c>
      <c r="G4845" t="s">
        <v>29182</v>
      </c>
    </row>
    <row r="4846" spans="1:7">
      <c r="A4846" t="s">
        <v>29183</v>
      </c>
      <c r="B4846" t="s">
        <v>8607</v>
      </c>
      <c r="F4846" t="s">
        <v>29119</v>
      </c>
      <c r="G4846" t="s">
        <v>29184</v>
      </c>
    </row>
    <row r="4847" spans="1:7">
      <c r="A4847" t="s">
        <v>29185</v>
      </c>
      <c r="B4847" t="s">
        <v>8607</v>
      </c>
      <c r="C4847" t="s">
        <v>29186</v>
      </c>
      <c r="F4847" t="s">
        <v>10676</v>
      </c>
      <c r="G4847" t="s">
        <v>29187</v>
      </c>
    </row>
    <row r="4848" spans="1:7">
      <c r="A4848" t="s">
        <v>29188</v>
      </c>
      <c r="B4848" t="s">
        <v>8626</v>
      </c>
      <c r="G4848" t="s">
        <v>29189</v>
      </c>
    </row>
    <row r="4849" spans="1:7">
      <c r="A4849" t="s">
        <v>29190</v>
      </c>
      <c r="B4849" t="s">
        <v>8607</v>
      </c>
      <c r="C4849" t="s">
        <v>26083</v>
      </c>
      <c r="F4849" t="s">
        <v>26084</v>
      </c>
      <c r="G4849" t="s">
        <v>29191</v>
      </c>
    </row>
    <row r="4850" spans="1:7">
      <c r="A4850" t="s">
        <v>29192</v>
      </c>
      <c r="B4850" t="s">
        <v>8607</v>
      </c>
      <c r="C4850" t="s">
        <v>26087</v>
      </c>
      <c r="F4850" t="s">
        <v>26088</v>
      </c>
      <c r="G4850" t="s">
        <v>29193</v>
      </c>
    </row>
    <row r="4851" spans="1:7">
      <c r="A4851" t="s">
        <v>29194</v>
      </c>
      <c r="B4851" t="s">
        <v>8626</v>
      </c>
      <c r="F4851" t="s">
        <v>26091</v>
      </c>
      <c r="G4851" t="s">
        <v>29195</v>
      </c>
    </row>
    <row r="4852" spans="1:7">
      <c r="A4852" t="s">
        <v>29196</v>
      </c>
      <c r="B4852" t="s">
        <v>8607</v>
      </c>
      <c r="C4852" t="s">
        <v>18230</v>
      </c>
      <c r="F4852" t="s">
        <v>13312</v>
      </c>
      <c r="G4852" t="s">
        <v>26935</v>
      </c>
    </row>
    <row r="4853" spans="1:7">
      <c r="A4853" t="s">
        <v>29197</v>
      </c>
      <c r="B4853" t="s">
        <v>8607</v>
      </c>
      <c r="C4853" t="s">
        <v>25345</v>
      </c>
      <c r="F4853" t="s">
        <v>13312</v>
      </c>
      <c r="G4853" t="s">
        <v>29198</v>
      </c>
    </row>
    <row r="4854" spans="1:7">
      <c r="A4854" t="s">
        <v>29199</v>
      </c>
      <c r="B4854" t="s">
        <v>8607</v>
      </c>
      <c r="F4854" t="s">
        <v>17457</v>
      </c>
      <c r="G4854" t="s">
        <v>19934</v>
      </c>
    </row>
    <row r="4855" spans="1:7">
      <c r="A4855" t="s">
        <v>29200</v>
      </c>
      <c r="B4855" t="s">
        <v>8607</v>
      </c>
      <c r="F4855" t="s">
        <v>26751</v>
      </c>
      <c r="G4855" t="s">
        <v>26752</v>
      </c>
    </row>
    <row r="4856" spans="1:7">
      <c r="A4856" t="s">
        <v>29201</v>
      </c>
      <c r="B4856" t="s">
        <v>8626</v>
      </c>
      <c r="F4856" t="s">
        <v>26754</v>
      </c>
      <c r="G4856" t="s">
        <v>27072</v>
      </c>
    </row>
    <row r="4857" spans="1:7">
      <c r="A4857" t="s">
        <v>29202</v>
      </c>
      <c r="B4857" t="s">
        <v>8607</v>
      </c>
      <c r="C4857" t="s">
        <v>27078</v>
      </c>
      <c r="F4857" t="s">
        <v>19996</v>
      </c>
      <c r="G4857" t="s">
        <v>29203</v>
      </c>
    </row>
    <row r="4858" spans="1:7">
      <c r="A4858" t="s">
        <v>29204</v>
      </c>
      <c r="B4858" t="s">
        <v>8607</v>
      </c>
      <c r="F4858" t="s">
        <v>20866</v>
      </c>
      <c r="G4858" t="s">
        <v>29205</v>
      </c>
    </row>
    <row r="4859" spans="1:7">
      <c r="A4859" t="s">
        <v>29206</v>
      </c>
      <c r="B4859" t="s">
        <v>8607</v>
      </c>
      <c r="F4859" t="s">
        <v>29207</v>
      </c>
      <c r="G4859" t="s">
        <v>29208</v>
      </c>
    </row>
    <row r="4860" spans="1:7">
      <c r="A4860" t="s">
        <v>29209</v>
      </c>
      <c r="B4860" t="s">
        <v>8607</v>
      </c>
      <c r="F4860" t="s">
        <v>27930</v>
      </c>
      <c r="G4860" t="s">
        <v>29210</v>
      </c>
    </row>
    <row r="4861" spans="1:7">
      <c r="A4861" t="s">
        <v>29211</v>
      </c>
      <c r="B4861" t="s">
        <v>8626</v>
      </c>
      <c r="C4861" t="s">
        <v>26080</v>
      </c>
      <c r="F4861" t="s">
        <v>23667</v>
      </c>
      <c r="G4861" t="s">
        <v>26943</v>
      </c>
    </row>
    <row r="4862" spans="1:7">
      <c r="A4862" t="s">
        <v>29212</v>
      </c>
      <c r="B4862" t="s">
        <v>8626</v>
      </c>
      <c r="F4862" t="s">
        <v>29213</v>
      </c>
      <c r="G4862" t="s">
        <v>29214</v>
      </c>
    </row>
    <row r="4863" spans="1:7">
      <c r="A4863" t="s">
        <v>29215</v>
      </c>
      <c r="B4863" t="s">
        <v>8607</v>
      </c>
      <c r="F4863" t="s">
        <v>26264</v>
      </c>
      <c r="G4863" t="s">
        <v>29216</v>
      </c>
    </row>
    <row r="4864" spans="1:7">
      <c r="A4864" t="s">
        <v>29217</v>
      </c>
      <c r="B4864" t="s">
        <v>8607</v>
      </c>
      <c r="C4864" t="s">
        <v>29218</v>
      </c>
      <c r="F4864" t="s">
        <v>14285</v>
      </c>
      <c r="G4864" t="s">
        <v>29219</v>
      </c>
    </row>
    <row r="4865" spans="1:7">
      <c r="A4865" t="s">
        <v>29220</v>
      </c>
      <c r="B4865" t="s">
        <v>8607</v>
      </c>
      <c r="F4865" t="s">
        <v>29221</v>
      </c>
      <c r="G4865" t="s">
        <v>29222</v>
      </c>
    </row>
    <row r="4866" spans="1:7">
      <c r="A4866" t="s">
        <v>29223</v>
      </c>
      <c r="B4866" t="s">
        <v>8626</v>
      </c>
      <c r="F4866" t="s">
        <v>29224</v>
      </c>
      <c r="G4866" t="s">
        <v>29225</v>
      </c>
    </row>
    <row r="4867" spans="1:7">
      <c r="A4867" t="s">
        <v>29226</v>
      </c>
      <c r="B4867" t="s">
        <v>8607</v>
      </c>
      <c r="F4867" t="s">
        <v>17874</v>
      </c>
      <c r="G4867" t="s">
        <v>29227</v>
      </c>
    </row>
    <row r="4868" spans="1:7">
      <c r="A4868" t="s">
        <v>29228</v>
      </c>
      <c r="G4868" t="s">
        <v>29229</v>
      </c>
    </row>
    <row r="4869" spans="1:7">
      <c r="A4869" t="s">
        <v>29230</v>
      </c>
      <c r="B4869" t="s">
        <v>8626</v>
      </c>
      <c r="C4869" t="s">
        <v>9471</v>
      </c>
      <c r="F4869" t="s">
        <v>9473</v>
      </c>
      <c r="G4869" t="s">
        <v>29231</v>
      </c>
    </row>
    <row r="4870" spans="1:7">
      <c r="A4870" t="s">
        <v>29232</v>
      </c>
      <c r="B4870" t="s">
        <v>8607</v>
      </c>
      <c r="F4870" t="s">
        <v>26091</v>
      </c>
      <c r="G4870" t="s">
        <v>29233</v>
      </c>
    </row>
    <row r="4871" spans="1:7">
      <c r="A4871" t="s">
        <v>29234</v>
      </c>
      <c r="B4871" t="s">
        <v>8607</v>
      </c>
      <c r="F4871" t="s">
        <v>28856</v>
      </c>
      <c r="G4871" t="s">
        <v>29235</v>
      </c>
    </row>
    <row r="4872" spans="1:7">
      <c r="A4872" t="s">
        <v>29236</v>
      </c>
      <c r="B4872" t="s">
        <v>8607</v>
      </c>
      <c r="C4872" t="s">
        <v>29237</v>
      </c>
      <c r="F4872" t="s">
        <v>27402</v>
      </c>
      <c r="G4872" t="s">
        <v>29238</v>
      </c>
    </row>
    <row r="4873" spans="1:7">
      <c r="A4873" t="s">
        <v>29239</v>
      </c>
      <c r="B4873" t="s">
        <v>8607</v>
      </c>
      <c r="C4873" t="s">
        <v>27405</v>
      </c>
      <c r="F4873" t="s">
        <v>9002</v>
      </c>
      <c r="G4873" t="s">
        <v>29240</v>
      </c>
    </row>
    <row r="4874" spans="1:7">
      <c r="A4874" t="s">
        <v>29241</v>
      </c>
      <c r="B4874" t="s">
        <v>8607</v>
      </c>
      <c r="C4874" t="s">
        <v>27492</v>
      </c>
      <c r="F4874" t="s">
        <v>26519</v>
      </c>
      <c r="G4874" t="s">
        <v>29242</v>
      </c>
    </row>
    <row r="4875" spans="1:7">
      <c r="A4875" t="s">
        <v>29243</v>
      </c>
      <c r="B4875" t="s">
        <v>8626</v>
      </c>
      <c r="C4875" t="s">
        <v>18983</v>
      </c>
      <c r="F4875" t="s">
        <v>12862</v>
      </c>
      <c r="G4875" t="s">
        <v>29244</v>
      </c>
    </row>
    <row r="4876" spans="1:7">
      <c r="A4876" t="s">
        <v>29245</v>
      </c>
      <c r="B4876" t="s">
        <v>8626</v>
      </c>
      <c r="C4876" t="s">
        <v>27497</v>
      </c>
      <c r="F4876" t="s">
        <v>15811</v>
      </c>
      <c r="G4876" t="s">
        <v>29246</v>
      </c>
    </row>
    <row r="4877" spans="1:7">
      <c r="A4877" t="s">
        <v>29247</v>
      </c>
      <c r="B4877" t="s">
        <v>8626</v>
      </c>
      <c r="F4877" t="s">
        <v>15309</v>
      </c>
      <c r="G4877" t="s">
        <v>29248</v>
      </c>
    </row>
    <row r="4878" spans="1:7">
      <c r="A4878" t="s">
        <v>29249</v>
      </c>
      <c r="B4878" t="s">
        <v>8607</v>
      </c>
      <c r="C4878" t="s">
        <v>29250</v>
      </c>
      <c r="F4878" t="s">
        <v>26911</v>
      </c>
      <c r="G4878" t="s">
        <v>29251</v>
      </c>
    </row>
    <row r="4879" spans="1:7">
      <c r="A4879" t="s">
        <v>29252</v>
      </c>
      <c r="B4879" t="s">
        <v>8626</v>
      </c>
      <c r="F4879" t="s">
        <v>15309</v>
      </c>
      <c r="G4879" t="s">
        <v>29253</v>
      </c>
    </row>
    <row r="4880" spans="1:7">
      <c r="A4880" t="s">
        <v>29254</v>
      </c>
      <c r="B4880" t="s">
        <v>8626</v>
      </c>
      <c r="F4880" t="s">
        <v>29255</v>
      </c>
      <c r="G4880" t="s">
        <v>29256</v>
      </c>
    </row>
    <row r="4881" spans="1:7">
      <c r="A4881" t="s">
        <v>29257</v>
      </c>
      <c r="G4881" t="s">
        <v>29258</v>
      </c>
    </row>
    <row r="4882" spans="1:7">
      <c r="A4882" t="s">
        <v>29259</v>
      </c>
      <c r="B4882" t="s">
        <v>8626</v>
      </c>
      <c r="F4882" t="s">
        <v>29260</v>
      </c>
      <c r="G4882" t="s">
        <v>29261</v>
      </c>
    </row>
    <row r="4883" spans="1:7">
      <c r="A4883" t="s">
        <v>29262</v>
      </c>
      <c r="B4883" t="s">
        <v>8607</v>
      </c>
      <c r="F4883" t="s">
        <v>22981</v>
      </c>
      <c r="G4883" t="s">
        <v>29263</v>
      </c>
    </row>
    <row r="4884" spans="1:7">
      <c r="A4884" t="s">
        <v>29264</v>
      </c>
      <c r="B4884" t="s">
        <v>8607</v>
      </c>
      <c r="F4884" t="s">
        <v>29265</v>
      </c>
      <c r="G4884" t="s">
        <v>29266</v>
      </c>
    </row>
    <row r="4885" spans="1:7">
      <c r="A4885" t="s">
        <v>29267</v>
      </c>
      <c r="B4885" t="s">
        <v>8607</v>
      </c>
      <c r="C4885" t="s">
        <v>29268</v>
      </c>
      <c r="F4885" t="s">
        <v>28979</v>
      </c>
      <c r="G4885" t="s">
        <v>29269</v>
      </c>
    </row>
    <row r="4886" spans="1:7">
      <c r="A4886" t="s">
        <v>29270</v>
      </c>
      <c r="B4886" t="s">
        <v>8607</v>
      </c>
      <c r="F4886" t="s">
        <v>28984</v>
      </c>
      <c r="G4886" t="s">
        <v>29271</v>
      </c>
    </row>
    <row r="4887" spans="1:7">
      <c r="A4887" t="s">
        <v>29272</v>
      </c>
      <c r="B4887" t="s">
        <v>8607</v>
      </c>
      <c r="C4887" t="s">
        <v>28987</v>
      </c>
      <c r="F4887" t="s">
        <v>28988</v>
      </c>
      <c r="G4887" t="s">
        <v>29273</v>
      </c>
    </row>
    <row r="4888" spans="1:7">
      <c r="A4888" t="s">
        <v>29274</v>
      </c>
      <c r="B4888" t="s">
        <v>8626</v>
      </c>
      <c r="G4888" t="s">
        <v>29275</v>
      </c>
    </row>
    <row r="4889" spans="1:7">
      <c r="A4889" t="s">
        <v>29276</v>
      </c>
      <c r="B4889" t="s">
        <v>8607</v>
      </c>
      <c r="F4889" t="s">
        <v>29277</v>
      </c>
      <c r="G4889" t="s">
        <v>29278</v>
      </c>
    </row>
    <row r="4890" spans="1:7">
      <c r="A4890" t="s">
        <v>29279</v>
      </c>
      <c r="G4890" t="s">
        <v>29280</v>
      </c>
    </row>
    <row r="4891" spans="1:7">
      <c r="A4891" t="s">
        <v>29281</v>
      </c>
      <c r="G4891" t="s">
        <v>29282</v>
      </c>
    </row>
    <row r="4892" spans="1:7">
      <c r="A4892" t="s">
        <v>29283</v>
      </c>
      <c r="B4892" t="s">
        <v>8607</v>
      </c>
      <c r="F4892" t="s">
        <v>26299</v>
      </c>
      <c r="G4892" t="s">
        <v>26438</v>
      </c>
    </row>
    <row r="4893" spans="1:7">
      <c r="A4893" t="s">
        <v>29284</v>
      </c>
      <c r="B4893" t="s">
        <v>8626</v>
      </c>
      <c r="G4893" t="s">
        <v>29285</v>
      </c>
    </row>
    <row r="4894" spans="1:7">
      <c r="A4894" t="s">
        <v>29286</v>
      </c>
      <c r="B4894" t="s">
        <v>8607</v>
      </c>
      <c r="F4894" t="s">
        <v>29013</v>
      </c>
      <c r="G4894" t="s">
        <v>29014</v>
      </c>
    </row>
    <row r="4895" spans="1:7">
      <c r="A4895" t="s">
        <v>29287</v>
      </c>
      <c r="B4895" t="s">
        <v>8626</v>
      </c>
      <c r="F4895" t="s">
        <v>29288</v>
      </c>
      <c r="G4895" t="s">
        <v>29289</v>
      </c>
    </row>
    <row r="4896" spans="1:7">
      <c r="A4896" t="s">
        <v>29290</v>
      </c>
      <c r="B4896" t="s">
        <v>8607</v>
      </c>
      <c r="F4896" t="s">
        <v>20844</v>
      </c>
      <c r="G4896" t="s">
        <v>29291</v>
      </c>
    </row>
    <row r="4897" spans="1:7">
      <c r="A4897" t="s">
        <v>29292</v>
      </c>
      <c r="B4897" t="s">
        <v>8626</v>
      </c>
      <c r="F4897" t="s">
        <v>29288</v>
      </c>
      <c r="G4897" t="s">
        <v>29293</v>
      </c>
    </row>
    <row r="4898" spans="1:7">
      <c r="A4898" t="s">
        <v>29294</v>
      </c>
      <c r="B4898" t="s">
        <v>8607</v>
      </c>
      <c r="F4898" t="s">
        <v>26666</v>
      </c>
      <c r="G4898" t="s">
        <v>29295</v>
      </c>
    </row>
    <row r="4899" spans="1:7">
      <c r="A4899" t="s">
        <v>29296</v>
      </c>
      <c r="B4899" t="s">
        <v>8607</v>
      </c>
      <c r="C4899" t="s">
        <v>26669</v>
      </c>
      <c r="F4899" t="s">
        <v>26670</v>
      </c>
      <c r="G4899" t="s">
        <v>29297</v>
      </c>
    </row>
    <row r="4900" spans="1:7">
      <c r="A4900" t="s">
        <v>29298</v>
      </c>
      <c r="B4900" t="s">
        <v>8607</v>
      </c>
      <c r="C4900" t="s">
        <v>29299</v>
      </c>
      <c r="F4900" t="s">
        <v>26937</v>
      </c>
      <c r="G4900" t="s">
        <v>29300</v>
      </c>
    </row>
    <row r="4901" spans="1:7">
      <c r="A4901" t="s">
        <v>29301</v>
      </c>
      <c r="B4901" t="s">
        <v>8626</v>
      </c>
      <c r="G4901" t="s">
        <v>29302</v>
      </c>
    </row>
    <row r="4902" spans="1:7">
      <c r="A4902" t="s">
        <v>29303</v>
      </c>
      <c r="B4902" t="s">
        <v>8626</v>
      </c>
      <c r="F4902" t="s">
        <v>29304</v>
      </c>
      <c r="G4902" t="s">
        <v>29305</v>
      </c>
    </row>
    <row r="4903" spans="1:7">
      <c r="A4903" t="s">
        <v>29306</v>
      </c>
      <c r="B4903" t="s">
        <v>8626</v>
      </c>
      <c r="G4903" t="s">
        <v>29307</v>
      </c>
    </row>
    <row r="4904" spans="1:7">
      <c r="A4904" t="s">
        <v>29308</v>
      </c>
      <c r="B4904" t="s">
        <v>8626</v>
      </c>
      <c r="F4904" t="s">
        <v>22999</v>
      </c>
      <c r="G4904" t="s">
        <v>18917</v>
      </c>
    </row>
    <row r="4905" spans="1:7">
      <c r="A4905" t="s">
        <v>29309</v>
      </c>
      <c r="G4905" t="s">
        <v>29310</v>
      </c>
    </row>
    <row r="4906" spans="1:7">
      <c r="A4906" t="s">
        <v>29311</v>
      </c>
      <c r="G4906" t="s">
        <v>29312</v>
      </c>
    </row>
    <row r="4907" spans="1:7">
      <c r="A4907" t="s">
        <v>29313</v>
      </c>
      <c r="B4907" t="s">
        <v>8607</v>
      </c>
      <c r="F4907" t="s">
        <v>29314</v>
      </c>
      <c r="G4907" t="s">
        <v>29315</v>
      </c>
    </row>
    <row r="4908" spans="1:7">
      <c r="A4908" t="s">
        <v>29316</v>
      </c>
      <c r="B4908" t="s">
        <v>8607</v>
      </c>
      <c r="C4908" t="s">
        <v>24008</v>
      </c>
      <c r="F4908" t="s">
        <v>17305</v>
      </c>
      <c r="G4908" t="s">
        <v>29317</v>
      </c>
    </row>
    <row r="4909" spans="1:7">
      <c r="A4909" t="s">
        <v>29318</v>
      </c>
      <c r="B4909" t="s">
        <v>8607</v>
      </c>
      <c r="C4909" t="s">
        <v>29319</v>
      </c>
      <c r="F4909" t="s">
        <v>26091</v>
      </c>
      <c r="G4909" t="s">
        <v>29320</v>
      </c>
    </row>
    <row r="4910" spans="1:7">
      <c r="A4910" t="s">
        <v>29321</v>
      </c>
      <c r="B4910" t="s">
        <v>8607</v>
      </c>
      <c r="C4910" t="s">
        <v>26119</v>
      </c>
      <c r="F4910" t="s">
        <v>26120</v>
      </c>
      <c r="G4910" t="s">
        <v>29322</v>
      </c>
    </row>
    <row r="4911" spans="1:7">
      <c r="A4911" t="s">
        <v>29323</v>
      </c>
      <c r="B4911" t="s">
        <v>8607</v>
      </c>
      <c r="G4911" t="s">
        <v>29324</v>
      </c>
    </row>
    <row r="4912" spans="1:7">
      <c r="A4912" t="s">
        <v>29325</v>
      </c>
      <c r="B4912" t="s">
        <v>8607</v>
      </c>
      <c r="F4912" t="s">
        <v>26304</v>
      </c>
      <c r="G4912" t="s">
        <v>29326</v>
      </c>
    </row>
    <row r="4913" spans="1:7">
      <c r="A4913" t="s">
        <v>29327</v>
      </c>
      <c r="B4913" t="s">
        <v>8607</v>
      </c>
      <c r="C4913" t="s">
        <v>26661</v>
      </c>
      <c r="F4913" t="s">
        <v>26365</v>
      </c>
      <c r="G4913" t="s">
        <v>29328</v>
      </c>
    </row>
    <row r="4914" spans="1:7">
      <c r="A4914" t="s">
        <v>29329</v>
      </c>
      <c r="B4914" t="s">
        <v>8607</v>
      </c>
      <c r="F4914" t="s">
        <v>27411</v>
      </c>
      <c r="G4914" t="s">
        <v>27412</v>
      </c>
    </row>
    <row r="4915" spans="1:7">
      <c r="A4915" t="s">
        <v>29330</v>
      </c>
      <c r="B4915" t="s">
        <v>8607</v>
      </c>
      <c r="C4915" t="s">
        <v>26290</v>
      </c>
      <c r="F4915" t="s">
        <v>26291</v>
      </c>
      <c r="G4915" t="s">
        <v>29331</v>
      </c>
    </row>
    <row r="4916" spans="1:7">
      <c r="A4916" t="s">
        <v>29332</v>
      </c>
      <c r="B4916" t="s">
        <v>8607</v>
      </c>
      <c r="C4916" t="s">
        <v>28842</v>
      </c>
      <c r="F4916" t="s">
        <v>9018</v>
      </c>
      <c r="G4916" t="s">
        <v>29333</v>
      </c>
    </row>
    <row r="4917" spans="1:7">
      <c r="A4917" t="s">
        <v>29334</v>
      </c>
      <c r="B4917" t="s">
        <v>8607</v>
      </c>
      <c r="F4917" t="s">
        <v>21225</v>
      </c>
      <c r="G4917" t="s">
        <v>29335</v>
      </c>
    </row>
    <row r="4918" spans="1:7">
      <c r="A4918" t="s">
        <v>29336</v>
      </c>
      <c r="B4918" t="s">
        <v>8626</v>
      </c>
      <c r="C4918" t="s">
        <v>29337</v>
      </c>
      <c r="F4918" t="s">
        <v>29338</v>
      </c>
      <c r="G4918" t="s">
        <v>29339</v>
      </c>
    </row>
    <row r="4919" spans="1:7">
      <c r="A4919" t="s">
        <v>29340</v>
      </c>
      <c r="B4919" t="s">
        <v>8607</v>
      </c>
      <c r="C4919" t="s">
        <v>26863</v>
      </c>
      <c r="F4919" t="s">
        <v>9018</v>
      </c>
      <c r="G4919" t="s">
        <v>29341</v>
      </c>
    </row>
    <row r="4920" spans="1:7">
      <c r="A4920" t="s">
        <v>29342</v>
      </c>
      <c r="B4920" t="s">
        <v>8626</v>
      </c>
      <c r="F4920" t="s">
        <v>26099</v>
      </c>
      <c r="G4920" t="s">
        <v>29343</v>
      </c>
    </row>
    <row r="4921" spans="1:7">
      <c r="A4921" t="s">
        <v>29344</v>
      </c>
      <c r="B4921" t="s">
        <v>8607</v>
      </c>
      <c r="C4921" t="s">
        <v>28839</v>
      </c>
      <c r="F4921" t="s">
        <v>26069</v>
      </c>
      <c r="G4921" t="s">
        <v>29345</v>
      </c>
    </row>
    <row r="4922" spans="1:7">
      <c r="A4922" t="s">
        <v>29346</v>
      </c>
      <c r="B4922" t="s">
        <v>8607</v>
      </c>
      <c r="F4922" t="s">
        <v>26072</v>
      </c>
      <c r="G4922" t="s">
        <v>29347</v>
      </c>
    </row>
    <row r="4923" spans="1:7">
      <c r="A4923" t="s">
        <v>29348</v>
      </c>
      <c r="B4923" t="s">
        <v>8607</v>
      </c>
      <c r="F4923" t="s">
        <v>26094</v>
      </c>
      <c r="G4923" t="s">
        <v>29349</v>
      </c>
    </row>
    <row r="4924" spans="1:7">
      <c r="A4924" t="s">
        <v>29350</v>
      </c>
      <c r="B4924" t="s">
        <v>8626</v>
      </c>
      <c r="F4924" t="s">
        <v>29351</v>
      </c>
      <c r="G4924" t="s">
        <v>29352</v>
      </c>
    </row>
    <row r="4925" spans="1:7">
      <c r="A4925" t="s">
        <v>29353</v>
      </c>
      <c r="B4925" t="s">
        <v>8626</v>
      </c>
      <c r="F4925" t="s">
        <v>29354</v>
      </c>
      <c r="G4925" t="s">
        <v>29355</v>
      </c>
    </row>
    <row r="4926" spans="1:7">
      <c r="A4926" t="s">
        <v>29356</v>
      </c>
      <c r="B4926" t="s">
        <v>8607</v>
      </c>
      <c r="C4926" t="s">
        <v>28991</v>
      </c>
      <c r="F4926" t="s">
        <v>8851</v>
      </c>
      <c r="G4926" t="s">
        <v>29357</v>
      </c>
    </row>
    <row r="4927" spans="1:7">
      <c r="A4927" t="s">
        <v>29358</v>
      </c>
      <c r="B4927" t="s">
        <v>8607</v>
      </c>
      <c r="C4927" t="s">
        <v>20054</v>
      </c>
      <c r="F4927" t="s">
        <v>8851</v>
      </c>
      <c r="G4927" t="s">
        <v>29359</v>
      </c>
    </row>
    <row r="4928" spans="1:7">
      <c r="A4928" t="s">
        <v>29360</v>
      </c>
      <c r="B4928" t="s">
        <v>8607</v>
      </c>
      <c r="F4928" t="s">
        <v>26625</v>
      </c>
      <c r="G4928" t="s">
        <v>26570</v>
      </c>
    </row>
    <row r="4929" spans="1:7">
      <c r="A4929" t="s">
        <v>29361</v>
      </c>
      <c r="B4929" t="s">
        <v>8607</v>
      </c>
      <c r="F4929" t="s">
        <v>26268</v>
      </c>
      <c r="G4929" t="s">
        <v>26269</v>
      </c>
    </row>
    <row r="4930" spans="1:7">
      <c r="A4930" t="s">
        <v>29362</v>
      </c>
      <c r="B4930" t="s">
        <v>8607</v>
      </c>
      <c r="G4930" t="s">
        <v>29363</v>
      </c>
    </row>
    <row r="4931" spans="1:7">
      <c r="A4931" t="s">
        <v>29364</v>
      </c>
      <c r="B4931" t="s">
        <v>8607</v>
      </c>
      <c r="G4931" t="s">
        <v>26789</v>
      </c>
    </row>
    <row r="4932" spans="1:7">
      <c r="A4932" t="s">
        <v>29365</v>
      </c>
      <c r="B4932" t="s">
        <v>8607</v>
      </c>
      <c r="G4932" t="s">
        <v>26794</v>
      </c>
    </row>
    <row r="4933" spans="1:7">
      <c r="A4933" t="s">
        <v>29366</v>
      </c>
      <c r="B4933" t="s">
        <v>8607</v>
      </c>
      <c r="F4933" t="s">
        <v>29367</v>
      </c>
      <c r="G4933" t="s">
        <v>26800</v>
      </c>
    </row>
    <row r="4934" spans="1:7">
      <c r="A4934" t="s">
        <v>29368</v>
      </c>
      <c r="B4934" t="s">
        <v>8626</v>
      </c>
      <c r="G4934" t="s">
        <v>29369</v>
      </c>
    </row>
    <row r="4935" spans="1:7">
      <c r="A4935" t="s">
        <v>29370</v>
      </c>
      <c r="B4935" t="s">
        <v>8607</v>
      </c>
      <c r="F4935" t="s">
        <v>26173</v>
      </c>
      <c r="G4935" t="s">
        <v>26782</v>
      </c>
    </row>
    <row r="4936" spans="1:7">
      <c r="A4936" t="s">
        <v>29371</v>
      </c>
      <c r="B4936" t="s">
        <v>8607</v>
      </c>
      <c r="G4936" t="s">
        <v>26572</v>
      </c>
    </row>
    <row r="4937" spans="1:7">
      <c r="A4937" t="s">
        <v>29372</v>
      </c>
      <c r="B4937" t="s">
        <v>8607</v>
      </c>
      <c r="F4937" t="s">
        <v>29373</v>
      </c>
      <c r="G4937" t="s">
        <v>29374</v>
      </c>
    </row>
    <row r="4938" spans="1:7">
      <c r="A4938" t="s">
        <v>29375</v>
      </c>
      <c r="B4938" t="s">
        <v>8607</v>
      </c>
      <c r="G4938" t="s">
        <v>26628</v>
      </c>
    </row>
    <row r="4939" spans="1:7">
      <c r="A4939" t="s">
        <v>29376</v>
      </c>
      <c r="B4939" t="s">
        <v>8607</v>
      </c>
      <c r="G4939" t="s">
        <v>22411</v>
      </c>
    </row>
    <row r="4940" spans="1:7">
      <c r="A4940" t="s">
        <v>29377</v>
      </c>
      <c r="B4940" t="s">
        <v>8607</v>
      </c>
      <c r="G4940" t="s">
        <v>29378</v>
      </c>
    </row>
    <row r="4941" spans="1:7">
      <c r="A4941" t="s">
        <v>29379</v>
      </c>
      <c r="B4941" t="s">
        <v>8607</v>
      </c>
      <c r="G4941" t="s">
        <v>29380</v>
      </c>
    </row>
    <row r="4942" spans="1:7">
      <c r="A4942" t="s">
        <v>29381</v>
      </c>
      <c r="B4942" t="s">
        <v>8607</v>
      </c>
      <c r="F4942" t="s">
        <v>17246</v>
      </c>
      <c r="G4942" t="s">
        <v>29382</v>
      </c>
    </row>
    <row r="4943" spans="1:7">
      <c r="A4943" t="s">
        <v>29383</v>
      </c>
      <c r="B4943" t="s">
        <v>8607</v>
      </c>
      <c r="G4943" t="s">
        <v>29384</v>
      </c>
    </row>
    <row r="4944" spans="1:7">
      <c r="A4944" t="s">
        <v>29385</v>
      </c>
      <c r="B4944" t="s">
        <v>8607</v>
      </c>
      <c r="F4944" t="s">
        <v>26474</v>
      </c>
      <c r="G4944" t="s">
        <v>26475</v>
      </c>
    </row>
    <row r="4945" spans="1:7">
      <c r="A4945" t="s">
        <v>29386</v>
      </c>
      <c r="B4945" t="s">
        <v>8607</v>
      </c>
      <c r="F4945" t="s">
        <v>8623</v>
      </c>
      <c r="G4945" t="s">
        <v>29387</v>
      </c>
    </row>
    <row r="4946" spans="1:7">
      <c r="A4946" t="s">
        <v>29388</v>
      </c>
      <c r="B4946" t="s">
        <v>8607</v>
      </c>
      <c r="F4946" t="s">
        <v>9018</v>
      </c>
      <c r="G4946" t="s">
        <v>29389</v>
      </c>
    </row>
    <row r="4947" spans="1:7">
      <c r="A4947" t="s">
        <v>29390</v>
      </c>
      <c r="B4947" t="s">
        <v>8607</v>
      </c>
      <c r="F4947" t="s">
        <v>26299</v>
      </c>
      <c r="G4947" t="s">
        <v>26438</v>
      </c>
    </row>
    <row r="4948" spans="1:7">
      <c r="A4948" t="s">
        <v>29391</v>
      </c>
      <c r="B4948" t="s">
        <v>8626</v>
      </c>
      <c r="F4948" t="s">
        <v>12216</v>
      </c>
      <c r="G4948" t="s">
        <v>29392</v>
      </c>
    </row>
    <row r="4949" spans="1:7">
      <c r="A4949" t="s">
        <v>29393</v>
      </c>
      <c r="B4949" t="s">
        <v>8607</v>
      </c>
      <c r="F4949" t="s">
        <v>23295</v>
      </c>
      <c r="G4949" t="s">
        <v>29394</v>
      </c>
    </row>
    <row r="4950" spans="1:7">
      <c r="A4950" t="s">
        <v>29395</v>
      </c>
      <c r="B4950" t="s">
        <v>8607</v>
      </c>
      <c r="F4950" t="s">
        <v>26843</v>
      </c>
      <c r="G4950" t="s">
        <v>29396</v>
      </c>
    </row>
    <row r="4951" spans="1:7">
      <c r="A4951" t="s">
        <v>29397</v>
      </c>
      <c r="B4951" t="s">
        <v>8626</v>
      </c>
      <c r="C4951" t="s">
        <v>28722</v>
      </c>
      <c r="F4951" t="s">
        <v>26207</v>
      </c>
      <c r="G4951" t="s">
        <v>29398</v>
      </c>
    </row>
    <row r="4952" spans="1:7">
      <c r="A4952" t="s">
        <v>29399</v>
      </c>
      <c r="B4952" t="s">
        <v>8626</v>
      </c>
      <c r="F4952" t="s">
        <v>29400</v>
      </c>
      <c r="G4952" t="s">
        <v>29401</v>
      </c>
    </row>
    <row r="4953" spans="1:7">
      <c r="A4953" t="s">
        <v>29402</v>
      </c>
      <c r="B4953" t="s">
        <v>8607</v>
      </c>
      <c r="C4953" t="s">
        <v>29403</v>
      </c>
      <c r="F4953" t="s">
        <v>27000</v>
      </c>
      <c r="G4953" t="s">
        <v>29404</v>
      </c>
    </row>
    <row r="4954" spans="1:7">
      <c r="A4954" t="s">
        <v>29405</v>
      </c>
      <c r="B4954" t="s">
        <v>8607</v>
      </c>
      <c r="F4954" t="s">
        <v>29406</v>
      </c>
      <c r="G4954" t="s">
        <v>29407</v>
      </c>
    </row>
    <row r="4955" spans="1:7">
      <c r="A4955" t="s">
        <v>29408</v>
      </c>
      <c r="B4955" t="s">
        <v>8607</v>
      </c>
      <c r="F4955" t="s">
        <v>29409</v>
      </c>
      <c r="G4955" t="s">
        <v>29410</v>
      </c>
    </row>
    <row r="4956" spans="1:7">
      <c r="A4956" t="s">
        <v>29411</v>
      </c>
      <c r="B4956" t="s">
        <v>8626</v>
      </c>
      <c r="F4956" t="s">
        <v>26555</v>
      </c>
      <c r="G4956" t="s">
        <v>29412</v>
      </c>
    </row>
    <row r="4957" spans="1:7">
      <c r="A4957" t="s">
        <v>29413</v>
      </c>
      <c r="B4957" t="s">
        <v>8607</v>
      </c>
      <c r="F4957" t="s">
        <v>26558</v>
      </c>
      <c r="G4957" t="s">
        <v>29414</v>
      </c>
    </row>
    <row r="4958" spans="1:7">
      <c r="A4958" t="s">
        <v>29415</v>
      </c>
      <c r="B4958" t="s">
        <v>8607</v>
      </c>
      <c r="C4958" t="s">
        <v>29416</v>
      </c>
      <c r="F4958" t="s">
        <v>17349</v>
      </c>
      <c r="G4958" t="s">
        <v>29417</v>
      </c>
    </row>
    <row r="4959" spans="1:7">
      <c r="A4959" t="s">
        <v>29418</v>
      </c>
      <c r="B4959" t="s">
        <v>8607</v>
      </c>
      <c r="F4959" t="s">
        <v>29419</v>
      </c>
      <c r="G4959" t="s">
        <v>29420</v>
      </c>
    </row>
    <row r="4960" spans="1:7">
      <c r="A4960" t="s">
        <v>29421</v>
      </c>
      <c r="B4960" t="s">
        <v>8626</v>
      </c>
      <c r="G4960" t="s">
        <v>29422</v>
      </c>
    </row>
    <row r="4961" spans="1:7">
      <c r="A4961" t="s">
        <v>29423</v>
      </c>
      <c r="B4961" t="s">
        <v>8626</v>
      </c>
      <c r="F4961" t="s">
        <v>27323</v>
      </c>
      <c r="G4961" t="s">
        <v>29424</v>
      </c>
    </row>
    <row r="4962" spans="1:7">
      <c r="A4962" t="s">
        <v>29425</v>
      </c>
      <c r="B4962" t="s">
        <v>8607</v>
      </c>
      <c r="F4962" t="s">
        <v>27969</v>
      </c>
      <c r="G4962" t="s">
        <v>29426</v>
      </c>
    </row>
    <row r="4963" spans="1:7">
      <c r="A4963" t="s">
        <v>29427</v>
      </c>
      <c r="B4963" t="s">
        <v>8607</v>
      </c>
      <c r="F4963" t="s">
        <v>26024</v>
      </c>
      <c r="G4963" t="s">
        <v>29428</v>
      </c>
    </row>
    <row r="4964" spans="1:7">
      <c r="A4964" t="s">
        <v>29429</v>
      </c>
      <c r="B4964" t="s">
        <v>8626</v>
      </c>
      <c r="F4964" t="s">
        <v>29430</v>
      </c>
      <c r="G4964" t="s">
        <v>29431</v>
      </c>
    </row>
    <row r="4965" spans="1:7">
      <c r="A4965" t="s">
        <v>29432</v>
      </c>
      <c r="B4965" t="s">
        <v>8607</v>
      </c>
      <c r="F4965" t="s">
        <v>29430</v>
      </c>
      <c r="G4965" t="s">
        <v>29433</v>
      </c>
    </row>
    <row r="4966" spans="1:7">
      <c r="A4966" t="s">
        <v>29434</v>
      </c>
      <c r="B4966" t="s">
        <v>8607</v>
      </c>
      <c r="F4966" t="s">
        <v>26654</v>
      </c>
      <c r="G4966" t="s">
        <v>29435</v>
      </c>
    </row>
    <row r="4967" spans="1:7">
      <c r="A4967" t="s">
        <v>29436</v>
      </c>
      <c r="G4967" t="s">
        <v>29437</v>
      </c>
    </row>
    <row r="4968" spans="1:7">
      <c r="A4968" t="s">
        <v>29438</v>
      </c>
      <c r="B4968" t="s">
        <v>8626</v>
      </c>
      <c r="F4968" t="s">
        <v>24785</v>
      </c>
      <c r="G4968" t="s">
        <v>29439</v>
      </c>
    </row>
    <row r="4969" spans="1:7">
      <c r="A4969" t="s">
        <v>29440</v>
      </c>
      <c r="B4969" t="s">
        <v>8626</v>
      </c>
      <c r="F4969" t="s">
        <v>28380</v>
      </c>
      <c r="G4969" t="s">
        <v>29441</v>
      </c>
    </row>
    <row r="4970" spans="1:7">
      <c r="A4970" t="s">
        <v>29442</v>
      </c>
      <c r="B4970" t="s">
        <v>8607</v>
      </c>
      <c r="F4970" t="s">
        <v>27020</v>
      </c>
      <c r="G4970" t="s">
        <v>27021</v>
      </c>
    </row>
    <row r="4971" spans="1:7">
      <c r="A4971" t="s">
        <v>29443</v>
      </c>
      <c r="B4971" t="s">
        <v>8607</v>
      </c>
      <c r="F4971" t="s">
        <v>9018</v>
      </c>
      <c r="G4971" t="s">
        <v>18567</v>
      </c>
    </row>
    <row r="4972" spans="1:7">
      <c r="A4972" t="s">
        <v>29444</v>
      </c>
      <c r="G4972" t="s">
        <v>29445</v>
      </c>
    </row>
    <row r="4973" spans="1:7">
      <c r="A4973" t="s">
        <v>29446</v>
      </c>
      <c r="B4973" t="s">
        <v>8607</v>
      </c>
      <c r="F4973" t="s">
        <v>29013</v>
      </c>
      <c r="G4973" t="s">
        <v>29014</v>
      </c>
    </row>
    <row r="4974" spans="1:7">
      <c r="A4974" t="s">
        <v>29447</v>
      </c>
      <c r="B4974" t="s">
        <v>8607</v>
      </c>
      <c r="F4974" t="s">
        <v>9018</v>
      </c>
      <c r="G4974" t="s">
        <v>18567</v>
      </c>
    </row>
    <row r="4975" spans="1:7">
      <c r="A4975" t="s">
        <v>29448</v>
      </c>
      <c r="B4975" t="s">
        <v>8607</v>
      </c>
      <c r="C4975" t="s">
        <v>14622</v>
      </c>
      <c r="F4975" t="s">
        <v>9018</v>
      </c>
      <c r="G4975" t="s">
        <v>18567</v>
      </c>
    </row>
    <row r="4976" spans="1:7">
      <c r="A4976" t="s">
        <v>29449</v>
      </c>
      <c r="B4976" t="s">
        <v>8607</v>
      </c>
      <c r="C4976" t="s">
        <v>26669</v>
      </c>
      <c r="F4976" t="s">
        <v>26670</v>
      </c>
      <c r="G4976" t="s">
        <v>29450</v>
      </c>
    </row>
    <row r="4977" spans="1:7">
      <c r="A4977" t="s">
        <v>29451</v>
      </c>
      <c r="B4977" t="s">
        <v>8607</v>
      </c>
      <c r="C4977" t="s">
        <v>29299</v>
      </c>
      <c r="F4977" t="s">
        <v>26937</v>
      </c>
      <c r="G4977" t="s">
        <v>29452</v>
      </c>
    </row>
    <row r="4978" spans="1:7">
      <c r="A4978" t="s">
        <v>29453</v>
      </c>
      <c r="B4978" t="s">
        <v>8607</v>
      </c>
      <c r="F4978" t="s">
        <v>29314</v>
      </c>
      <c r="G4978" t="s">
        <v>29454</v>
      </c>
    </row>
    <row r="4979" spans="1:7">
      <c r="A4979" t="s">
        <v>29455</v>
      </c>
      <c r="B4979" t="s">
        <v>8607</v>
      </c>
      <c r="G4979" t="s">
        <v>29456</v>
      </c>
    </row>
    <row r="4980" spans="1:7">
      <c r="A4980" t="s">
        <v>29457</v>
      </c>
      <c r="B4980" t="s">
        <v>8607</v>
      </c>
      <c r="C4980" t="s">
        <v>24008</v>
      </c>
      <c r="F4980" t="s">
        <v>17305</v>
      </c>
      <c r="G4980" t="s">
        <v>29458</v>
      </c>
    </row>
    <row r="4981" spans="1:7">
      <c r="A4981" t="s">
        <v>29459</v>
      </c>
      <c r="B4981" t="s">
        <v>8607</v>
      </c>
      <c r="C4981" t="s">
        <v>29460</v>
      </c>
      <c r="F4981" t="s">
        <v>23756</v>
      </c>
      <c r="G4981" t="s">
        <v>23776</v>
      </c>
    </row>
    <row r="4982" spans="1:7">
      <c r="A4982" t="s">
        <v>29461</v>
      </c>
      <c r="B4982" t="s">
        <v>8607</v>
      </c>
      <c r="C4982" t="s">
        <v>26087</v>
      </c>
      <c r="F4982" t="s">
        <v>26088</v>
      </c>
      <c r="G4982" t="s">
        <v>29462</v>
      </c>
    </row>
    <row r="4983" spans="1:7">
      <c r="A4983" t="s">
        <v>29463</v>
      </c>
      <c r="B4983" t="s">
        <v>8607</v>
      </c>
      <c r="C4983" t="s">
        <v>29464</v>
      </c>
      <c r="F4983" t="s">
        <v>26091</v>
      </c>
      <c r="G4983" t="s">
        <v>29465</v>
      </c>
    </row>
    <row r="4984" spans="1:7">
      <c r="A4984" t="s">
        <v>29466</v>
      </c>
      <c r="B4984" t="s">
        <v>8607</v>
      </c>
      <c r="C4984" t="s">
        <v>26119</v>
      </c>
      <c r="F4984" t="s">
        <v>26120</v>
      </c>
      <c r="G4984" t="s">
        <v>29467</v>
      </c>
    </row>
    <row r="4985" spans="1:7">
      <c r="A4985" t="s">
        <v>29468</v>
      </c>
      <c r="B4985" t="s">
        <v>8607</v>
      </c>
      <c r="C4985" t="s">
        <v>26661</v>
      </c>
      <c r="F4985" t="s">
        <v>26365</v>
      </c>
      <c r="G4985" t="s">
        <v>29469</v>
      </c>
    </row>
    <row r="4986" spans="1:7">
      <c r="A4986" t="s">
        <v>29470</v>
      </c>
      <c r="B4986" t="s">
        <v>8607</v>
      </c>
      <c r="C4986" t="s">
        <v>27410</v>
      </c>
      <c r="F4986" t="s">
        <v>27411</v>
      </c>
      <c r="G4986" t="s">
        <v>29471</v>
      </c>
    </row>
    <row r="4987" spans="1:7">
      <c r="A4987" t="s">
        <v>29472</v>
      </c>
      <c r="B4987" t="s">
        <v>8607</v>
      </c>
      <c r="C4987" t="s">
        <v>27504</v>
      </c>
      <c r="F4987" t="s">
        <v>26291</v>
      </c>
      <c r="G4987" t="s">
        <v>29473</v>
      </c>
    </row>
    <row r="4988" spans="1:7">
      <c r="A4988" t="s">
        <v>29474</v>
      </c>
      <c r="B4988" t="s">
        <v>8607</v>
      </c>
      <c r="F4988" t="s">
        <v>26099</v>
      </c>
      <c r="G4988" t="s">
        <v>29475</v>
      </c>
    </row>
    <row r="4989" spans="1:7">
      <c r="A4989" t="s">
        <v>29476</v>
      </c>
      <c r="B4989" t="s">
        <v>8607</v>
      </c>
      <c r="G4989" t="s">
        <v>29477</v>
      </c>
    </row>
    <row r="4990" spans="1:7">
      <c r="A4990" t="s">
        <v>29478</v>
      </c>
      <c r="B4990" t="s">
        <v>8607</v>
      </c>
      <c r="F4990" t="s">
        <v>26091</v>
      </c>
      <c r="G4990" t="s">
        <v>29479</v>
      </c>
    </row>
    <row r="4991" spans="1:7">
      <c r="A4991" t="s">
        <v>29480</v>
      </c>
      <c r="B4991" t="s">
        <v>8607</v>
      </c>
      <c r="F4991" t="s">
        <v>27402</v>
      </c>
      <c r="G4991" t="s">
        <v>29481</v>
      </c>
    </row>
    <row r="4992" spans="1:7">
      <c r="A4992" t="s">
        <v>29482</v>
      </c>
      <c r="B4992" t="s">
        <v>8607</v>
      </c>
      <c r="C4992" t="s">
        <v>27405</v>
      </c>
      <c r="F4992" t="s">
        <v>9002</v>
      </c>
      <c r="G4992" t="s">
        <v>29483</v>
      </c>
    </row>
    <row r="4993" spans="1:7">
      <c r="A4993" t="s">
        <v>29484</v>
      </c>
      <c r="B4993" t="s">
        <v>8607</v>
      </c>
      <c r="F4993" t="s">
        <v>26519</v>
      </c>
      <c r="G4993" t="s">
        <v>29485</v>
      </c>
    </row>
    <row r="4994" spans="1:7">
      <c r="A4994" t="s">
        <v>29486</v>
      </c>
      <c r="B4994" t="s">
        <v>8607</v>
      </c>
      <c r="C4994" t="s">
        <v>18983</v>
      </c>
      <c r="F4994" t="s">
        <v>12862</v>
      </c>
      <c r="G4994" t="s">
        <v>29487</v>
      </c>
    </row>
    <row r="4995" spans="1:7">
      <c r="A4995" t="s">
        <v>29488</v>
      </c>
      <c r="B4995" t="s">
        <v>8607</v>
      </c>
      <c r="F4995" t="s">
        <v>26069</v>
      </c>
      <c r="G4995" t="s">
        <v>29489</v>
      </c>
    </row>
    <row r="4996" spans="1:7">
      <c r="A4996" t="s">
        <v>29490</v>
      </c>
      <c r="B4996" t="s">
        <v>8607</v>
      </c>
      <c r="C4996" t="s">
        <v>20125</v>
      </c>
      <c r="F4996" t="s">
        <v>15811</v>
      </c>
      <c r="G4996" t="s">
        <v>29491</v>
      </c>
    </row>
    <row r="4997" spans="1:7">
      <c r="A4997" t="s">
        <v>29492</v>
      </c>
      <c r="B4997" t="s">
        <v>8626</v>
      </c>
      <c r="F4997" t="s">
        <v>27930</v>
      </c>
      <c r="G4997" t="s">
        <v>29493</v>
      </c>
    </row>
    <row r="4998" spans="1:7">
      <c r="A4998" t="s">
        <v>29494</v>
      </c>
      <c r="B4998" t="s">
        <v>8607</v>
      </c>
      <c r="F4998" t="s">
        <v>15549</v>
      </c>
      <c r="G4998" t="s">
        <v>23219</v>
      </c>
    </row>
    <row r="4999" spans="1:7">
      <c r="A4999" t="s">
        <v>29495</v>
      </c>
      <c r="B4999" t="s">
        <v>8626</v>
      </c>
      <c r="F4999" t="s">
        <v>29496</v>
      </c>
      <c r="G4999" t="s">
        <v>29497</v>
      </c>
    </row>
    <row r="5000" spans="1:7">
      <c r="A5000" t="s">
        <v>29498</v>
      </c>
      <c r="B5000" t="s">
        <v>8607</v>
      </c>
      <c r="F5000" t="s">
        <v>26204</v>
      </c>
      <c r="G5000" t="s">
        <v>26205</v>
      </c>
    </row>
    <row r="5001" spans="1:7">
      <c r="A5001" t="s">
        <v>29499</v>
      </c>
      <c r="B5001" t="s">
        <v>8626</v>
      </c>
      <c r="C5001" t="s">
        <v>14803</v>
      </c>
      <c r="F5001" t="s">
        <v>12464</v>
      </c>
      <c r="G5001" t="s">
        <v>29500</v>
      </c>
    </row>
    <row r="5002" spans="1:7">
      <c r="A5002" t="s">
        <v>29501</v>
      </c>
      <c r="B5002" t="s">
        <v>8626</v>
      </c>
      <c r="F5002" t="s">
        <v>18429</v>
      </c>
      <c r="G5002" t="s">
        <v>29502</v>
      </c>
    </row>
    <row r="5003" spans="1:7">
      <c r="A5003" t="s">
        <v>29503</v>
      </c>
      <c r="B5003" t="s">
        <v>8607</v>
      </c>
      <c r="F5003" t="s">
        <v>29504</v>
      </c>
      <c r="G5003" t="s">
        <v>29505</v>
      </c>
    </row>
    <row r="5004" spans="1:7">
      <c r="A5004" t="s">
        <v>29506</v>
      </c>
      <c r="B5004" t="s">
        <v>8626</v>
      </c>
      <c r="C5004" t="s">
        <v>28978</v>
      </c>
      <c r="F5004" t="s">
        <v>28979</v>
      </c>
      <c r="G5004" t="s">
        <v>29507</v>
      </c>
    </row>
    <row r="5005" spans="1:7">
      <c r="A5005" t="s">
        <v>29508</v>
      </c>
      <c r="B5005" t="s">
        <v>8607</v>
      </c>
      <c r="C5005" t="s">
        <v>20242</v>
      </c>
      <c r="F5005" t="s">
        <v>9378</v>
      </c>
      <c r="G5005" t="s">
        <v>29509</v>
      </c>
    </row>
    <row r="5006" spans="1:7">
      <c r="A5006" t="s">
        <v>29510</v>
      </c>
      <c r="B5006" t="s">
        <v>8607</v>
      </c>
      <c r="F5006" t="s">
        <v>28984</v>
      </c>
      <c r="G5006" t="s">
        <v>29511</v>
      </c>
    </row>
    <row r="5007" spans="1:7">
      <c r="A5007" t="s">
        <v>29512</v>
      </c>
      <c r="B5007" t="s">
        <v>8607</v>
      </c>
      <c r="C5007" t="s">
        <v>29513</v>
      </c>
      <c r="F5007" t="s">
        <v>28988</v>
      </c>
      <c r="G5007" t="s">
        <v>29514</v>
      </c>
    </row>
    <row r="5008" spans="1:7">
      <c r="A5008" t="s">
        <v>29515</v>
      </c>
      <c r="B5008" t="s">
        <v>8626</v>
      </c>
      <c r="G5008" t="s">
        <v>26294</v>
      </c>
    </row>
    <row r="5009" spans="1:7">
      <c r="A5009" t="s">
        <v>29516</v>
      </c>
      <c r="B5009" t="s">
        <v>8607</v>
      </c>
      <c r="C5009" t="s">
        <v>24008</v>
      </c>
      <c r="F5009" t="s">
        <v>17305</v>
      </c>
      <c r="G5009" t="s">
        <v>29517</v>
      </c>
    </row>
    <row r="5010" spans="1:7">
      <c r="A5010" t="s">
        <v>29518</v>
      </c>
      <c r="B5010" t="s">
        <v>8607</v>
      </c>
      <c r="G5010" t="s">
        <v>29519</v>
      </c>
    </row>
    <row r="5011" spans="1:7">
      <c r="A5011" t="s">
        <v>29520</v>
      </c>
      <c r="B5011" t="s">
        <v>8626</v>
      </c>
      <c r="F5011" t="s">
        <v>29521</v>
      </c>
      <c r="G5011" t="s">
        <v>29522</v>
      </c>
    </row>
    <row r="5012" spans="1:7">
      <c r="A5012" t="s">
        <v>29523</v>
      </c>
      <c r="B5012" t="s">
        <v>8607</v>
      </c>
      <c r="F5012" t="s">
        <v>26675</v>
      </c>
      <c r="G5012" t="s">
        <v>29524</v>
      </c>
    </row>
    <row r="5013" spans="1:7">
      <c r="A5013" t="s">
        <v>29525</v>
      </c>
      <c r="G5013" t="s">
        <v>29526</v>
      </c>
    </row>
    <row r="5014" spans="1:7">
      <c r="A5014" t="s">
        <v>29527</v>
      </c>
      <c r="B5014" t="s">
        <v>8607</v>
      </c>
      <c r="G5014" t="s">
        <v>29528</v>
      </c>
    </row>
    <row r="5015" spans="1:7">
      <c r="A5015" t="s">
        <v>29529</v>
      </c>
      <c r="B5015" t="s">
        <v>8607</v>
      </c>
      <c r="F5015" t="s">
        <v>26751</v>
      </c>
      <c r="G5015" t="s">
        <v>29530</v>
      </c>
    </row>
    <row r="5016" spans="1:7">
      <c r="A5016" t="s">
        <v>29531</v>
      </c>
      <c r="B5016" t="s">
        <v>8607</v>
      </c>
      <c r="F5016" t="s">
        <v>27722</v>
      </c>
      <c r="G5016" t="s">
        <v>29532</v>
      </c>
    </row>
    <row r="5017" spans="1:7">
      <c r="A5017" t="s">
        <v>29533</v>
      </c>
      <c r="B5017" t="s">
        <v>8607</v>
      </c>
      <c r="G5017" t="s">
        <v>29534</v>
      </c>
    </row>
    <row r="5018" spans="1:7">
      <c r="A5018" t="s">
        <v>29535</v>
      </c>
      <c r="B5018" t="s">
        <v>8607</v>
      </c>
      <c r="F5018" t="s">
        <v>29536</v>
      </c>
      <c r="G5018" t="s">
        <v>29537</v>
      </c>
    </row>
    <row r="5019" spans="1:7">
      <c r="A5019" t="s">
        <v>29538</v>
      </c>
      <c r="B5019" t="s">
        <v>8607</v>
      </c>
      <c r="F5019" t="s">
        <v>26754</v>
      </c>
      <c r="G5019" t="s">
        <v>29539</v>
      </c>
    </row>
    <row r="5020" spans="1:7">
      <c r="A5020" t="s">
        <v>29540</v>
      </c>
      <c r="B5020" t="s">
        <v>8607</v>
      </c>
      <c r="C5020" t="s">
        <v>27078</v>
      </c>
      <c r="F5020" t="s">
        <v>19996</v>
      </c>
      <c r="G5020" t="s">
        <v>29541</v>
      </c>
    </row>
    <row r="5021" spans="1:7">
      <c r="A5021" t="s">
        <v>29542</v>
      </c>
      <c r="B5021" t="s">
        <v>8607</v>
      </c>
      <c r="F5021" t="s">
        <v>28228</v>
      </c>
      <c r="G5021" t="s">
        <v>29543</v>
      </c>
    </row>
    <row r="5022" spans="1:7">
      <c r="A5022" t="s">
        <v>29544</v>
      </c>
      <c r="B5022" t="s">
        <v>8607</v>
      </c>
      <c r="C5022" t="s">
        <v>17997</v>
      </c>
      <c r="F5022" t="s">
        <v>29545</v>
      </c>
      <c r="G5022" t="s">
        <v>29546</v>
      </c>
    </row>
    <row r="5023" spans="1:7">
      <c r="A5023" t="s">
        <v>29547</v>
      </c>
      <c r="B5023" t="s">
        <v>8626</v>
      </c>
      <c r="C5023" t="s">
        <v>28634</v>
      </c>
      <c r="F5023" t="s">
        <v>28097</v>
      </c>
      <c r="G5023" t="s">
        <v>29548</v>
      </c>
    </row>
    <row r="5024" spans="1:7">
      <c r="A5024" t="s">
        <v>29549</v>
      </c>
      <c r="B5024" t="s">
        <v>8607</v>
      </c>
      <c r="F5024" t="s">
        <v>29550</v>
      </c>
      <c r="G5024" t="s">
        <v>29551</v>
      </c>
    </row>
    <row r="5025" spans="1:7">
      <c r="A5025" t="s">
        <v>29552</v>
      </c>
      <c r="B5025" t="s">
        <v>8607</v>
      </c>
      <c r="C5025" t="s">
        <v>20904</v>
      </c>
      <c r="F5025" t="s">
        <v>14108</v>
      </c>
      <c r="G5025" t="s">
        <v>29553</v>
      </c>
    </row>
    <row r="5026" spans="1:7">
      <c r="A5026" t="s">
        <v>29554</v>
      </c>
      <c r="B5026" t="s">
        <v>8626</v>
      </c>
      <c r="F5026" t="s">
        <v>29555</v>
      </c>
      <c r="G5026" t="s">
        <v>29556</v>
      </c>
    </row>
    <row r="5027" spans="1:7">
      <c r="A5027" t="s">
        <v>29557</v>
      </c>
      <c r="B5027" t="s">
        <v>8607</v>
      </c>
      <c r="F5027" t="s">
        <v>15202</v>
      </c>
      <c r="G5027" t="s">
        <v>21468</v>
      </c>
    </row>
    <row r="5028" spans="1:7">
      <c r="A5028" t="s">
        <v>29558</v>
      </c>
      <c r="B5028" t="s">
        <v>8626</v>
      </c>
      <c r="F5028" t="s">
        <v>29559</v>
      </c>
      <c r="G5028" t="s">
        <v>29560</v>
      </c>
    </row>
    <row r="5029" spans="1:7">
      <c r="A5029" t="s">
        <v>29561</v>
      </c>
      <c r="B5029" t="s">
        <v>8607</v>
      </c>
      <c r="F5029" t="s">
        <v>26091</v>
      </c>
      <c r="G5029" t="s">
        <v>29562</v>
      </c>
    </row>
    <row r="5030" spans="1:7">
      <c r="A5030" t="s">
        <v>29563</v>
      </c>
      <c r="B5030" t="s">
        <v>8607</v>
      </c>
      <c r="F5030" t="s">
        <v>26094</v>
      </c>
      <c r="G5030" t="s">
        <v>29564</v>
      </c>
    </row>
    <row r="5031" spans="1:7">
      <c r="A5031" t="s">
        <v>29565</v>
      </c>
      <c r="B5031" t="s">
        <v>8607</v>
      </c>
      <c r="G5031" t="s">
        <v>29566</v>
      </c>
    </row>
    <row r="5032" spans="1:7">
      <c r="A5032" t="s">
        <v>29567</v>
      </c>
      <c r="B5032" t="s">
        <v>8607</v>
      </c>
      <c r="F5032" t="s">
        <v>29568</v>
      </c>
      <c r="G5032" t="s">
        <v>29456</v>
      </c>
    </row>
    <row r="5033" spans="1:7">
      <c r="A5033" t="s">
        <v>29569</v>
      </c>
      <c r="B5033" t="s">
        <v>8626</v>
      </c>
      <c r="G5033" t="s">
        <v>29570</v>
      </c>
    </row>
    <row r="5034" spans="1:7">
      <c r="A5034" t="s">
        <v>29571</v>
      </c>
      <c r="B5034" t="s">
        <v>8607</v>
      </c>
      <c r="F5034" t="s">
        <v>29119</v>
      </c>
      <c r="G5034" t="s">
        <v>29572</v>
      </c>
    </row>
    <row r="5035" spans="1:7">
      <c r="A5035" t="s">
        <v>29573</v>
      </c>
      <c r="B5035" t="s">
        <v>8607</v>
      </c>
      <c r="C5035" t="s">
        <v>29186</v>
      </c>
      <c r="F5035" t="s">
        <v>10676</v>
      </c>
      <c r="G5035" t="s">
        <v>29574</v>
      </c>
    </row>
    <row r="5036" spans="1:7">
      <c r="A5036" t="s">
        <v>29575</v>
      </c>
      <c r="B5036" t="s">
        <v>8626</v>
      </c>
      <c r="F5036" t="s">
        <v>23160</v>
      </c>
      <c r="G5036" t="s">
        <v>26050</v>
      </c>
    </row>
    <row r="5037" spans="1:7">
      <c r="A5037" t="s">
        <v>29576</v>
      </c>
      <c r="B5037" t="s">
        <v>8626</v>
      </c>
      <c r="F5037" t="s">
        <v>9018</v>
      </c>
      <c r="G5037" t="s">
        <v>29577</v>
      </c>
    </row>
    <row r="5038" spans="1:7">
      <c r="A5038" t="s">
        <v>29578</v>
      </c>
      <c r="B5038" t="s">
        <v>8607</v>
      </c>
      <c r="F5038" t="s">
        <v>29579</v>
      </c>
      <c r="G5038" t="s">
        <v>29580</v>
      </c>
    </row>
    <row r="5039" spans="1:7">
      <c r="A5039" t="s">
        <v>29581</v>
      </c>
      <c r="B5039" t="s">
        <v>8607</v>
      </c>
      <c r="F5039" t="s">
        <v>29207</v>
      </c>
      <c r="G5039" t="s">
        <v>29582</v>
      </c>
    </row>
    <row r="5040" spans="1:7">
      <c r="A5040" t="s">
        <v>29583</v>
      </c>
      <c r="B5040" t="s">
        <v>8607</v>
      </c>
      <c r="G5040" t="s">
        <v>29584</v>
      </c>
    </row>
    <row r="5041" spans="1:7">
      <c r="A5041" t="s">
        <v>29585</v>
      </c>
      <c r="B5041" t="s">
        <v>8626</v>
      </c>
      <c r="F5041" t="s">
        <v>13832</v>
      </c>
      <c r="G5041" t="s">
        <v>29586</v>
      </c>
    </row>
    <row r="5042" spans="1:7">
      <c r="A5042" t="s">
        <v>29587</v>
      </c>
      <c r="B5042" t="s">
        <v>8607</v>
      </c>
      <c r="C5042" t="s">
        <v>29588</v>
      </c>
      <c r="F5042" t="s">
        <v>9018</v>
      </c>
      <c r="G5042" t="s">
        <v>29589</v>
      </c>
    </row>
    <row r="5043" spans="1:7">
      <c r="A5043" t="s">
        <v>29590</v>
      </c>
      <c r="B5043" t="s">
        <v>8607</v>
      </c>
      <c r="C5043" t="s">
        <v>28991</v>
      </c>
      <c r="F5043" t="s">
        <v>8851</v>
      </c>
      <c r="G5043" t="s">
        <v>29591</v>
      </c>
    </row>
    <row r="5044" spans="1:7">
      <c r="A5044" t="s">
        <v>29592</v>
      </c>
      <c r="B5044" t="s">
        <v>8607</v>
      </c>
      <c r="C5044" t="s">
        <v>20054</v>
      </c>
      <c r="F5044" t="s">
        <v>8851</v>
      </c>
      <c r="G5044" t="s">
        <v>29591</v>
      </c>
    </row>
    <row r="5045" spans="1:7">
      <c r="A5045" t="s">
        <v>29593</v>
      </c>
      <c r="B5045" t="s">
        <v>8607</v>
      </c>
      <c r="C5045" t="s">
        <v>29179</v>
      </c>
      <c r="F5045" t="s">
        <v>17320</v>
      </c>
      <c r="G5045" t="s">
        <v>29594</v>
      </c>
    </row>
    <row r="5046" spans="1:7">
      <c r="A5046" t="s">
        <v>29595</v>
      </c>
      <c r="B5046" t="s">
        <v>8626</v>
      </c>
      <c r="C5046" t="s">
        <v>26315</v>
      </c>
      <c r="F5046" t="s">
        <v>17320</v>
      </c>
      <c r="G5046" t="s">
        <v>29596</v>
      </c>
    </row>
    <row r="5047" spans="1:7">
      <c r="A5047" t="s">
        <v>29597</v>
      </c>
      <c r="B5047" t="s">
        <v>8607</v>
      </c>
      <c r="C5047" t="s">
        <v>26083</v>
      </c>
      <c r="F5047" t="s">
        <v>26084</v>
      </c>
      <c r="G5047" t="s">
        <v>29598</v>
      </c>
    </row>
    <row r="5048" spans="1:7">
      <c r="A5048" t="s">
        <v>29599</v>
      </c>
      <c r="B5048" t="s">
        <v>8607</v>
      </c>
      <c r="F5048" t="s">
        <v>27193</v>
      </c>
      <c r="G5048" t="s">
        <v>27194</v>
      </c>
    </row>
    <row r="5049" spans="1:7">
      <c r="A5049" t="s">
        <v>29600</v>
      </c>
      <c r="B5049" t="s">
        <v>8607</v>
      </c>
      <c r="F5049" t="s">
        <v>29601</v>
      </c>
      <c r="G5049" t="s">
        <v>29602</v>
      </c>
    </row>
    <row r="5050" spans="1:7">
      <c r="A5050" t="s">
        <v>29603</v>
      </c>
      <c r="B5050" t="s">
        <v>8607</v>
      </c>
      <c r="F5050" t="s">
        <v>27196</v>
      </c>
      <c r="G5050" t="s">
        <v>27197</v>
      </c>
    </row>
    <row r="5051" spans="1:7">
      <c r="A5051" t="s">
        <v>29604</v>
      </c>
      <c r="B5051" t="s">
        <v>8607</v>
      </c>
      <c r="F5051" t="s">
        <v>19996</v>
      </c>
      <c r="G5051" t="s">
        <v>29605</v>
      </c>
    </row>
    <row r="5052" spans="1:7">
      <c r="A5052" t="s">
        <v>29606</v>
      </c>
      <c r="B5052" t="s">
        <v>8607</v>
      </c>
      <c r="G5052" t="s">
        <v>29607</v>
      </c>
    </row>
    <row r="5053" spans="1:7">
      <c r="A5053" t="s">
        <v>29608</v>
      </c>
      <c r="B5053" t="s">
        <v>8607</v>
      </c>
      <c r="F5053" t="s">
        <v>26072</v>
      </c>
      <c r="G5053" t="s">
        <v>29609</v>
      </c>
    </row>
    <row r="5054" spans="1:7">
      <c r="A5054" t="s">
        <v>29610</v>
      </c>
      <c r="B5054" t="s">
        <v>8607</v>
      </c>
      <c r="F5054" t="s">
        <v>17760</v>
      </c>
      <c r="G5054" t="s">
        <v>29611</v>
      </c>
    </row>
    <row r="5055" spans="1:7">
      <c r="A5055" t="s">
        <v>29612</v>
      </c>
      <c r="B5055" t="s">
        <v>8607</v>
      </c>
      <c r="F5055" t="s">
        <v>13312</v>
      </c>
      <c r="G5055" t="s">
        <v>29613</v>
      </c>
    </row>
    <row r="5056" spans="1:7">
      <c r="A5056" t="s">
        <v>29614</v>
      </c>
      <c r="B5056" t="s">
        <v>8607</v>
      </c>
      <c r="G5056" t="s">
        <v>29615</v>
      </c>
    </row>
    <row r="5057" spans="1:7">
      <c r="A5057" t="s">
        <v>29616</v>
      </c>
      <c r="B5057" t="s">
        <v>8607</v>
      </c>
      <c r="C5057" t="s">
        <v>26080</v>
      </c>
      <c r="F5057" t="s">
        <v>23667</v>
      </c>
      <c r="G5057" t="s">
        <v>29617</v>
      </c>
    </row>
    <row r="5058" spans="1:7">
      <c r="A5058" t="s">
        <v>29618</v>
      </c>
      <c r="B5058" t="s">
        <v>8607</v>
      </c>
      <c r="F5058" t="s">
        <v>28852</v>
      </c>
      <c r="G5058" t="s">
        <v>29222</v>
      </c>
    </row>
    <row r="5059" spans="1:7">
      <c r="A5059" t="s">
        <v>29619</v>
      </c>
      <c r="B5059" t="s">
        <v>8607</v>
      </c>
      <c r="F5059" t="s">
        <v>28856</v>
      </c>
      <c r="G5059" t="s">
        <v>29620</v>
      </c>
    </row>
    <row r="5060" spans="1:7">
      <c r="A5060" t="s">
        <v>29621</v>
      </c>
      <c r="B5060" t="s">
        <v>8607</v>
      </c>
      <c r="F5060" t="s">
        <v>22981</v>
      </c>
      <c r="G5060" t="s">
        <v>29622</v>
      </c>
    </row>
    <row r="5061" spans="1:7">
      <c r="A5061" t="s">
        <v>29623</v>
      </c>
      <c r="B5061" t="s">
        <v>8607</v>
      </c>
      <c r="G5061" t="s">
        <v>29624</v>
      </c>
    </row>
    <row r="5062" spans="1:7">
      <c r="A5062" t="s">
        <v>29625</v>
      </c>
      <c r="B5062" t="s">
        <v>8607</v>
      </c>
      <c r="F5062" t="s">
        <v>26299</v>
      </c>
      <c r="G5062" t="s">
        <v>29626</v>
      </c>
    </row>
    <row r="5063" spans="1:7">
      <c r="A5063" t="s">
        <v>29627</v>
      </c>
      <c r="B5063" t="s">
        <v>8626</v>
      </c>
      <c r="G5063" t="s">
        <v>29628</v>
      </c>
    </row>
    <row r="5064" spans="1:7">
      <c r="A5064" t="s">
        <v>29629</v>
      </c>
      <c r="B5064" t="s">
        <v>8607</v>
      </c>
      <c r="F5064" t="s">
        <v>10382</v>
      </c>
      <c r="G5064" t="s">
        <v>29630</v>
      </c>
    </row>
    <row r="5065" spans="1:7">
      <c r="A5065" t="s">
        <v>29631</v>
      </c>
      <c r="G5065" t="s">
        <v>29632</v>
      </c>
    </row>
    <row r="5066" spans="1:7">
      <c r="A5066" t="s">
        <v>29633</v>
      </c>
      <c r="B5066" t="s">
        <v>8607</v>
      </c>
      <c r="F5066" t="s">
        <v>26666</v>
      </c>
      <c r="G5066" t="s">
        <v>29634</v>
      </c>
    </row>
    <row r="5067" spans="1:7">
      <c r="A5067" t="s">
        <v>29635</v>
      </c>
      <c r="B5067" t="s">
        <v>8607</v>
      </c>
      <c r="C5067" t="s">
        <v>29113</v>
      </c>
      <c r="F5067" t="s">
        <v>9018</v>
      </c>
      <c r="G5067" t="s">
        <v>29636</v>
      </c>
    </row>
    <row r="5068" spans="1:7">
      <c r="A5068" t="s">
        <v>29637</v>
      </c>
      <c r="B5068" t="s">
        <v>8607</v>
      </c>
      <c r="C5068" t="s">
        <v>28978</v>
      </c>
      <c r="F5068" t="s">
        <v>28979</v>
      </c>
      <c r="G5068" t="s">
        <v>29638</v>
      </c>
    </row>
    <row r="5069" spans="1:7">
      <c r="A5069" t="s">
        <v>29639</v>
      </c>
      <c r="B5069" t="s">
        <v>8607</v>
      </c>
      <c r="C5069" t="s">
        <v>20242</v>
      </c>
      <c r="F5069" t="s">
        <v>9378</v>
      </c>
      <c r="G5069" t="s">
        <v>29640</v>
      </c>
    </row>
    <row r="5070" spans="1:7">
      <c r="A5070" t="s">
        <v>29641</v>
      </c>
      <c r="B5070" t="s">
        <v>8607</v>
      </c>
      <c r="F5070" t="s">
        <v>28984</v>
      </c>
      <c r="G5070" t="s">
        <v>29511</v>
      </c>
    </row>
    <row r="5071" spans="1:7">
      <c r="A5071" t="s">
        <v>29642</v>
      </c>
      <c r="B5071" t="s">
        <v>8607</v>
      </c>
      <c r="C5071" t="s">
        <v>29513</v>
      </c>
      <c r="F5071" t="s">
        <v>28988</v>
      </c>
      <c r="G5071" t="s">
        <v>29643</v>
      </c>
    </row>
    <row r="5072" spans="1:7">
      <c r="A5072" t="s">
        <v>29644</v>
      </c>
      <c r="B5072" t="s">
        <v>8607</v>
      </c>
      <c r="F5072" t="s">
        <v>9018</v>
      </c>
      <c r="G5072" t="s">
        <v>29645</v>
      </c>
    </row>
    <row r="5073" spans="1:7">
      <c r="A5073" t="s">
        <v>29646</v>
      </c>
      <c r="B5073" t="s">
        <v>8607</v>
      </c>
      <c r="C5073" t="s">
        <v>29113</v>
      </c>
      <c r="F5073" t="s">
        <v>9018</v>
      </c>
      <c r="G5073" t="s">
        <v>29647</v>
      </c>
    </row>
    <row r="5074" spans="1:7">
      <c r="A5074" t="s">
        <v>29648</v>
      </c>
      <c r="G5074" t="s">
        <v>29649</v>
      </c>
    </row>
    <row r="5075" spans="1:7">
      <c r="A5075" t="s">
        <v>29650</v>
      </c>
      <c r="B5075" t="s">
        <v>8626</v>
      </c>
      <c r="F5075" t="s">
        <v>29555</v>
      </c>
      <c r="G5075" t="s">
        <v>29651</v>
      </c>
    </row>
    <row r="5076" spans="1:7">
      <c r="A5076" t="s">
        <v>29652</v>
      </c>
      <c r="B5076" t="s">
        <v>8626</v>
      </c>
      <c r="F5076" t="s">
        <v>29653</v>
      </c>
      <c r="G5076" t="s">
        <v>29654</v>
      </c>
    </row>
    <row r="5077" spans="1:7">
      <c r="A5077" t="s">
        <v>29655</v>
      </c>
      <c r="B5077" t="s">
        <v>8626</v>
      </c>
      <c r="F5077" t="s">
        <v>29656</v>
      </c>
      <c r="G5077" t="s">
        <v>29657</v>
      </c>
    </row>
    <row r="5078" spans="1:7">
      <c r="A5078" t="s">
        <v>29658</v>
      </c>
      <c r="B5078" t="s">
        <v>8607</v>
      </c>
      <c r="F5078" t="s">
        <v>26675</v>
      </c>
      <c r="G5078" t="s">
        <v>29524</v>
      </c>
    </row>
    <row r="5079" spans="1:7">
      <c r="A5079" t="s">
        <v>29659</v>
      </c>
      <c r="B5079" t="s">
        <v>8626</v>
      </c>
      <c r="C5079" t="s">
        <v>29660</v>
      </c>
      <c r="F5079" t="s">
        <v>18755</v>
      </c>
      <c r="G5079" t="s">
        <v>29661</v>
      </c>
    </row>
    <row r="5080" spans="1:7">
      <c r="A5080" t="s">
        <v>29662</v>
      </c>
      <c r="B5080" t="s">
        <v>8607</v>
      </c>
      <c r="G5080" t="s">
        <v>29663</v>
      </c>
    </row>
    <row r="5081" spans="1:7">
      <c r="A5081" t="s">
        <v>29664</v>
      </c>
      <c r="B5081" t="s">
        <v>8607</v>
      </c>
      <c r="F5081" t="s">
        <v>26751</v>
      </c>
      <c r="G5081" t="s">
        <v>29530</v>
      </c>
    </row>
    <row r="5082" spans="1:7">
      <c r="A5082" t="s">
        <v>29665</v>
      </c>
      <c r="B5082" t="s">
        <v>8607</v>
      </c>
      <c r="G5082" t="s">
        <v>29539</v>
      </c>
    </row>
    <row r="5083" spans="1:7">
      <c r="A5083" t="s">
        <v>29666</v>
      </c>
      <c r="B5083" t="s">
        <v>8607</v>
      </c>
      <c r="F5083" t="s">
        <v>29536</v>
      </c>
      <c r="G5083" t="s">
        <v>29667</v>
      </c>
    </row>
    <row r="5084" spans="1:7">
      <c r="A5084" t="s">
        <v>29668</v>
      </c>
      <c r="B5084" t="s">
        <v>8607</v>
      </c>
      <c r="F5084" t="s">
        <v>26754</v>
      </c>
      <c r="G5084" t="s">
        <v>29669</v>
      </c>
    </row>
    <row r="5085" spans="1:7">
      <c r="A5085" t="s">
        <v>29670</v>
      </c>
      <c r="B5085" t="s">
        <v>8607</v>
      </c>
      <c r="G5085" t="s">
        <v>29456</v>
      </c>
    </row>
    <row r="5086" spans="1:7">
      <c r="A5086" t="s">
        <v>29671</v>
      </c>
      <c r="B5086" t="s">
        <v>8607</v>
      </c>
      <c r="C5086" t="s">
        <v>27078</v>
      </c>
      <c r="F5086" t="s">
        <v>19996</v>
      </c>
      <c r="G5086" t="s">
        <v>29541</v>
      </c>
    </row>
    <row r="5087" spans="1:7">
      <c r="A5087" t="s">
        <v>29672</v>
      </c>
      <c r="B5087" t="s">
        <v>8607</v>
      </c>
      <c r="C5087" t="s">
        <v>29588</v>
      </c>
      <c r="F5087" t="s">
        <v>9018</v>
      </c>
      <c r="G5087" t="s">
        <v>29589</v>
      </c>
    </row>
    <row r="5088" spans="1:7">
      <c r="A5088" t="s">
        <v>29673</v>
      </c>
      <c r="B5088" t="s">
        <v>8607</v>
      </c>
      <c r="F5088" t="s">
        <v>28228</v>
      </c>
      <c r="G5088" t="s">
        <v>29543</v>
      </c>
    </row>
    <row r="5089" spans="1:7">
      <c r="A5089" t="s">
        <v>29674</v>
      </c>
      <c r="B5089" t="s">
        <v>8607</v>
      </c>
      <c r="C5089" t="s">
        <v>17997</v>
      </c>
      <c r="F5089" t="s">
        <v>17999</v>
      </c>
      <c r="G5089" t="s">
        <v>29675</v>
      </c>
    </row>
    <row r="5090" spans="1:7">
      <c r="A5090" t="s">
        <v>29676</v>
      </c>
      <c r="B5090" t="s">
        <v>8626</v>
      </c>
      <c r="C5090" t="s">
        <v>28634</v>
      </c>
      <c r="F5090" t="s">
        <v>28097</v>
      </c>
      <c r="G5090" t="s">
        <v>29548</v>
      </c>
    </row>
    <row r="5091" spans="1:7">
      <c r="A5091" t="s">
        <v>29677</v>
      </c>
      <c r="B5091" t="s">
        <v>8626</v>
      </c>
      <c r="G5091" t="s">
        <v>27054</v>
      </c>
    </row>
    <row r="5092" spans="1:7">
      <c r="A5092" t="s">
        <v>29678</v>
      </c>
      <c r="B5092" t="s">
        <v>8607</v>
      </c>
      <c r="F5092" t="s">
        <v>29207</v>
      </c>
      <c r="G5092" t="s">
        <v>29582</v>
      </c>
    </row>
    <row r="5093" spans="1:7">
      <c r="A5093" t="s">
        <v>29679</v>
      </c>
      <c r="B5093" t="s">
        <v>8607</v>
      </c>
      <c r="F5093" t="s">
        <v>29680</v>
      </c>
      <c r="G5093" t="s">
        <v>29681</v>
      </c>
    </row>
    <row r="5094" spans="1:7">
      <c r="A5094" t="s">
        <v>29682</v>
      </c>
      <c r="B5094" t="s">
        <v>8607</v>
      </c>
      <c r="F5094" t="s">
        <v>27193</v>
      </c>
      <c r="G5094" t="s">
        <v>27194</v>
      </c>
    </row>
    <row r="5095" spans="1:7">
      <c r="A5095" t="s">
        <v>29683</v>
      </c>
      <c r="B5095" t="s">
        <v>8607</v>
      </c>
      <c r="F5095" t="s">
        <v>27196</v>
      </c>
      <c r="G5095" t="s">
        <v>29684</v>
      </c>
    </row>
    <row r="5096" spans="1:7">
      <c r="A5096" t="s">
        <v>29685</v>
      </c>
      <c r="B5096" t="s">
        <v>8607</v>
      </c>
      <c r="C5096" t="s">
        <v>20904</v>
      </c>
      <c r="F5096" t="s">
        <v>14108</v>
      </c>
      <c r="G5096" t="s">
        <v>29686</v>
      </c>
    </row>
    <row r="5097" spans="1:7">
      <c r="A5097" t="s">
        <v>29687</v>
      </c>
      <c r="B5097" t="s">
        <v>8607</v>
      </c>
      <c r="G5097" t="s">
        <v>29456</v>
      </c>
    </row>
    <row r="5098" spans="1:7">
      <c r="A5098" t="s">
        <v>29688</v>
      </c>
      <c r="B5098" t="s">
        <v>8607</v>
      </c>
      <c r="C5098" t="s">
        <v>26083</v>
      </c>
      <c r="F5098" t="s">
        <v>26084</v>
      </c>
      <c r="G5098" t="s">
        <v>29598</v>
      </c>
    </row>
    <row r="5099" spans="1:7">
      <c r="A5099" t="s">
        <v>29689</v>
      </c>
      <c r="B5099" t="s">
        <v>8626</v>
      </c>
      <c r="G5099" t="s">
        <v>29690</v>
      </c>
    </row>
    <row r="5100" spans="1:7">
      <c r="A5100" t="s">
        <v>29691</v>
      </c>
      <c r="B5100" t="s">
        <v>8607</v>
      </c>
      <c r="G5100" t="s">
        <v>29456</v>
      </c>
    </row>
    <row r="5101" spans="1:7">
      <c r="A5101" t="s">
        <v>29692</v>
      </c>
      <c r="B5101" t="s">
        <v>8607</v>
      </c>
      <c r="G5101" t="s">
        <v>29456</v>
      </c>
    </row>
    <row r="5102" spans="1:7">
      <c r="A5102" t="s">
        <v>29693</v>
      </c>
      <c r="B5102" t="s">
        <v>8607</v>
      </c>
      <c r="C5102" t="s">
        <v>26087</v>
      </c>
      <c r="F5102" t="s">
        <v>26088</v>
      </c>
      <c r="G5102" t="s">
        <v>29462</v>
      </c>
    </row>
    <row r="5103" spans="1:7">
      <c r="A5103" t="s">
        <v>29694</v>
      </c>
      <c r="B5103" t="s">
        <v>8607</v>
      </c>
      <c r="F5103" t="s">
        <v>26099</v>
      </c>
      <c r="G5103" t="s">
        <v>29475</v>
      </c>
    </row>
    <row r="5104" spans="1:7">
      <c r="A5104" t="s">
        <v>29695</v>
      </c>
      <c r="B5104" t="s">
        <v>8607</v>
      </c>
      <c r="F5104" t="s">
        <v>26069</v>
      </c>
      <c r="G5104" t="s">
        <v>29489</v>
      </c>
    </row>
    <row r="5105" spans="1:7">
      <c r="A5105" t="s">
        <v>29696</v>
      </c>
      <c r="B5105" t="s">
        <v>8607</v>
      </c>
      <c r="F5105" t="s">
        <v>26072</v>
      </c>
      <c r="G5105" t="s">
        <v>29609</v>
      </c>
    </row>
    <row r="5106" spans="1:7">
      <c r="A5106" t="s">
        <v>29697</v>
      </c>
      <c r="B5106" t="s">
        <v>8607</v>
      </c>
      <c r="F5106" t="s">
        <v>17760</v>
      </c>
      <c r="G5106" t="s">
        <v>29611</v>
      </c>
    </row>
    <row r="5107" spans="1:7">
      <c r="A5107" t="s">
        <v>29698</v>
      </c>
      <c r="B5107" t="s">
        <v>8607</v>
      </c>
      <c r="F5107" t="s">
        <v>13312</v>
      </c>
      <c r="G5107" t="s">
        <v>29613</v>
      </c>
    </row>
    <row r="5108" spans="1:7">
      <c r="A5108" t="s">
        <v>29699</v>
      </c>
      <c r="B5108" t="s">
        <v>8607</v>
      </c>
      <c r="F5108" t="s">
        <v>29700</v>
      </c>
      <c r="G5108" t="s">
        <v>29701</v>
      </c>
    </row>
    <row r="5109" spans="1:7">
      <c r="A5109" t="s">
        <v>29702</v>
      </c>
      <c r="B5109" t="s">
        <v>8607</v>
      </c>
      <c r="G5109" t="s">
        <v>29615</v>
      </c>
    </row>
    <row r="5110" spans="1:7">
      <c r="A5110" t="s">
        <v>29703</v>
      </c>
      <c r="B5110" t="s">
        <v>8607</v>
      </c>
      <c r="G5110" t="s">
        <v>29704</v>
      </c>
    </row>
    <row r="5111" spans="1:7">
      <c r="A5111" t="s">
        <v>29705</v>
      </c>
      <c r="B5111" t="s">
        <v>8607</v>
      </c>
      <c r="C5111" t="s">
        <v>26080</v>
      </c>
      <c r="F5111" t="s">
        <v>23667</v>
      </c>
      <c r="G5111" t="s">
        <v>29617</v>
      </c>
    </row>
    <row r="5112" spans="1:7">
      <c r="A5112" t="s">
        <v>29706</v>
      </c>
      <c r="B5112" t="s">
        <v>8607</v>
      </c>
      <c r="C5112" t="s">
        <v>29707</v>
      </c>
      <c r="F5112" t="s">
        <v>28852</v>
      </c>
      <c r="G5112" t="s">
        <v>29222</v>
      </c>
    </row>
    <row r="5113" spans="1:7">
      <c r="A5113" t="s">
        <v>29708</v>
      </c>
      <c r="B5113" t="s">
        <v>8607</v>
      </c>
      <c r="F5113" t="s">
        <v>28856</v>
      </c>
      <c r="G5113" t="s">
        <v>29620</v>
      </c>
    </row>
    <row r="5114" spans="1:7">
      <c r="A5114" t="s">
        <v>29709</v>
      </c>
      <c r="B5114" t="s">
        <v>8607</v>
      </c>
      <c r="F5114" t="s">
        <v>22981</v>
      </c>
      <c r="G5114" t="s">
        <v>29622</v>
      </c>
    </row>
    <row r="5115" spans="1:7">
      <c r="A5115" t="s">
        <v>29710</v>
      </c>
      <c r="B5115" t="s">
        <v>8607</v>
      </c>
      <c r="G5115" t="s">
        <v>29624</v>
      </c>
    </row>
    <row r="5116" spans="1:7">
      <c r="A5116" t="s">
        <v>29711</v>
      </c>
      <c r="B5116" t="s">
        <v>8607</v>
      </c>
      <c r="F5116" t="s">
        <v>26299</v>
      </c>
      <c r="G5116" t="s">
        <v>29626</v>
      </c>
    </row>
    <row r="5117" spans="1:7">
      <c r="A5117" t="s">
        <v>29712</v>
      </c>
      <c r="B5117" t="s">
        <v>8626</v>
      </c>
      <c r="F5117" t="s">
        <v>8623</v>
      </c>
      <c r="G5117" t="s">
        <v>29713</v>
      </c>
    </row>
    <row r="5118" spans="1:7">
      <c r="A5118" t="s">
        <v>29714</v>
      </c>
      <c r="B5118" t="s">
        <v>8626</v>
      </c>
      <c r="F5118" t="s">
        <v>29715</v>
      </c>
      <c r="G5118" t="s">
        <v>29716</v>
      </c>
    </row>
    <row r="5119" spans="1:7">
      <c r="A5119" t="s">
        <v>29717</v>
      </c>
      <c r="B5119" t="s">
        <v>8626</v>
      </c>
      <c r="F5119" t="s">
        <v>8623</v>
      </c>
      <c r="G5119" t="s">
        <v>29713</v>
      </c>
    </row>
    <row r="5120" spans="1:7">
      <c r="A5120" t="s">
        <v>29718</v>
      </c>
      <c r="B5120" t="s">
        <v>8607</v>
      </c>
      <c r="F5120" t="s">
        <v>29719</v>
      </c>
      <c r="G5120" t="s">
        <v>29720</v>
      </c>
    </row>
    <row r="5121" spans="1:7">
      <c r="A5121" t="s">
        <v>29721</v>
      </c>
      <c r="B5121" t="s">
        <v>8626</v>
      </c>
      <c r="F5121" t="s">
        <v>27979</v>
      </c>
      <c r="G5121" t="s">
        <v>29722</v>
      </c>
    </row>
    <row r="5122" spans="1:7">
      <c r="A5122" t="s">
        <v>29723</v>
      </c>
      <c r="B5122" t="s">
        <v>8626</v>
      </c>
      <c r="F5122" t="s">
        <v>29724</v>
      </c>
      <c r="G5122" t="s">
        <v>29725</v>
      </c>
    </row>
    <row r="5123" spans="1:7">
      <c r="A5123" t="s">
        <v>29726</v>
      </c>
      <c r="B5123" t="s">
        <v>8607</v>
      </c>
      <c r="C5123" t="s">
        <v>26665</v>
      </c>
      <c r="F5123" t="s">
        <v>26666</v>
      </c>
      <c r="G5123" t="s">
        <v>29634</v>
      </c>
    </row>
    <row r="5124" spans="1:7">
      <c r="A5124" t="s">
        <v>29727</v>
      </c>
      <c r="B5124" t="s">
        <v>8607</v>
      </c>
      <c r="C5124" t="s">
        <v>26669</v>
      </c>
      <c r="F5124" t="s">
        <v>26670</v>
      </c>
      <c r="G5124" t="s">
        <v>29450</v>
      </c>
    </row>
    <row r="5125" spans="1:7">
      <c r="A5125" t="s">
        <v>29728</v>
      </c>
      <c r="B5125" t="s">
        <v>8607</v>
      </c>
      <c r="C5125" t="s">
        <v>29299</v>
      </c>
      <c r="F5125" t="s">
        <v>26937</v>
      </c>
      <c r="G5125" t="s">
        <v>29729</v>
      </c>
    </row>
    <row r="5126" spans="1:7">
      <c r="A5126" t="s">
        <v>29730</v>
      </c>
      <c r="B5126" t="s">
        <v>8607</v>
      </c>
      <c r="F5126" t="s">
        <v>18777</v>
      </c>
      <c r="G5126" t="s">
        <v>29731</v>
      </c>
    </row>
    <row r="5127" spans="1:7">
      <c r="A5127" t="s">
        <v>29732</v>
      </c>
      <c r="B5127" t="s">
        <v>8607</v>
      </c>
      <c r="C5127" t="s">
        <v>24008</v>
      </c>
      <c r="F5127" t="s">
        <v>17305</v>
      </c>
      <c r="G5127" t="s">
        <v>29458</v>
      </c>
    </row>
    <row r="5128" spans="1:7">
      <c r="A5128" t="s">
        <v>29733</v>
      </c>
      <c r="B5128" t="s">
        <v>8607</v>
      </c>
      <c r="C5128" t="s">
        <v>23754</v>
      </c>
      <c r="F5128" t="s">
        <v>23756</v>
      </c>
      <c r="G5128" t="s">
        <v>23776</v>
      </c>
    </row>
    <row r="5129" spans="1:7">
      <c r="A5129" t="s">
        <v>29734</v>
      </c>
      <c r="B5129" t="s">
        <v>8607</v>
      </c>
      <c r="C5129" t="s">
        <v>29464</v>
      </c>
      <c r="F5129" t="s">
        <v>26091</v>
      </c>
      <c r="G5129" t="s">
        <v>29465</v>
      </c>
    </row>
    <row r="5130" spans="1:7">
      <c r="A5130" t="s">
        <v>29735</v>
      </c>
      <c r="B5130" t="s">
        <v>8607</v>
      </c>
      <c r="C5130" t="s">
        <v>26119</v>
      </c>
      <c r="F5130" t="s">
        <v>26120</v>
      </c>
      <c r="G5130" t="s">
        <v>29467</v>
      </c>
    </row>
    <row r="5131" spans="1:7">
      <c r="A5131" t="s">
        <v>29736</v>
      </c>
      <c r="B5131" t="s">
        <v>8607</v>
      </c>
      <c r="F5131" t="s">
        <v>29737</v>
      </c>
      <c r="G5131" t="s">
        <v>29738</v>
      </c>
    </row>
    <row r="5132" spans="1:7">
      <c r="A5132" t="s">
        <v>29739</v>
      </c>
      <c r="B5132" t="s">
        <v>8607</v>
      </c>
      <c r="C5132" t="s">
        <v>26661</v>
      </c>
      <c r="F5132" t="s">
        <v>26365</v>
      </c>
      <c r="G5132" t="s">
        <v>29469</v>
      </c>
    </row>
    <row r="5133" spans="1:7">
      <c r="A5133" t="s">
        <v>29740</v>
      </c>
      <c r="B5133" t="s">
        <v>8607</v>
      </c>
      <c r="C5133" t="s">
        <v>29741</v>
      </c>
      <c r="F5133" t="s">
        <v>27411</v>
      </c>
      <c r="G5133" t="s">
        <v>29742</v>
      </c>
    </row>
    <row r="5134" spans="1:7">
      <c r="A5134" t="s">
        <v>29743</v>
      </c>
      <c r="B5134" t="s">
        <v>8607</v>
      </c>
      <c r="C5134" t="s">
        <v>27414</v>
      </c>
      <c r="F5134" t="s">
        <v>26291</v>
      </c>
      <c r="G5134" t="s">
        <v>29473</v>
      </c>
    </row>
    <row r="5135" spans="1:7">
      <c r="A5135" t="s">
        <v>29744</v>
      </c>
      <c r="B5135" t="s">
        <v>8607</v>
      </c>
      <c r="C5135" t="s">
        <v>29745</v>
      </c>
      <c r="F5135" t="s">
        <v>9018</v>
      </c>
      <c r="G5135" t="s">
        <v>29746</v>
      </c>
    </row>
    <row r="5136" spans="1:7">
      <c r="A5136" t="s">
        <v>29747</v>
      </c>
      <c r="B5136" t="s">
        <v>8607</v>
      </c>
      <c r="C5136" t="s">
        <v>25679</v>
      </c>
      <c r="F5136" t="s">
        <v>9018</v>
      </c>
      <c r="G5136" t="s">
        <v>29748</v>
      </c>
    </row>
    <row r="5137" spans="1:7">
      <c r="A5137" t="s">
        <v>29749</v>
      </c>
      <c r="B5137" t="s">
        <v>8607</v>
      </c>
      <c r="G5137" t="s">
        <v>29477</v>
      </c>
    </row>
    <row r="5138" spans="1:7">
      <c r="A5138" t="s">
        <v>29750</v>
      </c>
      <c r="B5138" t="s">
        <v>8607</v>
      </c>
      <c r="F5138" t="s">
        <v>26091</v>
      </c>
      <c r="G5138" t="s">
        <v>29751</v>
      </c>
    </row>
    <row r="5139" spans="1:7">
      <c r="A5139" t="s">
        <v>29752</v>
      </c>
      <c r="B5139" t="s">
        <v>8626</v>
      </c>
      <c r="F5139" t="s">
        <v>27402</v>
      </c>
      <c r="G5139" t="s">
        <v>29753</v>
      </c>
    </row>
    <row r="5140" spans="1:7">
      <c r="A5140" t="s">
        <v>29754</v>
      </c>
      <c r="B5140" t="s">
        <v>8607</v>
      </c>
      <c r="F5140" t="s">
        <v>29755</v>
      </c>
      <c r="G5140" t="s">
        <v>29756</v>
      </c>
    </row>
    <row r="5141" spans="1:7">
      <c r="A5141" t="s">
        <v>29757</v>
      </c>
      <c r="B5141" t="s">
        <v>8626</v>
      </c>
      <c r="C5141" t="s">
        <v>27405</v>
      </c>
      <c r="F5141" t="s">
        <v>9002</v>
      </c>
      <c r="G5141" t="s">
        <v>29758</v>
      </c>
    </row>
    <row r="5142" spans="1:7">
      <c r="A5142" t="s">
        <v>29759</v>
      </c>
      <c r="B5142" t="s">
        <v>8607</v>
      </c>
      <c r="F5142" t="s">
        <v>26519</v>
      </c>
      <c r="G5142" t="s">
        <v>29485</v>
      </c>
    </row>
    <row r="5143" spans="1:7">
      <c r="A5143" t="s">
        <v>29760</v>
      </c>
      <c r="B5143" t="s">
        <v>8607</v>
      </c>
      <c r="C5143" t="s">
        <v>29745</v>
      </c>
      <c r="F5143" t="s">
        <v>9018</v>
      </c>
      <c r="G5143" t="s">
        <v>29761</v>
      </c>
    </row>
    <row r="5144" spans="1:7">
      <c r="A5144" t="s">
        <v>29762</v>
      </c>
      <c r="B5144" t="s">
        <v>8626</v>
      </c>
      <c r="G5144" t="s">
        <v>29763</v>
      </c>
    </row>
    <row r="5145" spans="1:7">
      <c r="A5145" t="s">
        <v>29764</v>
      </c>
      <c r="B5145" t="s">
        <v>8607</v>
      </c>
      <c r="F5145" t="s">
        <v>13832</v>
      </c>
      <c r="G5145" t="s">
        <v>29765</v>
      </c>
    </row>
    <row r="5146" spans="1:7">
      <c r="A5146" t="s">
        <v>29766</v>
      </c>
      <c r="B5146" t="s">
        <v>8607</v>
      </c>
      <c r="C5146" t="s">
        <v>29122</v>
      </c>
      <c r="F5146" t="s">
        <v>10676</v>
      </c>
      <c r="G5146" t="s">
        <v>29574</v>
      </c>
    </row>
    <row r="5147" spans="1:7">
      <c r="A5147" t="s">
        <v>29767</v>
      </c>
      <c r="B5147" t="s">
        <v>8607</v>
      </c>
      <c r="C5147" t="s">
        <v>20054</v>
      </c>
      <c r="F5147" t="s">
        <v>29768</v>
      </c>
      <c r="G5147" t="s">
        <v>29591</v>
      </c>
    </row>
    <row r="5148" spans="1:7">
      <c r="A5148" t="s">
        <v>29769</v>
      </c>
      <c r="B5148" t="s">
        <v>8607</v>
      </c>
      <c r="C5148" t="s">
        <v>20054</v>
      </c>
      <c r="F5148" t="s">
        <v>8851</v>
      </c>
      <c r="G5148" t="s">
        <v>29591</v>
      </c>
    </row>
    <row r="5149" spans="1:7">
      <c r="A5149" t="s">
        <v>29770</v>
      </c>
      <c r="B5149" t="s">
        <v>8607</v>
      </c>
      <c r="C5149" t="s">
        <v>29179</v>
      </c>
      <c r="F5149" t="s">
        <v>17320</v>
      </c>
      <c r="G5149" t="s">
        <v>29594</v>
      </c>
    </row>
    <row r="5150" spans="1:7">
      <c r="A5150" t="s">
        <v>29771</v>
      </c>
      <c r="B5150" t="s">
        <v>8607</v>
      </c>
      <c r="C5150" t="s">
        <v>26315</v>
      </c>
      <c r="F5150" t="s">
        <v>17320</v>
      </c>
      <c r="G5150" t="s">
        <v>29772</v>
      </c>
    </row>
    <row r="5151" spans="1:7">
      <c r="A5151" t="s">
        <v>29773</v>
      </c>
      <c r="B5151" t="s">
        <v>8607</v>
      </c>
      <c r="F5151" t="s">
        <v>29774</v>
      </c>
      <c r="G5151" t="s">
        <v>29775</v>
      </c>
    </row>
    <row r="5152" spans="1:7">
      <c r="A5152" t="s">
        <v>29776</v>
      </c>
      <c r="B5152" t="s">
        <v>8607</v>
      </c>
      <c r="G5152" t="s">
        <v>29777</v>
      </c>
    </row>
    <row r="5153" spans="1:7">
      <c r="A5153" t="s">
        <v>29778</v>
      </c>
      <c r="B5153" t="s">
        <v>8607</v>
      </c>
      <c r="F5153" t="s">
        <v>26191</v>
      </c>
      <c r="G5153" t="s">
        <v>29779</v>
      </c>
    </row>
    <row r="5154" spans="1:7">
      <c r="A5154" t="s">
        <v>29780</v>
      </c>
      <c r="B5154" t="s">
        <v>8607</v>
      </c>
      <c r="F5154" t="s">
        <v>19996</v>
      </c>
      <c r="G5154" t="s">
        <v>29605</v>
      </c>
    </row>
    <row r="5155" spans="1:7">
      <c r="A5155" t="s">
        <v>29781</v>
      </c>
      <c r="B5155" t="s">
        <v>8607</v>
      </c>
      <c r="G5155" t="s">
        <v>29782</v>
      </c>
    </row>
    <row r="5156" spans="1:7">
      <c r="A5156" t="s">
        <v>29783</v>
      </c>
      <c r="B5156" t="s">
        <v>8607</v>
      </c>
      <c r="F5156" t="s">
        <v>21225</v>
      </c>
      <c r="G5156" t="s">
        <v>29784</v>
      </c>
    </row>
    <row r="5157" spans="1:7">
      <c r="A5157" t="s">
        <v>29785</v>
      </c>
      <c r="B5157" t="s">
        <v>8607</v>
      </c>
      <c r="G5157" t="s">
        <v>29786</v>
      </c>
    </row>
    <row r="5158" spans="1:7">
      <c r="A5158" t="s">
        <v>29787</v>
      </c>
      <c r="B5158" t="s">
        <v>8626</v>
      </c>
      <c r="F5158" t="s">
        <v>29788</v>
      </c>
      <c r="G5158" t="s">
        <v>29789</v>
      </c>
    </row>
    <row r="5159" spans="1:7">
      <c r="A5159" t="s">
        <v>29790</v>
      </c>
      <c r="B5159" t="s">
        <v>8607</v>
      </c>
      <c r="F5159" t="s">
        <v>9018</v>
      </c>
      <c r="G5159" t="s">
        <v>29791</v>
      </c>
    </row>
    <row r="5160" spans="1:7">
      <c r="A5160" t="s">
        <v>29792</v>
      </c>
      <c r="B5160" t="s">
        <v>8607</v>
      </c>
      <c r="F5160" t="s">
        <v>26091</v>
      </c>
      <c r="G5160" t="s">
        <v>29562</v>
      </c>
    </row>
    <row r="5161" spans="1:7">
      <c r="A5161" t="s">
        <v>29793</v>
      </c>
      <c r="B5161" t="s">
        <v>8607</v>
      </c>
      <c r="F5161" t="s">
        <v>26094</v>
      </c>
      <c r="G5161" t="s">
        <v>29564</v>
      </c>
    </row>
    <row r="5162" spans="1:7">
      <c r="A5162" t="s">
        <v>29794</v>
      </c>
      <c r="B5162" t="s">
        <v>8607</v>
      </c>
      <c r="F5162" t="s">
        <v>26204</v>
      </c>
      <c r="G5162" t="s">
        <v>26205</v>
      </c>
    </row>
    <row r="5163" spans="1:7">
      <c r="A5163" t="s">
        <v>29795</v>
      </c>
      <c r="B5163" t="s">
        <v>8607</v>
      </c>
      <c r="G5163" t="s">
        <v>29534</v>
      </c>
    </row>
    <row r="5164" spans="1:7">
      <c r="A5164" t="s">
        <v>29796</v>
      </c>
      <c r="B5164" t="s">
        <v>8607</v>
      </c>
      <c r="F5164" t="s">
        <v>23160</v>
      </c>
      <c r="G5164" t="s">
        <v>29797</v>
      </c>
    </row>
    <row r="5165" spans="1:7">
      <c r="A5165" t="s">
        <v>29798</v>
      </c>
      <c r="B5165" t="s">
        <v>8607</v>
      </c>
      <c r="C5165" t="s">
        <v>18983</v>
      </c>
      <c r="F5165" t="s">
        <v>12862</v>
      </c>
      <c r="G5165" t="s">
        <v>29799</v>
      </c>
    </row>
    <row r="5166" spans="1:7">
      <c r="A5166" t="s">
        <v>29800</v>
      </c>
      <c r="B5166" t="s">
        <v>8607</v>
      </c>
      <c r="C5166" t="s">
        <v>27497</v>
      </c>
      <c r="F5166" t="s">
        <v>15811</v>
      </c>
      <c r="G5166" t="s">
        <v>29801</v>
      </c>
    </row>
    <row r="5167" spans="1:7">
      <c r="A5167" t="s">
        <v>29802</v>
      </c>
      <c r="B5167" t="s">
        <v>8607</v>
      </c>
      <c r="F5167" t="s">
        <v>29803</v>
      </c>
      <c r="G5167" t="s">
        <v>29804</v>
      </c>
    </row>
    <row r="5168" spans="1:7">
      <c r="A5168" t="s">
        <v>29805</v>
      </c>
      <c r="B5168" t="s">
        <v>8607</v>
      </c>
      <c r="F5168" t="s">
        <v>27930</v>
      </c>
      <c r="G5168" t="s">
        <v>29806</v>
      </c>
    </row>
    <row r="5169" spans="1:7">
      <c r="A5169" t="s">
        <v>29807</v>
      </c>
      <c r="B5169" t="s">
        <v>8607</v>
      </c>
      <c r="F5169" t="s">
        <v>15549</v>
      </c>
      <c r="G5169" t="s">
        <v>23219</v>
      </c>
    </row>
    <row r="5170" spans="1:7">
      <c r="A5170" t="s">
        <v>29808</v>
      </c>
      <c r="B5170" t="s">
        <v>8626</v>
      </c>
      <c r="F5170" t="s">
        <v>9018</v>
      </c>
      <c r="G5170" t="s">
        <v>29809</v>
      </c>
    </row>
    <row r="5171" spans="1:7">
      <c r="A5171" t="s">
        <v>29810</v>
      </c>
      <c r="B5171" t="s">
        <v>8626</v>
      </c>
      <c r="F5171" t="s">
        <v>29496</v>
      </c>
      <c r="G5171" t="s">
        <v>29497</v>
      </c>
    </row>
    <row r="5172" spans="1:7">
      <c r="A5172" t="s">
        <v>29811</v>
      </c>
      <c r="B5172" t="s">
        <v>8607</v>
      </c>
      <c r="F5172" t="s">
        <v>27693</v>
      </c>
      <c r="G5172" t="s">
        <v>29812</v>
      </c>
    </row>
    <row r="5173" spans="1:7">
      <c r="A5173" t="s">
        <v>29813</v>
      </c>
      <c r="B5173" t="s">
        <v>8607</v>
      </c>
      <c r="G5173" t="s">
        <v>28142</v>
      </c>
    </row>
    <row r="5174" spans="1:7">
      <c r="A5174" t="s">
        <v>29814</v>
      </c>
      <c r="B5174" t="s">
        <v>8607</v>
      </c>
      <c r="F5174" t="s">
        <v>26104</v>
      </c>
      <c r="G5174" t="s">
        <v>27298</v>
      </c>
    </row>
    <row r="5175" spans="1:7">
      <c r="A5175" t="s">
        <v>29815</v>
      </c>
      <c r="B5175" t="s">
        <v>8607</v>
      </c>
      <c r="G5175" t="s">
        <v>17434</v>
      </c>
    </row>
    <row r="5176" spans="1:7">
      <c r="A5176" t="s">
        <v>29816</v>
      </c>
      <c r="B5176" t="s">
        <v>8607</v>
      </c>
      <c r="C5176" t="s">
        <v>28866</v>
      </c>
      <c r="F5176" t="s">
        <v>26108</v>
      </c>
      <c r="G5176" t="s">
        <v>29817</v>
      </c>
    </row>
    <row r="5177" spans="1:7">
      <c r="A5177" t="s">
        <v>29818</v>
      </c>
      <c r="B5177" t="s">
        <v>8626</v>
      </c>
      <c r="C5177" t="s">
        <v>26479</v>
      </c>
      <c r="F5177" t="s">
        <v>9018</v>
      </c>
      <c r="G5177" t="s">
        <v>29819</v>
      </c>
    </row>
    <row r="5178" spans="1:7">
      <c r="A5178" t="s">
        <v>29820</v>
      </c>
      <c r="B5178" t="s">
        <v>8626</v>
      </c>
      <c r="F5178" t="s">
        <v>26176</v>
      </c>
      <c r="G5178" t="s">
        <v>27302</v>
      </c>
    </row>
    <row r="5179" spans="1:7">
      <c r="A5179" t="s">
        <v>29821</v>
      </c>
      <c r="B5179" t="s">
        <v>8607</v>
      </c>
      <c r="F5179" t="s">
        <v>17429</v>
      </c>
      <c r="G5179" t="s">
        <v>29822</v>
      </c>
    </row>
    <row r="5180" spans="1:7">
      <c r="A5180" t="s">
        <v>29823</v>
      </c>
      <c r="B5180" t="s">
        <v>8607</v>
      </c>
      <c r="G5180" t="s">
        <v>29824</v>
      </c>
    </row>
    <row r="5181" spans="1:7">
      <c r="A5181" t="s">
        <v>29825</v>
      </c>
      <c r="B5181" t="s">
        <v>8607</v>
      </c>
      <c r="G5181" t="s">
        <v>29826</v>
      </c>
    </row>
    <row r="5182" spans="1:7">
      <c r="A5182" t="s">
        <v>29827</v>
      </c>
      <c r="B5182" t="s">
        <v>8607</v>
      </c>
      <c r="C5182" t="s">
        <v>28634</v>
      </c>
      <c r="F5182" t="s">
        <v>28097</v>
      </c>
      <c r="G5182" t="s">
        <v>29828</v>
      </c>
    </row>
    <row r="5183" spans="1:7">
      <c r="A5183" t="s">
        <v>29829</v>
      </c>
      <c r="B5183" t="s">
        <v>8607</v>
      </c>
      <c r="G5183" t="s">
        <v>26326</v>
      </c>
    </row>
    <row r="5184" spans="1:7">
      <c r="A5184" t="s">
        <v>29830</v>
      </c>
      <c r="B5184" t="s">
        <v>8607</v>
      </c>
      <c r="C5184" t="s">
        <v>26107</v>
      </c>
      <c r="F5184" t="s">
        <v>26108</v>
      </c>
      <c r="G5184" t="s">
        <v>29831</v>
      </c>
    </row>
    <row r="5185" spans="1:7">
      <c r="A5185" t="s">
        <v>29832</v>
      </c>
      <c r="B5185" t="s">
        <v>8626</v>
      </c>
      <c r="F5185" t="s">
        <v>12464</v>
      </c>
      <c r="G5185" t="s">
        <v>29833</v>
      </c>
    </row>
    <row r="5186" spans="1:7">
      <c r="A5186" t="s">
        <v>29834</v>
      </c>
      <c r="B5186" t="s">
        <v>8626</v>
      </c>
      <c r="C5186" t="s">
        <v>29835</v>
      </c>
      <c r="F5186" t="s">
        <v>20206</v>
      </c>
      <c r="G5186" t="s">
        <v>29836</v>
      </c>
    </row>
    <row r="5187" spans="1:7">
      <c r="A5187" t="s">
        <v>29837</v>
      </c>
      <c r="B5187" t="s">
        <v>8607</v>
      </c>
      <c r="C5187" t="s">
        <v>29838</v>
      </c>
      <c r="F5187" t="s">
        <v>29839</v>
      </c>
      <c r="G5187" t="s">
        <v>29840</v>
      </c>
    </row>
    <row r="5188" spans="1:7">
      <c r="A5188" t="s">
        <v>29841</v>
      </c>
      <c r="B5188" t="s">
        <v>8626</v>
      </c>
      <c r="C5188" t="s">
        <v>26648</v>
      </c>
      <c r="F5188" t="s">
        <v>26649</v>
      </c>
      <c r="G5188" t="s">
        <v>21884</v>
      </c>
    </row>
    <row r="5189" spans="1:7">
      <c r="A5189" t="s">
        <v>29842</v>
      </c>
      <c r="B5189" t="s">
        <v>8607</v>
      </c>
      <c r="F5189" t="s">
        <v>26911</v>
      </c>
      <c r="G5189" t="s">
        <v>26912</v>
      </c>
    </row>
    <row r="5190" spans="1:7">
      <c r="A5190" t="s">
        <v>29843</v>
      </c>
      <c r="B5190" t="s">
        <v>8626</v>
      </c>
      <c r="F5190" t="s">
        <v>17429</v>
      </c>
      <c r="G5190" t="s">
        <v>29844</v>
      </c>
    </row>
    <row r="5191" spans="1:7">
      <c r="A5191" t="s">
        <v>29845</v>
      </c>
      <c r="B5191" t="s">
        <v>8626</v>
      </c>
      <c r="F5191" t="s">
        <v>29846</v>
      </c>
      <c r="G5191" t="s">
        <v>29847</v>
      </c>
    </row>
    <row r="5192" spans="1:7">
      <c r="A5192" t="s">
        <v>29848</v>
      </c>
      <c r="B5192" t="s">
        <v>8607</v>
      </c>
      <c r="C5192" t="s">
        <v>28978</v>
      </c>
      <c r="F5192" t="s">
        <v>28979</v>
      </c>
      <c r="G5192" t="s">
        <v>29849</v>
      </c>
    </row>
    <row r="5193" spans="1:7">
      <c r="A5193" t="s">
        <v>29850</v>
      </c>
      <c r="B5193" t="s">
        <v>8607</v>
      </c>
      <c r="C5193" t="s">
        <v>28982</v>
      </c>
      <c r="F5193" t="s">
        <v>9378</v>
      </c>
      <c r="G5193" t="s">
        <v>29509</v>
      </c>
    </row>
    <row r="5194" spans="1:7">
      <c r="A5194" t="s">
        <v>29851</v>
      </c>
      <c r="B5194" t="s">
        <v>8607</v>
      </c>
      <c r="F5194" t="s">
        <v>28984</v>
      </c>
      <c r="G5194" t="s">
        <v>28985</v>
      </c>
    </row>
    <row r="5195" spans="1:7">
      <c r="A5195" t="s">
        <v>29852</v>
      </c>
      <c r="B5195" t="s">
        <v>8607</v>
      </c>
      <c r="C5195" t="s">
        <v>29513</v>
      </c>
      <c r="F5195" t="s">
        <v>28988</v>
      </c>
      <c r="G5195" t="s">
        <v>29853</v>
      </c>
    </row>
    <row r="5196" spans="1:7">
      <c r="A5196" t="s">
        <v>29854</v>
      </c>
      <c r="B5196" t="s">
        <v>8607</v>
      </c>
      <c r="C5196" t="s">
        <v>27078</v>
      </c>
      <c r="F5196" t="s">
        <v>19996</v>
      </c>
      <c r="G5196" t="s">
        <v>29855</v>
      </c>
    </row>
    <row r="5197" spans="1:7">
      <c r="A5197" t="s">
        <v>29856</v>
      </c>
      <c r="B5197" t="s">
        <v>8607</v>
      </c>
      <c r="G5197" t="s">
        <v>26859</v>
      </c>
    </row>
    <row r="5198" spans="1:7">
      <c r="A5198" t="s">
        <v>29857</v>
      </c>
      <c r="B5198" t="s">
        <v>8626</v>
      </c>
      <c r="G5198" t="s">
        <v>29858</v>
      </c>
    </row>
    <row r="5199" spans="1:7">
      <c r="A5199" t="s">
        <v>29859</v>
      </c>
      <c r="B5199" t="s">
        <v>8626</v>
      </c>
      <c r="G5199" t="s">
        <v>29860</v>
      </c>
    </row>
    <row r="5200" spans="1:7">
      <c r="A5200" t="s">
        <v>29861</v>
      </c>
      <c r="B5200" t="s">
        <v>8607</v>
      </c>
      <c r="G5200" t="s">
        <v>29862</v>
      </c>
    </row>
    <row r="5201" spans="1:7">
      <c r="A5201" t="s">
        <v>29863</v>
      </c>
      <c r="B5201" t="s">
        <v>8626</v>
      </c>
      <c r="F5201" t="s">
        <v>29864</v>
      </c>
      <c r="G5201" t="s">
        <v>29865</v>
      </c>
    </row>
    <row r="5202" spans="1:7">
      <c r="A5202" t="s">
        <v>29866</v>
      </c>
      <c r="B5202" t="s">
        <v>8607</v>
      </c>
      <c r="F5202" t="s">
        <v>29867</v>
      </c>
      <c r="G5202" t="s">
        <v>29868</v>
      </c>
    </row>
    <row r="5203" spans="1:7">
      <c r="A5203" t="s">
        <v>29869</v>
      </c>
      <c r="B5203" t="s">
        <v>8607</v>
      </c>
      <c r="F5203" t="s">
        <v>17310</v>
      </c>
      <c r="G5203" t="s">
        <v>20784</v>
      </c>
    </row>
    <row r="5204" spans="1:7">
      <c r="A5204" t="s">
        <v>29870</v>
      </c>
      <c r="B5204" t="s">
        <v>8607</v>
      </c>
      <c r="G5204" t="s">
        <v>27987</v>
      </c>
    </row>
    <row r="5205" spans="1:7">
      <c r="A5205" t="s">
        <v>29871</v>
      </c>
      <c r="B5205" t="s">
        <v>8607</v>
      </c>
      <c r="F5205" t="s">
        <v>9018</v>
      </c>
      <c r="G5205" t="s">
        <v>29872</v>
      </c>
    </row>
    <row r="5206" spans="1:7">
      <c r="A5206" t="s">
        <v>29873</v>
      </c>
      <c r="B5206" t="s">
        <v>8607</v>
      </c>
      <c r="G5206" t="s">
        <v>29874</v>
      </c>
    </row>
    <row r="5207" spans="1:7">
      <c r="A5207" t="s">
        <v>29875</v>
      </c>
      <c r="B5207" t="s">
        <v>8607</v>
      </c>
      <c r="G5207" t="s">
        <v>28106</v>
      </c>
    </row>
    <row r="5208" spans="1:7">
      <c r="A5208" t="s">
        <v>29876</v>
      </c>
      <c r="B5208" t="s">
        <v>8607</v>
      </c>
      <c r="G5208" t="s">
        <v>29877</v>
      </c>
    </row>
    <row r="5209" spans="1:7">
      <c r="A5209" t="s">
        <v>29878</v>
      </c>
      <c r="B5209" t="s">
        <v>8607</v>
      </c>
      <c r="G5209" t="s">
        <v>29879</v>
      </c>
    </row>
    <row r="5210" spans="1:7">
      <c r="A5210" t="s">
        <v>29880</v>
      </c>
      <c r="B5210" t="s">
        <v>8607</v>
      </c>
      <c r="G5210" t="s">
        <v>23992</v>
      </c>
    </row>
    <row r="5211" spans="1:7">
      <c r="A5211" t="s">
        <v>29881</v>
      </c>
      <c r="B5211" t="s">
        <v>8607</v>
      </c>
      <c r="F5211" t="s">
        <v>29882</v>
      </c>
      <c r="G5211" t="s">
        <v>29883</v>
      </c>
    </row>
    <row r="5212" spans="1:7">
      <c r="A5212" t="s">
        <v>29884</v>
      </c>
      <c r="B5212" t="s">
        <v>8607</v>
      </c>
      <c r="F5212" t="s">
        <v>23968</v>
      </c>
      <c r="G5212" t="s">
        <v>23969</v>
      </c>
    </row>
    <row r="5213" spans="1:7">
      <c r="A5213" t="s">
        <v>29885</v>
      </c>
      <c r="B5213" t="s">
        <v>8607</v>
      </c>
      <c r="F5213" t="s">
        <v>29147</v>
      </c>
      <c r="G5213" t="s">
        <v>29886</v>
      </c>
    </row>
    <row r="5214" spans="1:7">
      <c r="A5214" t="s">
        <v>29887</v>
      </c>
      <c r="B5214" t="s">
        <v>8626</v>
      </c>
      <c r="F5214" t="s">
        <v>29888</v>
      </c>
      <c r="G5214" t="s">
        <v>29889</v>
      </c>
    </row>
    <row r="5215" spans="1:7">
      <c r="A5215" t="s">
        <v>29890</v>
      </c>
      <c r="G5215" t="s">
        <v>29891</v>
      </c>
    </row>
    <row r="5216" spans="1:7">
      <c r="A5216" t="s">
        <v>29892</v>
      </c>
      <c r="B5216" t="s">
        <v>8607</v>
      </c>
      <c r="F5216" t="s">
        <v>20201</v>
      </c>
      <c r="G5216" t="s">
        <v>29893</v>
      </c>
    </row>
    <row r="5217" spans="1:7">
      <c r="A5217" t="s">
        <v>29894</v>
      </c>
      <c r="B5217" t="s">
        <v>8607</v>
      </c>
      <c r="F5217" t="s">
        <v>17932</v>
      </c>
      <c r="G5217" t="s">
        <v>29895</v>
      </c>
    </row>
    <row r="5218" spans="1:7">
      <c r="A5218" t="s">
        <v>29896</v>
      </c>
      <c r="B5218" t="s">
        <v>8607</v>
      </c>
      <c r="G5218" t="s">
        <v>29897</v>
      </c>
    </row>
    <row r="5219" spans="1:7">
      <c r="A5219" t="s">
        <v>29898</v>
      </c>
      <c r="B5219" t="s">
        <v>8607</v>
      </c>
      <c r="F5219" t="s">
        <v>23796</v>
      </c>
      <c r="G5219" t="s">
        <v>29899</v>
      </c>
    </row>
    <row r="5220" spans="1:7">
      <c r="A5220" t="s">
        <v>29900</v>
      </c>
      <c r="B5220" t="s">
        <v>8607</v>
      </c>
      <c r="F5220" t="s">
        <v>29901</v>
      </c>
      <c r="G5220" t="s">
        <v>29902</v>
      </c>
    </row>
    <row r="5221" spans="1:7">
      <c r="A5221" t="s">
        <v>29903</v>
      </c>
      <c r="B5221" t="s">
        <v>8607</v>
      </c>
      <c r="G5221" t="s">
        <v>29904</v>
      </c>
    </row>
    <row r="5222" spans="1:7">
      <c r="A5222" t="s">
        <v>29905</v>
      </c>
      <c r="B5222" t="s">
        <v>8607</v>
      </c>
      <c r="F5222" t="s">
        <v>29906</v>
      </c>
      <c r="G5222" t="s">
        <v>29907</v>
      </c>
    </row>
    <row r="5223" spans="1:7">
      <c r="A5223" t="s">
        <v>29908</v>
      </c>
      <c r="G5223" t="s">
        <v>29909</v>
      </c>
    </row>
    <row r="5224" spans="1:7">
      <c r="A5224" t="s">
        <v>29910</v>
      </c>
      <c r="B5224" t="s">
        <v>8607</v>
      </c>
      <c r="F5224" t="s">
        <v>29911</v>
      </c>
      <c r="G5224" t="s">
        <v>29912</v>
      </c>
    </row>
    <row r="5225" spans="1:7">
      <c r="A5225" t="s">
        <v>29913</v>
      </c>
      <c r="B5225" t="s">
        <v>8626</v>
      </c>
      <c r="G5225" t="s">
        <v>29914</v>
      </c>
    </row>
    <row r="5226" spans="1:7">
      <c r="A5226" t="s">
        <v>29915</v>
      </c>
      <c r="B5226" t="s">
        <v>8607</v>
      </c>
      <c r="F5226" t="s">
        <v>23859</v>
      </c>
      <c r="G5226" t="s">
        <v>29916</v>
      </c>
    </row>
    <row r="5227" spans="1:7">
      <c r="A5227" t="s">
        <v>29917</v>
      </c>
      <c r="B5227" t="s">
        <v>8626</v>
      </c>
      <c r="G5227" t="s">
        <v>29918</v>
      </c>
    </row>
    <row r="5228" spans="1:7">
      <c r="A5228" t="s">
        <v>29919</v>
      </c>
      <c r="B5228" t="s">
        <v>8626</v>
      </c>
      <c r="F5228" t="s">
        <v>13312</v>
      </c>
      <c r="G5228" t="s">
        <v>29920</v>
      </c>
    </row>
    <row r="5229" spans="1:7">
      <c r="A5229" t="s">
        <v>29921</v>
      </c>
      <c r="B5229" t="s">
        <v>8607</v>
      </c>
      <c r="C5229" t="s">
        <v>28439</v>
      </c>
      <c r="F5229" t="s">
        <v>17621</v>
      </c>
      <c r="G5229" t="s">
        <v>29922</v>
      </c>
    </row>
    <row r="5230" spans="1:7">
      <c r="A5230" t="s">
        <v>29923</v>
      </c>
      <c r="B5230" t="s">
        <v>8626</v>
      </c>
      <c r="F5230" t="s">
        <v>29924</v>
      </c>
      <c r="G5230" t="s">
        <v>29925</v>
      </c>
    </row>
    <row r="5231" spans="1:7">
      <c r="A5231" t="s">
        <v>29926</v>
      </c>
      <c r="G5231" t="s">
        <v>29927</v>
      </c>
    </row>
    <row r="5232" spans="1:7">
      <c r="A5232" t="s">
        <v>29928</v>
      </c>
      <c r="B5232" t="s">
        <v>8607</v>
      </c>
      <c r="C5232" t="s">
        <v>28820</v>
      </c>
      <c r="F5232" t="s">
        <v>8633</v>
      </c>
      <c r="G5232" t="s">
        <v>28823</v>
      </c>
    </row>
    <row r="5233" spans="1:7">
      <c r="A5233" t="s">
        <v>29929</v>
      </c>
      <c r="B5233" t="s">
        <v>8607</v>
      </c>
      <c r="C5233" t="s">
        <v>28825</v>
      </c>
      <c r="F5233" t="s">
        <v>29930</v>
      </c>
      <c r="G5233" t="s">
        <v>29931</v>
      </c>
    </row>
    <row r="5234" spans="1:7">
      <c r="A5234" t="s">
        <v>29932</v>
      </c>
      <c r="B5234" t="s">
        <v>8607</v>
      </c>
      <c r="F5234" t="s">
        <v>29933</v>
      </c>
      <c r="G5234" t="s">
        <v>29934</v>
      </c>
    </row>
    <row r="5235" spans="1:7">
      <c r="A5235" t="s">
        <v>29935</v>
      </c>
      <c r="B5235" t="s">
        <v>8626</v>
      </c>
      <c r="G5235" t="s">
        <v>29936</v>
      </c>
    </row>
    <row r="5236" spans="1:7">
      <c r="A5236" t="s">
        <v>29937</v>
      </c>
      <c r="B5236" t="s">
        <v>8626</v>
      </c>
      <c r="C5236" t="s">
        <v>26661</v>
      </c>
      <c r="F5236" t="s">
        <v>26365</v>
      </c>
      <c r="G5236" t="s">
        <v>29938</v>
      </c>
    </row>
    <row r="5237" spans="1:7">
      <c r="A5237" t="s">
        <v>29939</v>
      </c>
      <c r="B5237" t="s">
        <v>8626</v>
      </c>
      <c r="C5237" t="s">
        <v>29660</v>
      </c>
      <c r="F5237" t="s">
        <v>18755</v>
      </c>
      <c r="G5237" t="s">
        <v>29940</v>
      </c>
    </row>
    <row r="5238" spans="1:7">
      <c r="A5238" t="s">
        <v>29941</v>
      </c>
      <c r="B5238" t="s">
        <v>8607</v>
      </c>
      <c r="C5238" t="s">
        <v>18983</v>
      </c>
      <c r="F5238" t="s">
        <v>12862</v>
      </c>
      <c r="G5238" t="s">
        <v>29942</v>
      </c>
    </row>
    <row r="5239" spans="1:7">
      <c r="A5239" t="s">
        <v>29943</v>
      </c>
      <c r="B5239" t="s">
        <v>8607</v>
      </c>
      <c r="C5239" t="s">
        <v>20125</v>
      </c>
      <c r="F5239" t="s">
        <v>15811</v>
      </c>
      <c r="G5239" t="s">
        <v>29944</v>
      </c>
    </row>
    <row r="5240" spans="1:7">
      <c r="A5240" t="s">
        <v>29945</v>
      </c>
      <c r="G5240" t="s">
        <v>29946</v>
      </c>
    </row>
    <row r="5241" spans="1:7">
      <c r="A5241" t="s">
        <v>29947</v>
      </c>
      <c r="B5241" t="s">
        <v>8626</v>
      </c>
      <c r="F5241" t="s">
        <v>29948</v>
      </c>
      <c r="G5241" t="s">
        <v>29949</v>
      </c>
    </row>
    <row r="5242" spans="1:7">
      <c r="A5242" t="s">
        <v>29950</v>
      </c>
      <c r="B5242" t="s">
        <v>8607</v>
      </c>
      <c r="G5242" t="s">
        <v>19604</v>
      </c>
    </row>
    <row r="5243" spans="1:7">
      <c r="A5243" t="s">
        <v>29951</v>
      </c>
      <c r="B5243" t="s">
        <v>8607</v>
      </c>
      <c r="C5243" t="s">
        <v>27410</v>
      </c>
      <c r="F5243" t="s">
        <v>27411</v>
      </c>
      <c r="G5243" t="s">
        <v>29952</v>
      </c>
    </row>
    <row r="5244" spans="1:7">
      <c r="A5244" t="s">
        <v>29953</v>
      </c>
      <c r="B5244" t="s">
        <v>8607</v>
      </c>
      <c r="C5244" t="s">
        <v>28842</v>
      </c>
      <c r="F5244" t="s">
        <v>19908</v>
      </c>
      <c r="G5244" t="s">
        <v>29954</v>
      </c>
    </row>
    <row r="5245" spans="1:7">
      <c r="A5245" t="s">
        <v>29955</v>
      </c>
      <c r="B5245" t="s">
        <v>8607</v>
      </c>
      <c r="C5245" t="s">
        <v>27414</v>
      </c>
      <c r="F5245" t="s">
        <v>26291</v>
      </c>
      <c r="G5245" t="s">
        <v>29331</v>
      </c>
    </row>
    <row r="5246" spans="1:7">
      <c r="A5246" t="s">
        <v>29956</v>
      </c>
      <c r="B5246" t="s">
        <v>8607</v>
      </c>
      <c r="F5246" t="s">
        <v>21225</v>
      </c>
      <c r="G5246" t="s">
        <v>29957</v>
      </c>
    </row>
    <row r="5247" spans="1:7">
      <c r="A5247" t="s">
        <v>29958</v>
      </c>
      <c r="B5247" t="s">
        <v>8626</v>
      </c>
      <c r="F5247" t="s">
        <v>26091</v>
      </c>
      <c r="G5247" t="s">
        <v>29959</v>
      </c>
    </row>
    <row r="5248" spans="1:7">
      <c r="A5248" t="s">
        <v>29960</v>
      </c>
      <c r="B5248" t="s">
        <v>8626</v>
      </c>
      <c r="F5248" t="s">
        <v>27402</v>
      </c>
      <c r="G5248" t="s">
        <v>29961</v>
      </c>
    </row>
    <row r="5249" spans="1:7">
      <c r="A5249" t="s">
        <v>29962</v>
      </c>
      <c r="B5249" t="s">
        <v>8607</v>
      </c>
      <c r="C5249" t="s">
        <v>27405</v>
      </c>
      <c r="F5249" t="s">
        <v>9002</v>
      </c>
      <c r="G5249" t="s">
        <v>27406</v>
      </c>
    </row>
    <row r="5250" spans="1:7">
      <c r="A5250" t="s">
        <v>29963</v>
      </c>
      <c r="B5250" t="s">
        <v>8607</v>
      </c>
      <c r="C5250" t="s">
        <v>27492</v>
      </c>
      <c r="F5250" t="s">
        <v>26519</v>
      </c>
      <c r="G5250" t="s">
        <v>29964</v>
      </c>
    </row>
    <row r="5251" spans="1:7">
      <c r="A5251" t="s">
        <v>29965</v>
      </c>
      <c r="B5251" t="s">
        <v>8607</v>
      </c>
      <c r="F5251" t="s">
        <v>29144</v>
      </c>
      <c r="G5251" t="s">
        <v>29966</v>
      </c>
    </row>
    <row r="5252" spans="1:7">
      <c r="A5252" t="s">
        <v>29967</v>
      </c>
      <c r="B5252" t="s">
        <v>8607</v>
      </c>
      <c r="F5252" t="s">
        <v>9039</v>
      </c>
      <c r="G5252" t="s">
        <v>29968</v>
      </c>
    </row>
    <row r="5253" spans="1:7">
      <c r="A5253" t="s">
        <v>29969</v>
      </c>
      <c r="B5253" t="s">
        <v>8607</v>
      </c>
      <c r="F5253" t="s">
        <v>9018</v>
      </c>
      <c r="G5253" t="s">
        <v>29970</v>
      </c>
    </row>
    <row r="5254" spans="1:7">
      <c r="A5254" t="s">
        <v>29971</v>
      </c>
      <c r="B5254" t="s">
        <v>8607</v>
      </c>
      <c r="C5254" t="s">
        <v>26728</v>
      </c>
      <c r="F5254" t="s">
        <v>26176</v>
      </c>
      <c r="G5254" t="s">
        <v>26729</v>
      </c>
    </row>
    <row r="5255" spans="1:7">
      <c r="A5255" t="s">
        <v>29972</v>
      </c>
      <c r="B5255" t="s">
        <v>8607</v>
      </c>
      <c r="F5255" t="s">
        <v>9473</v>
      </c>
      <c r="G5255" t="s">
        <v>26731</v>
      </c>
    </row>
    <row r="5256" spans="1:7">
      <c r="A5256" t="s">
        <v>29973</v>
      </c>
      <c r="B5256" t="s">
        <v>8607</v>
      </c>
      <c r="F5256" t="s">
        <v>15549</v>
      </c>
      <c r="G5256" t="s">
        <v>29974</v>
      </c>
    </row>
    <row r="5257" spans="1:7">
      <c r="A5257" t="s">
        <v>29975</v>
      </c>
      <c r="B5257" t="s">
        <v>8607</v>
      </c>
      <c r="G5257" t="s">
        <v>29976</v>
      </c>
    </row>
    <row r="5258" spans="1:7">
      <c r="A5258" t="s">
        <v>29977</v>
      </c>
      <c r="B5258" t="s">
        <v>8607</v>
      </c>
      <c r="F5258" t="s">
        <v>9018</v>
      </c>
      <c r="G5258" t="s">
        <v>29978</v>
      </c>
    </row>
    <row r="5259" spans="1:7">
      <c r="A5259" t="s">
        <v>29979</v>
      </c>
      <c r="B5259" t="s">
        <v>8607</v>
      </c>
      <c r="C5259" t="s">
        <v>29113</v>
      </c>
      <c r="F5259" t="s">
        <v>9018</v>
      </c>
      <c r="G5259" t="s">
        <v>29980</v>
      </c>
    </row>
    <row r="5260" spans="1:7">
      <c r="A5260" t="s">
        <v>29981</v>
      </c>
      <c r="B5260" t="s">
        <v>8626</v>
      </c>
      <c r="F5260" t="s">
        <v>26827</v>
      </c>
      <c r="G5260" t="s">
        <v>29982</v>
      </c>
    </row>
    <row r="5261" spans="1:7">
      <c r="A5261" t="s">
        <v>29983</v>
      </c>
      <c r="B5261" t="s">
        <v>8607</v>
      </c>
      <c r="F5261" t="s">
        <v>29119</v>
      </c>
      <c r="G5261" t="s">
        <v>29984</v>
      </c>
    </row>
    <row r="5262" spans="1:7">
      <c r="A5262" t="s">
        <v>29985</v>
      </c>
      <c r="B5262" t="s">
        <v>8626</v>
      </c>
      <c r="C5262" t="s">
        <v>29186</v>
      </c>
      <c r="F5262" t="s">
        <v>10676</v>
      </c>
      <c r="G5262" t="s">
        <v>29123</v>
      </c>
    </row>
    <row r="5263" spans="1:7">
      <c r="A5263" t="s">
        <v>29986</v>
      </c>
      <c r="B5263" t="s">
        <v>8626</v>
      </c>
      <c r="G5263" t="s">
        <v>29987</v>
      </c>
    </row>
    <row r="5264" spans="1:7">
      <c r="A5264" t="s">
        <v>29988</v>
      </c>
      <c r="B5264" t="s">
        <v>8607</v>
      </c>
      <c r="C5264" t="s">
        <v>26863</v>
      </c>
      <c r="F5264" t="s">
        <v>9018</v>
      </c>
      <c r="G5264" t="s">
        <v>29989</v>
      </c>
    </row>
    <row r="5265" spans="1:7">
      <c r="A5265" t="s">
        <v>29990</v>
      </c>
      <c r="B5265" t="s">
        <v>8607</v>
      </c>
      <c r="C5265" t="s">
        <v>29179</v>
      </c>
      <c r="F5265" t="s">
        <v>17320</v>
      </c>
      <c r="G5265" t="s">
        <v>29991</v>
      </c>
    </row>
    <row r="5266" spans="1:7">
      <c r="A5266" t="s">
        <v>29992</v>
      </c>
      <c r="B5266" t="s">
        <v>8607</v>
      </c>
      <c r="C5266" t="s">
        <v>26315</v>
      </c>
      <c r="F5266" t="s">
        <v>17320</v>
      </c>
      <c r="G5266" t="s">
        <v>29993</v>
      </c>
    </row>
    <row r="5267" spans="1:7">
      <c r="A5267" t="s">
        <v>29994</v>
      </c>
      <c r="B5267" t="s">
        <v>8607</v>
      </c>
      <c r="G5267" t="s">
        <v>26757</v>
      </c>
    </row>
    <row r="5268" spans="1:7">
      <c r="A5268" t="s">
        <v>29995</v>
      </c>
      <c r="B5268" t="s">
        <v>8626</v>
      </c>
      <c r="F5268" t="s">
        <v>26759</v>
      </c>
      <c r="G5268" t="s">
        <v>29996</v>
      </c>
    </row>
    <row r="5269" spans="1:7">
      <c r="A5269" t="s">
        <v>29997</v>
      </c>
      <c r="B5269" t="s">
        <v>8626</v>
      </c>
      <c r="G5269" t="s">
        <v>29998</v>
      </c>
    </row>
    <row r="5270" spans="1:7">
      <c r="A5270" t="s">
        <v>29999</v>
      </c>
      <c r="B5270" t="s">
        <v>8607</v>
      </c>
      <c r="F5270" t="s">
        <v>9018</v>
      </c>
      <c r="G5270" t="s">
        <v>30000</v>
      </c>
    </row>
    <row r="5271" spans="1:7">
      <c r="A5271" t="s">
        <v>30001</v>
      </c>
      <c r="B5271" t="s">
        <v>8607</v>
      </c>
      <c r="F5271" t="s">
        <v>30002</v>
      </c>
      <c r="G5271" t="s">
        <v>30003</v>
      </c>
    </row>
    <row r="5272" spans="1:7">
      <c r="A5272" t="s">
        <v>30004</v>
      </c>
      <c r="B5272" t="s">
        <v>8607</v>
      </c>
      <c r="F5272" t="s">
        <v>27423</v>
      </c>
      <c r="G5272" t="s">
        <v>30005</v>
      </c>
    </row>
    <row r="5273" spans="1:7">
      <c r="A5273" t="s">
        <v>30006</v>
      </c>
      <c r="B5273" t="s">
        <v>8607</v>
      </c>
      <c r="F5273" t="s">
        <v>26717</v>
      </c>
      <c r="G5273" t="s">
        <v>26718</v>
      </c>
    </row>
    <row r="5274" spans="1:7">
      <c r="A5274" t="s">
        <v>30007</v>
      </c>
      <c r="B5274" t="s">
        <v>8607</v>
      </c>
      <c r="G5274" t="s">
        <v>26723</v>
      </c>
    </row>
    <row r="5275" spans="1:7">
      <c r="A5275" t="s">
        <v>30008</v>
      </c>
      <c r="B5275" t="s">
        <v>8607</v>
      </c>
      <c r="F5275" t="s">
        <v>30009</v>
      </c>
      <c r="G5275" t="s">
        <v>30010</v>
      </c>
    </row>
    <row r="5276" spans="1:7">
      <c r="A5276" t="s">
        <v>30011</v>
      </c>
      <c r="B5276" t="s">
        <v>8607</v>
      </c>
      <c r="F5276" t="s">
        <v>8623</v>
      </c>
      <c r="G5276" t="s">
        <v>10704</v>
      </c>
    </row>
    <row r="5277" spans="1:7">
      <c r="A5277" t="s">
        <v>30012</v>
      </c>
      <c r="B5277" t="s">
        <v>8607</v>
      </c>
      <c r="F5277" t="s">
        <v>26207</v>
      </c>
      <c r="G5277" t="s">
        <v>27473</v>
      </c>
    </row>
    <row r="5278" spans="1:7">
      <c r="A5278" t="s">
        <v>30013</v>
      </c>
      <c r="B5278" t="s">
        <v>8607</v>
      </c>
      <c r="F5278" t="s">
        <v>28159</v>
      </c>
      <c r="G5278" t="s">
        <v>30014</v>
      </c>
    </row>
    <row r="5279" spans="1:7">
      <c r="A5279" t="s">
        <v>30015</v>
      </c>
      <c r="B5279" t="s">
        <v>8607</v>
      </c>
      <c r="F5279" t="s">
        <v>17349</v>
      </c>
      <c r="G5279" t="s">
        <v>29042</v>
      </c>
    </row>
    <row r="5280" spans="1:7">
      <c r="A5280" t="s">
        <v>30016</v>
      </c>
      <c r="B5280" t="s">
        <v>8607</v>
      </c>
      <c r="G5280" t="s">
        <v>30017</v>
      </c>
    </row>
    <row r="5281" spans="1:7">
      <c r="A5281" t="s">
        <v>30018</v>
      </c>
      <c r="B5281" t="s">
        <v>8607</v>
      </c>
      <c r="C5281" t="s">
        <v>24008</v>
      </c>
      <c r="F5281" t="s">
        <v>17305</v>
      </c>
      <c r="G5281" t="s">
        <v>30019</v>
      </c>
    </row>
    <row r="5282" spans="1:7">
      <c r="A5282" t="s">
        <v>30020</v>
      </c>
      <c r="B5282" t="s">
        <v>8607</v>
      </c>
      <c r="C5282" t="s">
        <v>27414</v>
      </c>
      <c r="F5282" t="s">
        <v>26291</v>
      </c>
      <c r="G5282" t="s">
        <v>30021</v>
      </c>
    </row>
    <row r="5283" spans="1:7">
      <c r="A5283" t="s">
        <v>30022</v>
      </c>
      <c r="B5283" t="s">
        <v>8607</v>
      </c>
      <c r="F5283" t="s">
        <v>26091</v>
      </c>
      <c r="G5283" t="s">
        <v>30023</v>
      </c>
    </row>
    <row r="5284" spans="1:7">
      <c r="A5284" t="s">
        <v>30024</v>
      </c>
      <c r="B5284" t="s">
        <v>8607</v>
      </c>
      <c r="F5284" t="s">
        <v>27402</v>
      </c>
      <c r="G5284" t="s">
        <v>29481</v>
      </c>
    </row>
    <row r="5285" spans="1:7">
      <c r="A5285" t="s">
        <v>30025</v>
      </c>
      <c r="B5285" t="s">
        <v>8626</v>
      </c>
      <c r="C5285" t="s">
        <v>27405</v>
      </c>
      <c r="F5285" t="s">
        <v>9002</v>
      </c>
      <c r="G5285" t="s">
        <v>28997</v>
      </c>
    </row>
    <row r="5286" spans="1:7">
      <c r="A5286" t="s">
        <v>30026</v>
      </c>
      <c r="B5286" t="s">
        <v>8607</v>
      </c>
      <c r="C5286" t="s">
        <v>27492</v>
      </c>
      <c r="F5286" t="s">
        <v>26519</v>
      </c>
      <c r="G5286" t="s">
        <v>30027</v>
      </c>
    </row>
    <row r="5287" spans="1:7">
      <c r="A5287" t="s">
        <v>30028</v>
      </c>
      <c r="B5287" t="s">
        <v>8607</v>
      </c>
      <c r="C5287" t="s">
        <v>18983</v>
      </c>
      <c r="F5287" t="s">
        <v>12862</v>
      </c>
      <c r="G5287" t="s">
        <v>29942</v>
      </c>
    </row>
    <row r="5288" spans="1:7">
      <c r="A5288" t="s">
        <v>30029</v>
      </c>
      <c r="B5288" t="s">
        <v>8607</v>
      </c>
      <c r="C5288" t="s">
        <v>27497</v>
      </c>
      <c r="F5288" t="s">
        <v>15811</v>
      </c>
      <c r="G5288" t="s">
        <v>29944</v>
      </c>
    </row>
    <row r="5289" spans="1:7">
      <c r="A5289" t="s">
        <v>30030</v>
      </c>
      <c r="B5289" t="s">
        <v>8607</v>
      </c>
      <c r="F5289" t="s">
        <v>27930</v>
      </c>
      <c r="G5289" t="s">
        <v>30031</v>
      </c>
    </row>
    <row r="5290" spans="1:7">
      <c r="A5290" t="s">
        <v>30032</v>
      </c>
      <c r="B5290" t="s">
        <v>8607</v>
      </c>
      <c r="C5290" t="s">
        <v>29464</v>
      </c>
      <c r="F5290" t="s">
        <v>26091</v>
      </c>
      <c r="G5290" t="s">
        <v>30033</v>
      </c>
    </row>
    <row r="5291" spans="1:7">
      <c r="A5291" t="s">
        <v>30034</v>
      </c>
      <c r="B5291" t="s">
        <v>8607</v>
      </c>
      <c r="C5291" t="s">
        <v>26119</v>
      </c>
      <c r="F5291" t="s">
        <v>26120</v>
      </c>
      <c r="G5291" t="s">
        <v>30035</v>
      </c>
    </row>
    <row r="5292" spans="1:7">
      <c r="A5292" t="s">
        <v>30036</v>
      </c>
      <c r="B5292" t="s">
        <v>8607</v>
      </c>
      <c r="C5292" t="s">
        <v>26661</v>
      </c>
      <c r="F5292" t="s">
        <v>26365</v>
      </c>
      <c r="G5292" t="s">
        <v>30037</v>
      </c>
    </row>
    <row r="5293" spans="1:7">
      <c r="A5293" t="s">
        <v>30038</v>
      </c>
      <c r="B5293" t="s">
        <v>8607</v>
      </c>
      <c r="C5293" t="s">
        <v>27410</v>
      </c>
      <c r="F5293" t="s">
        <v>27411</v>
      </c>
      <c r="G5293" t="s">
        <v>30039</v>
      </c>
    </row>
    <row r="5294" spans="1:7">
      <c r="A5294" t="s">
        <v>30040</v>
      </c>
      <c r="B5294" t="s">
        <v>8607</v>
      </c>
      <c r="F5294" t="s">
        <v>27835</v>
      </c>
      <c r="G5294" t="s">
        <v>28803</v>
      </c>
    </row>
    <row r="5295" spans="1:7">
      <c r="A5295" t="s">
        <v>30041</v>
      </c>
      <c r="B5295" t="s">
        <v>8607</v>
      </c>
      <c r="F5295" t="s">
        <v>19996</v>
      </c>
      <c r="G5295" t="s">
        <v>29605</v>
      </c>
    </row>
    <row r="5296" spans="1:7">
      <c r="A5296" t="s">
        <v>30042</v>
      </c>
      <c r="B5296" t="s">
        <v>8607</v>
      </c>
      <c r="G5296" t="s">
        <v>30043</v>
      </c>
    </row>
    <row r="5297" spans="1:7">
      <c r="A5297" t="s">
        <v>30044</v>
      </c>
      <c r="B5297" t="s">
        <v>8607</v>
      </c>
      <c r="F5297" t="s">
        <v>9018</v>
      </c>
      <c r="G5297" t="s">
        <v>30045</v>
      </c>
    </row>
    <row r="5298" spans="1:7">
      <c r="A5298" t="s">
        <v>30046</v>
      </c>
      <c r="B5298" t="s">
        <v>8626</v>
      </c>
      <c r="F5298" t="s">
        <v>26204</v>
      </c>
      <c r="G5298" t="s">
        <v>27038</v>
      </c>
    </row>
    <row r="5299" spans="1:7">
      <c r="A5299" t="s">
        <v>30047</v>
      </c>
      <c r="B5299" t="s">
        <v>8607</v>
      </c>
      <c r="F5299" t="s">
        <v>9018</v>
      </c>
      <c r="G5299" t="s">
        <v>30048</v>
      </c>
    </row>
    <row r="5300" spans="1:7">
      <c r="A5300" t="s">
        <v>30049</v>
      </c>
      <c r="B5300" t="s">
        <v>8607</v>
      </c>
      <c r="F5300" t="s">
        <v>27040</v>
      </c>
      <c r="G5300" t="s">
        <v>30050</v>
      </c>
    </row>
    <row r="5301" spans="1:7">
      <c r="A5301" t="s">
        <v>30051</v>
      </c>
      <c r="B5301" t="s">
        <v>8607</v>
      </c>
      <c r="F5301" t="s">
        <v>26256</v>
      </c>
      <c r="G5301" t="s">
        <v>26257</v>
      </c>
    </row>
    <row r="5302" spans="1:7">
      <c r="A5302" t="s">
        <v>30052</v>
      </c>
      <c r="B5302" t="s">
        <v>8626</v>
      </c>
      <c r="F5302" t="s">
        <v>9018</v>
      </c>
      <c r="G5302" t="s">
        <v>29577</v>
      </c>
    </row>
    <row r="5303" spans="1:7">
      <c r="A5303" t="s">
        <v>30053</v>
      </c>
      <c r="B5303" t="s">
        <v>8607</v>
      </c>
      <c r="F5303" t="s">
        <v>9473</v>
      </c>
      <c r="G5303" t="s">
        <v>30054</v>
      </c>
    </row>
    <row r="5304" spans="1:7">
      <c r="A5304" t="s">
        <v>30055</v>
      </c>
      <c r="B5304" t="s">
        <v>8607</v>
      </c>
      <c r="F5304" t="s">
        <v>29700</v>
      </c>
      <c r="G5304" t="s">
        <v>30056</v>
      </c>
    </row>
    <row r="5305" spans="1:7">
      <c r="A5305" t="s">
        <v>30057</v>
      </c>
      <c r="B5305" t="s">
        <v>8626</v>
      </c>
      <c r="C5305" t="s">
        <v>26048</v>
      </c>
      <c r="F5305" t="s">
        <v>23160</v>
      </c>
      <c r="G5305" t="s">
        <v>26262</v>
      </c>
    </row>
    <row r="5306" spans="1:7">
      <c r="A5306" t="s">
        <v>30058</v>
      </c>
      <c r="B5306" t="s">
        <v>8626</v>
      </c>
      <c r="F5306" t="s">
        <v>20920</v>
      </c>
      <c r="G5306" t="s">
        <v>30059</v>
      </c>
    </row>
    <row r="5307" spans="1:7">
      <c r="A5307" t="s">
        <v>30060</v>
      </c>
      <c r="B5307" t="s">
        <v>8626</v>
      </c>
      <c r="F5307" t="s">
        <v>26670</v>
      </c>
      <c r="G5307" t="s">
        <v>30061</v>
      </c>
    </row>
    <row r="5308" spans="1:7">
      <c r="A5308" t="s">
        <v>30062</v>
      </c>
      <c r="B5308" t="s">
        <v>8626</v>
      </c>
      <c r="C5308" t="s">
        <v>29299</v>
      </c>
      <c r="F5308" t="s">
        <v>26937</v>
      </c>
      <c r="G5308" t="s">
        <v>30063</v>
      </c>
    </row>
    <row r="5309" spans="1:7">
      <c r="A5309" t="s">
        <v>30064</v>
      </c>
      <c r="B5309" t="s">
        <v>8626</v>
      </c>
      <c r="F5309" t="s">
        <v>29314</v>
      </c>
      <c r="G5309" t="s">
        <v>30065</v>
      </c>
    </row>
    <row r="5310" spans="1:7">
      <c r="A5310" t="s">
        <v>30066</v>
      </c>
      <c r="B5310" t="s">
        <v>8626</v>
      </c>
      <c r="C5310" t="s">
        <v>24008</v>
      </c>
      <c r="F5310" t="s">
        <v>17305</v>
      </c>
      <c r="G5310" t="s">
        <v>24017</v>
      </c>
    </row>
    <row r="5311" spans="1:7">
      <c r="A5311" t="s">
        <v>30067</v>
      </c>
      <c r="B5311" t="s">
        <v>8626</v>
      </c>
      <c r="C5311" t="s">
        <v>29464</v>
      </c>
      <c r="F5311" t="s">
        <v>26091</v>
      </c>
      <c r="G5311" t="s">
        <v>30068</v>
      </c>
    </row>
    <row r="5312" spans="1:7">
      <c r="A5312" t="s">
        <v>30069</v>
      </c>
      <c r="B5312" t="s">
        <v>8607</v>
      </c>
      <c r="C5312" t="s">
        <v>26119</v>
      </c>
      <c r="F5312" t="s">
        <v>26120</v>
      </c>
      <c r="G5312" t="s">
        <v>30070</v>
      </c>
    </row>
    <row r="5313" spans="1:7">
      <c r="A5313" t="s">
        <v>30071</v>
      </c>
      <c r="B5313" t="s">
        <v>8626</v>
      </c>
      <c r="C5313" t="s">
        <v>26661</v>
      </c>
      <c r="F5313" t="s">
        <v>26365</v>
      </c>
      <c r="G5313" t="s">
        <v>30072</v>
      </c>
    </row>
    <row r="5314" spans="1:7">
      <c r="A5314" t="s">
        <v>30073</v>
      </c>
      <c r="B5314" t="s">
        <v>8607</v>
      </c>
      <c r="C5314" t="s">
        <v>27410</v>
      </c>
      <c r="F5314" t="s">
        <v>27411</v>
      </c>
      <c r="G5314" t="s">
        <v>27412</v>
      </c>
    </row>
    <row r="5315" spans="1:7">
      <c r="A5315" t="s">
        <v>30074</v>
      </c>
      <c r="B5315" t="s">
        <v>8626</v>
      </c>
      <c r="C5315" t="s">
        <v>27504</v>
      </c>
      <c r="F5315" t="s">
        <v>26291</v>
      </c>
      <c r="G5315" t="s">
        <v>30075</v>
      </c>
    </row>
    <row r="5316" spans="1:7">
      <c r="A5316" t="s">
        <v>30076</v>
      </c>
      <c r="B5316" t="s">
        <v>8626</v>
      </c>
      <c r="C5316" t="s">
        <v>30077</v>
      </c>
      <c r="F5316" t="s">
        <v>26091</v>
      </c>
      <c r="G5316" t="s">
        <v>30078</v>
      </c>
    </row>
    <row r="5317" spans="1:7">
      <c r="A5317" t="s">
        <v>30079</v>
      </c>
      <c r="B5317" t="s">
        <v>8607</v>
      </c>
      <c r="F5317" t="s">
        <v>27402</v>
      </c>
      <c r="G5317" t="s">
        <v>30080</v>
      </c>
    </row>
    <row r="5318" spans="1:7">
      <c r="A5318" t="s">
        <v>30081</v>
      </c>
      <c r="G5318" t="s">
        <v>30082</v>
      </c>
    </row>
    <row r="5319" spans="1:7">
      <c r="A5319" t="s">
        <v>30083</v>
      </c>
      <c r="B5319" t="s">
        <v>8626</v>
      </c>
      <c r="C5319" t="s">
        <v>27405</v>
      </c>
      <c r="F5319" t="s">
        <v>9002</v>
      </c>
      <c r="G5319" t="s">
        <v>29758</v>
      </c>
    </row>
    <row r="5320" spans="1:7">
      <c r="A5320" t="s">
        <v>30084</v>
      </c>
      <c r="B5320" t="s">
        <v>8626</v>
      </c>
      <c r="C5320" t="s">
        <v>27492</v>
      </c>
      <c r="F5320" t="s">
        <v>26519</v>
      </c>
      <c r="G5320" t="s">
        <v>30085</v>
      </c>
    </row>
    <row r="5321" spans="1:7">
      <c r="A5321" t="s">
        <v>30086</v>
      </c>
      <c r="B5321" t="s">
        <v>8626</v>
      </c>
      <c r="C5321" t="s">
        <v>18983</v>
      </c>
      <c r="F5321" t="s">
        <v>12862</v>
      </c>
      <c r="G5321" t="s">
        <v>30087</v>
      </c>
    </row>
    <row r="5322" spans="1:7">
      <c r="A5322" t="s">
        <v>30088</v>
      </c>
      <c r="B5322" t="s">
        <v>8607</v>
      </c>
      <c r="G5322" t="s">
        <v>30089</v>
      </c>
    </row>
    <row r="5323" spans="1:7">
      <c r="A5323" t="s">
        <v>30090</v>
      </c>
      <c r="B5323" t="s">
        <v>8607</v>
      </c>
      <c r="F5323" t="s">
        <v>17741</v>
      </c>
      <c r="G5323" t="s">
        <v>26616</v>
      </c>
    </row>
    <row r="5324" spans="1:7">
      <c r="A5324" t="s">
        <v>30091</v>
      </c>
      <c r="B5324" t="s">
        <v>8607</v>
      </c>
      <c r="F5324" t="s">
        <v>8623</v>
      </c>
      <c r="G5324" t="s">
        <v>27484</v>
      </c>
    </row>
    <row r="5325" spans="1:7">
      <c r="A5325" t="s">
        <v>30092</v>
      </c>
      <c r="B5325" t="s">
        <v>8607</v>
      </c>
      <c r="F5325" t="s">
        <v>28852</v>
      </c>
      <c r="G5325" t="s">
        <v>28927</v>
      </c>
    </row>
    <row r="5326" spans="1:7">
      <c r="A5326" t="s">
        <v>30093</v>
      </c>
      <c r="B5326" t="s">
        <v>8626</v>
      </c>
      <c r="F5326" t="s">
        <v>8623</v>
      </c>
      <c r="G5326" t="s">
        <v>30094</v>
      </c>
    </row>
    <row r="5327" spans="1:7">
      <c r="A5327" t="s">
        <v>30095</v>
      </c>
      <c r="B5327" t="s">
        <v>8607</v>
      </c>
      <c r="F5327" t="s">
        <v>28856</v>
      </c>
      <c r="G5327" t="s">
        <v>30096</v>
      </c>
    </row>
    <row r="5328" spans="1:7">
      <c r="A5328" t="s">
        <v>30097</v>
      </c>
      <c r="B5328" t="s">
        <v>8607</v>
      </c>
      <c r="F5328" t="s">
        <v>22981</v>
      </c>
      <c r="G5328" t="s">
        <v>28845</v>
      </c>
    </row>
    <row r="5329" spans="1:7">
      <c r="A5329" t="s">
        <v>30098</v>
      </c>
      <c r="B5329" t="s">
        <v>8607</v>
      </c>
      <c r="G5329" t="s">
        <v>17247</v>
      </c>
    </row>
    <row r="5330" spans="1:7">
      <c r="A5330" t="s">
        <v>30099</v>
      </c>
      <c r="B5330" t="s">
        <v>8626</v>
      </c>
      <c r="F5330" t="s">
        <v>26268</v>
      </c>
      <c r="G5330" t="s">
        <v>26441</v>
      </c>
    </row>
    <row r="5331" spans="1:7">
      <c r="A5331" t="s">
        <v>30100</v>
      </c>
      <c r="B5331" t="s">
        <v>8607</v>
      </c>
      <c r="F5331" t="s">
        <v>30101</v>
      </c>
      <c r="G5331" t="s">
        <v>30102</v>
      </c>
    </row>
    <row r="5332" spans="1:7">
      <c r="A5332" t="s">
        <v>30103</v>
      </c>
      <c r="B5332" t="s">
        <v>8626</v>
      </c>
      <c r="F5332" t="s">
        <v>30104</v>
      </c>
      <c r="G5332" t="s">
        <v>30105</v>
      </c>
    </row>
    <row r="5333" spans="1:7">
      <c r="A5333" t="s">
        <v>30106</v>
      </c>
      <c r="B5333" t="s">
        <v>8607</v>
      </c>
      <c r="F5333" t="s">
        <v>30107</v>
      </c>
      <c r="G5333" t="s">
        <v>30108</v>
      </c>
    </row>
    <row r="5334" spans="1:7">
      <c r="A5334" t="s">
        <v>30109</v>
      </c>
      <c r="B5334" t="s">
        <v>8626</v>
      </c>
      <c r="C5334" t="s">
        <v>27492</v>
      </c>
      <c r="F5334" t="s">
        <v>26519</v>
      </c>
      <c r="G5334" t="s">
        <v>30085</v>
      </c>
    </row>
    <row r="5335" spans="1:7">
      <c r="A5335" t="s">
        <v>30110</v>
      </c>
      <c r="B5335" t="s">
        <v>8607</v>
      </c>
      <c r="C5335" t="s">
        <v>30111</v>
      </c>
      <c r="F5335" t="s">
        <v>9018</v>
      </c>
      <c r="G5335" t="s">
        <v>30112</v>
      </c>
    </row>
    <row r="5336" spans="1:7">
      <c r="A5336" t="s">
        <v>30113</v>
      </c>
      <c r="B5336" t="s">
        <v>8626</v>
      </c>
      <c r="F5336" t="s">
        <v>12862</v>
      </c>
      <c r="G5336" t="s">
        <v>30087</v>
      </c>
    </row>
    <row r="5337" spans="1:7">
      <c r="A5337" t="s">
        <v>30114</v>
      </c>
      <c r="B5337" t="s">
        <v>8607</v>
      </c>
      <c r="F5337" t="s">
        <v>10076</v>
      </c>
      <c r="G5337" t="s">
        <v>30115</v>
      </c>
    </row>
    <row r="5338" spans="1:7">
      <c r="A5338" t="s">
        <v>30116</v>
      </c>
      <c r="B5338" t="s">
        <v>8607</v>
      </c>
      <c r="F5338" t="s">
        <v>27899</v>
      </c>
      <c r="G5338" t="s">
        <v>30117</v>
      </c>
    </row>
    <row r="5339" spans="1:7">
      <c r="A5339" t="s">
        <v>30118</v>
      </c>
      <c r="B5339" t="s">
        <v>8626</v>
      </c>
      <c r="C5339" t="s">
        <v>26080</v>
      </c>
      <c r="F5339" t="s">
        <v>23667</v>
      </c>
      <c r="G5339" t="s">
        <v>30119</v>
      </c>
    </row>
    <row r="5340" spans="1:7">
      <c r="A5340" t="s">
        <v>30120</v>
      </c>
      <c r="B5340" t="s">
        <v>8626</v>
      </c>
      <c r="F5340" t="s">
        <v>23667</v>
      </c>
      <c r="G5340" t="s">
        <v>30119</v>
      </c>
    </row>
    <row r="5341" spans="1:7">
      <c r="A5341" t="s">
        <v>30121</v>
      </c>
      <c r="B5341" t="s">
        <v>8607</v>
      </c>
      <c r="F5341" t="s">
        <v>19070</v>
      </c>
      <c r="G5341" t="s">
        <v>19129</v>
      </c>
    </row>
    <row r="5342" spans="1:7">
      <c r="A5342" t="s">
        <v>30122</v>
      </c>
      <c r="B5342" t="s">
        <v>8607</v>
      </c>
      <c r="G5342" t="s">
        <v>30123</v>
      </c>
    </row>
    <row r="5343" spans="1:7">
      <c r="A5343" t="s">
        <v>30124</v>
      </c>
      <c r="B5343" t="s">
        <v>8607</v>
      </c>
      <c r="F5343" t="s">
        <v>30125</v>
      </c>
      <c r="G5343" t="s">
        <v>30126</v>
      </c>
    </row>
    <row r="5344" spans="1:7">
      <c r="A5344" t="s">
        <v>30127</v>
      </c>
      <c r="B5344" t="s">
        <v>8626</v>
      </c>
      <c r="F5344" t="s">
        <v>30128</v>
      </c>
      <c r="G5344" t="s">
        <v>29189</v>
      </c>
    </row>
    <row r="5345" spans="1:7">
      <c r="A5345" t="s">
        <v>30129</v>
      </c>
      <c r="G5345" t="s">
        <v>30130</v>
      </c>
    </row>
    <row r="5346" spans="1:7">
      <c r="A5346" t="s">
        <v>30131</v>
      </c>
      <c r="B5346" t="s">
        <v>8626</v>
      </c>
      <c r="F5346" t="s">
        <v>30132</v>
      </c>
      <c r="G5346" t="s">
        <v>30133</v>
      </c>
    </row>
    <row r="5347" spans="1:7">
      <c r="A5347" t="s">
        <v>30134</v>
      </c>
      <c r="B5347" t="s">
        <v>8626</v>
      </c>
      <c r="F5347" t="s">
        <v>27035</v>
      </c>
      <c r="G5347" t="s">
        <v>30135</v>
      </c>
    </row>
    <row r="5348" spans="1:7">
      <c r="A5348" t="s">
        <v>30136</v>
      </c>
      <c r="B5348" t="s">
        <v>8626</v>
      </c>
      <c r="F5348" t="s">
        <v>28775</v>
      </c>
      <c r="G5348" t="s">
        <v>30137</v>
      </c>
    </row>
    <row r="5349" spans="1:7">
      <c r="A5349" t="s">
        <v>30138</v>
      </c>
      <c r="B5349" t="s">
        <v>8626</v>
      </c>
      <c r="F5349" t="s">
        <v>9018</v>
      </c>
      <c r="G5349" t="s">
        <v>30139</v>
      </c>
    </row>
    <row r="5350" spans="1:7">
      <c r="A5350" t="s">
        <v>30140</v>
      </c>
      <c r="B5350" t="s">
        <v>8626</v>
      </c>
      <c r="F5350" t="s">
        <v>11334</v>
      </c>
      <c r="G5350" t="s">
        <v>28555</v>
      </c>
    </row>
    <row r="5351" spans="1:7">
      <c r="A5351" t="s">
        <v>30141</v>
      </c>
      <c r="B5351" t="s">
        <v>8607</v>
      </c>
      <c r="G5351" t="s">
        <v>30142</v>
      </c>
    </row>
    <row r="5352" spans="1:7">
      <c r="A5352" t="s">
        <v>30143</v>
      </c>
      <c r="B5352" t="s">
        <v>8607</v>
      </c>
      <c r="G5352" t="s">
        <v>26570</v>
      </c>
    </row>
    <row r="5353" spans="1:7">
      <c r="A5353" t="s">
        <v>30144</v>
      </c>
      <c r="B5353" t="s">
        <v>8626</v>
      </c>
      <c r="F5353" t="s">
        <v>30145</v>
      </c>
      <c r="G5353" t="s">
        <v>30146</v>
      </c>
    </row>
    <row r="5354" spans="1:7">
      <c r="A5354" t="s">
        <v>30147</v>
      </c>
      <c r="B5354" t="s">
        <v>8607</v>
      </c>
      <c r="F5354" t="s">
        <v>8623</v>
      </c>
      <c r="G5354" t="s">
        <v>30148</v>
      </c>
    </row>
    <row r="5355" spans="1:7">
      <c r="A5355" t="s">
        <v>30149</v>
      </c>
      <c r="B5355" t="s">
        <v>8626</v>
      </c>
      <c r="G5355" t="s">
        <v>30150</v>
      </c>
    </row>
    <row r="5356" spans="1:7">
      <c r="A5356" t="s">
        <v>30151</v>
      </c>
      <c r="B5356" t="s">
        <v>8607</v>
      </c>
      <c r="F5356" t="s">
        <v>21499</v>
      </c>
      <c r="G5356" t="s">
        <v>30152</v>
      </c>
    </row>
    <row r="5357" spans="1:7">
      <c r="A5357" t="s">
        <v>30153</v>
      </c>
      <c r="B5357" t="s">
        <v>8626</v>
      </c>
      <c r="C5357" t="s">
        <v>27497</v>
      </c>
      <c r="F5357" t="s">
        <v>15811</v>
      </c>
      <c r="G5357" t="s">
        <v>30154</v>
      </c>
    </row>
    <row r="5358" spans="1:7">
      <c r="A5358" t="s">
        <v>30155</v>
      </c>
      <c r="B5358" t="s">
        <v>8626</v>
      </c>
      <c r="F5358" t="s">
        <v>23295</v>
      </c>
      <c r="G5358" t="s">
        <v>30156</v>
      </c>
    </row>
    <row r="5359" spans="1:7">
      <c r="A5359" t="s">
        <v>30157</v>
      </c>
      <c r="B5359" t="s">
        <v>8626</v>
      </c>
      <c r="G5359" t="s">
        <v>30158</v>
      </c>
    </row>
    <row r="5360" spans="1:7">
      <c r="A5360" t="s">
        <v>30159</v>
      </c>
      <c r="B5360" t="s">
        <v>8607</v>
      </c>
      <c r="G5360" t="s">
        <v>26785</v>
      </c>
    </row>
    <row r="5361" spans="1:7">
      <c r="A5361" t="s">
        <v>30160</v>
      </c>
      <c r="B5361" t="s">
        <v>8607</v>
      </c>
      <c r="F5361" t="s">
        <v>26717</v>
      </c>
      <c r="G5361" t="s">
        <v>30161</v>
      </c>
    </row>
    <row r="5362" spans="1:7">
      <c r="A5362" t="s">
        <v>30162</v>
      </c>
      <c r="B5362" t="s">
        <v>8607</v>
      </c>
      <c r="F5362" t="s">
        <v>26717</v>
      </c>
      <c r="G5362" t="s">
        <v>30163</v>
      </c>
    </row>
    <row r="5363" spans="1:7">
      <c r="A5363" t="s">
        <v>30164</v>
      </c>
      <c r="B5363" t="s">
        <v>8626</v>
      </c>
      <c r="G5363" t="s">
        <v>20183</v>
      </c>
    </row>
    <row r="5364" spans="1:7">
      <c r="A5364" t="s">
        <v>30165</v>
      </c>
      <c r="B5364" t="s">
        <v>8607</v>
      </c>
      <c r="F5364" t="s">
        <v>30166</v>
      </c>
      <c r="G5364" t="s">
        <v>30167</v>
      </c>
    </row>
    <row r="5365" spans="1:7">
      <c r="A5365" t="s">
        <v>30168</v>
      </c>
      <c r="B5365" t="s">
        <v>8607</v>
      </c>
      <c r="F5365" t="s">
        <v>29409</v>
      </c>
      <c r="G5365" t="s">
        <v>29410</v>
      </c>
    </row>
    <row r="5366" spans="1:7">
      <c r="A5366" t="s">
        <v>30169</v>
      </c>
      <c r="B5366" t="s">
        <v>8607</v>
      </c>
      <c r="F5366" t="s">
        <v>26474</v>
      </c>
      <c r="G5366" t="s">
        <v>26475</v>
      </c>
    </row>
    <row r="5367" spans="1:7">
      <c r="A5367" t="s">
        <v>30170</v>
      </c>
      <c r="B5367" t="s">
        <v>8607</v>
      </c>
      <c r="G5367" t="s">
        <v>30171</v>
      </c>
    </row>
    <row r="5368" spans="1:7">
      <c r="A5368" t="s">
        <v>30172</v>
      </c>
      <c r="B5368" t="s">
        <v>8607</v>
      </c>
      <c r="C5368" t="s">
        <v>30173</v>
      </c>
      <c r="F5368" t="s">
        <v>28368</v>
      </c>
      <c r="G5368" t="s">
        <v>30174</v>
      </c>
    </row>
    <row r="5369" spans="1:7">
      <c r="A5369" t="s">
        <v>30175</v>
      </c>
      <c r="B5369" t="s">
        <v>8607</v>
      </c>
      <c r="F5369" t="s">
        <v>27445</v>
      </c>
      <c r="G5369" t="s">
        <v>30176</v>
      </c>
    </row>
    <row r="5370" spans="1:7">
      <c r="A5370" t="s">
        <v>30177</v>
      </c>
      <c r="B5370" t="s">
        <v>8607</v>
      </c>
      <c r="F5370" t="s">
        <v>26494</v>
      </c>
      <c r="G5370" t="s">
        <v>30178</v>
      </c>
    </row>
    <row r="5371" spans="1:7">
      <c r="A5371" t="s">
        <v>30179</v>
      </c>
      <c r="B5371" t="s">
        <v>8607</v>
      </c>
      <c r="C5371" t="s">
        <v>27219</v>
      </c>
      <c r="F5371" t="s">
        <v>27220</v>
      </c>
      <c r="G5371" t="s">
        <v>30180</v>
      </c>
    </row>
    <row r="5372" spans="1:7">
      <c r="A5372" t="s">
        <v>30181</v>
      </c>
      <c r="B5372" t="s">
        <v>8626</v>
      </c>
      <c r="C5372" t="s">
        <v>25883</v>
      </c>
      <c r="F5372" t="s">
        <v>17305</v>
      </c>
      <c r="G5372" t="s">
        <v>30182</v>
      </c>
    </row>
    <row r="5373" spans="1:7">
      <c r="A5373" t="s">
        <v>30183</v>
      </c>
      <c r="B5373" t="s">
        <v>8607</v>
      </c>
      <c r="F5373" t="s">
        <v>27702</v>
      </c>
      <c r="G5373" t="s">
        <v>30184</v>
      </c>
    </row>
    <row r="5374" spans="1:7">
      <c r="A5374" t="s">
        <v>30185</v>
      </c>
      <c r="B5374" t="s">
        <v>8607</v>
      </c>
      <c r="F5374" t="s">
        <v>27610</v>
      </c>
      <c r="G5374" t="s">
        <v>30186</v>
      </c>
    </row>
    <row r="5375" spans="1:7">
      <c r="A5375" t="s">
        <v>30187</v>
      </c>
      <c r="B5375" t="s">
        <v>8607</v>
      </c>
      <c r="F5375" t="s">
        <v>30188</v>
      </c>
      <c r="G5375" t="s">
        <v>30189</v>
      </c>
    </row>
    <row r="5376" spans="1:7">
      <c r="A5376" t="s">
        <v>30190</v>
      </c>
      <c r="G5376" t="s">
        <v>30191</v>
      </c>
    </row>
    <row r="5377" spans="1:7">
      <c r="A5377" t="s">
        <v>30192</v>
      </c>
      <c r="B5377" t="s">
        <v>8607</v>
      </c>
      <c r="G5377" t="s">
        <v>30193</v>
      </c>
    </row>
    <row r="5378" spans="1:7">
      <c r="A5378" t="s">
        <v>30194</v>
      </c>
      <c r="B5378" t="s">
        <v>8607</v>
      </c>
      <c r="F5378" t="s">
        <v>30195</v>
      </c>
      <c r="G5378" t="s">
        <v>30196</v>
      </c>
    </row>
    <row r="5379" spans="1:7">
      <c r="A5379" t="s">
        <v>30197</v>
      </c>
      <c r="B5379" t="s">
        <v>8607</v>
      </c>
      <c r="F5379" t="s">
        <v>29135</v>
      </c>
      <c r="G5379" t="s">
        <v>29136</v>
      </c>
    </row>
    <row r="5380" spans="1:7">
      <c r="A5380" t="s">
        <v>30198</v>
      </c>
      <c r="B5380" t="s">
        <v>8607</v>
      </c>
      <c r="F5380" t="s">
        <v>27465</v>
      </c>
      <c r="G5380" t="s">
        <v>27466</v>
      </c>
    </row>
    <row r="5381" spans="1:7">
      <c r="A5381" t="s">
        <v>30199</v>
      </c>
      <c r="B5381" t="s">
        <v>8607</v>
      </c>
      <c r="F5381" t="s">
        <v>27465</v>
      </c>
      <c r="G5381" t="s">
        <v>30200</v>
      </c>
    </row>
    <row r="5382" spans="1:7">
      <c r="A5382" t="s">
        <v>30201</v>
      </c>
      <c r="B5382" t="s">
        <v>8607</v>
      </c>
      <c r="F5382" t="s">
        <v>27468</v>
      </c>
      <c r="G5382" t="s">
        <v>27469</v>
      </c>
    </row>
    <row r="5383" spans="1:7">
      <c r="A5383" t="s">
        <v>30202</v>
      </c>
      <c r="B5383" t="s">
        <v>8607</v>
      </c>
      <c r="G5383" t="s">
        <v>30203</v>
      </c>
    </row>
    <row r="5384" spans="1:7">
      <c r="A5384" t="s">
        <v>30204</v>
      </c>
      <c r="B5384" t="s">
        <v>8626</v>
      </c>
      <c r="F5384" t="s">
        <v>30205</v>
      </c>
      <c r="G5384" t="s">
        <v>30206</v>
      </c>
    </row>
    <row r="5385" spans="1:7">
      <c r="A5385" t="s">
        <v>30207</v>
      </c>
      <c r="G5385" t="s">
        <v>30208</v>
      </c>
    </row>
    <row r="5386" spans="1:7">
      <c r="A5386" t="s">
        <v>30209</v>
      </c>
      <c r="B5386" t="s">
        <v>8607</v>
      </c>
      <c r="C5386" t="s">
        <v>30210</v>
      </c>
      <c r="F5386" t="s">
        <v>17349</v>
      </c>
      <c r="G5386" t="s">
        <v>30211</v>
      </c>
    </row>
    <row r="5387" spans="1:7">
      <c r="A5387" t="s">
        <v>30212</v>
      </c>
      <c r="B5387" t="s">
        <v>8607</v>
      </c>
      <c r="F5387" t="s">
        <v>19172</v>
      </c>
      <c r="G5387" t="s">
        <v>30213</v>
      </c>
    </row>
    <row r="5388" spans="1:7">
      <c r="A5388" t="s">
        <v>30214</v>
      </c>
      <c r="B5388" t="s">
        <v>8607</v>
      </c>
      <c r="F5388" t="s">
        <v>19172</v>
      </c>
      <c r="G5388" t="s">
        <v>30215</v>
      </c>
    </row>
    <row r="5389" spans="1:7">
      <c r="A5389" t="s">
        <v>30216</v>
      </c>
      <c r="B5389" t="s">
        <v>8626</v>
      </c>
      <c r="G5389" t="s">
        <v>18457</v>
      </c>
    </row>
    <row r="5390" spans="1:7">
      <c r="A5390" t="s">
        <v>30217</v>
      </c>
      <c r="B5390" t="s">
        <v>8607</v>
      </c>
      <c r="F5390" t="s">
        <v>27727</v>
      </c>
      <c r="G5390" t="s">
        <v>30218</v>
      </c>
    </row>
    <row r="5391" spans="1:7">
      <c r="A5391" t="s">
        <v>30219</v>
      </c>
      <c r="B5391" t="s">
        <v>8607</v>
      </c>
      <c r="C5391" t="s">
        <v>26863</v>
      </c>
      <c r="F5391" t="s">
        <v>9018</v>
      </c>
      <c r="G5391" t="s">
        <v>30220</v>
      </c>
    </row>
    <row r="5392" spans="1:7">
      <c r="A5392" t="s">
        <v>30221</v>
      </c>
      <c r="B5392" t="s">
        <v>8607</v>
      </c>
      <c r="F5392" t="s">
        <v>28418</v>
      </c>
      <c r="G5392" t="s">
        <v>28419</v>
      </c>
    </row>
    <row r="5393" spans="1:7">
      <c r="A5393" t="s">
        <v>30222</v>
      </c>
      <c r="B5393" t="s">
        <v>8607</v>
      </c>
      <c r="F5393" t="s">
        <v>27384</v>
      </c>
      <c r="G5393" t="s">
        <v>28421</v>
      </c>
    </row>
    <row r="5394" spans="1:7">
      <c r="A5394" t="s">
        <v>30223</v>
      </c>
      <c r="B5394" t="s">
        <v>8607</v>
      </c>
      <c r="G5394" t="s">
        <v>18684</v>
      </c>
    </row>
    <row r="5395" spans="1:7">
      <c r="A5395" t="s">
        <v>30224</v>
      </c>
      <c r="B5395" t="s">
        <v>8607</v>
      </c>
      <c r="F5395" t="s">
        <v>30225</v>
      </c>
      <c r="G5395" t="s">
        <v>30226</v>
      </c>
    </row>
    <row r="5396" spans="1:7">
      <c r="A5396" t="s">
        <v>30227</v>
      </c>
      <c r="B5396" t="s">
        <v>8626</v>
      </c>
      <c r="G5396" t="s">
        <v>30228</v>
      </c>
    </row>
    <row r="5397" spans="1:7">
      <c r="A5397" t="s">
        <v>30229</v>
      </c>
      <c r="B5397" t="s">
        <v>8607</v>
      </c>
      <c r="C5397" t="s">
        <v>30230</v>
      </c>
      <c r="F5397" t="s">
        <v>30231</v>
      </c>
      <c r="G5397" t="s">
        <v>30232</v>
      </c>
    </row>
    <row r="5398" spans="1:7">
      <c r="A5398" t="s">
        <v>30233</v>
      </c>
      <c r="B5398" t="s">
        <v>8607</v>
      </c>
      <c r="G5398" t="s">
        <v>30234</v>
      </c>
    </row>
    <row r="5399" spans="1:7">
      <c r="A5399" t="s">
        <v>30235</v>
      </c>
      <c r="B5399" t="s">
        <v>8607</v>
      </c>
      <c r="F5399" t="s">
        <v>9018</v>
      </c>
      <c r="G5399" t="s">
        <v>30236</v>
      </c>
    </row>
    <row r="5400" spans="1:7">
      <c r="A5400" t="s">
        <v>30237</v>
      </c>
      <c r="B5400" t="s">
        <v>8607</v>
      </c>
      <c r="F5400" t="s">
        <v>19188</v>
      </c>
      <c r="G5400" t="s">
        <v>19189</v>
      </c>
    </row>
    <row r="5401" spans="1:7">
      <c r="A5401" t="s">
        <v>30238</v>
      </c>
      <c r="B5401" t="s">
        <v>8607</v>
      </c>
      <c r="F5401" t="s">
        <v>30239</v>
      </c>
      <c r="G5401" t="s">
        <v>30240</v>
      </c>
    </row>
    <row r="5402" spans="1:7">
      <c r="A5402" t="s">
        <v>30241</v>
      </c>
      <c r="B5402" t="s">
        <v>8607</v>
      </c>
      <c r="F5402" t="s">
        <v>26127</v>
      </c>
      <c r="G5402" t="s">
        <v>30242</v>
      </c>
    </row>
    <row r="5403" spans="1:7">
      <c r="A5403" t="s">
        <v>30243</v>
      </c>
      <c r="B5403" t="s">
        <v>8607</v>
      </c>
      <c r="F5403" t="s">
        <v>27930</v>
      </c>
      <c r="G5403" t="s">
        <v>30031</v>
      </c>
    </row>
    <row r="5404" spans="1:7">
      <c r="A5404" t="s">
        <v>30244</v>
      </c>
      <c r="G5404" t="s">
        <v>30245</v>
      </c>
    </row>
    <row r="5405" spans="1:7">
      <c r="A5405" t="s">
        <v>30246</v>
      </c>
      <c r="B5405" t="s">
        <v>8607</v>
      </c>
      <c r="G5405" t="s">
        <v>30247</v>
      </c>
    </row>
    <row r="5406" spans="1:7">
      <c r="A5406" t="s">
        <v>30248</v>
      </c>
      <c r="B5406" t="s">
        <v>8607</v>
      </c>
      <c r="F5406" t="s">
        <v>8623</v>
      </c>
      <c r="G5406" t="s">
        <v>30249</v>
      </c>
    </row>
    <row r="5407" spans="1:7">
      <c r="A5407" t="s">
        <v>30250</v>
      </c>
      <c r="B5407" t="s">
        <v>8607</v>
      </c>
      <c r="G5407" t="s">
        <v>30251</v>
      </c>
    </row>
    <row r="5408" spans="1:7">
      <c r="A5408" t="s">
        <v>30252</v>
      </c>
      <c r="B5408" t="s">
        <v>8607</v>
      </c>
      <c r="G5408" t="s">
        <v>30017</v>
      </c>
    </row>
    <row r="5409" spans="1:7">
      <c r="A5409" t="s">
        <v>30253</v>
      </c>
      <c r="B5409" t="s">
        <v>8626</v>
      </c>
      <c r="F5409" t="s">
        <v>20844</v>
      </c>
      <c r="G5409" t="s">
        <v>30254</v>
      </c>
    </row>
    <row r="5410" spans="1:7">
      <c r="A5410" t="s">
        <v>30255</v>
      </c>
      <c r="B5410" t="s">
        <v>8607</v>
      </c>
      <c r="F5410" t="s">
        <v>17349</v>
      </c>
      <c r="G5410" t="s">
        <v>30256</v>
      </c>
    </row>
    <row r="5411" spans="1:7">
      <c r="A5411" t="s">
        <v>30257</v>
      </c>
      <c r="B5411" t="s">
        <v>8607</v>
      </c>
      <c r="F5411" t="s">
        <v>23968</v>
      </c>
      <c r="G5411" t="s">
        <v>30258</v>
      </c>
    </row>
    <row r="5412" spans="1:7">
      <c r="A5412" t="s">
        <v>30259</v>
      </c>
      <c r="B5412" t="s">
        <v>8626</v>
      </c>
      <c r="F5412" t="s">
        <v>30260</v>
      </c>
      <c r="G5412" t="s">
        <v>30261</v>
      </c>
    </row>
    <row r="5413" spans="1:7">
      <c r="A5413" t="s">
        <v>30262</v>
      </c>
      <c r="B5413" t="s">
        <v>8607</v>
      </c>
      <c r="F5413" t="s">
        <v>21499</v>
      </c>
      <c r="G5413" t="s">
        <v>30152</v>
      </c>
    </row>
    <row r="5414" spans="1:7">
      <c r="A5414" t="s">
        <v>30263</v>
      </c>
      <c r="B5414" t="s">
        <v>8607</v>
      </c>
      <c r="C5414" t="s">
        <v>27497</v>
      </c>
      <c r="F5414" t="s">
        <v>15811</v>
      </c>
      <c r="G5414" t="s">
        <v>30264</v>
      </c>
    </row>
    <row r="5415" spans="1:7">
      <c r="A5415" t="s">
        <v>30265</v>
      </c>
      <c r="B5415" t="s">
        <v>8607</v>
      </c>
      <c r="F5415" t="s">
        <v>21837</v>
      </c>
      <c r="G5415" t="s">
        <v>30266</v>
      </c>
    </row>
    <row r="5416" spans="1:7">
      <c r="A5416" t="s">
        <v>30267</v>
      </c>
      <c r="B5416" t="s">
        <v>8607</v>
      </c>
      <c r="F5416" t="s">
        <v>30268</v>
      </c>
      <c r="G5416" t="s">
        <v>30269</v>
      </c>
    </row>
    <row r="5417" spans="1:7">
      <c r="A5417" t="s">
        <v>30270</v>
      </c>
      <c r="B5417" t="s">
        <v>8607</v>
      </c>
      <c r="C5417" t="s">
        <v>26087</v>
      </c>
      <c r="F5417" t="s">
        <v>26088</v>
      </c>
      <c r="G5417" t="s">
        <v>29462</v>
      </c>
    </row>
    <row r="5418" spans="1:7">
      <c r="A5418" t="s">
        <v>30271</v>
      </c>
      <c r="B5418" t="s">
        <v>8607</v>
      </c>
      <c r="F5418" t="s">
        <v>8623</v>
      </c>
      <c r="G5418" t="s">
        <v>30272</v>
      </c>
    </row>
    <row r="5419" spans="1:7">
      <c r="A5419" t="s">
        <v>30273</v>
      </c>
      <c r="B5419" t="s">
        <v>8607</v>
      </c>
      <c r="F5419" t="s">
        <v>17767</v>
      </c>
      <c r="G5419" t="s">
        <v>30274</v>
      </c>
    </row>
    <row r="5420" spans="1:7">
      <c r="A5420" t="s">
        <v>30275</v>
      </c>
      <c r="B5420" t="s">
        <v>8607</v>
      </c>
      <c r="G5420" t="s">
        <v>30276</v>
      </c>
    </row>
    <row r="5421" spans="1:7">
      <c r="A5421" t="s">
        <v>30277</v>
      </c>
      <c r="B5421" t="s">
        <v>8607</v>
      </c>
      <c r="G5421" t="s">
        <v>30278</v>
      </c>
    </row>
    <row r="5422" spans="1:7">
      <c r="A5422" t="s">
        <v>30279</v>
      </c>
      <c r="B5422" t="s">
        <v>8607</v>
      </c>
      <c r="F5422" t="s">
        <v>30280</v>
      </c>
      <c r="G5422" t="s">
        <v>30281</v>
      </c>
    </row>
    <row r="5423" spans="1:7">
      <c r="A5423" t="s">
        <v>30282</v>
      </c>
      <c r="B5423" t="s">
        <v>8607</v>
      </c>
      <c r="G5423" t="s">
        <v>30283</v>
      </c>
    </row>
    <row r="5424" spans="1:7">
      <c r="A5424" t="s">
        <v>30284</v>
      </c>
      <c r="G5424" t="s">
        <v>24393</v>
      </c>
    </row>
    <row r="5425" spans="1:7">
      <c r="A5425" t="s">
        <v>30285</v>
      </c>
      <c r="B5425" t="s">
        <v>8607</v>
      </c>
      <c r="F5425" t="s">
        <v>30286</v>
      </c>
      <c r="G5425" t="s">
        <v>30287</v>
      </c>
    </row>
    <row r="5426" spans="1:7">
      <c r="A5426" t="s">
        <v>30288</v>
      </c>
      <c r="B5426" t="s">
        <v>8607</v>
      </c>
      <c r="F5426" t="s">
        <v>9018</v>
      </c>
      <c r="G5426" t="s">
        <v>30289</v>
      </c>
    </row>
    <row r="5427" spans="1:7">
      <c r="A5427" t="s">
        <v>30290</v>
      </c>
      <c r="G5427" t="s">
        <v>30291</v>
      </c>
    </row>
    <row r="5428" spans="1:7">
      <c r="A5428" t="s">
        <v>30292</v>
      </c>
      <c r="B5428" t="s">
        <v>8626</v>
      </c>
      <c r="G5428" t="s">
        <v>30293</v>
      </c>
    </row>
    <row r="5429" spans="1:7">
      <c r="A5429" t="s">
        <v>30294</v>
      </c>
      <c r="B5429" t="s">
        <v>8607</v>
      </c>
      <c r="C5429" t="s">
        <v>30295</v>
      </c>
      <c r="F5429" t="s">
        <v>21225</v>
      </c>
      <c r="G5429" t="s">
        <v>30296</v>
      </c>
    </row>
    <row r="5430" spans="1:7">
      <c r="A5430" t="s">
        <v>30297</v>
      </c>
      <c r="B5430" t="s">
        <v>8607</v>
      </c>
      <c r="F5430" t="s">
        <v>21225</v>
      </c>
      <c r="G5430" t="s">
        <v>30296</v>
      </c>
    </row>
    <row r="5431" spans="1:7">
      <c r="A5431" t="s">
        <v>30298</v>
      </c>
      <c r="B5431" t="s">
        <v>8607</v>
      </c>
      <c r="C5431" t="s">
        <v>28882</v>
      </c>
      <c r="F5431" t="s">
        <v>17932</v>
      </c>
      <c r="G5431" t="s">
        <v>28906</v>
      </c>
    </row>
    <row r="5432" spans="1:7">
      <c r="A5432" t="s">
        <v>30299</v>
      </c>
      <c r="B5432" t="s">
        <v>8626</v>
      </c>
      <c r="F5432" t="s">
        <v>28728</v>
      </c>
      <c r="G5432" t="s">
        <v>30300</v>
      </c>
    </row>
    <row r="5433" spans="1:7">
      <c r="A5433" t="s">
        <v>30301</v>
      </c>
      <c r="B5433" t="s">
        <v>8607</v>
      </c>
      <c r="C5433" t="s">
        <v>30302</v>
      </c>
      <c r="F5433" t="s">
        <v>17349</v>
      </c>
      <c r="G5433" t="s">
        <v>30303</v>
      </c>
    </row>
    <row r="5434" spans="1:7">
      <c r="A5434" t="s">
        <v>30304</v>
      </c>
      <c r="B5434" t="s">
        <v>8607</v>
      </c>
      <c r="F5434" t="s">
        <v>17643</v>
      </c>
      <c r="G5434" t="s">
        <v>26701</v>
      </c>
    </row>
    <row r="5435" spans="1:7">
      <c r="A5435" t="s">
        <v>30305</v>
      </c>
      <c r="B5435" t="s">
        <v>8607</v>
      </c>
      <c r="C5435" t="s">
        <v>23291</v>
      </c>
      <c r="F5435" t="s">
        <v>8623</v>
      </c>
      <c r="G5435" t="s">
        <v>30306</v>
      </c>
    </row>
    <row r="5436" spans="1:7">
      <c r="A5436" t="s">
        <v>30307</v>
      </c>
      <c r="B5436" t="s">
        <v>8626</v>
      </c>
      <c r="G5436" t="s">
        <v>30308</v>
      </c>
    </row>
    <row r="5437" spans="1:7">
      <c r="A5437" t="s">
        <v>17391</v>
      </c>
      <c r="B5437" t="s">
        <v>8607</v>
      </c>
      <c r="F5437" t="s">
        <v>17392</v>
      </c>
      <c r="G5437" t="s">
        <v>17393</v>
      </c>
    </row>
    <row r="5438" spans="1:7">
      <c r="A5438" t="s">
        <v>17394</v>
      </c>
      <c r="B5438" t="s">
        <v>8607</v>
      </c>
      <c r="C5438" t="s">
        <v>17395</v>
      </c>
      <c r="F5438" t="s">
        <v>17396</v>
      </c>
      <c r="G5438" t="s">
        <v>17397</v>
      </c>
    </row>
    <row r="5439" spans="1:7">
      <c r="A5439" t="s">
        <v>30309</v>
      </c>
      <c r="B5439" t="s">
        <v>8607</v>
      </c>
      <c r="C5439" t="s">
        <v>30310</v>
      </c>
      <c r="F5439" t="s">
        <v>26207</v>
      </c>
      <c r="G5439" t="s">
        <v>30311</v>
      </c>
    </row>
    <row r="5440" spans="1:7">
      <c r="A5440" t="s">
        <v>30312</v>
      </c>
      <c r="B5440" t="s">
        <v>8607</v>
      </c>
      <c r="F5440" t="s">
        <v>26555</v>
      </c>
      <c r="G5440" t="s">
        <v>30313</v>
      </c>
    </row>
    <row r="5441" spans="1:7">
      <c r="A5441" t="s">
        <v>30314</v>
      </c>
      <c r="B5441" t="s">
        <v>8607</v>
      </c>
      <c r="C5441" t="s">
        <v>26315</v>
      </c>
      <c r="F5441" t="s">
        <v>17320</v>
      </c>
      <c r="G5441" t="s">
        <v>30315</v>
      </c>
    </row>
    <row r="5442" spans="1:7">
      <c r="A5442" t="s">
        <v>30316</v>
      </c>
      <c r="B5442" t="s">
        <v>8607</v>
      </c>
      <c r="F5442" t="s">
        <v>30317</v>
      </c>
      <c r="G5442" t="s">
        <v>30318</v>
      </c>
    </row>
    <row r="5443" spans="1:7">
      <c r="A5443" t="s">
        <v>30319</v>
      </c>
      <c r="B5443" t="s">
        <v>8607</v>
      </c>
      <c r="F5443" t="s">
        <v>20866</v>
      </c>
      <c r="G5443" t="s">
        <v>30320</v>
      </c>
    </row>
    <row r="5444" spans="1:7">
      <c r="A5444" t="s">
        <v>30321</v>
      </c>
      <c r="B5444" t="s">
        <v>8607</v>
      </c>
      <c r="C5444" t="s">
        <v>29122</v>
      </c>
      <c r="F5444" t="s">
        <v>10676</v>
      </c>
      <c r="G5444" t="s">
        <v>30322</v>
      </c>
    </row>
    <row r="5445" spans="1:7">
      <c r="A5445" t="s">
        <v>30323</v>
      </c>
      <c r="B5445" t="s">
        <v>8607</v>
      </c>
      <c r="C5445" t="s">
        <v>27078</v>
      </c>
      <c r="F5445" t="s">
        <v>19996</v>
      </c>
      <c r="G5445" t="s">
        <v>30324</v>
      </c>
    </row>
    <row r="5446" spans="1:7">
      <c r="A5446" t="s">
        <v>30325</v>
      </c>
      <c r="B5446" t="s">
        <v>8607</v>
      </c>
      <c r="G5446" t="s">
        <v>30326</v>
      </c>
    </row>
    <row r="5447" spans="1:7">
      <c r="A5447" t="s">
        <v>30327</v>
      </c>
      <c r="B5447" t="s">
        <v>8607</v>
      </c>
      <c r="F5447" t="s">
        <v>30328</v>
      </c>
      <c r="G5447" t="s">
        <v>30329</v>
      </c>
    </row>
    <row r="5448" spans="1:7">
      <c r="A5448" t="s">
        <v>30330</v>
      </c>
      <c r="B5448" t="s">
        <v>8607</v>
      </c>
      <c r="F5448" t="s">
        <v>28461</v>
      </c>
      <c r="G5448" t="s">
        <v>30331</v>
      </c>
    </row>
    <row r="5449" spans="1:7">
      <c r="A5449" t="s">
        <v>30332</v>
      </c>
      <c r="G5449" t="s">
        <v>30333</v>
      </c>
    </row>
    <row r="5450" spans="1:7">
      <c r="A5450" t="s">
        <v>30334</v>
      </c>
      <c r="B5450" t="s">
        <v>8607</v>
      </c>
      <c r="F5450" t="s">
        <v>30335</v>
      </c>
      <c r="G5450" t="s">
        <v>30336</v>
      </c>
    </row>
    <row r="5451" spans="1:7">
      <c r="A5451" t="s">
        <v>30337</v>
      </c>
      <c r="G5451" t="s">
        <v>30338</v>
      </c>
    </row>
    <row r="5452" spans="1:7">
      <c r="A5452" t="s">
        <v>30339</v>
      </c>
      <c r="B5452" t="s">
        <v>8607</v>
      </c>
      <c r="C5452" t="s">
        <v>30340</v>
      </c>
      <c r="F5452" t="s">
        <v>28368</v>
      </c>
      <c r="G5452" t="s">
        <v>30341</v>
      </c>
    </row>
    <row r="5453" spans="1:7">
      <c r="A5453" t="s">
        <v>30342</v>
      </c>
      <c r="B5453" t="s">
        <v>8607</v>
      </c>
      <c r="C5453" t="s">
        <v>30343</v>
      </c>
      <c r="F5453" t="s">
        <v>28352</v>
      </c>
      <c r="G5453" t="s">
        <v>30344</v>
      </c>
    </row>
    <row r="5454" spans="1:7">
      <c r="A5454" t="s">
        <v>30345</v>
      </c>
      <c r="B5454" t="s">
        <v>8607</v>
      </c>
      <c r="F5454" t="s">
        <v>17932</v>
      </c>
      <c r="G5454" t="s">
        <v>30346</v>
      </c>
    </row>
    <row r="5455" spans="1:7">
      <c r="A5455" t="s">
        <v>30347</v>
      </c>
      <c r="B5455" t="s">
        <v>8626</v>
      </c>
      <c r="F5455" t="s">
        <v>28306</v>
      </c>
      <c r="G5455" t="s">
        <v>30348</v>
      </c>
    </row>
    <row r="5456" spans="1:7">
      <c r="A5456" t="s">
        <v>30349</v>
      </c>
      <c r="B5456" t="s">
        <v>8607</v>
      </c>
      <c r="G5456" t="s">
        <v>30350</v>
      </c>
    </row>
    <row r="5457" spans="1:7">
      <c r="A5457" t="s">
        <v>30351</v>
      </c>
      <c r="B5457" t="s">
        <v>8607</v>
      </c>
      <c r="G5457" t="s">
        <v>30352</v>
      </c>
    </row>
    <row r="5458" spans="1:7">
      <c r="A5458" t="s">
        <v>30353</v>
      </c>
      <c r="B5458" t="s">
        <v>8626</v>
      </c>
      <c r="F5458" t="s">
        <v>30354</v>
      </c>
      <c r="G5458" t="s">
        <v>30355</v>
      </c>
    </row>
    <row r="5459" spans="1:7">
      <c r="A5459" t="s">
        <v>30356</v>
      </c>
      <c r="B5459" t="s">
        <v>8607</v>
      </c>
      <c r="G5459" t="s">
        <v>23878</v>
      </c>
    </row>
    <row r="5460" spans="1:7">
      <c r="A5460" t="s">
        <v>30357</v>
      </c>
      <c r="B5460" t="s">
        <v>8607</v>
      </c>
      <c r="F5460" t="s">
        <v>20023</v>
      </c>
      <c r="G5460" t="s">
        <v>30358</v>
      </c>
    </row>
    <row r="5461" spans="1:7">
      <c r="A5461" t="s">
        <v>30359</v>
      </c>
      <c r="B5461" t="s">
        <v>8607</v>
      </c>
      <c r="F5461" t="s">
        <v>26264</v>
      </c>
      <c r="G5461" t="s">
        <v>30360</v>
      </c>
    </row>
    <row r="5462" spans="1:7">
      <c r="A5462" t="s">
        <v>30361</v>
      </c>
      <c r="B5462" t="s">
        <v>8626</v>
      </c>
      <c r="F5462" t="s">
        <v>10356</v>
      </c>
      <c r="G5462" t="s">
        <v>26767</v>
      </c>
    </row>
    <row r="5463" spans="1:7">
      <c r="A5463" t="s">
        <v>30362</v>
      </c>
      <c r="B5463" t="s">
        <v>8607</v>
      </c>
      <c r="G5463" t="s">
        <v>30363</v>
      </c>
    </row>
    <row r="5464" spans="1:7">
      <c r="A5464" t="s">
        <v>30364</v>
      </c>
      <c r="B5464" t="s">
        <v>8607</v>
      </c>
      <c r="F5464" t="s">
        <v>30365</v>
      </c>
      <c r="G5464" t="s">
        <v>30363</v>
      </c>
    </row>
    <row r="5465" spans="1:7">
      <c r="A5465" t="s">
        <v>30366</v>
      </c>
      <c r="G5465" t="s">
        <v>30367</v>
      </c>
    </row>
    <row r="5466" spans="1:7">
      <c r="A5466" t="s">
        <v>30368</v>
      </c>
      <c r="B5466" t="s">
        <v>8607</v>
      </c>
      <c r="F5466" t="s">
        <v>30369</v>
      </c>
      <c r="G5466" t="s">
        <v>30370</v>
      </c>
    </row>
    <row r="5467" spans="1:7">
      <c r="A5467" t="s">
        <v>30371</v>
      </c>
      <c r="B5467" t="s">
        <v>8607</v>
      </c>
      <c r="G5467" t="s">
        <v>30372</v>
      </c>
    </row>
    <row r="5468" spans="1:7">
      <c r="A5468" t="s">
        <v>30373</v>
      </c>
      <c r="G5468" t="s">
        <v>30374</v>
      </c>
    </row>
    <row r="5469" spans="1:7">
      <c r="A5469" t="s">
        <v>30375</v>
      </c>
      <c r="B5469" t="s">
        <v>8626</v>
      </c>
      <c r="C5469" t="s">
        <v>16679</v>
      </c>
      <c r="F5469" t="s">
        <v>9018</v>
      </c>
      <c r="G5469" t="s">
        <v>30376</v>
      </c>
    </row>
    <row r="5470" spans="1:7">
      <c r="A5470" t="s">
        <v>30377</v>
      </c>
      <c r="G5470" t="s">
        <v>30378</v>
      </c>
    </row>
    <row r="5471" spans="1:7">
      <c r="A5471" t="s">
        <v>30379</v>
      </c>
      <c r="B5471" t="s">
        <v>8607</v>
      </c>
      <c r="F5471" t="s">
        <v>26024</v>
      </c>
      <c r="G5471" t="s">
        <v>30380</v>
      </c>
    </row>
    <row r="5472" spans="1:7">
      <c r="A5472" t="s">
        <v>30381</v>
      </c>
      <c r="B5472" t="s">
        <v>8607</v>
      </c>
      <c r="F5472" t="s">
        <v>30382</v>
      </c>
      <c r="G5472" t="s">
        <v>30383</v>
      </c>
    </row>
    <row r="5473" spans="1:7">
      <c r="A5473" t="s">
        <v>30384</v>
      </c>
      <c r="B5473" t="s">
        <v>8607</v>
      </c>
      <c r="F5473" t="s">
        <v>30382</v>
      </c>
      <c r="G5473" t="s">
        <v>30385</v>
      </c>
    </row>
    <row r="5474" spans="1:7">
      <c r="A5474" t="s">
        <v>30386</v>
      </c>
      <c r="B5474" t="s">
        <v>8607</v>
      </c>
      <c r="G5474" t="s">
        <v>17855</v>
      </c>
    </row>
    <row r="5475" spans="1:7">
      <c r="A5475" t="s">
        <v>30387</v>
      </c>
      <c r="B5475" t="s">
        <v>8607</v>
      </c>
      <c r="F5475" t="s">
        <v>17932</v>
      </c>
      <c r="G5475" t="s">
        <v>27840</v>
      </c>
    </row>
    <row r="5476" spans="1:7">
      <c r="A5476" t="s">
        <v>30388</v>
      </c>
      <c r="B5476" t="s">
        <v>8607</v>
      </c>
      <c r="F5476" t="s">
        <v>9018</v>
      </c>
      <c r="G5476" t="s">
        <v>30389</v>
      </c>
    </row>
    <row r="5477" spans="1:7">
      <c r="A5477" t="s">
        <v>30390</v>
      </c>
      <c r="B5477" t="s">
        <v>8626</v>
      </c>
      <c r="F5477" t="s">
        <v>28775</v>
      </c>
      <c r="G5477" t="s">
        <v>28776</v>
      </c>
    </row>
    <row r="5478" spans="1:7">
      <c r="A5478" t="s">
        <v>30391</v>
      </c>
      <c r="B5478" t="s">
        <v>8607</v>
      </c>
      <c r="F5478" t="s">
        <v>17643</v>
      </c>
      <c r="G5478" t="s">
        <v>28780</v>
      </c>
    </row>
    <row r="5479" spans="1:7">
      <c r="A5479" t="s">
        <v>30392</v>
      </c>
      <c r="B5479" t="s">
        <v>8607</v>
      </c>
      <c r="F5479" t="s">
        <v>30393</v>
      </c>
      <c r="G5479" t="s">
        <v>29068</v>
      </c>
    </row>
    <row r="5480" spans="1:7">
      <c r="A5480" t="s">
        <v>30394</v>
      </c>
      <c r="B5480" t="s">
        <v>8607</v>
      </c>
      <c r="F5480" t="s">
        <v>26212</v>
      </c>
      <c r="G5480" t="s">
        <v>26213</v>
      </c>
    </row>
    <row r="5481" spans="1:7">
      <c r="A5481" t="s">
        <v>30395</v>
      </c>
      <c r="B5481" t="s">
        <v>8607</v>
      </c>
      <c r="F5481" t="s">
        <v>17349</v>
      </c>
      <c r="G5481" t="s">
        <v>26339</v>
      </c>
    </row>
    <row r="5482" spans="1:7">
      <c r="A5482" t="s">
        <v>30396</v>
      </c>
      <c r="B5482" t="s">
        <v>8607</v>
      </c>
      <c r="F5482" t="s">
        <v>30397</v>
      </c>
      <c r="G5482" t="s">
        <v>30398</v>
      </c>
    </row>
    <row r="5483" spans="1:7">
      <c r="A5483" t="s">
        <v>30399</v>
      </c>
      <c r="B5483" t="s">
        <v>8607</v>
      </c>
      <c r="C5483" t="s">
        <v>29113</v>
      </c>
      <c r="F5483" t="s">
        <v>9018</v>
      </c>
      <c r="G5483" t="s">
        <v>30400</v>
      </c>
    </row>
    <row r="5484" spans="1:7">
      <c r="A5484" t="s">
        <v>30401</v>
      </c>
      <c r="B5484" t="s">
        <v>8626</v>
      </c>
      <c r="F5484" t="s">
        <v>26759</v>
      </c>
      <c r="G5484" t="s">
        <v>26760</v>
      </c>
    </row>
    <row r="5485" spans="1:7">
      <c r="A5485" t="s">
        <v>30402</v>
      </c>
      <c r="B5485" t="s">
        <v>8607</v>
      </c>
      <c r="F5485" t="s">
        <v>30403</v>
      </c>
      <c r="G5485" t="s">
        <v>30404</v>
      </c>
    </row>
    <row r="5486" spans="1:7">
      <c r="A5486" t="s">
        <v>30405</v>
      </c>
      <c r="B5486" t="s">
        <v>8626</v>
      </c>
      <c r="F5486" t="s">
        <v>10076</v>
      </c>
      <c r="G5486" t="s">
        <v>30406</v>
      </c>
    </row>
    <row r="5487" spans="1:7">
      <c r="A5487" t="s">
        <v>30407</v>
      </c>
      <c r="B5487" t="s">
        <v>8607</v>
      </c>
      <c r="F5487" t="s">
        <v>12464</v>
      </c>
      <c r="G5487" t="s">
        <v>27114</v>
      </c>
    </row>
    <row r="5488" spans="1:7">
      <c r="A5488" t="s">
        <v>30408</v>
      </c>
      <c r="B5488" t="s">
        <v>8607</v>
      </c>
      <c r="C5488" t="s">
        <v>30409</v>
      </c>
      <c r="F5488" t="s">
        <v>9018</v>
      </c>
      <c r="G5488" t="s">
        <v>30410</v>
      </c>
    </row>
    <row r="5489" spans="1:7">
      <c r="A5489" t="s">
        <v>30411</v>
      </c>
      <c r="B5489" t="s">
        <v>8626</v>
      </c>
      <c r="F5489" t="s">
        <v>26148</v>
      </c>
      <c r="G5489" t="s">
        <v>30412</v>
      </c>
    </row>
    <row r="5490" spans="1:7">
      <c r="A5490" t="s">
        <v>30413</v>
      </c>
      <c r="B5490" t="s">
        <v>8607</v>
      </c>
      <c r="F5490" t="s">
        <v>26148</v>
      </c>
      <c r="G5490" t="s">
        <v>26407</v>
      </c>
    </row>
    <row r="5491" spans="1:7">
      <c r="A5491" t="s">
        <v>30414</v>
      </c>
      <c r="B5491" t="s">
        <v>8626</v>
      </c>
      <c r="F5491" t="s">
        <v>26116</v>
      </c>
      <c r="G5491" t="s">
        <v>26413</v>
      </c>
    </row>
    <row r="5492" spans="1:7">
      <c r="A5492" t="s">
        <v>30415</v>
      </c>
      <c r="B5492" t="s">
        <v>8607</v>
      </c>
      <c r="G5492" t="s">
        <v>26800</v>
      </c>
    </row>
    <row r="5493" spans="1:7">
      <c r="A5493" t="s">
        <v>30416</v>
      </c>
      <c r="B5493" t="s">
        <v>8607</v>
      </c>
      <c r="G5493" t="s">
        <v>26778</v>
      </c>
    </row>
    <row r="5494" spans="1:7">
      <c r="A5494" t="s">
        <v>30417</v>
      </c>
      <c r="B5494" t="s">
        <v>8607</v>
      </c>
      <c r="G5494" t="s">
        <v>26780</v>
      </c>
    </row>
    <row r="5495" spans="1:7">
      <c r="A5495" t="s">
        <v>30418</v>
      </c>
      <c r="B5495" t="s">
        <v>8626</v>
      </c>
      <c r="G5495" t="s">
        <v>30419</v>
      </c>
    </row>
    <row r="5496" spans="1:7">
      <c r="A5496" t="s">
        <v>30420</v>
      </c>
      <c r="B5496" t="s">
        <v>8626</v>
      </c>
      <c r="F5496" t="s">
        <v>26992</v>
      </c>
      <c r="G5496" t="s">
        <v>30421</v>
      </c>
    </row>
    <row r="5497" spans="1:7">
      <c r="A5497" t="s">
        <v>30422</v>
      </c>
      <c r="B5497" t="s">
        <v>8626</v>
      </c>
      <c r="F5497" t="s">
        <v>27597</v>
      </c>
      <c r="G5497" t="s">
        <v>30423</v>
      </c>
    </row>
    <row r="5498" spans="1:7">
      <c r="A5498" t="s">
        <v>30424</v>
      </c>
      <c r="B5498" t="s">
        <v>8607</v>
      </c>
      <c r="G5498" t="s">
        <v>30425</v>
      </c>
    </row>
    <row r="5499" spans="1:7">
      <c r="A5499" t="s">
        <v>30426</v>
      </c>
      <c r="B5499" t="s">
        <v>8607</v>
      </c>
      <c r="F5499" t="s">
        <v>8623</v>
      </c>
      <c r="G5499" t="s">
        <v>20862</v>
      </c>
    </row>
    <row r="5500" spans="1:7">
      <c r="A5500" t="s">
        <v>30427</v>
      </c>
      <c r="B5500" t="s">
        <v>8626</v>
      </c>
      <c r="C5500" t="s">
        <v>26307</v>
      </c>
      <c r="F5500" t="s">
        <v>14285</v>
      </c>
      <c r="G5500" t="s">
        <v>30428</v>
      </c>
    </row>
    <row r="5501" spans="1:7">
      <c r="A5501" t="s">
        <v>30429</v>
      </c>
      <c r="B5501" t="s">
        <v>8607</v>
      </c>
      <c r="G5501" t="s">
        <v>29404</v>
      </c>
    </row>
    <row r="5502" spans="1:7">
      <c r="A5502" t="s">
        <v>30430</v>
      </c>
      <c r="B5502" t="s">
        <v>8626</v>
      </c>
      <c r="F5502" t="s">
        <v>8623</v>
      </c>
      <c r="G5502" t="s">
        <v>30431</v>
      </c>
    </row>
    <row r="5503" spans="1:7">
      <c r="A5503" t="s">
        <v>30432</v>
      </c>
      <c r="B5503" t="s">
        <v>8607</v>
      </c>
      <c r="F5503" t="s">
        <v>30433</v>
      </c>
      <c r="G5503" t="s">
        <v>30434</v>
      </c>
    </row>
    <row r="5504" spans="1:7">
      <c r="A5504" t="s">
        <v>30435</v>
      </c>
      <c r="B5504" t="s">
        <v>8626</v>
      </c>
      <c r="F5504" t="s">
        <v>29724</v>
      </c>
      <c r="G5504" t="s">
        <v>30436</v>
      </c>
    </row>
    <row r="5505" spans="1:7">
      <c r="A5505" t="s">
        <v>30437</v>
      </c>
      <c r="B5505" t="s">
        <v>8607</v>
      </c>
      <c r="F5505" t="s">
        <v>8623</v>
      </c>
      <c r="G5505" t="s">
        <v>30438</v>
      </c>
    </row>
    <row r="5506" spans="1:7">
      <c r="A5506" t="s">
        <v>30439</v>
      </c>
      <c r="B5506" t="s">
        <v>8607</v>
      </c>
      <c r="F5506" t="s">
        <v>30440</v>
      </c>
      <c r="G5506" t="s">
        <v>30441</v>
      </c>
    </row>
    <row r="5507" spans="1:7">
      <c r="A5507" t="s">
        <v>30442</v>
      </c>
      <c r="B5507" t="s">
        <v>8607</v>
      </c>
      <c r="F5507" t="s">
        <v>30443</v>
      </c>
      <c r="G5507" t="s">
        <v>30444</v>
      </c>
    </row>
    <row r="5508" spans="1:7">
      <c r="A5508" t="s">
        <v>30445</v>
      </c>
      <c r="B5508" t="s">
        <v>8607</v>
      </c>
      <c r="G5508" t="s">
        <v>10812</v>
      </c>
    </row>
    <row r="5509" spans="1:7">
      <c r="A5509" t="s">
        <v>30446</v>
      </c>
      <c r="B5509" t="s">
        <v>8607</v>
      </c>
      <c r="F5509" t="s">
        <v>8623</v>
      </c>
      <c r="G5509" t="s">
        <v>30447</v>
      </c>
    </row>
    <row r="5510" spans="1:7">
      <c r="A5510" t="s">
        <v>30448</v>
      </c>
      <c r="B5510" t="s">
        <v>8607</v>
      </c>
      <c r="F5510" t="s">
        <v>8623</v>
      </c>
      <c r="G5510" t="s">
        <v>30449</v>
      </c>
    </row>
    <row r="5511" spans="1:7">
      <c r="A5511" t="s">
        <v>30450</v>
      </c>
      <c r="B5511" t="s">
        <v>8607</v>
      </c>
      <c r="F5511" t="s">
        <v>27944</v>
      </c>
      <c r="G5511" t="s">
        <v>27945</v>
      </c>
    </row>
    <row r="5512" spans="1:7">
      <c r="A5512" t="s">
        <v>30451</v>
      </c>
      <c r="B5512" t="s">
        <v>8607</v>
      </c>
      <c r="F5512" t="s">
        <v>30452</v>
      </c>
      <c r="G5512" t="s">
        <v>30453</v>
      </c>
    </row>
    <row r="5513" spans="1:7">
      <c r="A5513" t="s">
        <v>30454</v>
      </c>
      <c r="B5513" t="s">
        <v>8607</v>
      </c>
      <c r="F5513" t="s">
        <v>30455</v>
      </c>
      <c r="G5513" t="s">
        <v>30456</v>
      </c>
    </row>
    <row r="5514" spans="1:7">
      <c r="A5514" t="s">
        <v>30457</v>
      </c>
      <c r="B5514" t="s">
        <v>8626</v>
      </c>
      <c r="G5514" t="s">
        <v>30293</v>
      </c>
    </row>
    <row r="5515" spans="1:7">
      <c r="A5515" t="s">
        <v>30458</v>
      </c>
      <c r="B5515" t="s">
        <v>8607</v>
      </c>
      <c r="C5515" t="s">
        <v>30459</v>
      </c>
      <c r="F5515" t="s">
        <v>21225</v>
      </c>
      <c r="G5515" t="s">
        <v>30296</v>
      </c>
    </row>
    <row r="5516" spans="1:7">
      <c r="A5516" t="s">
        <v>30460</v>
      </c>
      <c r="B5516" t="s">
        <v>8607</v>
      </c>
      <c r="C5516" t="s">
        <v>27078</v>
      </c>
      <c r="F5516" t="s">
        <v>19996</v>
      </c>
      <c r="G5516" t="s">
        <v>30461</v>
      </c>
    </row>
    <row r="5517" spans="1:7">
      <c r="A5517" t="s">
        <v>30462</v>
      </c>
      <c r="B5517" t="s">
        <v>8607</v>
      </c>
      <c r="C5517" t="s">
        <v>26591</v>
      </c>
      <c r="F5517" t="s">
        <v>9018</v>
      </c>
      <c r="G5517" t="s">
        <v>30463</v>
      </c>
    </row>
    <row r="5518" spans="1:7">
      <c r="A5518" t="s">
        <v>30464</v>
      </c>
      <c r="B5518" t="s">
        <v>8626</v>
      </c>
      <c r="F5518" t="s">
        <v>30465</v>
      </c>
      <c r="G5518" t="s">
        <v>30466</v>
      </c>
    </row>
    <row r="5519" spans="1:7">
      <c r="A5519" t="s">
        <v>30467</v>
      </c>
      <c r="B5519" t="s">
        <v>8607</v>
      </c>
      <c r="F5519" t="s">
        <v>30468</v>
      </c>
      <c r="G5519" t="s">
        <v>30469</v>
      </c>
    </row>
    <row r="5520" spans="1:7">
      <c r="A5520" t="s">
        <v>30470</v>
      </c>
      <c r="B5520" t="s">
        <v>8607</v>
      </c>
      <c r="F5520" t="s">
        <v>19172</v>
      </c>
      <c r="G5520" t="s">
        <v>30213</v>
      </c>
    </row>
    <row r="5521" spans="1:7">
      <c r="A5521" t="s">
        <v>30471</v>
      </c>
      <c r="B5521" t="s">
        <v>8607</v>
      </c>
      <c r="G5521" t="s">
        <v>28973</v>
      </c>
    </row>
    <row r="5522" spans="1:7">
      <c r="A5522" t="s">
        <v>30472</v>
      </c>
      <c r="B5522" t="s">
        <v>8607</v>
      </c>
      <c r="C5522" t="s">
        <v>30473</v>
      </c>
      <c r="F5522" t="s">
        <v>27253</v>
      </c>
      <c r="G5522" t="s">
        <v>30474</v>
      </c>
    </row>
    <row r="5523" spans="1:7">
      <c r="A5523" t="s">
        <v>30475</v>
      </c>
      <c r="B5523" t="s">
        <v>8626</v>
      </c>
      <c r="F5523" t="s">
        <v>30476</v>
      </c>
      <c r="G5523" t="s">
        <v>30477</v>
      </c>
    </row>
    <row r="5524" spans="1:7">
      <c r="A5524" t="s">
        <v>30478</v>
      </c>
      <c r="B5524" t="s">
        <v>8607</v>
      </c>
      <c r="F5524" t="s">
        <v>30479</v>
      </c>
      <c r="G5524" t="s">
        <v>30480</v>
      </c>
    </row>
    <row r="5525" spans="1:7">
      <c r="A5525" t="s">
        <v>30481</v>
      </c>
      <c r="G5525" t="s">
        <v>30482</v>
      </c>
    </row>
    <row r="5526" spans="1:7">
      <c r="A5526" t="s">
        <v>30483</v>
      </c>
      <c r="B5526" t="s">
        <v>8607</v>
      </c>
      <c r="C5526" t="s">
        <v>28071</v>
      </c>
      <c r="F5526" t="s">
        <v>17327</v>
      </c>
      <c r="G5526" t="s">
        <v>28072</v>
      </c>
    </row>
    <row r="5527" spans="1:7">
      <c r="A5527" t="s">
        <v>30484</v>
      </c>
      <c r="B5527" t="s">
        <v>8626</v>
      </c>
      <c r="G5527" t="s">
        <v>30485</v>
      </c>
    </row>
    <row r="5528" spans="1:7">
      <c r="A5528" t="s">
        <v>30486</v>
      </c>
      <c r="B5528" t="s">
        <v>8607</v>
      </c>
      <c r="C5528" t="s">
        <v>30459</v>
      </c>
      <c r="F5528" t="s">
        <v>21225</v>
      </c>
      <c r="G5528" t="s">
        <v>30487</v>
      </c>
    </row>
    <row r="5529" spans="1:7">
      <c r="A5529" t="s">
        <v>30488</v>
      </c>
      <c r="B5529" t="s">
        <v>8607</v>
      </c>
      <c r="F5529" t="s">
        <v>30489</v>
      </c>
      <c r="G5529" t="s">
        <v>30490</v>
      </c>
    </row>
    <row r="5530" spans="1:7">
      <c r="A5530" t="s">
        <v>30491</v>
      </c>
      <c r="B5530" t="s">
        <v>8607</v>
      </c>
      <c r="F5530" t="s">
        <v>30465</v>
      </c>
      <c r="G5530" t="s">
        <v>30492</v>
      </c>
    </row>
    <row r="5531" spans="1:7">
      <c r="A5531" t="s">
        <v>30493</v>
      </c>
      <c r="B5531" t="s">
        <v>8607</v>
      </c>
      <c r="F5531" t="s">
        <v>30494</v>
      </c>
      <c r="G5531" t="s">
        <v>30495</v>
      </c>
    </row>
    <row r="5532" spans="1:7">
      <c r="A5532" t="s">
        <v>30496</v>
      </c>
      <c r="B5532" t="s">
        <v>8607</v>
      </c>
      <c r="F5532" t="s">
        <v>30497</v>
      </c>
      <c r="G5532" t="s">
        <v>30498</v>
      </c>
    </row>
    <row r="5533" spans="1:7">
      <c r="A5533" t="s">
        <v>30499</v>
      </c>
      <c r="B5533" t="s">
        <v>8607</v>
      </c>
      <c r="F5533" t="s">
        <v>30497</v>
      </c>
      <c r="G5533" t="s">
        <v>30500</v>
      </c>
    </row>
    <row r="5534" spans="1:7">
      <c r="A5534" t="s">
        <v>30501</v>
      </c>
      <c r="B5534" t="s">
        <v>8607</v>
      </c>
      <c r="F5534" t="s">
        <v>26494</v>
      </c>
      <c r="G5534" t="s">
        <v>30178</v>
      </c>
    </row>
    <row r="5535" spans="1:7">
      <c r="A5535" t="s">
        <v>30502</v>
      </c>
      <c r="B5535" t="s">
        <v>8607</v>
      </c>
      <c r="C5535" t="s">
        <v>30503</v>
      </c>
      <c r="F5535" t="s">
        <v>30504</v>
      </c>
      <c r="G5535" t="s">
        <v>30505</v>
      </c>
    </row>
    <row r="5536" spans="1:7">
      <c r="A5536" t="s">
        <v>30506</v>
      </c>
      <c r="B5536" t="s">
        <v>8626</v>
      </c>
      <c r="F5536" t="s">
        <v>10076</v>
      </c>
      <c r="G5536" t="s">
        <v>30507</v>
      </c>
    </row>
    <row r="5537" spans="1:7">
      <c r="A5537" t="s">
        <v>30508</v>
      </c>
      <c r="B5537" t="s">
        <v>8607</v>
      </c>
      <c r="G5537" t="s">
        <v>28106</v>
      </c>
    </row>
    <row r="5538" spans="1:7">
      <c r="A5538" t="s">
        <v>30509</v>
      </c>
      <c r="B5538" t="s">
        <v>8607</v>
      </c>
      <c r="G5538" t="s">
        <v>30510</v>
      </c>
    </row>
    <row r="5539" spans="1:7">
      <c r="A5539" t="s">
        <v>30511</v>
      </c>
      <c r="B5539" t="s">
        <v>8607</v>
      </c>
      <c r="F5539" t="s">
        <v>30512</v>
      </c>
      <c r="G5539" t="s">
        <v>30513</v>
      </c>
    </row>
    <row r="5540" spans="1:7">
      <c r="A5540" t="s">
        <v>30514</v>
      </c>
      <c r="B5540" t="s">
        <v>8607</v>
      </c>
      <c r="G5540" t="s">
        <v>28106</v>
      </c>
    </row>
    <row r="5541" spans="1:7">
      <c r="A5541" t="s">
        <v>30515</v>
      </c>
      <c r="B5541" t="s">
        <v>8607</v>
      </c>
      <c r="F5541" t="s">
        <v>30516</v>
      </c>
      <c r="G5541" t="s">
        <v>26445</v>
      </c>
    </row>
    <row r="5542" spans="1:7">
      <c r="A5542" t="s">
        <v>30517</v>
      </c>
      <c r="B5542" t="s">
        <v>8607</v>
      </c>
      <c r="F5542" t="s">
        <v>8623</v>
      </c>
      <c r="G5542" t="s">
        <v>24751</v>
      </c>
    </row>
    <row r="5543" spans="1:7">
      <c r="A5543" t="s">
        <v>30518</v>
      </c>
      <c r="B5543" t="s">
        <v>8607</v>
      </c>
      <c r="F5543" t="s">
        <v>26449</v>
      </c>
      <c r="G5543" t="s">
        <v>30519</v>
      </c>
    </row>
    <row r="5544" spans="1:7">
      <c r="A5544" t="s">
        <v>30520</v>
      </c>
      <c r="B5544" t="s">
        <v>8626</v>
      </c>
      <c r="G5544" t="s">
        <v>30521</v>
      </c>
    </row>
    <row r="5545" spans="1:7">
      <c r="A5545" t="s">
        <v>30522</v>
      </c>
      <c r="B5545" t="s">
        <v>8607</v>
      </c>
      <c r="F5545" t="s">
        <v>23082</v>
      </c>
      <c r="G5545" t="s">
        <v>30523</v>
      </c>
    </row>
    <row r="5546" spans="1:7">
      <c r="A5546" t="s">
        <v>30524</v>
      </c>
      <c r="B5546" t="s">
        <v>8607</v>
      </c>
      <c r="F5546" t="s">
        <v>30525</v>
      </c>
      <c r="G5546" t="s">
        <v>30526</v>
      </c>
    </row>
    <row r="5547" spans="1:7">
      <c r="A5547" t="s">
        <v>30527</v>
      </c>
      <c r="B5547" t="s">
        <v>8607</v>
      </c>
      <c r="F5547" t="s">
        <v>30528</v>
      </c>
      <c r="G5547" t="s">
        <v>30529</v>
      </c>
    </row>
    <row r="5548" spans="1:7">
      <c r="A5548" t="s">
        <v>30530</v>
      </c>
      <c r="B5548" t="s">
        <v>8607</v>
      </c>
      <c r="G5548" t="s">
        <v>30531</v>
      </c>
    </row>
    <row r="5549" spans="1:7">
      <c r="A5549" t="s">
        <v>30532</v>
      </c>
      <c r="B5549" t="s">
        <v>8626</v>
      </c>
      <c r="F5549" t="s">
        <v>22981</v>
      </c>
      <c r="G5549" t="s">
        <v>22982</v>
      </c>
    </row>
    <row r="5550" spans="1:7">
      <c r="A5550" t="s">
        <v>30533</v>
      </c>
      <c r="B5550" t="s">
        <v>8607</v>
      </c>
      <c r="G5550" t="s">
        <v>26572</v>
      </c>
    </row>
    <row r="5551" spans="1:7">
      <c r="A5551" t="s">
        <v>30534</v>
      </c>
      <c r="B5551" t="s">
        <v>8607</v>
      </c>
      <c r="G5551" t="s">
        <v>26628</v>
      </c>
    </row>
    <row r="5552" spans="1:7">
      <c r="A5552" t="s">
        <v>30535</v>
      </c>
      <c r="B5552" t="s">
        <v>8626</v>
      </c>
      <c r="G5552" t="s">
        <v>30536</v>
      </c>
    </row>
    <row r="5553" spans="1:7">
      <c r="A5553" t="s">
        <v>30537</v>
      </c>
      <c r="G5553" t="s">
        <v>30538</v>
      </c>
    </row>
    <row r="5554" spans="1:7">
      <c r="A5554" t="s">
        <v>30539</v>
      </c>
      <c r="B5554" t="s">
        <v>8626</v>
      </c>
      <c r="F5554" t="s">
        <v>10076</v>
      </c>
      <c r="G5554" t="s">
        <v>28474</v>
      </c>
    </row>
    <row r="5555" spans="1:7">
      <c r="A5555" t="s">
        <v>30540</v>
      </c>
      <c r="B5555" t="s">
        <v>8607</v>
      </c>
      <c r="F5555" t="s">
        <v>17932</v>
      </c>
      <c r="G5555" t="s">
        <v>30541</v>
      </c>
    </row>
    <row r="5556" spans="1:7">
      <c r="A5556" t="s">
        <v>30542</v>
      </c>
      <c r="B5556" t="s">
        <v>8607</v>
      </c>
      <c r="F5556" t="s">
        <v>17928</v>
      </c>
      <c r="G5556" t="s">
        <v>26640</v>
      </c>
    </row>
    <row r="5557" spans="1:7">
      <c r="A5557" t="s">
        <v>30543</v>
      </c>
      <c r="B5557" t="s">
        <v>8626</v>
      </c>
      <c r="F5557" t="s">
        <v>18594</v>
      </c>
      <c r="G5557" t="s">
        <v>18595</v>
      </c>
    </row>
    <row r="5558" spans="1:7">
      <c r="A5558" t="s">
        <v>30544</v>
      </c>
      <c r="B5558" t="s">
        <v>8607</v>
      </c>
      <c r="F5558" t="s">
        <v>30545</v>
      </c>
      <c r="G5558" t="s">
        <v>30546</v>
      </c>
    </row>
    <row r="5559" spans="1:7">
      <c r="A5559" t="s">
        <v>30547</v>
      </c>
      <c r="B5559" t="s">
        <v>8607</v>
      </c>
      <c r="F5559" t="s">
        <v>30548</v>
      </c>
      <c r="G5559" t="s">
        <v>30549</v>
      </c>
    </row>
    <row r="5560" spans="1:7">
      <c r="A5560" t="s">
        <v>30550</v>
      </c>
      <c r="B5560" t="s">
        <v>8607</v>
      </c>
      <c r="F5560" t="s">
        <v>17784</v>
      </c>
      <c r="G5560" t="s">
        <v>30551</v>
      </c>
    </row>
    <row r="5561" spans="1:7">
      <c r="A5561" t="s">
        <v>30552</v>
      </c>
      <c r="B5561" t="s">
        <v>8607</v>
      </c>
      <c r="F5561" t="s">
        <v>30553</v>
      </c>
      <c r="G5561" t="s">
        <v>30554</v>
      </c>
    </row>
    <row r="5562" spans="1:7">
      <c r="A5562" t="s">
        <v>30555</v>
      </c>
      <c r="B5562" t="s">
        <v>8607</v>
      </c>
      <c r="F5562" t="s">
        <v>30556</v>
      </c>
      <c r="G5562" t="s">
        <v>30557</v>
      </c>
    </row>
    <row r="5563" spans="1:7">
      <c r="A5563" t="s">
        <v>30558</v>
      </c>
      <c r="B5563" t="s">
        <v>8626</v>
      </c>
      <c r="F5563" t="s">
        <v>27693</v>
      </c>
      <c r="G5563" t="s">
        <v>30559</v>
      </c>
    </row>
    <row r="5564" spans="1:7">
      <c r="A5564" t="s">
        <v>30560</v>
      </c>
      <c r="B5564" t="s">
        <v>8607</v>
      </c>
      <c r="C5564" t="s">
        <v>30561</v>
      </c>
      <c r="F5564" t="s">
        <v>17429</v>
      </c>
      <c r="G5564" t="s">
        <v>30562</v>
      </c>
    </row>
    <row r="5565" spans="1:7">
      <c r="A5565" t="s">
        <v>30563</v>
      </c>
      <c r="B5565" t="s">
        <v>8607</v>
      </c>
      <c r="F5565" t="s">
        <v>30452</v>
      </c>
      <c r="G5565" t="s">
        <v>30453</v>
      </c>
    </row>
    <row r="5566" spans="1:7">
      <c r="A5566" t="s">
        <v>30564</v>
      </c>
      <c r="B5566" t="s">
        <v>8607</v>
      </c>
      <c r="C5566" t="s">
        <v>30565</v>
      </c>
      <c r="F5566" t="s">
        <v>30566</v>
      </c>
      <c r="G5566" t="s">
        <v>30567</v>
      </c>
    </row>
    <row r="5567" spans="1:7">
      <c r="A5567" t="s">
        <v>30568</v>
      </c>
      <c r="B5567" t="s">
        <v>8607</v>
      </c>
      <c r="F5567" t="s">
        <v>27923</v>
      </c>
      <c r="G5567" t="s">
        <v>30569</v>
      </c>
    </row>
    <row r="5568" spans="1:7">
      <c r="A5568" t="s">
        <v>30570</v>
      </c>
      <c r="B5568" t="s">
        <v>8607</v>
      </c>
      <c r="F5568" t="s">
        <v>30571</v>
      </c>
      <c r="G5568" t="s">
        <v>30572</v>
      </c>
    </row>
    <row r="5569" spans="1:7">
      <c r="A5569" t="s">
        <v>30573</v>
      </c>
      <c r="B5569" t="s">
        <v>8607</v>
      </c>
      <c r="F5569" t="s">
        <v>17779</v>
      </c>
      <c r="G5569" t="s">
        <v>24956</v>
      </c>
    </row>
    <row r="5570" spans="1:7">
      <c r="A5570" t="s">
        <v>30574</v>
      </c>
      <c r="B5570" t="s">
        <v>8607</v>
      </c>
      <c r="F5570" t="s">
        <v>28418</v>
      </c>
      <c r="G5570" t="s">
        <v>28419</v>
      </c>
    </row>
    <row r="5571" spans="1:7">
      <c r="A5571" t="s">
        <v>30575</v>
      </c>
      <c r="B5571" t="s">
        <v>8626</v>
      </c>
      <c r="F5571" t="s">
        <v>17928</v>
      </c>
      <c r="G5571" t="s">
        <v>30576</v>
      </c>
    </row>
    <row r="5572" spans="1:7">
      <c r="A5572" t="s">
        <v>30577</v>
      </c>
      <c r="B5572" t="s">
        <v>8607</v>
      </c>
      <c r="F5572" t="s">
        <v>26251</v>
      </c>
      <c r="G5572" t="s">
        <v>30578</v>
      </c>
    </row>
    <row r="5573" spans="1:7">
      <c r="A5573" t="s">
        <v>30579</v>
      </c>
      <c r="G5573" t="s">
        <v>30580</v>
      </c>
    </row>
    <row r="5574" spans="1:7">
      <c r="A5574" t="s">
        <v>30581</v>
      </c>
      <c r="B5574" t="s">
        <v>8607</v>
      </c>
      <c r="F5574" t="s">
        <v>19537</v>
      </c>
      <c r="G5574" t="s">
        <v>30582</v>
      </c>
    </row>
    <row r="5575" spans="1:7">
      <c r="A5575" t="s">
        <v>30583</v>
      </c>
      <c r="B5575" t="s">
        <v>8626</v>
      </c>
      <c r="F5575" t="s">
        <v>21832</v>
      </c>
      <c r="G5575" t="s">
        <v>30584</v>
      </c>
    </row>
    <row r="5576" spans="1:7">
      <c r="A5576" t="s">
        <v>30585</v>
      </c>
      <c r="B5576" t="s">
        <v>8626</v>
      </c>
      <c r="F5576" t="s">
        <v>27902</v>
      </c>
      <c r="G5576" t="s">
        <v>27903</v>
      </c>
    </row>
    <row r="5577" spans="1:7">
      <c r="A5577" t="s">
        <v>30586</v>
      </c>
      <c r="B5577" t="s">
        <v>8607</v>
      </c>
      <c r="F5577" t="s">
        <v>27915</v>
      </c>
      <c r="G5577" t="s">
        <v>30587</v>
      </c>
    </row>
    <row r="5578" spans="1:7">
      <c r="A5578" t="s">
        <v>30588</v>
      </c>
      <c r="B5578" t="s">
        <v>8607</v>
      </c>
      <c r="F5578" t="s">
        <v>8774</v>
      </c>
      <c r="G5578" t="s">
        <v>24842</v>
      </c>
    </row>
    <row r="5579" spans="1:7">
      <c r="A5579" t="s">
        <v>30589</v>
      </c>
      <c r="B5579" t="s">
        <v>8607</v>
      </c>
      <c r="G5579" t="s">
        <v>30590</v>
      </c>
    </row>
    <row r="5580" spans="1:7">
      <c r="A5580" t="s">
        <v>30591</v>
      </c>
      <c r="B5580" t="s">
        <v>8626</v>
      </c>
      <c r="F5580" t="s">
        <v>30592</v>
      </c>
      <c r="G5580" t="s">
        <v>30593</v>
      </c>
    </row>
    <row r="5581" spans="1:7">
      <c r="A5581" t="s">
        <v>30594</v>
      </c>
      <c r="B5581" t="s">
        <v>8607</v>
      </c>
      <c r="C5581" t="s">
        <v>27078</v>
      </c>
      <c r="F5581" t="s">
        <v>19996</v>
      </c>
      <c r="G5581" t="s">
        <v>30595</v>
      </c>
    </row>
    <row r="5582" spans="1:7">
      <c r="A5582" t="s">
        <v>30596</v>
      </c>
      <c r="B5582" t="s">
        <v>8607</v>
      </c>
      <c r="F5582" t="s">
        <v>9002</v>
      </c>
      <c r="G5582" t="s">
        <v>30597</v>
      </c>
    </row>
    <row r="5583" spans="1:7">
      <c r="A5583" t="s">
        <v>30598</v>
      </c>
      <c r="B5583" t="s">
        <v>8626</v>
      </c>
      <c r="F5583" t="s">
        <v>26666</v>
      </c>
      <c r="G5583" t="s">
        <v>26667</v>
      </c>
    </row>
    <row r="5584" spans="1:7">
      <c r="A5584" t="s">
        <v>30599</v>
      </c>
      <c r="B5584" t="s">
        <v>8626</v>
      </c>
      <c r="C5584" t="s">
        <v>26665</v>
      </c>
      <c r="F5584" t="s">
        <v>26666</v>
      </c>
      <c r="G5584" t="s">
        <v>30600</v>
      </c>
    </row>
    <row r="5585" spans="1:7">
      <c r="A5585" t="s">
        <v>30601</v>
      </c>
      <c r="B5585" t="s">
        <v>8626</v>
      </c>
      <c r="C5585" t="s">
        <v>26669</v>
      </c>
      <c r="F5585" t="s">
        <v>26670</v>
      </c>
      <c r="G5585" t="s">
        <v>26671</v>
      </c>
    </row>
    <row r="5586" spans="1:7">
      <c r="A5586" t="s">
        <v>30602</v>
      </c>
      <c r="B5586" t="s">
        <v>8607</v>
      </c>
      <c r="F5586" t="s">
        <v>30528</v>
      </c>
      <c r="G5586" t="s">
        <v>30603</v>
      </c>
    </row>
    <row r="5587" spans="1:7">
      <c r="A5587" t="s">
        <v>30604</v>
      </c>
      <c r="B5587" t="s">
        <v>8607</v>
      </c>
      <c r="F5587" t="s">
        <v>9018</v>
      </c>
      <c r="G5587" t="s">
        <v>30605</v>
      </c>
    </row>
    <row r="5588" spans="1:7">
      <c r="A5588" t="s">
        <v>30606</v>
      </c>
      <c r="B5588" t="s">
        <v>8607</v>
      </c>
      <c r="F5588" t="s">
        <v>30166</v>
      </c>
      <c r="G5588" t="s">
        <v>30167</v>
      </c>
    </row>
    <row r="5589" spans="1:7">
      <c r="A5589" t="s">
        <v>30607</v>
      </c>
      <c r="B5589" t="s">
        <v>8607</v>
      </c>
      <c r="F5589" t="s">
        <v>19172</v>
      </c>
      <c r="G5589" t="s">
        <v>19173</v>
      </c>
    </row>
    <row r="5590" spans="1:7">
      <c r="A5590" t="s">
        <v>30608</v>
      </c>
      <c r="B5590" t="s">
        <v>8607</v>
      </c>
      <c r="F5590" t="s">
        <v>20186</v>
      </c>
      <c r="G5590" t="s">
        <v>30609</v>
      </c>
    </row>
    <row r="5591" spans="1:7">
      <c r="A5591" t="s">
        <v>30610</v>
      </c>
      <c r="B5591" t="s">
        <v>8626</v>
      </c>
      <c r="G5591" t="s">
        <v>30611</v>
      </c>
    </row>
    <row r="5592" spans="1:7">
      <c r="A5592" t="s">
        <v>30612</v>
      </c>
      <c r="G5592" t="s">
        <v>30613</v>
      </c>
    </row>
    <row r="5593" spans="1:7">
      <c r="A5593" t="s">
        <v>30614</v>
      </c>
      <c r="B5593" t="s">
        <v>8626</v>
      </c>
      <c r="G5593" t="s">
        <v>30615</v>
      </c>
    </row>
    <row r="5594" spans="1:7">
      <c r="A5594" t="s">
        <v>30616</v>
      </c>
      <c r="B5594" t="s">
        <v>8607</v>
      </c>
      <c r="F5594" t="s">
        <v>19966</v>
      </c>
      <c r="G5594" t="s">
        <v>23929</v>
      </c>
    </row>
    <row r="5595" spans="1:7">
      <c r="A5595" t="s">
        <v>30617</v>
      </c>
      <c r="B5595" t="s">
        <v>8607</v>
      </c>
      <c r="C5595" t="s">
        <v>30618</v>
      </c>
      <c r="F5595" t="s">
        <v>9018</v>
      </c>
      <c r="G5595" t="s">
        <v>30619</v>
      </c>
    </row>
    <row r="5596" spans="1:7">
      <c r="A5596" t="s">
        <v>30620</v>
      </c>
      <c r="B5596" t="s">
        <v>8607</v>
      </c>
      <c r="G5596" t="s">
        <v>30621</v>
      </c>
    </row>
    <row r="5597" spans="1:7">
      <c r="A5597" t="s">
        <v>30622</v>
      </c>
      <c r="B5597" t="s">
        <v>8607</v>
      </c>
      <c r="G5597" t="s">
        <v>30623</v>
      </c>
    </row>
    <row r="5598" spans="1:7">
      <c r="A5598" t="s">
        <v>30624</v>
      </c>
      <c r="B5598" t="s">
        <v>8626</v>
      </c>
      <c r="F5598" t="s">
        <v>8623</v>
      </c>
      <c r="G5598" t="s">
        <v>30625</v>
      </c>
    </row>
    <row r="5599" spans="1:7">
      <c r="A5599" t="s">
        <v>30626</v>
      </c>
      <c r="B5599" t="s">
        <v>8626</v>
      </c>
      <c r="F5599" t="s">
        <v>17932</v>
      </c>
      <c r="G5599" t="s">
        <v>30627</v>
      </c>
    </row>
    <row r="5600" spans="1:7">
      <c r="A5600" t="s">
        <v>30628</v>
      </c>
      <c r="B5600" t="s">
        <v>8607</v>
      </c>
      <c r="C5600" t="s">
        <v>21656</v>
      </c>
      <c r="F5600" t="s">
        <v>9018</v>
      </c>
      <c r="G5600" t="s">
        <v>30629</v>
      </c>
    </row>
    <row r="5601" spans="1:7">
      <c r="A5601" t="s">
        <v>30630</v>
      </c>
      <c r="B5601" t="s">
        <v>8626</v>
      </c>
      <c r="G5601" t="s">
        <v>30631</v>
      </c>
    </row>
    <row r="5602" spans="1:7">
      <c r="A5602" t="s">
        <v>30632</v>
      </c>
      <c r="B5602" t="s">
        <v>8626</v>
      </c>
      <c r="G5602" t="s">
        <v>30633</v>
      </c>
    </row>
    <row r="5603" spans="1:7">
      <c r="A5603" t="s">
        <v>30634</v>
      </c>
      <c r="B5603" t="s">
        <v>8607</v>
      </c>
      <c r="F5603" t="s">
        <v>30635</v>
      </c>
      <c r="G5603" t="s">
        <v>30636</v>
      </c>
    </row>
    <row r="5604" spans="1:7">
      <c r="A5604" t="s">
        <v>30637</v>
      </c>
      <c r="B5604" t="s">
        <v>8607</v>
      </c>
      <c r="C5604" t="s">
        <v>29100</v>
      </c>
      <c r="F5604" t="s">
        <v>8623</v>
      </c>
      <c r="G5604" t="s">
        <v>30638</v>
      </c>
    </row>
    <row r="5605" spans="1:7">
      <c r="A5605" t="s">
        <v>30639</v>
      </c>
      <c r="B5605" t="s">
        <v>8607</v>
      </c>
      <c r="G5605" t="s">
        <v>30640</v>
      </c>
    </row>
    <row r="5606" spans="1:7">
      <c r="A5606" t="s">
        <v>30641</v>
      </c>
      <c r="B5606" t="s">
        <v>8607</v>
      </c>
      <c r="F5606" t="s">
        <v>30642</v>
      </c>
      <c r="G5606" t="s">
        <v>30643</v>
      </c>
    </row>
    <row r="5607" spans="1:7">
      <c r="A5607" t="s">
        <v>30644</v>
      </c>
      <c r="B5607" t="s">
        <v>8607</v>
      </c>
      <c r="F5607" t="s">
        <v>27693</v>
      </c>
      <c r="G5607" t="s">
        <v>27694</v>
      </c>
    </row>
    <row r="5608" spans="1:7">
      <c r="A5608" t="s">
        <v>30645</v>
      </c>
      <c r="B5608" t="s">
        <v>8626</v>
      </c>
      <c r="F5608" t="s">
        <v>22981</v>
      </c>
      <c r="G5608" t="s">
        <v>22982</v>
      </c>
    </row>
    <row r="5609" spans="1:7">
      <c r="A5609" t="s">
        <v>30646</v>
      </c>
      <c r="B5609" t="s">
        <v>8607</v>
      </c>
      <c r="F5609" t="s">
        <v>26717</v>
      </c>
      <c r="G5609" t="s">
        <v>30647</v>
      </c>
    </row>
    <row r="5610" spans="1:7">
      <c r="A5610" t="s">
        <v>30648</v>
      </c>
      <c r="B5610" t="s">
        <v>8626</v>
      </c>
      <c r="F5610" t="s">
        <v>9018</v>
      </c>
      <c r="G5610" t="s">
        <v>28659</v>
      </c>
    </row>
    <row r="5611" spans="1:7">
      <c r="A5611" t="s">
        <v>30649</v>
      </c>
      <c r="G5611" t="s">
        <v>30650</v>
      </c>
    </row>
    <row r="5612" spans="1:7">
      <c r="A5612" t="s">
        <v>30651</v>
      </c>
      <c r="B5612" t="s">
        <v>8607</v>
      </c>
      <c r="C5612" t="s">
        <v>30652</v>
      </c>
      <c r="F5612" t="s">
        <v>28637</v>
      </c>
      <c r="G5612" t="s">
        <v>30653</v>
      </c>
    </row>
    <row r="5613" spans="1:7">
      <c r="A5613" t="s">
        <v>30654</v>
      </c>
      <c r="B5613" t="s">
        <v>8607</v>
      </c>
      <c r="G5613" t="s">
        <v>28191</v>
      </c>
    </row>
    <row r="5614" spans="1:7">
      <c r="A5614" t="s">
        <v>30655</v>
      </c>
      <c r="B5614" t="s">
        <v>8607</v>
      </c>
      <c r="G5614" t="s">
        <v>30656</v>
      </c>
    </row>
    <row r="5615" spans="1:7">
      <c r="A5615" t="s">
        <v>30657</v>
      </c>
      <c r="B5615" t="s">
        <v>8607</v>
      </c>
      <c r="F5615" t="s">
        <v>30658</v>
      </c>
      <c r="G5615" t="s">
        <v>30659</v>
      </c>
    </row>
    <row r="5616" spans="1:7">
      <c r="A5616" t="s">
        <v>30660</v>
      </c>
      <c r="B5616" t="s">
        <v>8607</v>
      </c>
      <c r="F5616" t="s">
        <v>28243</v>
      </c>
      <c r="G5616" t="s">
        <v>30661</v>
      </c>
    </row>
    <row r="5617" spans="1:7">
      <c r="A5617" t="s">
        <v>30662</v>
      </c>
      <c r="B5617" t="s">
        <v>8607</v>
      </c>
      <c r="F5617" t="s">
        <v>28248</v>
      </c>
      <c r="G5617" t="s">
        <v>30663</v>
      </c>
    </row>
    <row r="5618" spans="1:7">
      <c r="A5618" t="s">
        <v>30664</v>
      </c>
      <c r="G5618" t="s">
        <v>30665</v>
      </c>
    </row>
    <row r="5619" spans="1:7">
      <c r="A5619" t="s">
        <v>17423</v>
      </c>
      <c r="B5619" t="s">
        <v>8607</v>
      </c>
      <c r="F5619" t="s">
        <v>17392</v>
      </c>
      <c r="G5619" t="s">
        <v>17393</v>
      </c>
    </row>
    <row r="5620" spans="1:7">
      <c r="A5620" t="s">
        <v>17424</v>
      </c>
      <c r="B5620" t="s">
        <v>8607</v>
      </c>
      <c r="C5620" t="s">
        <v>17425</v>
      </c>
      <c r="F5620" t="s">
        <v>17396</v>
      </c>
      <c r="G5620" t="s">
        <v>17397</v>
      </c>
    </row>
    <row r="5621" spans="1:7">
      <c r="A5621" t="s">
        <v>30666</v>
      </c>
      <c r="B5621" t="s">
        <v>8607</v>
      </c>
      <c r="G5621" t="s">
        <v>30667</v>
      </c>
    </row>
    <row r="5622" spans="1:7">
      <c r="A5622" t="s">
        <v>30668</v>
      </c>
      <c r="B5622" t="s">
        <v>8607</v>
      </c>
      <c r="C5622" t="s">
        <v>30652</v>
      </c>
      <c r="F5622" t="s">
        <v>28637</v>
      </c>
      <c r="G5622" t="s">
        <v>30669</v>
      </c>
    </row>
    <row r="5623" spans="1:7">
      <c r="A5623" t="s">
        <v>30670</v>
      </c>
      <c r="B5623" t="s">
        <v>8626</v>
      </c>
      <c r="F5623" t="s">
        <v>30671</v>
      </c>
      <c r="G5623" t="s">
        <v>30672</v>
      </c>
    </row>
    <row r="5624" spans="1:7">
      <c r="A5624" t="s">
        <v>30673</v>
      </c>
      <c r="B5624" t="s">
        <v>8607</v>
      </c>
      <c r="G5624" t="s">
        <v>30674</v>
      </c>
    </row>
    <row r="5625" spans="1:7">
      <c r="A5625" t="s">
        <v>30675</v>
      </c>
      <c r="B5625" t="s">
        <v>8607</v>
      </c>
      <c r="F5625" t="s">
        <v>30335</v>
      </c>
      <c r="G5625" t="s">
        <v>28428</v>
      </c>
    </row>
    <row r="5626" spans="1:7">
      <c r="A5626" t="s">
        <v>30676</v>
      </c>
      <c r="B5626" t="s">
        <v>8607</v>
      </c>
      <c r="F5626" t="s">
        <v>28410</v>
      </c>
      <c r="G5626" t="s">
        <v>30677</v>
      </c>
    </row>
    <row r="5627" spans="1:7">
      <c r="A5627" t="s">
        <v>30678</v>
      </c>
      <c r="B5627" t="s">
        <v>8607</v>
      </c>
      <c r="F5627" t="s">
        <v>27384</v>
      </c>
      <c r="G5627" t="s">
        <v>28413</v>
      </c>
    </row>
    <row r="5628" spans="1:7">
      <c r="A5628" t="s">
        <v>30679</v>
      </c>
      <c r="B5628" t="s">
        <v>8607</v>
      </c>
      <c r="F5628" t="s">
        <v>28415</v>
      </c>
      <c r="G5628" t="s">
        <v>28416</v>
      </c>
    </row>
    <row r="5629" spans="1:7">
      <c r="A5629" t="s">
        <v>30680</v>
      </c>
      <c r="B5629" t="s">
        <v>8607</v>
      </c>
      <c r="F5629" t="s">
        <v>17779</v>
      </c>
      <c r="G5629" t="s">
        <v>29034</v>
      </c>
    </row>
    <row r="5630" spans="1:7">
      <c r="A5630" t="s">
        <v>30681</v>
      </c>
      <c r="B5630" t="s">
        <v>8607</v>
      </c>
      <c r="F5630" t="s">
        <v>27047</v>
      </c>
      <c r="G5630" t="s">
        <v>26923</v>
      </c>
    </row>
    <row r="5631" spans="1:7">
      <c r="A5631" t="s">
        <v>30682</v>
      </c>
      <c r="B5631" t="s">
        <v>8607</v>
      </c>
      <c r="F5631" t="s">
        <v>8623</v>
      </c>
      <c r="G5631" t="s">
        <v>30683</v>
      </c>
    </row>
    <row r="5632" spans="1:7">
      <c r="A5632" t="s">
        <v>30684</v>
      </c>
      <c r="B5632" t="s">
        <v>8607</v>
      </c>
      <c r="G5632" t="s">
        <v>30685</v>
      </c>
    </row>
    <row r="5633" spans="1:7">
      <c r="A5633" t="s">
        <v>30686</v>
      </c>
      <c r="B5633" t="s">
        <v>8607</v>
      </c>
      <c r="G5633" t="s">
        <v>30621</v>
      </c>
    </row>
    <row r="5634" spans="1:7">
      <c r="A5634" t="s">
        <v>30687</v>
      </c>
      <c r="B5634" t="s">
        <v>8607</v>
      </c>
      <c r="F5634" t="s">
        <v>26176</v>
      </c>
      <c r="G5634" t="s">
        <v>27250</v>
      </c>
    </row>
    <row r="5635" spans="1:7">
      <c r="A5635" t="s">
        <v>30688</v>
      </c>
      <c r="B5635" t="s">
        <v>8607</v>
      </c>
      <c r="F5635" t="s">
        <v>9018</v>
      </c>
      <c r="G5635" t="s">
        <v>18567</v>
      </c>
    </row>
    <row r="5636" spans="1:7">
      <c r="A5636" t="s">
        <v>30689</v>
      </c>
      <c r="B5636" t="s">
        <v>8607</v>
      </c>
      <c r="G5636" t="s">
        <v>30690</v>
      </c>
    </row>
    <row r="5637" spans="1:7">
      <c r="A5637" t="s">
        <v>30691</v>
      </c>
      <c r="B5637" t="s">
        <v>8626</v>
      </c>
      <c r="F5637" t="s">
        <v>26902</v>
      </c>
      <c r="G5637" t="s">
        <v>30692</v>
      </c>
    </row>
    <row r="5638" spans="1:7">
      <c r="A5638" t="s">
        <v>30693</v>
      </c>
      <c r="B5638" t="s">
        <v>8607</v>
      </c>
      <c r="C5638" t="s">
        <v>26479</v>
      </c>
      <c r="F5638" t="s">
        <v>9018</v>
      </c>
      <c r="G5638" t="s">
        <v>30694</v>
      </c>
    </row>
    <row r="5639" spans="1:7">
      <c r="A5639" t="s">
        <v>30695</v>
      </c>
      <c r="B5639" t="s">
        <v>8607</v>
      </c>
      <c r="F5639" t="s">
        <v>9018</v>
      </c>
      <c r="G5639" t="s">
        <v>30696</v>
      </c>
    </row>
    <row r="5640" spans="1:7">
      <c r="A5640" t="s">
        <v>30697</v>
      </c>
      <c r="B5640" t="s">
        <v>8626</v>
      </c>
      <c r="F5640" t="s">
        <v>26717</v>
      </c>
      <c r="G5640" t="s">
        <v>30698</v>
      </c>
    </row>
    <row r="5641" spans="1:7">
      <c r="A5641" t="s">
        <v>30699</v>
      </c>
      <c r="B5641" t="s">
        <v>8607</v>
      </c>
      <c r="F5641" t="s">
        <v>26717</v>
      </c>
      <c r="G5641" t="s">
        <v>30161</v>
      </c>
    </row>
    <row r="5642" spans="1:7">
      <c r="A5642" t="s">
        <v>30700</v>
      </c>
      <c r="B5642" t="s">
        <v>8607</v>
      </c>
      <c r="G5642" t="s">
        <v>30701</v>
      </c>
    </row>
    <row r="5643" spans="1:7">
      <c r="A5643" t="s">
        <v>30702</v>
      </c>
      <c r="B5643" t="s">
        <v>8607</v>
      </c>
      <c r="G5643" t="s">
        <v>30703</v>
      </c>
    </row>
    <row r="5644" spans="1:7">
      <c r="A5644" t="s">
        <v>30704</v>
      </c>
      <c r="B5644" t="s">
        <v>8607</v>
      </c>
      <c r="C5644" t="s">
        <v>26850</v>
      </c>
      <c r="F5644" t="s">
        <v>26176</v>
      </c>
      <c r="G5644" t="s">
        <v>30705</v>
      </c>
    </row>
    <row r="5645" spans="1:7">
      <c r="A5645" t="s">
        <v>30706</v>
      </c>
      <c r="B5645" t="s">
        <v>8607</v>
      </c>
      <c r="C5645" t="s">
        <v>26850</v>
      </c>
      <c r="F5645" t="s">
        <v>26176</v>
      </c>
      <c r="G5645" t="s">
        <v>30705</v>
      </c>
    </row>
    <row r="5646" spans="1:7">
      <c r="A5646" t="s">
        <v>30707</v>
      </c>
      <c r="B5646" t="s">
        <v>8607</v>
      </c>
      <c r="F5646" t="s">
        <v>13938</v>
      </c>
      <c r="G5646" t="s">
        <v>30708</v>
      </c>
    </row>
    <row r="5647" spans="1:7">
      <c r="A5647" t="s">
        <v>30709</v>
      </c>
      <c r="B5647" t="s">
        <v>8607</v>
      </c>
      <c r="F5647" t="s">
        <v>30710</v>
      </c>
      <c r="G5647" t="s">
        <v>30711</v>
      </c>
    </row>
    <row r="5648" spans="1:7">
      <c r="A5648" t="s">
        <v>30712</v>
      </c>
      <c r="B5648" t="s">
        <v>8607</v>
      </c>
      <c r="F5648" t="s">
        <v>30713</v>
      </c>
      <c r="G5648" t="s">
        <v>30714</v>
      </c>
    </row>
    <row r="5649" spans="1:7">
      <c r="A5649" t="s">
        <v>30715</v>
      </c>
      <c r="B5649" t="s">
        <v>8607</v>
      </c>
      <c r="C5649" t="s">
        <v>28722</v>
      </c>
      <c r="F5649" t="s">
        <v>26207</v>
      </c>
      <c r="G5649" t="s">
        <v>30716</v>
      </c>
    </row>
    <row r="5650" spans="1:7">
      <c r="A5650" t="s">
        <v>30717</v>
      </c>
      <c r="B5650" t="s">
        <v>8626</v>
      </c>
      <c r="G5650" t="s">
        <v>27054</v>
      </c>
    </row>
    <row r="5651" spans="1:7">
      <c r="A5651" t="s">
        <v>30718</v>
      </c>
      <c r="G5651" t="s">
        <v>27056</v>
      </c>
    </row>
    <row r="5652" spans="1:7">
      <c r="A5652" t="s">
        <v>30719</v>
      </c>
      <c r="B5652" t="s">
        <v>8607</v>
      </c>
      <c r="F5652" t="s">
        <v>26104</v>
      </c>
      <c r="G5652" t="s">
        <v>26236</v>
      </c>
    </row>
    <row r="5653" spans="1:7">
      <c r="A5653" t="s">
        <v>30720</v>
      </c>
      <c r="B5653" t="s">
        <v>8626</v>
      </c>
      <c r="F5653" t="s">
        <v>8623</v>
      </c>
      <c r="G5653" t="s">
        <v>30721</v>
      </c>
    </row>
    <row r="5654" spans="1:7">
      <c r="A5654" t="s">
        <v>30722</v>
      </c>
      <c r="B5654" t="s">
        <v>8626</v>
      </c>
      <c r="F5654" t="s">
        <v>19172</v>
      </c>
      <c r="G5654" t="s">
        <v>30723</v>
      </c>
    </row>
    <row r="5655" spans="1:7">
      <c r="A5655" t="s">
        <v>30724</v>
      </c>
      <c r="B5655" t="s">
        <v>8607</v>
      </c>
      <c r="F5655" t="s">
        <v>30725</v>
      </c>
      <c r="G5655" t="s">
        <v>30726</v>
      </c>
    </row>
    <row r="5656" spans="1:7">
      <c r="A5656" t="s">
        <v>30727</v>
      </c>
      <c r="B5656" t="s">
        <v>8607</v>
      </c>
      <c r="C5656" t="s">
        <v>26315</v>
      </c>
      <c r="F5656" t="s">
        <v>17320</v>
      </c>
      <c r="G5656" t="s">
        <v>30728</v>
      </c>
    </row>
    <row r="5657" spans="1:7">
      <c r="A5657" t="s">
        <v>30729</v>
      </c>
      <c r="B5657" t="s">
        <v>8607</v>
      </c>
      <c r="F5657" t="s">
        <v>12862</v>
      </c>
      <c r="G5657" t="s">
        <v>30730</v>
      </c>
    </row>
    <row r="5658" spans="1:7">
      <c r="A5658" t="s">
        <v>30731</v>
      </c>
      <c r="B5658" t="s">
        <v>8607</v>
      </c>
      <c r="F5658" t="s">
        <v>26127</v>
      </c>
      <c r="G5658" t="s">
        <v>30732</v>
      </c>
    </row>
    <row r="5659" spans="1:7">
      <c r="A5659" t="s">
        <v>30733</v>
      </c>
      <c r="B5659" t="s">
        <v>8607</v>
      </c>
      <c r="G5659" t="s">
        <v>23558</v>
      </c>
    </row>
    <row r="5660" spans="1:7">
      <c r="A5660" t="s">
        <v>30734</v>
      </c>
      <c r="B5660" t="s">
        <v>8607</v>
      </c>
      <c r="G5660" t="s">
        <v>26987</v>
      </c>
    </row>
    <row r="5661" spans="1:7">
      <c r="A5661" t="s">
        <v>30735</v>
      </c>
      <c r="B5661" t="s">
        <v>8607</v>
      </c>
      <c r="F5661" t="s">
        <v>26793</v>
      </c>
      <c r="G5661" t="s">
        <v>26794</v>
      </c>
    </row>
    <row r="5662" spans="1:7">
      <c r="A5662" t="s">
        <v>30736</v>
      </c>
      <c r="B5662" t="s">
        <v>8607</v>
      </c>
      <c r="G5662" t="s">
        <v>30737</v>
      </c>
    </row>
    <row r="5663" spans="1:7">
      <c r="A5663" t="s">
        <v>30738</v>
      </c>
      <c r="B5663" t="s">
        <v>8607</v>
      </c>
      <c r="F5663" t="s">
        <v>27794</v>
      </c>
      <c r="G5663" t="s">
        <v>27795</v>
      </c>
    </row>
    <row r="5664" spans="1:7">
      <c r="A5664" t="s">
        <v>30739</v>
      </c>
      <c r="B5664" t="s">
        <v>8607</v>
      </c>
      <c r="F5664" t="s">
        <v>30145</v>
      </c>
      <c r="G5664" t="s">
        <v>30740</v>
      </c>
    </row>
    <row r="5665" spans="1:7">
      <c r="A5665" t="s">
        <v>30741</v>
      </c>
      <c r="B5665" t="s">
        <v>8607</v>
      </c>
      <c r="F5665" t="s">
        <v>30742</v>
      </c>
      <c r="G5665" t="s">
        <v>30743</v>
      </c>
    </row>
    <row r="5666" spans="1:7">
      <c r="A5666" t="s">
        <v>30744</v>
      </c>
      <c r="B5666" t="s">
        <v>8607</v>
      </c>
      <c r="F5666" t="s">
        <v>21832</v>
      </c>
      <c r="G5666" t="s">
        <v>28048</v>
      </c>
    </row>
    <row r="5667" spans="1:7">
      <c r="A5667" t="s">
        <v>30745</v>
      </c>
      <c r="B5667" t="s">
        <v>8607</v>
      </c>
      <c r="F5667" t="s">
        <v>30746</v>
      </c>
      <c r="G5667" t="s">
        <v>30747</v>
      </c>
    </row>
    <row r="5668" spans="1:7">
      <c r="A5668" t="s">
        <v>30748</v>
      </c>
      <c r="B5668" t="s">
        <v>8607</v>
      </c>
      <c r="G5668" t="s">
        <v>30043</v>
      </c>
    </row>
    <row r="5669" spans="1:7">
      <c r="A5669" t="s">
        <v>30749</v>
      </c>
      <c r="B5669" t="s">
        <v>8607</v>
      </c>
      <c r="G5669" t="s">
        <v>28518</v>
      </c>
    </row>
    <row r="5670" spans="1:7">
      <c r="A5670" t="s">
        <v>30750</v>
      </c>
      <c r="B5670" t="s">
        <v>8607</v>
      </c>
      <c r="C5670" t="s">
        <v>24008</v>
      </c>
      <c r="F5670" t="s">
        <v>17305</v>
      </c>
      <c r="G5670" t="s">
        <v>30751</v>
      </c>
    </row>
    <row r="5671" spans="1:7">
      <c r="A5671" t="s">
        <v>30752</v>
      </c>
      <c r="B5671" t="s">
        <v>8607</v>
      </c>
      <c r="F5671" t="s">
        <v>17932</v>
      </c>
      <c r="G5671" t="s">
        <v>30753</v>
      </c>
    </row>
    <row r="5672" spans="1:7">
      <c r="A5672" t="s">
        <v>30754</v>
      </c>
      <c r="B5672" t="s">
        <v>8607</v>
      </c>
      <c r="F5672" t="s">
        <v>28637</v>
      </c>
      <c r="G5672" t="s">
        <v>30755</v>
      </c>
    </row>
    <row r="5673" spans="1:7">
      <c r="A5673" t="s">
        <v>30756</v>
      </c>
      <c r="B5673" t="s">
        <v>8607</v>
      </c>
      <c r="C5673" t="s">
        <v>28439</v>
      </c>
      <c r="F5673" t="s">
        <v>17621</v>
      </c>
      <c r="G5673" t="s">
        <v>30757</v>
      </c>
    </row>
    <row r="5674" spans="1:7">
      <c r="A5674" t="s">
        <v>30758</v>
      </c>
      <c r="B5674" t="s">
        <v>8607</v>
      </c>
      <c r="G5674" t="s">
        <v>30759</v>
      </c>
    </row>
    <row r="5675" spans="1:7">
      <c r="A5675" t="s">
        <v>30760</v>
      </c>
      <c r="B5675" t="s">
        <v>8626</v>
      </c>
      <c r="G5675" t="s">
        <v>30761</v>
      </c>
    </row>
    <row r="5676" spans="1:7">
      <c r="A5676" t="s">
        <v>30762</v>
      </c>
      <c r="B5676" t="s">
        <v>8607</v>
      </c>
      <c r="F5676" t="s">
        <v>29430</v>
      </c>
      <c r="G5676" t="s">
        <v>30763</v>
      </c>
    </row>
    <row r="5677" spans="1:7">
      <c r="A5677" t="s">
        <v>30764</v>
      </c>
      <c r="B5677" t="s">
        <v>8607</v>
      </c>
      <c r="F5677" t="s">
        <v>29430</v>
      </c>
      <c r="G5677" t="s">
        <v>30765</v>
      </c>
    </row>
    <row r="5678" spans="1:7">
      <c r="A5678" t="s">
        <v>30766</v>
      </c>
      <c r="B5678" t="s">
        <v>8607</v>
      </c>
      <c r="G5678" t="s">
        <v>30767</v>
      </c>
    </row>
    <row r="5679" spans="1:7">
      <c r="A5679" t="s">
        <v>30768</v>
      </c>
      <c r="B5679" t="s">
        <v>8607</v>
      </c>
      <c r="G5679" t="s">
        <v>30767</v>
      </c>
    </row>
    <row r="5680" spans="1:7">
      <c r="A5680" t="s">
        <v>30769</v>
      </c>
      <c r="B5680" t="s">
        <v>8607</v>
      </c>
      <c r="G5680" t="s">
        <v>27110</v>
      </c>
    </row>
    <row r="5681" spans="1:7">
      <c r="A5681" t="s">
        <v>30770</v>
      </c>
      <c r="B5681" t="s">
        <v>8626</v>
      </c>
      <c r="F5681" t="s">
        <v>26555</v>
      </c>
      <c r="G5681" t="s">
        <v>30771</v>
      </c>
    </row>
    <row r="5682" spans="1:7">
      <c r="A5682" t="s">
        <v>30772</v>
      </c>
      <c r="B5682" t="s">
        <v>8626</v>
      </c>
      <c r="F5682" t="s">
        <v>26127</v>
      </c>
      <c r="G5682" t="s">
        <v>30773</v>
      </c>
    </row>
    <row r="5683" spans="1:7">
      <c r="A5683" t="s">
        <v>30774</v>
      </c>
      <c r="B5683" t="s">
        <v>8607</v>
      </c>
      <c r="F5683" t="s">
        <v>26176</v>
      </c>
      <c r="G5683" t="s">
        <v>30775</v>
      </c>
    </row>
    <row r="5684" spans="1:7">
      <c r="A5684" t="s">
        <v>30776</v>
      </c>
      <c r="B5684" t="s">
        <v>8607</v>
      </c>
      <c r="F5684" t="s">
        <v>9473</v>
      </c>
      <c r="G5684" t="s">
        <v>26731</v>
      </c>
    </row>
    <row r="5685" spans="1:7">
      <c r="A5685" t="s">
        <v>30777</v>
      </c>
      <c r="B5685" t="s">
        <v>8607</v>
      </c>
      <c r="C5685" t="s">
        <v>26144</v>
      </c>
      <c r="F5685" t="s">
        <v>26145</v>
      </c>
      <c r="G5685" t="s">
        <v>30778</v>
      </c>
    </row>
    <row r="5686" spans="1:7">
      <c r="A5686" t="s">
        <v>30779</v>
      </c>
      <c r="B5686" t="s">
        <v>8607</v>
      </c>
      <c r="G5686" t="s">
        <v>25111</v>
      </c>
    </row>
    <row r="5687" spans="1:7">
      <c r="A5687" t="s">
        <v>30780</v>
      </c>
      <c r="B5687" t="s">
        <v>8607</v>
      </c>
      <c r="F5687" t="s">
        <v>28159</v>
      </c>
      <c r="G5687" t="s">
        <v>29050</v>
      </c>
    </row>
    <row r="5688" spans="1:7">
      <c r="A5688" t="s">
        <v>30781</v>
      </c>
      <c r="B5688" t="s">
        <v>8607</v>
      </c>
      <c r="F5688" t="s">
        <v>17349</v>
      </c>
      <c r="G5688" t="s">
        <v>29042</v>
      </c>
    </row>
    <row r="5689" spans="1:7">
      <c r="A5689" t="s">
        <v>30782</v>
      </c>
      <c r="B5689" t="s">
        <v>8626</v>
      </c>
      <c r="G5689" t="s">
        <v>30783</v>
      </c>
    </row>
    <row r="5690" spans="1:7">
      <c r="A5690" t="s">
        <v>30784</v>
      </c>
      <c r="B5690" t="s">
        <v>8607</v>
      </c>
      <c r="C5690" t="s">
        <v>26144</v>
      </c>
      <c r="F5690" t="s">
        <v>26145</v>
      </c>
      <c r="G5690" t="s">
        <v>30785</v>
      </c>
    </row>
    <row r="5691" spans="1:7">
      <c r="A5691" t="s">
        <v>30786</v>
      </c>
      <c r="B5691" t="s">
        <v>8607</v>
      </c>
      <c r="G5691" t="s">
        <v>30787</v>
      </c>
    </row>
    <row r="5692" spans="1:7">
      <c r="A5692" t="s">
        <v>30788</v>
      </c>
      <c r="B5692" t="s">
        <v>8607</v>
      </c>
      <c r="F5692" t="s">
        <v>17932</v>
      </c>
      <c r="G5692" t="s">
        <v>30789</v>
      </c>
    </row>
    <row r="5693" spans="1:7">
      <c r="A5693" t="s">
        <v>30790</v>
      </c>
      <c r="B5693" t="s">
        <v>8607</v>
      </c>
      <c r="F5693" t="s">
        <v>30791</v>
      </c>
      <c r="G5693" t="s">
        <v>30792</v>
      </c>
    </row>
    <row r="5694" spans="1:7">
      <c r="A5694" t="s">
        <v>30793</v>
      </c>
      <c r="B5694" t="s">
        <v>8607</v>
      </c>
      <c r="F5694" t="s">
        <v>30794</v>
      </c>
      <c r="G5694" t="s">
        <v>30795</v>
      </c>
    </row>
    <row r="5695" spans="1:7">
      <c r="A5695" t="s">
        <v>30796</v>
      </c>
      <c r="B5695" t="s">
        <v>8607</v>
      </c>
      <c r="G5695" t="s">
        <v>30797</v>
      </c>
    </row>
    <row r="5696" spans="1:7">
      <c r="A5696" t="s">
        <v>30798</v>
      </c>
      <c r="B5696" t="s">
        <v>8607</v>
      </c>
      <c r="F5696" t="s">
        <v>27253</v>
      </c>
      <c r="G5696" t="s">
        <v>30799</v>
      </c>
    </row>
    <row r="5697" spans="1:7">
      <c r="A5697" t="s">
        <v>30800</v>
      </c>
      <c r="B5697" t="s">
        <v>8607</v>
      </c>
      <c r="F5697" t="s">
        <v>26127</v>
      </c>
      <c r="G5697" t="s">
        <v>30801</v>
      </c>
    </row>
    <row r="5698" spans="1:7">
      <c r="A5698" t="s">
        <v>30802</v>
      </c>
      <c r="G5698" t="s">
        <v>30803</v>
      </c>
    </row>
    <row r="5699" spans="1:7">
      <c r="A5699" t="s">
        <v>30804</v>
      </c>
      <c r="B5699" t="s">
        <v>8607</v>
      </c>
      <c r="F5699" t="s">
        <v>30805</v>
      </c>
      <c r="G5699" t="s">
        <v>30806</v>
      </c>
    </row>
    <row r="5700" spans="1:7">
      <c r="A5700" t="s">
        <v>30807</v>
      </c>
      <c r="B5700" t="s">
        <v>8626</v>
      </c>
      <c r="G5700" t="s">
        <v>30808</v>
      </c>
    </row>
    <row r="5701" spans="1:7">
      <c r="A5701" t="s">
        <v>30809</v>
      </c>
      <c r="B5701" t="s">
        <v>8607</v>
      </c>
      <c r="F5701" t="s">
        <v>29072</v>
      </c>
      <c r="G5701" t="s">
        <v>29073</v>
      </c>
    </row>
    <row r="5702" spans="1:7">
      <c r="A5702" t="s">
        <v>30810</v>
      </c>
      <c r="B5702" t="s">
        <v>8607</v>
      </c>
      <c r="F5702" t="s">
        <v>8623</v>
      </c>
      <c r="G5702" t="s">
        <v>24680</v>
      </c>
    </row>
    <row r="5703" spans="1:7">
      <c r="A5703" t="s">
        <v>30811</v>
      </c>
      <c r="B5703" t="s">
        <v>8607</v>
      </c>
      <c r="F5703" t="s">
        <v>26449</v>
      </c>
      <c r="G5703" t="s">
        <v>26450</v>
      </c>
    </row>
    <row r="5704" spans="1:7">
      <c r="A5704" t="s">
        <v>30812</v>
      </c>
      <c r="B5704" t="s">
        <v>8607</v>
      </c>
      <c r="F5704" t="s">
        <v>26452</v>
      </c>
      <c r="G5704" t="s">
        <v>26453</v>
      </c>
    </row>
    <row r="5705" spans="1:7">
      <c r="A5705" t="s">
        <v>30813</v>
      </c>
      <c r="B5705" t="s">
        <v>8626</v>
      </c>
      <c r="G5705" t="s">
        <v>30814</v>
      </c>
    </row>
    <row r="5706" spans="1:7">
      <c r="A5706" t="s">
        <v>30815</v>
      </c>
      <c r="B5706" t="s">
        <v>8607</v>
      </c>
      <c r="F5706" t="s">
        <v>9018</v>
      </c>
      <c r="G5706" t="s">
        <v>30816</v>
      </c>
    </row>
    <row r="5707" spans="1:7">
      <c r="A5707" t="s">
        <v>30817</v>
      </c>
      <c r="B5707" t="s">
        <v>8607</v>
      </c>
      <c r="F5707" t="s">
        <v>19933</v>
      </c>
      <c r="G5707" t="s">
        <v>19934</v>
      </c>
    </row>
    <row r="5708" spans="1:7">
      <c r="A5708" t="s">
        <v>30818</v>
      </c>
      <c r="B5708" t="s">
        <v>8607</v>
      </c>
      <c r="C5708" t="s">
        <v>21651</v>
      </c>
      <c r="F5708" t="s">
        <v>9018</v>
      </c>
      <c r="G5708" t="s">
        <v>30819</v>
      </c>
    </row>
    <row r="5709" spans="1:7">
      <c r="A5709" t="s">
        <v>30820</v>
      </c>
      <c r="B5709" t="s">
        <v>8626</v>
      </c>
      <c r="G5709" t="s">
        <v>30821</v>
      </c>
    </row>
    <row r="5710" spans="1:7">
      <c r="A5710" t="s">
        <v>30822</v>
      </c>
      <c r="B5710" t="s">
        <v>8607</v>
      </c>
      <c r="F5710" t="s">
        <v>26204</v>
      </c>
      <c r="G5710" t="s">
        <v>26205</v>
      </c>
    </row>
    <row r="5711" spans="1:7">
      <c r="A5711" t="s">
        <v>30823</v>
      </c>
      <c r="B5711" t="s">
        <v>8626</v>
      </c>
      <c r="F5711" t="s">
        <v>23859</v>
      </c>
      <c r="G5711" t="s">
        <v>30824</v>
      </c>
    </row>
    <row r="5712" spans="1:7">
      <c r="A5712" t="s">
        <v>30825</v>
      </c>
      <c r="B5712" t="s">
        <v>8607</v>
      </c>
      <c r="F5712" t="s">
        <v>30642</v>
      </c>
      <c r="G5712" t="s">
        <v>30643</v>
      </c>
    </row>
    <row r="5713" spans="1:7">
      <c r="A5713" t="s">
        <v>30826</v>
      </c>
      <c r="B5713" t="s">
        <v>8607</v>
      </c>
      <c r="F5713" t="s">
        <v>17349</v>
      </c>
      <c r="G5713" t="s">
        <v>30827</v>
      </c>
    </row>
    <row r="5714" spans="1:7">
      <c r="A5714" t="s">
        <v>30828</v>
      </c>
      <c r="B5714" t="s">
        <v>8607</v>
      </c>
      <c r="G5714" t="s">
        <v>30017</v>
      </c>
    </row>
    <row r="5715" spans="1:7">
      <c r="A5715" t="s">
        <v>30829</v>
      </c>
      <c r="B5715" t="s">
        <v>8607</v>
      </c>
      <c r="F5715" t="s">
        <v>30830</v>
      </c>
      <c r="G5715" t="s">
        <v>30831</v>
      </c>
    </row>
    <row r="5716" spans="1:7">
      <c r="A5716" t="s">
        <v>30832</v>
      </c>
      <c r="B5716" t="s">
        <v>8607</v>
      </c>
      <c r="F5716" t="s">
        <v>9018</v>
      </c>
      <c r="G5716" t="s">
        <v>14736</v>
      </c>
    </row>
    <row r="5717" spans="1:7">
      <c r="A5717" t="s">
        <v>30833</v>
      </c>
      <c r="B5717" t="s">
        <v>8607</v>
      </c>
      <c r="F5717" t="s">
        <v>27423</v>
      </c>
      <c r="G5717" t="s">
        <v>28134</v>
      </c>
    </row>
    <row r="5718" spans="1:7">
      <c r="A5718" t="s">
        <v>30834</v>
      </c>
      <c r="B5718" t="s">
        <v>8607</v>
      </c>
      <c r="C5718" t="s">
        <v>30835</v>
      </c>
      <c r="F5718" t="s">
        <v>30836</v>
      </c>
      <c r="G5718" t="s">
        <v>30837</v>
      </c>
    </row>
    <row r="5719" spans="1:7">
      <c r="A5719" t="s">
        <v>30838</v>
      </c>
      <c r="B5719" t="s">
        <v>8607</v>
      </c>
      <c r="C5719" t="s">
        <v>30839</v>
      </c>
      <c r="F5719" t="s">
        <v>30840</v>
      </c>
      <c r="G5719" t="s">
        <v>30841</v>
      </c>
    </row>
    <row r="5720" spans="1:7">
      <c r="A5720" t="s">
        <v>30842</v>
      </c>
      <c r="B5720" t="s">
        <v>8607</v>
      </c>
      <c r="C5720" t="s">
        <v>30843</v>
      </c>
      <c r="F5720" t="s">
        <v>30844</v>
      </c>
      <c r="G5720" t="s">
        <v>30845</v>
      </c>
    </row>
    <row r="5721" spans="1:7">
      <c r="A5721" t="s">
        <v>30846</v>
      </c>
      <c r="B5721" t="s">
        <v>8607</v>
      </c>
      <c r="F5721" t="s">
        <v>17790</v>
      </c>
      <c r="G5721" t="s">
        <v>30847</v>
      </c>
    </row>
    <row r="5722" spans="1:7">
      <c r="A5722" t="s">
        <v>30848</v>
      </c>
      <c r="B5722" t="s">
        <v>8607</v>
      </c>
      <c r="F5722" t="s">
        <v>17327</v>
      </c>
      <c r="G5722" t="s">
        <v>30849</v>
      </c>
    </row>
    <row r="5723" spans="1:7">
      <c r="A5723" t="s">
        <v>30850</v>
      </c>
      <c r="B5723" t="s">
        <v>8626</v>
      </c>
      <c r="G5723" t="s">
        <v>30851</v>
      </c>
    </row>
    <row r="5724" spans="1:7">
      <c r="A5724" t="s">
        <v>30852</v>
      </c>
      <c r="B5724" t="s">
        <v>8607</v>
      </c>
      <c r="F5724" t="s">
        <v>26449</v>
      </c>
      <c r="G5724" t="s">
        <v>26450</v>
      </c>
    </row>
    <row r="5725" spans="1:7">
      <c r="A5725" t="s">
        <v>30853</v>
      </c>
      <c r="B5725" t="s">
        <v>8607</v>
      </c>
      <c r="F5725" t="s">
        <v>26452</v>
      </c>
      <c r="G5725" t="s">
        <v>26453</v>
      </c>
    </row>
    <row r="5726" spans="1:7">
      <c r="A5726" t="s">
        <v>30854</v>
      </c>
      <c r="B5726" t="s">
        <v>8607</v>
      </c>
      <c r="F5726" t="s">
        <v>21953</v>
      </c>
      <c r="G5726" t="s">
        <v>21954</v>
      </c>
    </row>
    <row r="5727" spans="1:7">
      <c r="A5727" t="s">
        <v>30855</v>
      </c>
      <c r="B5727" t="s">
        <v>8607</v>
      </c>
      <c r="F5727" t="s">
        <v>21832</v>
      </c>
      <c r="G5727" t="s">
        <v>30856</v>
      </c>
    </row>
    <row r="5728" spans="1:7">
      <c r="A5728" t="s">
        <v>30857</v>
      </c>
      <c r="B5728" t="s">
        <v>8607</v>
      </c>
      <c r="F5728" t="s">
        <v>17741</v>
      </c>
      <c r="G5728" t="s">
        <v>26616</v>
      </c>
    </row>
    <row r="5729" spans="1:7">
      <c r="A5729" t="s">
        <v>30858</v>
      </c>
      <c r="B5729" t="s">
        <v>8607</v>
      </c>
      <c r="G5729" t="s">
        <v>30859</v>
      </c>
    </row>
    <row r="5730" spans="1:7">
      <c r="A5730" t="s">
        <v>30860</v>
      </c>
      <c r="B5730" t="s">
        <v>8607</v>
      </c>
      <c r="G5730" t="s">
        <v>30861</v>
      </c>
    </row>
    <row r="5731" spans="1:7">
      <c r="A5731" t="s">
        <v>30862</v>
      </c>
      <c r="B5731" t="s">
        <v>8607</v>
      </c>
      <c r="G5731" t="s">
        <v>30863</v>
      </c>
    </row>
    <row r="5732" spans="1:7">
      <c r="A5732" t="s">
        <v>30864</v>
      </c>
      <c r="B5732" t="s">
        <v>8607</v>
      </c>
      <c r="G5732" t="s">
        <v>26638</v>
      </c>
    </row>
    <row r="5733" spans="1:7">
      <c r="A5733" t="s">
        <v>30865</v>
      </c>
      <c r="B5733" t="s">
        <v>8607</v>
      </c>
      <c r="F5733" t="s">
        <v>26069</v>
      </c>
      <c r="G5733" t="s">
        <v>30866</v>
      </c>
    </row>
    <row r="5734" spans="1:7">
      <c r="A5734" t="s">
        <v>30867</v>
      </c>
      <c r="B5734" t="s">
        <v>8607</v>
      </c>
      <c r="F5734" t="s">
        <v>13312</v>
      </c>
      <c r="G5734" t="s">
        <v>29611</v>
      </c>
    </row>
    <row r="5735" spans="1:7">
      <c r="A5735" t="s">
        <v>30868</v>
      </c>
      <c r="B5735" t="s">
        <v>8607</v>
      </c>
      <c r="F5735" t="s">
        <v>27947</v>
      </c>
      <c r="G5735" t="s">
        <v>30869</v>
      </c>
    </row>
    <row r="5736" spans="1:7">
      <c r="A5736" t="s">
        <v>30870</v>
      </c>
      <c r="B5736" t="s">
        <v>8626</v>
      </c>
      <c r="F5736" t="s">
        <v>21567</v>
      </c>
      <c r="G5736" t="s">
        <v>23716</v>
      </c>
    </row>
    <row r="5737" spans="1:7">
      <c r="A5737" t="s">
        <v>30871</v>
      </c>
      <c r="B5737" t="s">
        <v>8607</v>
      </c>
      <c r="F5737" t="s">
        <v>20201</v>
      </c>
      <c r="G5737" t="s">
        <v>27843</v>
      </c>
    </row>
    <row r="5738" spans="1:7">
      <c r="A5738" t="s">
        <v>30872</v>
      </c>
      <c r="B5738" t="s">
        <v>8607</v>
      </c>
      <c r="F5738" t="s">
        <v>20473</v>
      </c>
      <c r="G5738" t="s">
        <v>28471</v>
      </c>
    </row>
    <row r="5739" spans="1:7">
      <c r="A5739" t="s">
        <v>30873</v>
      </c>
      <c r="B5739" t="s">
        <v>8626</v>
      </c>
      <c r="F5739" t="s">
        <v>30874</v>
      </c>
      <c r="G5739" t="s">
        <v>30875</v>
      </c>
    </row>
    <row r="5740" spans="1:7">
      <c r="A5740" t="s">
        <v>30876</v>
      </c>
      <c r="B5740" t="s">
        <v>8607</v>
      </c>
      <c r="F5740" t="s">
        <v>27899</v>
      </c>
      <c r="G5740" t="s">
        <v>30117</v>
      </c>
    </row>
    <row r="5741" spans="1:7">
      <c r="A5741" t="s">
        <v>30877</v>
      </c>
      <c r="B5741" t="s">
        <v>8626</v>
      </c>
      <c r="C5741" t="s">
        <v>22862</v>
      </c>
      <c r="F5741" t="s">
        <v>22864</v>
      </c>
      <c r="G5741" t="s">
        <v>30878</v>
      </c>
    </row>
    <row r="5742" spans="1:7">
      <c r="A5742" t="s">
        <v>30879</v>
      </c>
      <c r="B5742" t="s">
        <v>8626</v>
      </c>
      <c r="G5742" t="s">
        <v>18457</v>
      </c>
    </row>
    <row r="5743" spans="1:7">
      <c r="A5743" t="s">
        <v>30880</v>
      </c>
      <c r="B5743" t="s">
        <v>8607</v>
      </c>
      <c r="F5743" t="s">
        <v>27727</v>
      </c>
      <c r="G5743" t="s">
        <v>30218</v>
      </c>
    </row>
    <row r="5744" spans="1:7">
      <c r="A5744" t="s">
        <v>30881</v>
      </c>
      <c r="B5744" t="s">
        <v>8607</v>
      </c>
      <c r="C5744" t="s">
        <v>26591</v>
      </c>
      <c r="F5744" t="s">
        <v>9018</v>
      </c>
      <c r="G5744" t="s">
        <v>30882</v>
      </c>
    </row>
    <row r="5745" spans="1:7">
      <c r="A5745" t="s">
        <v>30883</v>
      </c>
      <c r="B5745" t="s">
        <v>8607</v>
      </c>
      <c r="G5745" t="s">
        <v>30884</v>
      </c>
    </row>
    <row r="5746" spans="1:7">
      <c r="A5746" t="s">
        <v>30885</v>
      </c>
      <c r="B5746" t="s">
        <v>8626</v>
      </c>
      <c r="C5746" t="s">
        <v>28882</v>
      </c>
      <c r="F5746" t="s">
        <v>17932</v>
      </c>
      <c r="G5746" t="s">
        <v>28893</v>
      </c>
    </row>
    <row r="5747" spans="1:7">
      <c r="A5747" t="s">
        <v>30886</v>
      </c>
      <c r="B5747" t="s">
        <v>8626</v>
      </c>
      <c r="F5747" t="s">
        <v>28018</v>
      </c>
      <c r="G5747" t="s">
        <v>28711</v>
      </c>
    </row>
    <row r="5748" spans="1:7">
      <c r="A5748" t="s">
        <v>30887</v>
      </c>
      <c r="G5748" t="s">
        <v>28715</v>
      </c>
    </row>
    <row r="5749" spans="1:7">
      <c r="A5749" t="s">
        <v>30888</v>
      </c>
      <c r="B5749" t="s">
        <v>8607</v>
      </c>
      <c r="F5749" t="s">
        <v>28088</v>
      </c>
      <c r="G5749" t="s">
        <v>28089</v>
      </c>
    </row>
    <row r="5750" spans="1:7">
      <c r="A5750" t="s">
        <v>30889</v>
      </c>
      <c r="B5750" t="s">
        <v>8607</v>
      </c>
      <c r="F5750" t="s">
        <v>23859</v>
      </c>
      <c r="G5750" t="s">
        <v>26034</v>
      </c>
    </row>
    <row r="5751" spans="1:7">
      <c r="A5751" t="s">
        <v>30890</v>
      </c>
      <c r="B5751" t="s">
        <v>8607</v>
      </c>
      <c r="C5751" t="s">
        <v>28722</v>
      </c>
      <c r="F5751" t="s">
        <v>26207</v>
      </c>
      <c r="G5751" t="s">
        <v>30891</v>
      </c>
    </row>
    <row r="5752" spans="1:7">
      <c r="A5752" t="s">
        <v>30892</v>
      </c>
      <c r="B5752" t="s">
        <v>8607</v>
      </c>
      <c r="F5752" t="s">
        <v>28725</v>
      </c>
      <c r="G5752" t="s">
        <v>30893</v>
      </c>
    </row>
    <row r="5753" spans="1:7">
      <c r="A5753" t="s">
        <v>30894</v>
      </c>
      <c r="B5753" t="s">
        <v>8607</v>
      </c>
      <c r="F5753" t="s">
        <v>28728</v>
      </c>
      <c r="G5753" t="s">
        <v>30895</v>
      </c>
    </row>
    <row r="5754" spans="1:7">
      <c r="A5754" t="s">
        <v>30896</v>
      </c>
      <c r="B5754" t="s">
        <v>8607</v>
      </c>
      <c r="F5754" t="s">
        <v>26176</v>
      </c>
      <c r="G5754" t="s">
        <v>30897</v>
      </c>
    </row>
    <row r="5755" spans="1:7">
      <c r="A5755" t="s">
        <v>30898</v>
      </c>
      <c r="B5755" t="s">
        <v>8607</v>
      </c>
      <c r="F5755" t="s">
        <v>17790</v>
      </c>
      <c r="G5755" t="s">
        <v>30847</v>
      </c>
    </row>
    <row r="5756" spans="1:7">
      <c r="A5756" t="s">
        <v>30899</v>
      </c>
      <c r="B5756" t="s">
        <v>8607</v>
      </c>
      <c r="F5756" t="s">
        <v>17327</v>
      </c>
      <c r="G5756" t="s">
        <v>30849</v>
      </c>
    </row>
    <row r="5757" spans="1:7">
      <c r="A5757" t="s">
        <v>30900</v>
      </c>
      <c r="B5757" t="s">
        <v>8607</v>
      </c>
      <c r="F5757" t="s">
        <v>28410</v>
      </c>
      <c r="G5757" t="s">
        <v>30677</v>
      </c>
    </row>
    <row r="5758" spans="1:7">
      <c r="A5758" t="s">
        <v>30901</v>
      </c>
      <c r="B5758" t="s">
        <v>8607</v>
      </c>
      <c r="F5758" t="s">
        <v>27384</v>
      </c>
      <c r="G5758" t="s">
        <v>30902</v>
      </c>
    </row>
    <row r="5759" spans="1:7">
      <c r="A5759" t="s">
        <v>30903</v>
      </c>
      <c r="B5759" t="s">
        <v>8607</v>
      </c>
      <c r="G5759" t="s">
        <v>30737</v>
      </c>
    </row>
    <row r="5760" spans="1:7">
      <c r="A5760" t="s">
        <v>30904</v>
      </c>
      <c r="B5760" t="s">
        <v>8607</v>
      </c>
      <c r="F5760" t="s">
        <v>29367</v>
      </c>
      <c r="G5760" t="s">
        <v>26800</v>
      </c>
    </row>
    <row r="5761" spans="1:7">
      <c r="A5761" t="s">
        <v>30905</v>
      </c>
      <c r="B5761" t="s">
        <v>8607</v>
      </c>
      <c r="G5761" t="s">
        <v>26778</v>
      </c>
    </row>
    <row r="5762" spans="1:7">
      <c r="A5762" t="s">
        <v>30906</v>
      </c>
      <c r="B5762" t="s">
        <v>8626</v>
      </c>
      <c r="F5762" t="s">
        <v>30907</v>
      </c>
      <c r="G5762" t="s">
        <v>30908</v>
      </c>
    </row>
    <row r="5763" spans="1:7">
      <c r="A5763" t="s">
        <v>30909</v>
      </c>
      <c r="B5763" t="s">
        <v>8607</v>
      </c>
      <c r="F5763" t="s">
        <v>9018</v>
      </c>
      <c r="G5763" t="s">
        <v>30910</v>
      </c>
    </row>
    <row r="5764" spans="1:7">
      <c r="A5764" t="s">
        <v>30911</v>
      </c>
      <c r="B5764" t="s">
        <v>8626</v>
      </c>
      <c r="C5764" t="s">
        <v>30912</v>
      </c>
      <c r="F5764" t="s">
        <v>21832</v>
      </c>
      <c r="G5764" t="s">
        <v>30913</v>
      </c>
    </row>
    <row r="5765" spans="1:7">
      <c r="A5765" t="s">
        <v>30914</v>
      </c>
      <c r="B5765" t="s">
        <v>8607</v>
      </c>
      <c r="F5765" t="s">
        <v>30915</v>
      </c>
      <c r="G5765" t="s">
        <v>30916</v>
      </c>
    </row>
    <row r="5766" spans="1:7">
      <c r="A5766" t="s">
        <v>30917</v>
      </c>
      <c r="B5766" t="s">
        <v>8607</v>
      </c>
      <c r="F5766" t="s">
        <v>30915</v>
      </c>
      <c r="G5766" t="s">
        <v>30918</v>
      </c>
    </row>
    <row r="5767" spans="1:7">
      <c r="A5767" t="s">
        <v>30919</v>
      </c>
      <c r="B5767" t="s">
        <v>8607</v>
      </c>
      <c r="F5767" t="s">
        <v>9018</v>
      </c>
      <c r="G5767" t="s">
        <v>18567</v>
      </c>
    </row>
    <row r="5768" spans="1:7">
      <c r="A5768" t="s">
        <v>30920</v>
      </c>
      <c r="B5768" t="s">
        <v>8607</v>
      </c>
      <c r="F5768" t="s">
        <v>28352</v>
      </c>
      <c r="G5768" t="s">
        <v>30921</v>
      </c>
    </row>
    <row r="5769" spans="1:7">
      <c r="A5769" t="s">
        <v>30922</v>
      </c>
      <c r="B5769" t="s">
        <v>8626</v>
      </c>
      <c r="G5769" t="s">
        <v>30923</v>
      </c>
    </row>
    <row r="5770" spans="1:7">
      <c r="A5770" t="s">
        <v>30924</v>
      </c>
      <c r="B5770" t="s">
        <v>8626</v>
      </c>
      <c r="C5770" t="s">
        <v>26661</v>
      </c>
      <c r="F5770" t="s">
        <v>26365</v>
      </c>
      <c r="G5770" t="s">
        <v>29938</v>
      </c>
    </row>
    <row r="5771" spans="1:7">
      <c r="A5771" t="s">
        <v>30925</v>
      </c>
      <c r="B5771" t="s">
        <v>8607</v>
      </c>
      <c r="C5771" t="s">
        <v>27410</v>
      </c>
      <c r="F5771" t="s">
        <v>27411</v>
      </c>
      <c r="G5771" t="s">
        <v>30926</v>
      </c>
    </row>
    <row r="5772" spans="1:7">
      <c r="A5772" t="s">
        <v>30927</v>
      </c>
      <c r="B5772" t="s">
        <v>8607</v>
      </c>
      <c r="C5772" t="s">
        <v>30928</v>
      </c>
      <c r="F5772" t="s">
        <v>26291</v>
      </c>
      <c r="G5772" t="s">
        <v>30929</v>
      </c>
    </row>
    <row r="5773" spans="1:7">
      <c r="A5773" t="s">
        <v>30930</v>
      </c>
      <c r="B5773" t="s">
        <v>8607</v>
      </c>
      <c r="F5773" t="s">
        <v>27020</v>
      </c>
      <c r="G5773" t="s">
        <v>27021</v>
      </c>
    </row>
    <row r="5774" spans="1:7">
      <c r="A5774" t="s">
        <v>30931</v>
      </c>
      <c r="B5774" t="s">
        <v>8607</v>
      </c>
      <c r="F5774" t="s">
        <v>26485</v>
      </c>
      <c r="G5774" t="s">
        <v>26741</v>
      </c>
    </row>
    <row r="5775" spans="1:7">
      <c r="A5775" t="s">
        <v>30932</v>
      </c>
      <c r="B5775" t="s">
        <v>8607</v>
      </c>
      <c r="G5775" t="s">
        <v>26800</v>
      </c>
    </row>
    <row r="5776" spans="1:7">
      <c r="A5776" t="s">
        <v>30933</v>
      </c>
      <c r="B5776" t="s">
        <v>8607</v>
      </c>
      <c r="G5776" t="s">
        <v>26778</v>
      </c>
    </row>
    <row r="5777" spans="1:7">
      <c r="A5777" t="s">
        <v>30934</v>
      </c>
      <c r="B5777" t="s">
        <v>8607</v>
      </c>
      <c r="G5777" t="s">
        <v>26780</v>
      </c>
    </row>
    <row r="5778" spans="1:7">
      <c r="A5778" t="s">
        <v>30935</v>
      </c>
      <c r="B5778" t="s">
        <v>8607</v>
      </c>
      <c r="F5778" t="s">
        <v>27646</v>
      </c>
      <c r="G5778" t="s">
        <v>30936</v>
      </c>
    </row>
    <row r="5779" spans="1:7">
      <c r="A5779" t="s">
        <v>30937</v>
      </c>
      <c r="B5779" t="s">
        <v>8607</v>
      </c>
      <c r="F5779" t="s">
        <v>27649</v>
      </c>
      <c r="G5779" t="s">
        <v>30938</v>
      </c>
    </row>
    <row r="5780" spans="1:7">
      <c r="A5780" t="s">
        <v>30939</v>
      </c>
      <c r="B5780" t="s">
        <v>8607</v>
      </c>
      <c r="F5780" t="s">
        <v>27649</v>
      </c>
      <c r="G5780" t="s">
        <v>30938</v>
      </c>
    </row>
    <row r="5781" spans="1:7">
      <c r="A5781" t="s">
        <v>30940</v>
      </c>
      <c r="B5781" t="s">
        <v>8626</v>
      </c>
      <c r="G5781" t="s">
        <v>30941</v>
      </c>
    </row>
    <row r="5782" spans="1:7">
      <c r="A5782" t="s">
        <v>30942</v>
      </c>
      <c r="B5782" t="s">
        <v>8626</v>
      </c>
      <c r="F5782" t="s">
        <v>30239</v>
      </c>
      <c r="G5782" t="s">
        <v>30943</v>
      </c>
    </row>
    <row r="5783" spans="1:7">
      <c r="A5783" t="s">
        <v>30944</v>
      </c>
      <c r="B5783" t="s">
        <v>8607</v>
      </c>
      <c r="G5783" t="s">
        <v>30945</v>
      </c>
    </row>
    <row r="5784" spans="1:7">
      <c r="A5784" t="s">
        <v>30946</v>
      </c>
      <c r="B5784" t="s">
        <v>8607</v>
      </c>
      <c r="F5784" t="s">
        <v>17821</v>
      </c>
      <c r="G5784" t="s">
        <v>27756</v>
      </c>
    </row>
    <row r="5785" spans="1:7">
      <c r="A5785" t="s">
        <v>30947</v>
      </c>
      <c r="B5785" t="s">
        <v>8626</v>
      </c>
      <c r="G5785" t="s">
        <v>30948</v>
      </c>
    </row>
    <row r="5786" spans="1:7">
      <c r="A5786" t="s">
        <v>30949</v>
      </c>
      <c r="B5786" t="s">
        <v>8626</v>
      </c>
      <c r="F5786" t="s">
        <v>12464</v>
      </c>
      <c r="G5786" t="s">
        <v>30950</v>
      </c>
    </row>
    <row r="5787" spans="1:7">
      <c r="A5787" t="s">
        <v>30951</v>
      </c>
      <c r="B5787" t="s">
        <v>8607</v>
      </c>
      <c r="F5787" t="s">
        <v>30452</v>
      </c>
      <c r="G5787" t="s">
        <v>30453</v>
      </c>
    </row>
    <row r="5788" spans="1:7">
      <c r="A5788" t="s">
        <v>30952</v>
      </c>
      <c r="B5788" t="s">
        <v>8626</v>
      </c>
      <c r="G5788" t="s">
        <v>30953</v>
      </c>
    </row>
    <row r="5789" spans="1:7">
      <c r="A5789" t="s">
        <v>30954</v>
      </c>
      <c r="B5789" t="s">
        <v>8607</v>
      </c>
      <c r="F5789" t="s">
        <v>26919</v>
      </c>
      <c r="G5789" t="s">
        <v>30955</v>
      </c>
    </row>
    <row r="5790" spans="1:7">
      <c r="A5790" t="s">
        <v>30956</v>
      </c>
      <c r="B5790" t="s">
        <v>8607</v>
      </c>
      <c r="G5790" t="s">
        <v>30957</v>
      </c>
    </row>
    <row r="5791" spans="1:7">
      <c r="A5791" t="s">
        <v>30958</v>
      </c>
      <c r="B5791" t="s">
        <v>8607</v>
      </c>
      <c r="F5791" t="s">
        <v>30959</v>
      </c>
      <c r="G5791" t="s">
        <v>30960</v>
      </c>
    </row>
    <row r="5792" spans="1:7">
      <c r="A5792" t="s">
        <v>30961</v>
      </c>
      <c r="B5792" t="s">
        <v>8626</v>
      </c>
      <c r="F5792" t="s">
        <v>26698</v>
      </c>
      <c r="G5792" t="s">
        <v>30962</v>
      </c>
    </row>
    <row r="5793" spans="1:7">
      <c r="A5793" t="s">
        <v>30963</v>
      </c>
      <c r="B5793" t="s">
        <v>8607</v>
      </c>
      <c r="F5793" t="s">
        <v>30964</v>
      </c>
      <c r="G5793" t="s">
        <v>30965</v>
      </c>
    </row>
    <row r="5794" spans="1:7">
      <c r="A5794" t="s">
        <v>30966</v>
      </c>
      <c r="B5794" t="s">
        <v>8607</v>
      </c>
      <c r="C5794" t="s">
        <v>19936</v>
      </c>
      <c r="F5794" t="s">
        <v>19974</v>
      </c>
      <c r="G5794" t="s">
        <v>19975</v>
      </c>
    </row>
    <row r="5795" spans="1:7">
      <c r="A5795" t="s">
        <v>30967</v>
      </c>
      <c r="B5795" t="s">
        <v>8607</v>
      </c>
      <c r="F5795" t="s">
        <v>21567</v>
      </c>
      <c r="G5795" t="s">
        <v>23720</v>
      </c>
    </row>
    <row r="5796" spans="1:7">
      <c r="A5796" t="s">
        <v>30968</v>
      </c>
      <c r="B5796" t="s">
        <v>8626</v>
      </c>
      <c r="F5796" t="s">
        <v>30455</v>
      </c>
      <c r="G5796" t="s">
        <v>30969</v>
      </c>
    </row>
    <row r="5797" spans="1:7">
      <c r="A5797" t="s">
        <v>30970</v>
      </c>
      <c r="B5797" t="s">
        <v>8607</v>
      </c>
      <c r="G5797" t="s">
        <v>30971</v>
      </c>
    </row>
    <row r="5798" spans="1:7">
      <c r="A5798" t="s">
        <v>30972</v>
      </c>
      <c r="B5798" t="s">
        <v>8607</v>
      </c>
      <c r="G5798" t="s">
        <v>29879</v>
      </c>
    </row>
    <row r="5799" spans="1:7">
      <c r="A5799" t="s">
        <v>30973</v>
      </c>
      <c r="B5799" t="s">
        <v>8607</v>
      </c>
      <c r="F5799" t="s">
        <v>26550</v>
      </c>
      <c r="G5799" t="s">
        <v>26551</v>
      </c>
    </row>
    <row r="5800" spans="1:7">
      <c r="A5800" t="s">
        <v>30974</v>
      </c>
      <c r="B5800" t="s">
        <v>8607</v>
      </c>
      <c r="F5800" t="s">
        <v>29409</v>
      </c>
      <c r="G5800" t="s">
        <v>29410</v>
      </c>
    </row>
    <row r="5801" spans="1:7">
      <c r="A5801" t="s">
        <v>30975</v>
      </c>
      <c r="B5801" t="s">
        <v>8607</v>
      </c>
      <c r="F5801" t="s">
        <v>26474</v>
      </c>
      <c r="G5801" t="s">
        <v>26475</v>
      </c>
    </row>
    <row r="5802" spans="1:7">
      <c r="A5802" t="s">
        <v>30976</v>
      </c>
      <c r="B5802" t="s">
        <v>8626</v>
      </c>
      <c r="G5802" t="s">
        <v>19523</v>
      </c>
    </row>
    <row r="5803" spans="1:7">
      <c r="A5803" t="s">
        <v>30977</v>
      </c>
      <c r="B5803" t="s">
        <v>8607</v>
      </c>
      <c r="C5803" t="s">
        <v>30565</v>
      </c>
      <c r="F5803" t="s">
        <v>30566</v>
      </c>
      <c r="G5803" t="s">
        <v>30567</v>
      </c>
    </row>
    <row r="5804" spans="1:7">
      <c r="A5804" t="s">
        <v>30978</v>
      </c>
      <c r="B5804" t="s">
        <v>8607</v>
      </c>
      <c r="F5804" t="s">
        <v>20051</v>
      </c>
      <c r="G5804" t="s">
        <v>30979</v>
      </c>
    </row>
    <row r="5805" spans="1:7">
      <c r="A5805" t="s">
        <v>30980</v>
      </c>
      <c r="B5805" t="s">
        <v>8626</v>
      </c>
      <c r="F5805" t="s">
        <v>28088</v>
      </c>
      <c r="G5805" t="s">
        <v>30981</v>
      </c>
    </row>
    <row r="5806" spans="1:7">
      <c r="A5806" t="s">
        <v>30982</v>
      </c>
      <c r="B5806" t="s">
        <v>8607</v>
      </c>
      <c r="F5806" t="s">
        <v>30983</v>
      </c>
      <c r="G5806" t="s">
        <v>30984</v>
      </c>
    </row>
    <row r="5807" spans="1:7">
      <c r="A5807" t="s">
        <v>30985</v>
      </c>
      <c r="B5807" t="s">
        <v>8607</v>
      </c>
      <c r="F5807" t="s">
        <v>17932</v>
      </c>
      <c r="G5807" t="s">
        <v>30986</v>
      </c>
    </row>
    <row r="5808" spans="1:7">
      <c r="A5808" t="s">
        <v>30987</v>
      </c>
      <c r="B5808" t="s">
        <v>8626</v>
      </c>
      <c r="F5808" t="s">
        <v>9018</v>
      </c>
      <c r="G5808" t="s">
        <v>30988</v>
      </c>
    </row>
    <row r="5809" spans="1:7">
      <c r="A5809" t="s">
        <v>30989</v>
      </c>
      <c r="B5809" t="s">
        <v>8607</v>
      </c>
      <c r="F5809" t="s">
        <v>22914</v>
      </c>
      <c r="G5809" t="s">
        <v>30990</v>
      </c>
    </row>
    <row r="5810" spans="1:7">
      <c r="A5810" t="s">
        <v>30991</v>
      </c>
      <c r="B5810" t="s">
        <v>8607</v>
      </c>
      <c r="F5810" t="s">
        <v>26204</v>
      </c>
      <c r="G5810" t="s">
        <v>26205</v>
      </c>
    </row>
    <row r="5811" spans="1:7">
      <c r="A5811" t="s">
        <v>30992</v>
      </c>
      <c r="B5811" t="s">
        <v>8607</v>
      </c>
      <c r="G5811" t="s">
        <v>28527</v>
      </c>
    </row>
    <row r="5812" spans="1:7">
      <c r="A5812" t="s">
        <v>30993</v>
      </c>
      <c r="B5812" t="s">
        <v>8607</v>
      </c>
      <c r="F5812" t="s">
        <v>28515</v>
      </c>
      <c r="G5812" t="s">
        <v>28516</v>
      </c>
    </row>
    <row r="5813" spans="1:7">
      <c r="A5813" t="s">
        <v>30994</v>
      </c>
      <c r="G5813" t="s">
        <v>30995</v>
      </c>
    </row>
    <row r="5814" spans="1:7">
      <c r="A5814" t="s">
        <v>30996</v>
      </c>
      <c r="B5814" t="s">
        <v>8607</v>
      </c>
      <c r="F5814" t="s">
        <v>8623</v>
      </c>
      <c r="G5814" t="s">
        <v>30997</v>
      </c>
    </row>
    <row r="5815" spans="1:7">
      <c r="A5815" t="s">
        <v>30998</v>
      </c>
      <c r="B5815" t="s">
        <v>8607</v>
      </c>
      <c r="G5815" t="s">
        <v>30999</v>
      </c>
    </row>
    <row r="5816" spans="1:7">
      <c r="A5816" t="s">
        <v>31000</v>
      </c>
      <c r="B5816" t="s">
        <v>8607</v>
      </c>
      <c r="C5816" t="s">
        <v>29588</v>
      </c>
      <c r="F5816" t="s">
        <v>9018</v>
      </c>
      <c r="G5816" t="s">
        <v>31001</v>
      </c>
    </row>
    <row r="5817" spans="1:7">
      <c r="A5817" t="s">
        <v>31002</v>
      </c>
      <c r="B5817" t="s">
        <v>8607</v>
      </c>
      <c r="F5817" t="s">
        <v>27646</v>
      </c>
      <c r="G5817" t="s">
        <v>30936</v>
      </c>
    </row>
    <row r="5818" spans="1:7">
      <c r="A5818" t="s">
        <v>31003</v>
      </c>
      <c r="B5818" t="s">
        <v>8607</v>
      </c>
      <c r="F5818" t="s">
        <v>27649</v>
      </c>
      <c r="G5818" t="s">
        <v>30938</v>
      </c>
    </row>
    <row r="5819" spans="1:7">
      <c r="A5819" t="s">
        <v>31004</v>
      </c>
      <c r="B5819" t="s">
        <v>8607</v>
      </c>
      <c r="F5819" t="s">
        <v>26485</v>
      </c>
      <c r="G5819" t="s">
        <v>26486</v>
      </c>
    </row>
    <row r="5820" spans="1:7">
      <c r="A5820" t="s">
        <v>31005</v>
      </c>
      <c r="B5820" t="s">
        <v>8607</v>
      </c>
      <c r="F5820" t="s">
        <v>25102</v>
      </c>
      <c r="G5820" t="s">
        <v>31006</v>
      </c>
    </row>
    <row r="5821" spans="1:7">
      <c r="A5821" t="s">
        <v>31007</v>
      </c>
      <c r="B5821" t="s">
        <v>8626</v>
      </c>
      <c r="F5821" t="s">
        <v>31008</v>
      </c>
      <c r="G5821" t="s">
        <v>31009</v>
      </c>
    </row>
    <row r="5822" spans="1:7">
      <c r="A5822" t="s">
        <v>31010</v>
      </c>
      <c r="B5822" t="s">
        <v>8607</v>
      </c>
      <c r="F5822" t="s">
        <v>30452</v>
      </c>
      <c r="G5822" t="s">
        <v>31011</v>
      </c>
    </row>
    <row r="5823" spans="1:7">
      <c r="A5823" t="s">
        <v>31012</v>
      </c>
      <c r="B5823" t="s">
        <v>8607</v>
      </c>
      <c r="G5823" t="s">
        <v>31013</v>
      </c>
    </row>
    <row r="5824" spans="1:7">
      <c r="A5824" t="s">
        <v>31014</v>
      </c>
      <c r="B5824" t="s">
        <v>8607</v>
      </c>
      <c r="F5824" t="s">
        <v>30393</v>
      </c>
      <c r="G5824" t="s">
        <v>29068</v>
      </c>
    </row>
    <row r="5825" spans="1:7">
      <c r="A5825" t="s">
        <v>31015</v>
      </c>
      <c r="B5825" t="s">
        <v>8607</v>
      </c>
      <c r="C5825" t="s">
        <v>21731</v>
      </c>
      <c r="G5825" t="s">
        <v>21739</v>
      </c>
    </row>
    <row r="5826" spans="1:7">
      <c r="A5826" t="s">
        <v>31016</v>
      </c>
      <c r="B5826" t="s">
        <v>8607</v>
      </c>
      <c r="G5826" t="s">
        <v>17899</v>
      </c>
    </row>
    <row r="5827" spans="1:7">
      <c r="A5827" t="s">
        <v>31017</v>
      </c>
      <c r="B5827" t="s">
        <v>8607</v>
      </c>
      <c r="F5827" t="s">
        <v>30268</v>
      </c>
      <c r="G5827" t="s">
        <v>31018</v>
      </c>
    </row>
    <row r="5828" spans="1:7">
      <c r="A5828" t="s">
        <v>31019</v>
      </c>
      <c r="B5828" t="s">
        <v>8626</v>
      </c>
      <c r="G5828" t="s">
        <v>31020</v>
      </c>
    </row>
    <row r="5829" spans="1:7">
      <c r="A5829" t="s">
        <v>31021</v>
      </c>
      <c r="B5829" t="s">
        <v>8626</v>
      </c>
      <c r="F5829" t="s">
        <v>31022</v>
      </c>
      <c r="G5829" t="s">
        <v>31023</v>
      </c>
    </row>
    <row r="5830" spans="1:7">
      <c r="A5830" t="s">
        <v>31024</v>
      </c>
      <c r="B5830" t="s">
        <v>8607</v>
      </c>
      <c r="F5830" t="s">
        <v>27465</v>
      </c>
      <c r="G5830" t="s">
        <v>31025</v>
      </c>
    </row>
    <row r="5831" spans="1:7">
      <c r="A5831" t="s">
        <v>31026</v>
      </c>
      <c r="B5831" t="s">
        <v>8607</v>
      </c>
      <c r="F5831" t="s">
        <v>27468</v>
      </c>
      <c r="G5831" t="s">
        <v>31027</v>
      </c>
    </row>
    <row r="5832" spans="1:7">
      <c r="A5832" t="s">
        <v>31028</v>
      </c>
      <c r="B5832" t="s">
        <v>8626</v>
      </c>
      <c r="F5832" t="s">
        <v>23859</v>
      </c>
      <c r="G5832" t="s">
        <v>31029</v>
      </c>
    </row>
    <row r="5833" spans="1:7">
      <c r="A5833" t="s">
        <v>31030</v>
      </c>
      <c r="B5833" t="s">
        <v>8626</v>
      </c>
      <c r="G5833" t="s">
        <v>31031</v>
      </c>
    </row>
    <row r="5834" spans="1:7">
      <c r="A5834" t="s">
        <v>31032</v>
      </c>
      <c r="B5834" t="s">
        <v>8626</v>
      </c>
      <c r="F5834" t="s">
        <v>17932</v>
      </c>
      <c r="G5834" t="s">
        <v>31033</v>
      </c>
    </row>
    <row r="5835" spans="1:7">
      <c r="A5835" t="s">
        <v>31034</v>
      </c>
      <c r="B5835" t="s">
        <v>8626</v>
      </c>
      <c r="F5835" t="s">
        <v>31035</v>
      </c>
      <c r="G5835" t="s">
        <v>31036</v>
      </c>
    </row>
    <row r="5836" spans="1:7">
      <c r="A5836" t="s">
        <v>31037</v>
      </c>
      <c r="B5836" t="s">
        <v>8626</v>
      </c>
      <c r="G5836" t="s">
        <v>31038</v>
      </c>
    </row>
    <row r="5837" spans="1:7">
      <c r="A5837" t="s">
        <v>31039</v>
      </c>
      <c r="B5837" t="s">
        <v>8607</v>
      </c>
      <c r="G5837" t="s">
        <v>28803</v>
      </c>
    </row>
    <row r="5838" spans="1:7">
      <c r="A5838" t="s">
        <v>31040</v>
      </c>
      <c r="B5838" t="s">
        <v>8607</v>
      </c>
      <c r="F5838" t="s">
        <v>8623</v>
      </c>
      <c r="G5838" t="s">
        <v>30997</v>
      </c>
    </row>
    <row r="5839" spans="1:7">
      <c r="A5839" t="s">
        <v>31041</v>
      </c>
      <c r="B5839" t="s">
        <v>8607</v>
      </c>
      <c r="F5839" t="s">
        <v>31042</v>
      </c>
      <c r="G5839" t="s">
        <v>31043</v>
      </c>
    </row>
    <row r="5840" spans="1:7">
      <c r="A5840" t="s">
        <v>31044</v>
      </c>
      <c r="B5840" t="s">
        <v>8607</v>
      </c>
      <c r="F5840" t="s">
        <v>27253</v>
      </c>
      <c r="G5840" t="s">
        <v>31045</v>
      </c>
    </row>
    <row r="5841" spans="1:7">
      <c r="A5841" t="s">
        <v>31046</v>
      </c>
      <c r="B5841" t="s">
        <v>8626</v>
      </c>
      <c r="G5841" t="s">
        <v>31047</v>
      </c>
    </row>
    <row r="5842" spans="1:7">
      <c r="A5842" t="s">
        <v>31048</v>
      </c>
      <c r="B5842" t="s">
        <v>8626</v>
      </c>
      <c r="F5842" t="s">
        <v>20920</v>
      </c>
      <c r="G5842" t="s">
        <v>30059</v>
      </c>
    </row>
    <row r="5843" spans="1:7">
      <c r="A5843" t="s">
        <v>31049</v>
      </c>
      <c r="B5843" t="s">
        <v>8626</v>
      </c>
      <c r="G5843" t="s">
        <v>31050</v>
      </c>
    </row>
    <row r="5844" spans="1:7">
      <c r="A5844" t="s">
        <v>31051</v>
      </c>
      <c r="G5844" t="s">
        <v>31052</v>
      </c>
    </row>
    <row r="5845" spans="1:7">
      <c r="A5845" t="s">
        <v>31053</v>
      </c>
      <c r="B5845" t="s">
        <v>8607</v>
      </c>
      <c r="F5845" t="s">
        <v>8623</v>
      </c>
      <c r="G5845" t="s">
        <v>31054</v>
      </c>
    </row>
    <row r="5846" spans="1:7">
      <c r="A5846" t="s">
        <v>31055</v>
      </c>
      <c r="B5846" t="s">
        <v>8607</v>
      </c>
      <c r="C5846" t="s">
        <v>26863</v>
      </c>
      <c r="F5846" t="s">
        <v>9018</v>
      </c>
      <c r="G5846" t="s">
        <v>31056</v>
      </c>
    </row>
    <row r="5847" spans="1:7">
      <c r="A5847" t="s">
        <v>31057</v>
      </c>
      <c r="B5847" t="s">
        <v>8626</v>
      </c>
      <c r="C5847" t="s">
        <v>26922</v>
      </c>
      <c r="F5847" t="s">
        <v>17429</v>
      </c>
      <c r="G5847" t="s">
        <v>31058</v>
      </c>
    </row>
    <row r="5848" spans="1:7">
      <c r="A5848" t="s">
        <v>31059</v>
      </c>
      <c r="B5848" t="s">
        <v>8607</v>
      </c>
      <c r="F5848" t="s">
        <v>31060</v>
      </c>
      <c r="G5848" t="s">
        <v>31061</v>
      </c>
    </row>
    <row r="5849" spans="1:7">
      <c r="A5849" t="s">
        <v>31062</v>
      </c>
      <c r="B5849" t="s">
        <v>8607</v>
      </c>
      <c r="F5849" t="s">
        <v>21676</v>
      </c>
      <c r="G5849" t="s">
        <v>31063</v>
      </c>
    </row>
    <row r="5850" spans="1:7">
      <c r="A5850" t="s">
        <v>31064</v>
      </c>
      <c r="B5850" t="s">
        <v>8626</v>
      </c>
      <c r="F5850" t="s">
        <v>31065</v>
      </c>
      <c r="G5850" t="s">
        <v>31066</v>
      </c>
    </row>
    <row r="5851" spans="1:7">
      <c r="A5851" t="s">
        <v>31067</v>
      </c>
      <c r="B5851" t="s">
        <v>8607</v>
      </c>
      <c r="F5851" t="s">
        <v>20201</v>
      </c>
      <c r="G5851" t="s">
        <v>28205</v>
      </c>
    </row>
    <row r="5852" spans="1:7">
      <c r="A5852" t="s">
        <v>31068</v>
      </c>
      <c r="B5852" t="s">
        <v>8607</v>
      </c>
      <c r="F5852" t="s">
        <v>31069</v>
      </c>
      <c r="G5852" t="s">
        <v>31070</v>
      </c>
    </row>
    <row r="5853" spans="1:7">
      <c r="A5853" t="s">
        <v>31071</v>
      </c>
      <c r="B5853" t="s">
        <v>8607</v>
      </c>
      <c r="F5853" t="s">
        <v>28207</v>
      </c>
      <c r="G5853" t="s">
        <v>31072</v>
      </c>
    </row>
    <row r="5854" spans="1:7">
      <c r="A5854" t="s">
        <v>31073</v>
      </c>
      <c r="B5854" t="s">
        <v>8626</v>
      </c>
      <c r="C5854" t="s">
        <v>28225</v>
      </c>
      <c r="F5854" t="s">
        <v>9018</v>
      </c>
      <c r="G5854" t="s">
        <v>31074</v>
      </c>
    </row>
    <row r="5855" spans="1:7">
      <c r="A5855" t="s">
        <v>31075</v>
      </c>
      <c r="B5855" t="s">
        <v>8607</v>
      </c>
      <c r="F5855" t="s">
        <v>31076</v>
      </c>
      <c r="G5855" t="s">
        <v>31077</v>
      </c>
    </row>
    <row r="5856" spans="1:7">
      <c r="A5856" t="s">
        <v>31078</v>
      </c>
      <c r="B5856" t="s">
        <v>8607</v>
      </c>
      <c r="F5856" t="s">
        <v>26199</v>
      </c>
      <c r="G5856" t="s">
        <v>31079</v>
      </c>
    </row>
    <row r="5857" spans="1:7">
      <c r="A5857" t="s">
        <v>31080</v>
      </c>
      <c r="B5857" t="s">
        <v>8607</v>
      </c>
      <c r="G5857" t="s">
        <v>31081</v>
      </c>
    </row>
    <row r="5858" spans="1:7">
      <c r="A5858" t="s">
        <v>31082</v>
      </c>
      <c r="B5858" t="s">
        <v>8607</v>
      </c>
      <c r="G5858" t="s">
        <v>26638</v>
      </c>
    </row>
    <row r="5859" spans="1:7">
      <c r="A5859" t="s">
        <v>31083</v>
      </c>
      <c r="B5859" t="s">
        <v>8607</v>
      </c>
      <c r="F5859" t="s">
        <v>17928</v>
      </c>
      <c r="G5859" t="s">
        <v>26640</v>
      </c>
    </row>
    <row r="5860" spans="1:7">
      <c r="A5860" t="s">
        <v>31084</v>
      </c>
      <c r="B5860" t="s">
        <v>8607</v>
      </c>
      <c r="G5860" t="s">
        <v>31085</v>
      </c>
    </row>
    <row r="5861" spans="1:7">
      <c r="A5861" t="s">
        <v>31086</v>
      </c>
      <c r="B5861" t="s">
        <v>8607</v>
      </c>
      <c r="F5861" t="s">
        <v>26268</v>
      </c>
      <c r="G5861" t="s">
        <v>26269</v>
      </c>
    </row>
    <row r="5862" spans="1:7">
      <c r="A5862" t="s">
        <v>31087</v>
      </c>
      <c r="B5862" t="s">
        <v>8607</v>
      </c>
      <c r="F5862" t="s">
        <v>26793</v>
      </c>
      <c r="G5862" t="s">
        <v>26794</v>
      </c>
    </row>
    <row r="5863" spans="1:7">
      <c r="A5863" t="s">
        <v>31088</v>
      </c>
      <c r="B5863" t="s">
        <v>8626</v>
      </c>
      <c r="G5863" t="s">
        <v>17503</v>
      </c>
    </row>
    <row r="5864" spans="1:7">
      <c r="A5864" t="s">
        <v>31089</v>
      </c>
      <c r="B5864" t="s">
        <v>8626</v>
      </c>
      <c r="G5864" t="s">
        <v>17505</v>
      </c>
    </row>
    <row r="5865" spans="1:7">
      <c r="A5865" t="s">
        <v>31090</v>
      </c>
      <c r="B5865" t="s">
        <v>8626</v>
      </c>
      <c r="G5865" t="s">
        <v>28757</v>
      </c>
    </row>
    <row r="5866" spans="1:7">
      <c r="A5866" t="s">
        <v>31091</v>
      </c>
      <c r="B5866" t="s">
        <v>8607</v>
      </c>
      <c r="F5866" t="s">
        <v>26827</v>
      </c>
      <c r="G5866" t="s">
        <v>31092</v>
      </c>
    </row>
    <row r="5867" spans="1:7">
      <c r="A5867" t="s">
        <v>31093</v>
      </c>
      <c r="B5867" t="s">
        <v>8607</v>
      </c>
      <c r="F5867" t="s">
        <v>20423</v>
      </c>
      <c r="G5867" t="s">
        <v>29023</v>
      </c>
    </row>
    <row r="5868" spans="1:7">
      <c r="A5868" t="s">
        <v>31094</v>
      </c>
      <c r="B5868" t="s">
        <v>8607</v>
      </c>
      <c r="F5868" t="s">
        <v>21832</v>
      </c>
      <c r="G5868" t="s">
        <v>28048</v>
      </c>
    </row>
    <row r="5869" spans="1:7">
      <c r="A5869" t="s">
        <v>31095</v>
      </c>
      <c r="B5869" t="s">
        <v>8607</v>
      </c>
      <c r="F5869" t="s">
        <v>27915</v>
      </c>
      <c r="G5869" t="s">
        <v>31096</v>
      </c>
    </row>
    <row r="5870" spans="1:7">
      <c r="A5870" t="s">
        <v>31097</v>
      </c>
      <c r="B5870" t="s">
        <v>8607</v>
      </c>
      <c r="F5870" t="s">
        <v>29031</v>
      </c>
      <c r="G5870" t="s">
        <v>29032</v>
      </c>
    </row>
    <row r="5871" spans="1:7">
      <c r="A5871" t="s">
        <v>31098</v>
      </c>
      <c r="B5871" t="s">
        <v>8607</v>
      </c>
      <c r="F5871" t="s">
        <v>19111</v>
      </c>
      <c r="G5871" t="s">
        <v>31099</v>
      </c>
    </row>
    <row r="5872" spans="1:7">
      <c r="A5872" t="s">
        <v>31100</v>
      </c>
      <c r="B5872" t="s">
        <v>8607</v>
      </c>
      <c r="F5872" t="s">
        <v>30983</v>
      </c>
      <c r="G5872" t="s">
        <v>31101</v>
      </c>
    </row>
    <row r="5873" spans="1:7">
      <c r="A5873" t="s">
        <v>31102</v>
      </c>
      <c r="B5873" t="s">
        <v>8607</v>
      </c>
      <c r="F5873" t="s">
        <v>30983</v>
      </c>
      <c r="G5873" t="s">
        <v>30984</v>
      </c>
    </row>
    <row r="5874" spans="1:7">
      <c r="A5874" t="s">
        <v>31103</v>
      </c>
      <c r="B5874" t="s">
        <v>8626</v>
      </c>
      <c r="F5874" t="s">
        <v>22981</v>
      </c>
      <c r="G5874" t="s">
        <v>22982</v>
      </c>
    </row>
    <row r="5875" spans="1:7">
      <c r="A5875" t="s">
        <v>31104</v>
      </c>
      <c r="B5875" t="s">
        <v>8607</v>
      </c>
      <c r="F5875" t="s">
        <v>20201</v>
      </c>
      <c r="G5875" t="s">
        <v>27843</v>
      </c>
    </row>
    <row r="5876" spans="1:7">
      <c r="A5876" t="s">
        <v>31105</v>
      </c>
      <c r="B5876" t="s">
        <v>8607</v>
      </c>
      <c r="G5876" t="s">
        <v>27713</v>
      </c>
    </row>
    <row r="5877" spans="1:7">
      <c r="A5877" t="s">
        <v>31106</v>
      </c>
      <c r="B5877" t="s">
        <v>8626</v>
      </c>
      <c r="C5877" t="s">
        <v>31107</v>
      </c>
      <c r="F5877" t="s">
        <v>31108</v>
      </c>
      <c r="G5877" t="s">
        <v>31109</v>
      </c>
    </row>
    <row r="5878" spans="1:7">
      <c r="A5878" t="s">
        <v>31110</v>
      </c>
      <c r="B5878" t="s">
        <v>8626</v>
      </c>
      <c r="F5878" t="s">
        <v>31111</v>
      </c>
      <c r="G5878" t="s">
        <v>31112</v>
      </c>
    </row>
    <row r="5879" spans="1:7">
      <c r="A5879" t="s">
        <v>31113</v>
      </c>
      <c r="B5879" t="s">
        <v>8626</v>
      </c>
      <c r="F5879" t="s">
        <v>27930</v>
      </c>
      <c r="G5879" t="s">
        <v>31114</v>
      </c>
    </row>
    <row r="5880" spans="1:7">
      <c r="A5880" t="s">
        <v>31115</v>
      </c>
      <c r="B5880" t="s">
        <v>8607</v>
      </c>
      <c r="F5880" t="s">
        <v>13305</v>
      </c>
      <c r="G5880" t="s">
        <v>18940</v>
      </c>
    </row>
    <row r="5881" spans="1:7">
      <c r="A5881" t="s">
        <v>31116</v>
      </c>
      <c r="B5881" t="s">
        <v>8626</v>
      </c>
      <c r="C5881" t="s">
        <v>31117</v>
      </c>
      <c r="F5881" t="s">
        <v>27722</v>
      </c>
      <c r="G5881" t="s">
        <v>31118</v>
      </c>
    </row>
    <row r="5882" spans="1:7">
      <c r="A5882" t="s">
        <v>31119</v>
      </c>
      <c r="B5882" t="s">
        <v>8607</v>
      </c>
      <c r="C5882" t="s">
        <v>26083</v>
      </c>
      <c r="F5882" t="s">
        <v>26084</v>
      </c>
      <c r="G5882" t="s">
        <v>31120</v>
      </c>
    </row>
    <row r="5883" spans="1:7">
      <c r="A5883" t="s">
        <v>31121</v>
      </c>
      <c r="B5883" t="s">
        <v>8607</v>
      </c>
      <c r="F5883" t="s">
        <v>26099</v>
      </c>
      <c r="G5883" t="s">
        <v>29105</v>
      </c>
    </row>
    <row r="5884" spans="1:7">
      <c r="A5884" t="s">
        <v>31122</v>
      </c>
      <c r="B5884" t="s">
        <v>8626</v>
      </c>
      <c r="F5884" t="s">
        <v>26069</v>
      </c>
      <c r="G5884" t="s">
        <v>29107</v>
      </c>
    </row>
    <row r="5885" spans="1:7">
      <c r="A5885" t="s">
        <v>31123</v>
      </c>
      <c r="B5885" t="s">
        <v>8607</v>
      </c>
      <c r="F5885" t="s">
        <v>31124</v>
      </c>
      <c r="G5885" t="s">
        <v>31125</v>
      </c>
    </row>
    <row r="5886" spans="1:7">
      <c r="A5886" t="s">
        <v>31126</v>
      </c>
      <c r="B5886" t="s">
        <v>8607</v>
      </c>
      <c r="F5886" t="s">
        <v>31127</v>
      </c>
      <c r="G5886" t="s">
        <v>31128</v>
      </c>
    </row>
    <row r="5887" spans="1:7">
      <c r="A5887" t="s">
        <v>31129</v>
      </c>
      <c r="B5887" t="s">
        <v>8607</v>
      </c>
      <c r="G5887" t="s">
        <v>31130</v>
      </c>
    </row>
    <row r="5888" spans="1:7">
      <c r="A5888" t="s">
        <v>31131</v>
      </c>
      <c r="B5888" t="s">
        <v>8626</v>
      </c>
      <c r="F5888" t="s">
        <v>8623</v>
      </c>
      <c r="G5888" t="s">
        <v>31132</v>
      </c>
    </row>
    <row r="5889" spans="1:7">
      <c r="A5889" t="s">
        <v>31133</v>
      </c>
      <c r="B5889" t="s">
        <v>8607</v>
      </c>
      <c r="F5889" t="s">
        <v>17767</v>
      </c>
      <c r="G5889" t="s">
        <v>30274</v>
      </c>
    </row>
    <row r="5890" spans="1:7">
      <c r="A5890" t="s">
        <v>31134</v>
      </c>
      <c r="B5890" t="s">
        <v>8607</v>
      </c>
      <c r="C5890" t="s">
        <v>30459</v>
      </c>
      <c r="F5890" t="s">
        <v>31135</v>
      </c>
      <c r="G5890" t="s">
        <v>30296</v>
      </c>
    </row>
    <row r="5891" spans="1:7">
      <c r="A5891" t="s">
        <v>31136</v>
      </c>
      <c r="B5891" t="s">
        <v>8626</v>
      </c>
      <c r="C5891" t="s">
        <v>31137</v>
      </c>
      <c r="F5891" t="s">
        <v>27381</v>
      </c>
      <c r="G5891" t="s">
        <v>31138</v>
      </c>
    </row>
    <row r="5892" spans="1:7">
      <c r="A5892" t="s">
        <v>31139</v>
      </c>
      <c r="B5892" t="s">
        <v>8607</v>
      </c>
      <c r="G5892" t="s">
        <v>31140</v>
      </c>
    </row>
    <row r="5893" spans="1:7">
      <c r="A5893" t="s">
        <v>31141</v>
      </c>
      <c r="B5893" t="s">
        <v>8607</v>
      </c>
      <c r="F5893" t="s">
        <v>28407</v>
      </c>
      <c r="G5893" t="s">
        <v>31142</v>
      </c>
    </row>
    <row r="5894" spans="1:7">
      <c r="A5894" t="s">
        <v>31143</v>
      </c>
      <c r="B5894" t="s">
        <v>8626</v>
      </c>
      <c r="F5894" t="s">
        <v>20844</v>
      </c>
      <c r="G5894" t="s">
        <v>31144</v>
      </c>
    </row>
    <row r="5895" spans="1:7">
      <c r="A5895" t="s">
        <v>31145</v>
      </c>
      <c r="B5895" t="s">
        <v>8607</v>
      </c>
      <c r="F5895" t="s">
        <v>26272</v>
      </c>
      <c r="G5895" t="s">
        <v>31146</v>
      </c>
    </row>
    <row r="5896" spans="1:7">
      <c r="A5896" t="s">
        <v>31147</v>
      </c>
      <c r="B5896" t="s">
        <v>8626</v>
      </c>
      <c r="F5896" t="s">
        <v>17928</v>
      </c>
      <c r="G5896" t="s">
        <v>31148</v>
      </c>
    </row>
    <row r="5897" spans="1:7">
      <c r="A5897" t="s">
        <v>31149</v>
      </c>
      <c r="B5897" t="s">
        <v>8607</v>
      </c>
      <c r="F5897" t="s">
        <v>17767</v>
      </c>
      <c r="G5897" t="s">
        <v>31150</v>
      </c>
    </row>
    <row r="5898" spans="1:7">
      <c r="A5898" t="s">
        <v>31151</v>
      </c>
      <c r="B5898" t="s">
        <v>8607</v>
      </c>
      <c r="F5898" t="s">
        <v>31152</v>
      </c>
      <c r="G5898" t="s">
        <v>31153</v>
      </c>
    </row>
    <row r="5899" spans="1:7">
      <c r="A5899" t="s">
        <v>31154</v>
      </c>
      <c r="B5899" t="s">
        <v>8607</v>
      </c>
      <c r="F5899" t="s">
        <v>31155</v>
      </c>
      <c r="G5899" t="s">
        <v>31156</v>
      </c>
    </row>
    <row r="5900" spans="1:7">
      <c r="A5900" t="s">
        <v>31157</v>
      </c>
      <c r="B5900" t="s">
        <v>8626</v>
      </c>
      <c r="F5900" t="s">
        <v>8623</v>
      </c>
      <c r="G5900" t="s">
        <v>20859</v>
      </c>
    </row>
    <row r="5901" spans="1:7">
      <c r="A5901" t="s">
        <v>31158</v>
      </c>
      <c r="G5901" t="s">
        <v>31159</v>
      </c>
    </row>
    <row r="5902" spans="1:7">
      <c r="A5902" t="s">
        <v>31160</v>
      </c>
      <c r="B5902" t="s">
        <v>8607</v>
      </c>
      <c r="G5902" t="s">
        <v>31161</v>
      </c>
    </row>
    <row r="5903" spans="1:7">
      <c r="A5903" t="s">
        <v>31162</v>
      </c>
      <c r="B5903" t="s">
        <v>8607</v>
      </c>
      <c r="F5903" t="s">
        <v>8623</v>
      </c>
      <c r="G5903" t="s">
        <v>31163</v>
      </c>
    </row>
    <row r="5904" spans="1:7">
      <c r="A5904" t="s">
        <v>31164</v>
      </c>
      <c r="B5904" t="s">
        <v>8626</v>
      </c>
      <c r="G5904" t="s">
        <v>31165</v>
      </c>
    </row>
    <row r="5905" spans="1:7">
      <c r="A5905" t="s">
        <v>31166</v>
      </c>
      <c r="B5905" t="s">
        <v>8607</v>
      </c>
      <c r="F5905" t="s">
        <v>28809</v>
      </c>
      <c r="G5905" t="s">
        <v>28810</v>
      </c>
    </row>
    <row r="5906" spans="1:7">
      <c r="A5906" t="s">
        <v>31167</v>
      </c>
      <c r="B5906" t="s">
        <v>8607</v>
      </c>
      <c r="C5906" t="s">
        <v>31168</v>
      </c>
      <c r="F5906" t="s">
        <v>26173</v>
      </c>
      <c r="G5906" t="s">
        <v>31169</v>
      </c>
    </row>
    <row r="5907" spans="1:7">
      <c r="A5907" t="s">
        <v>31170</v>
      </c>
      <c r="B5907" t="s">
        <v>8607</v>
      </c>
      <c r="C5907" t="s">
        <v>20054</v>
      </c>
      <c r="F5907" t="s">
        <v>8851</v>
      </c>
      <c r="G5907" t="s">
        <v>28993</v>
      </c>
    </row>
    <row r="5908" spans="1:7">
      <c r="A5908" t="s">
        <v>31171</v>
      </c>
      <c r="B5908" t="s">
        <v>8607</v>
      </c>
      <c r="F5908" t="s">
        <v>17932</v>
      </c>
      <c r="G5908" t="s">
        <v>30541</v>
      </c>
    </row>
    <row r="5909" spans="1:7">
      <c r="A5909" t="s">
        <v>31172</v>
      </c>
      <c r="B5909" t="s">
        <v>8626</v>
      </c>
      <c r="G5909" t="s">
        <v>31173</v>
      </c>
    </row>
    <row r="5910" spans="1:7">
      <c r="A5910" t="s">
        <v>31174</v>
      </c>
      <c r="B5910" t="s">
        <v>8607</v>
      </c>
      <c r="G5910" t="s">
        <v>31175</v>
      </c>
    </row>
    <row r="5911" spans="1:7">
      <c r="A5911" t="s">
        <v>31176</v>
      </c>
      <c r="B5911" t="s">
        <v>8607</v>
      </c>
      <c r="F5911" t="s">
        <v>28609</v>
      </c>
      <c r="G5911" t="s">
        <v>31177</v>
      </c>
    </row>
    <row r="5912" spans="1:7">
      <c r="A5912" t="s">
        <v>31178</v>
      </c>
      <c r="G5912" t="s">
        <v>31179</v>
      </c>
    </row>
    <row r="5913" spans="1:7">
      <c r="A5913" t="s">
        <v>31180</v>
      </c>
      <c r="B5913" t="s">
        <v>8626</v>
      </c>
      <c r="C5913" t="s">
        <v>31181</v>
      </c>
      <c r="F5913" t="s">
        <v>9268</v>
      </c>
      <c r="G5913" t="s">
        <v>31182</v>
      </c>
    </row>
    <row r="5914" spans="1:7">
      <c r="A5914" t="s">
        <v>31183</v>
      </c>
      <c r="B5914" t="s">
        <v>8607</v>
      </c>
      <c r="G5914" t="s">
        <v>31184</v>
      </c>
    </row>
    <row r="5915" spans="1:7">
      <c r="A5915" t="s">
        <v>31185</v>
      </c>
      <c r="B5915" t="s">
        <v>8607</v>
      </c>
      <c r="C5915" t="s">
        <v>26080</v>
      </c>
      <c r="F5915" t="s">
        <v>31186</v>
      </c>
      <c r="G5915" t="s">
        <v>31187</v>
      </c>
    </row>
    <row r="5916" spans="1:7">
      <c r="A5916" t="s">
        <v>31188</v>
      </c>
      <c r="B5916" t="s">
        <v>8607</v>
      </c>
      <c r="F5916" t="s">
        <v>9002</v>
      </c>
      <c r="G5916" t="s">
        <v>31189</v>
      </c>
    </row>
    <row r="5917" spans="1:7">
      <c r="A5917" t="s">
        <v>31190</v>
      </c>
      <c r="B5917" t="s">
        <v>8607</v>
      </c>
      <c r="F5917" t="s">
        <v>9002</v>
      </c>
      <c r="G5917" t="s">
        <v>31191</v>
      </c>
    </row>
    <row r="5918" spans="1:7">
      <c r="A5918" t="s">
        <v>31192</v>
      </c>
      <c r="B5918" t="s">
        <v>8607</v>
      </c>
      <c r="F5918" t="s">
        <v>8623</v>
      </c>
      <c r="G5918" t="s">
        <v>31193</v>
      </c>
    </row>
    <row r="5919" spans="1:7">
      <c r="A5919" t="s">
        <v>31194</v>
      </c>
      <c r="B5919" t="s">
        <v>8607</v>
      </c>
      <c r="G5919" t="s">
        <v>27007</v>
      </c>
    </row>
    <row r="5920" spans="1:7">
      <c r="A5920" t="s">
        <v>31195</v>
      </c>
      <c r="B5920" t="s">
        <v>8607</v>
      </c>
      <c r="F5920" t="s">
        <v>26104</v>
      </c>
      <c r="G5920" t="s">
        <v>26236</v>
      </c>
    </row>
    <row r="5921" spans="1:7">
      <c r="A5921" t="s">
        <v>31196</v>
      </c>
      <c r="B5921" t="s">
        <v>8626</v>
      </c>
      <c r="F5921" t="s">
        <v>17802</v>
      </c>
      <c r="G5921" t="s">
        <v>31197</v>
      </c>
    </row>
    <row r="5922" spans="1:7">
      <c r="A5922" t="s">
        <v>31198</v>
      </c>
      <c r="B5922" t="s">
        <v>8607</v>
      </c>
      <c r="F5922" t="s">
        <v>26173</v>
      </c>
      <c r="G5922" t="s">
        <v>26174</v>
      </c>
    </row>
    <row r="5923" spans="1:7">
      <c r="A5923" t="s">
        <v>31199</v>
      </c>
      <c r="B5923" t="s">
        <v>8607</v>
      </c>
      <c r="F5923" t="s">
        <v>31035</v>
      </c>
      <c r="G5923" t="s">
        <v>31200</v>
      </c>
    </row>
    <row r="5924" spans="1:7">
      <c r="A5924" t="s">
        <v>31201</v>
      </c>
      <c r="G5924" t="s">
        <v>31202</v>
      </c>
    </row>
    <row r="5925" spans="1:7">
      <c r="A5925" t="s">
        <v>31203</v>
      </c>
      <c r="G5925" t="s">
        <v>31204</v>
      </c>
    </row>
    <row r="5926" spans="1:7">
      <c r="A5926" t="s">
        <v>31205</v>
      </c>
      <c r="B5926" t="s">
        <v>8607</v>
      </c>
      <c r="G5926" t="s">
        <v>31206</v>
      </c>
    </row>
    <row r="5927" spans="1:7">
      <c r="A5927" t="s">
        <v>31207</v>
      </c>
      <c r="B5927" t="s">
        <v>8626</v>
      </c>
      <c r="F5927" t="s">
        <v>22769</v>
      </c>
      <c r="G5927" t="s">
        <v>22796</v>
      </c>
    </row>
    <row r="5928" spans="1:7">
      <c r="A5928" t="s">
        <v>31208</v>
      </c>
      <c r="B5928" t="s">
        <v>8607</v>
      </c>
      <c r="F5928" t="s">
        <v>17928</v>
      </c>
      <c r="G5928" t="s">
        <v>28124</v>
      </c>
    </row>
    <row r="5929" spans="1:7">
      <c r="A5929" t="s">
        <v>31209</v>
      </c>
      <c r="B5929" t="s">
        <v>8607</v>
      </c>
      <c r="C5929" t="s">
        <v>30343</v>
      </c>
      <c r="F5929" t="s">
        <v>28352</v>
      </c>
      <c r="G5929" t="s">
        <v>28353</v>
      </c>
    </row>
    <row r="5930" spans="1:7">
      <c r="A5930" t="s">
        <v>31210</v>
      </c>
      <c r="B5930" t="s">
        <v>8607</v>
      </c>
      <c r="G5930" t="s">
        <v>31211</v>
      </c>
    </row>
    <row r="5931" spans="1:7">
      <c r="A5931" t="s">
        <v>31212</v>
      </c>
      <c r="B5931" t="s">
        <v>8607</v>
      </c>
      <c r="F5931" t="s">
        <v>31213</v>
      </c>
      <c r="G5931" t="s">
        <v>28348</v>
      </c>
    </row>
    <row r="5932" spans="1:7">
      <c r="A5932" t="s">
        <v>31214</v>
      </c>
      <c r="B5932" t="s">
        <v>8626</v>
      </c>
      <c r="F5932" t="s">
        <v>31215</v>
      </c>
      <c r="G5932" t="s">
        <v>31216</v>
      </c>
    </row>
    <row r="5933" spans="1:7">
      <c r="A5933" t="s">
        <v>31217</v>
      </c>
      <c r="G5933" t="s">
        <v>31218</v>
      </c>
    </row>
    <row r="5934" spans="1:7">
      <c r="A5934" t="s">
        <v>31219</v>
      </c>
      <c r="B5934" t="s">
        <v>8626</v>
      </c>
      <c r="F5934" t="s">
        <v>31220</v>
      </c>
      <c r="G5934" t="s">
        <v>31221</v>
      </c>
    </row>
    <row r="5935" spans="1:7">
      <c r="A5935" t="s">
        <v>31222</v>
      </c>
      <c r="B5935" t="s">
        <v>8607</v>
      </c>
      <c r="F5935" t="s">
        <v>17327</v>
      </c>
      <c r="G5935" t="s">
        <v>27668</v>
      </c>
    </row>
    <row r="5936" spans="1:7">
      <c r="A5936" t="s">
        <v>31223</v>
      </c>
      <c r="B5936" t="s">
        <v>8626</v>
      </c>
      <c r="C5936" t="s">
        <v>22862</v>
      </c>
      <c r="F5936" t="s">
        <v>31224</v>
      </c>
      <c r="G5936" t="s">
        <v>31225</v>
      </c>
    </row>
    <row r="5937" spans="1:7">
      <c r="A5937" t="s">
        <v>31226</v>
      </c>
      <c r="B5937" t="s">
        <v>8607</v>
      </c>
      <c r="F5937" t="s">
        <v>14285</v>
      </c>
      <c r="G5937" t="s">
        <v>31227</v>
      </c>
    </row>
    <row r="5938" spans="1:7">
      <c r="A5938" t="s">
        <v>31228</v>
      </c>
      <c r="B5938" t="s">
        <v>8607</v>
      </c>
      <c r="F5938" t="s">
        <v>26902</v>
      </c>
      <c r="G5938" t="s">
        <v>31229</v>
      </c>
    </row>
    <row r="5939" spans="1:7">
      <c r="A5939" t="s">
        <v>31230</v>
      </c>
      <c r="G5939" t="s">
        <v>31231</v>
      </c>
    </row>
    <row r="5940" spans="1:7">
      <c r="A5940" t="s">
        <v>31232</v>
      </c>
      <c r="B5940" t="s">
        <v>8626</v>
      </c>
      <c r="F5940" t="s">
        <v>31233</v>
      </c>
      <c r="G5940" t="s">
        <v>31234</v>
      </c>
    </row>
    <row r="5941" spans="1:7">
      <c r="A5941" t="s">
        <v>31235</v>
      </c>
      <c r="B5941" t="s">
        <v>8607</v>
      </c>
      <c r="F5941" t="s">
        <v>27753</v>
      </c>
      <c r="G5941" t="s">
        <v>27921</v>
      </c>
    </row>
    <row r="5942" spans="1:7">
      <c r="A5942" t="s">
        <v>31236</v>
      </c>
      <c r="B5942" t="s">
        <v>8626</v>
      </c>
      <c r="F5942" t="s">
        <v>31237</v>
      </c>
      <c r="G5942" t="s">
        <v>31238</v>
      </c>
    </row>
    <row r="5943" spans="1:7">
      <c r="A5943" t="s">
        <v>31239</v>
      </c>
      <c r="B5943" t="s">
        <v>8607</v>
      </c>
      <c r="C5943" t="s">
        <v>19163</v>
      </c>
      <c r="F5943" t="s">
        <v>8623</v>
      </c>
      <c r="G5943" t="s">
        <v>31240</v>
      </c>
    </row>
    <row r="5944" spans="1:7">
      <c r="A5944" t="s">
        <v>31241</v>
      </c>
      <c r="B5944" t="s">
        <v>8626</v>
      </c>
      <c r="C5944" t="s">
        <v>28362</v>
      </c>
      <c r="F5944" t="s">
        <v>27740</v>
      </c>
      <c r="G5944" t="s">
        <v>31242</v>
      </c>
    </row>
    <row r="5945" spans="1:7">
      <c r="A5945" t="s">
        <v>31243</v>
      </c>
      <c r="B5945" t="s">
        <v>8607</v>
      </c>
      <c r="F5945" t="s">
        <v>31244</v>
      </c>
      <c r="G5945" t="s">
        <v>31245</v>
      </c>
    </row>
    <row r="5946" spans="1:7">
      <c r="A5946" t="s">
        <v>31246</v>
      </c>
      <c r="B5946" t="s">
        <v>8607</v>
      </c>
      <c r="F5946" t="s">
        <v>26099</v>
      </c>
      <c r="G5946" t="s">
        <v>31247</v>
      </c>
    </row>
    <row r="5947" spans="1:7">
      <c r="A5947" t="s">
        <v>31248</v>
      </c>
      <c r="B5947" t="s">
        <v>8607</v>
      </c>
      <c r="C5947" t="s">
        <v>26083</v>
      </c>
      <c r="F5947" t="s">
        <v>26084</v>
      </c>
      <c r="G5947" t="s">
        <v>31249</v>
      </c>
    </row>
    <row r="5948" spans="1:7">
      <c r="A5948" t="s">
        <v>31250</v>
      </c>
      <c r="B5948" t="s">
        <v>8607</v>
      </c>
      <c r="C5948" t="s">
        <v>28071</v>
      </c>
      <c r="F5948" t="s">
        <v>17327</v>
      </c>
      <c r="G5948" t="s">
        <v>28072</v>
      </c>
    </row>
    <row r="5949" spans="1:7">
      <c r="A5949" t="s">
        <v>31251</v>
      </c>
      <c r="B5949" t="s">
        <v>8607</v>
      </c>
      <c r="G5949" t="s">
        <v>26570</v>
      </c>
    </row>
    <row r="5950" spans="1:7">
      <c r="A5950" t="s">
        <v>31252</v>
      </c>
      <c r="B5950" t="s">
        <v>8607</v>
      </c>
      <c r="G5950" t="s">
        <v>26572</v>
      </c>
    </row>
    <row r="5951" spans="1:7">
      <c r="A5951" t="s">
        <v>31253</v>
      </c>
      <c r="B5951" t="s">
        <v>8607</v>
      </c>
      <c r="G5951" t="s">
        <v>26628</v>
      </c>
    </row>
    <row r="5952" spans="1:7">
      <c r="A5952" t="s">
        <v>31254</v>
      </c>
      <c r="B5952" t="s">
        <v>8607</v>
      </c>
      <c r="C5952" t="s">
        <v>26083</v>
      </c>
      <c r="F5952" t="s">
        <v>26084</v>
      </c>
      <c r="G5952" t="s">
        <v>31255</v>
      </c>
    </row>
    <row r="5953" spans="1:7">
      <c r="A5953" t="s">
        <v>31256</v>
      </c>
      <c r="B5953" t="s">
        <v>8607</v>
      </c>
      <c r="C5953" t="s">
        <v>26087</v>
      </c>
      <c r="F5953" t="s">
        <v>26088</v>
      </c>
      <c r="G5953" t="s">
        <v>26833</v>
      </c>
    </row>
    <row r="5954" spans="1:7">
      <c r="A5954" t="s">
        <v>31257</v>
      </c>
      <c r="B5954" t="s">
        <v>8607</v>
      </c>
      <c r="F5954" t="s">
        <v>26091</v>
      </c>
      <c r="G5954" t="s">
        <v>31258</v>
      </c>
    </row>
    <row r="5955" spans="1:7">
      <c r="A5955" t="s">
        <v>31259</v>
      </c>
      <c r="B5955" t="s">
        <v>8607</v>
      </c>
      <c r="F5955" t="s">
        <v>26094</v>
      </c>
      <c r="G5955" t="s">
        <v>31260</v>
      </c>
    </row>
    <row r="5956" spans="1:7">
      <c r="A5956" t="s">
        <v>31261</v>
      </c>
      <c r="B5956" t="s">
        <v>8607</v>
      </c>
      <c r="F5956" t="s">
        <v>30452</v>
      </c>
      <c r="G5956" t="s">
        <v>31262</v>
      </c>
    </row>
    <row r="5957" spans="1:7">
      <c r="A5957" t="s">
        <v>31263</v>
      </c>
      <c r="B5957" t="s">
        <v>8607</v>
      </c>
      <c r="F5957" t="s">
        <v>9018</v>
      </c>
      <c r="G5957" t="s">
        <v>31264</v>
      </c>
    </row>
    <row r="5958" spans="1:7">
      <c r="A5958" t="s">
        <v>31265</v>
      </c>
      <c r="B5958" t="s">
        <v>8607</v>
      </c>
      <c r="F5958" t="s">
        <v>9039</v>
      </c>
      <c r="G5958" t="s">
        <v>31266</v>
      </c>
    </row>
    <row r="5959" spans="1:7">
      <c r="A5959" t="s">
        <v>31267</v>
      </c>
      <c r="B5959" t="s">
        <v>8626</v>
      </c>
      <c r="F5959" t="s">
        <v>26199</v>
      </c>
      <c r="G5959" t="s">
        <v>28876</v>
      </c>
    </row>
    <row r="5960" spans="1:7">
      <c r="A5960" t="s">
        <v>31268</v>
      </c>
      <c r="B5960" t="s">
        <v>8607</v>
      </c>
      <c r="F5960" t="s">
        <v>29864</v>
      </c>
      <c r="G5960" t="s">
        <v>31269</v>
      </c>
    </row>
    <row r="5961" spans="1:7">
      <c r="A5961" t="s">
        <v>31270</v>
      </c>
      <c r="B5961" t="s">
        <v>8607</v>
      </c>
      <c r="F5961" t="s">
        <v>26173</v>
      </c>
      <c r="G5961" t="s">
        <v>31271</v>
      </c>
    </row>
    <row r="5962" spans="1:7">
      <c r="A5962" t="s">
        <v>31272</v>
      </c>
      <c r="B5962" t="s">
        <v>8607</v>
      </c>
      <c r="G5962" t="s">
        <v>31273</v>
      </c>
    </row>
    <row r="5963" spans="1:7">
      <c r="A5963" t="s">
        <v>31274</v>
      </c>
      <c r="B5963" t="s">
        <v>8626</v>
      </c>
      <c r="G5963" t="s">
        <v>31275</v>
      </c>
    </row>
    <row r="5964" spans="1:7">
      <c r="A5964" t="s">
        <v>31276</v>
      </c>
      <c r="B5964" t="s">
        <v>8607</v>
      </c>
      <c r="F5964" t="s">
        <v>31277</v>
      </c>
      <c r="G5964" t="s">
        <v>31278</v>
      </c>
    </row>
    <row r="5965" spans="1:7">
      <c r="A5965" t="s">
        <v>31279</v>
      </c>
      <c r="B5965" t="s">
        <v>8607</v>
      </c>
      <c r="F5965" t="s">
        <v>27603</v>
      </c>
      <c r="G5965" t="s">
        <v>27604</v>
      </c>
    </row>
    <row r="5966" spans="1:7">
      <c r="A5966" t="s">
        <v>31280</v>
      </c>
      <c r="B5966" t="s">
        <v>8607</v>
      </c>
      <c r="G5966" t="s">
        <v>26638</v>
      </c>
    </row>
    <row r="5967" spans="1:7">
      <c r="A5967" t="s">
        <v>31281</v>
      </c>
      <c r="B5967" t="s">
        <v>8607</v>
      </c>
      <c r="F5967" t="s">
        <v>17928</v>
      </c>
      <c r="G5967" t="s">
        <v>26640</v>
      </c>
    </row>
    <row r="5968" spans="1:7">
      <c r="A5968" t="s">
        <v>31282</v>
      </c>
      <c r="B5968" t="s">
        <v>8626</v>
      </c>
      <c r="F5968" t="s">
        <v>9018</v>
      </c>
      <c r="G5968" t="s">
        <v>26978</v>
      </c>
    </row>
    <row r="5969" spans="1:7">
      <c r="A5969" t="s">
        <v>31283</v>
      </c>
      <c r="B5969" t="s">
        <v>8607</v>
      </c>
      <c r="F5969" t="s">
        <v>31284</v>
      </c>
      <c r="G5969" t="s">
        <v>31285</v>
      </c>
    </row>
    <row r="5970" spans="1:7">
      <c r="A5970" t="s">
        <v>31286</v>
      </c>
      <c r="B5970" t="s">
        <v>8607</v>
      </c>
      <c r="F5970" t="s">
        <v>26127</v>
      </c>
      <c r="G5970" t="s">
        <v>30732</v>
      </c>
    </row>
    <row r="5971" spans="1:7">
      <c r="A5971" t="s">
        <v>31287</v>
      </c>
      <c r="B5971" t="s">
        <v>8626</v>
      </c>
      <c r="F5971" t="s">
        <v>27930</v>
      </c>
      <c r="G5971" t="s">
        <v>31288</v>
      </c>
    </row>
    <row r="5972" spans="1:7">
      <c r="A5972" t="s">
        <v>31289</v>
      </c>
      <c r="B5972" t="s">
        <v>8607</v>
      </c>
      <c r="F5972" t="s">
        <v>26207</v>
      </c>
      <c r="G5972" t="s">
        <v>31290</v>
      </c>
    </row>
    <row r="5973" spans="1:7">
      <c r="A5973" t="s">
        <v>31291</v>
      </c>
      <c r="B5973" t="s">
        <v>8607</v>
      </c>
      <c r="G5973" t="s">
        <v>30690</v>
      </c>
    </row>
    <row r="5974" spans="1:7">
      <c r="A5974" t="s">
        <v>31292</v>
      </c>
      <c r="B5974" t="s">
        <v>8607</v>
      </c>
      <c r="F5974" t="s">
        <v>26212</v>
      </c>
      <c r="G5974" t="s">
        <v>26431</v>
      </c>
    </row>
    <row r="5975" spans="1:7">
      <c r="A5975" t="s">
        <v>31293</v>
      </c>
      <c r="B5975" t="s">
        <v>8607</v>
      </c>
      <c r="F5975" t="s">
        <v>31294</v>
      </c>
      <c r="G5975" t="s">
        <v>31295</v>
      </c>
    </row>
    <row r="5976" spans="1:7">
      <c r="A5976" t="s">
        <v>31296</v>
      </c>
      <c r="B5976" t="s">
        <v>8607</v>
      </c>
      <c r="F5976" t="s">
        <v>26191</v>
      </c>
      <c r="G5976" t="s">
        <v>26749</v>
      </c>
    </row>
    <row r="5977" spans="1:7">
      <c r="A5977" t="s">
        <v>31297</v>
      </c>
      <c r="B5977" t="s">
        <v>8607</v>
      </c>
      <c r="C5977" t="s">
        <v>26315</v>
      </c>
      <c r="F5977" t="s">
        <v>17320</v>
      </c>
      <c r="G5977" t="s">
        <v>31298</v>
      </c>
    </row>
    <row r="5978" spans="1:7">
      <c r="A5978" t="s">
        <v>31299</v>
      </c>
      <c r="B5978" t="s">
        <v>8607</v>
      </c>
      <c r="F5978" t="s">
        <v>26299</v>
      </c>
      <c r="G5978" t="s">
        <v>29626</v>
      </c>
    </row>
    <row r="5979" spans="1:7">
      <c r="A5979" t="s">
        <v>31300</v>
      </c>
      <c r="B5979" t="s">
        <v>8626</v>
      </c>
      <c r="F5979" t="s">
        <v>31301</v>
      </c>
      <c r="G5979" t="s">
        <v>31302</v>
      </c>
    </row>
    <row r="5980" spans="1:7">
      <c r="A5980" t="s">
        <v>31303</v>
      </c>
      <c r="B5980" t="s">
        <v>8626</v>
      </c>
      <c r="G5980" t="s">
        <v>28757</v>
      </c>
    </row>
    <row r="5981" spans="1:7">
      <c r="A5981" t="s">
        <v>31304</v>
      </c>
      <c r="B5981" t="s">
        <v>8607</v>
      </c>
      <c r="F5981" t="s">
        <v>17457</v>
      </c>
      <c r="G5981" t="s">
        <v>31305</v>
      </c>
    </row>
    <row r="5982" spans="1:7">
      <c r="A5982" t="s">
        <v>31306</v>
      </c>
      <c r="B5982" t="s">
        <v>8607</v>
      </c>
      <c r="G5982" t="s">
        <v>26353</v>
      </c>
    </row>
    <row r="5983" spans="1:7">
      <c r="A5983" t="s">
        <v>31307</v>
      </c>
      <c r="B5983" t="s">
        <v>8607</v>
      </c>
      <c r="G5983" t="s">
        <v>31308</v>
      </c>
    </row>
    <row r="5984" spans="1:7">
      <c r="A5984" t="s">
        <v>31309</v>
      </c>
      <c r="B5984" t="s">
        <v>8607</v>
      </c>
      <c r="F5984" t="s">
        <v>17349</v>
      </c>
      <c r="G5984" t="s">
        <v>31310</v>
      </c>
    </row>
    <row r="5985" spans="1:7">
      <c r="A5985" t="s">
        <v>31311</v>
      </c>
      <c r="B5985" t="s">
        <v>8626</v>
      </c>
      <c r="F5985" t="s">
        <v>26024</v>
      </c>
      <c r="G5985" t="s">
        <v>31312</v>
      </c>
    </row>
    <row r="5986" spans="1:7">
      <c r="A5986" t="s">
        <v>31313</v>
      </c>
      <c r="B5986" t="s">
        <v>8626</v>
      </c>
      <c r="F5986" t="s">
        <v>28798</v>
      </c>
      <c r="G5986" t="s">
        <v>31314</v>
      </c>
    </row>
    <row r="5987" spans="1:7">
      <c r="A5987" t="s">
        <v>31315</v>
      </c>
      <c r="B5987" t="s">
        <v>8607</v>
      </c>
      <c r="F5987" t="s">
        <v>9835</v>
      </c>
      <c r="G5987" t="s">
        <v>31316</v>
      </c>
    </row>
    <row r="5988" spans="1:7">
      <c r="A5988" t="s">
        <v>31317</v>
      </c>
      <c r="B5988" t="s">
        <v>8607</v>
      </c>
      <c r="C5988" t="s">
        <v>29179</v>
      </c>
      <c r="F5988" t="s">
        <v>17320</v>
      </c>
      <c r="G5988" t="s">
        <v>31318</v>
      </c>
    </row>
    <row r="5989" spans="1:7">
      <c r="A5989" t="s">
        <v>31319</v>
      </c>
      <c r="B5989" t="s">
        <v>8607</v>
      </c>
      <c r="C5989" t="s">
        <v>26315</v>
      </c>
      <c r="F5989" t="s">
        <v>17320</v>
      </c>
      <c r="G5989" t="s">
        <v>30728</v>
      </c>
    </row>
    <row r="5990" spans="1:7">
      <c r="A5990" t="s">
        <v>31320</v>
      </c>
      <c r="B5990" t="s">
        <v>8626</v>
      </c>
      <c r="F5990" t="s">
        <v>18777</v>
      </c>
      <c r="G5990" t="s">
        <v>31321</v>
      </c>
    </row>
    <row r="5991" spans="1:7">
      <c r="A5991" t="s">
        <v>31322</v>
      </c>
      <c r="B5991" t="s">
        <v>8607</v>
      </c>
      <c r="F5991" t="s">
        <v>31323</v>
      </c>
      <c r="G5991" t="s">
        <v>31324</v>
      </c>
    </row>
    <row r="5992" spans="1:7">
      <c r="A5992" t="s">
        <v>31325</v>
      </c>
      <c r="B5992" t="s">
        <v>8626</v>
      </c>
      <c r="G5992" t="s">
        <v>31326</v>
      </c>
    </row>
    <row r="5993" spans="1:7">
      <c r="A5993" t="s">
        <v>31327</v>
      </c>
      <c r="B5993" t="s">
        <v>8607</v>
      </c>
      <c r="F5993" t="s">
        <v>29406</v>
      </c>
      <c r="G5993" t="s">
        <v>31328</v>
      </c>
    </row>
    <row r="5994" spans="1:7">
      <c r="A5994" t="s">
        <v>31329</v>
      </c>
      <c r="B5994" t="s">
        <v>8607</v>
      </c>
      <c r="F5994" t="s">
        <v>29409</v>
      </c>
      <c r="G5994" t="s">
        <v>31330</v>
      </c>
    </row>
    <row r="5995" spans="1:7">
      <c r="A5995" t="s">
        <v>31331</v>
      </c>
      <c r="B5995" t="s">
        <v>8607</v>
      </c>
      <c r="F5995" t="s">
        <v>31332</v>
      </c>
      <c r="G5995" t="s">
        <v>31333</v>
      </c>
    </row>
    <row r="5996" spans="1:7">
      <c r="A5996" t="s">
        <v>31334</v>
      </c>
      <c r="B5996" t="s">
        <v>8607</v>
      </c>
      <c r="F5996" t="s">
        <v>26179</v>
      </c>
      <c r="G5996" t="s">
        <v>31335</v>
      </c>
    </row>
    <row r="5997" spans="1:7">
      <c r="A5997" t="s">
        <v>31336</v>
      </c>
      <c r="B5997" t="s">
        <v>8607</v>
      </c>
      <c r="F5997" t="s">
        <v>27518</v>
      </c>
      <c r="G5997" t="s">
        <v>31337</v>
      </c>
    </row>
    <row r="5998" spans="1:7">
      <c r="A5998" t="s">
        <v>31338</v>
      </c>
      <c r="B5998" t="s">
        <v>8626</v>
      </c>
      <c r="F5998" t="s">
        <v>31339</v>
      </c>
      <c r="G5998" t="s">
        <v>31340</v>
      </c>
    </row>
    <row r="5999" spans="1:7">
      <c r="A5999" t="s">
        <v>31341</v>
      </c>
      <c r="B5999" t="s">
        <v>8626</v>
      </c>
      <c r="F5999" t="s">
        <v>20844</v>
      </c>
      <c r="G5999" t="s">
        <v>31342</v>
      </c>
    </row>
    <row r="6000" spans="1:7">
      <c r="A6000" t="s">
        <v>31343</v>
      </c>
      <c r="B6000" t="s">
        <v>8626</v>
      </c>
      <c r="F6000" t="s">
        <v>31344</v>
      </c>
      <c r="G6000" t="s">
        <v>31345</v>
      </c>
    </row>
    <row r="6001" spans="1:7">
      <c r="A6001" t="s">
        <v>31346</v>
      </c>
      <c r="B6001" t="s">
        <v>8607</v>
      </c>
      <c r="F6001" t="s">
        <v>26207</v>
      </c>
      <c r="G6001" t="s">
        <v>31347</v>
      </c>
    </row>
    <row r="6002" spans="1:7">
      <c r="A6002" t="s">
        <v>31348</v>
      </c>
      <c r="B6002" t="s">
        <v>8607</v>
      </c>
      <c r="F6002" t="s">
        <v>26207</v>
      </c>
      <c r="G6002" t="s">
        <v>31349</v>
      </c>
    </row>
    <row r="6003" spans="1:7">
      <c r="A6003" t="s">
        <v>31350</v>
      </c>
      <c r="B6003" t="s">
        <v>8607</v>
      </c>
      <c r="F6003" t="s">
        <v>29400</v>
      </c>
      <c r="G6003" t="s">
        <v>31351</v>
      </c>
    </row>
    <row r="6004" spans="1:7">
      <c r="A6004" t="s">
        <v>31352</v>
      </c>
      <c r="B6004" t="s">
        <v>8607</v>
      </c>
      <c r="C6004" t="s">
        <v>29403</v>
      </c>
      <c r="F6004" t="s">
        <v>27000</v>
      </c>
      <c r="G6004" t="s">
        <v>31353</v>
      </c>
    </row>
    <row r="6005" spans="1:7">
      <c r="A6005" t="s">
        <v>31354</v>
      </c>
      <c r="B6005" t="s">
        <v>8607</v>
      </c>
      <c r="G6005" t="s">
        <v>31355</v>
      </c>
    </row>
    <row r="6006" spans="1:7">
      <c r="A6006" t="s">
        <v>31356</v>
      </c>
      <c r="B6006" t="s">
        <v>8607</v>
      </c>
      <c r="F6006" t="s">
        <v>31357</v>
      </c>
      <c r="G6006" t="s">
        <v>31358</v>
      </c>
    </row>
    <row r="6007" spans="1:7">
      <c r="A6007" t="s">
        <v>31359</v>
      </c>
      <c r="B6007" t="s">
        <v>8607</v>
      </c>
      <c r="F6007" t="s">
        <v>31360</v>
      </c>
      <c r="G6007" t="s">
        <v>31361</v>
      </c>
    </row>
    <row r="6008" spans="1:7">
      <c r="A6008" t="s">
        <v>31362</v>
      </c>
      <c r="B6008" t="s">
        <v>8607</v>
      </c>
      <c r="F6008" t="s">
        <v>31363</v>
      </c>
      <c r="G6008" t="s">
        <v>31364</v>
      </c>
    </row>
    <row r="6009" spans="1:7">
      <c r="A6009" t="s">
        <v>31365</v>
      </c>
      <c r="B6009" t="s">
        <v>8607</v>
      </c>
      <c r="F6009" t="s">
        <v>21225</v>
      </c>
      <c r="G6009" t="s">
        <v>31366</v>
      </c>
    </row>
    <row r="6010" spans="1:7">
      <c r="A6010" t="s">
        <v>31367</v>
      </c>
      <c r="B6010" t="s">
        <v>8607</v>
      </c>
      <c r="F6010" t="s">
        <v>21225</v>
      </c>
      <c r="G6010" t="s">
        <v>31368</v>
      </c>
    </row>
    <row r="6011" spans="1:7">
      <c r="A6011" t="s">
        <v>31369</v>
      </c>
      <c r="G6011" t="s">
        <v>31370</v>
      </c>
    </row>
    <row r="6012" spans="1:7">
      <c r="A6012" t="s">
        <v>31371</v>
      </c>
      <c r="B6012" t="s">
        <v>8607</v>
      </c>
      <c r="F6012" t="s">
        <v>23082</v>
      </c>
      <c r="G6012" t="s">
        <v>31372</v>
      </c>
    </row>
    <row r="6013" spans="1:7">
      <c r="A6013" t="s">
        <v>31373</v>
      </c>
      <c r="B6013" t="s">
        <v>8607</v>
      </c>
      <c r="C6013" t="s">
        <v>31374</v>
      </c>
      <c r="F6013" t="s">
        <v>21225</v>
      </c>
      <c r="G6013" t="s">
        <v>31375</v>
      </c>
    </row>
    <row r="6014" spans="1:7">
      <c r="A6014" t="s">
        <v>31376</v>
      </c>
      <c r="B6014" t="s">
        <v>8607</v>
      </c>
      <c r="F6014" t="s">
        <v>31377</v>
      </c>
      <c r="G6014" t="s">
        <v>31378</v>
      </c>
    </row>
    <row r="6015" spans="1:7">
      <c r="A6015" t="s">
        <v>31379</v>
      </c>
      <c r="B6015" t="s">
        <v>8607</v>
      </c>
      <c r="F6015" t="s">
        <v>31380</v>
      </c>
      <c r="G6015" t="s">
        <v>31381</v>
      </c>
    </row>
    <row r="6016" spans="1:7">
      <c r="A6016" t="s">
        <v>31382</v>
      </c>
      <c r="B6016" t="s">
        <v>8607</v>
      </c>
      <c r="F6016" t="s">
        <v>31383</v>
      </c>
      <c r="G6016" t="s">
        <v>31384</v>
      </c>
    </row>
    <row r="6017" spans="1:7">
      <c r="A6017" t="s">
        <v>31385</v>
      </c>
      <c r="B6017" t="s">
        <v>8607</v>
      </c>
      <c r="F6017" t="s">
        <v>31386</v>
      </c>
      <c r="G6017" t="s">
        <v>31387</v>
      </c>
    </row>
    <row r="6018" spans="1:7">
      <c r="A6018" t="s">
        <v>31388</v>
      </c>
      <c r="B6018" t="s">
        <v>8607</v>
      </c>
      <c r="F6018" t="s">
        <v>26588</v>
      </c>
      <c r="G6018" t="s">
        <v>31389</v>
      </c>
    </row>
    <row r="6019" spans="1:7">
      <c r="A6019" t="s">
        <v>31390</v>
      </c>
      <c r="B6019" t="s">
        <v>8607</v>
      </c>
      <c r="G6019" t="s">
        <v>31391</v>
      </c>
    </row>
    <row r="6020" spans="1:7">
      <c r="A6020" t="s">
        <v>31392</v>
      </c>
      <c r="B6020" t="s">
        <v>8607</v>
      </c>
      <c r="G6020" t="s">
        <v>31393</v>
      </c>
    </row>
    <row r="6021" spans="1:7">
      <c r="A6021" t="s">
        <v>31394</v>
      </c>
      <c r="B6021" t="s">
        <v>8607</v>
      </c>
      <c r="G6021" t="s">
        <v>31395</v>
      </c>
    </row>
    <row r="6022" spans="1:7">
      <c r="A6022" t="s">
        <v>31396</v>
      </c>
      <c r="B6022" t="s">
        <v>8607</v>
      </c>
      <c r="F6022" t="s">
        <v>31397</v>
      </c>
      <c r="G6022" t="s">
        <v>31398</v>
      </c>
    </row>
    <row r="6023" spans="1:7">
      <c r="A6023" t="s">
        <v>31399</v>
      </c>
      <c r="B6023" t="s">
        <v>8607</v>
      </c>
      <c r="F6023" t="s">
        <v>26855</v>
      </c>
      <c r="G6023" t="s">
        <v>17899</v>
      </c>
    </row>
    <row r="6024" spans="1:7">
      <c r="A6024" t="s">
        <v>31400</v>
      </c>
      <c r="B6024" t="s">
        <v>8626</v>
      </c>
      <c r="F6024" t="s">
        <v>18923</v>
      </c>
      <c r="G6024" t="s">
        <v>31401</v>
      </c>
    </row>
    <row r="6025" spans="1:7">
      <c r="A6025" t="s">
        <v>31402</v>
      </c>
      <c r="B6025" t="s">
        <v>8626</v>
      </c>
      <c r="G6025" t="s">
        <v>31403</v>
      </c>
    </row>
    <row r="6026" spans="1:7">
      <c r="A6026" t="s">
        <v>31404</v>
      </c>
      <c r="B6026" t="s">
        <v>8607</v>
      </c>
      <c r="F6026" t="s">
        <v>9018</v>
      </c>
      <c r="G6026" t="s">
        <v>18567</v>
      </c>
    </row>
    <row r="6027" spans="1:7">
      <c r="A6027" t="s">
        <v>31405</v>
      </c>
      <c r="B6027" t="s">
        <v>8607</v>
      </c>
      <c r="G6027" t="s">
        <v>10808</v>
      </c>
    </row>
    <row r="6028" spans="1:7">
      <c r="A6028" t="s">
        <v>31406</v>
      </c>
      <c r="B6028" t="s">
        <v>8607</v>
      </c>
      <c r="F6028" t="s">
        <v>31407</v>
      </c>
      <c r="G6028" t="s">
        <v>31408</v>
      </c>
    </row>
    <row r="6029" spans="1:7">
      <c r="A6029" t="s">
        <v>31409</v>
      </c>
      <c r="B6029" t="s">
        <v>8607</v>
      </c>
      <c r="G6029" t="s">
        <v>26194</v>
      </c>
    </row>
    <row r="6030" spans="1:7">
      <c r="A6030" t="s">
        <v>31410</v>
      </c>
      <c r="B6030" t="s">
        <v>8607</v>
      </c>
      <c r="G6030" t="s">
        <v>26390</v>
      </c>
    </row>
    <row r="6031" spans="1:7">
      <c r="A6031" t="s">
        <v>31411</v>
      </c>
      <c r="B6031" t="s">
        <v>8607</v>
      </c>
      <c r="C6031" t="s">
        <v>17308</v>
      </c>
      <c r="F6031" t="s">
        <v>17310</v>
      </c>
      <c r="G6031" t="s">
        <v>17581</v>
      </c>
    </row>
    <row r="6032" spans="1:7">
      <c r="A6032" t="s">
        <v>31412</v>
      </c>
      <c r="B6032" t="s">
        <v>8607</v>
      </c>
      <c r="F6032" t="s">
        <v>17310</v>
      </c>
      <c r="G6032" t="s">
        <v>17316</v>
      </c>
    </row>
    <row r="6033" spans="1:7">
      <c r="A6033" t="s">
        <v>31413</v>
      </c>
      <c r="B6033" t="s">
        <v>8607</v>
      </c>
      <c r="F6033" t="s">
        <v>29135</v>
      </c>
      <c r="G6033" t="s">
        <v>29136</v>
      </c>
    </row>
    <row r="6034" spans="1:7">
      <c r="A6034" t="s">
        <v>31414</v>
      </c>
      <c r="B6034" t="s">
        <v>8626</v>
      </c>
      <c r="F6034" t="s">
        <v>9018</v>
      </c>
      <c r="G6034" t="s">
        <v>31415</v>
      </c>
    </row>
    <row r="6035" spans="1:7">
      <c r="A6035" t="s">
        <v>31416</v>
      </c>
      <c r="B6035" t="s">
        <v>8607</v>
      </c>
      <c r="G6035" t="s">
        <v>26859</v>
      </c>
    </row>
    <row r="6036" spans="1:7">
      <c r="A6036" t="s">
        <v>31417</v>
      </c>
      <c r="B6036" t="s">
        <v>8607</v>
      </c>
      <c r="F6036" t="s">
        <v>9018</v>
      </c>
      <c r="G6036" t="s">
        <v>18567</v>
      </c>
    </row>
    <row r="6037" spans="1:7">
      <c r="A6037" t="s">
        <v>31418</v>
      </c>
      <c r="B6037" t="s">
        <v>8607</v>
      </c>
      <c r="C6037" t="s">
        <v>18553</v>
      </c>
      <c r="F6037" t="s">
        <v>9018</v>
      </c>
      <c r="G6037" t="s">
        <v>31419</v>
      </c>
    </row>
    <row r="6038" spans="1:7">
      <c r="A6038" t="s">
        <v>31420</v>
      </c>
      <c r="B6038" t="s">
        <v>8607</v>
      </c>
      <c r="C6038" t="s">
        <v>29113</v>
      </c>
      <c r="F6038" t="s">
        <v>9018</v>
      </c>
      <c r="G6038" t="s">
        <v>31421</v>
      </c>
    </row>
    <row r="6039" spans="1:7">
      <c r="A6039" t="s">
        <v>31422</v>
      </c>
      <c r="B6039" t="s">
        <v>8626</v>
      </c>
      <c r="F6039" t="s">
        <v>31423</v>
      </c>
      <c r="G6039" t="s">
        <v>31424</v>
      </c>
    </row>
    <row r="6040" spans="1:7">
      <c r="A6040" t="s">
        <v>31425</v>
      </c>
      <c r="B6040" t="s">
        <v>8607</v>
      </c>
      <c r="F6040" t="s">
        <v>9018</v>
      </c>
      <c r="G6040" t="s">
        <v>29978</v>
      </c>
    </row>
    <row r="6041" spans="1:7">
      <c r="A6041" t="s">
        <v>31426</v>
      </c>
      <c r="G6041" t="s">
        <v>31427</v>
      </c>
    </row>
    <row r="6042" spans="1:7">
      <c r="A6042" t="s">
        <v>31428</v>
      </c>
      <c r="B6042" t="s">
        <v>8626</v>
      </c>
      <c r="F6042" t="s">
        <v>27930</v>
      </c>
      <c r="G6042" t="s">
        <v>31429</v>
      </c>
    </row>
    <row r="6043" spans="1:7">
      <c r="A6043" t="s">
        <v>31430</v>
      </c>
      <c r="B6043" t="s">
        <v>8607</v>
      </c>
      <c r="C6043" t="s">
        <v>28071</v>
      </c>
      <c r="F6043" t="s">
        <v>17327</v>
      </c>
      <c r="G6043" t="s">
        <v>31431</v>
      </c>
    </row>
    <row r="6044" spans="1:7">
      <c r="A6044" t="s">
        <v>31432</v>
      </c>
      <c r="B6044" t="s">
        <v>8607</v>
      </c>
      <c r="F6044" t="s">
        <v>31433</v>
      </c>
      <c r="G6044" t="s">
        <v>31434</v>
      </c>
    </row>
    <row r="6045" spans="1:7">
      <c r="A6045" t="s">
        <v>31435</v>
      </c>
      <c r="B6045" t="s">
        <v>8607</v>
      </c>
      <c r="F6045" t="s">
        <v>31436</v>
      </c>
      <c r="G6045" t="s">
        <v>31437</v>
      </c>
    </row>
    <row r="6046" spans="1:7">
      <c r="A6046" t="s">
        <v>31438</v>
      </c>
      <c r="B6046" t="s">
        <v>8607</v>
      </c>
      <c r="F6046" t="s">
        <v>29550</v>
      </c>
      <c r="G6046" t="s">
        <v>31439</v>
      </c>
    </row>
    <row r="6047" spans="1:7">
      <c r="A6047" t="s">
        <v>31440</v>
      </c>
      <c r="B6047" t="s">
        <v>8607</v>
      </c>
      <c r="F6047" t="s">
        <v>17932</v>
      </c>
      <c r="G6047" t="s">
        <v>31441</v>
      </c>
    </row>
    <row r="6048" spans="1:7">
      <c r="A6048" t="s">
        <v>31442</v>
      </c>
      <c r="B6048" t="s">
        <v>8607</v>
      </c>
      <c r="F6048" t="s">
        <v>31443</v>
      </c>
      <c r="G6048" t="s">
        <v>31444</v>
      </c>
    </row>
    <row r="6049" spans="1:7">
      <c r="A6049" t="s">
        <v>31445</v>
      </c>
      <c r="B6049" t="s">
        <v>8626</v>
      </c>
      <c r="C6049" t="s">
        <v>17806</v>
      </c>
      <c r="F6049" t="s">
        <v>17807</v>
      </c>
      <c r="G6049" t="s">
        <v>31446</v>
      </c>
    </row>
    <row r="6050" spans="1:7">
      <c r="A6050" t="s">
        <v>31447</v>
      </c>
      <c r="B6050" t="s">
        <v>8607</v>
      </c>
      <c r="F6050" t="s">
        <v>31448</v>
      </c>
      <c r="G6050" t="s">
        <v>31449</v>
      </c>
    </row>
    <row r="6051" spans="1:7">
      <c r="A6051" t="s">
        <v>31450</v>
      </c>
      <c r="B6051" t="s">
        <v>8626</v>
      </c>
      <c r="G6051" t="s">
        <v>31451</v>
      </c>
    </row>
    <row r="6052" spans="1:7">
      <c r="A6052" t="s">
        <v>31452</v>
      </c>
      <c r="B6052" t="s">
        <v>8607</v>
      </c>
      <c r="F6052" t="s">
        <v>30125</v>
      </c>
      <c r="G6052" t="s">
        <v>30126</v>
      </c>
    </row>
    <row r="6053" spans="1:7">
      <c r="A6053" t="s">
        <v>31453</v>
      </c>
      <c r="G6053" t="s">
        <v>28773</v>
      </c>
    </row>
    <row r="6054" spans="1:7">
      <c r="A6054" t="s">
        <v>31454</v>
      </c>
      <c r="G6054" t="s">
        <v>31455</v>
      </c>
    </row>
    <row r="6055" spans="1:7">
      <c r="A6055" t="s">
        <v>31456</v>
      </c>
      <c r="B6055" t="s">
        <v>8626</v>
      </c>
      <c r="G6055" t="s">
        <v>31457</v>
      </c>
    </row>
    <row r="6056" spans="1:7">
      <c r="A6056" t="s">
        <v>31458</v>
      </c>
      <c r="B6056" t="s">
        <v>8607</v>
      </c>
      <c r="F6056" t="s">
        <v>30525</v>
      </c>
      <c r="G6056" t="s">
        <v>31459</v>
      </c>
    </row>
    <row r="6057" spans="1:7">
      <c r="A6057" t="s">
        <v>31460</v>
      </c>
      <c r="B6057" t="s">
        <v>8607</v>
      </c>
      <c r="F6057" t="s">
        <v>17760</v>
      </c>
      <c r="G6057" t="s">
        <v>24616</v>
      </c>
    </row>
    <row r="6058" spans="1:7">
      <c r="A6058" t="s">
        <v>31461</v>
      </c>
      <c r="B6058" t="s">
        <v>8607</v>
      </c>
      <c r="C6058" t="s">
        <v>26508</v>
      </c>
      <c r="F6058" t="s">
        <v>22864</v>
      </c>
      <c r="G6058" t="s">
        <v>31462</v>
      </c>
    </row>
    <row r="6059" spans="1:7">
      <c r="A6059" t="s">
        <v>31463</v>
      </c>
      <c r="B6059" t="s">
        <v>8607</v>
      </c>
      <c r="F6059" t="s">
        <v>15549</v>
      </c>
      <c r="G6059" t="s">
        <v>31464</v>
      </c>
    </row>
    <row r="6060" spans="1:7">
      <c r="A6060" t="s">
        <v>31465</v>
      </c>
      <c r="B6060" t="s">
        <v>8626</v>
      </c>
      <c r="G6060" t="s">
        <v>31466</v>
      </c>
    </row>
    <row r="6061" spans="1:7">
      <c r="A6061" t="s">
        <v>31467</v>
      </c>
      <c r="B6061" t="s">
        <v>8607</v>
      </c>
      <c r="F6061" t="s">
        <v>17932</v>
      </c>
      <c r="G6061" t="s">
        <v>31468</v>
      </c>
    </row>
    <row r="6062" spans="1:7">
      <c r="A6062" t="s">
        <v>31469</v>
      </c>
      <c r="B6062" t="s">
        <v>8607</v>
      </c>
      <c r="F6062" t="s">
        <v>27646</v>
      </c>
      <c r="G6062" t="s">
        <v>27647</v>
      </c>
    </row>
    <row r="6063" spans="1:7">
      <c r="A6063" t="s">
        <v>31470</v>
      </c>
      <c r="B6063" t="s">
        <v>8607</v>
      </c>
      <c r="F6063" t="s">
        <v>20473</v>
      </c>
      <c r="G6063" t="s">
        <v>31471</v>
      </c>
    </row>
    <row r="6064" spans="1:7">
      <c r="A6064" t="s">
        <v>31472</v>
      </c>
      <c r="G6064" t="s">
        <v>31473</v>
      </c>
    </row>
    <row r="6065" spans="1:7">
      <c r="A6065" t="s">
        <v>31474</v>
      </c>
      <c r="B6065" t="s">
        <v>8607</v>
      </c>
      <c r="F6065" t="s">
        <v>27649</v>
      </c>
      <c r="G6065" t="s">
        <v>31475</v>
      </c>
    </row>
    <row r="6066" spans="1:7">
      <c r="A6066" t="s">
        <v>31476</v>
      </c>
      <c r="B6066" t="s">
        <v>8607</v>
      </c>
      <c r="G6066" t="s">
        <v>31477</v>
      </c>
    </row>
    <row r="6067" spans="1:7">
      <c r="A6067" t="s">
        <v>31478</v>
      </c>
      <c r="G6067" t="s">
        <v>31479</v>
      </c>
    </row>
    <row r="6068" spans="1:7">
      <c r="A6068" t="s">
        <v>31480</v>
      </c>
      <c r="B6068" t="s">
        <v>8607</v>
      </c>
      <c r="F6068" t="s">
        <v>17252</v>
      </c>
      <c r="G6068" t="s">
        <v>17253</v>
      </c>
    </row>
    <row r="6069" spans="1:7">
      <c r="A6069" t="s">
        <v>31481</v>
      </c>
      <c r="B6069" t="s">
        <v>8607</v>
      </c>
      <c r="F6069" t="s">
        <v>19473</v>
      </c>
      <c r="G6069" t="s">
        <v>31482</v>
      </c>
    </row>
    <row r="6070" spans="1:7">
      <c r="A6070" t="s">
        <v>31483</v>
      </c>
      <c r="B6070" t="s">
        <v>8607</v>
      </c>
      <c r="F6070" t="s">
        <v>19473</v>
      </c>
      <c r="G6070" t="s">
        <v>31484</v>
      </c>
    </row>
    <row r="6071" spans="1:7">
      <c r="A6071" t="s">
        <v>31485</v>
      </c>
      <c r="B6071" t="s">
        <v>8626</v>
      </c>
      <c r="G6071" t="s">
        <v>31486</v>
      </c>
    </row>
    <row r="6072" spans="1:7">
      <c r="A6072" t="s">
        <v>31487</v>
      </c>
      <c r="B6072" t="s">
        <v>8626</v>
      </c>
      <c r="G6072" t="s">
        <v>31488</v>
      </c>
    </row>
    <row r="6073" spans="1:7">
      <c r="A6073" t="s">
        <v>31489</v>
      </c>
      <c r="B6073" t="s">
        <v>8626</v>
      </c>
      <c r="G6073" t="s">
        <v>31490</v>
      </c>
    </row>
    <row r="6074" spans="1:7">
      <c r="A6074" t="s">
        <v>31491</v>
      </c>
      <c r="B6074" t="s">
        <v>8607</v>
      </c>
      <c r="F6074" t="s">
        <v>17257</v>
      </c>
      <c r="G6074" t="s">
        <v>17258</v>
      </c>
    </row>
    <row r="6075" spans="1:7">
      <c r="A6075" t="s">
        <v>31492</v>
      </c>
      <c r="B6075" t="s">
        <v>8626</v>
      </c>
      <c r="F6075" t="s">
        <v>17260</v>
      </c>
      <c r="G6075" t="s">
        <v>17261</v>
      </c>
    </row>
    <row r="6076" spans="1:7">
      <c r="A6076" t="s">
        <v>31493</v>
      </c>
      <c r="B6076" t="s">
        <v>8607</v>
      </c>
      <c r="F6076" t="s">
        <v>27428</v>
      </c>
      <c r="G6076" t="s">
        <v>31494</v>
      </c>
    </row>
    <row r="6077" spans="1:7">
      <c r="A6077" t="s">
        <v>31495</v>
      </c>
      <c r="B6077" t="s">
        <v>8607</v>
      </c>
      <c r="F6077" t="s">
        <v>27434</v>
      </c>
      <c r="G6077" t="s">
        <v>31496</v>
      </c>
    </row>
    <row r="6078" spans="1:7">
      <c r="A6078" t="s">
        <v>31497</v>
      </c>
      <c r="B6078" t="s">
        <v>8607</v>
      </c>
      <c r="F6078" t="s">
        <v>27437</v>
      </c>
      <c r="G6078" t="s">
        <v>31498</v>
      </c>
    </row>
    <row r="6079" spans="1:7">
      <c r="A6079" t="s">
        <v>31499</v>
      </c>
      <c r="B6079" t="s">
        <v>8607</v>
      </c>
      <c r="F6079" t="s">
        <v>27440</v>
      </c>
      <c r="G6079" t="s">
        <v>31500</v>
      </c>
    </row>
    <row r="6080" spans="1:7">
      <c r="A6080" t="s">
        <v>31501</v>
      </c>
      <c r="B6080" t="s">
        <v>8607</v>
      </c>
      <c r="F6080" t="s">
        <v>31502</v>
      </c>
      <c r="G6080" t="s">
        <v>31503</v>
      </c>
    </row>
    <row r="6081" spans="1:7">
      <c r="A6081" t="s">
        <v>31504</v>
      </c>
      <c r="B6081" t="s">
        <v>8607</v>
      </c>
      <c r="F6081" t="s">
        <v>9018</v>
      </c>
      <c r="G6081" t="s">
        <v>31505</v>
      </c>
    </row>
    <row r="6082" spans="1:7">
      <c r="A6082" t="s">
        <v>31506</v>
      </c>
      <c r="B6082" t="s">
        <v>8607</v>
      </c>
      <c r="G6082" t="s">
        <v>26390</v>
      </c>
    </row>
    <row r="6083" spans="1:7">
      <c r="A6083" t="s">
        <v>31507</v>
      </c>
      <c r="B6083" t="s">
        <v>8626</v>
      </c>
      <c r="F6083" t="s">
        <v>10076</v>
      </c>
      <c r="G6083" t="s">
        <v>31508</v>
      </c>
    </row>
    <row r="6084" spans="1:7">
      <c r="A6084" t="s">
        <v>31509</v>
      </c>
      <c r="B6084" t="s">
        <v>8607</v>
      </c>
      <c r="F6084" t="s">
        <v>17310</v>
      </c>
      <c r="G6084" t="s">
        <v>20271</v>
      </c>
    </row>
    <row r="6085" spans="1:7">
      <c r="A6085" t="s">
        <v>31510</v>
      </c>
      <c r="B6085" t="s">
        <v>8607</v>
      </c>
      <c r="C6085" t="s">
        <v>26479</v>
      </c>
      <c r="F6085" t="s">
        <v>9018</v>
      </c>
      <c r="G6085" t="s">
        <v>31511</v>
      </c>
    </row>
    <row r="6086" spans="1:7">
      <c r="A6086" t="s">
        <v>31512</v>
      </c>
      <c r="B6086" t="s">
        <v>8607</v>
      </c>
      <c r="G6086" t="s">
        <v>26326</v>
      </c>
    </row>
    <row r="6087" spans="1:7">
      <c r="A6087" t="s">
        <v>31513</v>
      </c>
      <c r="B6087" t="s">
        <v>8607</v>
      </c>
      <c r="F6087" t="s">
        <v>9018</v>
      </c>
      <c r="G6087" t="s">
        <v>31514</v>
      </c>
    </row>
    <row r="6088" spans="1:7">
      <c r="A6088" t="s">
        <v>31515</v>
      </c>
      <c r="B6088" t="s">
        <v>8626</v>
      </c>
      <c r="C6088" t="s">
        <v>26107</v>
      </c>
      <c r="F6088" t="s">
        <v>26108</v>
      </c>
      <c r="G6088" t="s">
        <v>31516</v>
      </c>
    </row>
    <row r="6089" spans="1:7">
      <c r="A6089" t="s">
        <v>31517</v>
      </c>
      <c r="B6089" t="s">
        <v>8607</v>
      </c>
      <c r="F6089" t="s">
        <v>26176</v>
      </c>
      <c r="G6089" t="s">
        <v>26177</v>
      </c>
    </row>
    <row r="6090" spans="1:7">
      <c r="A6090" t="s">
        <v>31518</v>
      </c>
      <c r="B6090" t="s">
        <v>8607</v>
      </c>
      <c r="F6090" t="s">
        <v>12464</v>
      </c>
      <c r="G6090" t="s">
        <v>27114</v>
      </c>
    </row>
    <row r="6091" spans="1:7">
      <c r="A6091" t="s">
        <v>31519</v>
      </c>
      <c r="B6091" t="s">
        <v>8626</v>
      </c>
      <c r="C6091" t="s">
        <v>31520</v>
      </c>
      <c r="F6091" t="s">
        <v>9018</v>
      </c>
      <c r="G6091" t="s">
        <v>31521</v>
      </c>
    </row>
    <row r="6092" spans="1:7">
      <c r="A6092" t="s">
        <v>31522</v>
      </c>
      <c r="B6092" t="s">
        <v>8607</v>
      </c>
      <c r="F6092" t="s">
        <v>17429</v>
      </c>
      <c r="G6092" t="s">
        <v>26499</v>
      </c>
    </row>
    <row r="6093" spans="1:7">
      <c r="A6093" t="s">
        <v>31523</v>
      </c>
      <c r="B6093" t="s">
        <v>8607</v>
      </c>
      <c r="G6093" t="s">
        <v>26226</v>
      </c>
    </row>
    <row r="6094" spans="1:7">
      <c r="A6094" t="s">
        <v>31524</v>
      </c>
      <c r="B6094" t="s">
        <v>8626</v>
      </c>
      <c r="G6094" t="s">
        <v>31525</v>
      </c>
    </row>
    <row r="6095" spans="1:7">
      <c r="A6095" t="s">
        <v>31526</v>
      </c>
      <c r="B6095" t="s">
        <v>8607</v>
      </c>
      <c r="F6095" t="s">
        <v>28088</v>
      </c>
      <c r="G6095" t="s">
        <v>31527</v>
      </c>
    </row>
    <row r="6096" spans="1:7">
      <c r="A6096" t="s">
        <v>31528</v>
      </c>
      <c r="B6096" t="s">
        <v>8607</v>
      </c>
      <c r="F6096" t="s">
        <v>30983</v>
      </c>
      <c r="G6096" t="s">
        <v>31529</v>
      </c>
    </row>
    <row r="6097" spans="1:7">
      <c r="A6097" t="s">
        <v>31530</v>
      </c>
      <c r="B6097" t="s">
        <v>8607</v>
      </c>
      <c r="F6097" t="s">
        <v>21953</v>
      </c>
      <c r="G6097" t="s">
        <v>21954</v>
      </c>
    </row>
    <row r="6098" spans="1:7">
      <c r="A6098" t="s">
        <v>31531</v>
      </c>
      <c r="B6098" t="s">
        <v>8607</v>
      </c>
      <c r="G6098" t="s">
        <v>31532</v>
      </c>
    </row>
    <row r="6099" spans="1:7">
      <c r="A6099" t="s">
        <v>31533</v>
      </c>
      <c r="B6099" t="s">
        <v>8607</v>
      </c>
      <c r="F6099" t="s">
        <v>26104</v>
      </c>
      <c r="G6099" t="s">
        <v>27298</v>
      </c>
    </row>
    <row r="6100" spans="1:7">
      <c r="A6100" t="s">
        <v>31534</v>
      </c>
      <c r="B6100" t="s">
        <v>8607</v>
      </c>
      <c r="C6100" t="s">
        <v>28866</v>
      </c>
      <c r="F6100" t="s">
        <v>26108</v>
      </c>
      <c r="G6100" t="s">
        <v>31535</v>
      </c>
    </row>
    <row r="6101" spans="1:7">
      <c r="A6101" t="s">
        <v>31536</v>
      </c>
      <c r="B6101" t="s">
        <v>8607</v>
      </c>
      <c r="F6101" t="s">
        <v>26176</v>
      </c>
      <c r="G6101" t="s">
        <v>28272</v>
      </c>
    </row>
    <row r="6102" spans="1:7">
      <c r="A6102" t="s">
        <v>31537</v>
      </c>
      <c r="B6102" t="s">
        <v>8626</v>
      </c>
      <c r="C6102" t="s">
        <v>26508</v>
      </c>
      <c r="F6102" t="s">
        <v>22864</v>
      </c>
      <c r="G6102" t="s">
        <v>31538</v>
      </c>
    </row>
    <row r="6103" spans="1:7">
      <c r="A6103" t="s">
        <v>31539</v>
      </c>
      <c r="B6103" t="s">
        <v>8626</v>
      </c>
      <c r="F6103" t="s">
        <v>30009</v>
      </c>
      <c r="G6103" t="s">
        <v>31540</v>
      </c>
    </row>
    <row r="6104" spans="1:7">
      <c r="A6104" t="s">
        <v>31541</v>
      </c>
      <c r="B6104" t="s">
        <v>8607</v>
      </c>
      <c r="F6104" t="s">
        <v>26207</v>
      </c>
      <c r="G6104" t="s">
        <v>31349</v>
      </c>
    </row>
    <row r="6105" spans="1:7">
      <c r="A6105" t="s">
        <v>31542</v>
      </c>
      <c r="B6105" t="s">
        <v>8607</v>
      </c>
      <c r="F6105" t="s">
        <v>29400</v>
      </c>
      <c r="G6105" t="s">
        <v>31351</v>
      </c>
    </row>
    <row r="6106" spans="1:7">
      <c r="A6106" t="s">
        <v>31543</v>
      </c>
      <c r="B6106" t="s">
        <v>8626</v>
      </c>
      <c r="F6106" t="s">
        <v>31544</v>
      </c>
      <c r="G6106" t="s">
        <v>31545</v>
      </c>
    </row>
    <row r="6107" spans="1:7">
      <c r="A6107" t="s">
        <v>31546</v>
      </c>
      <c r="B6107" t="s">
        <v>8607</v>
      </c>
      <c r="C6107" t="s">
        <v>29403</v>
      </c>
      <c r="F6107" t="s">
        <v>27000</v>
      </c>
      <c r="G6107" t="s">
        <v>31547</v>
      </c>
    </row>
    <row r="6108" spans="1:7">
      <c r="A6108" t="s">
        <v>31548</v>
      </c>
      <c r="B6108" t="s">
        <v>8607</v>
      </c>
      <c r="F6108" t="s">
        <v>29406</v>
      </c>
      <c r="G6108" t="s">
        <v>31328</v>
      </c>
    </row>
    <row r="6109" spans="1:7">
      <c r="A6109" t="s">
        <v>31549</v>
      </c>
      <c r="B6109" t="s">
        <v>8607</v>
      </c>
      <c r="F6109" t="s">
        <v>29409</v>
      </c>
      <c r="G6109" t="s">
        <v>31550</v>
      </c>
    </row>
    <row r="6110" spans="1:7">
      <c r="A6110" t="s">
        <v>31551</v>
      </c>
      <c r="B6110" t="s">
        <v>8607</v>
      </c>
      <c r="F6110" t="s">
        <v>31332</v>
      </c>
      <c r="G6110" t="s">
        <v>31333</v>
      </c>
    </row>
    <row r="6111" spans="1:7">
      <c r="A6111" t="s">
        <v>31552</v>
      </c>
      <c r="B6111" t="s">
        <v>8607</v>
      </c>
      <c r="F6111" t="s">
        <v>26179</v>
      </c>
      <c r="G6111" t="s">
        <v>31553</v>
      </c>
    </row>
    <row r="6112" spans="1:7">
      <c r="A6112" t="s">
        <v>31554</v>
      </c>
      <c r="B6112" t="s">
        <v>8607</v>
      </c>
      <c r="F6112" t="s">
        <v>27518</v>
      </c>
      <c r="G6112" t="s">
        <v>31555</v>
      </c>
    </row>
    <row r="6113" spans="1:7">
      <c r="A6113" t="s">
        <v>31556</v>
      </c>
      <c r="B6113" t="s">
        <v>8607</v>
      </c>
      <c r="F6113" t="s">
        <v>22989</v>
      </c>
      <c r="G6113" t="s">
        <v>28399</v>
      </c>
    </row>
    <row r="6114" spans="1:7">
      <c r="A6114" t="s">
        <v>31557</v>
      </c>
      <c r="B6114" t="s">
        <v>8626</v>
      </c>
      <c r="F6114" t="s">
        <v>31558</v>
      </c>
      <c r="G6114" t="s">
        <v>31559</v>
      </c>
    </row>
    <row r="6115" spans="1:7">
      <c r="A6115" t="s">
        <v>31560</v>
      </c>
      <c r="B6115" t="s">
        <v>8607</v>
      </c>
      <c r="F6115" t="s">
        <v>31561</v>
      </c>
      <c r="G6115" t="s">
        <v>31562</v>
      </c>
    </row>
    <row r="6116" spans="1:7">
      <c r="A6116" t="s">
        <v>31563</v>
      </c>
      <c r="B6116" t="s">
        <v>8607</v>
      </c>
      <c r="F6116" t="s">
        <v>20844</v>
      </c>
      <c r="G6116" t="s">
        <v>31564</v>
      </c>
    </row>
    <row r="6117" spans="1:7">
      <c r="A6117" t="s">
        <v>31565</v>
      </c>
      <c r="G6117" t="s">
        <v>31566</v>
      </c>
    </row>
    <row r="6118" spans="1:7">
      <c r="A6118" t="s">
        <v>31567</v>
      </c>
      <c r="G6118" t="s">
        <v>31568</v>
      </c>
    </row>
    <row r="6119" spans="1:7">
      <c r="A6119" t="s">
        <v>31569</v>
      </c>
      <c r="G6119" t="s">
        <v>31570</v>
      </c>
    </row>
    <row r="6120" spans="1:7">
      <c r="A6120" t="s">
        <v>31571</v>
      </c>
      <c r="B6120" t="s">
        <v>8626</v>
      </c>
      <c r="C6120" t="s">
        <v>31572</v>
      </c>
      <c r="F6120" t="s">
        <v>31573</v>
      </c>
      <c r="G6120" t="s">
        <v>31574</v>
      </c>
    </row>
    <row r="6121" spans="1:7">
      <c r="A6121" t="s">
        <v>31575</v>
      </c>
      <c r="B6121" t="s">
        <v>8626</v>
      </c>
      <c r="F6121" t="s">
        <v>13832</v>
      </c>
      <c r="G6121" t="s">
        <v>31576</v>
      </c>
    </row>
    <row r="6122" spans="1:7">
      <c r="A6122" t="s">
        <v>31577</v>
      </c>
      <c r="B6122" t="s">
        <v>8607</v>
      </c>
      <c r="F6122" t="s">
        <v>17310</v>
      </c>
      <c r="G6122" t="s">
        <v>31578</v>
      </c>
    </row>
    <row r="6123" spans="1:7">
      <c r="A6123" t="s">
        <v>31579</v>
      </c>
      <c r="B6123" t="s">
        <v>8626</v>
      </c>
      <c r="G6123" t="s">
        <v>31580</v>
      </c>
    </row>
    <row r="6124" spans="1:7">
      <c r="A6124" t="s">
        <v>31581</v>
      </c>
      <c r="B6124" t="s">
        <v>8607</v>
      </c>
      <c r="C6124" t="s">
        <v>17806</v>
      </c>
      <c r="F6124" t="s">
        <v>17807</v>
      </c>
      <c r="G6124" t="s">
        <v>31582</v>
      </c>
    </row>
    <row r="6125" spans="1:7">
      <c r="A6125" t="s">
        <v>31583</v>
      </c>
      <c r="B6125" t="s">
        <v>8626</v>
      </c>
      <c r="F6125" t="s">
        <v>17928</v>
      </c>
      <c r="G6125" t="s">
        <v>31584</v>
      </c>
    </row>
    <row r="6126" spans="1:7">
      <c r="A6126" t="s">
        <v>31585</v>
      </c>
      <c r="B6126" t="s">
        <v>8626</v>
      </c>
      <c r="C6126" t="s">
        <v>27405</v>
      </c>
      <c r="F6126" t="s">
        <v>9002</v>
      </c>
      <c r="G6126" t="s">
        <v>28997</v>
      </c>
    </row>
    <row r="6127" spans="1:7">
      <c r="A6127" t="s">
        <v>31586</v>
      </c>
      <c r="B6127" t="s">
        <v>8607</v>
      </c>
      <c r="C6127" t="s">
        <v>27492</v>
      </c>
      <c r="F6127" t="s">
        <v>26519</v>
      </c>
      <c r="G6127" t="s">
        <v>28999</v>
      </c>
    </row>
    <row r="6128" spans="1:7">
      <c r="A6128" t="s">
        <v>31587</v>
      </c>
      <c r="B6128" t="s">
        <v>8607</v>
      </c>
      <c r="C6128" t="s">
        <v>18983</v>
      </c>
      <c r="F6128" t="s">
        <v>12862</v>
      </c>
      <c r="G6128" t="s">
        <v>29942</v>
      </c>
    </row>
    <row r="6129" spans="1:7">
      <c r="A6129" t="s">
        <v>31588</v>
      </c>
      <c r="B6129" t="s">
        <v>8607</v>
      </c>
      <c r="F6129" t="s">
        <v>21499</v>
      </c>
      <c r="G6129" t="s">
        <v>30152</v>
      </c>
    </row>
    <row r="6130" spans="1:7">
      <c r="A6130" t="s">
        <v>31589</v>
      </c>
      <c r="B6130" t="s">
        <v>8607</v>
      </c>
      <c r="C6130" t="s">
        <v>27497</v>
      </c>
      <c r="F6130" t="s">
        <v>15811</v>
      </c>
      <c r="G6130" t="s">
        <v>29944</v>
      </c>
    </row>
    <row r="6131" spans="1:7">
      <c r="A6131" t="s">
        <v>31590</v>
      </c>
      <c r="B6131" t="s">
        <v>8607</v>
      </c>
      <c r="C6131" t="s">
        <v>20054</v>
      </c>
      <c r="F6131" t="s">
        <v>29768</v>
      </c>
      <c r="G6131" t="s">
        <v>31591</v>
      </c>
    </row>
    <row r="6132" spans="1:7">
      <c r="A6132" t="s">
        <v>31592</v>
      </c>
      <c r="B6132" t="s">
        <v>8607</v>
      </c>
      <c r="C6132" t="s">
        <v>20054</v>
      </c>
      <c r="F6132" t="s">
        <v>8851</v>
      </c>
      <c r="G6132" t="s">
        <v>31593</v>
      </c>
    </row>
    <row r="6133" spans="1:7">
      <c r="A6133" t="s">
        <v>31594</v>
      </c>
      <c r="B6133" t="s">
        <v>8607</v>
      </c>
      <c r="C6133" t="s">
        <v>29588</v>
      </c>
      <c r="F6133" t="s">
        <v>9018</v>
      </c>
      <c r="G6133" t="s">
        <v>29589</v>
      </c>
    </row>
    <row r="6134" spans="1:7">
      <c r="A6134" t="s">
        <v>31595</v>
      </c>
      <c r="B6134" t="s">
        <v>8626</v>
      </c>
      <c r="G6134" t="s">
        <v>31596</v>
      </c>
    </row>
    <row r="6135" spans="1:7">
      <c r="A6135" t="s">
        <v>31597</v>
      </c>
      <c r="B6135" t="s">
        <v>8607</v>
      </c>
      <c r="G6135" t="s">
        <v>30787</v>
      </c>
    </row>
    <row r="6136" spans="1:7">
      <c r="A6136" t="s">
        <v>31598</v>
      </c>
      <c r="B6136" t="s">
        <v>8607</v>
      </c>
      <c r="C6136" t="s">
        <v>31599</v>
      </c>
      <c r="F6136" t="s">
        <v>9018</v>
      </c>
      <c r="G6136" t="s">
        <v>31600</v>
      </c>
    </row>
    <row r="6137" spans="1:7">
      <c r="A6137" t="s">
        <v>31601</v>
      </c>
      <c r="B6137" t="s">
        <v>8607</v>
      </c>
      <c r="G6137" t="s">
        <v>26688</v>
      </c>
    </row>
    <row r="6138" spans="1:7">
      <c r="A6138" t="s">
        <v>31602</v>
      </c>
      <c r="B6138" t="s">
        <v>8607</v>
      </c>
      <c r="F6138" t="s">
        <v>26091</v>
      </c>
      <c r="G6138" t="s">
        <v>29233</v>
      </c>
    </row>
    <row r="6139" spans="1:7">
      <c r="A6139" t="s">
        <v>31603</v>
      </c>
      <c r="B6139" t="s">
        <v>8626</v>
      </c>
      <c r="F6139" t="s">
        <v>27402</v>
      </c>
      <c r="G6139" t="s">
        <v>31604</v>
      </c>
    </row>
    <row r="6140" spans="1:7">
      <c r="A6140" t="s">
        <v>31605</v>
      </c>
      <c r="B6140" t="s">
        <v>8626</v>
      </c>
      <c r="F6140" t="s">
        <v>31606</v>
      </c>
      <c r="G6140" t="s">
        <v>31607</v>
      </c>
    </row>
    <row r="6141" spans="1:7">
      <c r="A6141" t="s">
        <v>31608</v>
      </c>
      <c r="B6141" t="s">
        <v>8607</v>
      </c>
      <c r="F6141" t="s">
        <v>26251</v>
      </c>
      <c r="G6141" t="s">
        <v>31609</v>
      </c>
    </row>
    <row r="6142" spans="1:7">
      <c r="A6142" t="s">
        <v>31610</v>
      </c>
      <c r="B6142" t="s">
        <v>8626</v>
      </c>
      <c r="F6142" t="s">
        <v>30009</v>
      </c>
      <c r="G6142" t="s">
        <v>31611</v>
      </c>
    </row>
    <row r="6143" spans="1:7">
      <c r="A6143" t="s">
        <v>31612</v>
      </c>
      <c r="B6143" t="s">
        <v>8607</v>
      </c>
      <c r="F6143" t="s">
        <v>26207</v>
      </c>
      <c r="G6143" t="s">
        <v>27473</v>
      </c>
    </row>
    <row r="6144" spans="1:7">
      <c r="A6144" t="s">
        <v>31613</v>
      </c>
      <c r="B6144" t="s">
        <v>8607</v>
      </c>
      <c r="F6144" t="s">
        <v>28159</v>
      </c>
      <c r="G6144" t="s">
        <v>31614</v>
      </c>
    </row>
    <row r="6145" spans="1:7">
      <c r="A6145" t="s">
        <v>31615</v>
      </c>
      <c r="B6145" t="s">
        <v>8607</v>
      </c>
      <c r="F6145" t="s">
        <v>17349</v>
      </c>
      <c r="G6145" t="s">
        <v>29042</v>
      </c>
    </row>
    <row r="6146" spans="1:7">
      <c r="A6146" t="s">
        <v>31616</v>
      </c>
      <c r="B6146" t="s">
        <v>8607</v>
      </c>
      <c r="F6146" t="s">
        <v>17349</v>
      </c>
      <c r="G6146" t="s">
        <v>29042</v>
      </c>
    </row>
    <row r="6147" spans="1:7">
      <c r="A6147" t="s">
        <v>31617</v>
      </c>
      <c r="B6147" t="s">
        <v>8626</v>
      </c>
      <c r="F6147" t="s">
        <v>20844</v>
      </c>
      <c r="G6147" t="s">
        <v>30254</v>
      </c>
    </row>
    <row r="6148" spans="1:7">
      <c r="A6148" t="s">
        <v>31618</v>
      </c>
      <c r="B6148" t="s">
        <v>8607</v>
      </c>
      <c r="F6148" t="s">
        <v>27423</v>
      </c>
      <c r="G6148" t="s">
        <v>31619</v>
      </c>
    </row>
    <row r="6149" spans="1:7">
      <c r="A6149" t="s">
        <v>31620</v>
      </c>
      <c r="B6149" t="s">
        <v>8607</v>
      </c>
      <c r="F6149" t="s">
        <v>26717</v>
      </c>
      <c r="G6149" t="s">
        <v>26718</v>
      </c>
    </row>
    <row r="6150" spans="1:7">
      <c r="A6150" t="s">
        <v>31621</v>
      </c>
      <c r="B6150" t="s">
        <v>8626</v>
      </c>
      <c r="F6150" t="s">
        <v>9562</v>
      </c>
      <c r="G6150" t="s">
        <v>31622</v>
      </c>
    </row>
    <row r="6151" spans="1:7">
      <c r="A6151" t="s">
        <v>31623</v>
      </c>
      <c r="B6151" t="s">
        <v>8607</v>
      </c>
      <c r="F6151" t="s">
        <v>31624</v>
      </c>
      <c r="G6151" t="s">
        <v>31625</v>
      </c>
    </row>
    <row r="6152" spans="1:7">
      <c r="A6152" t="s">
        <v>31626</v>
      </c>
      <c r="B6152" t="s">
        <v>8626</v>
      </c>
      <c r="F6152" t="s">
        <v>30528</v>
      </c>
      <c r="G6152" t="s">
        <v>31627</v>
      </c>
    </row>
    <row r="6153" spans="1:7">
      <c r="A6153" t="s">
        <v>31628</v>
      </c>
      <c r="B6153" t="s">
        <v>8626</v>
      </c>
      <c r="F6153" t="s">
        <v>27930</v>
      </c>
      <c r="G6153" t="s">
        <v>31629</v>
      </c>
    </row>
    <row r="6154" spans="1:7">
      <c r="A6154" t="s">
        <v>31630</v>
      </c>
      <c r="B6154" t="s">
        <v>8607</v>
      </c>
      <c r="F6154" t="s">
        <v>27167</v>
      </c>
      <c r="G6154" t="s">
        <v>31631</v>
      </c>
    </row>
    <row r="6155" spans="1:7">
      <c r="A6155" t="s">
        <v>31632</v>
      </c>
      <c r="B6155" t="s">
        <v>8607</v>
      </c>
      <c r="F6155" t="s">
        <v>31633</v>
      </c>
      <c r="G6155" t="s">
        <v>31634</v>
      </c>
    </row>
    <row r="6156" spans="1:7">
      <c r="A6156" t="s">
        <v>31635</v>
      </c>
      <c r="B6156" t="s">
        <v>8607</v>
      </c>
      <c r="F6156" t="s">
        <v>27160</v>
      </c>
      <c r="G6156" t="s">
        <v>31636</v>
      </c>
    </row>
    <row r="6157" spans="1:7">
      <c r="A6157" t="s">
        <v>31637</v>
      </c>
      <c r="B6157" t="s">
        <v>8607</v>
      </c>
      <c r="C6157" t="s">
        <v>27163</v>
      </c>
      <c r="F6157" t="s">
        <v>27164</v>
      </c>
      <c r="G6157" t="s">
        <v>27165</v>
      </c>
    </row>
    <row r="6158" spans="1:7">
      <c r="A6158" t="s">
        <v>31638</v>
      </c>
      <c r="B6158" t="s">
        <v>8607</v>
      </c>
      <c r="F6158" t="s">
        <v>31639</v>
      </c>
      <c r="G6158" t="s">
        <v>31640</v>
      </c>
    </row>
    <row r="6159" spans="1:7">
      <c r="A6159" t="s">
        <v>31641</v>
      </c>
      <c r="B6159" t="s">
        <v>8607</v>
      </c>
      <c r="C6159" t="s">
        <v>10675</v>
      </c>
      <c r="F6159" t="s">
        <v>10676</v>
      </c>
      <c r="G6159" t="s">
        <v>31642</v>
      </c>
    </row>
    <row r="6160" spans="1:7">
      <c r="A6160" t="s">
        <v>31643</v>
      </c>
      <c r="B6160" t="s">
        <v>8607</v>
      </c>
      <c r="C6160" t="s">
        <v>20166</v>
      </c>
      <c r="F6160" t="s">
        <v>12862</v>
      </c>
      <c r="G6160" t="s">
        <v>31644</v>
      </c>
    </row>
    <row r="6161" spans="1:7">
      <c r="A6161" t="s">
        <v>31645</v>
      </c>
      <c r="B6161" t="s">
        <v>8607</v>
      </c>
      <c r="C6161" t="s">
        <v>31168</v>
      </c>
      <c r="F6161" t="s">
        <v>26173</v>
      </c>
      <c r="G6161" t="s">
        <v>31646</v>
      </c>
    </row>
    <row r="6162" spans="1:7">
      <c r="A6162" t="s">
        <v>31647</v>
      </c>
      <c r="B6162" t="s">
        <v>8607</v>
      </c>
      <c r="G6162" t="s">
        <v>31648</v>
      </c>
    </row>
    <row r="6163" spans="1:7">
      <c r="A6163" t="s">
        <v>31649</v>
      </c>
      <c r="B6163" t="s">
        <v>8626</v>
      </c>
      <c r="G6163" t="s">
        <v>31650</v>
      </c>
    </row>
    <row r="6164" spans="1:7">
      <c r="A6164" t="s">
        <v>31651</v>
      </c>
      <c r="B6164" t="s">
        <v>8607</v>
      </c>
      <c r="F6164" t="s">
        <v>23371</v>
      </c>
      <c r="G6164" t="s">
        <v>31652</v>
      </c>
    </row>
    <row r="6165" spans="1:7">
      <c r="A6165" t="s">
        <v>31653</v>
      </c>
      <c r="B6165" t="s">
        <v>8607</v>
      </c>
      <c r="C6165" t="s">
        <v>27739</v>
      </c>
      <c r="F6165" t="s">
        <v>27740</v>
      </c>
      <c r="G6165" t="s">
        <v>31654</v>
      </c>
    </row>
    <row r="6166" spans="1:7">
      <c r="A6166" t="s">
        <v>31655</v>
      </c>
      <c r="B6166" t="s">
        <v>8607</v>
      </c>
      <c r="F6166" t="s">
        <v>31656</v>
      </c>
      <c r="G6166" t="s">
        <v>31657</v>
      </c>
    </row>
    <row r="6167" spans="1:7">
      <c r="A6167" t="s">
        <v>31658</v>
      </c>
      <c r="B6167" t="s">
        <v>8626</v>
      </c>
      <c r="F6167" t="s">
        <v>28666</v>
      </c>
      <c r="G6167" t="s">
        <v>31659</v>
      </c>
    </row>
    <row r="6168" spans="1:7">
      <c r="A6168" t="s">
        <v>31660</v>
      </c>
      <c r="B6168" t="s">
        <v>8626</v>
      </c>
      <c r="F6168" t="s">
        <v>28669</v>
      </c>
      <c r="G6168" t="s">
        <v>31661</v>
      </c>
    </row>
    <row r="6169" spans="1:7">
      <c r="A6169" t="s">
        <v>31662</v>
      </c>
      <c r="B6169" t="s">
        <v>8607</v>
      </c>
      <c r="F6169" t="s">
        <v>27173</v>
      </c>
      <c r="G6169" t="s">
        <v>31663</v>
      </c>
    </row>
    <row r="6170" spans="1:7">
      <c r="A6170" t="s">
        <v>31664</v>
      </c>
      <c r="B6170" t="s">
        <v>8626</v>
      </c>
      <c r="F6170" t="s">
        <v>26176</v>
      </c>
      <c r="G6170" t="s">
        <v>31665</v>
      </c>
    </row>
    <row r="6171" spans="1:7">
      <c r="A6171" t="s">
        <v>31666</v>
      </c>
      <c r="B6171" t="s">
        <v>8626</v>
      </c>
      <c r="F6171" t="s">
        <v>25054</v>
      </c>
      <c r="G6171" t="s">
        <v>27809</v>
      </c>
    </row>
    <row r="6172" spans="1:7">
      <c r="A6172" t="s">
        <v>31667</v>
      </c>
      <c r="B6172" t="s">
        <v>8607</v>
      </c>
      <c r="F6172" t="s">
        <v>17830</v>
      </c>
      <c r="G6172" t="s">
        <v>27735</v>
      </c>
    </row>
    <row r="6173" spans="1:7">
      <c r="A6173" t="s">
        <v>31668</v>
      </c>
      <c r="B6173" t="s">
        <v>8607</v>
      </c>
      <c r="F6173" t="s">
        <v>17920</v>
      </c>
      <c r="G6173" t="s">
        <v>27725</v>
      </c>
    </row>
    <row r="6174" spans="1:7">
      <c r="A6174" t="s">
        <v>31669</v>
      </c>
      <c r="B6174" t="s">
        <v>8626</v>
      </c>
      <c r="F6174" t="s">
        <v>27813</v>
      </c>
      <c r="G6174" t="s">
        <v>27814</v>
      </c>
    </row>
    <row r="6175" spans="1:7">
      <c r="A6175" t="s">
        <v>31670</v>
      </c>
      <c r="G6175" t="s">
        <v>31671</v>
      </c>
    </row>
    <row r="6176" spans="1:7">
      <c r="A6176" t="s">
        <v>31672</v>
      </c>
      <c r="B6176" t="s">
        <v>8607</v>
      </c>
      <c r="F6176" t="s">
        <v>31673</v>
      </c>
      <c r="G6176" t="s">
        <v>31674</v>
      </c>
    </row>
    <row r="6177" spans="1:7">
      <c r="A6177" t="s">
        <v>31675</v>
      </c>
      <c r="B6177" t="s">
        <v>8607</v>
      </c>
      <c r="F6177" t="s">
        <v>27727</v>
      </c>
      <c r="G6177" t="s">
        <v>27728</v>
      </c>
    </row>
    <row r="6178" spans="1:7">
      <c r="A6178" t="s">
        <v>31676</v>
      </c>
      <c r="B6178" t="s">
        <v>8607</v>
      </c>
      <c r="F6178" t="s">
        <v>27813</v>
      </c>
      <c r="G6178" t="s">
        <v>27895</v>
      </c>
    </row>
    <row r="6179" spans="1:7">
      <c r="A6179" t="s">
        <v>31677</v>
      </c>
      <c r="B6179" t="s">
        <v>8607</v>
      </c>
      <c r="G6179" t="s">
        <v>31678</v>
      </c>
    </row>
    <row r="6180" spans="1:7">
      <c r="A6180" t="s">
        <v>31679</v>
      </c>
      <c r="B6180" t="s">
        <v>8626</v>
      </c>
      <c r="F6180" t="s">
        <v>31680</v>
      </c>
      <c r="G6180" t="s">
        <v>31681</v>
      </c>
    </row>
    <row r="6181" spans="1:7">
      <c r="A6181" t="s">
        <v>31682</v>
      </c>
      <c r="B6181" t="s">
        <v>8626</v>
      </c>
      <c r="G6181" t="s">
        <v>31683</v>
      </c>
    </row>
    <row r="6182" spans="1:7">
      <c r="A6182" t="s">
        <v>31684</v>
      </c>
      <c r="B6182" t="s">
        <v>8607</v>
      </c>
      <c r="F6182" t="s">
        <v>13312</v>
      </c>
      <c r="G6182" t="s">
        <v>31685</v>
      </c>
    </row>
    <row r="6183" spans="1:7">
      <c r="A6183" t="s">
        <v>31686</v>
      </c>
      <c r="B6183" t="s">
        <v>8607</v>
      </c>
      <c r="C6183" t="s">
        <v>26591</v>
      </c>
      <c r="F6183" t="s">
        <v>9018</v>
      </c>
      <c r="G6183" t="s">
        <v>30463</v>
      </c>
    </row>
    <row r="6184" spans="1:7">
      <c r="A6184" t="s">
        <v>31687</v>
      </c>
      <c r="B6184" t="s">
        <v>8626</v>
      </c>
      <c r="F6184" t="s">
        <v>27899</v>
      </c>
      <c r="G6184" t="s">
        <v>31688</v>
      </c>
    </row>
    <row r="6185" spans="1:7">
      <c r="A6185" t="s">
        <v>31689</v>
      </c>
      <c r="B6185" t="s">
        <v>8607</v>
      </c>
      <c r="F6185" t="s">
        <v>31690</v>
      </c>
      <c r="G6185" t="s">
        <v>31691</v>
      </c>
    </row>
    <row r="6186" spans="1:7">
      <c r="A6186" t="s">
        <v>31692</v>
      </c>
      <c r="B6186" t="s">
        <v>8626</v>
      </c>
      <c r="F6186" t="s">
        <v>8774</v>
      </c>
      <c r="G6186" t="s">
        <v>31693</v>
      </c>
    </row>
    <row r="6187" spans="1:7">
      <c r="A6187" t="s">
        <v>31694</v>
      </c>
      <c r="B6187" t="s">
        <v>8607</v>
      </c>
      <c r="C6187" t="s">
        <v>21656</v>
      </c>
      <c r="F6187" t="s">
        <v>9018</v>
      </c>
      <c r="G6187" t="s">
        <v>30463</v>
      </c>
    </row>
    <row r="6188" spans="1:7">
      <c r="A6188" t="s">
        <v>31695</v>
      </c>
      <c r="B6188" t="s">
        <v>8607</v>
      </c>
      <c r="F6188" t="s">
        <v>17784</v>
      </c>
      <c r="G6188" t="s">
        <v>31696</v>
      </c>
    </row>
    <row r="6189" spans="1:7">
      <c r="A6189" t="s">
        <v>31697</v>
      </c>
      <c r="B6189" t="s">
        <v>8607</v>
      </c>
      <c r="F6189" t="s">
        <v>17824</v>
      </c>
      <c r="G6189" t="s">
        <v>27733</v>
      </c>
    </row>
    <row r="6190" spans="1:7">
      <c r="A6190" t="s">
        <v>31698</v>
      </c>
      <c r="G6190" t="s">
        <v>31699</v>
      </c>
    </row>
    <row r="6191" spans="1:7">
      <c r="A6191" t="s">
        <v>31700</v>
      </c>
      <c r="B6191" t="s">
        <v>8607</v>
      </c>
      <c r="F6191" t="s">
        <v>9018</v>
      </c>
      <c r="G6191" t="s">
        <v>29645</v>
      </c>
    </row>
    <row r="6192" spans="1:7">
      <c r="A6192" t="s">
        <v>31701</v>
      </c>
      <c r="B6192" t="s">
        <v>8626</v>
      </c>
      <c r="F6192" t="s">
        <v>26827</v>
      </c>
      <c r="G6192" t="s">
        <v>29982</v>
      </c>
    </row>
    <row r="6193" spans="1:7">
      <c r="A6193" t="s">
        <v>31702</v>
      </c>
      <c r="B6193" t="s">
        <v>8607</v>
      </c>
      <c r="F6193" t="s">
        <v>29700</v>
      </c>
      <c r="G6193" t="s">
        <v>30056</v>
      </c>
    </row>
    <row r="6194" spans="1:7">
      <c r="A6194" t="s">
        <v>31703</v>
      </c>
      <c r="B6194" t="s">
        <v>8607</v>
      </c>
      <c r="G6194" t="s">
        <v>30043</v>
      </c>
    </row>
    <row r="6195" spans="1:7">
      <c r="A6195" t="s">
        <v>31704</v>
      </c>
      <c r="B6195" t="s">
        <v>8626</v>
      </c>
      <c r="G6195" t="s">
        <v>31705</v>
      </c>
    </row>
    <row r="6196" spans="1:7">
      <c r="A6196" t="s">
        <v>31706</v>
      </c>
      <c r="B6196" t="s">
        <v>8626</v>
      </c>
      <c r="F6196" t="s">
        <v>29016</v>
      </c>
      <c r="G6196" t="s">
        <v>29017</v>
      </c>
    </row>
    <row r="6197" spans="1:7">
      <c r="A6197" t="s">
        <v>31707</v>
      </c>
      <c r="B6197" t="s">
        <v>8607</v>
      </c>
      <c r="F6197" t="s">
        <v>26204</v>
      </c>
      <c r="G6197" t="s">
        <v>26205</v>
      </c>
    </row>
    <row r="6198" spans="1:7">
      <c r="A6198" t="s">
        <v>31708</v>
      </c>
      <c r="B6198" t="s">
        <v>8607</v>
      </c>
      <c r="F6198" t="s">
        <v>27193</v>
      </c>
      <c r="G6198" t="s">
        <v>27194</v>
      </c>
    </row>
    <row r="6199" spans="1:7">
      <c r="A6199" t="s">
        <v>31709</v>
      </c>
      <c r="B6199" t="s">
        <v>8626</v>
      </c>
      <c r="G6199" t="s">
        <v>31710</v>
      </c>
    </row>
    <row r="6200" spans="1:7">
      <c r="A6200" t="s">
        <v>31711</v>
      </c>
      <c r="B6200" t="s">
        <v>8607</v>
      </c>
      <c r="F6200" t="s">
        <v>27196</v>
      </c>
      <c r="G6200" t="s">
        <v>27197</v>
      </c>
    </row>
    <row r="6201" spans="1:7">
      <c r="A6201" t="s">
        <v>31712</v>
      </c>
      <c r="B6201" t="s">
        <v>8607</v>
      </c>
      <c r="C6201" t="s">
        <v>20054</v>
      </c>
      <c r="F6201" t="s">
        <v>8851</v>
      </c>
      <c r="G6201" t="s">
        <v>31713</v>
      </c>
    </row>
    <row r="6202" spans="1:7">
      <c r="A6202" t="s">
        <v>31714</v>
      </c>
      <c r="B6202" t="s">
        <v>8607</v>
      </c>
      <c r="C6202" t="s">
        <v>29179</v>
      </c>
      <c r="F6202" t="s">
        <v>17320</v>
      </c>
      <c r="G6202" t="s">
        <v>29594</v>
      </c>
    </row>
    <row r="6203" spans="1:7">
      <c r="A6203" t="s">
        <v>31715</v>
      </c>
      <c r="B6203" t="s">
        <v>8626</v>
      </c>
      <c r="G6203" t="s">
        <v>27490</v>
      </c>
    </row>
    <row r="6204" spans="1:7">
      <c r="A6204" t="s">
        <v>31716</v>
      </c>
      <c r="B6204" t="s">
        <v>8626</v>
      </c>
      <c r="F6204" t="s">
        <v>9018</v>
      </c>
      <c r="G6204" t="s">
        <v>31717</v>
      </c>
    </row>
    <row r="6205" spans="1:7">
      <c r="A6205" t="s">
        <v>31718</v>
      </c>
      <c r="B6205" t="s">
        <v>8626</v>
      </c>
      <c r="F6205" t="s">
        <v>14285</v>
      </c>
      <c r="G6205" t="s">
        <v>31719</v>
      </c>
    </row>
    <row r="6206" spans="1:7">
      <c r="A6206" t="s">
        <v>31720</v>
      </c>
      <c r="B6206" t="s">
        <v>8607</v>
      </c>
      <c r="F6206" t="s">
        <v>26264</v>
      </c>
      <c r="G6206" t="s">
        <v>31721</v>
      </c>
    </row>
    <row r="6207" spans="1:7">
      <c r="A6207" t="s">
        <v>31722</v>
      </c>
      <c r="B6207" t="s">
        <v>8626</v>
      </c>
      <c r="F6207" t="s">
        <v>23164</v>
      </c>
      <c r="G6207" t="s">
        <v>31723</v>
      </c>
    </row>
    <row r="6208" spans="1:7">
      <c r="A6208" t="s">
        <v>31724</v>
      </c>
      <c r="B6208" t="s">
        <v>8607</v>
      </c>
      <c r="F6208" t="s">
        <v>31725</v>
      </c>
      <c r="G6208" t="s">
        <v>31726</v>
      </c>
    </row>
    <row r="6209" spans="1:7">
      <c r="A6209" t="s">
        <v>31727</v>
      </c>
      <c r="B6209" t="s">
        <v>8607</v>
      </c>
      <c r="G6209" t="s">
        <v>31728</v>
      </c>
    </row>
    <row r="6210" spans="1:7">
      <c r="A6210" t="s">
        <v>31729</v>
      </c>
      <c r="B6210" t="s">
        <v>8626</v>
      </c>
      <c r="G6210" t="s">
        <v>31730</v>
      </c>
    </row>
    <row r="6211" spans="1:7">
      <c r="A6211" t="s">
        <v>31731</v>
      </c>
      <c r="B6211" t="s">
        <v>8607</v>
      </c>
      <c r="G6211" t="s">
        <v>26403</v>
      </c>
    </row>
    <row r="6212" spans="1:7">
      <c r="A6212" t="s">
        <v>31732</v>
      </c>
      <c r="B6212" t="s">
        <v>8626</v>
      </c>
      <c r="F6212" t="s">
        <v>30465</v>
      </c>
      <c r="G6212" t="s">
        <v>30466</v>
      </c>
    </row>
    <row r="6213" spans="1:7">
      <c r="A6213" t="s">
        <v>31733</v>
      </c>
      <c r="B6213" t="s">
        <v>8607</v>
      </c>
      <c r="F6213" t="s">
        <v>30468</v>
      </c>
      <c r="G6213" t="s">
        <v>30469</v>
      </c>
    </row>
    <row r="6214" spans="1:7">
      <c r="A6214" t="s">
        <v>31734</v>
      </c>
      <c r="B6214" t="s">
        <v>8607</v>
      </c>
      <c r="C6214" t="s">
        <v>30561</v>
      </c>
      <c r="F6214" t="s">
        <v>17429</v>
      </c>
      <c r="G6214" t="s">
        <v>31735</v>
      </c>
    </row>
    <row r="6215" spans="1:7">
      <c r="A6215" t="s">
        <v>31736</v>
      </c>
      <c r="B6215" t="s">
        <v>8626</v>
      </c>
      <c r="G6215" t="s">
        <v>31737</v>
      </c>
    </row>
    <row r="6216" spans="1:7">
      <c r="A6216" t="s">
        <v>31738</v>
      </c>
      <c r="B6216" t="s">
        <v>8626</v>
      </c>
      <c r="G6216" t="s">
        <v>31739</v>
      </c>
    </row>
    <row r="6217" spans="1:7">
      <c r="A6217" t="s">
        <v>31740</v>
      </c>
      <c r="B6217" t="s">
        <v>8626</v>
      </c>
      <c r="F6217" t="s">
        <v>27518</v>
      </c>
      <c r="G6217" t="s">
        <v>31741</v>
      </c>
    </row>
    <row r="6218" spans="1:7">
      <c r="A6218" t="s">
        <v>31742</v>
      </c>
      <c r="B6218" t="s">
        <v>8626</v>
      </c>
      <c r="G6218" t="s">
        <v>31743</v>
      </c>
    </row>
    <row r="6219" spans="1:7">
      <c r="A6219" t="s">
        <v>31744</v>
      </c>
      <c r="B6219" t="s">
        <v>8626</v>
      </c>
      <c r="G6219" t="s">
        <v>31745</v>
      </c>
    </row>
    <row r="6220" spans="1:7">
      <c r="A6220" t="s">
        <v>31746</v>
      </c>
      <c r="B6220" t="s">
        <v>8607</v>
      </c>
      <c r="G6220" t="s">
        <v>31747</v>
      </c>
    </row>
    <row r="6221" spans="1:7">
      <c r="A6221" t="s">
        <v>31748</v>
      </c>
      <c r="B6221" t="s">
        <v>8607</v>
      </c>
      <c r="G6221" t="s">
        <v>30043</v>
      </c>
    </row>
    <row r="6222" spans="1:7">
      <c r="A6222" t="s">
        <v>31749</v>
      </c>
      <c r="B6222" t="s">
        <v>8626</v>
      </c>
      <c r="G6222" t="s">
        <v>31750</v>
      </c>
    </row>
    <row r="6223" spans="1:7">
      <c r="A6223" t="s">
        <v>31751</v>
      </c>
      <c r="B6223" t="s">
        <v>8626</v>
      </c>
      <c r="F6223" t="s">
        <v>31752</v>
      </c>
      <c r="G6223" t="s">
        <v>31753</v>
      </c>
    </row>
    <row r="6224" spans="1:7">
      <c r="A6224" t="s">
        <v>31754</v>
      </c>
      <c r="B6224" t="s">
        <v>8607</v>
      </c>
      <c r="F6224" t="s">
        <v>31755</v>
      </c>
      <c r="G6224" t="s">
        <v>31756</v>
      </c>
    </row>
    <row r="6225" spans="1:7">
      <c r="A6225" t="s">
        <v>31757</v>
      </c>
      <c r="B6225" t="s">
        <v>8607</v>
      </c>
      <c r="F6225" t="s">
        <v>31758</v>
      </c>
      <c r="G6225" t="s">
        <v>31759</v>
      </c>
    </row>
    <row r="6226" spans="1:7">
      <c r="A6226" t="s">
        <v>31760</v>
      </c>
      <c r="B6226" t="s">
        <v>8626</v>
      </c>
      <c r="F6226" t="s">
        <v>9002</v>
      </c>
      <c r="G6226" t="s">
        <v>31761</v>
      </c>
    </row>
    <row r="6227" spans="1:7">
      <c r="A6227" t="s">
        <v>31762</v>
      </c>
      <c r="B6227" t="s">
        <v>8626</v>
      </c>
      <c r="F6227" t="s">
        <v>17932</v>
      </c>
      <c r="G6227" t="s">
        <v>31763</v>
      </c>
    </row>
    <row r="6228" spans="1:7">
      <c r="A6228" t="s">
        <v>31764</v>
      </c>
      <c r="G6228" t="s">
        <v>31765</v>
      </c>
    </row>
    <row r="6229" spans="1:7">
      <c r="A6229" t="s">
        <v>31766</v>
      </c>
      <c r="B6229" t="s">
        <v>8626</v>
      </c>
      <c r="F6229" t="s">
        <v>8623</v>
      </c>
      <c r="G6229" t="s">
        <v>31767</v>
      </c>
    </row>
    <row r="6230" spans="1:7">
      <c r="A6230" t="s">
        <v>31768</v>
      </c>
      <c r="B6230" t="s">
        <v>8626</v>
      </c>
      <c r="F6230" t="s">
        <v>25301</v>
      </c>
      <c r="G6230" t="s">
        <v>31769</v>
      </c>
    </row>
    <row r="6231" spans="1:7">
      <c r="A6231" t="s">
        <v>31770</v>
      </c>
      <c r="B6231" t="s">
        <v>8607</v>
      </c>
      <c r="F6231" t="s">
        <v>17252</v>
      </c>
      <c r="G6231" t="s">
        <v>31771</v>
      </c>
    </row>
    <row r="6232" spans="1:7">
      <c r="A6232" t="s">
        <v>31772</v>
      </c>
      <c r="B6232" t="s">
        <v>8607</v>
      </c>
      <c r="F6232" t="s">
        <v>17257</v>
      </c>
      <c r="G6232" t="s">
        <v>31773</v>
      </c>
    </row>
    <row r="6233" spans="1:7">
      <c r="A6233" t="s">
        <v>31774</v>
      </c>
      <c r="B6233" t="s">
        <v>8607</v>
      </c>
      <c r="F6233" t="s">
        <v>17260</v>
      </c>
      <c r="G6233" t="s">
        <v>31775</v>
      </c>
    </row>
    <row r="6234" spans="1:7">
      <c r="A6234" t="s">
        <v>31776</v>
      </c>
      <c r="B6234" t="s">
        <v>8607</v>
      </c>
      <c r="F6234" t="s">
        <v>27428</v>
      </c>
      <c r="G6234" t="s">
        <v>31777</v>
      </c>
    </row>
    <row r="6235" spans="1:7">
      <c r="A6235" t="s">
        <v>31778</v>
      </c>
      <c r="B6235" t="s">
        <v>8607</v>
      </c>
      <c r="F6235" t="s">
        <v>27434</v>
      </c>
      <c r="G6235" t="s">
        <v>31779</v>
      </c>
    </row>
    <row r="6236" spans="1:7">
      <c r="A6236" t="s">
        <v>31780</v>
      </c>
      <c r="B6236" t="s">
        <v>8607</v>
      </c>
      <c r="F6236" t="s">
        <v>27437</v>
      </c>
      <c r="G6236" t="s">
        <v>31781</v>
      </c>
    </row>
    <row r="6237" spans="1:7">
      <c r="A6237" t="s">
        <v>31782</v>
      </c>
      <c r="B6237" t="s">
        <v>8607</v>
      </c>
      <c r="F6237" t="s">
        <v>27440</v>
      </c>
      <c r="G6237" t="s">
        <v>27441</v>
      </c>
    </row>
    <row r="6238" spans="1:7">
      <c r="A6238" t="s">
        <v>31783</v>
      </c>
      <c r="B6238" t="s">
        <v>8607</v>
      </c>
      <c r="F6238" t="s">
        <v>31502</v>
      </c>
      <c r="G6238" t="s">
        <v>31784</v>
      </c>
    </row>
    <row r="6239" spans="1:7">
      <c r="A6239" t="s">
        <v>31785</v>
      </c>
      <c r="B6239" t="s">
        <v>8607</v>
      </c>
      <c r="F6239" t="s">
        <v>19473</v>
      </c>
      <c r="G6239" t="s">
        <v>28260</v>
      </c>
    </row>
    <row r="6240" spans="1:7">
      <c r="A6240" t="s">
        <v>31786</v>
      </c>
      <c r="B6240" t="s">
        <v>8607</v>
      </c>
      <c r="F6240" t="s">
        <v>19473</v>
      </c>
      <c r="G6240" t="s">
        <v>28260</v>
      </c>
    </row>
    <row r="6241" spans="1:7">
      <c r="A6241" t="s">
        <v>31787</v>
      </c>
      <c r="B6241" t="s">
        <v>8607</v>
      </c>
      <c r="F6241" t="s">
        <v>31788</v>
      </c>
      <c r="G6241" t="s">
        <v>31789</v>
      </c>
    </row>
    <row r="6242" spans="1:7">
      <c r="A6242" t="s">
        <v>31790</v>
      </c>
      <c r="B6242" t="s">
        <v>8607</v>
      </c>
      <c r="G6242" t="s">
        <v>31791</v>
      </c>
    </row>
    <row r="6243" spans="1:7">
      <c r="A6243" t="s">
        <v>31792</v>
      </c>
      <c r="B6243" t="s">
        <v>8607</v>
      </c>
      <c r="F6243" t="s">
        <v>30443</v>
      </c>
      <c r="G6243" t="s">
        <v>31793</v>
      </c>
    </row>
    <row r="6244" spans="1:7">
      <c r="A6244" t="s">
        <v>31794</v>
      </c>
      <c r="B6244" t="s">
        <v>8607</v>
      </c>
      <c r="F6244" t="s">
        <v>19485</v>
      </c>
      <c r="G6244" t="s">
        <v>31795</v>
      </c>
    </row>
    <row r="6245" spans="1:7">
      <c r="A6245" t="s">
        <v>31796</v>
      </c>
      <c r="B6245" t="s">
        <v>8607</v>
      </c>
      <c r="F6245" t="s">
        <v>31797</v>
      </c>
      <c r="G6245" t="s">
        <v>31798</v>
      </c>
    </row>
    <row r="6246" spans="1:7">
      <c r="A6246" t="s">
        <v>31799</v>
      </c>
      <c r="B6246" t="s">
        <v>8607</v>
      </c>
      <c r="F6246" t="s">
        <v>31800</v>
      </c>
      <c r="G6246" t="s">
        <v>31801</v>
      </c>
    </row>
    <row r="6247" spans="1:7">
      <c r="A6247" t="s">
        <v>31802</v>
      </c>
      <c r="B6247" t="s">
        <v>8607</v>
      </c>
      <c r="G6247" t="s">
        <v>31803</v>
      </c>
    </row>
    <row r="6248" spans="1:7">
      <c r="A6248" t="s">
        <v>31804</v>
      </c>
      <c r="B6248" t="s">
        <v>8607</v>
      </c>
      <c r="G6248" t="s">
        <v>30326</v>
      </c>
    </row>
    <row r="6249" spans="1:7">
      <c r="A6249" t="s">
        <v>31805</v>
      </c>
      <c r="B6249" t="s">
        <v>8607</v>
      </c>
      <c r="F6249" t="s">
        <v>31806</v>
      </c>
      <c r="G6249" t="s">
        <v>31807</v>
      </c>
    </row>
    <row r="6250" spans="1:7">
      <c r="A6250" t="s">
        <v>31808</v>
      </c>
      <c r="B6250" t="s">
        <v>8607</v>
      </c>
      <c r="F6250" t="s">
        <v>30328</v>
      </c>
      <c r="G6250" t="s">
        <v>31809</v>
      </c>
    </row>
    <row r="6251" spans="1:7">
      <c r="A6251" t="s">
        <v>31810</v>
      </c>
      <c r="B6251" t="s">
        <v>8607</v>
      </c>
      <c r="F6251" t="s">
        <v>28461</v>
      </c>
      <c r="G6251" t="s">
        <v>30331</v>
      </c>
    </row>
    <row r="6252" spans="1:7">
      <c r="A6252" t="s">
        <v>31811</v>
      </c>
      <c r="B6252" t="s">
        <v>8607</v>
      </c>
      <c r="F6252" t="s">
        <v>31812</v>
      </c>
      <c r="G6252" t="s">
        <v>31813</v>
      </c>
    </row>
    <row r="6253" spans="1:7">
      <c r="A6253" t="s">
        <v>31814</v>
      </c>
      <c r="B6253" t="s">
        <v>8607</v>
      </c>
      <c r="C6253" t="s">
        <v>30459</v>
      </c>
      <c r="F6253" t="s">
        <v>21225</v>
      </c>
      <c r="G6253" t="s">
        <v>31815</v>
      </c>
    </row>
    <row r="6254" spans="1:7">
      <c r="A6254" t="s">
        <v>31816</v>
      </c>
      <c r="B6254" t="s">
        <v>8607</v>
      </c>
      <c r="F6254" t="s">
        <v>23928</v>
      </c>
      <c r="G6254" t="s">
        <v>31817</v>
      </c>
    </row>
    <row r="6255" spans="1:7">
      <c r="A6255" t="s">
        <v>31818</v>
      </c>
      <c r="B6255" t="s">
        <v>8607</v>
      </c>
      <c r="F6255" t="s">
        <v>26596</v>
      </c>
      <c r="G6255" t="s">
        <v>31819</v>
      </c>
    </row>
    <row r="6256" spans="1:7">
      <c r="A6256" t="s">
        <v>31820</v>
      </c>
      <c r="B6256" t="s">
        <v>8607</v>
      </c>
      <c r="F6256" t="s">
        <v>31821</v>
      </c>
      <c r="G6256" t="s">
        <v>31822</v>
      </c>
    </row>
    <row r="6257" spans="1:7">
      <c r="A6257" t="s">
        <v>31823</v>
      </c>
      <c r="B6257" t="s">
        <v>8607</v>
      </c>
      <c r="C6257" t="s">
        <v>19936</v>
      </c>
      <c r="F6257" t="s">
        <v>17457</v>
      </c>
      <c r="G6257" t="s">
        <v>31824</v>
      </c>
    </row>
    <row r="6258" spans="1:7">
      <c r="A6258" t="s">
        <v>31825</v>
      </c>
      <c r="B6258" t="s">
        <v>8607</v>
      </c>
      <c r="F6258" t="s">
        <v>9835</v>
      </c>
      <c r="G6258" t="s">
        <v>31826</v>
      </c>
    </row>
    <row r="6259" spans="1:7">
      <c r="A6259" t="s">
        <v>31827</v>
      </c>
      <c r="B6259" t="s">
        <v>8607</v>
      </c>
      <c r="F6259" t="s">
        <v>31828</v>
      </c>
      <c r="G6259" t="s">
        <v>31829</v>
      </c>
    </row>
    <row r="6260" spans="1:7">
      <c r="A6260" t="s">
        <v>31830</v>
      </c>
      <c r="B6260" t="s">
        <v>8607</v>
      </c>
      <c r="F6260" t="s">
        <v>26602</v>
      </c>
      <c r="G6260" t="s">
        <v>31831</v>
      </c>
    </row>
    <row r="6261" spans="1:7">
      <c r="A6261" t="s">
        <v>31832</v>
      </c>
      <c r="B6261" t="s">
        <v>8607</v>
      </c>
      <c r="F6261" t="s">
        <v>31833</v>
      </c>
      <c r="G6261" t="s">
        <v>31834</v>
      </c>
    </row>
    <row r="6262" spans="1:7">
      <c r="A6262" t="s">
        <v>31835</v>
      </c>
      <c r="B6262" t="s">
        <v>8607</v>
      </c>
      <c r="F6262" t="s">
        <v>31836</v>
      </c>
      <c r="G6262" t="s">
        <v>31837</v>
      </c>
    </row>
    <row r="6263" spans="1:7">
      <c r="A6263" t="s">
        <v>31838</v>
      </c>
      <c r="B6263" t="s">
        <v>8607</v>
      </c>
      <c r="F6263" t="s">
        <v>21225</v>
      </c>
      <c r="G6263" t="s">
        <v>31839</v>
      </c>
    </row>
    <row r="6264" spans="1:7">
      <c r="A6264" t="s">
        <v>31840</v>
      </c>
      <c r="B6264" t="s">
        <v>8607</v>
      </c>
      <c r="F6264" t="s">
        <v>31841</v>
      </c>
      <c r="G6264" t="s">
        <v>31842</v>
      </c>
    </row>
    <row r="6265" spans="1:7">
      <c r="A6265" t="s">
        <v>31843</v>
      </c>
      <c r="B6265" t="s">
        <v>8607</v>
      </c>
      <c r="G6265" t="s">
        <v>26355</v>
      </c>
    </row>
    <row r="6266" spans="1:7">
      <c r="A6266" t="s">
        <v>31844</v>
      </c>
      <c r="B6266" t="s">
        <v>8626</v>
      </c>
      <c r="G6266" t="s">
        <v>31845</v>
      </c>
    </row>
    <row r="6267" spans="1:7">
      <c r="A6267" t="s">
        <v>31846</v>
      </c>
      <c r="B6267" t="s">
        <v>8607</v>
      </c>
      <c r="F6267" t="s">
        <v>26358</v>
      </c>
      <c r="G6267" t="s">
        <v>31847</v>
      </c>
    </row>
    <row r="6268" spans="1:7">
      <c r="A6268" t="s">
        <v>31848</v>
      </c>
      <c r="B6268" t="s">
        <v>8607</v>
      </c>
      <c r="G6268" t="s">
        <v>31849</v>
      </c>
    </row>
    <row r="6269" spans="1:7">
      <c r="A6269" t="s">
        <v>31850</v>
      </c>
      <c r="B6269" t="s">
        <v>8607</v>
      </c>
      <c r="F6269" t="s">
        <v>9018</v>
      </c>
      <c r="G6269" t="s">
        <v>18567</v>
      </c>
    </row>
    <row r="6270" spans="1:7">
      <c r="A6270" t="s">
        <v>31851</v>
      </c>
      <c r="B6270" t="s">
        <v>8607</v>
      </c>
      <c r="F6270" t="s">
        <v>26207</v>
      </c>
      <c r="G6270" t="s">
        <v>31290</v>
      </c>
    </row>
    <row r="6271" spans="1:7">
      <c r="A6271" t="s">
        <v>31852</v>
      </c>
      <c r="B6271" t="s">
        <v>8607</v>
      </c>
      <c r="G6271" t="s">
        <v>31853</v>
      </c>
    </row>
    <row r="6272" spans="1:7">
      <c r="A6272" t="s">
        <v>31854</v>
      </c>
      <c r="B6272" t="s">
        <v>8607</v>
      </c>
      <c r="F6272" t="s">
        <v>26212</v>
      </c>
      <c r="G6272" t="s">
        <v>26431</v>
      </c>
    </row>
    <row r="6273" spans="1:7">
      <c r="A6273" t="s">
        <v>31855</v>
      </c>
      <c r="B6273" t="s">
        <v>8607</v>
      </c>
      <c r="F6273" t="s">
        <v>17349</v>
      </c>
      <c r="G6273" t="s">
        <v>27084</v>
      </c>
    </row>
    <row r="6274" spans="1:7">
      <c r="A6274" t="s">
        <v>31856</v>
      </c>
      <c r="B6274" t="s">
        <v>8607</v>
      </c>
      <c r="G6274" t="s">
        <v>27095</v>
      </c>
    </row>
    <row r="6275" spans="1:7">
      <c r="A6275" t="s">
        <v>31857</v>
      </c>
      <c r="B6275" t="s">
        <v>8607</v>
      </c>
      <c r="F6275" t="s">
        <v>26343</v>
      </c>
      <c r="G6275" t="s">
        <v>27097</v>
      </c>
    </row>
    <row r="6276" spans="1:7">
      <c r="A6276" t="s">
        <v>31858</v>
      </c>
      <c r="B6276" t="s">
        <v>8607</v>
      </c>
      <c r="F6276" t="s">
        <v>26179</v>
      </c>
      <c r="G6276" t="s">
        <v>31859</v>
      </c>
    </row>
    <row r="6277" spans="1:7">
      <c r="A6277" t="s">
        <v>31860</v>
      </c>
      <c r="B6277" t="s">
        <v>8607</v>
      </c>
      <c r="F6277" t="s">
        <v>20844</v>
      </c>
      <c r="G6277" t="s">
        <v>27246</v>
      </c>
    </row>
    <row r="6278" spans="1:7">
      <c r="A6278" t="s">
        <v>31861</v>
      </c>
      <c r="B6278" t="s">
        <v>8607</v>
      </c>
      <c r="F6278" t="s">
        <v>19380</v>
      </c>
      <c r="G6278" t="s">
        <v>27086</v>
      </c>
    </row>
    <row r="6279" spans="1:7">
      <c r="A6279" t="s">
        <v>31862</v>
      </c>
      <c r="B6279" t="s">
        <v>8626</v>
      </c>
      <c r="F6279" t="s">
        <v>18854</v>
      </c>
      <c r="G6279" t="s">
        <v>27088</v>
      </c>
    </row>
    <row r="6280" spans="1:7">
      <c r="A6280" t="s">
        <v>31863</v>
      </c>
      <c r="B6280" t="s">
        <v>8607</v>
      </c>
      <c r="F6280" t="s">
        <v>26465</v>
      </c>
      <c r="G6280" t="s">
        <v>26275</v>
      </c>
    </row>
    <row r="6281" spans="1:7">
      <c r="A6281" t="s">
        <v>31864</v>
      </c>
      <c r="B6281" t="s">
        <v>8607</v>
      </c>
      <c r="G6281" t="s">
        <v>26217</v>
      </c>
    </row>
    <row r="6282" spans="1:7">
      <c r="A6282" t="s">
        <v>31865</v>
      </c>
      <c r="B6282" t="s">
        <v>8607</v>
      </c>
      <c r="F6282" t="s">
        <v>23928</v>
      </c>
      <c r="G6282" t="s">
        <v>31866</v>
      </c>
    </row>
    <row r="6283" spans="1:7">
      <c r="A6283" t="s">
        <v>31867</v>
      </c>
      <c r="B6283" t="s">
        <v>8607</v>
      </c>
      <c r="C6283" t="s">
        <v>31868</v>
      </c>
      <c r="F6283" t="s">
        <v>17457</v>
      </c>
      <c r="G6283" t="s">
        <v>31869</v>
      </c>
    </row>
    <row r="6284" spans="1:7">
      <c r="A6284" t="s">
        <v>31870</v>
      </c>
      <c r="B6284" t="s">
        <v>8607</v>
      </c>
      <c r="F6284" t="s">
        <v>26596</v>
      </c>
      <c r="G6284" t="s">
        <v>31871</v>
      </c>
    </row>
    <row r="6285" spans="1:7">
      <c r="A6285" t="s">
        <v>31872</v>
      </c>
      <c r="B6285" t="s">
        <v>8607</v>
      </c>
      <c r="F6285" t="s">
        <v>31828</v>
      </c>
      <c r="G6285" t="s">
        <v>31873</v>
      </c>
    </row>
    <row r="6286" spans="1:7">
      <c r="A6286" t="s">
        <v>31874</v>
      </c>
      <c r="B6286" t="s">
        <v>8607</v>
      </c>
      <c r="C6286" t="s">
        <v>31875</v>
      </c>
      <c r="F6286" t="s">
        <v>26602</v>
      </c>
      <c r="G6286" t="s">
        <v>31876</v>
      </c>
    </row>
    <row r="6287" spans="1:7">
      <c r="A6287" t="s">
        <v>31877</v>
      </c>
      <c r="B6287" t="s">
        <v>8607</v>
      </c>
      <c r="F6287" t="s">
        <v>31833</v>
      </c>
      <c r="G6287" t="s">
        <v>31878</v>
      </c>
    </row>
    <row r="6288" spans="1:7">
      <c r="A6288" t="s">
        <v>31879</v>
      </c>
      <c r="B6288" t="s">
        <v>8607</v>
      </c>
      <c r="F6288" t="s">
        <v>16287</v>
      </c>
      <c r="G6288" t="s">
        <v>16288</v>
      </c>
    </row>
    <row r="6289" spans="1:7">
      <c r="A6289" t="s">
        <v>31880</v>
      </c>
      <c r="B6289" t="s">
        <v>8607</v>
      </c>
      <c r="G6289" t="s">
        <v>31881</v>
      </c>
    </row>
    <row r="6290" spans="1:7">
      <c r="A6290" t="s">
        <v>31882</v>
      </c>
      <c r="B6290" t="s">
        <v>8607</v>
      </c>
      <c r="F6290" t="s">
        <v>31883</v>
      </c>
      <c r="G6290" t="s">
        <v>31884</v>
      </c>
    </row>
    <row r="6291" spans="1:7">
      <c r="A6291" t="s">
        <v>31885</v>
      </c>
      <c r="B6291" t="s">
        <v>8607</v>
      </c>
      <c r="F6291" t="s">
        <v>31886</v>
      </c>
      <c r="G6291" t="s">
        <v>31887</v>
      </c>
    </row>
    <row r="6292" spans="1:7">
      <c r="A6292" t="s">
        <v>31888</v>
      </c>
      <c r="B6292" t="s">
        <v>8607</v>
      </c>
      <c r="F6292" t="s">
        <v>31889</v>
      </c>
      <c r="G6292" t="s">
        <v>31890</v>
      </c>
    </row>
    <row r="6293" spans="1:7">
      <c r="A6293" t="s">
        <v>31891</v>
      </c>
      <c r="B6293" t="s">
        <v>8607</v>
      </c>
      <c r="F6293" t="s">
        <v>28228</v>
      </c>
      <c r="G6293" t="s">
        <v>31892</v>
      </c>
    </row>
    <row r="6294" spans="1:7">
      <c r="A6294" t="s">
        <v>31893</v>
      </c>
      <c r="B6294" t="s">
        <v>8607</v>
      </c>
      <c r="F6294" t="s">
        <v>31894</v>
      </c>
      <c r="G6294" t="s">
        <v>31895</v>
      </c>
    </row>
    <row r="6295" spans="1:7">
      <c r="A6295" t="s">
        <v>31896</v>
      </c>
      <c r="B6295" t="s">
        <v>8607</v>
      </c>
      <c r="F6295" t="s">
        <v>30328</v>
      </c>
      <c r="G6295" t="s">
        <v>31897</v>
      </c>
    </row>
    <row r="6296" spans="1:7">
      <c r="A6296" t="s">
        <v>31898</v>
      </c>
      <c r="B6296" t="s">
        <v>8607</v>
      </c>
      <c r="F6296" t="s">
        <v>27377</v>
      </c>
      <c r="G6296" t="s">
        <v>31899</v>
      </c>
    </row>
    <row r="6297" spans="1:7">
      <c r="A6297" t="s">
        <v>31900</v>
      </c>
      <c r="B6297" t="s">
        <v>8607</v>
      </c>
      <c r="F6297" t="s">
        <v>31812</v>
      </c>
      <c r="G6297" t="s">
        <v>31813</v>
      </c>
    </row>
    <row r="6298" spans="1:7">
      <c r="A6298" t="s">
        <v>31901</v>
      </c>
      <c r="B6298" t="s">
        <v>8626</v>
      </c>
      <c r="F6298" t="s">
        <v>10427</v>
      </c>
      <c r="G6298" t="s">
        <v>31902</v>
      </c>
    </row>
    <row r="6299" spans="1:7">
      <c r="A6299" t="s">
        <v>31903</v>
      </c>
      <c r="B6299" t="s">
        <v>8626</v>
      </c>
      <c r="C6299" t="s">
        <v>25883</v>
      </c>
      <c r="F6299" t="s">
        <v>17305</v>
      </c>
      <c r="G6299" t="s">
        <v>25885</v>
      </c>
    </row>
    <row r="6300" spans="1:7">
      <c r="A6300" t="s">
        <v>31904</v>
      </c>
      <c r="B6300" t="s">
        <v>8607</v>
      </c>
      <c r="C6300" t="s">
        <v>16679</v>
      </c>
      <c r="F6300" t="s">
        <v>9018</v>
      </c>
      <c r="G6300" t="s">
        <v>31905</v>
      </c>
    </row>
    <row r="6301" spans="1:7">
      <c r="A6301" t="s">
        <v>31906</v>
      </c>
      <c r="B6301" t="s">
        <v>8607</v>
      </c>
      <c r="F6301" t="s">
        <v>22402</v>
      </c>
      <c r="G6301" t="s">
        <v>23030</v>
      </c>
    </row>
    <row r="6302" spans="1:7">
      <c r="A6302" t="s">
        <v>31907</v>
      </c>
      <c r="B6302" t="s">
        <v>8626</v>
      </c>
      <c r="F6302" t="s">
        <v>9018</v>
      </c>
      <c r="G6302" t="s">
        <v>31908</v>
      </c>
    </row>
    <row r="6303" spans="1:7">
      <c r="A6303" t="s">
        <v>31909</v>
      </c>
      <c r="B6303" t="s">
        <v>8607</v>
      </c>
      <c r="G6303" t="s">
        <v>20432</v>
      </c>
    </row>
    <row r="6304" spans="1:7">
      <c r="A6304" t="s">
        <v>31910</v>
      </c>
      <c r="B6304" t="s">
        <v>8607</v>
      </c>
      <c r="F6304" t="s">
        <v>27947</v>
      </c>
      <c r="G6304" t="s">
        <v>31911</v>
      </c>
    </row>
    <row r="6305" spans="1:7">
      <c r="A6305" t="s">
        <v>31912</v>
      </c>
      <c r="B6305" t="s">
        <v>8607</v>
      </c>
      <c r="F6305" t="s">
        <v>9018</v>
      </c>
      <c r="G6305" t="s">
        <v>18567</v>
      </c>
    </row>
    <row r="6306" spans="1:7">
      <c r="A6306" t="s">
        <v>31913</v>
      </c>
      <c r="B6306" t="s">
        <v>8607</v>
      </c>
      <c r="G6306" t="s">
        <v>19326</v>
      </c>
    </row>
    <row r="6307" spans="1:7">
      <c r="A6307" t="s">
        <v>31914</v>
      </c>
      <c r="B6307" t="s">
        <v>8626</v>
      </c>
      <c r="C6307" t="s">
        <v>31915</v>
      </c>
      <c r="F6307" t="s">
        <v>14285</v>
      </c>
      <c r="G6307" t="s">
        <v>31916</v>
      </c>
    </row>
    <row r="6308" spans="1:7">
      <c r="A6308" t="s">
        <v>31917</v>
      </c>
      <c r="B6308" t="s">
        <v>8626</v>
      </c>
      <c r="F6308" t="s">
        <v>31294</v>
      </c>
      <c r="G6308" t="s">
        <v>31918</v>
      </c>
    </row>
    <row r="6309" spans="1:7">
      <c r="A6309" t="s">
        <v>31919</v>
      </c>
      <c r="B6309" t="s">
        <v>8607</v>
      </c>
      <c r="F6309" t="s">
        <v>27930</v>
      </c>
      <c r="G6309" t="s">
        <v>29806</v>
      </c>
    </row>
    <row r="6310" spans="1:7">
      <c r="A6310" t="s">
        <v>31920</v>
      </c>
      <c r="B6310" t="s">
        <v>8607</v>
      </c>
      <c r="G6310" t="s">
        <v>26210</v>
      </c>
    </row>
    <row r="6311" spans="1:7">
      <c r="A6311" t="s">
        <v>31921</v>
      </c>
      <c r="B6311" t="s">
        <v>8607</v>
      </c>
      <c r="F6311" t="s">
        <v>26212</v>
      </c>
      <c r="G6311" t="s">
        <v>26213</v>
      </c>
    </row>
    <row r="6312" spans="1:7">
      <c r="A6312" t="s">
        <v>31922</v>
      </c>
      <c r="B6312" t="s">
        <v>8626</v>
      </c>
      <c r="C6312" t="s">
        <v>27583</v>
      </c>
      <c r="F6312" t="s">
        <v>26207</v>
      </c>
      <c r="G6312" t="s">
        <v>31923</v>
      </c>
    </row>
    <row r="6313" spans="1:7">
      <c r="A6313" t="s">
        <v>31924</v>
      </c>
      <c r="B6313" t="s">
        <v>8626</v>
      </c>
      <c r="F6313" t="s">
        <v>26417</v>
      </c>
      <c r="G6313" t="s">
        <v>26418</v>
      </c>
    </row>
    <row r="6314" spans="1:7">
      <c r="A6314" t="s">
        <v>31925</v>
      </c>
      <c r="B6314" t="s">
        <v>8626</v>
      </c>
      <c r="F6314" t="s">
        <v>26420</v>
      </c>
      <c r="G6314" t="s">
        <v>26421</v>
      </c>
    </row>
    <row r="6315" spans="1:7">
      <c r="A6315" t="s">
        <v>31926</v>
      </c>
      <c r="B6315" t="s">
        <v>8607</v>
      </c>
      <c r="C6315" t="s">
        <v>26083</v>
      </c>
      <c r="F6315" t="s">
        <v>26084</v>
      </c>
      <c r="G6315" t="s">
        <v>31249</v>
      </c>
    </row>
    <row r="6316" spans="1:7">
      <c r="A6316" t="s">
        <v>31927</v>
      </c>
      <c r="B6316" t="s">
        <v>8607</v>
      </c>
      <c r="C6316" t="s">
        <v>26087</v>
      </c>
      <c r="F6316" t="s">
        <v>26088</v>
      </c>
      <c r="G6316" t="s">
        <v>26833</v>
      </c>
    </row>
    <row r="6317" spans="1:7">
      <c r="A6317" t="s">
        <v>31928</v>
      </c>
      <c r="B6317" t="s">
        <v>8607</v>
      </c>
      <c r="F6317" t="s">
        <v>26094</v>
      </c>
      <c r="G6317" t="s">
        <v>31929</v>
      </c>
    </row>
    <row r="6318" spans="1:7">
      <c r="A6318" t="s">
        <v>31930</v>
      </c>
      <c r="B6318" t="s">
        <v>8607</v>
      </c>
      <c r="F6318" t="s">
        <v>20844</v>
      </c>
      <c r="G6318" t="s">
        <v>29291</v>
      </c>
    </row>
    <row r="6319" spans="1:7">
      <c r="A6319" t="s">
        <v>31931</v>
      </c>
      <c r="B6319" t="s">
        <v>8626</v>
      </c>
      <c r="F6319" t="s">
        <v>8623</v>
      </c>
      <c r="G6319" t="s">
        <v>30721</v>
      </c>
    </row>
    <row r="6320" spans="1:7">
      <c r="A6320" t="s">
        <v>31932</v>
      </c>
      <c r="B6320" t="s">
        <v>8626</v>
      </c>
      <c r="G6320" t="s">
        <v>31933</v>
      </c>
    </row>
    <row r="6321" spans="1:7">
      <c r="A6321" t="s">
        <v>31934</v>
      </c>
      <c r="B6321" t="s">
        <v>8607</v>
      </c>
      <c r="F6321" t="s">
        <v>17741</v>
      </c>
      <c r="G6321" t="s">
        <v>31935</v>
      </c>
    </row>
    <row r="6322" spans="1:7">
      <c r="A6322" t="s">
        <v>31936</v>
      </c>
      <c r="B6322" t="s">
        <v>8607</v>
      </c>
      <c r="F6322" t="s">
        <v>31937</v>
      </c>
      <c r="G6322" t="s">
        <v>18567</v>
      </c>
    </row>
    <row r="6323" spans="1:7">
      <c r="A6323" t="s">
        <v>31938</v>
      </c>
      <c r="B6323" t="s">
        <v>8626</v>
      </c>
      <c r="G6323" t="s">
        <v>29138</v>
      </c>
    </row>
    <row r="6324" spans="1:7">
      <c r="A6324" t="s">
        <v>31939</v>
      </c>
      <c r="B6324" t="s">
        <v>8626</v>
      </c>
      <c r="G6324" t="s">
        <v>31940</v>
      </c>
    </row>
    <row r="6325" spans="1:7">
      <c r="A6325" t="s">
        <v>31941</v>
      </c>
      <c r="B6325" t="s">
        <v>8626</v>
      </c>
      <c r="C6325" t="s">
        <v>31107</v>
      </c>
      <c r="F6325" t="s">
        <v>31108</v>
      </c>
      <c r="G6325" t="s">
        <v>31109</v>
      </c>
    </row>
    <row r="6326" spans="1:7">
      <c r="A6326" t="s">
        <v>31942</v>
      </c>
      <c r="B6326" t="s">
        <v>8626</v>
      </c>
      <c r="F6326" t="s">
        <v>31943</v>
      </c>
      <c r="G6326" t="s">
        <v>31944</v>
      </c>
    </row>
    <row r="6327" spans="1:7">
      <c r="A6327" t="s">
        <v>31945</v>
      </c>
      <c r="B6327" t="s">
        <v>8607</v>
      </c>
      <c r="G6327" t="s">
        <v>27955</v>
      </c>
    </row>
    <row r="6328" spans="1:7">
      <c r="A6328" t="s">
        <v>31946</v>
      </c>
      <c r="B6328" t="s">
        <v>8626</v>
      </c>
      <c r="C6328" t="s">
        <v>27957</v>
      </c>
      <c r="F6328" t="s">
        <v>27958</v>
      </c>
      <c r="G6328" t="s">
        <v>31947</v>
      </c>
    </row>
    <row r="6329" spans="1:7">
      <c r="A6329" t="s">
        <v>31948</v>
      </c>
      <c r="B6329" t="s">
        <v>8626</v>
      </c>
      <c r="F6329" t="s">
        <v>27979</v>
      </c>
      <c r="G6329" t="s">
        <v>31949</v>
      </c>
    </row>
    <row r="6330" spans="1:7">
      <c r="A6330" t="s">
        <v>31950</v>
      </c>
      <c r="B6330" t="s">
        <v>8626</v>
      </c>
      <c r="F6330" t="s">
        <v>29409</v>
      </c>
      <c r="G6330" t="s">
        <v>31951</v>
      </c>
    </row>
    <row r="6331" spans="1:7">
      <c r="A6331" t="s">
        <v>31952</v>
      </c>
      <c r="B6331" t="s">
        <v>8607</v>
      </c>
      <c r="F6331" t="s">
        <v>26827</v>
      </c>
      <c r="G6331" t="s">
        <v>31953</v>
      </c>
    </row>
    <row r="6332" spans="1:7">
      <c r="A6332" t="s">
        <v>31954</v>
      </c>
      <c r="B6332" t="s">
        <v>8626</v>
      </c>
      <c r="F6332" t="s">
        <v>29207</v>
      </c>
      <c r="G6332" t="s">
        <v>31955</v>
      </c>
    </row>
    <row r="6333" spans="1:7">
      <c r="A6333" t="s">
        <v>31956</v>
      </c>
      <c r="B6333" t="s">
        <v>8607</v>
      </c>
      <c r="F6333" t="s">
        <v>26176</v>
      </c>
      <c r="G6333" t="s">
        <v>26177</v>
      </c>
    </row>
    <row r="6334" spans="1:7">
      <c r="A6334" t="s">
        <v>31957</v>
      </c>
      <c r="B6334" t="s">
        <v>8607</v>
      </c>
      <c r="F6334" t="s">
        <v>12464</v>
      </c>
      <c r="G6334" t="s">
        <v>27114</v>
      </c>
    </row>
    <row r="6335" spans="1:7">
      <c r="A6335" t="s">
        <v>31958</v>
      </c>
      <c r="B6335" t="s">
        <v>8607</v>
      </c>
      <c r="F6335" t="s">
        <v>8623</v>
      </c>
      <c r="G6335" t="s">
        <v>11991</v>
      </c>
    </row>
    <row r="6336" spans="1:7">
      <c r="A6336" t="s">
        <v>31959</v>
      </c>
      <c r="B6336" t="s">
        <v>8607</v>
      </c>
      <c r="F6336" t="s">
        <v>26299</v>
      </c>
      <c r="G6336" t="s">
        <v>31960</v>
      </c>
    </row>
    <row r="6337" spans="1:7">
      <c r="A6337" t="s">
        <v>31961</v>
      </c>
      <c r="G6337" t="s">
        <v>31962</v>
      </c>
    </row>
    <row r="6338" spans="1:7">
      <c r="A6338" t="s">
        <v>31963</v>
      </c>
      <c r="B6338" t="s">
        <v>8607</v>
      </c>
      <c r="F6338" t="s">
        <v>23859</v>
      </c>
      <c r="G6338" t="s">
        <v>26034</v>
      </c>
    </row>
    <row r="6339" spans="1:7">
      <c r="A6339" t="s">
        <v>31964</v>
      </c>
      <c r="B6339" t="s">
        <v>8607</v>
      </c>
      <c r="F6339" t="s">
        <v>26717</v>
      </c>
      <c r="G6339" t="s">
        <v>30163</v>
      </c>
    </row>
    <row r="6340" spans="1:7">
      <c r="A6340" t="s">
        <v>31965</v>
      </c>
      <c r="B6340" t="s">
        <v>8607</v>
      </c>
      <c r="F6340" t="s">
        <v>29400</v>
      </c>
      <c r="G6340" t="s">
        <v>31966</v>
      </c>
    </row>
    <row r="6341" spans="1:7">
      <c r="A6341" t="s">
        <v>31967</v>
      </c>
      <c r="B6341" t="s">
        <v>8607</v>
      </c>
      <c r="C6341" t="s">
        <v>29403</v>
      </c>
      <c r="F6341" t="s">
        <v>27000</v>
      </c>
      <c r="G6341" t="s">
        <v>31968</v>
      </c>
    </row>
    <row r="6342" spans="1:7">
      <c r="A6342" t="s">
        <v>31969</v>
      </c>
      <c r="B6342" t="s">
        <v>8607</v>
      </c>
      <c r="F6342" t="s">
        <v>31970</v>
      </c>
      <c r="G6342" t="s">
        <v>31971</v>
      </c>
    </row>
    <row r="6343" spans="1:7">
      <c r="A6343" t="s">
        <v>31972</v>
      </c>
      <c r="B6343" t="s">
        <v>8626</v>
      </c>
      <c r="G6343" t="s">
        <v>31973</v>
      </c>
    </row>
    <row r="6344" spans="1:7">
      <c r="A6344" t="s">
        <v>31974</v>
      </c>
      <c r="B6344" t="s">
        <v>8607</v>
      </c>
      <c r="F6344" t="s">
        <v>31975</v>
      </c>
      <c r="G6344" t="s">
        <v>31976</v>
      </c>
    </row>
    <row r="6345" spans="1:7">
      <c r="A6345" t="s">
        <v>31977</v>
      </c>
      <c r="B6345" t="s">
        <v>8607</v>
      </c>
      <c r="C6345" t="s">
        <v>31978</v>
      </c>
      <c r="F6345" t="s">
        <v>9268</v>
      </c>
      <c r="G6345" t="s">
        <v>31979</v>
      </c>
    </row>
    <row r="6346" spans="1:7">
      <c r="A6346" t="s">
        <v>31980</v>
      </c>
      <c r="B6346" t="s">
        <v>8607</v>
      </c>
      <c r="F6346" t="s">
        <v>9018</v>
      </c>
      <c r="G6346" t="s">
        <v>31981</v>
      </c>
    </row>
    <row r="6347" spans="1:7">
      <c r="A6347" t="s">
        <v>31982</v>
      </c>
      <c r="B6347" t="s">
        <v>8607</v>
      </c>
      <c r="F6347" t="s">
        <v>17932</v>
      </c>
      <c r="G6347" t="s">
        <v>31983</v>
      </c>
    </row>
    <row r="6348" spans="1:7">
      <c r="A6348" t="s">
        <v>31984</v>
      </c>
      <c r="B6348" t="s">
        <v>8607</v>
      </c>
      <c r="F6348" t="s">
        <v>10676</v>
      </c>
      <c r="G6348" t="s">
        <v>31985</v>
      </c>
    </row>
    <row r="6349" spans="1:7">
      <c r="A6349" t="s">
        <v>31986</v>
      </c>
      <c r="B6349" t="s">
        <v>8607</v>
      </c>
      <c r="F6349" t="s">
        <v>13761</v>
      </c>
      <c r="G6349" t="s">
        <v>31987</v>
      </c>
    </row>
    <row r="6350" spans="1:7">
      <c r="A6350" t="s">
        <v>31988</v>
      </c>
      <c r="G6350" t="s">
        <v>31989</v>
      </c>
    </row>
    <row r="6351" spans="1:7">
      <c r="A6351" t="s">
        <v>31990</v>
      </c>
      <c r="B6351" t="s">
        <v>8607</v>
      </c>
      <c r="F6351" t="s">
        <v>26751</v>
      </c>
      <c r="G6351" t="s">
        <v>26752</v>
      </c>
    </row>
    <row r="6352" spans="1:7">
      <c r="A6352" t="s">
        <v>31991</v>
      </c>
      <c r="B6352" t="s">
        <v>8607</v>
      </c>
      <c r="F6352" t="s">
        <v>26754</v>
      </c>
      <c r="G6352" t="s">
        <v>31992</v>
      </c>
    </row>
    <row r="6353" spans="1:7">
      <c r="A6353" t="s">
        <v>31993</v>
      </c>
      <c r="B6353" t="s">
        <v>8626</v>
      </c>
      <c r="G6353" t="s">
        <v>31994</v>
      </c>
    </row>
    <row r="6354" spans="1:7">
      <c r="A6354" t="s">
        <v>31995</v>
      </c>
      <c r="B6354" t="s">
        <v>8607</v>
      </c>
      <c r="F6354" t="s">
        <v>17932</v>
      </c>
      <c r="G6354" t="s">
        <v>30541</v>
      </c>
    </row>
    <row r="6355" spans="1:7">
      <c r="A6355" t="s">
        <v>31996</v>
      </c>
      <c r="B6355" t="s">
        <v>8607</v>
      </c>
      <c r="C6355" t="s">
        <v>28362</v>
      </c>
      <c r="F6355" t="s">
        <v>27740</v>
      </c>
      <c r="G6355" t="s">
        <v>28363</v>
      </c>
    </row>
    <row r="6356" spans="1:7">
      <c r="A6356" t="s">
        <v>31997</v>
      </c>
      <c r="B6356" t="s">
        <v>8626</v>
      </c>
      <c r="F6356" t="s">
        <v>8623</v>
      </c>
      <c r="G6356" t="s">
        <v>26611</v>
      </c>
    </row>
    <row r="6357" spans="1:7">
      <c r="A6357" t="s">
        <v>31998</v>
      </c>
      <c r="B6357" t="s">
        <v>8626</v>
      </c>
      <c r="G6357" t="s">
        <v>31999</v>
      </c>
    </row>
    <row r="6358" spans="1:7">
      <c r="A6358" t="s">
        <v>32000</v>
      </c>
      <c r="B6358" t="s">
        <v>8607</v>
      </c>
      <c r="F6358" t="s">
        <v>30365</v>
      </c>
      <c r="G6358" t="s">
        <v>30363</v>
      </c>
    </row>
    <row r="6359" spans="1:7">
      <c r="A6359" t="s">
        <v>32001</v>
      </c>
      <c r="B6359" t="s">
        <v>8607</v>
      </c>
      <c r="F6359" t="s">
        <v>13832</v>
      </c>
      <c r="G6359" t="s">
        <v>32002</v>
      </c>
    </row>
    <row r="6360" spans="1:7">
      <c r="A6360" t="s">
        <v>32003</v>
      </c>
      <c r="B6360" t="s">
        <v>8607</v>
      </c>
      <c r="G6360" t="s">
        <v>32004</v>
      </c>
    </row>
    <row r="6361" spans="1:7">
      <c r="A6361" t="s">
        <v>32005</v>
      </c>
      <c r="B6361" t="s">
        <v>8607</v>
      </c>
      <c r="C6361" t="s">
        <v>28365</v>
      </c>
      <c r="F6361" t="s">
        <v>17349</v>
      </c>
      <c r="G6361" t="s">
        <v>28366</v>
      </c>
    </row>
    <row r="6362" spans="1:7">
      <c r="A6362" t="s">
        <v>32006</v>
      </c>
      <c r="B6362" t="s">
        <v>8607</v>
      </c>
      <c r="F6362" t="s">
        <v>26558</v>
      </c>
      <c r="G6362" t="s">
        <v>32007</v>
      </c>
    </row>
    <row r="6363" spans="1:7">
      <c r="A6363" t="s">
        <v>32008</v>
      </c>
      <c r="B6363" t="s">
        <v>8607</v>
      </c>
      <c r="F6363" t="s">
        <v>31152</v>
      </c>
      <c r="G6363" t="s">
        <v>32009</v>
      </c>
    </row>
    <row r="6364" spans="1:7">
      <c r="A6364" t="s">
        <v>32010</v>
      </c>
      <c r="B6364" t="s">
        <v>8607</v>
      </c>
      <c r="G6364" t="s">
        <v>32011</v>
      </c>
    </row>
    <row r="6365" spans="1:7">
      <c r="A6365" t="s">
        <v>32012</v>
      </c>
      <c r="B6365" t="s">
        <v>8607</v>
      </c>
      <c r="C6365" t="s">
        <v>18527</v>
      </c>
      <c r="F6365" t="s">
        <v>18286</v>
      </c>
      <c r="G6365" t="s">
        <v>32013</v>
      </c>
    </row>
    <row r="6366" spans="1:7">
      <c r="A6366" t="s">
        <v>32014</v>
      </c>
      <c r="B6366" t="s">
        <v>8607</v>
      </c>
      <c r="G6366" t="s">
        <v>30621</v>
      </c>
    </row>
    <row r="6367" spans="1:7">
      <c r="A6367" t="s">
        <v>32015</v>
      </c>
      <c r="B6367" t="s">
        <v>8607</v>
      </c>
      <c r="G6367" t="s">
        <v>30621</v>
      </c>
    </row>
    <row r="6368" spans="1:7">
      <c r="A6368" t="s">
        <v>32016</v>
      </c>
      <c r="B6368" t="s">
        <v>8607</v>
      </c>
      <c r="F6368" t="s">
        <v>8623</v>
      </c>
      <c r="G6368" t="s">
        <v>32017</v>
      </c>
    </row>
    <row r="6369" spans="1:7">
      <c r="A6369" t="s">
        <v>32018</v>
      </c>
      <c r="B6369" t="s">
        <v>8626</v>
      </c>
      <c r="F6369" t="s">
        <v>18923</v>
      </c>
      <c r="G6369" t="s">
        <v>32019</v>
      </c>
    </row>
    <row r="6370" spans="1:7">
      <c r="A6370" t="s">
        <v>32020</v>
      </c>
      <c r="B6370" t="s">
        <v>8607</v>
      </c>
      <c r="F6370" t="s">
        <v>27947</v>
      </c>
      <c r="G6370" t="s">
        <v>31911</v>
      </c>
    </row>
    <row r="6371" spans="1:7">
      <c r="A6371" t="s">
        <v>32021</v>
      </c>
      <c r="B6371" t="s">
        <v>8607</v>
      </c>
      <c r="F6371" t="s">
        <v>20201</v>
      </c>
      <c r="G6371" t="s">
        <v>32022</v>
      </c>
    </row>
    <row r="6372" spans="1:7">
      <c r="A6372" t="s">
        <v>32023</v>
      </c>
      <c r="B6372" t="s">
        <v>8607</v>
      </c>
      <c r="F6372" t="s">
        <v>21567</v>
      </c>
      <c r="G6372" t="s">
        <v>23720</v>
      </c>
    </row>
    <row r="6373" spans="1:7">
      <c r="A6373" t="s">
        <v>32024</v>
      </c>
      <c r="B6373" t="s">
        <v>8607</v>
      </c>
      <c r="F6373" t="s">
        <v>8623</v>
      </c>
      <c r="G6373" t="s">
        <v>32025</v>
      </c>
    </row>
    <row r="6374" spans="1:7">
      <c r="A6374" t="s">
        <v>32026</v>
      </c>
      <c r="B6374" t="s">
        <v>8607</v>
      </c>
      <c r="F6374" t="s">
        <v>8623</v>
      </c>
      <c r="G6374" t="s">
        <v>28428</v>
      </c>
    </row>
    <row r="6375" spans="1:7">
      <c r="A6375" t="s">
        <v>32027</v>
      </c>
      <c r="B6375" t="s">
        <v>8626</v>
      </c>
      <c r="G6375" t="s">
        <v>32028</v>
      </c>
    </row>
    <row r="6376" spans="1:7">
      <c r="A6376" t="s">
        <v>32029</v>
      </c>
      <c r="B6376" t="s">
        <v>8607</v>
      </c>
      <c r="F6376" t="s">
        <v>32030</v>
      </c>
      <c r="G6376" t="s">
        <v>32031</v>
      </c>
    </row>
    <row r="6377" spans="1:7">
      <c r="A6377" t="s">
        <v>32032</v>
      </c>
      <c r="B6377" t="s">
        <v>8607</v>
      </c>
      <c r="F6377" t="s">
        <v>10076</v>
      </c>
      <c r="G6377" t="s">
        <v>28442</v>
      </c>
    </row>
    <row r="6378" spans="1:7">
      <c r="A6378" t="s">
        <v>32033</v>
      </c>
      <c r="B6378" t="s">
        <v>8607</v>
      </c>
      <c r="G6378" t="s">
        <v>26789</v>
      </c>
    </row>
    <row r="6379" spans="1:7">
      <c r="A6379" t="s">
        <v>32034</v>
      </c>
      <c r="B6379" t="s">
        <v>8607</v>
      </c>
      <c r="F6379" t="s">
        <v>8623</v>
      </c>
      <c r="G6379" t="s">
        <v>32035</v>
      </c>
    </row>
    <row r="6380" spans="1:7">
      <c r="A6380" t="s">
        <v>32036</v>
      </c>
      <c r="B6380" t="s">
        <v>8607</v>
      </c>
      <c r="F6380" t="s">
        <v>26268</v>
      </c>
      <c r="G6380" t="s">
        <v>26269</v>
      </c>
    </row>
    <row r="6381" spans="1:7">
      <c r="A6381" t="s">
        <v>32037</v>
      </c>
      <c r="B6381" t="s">
        <v>8626</v>
      </c>
      <c r="F6381" t="s">
        <v>8623</v>
      </c>
      <c r="G6381" t="s">
        <v>32038</v>
      </c>
    </row>
    <row r="6382" spans="1:7">
      <c r="A6382" t="s">
        <v>32039</v>
      </c>
      <c r="B6382" t="s">
        <v>8607</v>
      </c>
      <c r="F6382" t="s">
        <v>17932</v>
      </c>
      <c r="G6382" t="s">
        <v>32040</v>
      </c>
    </row>
    <row r="6383" spans="1:7">
      <c r="A6383" t="s">
        <v>32041</v>
      </c>
      <c r="B6383" t="s">
        <v>8626</v>
      </c>
      <c r="F6383" t="s">
        <v>28798</v>
      </c>
      <c r="G6383" t="s">
        <v>32042</v>
      </c>
    </row>
    <row r="6384" spans="1:7">
      <c r="A6384" t="s">
        <v>32043</v>
      </c>
      <c r="B6384" t="s">
        <v>8626</v>
      </c>
      <c r="F6384" t="s">
        <v>28306</v>
      </c>
      <c r="G6384" t="s">
        <v>32044</v>
      </c>
    </row>
    <row r="6385" spans="1:7">
      <c r="A6385" t="s">
        <v>32045</v>
      </c>
      <c r="B6385" t="s">
        <v>8607</v>
      </c>
      <c r="F6385" t="s">
        <v>32046</v>
      </c>
      <c r="G6385" t="s">
        <v>32047</v>
      </c>
    </row>
    <row r="6386" spans="1:7">
      <c r="A6386" t="s">
        <v>32048</v>
      </c>
      <c r="B6386" t="s">
        <v>8626</v>
      </c>
      <c r="F6386" t="s">
        <v>30468</v>
      </c>
      <c r="G6386" t="s">
        <v>32049</v>
      </c>
    </row>
    <row r="6387" spans="1:7">
      <c r="A6387" t="s">
        <v>32050</v>
      </c>
      <c r="G6387" t="s">
        <v>32051</v>
      </c>
    </row>
    <row r="6388" spans="1:7">
      <c r="A6388" t="s">
        <v>32052</v>
      </c>
      <c r="B6388" t="s">
        <v>8607</v>
      </c>
      <c r="F6388" t="s">
        <v>30268</v>
      </c>
      <c r="G6388" t="s">
        <v>31018</v>
      </c>
    </row>
    <row r="6389" spans="1:7">
      <c r="A6389" t="s">
        <v>32053</v>
      </c>
      <c r="B6389" t="s">
        <v>8607</v>
      </c>
      <c r="F6389" t="s">
        <v>18894</v>
      </c>
      <c r="G6389" t="s">
        <v>32054</v>
      </c>
    </row>
    <row r="6390" spans="1:7">
      <c r="A6390" t="s">
        <v>32055</v>
      </c>
      <c r="B6390" t="s">
        <v>8607</v>
      </c>
      <c r="F6390" t="s">
        <v>31213</v>
      </c>
      <c r="G6390" t="s">
        <v>28348</v>
      </c>
    </row>
    <row r="6391" spans="1:7">
      <c r="A6391" t="s">
        <v>32056</v>
      </c>
      <c r="B6391" t="s">
        <v>8607</v>
      </c>
      <c r="F6391" t="s">
        <v>8851</v>
      </c>
      <c r="G6391" t="s">
        <v>20069</v>
      </c>
    </row>
    <row r="6392" spans="1:7">
      <c r="A6392" t="s">
        <v>32057</v>
      </c>
      <c r="B6392" t="s">
        <v>8607</v>
      </c>
      <c r="C6392" t="s">
        <v>29179</v>
      </c>
      <c r="F6392" t="s">
        <v>17320</v>
      </c>
      <c r="G6392" t="s">
        <v>31318</v>
      </c>
    </row>
    <row r="6393" spans="1:7">
      <c r="A6393" t="s">
        <v>32058</v>
      </c>
      <c r="B6393" t="s">
        <v>8607</v>
      </c>
      <c r="F6393" t="s">
        <v>17320</v>
      </c>
      <c r="G6393" t="s">
        <v>30728</v>
      </c>
    </row>
    <row r="6394" spans="1:7">
      <c r="A6394" t="s">
        <v>32059</v>
      </c>
      <c r="B6394" t="s">
        <v>8607</v>
      </c>
      <c r="F6394" t="s">
        <v>28243</v>
      </c>
      <c r="G6394" t="s">
        <v>32060</v>
      </c>
    </row>
    <row r="6395" spans="1:7">
      <c r="A6395" t="s">
        <v>32061</v>
      </c>
      <c r="B6395" t="s">
        <v>8626</v>
      </c>
      <c r="F6395" t="s">
        <v>28248</v>
      </c>
      <c r="G6395" t="s">
        <v>32062</v>
      </c>
    </row>
    <row r="6396" spans="1:7">
      <c r="A6396" t="s">
        <v>32063</v>
      </c>
      <c r="B6396" t="s">
        <v>8607</v>
      </c>
      <c r="F6396" t="s">
        <v>28248</v>
      </c>
      <c r="G6396" t="s">
        <v>32064</v>
      </c>
    </row>
    <row r="6397" spans="1:7">
      <c r="A6397" t="s">
        <v>32065</v>
      </c>
      <c r="B6397" t="s">
        <v>8626</v>
      </c>
      <c r="G6397" t="s">
        <v>32066</v>
      </c>
    </row>
    <row r="6398" spans="1:7">
      <c r="A6398" t="s">
        <v>32067</v>
      </c>
      <c r="B6398" t="s">
        <v>8626</v>
      </c>
      <c r="F6398" t="s">
        <v>19276</v>
      </c>
      <c r="G6398" t="s">
        <v>32068</v>
      </c>
    </row>
    <row r="6399" spans="1:7">
      <c r="A6399" t="s">
        <v>32069</v>
      </c>
      <c r="B6399" t="s">
        <v>8607</v>
      </c>
      <c r="G6399" t="s">
        <v>32070</v>
      </c>
    </row>
    <row r="6400" spans="1:7">
      <c r="A6400" t="s">
        <v>32071</v>
      </c>
      <c r="B6400" t="s">
        <v>8607</v>
      </c>
      <c r="F6400" t="s">
        <v>19188</v>
      </c>
      <c r="G6400" t="s">
        <v>19189</v>
      </c>
    </row>
    <row r="6401" spans="1:7">
      <c r="A6401" t="s">
        <v>32072</v>
      </c>
      <c r="B6401" t="s">
        <v>8607</v>
      </c>
      <c r="F6401" t="s">
        <v>27445</v>
      </c>
      <c r="G6401" t="s">
        <v>30176</v>
      </c>
    </row>
    <row r="6402" spans="1:7">
      <c r="A6402" t="s">
        <v>32073</v>
      </c>
      <c r="B6402" t="s">
        <v>8626</v>
      </c>
      <c r="F6402" t="s">
        <v>10676</v>
      </c>
      <c r="G6402" t="s">
        <v>32074</v>
      </c>
    </row>
    <row r="6403" spans="1:7">
      <c r="A6403" t="s">
        <v>32075</v>
      </c>
      <c r="B6403" t="s">
        <v>8626</v>
      </c>
      <c r="G6403" t="s">
        <v>32076</v>
      </c>
    </row>
    <row r="6404" spans="1:7">
      <c r="A6404" t="s">
        <v>32077</v>
      </c>
      <c r="G6404" t="s">
        <v>32078</v>
      </c>
    </row>
    <row r="6405" spans="1:7">
      <c r="A6405" t="s">
        <v>32079</v>
      </c>
      <c r="B6405" t="s">
        <v>8607</v>
      </c>
      <c r="F6405" t="s">
        <v>26843</v>
      </c>
      <c r="G6405" t="s">
        <v>29396</v>
      </c>
    </row>
    <row r="6406" spans="1:7">
      <c r="A6406" t="s">
        <v>32080</v>
      </c>
      <c r="B6406" t="s">
        <v>8626</v>
      </c>
      <c r="F6406" t="s">
        <v>32081</v>
      </c>
      <c r="G6406" t="s">
        <v>32082</v>
      </c>
    </row>
    <row r="6407" spans="1:7">
      <c r="A6407" t="s">
        <v>32083</v>
      </c>
      <c r="B6407" t="s">
        <v>8607</v>
      </c>
      <c r="F6407" t="s">
        <v>8623</v>
      </c>
      <c r="G6407" t="s">
        <v>32084</v>
      </c>
    </row>
    <row r="6408" spans="1:7">
      <c r="A6408" t="s">
        <v>32085</v>
      </c>
      <c r="B6408" t="s">
        <v>8626</v>
      </c>
      <c r="G6408" t="s">
        <v>26182</v>
      </c>
    </row>
    <row r="6409" spans="1:7">
      <c r="A6409" t="s">
        <v>32086</v>
      </c>
      <c r="B6409" t="s">
        <v>8626</v>
      </c>
      <c r="G6409" t="s">
        <v>32087</v>
      </c>
    </row>
    <row r="6410" spans="1:7">
      <c r="A6410" t="s">
        <v>32088</v>
      </c>
      <c r="B6410" t="s">
        <v>8607</v>
      </c>
      <c r="F6410" t="s">
        <v>20051</v>
      </c>
      <c r="G6410" t="s">
        <v>32089</v>
      </c>
    </row>
    <row r="6411" spans="1:7">
      <c r="A6411" t="s">
        <v>32090</v>
      </c>
      <c r="B6411" t="s">
        <v>8626</v>
      </c>
      <c r="C6411" t="s">
        <v>30473</v>
      </c>
      <c r="F6411" t="s">
        <v>27253</v>
      </c>
      <c r="G6411" t="s">
        <v>27254</v>
      </c>
    </row>
    <row r="6412" spans="1:7">
      <c r="A6412" t="s">
        <v>32091</v>
      </c>
      <c r="B6412" t="s">
        <v>8626</v>
      </c>
      <c r="F6412" t="s">
        <v>13938</v>
      </c>
      <c r="G6412" t="s">
        <v>13939</v>
      </c>
    </row>
    <row r="6413" spans="1:7">
      <c r="A6413" t="s">
        <v>32092</v>
      </c>
      <c r="B6413" t="s">
        <v>8626</v>
      </c>
      <c r="F6413" t="s">
        <v>17310</v>
      </c>
      <c r="G6413" t="s">
        <v>32093</v>
      </c>
    </row>
    <row r="6414" spans="1:7">
      <c r="A6414" t="s">
        <v>32094</v>
      </c>
      <c r="B6414" t="s">
        <v>8626</v>
      </c>
      <c r="F6414" t="s">
        <v>32095</v>
      </c>
      <c r="G6414" t="s">
        <v>32096</v>
      </c>
    </row>
    <row r="6415" spans="1:7">
      <c r="A6415" t="s">
        <v>32097</v>
      </c>
      <c r="B6415" t="s">
        <v>8626</v>
      </c>
      <c r="G6415" t="s">
        <v>32098</v>
      </c>
    </row>
    <row r="6416" spans="1:7">
      <c r="A6416" t="s">
        <v>32099</v>
      </c>
      <c r="G6416" t="s">
        <v>32100</v>
      </c>
    </row>
    <row r="6417" spans="1:7">
      <c r="A6417" t="s">
        <v>32101</v>
      </c>
      <c r="B6417" t="s">
        <v>8607</v>
      </c>
      <c r="F6417" t="s">
        <v>8623</v>
      </c>
      <c r="G6417" t="s">
        <v>11028</v>
      </c>
    </row>
    <row r="6418" spans="1:7">
      <c r="A6418" t="s">
        <v>32102</v>
      </c>
      <c r="B6418" t="s">
        <v>8626</v>
      </c>
      <c r="F6418" t="s">
        <v>32103</v>
      </c>
      <c r="G6418" t="s">
        <v>32104</v>
      </c>
    </row>
    <row r="6419" spans="1:7">
      <c r="A6419" t="s">
        <v>32105</v>
      </c>
      <c r="B6419" t="s">
        <v>8607</v>
      </c>
      <c r="G6419" t="s">
        <v>31140</v>
      </c>
    </row>
    <row r="6420" spans="1:7">
      <c r="A6420" t="s">
        <v>32106</v>
      </c>
      <c r="G6420" t="s">
        <v>32107</v>
      </c>
    </row>
    <row r="6421" spans="1:7">
      <c r="A6421" t="s">
        <v>32108</v>
      </c>
      <c r="B6421" t="s">
        <v>8607</v>
      </c>
      <c r="F6421" t="s">
        <v>27167</v>
      </c>
      <c r="G6421" t="s">
        <v>32109</v>
      </c>
    </row>
    <row r="6422" spans="1:7">
      <c r="A6422" t="s">
        <v>32110</v>
      </c>
      <c r="B6422" t="s">
        <v>8607</v>
      </c>
      <c r="F6422" t="s">
        <v>31633</v>
      </c>
      <c r="G6422" t="s">
        <v>32111</v>
      </c>
    </row>
    <row r="6423" spans="1:7">
      <c r="A6423" t="s">
        <v>32112</v>
      </c>
      <c r="B6423" t="s">
        <v>8626</v>
      </c>
      <c r="G6423" t="s">
        <v>32113</v>
      </c>
    </row>
    <row r="6424" spans="1:7">
      <c r="A6424" t="s">
        <v>32114</v>
      </c>
      <c r="B6424" t="s">
        <v>8607</v>
      </c>
      <c r="F6424" t="s">
        <v>30195</v>
      </c>
      <c r="G6424" t="s">
        <v>30196</v>
      </c>
    </row>
    <row r="6425" spans="1:7">
      <c r="A6425" t="s">
        <v>32115</v>
      </c>
      <c r="B6425" t="s">
        <v>8607</v>
      </c>
      <c r="F6425" t="s">
        <v>29135</v>
      </c>
      <c r="G6425" t="s">
        <v>32116</v>
      </c>
    </row>
    <row r="6426" spans="1:7">
      <c r="A6426" t="s">
        <v>32117</v>
      </c>
      <c r="B6426" t="s">
        <v>8607</v>
      </c>
      <c r="F6426" t="s">
        <v>8623</v>
      </c>
      <c r="G6426" t="s">
        <v>32118</v>
      </c>
    </row>
    <row r="6427" spans="1:7">
      <c r="A6427" t="s">
        <v>32119</v>
      </c>
      <c r="B6427" t="s">
        <v>8607</v>
      </c>
      <c r="C6427" t="s">
        <v>32120</v>
      </c>
      <c r="F6427" t="s">
        <v>27613</v>
      </c>
      <c r="G6427" t="s">
        <v>32121</v>
      </c>
    </row>
    <row r="6428" spans="1:7">
      <c r="A6428" t="s">
        <v>32122</v>
      </c>
      <c r="B6428" t="s">
        <v>8607</v>
      </c>
      <c r="F6428" t="s">
        <v>17932</v>
      </c>
      <c r="G6428" t="s">
        <v>17933</v>
      </c>
    </row>
    <row r="6429" spans="1:7">
      <c r="A6429" t="s">
        <v>32123</v>
      </c>
      <c r="B6429" t="s">
        <v>8607</v>
      </c>
      <c r="G6429" t="s">
        <v>26570</v>
      </c>
    </row>
    <row r="6430" spans="1:7">
      <c r="A6430" t="s">
        <v>32124</v>
      </c>
      <c r="B6430" t="s">
        <v>8607</v>
      </c>
      <c r="F6430" t="s">
        <v>17928</v>
      </c>
      <c r="G6430" t="s">
        <v>26640</v>
      </c>
    </row>
    <row r="6431" spans="1:7">
      <c r="A6431" t="s">
        <v>32125</v>
      </c>
      <c r="B6431" t="s">
        <v>8607</v>
      </c>
      <c r="F6431" t="s">
        <v>17928</v>
      </c>
      <c r="G6431" t="s">
        <v>26640</v>
      </c>
    </row>
    <row r="6432" spans="1:7">
      <c r="A6432" t="s">
        <v>32126</v>
      </c>
      <c r="B6432" t="s">
        <v>8626</v>
      </c>
      <c r="F6432" t="s">
        <v>15309</v>
      </c>
      <c r="G6432" t="s">
        <v>28896</v>
      </c>
    </row>
    <row r="6433" spans="1:7">
      <c r="A6433" t="s">
        <v>32127</v>
      </c>
      <c r="B6433" t="s">
        <v>8607</v>
      </c>
      <c r="F6433" t="s">
        <v>8623</v>
      </c>
      <c r="G6433" t="s">
        <v>32128</v>
      </c>
    </row>
    <row r="6434" spans="1:7">
      <c r="A6434" t="s">
        <v>32129</v>
      </c>
      <c r="B6434" t="s">
        <v>8607</v>
      </c>
      <c r="F6434" t="s">
        <v>26116</v>
      </c>
      <c r="G6434" t="s">
        <v>26117</v>
      </c>
    </row>
    <row r="6435" spans="1:7">
      <c r="A6435" t="s">
        <v>32130</v>
      </c>
      <c r="B6435" t="s">
        <v>8607</v>
      </c>
      <c r="F6435" t="s">
        <v>17305</v>
      </c>
      <c r="G6435" t="s">
        <v>32131</v>
      </c>
    </row>
    <row r="6436" spans="1:7">
      <c r="A6436" t="s">
        <v>32132</v>
      </c>
      <c r="B6436" t="s">
        <v>8626</v>
      </c>
      <c r="C6436" t="s">
        <v>23291</v>
      </c>
      <c r="F6436" t="s">
        <v>32133</v>
      </c>
      <c r="G6436" t="s">
        <v>32134</v>
      </c>
    </row>
    <row r="6437" spans="1:7">
      <c r="A6437" t="s">
        <v>32135</v>
      </c>
      <c r="B6437" t="s">
        <v>8607</v>
      </c>
      <c r="F6437" t="s">
        <v>32136</v>
      </c>
      <c r="G6437" t="s">
        <v>32137</v>
      </c>
    </row>
    <row r="6438" spans="1:7">
      <c r="A6438" t="s">
        <v>32138</v>
      </c>
      <c r="B6438" t="s">
        <v>8607</v>
      </c>
      <c r="F6438" t="s">
        <v>10382</v>
      </c>
      <c r="G6438" t="s">
        <v>32139</v>
      </c>
    </row>
    <row r="6439" spans="1:7">
      <c r="A6439" t="s">
        <v>32140</v>
      </c>
      <c r="B6439" t="s">
        <v>8607</v>
      </c>
      <c r="C6439" t="s">
        <v>26107</v>
      </c>
      <c r="F6439" t="s">
        <v>26108</v>
      </c>
      <c r="G6439" t="s">
        <v>26109</v>
      </c>
    </row>
    <row r="6440" spans="1:7">
      <c r="A6440" t="s">
        <v>32141</v>
      </c>
      <c r="B6440" t="s">
        <v>8607</v>
      </c>
      <c r="G6440" t="s">
        <v>26111</v>
      </c>
    </row>
    <row r="6441" spans="1:7">
      <c r="A6441" t="s">
        <v>32142</v>
      </c>
      <c r="B6441" t="s">
        <v>8626</v>
      </c>
      <c r="G6441" t="s">
        <v>32143</v>
      </c>
    </row>
    <row r="6442" spans="1:7">
      <c r="A6442" t="s">
        <v>32144</v>
      </c>
      <c r="B6442" t="s">
        <v>8626</v>
      </c>
      <c r="F6442" t="s">
        <v>31294</v>
      </c>
      <c r="G6442" t="s">
        <v>31918</v>
      </c>
    </row>
    <row r="6443" spans="1:7">
      <c r="A6443" t="s">
        <v>32145</v>
      </c>
      <c r="B6443" t="s">
        <v>8607</v>
      </c>
      <c r="F6443" t="s">
        <v>8984</v>
      </c>
      <c r="G6443" t="s">
        <v>32146</v>
      </c>
    </row>
    <row r="6444" spans="1:7">
      <c r="A6444" t="s">
        <v>32147</v>
      </c>
      <c r="B6444" t="s">
        <v>8607</v>
      </c>
      <c r="F6444" t="s">
        <v>26485</v>
      </c>
      <c r="G6444" t="s">
        <v>32148</v>
      </c>
    </row>
    <row r="6445" spans="1:7">
      <c r="A6445" t="s">
        <v>32149</v>
      </c>
      <c r="B6445" t="s">
        <v>8607</v>
      </c>
      <c r="G6445" t="s">
        <v>32150</v>
      </c>
    </row>
    <row r="6446" spans="1:7">
      <c r="A6446" t="s">
        <v>32151</v>
      </c>
      <c r="B6446" t="s">
        <v>8607</v>
      </c>
      <c r="G6446" t="s">
        <v>32152</v>
      </c>
    </row>
    <row r="6447" spans="1:7">
      <c r="A6447" t="s">
        <v>32153</v>
      </c>
      <c r="B6447" t="s">
        <v>8607</v>
      </c>
      <c r="F6447" t="s">
        <v>32154</v>
      </c>
      <c r="G6447" t="s">
        <v>32155</v>
      </c>
    </row>
    <row r="6448" spans="1:7">
      <c r="A6448" t="s">
        <v>32156</v>
      </c>
      <c r="B6448" t="s">
        <v>8607</v>
      </c>
      <c r="G6448" t="s">
        <v>32157</v>
      </c>
    </row>
    <row r="6449" spans="1:7">
      <c r="A6449" t="s">
        <v>32158</v>
      </c>
      <c r="B6449" t="s">
        <v>8607</v>
      </c>
      <c r="F6449" t="s">
        <v>27958</v>
      </c>
      <c r="G6449" t="s">
        <v>32159</v>
      </c>
    </row>
    <row r="6450" spans="1:7">
      <c r="A6450" t="s">
        <v>32160</v>
      </c>
      <c r="B6450" t="s">
        <v>8607</v>
      </c>
      <c r="F6450" t="s">
        <v>9018</v>
      </c>
      <c r="G6450" t="s">
        <v>32161</v>
      </c>
    </row>
    <row r="6451" spans="1:7">
      <c r="A6451" t="s">
        <v>32162</v>
      </c>
      <c r="B6451" t="s">
        <v>8607</v>
      </c>
      <c r="G6451" t="s">
        <v>32163</v>
      </c>
    </row>
    <row r="6452" spans="1:7">
      <c r="A6452" t="s">
        <v>32164</v>
      </c>
      <c r="B6452" t="s">
        <v>8607</v>
      </c>
      <c r="F6452" t="s">
        <v>17928</v>
      </c>
      <c r="G6452" t="s">
        <v>26640</v>
      </c>
    </row>
    <row r="6453" spans="1:7">
      <c r="A6453" t="s">
        <v>32165</v>
      </c>
      <c r="B6453" t="s">
        <v>8626</v>
      </c>
      <c r="F6453" t="s">
        <v>18594</v>
      </c>
      <c r="G6453" t="s">
        <v>18595</v>
      </c>
    </row>
    <row r="6454" spans="1:7">
      <c r="A6454" t="s">
        <v>32166</v>
      </c>
      <c r="B6454" t="s">
        <v>8607</v>
      </c>
      <c r="F6454" t="s">
        <v>27646</v>
      </c>
      <c r="G6454" t="s">
        <v>27647</v>
      </c>
    </row>
    <row r="6455" spans="1:7">
      <c r="A6455" t="s">
        <v>32167</v>
      </c>
      <c r="B6455" t="s">
        <v>8626</v>
      </c>
      <c r="F6455" t="s">
        <v>8623</v>
      </c>
      <c r="G6455" t="s">
        <v>32168</v>
      </c>
    </row>
    <row r="6456" spans="1:7">
      <c r="A6456" t="s">
        <v>32169</v>
      </c>
      <c r="B6456" t="s">
        <v>8607</v>
      </c>
      <c r="C6456" t="s">
        <v>10675</v>
      </c>
      <c r="F6456" t="s">
        <v>10676</v>
      </c>
      <c r="G6456" t="s">
        <v>32170</v>
      </c>
    </row>
    <row r="6457" spans="1:7">
      <c r="A6457" t="s">
        <v>32171</v>
      </c>
      <c r="B6457" t="s">
        <v>8626</v>
      </c>
      <c r="F6457" t="s">
        <v>32172</v>
      </c>
      <c r="G6457" t="s">
        <v>32173</v>
      </c>
    </row>
    <row r="6458" spans="1:7">
      <c r="A6458" t="s">
        <v>32174</v>
      </c>
      <c r="B6458" t="s">
        <v>8607</v>
      </c>
      <c r="F6458" t="s">
        <v>27253</v>
      </c>
      <c r="G6458" t="s">
        <v>32175</v>
      </c>
    </row>
    <row r="6459" spans="1:7">
      <c r="A6459" t="s">
        <v>32176</v>
      </c>
      <c r="B6459" t="s">
        <v>8607</v>
      </c>
      <c r="F6459" t="s">
        <v>26827</v>
      </c>
      <c r="G6459" t="s">
        <v>31953</v>
      </c>
    </row>
    <row r="6460" spans="1:7">
      <c r="A6460" t="s">
        <v>32177</v>
      </c>
      <c r="B6460" t="s">
        <v>8626</v>
      </c>
      <c r="F6460" t="s">
        <v>29207</v>
      </c>
      <c r="G6460" t="s">
        <v>31955</v>
      </c>
    </row>
    <row r="6461" spans="1:7">
      <c r="A6461" t="s">
        <v>32178</v>
      </c>
      <c r="B6461" t="s">
        <v>8607</v>
      </c>
      <c r="F6461" t="s">
        <v>32179</v>
      </c>
      <c r="G6461" t="s">
        <v>32180</v>
      </c>
    </row>
    <row r="6462" spans="1:7">
      <c r="A6462" t="s">
        <v>32181</v>
      </c>
      <c r="B6462" t="s">
        <v>8607</v>
      </c>
      <c r="F6462" t="s">
        <v>27947</v>
      </c>
      <c r="G6462" t="s">
        <v>30869</v>
      </c>
    </row>
    <row r="6463" spans="1:7">
      <c r="A6463" t="s">
        <v>32182</v>
      </c>
      <c r="B6463" t="s">
        <v>8607</v>
      </c>
      <c r="F6463" t="s">
        <v>32183</v>
      </c>
      <c r="G6463" t="s">
        <v>32184</v>
      </c>
    </row>
    <row r="6464" spans="1:7">
      <c r="A6464" t="s">
        <v>32185</v>
      </c>
      <c r="B6464" t="s">
        <v>8607</v>
      </c>
      <c r="C6464" t="s">
        <v>28362</v>
      </c>
      <c r="F6464" t="s">
        <v>27740</v>
      </c>
      <c r="G6464" t="s">
        <v>32186</v>
      </c>
    </row>
    <row r="6465" spans="1:7">
      <c r="A6465" t="s">
        <v>32187</v>
      </c>
      <c r="B6465" t="s">
        <v>8607</v>
      </c>
      <c r="F6465" t="s">
        <v>26550</v>
      </c>
      <c r="G6465" t="s">
        <v>26551</v>
      </c>
    </row>
    <row r="6466" spans="1:7">
      <c r="A6466" t="s">
        <v>32188</v>
      </c>
      <c r="B6466" t="s">
        <v>8626</v>
      </c>
      <c r="F6466" t="s">
        <v>8623</v>
      </c>
      <c r="G6466" t="s">
        <v>32189</v>
      </c>
    </row>
    <row r="6467" spans="1:7">
      <c r="A6467" t="s">
        <v>32190</v>
      </c>
      <c r="B6467" t="s">
        <v>8607</v>
      </c>
      <c r="F6467" t="s">
        <v>31812</v>
      </c>
      <c r="G6467" t="s">
        <v>31813</v>
      </c>
    </row>
    <row r="6468" spans="1:7">
      <c r="A6468" t="s">
        <v>32191</v>
      </c>
      <c r="B6468" t="s">
        <v>8607</v>
      </c>
      <c r="C6468" t="s">
        <v>30459</v>
      </c>
      <c r="F6468" t="s">
        <v>21225</v>
      </c>
      <c r="G6468" t="s">
        <v>32192</v>
      </c>
    </row>
    <row r="6469" spans="1:7">
      <c r="A6469" t="s">
        <v>32193</v>
      </c>
      <c r="B6469" t="s">
        <v>8607</v>
      </c>
      <c r="G6469" t="s">
        <v>32194</v>
      </c>
    </row>
    <row r="6470" spans="1:7">
      <c r="A6470" t="s">
        <v>32195</v>
      </c>
      <c r="B6470" t="s">
        <v>8607</v>
      </c>
      <c r="G6470" t="s">
        <v>31140</v>
      </c>
    </row>
    <row r="6471" spans="1:7">
      <c r="A6471" t="s">
        <v>32196</v>
      </c>
      <c r="B6471" t="s">
        <v>8626</v>
      </c>
      <c r="G6471" t="s">
        <v>32197</v>
      </c>
    </row>
    <row r="6472" spans="1:7">
      <c r="A6472" t="s">
        <v>32198</v>
      </c>
      <c r="B6472" t="s">
        <v>8607</v>
      </c>
      <c r="G6472" t="s">
        <v>26403</v>
      </c>
    </row>
    <row r="6473" spans="1:7">
      <c r="A6473" t="s">
        <v>32199</v>
      </c>
      <c r="B6473" t="s">
        <v>8626</v>
      </c>
      <c r="C6473" t="s">
        <v>28225</v>
      </c>
      <c r="F6473" t="s">
        <v>9018</v>
      </c>
      <c r="G6473" t="s">
        <v>32200</v>
      </c>
    </row>
    <row r="6474" spans="1:7">
      <c r="A6474" t="s">
        <v>32201</v>
      </c>
      <c r="B6474" t="s">
        <v>8626</v>
      </c>
      <c r="F6474" t="s">
        <v>22981</v>
      </c>
      <c r="G6474" t="s">
        <v>22982</v>
      </c>
    </row>
    <row r="6475" spans="1:7">
      <c r="A6475" t="s">
        <v>32202</v>
      </c>
      <c r="B6475" t="s">
        <v>8626</v>
      </c>
      <c r="F6475" t="s">
        <v>22981</v>
      </c>
      <c r="G6475" t="s">
        <v>22982</v>
      </c>
    </row>
    <row r="6476" spans="1:7">
      <c r="A6476" t="s">
        <v>32203</v>
      </c>
      <c r="B6476" t="s">
        <v>8607</v>
      </c>
      <c r="F6476" t="s">
        <v>22981</v>
      </c>
      <c r="G6476" t="s">
        <v>29263</v>
      </c>
    </row>
    <row r="6477" spans="1:7">
      <c r="A6477" t="s">
        <v>32204</v>
      </c>
      <c r="B6477" t="s">
        <v>8607</v>
      </c>
      <c r="F6477" t="s">
        <v>22981</v>
      </c>
      <c r="G6477" t="s">
        <v>32205</v>
      </c>
    </row>
    <row r="6478" spans="1:7">
      <c r="A6478" t="s">
        <v>32206</v>
      </c>
      <c r="B6478" t="s">
        <v>8607</v>
      </c>
      <c r="C6478" t="s">
        <v>26080</v>
      </c>
      <c r="F6478" t="s">
        <v>23667</v>
      </c>
      <c r="G6478" t="s">
        <v>32207</v>
      </c>
    </row>
    <row r="6479" spans="1:7">
      <c r="A6479" t="s">
        <v>32208</v>
      </c>
      <c r="B6479" t="s">
        <v>8607</v>
      </c>
      <c r="F6479" t="s">
        <v>28852</v>
      </c>
      <c r="G6479" t="s">
        <v>28927</v>
      </c>
    </row>
    <row r="6480" spans="1:7">
      <c r="A6480" t="s">
        <v>32209</v>
      </c>
      <c r="B6480" t="s">
        <v>8607</v>
      </c>
      <c r="F6480" t="s">
        <v>26104</v>
      </c>
      <c r="G6480" t="s">
        <v>32210</v>
      </c>
    </row>
    <row r="6481" spans="1:7">
      <c r="A6481" t="s">
        <v>32211</v>
      </c>
      <c r="B6481" t="s">
        <v>8607</v>
      </c>
      <c r="F6481" t="s">
        <v>17932</v>
      </c>
      <c r="G6481" t="s">
        <v>32212</v>
      </c>
    </row>
    <row r="6482" spans="1:7">
      <c r="A6482" t="s">
        <v>32213</v>
      </c>
      <c r="B6482" t="s">
        <v>8607</v>
      </c>
      <c r="G6482" t="s">
        <v>32214</v>
      </c>
    </row>
    <row r="6483" spans="1:7">
      <c r="A6483" t="s">
        <v>32215</v>
      </c>
      <c r="B6483" t="s">
        <v>8626</v>
      </c>
      <c r="F6483" t="s">
        <v>10356</v>
      </c>
      <c r="G6483" t="s">
        <v>32216</v>
      </c>
    </row>
    <row r="6484" spans="1:7">
      <c r="A6484" t="s">
        <v>32217</v>
      </c>
      <c r="B6484" t="s">
        <v>8607</v>
      </c>
      <c r="G6484" t="s">
        <v>32218</v>
      </c>
    </row>
    <row r="6485" spans="1:7">
      <c r="A6485" t="s">
        <v>32219</v>
      </c>
      <c r="B6485" t="s">
        <v>8607</v>
      </c>
      <c r="G6485" t="s">
        <v>32220</v>
      </c>
    </row>
    <row r="6486" spans="1:7">
      <c r="A6486" t="s">
        <v>32221</v>
      </c>
      <c r="B6486" t="s">
        <v>8607</v>
      </c>
      <c r="F6486" t="s">
        <v>17349</v>
      </c>
      <c r="G6486" t="s">
        <v>32222</v>
      </c>
    </row>
    <row r="6487" spans="1:7">
      <c r="A6487" t="s">
        <v>32223</v>
      </c>
      <c r="B6487" t="s">
        <v>8626</v>
      </c>
      <c r="C6487" t="s">
        <v>26080</v>
      </c>
      <c r="F6487" t="s">
        <v>23667</v>
      </c>
      <c r="G6487" t="s">
        <v>26943</v>
      </c>
    </row>
    <row r="6488" spans="1:7">
      <c r="A6488" t="s">
        <v>32224</v>
      </c>
      <c r="B6488" t="s">
        <v>8607</v>
      </c>
      <c r="F6488" t="s">
        <v>32225</v>
      </c>
      <c r="G6488" t="s">
        <v>29096</v>
      </c>
    </row>
    <row r="6489" spans="1:7">
      <c r="A6489" t="s">
        <v>32226</v>
      </c>
      <c r="B6489" t="s">
        <v>8607</v>
      </c>
      <c r="C6489" t="s">
        <v>29100</v>
      </c>
      <c r="F6489" t="s">
        <v>8623</v>
      </c>
      <c r="G6489" t="s">
        <v>32227</v>
      </c>
    </row>
    <row r="6490" spans="1:7">
      <c r="A6490" t="s">
        <v>32228</v>
      </c>
      <c r="B6490" t="s">
        <v>8607</v>
      </c>
      <c r="F6490" t="s">
        <v>17932</v>
      </c>
      <c r="G6490" t="s">
        <v>32229</v>
      </c>
    </row>
    <row r="6491" spans="1:7">
      <c r="A6491" t="s">
        <v>32230</v>
      </c>
      <c r="B6491" t="s">
        <v>8607</v>
      </c>
      <c r="G6491" t="s">
        <v>30529</v>
      </c>
    </row>
    <row r="6492" spans="1:7">
      <c r="A6492" t="s">
        <v>32231</v>
      </c>
      <c r="B6492" t="s">
        <v>8626</v>
      </c>
      <c r="F6492" t="s">
        <v>30528</v>
      </c>
      <c r="G6492" t="s">
        <v>32232</v>
      </c>
    </row>
    <row r="6493" spans="1:7">
      <c r="A6493" t="s">
        <v>32233</v>
      </c>
      <c r="B6493" t="s">
        <v>8607</v>
      </c>
      <c r="G6493" t="s">
        <v>27963</v>
      </c>
    </row>
    <row r="6494" spans="1:7">
      <c r="A6494" t="s">
        <v>32234</v>
      </c>
      <c r="B6494" t="s">
        <v>8607</v>
      </c>
      <c r="F6494" t="s">
        <v>17874</v>
      </c>
      <c r="G6494" t="s">
        <v>21631</v>
      </c>
    </row>
    <row r="6495" spans="1:7">
      <c r="A6495" t="s">
        <v>32235</v>
      </c>
      <c r="B6495" t="s">
        <v>8626</v>
      </c>
      <c r="F6495" t="s">
        <v>32236</v>
      </c>
      <c r="G6495" t="s">
        <v>32237</v>
      </c>
    </row>
    <row r="6496" spans="1:7">
      <c r="A6496" t="s">
        <v>32238</v>
      </c>
      <c r="B6496" t="s">
        <v>8607</v>
      </c>
      <c r="F6496" t="s">
        <v>32239</v>
      </c>
      <c r="G6496" t="s">
        <v>32240</v>
      </c>
    </row>
    <row r="6497" spans="1:7">
      <c r="A6497" t="s">
        <v>32241</v>
      </c>
      <c r="G6497" t="s">
        <v>32242</v>
      </c>
    </row>
    <row r="6498" spans="1:7">
      <c r="A6498" t="s">
        <v>32243</v>
      </c>
      <c r="B6498" t="s">
        <v>8607</v>
      </c>
      <c r="G6498" t="s">
        <v>32244</v>
      </c>
    </row>
    <row r="6499" spans="1:7">
      <c r="A6499" t="s">
        <v>32245</v>
      </c>
      <c r="B6499" t="s">
        <v>8607</v>
      </c>
      <c r="F6499" t="s">
        <v>32246</v>
      </c>
      <c r="G6499" t="s">
        <v>32247</v>
      </c>
    </row>
    <row r="6500" spans="1:7">
      <c r="A6500" t="s">
        <v>32248</v>
      </c>
      <c r="B6500" t="s">
        <v>8626</v>
      </c>
      <c r="F6500" t="s">
        <v>32249</v>
      </c>
      <c r="G6500" t="s">
        <v>27223</v>
      </c>
    </row>
    <row r="6501" spans="1:7">
      <c r="A6501" t="s">
        <v>32250</v>
      </c>
      <c r="B6501" t="s">
        <v>8626</v>
      </c>
      <c r="F6501" t="s">
        <v>27227</v>
      </c>
      <c r="G6501" t="s">
        <v>27228</v>
      </c>
    </row>
    <row r="6502" spans="1:7">
      <c r="A6502" t="s">
        <v>32251</v>
      </c>
      <c r="B6502" t="s">
        <v>8607</v>
      </c>
      <c r="G6502" t="s">
        <v>26470</v>
      </c>
    </row>
    <row r="6503" spans="1:7">
      <c r="A6503" t="s">
        <v>32252</v>
      </c>
      <c r="B6503" t="s">
        <v>8607</v>
      </c>
      <c r="G6503" t="s">
        <v>26155</v>
      </c>
    </row>
    <row r="6504" spans="1:7">
      <c r="A6504" t="s">
        <v>32253</v>
      </c>
      <c r="B6504" t="s">
        <v>8607</v>
      </c>
      <c r="F6504" t="s">
        <v>26919</v>
      </c>
      <c r="G6504" t="s">
        <v>26920</v>
      </c>
    </row>
    <row r="6505" spans="1:7">
      <c r="A6505" t="s">
        <v>17511</v>
      </c>
      <c r="B6505" t="s">
        <v>8607</v>
      </c>
      <c r="C6505" t="s">
        <v>17512</v>
      </c>
      <c r="F6505" t="s">
        <v>17513</v>
      </c>
      <c r="G6505" t="s">
        <v>17514</v>
      </c>
    </row>
    <row r="6506" spans="1:7">
      <c r="A6506" t="s">
        <v>17515</v>
      </c>
      <c r="B6506" t="s">
        <v>8607</v>
      </c>
      <c r="F6506" t="s">
        <v>17409</v>
      </c>
      <c r="G6506" t="s">
        <v>17516</v>
      </c>
    </row>
    <row r="6507" spans="1:7">
      <c r="A6507" t="s">
        <v>32254</v>
      </c>
      <c r="B6507" t="s">
        <v>8607</v>
      </c>
      <c r="F6507" t="s">
        <v>19188</v>
      </c>
      <c r="G6507" t="s">
        <v>19189</v>
      </c>
    </row>
    <row r="6508" spans="1:7">
      <c r="A6508" t="s">
        <v>32255</v>
      </c>
      <c r="B6508" t="s">
        <v>8607</v>
      </c>
      <c r="F6508" t="s">
        <v>32256</v>
      </c>
      <c r="G6508" t="s">
        <v>32257</v>
      </c>
    </row>
    <row r="6509" spans="1:7">
      <c r="A6509" t="s">
        <v>32258</v>
      </c>
      <c r="B6509" t="s">
        <v>8626</v>
      </c>
      <c r="F6509" t="s">
        <v>30239</v>
      </c>
      <c r="G6509" t="s">
        <v>32259</v>
      </c>
    </row>
    <row r="6510" spans="1:7">
      <c r="A6510" t="s">
        <v>32260</v>
      </c>
      <c r="B6510" t="s">
        <v>8607</v>
      </c>
      <c r="F6510" t="s">
        <v>23859</v>
      </c>
      <c r="G6510" t="s">
        <v>32261</v>
      </c>
    </row>
    <row r="6511" spans="1:7">
      <c r="A6511" t="s">
        <v>32262</v>
      </c>
      <c r="B6511" t="s">
        <v>8626</v>
      </c>
      <c r="F6511" t="s">
        <v>25453</v>
      </c>
      <c r="G6511" t="s">
        <v>32263</v>
      </c>
    </row>
    <row r="6512" spans="1:7">
      <c r="A6512" t="s">
        <v>32264</v>
      </c>
      <c r="B6512" t="s">
        <v>8607</v>
      </c>
      <c r="F6512" t="s">
        <v>17932</v>
      </c>
      <c r="G6512" t="s">
        <v>27840</v>
      </c>
    </row>
    <row r="6513" spans="1:7">
      <c r="A6513" t="s">
        <v>32265</v>
      </c>
      <c r="G6513" t="s">
        <v>32266</v>
      </c>
    </row>
    <row r="6514" spans="1:7">
      <c r="A6514" t="s">
        <v>32267</v>
      </c>
      <c r="B6514" t="s">
        <v>8607</v>
      </c>
      <c r="F6514" t="s">
        <v>16287</v>
      </c>
      <c r="G6514" t="s">
        <v>32268</v>
      </c>
    </row>
    <row r="6515" spans="1:7">
      <c r="A6515" t="s">
        <v>32269</v>
      </c>
      <c r="B6515" t="s">
        <v>8607</v>
      </c>
      <c r="F6515" t="s">
        <v>8623</v>
      </c>
      <c r="G6515" t="s">
        <v>28428</v>
      </c>
    </row>
    <row r="6516" spans="1:7">
      <c r="A6516" t="s">
        <v>32270</v>
      </c>
      <c r="B6516" t="s">
        <v>8626</v>
      </c>
      <c r="G6516" t="s">
        <v>28698</v>
      </c>
    </row>
    <row r="6517" spans="1:7">
      <c r="A6517" t="s">
        <v>32271</v>
      </c>
      <c r="B6517" t="s">
        <v>8607</v>
      </c>
      <c r="C6517" t="s">
        <v>21876</v>
      </c>
      <c r="F6517" t="s">
        <v>9052</v>
      </c>
      <c r="G6517" t="s">
        <v>32272</v>
      </c>
    </row>
    <row r="6518" spans="1:7">
      <c r="A6518" t="s">
        <v>32273</v>
      </c>
      <c r="B6518" t="s">
        <v>8626</v>
      </c>
      <c r="C6518" t="s">
        <v>25883</v>
      </c>
      <c r="F6518" t="s">
        <v>17305</v>
      </c>
      <c r="G6518" t="s">
        <v>25889</v>
      </c>
    </row>
    <row r="6519" spans="1:7">
      <c r="A6519" t="s">
        <v>32274</v>
      </c>
      <c r="B6519" t="s">
        <v>8607</v>
      </c>
      <c r="F6519" t="s">
        <v>32275</v>
      </c>
      <c r="G6519" t="s">
        <v>32276</v>
      </c>
    </row>
    <row r="6520" spans="1:7">
      <c r="A6520" t="s">
        <v>32277</v>
      </c>
      <c r="B6520" t="s">
        <v>8607</v>
      </c>
      <c r="F6520" t="s">
        <v>27930</v>
      </c>
      <c r="G6520" t="s">
        <v>32278</v>
      </c>
    </row>
    <row r="6521" spans="1:7">
      <c r="A6521" t="s">
        <v>32279</v>
      </c>
      <c r="B6521" t="s">
        <v>8626</v>
      </c>
      <c r="G6521" t="s">
        <v>32280</v>
      </c>
    </row>
    <row r="6522" spans="1:7">
      <c r="A6522" t="s">
        <v>32281</v>
      </c>
      <c r="B6522" t="s">
        <v>8607</v>
      </c>
      <c r="F6522" t="s">
        <v>27794</v>
      </c>
      <c r="G6522" t="s">
        <v>27795</v>
      </c>
    </row>
    <row r="6523" spans="1:7">
      <c r="A6523" t="s">
        <v>32282</v>
      </c>
      <c r="B6523" t="s">
        <v>8607</v>
      </c>
      <c r="G6523" t="s">
        <v>32283</v>
      </c>
    </row>
    <row r="6524" spans="1:7">
      <c r="A6524" t="s">
        <v>32284</v>
      </c>
      <c r="B6524" t="s">
        <v>8626</v>
      </c>
      <c r="G6524" t="s">
        <v>32285</v>
      </c>
    </row>
    <row r="6525" spans="1:7">
      <c r="A6525" t="s">
        <v>32286</v>
      </c>
      <c r="B6525" t="s">
        <v>8607</v>
      </c>
      <c r="G6525" t="s">
        <v>32287</v>
      </c>
    </row>
    <row r="6526" spans="1:7">
      <c r="A6526" t="s">
        <v>32288</v>
      </c>
      <c r="B6526" t="s">
        <v>8607</v>
      </c>
      <c r="G6526" t="s">
        <v>32289</v>
      </c>
    </row>
    <row r="6527" spans="1:7">
      <c r="A6527" t="s">
        <v>32290</v>
      </c>
      <c r="B6527" t="s">
        <v>8607</v>
      </c>
      <c r="C6527" t="s">
        <v>32291</v>
      </c>
      <c r="F6527" t="s">
        <v>23859</v>
      </c>
      <c r="G6527" t="s">
        <v>32292</v>
      </c>
    </row>
    <row r="6528" spans="1:7">
      <c r="A6528" t="s">
        <v>32293</v>
      </c>
      <c r="B6528" t="s">
        <v>8607</v>
      </c>
      <c r="F6528" t="s">
        <v>27323</v>
      </c>
      <c r="G6528" t="s">
        <v>32294</v>
      </c>
    </row>
    <row r="6529" spans="1:7">
      <c r="A6529" t="s">
        <v>32295</v>
      </c>
      <c r="B6529" t="s">
        <v>8607</v>
      </c>
      <c r="G6529" t="s">
        <v>32296</v>
      </c>
    </row>
    <row r="6530" spans="1:7">
      <c r="A6530" t="s">
        <v>32297</v>
      </c>
      <c r="B6530" t="s">
        <v>8626</v>
      </c>
      <c r="F6530" t="s">
        <v>26654</v>
      </c>
      <c r="G6530" t="s">
        <v>32298</v>
      </c>
    </row>
    <row r="6531" spans="1:7">
      <c r="A6531" t="s">
        <v>32299</v>
      </c>
      <c r="B6531" t="s">
        <v>8607</v>
      </c>
      <c r="G6531" t="s">
        <v>32300</v>
      </c>
    </row>
    <row r="6532" spans="1:7">
      <c r="A6532" t="s">
        <v>32301</v>
      </c>
      <c r="B6532" t="s">
        <v>8607</v>
      </c>
      <c r="F6532" t="s">
        <v>13649</v>
      </c>
      <c r="G6532" t="s">
        <v>32302</v>
      </c>
    </row>
    <row r="6533" spans="1:7">
      <c r="A6533" t="s">
        <v>32303</v>
      </c>
      <c r="B6533" t="s">
        <v>8607</v>
      </c>
      <c r="F6533" t="s">
        <v>32304</v>
      </c>
      <c r="G6533" t="s">
        <v>32305</v>
      </c>
    </row>
    <row r="6534" spans="1:7">
      <c r="A6534" t="s">
        <v>32306</v>
      </c>
      <c r="B6534" t="s">
        <v>8607</v>
      </c>
      <c r="F6534" t="s">
        <v>26751</v>
      </c>
      <c r="G6534" t="s">
        <v>32307</v>
      </c>
    </row>
    <row r="6535" spans="1:7">
      <c r="A6535" t="s">
        <v>32308</v>
      </c>
      <c r="B6535" t="s">
        <v>8626</v>
      </c>
      <c r="G6535" t="s">
        <v>32309</v>
      </c>
    </row>
    <row r="6536" spans="1:7">
      <c r="A6536" t="s">
        <v>32310</v>
      </c>
      <c r="B6536" t="s">
        <v>8626</v>
      </c>
      <c r="F6536" t="s">
        <v>32311</v>
      </c>
      <c r="G6536" t="s">
        <v>32312</v>
      </c>
    </row>
    <row r="6537" spans="1:7">
      <c r="A6537" t="s">
        <v>32313</v>
      </c>
      <c r="B6537" t="s">
        <v>8607</v>
      </c>
      <c r="C6537" t="s">
        <v>32314</v>
      </c>
      <c r="F6537" t="s">
        <v>27216</v>
      </c>
      <c r="G6537" t="s">
        <v>32315</v>
      </c>
    </row>
    <row r="6538" spans="1:7">
      <c r="A6538" t="s">
        <v>32316</v>
      </c>
      <c r="B6538" t="s">
        <v>8607</v>
      </c>
      <c r="G6538" t="s">
        <v>32317</v>
      </c>
    </row>
    <row r="6539" spans="1:7">
      <c r="A6539" t="s">
        <v>32318</v>
      </c>
      <c r="B6539" t="s">
        <v>8626</v>
      </c>
      <c r="G6539" t="s">
        <v>32319</v>
      </c>
    </row>
    <row r="6540" spans="1:7">
      <c r="A6540" t="s">
        <v>32320</v>
      </c>
      <c r="B6540" t="s">
        <v>8607</v>
      </c>
      <c r="F6540" t="s">
        <v>26251</v>
      </c>
      <c r="G6540" t="s">
        <v>32321</v>
      </c>
    </row>
    <row r="6541" spans="1:7">
      <c r="A6541" t="s">
        <v>32322</v>
      </c>
      <c r="B6541" t="s">
        <v>8607</v>
      </c>
      <c r="C6541" t="s">
        <v>32323</v>
      </c>
      <c r="F6541" t="s">
        <v>26649</v>
      </c>
      <c r="G6541" t="s">
        <v>32324</v>
      </c>
    </row>
    <row r="6542" spans="1:7">
      <c r="A6542" t="s">
        <v>32325</v>
      </c>
      <c r="B6542" t="s">
        <v>8626</v>
      </c>
      <c r="G6542" t="s">
        <v>32326</v>
      </c>
    </row>
    <row r="6543" spans="1:7">
      <c r="A6543" t="s">
        <v>32327</v>
      </c>
      <c r="B6543" t="s">
        <v>8607</v>
      </c>
      <c r="C6543" t="s">
        <v>32328</v>
      </c>
      <c r="F6543" t="s">
        <v>26911</v>
      </c>
      <c r="G6543" t="s">
        <v>32329</v>
      </c>
    </row>
    <row r="6544" spans="1:7">
      <c r="A6544" t="s">
        <v>32330</v>
      </c>
      <c r="B6544" t="s">
        <v>8607</v>
      </c>
      <c r="C6544" t="s">
        <v>32331</v>
      </c>
      <c r="F6544" t="s">
        <v>32332</v>
      </c>
      <c r="G6544" t="s">
        <v>32333</v>
      </c>
    </row>
    <row r="6545" spans="1:7">
      <c r="A6545" t="s">
        <v>32334</v>
      </c>
      <c r="B6545" t="s">
        <v>8607</v>
      </c>
      <c r="F6545" t="s">
        <v>30494</v>
      </c>
      <c r="G6545" t="s">
        <v>32335</v>
      </c>
    </row>
    <row r="6546" spans="1:7">
      <c r="A6546" t="s">
        <v>32336</v>
      </c>
      <c r="B6546" t="s">
        <v>8607</v>
      </c>
      <c r="F6546" t="s">
        <v>30494</v>
      </c>
      <c r="G6546" t="s">
        <v>32335</v>
      </c>
    </row>
    <row r="6547" spans="1:7">
      <c r="A6547" t="s">
        <v>32337</v>
      </c>
      <c r="B6547" t="s">
        <v>8626</v>
      </c>
      <c r="C6547" t="s">
        <v>26850</v>
      </c>
      <c r="F6547" t="s">
        <v>26176</v>
      </c>
      <c r="G6547" t="s">
        <v>32338</v>
      </c>
    </row>
    <row r="6548" spans="1:7">
      <c r="A6548" t="s">
        <v>32339</v>
      </c>
      <c r="B6548" t="s">
        <v>8626</v>
      </c>
      <c r="C6548" t="s">
        <v>26850</v>
      </c>
      <c r="F6548" t="s">
        <v>26176</v>
      </c>
      <c r="G6548" t="s">
        <v>32340</v>
      </c>
    </row>
    <row r="6549" spans="1:7">
      <c r="A6549" t="s">
        <v>32341</v>
      </c>
      <c r="B6549" t="s">
        <v>8607</v>
      </c>
      <c r="F6549" t="s">
        <v>9018</v>
      </c>
      <c r="G6549" t="s">
        <v>18567</v>
      </c>
    </row>
    <row r="6550" spans="1:7">
      <c r="A6550" t="s">
        <v>32342</v>
      </c>
      <c r="B6550" t="s">
        <v>8607</v>
      </c>
      <c r="F6550" t="s">
        <v>10356</v>
      </c>
      <c r="G6550" t="s">
        <v>19934</v>
      </c>
    </row>
    <row r="6551" spans="1:7">
      <c r="A6551" t="s">
        <v>32343</v>
      </c>
      <c r="B6551" t="s">
        <v>8626</v>
      </c>
      <c r="F6551" t="s">
        <v>17260</v>
      </c>
      <c r="G6551" t="s">
        <v>17261</v>
      </c>
    </row>
    <row r="6552" spans="1:7">
      <c r="A6552" t="s">
        <v>32344</v>
      </c>
      <c r="B6552" t="s">
        <v>8626</v>
      </c>
      <c r="F6552" t="s">
        <v>27428</v>
      </c>
      <c r="G6552" t="s">
        <v>27429</v>
      </c>
    </row>
    <row r="6553" spans="1:7">
      <c r="A6553" t="s">
        <v>32345</v>
      </c>
      <c r="B6553" t="s">
        <v>8607</v>
      </c>
      <c r="C6553" t="s">
        <v>28071</v>
      </c>
      <c r="F6553" t="s">
        <v>17327</v>
      </c>
      <c r="G6553" t="s">
        <v>32346</v>
      </c>
    </row>
    <row r="6554" spans="1:7">
      <c r="A6554" t="s">
        <v>32347</v>
      </c>
      <c r="B6554" t="s">
        <v>8607</v>
      </c>
      <c r="G6554" t="s">
        <v>28464</v>
      </c>
    </row>
    <row r="6555" spans="1:7">
      <c r="A6555" t="s">
        <v>32348</v>
      </c>
      <c r="B6555" t="s">
        <v>8607</v>
      </c>
      <c r="G6555" t="s">
        <v>32349</v>
      </c>
    </row>
    <row r="6556" spans="1:7">
      <c r="A6556" t="s">
        <v>32350</v>
      </c>
      <c r="B6556" t="s">
        <v>8626</v>
      </c>
      <c r="F6556" t="s">
        <v>19473</v>
      </c>
      <c r="G6556" t="s">
        <v>32351</v>
      </c>
    </row>
    <row r="6557" spans="1:7">
      <c r="A6557" t="s">
        <v>32352</v>
      </c>
      <c r="B6557" t="s">
        <v>8626</v>
      </c>
      <c r="F6557" t="s">
        <v>19473</v>
      </c>
      <c r="G6557" t="s">
        <v>32353</v>
      </c>
    </row>
    <row r="6558" spans="1:7">
      <c r="A6558" t="s">
        <v>32354</v>
      </c>
      <c r="B6558" t="s">
        <v>8607</v>
      </c>
      <c r="G6558" t="s">
        <v>32355</v>
      </c>
    </row>
    <row r="6559" spans="1:7">
      <c r="A6559" t="s">
        <v>32356</v>
      </c>
      <c r="B6559" t="s">
        <v>8607</v>
      </c>
      <c r="G6559" t="s">
        <v>32357</v>
      </c>
    </row>
    <row r="6560" spans="1:7">
      <c r="A6560" t="s">
        <v>32358</v>
      </c>
      <c r="B6560" t="s">
        <v>8607</v>
      </c>
      <c r="G6560" t="s">
        <v>32359</v>
      </c>
    </row>
    <row r="6561" spans="1:7">
      <c r="A6561" t="s">
        <v>32360</v>
      </c>
      <c r="B6561" t="s">
        <v>8607</v>
      </c>
      <c r="F6561" t="s">
        <v>26104</v>
      </c>
      <c r="G6561" t="s">
        <v>32361</v>
      </c>
    </row>
    <row r="6562" spans="1:7">
      <c r="A6562" t="s">
        <v>32362</v>
      </c>
      <c r="B6562" t="s">
        <v>8607</v>
      </c>
      <c r="G6562" t="s">
        <v>27961</v>
      </c>
    </row>
    <row r="6563" spans="1:7">
      <c r="A6563" t="s">
        <v>32363</v>
      </c>
      <c r="B6563" t="s">
        <v>8607</v>
      </c>
      <c r="G6563" t="s">
        <v>10808</v>
      </c>
    </row>
    <row r="6564" spans="1:7">
      <c r="A6564" t="s">
        <v>32364</v>
      </c>
      <c r="B6564" t="s">
        <v>8626</v>
      </c>
      <c r="G6564" t="s">
        <v>32365</v>
      </c>
    </row>
    <row r="6565" spans="1:7">
      <c r="A6565" t="s">
        <v>32366</v>
      </c>
      <c r="B6565" t="s">
        <v>8607</v>
      </c>
      <c r="F6565" t="s">
        <v>27958</v>
      </c>
      <c r="G6565" t="s">
        <v>27959</v>
      </c>
    </row>
    <row r="6566" spans="1:7">
      <c r="A6566" t="s">
        <v>32367</v>
      </c>
      <c r="B6566" t="s">
        <v>8607</v>
      </c>
      <c r="G6566" t="s">
        <v>24623</v>
      </c>
    </row>
    <row r="6567" spans="1:7">
      <c r="A6567" t="s">
        <v>32368</v>
      </c>
      <c r="B6567" t="s">
        <v>8626</v>
      </c>
      <c r="F6567" t="s">
        <v>26148</v>
      </c>
      <c r="G6567" t="s">
        <v>30412</v>
      </c>
    </row>
    <row r="6568" spans="1:7">
      <c r="A6568" t="s">
        <v>32369</v>
      </c>
      <c r="B6568" t="s">
        <v>8607</v>
      </c>
      <c r="G6568" t="s">
        <v>32370</v>
      </c>
    </row>
    <row r="6569" spans="1:7">
      <c r="A6569" t="s">
        <v>32371</v>
      </c>
      <c r="B6569" t="s">
        <v>8607</v>
      </c>
      <c r="G6569" t="s">
        <v>29879</v>
      </c>
    </row>
    <row r="6570" spans="1:7">
      <c r="A6570" t="s">
        <v>32372</v>
      </c>
      <c r="B6570" t="s">
        <v>8626</v>
      </c>
      <c r="F6570" t="s">
        <v>32373</v>
      </c>
      <c r="G6570" t="s">
        <v>32374</v>
      </c>
    </row>
    <row r="6571" spans="1:7">
      <c r="A6571" t="s">
        <v>32375</v>
      </c>
      <c r="B6571" t="s">
        <v>8626</v>
      </c>
      <c r="F6571" t="s">
        <v>32373</v>
      </c>
      <c r="G6571" t="s">
        <v>32376</v>
      </c>
    </row>
    <row r="6572" spans="1:7">
      <c r="A6572" t="s">
        <v>32377</v>
      </c>
      <c r="B6572" t="s">
        <v>8626</v>
      </c>
      <c r="C6572" t="s">
        <v>32378</v>
      </c>
      <c r="G6572" t="s">
        <v>32379</v>
      </c>
    </row>
    <row r="6573" spans="1:7">
      <c r="A6573" t="s">
        <v>32380</v>
      </c>
      <c r="B6573" t="s">
        <v>8607</v>
      </c>
      <c r="F6573" t="s">
        <v>18460</v>
      </c>
      <c r="G6573" t="s">
        <v>18461</v>
      </c>
    </row>
    <row r="6574" spans="1:7">
      <c r="A6574" t="s">
        <v>32381</v>
      </c>
      <c r="B6574" t="s">
        <v>8626</v>
      </c>
      <c r="G6574" t="s">
        <v>32382</v>
      </c>
    </row>
    <row r="6575" spans="1:7">
      <c r="A6575" t="s">
        <v>32383</v>
      </c>
      <c r="B6575" t="s">
        <v>8607</v>
      </c>
      <c r="F6575" t="s">
        <v>9512</v>
      </c>
      <c r="G6575" t="s">
        <v>32384</v>
      </c>
    </row>
    <row r="6576" spans="1:7">
      <c r="A6576" t="s">
        <v>32385</v>
      </c>
      <c r="B6576" t="s">
        <v>8607</v>
      </c>
      <c r="F6576" t="s">
        <v>9512</v>
      </c>
      <c r="G6576" t="s">
        <v>32386</v>
      </c>
    </row>
    <row r="6577" spans="1:7">
      <c r="A6577" t="s">
        <v>32387</v>
      </c>
      <c r="B6577" t="s">
        <v>8626</v>
      </c>
      <c r="F6577" t="s">
        <v>28809</v>
      </c>
      <c r="G6577" t="s">
        <v>32388</v>
      </c>
    </row>
    <row r="6578" spans="1:7">
      <c r="A6578" t="s">
        <v>32389</v>
      </c>
      <c r="B6578" t="s">
        <v>8607</v>
      </c>
      <c r="F6578" t="s">
        <v>17767</v>
      </c>
      <c r="G6578" t="s">
        <v>30274</v>
      </c>
    </row>
    <row r="6579" spans="1:7">
      <c r="A6579" t="s">
        <v>32390</v>
      </c>
      <c r="B6579" t="s">
        <v>8607</v>
      </c>
      <c r="F6579" t="s">
        <v>27253</v>
      </c>
      <c r="G6579" t="s">
        <v>32391</v>
      </c>
    </row>
    <row r="6580" spans="1:7">
      <c r="A6580" t="s">
        <v>32392</v>
      </c>
      <c r="B6580" t="s">
        <v>8626</v>
      </c>
      <c r="F6580" t="s">
        <v>26127</v>
      </c>
      <c r="G6580" t="s">
        <v>32393</v>
      </c>
    </row>
    <row r="6581" spans="1:7">
      <c r="A6581" t="s">
        <v>32394</v>
      </c>
      <c r="B6581" t="s">
        <v>8607</v>
      </c>
      <c r="F6581" t="s">
        <v>26725</v>
      </c>
      <c r="G6581" t="s">
        <v>28142</v>
      </c>
    </row>
    <row r="6582" spans="1:7">
      <c r="A6582" t="s">
        <v>32395</v>
      </c>
      <c r="B6582" t="s">
        <v>8607</v>
      </c>
      <c r="C6582" t="s">
        <v>20904</v>
      </c>
      <c r="F6582" t="s">
        <v>14108</v>
      </c>
      <c r="G6582" t="s">
        <v>20905</v>
      </c>
    </row>
    <row r="6583" spans="1:7">
      <c r="A6583" t="s">
        <v>32396</v>
      </c>
      <c r="B6583" t="s">
        <v>8626</v>
      </c>
      <c r="C6583" t="s">
        <v>27497</v>
      </c>
      <c r="F6583" t="s">
        <v>15811</v>
      </c>
      <c r="G6583" t="s">
        <v>32397</v>
      </c>
    </row>
    <row r="6584" spans="1:7">
      <c r="A6584" t="s">
        <v>32398</v>
      </c>
      <c r="B6584" t="s">
        <v>8626</v>
      </c>
      <c r="C6584" t="s">
        <v>28978</v>
      </c>
      <c r="F6584" t="s">
        <v>28979</v>
      </c>
      <c r="G6584" t="s">
        <v>32399</v>
      </c>
    </row>
    <row r="6585" spans="1:7">
      <c r="A6585" t="s">
        <v>32400</v>
      </c>
      <c r="G6585" t="s">
        <v>32401</v>
      </c>
    </row>
    <row r="6586" spans="1:7">
      <c r="A6586" t="s">
        <v>32402</v>
      </c>
      <c r="B6586" t="s">
        <v>8626</v>
      </c>
      <c r="F6586" t="s">
        <v>17830</v>
      </c>
      <c r="G6586" t="s">
        <v>28448</v>
      </c>
    </row>
    <row r="6587" spans="1:7">
      <c r="A6587" t="s">
        <v>32403</v>
      </c>
      <c r="B6587" t="s">
        <v>8607</v>
      </c>
      <c r="F6587" t="s">
        <v>17920</v>
      </c>
      <c r="G6587" t="s">
        <v>28450</v>
      </c>
    </row>
    <row r="6588" spans="1:7">
      <c r="A6588" t="s">
        <v>32404</v>
      </c>
      <c r="B6588" t="s">
        <v>8607</v>
      </c>
      <c r="F6588" t="s">
        <v>27813</v>
      </c>
      <c r="G6588" t="s">
        <v>28452</v>
      </c>
    </row>
    <row r="6589" spans="1:7">
      <c r="A6589" t="s">
        <v>32405</v>
      </c>
      <c r="B6589" t="s">
        <v>8626</v>
      </c>
      <c r="F6589" t="s">
        <v>28454</v>
      </c>
      <c r="G6589" t="s">
        <v>28455</v>
      </c>
    </row>
    <row r="6590" spans="1:7">
      <c r="A6590" t="s">
        <v>32406</v>
      </c>
      <c r="B6590" t="s">
        <v>8626</v>
      </c>
      <c r="C6590" t="s">
        <v>27957</v>
      </c>
      <c r="F6590" t="s">
        <v>27958</v>
      </c>
      <c r="G6590" t="s">
        <v>31947</v>
      </c>
    </row>
    <row r="6591" spans="1:7">
      <c r="A6591" t="s">
        <v>32407</v>
      </c>
      <c r="B6591" t="s">
        <v>8607</v>
      </c>
      <c r="F6591" t="s">
        <v>27649</v>
      </c>
      <c r="G6591" t="s">
        <v>30938</v>
      </c>
    </row>
    <row r="6592" spans="1:7">
      <c r="A6592" t="s">
        <v>32408</v>
      </c>
      <c r="B6592" t="s">
        <v>8607</v>
      </c>
      <c r="G6592" t="s">
        <v>32409</v>
      </c>
    </row>
    <row r="6593" spans="1:7">
      <c r="A6593" t="s">
        <v>32410</v>
      </c>
      <c r="B6593" t="s">
        <v>8626</v>
      </c>
      <c r="F6593" t="s">
        <v>32411</v>
      </c>
      <c r="G6593" t="s">
        <v>32412</v>
      </c>
    </row>
    <row r="6594" spans="1:7">
      <c r="A6594" t="s">
        <v>32413</v>
      </c>
      <c r="B6594" t="s">
        <v>8607</v>
      </c>
      <c r="C6594" t="s">
        <v>26850</v>
      </c>
      <c r="F6594" t="s">
        <v>26176</v>
      </c>
      <c r="G6594" t="s">
        <v>28468</v>
      </c>
    </row>
    <row r="6595" spans="1:7">
      <c r="A6595" t="s">
        <v>32414</v>
      </c>
      <c r="B6595" t="s">
        <v>8626</v>
      </c>
      <c r="F6595" t="s">
        <v>26207</v>
      </c>
      <c r="G6595" t="s">
        <v>32415</v>
      </c>
    </row>
    <row r="6596" spans="1:7">
      <c r="A6596" t="s">
        <v>32416</v>
      </c>
      <c r="B6596" t="s">
        <v>8607</v>
      </c>
      <c r="F6596" t="s">
        <v>32417</v>
      </c>
      <c r="G6596" t="s">
        <v>32418</v>
      </c>
    </row>
    <row r="6597" spans="1:7">
      <c r="A6597" t="s">
        <v>32419</v>
      </c>
      <c r="B6597" t="s">
        <v>8626</v>
      </c>
      <c r="F6597" t="s">
        <v>32420</v>
      </c>
      <c r="G6597" t="s">
        <v>32421</v>
      </c>
    </row>
    <row r="6598" spans="1:7">
      <c r="A6598" t="s">
        <v>32422</v>
      </c>
      <c r="B6598" t="s">
        <v>8607</v>
      </c>
      <c r="F6598" t="s">
        <v>20201</v>
      </c>
      <c r="G6598" t="s">
        <v>27843</v>
      </c>
    </row>
    <row r="6599" spans="1:7">
      <c r="A6599" t="s">
        <v>32423</v>
      </c>
      <c r="B6599" t="s">
        <v>8607</v>
      </c>
      <c r="F6599" t="s">
        <v>20473</v>
      </c>
      <c r="G6599" t="s">
        <v>27845</v>
      </c>
    </row>
    <row r="6600" spans="1:7">
      <c r="A6600" t="s">
        <v>32424</v>
      </c>
      <c r="G6600" t="s">
        <v>32425</v>
      </c>
    </row>
    <row r="6601" spans="1:7">
      <c r="A6601" t="s">
        <v>32426</v>
      </c>
      <c r="B6601" t="s">
        <v>8626</v>
      </c>
      <c r="F6601" t="s">
        <v>27185</v>
      </c>
      <c r="G6601" t="s">
        <v>32427</v>
      </c>
    </row>
    <row r="6602" spans="1:7">
      <c r="A6602" t="s">
        <v>32428</v>
      </c>
      <c r="B6602" t="s">
        <v>8607</v>
      </c>
      <c r="F6602" t="s">
        <v>32429</v>
      </c>
      <c r="G6602" t="s">
        <v>32430</v>
      </c>
    </row>
    <row r="6603" spans="1:7">
      <c r="A6603" t="s">
        <v>32431</v>
      </c>
      <c r="B6603" t="s">
        <v>8607</v>
      </c>
      <c r="G6603" t="s">
        <v>32432</v>
      </c>
    </row>
    <row r="6604" spans="1:7">
      <c r="A6604" t="s">
        <v>32433</v>
      </c>
      <c r="B6604" t="s">
        <v>8607</v>
      </c>
      <c r="G6604" t="s">
        <v>29363</v>
      </c>
    </row>
    <row r="6605" spans="1:7">
      <c r="A6605" t="s">
        <v>32434</v>
      </c>
      <c r="B6605" t="s">
        <v>8607</v>
      </c>
      <c r="F6605" t="s">
        <v>26793</v>
      </c>
      <c r="G6605" t="s">
        <v>26794</v>
      </c>
    </row>
    <row r="6606" spans="1:7">
      <c r="A6606" t="s">
        <v>32435</v>
      </c>
      <c r="B6606" t="s">
        <v>8607</v>
      </c>
      <c r="F6606" t="s">
        <v>19966</v>
      </c>
      <c r="G6606" t="s">
        <v>23929</v>
      </c>
    </row>
    <row r="6607" spans="1:7">
      <c r="A6607" t="s">
        <v>32436</v>
      </c>
      <c r="B6607" t="s">
        <v>8626</v>
      </c>
      <c r="G6607" t="s">
        <v>32437</v>
      </c>
    </row>
    <row r="6608" spans="1:7">
      <c r="A6608" t="s">
        <v>32438</v>
      </c>
      <c r="B6608" t="s">
        <v>8607</v>
      </c>
      <c r="G6608" t="s">
        <v>32439</v>
      </c>
    </row>
    <row r="6609" spans="1:7">
      <c r="A6609" t="s">
        <v>32440</v>
      </c>
      <c r="B6609" t="s">
        <v>8607</v>
      </c>
      <c r="C6609" t="s">
        <v>18230</v>
      </c>
      <c r="F6609" t="s">
        <v>13312</v>
      </c>
      <c r="G6609" t="s">
        <v>18989</v>
      </c>
    </row>
    <row r="6610" spans="1:7">
      <c r="A6610" t="s">
        <v>32441</v>
      </c>
      <c r="B6610" t="s">
        <v>8626</v>
      </c>
      <c r="C6610" t="s">
        <v>19016</v>
      </c>
      <c r="F6610" t="s">
        <v>13312</v>
      </c>
      <c r="G6610" t="s">
        <v>32442</v>
      </c>
    </row>
    <row r="6611" spans="1:7">
      <c r="A6611" t="s">
        <v>32443</v>
      </c>
      <c r="B6611" t="s">
        <v>8626</v>
      </c>
      <c r="C6611" t="s">
        <v>25345</v>
      </c>
      <c r="F6611" t="s">
        <v>13312</v>
      </c>
      <c r="G6611" t="s">
        <v>29090</v>
      </c>
    </row>
    <row r="6612" spans="1:7">
      <c r="A6612" t="s">
        <v>32444</v>
      </c>
      <c r="B6612" t="s">
        <v>8626</v>
      </c>
      <c r="G6612" t="s">
        <v>32445</v>
      </c>
    </row>
    <row r="6613" spans="1:7">
      <c r="A6613" t="s">
        <v>32446</v>
      </c>
      <c r="B6613" t="s">
        <v>8607</v>
      </c>
      <c r="F6613" t="s">
        <v>8623</v>
      </c>
      <c r="G6613" t="s">
        <v>32447</v>
      </c>
    </row>
    <row r="6614" spans="1:7">
      <c r="A6614" t="s">
        <v>32448</v>
      </c>
      <c r="B6614" t="s">
        <v>8607</v>
      </c>
      <c r="C6614" t="s">
        <v>26479</v>
      </c>
      <c r="F6614" t="s">
        <v>9018</v>
      </c>
      <c r="G6614" t="s">
        <v>26501</v>
      </c>
    </row>
    <row r="6615" spans="1:7">
      <c r="A6615" t="s">
        <v>32449</v>
      </c>
      <c r="B6615" t="s">
        <v>8607</v>
      </c>
      <c r="G6615" t="s">
        <v>26570</v>
      </c>
    </row>
    <row r="6616" spans="1:7">
      <c r="A6616" t="s">
        <v>32450</v>
      </c>
      <c r="B6616" t="s">
        <v>8607</v>
      </c>
      <c r="G6616" t="s">
        <v>32451</v>
      </c>
    </row>
    <row r="6617" spans="1:7">
      <c r="A6617" t="s">
        <v>32452</v>
      </c>
      <c r="B6617" t="s">
        <v>8607</v>
      </c>
      <c r="C6617" t="s">
        <v>27504</v>
      </c>
      <c r="F6617" t="s">
        <v>26291</v>
      </c>
      <c r="G6617" t="s">
        <v>29331</v>
      </c>
    </row>
    <row r="6618" spans="1:7">
      <c r="A6618" t="s">
        <v>32453</v>
      </c>
      <c r="B6618" t="s">
        <v>8607</v>
      </c>
      <c r="F6618" t="s">
        <v>26091</v>
      </c>
      <c r="G6618" t="s">
        <v>27417</v>
      </c>
    </row>
    <row r="6619" spans="1:7">
      <c r="A6619" t="s">
        <v>32454</v>
      </c>
      <c r="B6619" t="s">
        <v>8607</v>
      </c>
      <c r="F6619" t="s">
        <v>27402</v>
      </c>
      <c r="G6619" t="s">
        <v>27403</v>
      </c>
    </row>
    <row r="6620" spans="1:7">
      <c r="A6620" t="s">
        <v>32455</v>
      </c>
      <c r="B6620" t="s">
        <v>8607</v>
      </c>
      <c r="C6620" t="s">
        <v>27405</v>
      </c>
      <c r="F6620" t="s">
        <v>9002</v>
      </c>
      <c r="G6620" t="s">
        <v>27406</v>
      </c>
    </row>
    <row r="6621" spans="1:7">
      <c r="A6621" t="s">
        <v>32456</v>
      </c>
      <c r="B6621" t="s">
        <v>8607</v>
      </c>
      <c r="F6621" t="s">
        <v>27323</v>
      </c>
      <c r="G6621" t="s">
        <v>32457</v>
      </c>
    </row>
    <row r="6622" spans="1:7">
      <c r="A6622" t="s">
        <v>32458</v>
      </c>
      <c r="B6622" t="s">
        <v>8607</v>
      </c>
      <c r="C6622" t="s">
        <v>32459</v>
      </c>
      <c r="F6622" t="s">
        <v>19485</v>
      </c>
      <c r="G6622" t="s">
        <v>32460</v>
      </c>
    </row>
    <row r="6623" spans="1:7">
      <c r="A6623" t="s">
        <v>32461</v>
      </c>
      <c r="B6623" t="s">
        <v>8607</v>
      </c>
      <c r="F6623" t="s">
        <v>30403</v>
      </c>
      <c r="G6623" t="s">
        <v>30404</v>
      </c>
    </row>
    <row r="6624" spans="1:7">
      <c r="A6624" t="s">
        <v>32462</v>
      </c>
      <c r="B6624" t="s">
        <v>8607</v>
      </c>
      <c r="F6624" t="s">
        <v>23554</v>
      </c>
      <c r="G6624" t="s">
        <v>23570</v>
      </c>
    </row>
    <row r="6625" spans="1:7">
      <c r="A6625" t="s">
        <v>32463</v>
      </c>
      <c r="B6625" t="s">
        <v>8607</v>
      </c>
      <c r="F6625" t="s">
        <v>26654</v>
      </c>
      <c r="G6625" t="s">
        <v>32464</v>
      </c>
    </row>
    <row r="6626" spans="1:7">
      <c r="A6626" t="s">
        <v>32465</v>
      </c>
      <c r="B6626" t="s">
        <v>8626</v>
      </c>
      <c r="G6626" t="s">
        <v>32466</v>
      </c>
    </row>
    <row r="6627" spans="1:7">
      <c r="A6627" t="s">
        <v>32467</v>
      </c>
      <c r="B6627" t="s">
        <v>8607</v>
      </c>
      <c r="F6627" t="s">
        <v>30452</v>
      </c>
      <c r="G6627" t="s">
        <v>32468</v>
      </c>
    </row>
    <row r="6628" spans="1:7">
      <c r="A6628" t="s">
        <v>32469</v>
      </c>
      <c r="B6628" t="s">
        <v>8607</v>
      </c>
      <c r="F6628" t="s">
        <v>26880</v>
      </c>
      <c r="G6628" t="s">
        <v>32470</v>
      </c>
    </row>
    <row r="6629" spans="1:7">
      <c r="A6629" t="s">
        <v>32471</v>
      </c>
      <c r="B6629" t="s">
        <v>8626</v>
      </c>
      <c r="C6629" t="s">
        <v>19494</v>
      </c>
      <c r="F6629" t="s">
        <v>13312</v>
      </c>
      <c r="G6629" t="s">
        <v>32472</v>
      </c>
    </row>
    <row r="6630" spans="1:7">
      <c r="A6630" t="s">
        <v>32473</v>
      </c>
      <c r="B6630" t="s">
        <v>8626</v>
      </c>
      <c r="F6630" t="s">
        <v>8623</v>
      </c>
      <c r="G6630" t="s">
        <v>32474</v>
      </c>
    </row>
    <row r="6631" spans="1:7">
      <c r="A6631" t="s">
        <v>32475</v>
      </c>
      <c r="B6631" t="s">
        <v>8607</v>
      </c>
      <c r="F6631" t="s">
        <v>17767</v>
      </c>
      <c r="G6631" t="s">
        <v>30274</v>
      </c>
    </row>
    <row r="6632" spans="1:7">
      <c r="A6632" t="s">
        <v>32476</v>
      </c>
      <c r="B6632" t="s">
        <v>8607</v>
      </c>
      <c r="F6632" t="s">
        <v>17246</v>
      </c>
      <c r="G6632" t="s">
        <v>20857</v>
      </c>
    </row>
    <row r="6633" spans="1:7">
      <c r="A6633" t="s">
        <v>32477</v>
      </c>
      <c r="B6633" t="s">
        <v>8607</v>
      </c>
      <c r="F6633" t="s">
        <v>26449</v>
      </c>
      <c r="G6633" t="s">
        <v>30519</v>
      </c>
    </row>
    <row r="6634" spans="1:7">
      <c r="A6634" t="s">
        <v>32478</v>
      </c>
      <c r="G6634" t="s">
        <v>32479</v>
      </c>
    </row>
    <row r="6635" spans="1:7">
      <c r="A6635" t="s">
        <v>32480</v>
      </c>
      <c r="B6635" t="s">
        <v>8607</v>
      </c>
      <c r="F6635" t="s">
        <v>26207</v>
      </c>
      <c r="G6635" t="s">
        <v>31290</v>
      </c>
    </row>
    <row r="6636" spans="1:7">
      <c r="A6636" t="s">
        <v>32481</v>
      </c>
      <c r="B6636" t="s">
        <v>8607</v>
      </c>
      <c r="G6636" t="s">
        <v>30690</v>
      </c>
    </row>
    <row r="6637" spans="1:7">
      <c r="A6637" t="s">
        <v>32482</v>
      </c>
      <c r="B6637" t="s">
        <v>8607</v>
      </c>
      <c r="F6637" t="s">
        <v>17932</v>
      </c>
      <c r="G6637" t="s">
        <v>27840</v>
      </c>
    </row>
    <row r="6638" spans="1:7">
      <c r="A6638" t="s">
        <v>32483</v>
      </c>
      <c r="B6638" t="s">
        <v>8626</v>
      </c>
      <c r="F6638" t="s">
        <v>32484</v>
      </c>
      <c r="G6638" t="s">
        <v>32485</v>
      </c>
    </row>
    <row r="6639" spans="1:7">
      <c r="A6639" t="s">
        <v>32486</v>
      </c>
      <c r="B6639" t="s">
        <v>8626</v>
      </c>
      <c r="F6639" t="s">
        <v>9997</v>
      </c>
      <c r="G6639" t="s">
        <v>32487</v>
      </c>
    </row>
    <row r="6640" spans="1:7">
      <c r="A6640" t="s">
        <v>32488</v>
      </c>
      <c r="B6640" t="s">
        <v>8607</v>
      </c>
      <c r="G6640" t="s">
        <v>29786</v>
      </c>
    </row>
    <row r="6641" spans="1:7">
      <c r="A6641" t="s">
        <v>32489</v>
      </c>
      <c r="B6641" t="s">
        <v>8607</v>
      </c>
      <c r="G6641" t="s">
        <v>32490</v>
      </c>
    </row>
    <row r="6642" spans="1:7">
      <c r="A6642" t="s">
        <v>32491</v>
      </c>
      <c r="B6642" t="s">
        <v>8607</v>
      </c>
      <c r="F6642" t="s">
        <v>17327</v>
      </c>
      <c r="G6642" t="s">
        <v>32492</v>
      </c>
    </row>
    <row r="6643" spans="1:7">
      <c r="A6643" t="s">
        <v>32493</v>
      </c>
      <c r="B6643" t="s">
        <v>8626</v>
      </c>
      <c r="G6643" t="s">
        <v>32494</v>
      </c>
    </row>
    <row r="6644" spans="1:7">
      <c r="A6644" t="s">
        <v>32495</v>
      </c>
      <c r="G6644" t="s">
        <v>32496</v>
      </c>
    </row>
    <row r="6645" spans="1:7">
      <c r="A6645" t="s">
        <v>32497</v>
      </c>
      <c r="B6645" t="s">
        <v>8607</v>
      </c>
      <c r="F6645" t="s">
        <v>17320</v>
      </c>
      <c r="G6645" t="s">
        <v>19866</v>
      </c>
    </row>
    <row r="6646" spans="1:7">
      <c r="A6646" t="s">
        <v>32498</v>
      </c>
      <c r="B6646" t="s">
        <v>8607</v>
      </c>
      <c r="F6646" t="s">
        <v>32499</v>
      </c>
      <c r="G6646" t="s">
        <v>32500</v>
      </c>
    </row>
    <row r="6647" spans="1:7">
      <c r="A6647" t="s">
        <v>32501</v>
      </c>
      <c r="B6647" t="s">
        <v>8607</v>
      </c>
      <c r="F6647" t="s">
        <v>32502</v>
      </c>
      <c r="G6647" t="s">
        <v>32503</v>
      </c>
    </row>
    <row r="6648" spans="1:7">
      <c r="A6648" t="s">
        <v>32504</v>
      </c>
      <c r="B6648" t="s">
        <v>8607</v>
      </c>
      <c r="F6648" t="s">
        <v>20844</v>
      </c>
      <c r="G6648" t="s">
        <v>29291</v>
      </c>
    </row>
    <row r="6649" spans="1:7">
      <c r="A6649" t="s">
        <v>32505</v>
      </c>
      <c r="B6649" t="s">
        <v>8626</v>
      </c>
      <c r="F6649" t="s">
        <v>8623</v>
      </c>
      <c r="G6649" t="s">
        <v>30721</v>
      </c>
    </row>
    <row r="6650" spans="1:7">
      <c r="A6650" t="s">
        <v>32506</v>
      </c>
      <c r="B6650" t="s">
        <v>8607</v>
      </c>
      <c r="C6650" t="s">
        <v>27637</v>
      </c>
      <c r="F6650" t="s">
        <v>19234</v>
      </c>
      <c r="G6650" t="s">
        <v>27638</v>
      </c>
    </row>
    <row r="6651" spans="1:7">
      <c r="A6651" t="s">
        <v>32507</v>
      </c>
      <c r="B6651" t="s">
        <v>8607</v>
      </c>
      <c r="C6651" t="s">
        <v>27637</v>
      </c>
      <c r="F6651" t="s">
        <v>19234</v>
      </c>
      <c r="G6651" t="s">
        <v>32508</v>
      </c>
    </row>
    <row r="6652" spans="1:7">
      <c r="A6652" t="s">
        <v>32509</v>
      </c>
      <c r="B6652" t="s">
        <v>8607</v>
      </c>
      <c r="F6652" t="s">
        <v>21837</v>
      </c>
      <c r="G6652" t="s">
        <v>32510</v>
      </c>
    </row>
    <row r="6653" spans="1:7">
      <c r="A6653" t="s">
        <v>32511</v>
      </c>
      <c r="B6653" t="s">
        <v>8626</v>
      </c>
      <c r="G6653" t="s">
        <v>32512</v>
      </c>
    </row>
    <row r="6654" spans="1:7">
      <c r="A6654" t="s">
        <v>32513</v>
      </c>
      <c r="B6654" t="s">
        <v>8607</v>
      </c>
      <c r="G6654" t="s">
        <v>32514</v>
      </c>
    </row>
    <row r="6655" spans="1:7">
      <c r="A6655" t="s">
        <v>32515</v>
      </c>
      <c r="B6655" t="s">
        <v>8607</v>
      </c>
      <c r="C6655" t="s">
        <v>17308</v>
      </c>
      <c r="F6655" t="s">
        <v>17310</v>
      </c>
      <c r="G6655" t="s">
        <v>17581</v>
      </c>
    </row>
    <row r="6656" spans="1:7">
      <c r="A6656" t="s">
        <v>32516</v>
      </c>
      <c r="B6656" t="s">
        <v>8626</v>
      </c>
      <c r="G6656" t="s">
        <v>32517</v>
      </c>
    </row>
    <row r="6657" spans="1:7">
      <c r="A6657" t="s">
        <v>32518</v>
      </c>
      <c r="B6657" t="s">
        <v>8607</v>
      </c>
      <c r="F6657" t="s">
        <v>26173</v>
      </c>
      <c r="G6657" t="s">
        <v>26782</v>
      </c>
    </row>
    <row r="6658" spans="1:7">
      <c r="A6658" t="s">
        <v>32519</v>
      </c>
      <c r="B6658" t="s">
        <v>8607</v>
      </c>
      <c r="G6658" t="s">
        <v>18545</v>
      </c>
    </row>
    <row r="6659" spans="1:7">
      <c r="A6659" t="s">
        <v>32520</v>
      </c>
      <c r="B6659" t="s">
        <v>8607</v>
      </c>
      <c r="G6659" t="s">
        <v>26785</v>
      </c>
    </row>
    <row r="6660" spans="1:7">
      <c r="A6660" t="s">
        <v>32521</v>
      </c>
      <c r="B6660" t="s">
        <v>8607</v>
      </c>
      <c r="F6660" t="s">
        <v>15549</v>
      </c>
      <c r="G6660" t="s">
        <v>32522</v>
      </c>
    </row>
    <row r="6661" spans="1:7">
      <c r="A6661" t="s">
        <v>32523</v>
      </c>
      <c r="B6661" t="s">
        <v>8607</v>
      </c>
      <c r="F6661" t="s">
        <v>32524</v>
      </c>
      <c r="G6661" t="s">
        <v>32525</v>
      </c>
    </row>
    <row r="6662" spans="1:7">
      <c r="A6662" t="s">
        <v>32526</v>
      </c>
      <c r="B6662" t="s">
        <v>8607</v>
      </c>
      <c r="F6662" t="s">
        <v>27600</v>
      </c>
      <c r="G6662" t="s">
        <v>27601</v>
      </c>
    </row>
    <row r="6663" spans="1:7">
      <c r="A6663" t="s">
        <v>32527</v>
      </c>
      <c r="B6663" t="s">
        <v>8607</v>
      </c>
      <c r="F6663" t="s">
        <v>9018</v>
      </c>
      <c r="G6663" t="s">
        <v>18567</v>
      </c>
    </row>
    <row r="6664" spans="1:7">
      <c r="A6664" t="s">
        <v>32528</v>
      </c>
      <c r="B6664" t="s">
        <v>8626</v>
      </c>
      <c r="F6664" t="s">
        <v>27377</v>
      </c>
      <c r="G6664" t="s">
        <v>32529</v>
      </c>
    </row>
    <row r="6665" spans="1:7">
      <c r="A6665" t="s">
        <v>32530</v>
      </c>
      <c r="B6665" t="s">
        <v>8607</v>
      </c>
      <c r="G6665" t="s">
        <v>29380</v>
      </c>
    </row>
    <row r="6666" spans="1:7">
      <c r="A6666" t="s">
        <v>32531</v>
      </c>
      <c r="B6666" t="s">
        <v>8607</v>
      </c>
      <c r="F6666" t="s">
        <v>26268</v>
      </c>
      <c r="G6666" t="s">
        <v>26269</v>
      </c>
    </row>
    <row r="6667" spans="1:7">
      <c r="A6667" t="s">
        <v>32532</v>
      </c>
      <c r="B6667" t="s">
        <v>8607</v>
      </c>
      <c r="G6667" t="s">
        <v>24347</v>
      </c>
    </row>
    <row r="6668" spans="1:7">
      <c r="A6668" t="s">
        <v>32533</v>
      </c>
      <c r="B6668" t="s">
        <v>8626</v>
      </c>
      <c r="F6668" t="s">
        <v>23082</v>
      </c>
      <c r="G6668" t="s">
        <v>32534</v>
      </c>
    </row>
    <row r="6669" spans="1:7">
      <c r="A6669" t="s">
        <v>32535</v>
      </c>
      <c r="B6669" t="s">
        <v>8607</v>
      </c>
      <c r="F6669" t="s">
        <v>32536</v>
      </c>
      <c r="G6669" t="s">
        <v>32537</v>
      </c>
    </row>
    <row r="6670" spans="1:7">
      <c r="A6670" t="s">
        <v>32538</v>
      </c>
      <c r="B6670" t="s">
        <v>8607</v>
      </c>
      <c r="F6670" t="s">
        <v>30746</v>
      </c>
      <c r="G6670" t="s">
        <v>30747</v>
      </c>
    </row>
    <row r="6671" spans="1:7">
      <c r="A6671" t="s">
        <v>32539</v>
      </c>
      <c r="B6671" t="s">
        <v>8607</v>
      </c>
      <c r="F6671" t="s">
        <v>8623</v>
      </c>
      <c r="G6671" t="s">
        <v>32540</v>
      </c>
    </row>
    <row r="6672" spans="1:7">
      <c r="A6672" t="s">
        <v>32541</v>
      </c>
      <c r="B6672" t="s">
        <v>8626</v>
      </c>
      <c r="F6672" t="s">
        <v>17928</v>
      </c>
      <c r="G6672" t="s">
        <v>32542</v>
      </c>
    </row>
    <row r="6673" spans="1:7">
      <c r="A6673" t="s">
        <v>32543</v>
      </c>
      <c r="B6673" t="s">
        <v>8607</v>
      </c>
      <c r="C6673" t="s">
        <v>27215</v>
      </c>
      <c r="F6673" t="s">
        <v>27216</v>
      </c>
      <c r="G6673" t="s">
        <v>32544</v>
      </c>
    </row>
    <row r="6674" spans="1:7">
      <c r="A6674" t="s">
        <v>32545</v>
      </c>
      <c r="B6674" t="s">
        <v>8607</v>
      </c>
      <c r="C6674" t="s">
        <v>27219</v>
      </c>
      <c r="F6674" t="s">
        <v>27220</v>
      </c>
      <c r="G6674" t="s">
        <v>32546</v>
      </c>
    </row>
    <row r="6675" spans="1:7">
      <c r="A6675" t="s">
        <v>32547</v>
      </c>
      <c r="B6675" t="s">
        <v>8607</v>
      </c>
      <c r="C6675" t="s">
        <v>32548</v>
      </c>
      <c r="F6675" t="s">
        <v>32549</v>
      </c>
      <c r="G6675" t="s">
        <v>32550</v>
      </c>
    </row>
    <row r="6676" spans="1:7">
      <c r="A6676" t="s">
        <v>32551</v>
      </c>
      <c r="B6676" t="s">
        <v>8607</v>
      </c>
      <c r="F6676" t="s">
        <v>32552</v>
      </c>
      <c r="G6676" t="s">
        <v>32553</v>
      </c>
    </row>
    <row r="6677" spans="1:7">
      <c r="A6677" t="s">
        <v>32554</v>
      </c>
      <c r="B6677" t="s">
        <v>8626</v>
      </c>
      <c r="F6677" t="s">
        <v>26425</v>
      </c>
      <c r="G6677" t="s">
        <v>32555</v>
      </c>
    </row>
    <row r="6678" spans="1:7">
      <c r="A6678" t="s">
        <v>32556</v>
      </c>
      <c r="B6678" t="s">
        <v>8607</v>
      </c>
      <c r="F6678" t="s">
        <v>19172</v>
      </c>
      <c r="G6678" t="s">
        <v>19173</v>
      </c>
    </row>
    <row r="6679" spans="1:7">
      <c r="A6679" t="s">
        <v>32557</v>
      </c>
      <c r="B6679" t="s">
        <v>8626</v>
      </c>
      <c r="F6679" t="s">
        <v>19172</v>
      </c>
      <c r="G6679" t="s">
        <v>32558</v>
      </c>
    </row>
    <row r="6680" spans="1:7">
      <c r="A6680" t="s">
        <v>32559</v>
      </c>
      <c r="B6680" t="s">
        <v>8607</v>
      </c>
      <c r="F6680" t="s">
        <v>27899</v>
      </c>
      <c r="G6680" t="s">
        <v>30117</v>
      </c>
    </row>
    <row r="6681" spans="1:7">
      <c r="A6681" t="s">
        <v>32560</v>
      </c>
      <c r="B6681" t="s">
        <v>8607</v>
      </c>
      <c r="C6681" t="s">
        <v>27219</v>
      </c>
      <c r="F6681" t="s">
        <v>27220</v>
      </c>
      <c r="G6681" t="s">
        <v>32561</v>
      </c>
    </row>
    <row r="6682" spans="1:7">
      <c r="A6682" t="s">
        <v>32562</v>
      </c>
      <c r="B6682" t="s">
        <v>8607</v>
      </c>
      <c r="F6682" t="s">
        <v>26104</v>
      </c>
      <c r="G6682" t="s">
        <v>32210</v>
      </c>
    </row>
    <row r="6683" spans="1:7">
      <c r="A6683" t="s">
        <v>32563</v>
      </c>
      <c r="B6683" t="s">
        <v>8607</v>
      </c>
      <c r="F6683" t="s">
        <v>10076</v>
      </c>
      <c r="G6683" t="s">
        <v>32564</v>
      </c>
    </row>
    <row r="6684" spans="1:7">
      <c r="A6684" t="s">
        <v>32565</v>
      </c>
      <c r="B6684" t="s">
        <v>8626</v>
      </c>
      <c r="F6684" t="s">
        <v>17932</v>
      </c>
      <c r="G6684" t="s">
        <v>32566</v>
      </c>
    </row>
    <row r="6685" spans="1:7">
      <c r="A6685" t="s">
        <v>32567</v>
      </c>
      <c r="B6685" t="s">
        <v>8607</v>
      </c>
      <c r="G6685" t="s">
        <v>32568</v>
      </c>
    </row>
    <row r="6686" spans="1:7">
      <c r="A6686" t="s">
        <v>32569</v>
      </c>
      <c r="B6686" t="s">
        <v>8607</v>
      </c>
      <c r="F6686" t="s">
        <v>17790</v>
      </c>
      <c r="G6686" t="s">
        <v>32570</v>
      </c>
    </row>
    <row r="6687" spans="1:7">
      <c r="A6687" t="s">
        <v>32571</v>
      </c>
      <c r="B6687" t="s">
        <v>8607</v>
      </c>
      <c r="G6687" t="s">
        <v>32572</v>
      </c>
    </row>
    <row r="6688" spans="1:7">
      <c r="A6688" t="s">
        <v>32573</v>
      </c>
      <c r="B6688" t="s">
        <v>8607</v>
      </c>
      <c r="F6688" t="s">
        <v>30983</v>
      </c>
      <c r="G6688" t="s">
        <v>32574</v>
      </c>
    </row>
    <row r="6689" spans="1:7">
      <c r="A6689" t="s">
        <v>32575</v>
      </c>
      <c r="B6689" t="s">
        <v>8607</v>
      </c>
      <c r="F6689" t="s">
        <v>28088</v>
      </c>
      <c r="G6689" t="s">
        <v>32576</v>
      </c>
    </row>
    <row r="6690" spans="1:7">
      <c r="A6690" t="s">
        <v>32577</v>
      </c>
      <c r="B6690" t="s">
        <v>8607</v>
      </c>
      <c r="F6690" t="s">
        <v>28091</v>
      </c>
      <c r="G6690" t="s">
        <v>32578</v>
      </c>
    </row>
    <row r="6691" spans="1:7">
      <c r="A6691" t="s">
        <v>32579</v>
      </c>
      <c r="B6691" t="s">
        <v>8607</v>
      </c>
      <c r="G6691" t="s">
        <v>29380</v>
      </c>
    </row>
    <row r="6692" spans="1:7">
      <c r="A6692" t="s">
        <v>32580</v>
      </c>
      <c r="B6692" t="s">
        <v>8607</v>
      </c>
      <c r="F6692" t="s">
        <v>11334</v>
      </c>
      <c r="G6692" t="s">
        <v>25417</v>
      </c>
    </row>
    <row r="6693" spans="1:7">
      <c r="A6693" t="s">
        <v>32581</v>
      </c>
      <c r="B6693" t="s">
        <v>8607</v>
      </c>
      <c r="F6693" t="s">
        <v>26268</v>
      </c>
      <c r="G6693" t="s">
        <v>26269</v>
      </c>
    </row>
    <row r="6694" spans="1:7">
      <c r="A6694" t="s">
        <v>32582</v>
      </c>
      <c r="B6694" t="s">
        <v>8607</v>
      </c>
      <c r="F6694" t="s">
        <v>26230</v>
      </c>
      <c r="G6694" t="s">
        <v>26231</v>
      </c>
    </row>
    <row r="6695" spans="1:7">
      <c r="A6695" t="s">
        <v>32583</v>
      </c>
      <c r="B6695" t="s">
        <v>8607</v>
      </c>
      <c r="F6695" t="s">
        <v>32584</v>
      </c>
      <c r="G6695" t="s">
        <v>32585</v>
      </c>
    </row>
    <row r="6696" spans="1:7">
      <c r="A6696" t="s">
        <v>32586</v>
      </c>
      <c r="B6696" t="s">
        <v>8607</v>
      </c>
      <c r="C6696" t="s">
        <v>27780</v>
      </c>
      <c r="F6696" t="s">
        <v>9018</v>
      </c>
      <c r="G6696" t="s">
        <v>32587</v>
      </c>
    </row>
    <row r="6697" spans="1:7">
      <c r="A6697" t="s">
        <v>32588</v>
      </c>
      <c r="B6697" t="s">
        <v>8607</v>
      </c>
      <c r="F6697" t="s">
        <v>32589</v>
      </c>
      <c r="G6697" t="s">
        <v>32590</v>
      </c>
    </row>
    <row r="6698" spans="1:7">
      <c r="A6698" t="s">
        <v>32591</v>
      </c>
      <c r="B6698" t="s">
        <v>8607</v>
      </c>
      <c r="F6698" t="s">
        <v>24146</v>
      </c>
      <c r="G6698" t="s">
        <v>32592</v>
      </c>
    </row>
    <row r="6699" spans="1:7">
      <c r="A6699" t="s">
        <v>32593</v>
      </c>
      <c r="B6699" t="s">
        <v>8607</v>
      </c>
      <c r="F6699" t="s">
        <v>22981</v>
      </c>
      <c r="G6699" t="s">
        <v>28845</v>
      </c>
    </row>
    <row r="6700" spans="1:7">
      <c r="A6700" t="s">
        <v>32594</v>
      </c>
      <c r="B6700" t="s">
        <v>8607</v>
      </c>
      <c r="F6700" t="s">
        <v>22981</v>
      </c>
      <c r="G6700" t="s">
        <v>28845</v>
      </c>
    </row>
    <row r="6701" spans="1:7">
      <c r="A6701" t="s">
        <v>32595</v>
      </c>
      <c r="B6701" t="s">
        <v>8626</v>
      </c>
      <c r="C6701" t="s">
        <v>26665</v>
      </c>
      <c r="F6701" t="s">
        <v>26666</v>
      </c>
      <c r="G6701" t="s">
        <v>26667</v>
      </c>
    </row>
    <row r="6702" spans="1:7">
      <c r="A6702" t="s">
        <v>32596</v>
      </c>
      <c r="B6702" t="s">
        <v>8626</v>
      </c>
      <c r="C6702" t="s">
        <v>26669</v>
      </c>
      <c r="F6702" t="s">
        <v>26670</v>
      </c>
      <c r="G6702" t="s">
        <v>26671</v>
      </c>
    </row>
    <row r="6703" spans="1:7">
      <c r="A6703" t="s">
        <v>32597</v>
      </c>
      <c r="B6703" t="s">
        <v>8626</v>
      </c>
      <c r="F6703" t="s">
        <v>26937</v>
      </c>
      <c r="G6703" t="s">
        <v>30063</v>
      </c>
    </row>
    <row r="6704" spans="1:7">
      <c r="A6704" t="s">
        <v>32598</v>
      </c>
      <c r="B6704" t="s">
        <v>8626</v>
      </c>
      <c r="F6704" t="s">
        <v>26937</v>
      </c>
      <c r="G6704" t="s">
        <v>30063</v>
      </c>
    </row>
    <row r="6705" spans="1:7">
      <c r="A6705" t="s">
        <v>32599</v>
      </c>
      <c r="B6705" t="s">
        <v>8626</v>
      </c>
      <c r="G6705" t="s">
        <v>32600</v>
      </c>
    </row>
    <row r="6706" spans="1:7">
      <c r="A6706" t="s">
        <v>32601</v>
      </c>
      <c r="B6706" t="s">
        <v>8607</v>
      </c>
      <c r="G6706" t="s">
        <v>32602</v>
      </c>
    </row>
    <row r="6707" spans="1:7">
      <c r="A6707" t="s">
        <v>32603</v>
      </c>
      <c r="B6707" t="s">
        <v>8607</v>
      </c>
      <c r="F6707" t="s">
        <v>17767</v>
      </c>
      <c r="G6707" t="s">
        <v>31150</v>
      </c>
    </row>
    <row r="6708" spans="1:7">
      <c r="A6708" t="s">
        <v>32604</v>
      </c>
      <c r="B6708" t="s">
        <v>8626</v>
      </c>
      <c r="G6708" t="s">
        <v>32605</v>
      </c>
    </row>
    <row r="6709" spans="1:7">
      <c r="A6709" t="s">
        <v>32606</v>
      </c>
      <c r="B6709" t="s">
        <v>8607</v>
      </c>
      <c r="G6709" t="s">
        <v>32607</v>
      </c>
    </row>
    <row r="6710" spans="1:7">
      <c r="A6710" t="s">
        <v>32608</v>
      </c>
      <c r="B6710" t="s">
        <v>8607</v>
      </c>
      <c r="F6710" t="s">
        <v>26602</v>
      </c>
      <c r="G6710" t="s">
        <v>32609</v>
      </c>
    </row>
    <row r="6711" spans="1:7">
      <c r="A6711" t="s">
        <v>32610</v>
      </c>
      <c r="B6711" t="s">
        <v>8607</v>
      </c>
      <c r="G6711" t="s">
        <v>32611</v>
      </c>
    </row>
    <row r="6712" spans="1:7">
      <c r="A6712" t="s">
        <v>32612</v>
      </c>
      <c r="B6712" t="s">
        <v>8607</v>
      </c>
      <c r="G6712" t="s">
        <v>28106</v>
      </c>
    </row>
    <row r="6713" spans="1:7">
      <c r="A6713" t="s">
        <v>32613</v>
      </c>
      <c r="B6713" t="s">
        <v>8607</v>
      </c>
      <c r="C6713" t="s">
        <v>32614</v>
      </c>
      <c r="F6713" t="s">
        <v>17621</v>
      </c>
      <c r="G6713" t="s">
        <v>32615</v>
      </c>
    </row>
    <row r="6714" spans="1:7">
      <c r="A6714" t="s">
        <v>32616</v>
      </c>
      <c r="B6714" t="s">
        <v>8607</v>
      </c>
      <c r="G6714" t="s">
        <v>32617</v>
      </c>
    </row>
    <row r="6715" spans="1:7">
      <c r="A6715" t="s">
        <v>32618</v>
      </c>
      <c r="B6715" t="s">
        <v>8626</v>
      </c>
      <c r="G6715" t="s">
        <v>32619</v>
      </c>
    </row>
    <row r="6716" spans="1:7">
      <c r="A6716" t="s">
        <v>32620</v>
      </c>
      <c r="B6716" t="s">
        <v>8607</v>
      </c>
      <c r="F6716" t="s">
        <v>26099</v>
      </c>
      <c r="G6716" t="s">
        <v>29105</v>
      </c>
    </row>
    <row r="6717" spans="1:7">
      <c r="A6717" t="s">
        <v>32621</v>
      </c>
      <c r="B6717" t="s">
        <v>8626</v>
      </c>
      <c r="F6717" t="s">
        <v>26069</v>
      </c>
      <c r="G6717" t="s">
        <v>29107</v>
      </c>
    </row>
    <row r="6718" spans="1:7">
      <c r="A6718" t="s">
        <v>32622</v>
      </c>
      <c r="B6718" t="s">
        <v>8607</v>
      </c>
      <c r="F6718" t="s">
        <v>26072</v>
      </c>
      <c r="G6718" t="s">
        <v>32623</v>
      </c>
    </row>
    <row r="6719" spans="1:7">
      <c r="A6719" t="s">
        <v>32624</v>
      </c>
      <c r="B6719" t="s">
        <v>8607</v>
      </c>
      <c r="C6719" t="s">
        <v>18230</v>
      </c>
      <c r="F6719" t="s">
        <v>13312</v>
      </c>
      <c r="G6719" t="s">
        <v>18989</v>
      </c>
    </row>
    <row r="6720" spans="1:7">
      <c r="A6720" t="s">
        <v>32625</v>
      </c>
      <c r="B6720" t="s">
        <v>8626</v>
      </c>
      <c r="C6720" t="s">
        <v>25345</v>
      </c>
      <c r="F6720" t="s">
        <v>13312</v>
      </c>
      <c r="G6720" t="s">
        <v>29092</v>
      </c>
    </row>
    <row r="6721" spans="1:7">
      <c r="A6721" t="s">
        <v>32626</v>
      </c>
      <c r="G6721" t="s">
        <v>32627</v>
      </c>
    </row>
    <row r="6722" spans="1:7">
      <c r="A6722" t="s">
        <v>32628</v>
      </c>
      <c r="B6722" t="s">
        <v>8626</v>
      </c>
      <c r="C6722" t="s">
        <v>26080</v>
      </c>
      <c r="F6722" t="s">
        <v>23667</v>
      </c>
      <c r="G6722" t="s">
        <v>26943</v>
      </c>
    </row>
    <row r="6723" spans="1:7">
      <c r="A6723" t="s">
        <v>32629</v>
      </c>
      <c r="B6723" t="s">
        <v>8607</v>
      </c>
      <c r="F6723" t="s">
        <v>28852</v>
      </c>
      <c r="G6723" t="s">
        <v>29096</v>
      </c>
    </row>
    <row r="6724" spans="1:7">
      <c r="A6724" t="s">
        <v>32630</v>
      </c>
      <c r="B6724" t="s">
        <v>8607</v>
      </c>
      <c r="F6724" t="s">
        <v>8623</v>
      </c>
      <c r="G6724" t="s">
        <v>28428</v>
      </c>
    </row>
    <row r="6725" spans="1:7">
      <c r="A6725" t="s">
        <v>32631</v>
      </c>
      <c r="B6725" t="s">
        <v>8607</v>
      </c>
      <c r="C6725" t="s">
        <v>29100</v>
      </c>
      <c r="F6725" t="s">
        <v>8623</v>
      </c>
      <c r="G6725" t="s">
        <v>32632</v>
      </c>
    </row>
    <row r="6726" spans="1:7">
      <c r="A6726" t="s">
        <v>32633</v>
      </c>
      <c r="B6726" t="s">
        <v>8626</v>
      </c>
      <c r="F6726" t="s">
        <v>28856</v>
      </c>
      <c r="G6726" t="s">
        <v>29103</v>
      </c>
    </row>
    <row r="6727" spans="1:7">
      <c r="A6727" t="s">
        <v>32634</v>
      </c>
      <c r="B6727" t="s">
        <v>8626</v>
      </c>
      <c r="F6727" t="s">
        <v>22981</v>
      </c>
      <c r="G6727" t="s">
        <v>22982</v>
      </c>
    </row>
    <row r="6728" spans="1:7">
      <c r="A6728" t="s">
        <v>32635</v>
      </c>
      <c r="B6728" t="s">
        <v>8607</v>
      </c>
      <c r="F6728" t="s">
        <v>17741</v>
      </c>
      <c r="G6728" t="s">
        <v>32636</v>
      </c>
    </row>
    <row r="6729" spans="1:7">
      <c r="A6729" t="s">
        <v>32637</v>
      </c>
      <c r="B6729" t="s">
        <v>8626</v>
      </c>
      <c r="F6729" t="s">
        <v>26618</v>
      </c>
      <c r="G6729" t="s">
        <v>26379</v>
      </c>
    </row>
    <row r="6730" spans="1:7">
      <c r="A6730" t="s">
        <v>32638</v>
      </c>
      <c r="B6730" t="s">
        <v>8607</v>
      </c>
      <c r="F6730" t="s">
        <v>31294</v>
      </c>
      <c r="G6730" t="s">
        <v>32639</v>
      </c>
    </row>
    <row r="6731" spans="1:7">
      <c r="A6731" t="s">
        <v>32640</v>
      </c>
      <c r="B6731" t="s">
        <v>8607</v>
      </c>
      <c r="F6731" t="s">
        <v>26191</v>
      </c>
      <c r="G6731" t="s">
        <v>29779</v>
      </c>
    </row>
    <row r="6732" spans="1:7">
      <c r="A6732" t="s">
        <v>32641</v>
      </c>
      <c r="B6732" t="s">
        <v>8607</v>
      </c>
      <c r="C6732" t="s">
        <v>26083</v>
      </c>
      <c r="F6732" t="s">
        <v>26084</v>
      </c>
      <c r="G6732" t="s">
        <v>31120</v>
      </c>
    </row>
    <row r="6733" spans="1:7">
      <c r="A6733" t="s">
        <v>32642</v>
      </c>
      <c r="B6733" t="s">
        <v>8626</v>
      </c>
      <c r="C6733" t="s">
        <v>26087</v>
      </c>
      <c r="F6733" t="s">
        <v>26088</v>
      </c>
      <c r="G6733" t="s">
        <v>32643</v>
      </c>
    </row>
    <row r="6734" spans="1:7">
      <c r="A6734" t="s">
        <v>32644</v>
      </c>
      <c r="B6734" t="s">
        <v>8607</v>
      </c>
      <c r="F6734" t="s">
        <v>26091</v>
      </c>
      <c r="G6734" t="s">
        <v>32645</v>
      </c>
    </row>
    <row r="6735" spans="1:7">
      <c r="A6735" t="s">
        <v>32646</v>
      </c>
      <c r="B6735" t="s">
        <v>8607</v>
      </c>
      <c r="F6735" t="s">
        <v>26094</v>
      </c>
      <c r="G6735" t="s">
        <v>32647</v>
      </c>
    </row>
    <row r="6736" spans="1:7">
      <c r="A6736" t="s">
        <v>32648</v>
      </c>
      <c r="B6736" t="s">
        <v>8607</v>
      </c>
      <c r="G6736" t="s">
        <v>32649</v>
      </c>
    </row>
    <row r="6737" spans="1:7">
      <c r="A6737" t="s">
        <v>32650</v>
      </c>
      <c r="B6737" t="s">
        <v>8626</v>
      </c>
      <c r="C6737" t="s">
        <v>18527</v>
      </c>
      <c r="F6737" t="s">
        <v>18286</v>
      </c>
      <c r="G6737" t="s">
        <v>32651</v>
      </c>
    </row>
    <row r="6738" spans="1:7">
      <c r="A6738" t="s">
        <v>32652</v>
      </c>
      <c r="B6738" t="s">
        <v>8607</v>
      </c>
      <c r="C6738" t="s">
        <v>29122</v>
      </c>
      <c r="F6738" t="s">
        <v>10676</v>
      </c>
      <c r="G6738" t="s">
        <v>32653</v>
      </c>
    </row>
    <row r="6739" spans="1:7">
      <c r="A6739" t="s">
        <v>32654</v>
      </c>
      <c r="B6739" t="s">
        <v>8607</v>
      </c>
      <c r="F6739" t="s">
        <v>26588</v>
      </c>
      <c r="G6739" t="s">
        <v>31389</v>
      </c>
    </row>
    <row r="6740" spans="1:7">
      <c r="A6740" t="s">
        <v>32655</v>
      </c>
      <c r="B6740" t="s">
        <v>8607</v>
      </c>
      <c r="F6740" t="s">
        <v>32656</v>
      </c>
      <c r="G6740" t="s">
        <v>32657</v>
      </c>
    </row>
    <row r="6741" spans="1:7">
      <c r="A6741" t="s">
        <v>32658</v>
      </c>
      <c r="B6741" t="s">
        <v>8607</v>
      </c>
      <c r="F6741" t="s">
        <v>32659</v>
      </c>
      <c r="G6741" t="s">
        <v>32660</v>
      </c>
    </row>
    <row r="6742" spans="1:7">
      <c r="A6742" t="s">
        <v>32661</v>
      </c>
      <c r="B6742" t="s">
        <v>8607</v>
      </c>
      <c r="F6742" t="s">
        <v>32662</v>
      </c>
      <c r="G6742" t="s">
        <v>32663</v>
      </c>
    </row>
    <row r="6743" spans="1:7">
      <c r="A6743" t="s">
        <v>32664</v>
      </c>
      <c r="B6743" t="s">
        <v>8607</v>
      </c>
      <c r="F6743" t="s">
        <v>32665</v>
      </c>
      <c r="G6743" t="s">
        <v>32666</v>
      </c>
    </row>
    <row r="6744" spans="1:7">
      <c r="A6744" t="s">
        <v>32667</v>
      </c>
      <c r="B6744" t="s">
        <v>8607</v>
      </c>
      <c r="F6744" t="s">
        <v>32668</v>
      </c>
      <c r="G6744" t="s">
        <v>32669</v>
      </c>
    </row>
    <row r="6745" spans="1:7">
      <c r="A6745" t="s">
        <v>32670</v>
      </c>
      <c r="B6745" t="s">
        <v>8607</v>
      </c>
      <c r="F6745" t="s">
        <v>25821</v>
      </c>
      <c r="G6745" t="s">
        <v>32671</v>
      </c>
    </row>
    <row r="6746" spans="1:7">
      <c r="A6746" t="s">
        <v>32672</v>
      </c>
      <c r="B6746" t="s">
        <v>8607</v>
      </c>
      <c r="F6746" t="s">
        <v>24134</v>
      </c>
      <c r="G6746" t="s">
        <v>32673</v>
      </c>
    </row>
    <row r="6747" spans="1:7">
      <c r="A6747" t="s">
        <v>32674</v>
      </c>
      <c r="B6747" t="s">
        <v>8607</v>
      </c>
      <c r="F6747" t="s">
        <v>23796</v>
      </c>
      <c r="G6747" t="s">
        <v>32675</v>
      </c>
    </row>
    <row r="6748" spans="1:7">
      <c r="A6748" t="s">
        <v>32676</v>
      </c>
      <c r="B6748" t="s">
        <v>8607</v>
      </c>
      <c r="G6748" t="s">
        <v>32677</v>
      </c>
    </row>
    <row r="6749" spans="1:7">
      <c r="A6749" t="s">
        <v>32678</v>
      </c>
      <c r="B6749" t="s">
        <v>8607</v>
      </c>
      <c r="F6749" t="s">
        <v>29147</v>
      </c>
      <c r="G6749" t="s">
        <v>32679</v>
      </c>
    </row>
    <row r="6750" spans="1:7">
      <c r="A6750" t="s">
        <v>32680</v>
      </c>
      <c r="B6750" t="s">
        <v>8607</v>
      </c>
      <c r="F6750" t="s">
        <v>29150</v>
      </c>
      <c r="G6750" t="s">
        <v>32681</v>
      </c>
    </row>
    <row r="6751" spans="1:7">
      <c r="A6751" t="s">
        <v>32682</v>
      </c>
      <c r="B6751" t="s">
        <v>8607</v>
      </c>
      <c r="F6751" t="s">
        <v>29153</v>
      </c>
      <c r="G6751" t="s">
        <v>32683</v>
      </c>
    </row>
    <row r="6752" spans="1:7">
      <c r="A6752" t="s">
        <v>32684</v>
      </c>
      <c r="B6752" t="s">
        <v>8607</v>
      </c>
      <c r="F6752" t="s">
        <v>32685</v>
      </c>
      <c r="G6752" t="s">
        <v>32686</v>
      </c>
    </row>
    <row r="6753" spans="1:7">
      <c r="A6753" t="s">
        <v>32687</v>
      </c>
      <c r="B6753" t="s">
        <v>8607</v>
      </c>
      <c r="G6753" t="s">
        <v>32688</v>
      </c>
    </row>
    <row r="6754" spans="1:7">
      <c r="A6754" t="s">
        <v>32689</v>
      </c>
      <c r="B6754" t="s">
        <v>8607</v>
      </c>
      <c r="F6754" t="s">
        <v>32690</v>
      </c>
      <c r="G6754" t="s">
        <v>32691</v>
      </c>
    </row>
    <row r="6755" spans="1:7">
      <c r="A6755" t="s">
        <v>32692</v>
      </c>
      <c r="B6755" t="s">
        <v>8607</v>
      </c>
      <c r="F6755" t="s">
        <v>29144</v>
      </c>
      <c r="G6755" t="s">
        <v>32693</v>
      </c>
    </row>
    <row r="6756" spans="1:7">
      <c r="A6756" t="s">
        <v>32694</v>
      </c>
      <c r="G6756" t="s">
        <v>32695</v>
      </c>
    </row>
    <row r="6757" spans="1:7">
      <c r="A6757" t="s">
        <v>32696</v>
      </c>
      <c r="B6757" t="s">
        <v>8626</v>
      </c>
      <c r="F6757" t="s">
        <v>15549</v>
      </c>
      <c r="G6757" t="s">
        <v>32697</v>
      </c>
    </row>
    <row r="6758" spans="1:7">
      <c r="A6758" t="s">
        <v>32698</v>
      </c>
      <c r="B6758" t="s">
        <v>8626</v>
      </c>
      <c r="F6758" t="s">
        <v>32699</v>
      </c>
      <c r="G6758" t="s">
        <v>32700</v>
      </c>
    </row>
    <row r="6759" spans="1:7">
      <c r="A6759" t="s">
        <v>32701</v>
      </c>
      <c r="B6759" t="s">
        <v>8607</v>
      </c>
      <c r="F6759" t="s">
        <v>23082</v>
      </c>
      <c r="G6759" t="s">
        <v>32702</v>
      </c>
    </row>
    <row r="6760" spans="1:7">
      <c r="A6760" t="s">
        <v>32703</v>
      </c>
      <c r="B6760" t="s">
        <v>8607</v>
      </c>
      <c r="F6760" t="s">
        <v>32704</v>
      </c>
      <c r="G6760" t="s">
        <v>32705</v>
      </c>
    </row>
    <row r="6761" spans="1:7">
      <c r="A6761" t="s">
        <v>32706</v>
      </c>
      <c r="B6761" t="s">
        <v>8607</v>
      </c>
      <c r="F6761" t="s">
        <v>31380</v>
      </c>
      <c r="G6761" t="s">
        <v>32707</v>
      </c>
    </row>
    <row r="6762" spans="1:7">
      <c r="A6762" t="s">
        <v>32708</v>
      </c>
      <c r="B6762" t="s">
        <v>8607</v>
      </c>
      <c r="F6762" t="s">
        <v>31383</v>
      </c>
      <c r="G6762" t="s">
        <v>31384</v>
      </c>
    </row>
    <row r="6763" spans="1:7">
      <c r="A6763" t="s">
        <v>32709</v>
      </c>
      <c r="B6763" t="s">
        <v>8607</v>
      </c>
      <c r="F6763" t="s">
        <v>31397</v>
      </c>
      <c r="G6763" t="s">
        <v>32710</v>
      </c>
    </row>
    <row r="6764" spans="1:7">
      <c r="A6764" t="s">
        <v>32711</v>
      </c>
      <c r="B6764" t="s">
        <v>8607</v>
      </c>
      <c r="F6764" t="s">
        <v>31357</v>
      </c>
      <c r="G6764" t="s">
        <v>32712</v>
      </c>
    </row>
    <row r="6765" spans="1:7">
      <c r="A6765" t="s">
        <v>32713</v>
      </c>
      <c r="B6765" t="s">
        <v>8607</v>
      </c>
      <c r="F6765" t="s">
        <v>31360</v>
      </c>
      <c r="G6765" t="s">
        <v>32714</v>
      </c>
    </row>
    <row r="6766" spans="1:7">
      <c r="A6766" t="s">
        <v>32715</v>
      </c>
      <c r="B6766" t="s">
        <v>8607</v>
      </c>
      <c r="F6766" t="s">
        <v>31363</v>
      </c>
      <c r="G6766" t="s">
        <v>32716</v>
      </c>
    </row>
    <row r="6767" spans="1:7">
      <c r="A6767" t="s">
        <v>32717</v>
      </c>
      <c r="B6767" t="s">
        <v>8607</v>
      </c>
      <c r="F6767" t="s">
        <v>30443</v>
      </c>
      <c r="G6767" t="s">
        <v>32718</v>
      </c>
    </row>
    <row r="6768" spans="1:7">
      <c r="A6768" t="s">
        <v>32719</v>
      </c>
      <c r="B6768" t="s">
        <v>8607</v>
      </c>
      <c r="F6768" t="s">
        <v>17928</v>
      </c>
      <c r="G6768" t="s">
        <v>32720</v>
      </c>
    </row>
    <row r="6769" spans="1:7">
      <c r="A6769" t="s">
        <v>32721</v>
      </c>
      <c r="B6769" t="s">
        <v>8607</v>
      </c>
      <c r="C6769" t="s">
        <v>31374</v>
      </c>
      <c r="F6769" t="s">
        <v>21225</v>
      </c>
      <c r="G6769" t="s">
        <v>32722</v>
      </c>
    </row>
    <row r="6770" spans="1:7">
      <c r="A6770" t="s">
        <v>32723</v>
      </c>
      <c r="B6770" t="s">
        <v>8607</v>
      </c>
      <c r="F6770" t="s">
        <v>21225</v>
      </c>
      <c r="G6770" t="s">
        <v>32722</v>
      </c>
    </row>
    <row r="6771" spans="1:7">
      <c r="A6771" t="s">
        <v>32724</v>
      </c>
      <c r="B6771" t="s">
        <v>8607</v>
      </c>
      <c r="F6771" t="s">
        <v>28535</v>
      </c>
      <c r="G6771" t="s">
        <v>32725</v>
      </c>
    </row>
    <row r="6772" spans="1:7">
      <c r="A6772" t="s">
        <v>32726</v>
      </c>
      <c r="B6772" t="s">
        <v>8607</v>
      </c>
      <c r="F6772" t="s">
        <v>32727</v>
      </c>
      <c r="G6772" t="s">
        <v>32728</v>
      </c>
    </row>
    <row r="6773" spans="1:7">
      <c r="A6773" t="s">
        <v>32729</v>
      </c>
      <c r="B6773" t="s">
        <v>8607</v>
      </c>
      <c r="F6773" t="s">
        <v>19485</v>
      </c>
      <c r="G6773" t="s">
        <v>32730</v>
      </c>
    </row>
    <row r="6774" spans="1:7">
      <c r="A6774" t="s">
        <v>32731</v>
      </c>
      <c r="B6774" t="s">
        <v>8607</v>
      </c>
      <c r="F6774" t="s">
        <v>31124</v>
      </c>
      <c r="G6774" t="s">
        <v>32732</v>
      </c>
    </row>
    <row r="6775" spans="1:7">
      <c r="A6775" t="s">
        <v>32733</v>
      </c>
      <c r="B6775" t="s">
        <v>8607</v>
      </c>
      <c r="F6775" t="s">
        <v>31124</v>
      </c>
      <c r="G6775" t="s">
        <v>31125</v>
      </c>
    </row>
    <row r="6776" spans="1:7">
      <c r="A6776" t="s">
        <v>32734</v>
      </c>
      <c r="B6776" t="s">
        <v>8607</v>
      </c>
      <c r="F6776" t="s">
        <v>32735</v>
      </c>
      <c r="G6776" t="s">
        <v>32736</v>
      </c>
    </row>
    <row r="6777" spans="1:7">
      <c r="A6777" t="s">
        <v>32737</v>
      </c>
      <c r="B6777" t="s">
        <v>8607</v>
      </c>
      <c r="F6777" t="s">
        <v>9473</v>
      </c>
      <c r="G6777" t="s">
        <v>32738</v>
      </c>
    </row>
    <row r="6778" spans="1:7">
      <c r="A6778" t="s">
        <v>32739</v>
      </c>
      <c r="B6778" t="s">
        <v>8607</v>
      </c>
      <c r="F6778" t="s">
        <v>29737</v>
      </c>
      <c r="G6778" t="s">
        <v>32740</v>
      </c>
    </row>
    <row r="6779" spans="1:7">
      <c r="A6779" t="s">
        <v>32741</v>
      </c>
      <c r="G6779" t="s">
        <v>32742</v>
      </c>
    </row>
    <row r="6780" spans="1:7">
      <c r="A6780" t="s">
        <v>32743</v>
      </c>
      <c r="B6780" t="s">
        <v>8607</v>
      </c>
      <c r="G6780" t="s">
        <v>32744</v>
      </c>
    </row>
    <row r="6781" spans="1:7">
      <c r="A6781" t="s">
        <v>32745</v>
      </c>
      <c r="B6781" t="s">
        <v>8607</v>
      </c>
      <c r="F6781" t="s">
        <v>23164</v>
      </c>
      <c r="G6781" t="s">
        <v>23173</v>
      </c>
    </row>
    <row r="6782" spans="1:7">
      <c r="A6782" t="s">
        <v>32746</v>
      </c>
      <c r="B6782" t="s">
        <v>8607</v>
      </c>
      <c r="F6782" t="s">
        <v>15549</v>
      </c>
      <c r="G6782" t="s">
        <v>32747</v>
      </c>
    </row>
    <row r="6783" spans="1:7">
      <c r="A6783" t="s">
        <v>32748</v>
      </c>
      <c r="B6783" t="s">
        <v>8607</v>
      </c>
      <c r="F6783" t="s">
        <v>32749</v>
      </c>
      <c r="G6783" t="s">
        <v>32750</v>
      </c>
    </row>
    <row r="6784" spans="1:7">
      <c r="A6784" t="s">
        <v>32751</v>
      </c>
      <c r="B6784" t="s">
        <v>8607</v>
      </c>
      <c r="F6784" t="s">
        <v>9039</v>
      </c>
      <c r="G6784" t="s">
        <v>32752</v>
      </c>
    </row>
    <row r="6785" spans="1:7">
      <c r="A6785" t="s">
        <v>32753</v>
      </c>
      <c r="B6785" t="s">
        <v>8607</v>
      </c>
      <c r="F6785" t="s">
        <v>9018</v>
      </c>
      <c r="G6785" t="s">
        <v>32754</v>
      </c>
    </row>
    <row r="6786" spans="1:7">
      <c r="A6786" t="s">
        <v>32755</v>
      </c>
      <c r="B6786" t="s">
        <v>8607</v>
      </c>
      <c r="F6786" t="s">
        <v>9018</v>
      </c>
      <c r="G6786" t="s">
        <v>29791</v>
      </c>
    </row>
    <row r="6787" spans="1:7">
      <c r="A6787" t="s">
        <v>32756</v>
      </c>
      <c r="B6787" t="s">
        <v>8607</v>
      </c>
      <c r="F6787" t="s">
        <v>29207</v>
      </c>
      <c r="G6787" t="s">
        <v>32757</v>
      </c>
    </row>
    <row r="6788" spans="1:7">
      <c r="A6788" t="s">
        <v>32758</v>
      </c>
      <c r="B6788" t="s">
        <v>8607</v>
      </c>
      <c r="F6788" t="s">
        <v>29700</v>
      </c>
      <c r="G6788" t="s">
        <v>32759</v>
      </c>
    </row>
    <row r="6789" spans="1:7">
      <c r="A6789" t="s">
        <v>32760</v>
      </c>
      <c r="B6789" t="s">
        <v>8607</v>
      </c>
      <c r="G6789" t="s">
        <v>32761</v>
      </c>
    </row>
    <row r="6790" spans="1:7">
      <c r="A6790" t="s">
        <v>32762</v>
      </c>
      <c r="B6790" t="s">
        <v>8607</v>
      </c>
      <c r="F6790" t="s">
        <v>32763</v>
      </c>
      <c r="G6790" t="s">
        <v>32764</v>
      </c>
    </row>
    <row r="6791" spans="1:7">
      <c r="A6791" t="s">
        <v>32765</v>
      </c>
      <c r="B6791" t="s">
        <v>8626</v>
      </c>
      <c r="C6791" t="s">
        <v>31915</v>
      </c>
      <c r="F6791" t="s">
        <v>14285</v>
      </c>
      <c r="G6791" t="s">
        <v>31916</v>
      </c>
    </row>
    <row r="6792" spans="1:7">
      <c r="A6792" t="s">
        <v>32766</v>
      </c>
      <c r="B6792" t="s">
        <v>8607</v>
      </c>
      <c r="C6792" t="s">
        <v>20054</v>
      </c>
      <c r="F6792" t="s">
        <v>8851</v>
      </c>
      <c r="G6792" t="s">
        <v>28993</v>
      </c>
    </row>
    <row r="6793" spans="1:7">
      <c r="A6793" t="s">
        <v>32767</v>
      </c>
      <c r="B6793" t="s">
        <v>8626</v>
      </c>
      <c r="G6793" t="s">
        <v>32768</v>
      </c>
    </row>
    <row r="6794" spans="1:7">
      <c r="A6794" t="s">
        <v>32769</v>
      </c>
      <c r="B6794" t="s">
        <v>8626</v>
      </c>
      <c r="F6794" t="s">
        <v>29555</v>
      </c>
      <c r="G6794" t="s">
        <v>29651</v>
      </c>
    </row>
    <row r="6795" spans="1:7">
      <c r="A6795" t="s">
        <v>32770</v>
      </c>
      <c r="B6795" t="s">
        <v>8607</v>
      </c>
      <c r="C6795" t="s">
        <v>29179</v>
      </c>
      <c r="F6795" t="s">
        <v>17320</v>
      </c>
      <c r="G6795" t="s">
        <v>32771</v>
      </c>
    </row>
    <row r="6796" spans="1:7">
      <c r="A6796" t="s">
        <v>32772</v>
      </c>
      <c r="B6796" t="s">
        <v>8607</v>
      </c>
      <c r="C6796" t="s">
        <v>26315</v>
      </c>
      <c r="F6796" t="s">
        <v>17320</v>
      </c>
      <c r="G6796" t="s">
        <v>29993</v>
      </c>
    </row>
    <row r="6797" spans="1:7">
      <c r="A6797" t="s">
        <v>32773</v>
      </c>
      <c r="B6797" t="s">
        <v>8607</v>
      </c>
      <c r="C6797" t="s">
        <v>26315</v>
      </c>
      <c r="F6797" t="s">
        <v>17320</v>
      </c>
      <c r="G6797" t="s">
        <v>32774</v>
      </c>
    </row>
    <row r="6798" spans="1:7">
      <c r="A6798" t="s">
        <v>32775</v>
      </c>
      <c r="B6798" t="s">
        <v>8607</v>
      </c>
      <c r="F6798" t="s">
        <v>32776</v>
      </c>
      <c r="G6798" t="s">
        <v>32777</v>
      </c>
    </row>
    <row r="6799" spans="1:7">
      <c r="A6799" t="s">
        <v>32778</v>
      </c>
      <c r="B6799" t="s">
        <v>8607</v>
      </c>
      <c r="F6799" t="s">
        <v>26230</v>
      </c>
      <c r="G6799" t="s">
        <v>32779</v>
      </c>
    </row>
    <row r="6800" spans="1:7">
      <c r="A6800" t="s">
        <v>32780</v>
      </c>
      <c r="B6800" t="s">
        <v>8607</v>
      </c>
      <c r="F6800" t="s">
        <v>32781</v>
      </c>
      <c r="G6800" t="s">
        <v>32782</v>
      </c>
    </row>
    <row r="6801" spans="1:7">
      <c r="A6801" t="s">
        <v>32783</v>
      </c>
      <c r="B6801" t="s">
        <v>8607</v>
      </c>
      <c r="C6801" t="s">
        <v>18553</v>
      </c>
      <c r="F6801" t="s">
        <v>9018</v>
      </c>
      <c r="G6801" t="s">
        <v>32784</v>
      </c>
    </row>
    <row r="6802" spans="1:7">
      <c r="A6802" t="s">
        <v>32785</v>
      </c>
      <c r="B6802" t="s">
        <v>8607</v>
      </c>
      <c r="F6802" t="s">
        <v>26191</v>
      </c>
      <c r="G6802" t="s">
        <v>26749</v>
      </c>
    </row>
    <row r="6803" spans="1:7">
      <c r="A6803" t="s">
        <v>32786</v>
      </c>
      <c r="B6803" t="s">
        <v>8626</v>
      </c>
      <c r="F6803" t="s">
        <v>32787</v>
      </c>
      <c r="G6803" t="s">
        <v>32788</v>
      </c>
    </row>
    <row r="6804" spans="1:7">
      <c r="A6804" t="s">
        <v>32789</v>
      </c>
      <c r="B6804" t="s">
        <v>8607</v>
      </c>
      <c r="C6804" t="s">
        <v>32790</v>
      </c>
      <c r="F6804" t="s">
        <v>32791</v>
      </c>
      <c r="G6804" t="s">
        <v>32792</v>
      </c>
    </row>
    <row r="6805" spans="1:7">
      <c r="A6805" t="s">
        <v>32793</v>
      </c>
      <c r="B6805" t="s">
        <v>8626</v>
      </c>
      <c r="F6805" t="s">
        <v>26759</v>
      </c>
      <c r="G6805" t="s">
        <v>26760</v>
      </c>
    </row>
    <row r="6806" spans="1:7">
      <c r="A6806" t="s">
        <v>32794</v>
      </c>
      <c r="B6806" t="s">
        <v>8607</v>
      </c>
      <c r="F6806" t="s">
        <v>21225</v>
      </c>
      <c r="G6806" t="s">
        <v>32795</v>
      </c>
    </row>
    <row r="6807" spans="1:7">
      <c r="A6807" t="s">
        <v>32796</v>
      </c>
      <c r="B6807" t="s">
        <v>8607</v>
      </c>
      <c r="F6807" t="s">
        <v>26264</v>
      </c>
      <c r="G6807" t="s">
        <v>32797</v>
      </c>
    </row>
    <row r="6808" spans="1:7">
      <c r="A6808" t="s">
        <v>32798</v>
      </c>
      <c r="B6808" t="s">
        <v>8607</v>
      </c>
      <c r="F6808" t="s">
        <v>26764</v>
      </c>
      <c r="G6808" t="s">
        <v>32799</v>
      </c>
    </row>
    <row r="6809" spans="1:7">
      <c r="A6809" t="s">
        <v>32800</v>
      </c>
      <c r="B6809" t="s">
        <v>8607</v>
      </c>
      <c r="F6809" t="s">
        <v>13761</v>
      </c>
      <c r="G6809" t="s">
        <v>32801</v>
      </c>
    </row>
    <row r="6810" spans="1:7">
      <c r="A6810" t="s">
        <v>32802</v>
      </c>
      <c r="B6810" t="s">
        <v>8607</v>
      </c>
      <c r="F6810" t="s">
        <v>9018</v>
      </c>
      <c r="G6810" t="s">
        <v>29791</v>
      </c>
    </row>
    <row r="6811" spans="1:7">
      <c r="A6811" t="s">
        <v>32803</v>
      </c>
      <c r="B6811" t="s">
        <v>8607</v>
      </c>
      <c r="G6811" t="s">
        <v>32804</v>
      </c>
    </row>
    <row r="6812" spans="1:7">
      <c r="A6812" t="s">
        <v>32805</v>
      </c>
      <c r="B6812" t="s">
        <v>8626</v>
      </c>
      <c r="G6812" t="s">
        <v>32806</v>
      </c>
    </row>
    <row r="6813" spans="1:7">
      <c r="A6813" t="s">
        <v>32807</v>
      </c>
      <c r="B6813" t="s">
        <v>8607</v>
      </c>
      <c r="G6813" t="s">
        <v>32808</v>
      </c>
    </row>
    <row r="6814" spans="1:7">
      <c r="A6814" t="s">
        <v>32809</v>
      </c>
      <c r="B6814" t="s">
        <v>8607</v>
      </c>
      <c r="G6814" t="s">
        <v>32810</v>
      </c>
    </row>
    <row r="6815" spans="1:7">
      <c r="A6815" t="s">
        <v>32811</v>
      </c>
      <c r="B6815" t="s">
        <v>8607</v>
      </c>
      <c r="C6815" t="s">
        <v>30652</v>
      </c>
      <c r="F6815" t="s">
        <v>28637</v>
      </c>
      <c r="G6815" t="s">
        <v>32812</v>
      </c>
    </row>
    <row r="6816" spans="1:7">
      <c r="A6816" t="s">
        <v>32813</v>
      </c>
      <c r="B6816" t="s">
        <v>8607</v>
      </c>
      <c r="F6816" t="s">
        <v>21832</v>
      </c>
      <c r="G6816" t="s">
        <v>32814</v>
      </c>
    </row>
    <row r="6817" spans="1:7">
      <c r="A6817" t="s">
        <v>32815</v>
      </c>
      <c r="G6817" t="s">
        <v>32816</v>
      </c>
    </row>
    <row r="6818" spans="1:7">
      <c r="A6818" t="s">
        <v>32817</v>
      </c>
      <c r="B6818" t="s">
        <v>8607</v>
      </c>
      <c r="F6818" t="s">
        <v>8623</v>
      </c>
      <c r="G6818" t="s">
        <v>30438</v>
      </c>
    </row>
    <row r="6819" spans="1:7">
      <c r="A6819" t="s">
        <v>32818</v>
      </c>
      <c r="B6819" t="s">
        <v>8607</v>
      </c>
      <c r="G6819" t="s">
        <v>32819</v>
      </c>
    </row>
    <row r="6820" spans="1:7">
      <c r="A6820" t="s">
        <v>32820</v>
      </c>
      <c r="B6820" t="s">
        <v>8607</v>
      </c>
      <c r="G6820" t="s">
        <v>32821</v>
      </c>
    </row>
    <row r="6821" spans="1:7">
      <c r="A6821" t="s">
        <v>32822</v>
      </c>
      <c r="G6821" t="s">
        <v>32823</v>
      </c>
    </row>
    <row r="6822" spans="1:7">
      <c r="A6822" t="s">
        <v>32824</v>
      </c>
      <c r="B6822" t="s">
        <v>8607</v>
      </c>
      <c r="F6822" t="s">
        <v>17305</v>
      </c>
      <c r="G6822" t="s">
        <v>24781</v>
      </c>
    </row>
    <row r="6823" spans="1:7">
      <c r="A6823" t="s">
        <v>32825</v>
      </c>
      <c r="B6823" t="s">
        <v>8607</v>
      </c>
      <c r="G6823" t="s">
        <v>32826</v>
      </c>
    </row>
    <row r="6824" spans="1:7">
      <c r="A6824" t="s">
        <v>32827</v>
      </c>
      <c r="B6824" t="s">
        <v>8607</v>
      </c>
      <c r="G6824" t="s">
        <v>32828</v>
      </c>
    </row>
    <row r="6825" spans="1:7">
      <c r="A6825" t="s">
        <v>32829</v>
      </c>
      <c r="B6825" t="s">
        <v>8607</v>
      </c>
      <c r="F6825" t="s">
        <v>32830</v>
      </c>
      <c r="G6825" t="s">
        <v>32831</v>
      </c>
    </row>
    <row r="6826" spans="1:7">
      <c r="A6826" t="s">
        <v>32832</v>
      </c>
      <c r="B6826" t="s">
        <v>8607</v>
      </c>
      <c r="G6826" t="s">
        <v>32833</v>
      </c>
    </row>
    <row r="6827" spans="1:7">
      <c r="A6827" t="s">
        <v>32834</v>
      </c>
      <c r="B6827" t="s">
        <v>8607</v>
      </c>
      <c r="G6827" t="s">
        <v>32835</v>
      </c>
    </row>
    <row r="6828" spans="1:7">
      <c r="A6828" t="s">
        <v>32836</v>
      </c>
      <c r="B6828" t="s">
        <v>8607</v>
      </c>
      <c r="G6828" t="s">
        <v>32837</v>
      </c>
    </row>
    <row r="6829" spans="1:7">
      <c r="A6829" t="s">
        <v>32838</v>
      </c>
      <c r="G6829" t="s">
        <v>32839</v>
      </c>
    </row>
    <row r="6830" spans="1:7">
      <c r="A6830" t="s">
        <v>32840</v>
      </c>
      <c r="B6830" t="s">
        <v>8607</v>
      </c>
      <c r="F6830" t="s">
        <v>26207</v>
      </c>
      <c r="G6830" t="s">
        <v>32841</v>
      </c>
    </row>
    <row r="6831" spans="1:7">
      <c r="A6831" t="s">
        <v>32842</v>
      </c>
      <c r="B6831" t="s">
        <v>8607</v>
      </c>
      <c r="G6831" t="s">
        <v>32843</v>
      </c>
    </row>
    <row r="6832" spans="1:7">
      <c r="A6832" t="s">
        <v>32844</v>
      </c>
      <c r="B6832" t="s">
        <v>8607</v>
      </c>
      <c r="G6832" t="s">
        <v>32845</v>
      </c>
    </row>
    <row r="6833" spans="1:7">
      <c r="A6833" t="s">
        <v>32846</v>
      </c>
      <c r="B6833" t="s">
        <v>8607</v>
      </c>
      <c r="G6833" t="s">
        <v>32847</v>
      </c>
    </row>
    <row r="6834" spans="1:7">
      <c r="A6834" t="s">
        <v>32848</v>
      </c>
      <c r="B6834" t="s">
        <v>8607</v>
      </c>
      <c r="F6834" t="s">
        <v>26420</v>
      </c>
      <c r="G6834" t="s">
        <v>32849</v>
      </c>
    </row>
    <row r="6835" spans="1:7">
      <c r="A6835" t="s">
        <v>32850</v>
      </c>
      <c r="B6835" t="s">
        <v>8607</v>
      </c>
      <c r="F6835" t="s">
        <v>26425</v>
      </c>
      <c r="G6835" t="s">
        <v>32851</v>
      </c>
    </row>
    <row r="6836" spans="1:7">
      <c r="A6836" t="s">
        <v>32852</v>
      </c>
      <c r="B6836" t="s">
        <v>8607</v>
      </c>
      <c r="F6836" t="s">
        <v>19172</v>
      </c>
      <c r="G6836" t="s">
        <v>32853</v>
      </c>
    </row>
    <row r="6837" spans="1:7">
      <c r="A6837" t="s">
        <v>32854</v>
      </c>
      <c r="B6837" t="s">
        <v>8607</v>
      </c>
      <c r="G6837" t="s">
        <v>32855</v>
      </c>
    </row>
    <row r="6838" spans="1:7">
      <c r="A6838" t="s">
        <v>32856</v>
      </c>
      <c r="B6838" t="s">
        <v>8607</v>
      </c>
      <c r="G6838" t="s">
        <v>32857</v>
      </c>
    </row>
    <row r="6839" spans="1:7">
      <c r="A6839" t="s">
        <v>32858</v>
      </c>
      <c r="G6839" t="s">
        <v>32859</v>
      </c>
    </row>
    <row r="6840" spans="1:7">
      <c r="A6840" t="s">
        <v>32860</v>
      </c>
      <c r="B6840" t="s">
        <v>8607</v>
      </c>
      <c r="G6840" t="s">
        <v>25071</v>
      </c>
    </row>
    <row r="6841" spans="1:7">
      <c r="A6841" t="s">
        <v>32861</v>
      </c>
      <c r="B6841" t="s">
        <v>8607</v>
      </c>
      <c r="F6841" t="s">
        <v>27923</v>
      </c>
      <c r="G6841" t="s">
        <v>30569</v>
      </c>
    </row>
    <row r="6842" spans="1:7">
      <c r="A6842" t="s">
        <v>32862</v>
      </c>
      <c r="B6842" t="s">
        <v>8607</v>
      </c>
      <c r="G6842" t="s">
        <v>30572</v>
      </c>
    </row>
    <row r="6843" spans="1:7">
      <c r="A6843" t="s">
        <v>32863</v>
      </c>
      <c r="G6843" t="s">
        <v>32864</v>
      </c>
    </row>
    <row r="6844" spans="1:7">
      <c r="A6844" t="s">
        <v>32865</v>
      </c>
      <c r="B6844" t="s">
        <v>8607</v>
      </c>
      <c r="F6844" t="s">
        <v>32866</v>
      </c>
      <c r="G6844" t="s">
        <v>32867</v>
      </c>
    </row>
    <row r="6845" spans="1:7">
      <c r="A6845" t="s">
        <v>32868</v>
      </c>
      <c r="B6845" t="s">
        <v>8607</v>
      </c>
      <c r="G6845" t="s">
        <v>32869</v>
      </c>
    </row>
    <row r="6846" spans="1:7">
      <c r="A6846" t="s">
        <v>32870</v>
      </c>
      <c r="B6846" t="s">
        <v>8607</v>
      </c>
      <c r="F6846" t="s">
        <v>32871</v>
      </c>
      <c r="G6846" t="s">
        <v>32872</v>
      </c>
    </row>
    <row r="6847" spans="1:7">
      <c r="A6847" t="s">
        <v>32873</v>
      </c>
      <c r="B6847" t="s">
        <v>8626</v>
      </c>
      <c r="G6847" t="s">
        <v>32874</v>
      </c>
    </row>
    <row r="6848" spans="1:7">
      <c r="A6848" t="s">
        <v>32875</v>
      </c>
      <c r="B6848" t="s">
        <v>8626</v>
      </c>
      <c r="G6848" t="s">
        <v>32876</v>
      </c>
    </row>
    <row r="6849" spans="1:7">
      <c r="A6849" t="s">
        <v>32877</v>
      </c>
      <c r="G6849" t="s">
        <v>32878</v>
      </c>
    </row>
    <row r="6850" spans="1:7">
      <c r="A6850" t="s">
        <v>32879</v>
      </c>
      <c r="B6850" t="s">
        <v>8607</v>
      </c>
      <c r="G6850" t="s">
        <v>32880</v>
      </c>
    </row>
    <row r="6851" spans="1:7">
      <c r="A6851" t="s">
        <v>32881</v>
      </c>
      <c r="B6851" t="s">
        <v>8607</v>
      </c>
      <c r="F6851" t="s">
        <v>32882</v>
      </c>
      <c r="G6851" t="s">
        <v>32883</v>
      </c>
    </row>
    <row r="6852" spans="1:7">
      <c r="A6852" t="s">
        <v>32884</v>
      </c>
      <c r="B6852" t="s">
        <v>8607</v>
      </c>
      <c r="F6852" t="s">
        <v>32885</v>
      </c>
      <c r="G6852" t="s">
        <v>32886</v>
      </c>
    </row>
    <row r="6853" spans="1:7">
      <c r="A6853" t="s">
        <v>32887</v>
      </c>
      <c r="B6853" t="s">
        <v>8626</v>
      </c>
      <c r="G6853" t="s">
        <v>32888</v>
      </c>
    </row>
    <row r="6854" spans="1:7">
      <c r="A6854" t="s">
        <v>32889</v>
      </c>
      <c r="B6854" t="s">
        <v>8607</v>
      </c>
      <c r="G6854" t="s">
        <v>32890</v>
      </c>
    </row>
    <row r="6855" spans="1:7">
      <c r="A6855" t="s">
        <v>32891</v>
      </c>
      <c r="B6855" t="s">
        <v>8626</v>
      </c>
      <c r="F6855" t="s">
        <v>32892</v>
      </c>
      <c r="G6855" t="s">
        <v>32893</v>
      </c>
    </row>
    <row r="6856" spans="1:7">
      <c r="A6856" t="s">
        <v>32894</v>
      </c>
      <c r="B6856" t="s">
        <v>8626</v>
      </c>
      <c r="F6856" t="s">
        <v>32895</v>
      </c>
      <c r="G6856" t="s">
        <v>32896</v>
      </c>
    </row>
    <row r="6857" spans="1:7">
      <c r="A6857" t="s">
        <v>32897</v>
      </c>
      <c r="B6857" t="s">
        <v>8607</v>
      </c>
      <c r="F6857" t="s">
        <v>32898</v>
      </c>
      <c r="G6857" t="s">
        <v>32899</v>
      </c>
    </row>
    <row r="6858" spans="1:7">
      <c r="A6858" t="s">
        <v>32900</v>
      </c>
      <c r="B6858" t="s">
        <v>8607</v>
      </c>
      <c r="G6858" t="s">
        <v>32901</v>
      </c>
    </row>
    <row r="6859" spans="1:7">
      <c r="A6859" t="s">
        <v>32902</v>
      </c>
      <c r="B6859" t="s">
        <v>8607</v>
      </c>
      <c r="G6859" t="s">
        <v>32903</v>
      </c>
    </row>
    <row r="6860" spans="1:7">
      <c r="A6860" t="s">
        <v>32904</v>
      </c>
      <c r="B6860" t="s">
        <v>8607</v>
      </c>
      <c r="F6860" t="s">
        <v>32905</v>
      </c>
      <c r="G6860" t="s">
        <v>32906</v>
      </c>
    </row>
    <row r="6861" spans="1:7">
      <c r="A6861" t="s">
        <v>32907</v>
      </c>
      <c r="B6861" t="s">
        <v>8607</v>
      </c>
      <c r="F6861" t="s">
        <v>15609</v>
      </c>
      <c r="G6861" t="s">
        <v>32908</v>
      </c>
    </row>
    <row r="6862" spans="1:7">
      <c r="A6862" t="s">
        <v>32909</v>
      </c>
      <c r="B6862" t="s">
        <v>8607</v>
      </c>
      <c r="F6862" t="s">
        <v>26207</v>
      </c>
      <c r="G6862" t="s">
        <v>32841</v>
      </c>
    </row>
    <row r="6863" spans="1:7">
      <c r="A6863" t="s">
        <v>32910</v>
      </c>
      <c r="B6863" t="s">
        <v>8607</v>
      </c>
      <c r="G6863" t="s">
        <v>32843</v>
      </c>
    </row>
    <row r="6864" spans="1:7">
      <c r="A6864" t="s">
        <v>32911</v>
      </c>
      <c r="B6864" t="s">
        <v>8607</v>
      </c>
      <c r="G6864" t="s">
        <v>32845</v>
      </c>
    </row>
    <row r="6865" spans="1:7">
      <c r="A6865" t="s">
        <v>32912</v>
      </c>
      <c r="B6865" t="s">
        <v>8607</v>
      </c>
      <c r="G6865" t="s">
        <v>32847</v>
      </c>
    </row>
    <row r="6866" spans="1:7">
      <c r="A6866" t="s">
        <v>32913</v>
      </c>
      <c r="B6866" t="s">
        <v>8607</v>
      </c>
      <c r="F6866" t="s">
        <v>26420</v>
      </c>
      <c r="G6866" t="s">
        <v>32849</v>
      </c>
    </row>
    <row r="6867" spans="1:7">
      <c r="A6867" t="s">
        <v>32914</v>
      </c>
      <c r="B6867" t="s">
        <v>8607</v>
      </c>
      <c r="F6867" t="s">
        <v>26425</v>
      </c>
      <c r="G6867" t="s">
        <v>32851</v>
      </c>
    </row>
    <row r="6868" spans="1:7">
      <c r="A6868" t="s">
        <v>32915</v>
      </c>
      <c r="B6868" t="s">
        <v>8607</v>
      </c>
      <c r="F6868" t="s">
        <v>19172</v>
      </c>
      <c r="G6868" t="s">
        <v>32853</v>
      </c>
    </row>
    <row r="6869" spans="1:7">
      <c r="A6869" t="s">
        <v>32916</v>
      </c>
      <c r="B6869" t="s">
        <v>8607</v>
      </c>
      <c r="G6869" t="s">
        <v>32855</v>
      </c>
    </row>
    <row r="6870" spans="1:7">
      <c r="A6870" t="s">
        <v>32917</v>
      </c>
      <c r="B6870" t="s">
        <v>8607</v>
      </c>
      <c r="G6870" t="s">
        <v>32857</v>
      </c>
    </row>
    <row r="6871" spans="1:7">
      <c r="A6871" t="s">
        <v>32918</v>
      </c>
      <c r="B6871" t="s">
        <v>8607</v>
      </c>
      <c r="F6871" t="s">
        <v>27923</v>
      </c>
      <c r="G6871" t="s">
        <v>30569</v>
      </c>
    </row>
    <row r="6872" spans="1:7">
      <c r="A6872" t="s">
        <v>32919</v>
      </c>
      <c r="B6872" t="s">
        <v>8626</v>
      </c>
      <c r="G6872" t="s">
        <v>32920</v>
      </c>
    </row>
    <row r="6873" spans="1:7">
      <c r="A6873" t="s">
        <v>32921</v>
      </c>
      <c r="G6873" t="s">
        <v>32922</v>
      </c>
    </row>
    <row r="6874" spans="1:7">
      <c r="A6874" t="s">
        <v>32923</v>
      </c>
      <c r="G6874" t="s">
        <v>32924</v>
      </c>
    </row>
    <row r="6875" spans="1:7">
      <c r="A6875" t="s">
        <v>32925</v>
      </c>
      <c r="B6875" t="s">
        <v>8626</v>
      </c>
      <c r="G6875" t="s">
        <v>32806</v>
      </c>
    </row>
    <row r="6876" spans="1:7">
      <c r="A6876" t="s">
        <v>32926</v>
      </c>
      <c r="B6876" t="s">
        <v>8607</v>
      </c>
      <c r="G6876" t="s">
        <v>32808</v>
      </c>
    </row>
    <row r="6877" spans="1:7">
      <c r="A6877" t="s">
        <v>32927</v>
      </c>
      <c r="B6877" t="s">
        <v>8607</v>
      </c>
      <c r="G6877" t="s">
        <v>32810</v>
      </c>
    </row>
    <row r="6878" spans="1:7">
      <c r="A6878" t="s">
        <v>32928</v>
      </c>
      <c r="B6878" t="s">
        <v>8607</v>
      </c>
      <c r="C6878" t="s">
        <v>30652</v>
      </c>
      <c r="F6878" t="s">
        <v>28637</v>
      </c>
      <c r="G6878" t="s">
        <v>32812</v>
      </c>
    </row>
    <row r="6879" spans="1:7">
      <c r="A6879" t="s">
        <v>32929</v>
      </c>
      <c r="B6879" t="s">
        <v>8607</v>
      </c>
      <c r="F6879" t="s">
        <v>21832</v>
      </c>
      <c r="G6879" t="s">
        <v>32814</v>
      </c>
    </row>
    <row r="6880" spans="1:7">
      <c r="A6880" t="s">
        <v>32930</v>
      </c>
      <c r="G6880" t="s">
        <v>32931</v>
      </c>
    </row>
    <row r="6881" spans="1:7">
      <c r="A6881" t="s">
        <v>32932</v>
      </c>
      <c r="B6881" t="s">
        <v>8607</v>
      </c>
      <c r="G6881" t="s">
        <v>32819</v>
      </c>
    </row>
    <row r="6882" spans="1:7">
      <c r="A6882" t="s">
        <v>32933</v>
      </c>
      <c r="B6882" t="s">
        <v>8607</v>
      </c>
      <c r="G6882" t="s">
        <v>32821</v>
      </c>
    </row>
    <row r="6883" spans="1:7">
      <c r="A6883" t="s">
        <v>32934</v>
      </c>
      <c r="B6883" t="s">
        <v>8607</v>
      </c>
      <c r="F6883" t="s">
        <v>32830</v>
      </c>
      <c r="G6883" t="s">
        <v>32935</v>
      </c>
    </row>
    <row r="6884" spans="1:7">
      <c r="A6884" t="s">
        <v>32936</v>
      </c>
      <c r="B6884" t="s">
        <v>8607</v>
      </c>
      <c r="G6884" t="s">
        <v>32833</v>
      </c>
    </row>
    <row r="6885" spans="1:7">
      <c r="A6885" t="s">
        <v>32937</v>
      </c>
      <c r="B6885" t="s">
        <v>8607</v>
      </c>
      <c r="G6885" t="s">
        <v>32835</v>
      </c>
    </row>
    <row r="6886" spans="1:7">
      <c r="A6886" t="s">
        <v>32938</v>
      </c>
      <c r="B6886" t="s">
        <v>8626</v>
      </c>
      <c r="F6886" t="s">
        <v>11725</v>
      </c>
      <c r="G6886" t="s">
        <v>27138</v>
      </c>
    </row>
    <row r="6887" spans="1:7">
      <c r="A6887" t="s">
        <v>32939</v>
      </c>
      <c r="B6887" t="s">
        <v>8607</v>
      </c>
      <c r="G6887" t="s">
        <v>26570</v>
      </c>
    </row>
    <row r="6888" spans="1:7">
      <c r="A6888" t="s">
        <v>32940</v>
      </c>
      <c r="B6888" t="s">
        <v>8607</v>
      </c>
      <c r="G6888" t="s">
        <v>26572</v>
      </c>
    </row>
    <row r="6889" spans="1:7">
      <c r="A6889" t="s">
        <v>32941</v>
      </c>
      <c r="B6889" t="s">
        <v>8626</v>
      </c>
      <c r="G6889" t="s">
        <v>27142</v>
      </c>
    </row>
    <row r="6890" spans="1:7">
      <c r="A6890" t="s">
        <v>32942</v>
      </c>
      <c r="B6890" t="s">
        <v>8607</v>
      </c>
      <c r="G6890" t="s">
        <v>22411</v>
      </c>
    </row>
    <row r="6891" spans="1:7">
      <c r="A6891" t="s">
        <v>32943</v>
      </c>
      <c r="B6891" t="s">
        <v>8626</v>
      </c>
      <c r="F6891" t="s">
        <v>17246</v>
      </c>
      <c r="G6891" t="s">
        <v>26714</v>
      </c>
    </row>
    <row r="6892" spans="1:7">
      <c r="A6892" t="s">
        <v>32944</v>
      </c>
      <c r="B6892" t="s">
        <v>8607</v>
      </c>
      <c r="F6892" t="s">
        <v>26148</v>
      </c>
      <c r="G6892" t="s">
        <v>26149</v>
      </c>
    </row>
    <row r="6893" spans="1:7">
      <c r="A6893" t="s">
        <v>32945</v>
      </c>
      <c r="B6893" t="s">
        <v>8607</v>
      </c>
      <c r="F6893" t="s">
        <v>32946</v>
      </c>
      <c r="G6893" t="s">
        <v>32947</v>
      </c>
    </row>
    <row r="6894" spans="1:7">
      <c r="A6894" t="s">
        <v>32948</v>
      </c>
      <c r="B6894" t="s">
        <v>8626</v>
      </c>
      <c r="G6894" t="s">
        <v>26711</v>
      </c>
    </row>
    <row r="6895" spans="1:7">
      <c r="A6895" t="s">
        <v>32949</v>
      </c>
      <c r="B6895" t="s">
        <v>8607</v>
      </c>
      <c r="G6895" t="s">
        <v>26789</v>
      </c>
    </row>
    <row r="6896" spans="1:7">
      <c r="A6896" t="s">
        <v>32950</v>
      </c>
      <c r="B6896" t="s">
        <v>8607</v>
      </c>
      <c r="G6896" t="s">
        <v>26794</v>
      </c>
    </row>
    <row r="6897" spans="1:7">
      <c r="A6897" t="s">
        <v>32951</v>
      </c>
      <c r="B6897" t="s">
        <v>8626</v>
      </c>
      <c r="C6897" t="s">
        <v>27780</v>
      </c>
      <c r="F6897" t="s">
        <v>9018</v>
      </c>
      <c r="G6897" t="s">
        <v>32952</v>
      </c>
    </row>
    <row r="6898" spans="1:7">
      <c r="A6898" t="s">
        <v>32953</v>
      </c>
      <c r="B6898" t="s">
        <v>8607</v>
      </c>
      <c r="F6898" t="s">
        <v>29367</v>
      </c>
      <c r="G6898" t="s">
        <v>26800</v>
      </c>
    </row>
    <row r="6899" spans="1:7">
      <c r="A6899" t="s">
        <v>32954</v>
      </c>
      <c r="B6899" t="s">
        <v>8607</v>
      </c>
      <c r="G6899" t="s">
        <v>26778</v>
      </c>
    </row>
    <row r="6900" spans="1:7">
      <c r="A6900" t="s">
        <v>32955</v>
      </c>
      <c r="B6900" t="s">
        <v>8626</v>
      </c>
      <c r="F6900" t="s">
        <v>9018</v>
      </c>
      <c r="G6900" t="s">
        <v>18542</v>
      </c>
    </row>
    <row r="6901" spans="1:7">
      <c r="A6901" t="s">
        <v>32956</v>
      </c>
      <c r="B6901" t="s">
        <v>8626</v>
      </c>
      <c r="F6901" t="s">
        <v>21331</v>
      </c>
      <c r="G6901" t="s">
        <v>25563</v>
      </c>
    </row>
    <row r="6902" spans="1:7">
      <c r="A6902" t="s">
        <v>32957</v>
      </c>
      <c r="B6902" t="s">
        <v>8607</v>
      </c>
      <c r="F6902" t="s">
        <v>29373</v>
      </c>
      <c r="G6902" t="s">
        <v>29374</v>
      </c>
    </row>
    <row r="6903" spans="1:7">
      <c r="A6903" t="s">
        <v>32958</v>
      </c>
      <c r="B6903" t="s">
        <v>8607</v>
      </c>
      <c r="G6903" t="s">
        <v>30737</v>
      </c>
    </row>
    <row r="6904" spans="1:7">
      <c r="A6904" t="s">
        <v>32959</v>
      </c>
      <c r="B6904" t="s">
        <v>8607</v>
      </c>
      <c r="G6904" t="s">
        <v>26638</v>
      </c>
    </row>
    <row r="6905" spans="1:7">
      <c r="A6905" t="s">
        <v>32960</v>
      </c>
      <c r="B6905" t="s">
        <v>8607</v>
      </c>
      <c r="F6905" t="s">
        <v>17928</v>
      </c>
      <c r="G6905" t="s">
        <v>26640</v>
      </c>
    </row>
    <row r="6906" spans="1:7">
      <c r="A6906" t="s">
        <v>32961</v>
      </c>
      <c r="B6906" t="s">
        <v>8626</v>
      </c>
      <c r="G6906" t="s">
        <v>26978</v>
      </c>
    </row>
    <row r="6907" spans="1:7">
      <c r="A6907" t="s">
        <v>32962</v>
      </c>
      <c r="B6907" t="s">
        <v>8607</v>
      </c>
      <c r="F6907" t="s">
        <v>26980</v>
      </c>
      <c r="G6907" t="s">
        <v>26981</v>
      </c>
    </row>
    <row r="6908" spans="1:7">
      <c r="A6908" t="s">
        <v>32963</v>
      </c>
      <c r="B6908" t="s">
        <v>8626</v>
      </c>
      <c r="G6908" t="s">
        <v>32964</v>
      </c>
    </row>
    <row r="6909" spans="1:7">
      <c r="A6909" t="s">
        <v>32965</v>
      </c>
      <c r="B6909" t="s">
        <v>8626</v>
      </c>
      <c r="F6909" t="s">
        <v>30476</v>
      </c>
      <c r="G6909" t="s">
        <v>32966</v>
      </c>
    </row>
    <row r="6910" spans="1:7">
      <c r="A6910" t="s">
        <v>32967</v>
      </c>
      <c r="G6910" t="s">
        <v>32968</v>
      </c>
    </row>
    <row r="6911" spans="1:7">
      <c r="A6911" t="s">
        <v>32969</v>
      </c>
      <c r="B6911" t="s">
        <v>8607</v>
      </c>
      <c r="F6911" t="s">
        <v>17824</v>
      </c>
      <c r="G6911" t="s">
        <v>32970</v>
      </c>
    </row>
    <row r="6912" spans="1:7">
      <c r="A6912" t="s">
        <v>32971</v>
      </c>
      <c r="B6912" t="s">
        <v>8607</v>
      </c>
      <c r="G6912" t="s">
        <v>32972</v>
      </c>
    </row>
    <row r="6913" spans="1:7">
      <c r="A6913" t="s">
        <v>32973</v>
      </c>
      <c r="B6913" t="s">
        <v>8607</v>
      </c>
      <c r="G6913" t="s">
        <v>32974</v>
      </c>
    </row>
    <row r="6914" spans="1:7">
      <c r="A6914" t="s">
        <v>32975</v>
      </c>
      <c r="B6914" t="s">
        <v>8607</v>
      </c>
      <c r="G6914" t="s">
        <v>32976</v>
      </c>
    </row>
    <row r="6915" spans="1:7">
      <c r="A6915" t="s">
        <v>32977</v>
      </c>
      <c r="B6915" t="s">
        <v>8607</v>
      </c>
      <c r="G6915" t="s">
        <v>32978</v>
      </c>
    </row>
    <row r="6916" spans="1:7">
      <c r="A6916" t="s">
        <v>32979</v>
      </c>
      <c r="B6916" t="s">
        <v>8607</v>
      </c>
      <c r="F6916" t="s">
        <v>31673</v>
      </c>
      <c r="G6916" t="s">
        <v>32980</v>
      </c>
    </row>
    <row r="6917" spans="1:7">
      <c r="A6917" t="s">
        <v>32981</v>
      </c>
      <c r="B6917" t="s">
        <v>8607</v>
      </c>
      <c r="F6917" t="s">
        <v>32256</v>
      </c>
      <c r="G6917" t="s">
        <v>32982</v>
      </c>
    </row>
    <row r="6918" spans="1:7">
      <c r="A6918" t="s">
        <v>32983</v>
      </c>
      <c r="B6918" t="s">
        <v>8607</v>
      </c>
      <c r="F6918" t="s">
        <v>8623</v>
      </c>
      <c r="G6918" t="s">
        <v>32984</v>
      </c>
    </row>
    <row r="6919" spans="1:7">
      <c r="A6919" t="s">
        <v>32985</v>
      </c>
      <c r="B6919" t="s">
        <v>8626</v>
      </c>
      <c r="F6919" t="s">
        <v>13312</v>
      </c>
      <c r="G6919" t="s">
        <v>32986</v>
      </c>
    </row>
    <row r="6920" spans="1:7">
      <c r="A6920" t="s">
        <v>32987</v>
      </c>
      <c r="B6920" t="s">
        <v>8626</v>
      </c>
      <c r="G6920" t="s">
        <v>32988</v>
      </c>
    </row>
    <row r="6921" spans="1:7">
      <c r="A6921" t="s">
        <v>32989</v>
      </c>
      <c r="B6921" t="s">
        <v>8607</v>
      </c>
      <c r="G6921" t="s">
        <v>32990</v>
      </c>
    </row>
    <row r="6922" spans="1:7">
      <c r="A6922" t="s">
        <v>32991</v>
      </c>
      <c r="B6922" t="s">
        <v>8607</v>
      </c>
      <c r="C6922" t="s">
        <v>26083</v>
      </c>
      <c r="F6922" t="s">
        <v>26084</v>
      </c>
      <c r="G6922" t="s">
        <v>29598</v>
      </c>
    </row>
    <row r="6923" spans="1:7">
      <c r="A6923" t="s">
        <v>32992</v>
      </c>
      <c r="B6923" t="s">
        <v>8607</v>
      </c>
      <c r="C6923" t="s">
        <v>26087</v>
      </c>
      <c r="F6923" t="s">
        <v>26088</v>
      </c>
      <c r="G6923" t="s">
        <v>26833</v>
      </c>
    </row>
    <row r="6924" spans="1:7">
      <c r="A6924" t="s">
        <v>32993</v>
      </c>
      <c r="B6924" t="s">
        <v>8626</v>
      </c>
      <c r="F6924" t="s">
        <v>26127</v>
      </c>
      <c r="G6924" t="s">
        <v>32994</v>
      </c>
    </row>
    <row r="6925" spans="1:7">
      <c r="A6925" t="s">
        <v>32995</v>
      </c>
      <c r="B6925" t="s">
        <v>8607</v>
      </c>
      <c r="F6925" t="s">
        <v>26091</v>
      </c>
      <c r="G6925" t="s">
        <v>32996</v>
      </c>
    </row>
    <row r="6926" spans="1:7">
      <c r="A6926" t="s">
        <v>32997</v>
      </c>
      <c r="B6926" t="s">
        <v>8607</v>
      </c>
      <c r="G6926" t="s">
        <v>32998</v>
      </c>
    </row>
    <row r="6927" spans="1:7">
      <c r="A6927" t="s">
        <v>32999</v>
      </c>
      <c r="B6927" t="s">
        <v>8626</v>
      </c>
      <c r="C6927" t="s">
        <v>29218</v>
      </c>
      <c r="F6927" t="s">
        <v>14285</v>
      </c>
      <c r="G6927" t="s">
        <v>30428</v>
      </c>
    </row>
    <row r="6928" spans="1:7">
      <c r="A6928" t="s">
        <v>33000</v>
      </c>
      <c r="G6928" t="s">
        <v>33001</v>
      </c>
    </row>
    <row r="6929" spans="1:7">
      <c r="A6929" t="s">
        <v>33002</v>
      </c>
      <c r="B6929" t="s">
        <v>8607</v>
      </c>
      <c r="F6929" t="s">
        <v>21495</v>
      </c>
      <c r="G6929" t="s">
        <v>33003</v>
      </c>
    </row>
    <row r="6930" spans="1:7">
      <c r="A6930" t="s">
        <v>33004</v>
      </c>
      <c r="B6930" t="s">
        <v>8607</v>
      </c>
      <c r="F6930" t="s">
        <v>26094</v>
      </c>
      <c r="G6930" t="s">
        <v>33005</v>
      </c>
    </row>
    <row r="6931" spans="1:7">
      <c r="A6931" t="s">
        <v>33006</v>
      </c>
      <c r="B6931" t="s">
        <v>8607</v>
      </c>
      <c r="G6931" t="s">
        <v>29976</v>
      </c>
    </row>
    <row r="6932" spans="1:7">
      <c r="A6932" t="s">
        <v>33007</v>
      </c>
      <c r="B6932" t="s">
        <v>8607</v>
      </c>
      <c r="F6932" t="s">
        <v>33008</v>
      </c>
      <c r="G6932" t="s">
        <v>33009</v>
      </c>
    </row>
    <row r="6933" spans="1:7">
      <c r="A6933" t="s">
        <v>33010</v>
      </c>
      <c r="B6933" t="s">
        <v>8626</v>
      </c>
      <c r="F6933" t="s">
        <v>31294</v>
      </c>
      <c r="G6933" t="s">
        <v>31918</v>
      </c>
    </row>
    <row r="6934" spans="1:7">
      <c r="A6934" t="s">
        <v>33011</v>
      </c>
      <c r="B6934" t="s">
        <v>8607</v>
      </c>
      <c r="C6934" t="s">
        <v>30230</v>
      </c>
      <c r="F6934" t="s">
        <v>30231</v>
      </c>
      <c r="G6934" t="s">
        <v>33012</v>
      </c>
    </row>
    <row r="6935" spans="1:7">
      <c r="A6935" t="s">
        <v>33013</v>
      </c>
      <c r="B6935" t="s">
        <v>8626</v>
      </c>
      <c r="F6935" t="s">
        <v>26743</v>
      </c>
      <c r="G6935" t="s">
        <v>26744</v>
      </c>
    </row>
    <row r="6936" spans="1:7">
      <c r="A6936" t="s">
        <v>33014</v>
      </c>
      <c r="B6936" t="s">
        <v>8626</v>
      </c>
      <c r="F6936" t="s">
        <v>27063</v>
      </c>
      <c r="G6936" t="s">
        <v>27064</v>
      </c>
    </row>
    <row r="6937" spans="1:7">
      <c r="A6937" t="s">
        <v>33015</v>
      </c>
      <c r="B6937" t="s">
        <v>8607</v>
      </c>
      <c r="F6937" t="s">
        <v>33016</v>
      </c>
      <c r="G6937" t="s">
        <v>33017</v>
      </c>
    </row>
    <row r="6938" spans="1:7">
      <c r="A6938" t="s">
        <v>33018</v>
      </c>
      <c r="B6938" t="s">
        <v>8607</v>
      </c>
      <c r="G6938" t="s">
        <v>32514</v>
      </c>
    </row>
    <row r="6939" spans="1:7">
      <c r="A6939" t="s">
        <v>33019</v>
      </c>
      <c r="B6939" t="s">
        <v>8607</v>
      </c>
      <c r="F6939" t="s">
        <v>33020</v>
      </c>
      <c r="G6939" t="s">
        <v>33021</v>
      </c>
    </row>
    <row r="6940" spans="1:7">
      <c r="A6940" t="s">
        <v>33022</v>
      </c>
      <c r="B6940" t="s">
        <v>8607</v>
      </c>
      <c r="F6940" t="s">
        <v>26191</v>
      </c>
      <c r="G6940" t="s">
        <v>29779</v>
      </c>
    </row>
    <row r="6941" spans="1:7">
      <c r="A6941" t="s">
        <v>33023</v>
      </c>
      <c r="B6941" t="s">
        <v>8607</v>
      </c>
      <c r="F6941" t="s">
        <v>29207</v>
      </c>
      <c r="G6941" t="s">
        <v>33024</v>
      </c>
    </row>
    <row r="6942" spans="1:7">
      <c r="A6942" t="s">
        <v>33025</v>
      </c>
      <c r="B6942" t="s">
        <v>8626</v>
      </c>
      <c r="C6942" t="s">
        <v>18553</v>
      </c>
      <c r="F6942" t="s">
        <v>9018</v>
      </c>
      <c r="G6942" t="s">
        <v>33026</v>
      </c>
    </row>
    <row r="6943" spans="1:7">
      <c r="A6943" t="s">
        <v>33027</v>
      </c>
      <c r="B6943" t="s">
        <v>8607</v>
      </c>
      <c r="C6943" t="s">
        <v>29118</v>
      </c>
      <c r="F6943" t="s">
        <v>29119</v>
      </c>
      <c r="G6943" t="s">
        <v>33028</v>
      </c>
    </row>
    <row r="6944" spans="1:7">
      <c r="A6944" t="s">
        <v>33029</v>
      </c>
      <c r="B6944" t="s">
        <v>8626</v>
      </c>
      <c r="C6944" t="s">
        <v>29186</v>
      </c>
      <c r="F6944" t="s">
        <v>10676</v>
      </c>
      <c r="G6944" t="s">
        <v>29123</v>
      </c>
    </row>
    <row r="6945" spans="1:7">
      <c r="A6945" t="s">
        <v>33030</v>
      </c>
      <c r="B6945" t="s">
        <v>8607</v>
      </c>
      <c r="F6945" t="s">
        <v>26420</v>
      </c>
      <c r="G6945" t="s">
        <v>32849</v>
      </c>
    </row>
    <row r="6946" spans="1:7">
      <c r="A6946" t="s">
        <v>33031</v>
      </c>
      <c r="B6946" t="s">
        <v>8607</v>
      </c>
      <c r="F6946" t="s">
        <v>26425</v>
      </c>
      <c r="G6946" t="s">
        <v>32851</v>
      </c>
    </row>
    <row r="6947" spans="1:7">
      <c r="A6947" t="s">
        <v>33032</v>
      </c>
      <c r="B6947" t="s">
        <v>8607</v>
      </c>
      <c r="F6947" t="s">
        <v>19172</v>
      </c>
      <c r="G6947" t="s">
        <v>32853</v>
      </c>
    </row>
    <row r="6948" spans="1:7">
      <c r="A6948" t="s">
        <v>33033</v>
      </c>
      <c r="B6948" t="s">
        <v>8607</v>
      </c>
      <c r="G6948" t="s">
        <v>32857</v>
      </c>
    </row>
    <row r="6949" spans="1:7">
      <c r="A6949" t="s">
        <v>33034</v>
      </c>
      <c r="B6949" t="s">
        <v>8607</v>
      </c>
      <c r="G6949" t="s">
        <v>25071</v>
      </c>
    </row>
    <row r="6950" spans="1:7">
      <c r="A6950" t="s">
        <v>33035</v>
      </c>
      <c r="B6950" t="s">
        <v>8607</v>
      </c>
      <c r="F6950" t="s">
        <v>27923</v>
      </c>
      <c r="G6950" t="s">
        <v>30569</v>
      </c>
    </row>
    <row r="6951" spans="1:7">
      <c r="A6951" t="s">
        <v>33036</v>
      </c>
      <c r="B6951" t="s">
        <v>8607</v>
      </c>
      <c r="G6951" t="s">
        <v>30572</v>
      </c>
    </row>
    <row r="6952" spans="1:7">
      <c r="A6952" t="s">
        <v>33037</v>
      </c>
      <c r="B6952" t="s">
        <v>8626</v>
      </c>
      <c r="G6952" t="s">
        <v>33038</v>
      </c>
    </row>
    <row r="6953" spans="1:7">
      <c r="A6953" t="s">
        <v>33039</v>
      </c>
      <c r="B6953" t="s">
        <v>8607</v>
      </c>
      <c r="G6953" t="s">
        <v>32819</v>
      </c>
    </row>
    <row r="6954" spans="1:7">
      <c r="A6954" t="s">
        <v>33040</v>
      </c>
      <c r="B6954" t="s">
        <v>8607</v>
      </c>
      <c r="G6954" t="s">
        <v>32821</v>
      </c>
    </row>
    <row r="6955" spans="1:7">
      <c r="A6955" t="s">
        <v>33041</v>
      </c>
      <c r="B6955" t="s">
        <v>8626</v>
      </c>
      <c r="F6955" t="s">
        <v>31943</v>
      </c>
      <c r="G6955" t="s">
        <v>33042</v>
      </c>
    </row>
    <row r="6956" spans="1:7">
      <c r="A6956" t="s">
        <v>33043</v>
      </c>
      <c r="B6956" t="s">
        <v>8626</v>
      </c>
      <c r="F6956" t="s">
        <v>8623</v>
      </c>
      <c r="G6956" t="s">
        <v>33044</v>
      </c>
    </row>
    <row r="6957" spans="1:7">
      <c r="A6957" t="s">
        <v>33045</v>
      </c>
      <c r="G6957" t="s">
        <v>33046</v>
      </c>
    </row>
    <row r="6958" spans="1:7">
      <c r="A6958" t="s">
        <v>33047</v>
      </c>
      <c r="B6958" t="s">
        <v>8607</v>
      </c>
      <c r="G6958" t="s">
        <v>32833</v>
      </c>
    </row>
    <row r="6959" spans="1:7">
      <c r="A6959" t="s">
        <v>33048</v>
      </c>
      <c r="B6959" t="s">
        <v>8607</v>
      </c>
      <c r="F6959" t="s">
        <v>26207</v>
      </c>
      <c r="G6959" t="s">
        <v>32841</v>
      </c>
    </row>
    <row r="6960" spans="1:7">
      <c r="A6960" t="s">
        <v>33049</v>
      </c>
      <c r="B6960" t="s">
        <v>8607</v>
      </c>
      <c r="G6960" t="s">
        <v>32843</v>
      </c>
    </row>
    <row r="6961" spans="1:7">
      <c r="A6961" t="s">
        <v>33050</v>
      </c>
      <c r="B6961" t="s">
        <v>8626</v>
      </c>
      <c r="G6961" t="s">
        <v>33051</v>
      </c>
    </row>
    <row r="6962" spans="1:7">
      <c r="A6962" t="s">
        <v>33052</v>
      </c>
      <c r="B6962" t="s">
        <v>8607</v>
      </c>
      <c r="F6962" t="s">
        <v>28637</v>
      </c>
      <c r="G6962" t="s">
        <v>33053</v>
      </c>
    </row>
    <row r="6963" spans="1:7">
      <c r="A6963" t="s">
        <v>33054</v>
      </c>
      <c r="B6963" t="s">
        <v>8607</v>
      </c>
      <c r="F6963" t="s">
        <v>21832</v>
      </c>
      <c r="G6963" t="s">
        <v>32814</v>
      </c>
    </row>
    <row r="6964" spans="1:7">
      <c r="A6964" t="s">
        <v>33055</v>
      </c>
      <c r="B6964" t="s">
        <v>8626</v>
      </c>
      <c r="G6964" t="s">
        <v>33056</v>
      </c>
    </row>
    <row r="6965" spans="1:7">
      <c r="A6965" t="s">
        <v>33057</v>
      </c>
      <c r="G6965" t="s">
        <v>33058</v>
      </c>
    </row>
    <row r="6966" spans="1:7">
      <c r="A6966" t="s">
        <v>33059</v>
      </c>
      <c r="B6966" t="s">
        <v>8607</v>
      </c>
      <c r="G6966" t="s">
        <v>32847</v>
      </c>
    </row>
    <row r="6967" spans="1:7">
      <c r="A6967" t="s">
        <v>33060</v>
      </c>
      <c r="B6967" t="s">
        <v>8607</v>
      </c>
      <c r="C6967" t="s">
        <v>28866</v>
      </c>
      <c r="F6967" t="s">
        <v>26108</v>
      </c>
      <c r="G6967" t="s">
        <v>33061</v>
      </c>
    </row>
    <row r="6968" spans="1:7">
      <c r="A6968" t="s">
        <v>33062</v>
      </c>
      <c r="B6968" t="s">
        <v>8607</v>
      </c>
      <c r="F6968" t="s">
        <v>26176</v>
      </c>
      <c r="G6968" t="s">
        <v>33063</v>
      </c>
    </row>
    <row r="6969" spans="1:7">
      <c r="A6969" t="s">
        <v>33064</v>
      </c>
      <c r="B6969" t="s">
        <v>8607</v>
      </c>
      <c r="C6969" t="s">
        <v>33065</v>
      </c>
      <c r="F6969" t="s">
        <v>9018</v>
      </c>
      <c r="G6969" t="s">
        <v>33066</v>
      </c>
    </row>
    <row r="6970" spans="1:7">
      <c r="A6970" t="s">
        <v>33067</v>
      </c>
      <c r="B6970" t="s">
        <v>8626</v>
      </c>
      <c r="C6970" t="s">
        <v>13304</v>
      </c>
      <c r="F6970" t="s">
        <v>13305</v>
      </c>
      <c r="G6970" t="s">
        <v>18942</v>
      </c>
    </row>
    <row r="6971" spans="1:7">
      <c r="A6971" t="s">
        <v>33068</v>
      </c>
      <c r="B6971" t="s">
        <v>8607</v>
      </c>
      <c r="F6971" t="s">
        <v>26207</v>
      </c>
      <c r="G6971" t="s">
        <v>27473</v>
      </c>
    </row>
    <row r="6972" spans="1:7">
      <c r="A6972" t="s">
        <v>33069</v>
      </c>
      <c r="B6972" t="s">
        <v>8607</v>
      </c>
      <c r="F6972" t="s">
        <v>28159</v>
      </c>
      <c r="G6972" t="s">
        <v>33070</v>
      </c>
    </row>
    <row r="6973" spans="1:7">
      <c r="A6973" t="s">
        <v>33071</v>
      </c>
      <c r="B6973" t="s">
        <v>8607</v>
      </c>
      <c r="F6973" t="s">
        <v>17349</v>
      </c>
      <c r="G6973" t="s">
        <v>28132</v>
      </c>
    </row>
    <row r="6974" spans="1:7">
      <c r="A6974" t="s">
        <v>33072</v>
      </c>
      <c r="B6974" t="s">
        <v>8607</v>
      </c>
      <c r="G6974" t="s">
        <v>30017</v>
      </c>
    </row>
    <row r="6975" spans="1:7">
      <c r="A6975" t="s">
        <v>33073</v>
      </c>
      <c r="B6975" t="s">
        <v>8607</v>
      </c>
      <c r="F6975" t="s">
        <v>30830</v>
      </c>
      <c r="G6975" t="s">
        <v>32257</v>
      </c>
    </row>
    <row r="6976" spans="1:7">
      <c r="A6976" t="s">
        <v>33074</v>
      </c>
      <c r="B6976" t="s">
        <v>8607</v>
      </c>
      <c r="F6976" t="s">
        <v>27423</v>
      </c>
      <c r="G6976" t="s">
        <v>28134</v>
      </c>
    </row>
    <row r="6977" spans="1:7">
      <c r="A6977" t="s">
        <v>33075</v>
      </c>
      <c r="B6977" t="s">
        <v>8607</v>
      </c>
      <c r="F6977" t="s">
        <v>33076</v>
      </c>
      <c r="G6977" t="s">
        <v>33077</v>
      </c>
    </row>
    <row r="6978" spans="1:7">
      <c r="A6978" t="s">
        <v>33078</v>
      </c>
      <c r="B6978" t="s">
        <v>8607</v>
      </c>
      <c r="F6978" t="s">
        <v>26717</v>
      </c>
      <c r="G6978" t="s">
        <v>30163</v>
      </c>
    </row>
    <row r="6979" spans="1:7">
      <c r="A6979" t="s">
        <v>33079</v>
      </c>
      <c r="B6979" t="s">
        <v>8607</v>
      </c>
      <c r="F6979" t="s">
        <v>9562</v>
      </c>
      <c r="G6979" t="s">
        <v>26720</v>
      </c>
    </row>
    <row r="6980" spans="1:7">
      <c r="A6980" t="s">
        <v>33080</v>
      </c>
      <c r="B6980" t="s">
        <v>8607</v>
      </c>
      <c r="G6980" t="s">
        <v>26723</v>
      </c>
    </row>
    <row r="6981" spans="1:7">
      <c r="A6981" t="s">
        <v>33081</v>
      </c>
      <c r="B6981" t="s">
        <v>8607</v>
      </c>
      <c r="F6981" t="s">
        <v>26725</v>
      </c>
      <c r="G6981" t="s">
        <v>28142</v>
      </c>
    </row>
    <row r="6982" spans="1:7">
      <c r="A6982" t="s">
        <v>33082</v>
      </c>
      <c r="G6982" t="s">
        <v>33083</v>
      </c>
    </row>
    <row r="6983" spans="1:7">
      <c r="A6983" t="s">
        <v>33084</v>
      </c>
      <c r="B6983" t="s">
        <v>8607</v>
      </c>
      <c r="G6983" t="s">
        <v>26278</v>
      </c>
    </row>
    <row r="6984" spans="1:7">
      <c r="A6984" t="s">
        <v>33085</v>
      </c>
      <c r="B6984" t="s">
        <v>8607</v>
      </c>
      <c r="G6984" t="s">
        <v>26226</v>
      </c>
    </row>
    <row r="6985" spans="1:7">
      <c r="A6985" t="s">
        <v>33086</v>
      </c>
      <c r="B6985" t="s">
        <v>8607</v>
      </c>
      <c r="G6985" t="s">
        <v>33087</v>
      </c>
    </row>
    <row r="6986" spans="1:7">
      <c r="A6986" t="s">
        <v>33088</v>
      </c>
      <c r="B6986" t="s">
        <v>8626</v>
      </c>
      <c r="C6986" t="s">
        <v>13304</v>
      </c>
      <c r="F6986" t="s">
        <v>13305</v>
      </c>
      <c r="G6986" t="s">
        <v>18942</v>
      </c>
    </row>
    <row r="6987" spans="1:7">
      <c r="A6987" t="s">
        <v>33089</v>
      </c>
      <c r="B6987" t="s">
        <v>8607</v>
      </c>
      <c r="F6987" t="s">
        <v>27835</v>
      </c>
      <c r="G6987" t="s">
        <v>28803</v>
      </c>
    </row>
    <row r="6988" spans="1:7">
      <c r="A6988" t="s">
        <v>33090</v>
      </c>
      <c r="B6988" t="s">
        <v>8626</v>
      </c>
      <c r="F6988" t="s">
        <v>8623</v>
      </c>
      <c r="G6988" t="s">
        <v>29310</v>
      </c>
    </row>
    <row r="6989" spans="1:7">
      <c r="A6989" t="s">
        <v>33091</v>
      </c>
      <c r="G6989" t="s">
        <v>33092</v>
      </c>
    </row>
    <row r="6990" spans="1:7">
      <c r="A6990" t="s">
        <v>33093</v>
      </c>
      <c r="B6990" t="s">
        <v>8626</v>
      </c>
      <c r="G6990" t="s">
        <v>33094</v>
      </c>
    </row>
    <row r="6991" spans="1:7">
      <c r="A6991" t="s">
        <v>33095</v>
      </c>
      <c r="B6991" t="s">
        <v>8626</v>
      </c>
      <c r="F6991" t="s">
        <v>33096</v>
      </c>
      <c r="G6991" t="s">
        <v>33097</v>
      </c>
    </row>
    <row r="6992" spans="1:7">
      <c r="A6992" t="s">
        <v>33098</v>
      </c>
      <c r="B6992" t="s">
        <v>8626</v>
      </c>
      <c r="F6992" t="s">
        <v>10076</v>
      </c>
      <c r="G6992" t="s">
        <v>33099</v>
      </c>
    </row>
    <row r="6993" spans="1:7">
      <c r="A6993" t="s">
        <v>33100</v>
      </c>
      <c r="B6993" t="s">
        <v>8626</v>
      </c>
      <c r="G6993" t="s">
        <v>33101</v>
      </c>
    </row>
    <row r="6994" spans="1:7">
      <c r="A6994" t="s">
        <v>33102</v>
      </c>
      <c r="B6994" t="s">
        <v>8607</v>
      </c>
      <c r="F6994" t="s">
        <v>9677</v>
      </c>
      <c r="G6994" t="s">
        <v>33103</v>
      </c>
    </row>
    <row r="6995" spans="1:7">
      <c r="A6995" t="s">
        <v>33104</v>
      </c>
      <c r="B6995" t="s">
        <v>8607</v>
      </c>
      <c r="G6995" t="s">
        <v>33105</v>
      </c>
    </row>
    <row r="6996" spans="1:7">
      <c r="A6996" t="s">
        <v>33106</v>
      </c>
      <c r="B6996" t="s">
        <v>8626</v>
      </c>
      <c r="F6996" t="s">
        <v>33107</v>
      </c>
      <c r="G6996" t="s">
        <v>33108</v>
      </c>
    </row>
    <row r="6997" spans="1:7">
      <c r="A6997" t="s">
        <v>33109</v>
      </c>
      <c r="B6997" t="s">
        <v>8626</v>
      </c>
      <c r="C6997" t="s">
        <v>33110</v>
      </c>
      <c r="F6997" t="s">
        <v>28486</v>
      </c>
      <c r="G6997" t="s">
        <v>33111</v>
      </c>
    </row>
    <row r="6998" spans="1:7">
      <c r="A6998" t="s">
        <v>33112</v>
      </c>
      <c r="B6998" t="s">
        <v>8607</v>
      </c>
      <c r="F6998" t="s">
        <v>25486</v>
      </c>
      <c r="G6998" t="s">
        <v>33113</v>
      </c>
    </row>
    <row r="6999" spans="1:7">
      <c r="A6999" t="s">
        <v>33114</v>
      </c>
      <c r="B6999" t="s">
        <v>8607</v>
      </c>
      <c r="G6999" t="s">
        <v>33115</v>
      </c>
    </row>
    <row r="7000" spans="1:7">
      <c r="A7000" t="s">
        <v>33116</v>
      </c>
      <c r="B7000" t="s">
        <v>8607</v>
      </c>
      <c r="F7000" t="s">
        <v>25802</v>
      </c>
      <c r="G7000" t="s">
        <v>33117</v>
      </c>
    </row>
    <row r="7001" spans="1:7">
      <c r="A7001" t="s">
        <v>33118</v>
      </c>
      <c r="B7001" t="s">
        <v>8607</v>
      </c>
      <c r="G7001" t="s">
        <v>33119</v>
      </c>
    </row>
    <row r="7002" spans="1:7">
      <c r="A7002" t="s">
        <v>33120</v>
      </c>
      <c r="B7002" t="s">
        <v>8607</v>
      </c>
      <c r="F7002" t="s">
        <v>31397</v>
      </c>
      <c r="G7002" t="s">
        <v>33121</v>
      </c>
    </row>
    <row r="7003" spans="1:7">
      <c r="A7003" t="s">
        <v>33122</v>
      </c>
      <c r="B7003" t="s">
        <v>8607</v>
      </c>
      <c r="G7003" t="s">
        <v>33123</v>
      </c>
    </row>
    <row r="7004" spans="1:7">
      <c r="A7004" t="s">
        <v>33124</v>
      </c>
      <c r="B7004" t="s">
        <v>8607</v>
      </c>
      <c r="G7004" t="s">
        <v>33125</v>
      </c>
    </row>
    <row r="7005" spans="1:7">
      <c r="A7005" t="s">
        <v>33126</v>
      </c>
      <c r="B7005" t="s">
        <v>8607</v>
      </c>
      <c r="F7005" t="s">
        <v>31363</v>
      </c>
      <c r="G7005" t="s">
        <v>33127</v>
      </c>
    </row>
    <row r="7006" spans="1:7">
      <c r="A7006" t="s">
        <v>33128</v>
      </c>
      <c r="B7006" t="s">
        <v>8607</v>
      </c>
      <c r="G7006" t="s">
        <v>33129</v>
      </c>
    </row>
    <row r="7007" spans="1:7">
      <c r="A7007" t="s">
        <v>33130</v>
      </c>
      <c r="B7007" t="s">
        <v>8626</v>
      </c>
      <c r="G7007" t="s">
        <v>33131</v>
      </c>
    </row>
    <row r="7008" spans="1:7">
      <c r="A7008" t="s">
        <v>33132</v>
      </c>
      <c r="B7008" t="s">
        <v>8607</v>
      </c>
      <c r="F7008" t="s">
        <v>17760</v>
      </c>
      <c r="G7008" t="s">
        <v>33133</v>
      </c>
    </row>
    <row r="7009" spans="1:7">
      <c r="A7009" t="s">
        <v>33134</v>
      </c>
      <c r="B7009" t="s">
        <v>8607</v>
      </c>
      <c r="G7009" t="s">
        <v>33135</v>
      </c>
    </row>
    <row r="7010" spans="1:7">
      <c r="A7010" t="s">
        <v>33136</v>
      </c>
      <c r="B7010" t="s">
        <v>8626</v>
      </c>
      <c r="G7010" t="s">
        <v>33137</v>
      </c>
    </row>
    <row r="7011" spans="1:7">
      <c r="A7011" t="s">
        <v>33138</v>
      </c>
      <c r="B7011" t="s">
        <v>8607</v>
      </c>
      <c r="F7011" t="s">
        <v>25821</v>
      </c>
      <c r="G7011" t="s">
        <v>33139</v>
      </c>
    </row>
    <row r="7012" spans="1:7">
      <c r="A7012" t="s">
        <v>33140</v>
      </c>
      <c r="B7012" t="s">
        <v>8607</v>
      </c>
      <c r="F7012" t="s">
        <v>23796</v>
      </c>
      <c r="G7012" t="s">
        <v>33141</v>
      </c>
    </row>
    <row r="7013" spans="1:7">
      <c r="A7013" t="s">
        <v>33142</v>
      </c>
      <c r="B7013" t="s">
        <v>8626</v>
      </c>
      <c r="F7013" t="s">
        <v>29147</v>
      </c>
      <c r="G7013" t="s">
        <v>33143</v>
      </c>
    </row>
    <row r="7014" spans="1:7">
      <c r="A7014" t="s">
        <v>33144</v>
      </c>
      <c r="B7014" t="s">
        <v>8607</v>
      </c>
      <c r="G7014" t="s">
        <v>33145</v>
      </c>
    </row>
    <row r="7015" spans="1:7">
      <c r="A7015" t="s">
        <v>33146</v>
      </c>
      <c r="B7015" t="s">
        <v>8626</v>
      </c>
      <c r="F7015" t="s">
        <v>33147</v>
      </c>
      <c r="G7015" t="s">
        <v>33148</v>
      </c>
    </row>
    <row r="7016" spans="1:7">
      <c r="A7016" t="s">
        <v>33149</v>
      </c>
      <c r="B7016" t="s">
        <v>8626</v>
      </c>
      <c r="G7016" t="s">
        <v>33150</v>
      </c>
    </row>
    <row r="7017" spans="1:7">
      <c r="A7017" t="s">
        <v>33151</v>
      </c>
      <c r="B7017" t="s">
        <v>8607</v>
      </c>
      <c r="F7017" t="s">
        <v>17932</v>
      </c>
      <c r="G7017" t="s">
        <v>33152</v>
      </c>
    </row>
    <row r="7018" spans="1:7">
      <c r="A7018" t="s">
        <v>33153</v>
      </c>
      <c r="B7018" t="s">
        <v>8607</v>
      </c>
      <c r="F7018" t="s">
        <v>32484</v>
      </c>
      <c r="G7018" t="s">
        <v>33154</v>
      </c>
    </row>
    <row r="7019" spans="1:7">
      <c r="A7019" t="s">
        <v>33155</v>
      </c>
      <c r="B7019" t="s">
        <v>8607</v>
      </c>
      <c r="C7019" t="s">
        <v>33156</v>
      </c>
      <c r="F7019" t="s">
        <v>12464</v>
      </c>
      <c r="G7019" t="s">
        <v>33157</v>
      </c>
    </row>
    <row r="7020" spans="1:7">
      <c r="A7020" t="s">
        <v>33158</v>
      </c>
      <c r="B7020" t="s">
        <v>8607</v>
      </c>
      <c r="C7020" t="s">
        <v>22862</v>
      </c>
      <c r="F7020" t="s">
        <v>22864</v>
      </c>
      <c r="G7020" t="s">
        <v>33159</v>
      </c>
    </row>
    <row r="7021" spans="1:7">
      <c r="A7021" t="s">
        <v>33160</v>
      </c>
      <c r="B7021" t="s">
        <v>8607</v>
      </c>
      <c r="G7021" t="s">
        <v>33161</v>
      </c>
    </row>
    <row r="7022" spans="1:7">
      <c r="A7022" t="s">
        <v>33162</v>
      </c>
      <c r="B7022" t="s">
        <v>8607</v>
      </c>
      <c r="G7022" t="s">
        <v>33163</v>
      </c>
    </row>
    <row r="7023" spans="1:7">
      <c r="A7023" t="s">
        <v>33164</v>
      </c>
      <c r="B7023" t="s">
        <v>8607</v>
      </c>
      <c r="F7023" t="s">
        <v>30525</v>
      </c>
      <c r="G7023" t="s">
        <v>33165</v>
      </c>
    </row>
    <row r="7024" spans="1:7">
      <c r="A7024" t="s">
        <v>33166</v>
      </c>
      <c r="B7024" t="s">
        <v>8626</v>
      </c>
      <c r="F7024" t="s">
        <v>17824</v>
      </c>
      <c r="G7024" t="s">
        <v>33167</v>
      </c>
    </row>
    <row r="7025" spans="1:7">
      <c r="A7025" t="s">
        <v>33168</v>
      </c>
      <c r="B7025" t="s">
        <v>8626</v>
      </c>
      <c r="G7025" t="s">
        <v>33169</v>
      </c>
    </row>
    <row r="7026" spans="1:7">
      <c r="A7026" t="s">
        <v>33170</v>
      </c>
      <c r="B7026" t="s">
        <v>8607</v>
      </c>
      <c r="F7026" t="s">
        <v>24745</v>
      </c>
      <c r="G7026" t="s">
        <v>33171</v>
      </c>
    </row>
    <row r="7027" spans="1:7">
      <c r="A7027" t="s">
        <v>33172</v>
      </c>
      <c r="B7027" t="s">
        <v>8626</v>
      </c>
      <c r="F7027" t="s">
        <v>33173</v>
      </c>
      <c r="G7027" t="s">
        <v>33174</v>
      </c>
    </row>
    <row r="7028" spans="1:7">
      <c r="A7028" t="s">
        <v>33175</v>
      </c>
      <c r="B7028" t="s">
        <v>8626</v>
      </c>
      <c r="F7028" t="s">
        <v>33176</v>
      </c>
      <c r="G7028" t="s">
        <v>33177</v>
      </c>
    </row>
    <row r="7029" spans="1:7">
      <c r="A7029" t="s">
        <v>33178</v>
      </c>
      <c r="B7029" t="s">
        <v>8607</v>
      </c>
      <c r="F7029" t="s">
        <v>30145</v>
      </c>
      <c r="G7029" t="s">
        <v>33179</v>
      </c>
    </row>
    <row r="7030" spans="1:7">
      <c r="A7030" t="s">
        <v>33180</v>
      </c>
      <c r="B7030" t="s">
        <v>8607</v>
      </c>
      <c r="F7030" t="s">
        <v>33181</v>
      </c>
      <c r="G7030" t="s">
        <v>33182</v>
      </c>
    </row>
    <row r="7031" spans="1:7">
      <c r="A7031" t="s">
        <v>33183</v>
      </c>
      <c r="B7031" t="s">
        <v>8607</v>
      </c>
      <c r="F7031" t="s">
        <v>26698</v>
      </c>
      <c r="G7031" t="s">
        <v>33184</v>
      </c>
    </row>
    <row r="7032" spans="1:7">
      <c r="A7032" t="s">
        <v>33185</v>
      </c>
      <c r="B7032" t="s">
        <v>8626</v>
      </c>
      <c r="F7032" t="s">
        <v>17838</v>
      </c>
      <c r="G7032" t="s">
        <v>33186</v>
      </c>
    </row>
    <row r="7033" spans="1:7">
      <c r="A7033" t="s">
        <v>33187</v>
      </c>
      <c r="B7033" t="s">
        <v>8607</v>
      </c>
      <c r="F7033" t="s">
        <v>8623</v>
      </c>
      <c r="G7033" t="s">
        <v>33188</v>
      </c>
    </row>
    <row r="7034" spans="1:7">
      <c r="A7034" t="s">
        <v>33189</v>
      </c>
      <c r="B7034" t="s">
        <v>8607</v>
      </c>
      <c r="C7034" t="s">
        <v>30652</v>
      </c>
      <c r="F7034" t="s">
        <v>28637</v>
      </c>
      <c r="G7034" t="s">
        <v>33190</v>
      </c>
    </row>
    <row r="7035" spans="1:7">
      <c r="A7035" t="s">
        <v>33191</v>
      </c>
      <c r="B7035" t="s">
        <v>8607</v>
      </c>
      <c r="F7035" t="s">
        <v>30671</v>
      </c>
      <c r="G7035" t="s">
        <v>33192</v>
      </c>
    </row>
    <row r="7036" spans="1:7">
      <c r="A7036" t="s">
        <v>33193</v>
      </c>
      <c r="B7036" t="s">
        <v>8607</v>
      </c>
      <c r="F7036" t="s">
        <v>20473</v>
      </c>
      <c r="G7036" t="s">
        <v>33194</v>
      </c>
    </row>
    <row r="7037" spans="1:7">
      <c r="A7037" t="s">
        <v>33195</v>
      </c>
      <c r="B7037" t="s">
        <v>8607</v>
      </c>
      <c r="F7037" t="s">
        <v>28207</v>
      </c>
      <c r="G7037" t="s">
        <v>33196</v>
      </c>
    </row>
    <row r="7038" spans="1:7">
      <c r="A7038" t="s">
        <v>33197</v>
      </c>
      <c r="G7038" t="s">
        <v>33198</v>
      </c>
    </row>
    <row r="7039" spans="1:7">
      <c r="A7039" t="s">
        <v>33199</v>
      </c>
      <c r="B7039" t="s">
        <v>8607</v>
      </c>
      <c r="F7039" t="s">
        <v>26251</v>
      </c>
      <c r="G7039" t="s">
        <v>32321</v>
      </c>
    </row>
    <row r="7040" spans="1:7">
      <c r="A7040" t="s">
        <v>33200</v>
      </c>
      <c r="B7040" t="s">
        <v>8607</v>
      </c>
      <c r="F7040" t="s">
        <v>26207</v>
      </c>
      <c r="G7040" t="s">
        <v>33201</v>
      </c>
    </row>
    <row r="7041" spans="1:7">
      <c r="A7041" t="s">
        <v>33202</v>
      </c>
      <c r="B7041" t="s">
        <v>8607</v>
      </c>
      <c r="F7041" t="s">
        <v>28159</v>
      </c>
      <c r="G7041" t="s">
        <v>33203</v>
      </c>
    </row>
    <row r="7042" spans="1:7">
      <c r="A7042" t="s">
        <v>33204</v>
      </c>
      <c r="B7042" t="s">
        <v>8626</v>
      </c>
      <c r="F7042" t="s">
        <v>17349</v>
      </c>
      <c r="G7042" t="s">
        <v>33205</v>
      </c>
    </row>
    <row r="7043" spans="1:7">
      <c r="A7043" t="s">
        <v>33206</v>
      </c>
      <c r="B7043" t="s">
        <v>8607</v>
      </c>
      <c r="F7043" t="s">
        <v>33207</v>
      </c>
      <c r="G7043" t="s">
        <v>33208</v>
      </c>
    </row>
    <row r="7044" spans="1:7">
      <c r="A7044" t="s">
        <v>33209</v>
      </c>
      <c r="B7044" t="s">
        <v>8607</v>
      </c>
      <c r="F7044" t="s">
        <v>30830</v>
      </c>
      <c r="G7044" t="s">
        <v>33210</v>
      </c>
    </row>
    <row r="7045" spans="1:7">
      <c r="A7045" t="s">
        <v>33211</v>
      </c>
      <c r="B7045" t="s">
        <v>8607</v>
      </c>
      <c r="F7045" t="s">
        <v>27423</v>
      </c>
      <c r="G7045" t="s">
        <v>33212</v>
      </c>
    </row>
    <row r="7046" spans="1:7">
      <c r="A7046" t="s">
        <v>33213</v>
      </c>
      <c r="B7046" t="s">
        <v>8607</v>
      </c>
      <c r="F7046" t="s">
        <v>26717</v>
      </c>
      <c r="G7046" t="s">
        <v>33214</v>
      </c>
    </row>
    <row r="7047" spans="1:7">
      <c r="A7047" t="s">
        <v>33215</v>
      </c>
      <c r="B7047" t="s">
        <v>8607</v>
      </c>
      <c r="F7047" t="s">
        <v>30528</v>
      </c>
      <c r="G7047" t="s">
        <v>30529</v>
      </c>
    </row>
    <row r="7048" spans="1:7">
      <c r="A7048" t="s">
        <v>33216</v>
      </c>
      <c r="B7048" t="s">
        <v>8626</v>
      </c>
      <c r="G7048" t="s">
        <v>33217</v>
      </c>
    </row>
    <row r="7049" spans="1:7">
      <c r="A7049" t="s">
        <v>33218</v>
      </c>
      <c r="B7049" t="s">
        <v>8607</v>
      </c>
      <c r="F7049" t="s">
        <v>9018</v>
      </c>
      <c r="G7049" t="s">
        <v>33219</v>
      </c>
    </row>
    <row r="7050" spans="1:7">
      <c r="A7050" t="s">
        <v>33220</v>
      </c>
      <c r="B7050" t="s">
        <v>8626</v>
      </c>
      <c r="F7050" t="s">
        <v>8623</v>
      </c>
      <c r="G7050" t="s">
        <v>33221</v>
      </c>
    </row>
    <row r="7051" spans="1:7">
      <c r="A7051" t="s">
        <v>33222</v>
      </c>
      <c r="B7051" t="s">
        <v>8626</v>
      </c>
      <c r="F7051" t="s">
        <v>29715</v>
      </c>
      <c r="G7051" t="s">
        <v>33223</v>
      </c>
    </row>
    <row r="7052" spans="1:7">
      <c r="A7052" t="s">
        <v>33224</v>
      </c>
      <c r="B7052" t="s">
        <v>8626</v>
      </c>
      <c r="F7052" t="s">
        <v>26919</v>
      </c>
      <c r="G7052" t="s">
        <v>33225</v>
      </c>
    </row>
    <row r="7053" spans="1:7">
      <c r="A7053" t="s">
        <v>33226</v>
      </c>
      <c r="G7053" t="s">
        <v>28778</v>
      </c>
    </row>
    <row r="7054" spans="1:7">
      <c r="A7054" t="s">
        <v>33227</v>
      </c>
      <c r="B7054" t="s">
        <v>8607</v>
      </c>
      <c r="F7054" t="s">
        <v>33228</v>
      </c>
      <c r="G7054" t="s">
        <v>33229</v>
      </c>
    </row>
    <row r="7055" spans="1:7">
      <c r="A7055" t="s">
        <v>33230</v>
      </c>
      <c r="B7055" t="s">
        <v>8626</v>
      </c>
      <c r="C7055" t="s">
        <v>22862</v>
      </c>
      <c r="F7055" t="s">
        <v>22864</v>
      </c>
      <c r="G7055" t="s">
        <v>33231</v>
      </c>
    </row>
    <row r="7056" spans="1:7">
      <c r="A7056" t="s">
        <v>33232</v>
      </c>
      <c r="B7056" t="s">
        <v>8607</v>
      </c>
      <c r="F7056" t="s">
        <v>33233</v>
      </c>
      <c r="G7056" t="s">
        <v>33234</v>
      </c>
    </row>
    <row r="7057" spans="1:7">
      <c r="A7057" t="s">
        <v>33235</v>
      </c>
      <c r="B7057" t="s">
        <v>8626</v>
      </c>
      <c r="G7057" t="s">
        <v>33236</v>
      </c>
    </row>
    <row r="7058" spans="1:7">
      <c r="A7058" t="s">
        <v>33237</v>
      </c>
      <c r="B7058" t="s">
        <v>8607</v>
      </c>
      <c r="F7058" t="s">
        <v>8623</v>
      </c>
      <c r="G7058" t="s">
        <v>27484</v>
      </c>
    </row>
    <row r="7059" spans="1:7">
      <c r="A7059" t="s">
        <v>33238</v>
      </c>
      <c r="B7059" t="s">
        <v>8626</v>
      </c>
      <c r="C7059" t="s">
        <v>33239</v>
      </c>
      <c r="F7059" t="s">
        <v>21700</v>
      </c>
      <c r="G7059" t="s">
        <v>33240</v>
      </c>
    </row>
    <row r="7060" spans="1:7">
      <c r="A7060" t="s">
        <v>33241</v>
      </c>
      <c r="B7060" t="s">
        <v>8626</v>
      </c>
      <c r="F7060" t="s">
        <v>33242</v>
      </c>
      <c r="G7060" t="s">
        <v>33243</v>
      </c>
    </row>
    <row r="7061" spans="1:7">
      <c r="A7061" t="s">
        <v>33244</v>
      </c>
      <c r="B7061" t="s">
        <v>8607</v>
      </c>
      <c r="F7061" t="s">
        <v>21832</v>
      </c>
      <c r="G7061" t="s">
        <v>33245</v>
      </c>
    </row>
    <row r="7062" spans="1:7">
      <c r="A7062" t="s">
        <v>33246</v>
      </c>
      <c r="B7062" t="s">
        <v>8607</v>
      </c>
      <c r="F7062" t="s">
        <v>18286</v>
      </c>
      <c r="G7062" t="s">
        <v>33247</v>
      </c>
    </row>
    <row r="7063" spans="1:7">
      <c r="A7063" t="s">
        <v>33248</v>
      </c>
      <c r="B7063" t="s">
        <v>8607</v>
      </c>
      <c r="F7063" t="s">
        <v>26465</v>
      </c>
      <c r="G7063" t="s">
        <v>27090</v>
      </c>
    </row>
    <row r="7064" spans="1:7">
      <c r="A7064" t="s">
        <v>33249</v>
      </c>
      <c r="B7064" t="s">
        <v>8607</v>
      </c>
      <c r="G7064" t="s">
        <v>33250</v>
      </c>
    </row>
    <row r="7065" spans="1:7">
      <c r="A7065" t="s">
        <v>33251</v>
      </c>
      <c r="B7065" t="s">
        <v>8607</v>
      </c>
      <c r="F7065" t="s">
        <v>26452</v>
      </c>
      <c r="G7065" t="s">
        <v>33252</v>
      </c>
    </row>
    <row r="7066" spans="1:7">
      <c r="A7066" t="s">
        <v>33253</v>
      </c>
      <c r="B7066" t="s">
        <v>8607</v>
      </c>
      <c r="F7066" t="s">
        <v>19380</v>
      </c>
      <c r="G7066" t="s">
        <v>19381</v>
      </c>
    </row>
    <row r="7067" spans="1:7">
      <c r="A7067" t="s">
        <v>33254</v>
      </c>
      <c r="B7067" t="s">
        <v>8607</v>
      </c>
      <c r="F7067" t="s">
        <v>19380</v>
      </c>
      <c r="G7067" t="s">
        <v>27086</v>
      </c>
    </row>
    <row r="7068" spans="1:7">
      <c r="A7068" t="s">
        <v>33255</v>
      </c>
      <c r="B7068" t="s">
        <v>8626</v>
      </c>
      <c r="F7068" t="s">
        <v>33256</v>
      </c>
      <c r="G7068" t="s">
        <v>33257</v>
      </c>
    </row>
    <row r="7069" spans="1:7">
      <c r="A7069" t="s">
        <v>33258</v>
      </c>
      <c r="B7069" t="s">
        <v>8626</v>
      </c>
      <c r="G7069" t="s">
        <v>30419</v>
      </c>
    </row>
    <row r="7070" spans="1:7">
      <c r="A7070" t="s">
        <v>33259</v>
      </c>
      <c r="B7070" t="s">
        <v>8626</v>
      </c>
      <c r="F7070" t="s">
        <v>26992</v>
      </c>
      <c r="G7070" t="s">
        <v>30421</v>
      </c>
    </row>
    <row r="7071" spans="1:7">
      <c r="A7071" t="s">
        <v>33260</v>
      </c>
      <c r="B7071" t="s">
        <v>8626</v>
      </c>
      <c r="F7071" t="s">
        <v>26995</v>
      </c>
      <c r="G7071" t="s">
        <v>33261</v>
      </c>
    </row>
    <row r="7072" spans="1:7">
      <c r="A7072" t="s">
        <v>33262</v>
      </c>
      <c r="B7072" t="s">
        <v>8626</v>
      </c>
      <c r="G7072" t="s">
        <v>33263</v>
      </c>
    </row>
    <row r="7073" spans="1:7">
      <c r="A7073" t="s">
        <v>33264</v>
      </c>
      <c r="B7073" t="s">
        <v>8607</v>
      </c>
      <c r="F7073" t="s">
        <v>17349</v>
      </c>
      <c r="G7073" t="s">
        <v>33265</v>
      </c>
    </row>
    <row r="7074" spans="1:7">
      <c r="A7074" t="s">
        <v>33266</v>
      </c>
      <c r="B7074" t="s">
        <v>8607</v>
      </c>
      <c r="G7074" t="s">
        <v>33267</v>
      </c>
    </row>
    <row r="7075" spans="1:7">
      <c r="A7075" t="s">
        <v>33268</v>
      </c>
      <c r="B7075" t="s">
        <v>8607</v>
      </c>
      <c r="C7075" t="s">
        <v>33269</v>
      </c>
      <c r="F7075" t="s">
        <v>27220</v>
      </c>
      <c r="G7075" t="s">
        <v>33270</v>
      </c>
    </row>
    <row r="7076" spans="1:7">
      <c r="A7076" t="s">
        <v>33271</v>
      </c>
      <c r="B7076" t="s">
        <v>8607</v>
      </c>
      <c r="F7076" t="s">
        <v>33272</v>
      </c>
      <c r="G7076" t="s">
        <v>33273</v>
      </c>
    </row>
    <row r="7077" spans="1:7">
      <c r="A7077" t="s">
        <v>33274</v>
      </c>
      <c r="B7077" t="s">
        <v>8607</v>
      </c>
      <c r="C7077" t="s">
        <v>33275</v>
      </c>
      <c r="F7077" t="s">
        <v>27216</v>
      </c>
      <c r="G7077" t="s">
        <v>33276</v>
      </c>
    </row>
    <row r="7078" spans="1:7">
      <c r="A7078" t="s">
        <v>33277</v>
      </c>
      <c r="B7078" t="s">
        <v>8607</v>
      </c>
      <c r="C7078" t="s">
        <v>33269</v>
      </c>
      <c r="F7078" t="s">
        <v>27220</v>
      </c>
      <c r="G7078" t="s">
        <v>33278</v>
      </c>
    </row>
    <row r="7079" spans="1:7">
      <c r="A7079" t="s">
        <v>33279</v>
      </c>
      <c r="B7079" t="s">
        <v>8626</v>
      </c>
      <c r="G7079" t="s">
        <v>33280</v>
      </c>
    </row>
    <row r="7080" spans="1:7">
      <c r="A7080" t="s">
        <v>33281</v>
      </c>
      <c r="B7080" t="s">
        <v>8607</v>
      </c>
      <c r="F7080" t="s">
        <v>26883</v>
      </c>
      <c r="G7080" t="s">
        <v>33282</v>
      </c>
    </row>
    <row r="7081" spans="1:7">
      <c r="A7081" t="s">
        <v>33283</v>
      </c>
      <c r="B7081" t="s">
        <v>8626</v>
      </c>
      <c r="C7081" t="s">
        <v>30561</v>
      </c>
      <c r="F7081" t="s">
        <v>17429</v>
      </c>
      <c r="G7081" t="s">
        <v>33284</v>
      </c>
    </row>
    <row r="7082" spans="1:7">
      <c r="A7082" t="s">
        <v>33285</v>
      </c>
      <c r="B7082" t="s">
        <v>8607</v>
      </c>
      <c r="C7082" t="s">
        <v>32790</v>
      </c>
      <c r="F7082" t="s">
        <v>33286</v>
      </c>
      <c r="G7082" t="s">
        <v>33287</v>
      </c>
    </row>
    <row r="7083" spans="1:7">
      <c r="A7083" t="s">
        <v>33288</v>
      </c>
      <c r="B7083" t="s">
        <v>8607</v>
      </c>
      <c r="F7083" t="s">
        <v>8623</v>
      </c>
      <c r="G7083" t="s">
        <v>33289</v>
      </c>
    </row>
    <row r="7084" spans="1:7">
      <c r="A7084" t="s">
        <v>33290</v>
      </c>
      <c r="B7084" t="s">
        <v>8626</v>
      </c>
      <c r="F7084" t="s">
        <v>26759</v>
      </c>
      <c r="G7084" t="s">
        <v>26760</v>
      </c>
    </row>
    <row r="7085" spans="1:7">
      <c r="A7085" t="s">
        <v>33291</v>
      </c>
      <c r="B7085" t="s">
        <v>8626</v>
      </c>
      <c r="F7085" t="s">
        <v>13649</v>
      </c>
      <c r="G7085" t="s">
        <v>26765</v>
      </c>
    </row>
    <row r="7086" spans="1:7">
      <c r="A7086" t="s">
        <v>33292</v>
      </c>
      <c r="B7086" t="s">
        <v>8607</v>
      </c>
      <c r="F7086" t="s">
        <v>18667</v>
      </c>
      <c r="G7086" t="s">
        <v>33293</v>
      </c>
    </row>
    <row r="7087" spans="1:7">
      <c r="A7087" t="s">
        <v>33294</v>
      </c>
      <c r="B7087" t="s">
        <v>8607</v>
      </c>
      <c r="F7087" t="s">
        <v>28500</v>
      </c>
      <c r="G7087" t="s">
        <v>33295</v>
      </c>
    </row>
    <row r="7088" spans="1:7">
      <c r="A7088" t="s">
        <v>33296</v>
      </c>
      <c r="B7088" t="s">
        <v>8607</v>
      </c>
      <c r="C7088" t="s">
        <v>18553</v>
      </c>
      <c r="F7088" t="s">
        <v>9018</v>
      </c>
      <c r="G7088" t="s">
        <v>33297</v>
      </c>
    </row>
    <row r="7089" spans="1:7">
      <c r="A7089" t="s">
        <v>33298</v>
      </c>
      <c r="B7089" t="s">
        <v>8607</v>
      </c>
      <c r="C7089" t="s">
        <v>17646</v>
      </c>
      <c r="F7089" t="s">
        <v>33299</v>
      </c>
      <c r="G7089" t="s">
        <v>33300</v>
      </c>
    </row>
    <row r="7090" spans="1:7">
      <c r="A7090" t="s">
        <v>33301</v>
      </c>
      <c r="B7090" t="s">
        <v>8607</v>
      </c>
      <c r="G7090" t="s">
        <v>33302</v>
      </c>
    </row>
    <row r="7091" spans="1:7">
      <c r="A7091" t="s">
        <v>33303</v>
      </c>
      <c r="B7091" t="s">
        <v>8607</v>
      </c>
      <c r="C7091" t="s">
        <v>24008</v>
      </c>
      <c r="F7091" t="s">
        <v>17305</v>
      </c>
      <c r="G7091" t="s">
        <v>33304</v>
      </c>
    </row>
    <row r="7092" spans="1:7">
      <c r="A7092" t="s">
        <v>33305</v>
      </c>
      <c r="B7092" t="s">
        <v>8607</v>
      </c>
      <c r="C7092" t="s">
        <v>29460</v>
      </c>
      <c r="F7092" t="s">
        <v>23756</v>
      </c>
      <c r="G7092" t="s">
        <v>23759</v>
      </c>
    </row>
    <row r="7093" spans="1:7">
      <c r="A7093" t="s">
        <v>33306</v>
      </c>
      <c r="B7093" t="s">
        <v>8607</v>
      </c>
      <c r="F7093" t="s">
        <v>26173</v>
      </c>
      <c r="G7093" t="s">
        <v>26387</v>
      </c>
    </row>
    <row r="7094" spans="1:7">
      <c r="A7094" t="s">
        <v>33307</v>
      </c>
      <c r="B7094" t="s">
        <v>8626</v>
      </c>
      <c r="G7094" t="s">
        <v>29987</v>
      </c>
    </row>
    <row r="7095" spans="1:7">
      <c r="A7095" t="s">
        <v>33308</v>
      </c>
      <c r="B7095" t="s">
        <v>8607</v>
      </c>
      <c r="F7095" t="s">
        <v>26827</v>
      </c>
      <c r="G7095" t="s">
        <v>33309</v>
      </c>
    </row>
    <row r="7096" spans="1:7">
      <c r="A7096" t="s">
        <v>33310</v>
      </c>
      <c r="B7096" t="s">
        <v>8626</v>
      </c>
      <c r="G7096" t="s">
        <v>26631</v>
      </c>
    </row>
    <row r="7097" spans="1:7">
      <c r="A7097" t="s">
        <v>33311</v>
      </c>
      <c r="B7097" t="s">
        <v>8607</v>
      </c>
      <c r="F7097" t="s">
        <v>32484</v>
      </c>
      <c r="G7097" t="s">
        <v>33312</v>
      </c>
    </row>
    <row r="7098" spans="1:7">
      <c r="A7098" t="s">
        <v>33313</v>
      </c>
      <c r="B7098" t="s">
        <v>8607</v>
      </c>
      <c r="F7098" t="s">
        <v>17932</v>
      </c>
      <c r="G7098" t="s">
        <v>33314</v>
      </c>
    </row>
    <row r="7099" spans="1:7">
      <c r="A7099" t="s">
        <v>33315</v>
      </c>
      <c r="B7099" t="s">
        <v>8607</v>
      </c>
      <c r="F7099" t="s">
        <v>26751</v>
      </c>
      <c r="G7099" t="s">
        <v>32307</v>
      </c>
    </row>
    <row r="7100" spans="1:7">
      <c r="A7100" t="s">
        <v>33316</v>
      </c>
      <c r="B7100" t="s">
        <v>8607</v>
      </c>
      <c r="F7100" t="s">
        <v>26754</v>
      </c>
      <c r="G7100" t="s">
        <v>29669</v>
      </c>
    </row>
    <row r="7101" spans="1:7">
      <c r="A7101" t="s">
        <v>33317</v>
      </c>
      <c r="B7101" t="s">
        <v>8626</v>
      </c>
      <c r="G7101" t="s">
        <v>27074</v>
      </c>
    </row>
    <row r="7102" spans="1:7">
      <c r="A7102" t="s">
        <v>33318</v>
      </c>
      <c r="G7102" t="s">
        <v>27076</v>
      </c>
    </row>
    <row r="7103" spans="1:7">
      <c r="A7103" t="s">
        <v>33319</v>
      </c>
      <c r="B7103" t="s">
        <v>8607</v>
      </c>
      <c r="C7103" t="s">
        <v>27078</v>
      </c>
      <c r="F7103" t="s">
        <v>19996</v>
      </c>
      <c r="G7103" t="s">
        <v>33320</v>
      </c>
    </row>
    <row r="7104" spans="1:7">
      <c r="A7104" t="s">
        <v>33321</v>
      </c>
      <c r="B7104" t="s">
        <v>8607</v>
      </c>
      <c r="F7104" t="s">
        <v>15309</v>
      </c>
      <c r="G7104" t="s">
        <v>33322</v>
      </c>
    </row>
    <row r="7105" spans="1:7">
      <c r="A7105" t="s">
        <v>33323</v>
      </c>
      <c r="B7105" t="s">
        <v>8607</v>
      </c>
      <c r="F7105" t="s">
        <v>32781</v>
      </c>
      <c r="G7105" t="s">
        <v>32782</v>
      </c>
    </row>
    <row r="7106" spans="1:7">
      <c r="A7106" t="s">
        <v>33324</v>
      </c>
      <c r="B7106" t="s">
        <v>8607</v>
      </c>
      <c r="G7106" t="s">
        <v>33325</v>
      </c>
    </row>
    <row r="7107" spans="1:7">
      <c r="A7107" t="s">
        <v>33326</v>
      </c>
      <c r="B7107" t="s">
        <v>8607</v>
      </c>
      <c r="F7107" t="s">
        <v>8623</v>
      </c>
      <c r="G7107" t="s">
        <v>33289</v>
      </c>
    </row>
    <row r="7108" spans="1:7">
      <c r="A7108" t="s">
        <v>33327</v>
      </c>
      <c r="B7108" t="s">
        <v>8607</v>
      </c>
      <c r="F7108" t="s">
        <v>22864</v>
      </c>
      <c r="G7108" t="s">
        <v>27606</v>
      </c>
    </row>
    <row r="7109" spans="1:7">
      <c r="A7109" t="s">
        <v>33328</v>
      </c>
      <c r="B7109" t="s">
        <v>8607</v>
      </c>
      <c r="G7109" t="s">
        <v>27608</v>
      </c>
    </row>
    <row r="7110" spans="1:7">
      <c r="A7110" t="s">
        <v>33329</v>
      </c>
      <c r="B7110" t="s">
        <v>8626</v>
      </c>
      <c r="F7110" t="s">
        <v>27610</v>
      </c>
      <c r="G7110" t="s">
        <v>27611</v>
      </c>
    </row>
    <row r="7111" spans="1:7">
      <c r="A7111" t="s">
        <v>33330</v>
      </c>
      <c r="B7111" t="s">
        <v>8607</v>
      </c>
      <c r="C7111" t="s">
        <v>28071</v>
      </c>
      <c r="F7111" t="s">
        <v>17327</v>
      </c>
      <c r="G7111" t="s">
        <v>28072</v>
      </c>
    </row>
    <row r="7112" spans="1:7">
      <c r="A7112" t="s">
        <v>33331</v>
      </c>
      <c r="B7112" t="s">
        <v>8607</v>
      </c>
      <c r="G7112" t="s">
        <v>18461</v>
      </c>
    </row>
    <row r="7113" spans="1:7">
      <c r="A7113" t="s">
        <v>33332</v>
      </c>
      <c r="B7113" t="s">
        <v>8626</v>
      </c>
      <c r="F7113" t="s">
        <v>19974</v>
      </c>
      <c r="G7113" t="s">
        <v>26130</v>
      </c>
    </row>
    <row r="7114" spans="1:7">
      <c r="A7114" t="s">
        <v>33333</v>
      </c>
      <c r="B7114" t="s">
        <v>8607</v>
      </c>
      <c r="F7114" t="s">
        <v>32256</v>
      </c>
      <c r="G7114" t="s">
        <v>33334</v>
      </c>
    </row>
    <row r="7115" spans="1:7">
      <c r="A7115" t="s">
        <v>33335</v>
      </c>
      <c r="B7115" t="s">
        <v>8607</v>
      </c>
      <c r="F7115" t="s">
        <v>26494</v>
      </c>
      <c r="G7115" t="s">
        <v>26495</v>
      </c>
    </row>
    <row r="7116" spans="1:7">
      <c r="A7116" t="s">
        <v>33336</v>
      </c>
      <c r="B7116" t="s">
        <v>8626</v>
      </c>
      <c r="G7116" t="s">
        <v>33337</v>
      </c>
    </row>
    <row r="7117" spans="1:7">
      <c r="A7117" t="s">
        <v>33338</v>
      </c>
      <c r="B7117" t="s">
        <v>8626</v>
      </c>
      <c r="F7117" t="s">
        <v>28152</v>
      </c>
      <c r="G7117" t="s">
        <v>33339</v>
      </c>
    </row>
    <row r="7118" spans="1:7">
      <c r="A7118" t="s">
        <v>33340</v>
      </c>
      <c r="B7118" t="s">
        <v>8626</v>
      </c>
      <c r="F7118" t="s">
        <v>31065</v>
      </c>
      <c r="G7118" t="s">
        <v>33341</v>
      </c>
    </row>
    <row r="7119" spans="1:7">
      <c r="A7119" t="s">
        <v>33342</v>
      </c>
      <c r="B7119" t="s">
        <v>8607</v>
      </c>
      <c r="C7119" t="s">
        <v>17308</v>
      </c>
      <c r="F7119" t="s">
        <v>17310</v>
      </c>
      <c r="G7119" t="s">
        <v>17581</v>
      </c>
    </row>
    <row r="7120" spans="1:7">
      <c r="A7120" t="s">
        <v>33343</v>
      </c>
      <c r="B7120" t="s">
        <v>8607</v>
      </c>
      <c r="F7120" t="s">
        <v>17310</v>
      </c>
      <c r="G7120" t="s">
        <v>17316</v>
      </c>
    </row>
    <row r="7121" spans="1:7">
      <c r="A7121" t="s">
        <v>33344</v>
      </c>
      <c r="B7121" t="s">
        <v>8607</v>
      </c>
      <c r="C7121" t="s">
        <v>27219</v>
      </c>
      <c r="F7121" t="s">
        <v>27220</v>
      </c>
      <c r="G7121" t="s">
        <v>33345</v>
      </c>
    </row>
    <row r="7122" spans="1:7">
      <c r="A7122" t="s">
        <v>33346</v>
      </c>
      <c r="B7122" t="s">
        <v>8607</v>
      </c>
      <c r="C7122" t="s">
        <v>32548</v>
      </c>
      <c r="F7122" t="s">
        <v>32549</v>
      </c>
      <c r="G7122" t="s">
        <v>33347</v>
      </c>
    </row>
    <row r="7123" spans="1:7">
      <c r="A7123" t="s">
        <v>33348</v>
      </c>
      <c r="B7123" t="s">
        <v>8607</v>
      </c>
      <c r="C7123" t="s">
        <v>33349</v>
      </c>
      <c r="F7123" t="s">
        <v>32552</v>
      </c>
      <c r="G7123" t="s">
        <v>32553</v>
      </c>
    </row>
    <row r="7124" spans="1:7">
      <c r="A7124" t="s">
        <v>33350</v>
      </c>
      <c r="B7124" t="s">
        <v>8607</v>
      </c>
      <c r="C7124" t="s">
        <v>27215</v>
      </c>
      <c r="F7124" t="s">
        <v>27216</v>
      </c>
      <c r="G7124" t="s">
        <v>32544</v>
      </c>
    </row>
    <row r="7125" spans="1:7">
      <c r="A7125" t="s">
        <v>33351</v>
      </c>
      <c r="B7125" t="s">
        <v>8626</v>
      </c>
      <c r="C7125" t="s">
        <v>27219</v>
      </c>
      <c r="F7125" t="s">
        <v>27220</v>
      </c>
      <c r="G7125" t="s">
        <v>33352</v>
      </c>
    </row>
    <row r="7126" spans="1:7">
      <c r="A7126" t="s">
        <v>33353</v>
      </c>
      <c r="B7126" t="s">
        <v>8626</v>
      </c>
      <c r="C7126" t="s">
        <v>20814</v>
      </c>
      <c r="F7126" t="s">
        <v>14627</v>
      </c>
      <c r="G7126" t="s">
        <v>33354</v>
      </c>
    </row>
    <row r="7127" spans="1:7">
      <c r="A7127" t="s">
        <v>33355</v>
      </c>
      <c r="B7127" t="s">
        <v>8607</v>
      </c>
      <c r="G7127" t="s">
        <v>33356</v>
      </c>
    </row>
    <row r="7128" spans="1:7">
      <c r="A7128" t="s">
        <v>33357</v>
      </c>
      <c r="B7128" t="s">
        <v>8607</v>
      </c>
      <c r="G7128" t="s">
        <v>33358</v>
      </c>
    </row>
    <row r="7129" spans="1:7">
      <c r="A7129" t="s">
        <v>33359</v>
      </c>
      <c r="B7129" t="s">
        <v>8607</v>
      </c>
      <c r="C7129" t="s">
        <v>28071</v>
      </c>
      <c r="F7129" t="s">
        <v>17327</v>
      </c>
      <c r="G7129" t="s">
        <v>28072</v>
      </c>
    </row>
    <row r="7130" spans="1:7">
      <c r="A7130" t="s">
        <v>33360</v>
      </c>
      <c r="B7130" t="s">
        <v>8626</v>
      </c>
      <c r="C7130" t="s">
        <v>28882</v>
      </c>
      <c r="F7130" t="s">
        <v>17932</v>
      </c>
      <c r="G7130" t="s">
        <v>28893</v>
      </c>
    </row>
    <row r="7131" spans="1:7">
      <c r="A7131" t="s">
        <v>33361</v>
      </c>
      <c r="B7131" t="s">
        <v>8626</v>
      </c>
      <c r="F7131" t="s">
        <v>27040</v>
      </c>
      <c r="G7131" t="s">
        <v>33362</v>
      </c>
    </row>
    <row r="7132" spans="1:7">
      <c r="A7132" t="s">
        <v>33363</v>
      </c>
      <c r="B7132" t="s">
        <v>8607</v>
      </c>
      <c r="C7132" t="s">
        <v>27219</v>
      </c>
      <c r="F7132" t="s">
        <v>27220</v>
      </c>
      <c r="G7132" t="s">
        <v>32546</v>
      </c>
    </row>
    <row r="7133" spans="1:7">
      <c r="A7133" t="s">
        <v>33364</v>
      </c>
      <c r="B7133" t="s">
        <v>8607</v>
      </c>
      <c r="C7133" t="s">
        <v>33365</v>
      </c>
      <c r="F7133" t="s">
        <v>32549</v>
      </c>
      <c r="G7133" t="s">
        <v>33366</v>
      </c>
    </row>
    <row r="7134" spans="1:7">
      <c r="A7134" t="s">
        <v>33367</v>
      </c>
      <c r="B7134" t="s">
        <v>8607</v>
      </c>
      <c r="C7134" t="s">
        <v>33349</v>
      </c>
      <c r="F7134" t="s">
        <v>32552</v>
      </c>
      <c r="G7134" t="s">
        <v>32553</v>
      </c>
    </row>
    <row r="7135" spans="1:7">
      <c r="A7135" t="s">
        <v>33368</v>
      </c>
      <c r="B7135" t="s">
        <v>8607</v>
      </c>
      <c r="C7135" t="s">
        <v>27215</v>
      </c>
      <c r="F7135" t="s">
        <v>27216</v>
      </c>
      <c r="G7135" t="s">
        <v>32544</v>
      </c>
    </row>
    <row r="7136" spans="1:7">
      <c r="A7136" t="s">
        <v>33369</v>
      </c>
      <c r="B7136" t="s">
        <v>8607</v>
      </c>
      <c r="C7136" t="s">
        <v>33370</v>
      </c>
      <c r="F7136" t="s">
        <v>33371</v>
      </c>
      <c r="G7136" t="s">
        <v>33372</v>
      </c>
    </row>
    <row r="7137" spans="1:7">
      <c r="A7137" t="s">
        <v>33373</v>
      </c>
      <c r="B7137" t="s">
        <v>8607</v>
      </c>
      <c r="C7137" t="s">
        <v>27219</v>
      </c>
      <c r="F7137" t="s">
        <v>27220</v>
      </c>
      <c r="G7137" t="s">
        <v>32546</v>
      </c>
    </row>
    <row r="7138" spans="1:7">
      <c r="A7138" t="s">
        <v>33374</v>
      </c>
      <c r="G7138" t="s">
        <v>33375</v>
      </c>
    </row>
    <row r="7139" spans="1:7">
      <c r="A7139" t="s">
        <v>33376</v>
      </c>
      <c r="B7139" t="s">
        <v>8626</v>
      </c>
      <c r="F7139" t="s">
        <v>27646</v>
      </c>
      <c r="G7139" t="s">
        <v>33377</v>
      </c>
    </row>
    <row r="7140" spans="1:7">
      <c r="A7140" t="s">
        <v>33378</v>
      </c>
      <c r="B7140" t="s">
        <v>8626</v>
      </c>
      <c r="F7140" t="s">
        <v>27646</v>
      </c>
      <c r="G7140" t="s">
        <v>33377</v>
      </c>
    </row>
    <row r="7141" spans="1:7">
      <c r="A7141" t="s">
        <v>33379</v>
      </c>
      <c r="B7141" t="s">
        <v>8626</v>
      </c>
      <c r="F7141" t="s">
        <v>27649</v>
      </c>
      <c r="G7141" t="s">
        <v>33380</v>
      </c>
    </row>
    <row r="7142" spans="1:7">
      <c r="A7142" t="s">
        <v>33381</v>
      </c>
      <c r="B7142" t="s">
        <v>8607</v>
      </c>
      <c r="F7142" t="s">
        <v>28615</v>
      </c>
      <c r="G7142" t="s">
        <v>33382</v>
      </c>
    </row>
    <row r="7143" spans="1:7">
      <c r="A7143" t="s">
        <v>33383</v>
      </c>
      <c r="B7143" t="s">
        <v>8626</v>
      </c>
      <c r="F7143" t="s">
        <v>28615</v>
      </c>
      <c r="G7143" t="s">
        <v>33384</v>
      </c>
    </row>
    <row r="7144" spans="1:7">
      <c r="A7144" t="s">
        <v>33385</v>
      </c>
      <c r="B7144" t="s">
        <v>8607</v>
      </c>
      <c r="F7144" t="s">
        <v>24134</v>
      </c>
      <c r="G7144" t="s">
        <v>27829</v>
      </c>
    </row>
    <row r="7145" spans="1:7">
      <c r="A7145" t="s">
        <v>33386</v>
      </c>
      <c r="B7145" t="s">
        <v>8607</v>
      </c>
      <c r="G7145" t="s">
        <v>27831</v>
      </c>
    </row>
    <row r="7146" spans="1:7">
      <c r="A7146" t="s">
        <v>33387</v>
      </c>
      <c r="B7146" t="s">
        <v>8607</v>
      </c>
      <c r="F7146" t="s">
        <v>17305</v>
      </c>
      <c r="G7146" t="s">
        <v>33388</v>
      </c>
    </row>
    <row r="7147" spans="1:7">
      <c r="A7147" t="s">
        <v>33389</v>
      </c>
      <c r="B7147" t="s">
        <v>8607</v>
      </c>
      <c r="F7147" t="s">
        <v>26555</v>
      </c>
      <c r="G7147" t="s">
        <v>33390</v>
      </c>
    </row>
    <row r="7148" spans="1:7">
      <c r="A7148" t="s">
        <v>33391</v>
      </c>
      <c r="B7148" t="s">
        <v>8607</v>
      </c>
      <c r="F7148" t="s">
        <v>26558</v>
      </c>
      <c r="G7148" t="s">
        <v>33392</v>
      </c>
    </row>
    <row r="7149" spans="1:7">
      <c r="A7149" t="s">
        <v>33393</v>
      </c>
      <c r="B7149" t="s">
        <v>8607</v>
      </c>
      <c r="F7149" t="s">
        <v>24134</v>
      </c>
      <c r="G7149" t="s">
        <v>27829</v>
      </c>
    </row>
    <row r="7150" spans="1:7">
      <c r="A7150" t="s">
        <v>33394</v>
      </c>
      <c r="B7150" t="s">
        <v>8607</v>
      </c>
      <c r="G7150" t="s">
        <v>27831</v>
      </c>
    </row>
    <row r="7151" spans="1:7">
      <c r="A7151" t="s">
        <v>33395</v>
      </c>
      <c r="B7151" t="s">
        <v>8626</v>
      </c>
      <c r="F7151" t="s">
        <v>9018</v>
      </c>
      <c r="G7151" t="s">
        <v>33396</v>
      </c>
    </row>
    <row r="7152" spans="1:7">
      <c r="A7152" t="s">
        <v>33397</v>
      </c>
      <c r="B7152" t="s">
        <v>8626</v>
      </c>
      <c r="G7152" t="s">
        <v>33398</v>
      </c>
    </row>
    <row r="7153" spans="1:7">
      <c r="A7153" t="s">
        <v>33399</v>
      </c>
      <c r="B7153" t="s">
        <v>8626</v>
      </c>
      <c r="F7153" t="s">
        <v>27124</v>
      </c>
      <c r="G7153" t="s">
        <v>27125</v>
      </c>
    </row>
    <row r="7154" spans="1:7">
      <c r="A7154" t="s">
        <v>33400</v>
      </c>
      <c r="B7154" t="s">
        <v>8607</v>
      </c>
      <c r="F7154" t="s">
        <v>9018</v>
      </c>
      <c r="G7154" t="s">
        <v>18567</v>
      </c>
    </row>
    <row r="7155" spans="1:7">
      <c r="A7155" t="s">
        <v>33401</v>
      </c>
      <c r="B7155" t="s">
        <v>8607</v>
      </c>
      <c r="F7155" t="s">
        <v>26919</v>
      </c>
      <c r="G7155" t="s">
        <v>33402</v>
      </c>
    </row>
    <row r="7156" spans="1:7">
      <c r="A7156" t="s">
        <v>33403</v>
      </c>
      <c r="B7156" t="s">
        <v>8607</v>
      </c>
      <c r="C7156" t="s">
        <v>29113</v>
      </c>
      <c r="F7156" t="s">
        <v>9018</v>
      </c>
      <c r="G7156" t="s">
        <v>33404</v>
      </c>
    </row>
    <row r="7157" spans="1:7">
      <c r="A7157" t="s">
        <v>33405</v>
      </c>
      <c r="B7157" t="s">
        <v>8607</v>
      </c>
      <c r="C7157" t="s">
        <v>28982</v>
      </c>
      <c r="F7157" t="s">
        <v>9378</v>
      </c>
      <c r="G7157" t="s">
        <v>20254</v>
      </c>
    </row>
    <row r="7158" spans="1:7">
      <c r="A7158" t="s">
        <v>33406</v>
      </c>
      <c r="B7158" t="s">
        <v>8626</v>
      </c>
      <c r="C7158" t="s">
        <v>33407</v>
      </c>
      <c r="F7158" t="s">
        <v>28984</v>
      </c>
      <c r="G7158" t="s">
        <v>33408</v>
      </c>
    </row>
    <row r="7159" spans="1:7">
      <c r="A7159" t="s">
        <v>33409</v>
      </c>
      <c r="B7159" t="s">
        <v>8607</v>
      </c>
      <c r="C7159" t="s">
        <v>29513</v>
      </c>
      <c r="F7159" t="s">
        <v>28988</v>
      </c>
      <c r="G7159" t="s">
        <v>33410</v>
      </c>
    </row>
    <row r="7160" spans="1:7">
      <c r="A7160" t="s">
        <v>33411</v>
      </c>
      <c r="B7160" t="s">
        <v>8607</v>
      </c>
      <c r="F7160" t="s">
        <v>33412</v>
      </c>
      <c r="G7160" t="s">
        <v>33413</v>
      </c>
    </row>
    <row r="7161" spans="1:7">
      <c r="A7161" t="s">
        <v>33414</v>
      </c>
      <c r="B7161" t="s">
        <v>8607</v>
      </c>
      <c r="G7161" t="s">
        <v>27963</v>
      </c>
    </row>
    <row r="7162" spans="1:7">
      <c r="A7162" t="s">
        <v>33415</v>
      </c>
      <c r="B7162" t="s">
        <v>8607</v>
      </c>
      <c r="F7162" t="s">
        <v>17874</v>
      </c>
      <c r="G7162" t="s">
        <v>21631</v>
      </c>
    </row>
    <row r="7163" spans="1:7">
      <c r="A7163" t="s">
        <v>33416</v>
      </c>
      <c r="B7163" t="s">
        <v>8626</v>
      </c>
      <c r="G7163" t="s">
        <v>33417</v>
      </c>
    </row>
    <row r="7164" spans="1:7">
      <c r="A7164" t="s">
        <v>33418</v>
      </c>
      <c r="B7164" t="s">
        <v>8626</v>
      </c>
      <c r="G7164" t="s">
        <v>33419</v>
      </c>
    </row>
    <row r="7165" spans="1:7">
      <c r="A7165" t="s">
        <v>33420</v>
      </c>
      <c r="G7165" t="s">
        <v>33421</v>
      </c>
    </row>
    <row r="7166" spans="1:7">
      <c r="A7166" t="s">
        <v>33422</v>
      </c>
      <c r="B7166" t="s">
        <v>8607</v>
      </c>
      <c r="C7166" t="s">
        <v>27219</v>
      </c>
      <c r="F7166" t="s">
        <v>27220</v>
      </c>
      <c r="G7166" t="s">
        <v>33423</v>
      </c>
    </row>
    <row r="7167" spans="1:7">
      <c r="A7167" t="s">
        <v>33424</v>
      </c>
      <c r="B7167" t="s">
        <v>8607</v>
      </c>
      <c r="C7167" t="s">
        <v>33425</v>
      </c>
      <c r="F7167" t="s">
        <v>32549</v>
      </c>
      <c r="G7167" t="s">
        <v>33426</v>
      </c>
    </row>
    <row r="7168" spans="1:7">
      <c r="A7168" t="s">
        <v>33427</v>
      </c>
      <c r="B7168" t="s">
        <v>8607</v>
      </c>
      <c r="C7168" t="s">
        <v>33349</v>
      </c>
      <c r="F7168" t="s">
        <v>32552</v>
      </c>
      <c r="G7168" t="s">
        <v>33428</v>
      </c>
    </row>
    <row r="7169" spans="1:7">
      <c r="A7169" t="s">
        <v>33429</v>
      </c>
      <c r="B7169" t="s">
        <v>8607</v>
      </c>
      <c r="C7169" t="s">
        <v>27215</v>
      </c>
      <c r="F7169" t="s">
        <v>27216</v>
      </c>
      <c r="G7169" t="s">
        <v>33430</v>
      </c>
    </row>
    <row r="7170" spans="1:7">
      <c r="A7170" t="s">
        <v>33431</v>
      </c>
      <c r="B7170" t="s">
        <v>8607</v>
      </c>
      <c r="F7170" t="s">
        <v>33432</v>
      </c>
      <c r="G7170" t="s">
        <v>33433</v>
      </c>
    </row>
    <row r="7171" spans="1:7">
      <c r="A7171" t="s">
        <v>33434</v>
      </c>
      <c r="B7171" t="s">
        <v>8607</v>
      </c>
      <c r="G7171" t="s">
        <v>33435</v>
      </c>
    </row>
    <row r="7172" spans="1:7">
      <c r="A7172" t="s">
        <v>33436</v>
      </c>
      <c r="B7172" t="s">
        <v>8607</v>
      </c>
      <c r="C7172" t="s">
        <v>28071</v>
      </c>
      <c r="F7172" t="s">
        <v>17327</v>
      </c>
      <c r="G7172" t="s">
        <v>33437</v>
      </c>
    </row>
    <row r="7173" spans="1:7">
      <c r="A7173" t="s">
        <v>33438</v>
      </c>
      <c r="B7173" t="s">
        <v>8607</v>
      </c>
      <c r="C7173" t="s">
        <v>33439</v>
      </c>
      <c r="F7173" t="s">
        <v>21289</v>
      </c>
      <c r="G7173" t="s">
        <v>33440</v>
      </c>
    </row>
    <row r="7174" spans="1:7">
      <c r="A7174" t="s">
        <v>33441</v>
      </c>
      <c r="B7174" t="s">
        <v>8607</v>
      </c>
      <c r="F7174" t="s">
        <v>26173</v>
      </c>
      <c r="G7174" t="s">
        <v>26782</v>
      </c>
    </row>
    <row r="7175" spans="1:7">
      <c r="A7175" t="s">
        <v>33442</v>
      </c>
      <c r="B7175" t="s">
        <v>8607</v>
      </c>
      <c r="G7175" t="s">
        <v>18545</v>
      </c>
    </row>
    <row r="7176" spans="1:7">
      <c r="A7176" t="s">
        <v>33443</v>
      </c>
      <c r="B7176" t="s">
        <v>8607</v>
      </c>
      <c r="G7176" t="s">
        <v>33444</v>
      </c>
    </row>
    <row r="7177" spans="1:7">
      <c r="A7177" t="s">
        <v>33445</v>
      </c>
      <c r="B7177" t="s">
        <v>8607</v>
      </c>
      <c r="G7177" t="s">
        <v>27484</v>
      </c>
    </row>
    <row r="7178" spans="1:7">
      <c r="A7178" t="s">
        <v>33446</v>
      </c>
      <c r="B7178" t="s">
        <v>8626</v>
      </c>
      <c r="F7178" t="s">
        <v>27483</v>
      </c>
      <c r="G7178" t="s">
        <v>26372</v>
      </c>
    </row>
    <row r="7179" spans="1:7">
      <c r="A7179" t="s">
        <v>33447</v>
      </c>
      <c r="B7179" t="s">
        <v>8607</v>
      </c>
      <c r="F7179" t="s">
        <v>8623</v>
      </c>
      <c r="G7179" t="s">
        <v>33448</v>
      </c>
    </row>
    <row r="7180" spans="1:7">
      <c r="A7180" t="s">
        <v>33449</v>
      </c>
      <c r="B7180" t="s">
        <v>8626</v>
      </c>
      <c r="G7180" t="s">
        <v>33450</v>
      </c>
    </row>
    <row r="7181" spans="1:7">
      <c r="A7181" t="s">
        <v>33451</v>
      </c>
      <c r="B7181" t="s">
        <v>8607</v>
      </c>
      <c r="F7181" t="s">
        <v>8623</v>
      </c>
      <c r="G7181" t="s">
        <v>33452</v>
      </c>
    </row>
    <row r="7182" spans="1:7">
      <c r="A7182" t="s">
        <v>33453</v>
      </c>
      <c r="B7182" t="s">
        <v>8626</v>
      </c>
      <c r="G7182" t="s">
        <v>33454</v>
      </c>
    </row>
    <row r="7183" spans="1:7">
      <c r="A7183" t="s">
        <v>33455</v>
      </c>
      <c r="B7183" t="s">
        <v>8607</v>
      </c>
      <c r="F7183" t="s">
        <v>30528</v>
      </c>
      <c r="G7183" t="s">
        <v>33456</v>
      </c>
    </row>
    <row r="7184" spans="1:7">
      <c r="A7184" t="s">
        <v>33457</v>
      </c>
      <c r="B7184" t="s">
        <v>8607</v>
      </c>
      <c r="C7184" t="s">
        <v>32790</v>
      </c>
      <c r="F7184" t="s">
        <v>33286</v>
      </c>
      <c r="G7184" t="s">
        <v>33287</v>
      </c>
    </row>
    <row r="7185" spans="1:7">
      <c r="A7185" t="s">
        <v>33458</v>
      </c>
      <c r="B7185" t="s">
        <v>8607</v>
      </c>
      <c r="F7185" t="s">
        <v>8623</v>
      </c>
      <c r="G7185" t="s">
        <v>33289</v>
      </c>
    </row>
    <row r="7186" spans="1:7">
      <c r="A7186" t="s">
        <v>33459</v>
      </c>
      <c r="B7186" t="s">
        <v>8626</v>
      </c>
      <c r="F7186" t="s">
        <v>26759</v>
      </c>
      <c r="G7186" t="s">
        <v>26760</v>
      </c>
    </row>
    <row r="7187" spans="1:7">
      <c r="A7187" t="s">
        <v>33460</v>
      </c>
      <c r="B7187" t="s">
        <v>8626</v>
      </c>
      <c r="G7187" t="s">
        <v>26765</v>
      </c>
    </row>
    <row r="7188" spans="1:7">
      <c r="A7188" t="s">
        <v>33461</v>
      </c>
      <c r="B7188" t="s">
        <v>8607</v>
      </c>
      <c r="F7188" t="s">
        <v>17305</v>
      </c>
      <c r="G7188" t="s">
        <v>33462</v>
      </c>
    </row>
    <row r="7189" spans="1:7">
      <c r="A7189" t="s">
        <v>33463</v>
      </c>
      <c r="B7189" t="s">
        <v>8626</v>
      </c>
      <c r="C7189" t="s">
        <v>26583</v>
      </c>
      <c r="F7189" t="s">
        <v>26584</v>
      </c>
      <c r="G7189" t="s">
        <v>26585</v>
      </c>
    </row>
    <row r="7190" spans="1:7">
      <c r="A7190" t="s">
        <v>33464</v>
      </c>
      <c r="B7190" t="s">
        <v>8626</v>
      </c>
      <c r="C7190" t="s">
        <v>24388</v>
      </c>
      <c r="F7190" t="s">
        <v>17779</v>
      </c>
      <c r="G7190" t="s">
        <v>24390</v>
      </c>
    </row>
    <row r="7191" spans="1:7">
      <c r="A7191" t="s">
        <v>33465</v>
      </c>
      <c r="B7191" t="s">
        <v>8626</v>
      </c>
      <c r="G7191" t="s">
        <v>33466</v>
      </c>
    </row>
    <row r="7192" spans="1:7">
      <c r="A7192" t="s">
        <v>33467</v>
      </c>
      <c r="B7192" t="s">
        <v>8607</v>
      </c>
      <c r="F7192" t="s">
        <v>21567</v>
      </c>
      <c r="G7192" t="s">
        <v>23720</v>
      </c>
    </row>
    <row r="7193" spans="1:7">
      <c r="A7193" t="s">
        <v>33468</v>
      </c>
      <c r="B7193" t="s">
        <v>8607</v>
      </c>
      <c r="F7193" t="s">
        <v>27020</v>
      </c>
      <c r="G7193" t="s">
        <v>33469</v>
      </c>
    </row>
    <row r="7194" spans="1:7">
      <c r="A7194" t="s">
        <v>33470</v>
      </c>
      <c r="B7194" t="s">
        <v>8607</v>
      </c>
      <c r="F7194" t="s">
        <v>26485</v>
      </c>
      <c r="G7194" t="s">
        <v>26741</v>
      </c>
    </row>
    <row r="7195" spans="1:7">
      <c r="A7195" t="s">
        <v>33471</v>
      </c>
      <c r="B7195" t="s">
        <v>8626</v>
      </c>
      <c r="F7195" t="s">
        <v>27794</v>
      </c>
      <c r="G7195" t="s">
        <v>33472</v>
      </c>
    </row>
    <row r="7196" spans="1:7">
      <c r="A7196" t="s">
        <v>33473</v>
      </c>
      <c r="B7196" t="s">
        <v>8607</v>
      </c>
      <c r="C7196" t="s">
        <v>26850</v>
      </c>
      <c r="F7196" t="s">
        <v>26176</v>
      </c>
      <c r="G7196" t="s">
        <v>33474</v>
      </c>
    </row>
    <row r="7197" spans="1:7">
      <c r="A7197" t="s">
        <v>33475</v>
      </c>
      <c r="B7197" t="s">
        <v>8607</v>
      </c>
      <c r="F7197" t="s">
        <v>33476</v>
      </c>
      <c r="G7197" t="s">
        <v>33477</v>
      </c>
    </row>
    <row r="7198" spans="1:7">
      <c r="A7198" t="s">
        <v>33478</v>
      </c>
      <c r="B7198" t="s">
        <v>8607</v>
      </c>
      <c r="F7198" t="s">
        <v>32781</v>
      </c>
      <c r="G7198" t="s">
        <v>32782</v>
      </c>
    </row>
    <row r="7199" spans="1:7">
      <c r="A7199" t="s">
        <v>33479</v>
      </c>
      <c r="B7199" t="s">
        <v>8626</v>
      </c>
      <c r="F7199" t="s">
        <v>9018</v>
      </c>
      <c r="G7199" t="s">
        <v>28466</v>
      </c>
    </row>
    <row r="7200" spans="1:7">
      <c r="A7200" t="s">
        <v>33480</v>
      </c>
      <c r="B7200" t="s">
        <v>8626</v>
      </c>
      <c r="G7200" t="s">
        <v>33481</v>
      </c>
    </row>
    <row r="7201" spans="1:7">
      <c r="A7201" t="s">
        <v>33482</v>
      </c>
      <c r="B7201" t="s">
        <v>8607</v>
      </c>
      <c r="C7201" t="s">
        <v>28882</v>
      </c>
      <c r="F7201" t="s">
        <v>17932</v>
      </c>
      <c r="G7201" t="s">
        <v>28906</v>
      </c>
    </row>
    <row r="7202" spans="1:7">
      <c r="A7202" t="s">
        <v>33483</v>
      </c>
      <c r="B7202" t="s">
        <v>8626</v>
      </c>
      <c r="F7202" t="s">
        <v>22769</v>
      </c>
      <c r="G7202" t="s">
        <v>33484</v>
      </c>
    </row>
    <row r="7203" spans="1:7">
      <c r="A7203" t="s">
        <v>33485</v>
      </c>
      <c r="B7203" t="s">
        <v>8626</v>
      </c>
      <c r="F7203" t="s">
        <v>31397</v>
      </c>
      <c r="G7203" t="s">
        <v>33486</v>
      </c>
    </row>
    <row r="7204" spans="1:7">
      <c r="A7204" t="s">
        <v>33487</v>
      </c>
      <c r="B7204" t="s">
        <v>8607</v>
      </c>
      <c r="C7204" t="s">
        <v>27215</v>
      </c>
      <c r="F7204" t="s">
        <v>27216</v>
      </c>
      <c r="G7204" t="s">
        <v>33488</v>
      </c>
    </row>
    <row r="7205" spans="1:7">
      <c r="A7205" t="s">
        <v>33489</v>
      </c>
      <c r="B7205" t="s">
        <v>8607</v>
      </c>
      <c r="G7205" t="s">
        <v>33490</v>
      </c>
    </row>
    <row r="7206" spans="1:7">
      <c r="A7206" t="s">
        <v>33491</v>
      </c>
      <c r="B7206" t="s">
        <v>8607</v>
      </c>
      <c r="F7206" t="s">
        <v>33272</v>
      </c>
      <c r="G7206" t="s">
        <v>33492</v>
      </c>
    </row>
    <row r="7207" spans="1:7">
      <c r="A7207" t="s">
        <v>33493</v>
      </c>
      <c r="B7207" t="s">
        <v>8607</v>
      </c>
      <c r="C7207" t="s">
        <v>27219</v>
      </c>
      <c r="F7207" t="s">
        <v>27220</v>
      </c>
      <c r="G7207" t="s">
        <v>33494</v>
      </c>
    </row>
    <row r="7208" spans="1:7">
      <c r="A7208" t="s">
        <v>33495</v>
      </c>
      <c r="B7208" t="s">
        <v>8607</v>
      </c>
      <c r="C7208" t="s">
        <v>29179</v>
      </c>
      <c r="F7208" t="s">
        <v>17320</v>
      </c>
      <c r="G7208" t="s">
        <v>29594</v>
      </c>
    </row>
    <row r="7209" spans="1:7">
      <c r="A7209" t="s">
        <v>33496</v>
      </c>
      <c r="B7209" t="s">
        <v>8607</v>
      </c>
      <c r="F7209" t="s">
        <v>15549</v>
      </c>
      <c r="G7209" t="s">
        <v>23219</v>
      </c>
    </row>
    <row r="7210" spans="1:7">
      <c r="A7210" t="s">
        <v>33497</v>
      </c>
      <c r="B7210" t="s">
        <v>8626</v>
      </c>
      <c r="G7210" t="s">
        <v>25035</v>
      </c>
    </row>
    <row r="7211" spans="1:7">
      <c r="A7211" t="s">
        <v>33498</v>
      </c>
      <c r="B7211" t="s">
        <v>8626</v>
      </c>
      <c r="F7211" t="s">
        <v>15309</v>
      </c>
      <c r="G7211" t="s">
        <v>29253</v>
      </c>
    </row>
    <row r="7212" spans="1:7">
      <c r="A7212" t="s">
        <v>33499</v>
      </c>
      <c r="B7212" t="s">
        <v>8607</v>
      </c>
      <c r="G7212" t="s">
        <v>26785</v>
      </c>
    </row>
    <row r="7213" spans="1:7">
      <c r="A7213" t="s">
        <v>33500</v>
      </c>
      <c r="B7213" t="s">
        <v>8607</v>
      </c>
      <c r="G7213" t="s">
        <v>26638</v>
      </c>
    </row>
    <row r="7214" spans="1:7">
      <c r="A7214" t="s">
        <v>33501</v>
      </c>
      <c r="B7214" t="s">
        <v>8607</v>
      </c>
      <c r="F7214" t="s">
        <v>17928</v>
      </c>
      <c r="G7214" t="s">
        <v>26640</v>
      </c>
    </row>
    <row r="7215" spans="1:7">
      <c r="A7215" t="s">
        <v>33502</v>
      </c>
      <c r="B7215" t="s">
        <v>8626</v>
      </c>
      <c r="C7215" t="s">
        <v>20054</v>
      </c>
      <c r="F7215" t="s">
        <v>8851</v>
      </c>
      <c r="G7215" t="s">
        <v>20059</v>
      </c>
    </row>
    <row r="7216" spans="1:7">
      <c r="A7216" t="s">
        <v>33503</v>
      </c>
      <c r="B7216" t="s">
        <v>8607</v>
      </c>
      <c r="C7216" t="s">
        <v>29179</v>
      </c>
      <c r="F7216" t="s">
        <v>17320</v>
      </c>
      <c r="G7216" t="s">
        <v>29594</v>
      </c>
    </row>
    <row r="7217" spans="1:7">
      <c r="A7217" t="s">
        <v>33504</v>
      </c>
      <c r="B7217" t="s">
        <v>8607</v>
      </c>
      <c r="F7217" t="s">
        <v>18460</v>
      </c>
      <c r="G7217" t="s">
        <v>33505</v>
      </c>
    </row>
    <row r="7218" spans="1:7">
      <c r="A7218" t="s">
        <v>33506</v>
      </c>
      <c r="B7218" t="s">
        <v>8626</v>
      </c>
      <c r="F7218" t="s">
        <v>33507</v>
      </c>
      <c r="G7218" t="s">
        <v>33508</v>
      </c>
    </row>
    <row r="7219" spans="1:7">
      <c r="A7219" t="s">
        <v>33509</v>
      </c>
      <c r="B7219" t="s">
        <v>8607</v>
      </c>
      <c r="F7219" t="s">
        <v>24216</v>
      </c>
      <c r="G7219" t="s">
        <v>33510</v>
      </c>
    </row>
    <row r="7220" spans="1:7">
      <c r="A7220" t="s">
        <v>33511</v>
      </c>
      <c r="G7220" t="s">
        <v>33512</v>
      </c>
    </row>
    <row r="7221" spans="1:7">
      <c r="A7221" t="s">
        <v>33513</v>
      </c>
      <c r="B7221" t="s">
        <v>8607</v>
      </c>
      <c r="F7221" t="s">
        <v>31561</v>
      </c>
      <c r="G7221" t="s">
        <v>31562</v>
      </c>
    </row>
    <row r="7222" spans="1:7">
      <c r="A7222" t="s">
        <v>33514</v>
      </c>
      <c r="B7222" t="s">
        <v>8607</v>
      </c>
      <c r="F7222" t="s">
        <v>29700</v>
      </c>
      <c r="G7222" t="s">
        <v>33515</v>
      </c>
    </row>
    <row r="7223" spans="1:7">
      <c r="A7223" t="s">
        <v>33516</v>
      </c>
      <c r="B7223" t="s">
        <v>8607</v>
      </c>
      <c r="F7223" t="s">
        <v>29119</v>
      </c>
      <c r="G7223" t="s">
        <v>29120</v>
      </c>
    </row>
    <row r="7224" spans="1:7">
      <c r="A7224" t="s">
        <v>33517</v>
      </c>
      <c r="B7224" t="s">
        <v>8607</v>
      </c>
      <c r="C7224" t="s">
        <v>29186</v>
      </c>
      <c r="F7224" t="s">
        <v>10676</v>
      </c>
      <c r="G7224" t="s">
        <v>33518</v>
      </c>
    </row>
    <row r="7225" spans="1:7">
      <c r="A7225" t="s">
        <v>33519</v>
      </c>
      <c r="B7225" t="s">
        <v>8607</v>
      </c>
      <c r="G7225" t="s">
        <v>33520</v>
      </c>
    </row>
    <row r="7226" spans="1:7">
      <c r="A7226" t="s">
        <v>33521</v>
      </c>
      <c r="B7226" t="s">
        <v>8607</v>
      </c>
      <c r="F7226" t="s">
        <v>33522</v>
      </c>
      <c r="G7226" t="s">
        <v>33523</v>
      </c>
    </row>
    <row r="7227" spans="1:7">
      <c r="A7227" t="s">
        <v>33524</v>
      </c>
      <c r="B7227" t="s">
        <v>8626</v>
      </c>
      <c r="F7227" t="s">
        <v>26176</v>
      </c>
      <c r="G7227" t="s">
        <v>33525</v>
      </c>
    </row>
    <row r="7228" spans="1:7">
      <c r="A7228" t="s">
        <v>33526</v>
      </c>
      <c r="B7228" t="s">
        <v>8626</v>
      </c>
      <c r="F7228" t="s">
        <v>33527</v>
      </c>
      <c r="G7228" t="s">
        <v>33528</v>
      </c>
    </row>
    <row r="7229" spans="1:7">
      <c r="A7229" t="s">
        <v>33529</v>
      </c>
      <c r="B7229" t="s">
        <v>8607</v>
      </c>
      <c r="F7229" t="s">
        <v>30268</v>
      </c>
      <c r="G7229" t="s">
        <v>30269</v>
      </c>
    </row>
    <row r="7230" spans="1:7">
      <c r="A7230" t="s">
        <v>33530</v>
      </c>
      <c r="B7230" t="s">
        <v>8607</v>
      </c>
      <c r="C7230" t="s">
        <v>27219</v>
      </c>
      <c r="F7230" t="s">
        <v>27220</v>
      </c>
      <c r="G7230" t="s">
        <v>33531</v>
      </c>
    </row>
    <row r="7231" spans="1:7">
      <c r="A7231" t="s">
        <v>33532</v>
      </c>
      <c r="B7231" t="s">
        <v>8607</v>
      </c>
      <c r="G7231" t="s">
        <v>33533</v>
      </c>
    </row>
    <row r="7232" spans="1:7">
      <c r="A7232" t="s">
        <v>33534</v>
      </c>
      <c r="B7232" t="s">
        <v>8607</v>
      </c>
      <c r="C7232" t="s">
        <v>27215</v>
      </c>
      <c r="F7232" t="s">
        <v>27216</v>
      </c>
      <c r="G7232" t="s">
        <v>27217</v>
      </c>
    </row>
    <row r="7233" spans="1:7">
      <c r="A7233" t="s">
        <v>33535</v>
      </c>
      <c r="B7233" t="s">
        <v>8607</v>
      </c>
      <c r="C7233" t="s">
        <v>27219</v>
      </c>
      <c r="F7233" t="s">
        <v>27220</v>
      </c>
      <c r="G7233" t="s">
        <v>33536</v>
      </c>
    </row>
    <row r="7234" spans="1:7">
      <c r="A7234" t="s">
        <v>33537</v>
      </c>
      <c r="B7234" t="s">
        <v>8626</v>
      </c>
      <c r="F7234" t="s">
        <v>8623</v>
      </c>
      <c r="G7234" t="s">
        <v>33538</v>
      </c>
    </row>
    <row r="7235" spans="1:7">
      <c r="A7235" t="s">
        <v>17552</v>
      </c>
      <c r="B7235" t="s">
        <v>8607</v>
      </c>
      <c r="C7235" t="s">
        <v>17553</v>
      </c>
      <c r="F7235" t="s">
        <v>17396</v>
      </c>
      <c r="G7235" t="s">
        <v>17554</v>
      </c>
    </row>
    <row r="7236" spans="1:7">
      <c r="A7236" t="s">
        <v>33539</v>
      </c>
      <c r="B7236" t="s">
        <v>8607</v>
      </c>
      <c r="F7236" t="s">
        <v>33540</v>
      </c>
      <c r="G7236" t="s">
        <v>33541</v>
      </c>
    </row>
    <row r="7237" spans="1:7">
      <c r="A7237" t="s">
        <v>33542</v>
      </c>
      <c r="G7237" t="s">
        <v>33543</v>
      </c>
    </row>
    <row r="7238" spans="1:7">
      <c r="A7238" t="s">
        <v>33544</v>
      </c>
      <c r="B7238" t="s">
        <v>8607</v>
      </c>
      <c r="F7238" t="s">
        <v>19730</v>
      </c>
      <c r="G7238" t="s">
        <v>33545</v>
      </c>
    </row>
    <row r="7239" spans="1:7">
      <c r="A7239" t="s">
        <v>33546</v>
      </c>
      <c r="B7239" t="s">
        <v>8607</v>
      </c>
      <c r="F7239" t="s">
        <v>33547</v>
      </c>
      <c r="G7239" t="s">
        <v>33548</v>
      </c>
    </row>
    <row r="7240" spans="1:7">
      <c r="A7240" t="s">
        <v>33549</v>
      </c>
      <c r="B7240" t="s">
        <v>8626</v>
      </c>
      <c r="F7240" t="s">
        <v>33550</v>
      </c>
      <c r="G7240" t="s">
        <v>33551</v>
      </c>
    </row>
    <row r="7241" spans="1:7">
      <c r="A7241" t="s">
        <v>33552</v>
      </c>
      <c r="B7241" t="s">
        <v>8607</v>
      </c>
      <c r="F7241" t="s">
        <v>17830</v>
      </c>
      <c r="G7241" t="s">
        <v>33553</v>
      </c>
    </row>
    <row r="7242" spans="1:7">
      <c r="A7242" t="s">
        <v>33554</v>
      </c>
      <c r="B7242" t="s">
        <v>8607</v>
      </c>
      <c r="G7242" t="s">
        <v>33555</v>
      </c>
    </row>
    <row r="7243" spans="1:7">
      <c r="A7243" t="s">
        <v>33556</v>
      </c>
      <c r="B7243" t="s">
        <v>8607</v>
      </c>
      <c r="G7243" t="s">
        <v>33557</v>
      </c>
    </row>
    <row r="7244" spans="1:7">
      <c r="A7244" t="s">
        <v>33558</v>
      </c>
      <c r="B7244" t="s">
        <v>8607</v>
      </c>
      <c r="F7244" t="s">
        <v>27646</v>
      </c>
      <c r="G7244" t="s">
        <v>33559</v>
      </c>
    </row>
    <row r="7245" spans="1:7">
      <c r="A7245" t="s">
        <v>33560</v>
      </c>
      <c r="B7245" t="s">
        <v>8607</v>
      </c>
      <c r="G7245" t="s">
        <v>33561</v>
      </c>
    </row>
    <row r="7246" spans="1:7">
      <c r="A7246" t="s">
        <v>33562</v>
      </c>
      <c r="G7246" t="s">
        <v>33563</v>
      </c>
    </row>
    <row r="7247" spans="1:7">
      <c r="A7247" t="s">
        <v>33564</v>
      </c>
      <c r="B7247" t="s">
        <v>8626</v>
      </c>
      <c r="F7247" t="s">
        <v>10076</v>
      </c>
      <c r="G7247" t="s">
        <v>33565</v>
      </c>
    </row>
    <row r="7248" spans="1:7">
      <c r="A7248" t="s">
        <v>33566</v>
      </c>
      <c r="B7248" t="s">
        <v>8626</v>
      </c>
      <c r="G7248" t="s">
        <v>33567</v>
      </c>
    </row>
    <row r="7249" spans="1:7">
      <c r="A7249" t="s">
        <v>33568</v>
      </c>
      <c r="B7249" t="s">
        <v>8626</v>
      </c>
      <c r="F7249" t="s">
        <v>26555</v>
      </c>
      <c r="G7249" t="s">
        <v>33569</v>
      </c>
    </row>
    <row r="7250" spans="1:7">
      <c r="A7250" t="s">
        <v>33570</v>
      </c>
      <c r="B7250" t="s">
        <v>8607</v>
      </c>
      <c r="F7250" t="s">
        <v>26558</v>
      </c>
      <c r="G7250" t="s">
        <v>33571</v>
      </c>
    </row>
    <row r="7251" spans="1:7">
      <c r="A7251" t="s">
        <v>33572</v>
      </c>
      <c r="B7251" t="s">
        <v>8607</v>
      </c>
      <c r="F7251" t="s">
        <v>17349</v>
      </c>
      <c r="G7251" t="s">
        <v>33573</v>
      </c>
    </row>
    <row r="7252" spans="1:7">
      <c r="A7252" t="s">
        <v>33574</v>
      </c>
      <c r="B7252" t="s">
        <v>8626</v>
      </c>
      <c r="F7252" t="s">
        <v>17349</v>
      </c>
      <c r="G7252" t="s">
        <v>33575</v>
      </c>
    </row>
    <row r="7253" spans="1:7">
      <c r="A7253" t="s">
        <v>33576</v>
      </c>
      <c r="B7253" t="s">
        <v>8626</v>
      </c>
      <c r="C7253" t="s">
        <v>20054</v>
      </c>
      <c r="F7253" t="s">
        <v>8851</v>
      </c>
      <c r="G7253" t="s">
        <v>20059</v>
      </c>
    </row>
    <row r="7254" spans="1:7">
      <c r="A7254" t="s">
        <v>33577</v>
      </c>
      <c r="B7254" t="s">
        <v>8626</v>
      </c>
      <c r="F7254" t="s">
        <v>12464</v>
      </c>
      <c r="G7254" t="s">
        <v>33578</v>
      </c>
    </row>
    <row r="7255" spans="1:7">
      <c r="A7255" t="s">
        <v>33579</v>
      </c>
      <c r="B7255" t="s">
        <v>8626</v>
      </c>
      <c r="F7255" t="s">
        <v>33580</v>
      </c>
      <c r="G7255" t="s">
        <v>33581</v>
      </c>
    </row>
    <row r="7256" spans="1:7">
      <c r="A7256" t="s">
        <v>33582</v>
      </c>
      <c r="B7256" t="s">
        <v>8607</v>
      </c>
      <c r="F7256" t="s">
        <v>17760</v>
      </c>
      <c r="G7256" t="s">
        <v>33583</v>
      </c>
    </row>
    <row r="7257" spans="1:7">
      <c r="A7257" t="s">
        <v>33584</v>
      </c>
      <c r="B7257" t="s">
        <v>8607</v>
      </c>
      <c r="F7257" t="s">
        <v>25964</v>
      </c>
      <c r="G7257" t="s">
        <v>33585</v>
      </c>
    </row>
    <row r="7258" spans="1:7">
      <c r="A7258" t="s">
        <v>33586</v>
      </c>
      <c r="G7258" t="s">
        <v>33587</v>
      </c>
    </row>
    <row r="7259" spans="1:7">
      <c r="A7259" t="s">
        <v>33588</v>
      </c>
      <c r="B7259" t="s">
        <v>8607</v>
      </c>
      <c r="G7259" t="s">
        <v>26800</v>
      </c>
    </row>
    <row r="7260" spans="1:7">
      <c r="A7260" t="s">
        <v>33589</v>
      </c>
      <c r="B7260" t="s">
        <v>8607</v>
      </c>
      <c r="G7260" t="s">
        <v>26778</v>
      </c>
    </row>
    <row r="7261" spans="1:7">
      <c r="A7261" t="s">
        <v>33590</v>
      </c>
      <c r="B7261" t="s">
        <v>8607</v>
      </c>
      <c r="F7261" t="s">
        <v>26173</v>
      </c>
      <c r="G7261" t="s">
        <v>26782</v>
      </c>
    </row>
    <row r="7262" spans="1:7">
      <c r="A7262" t="s">
        <v>33591</v>
      </c>
      <c r="B7262" t="s">
        <v>8607</v>
      </c>
      <c r="F7262" t="s">
        <v>18062</v>
      </c>
      <c r="G7262" t="s">
        <v>21892</v>
      </c>
    </row>
    <row r="7263" spans="1:7">
      <c r="A7263" t="s">
        <v>33592</v>
      </c>
      <c r="B7263" t="s">
        <v>8607</v>
      </c>
      <c r="F7263" t="s">
        <v>28088</v>
      </c>
      <c r="G7263" t="s">
        <v>33593</v>
      </c>
    </row>
    <row r="7264" spans="1:7">
      <c r="A7264" t="s">
        <v>33594</v>
      </c>
      <c r="B7264" t="s">
        <v>8607</v>
      </c>
      <c r="F7264" t="s">
        <v>28088</v>
      </c>
      <c r="G7264" t="s">
        <v>33595</v>
      </c>
    </row>
    <row r="7265" spans="1:7">
      <c r="A7265" t="s">
        <v>33596</v>
      </c>
      <c r="B7265" t="s">
        <v>8607</v>
      </c>
      <c r="F7265" t="s">
        <v>28091</v>
      </c>
      <c r="G7265" t="s">
        <v>33597</v>
      </c>
    </row>
    <row r="7266" spans="1:7">
      <c r="A7266" t="s">
        <v>33598</v>
      </c>
      <c r="B7266" t="s">
        <v>8607</v>
      </c>
      <c r="F7266" t="s">
        <v>30791</v>
      </c>
      <c r="G7266" t="s">
        <v>30792</v>
      </c>
    </row>
    <row r="7267" spans="1:7">
      <c r="A7267" t="s">
        <v>33599</v>
      </c>
      <c r="B7267" t="s">
        <v>8626</v>
      </c>
      <c r="F7267" t="s">
        <v>9160</v>
      </c>
      <c r="G7267" t="s">
        <v>33600</v>
      </c>
    </row>
    <row r="7268" spans="1:7">
      <c r="A7268" t="s">
        <v>33601</v>
      </c>
      <c r="B7268" t="s">
        <v>8607</v>
      </c>
      <c r="F7268" t="s">
        <v>20201</v>
      </c>
      <c r="G7268" t="s">
        <v>32022</v>
      </c>
    </row>
    <row r="7269" spans="1:7">
      <c r="A7269" t="s">
        <v>33602</v>
      </c>
      <c r="B7269" t="s">
        <v>8607</v>
      </c>
      <c r="F7269" t="s">
        <v>20473</v>
      </c>
      <c r="G7269" t="s">
        <v>33603</v>
      </c>
    </row>
    <row r="7270" spans="1:7">
      <c r="A7270" t="s">
        <v>33604</v>
      </c>
      <c r="B7270" t="s">
        <v>8607</v>
      </c>
      <c r="F7270" t="s">
        <v>20473</v>
      </c>
      <c r="G7270" t="s">
        <v>27845</v>
      </c>
    </row>
    <row r="7271" spans="1:7">
      <c r="A7271" t="s">
        <v>33605</v>
      </c>
      <c r="B7271" t="s">
        <v>8626</v>
      </c>
      <c r="C7271" t="s">
        <v>25883</v>
      </c>
      <c r="F7271" t="s">
        <v>17305</v>
      </c>
      <c r="G7271" t="s">
        <v>25889</v>
      </c>
    </row>
    <row r="7272" spans="1:7">
      <c r="A7272" t="s">
        <v>33606</v>
      </c>
      <c r="B7272" t="s">
        <v>8607</v>
      </c>
      <c r="F7272" t="s">
        <v>28088</v>
      </c>
      <c r="G7272" t="s">
        <v>33607</v>
      </c>
    </row>
    <row r="7273" spans="1:7">
      <c r="A7273" t="s">
        <v>33608</v>
      </c>
      <c r="B7273" t="s">
        <v>8626</v>
      </c>
      <c r="F7273" t="s">
        <v>28091</v>
      </c>
      <c r="G7273" t="s">
        <v>33609</v>
      </c>
    </row>
    <row r="7274" spans="1:7">
      <c r="A7274" t="s">
        <v>33610</v>
      </c>
      <c r="B7274" t="s">
        <v>8607</v>
      </c>
      <c r="F7274" t="s">
        <v>30983</v>
      </c>
      <c r="G7274" t="s">
        <v>30984</v>
      </c>
    </row>
    <row r="7275" spans="1:7">
      <c r="A7275" t="s">
        <v>33611</v>
      </c>
      <c r="B7275" t="s">
        <v>8607</v>
      </c>
      <c r="F7275" t="s">
        <v>33540</v>
      </c>
      <c r="G7275" t="s">
        <v>33612</v>
      </c>
    </row>
    <row r="7276" spans="1:7">
      <c r="A7276" t="s">
        <v>33613</v>
      </c>
      <c r="B7276" t="s">
        <v>8626</v>
      </c>
      <c r="C7276" t="s">
        <v>27410</v>
      </c>
      <c r="F7276" t="s">
        <v>27411</v>
      </c>
      <c r="G7276" t="s">
        <v>33614</v>
      </c>
    </row>
    <row r="7277" spans="1:7">
      <c r="A7277" t="s">
        <v>33615</v>
      </c>
      <c r="B7277" t="s">
        <v>8626</v>
      </c>
      <c r="C7277" t="s">
        <v>27504</v>
      </c>
      <c r="F7277" t="s">
        <v>26291</v>
      </c>
      <c r="G7277" t="s">
        <v>30075</v>
      </c>
    </row>
    <row r="7278" spans="1:7">
      <c r="A7278" t="s">
        <v>33616</v>
      </c>
      <c r="B7278" t="s">
        <v>8607</v>
      </c>
      <c r="C7278" t="s">
        <v>26119</v>
      </c>
      <c r="F7278" t="s">
        <v>26120</v>
      </c>
      <c r="G7278" t="s">
        <v>30070</v>
      </c>
    </row>
    <row r="7279" spans="1:7">
      <c r="A7279" t="s">
        <v>33617</v>
      </c>
      <c r="B7279" t="s">
        <v>8626</v>
      </c>
      <c r="C7279" t="s">
        <v>26661</v>
      </c>
      <c r="F7279" t="s">
        <v>26365</v>
      </c>
      <c r="G7279" t="s">
        <v>30072</v>
      </c>
    </row>
    <row r="7280" spans="1:7">
      <c r="A7280" t="s">
        <v>33618</v>
      </c>
      <c r="B7280" t="s">
        <v>8607</v>
      </c>
      <c r="F7280" t="s">
        <v>32552</v>
      </c>
      <c r="G7280" t="s">
        <v>32553</v>
      </c>
    </row>
    <row r="7281" spans="1:7">
      <c r="A7281" t="s">
        <v>33619</v>
      </c>
      <c r="B7281" t="s">
        <v>8607</v>
      </c>
      <c r="C7281" t="s">
        <v>27215</v>
      </c>
      <c r="F7281" t="s">
        <v>27216</v>
      </c>
      <c r="G7281" t="s">
        <v>32544</v>
      </c>
    </row>
    <row r="7282" spans="1:7">
      <c r="A7282" t="s">
        <v>33620</v>
      </c>
      <c r="B7282" t="s">
        <v>8607</v>
      </c>
      <c r="C7282" t="s">
        <v>27219</v>
      </c>
      <c r="F7282" t="s">
        <v>27220</v>
      </c>
      <c r="G7282" t="s">
        <v>32546</v>
      </c>
    </row>
    <row r="7283" spans="1:7">
      <c r="A7283" t="s">
        <v>33621</v>
      </c>
      <c r="B7283" t="s">
        <v>8607</v>
      </c>
      <c r="C7283" t="s">
        <v>32548</v>
      </c>
      <c r="F7283" t="s">
        <v>32549</v>
      </c>
      <c r="G7283" t="s">
        <v>32550</v>
      </c>
    </row>
    <row r="7284" spans="1:7">
      <c r="A7284" t="s">
        <v>33622</v>
      </c>
      <c r="B7284" t="s">
        <v>8607</v>
      </c>
      <c r="F7284" t="s">
        <v>32552</v>
      </c>
      <c r="G7284" t="s">
        <v>32553</v>
      </c>
    </row>
    <row r="7285" spans="1:7">
      <c r="A7285" t="s">
        <v>33623</v>
      </c>
      <c r="B7285" t="s">
        <v>8607</v>
      </c>
      <c r="G7285" t="s">
        <v>26785</v>
      </c>
    </row>
    <row r="7286" spans="1:7">
      <c r="A7286" t="s">
        <v>33624</v>
      </c>
      <c r="B7286" t="s">
        <v>8607</v>
      </c>
      <c r="G7286" t="s">
        <v>26638</v>
      </c>
    </row>
    <row r="7287" spans="1:7">
      <c r="A7287" t="s">
        <v>33625</v>
      </c>
      <c r="B7287" t="s">
        <v>8607</v>
      </c>
      <c r="F7287" t="s">
        <v>17928</v>
      </c>
      <c r="G7287" t="s">
        <v>26640</v>
      </c>
    </row>
    <row r="7288" spans="1:7">
      <c r="A7288" t="s">
        <v>33626</v>
      </c>
      <c r="B7288" t="s">
        <v>8607</v>
      </c>
      <c r="F7288" t="s">
        <v>28088</v>
      </c>
      <c r="G7288" t="s">
        <v>33595</v>
      </c>
    </row>
    <row r="7289" spans="1:7">
      <c r="A7289" t="s">
        <v>33627</v>
      </c>
      <c r="B7289" t="s">
        <v>8607</v>
      </c>
      <c r="F7289" t="s">
        <v>30983</v>
      </c>
      <c r="G7289" t="s">
        <v>33628</v>
      </c>
    </row>
    <row r="7290" spans="1:7">
      <c r="A7290" t="s">
        <v>33629</v>
      </c>
      <c r="B7290" t="s">
        <v>8607</v>
      </c>
      <c r="F7290" t="s">
        <v>23958</v>
      </c>
      <c r="G7290" t="s">
        <v>23965</v>
      </c>
    </row>
    <row r="7291" spans="1:7">
      <c r="A7291" t="s">
        <v>33630</v>
      </c>
      <c r="G7291" t="s">
        <v>33631</v>
      </c>
    </row>
    <row r="7292" spans="1:7">
      <c r="A7292" t="s">
        <v>33632</v>
      </c>
      <c r="B7292" t="s">
        <v>8607</v>
      </c>
      <c r="F7292" t="s">
        <v>26157</v>
      </c>
      <c r="G7292" t="s">
        <v>33633</v>
      </c>
    </row>
    <row r="7293" spans="1:7">
      <c r="A7293" t="s">
        <v>33634</v>
      </c>
      <c r="B7293" t="s">
        <v>8626</v>
      </c>
      <c r="C7293" t="s">
        <v>24817</v>
      </c>
      <c r="F7293" t="s">
        <v>17305</v>
      </c>
      <c r="G7293" t="s">
        <v>33635</v>
      </c>
    </row>
    <row r="7294" spans="1:7">
      <c r="A7294" t="s">
        <v>33636</v>
      </c>
      <c r="B7294" t="s">
        <v>8626</v>
      </c>
      <c r="F7294" t="s">
        <v>9018</v>
      </c>
      <c r="G7294" t="s">
        <v>33637</v>
      </c>
    </row>
    <row r="7295" spans="1:7">
      <c r="A7295" t="s">
        <v>33638</v>
      </c>
      <c r="B7295" t="s">
        <v>8607</v>
      </c>
      <c r="F7295" t="s">
        <v>26179</v>
      </c>
      <c r="G7295" t="s">
        <v>33639</v>
      </c>
    </row>
    <row r="7296" spans="1:7">
      <c r="A7296" t="s">
        <v>33640</v>
      </c>
      <c r="B7296" t="s">
        <v>8607</v>
      </c>
      <c r="F7296" t="s">
        <v>33641</v>
      </c>
      <c r="G7296" t="s">
        <v>33642</v>
      </c>
    </row>
    <row r="7297" spans="1:7">
      <c r="A7297" t="s">
        <v>33643</v>
      </c>
      <c r="B7297" t="s">
        <v>8607</v>
      </c>
      <c r="F7297" t="s">
        <v>18894</v>
      </c>
      <c r="G7297" t="s">
        <v>33644</v>
      </c>
    </row>
    <row r="7298" spans="1:7">
      <c r="A7298" t="s">
        <v>33645</v>
      </c>
      <c r="B7298" t="s">
        <v>8607</v>
      </c>
      <c r="F7298" t="s">
        <v>27000</v>
      </c>
      <c r="G7298" t="s">
        <v>29404</v>
      </c>
    </row>
    <row r="7299" spans="1:7">
      <c r="A7299" t="s">
        <v>33646</v>
      </c>
      <c r="B7299" t="s">
        <v>8607</v>
      </c>
      <c r="F7299" t="s">
        <v>27628</v>
      </c>
      <c r="G7299" t="s">
        <v>27629</v>
      </c>
    </row>
    <row r="7300" spans="1:7">
      <c r="A7300" t="s">
        <v>33647</v>
      </c>
      <c r="B7300" t="s">
        <v>8607</v>
      </c>
      <c r="F7300" t="s">
        <v>8633</v>
      </c>
      <c r="G7300" t="s">
        <v>33648</v>
      </c>
    </row>
    <row r="7301" spans="1:7">
      <c r="A7301" t="s">
        <v>33649</v>
      </c>
      <c r="B7301" t="s">
        <v>8607</v>
      </c>
      <c r="C7301" t="s">
        <v>28439</v>
      </c>
      <c r="F7301" t="s">
        <v>17621</v>
      </c>
      <c r="G7301" t="s">
        <v>28440</v>
      </c>
    </row>
    <row r="7302" spans="1:7">
      <c r="A7302" t="s">
        <v>33650</v>
      </c>
      <c r="B7302" t="s">
        <v>8607</v>
      </c>
      <c r="C7302" t="s">
        <v>28750</v>
      </c>
      <c r="F7302" t="s">
        <v>28751</v>
      </c>
      <c r="G7302" t="s">
        <v>28752</v>
      </c>
    </row>
    <row r="7303" spans="1:7">
      <c r="A7303" t="s">
        <v>33651</v>
      </c>
      <c r="B7303" t="s">
        <v>8626</v>
      </c>
      <c r="G7303" t="s">
        <v>33652</v>
      </c>
    </row>
    <row r="7304" spans="1:7">
      <c r="A7304" t="s">
        <v>33653</v>
      </c>
      <c r="B7304" t="s">
        <v>8607</v>
      </c>
      <c r="G7304" t="s">
        <v>33654</v>
      </c>
    </row>
    <row r="7305" spans="1:7">
      <c r="A7305" t="s">
        <v>33655</v>
      </c>
      <c r="B7305" t="s">
        <v>8626</v>
      </c>
      <c r="F7305" t="s">
        <v>17429</v>
      </c>
      <c r="G7305" t="s">
        <v>33656</v>
      </c>
    </row>
    <row r="7306" spans="1:7">
      <c r="A7306" t="s">
        <v>33657</v>
      </c>
      <c r="B7306" t="s">
        <v>8607</v>
      </c>
      <c r="F7306" t="s">
        <v>28088</v>
      </c>
      <c r="G7306" t="s">
        <v>33607</v>
      </c>
    </row>
    <row r="7307" spans="1:7">
      <c r="A7307" t="s">
        <v>33658</v>
      </c>
      <c r="B7307" t="s">
        <v>8607</v>
      </c>
      <c r="F7307" t="s">
        <v>28091</v>
      </c>
      <c r="G7307" t="s">
        <v>33659</v>
      </c>
    </row>
    <row r="7308" spans="1:7">
      <c r="A7308" t="s">
        <v>33660</v>
      </c>
      <c r="B7308" t="s">
        <v>8607</v>
      </c>
      <c r="F7308" t="s">
        <v>30983</v>
      </c>
      <c r="G7308" t="s">
        <v>30984</v>
      </c>
    </row>
    <row r="7309" spans="1:7">
      <c r="A7309" t="s">
        <v>33661</v>
      </c>
      <c r="B7309" t="s">
        <v>8607</v>
      </c>
      <c r="F7309" t="s">
        <v>20051</v>
      </c>
      <c r="G7309" t="s">
        <v>33662</v>
      </c>
    </row>
    <row r="7310" spans="1:7">
      <c r="A7310" t="s">
        <v>33663</v>
      </c>
      <c r="B7310" t="s">
        <v>8626</v>
      </c>
      <c r="G7310" t="s">
        <v>33664</v>
      </c>
    </row>
    <row r="7311" spans="1:7">
      <c r="A7311" t="s">
        <v>33665</v>
      </c>
      <c r="B7311" t="s">
        <v>8607</v>
      </c>
      <c r="F7311" t="s">
        <v>31069</v>
      </c>
      <c r="G7311" t="s">
        <v>33666</v>
      </c>
    </row>
    <row r="7312" spans="1:7">
      <c r="A7312" t="s">
        <v>33667</v>
      </c>
      <c r="B7312" t="s">
        <v>8607</v>
      </c>
      <c r="F7312" t="s">
        <v>20201</v>
      </c>
      <c r="G7312" t="s">
        <v>33668</v>
      </c>
    </row>
    <row r="7313" spans="1:7">
      <c r="A7313" t="s">
        <v>33669</v>
      </c>
      <c r="B7313" t="s">
        <v>8607</v>
      </c>
      <c r="F7313" t="s">
        <v>28207</v>
      </c>
      <c r="G7313" t="s">
        <v>33670</v>
      </c>
    </row>
    <row r="7314" spans="1:7">
      <c r="A7314" t="s">
        <v>33671</v>
      </c>
      <c r="B7314" t="s">
        <v>8607</v>
      </c>
      <c r="F7314" t="s">
        <v>33672</v>
      </c>
      <c r="G7314" t="s">
        <v>33673</v>
      </c>
    </row>
    <row r="7315" spans="1:7">
      <c r="A7315" t="s">
        <v>33674</v>
      </c>
      <c r="B7315" t="s">
        <v>8607</v>
      </c>
      <c r="F7315" t="s">
        <v>26104</v>
      </c>
      <c r="G7315" t="s">
        <v>33675</v>
      </c>
    </row>
    <row r="7316" spans="1:7">
      <c r="A7316" t="s">
        <v>33676</v>
      </c>
      <c r="B7316" t="s">
        <v>8607</v>
      </c>
      <c r="C7316" t="s">
        <v>29588</v>
      </c>
      <c r="F7316" t="s">
        <v>9018</v>
      </c>
      <c r="G7316" t="s">
        <v>33677</v>
      </c>
    </row>
    <row r="7317" spans="1:7">
      <c r="A7317" t="s">
        <v>33678</v>
      </c>
      <c r="B7317" t="s">
        <v>8626</v>
      </c>
      <c r="C7317" t="s">
        <v>26315</v>
      </c>
      <c r="F7317" t="s">
        <v>17320</v>
      </c>
      <c r="G7317" t="s">
        <v>33679</v>
      </c>
    </row>
    <row r="7318" spans="1:7">
      <c r="A7318" t="s">
        <v>33680</v>
      </c>
      <c r="B7318" t="s">
        <v>8607</v>
      </c>
      <c r="C7318" t="s">
        <v>26315</v>
      </c>
      <c r="F7318" t="s">
        <v>17320</v>
      </c>
      <c r="G7318" t="s">
        <v>33681</v>
      </c>
    </row>
    <row r="7319" spans="1:7">
      <c r="A7319" t="s">
        <v>33682</v>
      </c>
      <c r="B7319" t="s">
        <v>8626</v>
      </c>
      <c r="C7319" t="s">
        <v>26922</v>
      </c>
      <c r="F7319" t="s">
        <v>17429</v>
      </c>
      <c r="G7319" t="s">
        <v>31058</v>
      </c>
    </row>
    <row r="7320" spans="1:7">
      <c r="A7320" t="s">
        <v>33683</v>
      </c>
      <c r="B7320" t="s">
        <v>8626</v>
      </c>
      <c r="G7320" t="s">
        <v>26202</v>
      </c>
    </row>
    <row r="7321" spans="1:7">
      <c r="A7321" t="s">
        <v>33684</v>
      </c>
      <c r="B7321" t="s">
        <v>8607</v>
      </c>
      <c r="F7321" t="s">
        <v>33685</v>
      </c>
      <c r="G7321" t="s">
        <v>33686</v>
      </c>
    </row>
    <row r="7322" spans="1:7">
      <c r="A7322" t="s">
        <v>33687</v>
      </c>
      <c r="G7322" t="s">
        <v>33688</v>
      </c>
    </row>
    <row r="7323" spans="1:7">
      <c r="A7323" t="s">
        <v>33689</v>
      </c>
      <c r="B7323" t="s">
        <v>8607</v>
      </c>
      <c r="G7323" t="s">
        <v>33690</v>
      </c>
    </row>
    <row r="7324" spans="1:7">
      <c r="A7324" t="s">
        <v>33691</v>
      </c>
      <c r="B7324" t="s">
        <v>8607</v>
      </c>
      <c r="F7324" t="s">
        <v>17821</v>
      </c>
      <c r="G7324" t="s">
        <v>27756</v>
      </c>
    </row>
    <row r="7325" spans="1:7">
      <c r="A7325" t="s">
        <v>33692</v>
      </c>
      <c r="B7325" t="s">
        <v>8626</v>
      </c>
      <c r="F7325" t="s">
        <v>29400</v>
      </c>
      <c r="G7325" t="s">
        <v>33693</v>
      </c>
    </row>
    <row r="7326" spans="1:7">
      <c r="A7326" t="s">
        <v>33694</v>
      </c>
      <c r="B7326" t="s">
        <v>8626</v>
      </c>
      <c r="F7326" t="s">
        <v>27000</v>
      </c>
      <c r="G7326" t="s">
        <v>33695</v>
      </c>
    </row>
    <row r="7327" spans="1:7">
      <c r="A7327" t="s">
        <v>33696</v>
      </c>
      <c r="B7327" t="s">
        <v>8626</v>
      </c>
      <c r="F7327" t="s">
        <v>29277</v>
      </c>
      <c r="G7327" t="s">
        <v>28776</v>
      </c>
    </row>
    <row r="7328" spans="1:7">
      <c r="A7328" t="s">
        <v>33697</v>
      </c>
      <c r="B7328" t="s">
        <v>8607</v>
      </c>
      <c r="F7328" t="s">
        <v>17643</v>
      </c>
      <c r="G7328" t="s">
        <v>26701</v>
      </c>
    </row>
    <row r="7329" spans="1:7">
      <c r="A7329" t="s">
        <v>33698</v>
      </c>
      <c r="B7329" t="s">
        <v>8607</v>
      </c>
      <c r="G7329" t="s">
        <v>33699</v>
      </c>
    </row>
    <row r="7330" spans="1:7">
      <c r="A7330" t="s">
        <v>33700</v>
      </c>
      <c r="B7330" t="s">
        <v>8607</v>
      </c>
      <c r="G7330" t="s">
        <v>33701</v>
      </c>
    </row>
    <row r="7331" spans="1:7">
      <c r="A7331" t="s">
        <v>33702</v>
      </c>
      <c r="B7331" t="s">
        <v>8607</v>
      </c>
      <c r="G7331" t="s">
        <v>33703</v>
      </c>
    </row>
    <row r="7332" spans="1:7">
      <c r="A7332" t="s">
        <v>33704</v>
      </c>
      <c r="B7332" t="s">
        <v>8626</v>
      </c>
      <c r="F7332" t="s">
        <v>30791</v>
      </c>
      <c r="G7332" t="s">
        <v>33705</v>
      </c>
    </row>
    <row r="7333" spans="1:7">
      <c r="A7333" t="s">
        <v>33706</v>
      </c>
      <c r="B7333" t="s">
        <v>8607</v>
      </c>
      <c r="G7333" t="s">
        <v>30797</v>
      </c>
    </row>
    <row r="7334" spans="1:7">
      <c r="A7334" t="s">
        <v>33707</v>
      </c>
      <c r="B7334" t="s">
        <v>8626</v>
      </c>
      <c r="G7334" t="s">
        <v>33708</v>
      </c>
    </row>
    <row r="7335" spans="1:7">
      <c r="A7335" t="s">
        <v>33709</v>
      </c>
      <c r="B7335" t="s">
        <v>8607</v>
      </c>
      <c r="C7335" t="s">
        <v>33710</v>
      </c>
      <c r="F7335" t="s">
        <v>20866</v>
      </c>
      <c r="G7335" t="s">
        <v>33711</v>
      </c>
    </row>
    <row r="7336" spans="1:7">
      <c r="A7336" t="s">
        <v>33712</v>
      </c>
      <c r="G7336" t="s">
        <v>33713</v>
      </c>
    </row>
    <row r="7337" spans="1:7">
      <c r="A7337" t="s">
        <v>33714</v>
      </c>
      <c r="B7337" t="s">
        <v>8626</v>
      </c>
      <c r="G7337" t="s">
        <v>33715</v>
      </c>
    </row>
    <row r="7338" spans="1:7">
      <c r="A7338" t="s">
        <v>33716</v>
      </c>
      <c r="B7338" t="s">
        <v>8626</v>
      </c>
      <c r="G7338" t="s">
        <v>33717</v>
      </c>
    </row>
    <row r="7339" spans="1:7">
      <c r="A7339" t="s">
        <v>33718</v>
      </c>
      <c r="B7339" t="s">
        <v>8607</v>
      </c>
      <c r="F7339" t="s">
        <v>20201</v>
      </c>
      <c r="G7339" t="s">
        <v>33719</v>
      </c>
    </row>
    <row r="7340" spans="1:7">
      <c r="A7340" t="s">
        <v>33720</v>
      </c>
      <c r="B7340" t="s">
        <v>8626</v>
      </c>
      <c r="G7340" t="s">
        <v>33721</v>
      </c>
    </row>
    <row r="7341" spans="1:7">
      <c r="A7341" t="s">
        <v>33722</v>
      </c>
      <c r="B7341" t="s">
        <v>8607</v>
      </c>
      <c r="C7341" t="s">
        <v>27215</v>
      </c>
      <c r="F7341" t="s">
        <v>27216</v>
      </c>
      <c r="G7341" t="s">
        <v>33723</v>
      </c>
    </row>
    <row r="7342" spans="1:7">
      <c r="A7342" t="s">
        <v>33724</v>
      </c>
      <c r="B7342" t="s">
        <v>8607</v>
      </c>
      <c r="C7342" t="s">
        <v>33370</v>
      </c>
      <c r="F7342" t="s">
        <v>33371</v>
      </c>
      <c r="G7342" t="s">
        <v>33725</v>
      </c>
    </row>
    <row r="7343" spans="1:7">
      <c r="A7343" t="s">
        <v>33726</v>
      </c>
      <c r="B7343" t="s">
        <v>8607</v>
      </c>
      <c r="C7343" t="s">
        <v>27219</v>
      </c>
      <c r="F7343" t="s">
        <v>27220</v>
      </c>
      <c r="G7343" t="s">
        <v>33727</v>
      </c>
    </row>
    <row r="7344" spans="1:7">
      <c r="A7344" t="s">
        <v>33728</v>
      </c>
      <c r="B7344" t="s">
        <v>8607</v>
      </c>
      <c r="C7344" t="s">
        <v>32548</v>
      </c>
      <c r="F7344" t="s">
        <v>32549</v>
      </c>
      <c r="G7344" t="s">
        <v>33729</v>
      </c>
    </row>
    <row r="7345" spans="1:7">
      <c r="A7345" t="s">
        <v>33730</v>
      </c>
      <c r="B7345" t="s">
        <v>8607</v>
      </c>
      <c r="C7345" t="s">
        <v>33349</v>
      </c>
      <c r="F7345" t="s">
        <v>32552</v>
      </c>
      <c r="G7345" t="s">
        <v>33731</v>
      </c>
    </row>
    <row r="7346" spans="1:7">
      <c r="A7346" t="s">
        <v>33732</v>
      </c>
      <c r="B7346" t="s">
        <v>8607</v>
      </c>
      <c r="F7346" t="s">
        <v>30642</v>
      </c>
      <c r="G7346" t="s">
        <v>30643</v>
      </c>
    </row>
    <row r="7347" spans="1:7">
      <c r="A7347" t="s">
        <v>33733</v>
      </c>
      <c r="B7347" t="s">
        <v>8607</v>
      </c>
      <c r="F7347" t="s">
        <v>33734</v>
      </c>
      <c r="G7347" t="s">
        <v>33735</v>
      </c>
    </row>
    <row r="7348" spans="1:7">
      <c r="A7348" t="s">
        <v>33736</v>
      </c>
      <c r="B7348" t="s">
        <v>8626</v>
      </c>
      <c r="F7348" t="s">
        <v>33737</v>
      </c>
      <c r="G7348" t="s">
        <v>33738</v>
      </c>
    </row>
    <row r="7349" spans="1:7">
      <c r="A7349" t="s">
        <v>33739</v>
      </c>
      <c r="B7349" t="s">
        <v>8607</v>
      </c>
      <c r="F7349" t="s">
        <v>8623</v>
      </c>
      <c r="G7349" t="s">
        <v>26142</v>
      </c>
    </row>
    <row r="7350" spans="1:7">
      <c r="A7350" t="s">
        <v>33740</v>
      </c>
      <c r="B7350" t="s">
        <v>8626</v>
      </c>
      <c r="F7350" t="s">
        <v>22999</v>
      </c>
      <c r="G7350" t="s">
        <v>33741</v>
      </c>
    </row>
    <row r="7351" spans="1:7">
      <c r="A7351" t="s">
        <v>33742</v>
      </c>
      <c r="B7351" t="s">
        <v>8607</v>
      </c>
      <c r="C7351" t="s">
        <v>28071</v>
      </c>
      <c r="F7351" t="s">
        <v>17327</v>
      </c>
      <c r="G7351" t="s">
        <v>28072</v>
      </c>
    </row>
    <row r="7352" spans="1:7">
      <c r="A7352" t="s">
        <v>33743</v>
      </c>
      <c r="B7352" t="s">
        <v>8607</v>
      </c>
      <c r="F7352" t="s">
        <v>33744</v>
      </c>
      <c r="G7352" t="s">
        <v>33745</v>
      </c>
    </row>
    <row r="7353" spans="1:7">
      <c r="A7353" t="s">
        <v>33746</v>
      </c>
      <c r="B7353" t="s">
        <v>8607</v>
      </c>
      <c r="F7353" t="s">
        <v>33256</v>
      </c>
      <c r="G7353" t="s">
        <v>33747</v>
      </c>
    </row>
    <row r="7354" spans="1:7">
      <c r="A7354" t="s">
        <v>33748</v>
      </c>
      <c r="B7354" t="s">
        <v>8607</v>
      </c>
      <c r="F7354" t="s">
        <v>26989</v>
      </c>
      <c r="G7354" t="s">
        <v>27233</v>
      </c>
    </row>
    <row r="7355" spans="1:7">
      <c r="A7355" t="s">
        <v>33749</v>
      </c>
      <c r="B7355" t="s">
        <v>8607</v>
      </c>
      <c r="F7355" t="s">
        <v>26992</v>
      </c>
      <c r="G7355" t="s">
        <v>33750</v>
      </c>
    </row>
    <row r="7356" spans="1:7">
      <c r="A7356" t="s">
        <v>33751</v>
      </c>
      <c r="B7356" t="s">
        <v>8607</v>
      </c>
      <c r="F7356" t="s">
        <v>26995</v>
      </c>
      <c r="G7356" t="s">
        <v>33752</v>
      </c>
    </row>
    <row r="7357" spans="1:7">
      <c r="A7357" t="s">
        <v>33753</v>
      </c>
      <c r="B7357" t="s">
        <v>8626</v>
      </c>
      <c r="G7357" t="s">
        <v>33257</v>
      </c>
    </row>
    <row r="7358" spans="1:7">
      <c r="A7358" t="s">
        <v>33754</v>
      </c>
      <c r="B7358" t="s">
        <v>8607</v>
      </c>
      <c r="F7358" t="s">
        <v>26989</v>
      </c>
      <c r="G7358" t="s">
        <v>26990</v>
      </c>
    </row>
    <row r="7359" spans="1:7">
      <c r="A7359" t="s">
        <v>33755</v>
      </c>
      <c r="B7359" t="s">
        <v>8607</v>
      </c>
      <c r="F7359" t="s">
        <v>26992</v>
      </c>
      <c r="G7359" t="s">
        <v>33750</v>
      </c>
    </row>
    <row r="7360" spans="1:7">
      <c r="A7360" t="s">
        <v>33756</v>
      </c>
      <c r="B7360" t="s">
        <v>8607</v>
      </c>
      <c r="F7360" t="s">
        <v>26995</v>
      </c>
      <c r="G7360" t="s">
        <v>26996</v>
      </c>
    </row>
    <row r="7361" spans="1:7">
      <c r="A7361" t="s">
        <v>33757</v>
      </c>
      <c r="B7361" t="s">
        <v>8607</v>
      </c>
      <c r="C7361" t="s">
        <v>23291</v>
      </c>
      <c r="F7361" t="s">
        <v>8623</v>
      </c>
      <c r="G7361" t="s">
        <v>33758</v>
      </c>
    </row>
    <row r="7362" spans="1:7">
      <c r="A7362" t="s">
        <v>33759</v>
      </c>
      <c r="G7362" t="s">
        <v>33760</v>
      </c>
    </row>
    <row r="7363" spans="1:7">
      <c r="A7363" t="s">
        <v>33761</v>
      </c>
      <c r="B7363" t="s">
        <v>8607</v>
      </c>
      <c r="F7363" t="s">
        <v>26855</v>
      </c>
      <c r="G7363" t="s">
        <v>33762</v>
      </c>
    </row>
    <row r="7364" spans="1:7">
      <c r="A7364" t="s">
        <v>33763</v>
      </c>
      <c r="B7364" t="s">
        <v>8626</v>
      </c>
      <c r="F7364" t="s">
        <v>25721</v>
      </c>
      <c r="G7364" t="s">
        <v>33764</v>
      </c>
    </row>
    <row r="7365" spans="1:7">
      <c r="A7365" t="s">
        <v>33765</v>
      </c>
      <c r="B7365" t="s">
        <v>8607</v>
      </c>
      <c r="F7365" t="s">
        <v>26425</v>
      </c>
      <c r="G7365" t="s">
        <v>26426</v>
      </c>
    </row>
    <row r="7366" spans="1:7">
      <c r="A7366" t="s">
        <v>33766</v>
      </c>
      <c r="B7366" t="s">
        <v>8607</v>
      </c>
      <c r="F7366" t="s">
        <v>19172</v>
      </c>
      <c r="G7366" t="s">
        <v>30215</v>
      </c>
    </row>
    <row r="7367" spans="1:7">
      <c r="A7367" t="s">
        <v>33767</v>
      </c>
      <c r="B7367" t="s">
        <v>8607</v>
      </c>
      <c r="C7367" t="s">
        <v>28362</v>
      </c>
      <c r="F7367" t="s">
        <v>27740</v>
      </c>
      <c r="G7367" t="s">
        <v>28363</v>
      </c>
    </row>
    <row r="7368" spans="1:7">
      <c r="A7368" t="s">
        <v>33768</v>
      </c>
      <c r="B7368" t="s">
        <v>8626</v>
      </c>
      <c r="G7368" t="s">
        <v>33769</v>
      </c>
    </row>
    <row r="7369" spans="1:7">
      <c r="A7369" t="s">
        <v>33770</v>
      </c>
      <c r="B7369" t="s">
        <v>8607</v>
      </c>
      <c r="G7369" t="s">
        <v>32004</v>
      </c>
    </row>
    <row r="7370" spans="1:7">
      <c r="A7370" t="s">
        <v>33771</v>
      </c>
      <c r="B7370" t="s">
        <v>8626</v>
      </c>
      <c r="C7370" t="s">
        <v>28882</v>
      </c>
      <c r="F7370" t="s">
        <v>17932</v>
      </c>
      <c r="G7370" t="s">
        <v>33772</v>
      </c>
    </row>
    <row r="7371" spans="1:7">
      <c r="A7371" t="s">
        <v>33773</v>
      </c>
      <c r="B7371" t="s">
        <v>8607</v>
      </c>
      <c r="C7371" t="s">
        <v>28365</v>
      </c>
      <c r="F7371" t="s">
        <v>17349</v>
      </c>
      <c r="G7371" t="s">
        <v>28366</v>
      </c>
    </row>
    <row r="7372" spans="1:7">
      <c r="A7372" t="s">
        <v>33774</v>
      </c>
      <c r="B7372" t="s">
        <v>8607</v>
      </c>
      <c r="C7372" t="s">
        <v>32291</v>
      </c>
      <c r="F7372" t="s">
        <v>23859</v>
      </c>
      <c r="G7372" t="s">
        <v>33775</v>
      </c>
    </row>
    <row r="7373" spans="1:7">
      <c r="A7373" t="s">
        <v>33776</v>
      </c>
      <c r="B7373" t="s">
        <v>8607</v>
      </c>
      <c r="G7373" t="s">
        <v>28363</v>
      </c>
    </row>
    <row r="7374" spans="1:7">
      <c r="A7374" t="s">
        <v>33777</v>
      </c>
      <c r="B7374" t="s">
        <v>8626</v>
      </c>
      <c r="F7374" t="s">
        <v>33778</v>
      </c>
      <c r="G7374" t="s">
        <v>33779</v>
      </c>
    </row>
    <row r="7375" spans="1:7">
      <c r="A7375" t="s">
        <v>33780</v>
      </c>
      <c r="B7375" t="s">
        <v>8607</v>
      </c>
      <c r="F7375" t="s">
        <v>17790</v>
      </c>
      <c r="G7375" t="s">
        <v>33781</v>
      </c>
    </row>
    <row r="7376" spans="1:7">
      <c r="A7376" t="s">
        <v>33782</v>
      </c>
      <c r="B7376" t="s">
        <v>8607</v>
      </c>
      <c r="G7376" t="s">
        <v>33783</v>
      </c>
    </row>
    <row r="7377" spans="1:7">
      <c r="A7377" t="s">
        <v>33784</v>
      </c>
      <c r="B7377" t="s">
        <v>8607</v>
      </c>
      <c r="F7377" t="s">
        <v>28368</v>
      </c>
      <c r="G7377" t="s">
        <v>28369</v>
      </c>
    </row>
    <row r="7378" spans="1:7">
      <c r="A7378" t="s">
        <v>33785</v>
      </c>
      <c r="B7378" t="s">
        <v>8607</v>
      </c>
      <c r="G7378" t="s">
        <v>33786</v>
      </c>
    </row>
    <row r="7379" spans="1:7">
      <c r="A7379" t="s">
        <v>33787</v>
      </c>
      <c r="B7379" t="s">
        <v>8607</v>
      </c>
      <c r="G7379" t="s">
        <v>33788</v>
      </c>
    </row>
    <row r="7380" spans="1:7">
      <c r="A7380" t="s">
        <v>33789</v>
      </c>
      <c r="B7380" t="s">
        <v>8607</v>
      </c>
      <c r="F7380" t="s">
        <v>27445</v>
      </c>
      <c r="G7380" t="s">
        <v>27446</v>
      </c>
    </row>
    <row r="7381" spans="1:7">
      <c r="A7381" t="s">
        <v>33790</v>
      </c>
      <c r="B7381" t="s">
        <v>8607</v>
      </c>
      <c r="F7381" t="s">
        <v>28352</v>
      </c>
      <c r="G7381" t="s">
        <v>28353</v>
      </c>
    </row>
    <row r="7382" spans="1:7">
      <c r="A7382" t="s">
        <v>33791</v>
      </c>
      <c r="B7382" t="s">
        <v>8607</v>
      </c>
      <c r="G7382" t="s">
        <v>31211</v>
      </c>
    </row>
    <row r="7383" spans="1:7">
      <c r="A7383" t="s">
        <v>33792</v>
      </c>
      <c r="B7383" t="s">
        <v>8607</v>
      </c>
      <c r="F7383" t="s">
        <v>27518</v>
      </c>
      <c r="G7383" t="s">
        <v>28355</v>
      </c>
    </row>
    <row r="7384" spans="1:7">
      <c r="A7384" t="s">
        <v>33793</v>
      </c>
      <c r="B7384" t="s">
        <v>8607</v>
      </c>
      <c r="F7384" t="s">
        <v>30566</v>
      </c>
      <c r="G7384" t="s">
        <v>33794</v>
      </c>
    </row>
    <row r="7385" spans="1:7">
      <c r="A7385" t="s">
        <v>33795</v>
      </c>
      <c r="G7385" t="s">
        <v>33796</v>
      </c>
    </row>
    <row r="7386" spans="1:7">
      <c r="A7386" t="s">
        <v>33797</v>
      </c>
      <c r="B7386" t="s">
        <v>8607</v>
      </c>
      <c r="F7386" t="s">
        <v>33798</v>
      </c>
      <c r="G7386" t="s">
        <v>33799</v>
      </c>
    </row>
    <row r="7387" spans="1:7">
      <c r="A7387" t="s">
        <v>33800</v>
      </c>
      <c r="B7387" t="s">
        <v>8626</v>
      </c>
      <c r="G7387" t="s">
        <v>33801</v>
      </c>
    </row>
    <row r="7388" spans="1:7">
      <c r="A7388" t="s">
        <v>33802</v>
      </c>
      <c r="B7388" t="s">
        <v>8607</v>
      </c>
      <c r="C7388" t="s">
        <v>30503</v>
      </c>
      <c r="F7388" t="s">
        <v>30504</v>
      </c>
      <c r="G7388" t="s">
        <v>33803</v>
      </c>
    </row>
    <row r="7389" spans="1:7">
      <c r="A7389" t="s">
        <v>33804</v>
      </c>
      <c r="B7389" t="s">
        <v>8626</v>
      </c>
      <c r="G7389" t="s">
        <v>33805</v>
      </c>
    </row>
    <row r="7390" spans="1:7">
      <c r="A7390" t="s">
        <v>33806</v>
      </c>
      <c r="B7390" t="s">
        <v>8626</v>
      </c>
      <c r="C7390" t="s">
        <v>26583</v>
      </c>
      <c r="F7390" t="s">
        <v>26584</v>
      </c>
      <c r="G7390" t="s">
        <v>26585</v>
      </c>
    </row>
    <row r="7391" spans="1:7">
      <c r="A7391" t="s">
        <v>33807</v>
      </c>
      <c r="B7391" t="s">
        <v>8626</v>
      </c>
      <c r="F7391" t="s">
        <v>17824</v>
      </c>
      <c r="G7391" t="s">
        <v>33466</v>
      </c>
    </row>
    <row r="7392" spans="1:7">
      <c r="A7392" t="s">
        <v>33808</v>
      </c>
      <c r="B7392" t="s">
        <v>8607</v>
      </c>
      <c r="F7392" t="s">
        <v>30840</v>
      </c>
      <c r="G7392" t="s">
        <v>33809</v>
      </c>
    </row>
    <row r="7393" spans="1:7">
      <c r="A7393" t="s">
        <v>33810</v>
      </c>
      <c r="B7393" t="s">
        <v>8607</v>
      </c>
      <c r="C7393" t="s">
        <v>30843</v>
      </c>
      <c r="F7393" t="s">
        <v>30844</v>
      </c>
      <c r="G7393" t="s">
        <v>33811</v>
      </c>
    </row>
    <row r="7394" spans="1:7">
      <c r="A7394" t="s">
        <v>33812</v>
      </c>
      <c r="B7394" t="s">
        <v>8607</v>
      </c>
      <c r="F7394" t="s">
        <v>33813</v>
      </c>
      <c r="G7394" t="s">
        <v>33814</v>
      </c>
    </row>
    <row r="7395" spans="1:7">
      <c r="A7395" t="s">
        <v>33815</v>
      </c>
      <c r="B7395" t="s">
        <v>8607</v>
      </c>
      <c r="F7395" t="s">
        <v>33813</v>
      </c>
      <c r="G7395" t="s">
        <v>33816</v>
      </c>
    </row>
    <row r="7396" spans="1:7">
      <c r="A7396" t="s">
        <v>33817</v>
      </c>
      <c r="B7396" t="s">
        <v>8607</v>
      </c>
      <c r="C7396" t="s">
        <v>24519</v>
      </c>
      <c r="F7396" t="s">
        <v>24521</v>
      </c>
      <c r="G7396" t="s">
        <v>24643</v>
      </c>
    </row>
    <row r="7397" spans="1:7">
      <c r="A7397" t="s">
        <v>33818</v>
      </c>
      <c r="B7397" t="s">
        <v>8607</v>
      </c>
      <c r="F7397" t="s">
        <v>33819</v>
      </c>
      <c r="G7397" t="s">
        <v>33820</v>
      </c>
    </row>
    <row r="7398" spans="1:7">
      <c r="A7398" t="s">
        <v>33821</v>
      </c>
      <c r="G7398" t="s">
        <v>33822</v>
      </c>
    </row>
    <row r="7399" spans="1:7">
      <c r="A7399" t="s">
        <v>33823</v>
      </c>
      <c r="B7399" t="s">
        <v>8626</v>
      </c>
      <c r="G7399" t="s">
        <v>33824</v>
      </c>
    </row>
    <row r="7400" spans="1:7">
      <c r="A7400" t="s">
        <v>33825</v>
      </c>
      <c r="B7400" t="s">
        <v>8626</v>
      </c>
      <c r="G7400" t="s">
        <v>33826</v>
      </c>
    </row>
    <row r="7401" spans="1:7">
      <c r="A7401" t="s">
        <v>33827</v>
      </c>
      <c r="G7401" t="s">
        <v>33828</v>
      </c>
    </row>
    <row r="7402" spans="1:7">
      <c r="A7402" t="s">
        <v>33829</v>
      </c>
      <c r="B7402" t="s">
        <v>8626</v>
      </c>
      <c r="G7402" t="s">
        <v>33830</v>
      </c>
    </row>
    <row r="7403" spans="1:7">
      <c r="A7403" t="s">
        <v>33831</v>
      </c>
      <c r="B7403" t="s">
        <v>8626</v>
      </c>
      <c r="F7403" t="s">
        <v>26207</v>
      </c>
      <c r="G7403" t="s">
        <v>33832</v>
      </c>
    </row>
    <row r="7404" spans="1:7">
      <c r="A7404" t="s">
        <v>33833</v>
      </c>
      <c r="B7404" t="s">
        <v>8607</v>
      </c>
      <c r="F7404" t="s">
        <v>28088</v>
      </c>
      <c r="G7404" t="s">
        <v>32576</v>
      </c>
    </row>
    <row r="7405" spans="1:7">
      <c r="A7405" t="s">
        <v>33834</v>
      </c>
      <c r="B7405" t="s">
        <v>8607</v>
      </c>
      <c r="F7405" t="s">
        <v>28091</v>
      </c>
      <c r="G7405" t="s">
        <v>33597</v>
      </c>
    </row>
    <row r="7406" spans="1:7">
      <c r="A7406" t="s">
        <v>33835</v>
      </c>
      <c r="B7406" t="s">
        <v>8607</v>
      </c>
      <c r="F7406" t="s">
        <v>30983</v>
      </c>
      <c r="G7406" t="s">
        <v>33836</v>
      </c>
    </row>
    <row r="7407" spans="1:7">
      <c r="A7407" t="s">
        <v>33837</v>
      </c>
      <c r="B7407" t="s">
        <v>8626</v>
      </c>
      <c r="F7407" t="s">
        <v>33838</v>
      </c>
      <c r="G7407" t="s">
        <v>33839</v>
      </c>
    </row>
    <row r="7408" spans="1:7">
      <c r="A7408" t="s">
        <v>33840</v>
      </c>
      <c r="B7408" t="s">
        <v>8626</v>
      </c>
      <c r="G7408" t="s">
        <v>33841</v>
      </c>
    </row>
    <row r="7409" spans="1:7">
      <c r="A7409" t="s">
        <v>33842</v>
      </c>
      <c r="B7409" t="s">
        <v>8607</v>
      </c>
      <c r="F7409" t="s">
        <v>28207</v>
      </c>
      <c r="G7409" t="s">
        <v>33843</v>
      </c>
    </row>
    <row r="7410" spans="1:7">
      <c r="A7410" t="s">
        <v>33844</v>
      </c>
      <c r="B7410" t="s">
        <v>8607</v>
      </c>
      <c r="F7410" t="s">
        <v>9018</v>
      </c>
      <c r="G7410" t="s">
        <v>33845</v>
      </c>
    </row>
    <row r="7411" spans="1:7">
      <c r="A7411" t="s">
        <v>33846</v>
      </c>
      <c r="B7411" t="s">
        <v>8607</v>
      </c>
      <c r="F7411" t="s">
        <v>32095</v>
      </c>
      <c r="G7411" t="s">
        <v>33847</v>
      </c>
    </row>
    <row r="7412" spans="1:7">
      <c r="A7412" t="s">
        <v>33848</v>
      </c>
      <c r="B7412" t="s">
        <v>8607</v>
      </c>
      <c r="F7412" t="s">
        <v>27594</v>
      </c>
      <c r="G7412" t="s">
        <v>27595</v>
      </c>
    </row>
    <row r="7413" spans="1:7">
      <c r="A7413" t="s">
        <v>33849</v>
      </c>
      <c r="B7413" t="s">
        <v>8607</v>
      </c>
      <c r="F7413" t="s">
        <v>17349</v>
      </c>
      <c r="G7413" t="s">
        <v>33850</v>
      </c>
    </row>
    <row r="7414" spans="1:7">
      <c r="A7414" t="s">
        <v>33851</v>
      </c>
      <c r="B7414" t="s">
        <v>8626</v>
      </c>
      <c r="G7414" t="s">
        <v>33852</v>
      </c>
    </row>
    <row r="7415" spans="1:7">
      <c r="A7415" t="s">
        <v>33853</v>
      </c>
      <c r="B7415" t="s">
        <v>8607</v>
      </c>
      <c r="F7415" t="s">
        <v>30107</v>
      </c>
      <c r="G7415" t="s">
        <v>33854</v>
      </c>
    </row>
    <row r="7416" spans="1:7">
      <c r="A7416" t="s">
        <v>33855</v>
      </c>
      <c r="G7416" t="s">
        <v>33856</v>
      </c>
    </row>
    <row r="7417" spans="1:7">
      <c r="A7417" t="s">
        <v>33857</v>
      </c>
      <c r="B7417" t="s">
        <v>8607</v>
      </c>
      <c r="F7417" t="s">
        <v>33858</v>
      </c>
      <c r="G7417" t="s">
        <v>33859</v>
      </c>
    </row>
    <row r="7418" spans="1:7">
      <c r="A7418" t="s">
        <v>33860</v>
      </c>
      <c r="B7418" t="s">
        <v>8626</v>
      </c>
      <c r="F7418" t="s">
        <v>19514</v>
      </c>
      <c r="G7418" t="s">
        <v>33861</v>
      </c>
    </row>
    <row r="7419" spans="1:7">
      <c r="A7419" t="s">
        <v>33862</v>
      </c>
      <c r="B7419" t="s">
        <v>8607</v>
      </c>
      <c r="F7419" t="s">
        <v>27930</v>
      </c>
      <c r="G7419" t="s">
        <v>33863</v>
      </c>
    </row>
    <row r="7420" spans="1:7">
      <c r="A7420" t="s">
        <v>33864</v>
      </c>
      <c r="B7420" t="s">
        <v>8607</v>
      </c>
      <c r="F7420" t="s">
        <v>33865</v>
      </c>
      <c r="G7420" t="s">
        <v>33866</v>
      </c>
    </row>
    <row r="7421" spans="1:7">
      <c r="A7421" t="s">
        <v>33867</v>
      </c>
      <c r="B7421" t="s">
        <v>8607</v>
      </c>
      <c r="F7421" t="s">
        <v>33868</v>
      </c>
      <c r="G7421" t="s">
        <v>33869</v>
      </c>
    </row>
    <row r="7422" spans="1:7">
      <c r="A7422" t="s">
        <v>33870</v>
      </c>
      <c r="B7422" t="s">
        <v>8607</v>
      </c>
      <c r="F7422" t="s">
        <v>33871</v>
      </c>
      <c r="G7422" t="s">
        <v>33872</v>
      </c>
    </row>
    <row r="7423" spans="1:7">
      <c r="A7423" t="s">
        <v>33873</v>
      </c>
      <c r="B7423" t="s">
        <v>8607</v>
      </c>
      <c r="F7423" t="s">
        <v>17412</v>
      </c>
      <c r="G7423" t="s">
        <v>33874</v>
      </c>
    </row>
    <row r="7424" spans="1:7">
      <c r="A7424" t="s">
        <v>33875</v>
      </c>
      <c r="B7424" t="s">
        <v>8607</v>
      </c>
      <c r="F7424" t="s">
        <v>33876</v>
      </c>
      <c r="G7424" t="s">
        <v>33877</v>
      </c>
    </row>
    <row r="7425" spans="1:7">
      <c r="A7425" t="s">
        <v>33878</v>
      </c>
      <c r="B7425" t="s">
        <v>8607</v>
      </c>
      <c r="F7425" t="s">
        <v>27740</v>
      </c>
      <c r="G7425" t="s">
        <v>33879</v>
      </c>
    </row>
    <row r="7426" spans="1:7">
      <c r="A7426" t="s">
        <v>33880</v>
      </c>
      <c r="B7426" t="s">
        <v>8607</v>
      </c>
      <c r="F7426" t="s">
        <v>33881</v>
      </c>
      <c r="G7426" t="s">
        <v>33882</v>
      </c>
    </row>
    <row r="7427" spans="1:7">
      <c r="A7427" t="s">
        <v>33883</v>
      </c>
      <c r="G7427" t="s">
        <v>33884</v>
      </c>
    </row>
    <row r="7428" spans="1:7">
      <c r="A7428" t="s">
        <v>33885</v>
      </c>
      <c r="B7428" t="s">
        <v>8607</v>
      </c>
      <c r="F7428" t="s">
        <v>17327</v>
      </c>
      <c r="G7428" t="s">
        <v>33886</v>
      </c>
    </row>
    <row r="7429" spans="1:7">
      <c r="A7429" t="s">
        <v>33887</v>
      </c>
      <c r="B7429" t="s">
        <v>8607</v>
      </c>
      <c r="F7429" t="s">
        <v>31035</v>
      </c>
      <c r="G7429" t="s">
        <v>33888</v>
      </c>
    </row>
    <row r="7430" spans="1:7">
      <c r="A7430" t="s">
        <v>33889</v>
      </c>
      <c r="B7430" t="s">
        <v>8607</v>
      </c>
      <c r="G7430" t="s">
        <v>33888</v>
      </c>
    </row>
    <row r="7431" spans="1:7">
      <c r="A7431" t="s">
        <v>33890</v>
      </c>
      <c r="B7431" t="s">
        <v>8607</v>
      </c>
      <c r="F7431" t="s">
        <v>30725</v>
      </c>
      <c r="G7431" t="s">
        <v>33891</v>
      </c>
    </row>
    <row r="7432" spans="1:7">
      <c r="A7432" t="s">
        <v>33892</v>
      </c>
      <c r="B7432" t="s">
        <v>8607</v>
      </c>
      <c r="G7432" t="s">
        <v>33893</v>
      </c>
    </row>
    <row r="7433" spans="1:7">
      <c r="A7433" t="s">
        <v>33894</v>
      </c>
      <c r="B7433" t="s">
        <v>8607</v>
      </c>
      <c r="F7433" t="s">
        <v>18667</v>
      </c>
      <c r="G7433" t="s">
        <v>33895</v>
      </c>
    </row>
    <row r="7434" spans="1:7">
      <c r="A7434" t="s">
        <v>33896</v>
      </c>
      <c r="B7434" t="s">
        <v>8607</v>
      </c>
      <c r="G7434" t="s">
        <v>33897</v>
      </c>
    </row>
    <row r="7435" spans="1:7">
      <c r="A7435" t="s">
        <v>33898</v>
      </c>
      <c r="B7435" t="s">
        <v>8607</v>
      </c>
      <c r="F7435" t="s">
        <v>32690</v>
      </c>
      <c r="G7435" t="s">
        <v>33899</v>
      </c>
    </row>
    <row r="7436" spans="1:7">
      <c r="A7436" t="s">
        <v>33900</v>
      </c>
      <c r="B7436" t="s">
        <v>8607</v>
      </c>
      <c r="G7436" t="s">
        <v>33901</v>
      </c>
    </row>
    <row r="7437" spans="1:7">
      <c r="A7437" t="s">
        <v>33902</v>
      </c>
      <c r="B7437" t="s">
        <v>8607</v>
      </c>
      <c r="F7437" t="s">
        <v>28195</v>
      </c>
      <c r="G7437" t="s">
        <v>33903</v>
      </c>
    </row>
    <row r="7438" spans="1:7">
      <c r="A7438" t="s">
        <v>33904</v>
      </c>
      <c r="B7438" t="s">
        <v>8607</v>
      </c>
      <c r="F7438" t="s">
        <v>33905</v>
      </c>
      <c r="G7438" t="s">
        <v>33906</v>
      </c>
    </row>
    <row r="7439" spans="1:7">
      <c r="A7439" t="s">
        <v>33907</v>
      </c>
      <c r="B7439" t="s">
        <v>8607</v>
      </c>
      <c r="G7439" t="s">
        <v>33908</v>
      </c>
    </row>
    <row r="7440" spans="1:7">
      <c r="A7440" t="s">
        <v>33909</v>
      </c>
      <c r="B7440" t="s">
        <v>8607</v>
      </c>
      <c r="F7440" t="s">
        <v>33910</v>
      </c>
      <c r="G7440" t="s">
        <v>33911</v>
      </c>
    </row>
    <row r="7441" spans="1:7">
      <c r="A7441" t="s">
        <v>33912</v>
      </c>
      <c r="B7441" t="s">
        <v>8607</v>
      </c>
      <c r="F7441" t="s">
        <v>17830</v>
      </c>
      <c r="G7441" t="s">
        <v>33913</v>
      </c>
    </row>
    <row r="7442" spans="1:7">
      <c r="A7442" t="s">
        <v>33914</v>
      </c>
      <c r="B7442" t="s">
        <v>8607</v>
      </c>
      <c r="G7442" t="s">
        <v>33915</v>
      </c>
    </row>
    <row r="7443" spans="1:7">
      <c r="A7443" t="s">
        <v>33916</v>
      </c>
      <c r="B7443" t="s">
        <v>8607</v>
      </c>
      <c r="F7443" t="s">
        <v>33547</v>
      </c>
      <c r="G7443" t="s">
        <v>33917</v>
      </c>
    </row>
    <row r="7444" spans="1:7">
      <c r="A7444" t="s">
        <v>33918</v>
      </c>
      <c r="B7444" t="s">
        <v>8607</v>
      </c>
      <c r="F7444" t="s">
        <v>33550</v>
      </c>
      <c r="G7444" t="s">
        <v>33919</v>
      </c>
    </row>
    <row r="7445" spans="1:7">
      <c r="A7445" t="s">
        <v>33920</v>
      </c>
      <c r="B7445" t="s">
        <v>8607</v>
      </c>
      <c r="F7445" t="s">
        <v>33921</v>
      </c>
      <c r="G7445" t="s">
        <v>33922</v>
      </c>
    </row>
    <row r="7446" spans="1:7">
      <c r="A7446" t="s">
        <v>33923</v>
      </c>
      <c r="B7446" t="s">
        <v>8607</v>
      </c>
      <c r="F7446" t="s">
        <v>33924</v>
      </c>
      <c r="G7446" t="s">
        <v>33925</v>
      </c>
    </row>
    <row r="7447" spans="1:7">
      <c r="A7447" t="s">
        <v>33926</v>
      </c>
      <c r="B7447" t="s">
        <v>8626</v>
      </c>
      <c r="F7447" t="s">
        <v>33927</v>
      </c>
      <c r="G7447" t="s">
        <v>33928</v>
      </c>
    </row>
    <row r="7448" spans="1:7">
      <c r="A7448" t="s">
        <v>33929</v>
      </c>
      <c r="B7448" t="s">
        <v>8607</v>
      </c>
      <c r="F7448" t="s">
        <v>26698</v>
      </c>
      <c r="G7448" t="s">
        <v>33930</v>
      </c>
    </row>
    <row r="7449" spans="1:7">
      <c r="A7449" t="s">
        <v>33931</v>
      </c>
      <c r="B7449" t="s">
        <v>8607</v>
      </c>
      <c r="C7449" t="s">
        <v>28188</v>
      </c>
      <c r="F7449" t="s">
        <v>27381</v>
      </c>
      <c r="G7449" t="s">
        <v>33932</v>
      </c>
    </row>
    <row r="7450" spans="1:7">
      <c r="A7450" t="s">
        <v>33933</v>
      </c>
      <c r="B7450" t="s">
        <v>8607</v>
      </c>
      <c r="G7450" t="s">
        <v>33934</v>
      </c>
    </row>
    <row r="7451" spans="1:7">
      <c r="A7451" t="s">
        <v>33935</v>
      </c>
      <c r="B7451" t="s">
        <v>8607</v>
      </c>
      <c r="G7451" t="s">
        <v>33936</v>
      </c>
    </row>
    <row r="7452" spans="1:7">
      <c r="A7452" t="s">
        <v>33937</v>
      </c>
      <c r="B7452" t="s">
        <v>8607</v>
      </c>
      <c r="G7452" t="s">
        <v>33938</v>
      </c>
    </row>
    <row r="7453" spans="1:7">
      <c r="A7453" t="s">
        <v>33939</v>
      </c>
      <c r="B7453" t="s">
        <v>8607</v>
      </c>
      <c r="G7453" t="s">
        <v>33940</v>
      </c>
    </row>
    <row r="7454" spans="1:7">
      <c r="A7454" t="s">
        <v>33941</v>
      </c>
      <c r="B7454" t="s">
        <v>8607</v>
      </c>
      <c r="F7454" t="s">
        <v>33942</v>
      </c>
      <c r="G7454" t="s">
        <v>33943</v>
      </c>
    </row>
    <row r="7455" spans="1:7">
      <c r="A7455" t="s">
        <v>33944</v>
      </c>
      <c r="B7455" t="s">
        <v>8607</v>
      </c>
      <c r="F7455" t="s">
        <v>33945</v>
      </c>
      <c r="G7455" t="s">
        <v>33946</v>
      </c>
    </row>
    <row r="7456" spans="1:7">
      <c r="A7456" t="s">
        <v>33947</v>
      </c>
      <c r="B7456" t="s">
        <v>8607</v>
      </c>
      <c r="G7456" t="s">
        <v>33948</v>
      </c>
    </row>
    <row r="7457" spans="1:7">
      <c r="A7457" t="s">
        <v>33949</v>
      </c>
      <c r="B7457" t="s">
        <v>8607</v>
      </c>
      <c r="G7457" t="s">
        <v>33950</v>
      </c>
    </row>
    <row r="7458" spans="1:7">
      <c r="A7458" t="s">
        <v>33951</v>
      </c>
      <c r="B7458" t="s">
        <v>8607</v>
      </c>
      <c r="G7458" t="s">
        <v>33952</v>
      </c>
    </row>
    <row r="7459" spans="1:7">
      <c r="A7459" t="s">
        <v>33953</v>
      </c>
      <c r="B7459" t="s">
        <v>8607</v>
      </c>
      <c r="G7459" t="s">
        <v>33954</v>
      </c>
    </row>
    <row r="7460" spans="1:7">
      <c r="A7460" t="s">
        <v>33955</v>
      </c>
      <c r="B7460" t="s">
        <v>8607</v>
      </c>
      <c r="G7460" t="s">
        <v>33956</v>
      </c>
    </row>
    <row r="7461" spans="1:7">
      <c r="A7461" t="s">
        <v>33957</v>
      </c>
      <c r="B7461" t="s">
        <v>8607</v>
      </c>
      <c r="F7461" t="s">
        <v>33958</v>
      </c>
      <c r="G7461" t="s">
        <v>33959</v>
      </c>
    </row>
    <row r="7462" spans="1:7">
      <c r="A7462" t="s">
        <v>33960</v>
      </c>
      <c r="B7462" t="s">
        <v>8607</v>
      </c>
      <c r="F7462" t="s">
        <v>23859</v>
      </c>
      <c r="G7462" t="s">
        <v>33961</v>
      </c>
    </row>
    <row r="7463" spans="1:7">
      <c r="A7463" t="s">
        <v>33962</v>
      </c>
      <c r="B7463" t="s">
        <v>8607</v>
      </c>
      <c r="F7463" t="s">
        <v>9835</v>
      </c>
      <c r="G7463" t="s">
        <v>33963</v>
      </c>
    </row>
    <row r="7464" spans="1:7">
      <c r="A7464" t="s">
        <v>33964</v>
      </c>
      <c r="B7464" t="s">
        <v>8607</v>
      </c>
      <c r="F7464" t="s">
        <v>33965</v>
      </c>
      <c r="G7464" t="s">
        <v>33966</v>
      </c>
    </row>
    <row r="7465" spans="1:7">
      <c r="A7465" t="s">
        <v>33967</v>
      </c>
      <c r="B7465" t="s">
        <v>8607</v>
      </c>
      <c r="F7465" t="s">
        <v>18667</v>
      </c>
      <c r="G7465" t="s">
        <v>33895</v>
      </c>
    </row>
    <row r="7466" spans="1:7">
      <c r="A7466" t="s">
        <v>33968</v>
      </c>
      <c r="B7466" t="s">
        <v>8607</v>
      </c>
      <c r="C7466" t="s">
        <v>19494</v>
      </c>
      <c r="F7466" t="s">
        <v>13312</v>
      </c>
      <c r="G7466" t="s">
        <v>33969</v>
      </c>
    </row>
    <row r="7467" spans="1:7">
      <c r="A7467" t="s">
        <v>33970</v>
      </c>
      <c r="B7467" t="s">
        <v>8607</v>
      </c>
      <c r="F7467" t="s">
        <v>33971</v>
      </c>
      <c r="G7467" t="s">
        <v>33972</v>
      </c>
    </row>
    <row r="7468" spans="1:7">
      <c r="A7468" t="s">
        <v>33973</v>
      </c>
      <c r="B7468" t="s">
        <v>8607</v>
      </c>
      <c r="F7468" t="s">
        <v>17932</v>
      </c>
      <c r="G7468" t="s">
        <v>27840</v>
      </c>
    </row>
    <row r="7469" spans="1:7">
      <c r="A7469" t="s">
        <v>33974</v>
      </c>
      <c r="B7469" t="s">
        <v>8626</v>
      </c>
      <c r="C7469" t="s">
        <v>31520</v>
      </c>
      <c r="F7469" t="s">
        <v>9018</v>
      </c>
      <c r="G7469" t="s">
        <v>33975</v>
      </c>
    </row>
    <row r="7470" spans="1:7">
      <c r="A7470" t="s">
        <v>33976</v>
      </c>
      <c r="B7470" t="s">
        <v>8626</v>
      </c>
      <c r="F7470" t="s">
        <v>33977</v>
      </c>
      <c r="G7470" t="s">
        <v>33978</v>
      </c>
    </row>
    <row r="7471" spans="1:7">
      <c r="A7471" t="s">
        <v>33979</v>
      </c>
      <c r="B7471" t="s">
        <v>8607</v>
      </c>
      <c r="F7471" t="s">
        <v>9835</v>
      </c>
      <c r="G7471" t="s">
        <v>33980</v>
      </c>
    </row>
    <row r="7472" spans="1:7">
      <c r="A7472" t="s">
        <v>33981</v>
      </c>
      <c r="B7472" t="s">
        <v>8607</v>
      </c>
      <c r="F7472" t="s">
        <v>33965</v>
      </c>
      <c r="G7472" t="s">
        <v>33982</v>
      </c>
    </row>
    <row r="7473" spans="1:7">
      <c r="A7473" t="s">
        <v>33983</v>
      </c>
      <c r="B7473" t="s">
        <v>8607</v>
      </c>
      <c r="F7473" t="s">
        <v>18667</v>
      </c>
      <c r="G7473" t="s">
        <v>28783</v>
      </c>
    </row>
    <row r="7474" spans="1:7">
      <c r="A7474" t="s">
        <v>33984</v>
      </c>
      <c r="B7474" t="s">
        <v>8626</v>
      </c>
      <c r="G7474" t="s">
        <v>33985</v>
      </c>
    </row>
    <row r="7475" spans="1:7">
      <c r="A7475" t="s">
        <v>33986</v>
      </c>
      <c r="B7475" t="s">
        <v>8607</v>
      </c>
      <c r="G7475" t="s">
        <v>33987</v>
      </c>
    </row>
    <row r="7476" spans="1:7">
      <c r="A7476" t="s">
        <v>33988</v>
      </c>
      <c r="B7476" t="s">
        <v>8607</v>
      </c>
      <c r="F7476" t="s">
        <v>17830</v>
      </c>
      <c r="G7476" t="s">
        <v>33989</v>
      </c>
    </row>
    <row r="7477" spans="1:7">
      <c r="A7477" t="s">
        <v>33990</v>
      </c>
      <c r="B7477" t="s">
        <v>8607</v>
      </c>
      <c r="G7477" t="s">
        <v>33991</v>
      </c>
    </row>
    <row r="7478" spans="1:7">
      <c r="A7478" t="s">
        <v>33992</v>
      </c>
      <c r="B7478" t="s">
        <v>8607</v>
      </c>
      <c r="G7478" t="s">
        <v>30759</v>
      </c>
    </row>
    <row r="7479" spans="1:7">
      <c r="A7479" t="s">
        <v>33993</v>
      </c>
      <c r="B7479" t="s">
        <v>8626</v>
      </c>
      <c r="G7479" t="s">
        <v>33994</v>
      </c>
    </row>
    <row r="7480" spans="1:7">
      <c r="A7480" t="s">
        <v>33995</v>
      </c>
      <c r="B7480" t="s">
        <v>8607</v>
      </c>
      <c r="F7480" t="s">
        <v>27646</v>
      </c>
      <c r="G7480" t="s">
        <v>33559</v>
      </c>
    </row>
    <row r="7481" spans="1:7">
      <c r="A7481" t="s">
        <v>33996</v>
      </c>
      <c r="B7481" t="s">
        <v>8607</v>
      </c>
      <c r="F7481" t="s">
        <v>27649</v>
      </c>
      <c r="G7481" t="s">
        <v>30938</v>
      </c>
    </row>
    <row r="7482" spans="1:7">
      <c r="A7482" t="s">
        <v>33997</v>
      </c>
      <c r="G7482" t="s">
        <v>33998</v>
      </c>
    </row>
    <row r="7483" spans="1:7">
      <c r="A7483" t="s">
        <v>33999</v>
      </c>
      <c r="B7483" t="s">
        <v>8607</v>
      </c>
      <c r="F7483" t="s">
        <v>17928</v>
      </c>
      <c r="G7483" t="s">
        <v>34000</v>
      </c>
    </row>
    <row r="7484" spans="1:7">
      <c r="A7484" t="s">
        <v>34001</v>
      </c>
      <c r="B7484" t="s">
        <v>8626</v>
      </c>
      <c r="F7484" t="s">
        <v>25301</v>
      </c>
      <c r="G7484" t="s">
        <v>34002</v>
      </c>
    </row>
    <row r="7485" spans="1:7">
      <c r="A7485" t="s">
        <v>34003</v>
      </c>
      <c r="B7485" t="s">
        <v>8626</v>
      </c>
      <c r="G7485" t="s">
        <v>34004</v>
      </c>
    </row>
    <row r="7486" spans="1:7">
      <c r="A7486" t="s">
        <v>34005</v>
      </c>
      <c r="B7486" t="s">
        <v>8607</v>
      </c>
      <c r="G7486" t="s">
        <v>33786</v>
      </c>
    </row>
    <row r="7487" spans="1:7">
      <c r="A7487" t="s">
        <v>34006</v>
      </c>
      <c r="B7487" t="s">
        <v>8607</v>
      </c>
      <c r="G7487" t="s">
        <v>34007</v>
      </c>
    </row>
    <row r="7488" spans="1:7">
      <c r="A7488" t="s">
        <v>34008</v>
      </c>
      <c r="B7488" t="s">
        <v>8626</v>
      </c>
      <c r="F7488" t="s">
        <v>19514</v>
      </c>
      <c r="G7488" t="s">
        <v>34009</v>
      </c>
    </row>
    <row r="7489" spans="1:7">
      <c r="A7489" t="s">
        <v>34010</v>
      </c>
      <c r="B7489" t="s">
        <v>8626</v>
      </c>
      <c r="G7489" t="s">
        <v>34011</v>
      </c>
    </row>
    <row r="7490" spans="1:7">
      <c r="A7490" t="s">
        <v>34012</v>
      </c>
      <c r="B7490" t="s">
        <v>8626</v>
      </c>
      <c r="F7490" t="s">
        <v>28809</v>
      </c>
      <c r="G7490" t="s">
        <v>34013</v>
      </c>
    </row>
    <row r="7491" spans="1:7">
      <c r="A7491" t="s">
        <v>34014</v>
      </c>
      <c r="B7491" t="s">
        <v>8607</v>
      </c>
      <c r="F7491" t="s">
        <v>23859</v>
      </c>
      <c r="G7491" t="s">
        <v>32261</v>
      </c>
    </row>
    <row r="7492" spans="1:7">
      <c r="A7492" t="s">
        <v>34015</v>
      </c>
      <c r="B7492" t="s">
        <v>8607</v>
      </c>
      <c r="F7492" t="s">
        <v>23584</v>
      </c>
      <c r="G7492" t="s">
        <v>23585</v>
      </c>
    </row>
    <row r="7493" spans="1:7">
      <c r="A7493" t="s">
        <v>34016</v>
      </c>
      <c r="B7493" t="s">
        <v>8607</v>
      </c>
      <c r="C7493" t="s">
        <v>27842</v>
      </c>
      <c r="F7493" t="s">
        <v>20201</v>
      </c>
      <c r="G7493" t="s">
        <v>27843</v>
      </c>
    </row>
    <row r="7494" spans="1:7">
      <c r="A7494" t="s">
        <v>34017</v>
      </c>
      <c r="B7494" t="s">
        <v>8607</v>
      </c>
      <c r="F7494" t="s">
        <v>20473</v>
      </c>
      <c r="G7494" t="s">
        <v>33603</v>
      </c>
    </row>
    <row r="7495" spans="1:7">
      <c r="A7495" t="s">
        <v>34018</v>
      </c>
      <c r="B7495" t="s">
        <v>8626</v>
      </c>
      <c r="F7495" t="s">
        <v>33921</v>
      </c>
      <c r="G7495" t="s">
        <v>34019</v>
      </c>
    </row>
    <row r="7496" spans="1:7">
      <c r="A7496" t="s">
        <v>34020</v>
      </c>
      <c r="B7496" t="s">
        <v>8626</v>
      </c>
      <c r="F7496" t="s">
        <v>33924</v>
      </c>
      <c r="G7496" t="s">
        <v>34021</v>
      </c>
    </row>
    <row r="7497" spans="1:7">
      <c r="A7497" t="s">
        <v>34022</v>
      </c>
      <c r="B7497" t="s">
        <v>8626</v>
      </c>
      <c r="F7497" t="s">
        <v>18337</v>
      </c>
      <c r="G7497" t="s">
        <v>34023</v>
      </c>
    </row>
    <row r="7498" spans="1:7">
      <c r="A7498" t="s">
        <v>34024</v>
      </c>
      <c r="B7498" t="s">
        <v>8607</v>
      </c>
      <c r="F7498" t="s">
        <v>31069</v>
      </c>
      <c r="G7498" t="s">
        <v>34025</v>
      </c>
    </row>
    <row r="7499" spans="1:7">
      <c r="A7499" t="s">
        <v>34026</v>
      </c>
      <c r="B7499" t="s">
        <v>8607</v>
      </c>
      <c r="F7499" t="s">
        <v>20201</v>
      </c>
      <c r="G7499" t="s">
        <v>34027</v>
      </c>
    </row>
    <row r="7500" spans="1:7">
      <c r="A7500" t="s">
        <v>34028</v>
      </c>
      <c r="B7500" t="s">
        <v>8607</v>
      </c>
      <c r="F7500" t="s">
        <v>28207</v>
      </c>
      <c r="G7500" t="s">
        <v>34029</v>
      </c>
    </row>
    <row r="7501" spans="1:7">
      <c r="A7501" t="s">
        <v>34030</v>
      </c>
      <c r="B7501" t="s">
        <v>8607</v>
      </c>
      <c r="F7501" t="s">
        <v>33672</v>
      </c>
      <c r="G7501" t="s">
        <v>34031</v>
      </c>
    </row>
    <row r="7502" spans="1:7">
      <c r="A7502" t="s">
        <v>34032</v>
      </c>
      <c r="B7502" t="s">
        <v>8607</v>
      </c>
      <c r="F7502" t="s">
        <v>26104</v>
      </c>
      <c r="G7502" t="s">
        <v>34033</v>
      </c>
    </row>
    <row r="7503" spans="1:7">
      <c r="A7503" t="s">
        <v>34034</v>
      </c>
      <c r="B7503" t="s">
        <v>8607</v>
      </c>
      <c r="F7503" t="s">
        <v>20412</v>
      </c>
      <c r="G7503" t="s">
        <v>34035</v>
      </c>
    </row>
    <row r="7504" spans="1:7">
      <c r="A7504" t="s">
        <v>34036</v>
      </c>
      <c r="B7504" t="s">
        <v>8607</v>
      </c>
      <c r="F7504" t="s">
        <v>30489</v>
      </c>
      <c r="G7504" t="s">
        <v>30490</v>
      </c>
    </row>
    <row r="7505" spans="1:7">
      <c r="A7505" t="s">
        <v>34037</v>
      </c>
      <c r="B7505" t="s">
        <v>8626</v>
      </c>
      <c r="F7505" t="s">
        <v>30365</v>
      </c>
      <c r="G7505" t="s">
        <v>34038</v>
      </c>
    </row>
    <row r="7506" spans="1:7">
      <c r="A7506" t="s">
        <v>34039</v>
      </c>
      <c r="B7506" t="s">
        <v>8607</v>
      </c>
      <c r="G7506" t="s">
        <v>34040</v>
      </c>
    </row>
    <row r="7507" spans="1:7">
      <c r="A7507" t="s">
        <v>34041</v>
      </c>
      <c r="G7507" t="s">
        <v>34042</v>
      </c>
    </row>
    <row r="7508" spans="1:7">
      <c r="A7508" t="s">
        <v>34043</v>
      </c>
      <c r="B7508" t="s">
        <v>8607</v>
      </c>
      <c r="F7508" t="s">
        <v>17932</v>
      </c>
      <c r="G7508" t="s">
        <v>34044</v>
      </c>
    </row>
    <row r="7509" spans="1:7">
      <c r="A7509" t="s">
        <v>34045</v>
      </c>
      <c r="B7509" t="s">
        <v>8607</v>
      </c>
      <c r="F7509" t="s">
        <v>34046</v>
      </c>
      <c r="G7509" t="s">
        <v>34047</v>
      </c>
    </row>
    <row r="7510" spans="1:7">
      <c r="A7510" t="s">
        <v>34048</v>
      </c>
      <c r="B7510" t="s">
        <v>8607</v>
      </c>
      <c r="F7510" t="s">
        <v>34049</v>
      </c>
      <c r="G7510" t="s">
        <v>34050</v>
      </c>
    </row>
    <row r="7511" spans="1:7">
      <c r="A7511" t="s">
        <v>34051</v>
      </c>
      <c r="B7511" t="s">
        <v>8607</v>
      </c>
      <c r="F7511" t="s">
        <v>34052</v>
      </c>
      <c r="G7511" t="s">
        <v>34053</v>
      </c>
    </row>
    <row r="7512" spans="1:7">
      <c r="A7512" t="s">
        <v>34054</v>
      </c>
      <c r="B7512" t="s">
        <v>8607</v>
      </c>
      <c r="G7512" t="s">
        <v>30123</v>
      </c>
    </row>
    <row r="7513" spans="1:7">
      <c r="A7513" t="s">
        <v>34055</v>
      </c>
      <c r="B7513" t="s">
        <v>8607</v>
      </c>
      <c r="F7513" t="s">
        <v>30125</v>
      </c>
      <c r="G7513" t="s">
        <v>30126</v>
      </c>
    </row>
    <row r="7514" spans="1:7">
      <c r="A7514" t="s">
        <v>34056</v>
      </c>
      <c r="B7514" t="s">
        <v>8607</v>
      </c>
      <c r="F7514" t="s">
        <v>30553</v>
      </c>
      <c r="G7514" t="s">
        <v>34057</v>
      </c>
    </row>
    <row r="7515" spans="1:7">
      <c r="A7515" t="s">
        <v>34058</v>
      </c>
      <c r="B7515" t="s">
        <v>8607</v>
      </c>
      <c r="F7515" t="s">
        <v>26555</v>
      </c>
      <c r="G7515" t="s">
        <v>34059</v>
      </c>
    </row>
    <row r="7516" spans="1:7">
      <c r="A7516" t="s">
        <v>34060</v>
      </c>
      <c r="B7516" t="s">
        <v>8607</v>
      </c>
      <c r="F7516" t="s">
        <v>26558</v>
      </c>
      <c r="G7516" t="s">
        <v>34061</v>
      </c>
    </row>
    <row r="7517" spans="1:7">
      <c r="A7517" t="s">
        <v>34062</v>
      </c>
      <c r="B7517" t="s">
        <v>8607</v>
      </c>
      <c r="F7517" t="s">
        <v>34063</v>
      </c>
      <c r="G7517" t="s">
        <v>34064</v>
      </c>
    </row>
    <row r="7518" spans="1:7">
      <c r="A7518" t="s">
        <v>34065</v>
      </c>
      <c r="B7518" t="s">
        <v>8607</v>
      </c>
      <c r="F7518" t="s">
        <v>27323</v>
      </c>
      <c r="G7518" t="s">
        <v>34066</v>
      </c>
    </row>
    <row r="7519" spans="1:7">
      <c r="A7519" t="s">
        <v>34067</v>
      </c>
      <c r="B7519" t="s">
        <v>8607</v>
      </c>
      <c r="F7519" t="s">
        <v>30403</v>
      </c>
      <c r="G7519" t="s">
        <v>34068</v>
      </c>
    </row>
    <row r="7520" spans="1:7">
      <c r="A7520" t="s">
        <v>34069</v>
      </c>
      <c r="B7520" t="s">
        <v>8607</v>
      </c>
      <c r="F7520" t="s">
        <v>27969</v>
      </c>
      <c r="G7520" t="s">
        <v>34070</v>
      </c>
    </row>
    <row r="7521" spans="1:7">
      <c r="A7521" t="s">
        <v>34071</v>
      </c>
      <c r="B7521" t="s">
        <v>8607</v>
      </c>
      <c r="F7521" t="s">
        <v>26024</v>
      </c>
      <c r="G7521" t="s">
        <v>34072</v>
      </c>
    </row>
    <row r="7522" spans="1:7">
      <c r="A7522" t="s">
        <v>34073</v>
      </c>
      <c r="B7522" t="s">
        <v>8607</v>
      </c>
      <c r="F7522" t="s">
        <v>29430</v>
      </c>
      <c r="G7522" t="s">
        <v>34074</v>
      </c>
    </row>
    <row r="7523" spans="1:7">
      <c r="A7523" t="s">
        <v>34075</v>
      </c>
      <c r="B7523" t="s">
        <v>8607</v>
      </c>
      <c r="F7523" t="s">
        <v>29430</v>
      </c>
      <c r="G7523" t="s">
        <v>34076</v>
      </c>
    </row>
    <row r="7524" spans="1:7">
      <c r="A7524" t="s">
        <v>34077</v>
      </c>
      <c r="B7524" t="s">
        <v>8607</v>
      </c>
      <c r="F7524" t="s">
        <v>26654</v>
      </c>
      <c r="G7524" t="s">
        <v>34078</v>
      </c>
    </row>
    <row r="7525" spans="1:7">
      <c r="A7525" t="s">
        <v>34079</v>
      </c>
      <c r="B7525" t="s">
        <v>8626</v>
      </c>
      <c r="G7525" t="s">
        <v>34080</v>
      </c>
    </row>
    <row r="7526" spans="1:7">
      <c r="A7526" t="s">
        <v>34081</v>
      </c>
      <c r="B7526" t="s">
        <v>8626</v>
      </c>
      <c r="F7526" t="s">
        <v>34082</v>
      </c>
      <c r="G7526" t="s">
        <v>34083</v>
      </c>
    </row>
    <row r="7527" spans="1:7">
      <c r="A7527" t="s">
        <v>34084</v>
      </c>
      <c r="B7527" t="s">
        <v>8626</v>
      </c>
      <c r="F7527" t="s">
        <v>8623</v>
      </c>
      <c r="G7527" t="s">
        <v>34085</v>
      </c>
    </row>
    <row r="7528" spans="1:7">
      <c r="A7528" t="s">
        <v>34086</v>
      </c>
      <c r="B7528" t="s">
        <v>8607</v>
      </c>
      <c r="G7528" t="s">
        <v>34087</v>
      </c>
    </row>
    <row r="7529" spans="1:7">
      <c r="A7529" t="s">
        <v>34088</v>
      </c>
      <c r="B7529" t="s">
        <v>8607</v>
      </c>
      <c r="F7529" t="s">
        <v>17932</v>
      </c>
      <c r="G7529" t="s">
        <v>34089</v>
      </c>
    </row>
    <row r="7530" spans="1:7">
      <c r="A7530" t="s">
        <v>34090</v>
      </c>
      <c r="B7530" t="s">
        <v>8626</v>
      </c>
      <c r="G7530" t="s">
        <v>34091</v>
      </c>
    </row>
    <row r="7531" spans="1:7">
      <c r="A7531" t="s">
        <v>34092</v>
      </c>
      <c r="G7531" t="s">
        <v>34093</v>
      </c>
    </row>
    <row r="7532" spans="1:7">
      <c r="A7532" t="s">
        <v>34094</v>
      </c>
      <c r="B7532" t="s">
        <v>8607</v>
      </c>
      <c r="G7532" t="s">
        <v>34095</v>
      </c>
    </row>
    <row r="7533" spans="1:7">
      <c r="A7533" t="s">
        <v>34096</v>
      </c>
      <c r="B7533" t="s">
        <v>8607</v>
      </c>
      <c r="F7533" t="s">
        <v>34097</v>
      </c>
      <c r="G7533" t="s">
        <v>34098</v>
      </c>
    </row>
    <row r="7534" spans="1:7">
      <c r="A7534" t="s">
        <v>34099</v>
      </c>
      <c r="B7534" t="s">
        <v>8607</v>
      </c>
      <c r="G7534" t="s">
        <v>17445</v>
      </c>
    </row>
    <row r="7535" spans="1:7">
      <c r="A7535" t="s">
        <v>34100</v>
      </c>
      <c r="B7535" t="s">
        <v>8607</v>
      </c>
      <c r="F7535" t="s">
        <v>17327</v>
      </c>
      <c r="G7535" t="s">
        <v>34101</v>
      </c>
    </row>
    <row r="7536" spans="1:7">
      <c r="A7536" t="s">
        <v>34102</v>
      </c>
      <c r="B7536" t="s">
        <v>8607</v>
      </c>
      <c r="F7536" t="s">
        <v>34103</v>
      </c>
      <c r="G7536" t="s">
        <v>34104</v>
      </c>
    </row>
    <row r="7537" spans="1:7">
      <c r="A7537" t="s">
        <v>34105</v>
      </c>
      <c r="B7537" t="s">
        <v>8626</v>
      </c>
      <c r="G7537" t="s">
        <v>34106</v>
      </c>
    </row>
    <row r="7538" spans="1:7">
      <c r="A7538" t="s">
        <v>34107</v>
      </c>
      <c r="B7538" t="s">
        <v>8607</v>
      </c>
      <c r="G7538" t="s">
        <v>34108</v>
      </c>
    </row>
    <row r="7539" spans="1:7">
      <c r="A7539" t="s">
        <v>34109</v>
      </c>
      <c r="B7539" t="s">
        <v>8607</v>
      </c>
      <c r="F7539" t="s">
        <v>26602</v>
      </c>
      <c r="G7539" t="s">
        <v>27865</v>
      </c>
    </row>
    <row r="7540" spans="1:7">
      <c r="A7540" t="s">
        <v>34110</v>
      </c>
      <c r="B7540" t="s">
        <v>8607</v>
      </c>
      <c r="G7540" t="s">
        <v>34111</v>
      </c>
    </row>
    <row r="7541" spans="1:7">
      <c r="A7541" t="s">
        <v>34112</v>
      </c>
      <c r="B7541" t="s">
        <v>8607</v>
      </c>
      <c r="G7541" t="s">
        <v>29874</v>
      </c>
    </row>
    <row r="7542" spans="1:7">
      <c r="A7542" t="s">
        <v>34113</v>
      </c>
      <c r="B7542" t="s">
        <v>8607</v>
      </c>
      <c r="G7542" t="s">
        <v>28106</v>
      </c>
    </row>
    <row r="7543" spans="1:7">
      <c r="A7543" t="s">
        <v>34114</v>
      </c>
      <c r="B7543" t="s">
        <v>8607</v>
      </c>
      <c r="G7543" t="s">
        <v>30971</v>
      </c>
    </row>
    <row r="7544" spans="1:7">
      <c r="A7544" t="s">
        <v>34115</v>
      </c>
      <c r="B7544" t="s">
        <v>8607</v>
      </c>
      <c r="G7544" t="s">
        <v>29879</v>
      </c>
    </row>
    <row r="7545" spans="1:7">
      <c r="A7545" t="s">
        <v>34116</v>
      </c>
      <c r="B7545" t="s">
        <v>8607</v>
      </c>
      <c r="G7545" t="s">
        <v>27829</v>
      </c>
    </row>
    <row r="7546" spans="1:7">
      <c r="A7546" t="s">
        <v>34117</v>
      </c>
      <c r="B7546" t="s">
        <v>8607</v>
      </c>
      <c r="F7546" t="s">
        <v>34118</v>
      </c>
      <c r="G7546" t="s">
        <v>34119</v>
      </c>
    </row>
    <row r="7547" spans="1:7">
      <c r="A7547" t="s">
        <v>34120</v>
      </c>
      <c r="G7547" t="s">
        <v>34121</v>
      </c>
    </row>
    <row r="7548" spans="1:7">
      <c r="A7548" t="s">
        <v>34122</v>
      </c>
      <c r="B7548" t="s">
        <v>8607</v>
      </c>
      <c r="G7548" t="s">
        <v>27831</v>
      </c>
    </row>
    <row r="7549" spans="1:7">
      <c r="A7549" t="s">
        <v>34123</v>
      </c>
      <c r="B7549" t="s">
        <v>8607</v>
      </c>
      <c r="F7549" t="s">
        <v>29882</v>
      </c>
      <c r="G7549" t="s">
        <v>34124</v>
      </c>
    </row>
    <row r="7550" spans="1:7">
      <c r="A7550" t="s">
        <v>34125</v>
      </c>
      <c r="B7550" t="s">
        <v>8626</v>
      </c>
      <c r="G7550" t="s">
        <v>34126</v>
      </c>
    </row>
    <row r="7551" spans="1:7">
      <c r="A7551" t="s">
        <v>34127</v>
      </c>
      <c r="B7551" t="s">
        <v>8607</v>
      </c>
      <c r="F7551" t="s">
        <v>34128</v>
      </c>
      <c r="G7551" t="s">
        <v>34129</v>
      </c>
    </row>
    <row r="7552" spans="1:7">
      <c r="A7552" t="s">
        <v>34130</v>
      </c>
      <c r="B7552" t="s">
        <v>8607</v>
      </c>
      <c r="F7552" t="s">
        <v>17932</v>
      </c>
      <c r="G7552" t="s">
        <v>27670</v>
      </c>
    </row>
    <row r="7553" spans="1:7">
      <c r="A7553" t="s">
        <v>34131</v>
      </c>
      <c r="B7553" t="s">
        <v>8607</v>
      </c>
      <c r="G7553" t="s">
        <v>34132</v>
      </c>
    </row>
    <row r="7554" spans="1:7">
      <c r="A7554" t="s">
        <v>34133</v>
      </c>
      <c r="B7554" t="s">
        <v>8626</v>
      </c>
      <c r="G7554" t="s">
        <v>34134</v>
      </c>
    </row>
    <row r="7555" spans="1:7">
      <c r="A7555" t="s">
        <v>34135</v>
      </c>
      <c r="B7555" t="s">
        <v>8607</v>
      </c>
      <c r="F7555" t="s">
        <v>34136</v>
      </c>
      <c r="G7555" t="s">
        <v>34137</v>
      </c>
    </row>
    <row r="7556" spans="1:7">
      <c r="A7556" t="s">
        <v>34138</v>
      </c>
      <c r="B7556" t="s">
        <v>8607</v>
      </c>
      <c r="G7556" t="s">
        <v>28348</v>
      </c>
    </row>
    <row r="7557" spans="1:7">
      <c r="A7557" t="s">
        <v>34139</v>
      </c>
      <c r="B7557" t="s">
        <v>8607</v>
      </c>
      <c r="F7557" t="s">
        <v>17444</v>
      </c>
      <c r="G7557" t="s">
        <v>21590</v>
      </c>
    </row>
    <row r="7558" spans="1:7">
      <c r="A7558" t="s">
        <v>34140</v>
      </c>
      <c r="B7558" t="s">
        <v>8607</v>
      </c>
      <c r="C7558" t="s">
        <v>21506</v>
      </c>
      <c r="F7558" t="s">
        <v>17790</v>
      </c>
      <c r="G7558" t="s">
        <v>21517</v>
      </c>
    </row>
    <row r="7559" spans="1:7">
      <c r="A7559" t="s">
        <v>34141</v>
      </c>
      <c r="B7559" t="s">
        <v>8607</v>
      </c>
      <c r="F7559" t="s">
        <v>17327</v>
      </c>
      <c r="G7559" t="s">
        <v>27668</v>
      </c>
    </row>
    <row r="7560" spans="1:7">
      <c r="A7560" t="s">
        <v>34142</v>
      </c>
      <c r="B7560" t="s">
        <v>8626</v>
      </c>
      <c r="F7560" t="s">
        <v>18705</v>
      </c>
      <c r="G7560" t="s">
        <v>34143</v>
      </c>
    </row>
    <row r="7561" spans="1:7">
      <c r="A7561" t="s">
        <v>34144</v>
      </c>
      <c r="B7561" t="s">
        <v>8607</v>
      </c>
      <c r="G7561" t="s">
        <v>18684</v>
      </c>
    </row>
    <row r="7562" spans="1:7">
      <c r="A7562" t="s">
        <v>34145</v>
      </c>
      <c r="B7562" t="s">
        <v>8607</v>
      </c>
      <c r="G7562" t="s">
        <v>34146</v>
      </c>
    </row>
    <row r="7563" spans="1:7">
      <c r="A7563" t="s">
        <v>34147</v>
      </c>
      <c r="B7563" t="s">
        <v>8607</v>
      </c>
      <c r="F7563" t="s">
        <v>17790</v>
      </c>
      <c r="G7563" t="s">
        <v>34148</v>
      </c>
    </row>
    <row r="7564" spans="1:7">
      <c r="A7564" t="s">
        <v>34149</v>
      </c>
      <c r="B7564" t="s">
        <v>8607</v>
      </c>
      <c r="G7564" t="s">
        <v>34150</v>
      </c>
    </row>
    <row r="7565" spans="1:7">
      <c r="A7565" t="s">
        <v>34151</v>
      </c>
      <c r="B7565" t="s">
        <v>8607</v>
      </c>
      <c r="G7565" t="s">
        <v>34152</v>
      </c>
    </row>
    <row r="7566" spans="1:7">
      <c r="A7566" t="s">
        <v>34153</v>
      </c>
      <c r="B7566" t="s">
        <v>8607</v>
      </c>
      <c r="G7566" t="s">
        <v>23878</v>
      </c>
    </row>
    <row r="7567" spans="1:7">
      <c r="A7567" t="s">
        <v>34154</v>
      </c>
      <c r="B7567" t="s">
        <v>8607</v>
      </c>
      <c r="F7567" t="s">
        <v>34155</v>
      </c>
      <c r="G7567" t="s">
        <v>34156</v>
      </c>
    </row>
    <row r="7568" spans="1:7">
      <c r="A7568" t="s">
        <v>34157</v>
      </c>
      <c r="B7568" t="s">
        <v>8607</v>
      </c>
      <c r="F7568" t="s">
        <v>8623</v>
      </c>
      <c r="G7568" t="s">
        <v>28428</v>
      </c>
    </row>
    <row r="7569" spans="1:7">
      <c r="A7569" t="s">
        <v>34158</v>
      </c>
      <c r="B7569" t="s">
        <v>8626</v>
      </c>
      <c r="G7569" t="s">
        <v>18973</v>
      </c>
    </row>
    <row r="7570" spans="1:7">
      <c r="A7570" t="s">
        <v>34159</v>
      </c>
      <c r="B7570" t="s">
        <v>8626</v>
      </c>
      <c r="F7570" t="s">
        <v>26268</v>
      </c>
      <c r="G7570" t="s">
        <v>34160</v>
      </c>
    </row>
    <row r="7571" spans="1:7">
      <c r="A7571" t="s">
        <v>34161</v>
      </c>
      <c r="B7571" t="s">
        <v>8607</v>
      </c>
      <c r="G7571" t="s">
        <v>30737</v>
      </c>
    </row>
    <row r="7572" spans="1:7">
      <c r="A7572" t="s">
        <v>34162</v>
      </c>
      <c r="B7572" t="s">
        <v>8607</v>
      </c>
      <c r="G7572" t="s">
        <v>26789</v>
      </c>
    </row>
    <row r="7573" spans="1:7">
      <c r="A7573" t="s">
        <v>34163</v>
      </c>
      <c r="B7573" t="s">
        <v>8607</v>
      </c>
      <c r="G7573" t="s">
        <v>26794</v>
      </c>
    </row>
    <row r="7574" spans="1:7">
      <c r="A7574" t="s">
        <v>34164</v>
      </c>
      <c r="B7574" t="s">
        <v>8607</v>
      </c>
      <c r="F7574" t="s">
        <v>34165</v>
      </c>
      <c r="G7574" t="s">
        <v>34166</v>
      </c>
    </row>
    <row r="7575" spans="1:7">
      <c r="A7575" t="s">
        <v>34167</v>
      </c>
      <c r="B7575" t="s">
        <v>8607</v>
      </c>
      <c r="F7575" t="s">
        <v>34168</v>
      </c>
      <c r="G7575" t="s">
        <v>34169</v>
      </c>
    </row>
    <row r="7576" spans="1:7">
      <c r="A7576" t="s">
        <v>34170</v>
      </c>
      <c r="B7576" t="s">
        <v>8607</v>
      </c>
      <c r="F7576" t="s">
        <v>34171</v>
      </c>
      <c r="G7576" t="s">
        <v>34172</v>
      </c>
    </row>
    <row r="7577" spans="1:7">
      <c r="A7577" t="s">
        <v>34173</v>
      </c>
      <c r="B7577" t="s">
        <v>8626</v>
      </c>
      <c r="G7577" t="s">
        <v>34174</v>
      </c>
    </row>
    <row r="7578" spans="1:7">
      <c r="A7578" t="s">
        <v>34175</v>
      </c>
      <c r="B7578" t="s">
        <v>8607</v>
      </c>
      <c r="F7578" t="s">
        <v>34176</v>
      </c>
      <c r="G7578" t="s">
        <v>34177</v>
      </c>
    </row>
    <row r="7579" spans="1:7">
      <c r="A7579" t="s">
        <v>34178</v>
      </c>
      <c r="B7579" t="s">
        <v>8607</v>
      </c>
      <c r="F7579" t="s">
        <v>33871</v>
      </c>
      <c r="G7579" t="s">
        <v>34179</v>
      </c>
    </row>
    <row r="7580" spans="1:7">
      <c r="A7580" t="s">
        <v>34180</v>
      </c>
      <c r="B7580" t="s">
        <v>8607</v>
      </c>
      <c r="F7580" t="s">
        <v>34181</v>
      </c>
      <c r="G7580" t="s">
        <v>34182</v>
      </c>
    </row>
    <row r="7581" spans="1:7">
      <c r="A7581" t="s">
        <v>34183</v>
      </c>
      <c r="B7581" t="s">
        <v>8607</v>
      </c>
      <c r="F7581" t="s">
        <v>34184</v>
      </c>
      <c r="G7581" t="s">
        <v>34185</v>
      </c>
    </row>
    <row r="7582" spans="1:7">
      <c r="A7582" t="s">
        <v>34186</v>
      </c>
      <c r="G7582" t="s">
        <v>34187</v>
      </c>
    </row>
    <row r="7583" spans="1:7">
      <c r="A7583" t="s">
        <v>34188</v>
      </c>
      <c r="B7583" t="s">
        <v>8607</v>
      </c>
      <c r="F7583" t="s">
        <v>24708</v>
      </c>
      <c r="G7583" t="s">
        <v>24709</v>
      </c>
    </row>
    <row r="7584" spans="1:7">
      <c r="A7584" t="s">
        <v>34189</v>
      </c>
      <c r="G7584" t="s">
        <v>34190</v>
      </c>
    </row>
    <row r="7585" spans="1:7">
      <c r="A7585" t="s">
        <v>34191</v>
      </c>
      <c r="B7585" t="s">
        <v>8626</v>
      </c>
      <c r="G7585" t="s">
        <v>34192</v>
      </c>
    </row>
    <row r="7586" spans="1:7">
      <c r="A7586" t="s">
        <v>34193</v>
      </c>
      <c r="B7586" t="s">
        <v>8626</v>
      </c>
      <c r="F7586" t="s">
        <v>27930</v>
      </c>
      <c r="G7586" t="s">
        <v>34194</v>
      </c>
    </row>
    <row r="7587" spans="1:7">
      <c r="A7587" t="s">
        <v>34195</v>
      </c>
      <c r="B7587" t="s">
        <v>8607</v>
      </c>
      <c r="G7587" t="s">
        <v>34196</v>
      </c>
    </row>
    <row r="7588" spans="1:7">
      <c r="A7588" t="s">
        <v>34197</v>
      </c>
      <c r="B7588" t="s">
        <v>8607</v>
      </c>
      <c r="G7588" t="s">
        <v>34198</v>
      </c>
    </row>
    <row r="7589" spans="1:7">
      <c r="A7589" t="s">
        <v>34199</v>
      </c>
      <c r="B7589" t="s">
        <v>8626</v>
      </c>
      <c r="C7589" t="s">
        <v>26508</v>
      </c>
      <c r="F7589" t="s">
        <v>34200</v>
      </c>
      <c r="G7589" t="s">
        <v>34201</v>
      </c>
    </row>
    <row r="7590" spans="1:7">
      <c r="A7590" t="s">
        <v>34202</v>
      </c>
      <c r="B7590" t="s">
        <v>8607</v>
      </c>
      <c r="F7590" t="s">
        <v>27167</v>
      </c>
      <c r="G7590" t="s">
        <v>34203</v>
      </c>
    </row>
    <row r="7591" spans="1:7">
      <c r="A7591" t="s">
        <v>34204</v>
      </c>
      <c r="B7591" t="s">
        <v>8607</v>
      </c>
      <c r="F7591" t="s">
        <v>31633</v>
      </c>
      <c r="G7591" t="s">
        <v>34205</v>
      </c>
    </row>
    <row r="7592" spans="1:7">
      <c r="A7592" t="s">
        <v>34206</v>
      </c>
      <c r="B7592" t="s">
        <v>8626</v>
      </c>
      <c r="F7592" t="s">
        <v>17741</v>
      </c>
      <c r="G7592" t="s">
        <v>34207</v>
      </c>
    </row>
    <row r="7593" spans="1:7">
      <c r="A7593" t="s">
        <v>34208</v>
      </c>
      <c r="B7593" t="s">
        <v>8626</v>
      </c>
      <c r="F7593" t="s">
        <v>8623</v>
      </c>
      <c r="G7593" t="s">
        <v>34209</v>
      </c>
    </row>
    <row r="7594" spans="1:7">
      <c r="A7594" t="s">
        <v>34210</v>
      </c>
      <c r="B7594" t="s">
        <v>8607</v>
      </c>
      <c r="F7594" t="s">
        <v>26550</v>
      </c>
      <c r="G7594" t="s">
        <v>26551</v>
      </c>
    </row>
    <row r="7595" spans="1:7">
      <c r="A7595" t="s">
        <v>34211</v>
      </c>
      <c r="B7595" t="s">
        <v>8607</v>
      </c>
      <c r="F7595" t="s">
        <v>34212</v>
      </c>
      <c r="G7595" t="s">
        <v>34213</v>
      </c>
    </row>
    <row r="7596" spans="1:7">
      <c r="A7596" t="s">
        <v>34214</v>
      </c>
      <c r="B7596" t="s">
        <v>8626</v>
      </c>
      <c r="F7596" t="s">
        <v>34215</v>
      </c>
      <c r="G7596" t="s">
        <v>34216</v>
      </c>
    </row>
    <row r="7597" spans="1:7">
      <c r="A7597" t="s">
        <v>34217</v>
      </c>
      <c r="B7597" t="s">
        <v>8607</v>
      </c>
      <c r="F7597" t="s">
        <v>27160</v>
      </c>
      <c r="G7597" t="s">
        <v>34218</v>
      </c>
    </row>
    <row r="7598" spans="1:7">
      <c r="A7598" t="s">
        <v>34219</v>
      </c>
      <c r="B7598" t="s">
        <v>8626</v>
      </c>
      <c r="G7598" t="s">
        <v>34220</v>
      </c>
    </row>
    <row r="7599" spans="1:7">
      <c r="A7599" t="s">
        <v>34221</v>
      </c>
      <c r="B7599" t="s">
        <v>8607</v>
      </c>
      <c r="C7599" t="s">
        <v>27163</v>
      </c>
      <c r="F7599" t="s">
        <v>27164</v>
      </c>
      <c r="G7599" t="s">
        <v>27165</v>
      </c>
    </row>
    <row r="7600" spans="1:7">
      <c r="A7600" t="s">
        <v>34222</v>
      </c>
      <c r="B7600" t="s">
        <v>8607</v>
      </c>
      <c r="C7600" t="s">
        <v>10675</v>
      </c>
      <c r="F7600" t="s">
        <v>10676</v>
      </c>
      <c r="G7600" t="s">
        <v>31642</v>
      </c>
    </row>
    <row r="7601" spans="1:7">
      <c r="A7601" t="s">
        <v>34223</v>
      </c>
      <c r="B7601" t="s">
        <v>8607</v>
      </c>
      <c r="C7601" t="s">
        <v>20166</v>
      </c>
      <c r="F7601" t="s">
        <v>12862</v>
      </c>
      <c r="G7601" t="s">
        <v>34224</v>
      </c>
    </row>
    <row r="7602" spans="1:7">
      <c r="A7602" t="s">
        <v>34225</v>
      </c>
      <c r="B7602" t="s">
        <v>8607</v>
      </c>
      <c r="C7602" t="s">
        <v>31168</v>
      </c>
      <c r="F7602" t="s">
        <v>26173</v>
      </c>
      <c r="G7602" t="s">
        <v>34226</v>
      </c>
    </row>
    <row r="7603" spans="1:7">
      <c r="A7603" t="s">
        <v>34227</v>
      </c>
      <c r="G7603" t="s">
        <v>34228</v>
      </c>
    </row>
    <row r="7604" spans="1:7">
      <c r="A7604" t="s">
        <v>34229</v>
      </c>
      <c r="B7604" t="s">
        <v>8607</v>
      </c>
      <c r="G7604" t="s">
        <v>34230</v>
      </c>
    </row>
    <row r="7605" spans="1:7">
      <c r="A7605" t="s">
        <v>34231</v>
      </c>
      <c r="B7605" t="s">
        <v>8607</v>
      </c>
      <c r="F7605" t="s">
        <v>9835</v>
      </c>
      <c r="G7605" t="s">
        <v>33980</v>
      </c>
    </row>
    <row r="7606" spans="1:7">
      <c r="A7606" t="s">
        <v>34232</v>
      </c>
      <c r="B7606" t="s">
        <v>8607</v>
      </c>
      <c r="F7606" t="s">
        <v>33965</v>
      </c>
      <c r="G7606" t="s">
        <v>33982</v>
      </c>
    </row>
    <row r="7607" spans="1:7">
      <c r="A7607" t="s">
        <v>34233</v>
      </c>
      <c r="B7607" t="s">
        <v>8607</v>
      </c>
      <c r="F7607" t="s">
        <v>18667</v>
      </c>
      <c r="G7607" t="s">
        <v>28783</v>
      </c>
    </row>
    <row r="7608" spans="1:7">
      <c r="A7608" t="s">
        <v>34234</v>
      </c>
      <c r="B7608" t="s">
        <v>8607</v>
      </c>
      <c r="G7608" t="s">
        <v>34235</v>
      </c>
    </row>
    <row r="7609" spans="1:7">
      <c r="A7609" t="s">
        <v>34236</v>
      </c>
      <c r="G7609" t="s">
        <v>34237</v>
      </c>
    </row>
    <row r="7610" spans="1:7">
      <c r="A7610" t="s">
        <v>34238</v>
      </c>
      <c r="G7610" t="s">
        <v>34239</v>
      </c>
    </row>
    <row r="7611" spans="1:7">
      <c r="A7611" t="s">
        <v>34240</v>
      </c>
      <c r="B7611" t="s">
        <v>8607</v>
      </c>
      <c r="G7611" t="s">
        <v>33987</v>
      </c>
    </row>
    <row r="7612" spans="1:7">
      <c r="A7612" t="s">
        <v>34241</v>
      </c>
      <c r="B7612" t="s">
        <v>8607</v>
      </c>
      <c r="F7612" t="s">
        <v>17830</v>
      </c>
      <c r="G7612" t="s">
        <v>33989</v>
      </c>
    </row>
    <row r="7613" spans="1:7">
      <c r="A7613" t="s">
        <v>34242</v>
      </c>
      <c r="B7613" t="s">
        <v>8607</v>
      </c>
      <c r="G7613" t="s">
        <v>33991</v>
      </c>
    </row>
    <row r="7614" spans="1:7">
      <c r="A7614" t="s">
        <v>34243</v>
      </c>
      <c r="B7614" t="s">
        <v>8607</v>
      </c>
      <c r="F7614" t="s">
        <v>24930</v>
      </c>
      <c r="G7614" t="s">
        <v>30759</v>
      </c>
    </row>
    <row r="7615" spans="1:7">
      <c r="A7615" t="s">
        <v>34244</v>
      </c>
      <c r="B7615" t="s">
        <v>8626</v>
      </c>
      <c r="G7615" t="s">
        <v>30761</v>
      </c>
    </row>
    <row r="7616" spans="1:7">
      <c r="A7616" t="s">
        <v>34245</v>
      </c>
      <c r="B7616" t="s">
        <v>8607</v>
      </c>
      <c r="F7616" t="s">
        <v>27646</v>
      </c>
      <c r="G7616" t="s">
        <v>33559</v>
      </c>
    </row>
    <row r="7617" spans="1:7">
      <c r="A7617" t="s">
        <v>34246</v>
      </c>
      <c r="B7617" t="s">
        <v>8607</v>
      </c>
      <c r="F7617" t="s">
        <v>27649</v>
      </c>
      <c r="G7617" t="s">
        <v>30938</v>
      </c>
    </row>
    <row r="7618" spans="1:7">
      <c r="A7618" t="s">
        <v>34247</v>
      </c>
      <c r="B7618" t="s">
        <v>8607</v>
      </c>
      <c r="G7618" t="s">
        <v>32409</v>
      </c>
    </row>
    <row r="7619" spans="1:7">
      <c r="A7619" t="s">
        <v>34248</v>
      </c>
      <c r="B7619" t="s">
        <v>8607</v>
      </c>
      <c r="C7619" t="s">
        <v>26850</v>
      </c>
      <c r="F7619" t="s">
        <v>26176</v>
      </c>
      <c r="G7619" t="s">
        <v>28468</v>
      </c>
    </row>
    <row r="7620" spans="1:7">
      <c r="A7620" t="s">
        <v>34249</v>
      </c>
      <c r="B7620" t="s">
        <v>8607</v>
      </c>
      <c r="F7620" t="s">
        <v>25301</v>
      </c>
      <c r="G7620" t="s">
        <v>28459</v>
      </c>
    </row>
    <row r="7621" spans="1:7">
      <c r="A7621" t="s">
        <v>34250</v>
      </c>
      <c r="B7621" t="s">
        <v>8607</v>
      </c>
      <c r="F7621" t="s">
        <v>34251</v>
      </c>
      <c r="G7621" t="s">
        <v>34252</v>
      </c>
    </row>
    <row r="7622" spans="1:7">
      <c r="A7622" t="s">
        <v>34253</v>
      </c>
      <c r="B7622" t="s">
        <v>8607</v>
      </c>
      <c r="F7622" t="s">
        <v>30525</v>
      </c>
      <c r="G7622" t="s">
        <v>31459</v>
      </c>
    </row>
    <row r="7623" spans="1:7">
      <c r="A7623" t="s">
        <v>34254</v>
      </c>
      <c r="B7623" t="s">
        <v>8607</v>
      </c>
      <c r="F7623" t="s">
        <v>9018</v>
      </c>
      <c r="G7623" t="s">
        <v>34255</v>
      </c>
    </row>
    <row r="7624" spans="1:7">
      <c r="A7624" t="s">
        <v>34256</v>
      </c>
      <c r="B7624" t="s">
        <v>8607</v>
      </c>
      <c r="C7624" t="s">
        <v>30652</v>
      </c>
      <c r="F7624" t="s">
        <v>28637</v>
      </c>
      <c r="G7624" t="s">
        <v>34257</v>
      </c>
    </row>
    <row r="7625" spans="1:7">
      <c r="A7625" t="s">
        <v>34258</v>
      </c>
      <c r="B7625" t="s">
        <v>8626</v>
      </c>
      <c r="F7625" t="s">
        <v>30671</v>
      </c>
      <c r="G7625" t="s">
        <v>34259</v>
      </c>
    </row>
    <row r="7626" spans="1:7">
      <c r="A7626" t="s">
        <v>34260</v>
      </c>
      <c r="B7626" t="s">
        <v>8607</v>
      </c>
      <c r="F7626" t="s">
        <v>34261</v>
      </c>
      <c r="G7626" t="s">
        <v>34262</v>
      </c>
    </row>
    <row r="7627" spans="1:7">
      <c r="A7627" t="s">
        <v>34263</v>
      </c>
      <c r="B7627" t="s">
        <v>8607</v>
      </c>
      <c r="F7627" t="s">
        <v>34264</v>
      </c>
      <c r="G7627" t="s">
        <v>34265</v>
      </c>
    </row>
    <row r="7628" spans="1:7">
      <c r="A7628" t="s">
        <v>34266</v>
      </c>
      <c r="B7628" t="s">
        <v>8607</v>
      </c>
      <c r="G7628" t="s">
        <v>33786</v>
      </c>
    </row>
    <row r="7629" spans="1:7">
      <c r="A7629" t="s">
        <v>34267</v>
      </c>
      <c r="B7629" t="s">
        <v>8607</v>
      </c>
      <c r="F7629" t="s">
        <v>9018</v>
      </c>
      <c r="G7629" t="s">
        <v>34268</v>
      </c>
    </row>
    <row r="7630" spans="1:7">
      <c r="A7630" t="s">
        <v>34269</v>
      </c>
      <c r="B7630" t="s">
        <v>8607</v>
      </c>
      <c r="G7630" t="s">
        <v>34270</v>
      </c>
    </row>
    <row r="7631" spans="1:7">
      <c r="A7631" t="s">
        <v>34271</v>
      </c>
      <c r="B7631" t="s">
        <v>8607</v>
      </c>
      <c r="F7631" t="s">
        <v>28798</v>
      </c>
      <c r="G7631" t="s">
        <v>34272</v>
      </c>
    </row>
    <row r="7632" spans="1:7">
      <c r="A7632" t="s">
        <v>34273</v>
      </c>
      <c r="B7632" t="s">
        <v>8607</v>
      </c>
      <c r="F7632" t="s">
        <v>34274</v>
      </c>
      <c r="G7632" t="s">
        <v>34275</v>
      </c>
    </row>
    <row r="7633" spans="1:7">
      <c r="A7633" t="s">
        <v>34276</v>
      </c>
      <c r="B7633" t="s">
        <v>8607</v>
      </c>
      <c r="G7633" t="s">
        <v>33788</v>
      </c>
    </row>
    <row r="7634" spans="1:7">
      <c r="A7634" t="s">
        <v>34277</v>
      </c>
      <c r="G7634" t="s">
        <v>34278</v>
      </c>
    </row>
    <row r="7635" spans="1:7">
      <c r="A7635" t="s">
        <v>34279</v>
      </c>
      <c r="B7635" t="s">
        <v>8607</v>
      </c>
      <c r="F7635" t="s">
        <v>26104</v>
      </c>
      <c r="G7635" t="s">
        <v>34033</v>
      </c>
    </row>
    <row r="7636" spans="1:7">
      <c r="A7636" t="s">
        <v>34280</v>
      </c>
      <c r="B7636" t="s">
        <v>8607</v>
      </c>
      <c r="F7636" t="s">
        <v>30455</v>
      </c>
      <c r="G7636" t="s">
        <v>34281</v>
      </c>
    </row>
    <row r="7637" spans="1:7">
      <c r="A7637" t="s">
        <v>34282</v>
      </c>
      <c r="B7637" t="s">
        <v>8607</v>
      </c>
      <c r="F7637" t="s">
        <v>31069</v>
      </c>
      <c r="G7637" t="s">
        <v>34283</v>
      </c>
    </row>
    <row r="7638" spans="1:7">
      <c r="A7638" t="s">
        <v>34284</v>
      </c>
      <c r="B7638" t="s">
        <v>8607</v>
      </c>
      <c r="F7638" t="s">
        <v>20201</v>
      </c>
      <c r="G7638" t="s">
        <v>34285</v>
      </c>
    </row>
    <row r="7639" spans="1:7">
      <c r="A7639" t="s">
        <v>34286</v>
      </c>
      <c r="B7639" t="s">
        <v>8626</v>
      </c>
      <c r="F7639" t="s">
        <v>28207</v>
      </c>
      <c r="G7639" t="s">
        <v>34287</v>
      </c>
    </row>
    <row r="7640" spans="1:7">
      <c r="A7640" t="s">
        <v>34288</v>
      </c>
      <c r="B7640" t="s">
        <v>8607</v>
      </c>
      <c r="F7640" t="s">
        <v>20412</v>
      </c>
      <c r="G7640" t="s">
        <v>34289</v>
      </c>
    </row>
    <row r="7641" spans="1:7">
      <c r="A7641" t="s">
        <v>34290</v>
      </c>
      <c r="B7641" t="s">
        <v>8626</v>
      </c>
      <c r="F7641" t="s">
        <v>30365</v>
      </c>
      <c r="G7641" t="s">
        <v>34291</v>
      </c>
    </row>
    <row r="7642" spans="1:7">
      <c r="A7642" t="s">
        <v>34292</v>
      </c>
      <c r="G7642" t="s">
        <v>34293</v>
      </c>
    </row>
    <row r="7643" spans="1:7">
      <c r="A7643" t="s">
        <v>34294</v>
      </c>
      <c r="B7643" t="s">
        <v>8607</v>
      </c>
      <c r="F7643" t="s">
        <v>17932</v>
      </c>
      <c r="G7643" t="s">
        <v>34295</v>
      </c>
    </row>
    <row r="7644" spans="1:7">
      <c r="A7644" t="s">
        <v>34296</v>
      </c>
      <c r="B7644" t="s">
        <v>8607</v>
      </c>
      <c r="F7644" t="s">
        <v>34052</v>
      </c>
      <c r="G7644" t="s">
        <v>34297</v>
      </c>
    </row>
    <row r="7645" spans="1:7">
      <c r="A7645" t="s">
        <v>34298</v>
      </c>
      <c r="B7645" t="s">
        <v>8607</v>
      </c>
      <c r="F7645" t="s">
        <v>30125</v>
      </c>
      <c r="G7645" t="s">
        <v>34299</v>
      </c>
    </row>
    <row r="7646" spans="1:7">
      <c r="A7646" t="s">
        <v>34300</v>
      </c>
      <c r="B7646" t="s">
        <v>8607</v>
      </c>
      <c r="F7646" t="s">
        <v>30553</v>
      </c>
      <c r="G7646" t="s">
        <v>34301</v>
      </c>
    </row>
    <row r="7647" spans="1:7">
      <c r="A7647" t="s">
        <v>34302</v>
      </c>
      <c r="B7647" t="s">
        <v>8607</v>
      </c>
      <c r="F7647" t="s">
        <v>26555</v>
      </c>
      <c r="G7647" t="s">
        <v>34059</v>
      </c>
    </row>
    <row r="7648" spans="1:7">
      <c r="A7648" t="s">
        <v>34303</v>
      </c>
      <c r="B7648" t="s">
        <v>8607</v>
      </c>
      <c r="F7648" t="s">
        <v>26558</v>
      </c>
      <c r="G7648" t="s">
        <v>34304</v>
      </c>
    </row>
    <row r="7649" spans="1:7">
      <c r="A7649" t="s">
        <v>34305</v>
      </c>
      <c r="B7649" t="s">
        <v>8607</v>
      </c>
      <c r="F7649" t="s">
        <v>34063</v>
      </c>
      <c r="G7649" t="s">
        <v>34306</v>
      </c>
    </row>
    <row r="7650" spans="1:7">
      <c r="A7650" t="s">
        <v>34307</v>
      </c>
      <c r="B7650" t="s">
        <v>8607</v>
      </c>
      <c r="F7650" t="s">
        <v>27323</v>
      </c>
      <c r="G7650" t="s">
        <v>34308</v>
      </c>
    </row>
    <row r="7651" spans="1:7">
      <c r="A7651" t="s">
        <v>34309</v>
      </c>
      <c r="B7651" t="s">
        <v>8607</v>
      </c>
      <c r="F7651" t="s">
        <v>30403</v>
      </c>
      <c r="G7651" t="s">
        <v>34310</v>
      </c>
    </row>
    <row r="7652" spans="1:7">
      <c r="A7652" t="s">
        <v>34311</v>
      </c>
      <c r="B7652" t="s">
        <v>8607</v>
      </c>
      <c r="F7652" t="s">
        <v>27969</v>
      </c>
      <c r="G7652" t="s">
        <v>34312</v>
      </c>
    </row>
    <row r="7653" spans="1:7">
      <c r="A7653" t="s">
        <v>34313</v>
      </c>
      <c r="B7653" t="s">
        <v>8607</v>
      </c>
      <c r="F7653" t="s">
        <v>26024</v>
      </c>
      <c r="G7653" t="s">
        <v>34314</v>
      </c>
    </row>
    <row r="7654" spans="1:7">
      <c r="A7654" t="s">
        <v>34315</v>
      </c>
      <c r="B7654" t="s">
        <v>8607</v>
      </c>
      <c r="F7654" t="s">
        <v>29430</v>
      </c>
      <c r="G7654" t="s">
        <v>34074</v>
      </c>
    </row>
    <row r="7655" spans="1:7">
      <c r="A7655" t="s">
        <v>34316</v>
      </c>
      <c r="B7655" t="s">
        <v>8607</v>
      </c>
      <c r="F7655" t="s">
        <v>29430</v>
      </c>
      <c r="G7655" t="s">
        <v>34317</v>
      </c>
    </row>
    <row r="7656" spans="1:7">
      <c r="A7656" t="s">
        <v>34318</v>
      </c>
      <c r="B7656" t="s">
        <v>8607</v>
      </c>
      <c r="F7656" t="s">
        <v>26654</v>
      </c>
      <c r="G7656" t="s">
        <v>34319</v>
      </c>
    </row>
    <row r="7657" spans="1:7">
      <c r="A7657" t="s">
        <v>34320</v>
      </c>
      <c r="B7657" t="s">
        <v>8626</v>
      </c>
      <c r="F7657" t="s">
        <v>18705</v>
      </c>
      <c r="G7657" t="s">
        <v>34321</v>
      </c>
    </row>
    <row r="7658" spans="1:7">
      <c r="A7658" t="s">
        <v>34322</v>
      </c>
      <c r="B7658" t="s">
        <v>8607</v>
      </c>
      <c r="C7658" t="s">
        <v>28882</v>
      </c>
      <c r="F7658" t="s">
        <v>17932</v>
      </c>
      <c r="G7658" t="s">
        <v>34323</v>
      </c>
    </row>
    <row r="7659" spans="1:7">
      <c r="A7659" t="s">
        <v>34324</v>
      </c>
      <c r="B7659" t="s">
        <v>8626</v>
      </c>
      <c r="C7659" t="s">
        <v>26850</v>
      </c>
      <c r="F7659" t="s">
        <v>26176</v>
      </c>
      <c r="G7659" t="s">
        <v>34325</v>
      </c>
    </row>
    <row r="7660" spans="1:7">
      <c r="A7660" t="s">
        <v>34326</v>
      </c>
      <c r="B7660" t="s">
        <v>8607</v>
      </c>
      <c r="F7660" t="s">
        <v>17643</v>
      </c>
      <c r="G7660" t="s">
        <v>34327</v>
      </c>
    </row>
    <row r="7661" spans="1:7">
      <c r="A7661" t="s">
        <v>34328</v>
      </c>
      <c r="B7661" t="s">
        <v>8607</v>
      </c>
      <c r="F7661" t="s">
        <v>27391</v>
      </c>
      <c r="G7661" t="s">
        <v>27392</v>
      </c>
    </row>
    <row r="7662" spans="1:7">
      <c r="A7662" t="s">
        <v>34329</v>
      </c>
      <c r="B7662" t="s">
        <v>8607</v>
      </c>
      <c r="G7662" t="s">
        <v>34330</v>
      </c>
    </row>
    <row r="7663" spans="1:7">
      <c r="A7663" t="s">
        <v>34331</v>
      </c>
      <c r="B7663" t="s">
        <v>8607</v>
      </c>
      <c r="G7663" t="s">
        <v>34332</v>
      </c>
    </row>
    <row r="7664" spans="1:7">
      <c r="A7664" t="s">
        <v>34333</v>
      </c>
      <c r="B7664" t="s">
        <v>8607</v>
      </c>
      <c r="C7664" t="s">
        <v>30310</v>
      </c>
      <c r="F7664" t="s">
        <v>26207</v>
      </c>
      <c r="G7664" t="s">
        <v>34334</v>
      </c>
    </row>
    <row r="7665" spans="1:7">
      <c r="A7665" t="s">
        <v>34335</v>
      </c>
      <c r="B7665" t="s">
        <v>8607</v>
      </c>
      <c r="F7665" t="s">
        <v>26417</v>
      </c>
      <c r="G7665" t="s">
        <v>34336</v>
      </c>
    </row>
    <row r="7666" spans="1:7">
      <c r="A7666" t="s">
        <v>34337</v>
      </c>
      <c r="B7666" t="s">
        <v>8607</v>
      </c>
      <c r="F7666" t="s">
        <v>31152</v>
      </c>
      <c r="G7666" t="s">
        <v>34338</v>
      </c>
    </row>
    <row r="7667" spans="1:7">
      <c r="A7667" t="s">
        <v>34339</v>
      </c>
      <c r="B7667" t="s">
        <v>8607</v>
      </c>
      <c r="F7667" t="s">
        <v>34340</v>
      </c>
      <c r="G7667" t="s">
        <v>34341</v>
      </c>
    </row>
    <row r="7668" spans="1:7">
      <c r="A7668" t="s">
        <v>34342</v>
      </c>
      <c r="B7668" t="s">
        <v>8607</v>
      </c>
      <c r="F7668" t="s">
        <v>26425</v>
      </c>
      <c r="G7668" t="s">
        <v>34343</v>
      </c>
    </row>
    <row r="7669" spans="1:7">
      <c r="A7669" t="s">
        <v>34344</v>
      </c>
      <c r="B7669" t="s">
        <v>8607</v>
      </c>
      <c r="F7669" t="s">
        <v>20186</v>
      </c>
      <c r="G7669" t="s">
        <v>34345</v>
      </c>
    </row>
    <row r="7670" spans="1:7">
      <c r="A7670" t="s">
        <v>34346</v>
      </c>
      <c r="B7670" t="s">
        <v>8607</v>
      </c>
      <c r="G7670" t="s">
        <v>34347</v>
      </c>
    </row>
    <row r="7671" spans="1:7">
      <c r="A7671" t="s">
        <v>34348</v>
      </c>
      <c r="B7671" t="s">
        <v>8607</v>
      </c>
      <c r="G7671" t="s">
        <v>34349</v>
      </c>
    </row>
    <row r="7672" spans="1:7">
      <c r="A7672" t="s">
        <v>34350</v>
      </c>
      <c r="B7672" t="s">
        <v>8626</v>
      </c>
      <c r="F7672" t="s">
        <v>34351</v>
      </c>
      <c r="G7672" t="s">
        <v>34352</v>
      </c>
    </row>
    <row r="7673" spans="1:7">
      <c r="A7673" t="s">
        <v>34353</v>
      </c>
      <c r="B7673" t="s">
        <v>8607</v>
      </c>
      <c r="G7673" t="s">
        <v>34354</v>
      </c>
    </row>
    <row r="7674" spans="1:7">
      <c r="A7674" t="s">
        <v>34355</v>
      </c>
      <c r="B7674" t="s">
        <v>8607</v>
      </c>
      <c r="C7674" t="s">
        <v>21506</v>
      </c>
      <c r="F7674" t="s">
        <v>17790</v>
      </c>
      <c r="G7674" t="s">
        <v>34356</v>
      </c>
    </row>
    <row r="7675" spans="1:7">
      <c r="A7675" t="s">
        <v>34357</v>
      </c>
      <c r="B7675" t="s">
        <v>8607</v>
      </c>
      <c r="F7675" t="s">
        <v>17327</v>
      </c>
      <c r="G7675" t="s">
        <v>34358</v>
      </c>
    </row>
    <row r="7676" spans="1:7">
      <c r="A7676" t="s">
        <v>34359</v>
      </c>
      <c r="B7676" t="s">
        <v>8607</v>
      </c>
      <c r="F7676" t="s">
        <v>28018</v>
      </c>
      <c r="G7676" t="s">
        <v>34360</v>
      </c>
    </row>
    <row r="7677" spans="1:7">
      <c r="A7677" t="s">
        <v>34361</v>
      </c>
      <c r="B7677" t="s">
        <v>8607</v>
      </c>
      <c r="F7677" t="s">
        <v>27455</v>
      </c>
      <c r="G7677" t="s">
        <v>34362</v>
      </c>
    </row>
    <row r="7678" spans="1:7">
      <c r="A7678" t="s">
        <v>34363</v>
      </c>
      <c r="B7678" t="s">
        <v>8607</v>
      </c>
      <c r="F7678" t="s">
        <v>27458</v>
      </c>
      <c r="G7678" t="s">
        <v>27459</v>
      </c>
    </row>
    <row r="7679" spans="1:7">
      <c r="A7679" t="s">
        <v>34364</v>
      </c>
      <c r="B7679" t="s">
        <v>8607</v>
      </c>
      <c r="F7679" t="s">
        <v>27462</v>
      </c>
      <c r="G7679" t="s">
        <v>27463</v>
      </c>
    </row>
    <row r="7680" spans="1:7">
      <c r="A7680" t="s">
        <v>34365</v>
      </c>
      <c r="B7680" t="s">
        <v>8607</v>
      </c>
      <c r="F7680" t="s">
        <v>28004</v>
      </c>
      <c r="G7680" t="s">
        <v>28005</v>
      </c>
    </row>
    <row r="7681" spans="1:7">
      <c r="A7681" t="s">
        <v>34366</v>
      </c>
      <c r="B7681" t="s">
        <v>8607</v>
      </c>
      <c r="F7681" t="s">
        <v>28001</v>
      </c>
      <c r="G7681" t="s">
        <v>34367</v>
      </c>
    </row>
    <row r="7682" spans="1:7">
      <c r="A7682" t="s">
        <v>34368</v>
      </c>
      <c r="B7682" t="s">
        <v>8607</v>
      </c>
      <c r="F7682" t="s">
        <v>34369</v>
      </c>
      <c r="G7682" t="s">
        <v>34370</v>
      </c>
    </row>
    <row r="7683" spans="1:7">
      <c r="A7683" t="s">
        <v>34371</v>
      </c>
      <c r="B7683" t="s">
        <v>8607</v>
      </c>
      <c r="F7683" t="s">
        <v>17760</v>
      </c>
      <c r="G7683" t="s">
        <v>26415</v>
      </c>
    </row>
    <row r="7684" spans="1:7">
      <c r="A7684" t="s">
        <v>34372</v>
      </c>
      <c r="G7684" t="s">
        <v>34373</v>
      </c>
    </row>
    <row r="7685" spans="1:7">
      <c r="A7685" t="s">
        <v>34374</v>
      </c>
      <c r="B7685" t="s">
        <v>8626</v>
      </c>
      <c r="G7685" t="s">
        <v>34375</v>
      </c>
    </row>
    <row r="7686" spans="1:7">
      <c r="A7686" t="s">
        <v>34376</v>
      </c>
      <c r="B7686" t="s">
        <v>8626</v>
      </c>
      <c r="F7686" t="s">
        <v>21832</v>
      </c>
      <c r="G7686" t="s">
        <v>34377</v>
      </c>
    </row>
    <row r="7687" spans="1:7">
      <c r="A7687" t="s">
        <v>34378</v>
      </c>
      <c r="G7687" t="s">
        <v>34379</v>
      </c>
    </row>
    <row r="7688" spans="1:7">
      <c r="A7688" t="s">
        <v>34380</v>
      </c>
      <c r="B7688" t="s">
        <v>8607</v>
      </c>
      <c r="F7688" t="s">
        <v>34381</v>
      </c>
      <c r="G7688" t="s">
        <v>34382</v>
      </c>
    </row>
    <row r="7689" spans="1:7">
      <c r="A7689" t="s">
        <v>34383</v>
      </c>
      <c r="B7689" t="s">
        <v>8607</v>
      </c>
      <c r="G7689" t="s">
        <v>34384</v>
      </c>
    </row>
    <row r="7690" spans="1:7">
      <c r="A7690" t="s">
        <v>34385</v>
      </c>
      <c r="B7690" t="s">
        <v>8626</v>
      </c>
      <c r="F7690" t="s">
        <v>28798</v>
      </c>
      <c r="G7690" t="s">
        <v>34386</v>
      </c>
    </row>
    <row r="7691" spans="1:7">
      <c r="A7691" t="s">
        <v>34387</v>
      </c>
      <c r="B7691" t="s">
        <v>8607</v>
      </c>
      <c r="G7691" t="s">
        <v>34388</v>
      </c>
    </row>
    <row r="7692" spans="1:7">
      <c r="A7692" t="s">
        <v>34389</v>
      </c>
      <c r="B7692" t="s">
        <v>8626</v>
      </c>
      <c r="F7692" t="s">
        <v>30365</v>
      </c>
      <c r="G7692" t="s">
        <v>34390</v>
      </c>
    </row>
    <row r="7693" spans="1:7">
      <c r="A7693" t="s">
        <v>34391</v>
      </c>
      <c r="B7693" t="s">
        <v>8607</v>
      </c>
      <c r="F7693" t="s">
        <v>34392</v>
      </c>
      <c r="G7693" t="s">
        <v>34393</v>
      </c>
    </row>
    <row r="7694" spans="1:7">
      <c r="A7694" t="s">
        <v>34394</v>
      </c>
      <c r="G7694" t="s">
        <v>34395</v>
      </c>
    </row>
    <row r="7695" spans="1:7">
      <c r="A7695" t="s">
        <v>34396</v>
      </c>
      <c r="B7695" t="s">
        <v>8607</v>
      </c>
      <c r="F7695" t="s">
        <v>31237</v>
      </c>
      <c r="G7695" t="s">
        <v>34397</v>
      </c>
    </row>
    <row r="7696" spans="1:7">
      <c r="A7696" t="s">
        <v>34398</v>
      </c>
      <c r="B7696" t="s">
        <v>8607</v>
      </c>
      <c r="F7696" t="s">
        <v>34399</v>
      </c>
      <c r="G7696" t="s">
        <v>34400</v>
      </c>
    </row>
    <row r="7697" spans="1:7">
      <c r="A7697" t="s">
        <v>34401</v>
      </c>
      <c r="B7697" t="s">
        <v>8607</v>
      </c>
      <c r="F7697" t="s">
        <v>34402</v>
      </c>
      <c r="G7697" t="s">
        <v>34403</v>
      </c>
    </row>
    <row r="7698" spans="1:7">
      <c r="A7698" t="s">
        <v>34404</v>
      </c>
      <c r="B7698" t="s">
        <v>8607</v>
      </c>
      <c r="F7698" t="s">
        <v>34402</v>
      </c>
      <c r="G7698" t="s">
        <v>34403</v>
      </c>
    </row>
    <row r="7699" spans="1:7">
      <c r="A7699" t="s">
        <v>34405</v>
      </c>
      <c r="B7699" t="s">
        <v>8607</v>
      </c>
      <c r="G7699" t="s">
        <v>34406</v>
      </c>
    </row>
    <row r="7700" spans="1:7">
      <c r="A7700" t="s">
        <v>34407</v>
      </c>
      <c r="B7700" t="s">
        <v>8626</v>
      </c>
      <c r="G7700" t="s">
        <v>30150</v>
      </c>
    </row>
    <row r="7701" spans="1:7">
      <c r="A7701" t="s">
        <v>34408</v>
      </c>
      <c r="B7701" t="s">
        <v>8626</v>
      </c>
      <c r="G7701" t="s">
        <v>34409</v>
      </c>
    </row>
    <row r="7702" spans="1:7">
      <c r="A7702" t="s">
        <v>34410</v>
      </c>
      <c r="B7702" t="s">
        <v>8626</v>
      </c>
      <c r="F7702" t="s">
        <v>26191</v>
      </c>
      <c r="G7702" t="s">
        <v>34411</v>
      </c>
    </row>
    <row r="7703" spans="1:7">
      <c r="A7703" t="s">
        <v>34412</v>
      </c>
      <c r="B7703" t="s">
        <v>8607</v>
      </c>
      <c r="F7703" t="s">
        <v>34413</v>
      </c>
      <c r="G7703" t="s">
        <v>34414</v>
      </c>
    </row>
    <row r="7704" spans="1:7">
      <c r="A7704" t="s">
        <v>34415</v>
      </c>
      <c r="B7704" t="s">
        <v>8607</v>
      </c>
      <c r="G7704" t="s">
        <v>34416</v>
      </c>
    </row>
    <row r="7705" spans="1:7">
      <c r="A7705" t="s">
        <v>34417</v>
      </c>
      <c r="B7705" t="s">
        <v>8607</v>
      </c>
      <c r="G7705" t="s">
        <v>34418</v>
      </c>
    </row>
    <row r="7706" spans="1:7">
      <c r="A7706" t="s">
        <v>34419</v>
      </c>
      <c r="B7706" t="s">
        <v>8607</v>
      </c>
      <c r="F7706" t="s">
        <v>26474</v>
      </c>
      <c r="G7706" t="s">
        <v>34420</v>
      </c>
    </row>
    <row r="7707" spans="1:7">
      <c r="A7707" t="s">
        <v>34421</v>
      </c>
      <c r="B7707" t="s">
        <v>8607</v>
      </c>
      <c r="F7707" t="s">
        <v>13312</v>
      </c>
      <c r="G7707" t="s">
        <v>34422</v>
      </c>
    </row>
    <row r="7708" spans="1:7">
      <c r="A7708" t="s">
        <v>34423</v>
      </c>
      <c r="B7708" t="s">
        <v>8607</v>
      </c>
      <c r="G7708" t="s">
        <v>34424</v>
      </c>
    </row>
    <row r="7709" spans="1:7">
      <c r="A7709" t="s">
        <v>34425</v>
      </c>
      <c r="B7709" t="s">
        <v>8607</v>
      </c>
      <c r="G7709" t="s">
        <v>34426</v>
      </c>
    </row>
    <row r="7710" spans="1:7">
      <c r="A7710" t="s">
        <v>34427</v>
      </c>
      <c r="B7710" t="s">
        <v>8607</v>
      </c>
      <c r="G7710" t="s">
        <v>32357</v>
      </c>
    </row>
    <row r="7711" spans="1:7">
      <c r="A7711" t="s">
        <v>34428</v>
      </c>
      <c r="B7711" t="s">
        <v>8607</v>
      </c>
      <c r="G7711" t="s">
        <v>34429</v>
      </c>
    </row>
    <row r="7712" spans="1:7">
      <c r="A7712" t="s">
        <v>34430</v>
      </c>
      <c r="B7712" t="s">
        <v>8607</v>
      </c>
      <c r="C7712" t="s">
        <v>34431</v>
      </c>
      <c r="F7712" t="s">
        <v>34432</v>
      </c>
      <c r="G7712" t="s">
        <v>32359</v>
      </c>
    </row>
    <row r="7713" spans="1:7">
      <c r="A7713" t="s">
        <v>34433</v>
      </c>
      <c r="B7713" t="s">
        <v>8607</v>
      </c>
      <c r="F7713" t="s">
        <v>34434</v>
      </c>
      <c r="G7713" t="s">
        <v>34435</v>
      </c>
    </row>
    <row r="7714" spans="1:7">
      <c r="A7714" t="s">
        <v>34436</v>
      </c>
      <c r="B7714" t="s">
        <v>8607</v>
      </c>
      <c r="G7714" t="s">
        <v>34437</v>
      </c>
    </row>
    <row r="7715" spans="1:7">
      <c r="A7715" t="s">
        <v>34438</v>
      </c>
      <c r="B7715" t="s">
        <v>8607</v>
      </c>
      <c r="G7715" t="s">
        <v>34439</v>
      </c>
    </row>
    <row r="7716" spans="1:7">
      <c r="A7716" t="s">
        <v>34440</v>
      </c>
      <c r="B7716" t="s">
        <v>8607</v>
      </c>
      <c r="G7716" t="s">
        <v>34439</v>
      </c>
    </row>
    <row r="7717" spans="1:7">
      <c r="A7717" t="s">
        <v>34441</v>
      </c>
      <c r="B7717" t="s">
        <v>8607</v>
      </c>
      <c r="F7717" t="s">
        <v>34442</v>
      </c>
      <c r="G7717" t="s">
        <v>34439</v>
      </c>
    </row>
    <row r="7718" spans="1:7">
      <c r="A7718" t="s">
        <v>34443</v>
      </c>
      <c r="B7718" t="s">
        <v>8607</v>
      </c>
      <c r="F7718" t="s">
        <v>26843</v>
      </c>
      <c r="G7718" t="s">
        <v>34444</v>
      </c>
    </row>
    <row r="7719" spans="1:7">
      <c r="A7719" t="s">
        <v>34445</v>
      </c>
      <c r="B7719" t="s">
        <v>8607</v>
      </c>
      <c r="G7719" t="s">
        <v>34446</v>
      </c>
    </row>
    <row r="7720" spans="1:7">
      <c r="A7720" t="s">
        <v>34447</v>
      </c>
      <c r="B7720" t="s">
        <v>8607</v>
      </c>
      <c r="G7720" t="s">
        <v>34448</v>
      </c>
    </row>
    <row r="7721" spans="1:7">
      <c r="A7721" t="s">
        <v>34449</v>
      </c>
      <c r="B7721" t="s">
        <v>8607</v>
      </c>
      <c r="F7721" t="s">
        <v>27518</v>
      </c>
      <c r="G7721" t="s">
        <v>34450</v>
      </c>
    </row>
    <row r="7722" spans="1:7">
      <c r="A7722" t="s">
        <v>34451</v>
      </c>
      <c r="B7722" t="s">
        <v>8607</v>
      </c>
      <c r="G7722" t="s">
        <v>34452</v>
      </c>
    </row>
    <row r="7723" spans="1:7">
      <c r="A7723" t="s">
        <v>34453</v>
      </c>
      <c r="B7723" t="s">
        <v>8607</v>
      </c>
      <c r="G7723" t="s">
        <v>34454</v>
      </c>
    </row>
    <row r="7724" spans="1:7">
      <c r="A7724" t="s">
        <v>34455</v>
      </c>
      <c r="B7724" t="s">
        <v>8607</v>
      </c>
      <c r="G7724" t="s">
        <v>34456</v>
      </c>
    </row>
    <row r="7725" spans="1:7">
      <c r="A7725" t="s">
        <v>34457</v>
      </c>
      <c r="B7725" t="s">
        <v>8607</v>
      </c>
      <c r="G7725" t="s">
        <v>34458</v>
      </c>
    </row>
    <row r="7726" spans="1:7">
      <c r="A7726" t="s">
        <v>34459</v>
      </c>
      <c r="B7726" t="s">
        <v>8607</v>
      </c>
      <c r="G7726" t="s">
        <v>34460</v>
      </c>
    </row>
    <row r="7727" spans="1:7">
      <c r="A7727" t="s">
        <v>34461</v>
      </c>
      <c r="B7727" t="s">
        <v>8607</v>
      </c>
      <c r="G7727" t="s">
        <v>34462</v>
      </c>
    </row>
    <row r="7728" spans="1:7">
      <c r="A7728" t="s">
        <v>34463</v>
      </c>
      <c r="B7728" t="s">
        <v>8607</v>
      </c>
      <c r="G7728" t="s">
        <v>34464</v>
      </c>
    </row>
    <row r="7729" spans="1:7">
      <c r="A7729" t="s">
        <v>34465</v>
      </c>
      <c r="B7729" t="s">
        <v>8607</v>
      </c>
      <c r="G7729" t="s">
        <v>34466</v>
      </c>
    </row>
    <row r="7730" spans="1:7">
      <c r="A7730" t="s">
        <v>34467</v>
      </c>
      <c r="B7730" t="s">
        <v>8626</v>
      </c>
      <c r="G7730" t="s">
        <v>34468</v>
      </c>
    </row>
    <row r="7731" spans="1:7">
      <c r="A7731" t="s">
        <v>34469</v>
      </c>
      <c r="B7731" t="s">
        <v>8607</v>
      </c>
      <c r="F7731" t="s">
        <v>28637</v>
      </c>
      <c r="G7731" t="s">
        <v>34470</v>
      </c>
    </row>
    <row r="7732" spans="1:7">
      <c r="A7732" t="s">
        <v>34471</v>
      </c>
      <c r="G7732" t="s">
        <v>34472</v>
      </c>
    </row>
    <row r="7733" spans="1:7">
      <c r="A7733" t="s">
        <v>34473</v>
      </c>
      <c r="B7733" t="s">
        <v>8626</v>
      </c>
      <c r="G7733" t="s">
        <v>34474</v>
      </c>
    </row>
    <row r="7734" spans="1:7">
      <c r="A7734" t="s">
        <v>34475</v>
      </c>
      <c r="B7734" t="s">
        <v>8626</v>
      </c>
      <c r="C7734" t="s">
        <v>34476</v>
      </c>
      <c r="F7734" t="s">
        <v>12464</v>
      </c>
      <c r="G7734" t="s">
        <v>34477</v>
      </c>
    </row>
    <row r="7735" spans="1:7">
      <c r="A7735" t="s">
        <v>34478</v>
      </c>
      <c r="B7735" t="s">
        <v>8607</v>
      </c>
      <c r="F7735" t="s">
        <v>17932</v>
      </c>
      <c r="G7735" t="s">
        <v>34479</v>
      </c>
    </row>
    <row r="7736" spans="1:7">
      <c r="A7736" t="s">
        <v>34480</v>
      </c>
      <c r="B7736" t="s">
        <v>8607</v>
      </c>
      <c r="G7736" t="s">
        <v>28348</v>
      </c>
    </row>
    <row r="7737" spans="1:7">
      <c r="A7737" t="s">
        <v>34481</v>
      </c>
      <c r="B7737" t="s">
        <v>8607</v>
      </c>
      <c r="G7737" t="s">
        <v>18684</v>
      </c>
    </row>
    <row r="7738" spans="1:7">
      <c r="A7738" t="s">
        <v>34482</v>
      </c>
      <c r="B7738" t="s">
        <v>8607</v>
      </c>
      <c r="G7738" t="s">
        <v>34483</v>
      </c>
    </row>
    <row r="7739" spans="1:7">
      <c r="A7739" t="s">
        <v>34484</v>
      </c>
      <c r="B7739" t="s">
        <v>8607</v>
      </c>
      <c r="F7739" t="s">
        <v>26602</v>
      </c>
      <c r="G7739" t="s">
        <v>34485</v>
      </c>
    </row>
    <row r="7740" spans="1:7">
      <c r="A7740" t="s">
        <v>34486</v>
      </c>
      <c r="B7740" t="s">
        <v>8607</v>
      </c>
      <c r="G7740" t="s">
        <v>29874</v>
      </c>
    </row>
    <row r="7741" spans="1:7">
      <c r="A7741" t="s">
        <v>34487</v>
      </c>
      <c r="B7741" t="s">
        <v>8607</v>
      </c>
      <c r="G7741" t="s">
        <v>28106</v>
      </c>
    </row>
    <row r="7742" spans="1:7">
      <c r="A7742" t="s">
        <v>34488</v>
      </c>
      <c r="B7742" t="s">
        <v>8607</v>
      </c>
      <c r="G7742" t="s">
        <v>28108</v>
      </c>
    </row>
    <row r="7743" spans="1:7">
      <c r="A7743" t="s">
        <v>34489</v>
      </c>
      <c r="B7743" t="s">
        <v>8607</v>
      </c>
      <c r="G7743" t="s">
        <v>29879</v>
      </c>
    </row>
    <row r="7744" spans="1:7">
      <c r="A7744" t="s">
        <v>34490</v>
      </c>
      <c r="B7744" t="s">
        <v>8607</v>
      </c>
      <c r="G7744" t="s">
        <v>27829</v>
      </c>
    </row>
    <row r="7745" spans="1:7">
      <c r="A7745" t="s">
        <v>34491</v>
      </c>
      <c r="B7745" t="s">
        <v>8626</v>
      </c>
      <c r="G7745" t="s">
        <v>34492</v>
      </c>
    </row>
    <row r="7746" spans="1:7">
      <c r="A7746" t="s">
        <v>34493</v>
      </c>
      <c r="B7746" t="s">
        <v>8607</v>
      </c>
      <c r="G7746" t="s">
        <v>27831</v>
      </c>
    </row>
    <row r="7747" spans="1:7">
      <c r="A7747" t="s">
        <v>34494</v>
      </c>
      <c r="B7747" t="s">
        <v>8607</v>
      </c>
      <c r="F7747" t="s">
        <v>29882</v>
      </c>
      <c r="G7747" t="s">
        <v>34495</v>
      </c>
    </row>
    <row r="7748" spans="1:7">
      <c r="A7748" t="s">
        <v>34496</v>
      </c>
      <c r="B7748" t="s">
        <v>8607</v>
      </c>
      <c r="F7748" t="s">
        <v>23968</v>
      </c>
      <c r="G7748" t="s">
        <v>34497</v>
      </c>
    </row>
    <row r="7749" spans="1:7">
      <c r="A7749" t="s">
        <v>34498</v>
      </c>
      <c r="B7749" t="s">
        <v>8607</v>
      </c>
      <c r="F7749" t="s">
        <v>8623</v>
      </c>
      <c r="G7749" t="s">
        <v>34499</v>
      </c>
    </row>
    <row r="7750" spans="1:7">
      <c r="A7750" t="s">
        <v>34500</v>
      </c>
      <c r="B7750" t="s">
        <v>8607</v>
      </c>
      <c r="F7750" t="s">
        <v>27458</v>
      </c>
      <c r="G7750" t="s">
        <v>34501</v>
      </c>
    </row>
    <row r="7751" spans="1:7">
      <c r="A7751" t="s">
        <v>34502</v>
      </c>
      <c r="B7751" t="s">
        <v>8607</v>
      </c>
      <c r="F7751" t="s">
        <v>28719</v>
      </c>
      <c r="G7751" t="s">
        <v>34503</v>
      </c>
    </row>
    <row r="7752" spans="1:7">
      <c r="A7752" t="s">
        <v>34504</v>
      </c>
      <c r="B7752" t="s">
        <v>8607</v>
      </c>
      <c r="F7752" t="s">
        <v>28001</v>
      </c>
      <c r="G7752" t="s">
        <v>28112</v>
      </c>
    </row>
    <row r="7753" spans="1:7">
      <c r="A7753" t="s">
        <v>34505</v>
      </c>
      <c r="B7753" t="s">
        <v>8607</v>
      </c>
      <c r="F7753" t="s">
        <v>28114</v>
      </c>
      <c r="G7753" t="s">
        <v>28115</v>
      </c>
    </row>
    <row r="7754" spans="1:7">
      <c r="A7754" t="s">
        <v>34506</v>
      </c>
      <c r="B7754" t="s">
        <v>8607</v>
      </c>
      <c r="F7754" t="s">
        <v>28004</v>
      </c>
      <c r="G7754" t="s">
        <v>28117</v>
      </c>
    </row>
    <row r="7755" spans="1:7">
      <c r="A7755" t="s">
        <v>34507</v>
      </c>
      <c r="B7755" t="s">
        <v>8607</v>
      </c>
      <c r="F7755" t="s">
        <v>34508</v>
      </c>
      <c r="G7755" t="s">
        <v>34509</v>
      </c>
    </row>
    <row r="7756" spans="1:7">
      <c r="A7756" t="s">
        <v>34510</v>
      </c>
      <c r="B7756" t="s">
        <v>8607</v>
      </c>
      <c r="F7756" t="s">
        <v>28119</v>
      </c>
      <c r="G7756" t="s">
        <v>34511</v>
      </c>
    </row>
    <row r="7757" spans="1:7">
      <c r="A7757" t="s">
        <v>34512</v>
      </c>
      <c r="B7757" t="s">
        <v>8607</v>
      </c>
      <c r="F7757" t="s">
        <v>18603</v>
      </c>
      <c r="G7757" t="s">
        <v>18604</v>
      </c>
    </row>
    <row r="7758" spans="1:7">
      <c r="A7758" t="s">
        <v>34513</v>
      </c>
      <c r="B7758" t="s">
        <v>8607</v>
      </c>
      <c r="F7758" t="s">
        <v>23153</v>
      </c>
      <c r="G7758" t="s">
        <v>34514</v>
      </c>
    </row>
    <row r="7759" spans="1:7">
      <c r="A7759" t="s">
        <v>34515</v>
      </c>
      <c r="G7759" t="s">
        <v>34516</v>
      </c>
    </row>
    <row r="7760" spans="1:7">
      <c r="A7760" t="s">
        <v>34517</v>
      </c>
      <c r="B7760" t="s">
        <v>8626</v>
      </c>
      <c r="F7760" t="s">
        <v>34518</v>
      </c>
      <c r="G7760" t="s">
        <v>34519</v>
      </c>
    </row>
    <row r="7761" spans="1:7">
      <c r="A7761" t="s">
        <v>34520</v>
      </c>
      <c r="G7761" t="s">
        <v>34521</v>
      </c>
    </row>
    <row r="7762" spans="1:7">
      <c r="A7762" t="s">
        <v>34522</v>
      </c>
      <c r="G7762" t="s">
        <v>34523</v>
      </c>
    </row>
    <row r="7763" spans="1:7">
      <c r="A7763" t="s">
        <v>34524</v>
      </c>
      <c r="B7763" t="s">
        <v>8626</v>
      </c>
      <c r="F7763" t="s">
        <v>28126</v>
      </c>
      <c r="G7763" t="s">
        <v>28127</v>
      </c>
    </row>
    <row r="7764" spans="1:7">
      <c r="A7764" t="s">
        <v>34525</v>
      </c>
      <c r="B7764" t="s">
        <v>8607</v>
      </c>
      <c r="G7764" t="s">
        <v>34526</v>
      </c>
    </row>
    <row r="7765" spans="1:7">
      <c r="A7765" t="s">
        <v>34527</v>
      </c>
      <c r="B7765" t="s">
        <v>8626</v>
      </c>
      <c r="F7765" t="s">
        <v>34528</v>
      </c>
      <c r="G7765" t="s">
        <v>34529</v>
      </c>
    </row>
    <row r="7766" spans="1:7">
      <c r="A7766" t="s">
        <v>34530</v>
      </c>
      <c r="B7766" t="s">
        <v>8626</v>
      </c>
      <c r="C7766" t="s">
        <v>21656</v>
      </c>
      <c r="F7766" t="s">
        <v>9018</v>
      </c>
      <c r="G7766" t="s">
        <v>34531</v>
      </c>
    </row>
    <row r="7767" spans="1:7">
      <c r="A7767" t="s">
        <v>34532</v>
      </c>
      <c r="B7767" t="s">
        <v>8626</v>
      </c>
      <c r="G7767" t="s">
        <v>34533</v>
      </c>
    </row>
    <row r="7768" spans="1:7">
      <c r="A7768" t="s">
        <v>34534</v>
      </c>
      <c r="B7768" t="s">
        <v>8626</v>
      </c>
      <c r="C7768" t="s">
        <v>21656</v>
      </c>
      <c r="F7768" t="s">
        <v>9018</v>
      </c>
      <c r="G7768" t="s">
        <v>21657</v>
      </c>
    </row>
    <row r="7769" spans="1:7">
      <c r="A7769" t="s">
        <v>34535</v>
      </c>
      <c r="B7769" t="s">
        <v>8626</v>
      </c>
      <c r="F7769" t="s">
        <v>8774</v>
      </c>
      <c r="G7769" t="s">
        <v>34536</v>
      </c>
    </row>
    <row r="7770" spans="1:7">
      <c r="A7770" t="s">
        <v>34537</v>
      </c>
      <c r="B7770" t="s">
        <v>8607</v>
      </c>
      <c r="F7770" t="s">
        <v>34538</v>
      </c>
      <c r="G7770" t="s">
        <v>34539</v>
      </c>
    </row>
    <row r="7771" spans="1:7">
      <c r="A7771" t="s">
        <v>34540</v>
      </c>
      <c r="B7771" t="s">
        <v>8626</v>
      </c>
      <c r="C7771" t="s">
        <v>34541</v>
      </c>
      <c r="F7771" t="s">
        <v>9018</v>
      </c>
      <c r="G7771" t="s">
        <v>34542</v>
      </c>
    </row>
    <row r="7772" spans="1:7">
      <c r="A7772" t="s">
        <v>34543</v>
      </c>
      <c r="G7772" t="s">
        <v>34544</v>
      </c>
    </row>
    <row r="7773" spans="1:7">
      <c r="A7773" t="s">
        <v>34545</v>
      </c>
      <c r="B7773" t="s">
        <v>8607</v>
      </c>
      <c r="F7773" t="s">
        <v>28306</v>
      </c>
      <c r="G7773" t="s">
        <v>34546</v>
      </c>
    </row>
    <row r="7774" spans="1:7">
      <c r="A7774" t="s">
        <v>34547</v>
      </c>
      <c r="B7774" t="s">
        <v>8626</v>
      </c>
      <c r="C7774" t="s">
        <v>21656</v>
      </c>
      <c r="F7774" t="s">
        <v>9018</v>
      </c>
      <c r="G7774" t="s">
        <v>34548</v>
      </c>
    </row>
    <row r="7775" spans="1:7">
      <c r="A7775" t="s">
        <v>34549</v>
      </c>
      <c r="B7775" t="s">
        <v>8607</v>
      </c>
      <c r="F7775" t="s">
        <v>27753</v>
      </c>
      <c r="G7775" t="s">
        <v>27754</v>
      </c>
    </row>
    <row r="7776" spans="1:7">
      <c r="A7776" t="s">
        <v>34550</v>
      </c>
      <c r="B7776" t="s">
        <v>8607</v>
      </c>
      <c r="F7776" t="s">
        <v>34551</v>
      </c>
      <c r="G7776" t="s">
        <v>34552</v>
      </c>
    </row>
    <row r="7777" spans="1:7">
      <c r="A7777" t="s">
        <v>34553</v>
      </c>
      <c r="B7777" t="s">
        <v>8607</v>
      </c>
      <c r="F7777" t="s">
        <v>28018</v>
      </c>
      <c r="G7777" t="s">
        <v>34554</v>
      </c>
    </row>
    <row r="7778" spans="1:7">
      <c r="A7778" t="s">
        <v>34555</v>
      </c>
      <c r="B7778" t="s">
        <v>8626</v>
      </c>
      <c r="F7778" t="s">
        <v>34556</v>
      </c>
      <c r="G7778" t="s">
        <v>34557</v>
      </c>
    </row>
    <row r="7779" spans="1:7">
      <c r="A7779" t="s">
        <v>34558</v>
      </c>
      <c r="B7779" t="s">
        <v>8607</v>
      </c>
      <c r="F7779" t="s">
        <v>26104</v>
      </c>
      <c r="G7779" t="s">
        <v>34559</v>
      </c>
    </row>
    <row r="7780" spans="1:7">
      <c r="A7780" t="s">
        <v>34560</v>
      </c>
      <c r="B7780" t="s">
        <v>8607</v>
      </c>
      <c r="F7780" t="s">
        <v>30497</v>
      </c>
      <c r="G7780" t="s">
        <v>34561</v>
      </c>
    </row>
    <row r="7781" spans="1:7">
      <c r="A7781" t="s">
        <v>34562</v>
      </c>
      <c r="B7781" t="s">
        <v>8607</v>
      </c>
      <c r="C7781" t="s">
        <v>17806</v>
      </c>
      <c r="F7781" t="s">
        <v>17807</v>
      </c>
      <c r="G7781" t="s">
        <v>34563</v>
      </c>
    </row>
    <row r="7782" spans="1:7">
      <c r="A7782" t="s">
        <v>34564</v>
      </c>
      <c r="B7782" t="s">
        <v>8626</v>
      </c>
      <c r="F7782" t="s">
        <v>34565</v>
      </c>
      <c r="G7782" t="s">
        <v>34566</v>
      </c>
    </row>
    <row r="7783" spans="1:7">
      <c r="A7783" t="s">
        <v>34567</v>
      </c>
      <c r="B7783" t="s">
        <v>8607</v>
      </c>
      <c r="F7783" t="s">
        <v>21567</v>
      </c>
      <c r="G7783" t="s">
        <v>34568</v>
      </c>
    </row>
    <row r="7784" spans="1:7">
      <c r="A7784" t="s">
        <v>34569</v>
      </c>
      <c r="B7784" t="s">
        <v>8607</v>
      </c>
      <c r="F7784" t="s">
        <v>34570</v>
      </c>
      <c r="G7784" t="s">
        <v>34571</v>
      </c>
    </row>
    <row r="7785" spans="1:7">
      <c r="A7785" t="s">
        <v>34572</v>
      </c>
      <c r="B7785" t="s">
        <v>8607</v>
      </c>
      <c r="F7785" t="s">
        <v>34573</v>
      </c>
      <c r="G7785" t="s">
        <v>34574</v>
      </c>
    </row>
    <row r="7786" spans="1:7">
      <c r="A7786" t="s">
        <v>34575</v>
      </c>
      <c r="B7786" t="s">
        <v>8607</v>
      </c>
      <c r="F7786" t="s">
        <v>26173</v>
      </c>
      <c r="G7786" t="s">
        <v>34576</v>
      </c>
    </row>
    <row r="7787" spans="1:7">
      <c r="A7787" t="s">
        <v>34577</v>
      </c>
      <c r="B7787" t="s">
        <v>8607</v>
      </c>
      <c r="G7787" t="s">
        <v>34578</v>
      </c>
    </row>
    <row r="7788" spans="1:7">
      <c r="A7788" t="s">
        <v>34579</v>
      </c>
      <c r="B7788" t="s">
        <v>8626</v>
      </c>
      <c r="F7788" t="s">
        <v>26555</v>
      </c>
      <c r="G7788" t="s">
        <v>34580</v>
      </c>
    </row>
    <row r="7789" spans="1:7">
      <c r="A7789" t="s">
        <v>34581</v>
      </c>
      <c r="B7789" t="s">
        <v>8626</v>
      </c>
      <c r="F7789" t="s">
        <v>23554</v>
      </c>
      <c r="G7789" t="s">
        <v>34582</v>
      </c>
    </row>
    <row r="7790" spans="1:7">
      <c r="A7790" t="s">
        <v>34583</v>
      </c>
      <c r="B7790" t="s">
        <v>8626</v>
      </c>
      <c r="F7790" t="s">
        <v>34584</v>
      </c>
      <c r="G7790" t="s">
        <v>34585</v>
      </c>
    </row>
    <row r="7791" spans="1:7">
      <c r="A7791" t="s">
        <v>34586</v>
      </c>
      <c r="B7791" t="s">
        <v>8626</v>
      </c>
      <c r="F7791" t="s">
        <v>17349</v>
      </c>
      <c r="G7791" t="s">
        <v>34587</v>
      </c>
    </row>
    <row r="7792" spans="1:7">
      <c r="A7792" t="s">
        <v>34588</v>
      </c>
      <c r="G7792" t="s">
        <v>34589</v>
      </c>
    </row>
    <row r="7793" spans="1:7">
      <c r="A7793" t="s">
        <v>34590</v>
      </c>
      <c r="B7793" t="s">
        <v>8607</v>
      </c>
      <c r="G7793" t="s">
        <v>33553</v>
      </c>
    </row>
    <row r="7794" spans="1:7">
      <c r="A7794" t="s">
        <v>34591</v>
      </c>
      <c r="G7794" t="s">
        <v>34592</v>
      </c>
    </row>
    <row r="7795" spans="1:7">
      <c r="A7795" t="s">
        <v>34593</v>
      </c>
      <c r="B7795" t="s">
        <v>8607</v>
      </c>
      <c r="G7795" t="s">
        <v>34594</v>
      </c>
    </row>
    <row r="7796" spans="1:7">
      <c r="A7796" t="s">
        <v>34595</v>
      </c>
      <c r="B7796" t="s">
        <v>8607</v>
      </c>
      <c r="G7796" t="s">
        <v>34596</v>
      </c>
    </row>
    <row r="7797" spans="1:7">
      <c r="A7797" t="s">
        <v>34597</v>
      </c>
      <c r="B7797" t="s">
        <v>8607</v>
      </c>
      <c r="F7797" t="s">
        <v>24336</v>
      </c>
      <c r="G7797" t="s">
        <v>34598</v>
      </c>
    </row>
    <row r="7798" spans="1:7">
      <c r="A7798" t="s">
        <v>34599</v>
      </c>
      <c r="B7798" t="s">
        <v>8626</v>
      </c>
      <c r="F7798" t="s">
        <v>33971</v>
      </c>
      <c r="G7798" t="s">
        <v>34600</v>
      </c>
    </row>
    <row r="7799" spans="1:7">
      <c r="A7799" t="s">
        <v>34601</v>
      </c>
      <c r="B7799" t="s">
        <v>8626</v>
      </c>
      <c r="F7799" t="s">
        <v>20201</v>
      </c>
      <c r="G7799" t="s">
        <v>34602</v>
      </c>
    </row>
    <row r="7800" spans="1:7">
      <c r="A7800" t="s">
        <v>34603</v>
      </c>
      <c r="B7800" t="s">
        <v>8626</v>
      </c>
      <c r="F7800" t="s">
        <v>28207</v>
      </c>
      <c r="G7800" t="s">
        <v>34604</v>
      </c>
    </row>
    <row r="7801" spans="1:7">
      <c r="A7801" t="s">
        <v>34605</v>
      </c>
      <c r="B7801" t="s">
        <v>8607</v>
      </c>
      <c r="F7801" t="s">
        <v>17643</v>
      </c>
      <c r="G7801" t="s">
        <v>26701</v>
      </c>
    </row>
    <row r="7802" spans="1:7">
      <c r="A7802" t="s">
        <v>34606</v>
      </c>
      <c r="B7802" t="s">
        <v>8607</v>
      </c>
      <c r="F7802" t="s">
        <v>9018</v>
      </c>
      <c r="G7802" t="s">
        <v>18567</v>
      </c>
    </row>
    <row r="7803" spans="1:7">
      <c r="A7803" t="s">
        <v>34607</v>
      </c>
      <c r="B7803" t="s">
        <v>8607</v>
      </c>
      <c r="F7803" t="s">
        <v>17457</v>
      </c>
      <c r="G7803" t="s">
        <v>34608</v>
      </c>
    </row>
    <row r="7804" spans="1:7">
      <c r="A7804" t="s">
        <v>34609</v>
      </c>
      <c r="B7804" t="s">
        <v>8607</v>
      </c>
      <c r="G7804" t="s">
        <v>34610</v>
      </c>
    </row>
    <row r="7805" spans="1:7">
      <c r="A7805" t="s">
        <v>34611</v>
      </c>
      <c r="B7805" t="s">
        <v>8626</v>
      </c>
      <c r="C7805" t="s">
        <v>9266</v>
      </c>
      <c r="F7805" t="s">
        <v>9268</v>
      </c>
      <c r="G7805" t="s">
        <v>21461</v>
      </c>
    </row>
    <row r="7806" spans="1:7">
      <c r="A7806" t="s">
        <v>34612</v>
      </c>
      <c r="B7806" t="s">
        <v>8607</v>
      </c>
      <c r="F7806" t="s">
        <v>28243</v>
      </c>
      <c r="G7806" t="s">
        <v>34613</v>
      </c>
    </row>
    <row r="7807" spans="1:7">
      <c r="A7807" t="s">
        <v>34614</v>
      </c>
      <c r="B7807" t="s">
        <v>8607</v>
      </c>
      <c r="F7807" t="s">
        <v>25408</v>
      </c>
      <c r="G7807" t="s">
        <v>34615</v>
      </c>
    </row>
    <row r="7808" spans="1:7">
      <c r="A7808" t="s">
        <v>34616</v>
      </c>
      <c r="B7808" t="s">
        <v>8607</v>
      </c>
      <c r="F7808" t="s">
        <v>20473</v>
      </c>
      <c r="G7808" t="s">
        <v>27845</v>
      </c>
    </row>
    <row r="7809" spans="1:7">
      <c r="A7809" t="s">
        <v>34617</v>
      </c>
      <c r="B7809" t="s">
        <v>8607</v>
      </c>
      <c r="F7809" t="s">
        <v>8774</v>
      </c>
      <c r="G7809" t="s">
        <v>24842</v>
      </c>
    </row>
    <row r="7810" spans="1:7">
      <c r="A7810" t="s">
        <v>34618</v>
      </c>
      <c r="B7810" t="s">
        <v>8607</v>
      </c>
      <c r="F7810" t="s">
        <v>20201</v>
      </c>
      <c r="G7810" t="s">
        <v>27843</v>
      </c>
    </row>
    <row r="7811" spans="1:7">
      <c r="A7811" t="s">
        <v>34619</v>
      </c>
      <c r="B7811" t="s">
        <v>8607</v>
      </c>
      <c r="F7811" t="s">
        <v>17932</v>
      </c>
      <c r="G7811" t="s">
        <v>34620</v>
      </c>
    </row>
    <row r="7812" spans="1:7">
      <c r="A7812" t="s">
        <v>34621</v>
      </c>
      <c r="G7812" t="s">
        <v>34622</v>
      </c>
    </row>
    <row r="7813" spans="1:7">
      <c r="A7813" t="s">
        <v>34623</v>
      </c>
      <c r="B7813" t="s">
        <v>8607</v>
      </c>
      <c r="F7813" t="s">
        <v>26717</v>
      </c>
      <c r="G7813" t="s">
        <v>30163</v>
      </c>
    </row>
    <row r="7814" spans="1:7">
      <c r="A7814" t="s">
        <v>34624</v>
      </c>
      <c r="B7814" t="s">
        <v>8607</v>
      </c>
      <c r="F7814" t="s">
        <v>26725</v>
      </c>
      <c r="G7814" t="s">
        <v>28142</v>
      </c>
    </row>
    <row r="7815" spans="1:7">
      <c r="A7815" t="s">
        <v>34625</v>
      </c>
      <c r="B7815" t="s">
        <v>8607</v>
      </c>
      <c r="F7815" t="s">
        <v>19188</v>
      </c>
      <c r="G7815" t="s">
        <v>19189</v>
      </c>
    </row>
    <row r="7816" spans="1:7">
      <c r="A7816" t="s">
        <v>34626</v>
      </c>
      <c r="B7816" t="s">
        <v>8626</v>
      </c>
      <c r="F7816" t="s">
        <v>32256</v>
      </c>
      <c r="G7816" t="s">
        <v>34627</v>
      </c>
    </row>
    <row r="7817" spans="1:7">
      <c r="A7817" t="s">
        <v>34628</v>
      </c>
      <c r="B7817" t="s">
        <v>8607</v>
      </c>
      <c r="F7817" t="s">
        <v>30239</v>
      </c>
      <c r="G7817" t="s">
        <v>34629</v>
      </c>
    </row>
    <row r="7818" spans="1:7">
      <c r="A7818" t="s">
        <v>34630</v>
      </c>
      <c r="B7818" t="s">
        <v>8626</v>
      </c>
      <c r="F7818" t="s">
        <v>26547</v>
      </c>
      <c r="G7818" t="s">
        <v>34631</v>
      </c>
    </row>
    <row r="7819" spans="1:7">
      <c r="A7819" t="s">
        <v>34632</v>
      </c>
      <c r="B7819" t="s">
        <v>8626</v>
      </c>
      <c r="F7819" t="s">
        <v>9018</v>
      </c>
      <c r="G7819" t="s">
        <v>34633</v>
      </c>
    </row>
    <row r="7820" spans="1:7">
      <c r="A7820" t="s">
        <v>34634</v>
      </c>
      <c r="B7820" t="s">
        <v>8607</v>
      </c>
      <c r="F7820" t="s">
        <v>30642</v>
      </c>
      <c r="G7820" t="s">
        <v>30643</v>
      </c>
    </row>
    <row r="7821" spans="1:7">
      <c r="A7821" t="s">
        <v>34635</v>
      </c>
      <c r="B7821" t="s">
        <v>8607</v>
      </c>
      <c r="F7821" t="s">
        <v>27693</v>
      </c>
      <c r="G7821" t="s">
        <v>27694</v>
      </c>
    </row>
    <row r="7822" spans="1:7">
      <c r="A7822" t="s">
        <v>34636</v>
      </c>
      <c r="B7822" t="s">
        <v>8626</v>
      </c>
      <c r="G7822" t="s">
        <v>34637</v>
      </c>
    </row>
    <row r="7823" spans="1:7">
      <c r="A7823" t="s">
        <v>34638</v>
      </c>
      <c r="B7823" t="s">
        <v>8607</v>
      </c>
      <c r="F7823" t="s">
        <v>9018</v>
      </c>
      <c r="G7823" t="s">
        <v>34639</v>
      </c>
    </row>
    <row r="7824" spans="1:7">
      <c r="A7824" t="s">
        <v>34640</v>
      </c>
      <c r="B7824" t="s">
        <v>8607</v>
      </c>
      <c r="F7824" t="s">
        <v>10356</v>
      </c>
      <c r="G7824" t="s">
        <v>34641</v>
      </c>
    </row>
    <row r="7825" spans="1:7">
      <c r="A7825" t="s">
        <v>34642</v>
      </c>
      <c r="B7825" t="s">
        <v>8607</v>
      </c>
      <c r="F7825" t="s">
        <v>34643</v>
      </c>
      <c r="G7825" t="s">
        <v>34644</v>
      </c>
    </row>
    <row r="7826" spans="1:7">
      <c r="A7826" t="s">
        <v>34645</v>
      </c>
      <c r="B7826" t="s">
        <v>8607</v>
      </c>
      <c r="F7826" t="s">
        <v>26176</v>
      </c>
      <c r="G7826" t="s">
        <v>28272</v>
      </c>
    </row>
    <row r="7827" spans="1:7">
      <c r="A7827" t="s">
        <v>34646</v>
      </c>
      <c r="B7827" t="s">
        <v>8626</v>
      </c>
      <c r="F7827" t="s">
        <v>21912</v>
      </c>
      <c r="G7827" t="s">
        <v>34647</v>
      </c>
    </row>
    <row r="7828" spans="1:7">
      <c r="A7828" t="s">
        <v>34648</v>
      </c>
      <c r="B7828" t="s">
        <v>8626</v>
      </c>
      <c r="F7828" t="s">
        <v>12464</v>
      </c>
      <c r="G7828" t="s">
        <v>34649</v>
      </c>
    </row>
    <row r="7829" spans="1:7">
      <c r="A7829" t="s">
        <v>34650</v>
      </c>
      <c r="B7829" t="s">
        <v>8607</v>
      </c>
      <c r="F7829" t="s">
        <v>27040</v>
      </c>
      <c r="G7829" t="s">
        <v>34651</v>
      </c>
    </row>
    <row r="7830" spans="1:7">
      <c r="A7830" t="s">
        <v>34652</v>
      </c>
      <c r="B7830" t="s">
        <v>8607</v>
      </c>
      <c r="F7830" t="s">
        <v>34653</v>
      </c>
      <c r="G7830" t="s">
        <v>34654</v>
      </c>
    </row>
    <row r="7831" spans="1:7">
      <c r="A7831" t="s">
        <v>34655</v>
      </c>
      <c r="B7831" t="s">
        <v>8607</v>
      </c>
      <c r="G7831" t="s">
        <v>21739</v>
      </c>
    </row>
    <row r="7832" spans="1:7">
      <c r="A7832" t="s">
        <v>34656</v>
      </c>
      <c r="B7832" t="s">
        <v>8607</v>
      </c>
      <c r="F7832" t="s">
        <v>29072</v>
      </c>
      <c r="G7832" t="s">
        <v>34657</v>
      </c>
    </row>
    <row r="7833" spans="1:7">
      <c r="A7833" t="s">
        <v>34658</v>
      </c>
      <c r="B7833" t="s">
        <v>8626</v>
      </c>
      <c r="G7833" t="s">
        <v>32019</v>
      </c>
    </row>
    <row r="7834" spans="1:7">
      <c r="A7834" t="s">
        <v>34659</v>
      </c>
      <c r="B7834" t="s">
        <v>8607</v>
      </c>
      <c r="F7834" t="s">
        <v>34660</v>
      </c>
      <c r="G7834" t="s">
        <v>34661</v>
      </c>
    </row>
    <row r="7835" spans="1:7">
      <c r="A7835" t="s">
        <v>34662</v>
      </c>
      <c r="B7835" t="s">
        <v>8607</v>
      </c>
      <c r="F7835" t="s">
        <v>34663</v>
      </c>
      <c r="G7835" t="s">
        <v>34664</v>
      </c>
    </row>
    <row r="7836" spans="1:7">
      <c r="A7836" t="s">
        <v>34665</v>
      </c>
      <c r="B7836" t="s">
        <v>8607</v>
      </c>
      <c r="F7836" t="s">
        <v>8623</v>
      </c>
      <c r="G7836" t="s">
        <v>19477</v>
      </c>
    </row>
    <row r="7837" spans="1:7">
      <c r="A7837" t="s">
        <v>34666</v>
      </c>
      <c r="B7837" t="s">
        <v>8607</v>
      </c>
      <c r="G7837" t="s">
        <v>10812</v>
      </c>
    </row>
    <row r="7838" spans="1:7">
      <c r="A7838" t="s">
        <v>34667</v>
      </c>
      <c r="B7838" t="s">
        <v>8607</v>
      </c>
      <c r="G7838" t="s">
        <v>34668</v>
      </c>
    </row>
    <row r="7839" spans="1:7">
      <c r="A7839" t="s">
        <v>34669</v>
      </c>
      <c r="B7839" t="s">
        <v>8607</v>
      </c>
      <c r="F7839" t="s">
        <v>26108</v>
      </c>
      <c r="G7839" t="s">
        <v>34670</v>
      </c>
    </row>
    <row r="7840" spans="1:7">
      <c r="A7840" t="s">
        <v>34671</v>
      </c>
      <c r="B7840" t="s">
        <v>8626</v>
      </c>
      <c r="F7840" t="s">
        <v>12464</v>
      </c>
      <c r="G7840" t="s">
        <v>29833</v>
      </c>
    </row>
    <row r="7841" spans="1:7">
      <c r="A7841" t="s">
        <v>34672</v>
      </c>
      <c r="B7841" t="s">
        <v>8607</v>
      </c>
      <c r="G7841" t="s">
        <v>34673</v>
      </c>
    </row>
    <row r="7842" spans="1:7">
      <c r="A7842" t="s">
        <v>34674</v>
      </c>
      <c r="B7842" t="s">
        <v>8607</v>
      </c>
      <c r="C7842" t="s">
        <v>33065</v>
      </c>
      <c r="F7842" t="s">
        <v>9018</v>
      </c>
      <c r="G7842" t="s">
        <v>33066</v>
      </c>
    </row>
    <row r="7843" spans="1:7">
      <c r="A7843" t="s">
        <v>34675</v>
      </c>
      <c r="B7843" t="s">
        <v>8626</v>
      </c>
      <c r="F7843" t="s">
        <v>34676</v>
      </c>
      <c r="G7843" t="s">
        <v>34677</v>
      </c>
    </row>
    <row r="7844" spans="1:7">
      <c r="A7844" t="s">
        <v>34678</v>
      </c>
      <c r="B7844" t="s">
        <v>8607</v>
      </c>
      <c r="F7844" t="s">
        <v>17779</v>
      </c>
      <c r="G7844" t="s">
        <v>24356</v>
      </c>
    </row>
    <row r="7845" spans="1:7">
      <c r="A7845" t="s">
        <v>34679</v>
      </c>
      <c r="B7845" t="s">
        <v>8626</v>
      </c>
      <c r="F7845" t="s">
        <v>27674</v>
      </c>
      <c r="G7845" t="s">
        <v>34680</v>
      </c>
    </row>
    <row r="7846" spans="1:7">
      <c r="A7846" t="s">
        <v>34681</v>
      </c>
      <c r="B7846" t="s">
        <v>8607</v>
      </c>
      <c r="F7846" t="s">
        <v>34682</v>
      </c>
      <c r="G7846" t="s">
        <v>34683</v>
      </c>
    </row>
    <row r="7847" spans="1:7">
      <c r="A7847" t="s">
        <v>34684</v>
      </c>
      <c r="B7847" t="s">
        <v>8607</v>
      </c>
      <c r="G7847" t="s">
        <v>34685</v>
      </c>
    </row>
    <row r="7848" spans="1:7">
      <c r="A7848" t="s">
        <v>34686</v>
      </c>
      <c r="B7848" t="s">
        <v>8607</v>
      </c>
      <c r="F7848" t="s">
        <v>8975</v>
      </c>
      <c r="G7848" t="s">
        <v>34687</v>
      </c>
    </row>
    <row r="7849" spans="1:7">
      <c r="A7849" t="s">
        <v>34688</v>
      </c>
      <c r="B7849" t="s">
        <v>8607</v>
      </c>
      <c r="F7849" t="s">
        <v>26793</v>
      </c>
      <c r="G7849" t="s">
        <v>26794</v>
      </c>
    </row>
    <row r="7850" spans="1:7">
      <c r="A7850" t="s">
        <v>34689</v>
      </c>
      <c r="B7850" t="s">
        <v>8607</v>
      </c>
      <c r="G7850" t="s">
        <v>26798</v>
      </c>
    </row>
    <row r="7851" spans="1:7">
      <c r="A7851" t="s">
        <v>34690</v>
      </c>
      <c r="B7851" t="s">
        <v>8607</v>
      </c>
      <c r="G7851" t="s">
        <v>26800</v>
      </c>
    </row>
    <row r="7852" spans="1:7">
      <c r="A7852" t="s">
        <v>34691</v>
      </c>
      <c r="B7852" t="s">
        <v>8607</v>
      </c>
      <c r="G7852" t="s">
        <v>29363</v>
      </c>
    </row>
    <row r="7853" spans="1:7">
      <c r="A7853" t="s">
        <v>34692</v>
      </c>
      <c r="B7853" t="s">
        <v>8626</v>
      </c>
      <c r="F7853" t="s">
        <v>26343</v>
      </c>
      <c r="G7853" t="s">
        <v>34693</v>
      </c>
    </row>
    <row r="7854" spans="1:7">
      <c r="A7854" t="s">
        <v>34694</v>
      </c>
      <c r="B7854" t="s">
        <v>8607</v>
      </c>
      <c r="F7854" t="s">
        <v>26212</v>
      </c>
      <c r="G7854" t="s">
        <v>26431</v>
      </c>
    </row>
    <row r="7855" spans="1:7">
      <c r="A7855" t="s">
        <v>34695</v>
      </c>
      <c r="B7855" t="s">
        <v>8607</v>
      </c>
      <c r="F7855" t="s">
        <v>17349</v>
      </c>
      <c r="G7855" t="s">
        <v>26433</v>
      </c>
    </row>
    <row r="7856" spans="1:7">
      <c r="A7856" t="s">
        <v>34696</v>
      </c>
      <c r="B7856" t="s">
        <v>8607</v>
      </c>
      <c r="C7856" t="s">
        <v>26479</v>
      </c>
      <c r="F7856" t="s">
        <v>9018</v>
      </c>
      <c r="G7856" t="s">
        <v>34697</v>
      </c>
    </row>
    <row r="7857" spans="1:7">
      <c r="A7857" t="s">
        <v>34698</v>
      </c>
      <c r="B7857" t="s">
        <v>8607</v>
      </c>
      <c r="F7857" t="s">
        <v>27594</v>
      </c>
      <c r="G7857" t="s">
        <v>27595</v>
      </c>
    </row>
    <row r="7858" spans="1:7">
      <c r="A7858" t="s">
        <v>34699</v>
      </c>
      <c r="B7858" t="s">
        <v>8607</v>
      </c>
      <c r="G7858" t="s">
        <v>34700</v>
      </c>
    </row>
    <row r="7859" spans="1:7">
      <c r="A7859" t="s">
        <v>34701</v>
      </c>
      <c r="B7859" t="s">
        <v>8607</v>
      </c>
      <c r="F7859" t="s">
        <v>17932</v>
      </c>
      <c r="G7859" t="s">
        <v>34702</v>
      </c>
    </row>
    <row r="7860" spans="1:7">
      <c r="A7860" t="s">
        <v>34703</v>
      </c>
      <c r="B7860" t="s">
        <v>8607</v>
      </c>
      <c r="G7860" t="s">
        <v>22411</v>
      </c>
    </row>
    <row r="7861" spans="1:7">
      <c r="A7861" t="s">
        <v>34704</v>
      </c>
      <c r="B7861" t="s">
        <v>8607</v>
      </c>
      <c r="G7861" t="s">
        <v>29378</v>
      </c>
    </row>
    <row r="7862" spans="1:7">
      <c r="A7862" t="s">
        <v>34705</v>
      </c>
      <c r="B7862" t="s">
        <v>8607</v>
      </c>
      <c r="F7862" t="s">
        <v>26207</v>
      </c>
      <c r="G7862" t="s">
        <v>27473</v>
      </c>
    </row>
    <row r="7863" spans="1:7">
      <c r="A7863" t="s">
        <v>34706</v>
      </c>
      <c r="B7863" t="s">
        <v>8607</v>
      </c>
      <c r="F7863" t="s">
        <v>28159</v>
      </c>
      <c r="G7863" t="s">
        <v>28063</v>
      </c>
    </row>
    <row r="7864" spans="1:7">
      <c r="A7864" t="s">
        <v>34707</v>
      </c>
      <c r="B7864" t="s">
        <v>8607</v>
      </c>
      <c r="F7864" t="s">
        <v>17349</v>
      </c>
      <c r="G7864" t="s">
        <v>30827</v>
      </c>
    </row>
    <row r="7865" spans="1:7">
      <c r="A7865" t="s">
        <v>34708</v>
      </c>
      <c r="B7865" t="s">
        <v>8607</v>
      </c>
      <c r="G7865" t="s">
        <v>30017</v>
      </c>
    </row>
    <row r="7866" spans="1:7">
      <c r="A7866" t="s">
        <v>34709</v>
      </c>
      <c r="B7866" t="s">
        <v>8607</v>
      </c>
      <c r="F7866" t="s">
        <v>32256</v>
      </c>
      <c r="G7866" t="s">
        <v>34710</v>
      </c>
    </row>
    <row r="7867" spans="1:7">
      <c r="A7867" t="s">
        <v>34711</v>
      </c>
      <c r="B7867" t="s">
        <v>8607</v>
      </c>
      <c r="F7867" t="s">
        <v>27423</v>
      </c>
      <c r="G7867" t="s">
        <v>28134</v>
      </c>
    </row>
    <row r="7868" spans="1:7">
      <c r="A7868" t="s">
        <v>34712</v>
      </c>
      <c r="B7868" t="s">
        <v>8607</v>
      </c>
      <c r="F7868" t="s">
        <v>26717</v>
      </c>
      <c r="G7868" t="s">
        <v>30163</v>
      </c>
    </row>
    <row r="7869" spans="1:7">
      <c r="A7869" t="s">
        <v>34713</v>
      </c>
      <c r="B7869" t="s">
        <v>8626</v>
      </c>
      <c r="F7869" t="s">
        <v>34714</v>
      </c>
      <c r="G7869" t="s">
        <v>34715</v>
      </c>
    </row>
    <row r="7870" spans="1:7">
      <c r="A7870" t="s">
        <v>34716</v>
      </c>
      <c r="B7870" t="s">
        <v>8626</v>
      </c>
      <c r="F7870" t="s">
        <v>26343</v>
      </c>
      <c r="G7870" t="s">
        <v>34693</v>
      </c>
    </row>
    <row r="7871" spans="1:7">
      <c r="A7871" t="s">
        <v>34717</v>
      </c>
      <c r="B7871" t="s">
        <v>8626</v>
      </c>
      <c r="F7871" t="s">
        <v>26179</v>
      </c>
      <c r="G7871" t="s">
        <v>34718</v>
      </c>
    </row>
    <row r="7872" spans="1:7">
      <c r="A7872" t="s">
        <v>34719</v>
      </c>
      <c r="B7872" t="s">
        <v>8607</v>
      </c>
      <c r="F7872" t="s">
        <v>8623</v>
      </c>
      <c r="G7872" t="s">
        <v>28428</v>
      </c>
    </row>
    <row r="7873" spans="1:7">
      <c r="A7873" t="s">
        <v>34720</v>
      </c>
      <c r="B7873" t="s">
        <v>8626</v>
      </c>
      <c r="G7873" t="s">
        <v>34721</v>
      </c>
    </row>
    <row r="7874" spans="1:7">
      <c r="A7874" t="s">
        <v>34722</v>
      </c>
      <c r="B7874" t="s">
        <v>8607</v>
      </c>
      <c r="C7874" t="s">
        <v>27252</v>
      </c>
      <c r="F7874" t="s">
        <v>27253</v>
      </c>
      <c r="G7874" t="s">
        <v>34723</v>
      </c>
    </row>
    <row r="7875" spans="1:7">
      <c r="A7875" t="s">
        <v>34724</v>
      </c>
      <c r="B7875" t="s">
        <v>8607</v>
      </c>
      <c r="F7875" t="s">
        <v>9835</v>
      </c>
      <c r="G7875" t="s">
        <v>33980</v>
      </c>
    </row>
    <row r="7876" spans="1:7">
      <c r="A7876" t="s">
        <v>34725</v>
      </c>
      <c r="B7876" t="s">
        <v>8607</v>
      </c>
      <c r="F7876" t="s">
        <v>33965</v>
      </c>
      <c r="G7876" t="s">
        <v>33982</v>
      </c>
    </row>
    <row r="7877" spans="1:7">
      <c r="A7877" t="s">
        <v>34726</v>
      </c>
      <c r="B7877" t="s">
        <v>8607</v>
      </c>
      <c r="F7877" t="s">
        <v>18667</v>
      </c>
      <c r="G7877" t="s">
        <v>28783</v>
      </c>
    </row>
    <row r="7878" spans="1:7">
      <c r="A7878" t="s">
        <v>34727</v>
      </c>
      <c r="B7878" t="s">
        <v>8626</v>
      </c>
      <c r="F7878" t="s">
        <v>26173</v>
      </c>
      <c r="G7878" t="s">
        <v>34728</v>
      </c>
    </row>
    <row r="7879" spans="1:7">
      <c r="A7879" t="s">
        <v>34729</v>
      </c>
      <c r="B7879" t="s">
        <v>8626</v>
      </c>
      <c r="G7879" t="s">
        <v>28776</v>
      </c>
    </row>
    <row r="7880" spans="1:7">
      <c r="A7880" t="s">
        <v>34730</v>
      </c>
      <c r="B7880" t="s">
        <v>8607</v>
      </c>
      <c r="F7880" t="s">
        <v>17643</v>
      </c>
      <c r="G7880" t="s">
        <v>26701</v>
      </c>
    </row>
    <row r="7881" spans="1:7">
      <c r="A7881" t="s">
        <v>34731</v>
      </c>
      <c r="B7881" t="s">
        <v>8607</v>
      </c>
      <c r="F7881" t="s">
        <v>17928</v>
      </c>
      <c r="G7881" t="s">
        <v>28124</v>
      </c>
    </row>
    <row r="7882" spans="1:7">
      <c r="A7882" t="s">
        <v>34732</v>
      </c>
      <c r="B7882" t="s">
        <v>8607</v>
      </c>
      <c r="F7882" t="s">
        <v>20201</v>
      </c>
      <c r="G7882" t="s">
        <v>34733</v>
      </c>
    </row>
    <row r="7883" spans="1:7">
      <c r="A7883" t="s">
        <v>34734</v>
      </c>
      <c r="B7883" t="s">
        <v>8607</v>
      </c>
      <c r="F7883" t="s">
        <v>26751</v>
      </c>
      <c r="G7883" t="s">
        <v>32307</v>
      </c>
    </row>
    <row r="7884" spans="1:7">
      <c r="A7884" t="s">
        <v>34735</v>
      </c>
      <c r="B7884" t="s">
        <v>8626</v>
      </c>
      <c r="G7884" t="s">
        <v>32309</v>
      </c>
    </row>
    <row r="7885" spans="1:7">
      <c r="A7885" t="s">
        <v>34736</v>
      </c>
      <c r="B7885" t="s">
        <v>8607</v>
      </c>
      <c r="G7885" t="s">
        <v>34737</v>
      </c>
    </row>
    <row r="7886" spans="1:7">
      <c r="A7886" t="s">
        <v>34738</v>
      </c>
      <c r="B7886" t="s">
        <v>8607</v>
      </c>
      <c r="F7886" t="s">
        <v>34739</v>
      </c>
      <c r="G7886" t="s">
        <v>34740</v>
      </c>
    </row>
    <row r="7887" spans="1:7">
      <c r="A7887" t="s">
        <v>34741</v>
      </c>
      <c r="B7887" t="s">
        <v>8607</v>
      </c>
      <c r="C7887" t="s">
        <v>27078</v>
      </c>
      <c r="F7887" t="s">
        <v>19996</v>
      </c>
      <c r="G7887" t="s">
        <v>34742</v>
      </c>
    </row>
    <row r="7888" spans="1:7">
      <c r="A7888" t="s">
        <v>34743</v>
      </c>
      <c r="B7888" t="s">
        <v>8607</v>
      </c>
      <c r="G7888" t="s">
        <v>10812</v>
      </c>
    </row>
    <row r="7889" spans="1:7">
      <c r="A7889" t="s">
        <v>34744</v>
      </c>
      <c r="B7889" t="s">
        <v>8607</v>
      </c>
      <c r="F7889" t="s">
        <v>17932</v>
      </c>
      <c r="G7889" t="s">
        <v>30789</v>
      </c>
    </row>
    <row r="7890" spans="1:7">
      <c r="A7890" t="s">
        <v>34745</v>
      </c>
      <c r="G7890" t="s">
        <v>34093</v>
      </c>
    </row>
    <row r="7891" spans="1:7">
      <c r="A7891" t="s">
        <v>34746</v>
      </c>
      <c r="B7891" t="s">
        <v>8607</v>
      </c>
      <c r="F7891" t="s">
        <v>22914</v>
      </c>
      <c r="G7891" t="s">
        <v>30990</v>
      </c>
    </row>
    <row r="7892" spans="1:7">
      <c r="A7892" t="s">
        <v>34747</v>
      </c>
      <c r="B7892" t="s">
        <v>8607</v>
      </c>
      <c r="F7892" t="s">
        <v>26207</v>
      </c>
      <c r="G7892" t="s">
        <v>27473</v>
      </c>
    </row>
    <row r="7893" spans="1:7">
      <c r="A7893" t="s">
        <v>34748</v>
      </c>
      <c r="B7893" t="s">
        <v>8607</v>
      </c>
      <c r="F7893" t="s">
        <v>9018</v>
      </c>
      <c r="G7893" t="s">
        <v>34749</v>
      </c>
    </row>
    <row r="7894" spans="1:7">
      <c r="A7894" t="s">
        <v>34750</v>
      </c>
      <c r="B7894" t="s">
        <v>8607</v>
      </c>
      <c r="F7894" t="s">
        <v>28159</v>
      </c>
      <c r="G7894" t="s">
        <v>33070</v>
      </c>
    </row>
    <row r="7895" spans="1:7">
      <c r="A7895" t="s">
        <v>34751</v>
      </c>
      <c r="B7895" t="s">
        <v>8607</v>
      </c>
      <c r="F7895" t="s">
        <v>17349</v>
      </c>
      <c r="G7895" t="s">
        <v>34752</v>
      </c>
    </row>
    <row r="7896" spans="1:7">
      <c r="A7896" t="s">
        <v>34753</v>
      </c>
      <c r="B7896" t="s">
        <v>8607</v>
      </c>
      <c r="G7896" t="s">
        <v>27110</v>
      </c>
    </row>
    <row r="7897" spans="1:7">
      <c r="A7897" t="s">
        <v>34754</v>
      </c>
      <c r="B7897" t="s">
        <v>8607</v>
      </c>
      <c r="G7897" t="s">
        <v>29380</v>
      </c>
    </row>
    <row r="7898" spans="1:7">
      <c r="A7898" t="s">
        <v>34755</v>
      </c>
      <c r="B7898" t="s">
        <v>8626</v>
      </c>
      <c r="G7898" t="s">
        <v>34756</v>
      </c>
    </row>
    <row r="7899" spans="1:7">
      <c r="A7899" t="s">
        <v>34757</v>
      </c>
      <c r="B7899" t="s">
        <v>8607</v>
      </c>
      <c r="F7899" t="s">
        <v>20473</v>
      </c>
      <c r="G7899" t="s">
        <v>27845</v>
      </c>
    </row>
    <row r="7900" spans="1:7">
      <c r="A7900" t="s">
        <v>34758</v>
      </c>
      <c r="B7900" t="s">
        <v>8626</v>
      </c>
      <c r="F7900" t="s">
        <v>9160</v>
      </c>
      <c r="G7900" t="s">
        <v>33600</v>
      </c>
    </row>
    <row r="7901" spans="1:7">
      <c r="A7901" t="s">
        <v>34759</v>
      </c>
      <c r="B7901" t="s">
        <v>8607</v>
      </c>
      <c r="F7901" t="s">
        <v>17932</v>
      </c>
      <c r="G7901" t="s">
        <v>30541</v>
      </c>
    </row>
    <row r="7902" spans="1:7">
      <c r="A7902" t="s">
        <v>34760</v>
      </c>
      <c r="B7902" t="s">
        <v>8626</v>
      </c>
      <c r="C7902" t="s">
        <v>33239</v>
      </c>
      <c r="F7902" t="s">
        <v>21700</v>
      </c>
      <c r="G7902" t="s">
        <v>34761</v>
      </c>
    </row>
    <row r="7903" spans="1:7">
      <c r="A7903" t="s">
        <v>34762</v>
      </c>
      <c r="B7903" t="s">
        <v>8607</v>
      </c>
      <c r="C7903" t="s">
        <v>29179</v>
      </c>
      <c r="F7903" t="s">
        <v>17320</v>
      </c>
      <c r="G7903" t="s">
        <v>29594</v>
      </c>
    </row>
    <row r="7904" spans="1:7">
      <c r="A7904" t="s">
        <v>34763</v>
      </c>
      <c r="B7904" t="s">
        <v>8607</v>
      </c>
      <c r="C7904" t="s">
        <v>26315</v>
      </c>
      <c r="F7904" t="s">
        <v>17320</v>
      </c>
      <c r="G7904" t="s">
        <v>33681</v>
      </c>
    </row>
    <row r="7905" spans="1:7">
      <c r="A7905" t="s">
        <v>34764</v>
      </c>
      <c r="B7905" t="s">
        <v>8607</v>
      </c>
      <c r="F7905" t="s">
        <v>27253</v>
      </c>
      <c r="G7905" t="s">
        <v>34765</v>
      </c>
    </row>
    <row r="7906" spans="1:7">
      <c r="A7906" t="s">
        <v>34766</v>
      </c>
      <c r="B7906" t="s">
        <v>8626</v>
      </c>
      <c r="G7906" t="s">
        <v>34767</v>
      </c>
    </row>
    <row r="7907" spans="1:7">
      <c r="A7907" t="s">
        <v>34768</v>
      </c>
      <c r="B7907" t="s">
        <v>8607</v>
      </c>
      <c r="G7907" t="s">
        <v>34769</v>
      </c>
    </row>
    <row r="7908" spans="1:7">
      <c r="A7908" t="s">
        <v>34770</v>
      </c>
      <c r="B7908" t="s">
        <v>8607</v>
      </c>
      <c r="G7908" t="s">
        <v>32439</v>
      </c>
    </row>
    <row r="7909" spans="1:7">
      <c r="A7909" t="s">
        <v>34771</v>
      </c>
      <c r="B7909" t="s">
        <v>8607</v>
      </c>
      <c r="G7909" t="s">
        <v>32439</v>
      </c>
    </row>
    <row r="7910" spans="1:7">
      <c r="A7910" t="s">
        <v>34772</v>
      </c>
      <c r="B7910" t="s">
        <v>8607</v>
      </c>
      <c r="F7910" t="s">
        <v>19966</v>
      </c>
      <c r="G7910" t="s">
        <v>23929</v>
      </c>
    </row>
    <row r="7911" spans="1:7">
      <c r="A7911" t="s">
        <v>34773</v>
      </c>
      <c r="B7911" t="s">
        <v>8626</v>
      </c>
      <c r="C7911" t="s">
        <v>26087</v>
      </c>
      <c r="F7911" t="s">
        <v>26088</v>
      </c>
      <c r="G7911" t="s">
        <v>32643</v>
      </c>
    </row>
    <row r="7912" spans="1:7">
      <c r="A7912" t="s">
        <v>34774</v>
      </c>
      <c r="B7912" t="s">
        <v>8607</v>
      </c>
      <c r="F7912" t="s">
        <v>26091</v>
      </c>
      <c r="G7912" t="s">
        <v>32645</v>
      </c>
    </row>
    <row r="7913" spans="1:7">
      <c r="A7913" t="s">
        <v>34775</v>
      </c>
      <c r="B7913" t="s">
        <v>8607</v>
      </c>
      <c r="F7913" t="s">
        <v>26094</v>
      </c>
      <c r="G7913" t="s">
        <v>32647</v>
      </c>
    </row>
    <row r="7914" spans="1:7">
      <c r="A7914" t="s">
        <v>34776</v>
      </c>
      <c r="G7914" t="s">
        <v>34777</v>
      </c>
    </row>
    <row r="7915" spans="1:7">
      <c r="A7915" t="s">
        <v>34778</v>
      </c>
      <c r="B7915" t="s">
        <v>8607</v>
      </c>
      <c r="F7915" t="s">
        <v>26485</v>
      </c>
      <c r="G7915" t="s">
        <v>26486</v>
      </c>
    </row>
    <row r="7916" spans="1:7">
      <c r="A7916" t="s">
        <v>34779</v>
      </c>
      <c r="B7916" t="s">
        <v>8607</v>
      </c>
      <c r="F7916" t="s">
        <v>26558</v>
      </c>
      <c r="G7916" t="s">
        <v>34061</v>
      </c>
    </row>
    <row r="7917" spans="1:7">
      <c r="A7917" t="s">
        <v>34780</v>
      </c>
      <c r="B7917" t="s">
        <v>8607</v>
      </c>
      <c r="F7917" t="s">
        <v>26024</v>
      </c>
      <c r="G7917" t="s">
        <v>34781</v>
      </c>
    </row>
    <row r="7918" spans="1:7">
      <c r="A7918" t="s">
        <v>34782</v>
      </c>
      <c r="B7918" t="s">
        <v>8607</v>
      </c>
      <c r="F7918" t="s">
        <v>34783</v>
      </c>
      <c r="G7918" t="s">
        <v>34784</v>
      </c>
    </row>
    <row r="7919" spans="1:7">
      <c r="A7919" t="s">
        <v>34785</v>
      </c>
      <c r="B7919" t="s">
        <v>8607</v>
      </c>
      <c r="F7919" t="s">
        <v>34786</v>
      </c>
      <c r="G7919" t="s">
        <v>34787</v>
      </c>
    </row>
    <row r="7920" spans="1:7">
      <c r="A7920" t="s">
        <v>34788</v>
      </c>
      <c r="B7920" t="s">
        <v>8607</v>
      </c>
      <c r="F7920" t="s">
        <v>27323</v>
      </c>
      <c r="G7920" t="s">
        <v>34789</v>
      </c>
    </row>
    <row r="7921" spans="1:7">
      <c r="A7921" t="s">
        <v>34790</v>
      </c>
      <c r="B7921" t="s">
        <v>8607</v>
      </c>
      <c r="F7921" t="s">
        <v>30403</v>
      </c>
      <c r="G7921" t="s">
        <v>34791</v>
      </c>
    </row>
    <row r="7922" spans="1:7">
      <c r="A7922" t="s">
        <v>34792</v>
      </c>
      <c r="B7922" t="s">
        <v>8607</v>
      </c>
      <c r="F7922" t="s">
        <v>27969</v>
      </c>
      <c r="G7922" t="s">
        <v>34793</v>
      </c>
    </row>
    <row r="7923" spans="1:7">
      <c r="A7923" t="s">
        <v>34794</v>
      </c>
      <c r="B7923" t="s">
        <v>8607</v>
      </c>
      <c r="F7923" t="s">
        <v>27040</v>
      </c>
      <c r="G7923" t="s">
        <v>30050</v>
      </c>
    </row>
    <row r="7924" spans="1:7">
      <c r="A7924" t="s">
        <v>34795</v>
      </c>
      <c r="B7924" t="s">
        <v>8607</v>
      </c>
      <c r="F7924" t="s">
        <v>26995</v>
      </c>
      <c r="G7924" t="s">
        <v>33752</v>
      </c>
    </row>
    <row r="7925" spans="1:7">
      <c r="A7925" t="s">
        <v>34796</v>
      </c>
      <c r="B7925" t="s">
        <v>8607</v>
      </c>
      <c r="F7925" t="s">
        <v>19188</v>
      </c>
      <c r="G7925" t="s">
        <v>19189</v>
      </c>
    </row>
    <row r="7926" spans="1:7">
      <c r="A7926" t="s">
        <v>34797</v>
      </c>
      <c r="B7926" t="s">
        <v>8626</v>
      </c>
      <c r="F7926" t="s">
        <v>30239</v>
      </c>
      <c r="G7926" t="s">
        <v>32259</v>
      </c>
    </row>
    <row r="7927" spans="1:7">
      <c r="A7927" t="s">
        <v>34798</v>
      </c>
      <c r="G7927" t="s">
        <v>34799</v>
      </c>
    </row>
    <row r="7928" spans="1:7">
      <c r="A7928" t="s">
        <v>34800</v>
      </c>
      <c r="B7928" t="s">
        <v>8607</v>
      </c>
      <c r="F7928" t="s">
        <v>26104</v>
      </c>
      <c r="G7928" t="s">
        <v>26236</v>
      </c>
    </row>
    <row r="7929" spans="1:7">
      <c r="A7929" t="s">
        <v>34801</v>
      </c>
      <c r="B7929" t="s">
        <v>8607</v>
      </c>
      <c r="C7929" t="s">
        <v>26479</v>
      </c>
      <c r="F7929" t="s">
        <v>9018</v>
      </c>
      <c r="G7929" t="s">
        <v>34802</v>
      </c>
    </row>
    <row r="7930" spans="1:7">
      <c r="A7930" t="s">
        <v>34803</v>
      </c>
      <c r="B7930" t="s">
        <v>8607</v>
      </c>
      <c r="F7930" t="s">
        <v>26173</v>
      </c>
      <c r="G7930" t="s">
        <v>26174</v>
      </c>
    </row>
    <row r="7931" spans="1:7">
      <c r="A7931" t="s">
        <v>34804</v>
      </c>
      <c r="B7931" t="s">
        <v>8607</v>
      </c>
      <c r="F7931" t="s">
        <v>26176</v>
      </c>
      <c r="G7931" t="s">
        <v>26177</v>
      </c>
    </row>
    <row r="7932" spans="1:7">
      <c r="A7932" t="s">
        <v>34805</v>
      </c>
      <c r="B7932" t="s">
        <v>8607</v>
      </c>
      <c r="C7932" t="s">
        <v>26315</v>
      </c>
      <c r="F7932" t="s">
        <v>17320</v>
      </c>
      <c r="G7932" t="s">
        <v>29993</v>
      </c>
    </row>
    <row r="7933" spans="1:7">
      <c r="A7933" t="s">
        <v>34806</v>
      </c>
      <c r="B7933" t="s">
        <v>8607</v>
      </c>
      <c r="G7933" t="s">
        <v>34807</v>
      </c>
    </row>
    <row r="7934" spans="1:7">
      <c r="A7934" t="s">
        <v>34808</v>
      </c>
      <c r="B7934" t="s">
        <v>8607</v>
      </c>
      <c r="F7934" t="s">
        <v>26759</v>
      </c>
      <c r="G7934" t="s">
        <v>34809</v>
      </c>
    </row>
    <row r="7935" spans="1:7">
      <c r="A7935" t="s">
        <v>34810</v>
      </c>
      <c r="B7935" t="s">
        <v>8626</v>
      </c>
      <c r="F7935" t="s">
        <v>17257</v>
      </c>
      <c r="G7935" t="s">
        <v>34811</v>
      </c>
    </row>
    <row r="7936" spans="1:7">
      <c r="A7936" t="s">
        <v>34812</v>
      </c>
      <c r="B7936" t="s">
        <v>8626</v>
      </c>
      <c r="F7936" t="s">
        <v>17260</v>
      </c>
      <c r="G7936" t="s">
        <v>17261</v>
      </c>
    </row>
    <row r="7937" spans="1:7">
      <c r="A7937" t="s">
        <v>34813</v>
      </c>
      <c r="B7937" t="s">
        <v>8626</v>
      </c>
      <c r="F7937" t="s">
        <v>27428</v>
      </c>
      <c r="G7937" t="s">
        <v>34814</v>
      </c>
    </row>
    <row r="7938" spans="1:7">
      <c r="A7938" t="s">
        <v>34815</v>
      </c>
      <c r="B7938" t="s">
        <v>8607</v>
      </c>
      <c r="F7938" t="s">
        <v>27434</v>
      </c>
      <c r="G7938" t="s">
        <v>31496</v>
      </c>
    </row>
    <row r="7939" spans="1:7">
      <c r="A7939" t="s">
        <v>34816</v>
      </c>
      <c r="B7939" t="s">
        <v>8626</v>
      </c>
      <c r="F7939" t="s">
        <v>17498</v>
      </c>
      <c r="G7939" t="s">
        <v>17499</v>
      </c>
    </row>
    <row r="7940" spans="1:7">
      <c r="A7940" t="s">
        <v>34817</v>
      </c>
      <c r="B7940" t="s">
        <v>8626</v>
      </c>
      <c r="G7940" t="s">
        <v>17501</v>
      </c>
    </row>
    <row r="7941" spans="1:7">
      <c r="A7941" t="s">
        <v>34818</v>
      </c>
      <c r="B7941" t="s">
        <v>8607</v>
      </c>
      <c r="F7941" t="s">
        <v>29700</v>
      </c>
      <c r="G7941" t="s">
        <v>33515</v>
      </c>
    </row>
    <row r="7942" spans="1:7">
      <c r="A7942" t="s">
        <v>34819</v>
      </c>
      <c r="B7942" t="s">
        <v>8607</v>
      </c>
      <c r="G7942" t="s">
        <v>28766</v>
      </c>
    </row>
    <row r="7943" spans="1:7">
      <c r="A7943" t="s">
        <v>34820</v>
      </c>
      <c r="B7943" t="s">
        <v>8626</v>
      </c>
      <c r="G7943" t="s">
        <v>34821</v>
      </c>
    </row>
    <row r="7944" spans="1:7">
      <c r="A7944" t="s">
        <v>34822</v>
      </c>
      <c r="G7944" t="s">
        <v>34823</v>
      </c>
    </row>
    <row r="7945" spans="1:7">
      <c r="A7945" t="s">
        <v>34824</v>
      </c>
      <c r="G7945" t="s">
        <v>34825</v>
      </c>
    </row>
    <row r="7946" spans="1:7">
      <c r="A7946" t="s">
        <v>34826</v>
      </c>
      <c r="B7946" t="s">
        <v>8626</v>
      </c>
      <c r="G7946" t="s">
        <v>34827</v>
      </c>
    </row>
    <row r="7947" spans="1:7">
      <c r="A7947" t="s">
        <v>34828</v>
      </c>
      <c r="B7947" t="s">
        <v>8626</v>
      </c>
      <c r="G7947" t="s">
        <v>34829</v>
      </c>
    </row>
    <row r="7948" spans="1:7">
      <c r="A7948" t="s">
        <v>34830</v>
      </c>
      <c r="B7948" t="s">
        <v>8607</v>
      </c>
      <c r="F7948" t="s">
        <v>8623</v>
      </c>
      <c r="G7948" t="s">
        <v>28428</v>
      </c>
    </row>
    <row r="7949" spans="1:7">
      <c r="A7949" t="s">
        <v>34831</v>
      </c>
      <c r="B7949" t="s">
        <v>8626</v>
      </c>
      <c r="G7949" t="s">
        <v>34832</v>
      </c>
    </row>
    <row r="7950" spans="1:7">
      <c r="A7950" t="s">
        <v>34833</v>
      </c>
      <c r="B7950" t="s">
        <v>8607</v>
      </c>
      <c r="F7950" t="s">
        <v>17741</v>
      </c>
      <c r="G7950" t="s">
        <v>34834</v>
      </c>
    </row>
    <row r="7951" spans="1:7">
      <c r="A7951" t="s">
        <v>34835</v>
      </c>
      <c r="B7951" t="s">
        <v>8626</v>
      </c>
      <c r="F7951" t="s">
        <v>26157</v>
      </c>
      <c r="G7951" t="s">
        <v>26158</v>
      </c>
    </row>
    <row r="7952" spans="1:7">
      <c r="A7952" t="s">
        <v>34836</v>
      </c>
      <c r="B7952" t="s">
        <v>8626</v>
      </c>
      <c r="F7952" t="s">
        <v>22981</v>
      </c>
      <c r="G7952" t="s">
        <v>22982</v>
      </c>
    </row>
    <row r="7953" spans="1:7">
      <c r="A7953" t="s">
        <v>34837</v>
      </c>
      <c r="B7953" t="s">
        <v>8626</v>
      </c>
      <c r="F7953" t="s">
        <v>22981</v>
      </c>
      <c r="G7953" t="s">
        <v>16475</v>
      </c>
    </row>
    <row r="7954" spans="1:7">
      <c r="A7954" t="s">
        <v>34838</v>
      </c>
      <c r="B7954" t="s">
        <v>8626</v>
      </c>
      <c r="F7954" t="s">
        <v>34839</v>
      </c>
      <c r="G7954" t="s">
        <v>34840</v>
      </c>
    </row>
    <row r="7955" spans="1:7">
      <c r="A7955" t="s">
        <v>34841</v>
      </c>
      <c r="B7955" t="s">
        <v>8626</v>
      </c>
      <c r="F7955" t="s">
        <v>22981</v>
      </c>
      <c r="G7955" t="s">
        <v>22982</v>
      </c>
    </row>
    <row r="7956" spans="1:7">
      <c r="A7956" t="s">
        <v>34842</v>
      </c>
      <c r="B7956" t="s">
        <v>8626</v>
      </c>
      <c r="F7956" t="s">
        <v>30465</v>
      </c>
      <c r="G7956" t="s">
        <v>34843</v>
      </c>
    </row>
    <row r="7957" spans="1:7">
      <c r="A7957" t="s">
        <v>34844</v>
      </c>
      <c r="B7957" t="s">
        <v>8607</v>
      </c>
      <c r="F7957" t="s">
        <v>30468</v>
      </c>
      <c r="G7957" t="s">
        <v>30469</v>
      </c>
    </row>
    <row r="7958" spans="1:7">
      <c r="A7958" t="s">
        <v>34845</v>
      </c>
      <c r="B7958" t="s">
        <v>8607</v>
      </c>
      <c r="G7958" t="s">
        <v>34198</v>
      </c>
    </row>
    <row r="7959" spans="1:7">
      <c r="A7959" t="s">
        <v>34846</v>
      </c>
      <c r="B7959" t="s">
        <v>8607</v>
      </c>
      <c r="G7959" t="s">
        <v>30017</v>
      </c>
    </row>
    <row r="7960" spans="1:7">
      <c r="A7960" t="s">
        <v>34847</v>
      </c>
      <c r="B7960" t="s">
        <v>8607</v>
      </c>
      <c r="F7960" t="s">
        <v>30830</v>
      </c>
      <c r="G7960" t="s">
        <v>34848</v>
      </c>
    </row>
    <row r="7961" spans="1:7">
      <c r="A7961" t="s">
        <v>34849</v>
      </c>
      <c r="B7961" t="s">
        <v>8607</v>
      </c>
      <c r="F7961" t="s">
        <v>27423</v>
      </c>
      <c r="G7961" t="s">
        <v>28134</v>
      </c>
    </row>
    <row r="7962" spans="1:7">
      <c r="A7962" t="s">
        <v>34850</v>
      </c>
      <c r="B7962" t="s">
        <v>8607</v>
      </c>
      <c r="F7962" t="s">
        <v>33076</v>
      </c>
      <c r="G7962" t="s">
        <v>33077</v>
      </c>
    </row>
    <row r="7963" spans="1:7">
      <c r="A7963" t="s">
        <v>34851</v>
      </c>
      <c r="B7963" t="s">
        <v>8607</v>
      </c>
      <c r="F7963" t="s">
        <v>26207</v>
      </c>
      <c r="G7963" t="s">
        <v>27473</v>
      </c>
    </row>
    <row r="7964" spans="1:7">
      <c r="A7964" t="s">
        <v>34852</v>
      </c>
      <c r="B7964" t="s">
        <v>8607</v>
      </c>
      <c r="F7964" t="s">
        <v>28159</v>
      </c>
      <c r="G7964" t="s">
        <v>28160</v>
      </c>
    </row>
    <row r="7965" spans="1:7">
      <c r="A7965" t="s">
        <v>34853</v>
      </c>
      <c r="B7965" t="s">
        <v>8607</v>
      </c>
      <c r="F7965" t="s">
        <v>17349</v>
      </c>
      <c r="G7965" t="s">
        <v>28132</v>
      </c>
    </row>
    <row r="7966" spans="1:7">
      <c r="A7966" t="s">
        <v>34854</v>
      </c>
      <c r="B7966" t="s">
        <v>8607</v>
      </c>
      <c r="C7966" t="s">
        <v>26479</v>
      </c>
      <c r="F7966" t="s">
        <v>9018</v>
      </c>
      <c r="G7966" t="s">
        <v>34855</v>
      </c>
    </row>
    <row r="7967" spans="1:7">
      <c r="A7967" t="s">
        <v>34856</v>
      </c>
      <c r="B7967" t="s">
        <v>8607</v>
      </c>
      <c r="F7967" t="s">
        <v>26104</v>
      </c>
      <c r="G7967" t="s">
        <v>26171</v>
      </c>
    </row>
    <row r="7968" spans="1:7">
      <c r="A7968" t="s">
        <v>34857</v>
      </c>
      <c r="B7968" t="s">
        <v>8607</v>
      </c>
      <c r="F7968" t="s">
        <v>26173</v>
      </c>
      <c r="G7968" t="s">
        <v>26174</v>
      </c>
    </row>
    <row r="7969" spans="1:7">
      <c r="A7969" t="s">
        <v>34858</v>
      </c>
      <c r="B7969" t="s">
        <v>8607</v>
      </c>
      <c r="F7969" t="s">
        <v>26176</v>
      </c>
      <c r="G7969" t="s">
        <v>34859</v>
      </c>
    </row>
    <row r="7970" spans="1:7">
      <c r="A7970" t="s">
        <v>34860</v>
      </c>
      <c r="B7970" t="s">
        <v>8626</v>
      </c>
      <c r="F7970" t="s">
        <v>17429</v>
      </c>
      <c r="G7970" t="s">
        <v>34861</v>
      </c>
    </row>
    <row r="7971" spans="1:7">
      <c r="A7971" t="s">
        <v>34862</v>
      </c>
      <c r="B7971" t="s">
        <v>8626</v>
      </c>
      <c r="G7971" t="s">
        <v>34863</v>
      </c>
    </row>
    <row r="7972" spans="1:7">
      <c r="A7972" t="s">
        <v>34864</v>
      </c>
      <c r="G7972" t="s">
        <v>34865</v>
      </c>
    </row>
    <row r="7973" spans="1:7">
      <c r="A7973" t="s">
        <v>34866</v>
      </c>
      <c r="B7973" t="s">
        <v>8626</v>
      </c>
      <c r="G7973" t="s">
        <v>34867</v>
      </c>
    </row>
    <row r="7974" spans="1:7">
      <c r="A7974" t="s">
        <v>34868</v>
      </c>
      <c r="B7974" t="s">
        <v>8626</v>
      </c>
      <c r="G7974" t="s">
        <v>34869</v>
      </c>
    </row>
    <row r="7975" spans="1:7">
      <c r="A7975" t="s">
        <v>34870</v>
      </c>
      <c r="B7975" t="s">
        <v>8607</v>
      </c>
      <c r="F7975" t="s">
        <v>33871</v>
      </c>
      <c r="G7975" t="s">
        <v>34871</v>
      </c>
    </row>
    <row r="7976" spans="1:7">
      <c r="A7976" t="s">
        <v>34872</v>
      </c>
      <c r="B7976" t="s">
        <v>8607</v>
      </c>
      <c r="G7976" t="s">
        <v>34873</v>
      </c>
    </row>
    <row r="7977" spans="1:7">
      <c r="A7977" t="s">
        <v>34874</v>
      </c>
      <c r="B7977" t="s">
        <v>8607</v>
      </c>
      <c r="F7977" t="s">
        <v>34875</v>
      </c>
      <c r="G7977" t="s">
        <v>34876</v>
      </c>
    </row>
    <row r="7978" spans="1:7">
      <c r="A7978" t="s">
        <v>34877</v>
      </c>
      <c r="B7978" t="s">
        <v>8607</v>
      </c>
      <c r="F7978" t="s">
        <v>28004</v>
      </c>
      <c r="G7978" t="s">
        <v>34878</v>
      </c>
    </row>
    <row r="7979" spans="1:7">
      <c r="A7979" t="s">
        <v>34879</v>
      </c>
      <c r="B7979" t="s">
        <v>8607</v>
      </c>
      <c r="F7979" t="s">
        <v>17760</v>
      </c>
      <c r="G7979" t="s">
        <v>26415</v>
      </c>
    </row>
    <row r="7980" spans="1:7">
      <c r="A7980" t="s">
        <v>34880</v>
      </c>
      <c r="B7980" t="s">
        <v>8607</v>
      </c>
      <c r="C7980" t="s">
        <v>26080</v>
      </c>
      <c r="F7980" t="s">
        <v>23667</v>
      </c>
      <c r="G7980" t="s">
        <v>32207</v>
      </c>
    </row>
    <row r="7981" spans="1:7">
      <c r="A7981" t="s">
        <v>34881</v>
      </c>
      <c r="B7981" t="s">
        <v>8607</v>
      </c>
      <c r="F7981" t="s">
        <v>28852</v>
      </c>
      <c r="G7981" t="s">
        <v>28927</v>
      </c>
    </row>
    <row r="7982" spans="1:7">
      <c r="A7982" t="s">
        <v>34882</v>
      </c>
      <c r="B7982" t="s">
        <v>8607</v>
      </c>
      <c r="F7982" t="s">
        <v>28856</v>
      </c>
      <c r="G7982" t="s">
        <v>34883</v>
      </c>
    </row>
    <row r="7983" spans="1:7">
      <c r="A7983" t="s">
        <v>34884</v>
      </c>
      <c r="B7983" t="s">
        <v>8607</v>
      </c>
      <c r="F7983" t="s">
        <v>27947</v>
      </c>
      <c r="G7983" t="s">
        <v>30869</v>
      </c>
    </row>
    <row r="7984" spans="1:7">
      <c r="A7984" t="s">
        <v>34885</v>
      </c>
      <c r="B7984" t="s">
        <v>8626</v>
      </c>
      <c r="C7984" t="s">
        <v>26669</v>
      </c>
      <c r="F7984" t="s">
        <v>26670</v>
      </c>
      <c r="G7984" t="s">
        <v>34886</v>
      </c>
    </row>
    <row r="7985" spans="1:7">
      <c r="A7985" t="s">
        <v>34887</v>
      </c>
      <c r="B7985" t="s">
        <v>8607</v>
      </c>
      <c r="C7985" t="s">
        <v>29299</v>
      </c>
      <c r="F7985" t="s">
        <v>26937</v>
      </c>
      <c r="G7985" t="s">
        <v>34888</v>
      </c>
    </row>
    <row r="7986" spans="1:7">
      <c r="A7986" t="s">
        <v>34889</v>
      </c>
      <c r="B7986" t="s">
        <v>8607</v>
      </c>
      <c r="F7986" t="s">
        <v>29314</v>
      </c>
      <c r="G7986" t="s">
        <v>34890</v>
      </c>
    </row>
    <row r="7987" spans="1:7">
      <c r="A7987" t="s">
        <v>34891</v>
      </c>
      <c r="B7987" t="s">
        <v>8607</v>
      </c>
      <c r="G7987" t="s">
        <v>34892</v>
      </c>
    </row>
    <row r="7988" spans="1:7">
      <c r="A7988" t="s">
        <v>34893</v>
      </c>
      <c r="B7988" t="s">
        <v>8607</v>
      </c>
      <c r="C7988" t="s">
        <v>26665</v>
      </c>
      <c r="F7988" t="s">
        <v>26666</v>
      </c>
      <c r="G7988" t="s">
        <v>29634</v>
      </c>
    </row>
    <row r="7989" spans="1:7">
      <c r="A7989" t="s">
        <v>34894</v>
      </c>
      <c r="B7989" t="s">
        <v>8607</v>
      </c>
      <c r="F7989" t="s">
        <v>9018</v>
      </c>
      <c r="G7989" t="s">
        <v>34895</v>
      </c>
    </row>
    <row r="7990" spans="1:7">
      <c r="A7990" t="s">
        <v>34896</v>
      </c>
      <c r="B7990" t="s">
        <v>8626</v>
      </c>
      <c r="G7990" t="s">
        <v>31020</v>
      </c>
    </row>
    <row r="7991" spans="1:7">
      <c r="A7991" t="s">
        <v>34897</v>
      </c>
      <c r="B7991" t="s">
        <v>8607</v>
      </c>
      <c r="F7991" t="s">
        <v>23958</v>
      </c>
      <c r="G7991" t="s">
        <v>23965</v>
      </c>
    </row>
    <row r="7992" spans="1:7">
      <c r="A7992" t="s">
        <v>34898</v>
      </c>
      <c r="G7992" t="s">
        <v>34899</v>
      </c>
    </row>
    <row r="7993" spans="1:7">
      <c r="A7993" t="s">
        <v>34900</v>
      </c>
      <c r="B7993" t="s">
        <v>8607</v>
      </c>
      <c r="C7993" t="s">
        <v>28439</v>
      </c>
      <c r="F7993" t="s">
        <v>17621</v>
      </c>
      <c r="G7993" t="s">
        <v>30757</v>
      </c>
    </row>
    <row r="7994" spans="1:7">
      <c r="A7994" t="s">
        <v>34901</v>
      </c>
      <c r="B7994" t="s">
        <v>8607</v>
      </c>
      <c r="F7994" t="s">
        <v>34902</v>
      </c>
      <c r="G7994" t="s">
        <v>34903</v>
      </c>
    </row>
    <row r="7995" spans="1:7">
      <c r="A7995" t="s">
        <v>34904</v>
      </c>
      <c r="G7995" t="s">
        <v>34905</v>
      </c>
    </row>
    <row r="7996" spans="1:7">
      <c r="A7996" t="s">
        <v>34906</v>
      </c>
      <c r="B7996" t="s">
        <v>8607</v>
      </c>
      <c r="F7996" t="s">
        <v>20201</v>
      </c>
      <c r="G7996" t="s">
        <v>34907</v>
      </c>
    </row>
    <row r="7997" spans="1:7">
      <c r="A7997" t="s">
        <v>34908</v>
      </c>
      <c r="B7997" t="s">
        <v>8607</v>
      </c>
      <c r="F7997" t="s">
        <v>31069</v>
      </c>
      <c r="G7997" t="s">
        <v>34909</v>
      </c>
    </row>
    <row r="7998" spans="1:7">
      <c r="A7998" t="s">
        <v>34910</v>
      </c>
      <c r="B7998" t="s">
        <v>8607</v>
      </c>
      <c r="F7998" t="s">
        <v>28207</v>
      </c>
      <c r="G7998" t="s">
        <v>34911</v>
      </c>
    </row>
    <row r="7999" spans="1:7">
      <c r="A7999" t="s">
        <v>34912</v>
      </c>
      <c r="B7999" t="s">
        <v>8607</v>
      </c>
      <c r="F7999" t="s">
        <v>26104</v>
      </c>
      <c r="G7999" t="s">
        <v>34913</v>
      </c>
    </row>
    <row r="8000" spans="1:7">
      <c r="A8000" t="s">
        <v>34914</v>
      </c>
      <c r="B8000" t="s">
        <v>8626</v>
      </c>
      <c r="G8000" t="s">
        <v>34915</v>
      </c>
    </row>
    <row r="8001" spans="1:7">
      <c r="A8001" t="s">
        <v>34916</v>
      </c>
      <c r="B8001" t="s">
        <v>8626</v>
      </c>
      <c r="G8001" t="s">
        <v>33705</v>
      </c>
    </row>
    <row r="8002" spans="1:7">
      <c r="A8002" t="s">
        <v>34917</v>
      </c>
      <c r="B8002" t="s">
        <v>8607</v>
      </c>
      <c r="F8002" t="s">
        <v>9018</v>
      </c>
      <c r="G8002" t="s">
        <v>29872</v>
      </c>
    </row>
    <row r="8003" spans="1:7">
      <c r="A8003" t="s">
        <v>34918</v>
      </c>
      <c r="B8003" t="s">
        <v>8607</v>
      </c>
      <c r="F8003" t="s">
        <v>17429</v>
      </c>
      <c r="G8003" t="s">
        <v>34919</v>
      </c>
    </row>
    <row r="8004" spans="1:7">
      <c r="A8004" t="s">
        <v>34920</v>
      </c>
      <c r="B8004" t="s">
        <v>8607</v>
      </c>
      <c r="F8004" t="s">
        <v>26157</v>
      </c>
      <c r="G8004" t="s">
        <v>33633</v>
      </c>
    </row>
    <row r="8005" spans="1:7">
      <c r="A8005" t="s">
        <v>34921</v>
      </c>
      <c r="B8005" t="s">
        <v>8626</v>
      </c>
      <c r="F8005" t="s">
        <v>28380</v>
      </c>
      <c r="G8005" t="s">
        <v>29441</v>
      </c>
    </row>
    <row r="8006" spans="1:7">
      <c r="A8006" t="s">
        <v>34922</v>
      </c>
      <c r="B8006" t="s">
        <v>8626</v>
      </c>
      <c r="F8006" t="s">
        <v>30132</v>
      </c>
      <c r="G8006" t="s">
        <v>30133</v>
      </c>
    </row>
    <row r="8007" spans="1:7">
      <c r="A8007" t="s">
        <v>34923</v>
      </c>
      <c r="G8007" t="s">
        <v>34924</v>
      </c>
    </row>
    <row r="8008" spans="1:7">
      <c r="A8008" t="s">
        <v>34925</v>
      </c>
      <c r="B8008" t="s">
        <v>8607</v>
      </c>
      <c r="C8008" t="s">
        <v>20054</v>
      </c>
      <c r="F8008" t="s">
        <v>8851</v>
      </c>
      <c r="G8008" t="s">
        <v>31591</v>
      </c>
    </row>
    <row r="8009" spans="1:7">
      <c r="A8009" t="s">
        <v>34926</v>
      </c>
      <c r="B8009" t="s">
        <v>8626</v>
      </c>
      <c r="G8009" t="s">
        <v>25035</v>
      </c>
    </row>
    <row r="8010" spans="1:7">
      <c r="A8010" t="s">
        <v>34927</v>
      </c>
      <c r="B8010" t="s">
        <v>8626</v>
      </c>
      <c r="G8010" t="s">
        <v>34767</v>
      </c>
    </row>
    <row r="8011" spans="1:7">
      <c r="A8011" t="s">
        <v>34928</v>
      </c>
      <c r="B8011" t="s">
        <v>8607</v>
      </c>
      <c r="G8011" t="s">
        <v>34929</v>
      </c>
    </row>
    <row r="8012" spans="1:7">
      <c r="A8012" t="s">
        <v>34930</v>
      </c>
      <c r="B8012" t="s">
        <v>8626</v>
      </c>
      <c r="F8012" t="s">
        <v>25964</v>
      </c>
      <c r="G8012" t="s">
        <v>34931</v>
      </c>
    </row>
    <row r="8013" spans="1:7">
      <c r="A8013" t="s">
        <v>34932</v>
      </c>
      <c r="B8013" t="s">
        <v>8607</v>
      </c>
      <c r="F8013" t="s">
        <v>34933</v>
      </c>
      <c r="G8013" t="s">
        <v>34934</v>
      </c>
    </row>
    <row r="8014" spans="1:7">
      <c r="A8014" t="s">
        <v>34935</v>
      </c>
      <c r="B8014" t="s">
        <v>8607</v>
      </c>
      <c r="C8014" t="s">
        <v>24008</v>
      </c>
      <c r="F8014" t="s">
        <v>17305</v>
      </c>
      <c r="G8014" t="s">
        <v>30751</v>
      </c>
    </row>
    <row r="8015" spans="1:7">
      <c r="A8015" t="s">
        <v>34936</v>
      </c>
      <c r="B8015" t="s">
        <v>8607</v>
      </c>
      <c r="F8015" t="s">
        <v>23762</v>
      </c>
      <c r="G8015" t="s">
        <v>23763</v>
      </c>
    </row>
    <row r="8016" spans="1:7">
      <c r="A8016" t="s">
        <v>34937</v>
      </c>
      <c r="B8016" t="s">
        <v>8607</v>
      </c>
      <c r="F8016" t="s">
        <v>23762</v>
      </c>
      <c r="G8016" t="s">
        <v>34938</v>
      </c>
    </row>
    <row r="8017" spans="1:7">
      <c r="A8017" t="s">
        <v>34939</v>
      </c>
      <c r="B8017" t="s">
        <v>8607</v>
      </c>
      <c r="F8017" t="s">
        <v>23762</v>
      </c>
      <c r="G8017" t="s">
        <v>23763</v>
      </c>
    </row>
    <row r="8018" spans="1:7">
      <c r="A8018" t="s">
        <v>34940</v>
      </c>
      <c r="B8018" t="s">
        <v>8607</v>
      </c>
      <c r="F8018" t="s">
        <v>26091</v>
      </c>
      <c r="G8018" t="s">
        <v>34941</v>
      </c>
    </row>
    <row r="8019" spans="1:7">
      <c r="A8019" t="s">
        <v>34942</v>
      </c>
      <c r="B8019" t="s">
        <v>8607</v>
      </c>
      <c r="F8019" t="s">
        <v>34943</v>
      </c>
      <c r="G8019" t="s">
        <v>34944</v>
      </c>
    </row>
    <row r="8020" spans="1:7">
      <c r="A8020" t="s">
        <v>34945</v>
      </c>
      <c r="G8020" t="s">
        <v>30803</v>
      </c>
    </row>
    <row r="8021" spans="1:7">
      <c r="A8021" t="s">
        <v>34946</v>
      </c>
      <c r="G8021" t="s">
        <v>34947</v>
      </c>
    </row>
    <row r="8022" spans="1:7">
      <c r="A8022" t="s">
        <v>34948</v>
      </c>
      <c r="B8022" t="s">
        <v>8607</v>
      </c>
      <c r="C8022" t="s">
        <v>31374</v>
      </c>
      <c r="F8022" t="s">
        <v>29159</v>
      </c>
      <c r="G8022" t="s">
        <v>31375</v>
      </c>
    </row>
    <row r="8023" spans="1:7">
      <c r="A8023" t="s">
        <v>34949</v>
      </c>
      <c r="B8023" t="s">
        <v>8607</v>
      </c>
      <c r="F8023" t="s">
        <v>21379</v>
      </c>
      <c r="G8023" t="s">
        <v>34950</v>
      </c>
    </row>
    <row r="8024" spans="1:7">
      <c r="A8024" t="s">
        <v>34951</v>
      </c>
      <c r="B8024" t="s">
        <v>8607</v>
      </c>
      <c r="G8024" t="s">
        <v>26217</v>
      </c>
    </row>
    <row r="8025" spans="1:7">
      <c r="A8025" t="s">
        <v>34952</v>
      </c>
      <c r="B8025" t="s">
        <v>8607</v>
      </c>
      <c r="F8025" t="s">
        <v>26465</v>
      </c>
      <c r="G8025" t="s">
        <v>26275</v>
      </c>
    </row>
    <row r="8026" spans="1:7">
      <c r="A8026" t="s">
        <v>34953</v>
      </c>
      <c r="B8026" t="s">
        <v>8607</v>
      </c>
      <c r="F8026" t="s">
        <v>31397</v>
      </c>
      <c r="G8026" t="s">
        <v>31398</v>
      </c>
    </row>
    <row r="8027" spans="1:7">
      <c r="A8027" t="s">
        <v>34954</v>
      </c>
      <c r="B8027" t="s">
        <v>8607</v>
      </c>
      <c r="F8027" t="s">
        <v>23838</v>
      </c>
      <c r="G8027" t="s">
        <v>34955</v>
      </c>
    </row>
    <row r="8028" spans="1:7">
      <c r="A8028" t="s">
        <v>34956</v>
      </c>
      <c r="B8028" t="s">
        <v>8607</v>
      </c>
      <c r="F8028" t="s">
        <v>22769</v>
      </c>
      <c r="G8028" t="s">
        <v>34957</v>
      </c>
    </row>
    <row r="8029" spans="1:7">
      <c r="A8029" t="s">
        <v>34958</v>
      </c>
      <c r="G8029" t="s">
        <v>34959</v>
      </c>
    </row>
    <row r="8030" spans="1:7">
      <c r="A8030" t="s">
        <v>34960</v>
      </c>
      <c r="B8030" t="s">
        <v>8626</v>
      </c>
      <c r="G8030" t="s">
        <v>34961</v>
      </c>
    </row>
    <row r="8031" spans="1:7">
      <c r="A8031" t="s">
        <v>34962</v>
      </c>
      <c r="B8031" t="s">
        <v>8607</v>
      </c>
      <c r="F8031" t="s">
        <v>34963</v>
      </c>
      <c r="G8031" t="s">
        <v>34964</v>
      </c>
    </row>
    <row r="8032" spans="1:7">
      <c r="A8032" t="s">
        <v>34965</v>
      </c>
      <c r="B8032" t="s">
        <v>8607</v>
      </c>
      <c r="F8032" t="s">
        <v>34963</v>
      </c>
      <c r="G8032" t="s">
        <v>34966</v>
      </c>
    </row>
    <row r="8033" spans="1:7">
      <c r="A8033" t="s">
        <v>34967</v>
      </c>
      <c r="B8033" t="s">
        <v>8607</v>
      </c>
      <c r="G8033" t="s">
        <v>34968</v>
      </c>
    </row>
    <row r="8034" spans="1:7">
      <c r="A8034" t="s">
        <v>34969</v>
      </c>
      <c r="B8034" t="s">
        <v>8607</v>
      </c>
      <c r="F8034" t="s">
        <v>19996</v>
      </c>
      <c r="G8034" t="s">
        <v>34970</v>
      </c>
    </row>
    <row r="8035" spans="1:7">
      <c r="A8035" t="s">
        <v>34971</v>
      </c>
      <c r="B8035" t="s">
        <v>8607</v>
      </c>
      <c r="C8035" t="s">
        <v>27405</v>
      </c>
      <c r="F8035" t="s">
        <v>9002</v>
      </c>
      <c r="G8035" t="s">
        <v>34972</v>
      </c>
    </row>
    <row r="8036" spans="1:7">
      <c r="A8036" t="s">
        <v>34973</v>
      </c>
      <c r="B8036" t="s">
        <v>8607</v>
      </c>
      <c r="F8036" t="s">
        <v>26494</v>
      </c>
      <c r="G8036" t="s">
        <v>26495</v>
      </c>
    </row>
    <row r="8037" spans="1:7">
      <c r="A8037" t="s">
        <v>34974</v>
      </c>
      <c r="B8037" t="s">
        <v>8626</v>
      </c>
      <c r="F8037" t="s">
        <v>26173</v>
      </c>
      <c r="G8037" t="s">
        <v>26238</v>
      </c>
    </row>
    <row r="8038" spans="1:7">
      <c r="A8038" t="s">
        <v>34975</v>
      </c>
      <c r="B8038" t="s">
        <v>8607</v>
      </c>
      <c r="F8038" t="s">
        <v>19996</v>
      </c>
      <c r="G8038" t="s">
        <v>19997</v>
      </c>
    </row>
    <row r="8039" spans="1:7">
      <c r="A8039" t="s">
        <v>34976</v>
      </c>
      <c r="B8039" t="s">
        <v>8607</v>
      </c>
      <c r="C8039" t="s">
        <v>33065</v>
      </c>
      <c r="F8039" t="s">
        <v>9018</v>
      </c>
      <c r="G8039" t="s">
        <v>30816</v>
      </c>
    </row>
    <row r="8040" spans="1:7">
      <c r="A8040" t="s">
        <v>34977</v>
      </c>
      <c r="B8040" t="s">
        <v>8607</v>
      </c>
      <c r="G8040" t="s">
        <v>26102</v>
      </c>
    </row>
    <row r="8041" spans="1:7">
      <c r="A8041" t="s">
        <v>34978</v>
      </c>
      <c r="B8041" t="s">
        <v>8607</v>
      </c>
      <c r="F8041" t="s">
        <v>26104</v>
      </c>
      <c r="G8041" t="s">
        <v>26105</v>
      </c>
    </row>
    <row r="8042" spans="1:7">
      <c r="A8042" t="s">
        <v>34979</v>
      </c>
      <c r="B8042" t="s">
        <v>8607</v>
      </c>
      <c r="C8042" t="s">
        <v>26107</v>
      </c>
      <c r="F8042" t="s">
        <v>26108</v>
      </c>
      <c r="G8042" t="s">
        <v>26109</v>
      </c>
    </row>
    <row r="8043" spans="1:7">
      <c r="A8043" t="s">
        <v>34980</v>
      </c>
      <c r="B8043" t="s">
        <v>8607</v>
      </c>
      <c r="G8043" t="s">
        <v>26111</v>
      </c>
    </row>
    <row r="8044" spans="1:7">
      <c r="A8044" t="s">
        <v>34981</v>
      </c>
      <c r="B8044" t="s">
        <v>8626</v>
      </c>
      <c r="F8044" t="s">
        <v>34714</v>
      </c>
      <c r="G8044" t="s">
        <v>34715</v>
      </c>
    </row>
    <row r="8045" spans="1:7">
      <c r="A8045" t="s">
        <v>34982</v>
      </c>
      <c r="B8045" t="s">
        <v>8626</v>
      </c>
      <c r="F8045" t="s">
        <v>26343</v>
      </c>
      <c r="G8045" t="s">
        <v>34693</v>
      </c>
    </row>
    <row r="8046" spans="1:7">
      <c r="A8046" t="s">
        <v>34983</v>
      </c>
      <c r="B8046" t="s">
        <v>8626</v>
      </c>
      <c r="F8046" t="s">
        <v>26179</v>
      </c>
      <c r="G8046" t="s">
        <v>34718</v>
      </c>
    </row>
    <row r="8047" spans="1:7">
      <c r="A8047" t="s">
        <v>34984</v>
      </c>
      <c r="B8047" t="s">
        <v>8607</v>
      </c>
      <c r="F8047" t="s">
        <v>27227</v>
      </c>
      <c r="G8047" t="s">
        <v>34985</v>
      </c>
    </row>
    <row r="8048" spans="1:7">
      <c r="A8048" t="s">
        <v>34986</v>
      </c>
      <c r="B8048" t="s">
        <v>8607</v>
      </c>
      <c r="F8048" t="s">
        <v>19380</v>
      </c>
      <c r="G8048" t="s">
        <v>19381</v>
      </c>
    </row>
    <row r="8049" spans="1:7">
      <c r="A8049" t="s">
        <v>34987</v>
      </c>
      <c r="B8049" t="s">
        <v>8607</v>
      </c>
      <c r="F8049" t="s">
        <v>26272</v>
      </c>
      <c r="G8049" t="s">
        <v>26273</v>
      </c>
    </row>
    <row r="8050" spans="1:7">
      <c r="A8050" t="s">
        <v>34988</v>
      </c>
      <c r="B8050" t="s">
        <v>8607</v>
      </c>
      <c r="G8050" t="s">
        <v>26275</v>
      </c>
    </row>
    <row r="8051" spans="1:7">
      <c r="A8051" t="s">
        <v>34989</v>
      </c>
      <c r="B8051" t="s">
        <v>8607</v>
      </c>
      <c r="G8051" t="s">
        <v>26217</v>
      </c>
    </row>
    <row r="8052" spans="1:7">
      <c r="A8052" t="s">
        <v>34990</v>
      </c>
      <c r="G8052" t="s">
        <v>26696</v>
      </c>
    </row>
    <row r="8053" spans="1:7">
      <c r="A8053" t="s">
        <v>34991</v>
      </c>
      <c r="B8053" t="s">
        <v>8607</v>
      </c>
      <c r="G8053" t="s">
        <v>26226</v>
      </c>
    </row>
    <row r="8054" spans="1:7">
      <c r="A8054" t="s">
        <v>34992</v>
      </c>
      <c r="B8054" t="s">
        <v>8607</v>
      </c>
      <c r="F8054" t="s">
        <v>26485</v>
      </c>
      <c r="G8054" t="s">
        <v>26486</v>
      </c>
    </row>
    <row r="8055" spans="1:7">
      <c r="A8055" t="s">
        <v>34993</v>
      </c>
      <c r="B8055" t="s">
        <v>8626</v>
      </c>
      <c r="G8055" t="s">
        <v>28757</v>
      </c>
    </row>
    <row r="8056" spans="1:7">
      <c r="A8056" t="s">
        <v>34994</v>
      </c>
      <c r="B8056" t="s">
        <v>8607</v>
      </c>
      <c r="F8056" t="s">
        <v>17457</v>
      </c>
      <c r="G8056" t="s">
        <v>34995</v>
      </c>
    </row>
    <row r="8057" spans="1:7">
      <c r="A8057" t="s">
        <v>34996</v>
      </c>
      <c r="B8057" t="s">
        <v>8607</v>
      </c>
      <c r="G8057" t="s">
        <v>26348</v>
      </c>
    </row>
    <row r="8058" spans="1:7">
      <c r="A8058" t="s">
        <v>34997</v>
      </c>
      <c r="B8058" t="s">
        <v>8607</v>
      </c>
      <c r="F8058" t="s">
        <v>34998</v>
      </c>
      <c r="G8058" t="s">
        <v>34999</v>
      </c>
    </row>
    <row r="8059" spans="1:7">
      <c r="A8059" t="s">
        <v>35000</v>
      </c>
      <c r="B8059" t="s">
        <v>8607</v>
      </c>
      <c r="G8059" t="s">
        <v>26353</v>
      </c>
    </row>
    <row r="8060" spans="1:7">
      <c r="A8060" t="s">
        <v>35001</v>
      </c>
      <c r="B8060" t="s">
        <v>8607</v>
      </c>
      <c r="G8060" t="s">
        <v>31308</v>
      </c>
    </row>
    <row r="8061" spans="1:7">
      <c r="A8061" t="s">
        <v>35002</v>
      </c>
      <c r="B8061" t="s">
        <v>8626</v>
      </c>
      <c r="G8061" t="s">
        <v>17499</v>
      </c>
    </row>
    <row r="8062" spans="1:7">
      <c r="A8062" t="s">
        <v>35003</v>
      </c>
      <c r="B8062" t="s">
        <v>8607</v>
      </c>
      <c r="F8062" t="s">
        <v>26358</v>
      </c>
      <c r="G8062" t="s">
        <v>26359</v>
      </c>
    </row>
    <row r="8063" spans="1:7">
      <c r="A8063" t="s">
        <v>35004</v>
      </c>
      <c r="B8063" t="s">
        <v>8607</v>
      </c>
      <c r="G8063" t="s">
        <v>26361</v>
      </c>
    </row>
    <row r="8064" spans="1:7">
      <c r="A8064" t="s">
        <v>35005</v>
      </c>
      <c r="B8064" t="s">
        <v>8607</v>
      </c>
      <c r="F8064" t="s">
        <v>26207</v>
      </c>
      <c r="G8064" t="s">
        <v>26208</v>
      </c>
    </row>
    <row r="8065" spans="1:7">
      <c r="A8065" t="s">
        <v>35006</v>
      </c>
      <c r="B8065" t="s">
        <v>8607</v>
      </c>
      <c r="G8065" t="s">
        <v>26210</v>
      </c>
    </row>
    <row r="8066" spans="1:7">
      <c r="A8066" t="s">
        <v>35007</v>
      </c>
      <c r="B8066" t="s">
        <v>8626</v>
      </c>
      <c r="F8066" t="s">
        <v>26743</v>
      </c>
      <c r="G8066" t="s">
        <v>26744</v>
      </c>
    </row>
    <row r="8067" spans="1:7">
      <c r="A8067" t="s">
        <v>35008</v>
      </c>
      <c r="B8067" t="s">
        <v>8607</v>
      </c>
      <c r="F8067" t="s">
        <v>35009</v>
      </c>
      <c r="G8067" t="s">
        <v>35010</v>
      </c>
    </row>
    <row r="8068" spans="1:7">
      <c r="A8068" t="s">
        <v>35011</v>
      </c>
      <c r="G8068" t="s">
        <v>35012</v>
      </c>
    </row>
    <row r="8069" spans="1:7">
      <c r="A8069" t="s">
        <v>35013</v>
      </c>
      <c r="B8069" t="s">
        <v>8607</v>
      </c>
      <c r="F8069" t="s">
        <v>26062</v>
      </c>
      <c r="G8069" t="s">
        <v>35014</v>
      </c>
    </row>
    <row r="8070" spans="1:7">
      <c r="A8070" t="s">
        <v>35015</v>
      </c>
      <c r="B8070" t="s">
        <v>8626</v>
      </c>
      <c r="F8070" t="s">
        <v>35016</v>
      </c>
      <c r="G8070" t="s">
        <v>35017</v>
      </c>
    </row>
    <row r="8071" spans="1:7">
      <c r="A8071" t="s">
        <v>35018</v>
      </c>
      <c r="B8071" t="s">
        <v>8607</v>
      </c>
      <c r="G8071" t="s">
        <v>35019</v>
      </c>
    </row>
    <row r="8072" spans="1:7">
      <c r="A8072" t="s">
        <v>35020</v>
      </c>
      <c r="B8072" t="s">
        <v>8607</v>
      </c>
      <c r="G8072" t="s">
        <v>35021</v>
      </c>
    </row>
    <row r="8073" spans="1:7">
      <c r="A8073" t="s">
        <v>35022</v>
      </c>
      <c r="B8073" t="s">
        <v>8607</v>
      </c>
      <c r="G8073" t="s">
        <v>35023</v>
      </c>
    </row>
    <row r="8074" spans="1:7">
      <c r="A8074" t="s">
        <v>35024</v>
      </c>
      <c r="B8074" t="s">
        <v>8626</v>
      </c>
      <c r="G8074" t="s">
        <v>35025</v>
      </c>
    </row>
    <row r="8075" spans="1:7">
      <c r="A8075" t="s">
        <v>35026</v>
      </c>
      <c r="B8075" t="s">
        <v>8607</v>
      </c>
      <c r="G8075" t="s">
        <v>35027</v>
      </c>
    </row>
    <row r="8076" spans="1:7">
      <c r="A8076" t="s">
        <v>35028</v>
      </c>
      <c r="B8076" t="s">
        <v>8607</v>
      </c>
      <c r="G8076" t="s">
        <v>35029</v>
      </c>
    </row>
    <row r="8077" spans="1:7">
      <c r="A8077" t="s">
        <v>35030</v>
      </c>
      <c r="B8077" t="s">
        <v>8607</v>
      </c>
      <c r="F8077" t="s">
        <v>35031</v>
      </c>
      <c r="G8077" t="s">
        <v>35032</v>
      </c>
    </row>
    <row r="8078" spans="1:7">
      <c r="A8078" t="s">
        <v>35033</v>
      </c>
      <c r="B8078" t="s">
        <v>8607</v>
      </c>
      <c r="F8078" t="s">
        <v>35034</v>
      </c>
      <c r="G8078" t="s">
        <v>35035</v>
      </c>
    </row>
    <row r="8079" spans="1:7">
      <c r="A8079" t="s">
        <v>35036</v>
      </c>
      <c r="B8079" t="s">
        <v>8626</v>
      </c>
      <c r="F8079" t="s">
        <v>27445</v>
      </c>
      <c r="G8079" t="s">
        <v>35037</v>
      </c>
    </row>
    <row r="8080" spans="1:7">
      <c r="A8080" t="s">
        <v>35038</v>
      </c>
      <c r="G8080" t="s">
        <v>35039</v>
      </c>
    </row>
    <row r="8081" spans="1:7">
      <c r="A8081" t="s">
        <v>35040</v>
      </c>
      <c r="B8081" t="s">
        <v>8607</v>
      </c>
      <c r="F8081" t="s">
        <v>35041</v>
      </c>
      <c r="G8081" t="s">
        <v>35042</v>
      </c>
    </row>
    <row r="8082" spans="1:7">
      <c r="A8082" t="s">
        <v>35043</v>
      </c>
      <c r="B8082" t="s">
        <v>8626</v>
      </c>
      <c r="G8082" t="s">
        <v>35044</v>
      </c>
    </row>
    <row r="8083" spans="1:7">
      <c r="A8083" t="s">
        <v>35045</v>
      </c>
      <c r="B8083" t="s">
        <v>8626</v>
      </c>
      <c r="F8083" t="s">
        <v>13312</v>
      </c>
      <c r="G8083" t="s">
        <v>35046</v>
      </c>
    </row>
    <row r="8084" spans="1:7">
      <c r="A8084" t="s">
        <v>35047</v>
      </c>
      <c r="B8084" t="s">
        <v>8607</v>
      </c>
      <c r="F8084" t="s">
        <v>35048</v>
      </c>
      <c r="G8084" t="s">
        <v>35049</v>
      </c>
    </row>
    <row r="8085" spans="1:7">
      <c r="A8085" t="s">
        <v>35050</v>
      </c>
      <c r="B8085" t="s">
        <v>8607</v>
      </c>
      <c r="F8085" t="s">
        <v>26602</v>
      </c>
      <c r="G8085" t="s">
        <v>35051</v>
      </c>
    </row>
    <row r="8086" spans="1:7">
      <c r="A8086" t="s">
        <v>35052</v>
      </c>
      <c r="B8086" t="s">
        <v>8607</v>
      </c>
      <c r="F8086" t="s">
        <v>35053</v>
      </c>
      <c r="G8086" t="s">
        <v>35054</v>
      </c>
    </row>
    <row r="8087" spans="1:7">
      <c r="A8087" t="s">
        <v>35055</v>
      </c>
      <c r="B8087" t="s">
        <v>8607</v>
      </c>
      <c r="F8087" t="s">
        <v>35056</v>
      </c>
      <c r="G8087" t="s">
        <v>35057</v>
      </c>
    </row>
    <row r="8088" spans="1:7">
      <c r="A8088" t="s">
        <v>35058</v>
      </c>
      <c r="B8088" t="s">
        <v>8607</v>
      </c>
      <c r="F8088" t="s">
        <v>35059</v>
      </c>
      <c r="G8088" t="s">
        <v>35060</v>
      </c>
    </row>
    <row r="8089" spans="1:7">
      <c r="A8089" t="s">
        <v>35061</v>
      </c>
      <c r="B8089" t="s">
        <v>8607</v>
      </c>
      <c r="F8089" t="s">
        <v>35062</v>
      </c>
      <c r="G8089" t="s">
        <v>35063</v>
      </c>
    </row>
    <row r="8090" spans="1:7">
      <c r="A8090" t="s">
        <v>35064</v>
      </c>
      <c r="B8090" t="s">
        <v>8607</v>
      </c>
      <c r="F8090" t="s">
        <v>35065</v>
      </c>
      <c r="G8090" t="s">
        <v>35066</v>
      </c>
    </row>
    <row r="8091" spans="1:7">
      <c r="A8091" t="s">
        <v>35067</v>
      </c>
      <c r="B8091" t="s">
        <v>8607</v>
      </c>
      <c r="F8091" t="s">
        <v>23968</v>
      </c>
      <c r="G8091" t="s">
        <v>30258</v>
      </c>
    </row>
    <row r="8092" spans="1:7">
      <c r="A8092" t="s">
        <v>35068</v>
      </c>
      <c r="B8092" t="s">
        <v>8626</v>
      </c>
      <c r="F8092" t="s">
        <v>30260</v>
      </c>
      <c r="G8092" t="s">
        <v>30261</v>
      </c>
    </row>
    <row r="8093" spans="1:7">
      <c r="A8093" t="s">
        <v>35069</v>
      </c>
      <c r="B8093" t="s">
        <v>8626</v>
      </c>
      <c r="F8093" t="s">
        <v>35070</v>
      </c>
      <c r="G8093" t="s">
        <v>35071</v>
      </c>
    </row>
    <row r="8094" spans="1:7">
      <c r="A8094" t="s">
        <v>35072</v>
      </c>
      <c r="B8094" t="s">
        <v>8607</v>
      </c>
      <c r="F8094" t="s">
        <v>31213</v>
      </c>
      <c r="G8094" t="s">
        <v>35073</v>
      </c>
    </row>
    <row r="8095" spans="1:7">
      <c r="A8095" t="s">
        <v>35074</v>
      </c>
      <c r="B8095" t="s">
        <v>8607</v>
      </c>
      <c r="F8095" t="s">
        <v>23997</v>
      </c>
      <c r="G8095" t="s">
        <v>35075</v>
      </c>
    </row>
    <row r="8096" spans="1:7">
      <c r="A8096" t="s">
        <v>35076</v>
      </c>
      <c r="B8096" t="s">
        <v>8607</v>
      </c>
      <c r="F8096" t="s">
        <v>24022</v>
      </c>
      <c r="G8096" t="s">
        <v>35077</v>
      </c>
    </row>
    <row r="8097" spans="1:7">
      <c r="A8097" t="s">
        <v>35078</v>
      </c>
      <c r="B8097" t="s">
        <v>8626</v>
      </c>
      <c r="F8097" t="s">
        <v>35079</v>
      </c>
      <c r="G8097" t="s">
        <v>35080</v>
      </c>
    </row>
    <row r="8098" spans="1:7">
      <c r="A8098" t="s">
        <v>35081</v>
      </c>
      <c r="B8098" t="s">
        <v>8607</v>
      </c>
      <c r="G8098" t="s">
        <v>35082</v>
      </c>
    </row>
    <row r="8099" spans="1:7">
      <c r="A8099" t="s">
        <v>35083</v>
      </c>
      <c r="B8099" t="s">
        <v>8607</v>
      </c>
      <c r="G8099" t="s">
        <v>35084</v>
      </c>
    </row>
    <row r="8100" spans="1:7">
      <c r="A8100" t="s">
        <v>35085</v>
      </c>
      <c r="B8100" t="s">
        <v>8607</v>
      </c>
      <c r="F8100" t="s">
        <v>26176</v>
      </c>
      <c r="G8100" t="s">
        <v>26729</v>
      </c>
    </row>
    <row r="8101" spans="1:7">
      <c r="A8101" t="s">
        <v>35086</v>
      </c>
      <c r="B8101" t="s">
        <v>8607</v>
      </c>
      <c r="F8101" t="s">
        <v>35087</v>
      </c>
      <c r="G8101" t="s">
        <v>35088</v>
      </c>
    </row>
    <row r="8102" spans="1:7">
      <c r="A8102" t="s">
        <v>35089</v>
      </c>
      <c r="B8102" t="s">
        <v>8607</v>
      </c>
      <c r="F8102" t="s">
        <v>17429</v>
      </c>
      <c r="G8102" t="s">
        <v>35090</v>
      </c>
    </row>
    <row r="8103" spans="1:7">
      <c r="A8103" t="s">
        <v>35091</v>
      </c>
      <c r="B8103" t="s">
        <v>8626</v>
      </c>
      <c r="F8103" t="s">
        <v>18705</v>
      </c>
      <c r="G8103" t="s">
        <v>34321</v>
      </c>
    </row>
    <row r="8104" spans="1:7">
      <c r="A8104" t="s">
        <v>35092</v>
      </c>
      <c r="B8104" t="s">
        <v>8607</v>
      </c>
      <c r="F8104" t="s">
        <v>35093</v>
      </c>
      <c r="G8104" t="s">
        <v>35094</v>
      </c>
    </row>
    <row r="8105" spans="1:7">
      <c r="A8105" t="s">
        <v>35095</v>
      </c>
      <c r="B8105" t="s">
        <v>8607</v>
      </c>
      <c r="F8105" t="s">
        <v>35096</v>
      </c>
      <c r="G8105" t="s">
        <v>35097</v>
      </c>
    </row>
    <row r="8106" spans="1:7">
      <c r="A8106" t="s">
        <v>35098</v>
      </c>
      <c r="B8106" t="s">
        <v>8607</v>
      </c>
      <c r="C8106" t="s">
        <v>35099</v>
      </c>
      <c r="F8106" t="s">
        <v>9018</v>
      </c>
      <c r="G8106" t="s">
        <v>35100</v>
      </c>
    </row>
    <row r="8107" spans="1:7">
      <c r="A8107" t="s">
        <v>35101</v>
      </c>
      <c r="B8107" t="s">
        <v>8607</v>
      </c>
      <c r="F8107" t="s">
        <v>9018</v>
      </c>
      <c r="G8107" t="s">
        <v>35102</v>
      </c>
    </row>
    <row r="8108" spans="1:7">
      <c r="A8108" t="s">
        <v>35103</v>
      </c>
      <c r="B8108" t="s">
        <v>8607</v>
      </c>
      <c r="F8108" t="s">
        <v>17457</v>
      </c>
      <c r="G8108" t="s">
        <v>35104</v>
      </c>
    </row>
    <row r="8109" spans="1:7">
      <c r="A8109" t="s">
        <v>35105</v>
      </c>
      <c r="B8109" t="s">
        <v>8607</v>
      </c>
      <c r="F8109" t="s">
        <v>26596</v>
      </c>
      <c r="G8109" t="s">
        <v>35106</v>
      </c>
    </row>
    <row r="8110" spans="1:7">
      <c r="A8110" t="s">
        <v>35107</v>
      </c>
      <c r="B8110" t="s">
        <v>8607</v>
      </c>
      <c r="F8110" t="s">
        <v>26602</v>
      </c>
      <c r="G8110" t="s">
        <v>35108</v>
      </c>
    </row>
    <row r="8111" spans="1:7">
      <c r="A8111" t="s">
        <v>35109</v>
      </c>
      <c r="B8111" t="s">
        <v>8607</v>
      </c>
      <c r="F8111" t="s">
        <v>30494</v>
      </c>
      <c r="G8111" t="s">
        <v>35110</v>
      </c>
    </row>
    <row r="8112" spans="1:7">
      <c r="A8112" t="s">
        <v>35111</v>
      </c>
      <c r="B8112" t="s">
        <v>8626</v>
      </c>
      <c r="F8112" t="s">
        <v>31397</v>
      </c>
      <c r="G8112" t="s">
        <v>35112</v>
      </c>
    </row>
    <row r="8113" spans="1:7">
      <c r="A8113" t="s">
        <v>35113</v>
      </c>
      <c r="B8113" t="s">
        <v>8607</v>
      </c>
      <c r="G8113" t="s">
        <v>35114</v>
      </c>
    </row>
    <row r="8114" spans="1:7">
      <c r="A8114" t="s">
        <v>35115</v>
      </c>
      <c r="B8114" t="s">
        <v>8607</v>
      </c>
      <c r="F8114" t="s">
        <v>31363</v>
      </c>
      <c r="G8114" t="s">
        <v>35116</v>
      </c>
    </row>
    <row r="8115" spans="1:7">
      <c r="A8115" t="s">
        <v>35117</v>
      </c>
      <c r="B8115" t="s">
        <v>8607</v>
      </c>
      <c r="F8115" t="s">
        <v>32656</v>
      </c>
      <c r="G8115" t="s">
        <v>35118</v>
      </c>
    </row>
    <row r="8116" spans="1:7">
      <c r="A8116" t="s">
        <v>35119</v>
      </c>
      <c r="B8116" t="s">
        <v>8607</v>
      </c>
      <c r="F8116" t="s">
        <v>17760</v>
      </c>
      <c r="G8116" t="s">
        <v>35120</v>
      </c>
    </row>
    <row r="8117" spans="1:7">
      <c r="A8117" t="s">
        <v>35121</v>
      </c>
      <c r="B8117" t="s">
        <v>8607</v>
      </c>
      <c r="F8117" t="s">
        <v>29144</v>
      </c>
      <c r="G8117" t="s">
        <v>35122</v>
      </c>
    </row>
    <row r="8118" spans="1:7">
      <c r="A8118" t="s">
        <v>35123</v>
      </c>
      <c r="B8118" t="s">
        <v>8607</v>
      </c>
      <c r="C8118" t="s">
        <v>16679</v>
      </c>
      <c r="F8118" t="s">
        <v>9018</v>
      </c>
      <c r="G8118" t="s">
        <v>35124</v>
      </c>
    </row>
    <row r="8119" spans="1:7">
      <c r="A8119" t="s">
        <v>35125</v>
      </c>
      <c r="B8119" t="s">
        <v>8607</v>
      </c>
      <c r="C8119" t="s">
        <v>18483</v>
      </c>
      <c r="F8119" t="s">
        <v>17760</v>
      </c>
      <c r="G8119" t="s">
        <v>35126</v>
      </c>
    </row>
    <row r="8120" spans="1:7">
      <c r="A8120" t="s">
        <v>35127</v>
      </c>
      <c r="B8120" t="s">
        <v>8607</v>
      </c>
      <c r="F8120" t="s">
        <v>32668</v>
      </c>
      <c r="G8120" t="s">
        <v>35128</v>
      </c>
    </row>
    <row r="8121" spans="1:7">
      <c r="A8121" t="s">
        <v>35129</v>
      </c>
      <c r="B8121" t="s">
        <v>8607</v>
      </c>
      <c r="F8121" t="s">
        <v>25821</v>
      </c>
      <c r="G8121" t="s">
        <v>35130</v>
      </c>
    </row>
    <row r="8122" spans="1:7">
      <c r="A8122" t="s">
        <v>35131</v>
      </c>
      <c r="B8122" t="s">
        <v>8607</v>
      </c>
      <c r="F8122" t="s">
        <v>23796</v>
      </c>
      <c r="G8122" t="s">
        <v>35132</v>
      </c>
    </row>
    <row r="8123" spans="1:7">
      <c r="A8123" t="s">
        <v>35133</v>
      </c>
      <c r="G8123" t="s">
        <v>35134</v>
      </c>
    </row>
    <row r="8124" spans="1:7">
      <c r="A8124" t="s">
        <v>35135</v>
      </c>
      <c r="B8124" t="s">
        <v>8607</v>
      </c>
      <c r="F8124" t="s">
        <v>35136</v>
      </c>
      <c r="G8124" t="s">
        <v>35137</v>
      </c>
    </row>
    <row r="8125" spans="1:7">
      <c r="A8125" t="s">
        <v>35138</v>
      </c>
      <c r="B8125" t="s">
        <v>8607</v>
      </c>
      <c r="F8125" t="s">
        <v>29147</v>
      </c>
      <c r="G8125" t="s">
        <v>27715</v>
      </c>
    </row>
    <row r="8126" spans="1:7">
      <c r="A8126" t="s">
        <v>35139</v>
      </c>
      <c r="B8126" t="s">
        <v>8607</v>
      </c>
      <c r="C8126" t="s">
        <v>35140</v>
      </c>
      <c r="F8126" t="s">
        <v>35141</v>
      </c>
      <c r="G8126" t="s">
        <v>35142</v>
      </c>
    </row>
    <row r="8127" spans="1:7">
      <c r="A8127" t="s">
        <v>35143</v>
      </c>
      <c r="B8127" t="s">
        <v>8626</v>
      </c>
      <c r="F8127" t="s">
        <v>27040</v>
      </c>
      <c r="G8127" t="s">
        <v>35144</v>
      </c>
    </row>
    <row r="8128" spans="1:7">
      <c r="A8128" t="s">
        <v>35145</v>
      </c>
      <c r="G8128" t="s">
        <v>35146</v>
      </c>
    </row>
    <row r="8129" spans="1:7">
      <c r="A8129" t="s">
        <v>35147</v>
      </c>
      <c r="B8129" t="s">
        <v>8626</v>
      </c>
      <c r="G8129" t="s">
        <v>35148</v>
      </c>
    </row>
    <row r="8130" spans="1:7">
      <c r="A8130" t="s">
        <v>35149</v>
      </c>
      <c r="B8130" t="s">
        <v>8607</v>
      </c>
      <c r="F8130" t="s">
        <v>9039</v>
      </c>
      <c r="G8130" t="s">
        <v>35150</v>
      </c>
    </row>
    <row r="8131" spans="1:7">
      <c r="A8131" t="s">
        <v>35151</v>
      </c>
      <c r="B8131" t="s">
        <v>8607</v>
      </c>
      <c r="F8131" t="s">
        <v>9018</v>
      </c>
      <c r="G8131" t="s">
        <v>35152</v>
      </c>
    </row>
    <row r="8132" spans="1:7">
      <c r="A8132" t="s">
        <v>35153</v>
      </c>
      <c r="B8132" t="s">
        <v>8607</v>
      </c>
      <c r="F8132" t="s">
        <v>26176</v>
      </c>
      <c r="G8132" t="s">
        <v>26177</v>
      </c>
    </row>
    <row r="8133" spans="1:7">
      <c r="A8133" t="s">
        <v>35154</v>
      </c>
      <c r="B8133" t="s">
        <v>8626</v>
      </c>
      <c r="F8133" t="s">
        <v>18854</v>
      </c>
      <c r="G8133" t="s">
        <v>27242</v>
      </c>
    </row>
    <row r="8134" spans="1:7">
      <c r="A8134" t="s">
        <v>35155</v>
      </c>
      <c r="B8134" t="s">
        <v>8607</v>
      </c>
      <c r="F8134" t="s">
        <v>26465</v>
      </c>
      <c r="G8134" t="s">
        <v>26275</v>
      </c>
    </row>
    <row r="8135" spans="1:7">
      <c r="A8135" t="s">
        <v>35156</v>
      </c>
      <c r="B8135" t="s">
        <v>8607</v>
      </c>
      <c r="G8135" t="s">
        <v>26217</v>
      </c>
    </row>
    <row r="8136" spans="1:7">
      <c r="A8136" t="s">
        <v>35157</v>
      </c>
      <c r="B8136" t="s">
        <v>8607</v>
      </c>
      <c r="C8136" t="s">
        <v>26922</v>
      </c>
      <c r="F8136" t="s">
        <v>17429</v>
      </c>
      <c r="G8136" t="s">
        <v>35158</v>
      </c>
    </row>
    <row r="8137" spans="1:7">
      <c r="A8137" t="s">
        <v>35159</v>
      </c>
      <c r="B8137" t="s">
        <v>8607</v>
      </c>
      <c r="F8137" t="s">
        <v>27020</v>
      </c>
      <c r="G8137" t="s">
        <v>27021</v>
      </c>
    </row>
    <row r="8138" spans="1:7">
      <c r="A8138" t="s">
        <v>35160</v>
      </c>
      <c r="B8138" t="s">
        <v>8626</v>
      </c>
      <c r="G8138" t="s">
        <v>35161</v>
      </c>
    </row>
    <row r="8139" spans="1:7">
      <c r="A8139" t="s">
        <v>35162</v>
      </c>
      <c r="B8139" t="s">
        <v>8626</v>
      </c>
      <c r="G8139" t="s">
        <v>34799</v>
      </c>
    </row>
    <row r="8140" spans="1:7">
      <c r="A8140" t="s">
        <v>35163</v>
      </c>
      <c r="B8140" t="s">
        <v>8607</v>
      </c>
      <c r="F8140" t="s">
        <v>29013</v>
      </c>
      <c r="G8140" t="s">
        <v>29014</v>
      </c>
    </row>
    <row r="8141" spans="1:7">
      <c r="A8141" t="s">
        <v>35164</v>
      </c>
      <c r="G8141" t="s">
        <v>35165</v>
      </c>
    </row>
    <row r="8142" spans="1:7">
      <c r="A8142" t="s">
        <v>35166</v>
      </c>
      <c r="B8142" t="s">
        <v>8607</v>
      </c>
      <c r="F8142" t="s">
        <v>26104</v>
      </c>
      <c r="G8142" t="s">
        <v>26236</v>
      </c>
    </row>
    <row r="8143" spans="1:7">
      <c r="A8143" t="s">
        <v>35167</v>
      </c>
      <c r="B8143" t="s">
        <v>8626</v>
      </c>
      <c r="G8143" t="s">
        <v>26892</v>
      </c>
    </row>
    <row r="8144" spans="1:7">
      <c r="A8144" t="s">
        <v>35168</v>
      </c>
      <c r="B8144" t="s">
        <v>8607</v>
      </c>
      <c r="F8144" t="s">
        <v>9018</v>
      </c>
      <c r="G8144" t="s">
        <v>35169</v>
      </c>
    </row>
    <row r="8145" spans="1:7">
      <c r="A8145" t="s">
        <v>35170</v>
      </c>
      <c r="B8145" t="s">
        <v>8607</v>
      </c>
      <c r="G8145" t="s">
        <v>26482</v>
      </c>
    </row>
    <row r="8146" spans="1:7">
      <c r="A8146" t="s">
        <v>35171</v>
      </c>
      <c r="B8146" t="s">
        <v>8607</v>
      </c>
      <c r="F8146" t="s">
        <v>26173</v>
      </c>
      <c r="G8146" t="s">
        <v>26174</v>
      </c>
    </row>
    <row r="8147" spans="1:7">
      <c r="A8147" t="s">
        <v>35172</v>
      </c>
      <c r="B8147" t="s">
        <v>8626</v>
      </c>
      <c r="G8147" t="s">
        <v>35173</v>
      </c>
    </row>
    <row r="8148" spans="1:7">
      <c r="A8148" t="s">
        <v>35174</v>
      </c>
      <c r="B8148" t="s">
        <v>8607</v>
      </c>
      <c r="G8148" t="s">
        <v>26355</v>
      </c>
    </row>
    <row r="8149" spans="1:7">
      <c r="A8149" t="s">
        <v>35175</v>
      </c>
      <c r="B8149" t="s">
        <v>8626</v>
      </c>
      <c r="G8149" t="s">
        <v>31845</v>
      </c>
    </row>
    <row r="8150" spans="1:7">
      <c r="A8150" t="s">
        <v>35176</v>
      </c>
      <c r="B8150" t="s">
        <v>8607</v>
      </c>
      <c r="F8150" t="s">
        <v>26358</v>
      </c>
      <c r="G8150" t="s">
        <v>31847</v>
      </c>
    </row>
    <row r="8151" spans="1:7">
      <c r="A8151" t="s">
        <v>35177</v>
      </c>
      <c r="B8151" t="s">
        <v>8607</v>
      </c>
      <c r="G8151" t="s">
        <v>35178</v>
      </c>
    </row>
    <row r="8152" spans="1:7">
      <c r="A8152" t="s">
        <v>35179</v>
      </c>
      <c r="B8152" t="s">
        <v>8607</v>
      </c>
      <c r="F8152" t="s">
        <v>9018</v>
      </c>
      <c r="G8152" t="s">
        <v>18567</v>
      </c>
    </row>
    <row r="8153" spans="1:7">
      <c r="A8153" t="s">
        <v>35180</v>
      </c>
      <c r="B8153" t="s">
        <v>8607</v>
      </c>
      <c r="F8153" t="s">
        <v>26207</v>
      </c>
      <c r="G8153" t="s">
        <v>31290</v>
      </c>
    </row>
    <row r="8154" spans="1:7">
      <c r="A8154" t="s">
        <v>35181</v>
      </c>
      <c r="B8154" t="s">
        <v>8607</v>
      </c>
      <c r="G8154" t="s">
        <v>31853</v>
      </c>
    </row>
    <row r="8155" spans="1:7">
      <c r="A8155" t="s">
        <v>35182</v>
      </c>
      <c r="B8155" t="s">
        <v>8607</v>
      </c>
      <c r="F8155" t="s">
        <v>26212</v>
      </c>
      <c r="G8155" t="s">
        <v>26431</v>
      </c>
    </row>
    <row r="8156" spans="1:7">
      <c r="A8156" t="s">
        <v>35183</v>
      </c>
      <c r="B8156" t="s">
        <v>8607</v>
      </c>
      <c r="F8156" t="s">
        <v>17349</v>
      </c>
      <c r="G8156" t="s">
        <v>27084</v>
      </c>
    </row>
    <row r="8157" spans="1:7">
      <c r="A8157" t="s">
        <v>35184</v>
      </c>
      <c r="B8157" t="s">
        <v>8607</v>
      </c>
      <c r="G8157" t="s">
        <v>27095</v>
      </c>
    </row>
    <row r="8158" spans="1:7">
      <c r="A8158" t="s">
        <v>35185</v>
      </c>
      <c r="B8158" t="s">
        <v>8626</v>
      </c>
      <c r="F8158" t="s">
        <v>26343</v>
      </c>
      <c r="G8158" t="s">
        <v>34693</v>
      </c>
    </row>
    <row r="8159" spans="1:7">
      <c r="A8159" t="s">
        <v>35186</v>
      </c>
      <c r="B8159" t="s">
        <v>8626</v>
      </c>
      <c r="F8159" t="s">
        <v>26179</v>
      </c>
      <c r="G8159" t="s">
        <v>34718</v>
      </c>
    </row>
    <row r="8160" spans="1:7">
      <c r="A8160" t="s">
        <v>35187</v>
      </c>
      <c r="G8160" t="s">
        <v>35188</v>
      </c>
    </row>
    <row r="8161" spans="1:7">
      <c r="A8161" t="s">
        <v>35189</v>
      </c>
      <c r="G8161" t="s">
        <v>35190</v>
      </c>
    </row>
    <row r="8162" spans="1:7">
      <c r="A8162" t="s">
        <v>35191</v>
      </c>
      <c r="G8162" t="s">
        <v>35192</v>
      </c>
    </row>
    <row r="8163" spans="1:7">
      <c r="A8163" t="s">
        <v>35193</v>
      </c>
      <c r="B8163" t="s">
        <v>8607</v>
      </c>
      <c r="F8163" t="s">
        <v>35194</v>
      </c>
      <c r="G8163" t="s">
        <v>35195</v>
      </c>
    </row>
    <row r="8164" spans="1:7">
      <c r="A8164" t="s">
        <v>35196</v>
      </c>
      <c r="B8164" t="s">
        <v>8607</v>
      </c>
      <c r="F8164" t="s">
        <v>35197</v>
      </c>
      <c r="G8164" t="s">
        <v>35198</v>
      </c>
    </row>
    <row r="8165" spans="1:7">
      <c r="A8165" t="s">
        <v>35199</v>
      </c>
      <c r="B8165" t="s">
        <v>8626</v>
      </c>
      <c r="G8165" t="s">
        <v>35200</v>
      </c>
    </row>
    <row r="8166" spans="1:7">
      <c r="A8166" t="s">
        <v>35201</v>
      </c>
      <c r="B8166" t="s">
        <v>8607</v>
      </c>
      <c r="F8166" t="s">
        <v>35202</v>
      </c>
      <c r="G8166" t="s">
        <v>35203</v>
      </c>
    </row>
    <row r="8167" spans="1:7">
      <c r="A8167" t="s">
        <v>35204</v>
      </c>
      <c r="B8167" t="s">
        <v>8607</v>
      </c>
      <c r="F8167" t="s">
        <v>35205</v>
      </c>
      <c r="G8167" t="s">
        <v>35206</v>
      </c>
    </row>
    <row r="8168" spans="1:7">
      <c r="A8168" t="s">
        <v>35207</v>
      </c>
      <c r="B8168" t="s">
        <v>8607</v>
      </c>
      <c r="G8168" t="s">
        <v>30352</v>
      </c>
    </row>
    <row r="8169" spans="1:7">
      <c r="A8169" t="s">
        <v>35208</v>
      </c>
      <c r="B8169" t="s">
        <v>8626</v>
      </c>
      <c r="F8169" t="s">
        <v>18705</v>
      </c>
      <c r="G8169" t="s">
        <v>35209</v>
      </c>
    </row>
    <row r="8170" spans="1:7">
      <c r="A8170" t="s">
        <v>35210</v>
      </c>
      <c r="B8170" t="s">
        <v>8626</v>
      </c>
      <c r="F8170" t="s">
        <v>35211</v>
      </c>
      <c r="G8170" t="s">
        <v>35212</v>
      </c>
    </row>
    <row r="8171" spans="1:7">
      <c r="A8171" t="s">
        <v>35213</v>
      </c>
      <c r="G8171" t="s">
        <v>35214</v>
      </c>
    </row>
    <row r="8172" spans="1:7">
      <c r="A8172" t="s">
        <v>35215</v>
      </c>
      <c r="B8172" t="s">
        <v>8626</v>
      </c>
      <c r="F8172" t="s">
        <v>26877</v>
      </c>
      <c r="G8172" t="s">
        <v>35216</v>
      </c>
    </row>
    <row r="8173" spans="1:7">
      <c r="A8173" t="s">
        <v>35217</v>
      </c>
      <c r="B8173" t="s">
        <v>8607</v>
      </c>
      <c r="F8173" t="s">
        <v>27702</v>
      </c>
      <c r="G8173" t="s">
        <v>30184</v>
      </c>
    </row>
    <row r="8174" spans="1:7">
      <c r="A8174" t="s">
        <v>35218</v>
      </c>
      <c r="B8174" t="s">
        <v>8607</v>
      </c>
      <c r="F8174" t="s">
        <v>17327</v>
      </c>
      <c r="G8174" t="s">
        <v>35219</v>
      </c>
    </row>
    <row r="8175" spans="1:7">
      <c r="A8175" t="s">
        <v>35220</v>
      </c>
      <c r="B8175" t="s">
        <v>8607</v>
      </c>
      <c r="F8175" t="s">
        <v>35221</v>
      </c>
      <c r="G8175" t="s">
        <v>35222</v>
      </c>
    </row>
    <row r="8176" spans="1:7">
      <c r="A8176" t="s">
        <v>35223</v>
      </c>
      <c r="B8176" t="s">
        <v>8607</v>
      </c>
      <c r="F8176" t="s">
        <v>35224</v>
      </c>
      <c r="G8176" t="s">
        <v>35225</v>
      </c>
    </row>
    <row r="8177" spans="1:7">
      <c r="A8177" t="s">
        <v>35226</v>
      </c>
      <c r="B8177" t="s">
        <v>8607</v>
      </c>
      <c r="F8177" t="s">
        <v>35227</v>
      </c>
      <c r="G8177" t="s">
        <v>35228</v>
      </c>
    </row>
    <row r="8178" spans="1:7">
      <c r="A8178" t="s">
        <v>35229</v>
      </c>
      <c r="B8178" t="s">
        <v>8607</v>
      </c>
      <c r="G8178" t="s">
        <v>35230</v>
      </c>
    </row>
    <row r="8179" spans="1:7">
      <c r="A8179" t="s">
        <v>35231</v>
      </c>
      <c r="B8179" t="s">
        <v>8626</v>
      </c>
      <c r="F8179" t="s">
        <v>9018</v>
      </c>
      <c r="G8179" t="s">
        <v>35232</v>
      </c>
    </row>
    <row r="8180" spans="1:7">
      <c r="A8180" t="s">
        <v>35233</v>
      </c>
      <c r="B8180" t="s">
        <v>8607</v>
      </c>
      <c r="F8180" t="s">
        <v>35234</v>
      </c>
      <c r="G8180" t="s">
        <v>35235</v>
      </c>
    </row>
    <row r="8181" spans="1:7">
      <c r="A8181" t="s">
        <v>35236</v>
      </c>
      <c r="B8181" t="s">
        <v>8607</v>
      </c>
      <c r="F8181" t="s">
        <v>35237</v>
      </c>
      <c r="G8181" t="s">
        <v>35238</v>
      </c>
    </row>
    <row r="8182" spans="1:7">
      <c r="A8182" t="s">
        <v>35239</v>
      </c>
      <c r="B8182" t="s">
        <v>8607</v>
      </c>
      <c r="F8182" t="s">
        <v>35240</v>
      </c>
      <c r="G8182" t="s">
        <v>35241</v>
      </c>
    </row>
    <row r="8183" spans="1:7">
      <c r="A8183" t="s">
        <v>35242</v>
      </c>
      <c r="B8183" t="s">
        <v>8626</v>
      </c>
      <c r="F8183" t="s">
        <v>35243</v>
      </c>
      <c r="G8183" t="s">
        <v>35244</v>
      </c>
    </row>
    <row r="8184" spans="1:7">
      <c r="A8184" t="s">
        <v>35245</v>
      </c>
      <c r="B8184" t="s">
        <v>8626</v>
      </c>
      <c r="F8184" t="s">
        <v>35246</v>
      </c>
      <c r="G8184" t="s">
        <v>35247</v>
      </c>
    </row>
    <row r="8185" spans="1:7">
      <c r="A8185" t="s">
        <v>35248</v>
      </c>
      <c r="G8185" t="s">
        <v>35249</v>
      </c>
    </row>
    <row r="8186" spans="1:7">
      <c r="A8186" t="s">
        <v>35250</v>
      </c>
      <c r="B8186" t="s">
        <v>8607</v>
      </c>
      <c r="F8186" t="s">
        <v>35251</v>
      </c>
      <c r="G8186" t="s">
        <v>35252</v>
      </c>
    </row>
    <row r="8187" spans="1:7">
      <c r="A8187" t="s">
        <v>35253</v>
      </c>
      <c r="B8187" t="s">
        <v>8607</v>
      </c>
      <c r="C8187" t="s">
        <v>35254</v>
      </c>
      <c r="F8187" t="s">
        <v>26602</v>
      </c>
      <c r="G8187" t="s">
        <v>35255</v>
      </c>
    </row>
    <row r="8188" spans="1:7">
      <c r="A8188" t="s">
        <v>35256</v>
      </c>
      <c r="B8188" t="s">
        <v>8607</v>
      </c>
      <c r="F8188" t="s">
        <v>35257</v>
      </c>
      <c r="G8188" t="s">
        <v>35258</v>
      </c>
    </row>
    <row r="8189" spans="1:7">
      <c r="A8189" t="s">
        <v>35259</v>
      </c>
      <c r="B8189" t="s">
        <v>8626</v>
      </c>
      <c r="F8189" t="s">
        <v>35260</v>
      </c>
      <c r="G8189" t="s">
        <v>35261</v>
      </c>
    </row>
    <row r="8190" spans="1:7">
      <c r="A8190" t="s">
        <v>35262</v>
      </c>
      <c r="B8190" t="s">
        <v>8607</v>
      </c>
      <c r="F8190" t="s">
        <v>35263</v>
      </c>
      <c r="G8190" t="s">
        <v>35264</v>
      </c>
    </row>
    <row r="8191" spans="1:7">
      <c r="A8191" t="s">
        <v>35265</v>
      </c>
      <c r="B8191" t="s">
        <v>8607</v>
      </c>
      <c r="F8191" t="s">
        <v>28301</v>
      </c>
      <c r="G8191" t="s">
        <v>35266</v>
      </c>
    </row>
    <row r="8192" spans="1:7">
      <c r="A8192" t="s">
        <v>35267</v>
      </c>
      <c r="B8192" t="s">
        <v>8607</v>
      </c>
      <c r="F8192" t="s">
        <v>28301</v>
      </c>
      <c r="G8192" t="s">
        <v>35268</v>
      </c>
    </row>
    <row r="8193" spans="1:7">
      <c r="A8193" t="s">
        <v>35269</v>
      </c>
      <c r="B8193" t="s">
        <v>8607</v>
      </c>
      <c r="F8193" t="s">
        <v>25964</v>
      </c>
      <c r="G8193" t="s">
        <v>35270</v>
      </c>
    </row>
    <row r="8194" spans="1:7">
      <c r="A8194" t="s">
        <v>35271</v>
      </c>
      <c r="B8194" t="s">
        <v>8626</v>
      </c>
      <c r="F8194" t="s">
        <v>24664</v>
      </c>
      <c r="G8194" t="s">
        <v>35272</v>
      </c>
    </row>
    <row r="8195" spans="1:7">
      <c r="A8195" t="s">
        <v>35273</v>
      </c>
      <c r="B8195" t="s">
        <v>8607</v>
      </c>
      <c r="F8195" t="s">
        <v>28119</v>
      </c>
      <c r="G8195" t="s">
        <v>34511</v>
      </c>
    </row>
    <row r="8196" spans="1:7">
      <c r="A8196" t="s">
        <v>35274</v>
      </c>
      <c r="B8196" t="s">
        <v>8607</v>
      </c>
      <c r="F8196" t="s">
        <v>18603</v>
      </c>
      <c r="G8196" t="s">
        <v>18604</v>
      </c>
    </row>
    <row r="8197" spans="1:7">
      <c r="A8197" t="s">
        <v>35275</v>
      </c>
      <c r="B8197" t="s">
        <v>8626</v>
      </c>
      <c r="C8197" t="s">
        <v>26315</v>
      </c>
      <c r="F8197" t="s">
        <v>18777</v>
      </c>
      <c r="G8197" t="s">
        <v>35276</v>
      </c>
    </row>
    <row r="8198" spans="1:7">
      <c r="A8198" t="s">
        <v>35277</v>
      </c>
      <c r="B8198" t="s">
        <v>8607</v>
      </c>
      <c r="C8198" t="s">
        <v>26315</v>
      </c>
      <c r="F8198" t="s">
        <v>17320</v>
      </c>
      <c r="G8198" t="s">
        <v>30315</v>
      </c>
    </row>
    <row r="8199" spans="1:7">
      <c r="A8199" t="s">
        <v>35278</v>
      </c>
      <c r="B8199" t="s">
        <v>8626</v>
      </c>
      <c r="F8199" t="s">
        <v>35279</v>
      </c>
      <c r="G8199" t="s">
        <v>35280</v>
      </c>
    </row>
    <row r="8200" spans="1:7">
      <c r="A8200" t="s">
        <v>35281</v>
      </c>
      <c r="B8200" t="s">
        <v>8626</v>
      </c>
      <c r="C8200" t="s">
        <v>33710</v>
      </c>
      <c r="F8200" t="s">
        <v>20866</v>
      </c>
      <c r="G8200" t="s">
        <v>35282</v>
      </c>
    </row>
    <row r="8201" spans="1:7">
      <c r="A8201" t="s">
        <v>35283</v>
      </c>
      <c r="B8201" t="s">
        <v>8607</v>
      </c>
      <c r="F8201" t="s">
        <v>12862</v>
      </c>
      <c r="G8201" t="s">
        <v>35284</v>
      </c>
    </row>
    <row r="8202" spans="1:7">
      <c r="A8202" t="s">
        <v>35285</v>
      </c>
      <c r="B8202" t="s">
        <v>8626</v>
      </c>
      <c r="G8202" t="s">
        <v>35286</v>
      </c>
    </row>
    <row r="8203" spans="1:7">
      <c r="A8203" t="s">
        <v>35287</v>
      </c>
      <c r="B8203" t="s">
        <v>8607</v>
      </c>
      <c r="C8203" t="s">
        <v>24008</v>
      </c>
      <c r="F8203" t="s">
        <v>17305</v>
      </c>
      <c r="G8203" t="s">
        <v>35288</v>
      </c>
    </row>
    <row r="8204" spans="1:7">
      <c r="A8204" t="s">
        <v>35289</v>
      </c>
      <c r="B8204" t="s">
        <v>8607</v>
      </c>
      <c r="F8204" t="s">
        <v>27227</v>
      </c>
      <c r="G8204" t="s">
        <v>34985</v>
      </c>
    </row>
    <row r="8205" spans="1:7">
      <c r="A8205" t="s">
        <v>35290</v>
      </c>
      <c r="B8205" t="s">
        <v>8607</v>
      </c>
      <c r="F8205" t="s">
        <v>30002</v>
      </c>
      <c r="G8205" t="s">
        <v>30003</v>
      </c>
    </row>
    <row r="8206" spans="1:7">
      <c r="A8206" t="s">
        <v>35291</v>
      </c>
      <c r="B8206" t="s">
        <v>8607</v>
      </c>
      <c r="G8206" t="s">
        <v>34737</v>
      </c>
    </row>
    <row r="8207" spans="1:7">
      <c r="A8207" t="s">
        <v>35292</v>
      </c>
      <c r="B8207" t="s">
        <v>8607</v>
      </c>
      <c r="C8207" t="s">
        <v>26665</v>
      </c>
      <c r="F8207" t="s">
        <v>26666</v>
      </c>
      <c r="G8207" t="s">
        <v>29634</v>
      </c>
    </row>
    <row r="8208" spans="1:7">
      <c r="A8208" t="s">
        <v>35293</v>
      </c>
      <c r="B8208" t="s">
        <v>8607</v>
      </c>
      <c r="C8208" t="s">
        <v>26669</v>
      </c>
      <c r="F8208" t="s">
        <v>26670</v>
      </c>
      <c r="G8208" t="s">
        <v>35294</v>
      </c>
    </row>
    <row r="8209" spans="1:7">
      <c r="A8209" t="s">
        <v>35295</v>
      </c>
      <c r="B8209" t="s">
        <v>8607</v>
      </c>
      <c r="C8209" t="s">
        <v>29299</v>
      </c>
      <c r="F8209" t="s">
        <v>26937</v>
      </c>
      <c r="G8209" t="s">
        <v>29452</v>
      </c>
    </row>
    <row r="8210" spans="1:7">
      <c r="A8210" t="s">
        <v>35296</v>
      </c>
      <c r="B8210" t="s">
        <v>8607</v>
      </c>
      <c r="F8210" t="s">
        <v>29314</v>
      </c>
      <c r="G8210" t="s">
        <v>35297</v>
      </c>
    </row>
    <row r="8211" spans="1:7">
      <c r="A8211" t="s">
        <v>35298</v>
      </c>
      <c r="B8211" t="s">
        <v>8607</v>
      </c>
      <c r="F8211" t="s">
        <v>29409</v>
      </c>
      <c r="G8211" t="s">
        <v>29410</v>
      </c>
    </row>
    <row r="8212" spans="1:7">
      <c r="A8212" t="s">
        <v>35299</v>
      </c>
      <c r="B8212" t="s">
        <v>8607</v>
      </c>
      <c r="F8212" t="s">
        <v>8623</v>
      </c>
      <c r="G8212" t="s">
        <v>35300</v>
      </c>
    </row>
    <row r="8213" spans="1:7">
      <c r="A8213" t="s">
        <v>35301</v>
      </c>
      <c r="B8213" t="s">
        <v>8607</v>
      </c>
      <c r="F8213" t="s">
        <v>17767</v>
      </c>
      <c r="G8213" t="s">
        <v>30274</v>
      </c>
    </row>
    <row r="8214" spans="1:7">
      <c r="A8214" t="s">
        <v>35302</v>
      </c>
      <c r="B8214" t="s">
        <v>8607</v>
      </c>
      <c r="F8214" t="s">
        <v>20844</v>
      </c>
      <c r="G8214" t="s">
        <v>20857</v>
      </c>
    </row>
    <row r="8215" spans="1:7">
      <c r="A8215" t="s">
        <v>35303</v>
      </c>
      <c r="B8215" t="s">
        <v>8626</v>
      </c>
      <c r="F8215" t="s">
        <v>27979</v>
      </c>
      <c r="G8215" t="s">
        <v>31949</v>
      </c>
    </row>
    <row r="8216" spans="1:7">
      <c r="A8216" t="s">
        <v>35304</v>
      </c>
      <c r="B8216" t="s">
        <v>8607</v>
      </c>
      <c r="F8216" t="s">
        <v>26843</v>
      </c>
      <c r="G8216" t="s">
        <v>29396</v>
      </c>
    </row>
    <row r="8217" spans="1:7">
      <c r="A8217" t="s">
        <v>35305</v>
      </c>
      <c r="B8217" t="s">
        <v>8607</v>
      </c>
      <c r="G8217" t="s">
        <v>30234</v>
      </c>
    </row>
    <row r="8218" spans="1:7">
      <c r="A8218" t="s">
        <v>35306</v>
      </c>
      <c r="B8218" t="s">
        <v>8626</v>
      </c>
      <c r="F8218" t="s">
        <v>35307</v>
      </c>
      <c r="G8218" t="s">
        <v>35308</v>
      </c>
    </row>
    <row r="8219" spans="1:7">
      <c r="A8219" t="s">
        <v>35309</v>
      </c>
      <c r="B8219" t="s">
        <v>8607</v>
      </c>
      <c r="C8219" t="s">
        <v>26083</v>
      </c>
      <c r="F8219" t="s">
        <v>26084</v>
      </c>
      <c r="G8219" t="s">
        <v>35310</v>
      </c>
    </row>
    <row r="8220" spans="1:7">
      <c r="A8220" t="s">
        <v>35311</v>
      </c>
      <c r="B8220" t="s">
        <v>8607</v>
      </c>
      <c r="C8220" t="s">
        <v>26087</v>
      </c>
      <c r="F8220" t="s">
        <v>26088</v>
      </c>
      <c r="G8220" t="s">
        <v>35312</v>
      </c>
    </row>
    <row r="8221" spans="1:7">
      <c r="A8221" t="s">
        <v>35313</v>
      </c>
      <c r="B8221" t="s">
        <v>8607</v>
      </c>
      <c r="C8221" t="s">
        <v>26119</v>
      </c>
      <c r="F8221" t="s">
        <v>26120</v>
      </c>
      <c r="G8221" t="s">
        <v>35314</v>
      </c>
    </row>
    <row r="8222" spans="1:7">
      <c r="A8222" t="s">
        <v>35315</v>
      </c>
      <c r="B8222" t="s">
        <v>8607</v>
      </c>
      <c r="F8222" t="s">
        <v>26365</v>
      </c>
      <c r="G8222" t="s">
        <v>35316</v>
      </c>
    </row>
    <row r="8223" spans="1:7">
      <c r="A8223" t="s">
        <v>35317</v>
      </c>
      <c r="B8223" t="s">
        <v>8626</v>
      </c>
      <c r="G8223" t="s">
        <v>35318</v>
      </c>
    </row>
    <row r="8224" spans="1:7">
      <c r="A8224" t="s">
        <v>35319</v>
      </c>
      <c r="B8224" t="s">
        <v>8626</v>
      </c>
      <c r="F8224" t="s">
        <v>26698</v>
      </c>
      <c r="G8224" t="s">
        <v>35320</v>
      </c>
    </row>
    <row r="8225" spans="1:7">
      <c r="A8225" t="s">
        <v>35321</v>
      </c>
      <c r="B8225" t="s">
        <v>8607</v>
      </c>
      <c r="F8225" t="s">
        <v>30195</v>
      </c>
      <c r="G8225" t="s">
        <v>30196</v>
      </c>
    </row>
    <row r="8226" spans="1:7">
      <c r="A8226" t="s">
        <v>35322</v>
      </c>
      <c r="G8226" t="s">
        <v>35323</v>
      </c>
    </row>
    <row r="8227" spans="1:7">
      <c r="A8227" t="s">
        <v>35324</v>
      </c>
      <c r="G8227" t="s">
        <v>35325</v>
      </c>
    </row>
    <row r="8228" spans="1:7">
      <c r="A8228" t="s">
        <v>35326</v>
      </c>
      <c r="B8228" t="s">
        <v>8607</v>
      </c>
      <c r="F8228" t="s">
        <v>35016</v>
      </c>
      <c r="G8228" t="s">
        <v>35327</v>
      </c>
    </row>
    <row r="8229" spans="1:7">
      <c r="A8229" t="s">
        <v>35328</v>
      </c>
      <c r="B8229" t="s">
        <v>8607</v>
      </c>
      <c r="F8229" t="s">
        <v>20412</v>
      </c>
      <c r="G8229" t="s">
        <v>35329</v>
      </c>
    </row>
    <row r="8230" spans="1:7">
      <c r="A8230" t="s">
        <v>35330</v>
      </c>
      <c r="B8230" t="s">
        <v>8607</v>
      </c>
      <c r="C8230" t="s">
        <v>28071</v>
      </c>
      <c r="F8230" t="s">
        <v>17327</v>
      </c>
      <c r="G8230" t="s">
        <v>28072</v>
      </c>
    </row>
    <row r="8231" spans="1:7">
      <c r="A8231" t="s">
        <v>35331</v>
      </c>
      <c r="B8231" t="s">
        <v>8607</v>
      </c>
      <c r="C8231" t="s">
        <v>28882</v>
      </c>
      <c r="F8231" t="s">
        <v>17932</v>
      </c>
      <c r="G8231" t="s">
        <v>28883</v>
      </c>
    </row>
    <row r="8232" spans="1:7">
      <c r="A8232" t="s">
        <v>35332</v>
      </c>
      <c r="B8232" t="s">
        <v>8607</v>
      </c>
      <c r="F8232" t="s">
        <v>17760</v>
      </c>
      <c r="G8232" t="s">
        <v>18497</v>
      </c>
    </row>
    <row r="8233" spans="1:7">
      <c r="A8233" t="s">
        <v>35333</v>
      </c>
      <c r="B8233" t="s">
        <v>8607</v>
      </c>
      <c r="F8233" t="s">
        <v>27646</v>
      </c>
      <c r="G8233" t="s">
        <v>33559</v>
      </c>
    </row>
    <row r="8234" spans="1:7">
      <c r="A8234" t="s">
        <v>35334</v>
      </c>
      <c r="B8234" t="s">
        <v>8607</v>
      </c>
      <c r="F8234" t="s">
        <v>27649</v>
      </c>
      <c r="G8234" t="s">
        <v>30938</v>
      </c>
    </row>
    <row r="8235" spans="1:7">
      <c r="A8235" t="s">
        <v>35335</v>
      </c>
      <c r="B8235" t="s">
        <v>8607</v>
      </c>
      <c r="F8235" t="s">
        <v>35336</v>
      </c>
      <c r="G8235" t="s">
        <v>32409</v>
      </c>
    </row>
    <row r="8236" spans="1:7">
      <c r="A8236" t="s">
        <v>35337</v>
      </c>
      <c r="B8236" t="s">
        <v>8607</v>
      </c>
      <c r="G8236" t="s">
        <v>34270</v>
      </c>
    </row>
    <row r="8237" spans="1:7">
      <c r="A8237" t="s">
        <v>35338</v>
      </c>
      <c r="B8237" t="s">
        <v>8607</v>
      </c>
      <c r="F8237" t="s">
        <v>30468</v>
      </c>
      <c r="G8237" t="s">
        <v>30469</v>
      </c>
    </row>
    <row r="8238" spans="1:7">
      <c r="A8238" t="s">
        <v>35339</v>
      </c>
      <c r="B8238" t="s">
        <v>8607</v>
      </c>
      <c r="C8238" t="s">
        <v>30561</v>
      </c>
      <c r="F8238" t="s">
        <v>17429</v>
      </c>
      <c r="G8238" t="s">
        <v>31735</v>
      </c>
    </row>
    <row r="8239" spans="1:7">
      <c r="A8239" t="s">
        <v>35340</v>
      </c>
      <c r="B8239" t="s">
        <v>8626</v>
      </c>
      <c r="C8239" t="s">
        <v>34431</v>
      </c>
      <c r="F8239" t="s">
        <v>34432</v>
      </c>
      <c r="G8239" t="s">
        <v>35341</v>
      </c>
    </row>
    <row r="8240" spans="1:7">
      <c r="A8240" t="s">
        <v>35342</v>
      </c>
      <c r="B8240" t="s">
        <v>8607</v>
      </c>
      <c r="F8240" t="s">
        <v>8623</v>
      </c>
      <c r="G8240" t="s">
        <v>35343</v>
      </c>
    </row>
    <row r="8241" spans="1:7">
      <c r="A8241" t="s">
        <v>35344</v>
      </c>
      <c r="B8241" t="s">
        <v>8626</v>
      </c>
      <c r="G8241" t="s">
        <v>35345</v>
      </c>
    </row>
    <row r="8242" spans="1:7">
      <c r="A8242" t="s">
        <v>35346</v>
      </c>
      <c r="G8242" t="s">
        <v>35347</v>
      </c>
    </row>
    <row r="8243" spans="1:7">
      <c r="A8243" t="s">
        <v>35348</v>
      </c>
      <c r="B8243" t="s">
        <v>8607</v>
      </c>
      <c r="G8243" t="s">
        <v>35349</v>
      </c>
    </row>
    <row r="8244" spans="1:7">
      <c r="A8244" t="s">
        <v>35350</v>
      </c>
      <c r="B8244" t="s">
        <v>8607</v>
      </c>
      <c r="F8244" t="s">
        <v>23153</v>
      </c>
      <c r="G8244" t="s">
        <v>35351</v>
      </c>
    </row>
    <row r="8245" spans="1:7">
      <c r="A8245" t="s">
        <v>35352</v>
      </c>
      <c r="G8245" t="s">
        <v>35353</v>
      </c>
    </row>
    <row r="8246" spans="1:7">
      <c r="A8246" t="s">
        <v>35354</v>
      </c>
      <c r="B8246" t="s">
        <v>8626</v>
      </c>
      <c r="F8246" t="s">
        <v>22977</v>
      </c>
      <c r="G8246" t="s">
        <v>35355</v>
      </c>
    </row>
    <row r="8247" spans="1:7">
      <c r="A8247" t="s">
        <v>35356</v>
      </c>
      <c r="B8247" t="s">
        <v>8607</v>
      </c>
      <c r="F8247" t="s">
        <v>21567</v>
      </c>
      <c r="G8247" t="s">
        <v>35357</v>
      </c>
    </row>
    <row r="8248" spans="1:7">
      <c r="A8248" t="s">
        <v>35358</v>
      </c>
      <c r="B8248" t="s">
        <v>8607</v>
      </c>
      <c r="F8248" t="s">
        <v>35359</v>
      </c>
      <c r="G8248" t="s">
        <v>35360</v>
      </c>
    </row>
    <row r="8249" spans="1:7">
      <c r="A8249" t="s">
        <v>35361</v>
      </c>
      <c r="B8249" t="s">
        <v>8607</v>
      </c>
      <c r="G8249" t="s">
        <v>35362</v>
      </c>
    </row>
    <row r="8250" spans="1:7">
      <c r="A8250" t="s">
        <v>35363</v>
      </c>
      <c r="B8250" t="s">
        <v>8607</v>
      </c>
      <c r="F8250" t="s">
        <v>26299</v>
      </c>
      <c r="G8250" t="s">
        <v>26438</v>
      </c>
    </row>
    <row r="8251" spans="1:7">
      <c r="A8251" t="s">
        <v>35364</v>
      </c>
      <c r="B8251" t="s">
        <v>8607</v>
      </c>
      <c r="F8251" t="s">
        <v>8623</v>
      </c>
      <c r="G8251" t="s">
        <v>35365</v>
      </c>
    </row>
    <row r="8252" spans="1:7">
      <c r="A8252" t="s">
        <v>35366</v>
      </c>
      <c r="B8252" t="s">
        <v>8607</v>
      </c>
      <c r="C8252" t="s">
        <v>35367</v>
      </c>
      <c r="F8252" t="s">
        <v>8623</v>
      </c>
      <c r="G8252" t="s">
        <v>35368</v>
      </c>
    </row>
    <row r="8253" spans="1:7">
      <c r="A8253" t="s">
        <v>35369</v>
      </c>
      <c r="B8253" t="s">
        <v>8626</v>
      </c>
      <c r="F8253" t="s">
        <v>23295</v>
      </c>
      <c r="G8253" t="s">
        <v>35370</v>
      </c>
    </row>
    <row r="8254" spans="1:7">
      <c r="A8254" t="s">
        <v>35371</v>
      </c>
      <c r="B8254" t="s">
        <v>8607</v>
      </c>
      <c r="C8254" t="s">
        <v>26479</v>
      </c>
      <c r="F8254" t="s">
        <v>9018</v>
      </c>
      <c r="G8254" t="s">
        <v>35372</v>
      </c>
    </row>
    <row r="8255" spans="1:7">
      <c r="A8255" t="s">
        <v>35373</v>
      </c>
      <c r="B8255" t="s">
        <v>8607</v>
      </c>
      <c r="F8255" t="s">
        <v>19473</v>
      </c>
      <c r="G8255" t="s">
        <v>31482</v>
      </c>
    </row>
    <row r="8256" spans="1:7">
      <c r="A8256" t="s">
        <v>35374</v>
      </c>
      <c r="B8256" t="s">
        <v>8607</v>
      </c>
      <c r="F8256" t="s">
        <v>19473</v>
      </c>
      <c r="G8256" t="s">
        <v>35375</v>
      </c>
    </row>
    <row r="8257" spans="1:7">
      <c r="A8257" t="s">
        <v>35376</v>
      </c>
      <c r="B8257" t="s">
        <v>8626</v>
      </c>
      <c r="G8257" t="s">
        <v>35377</v>
      </c>
    </row>
    <row r="8258" spans="1:7">
      <c r="A8258" t="s">
        <v>35378</v>
      </c>
      <c r="B8258" t="s">
        <v>8626</v>
      </c>
      <c r="G8258" t="s">
        <v>35379</v>
      </c>
    </row>
    <row r="8259" spans="1:7">
      <c r="A8259" t="s">
        <v>35380</v>
      </c>
      <c r="B8259" t="s">
        <v>8626</v>
      </c>
      <c r="G8259" t="s">
        <v>35381</v>
      </c>
    </row>
    <row r="8260" spans="1:7">
      <c r="A8260" t="s">
        <v>35382</v>
      </c>
      <c r="B8260" t="s">
        <v>8607</v>
      </c>
      <c r="G8260" t="s">
        <v>35383</v>
      </c>
    </row>
    <row r="8261" spans="1:7">
      <c r="A8261" t="s">
        <v>35384</v>
      </c>
      <c r="B8261" t="s">
        <v>8607</v>
      </c>
      <c r="G8261" t="s">
        <v>35385</v>
      </c>
    </row>
    <row r="8262" spans="1:7">
      <c r="A8262" t="s">
        <v>35386</v>
      </c>
      <c r="B8262" t="s">
        <v>8607</v>
      </c>
      <c r="C8262" t="s">
        <v>35387</v>
      </c>
      <c r="F8262" t="s">
        <v>27220</v>
      </c>
      <c r="G8262" t="s">
        <v>35388</v>
      </c>
    </row>
    <row r="8263" spans="1:7">
      <c r="A8263" t="s">
        <v>35389</v>
      </c>
      <c r="G8263" t="s">
        <v>35390</v>
      </c>
    </row>
    <row r="8264" spans="1:7">
      <c r="A8264" t="s">
        <v>35391</v>
      </c>
      <c r="B8264" t="s">
        <v>8607</v>
      </c>
      <c r="C8264" t="s">
        <v>35392</v>
      </c>
      <c r="F8264" t="s">
        <v>35393</v>
      </c>
      <c r="G8264" t="s">
        <v>35394</v>
      </c>
    </row>
    <row r="8265" spans="1:7">
      <c r="A8265" t="s">
        <v>35395</v>
      </c>
      <c r="B8265" t="s">
        <v>8607</v>
      </c>
      <c r="F8265" t="s">
        <v>35396</v>
      </c>
      <c r="G8265" t="s">
        <v>35397</v>
      </c>
    </row>
    <row r="8266" spans="1:7">
      <c r="A8266" t="s">
        <v>35398</v>
      </c>
      <c r="B8266" t="s">
        <v>8626</v>
      </c>
      <c r="F8266" t="s">
        <v>28856</v>
      </c>
      <c r="G8266" t="s">
        <v>29103</v>
      </c>
    </row>
    <row r="8267" spans="1:7">
      <c r="A8267" t="s">
        <v>35399</v>
      </c>
      <c r="B8267" t="s">
        <v>8626</v>
      </c>
      <c r="F8267" t="s">
        <v>22981</v>
      </c>
      <c r="G8267" t="s">
        <v>22982</v>
      </c>
    </row>
    <row r="8268" spans="1:7">
      <c r="A8268" t="s">
        <v>35400</v>
      </c>
      <c r="B8268" t="s">
        <v>8607</v>
      </c>
      <c r="F8268" t="s">
        <v>22981</v>
      </c>
      <c r="G8268" t="s">
        <v>26429</v>
      </c>
    </row>
    <row r="8269" spans="1:7">
      <c r="A8269" t="s">
        <v>35401</v>
      </c>
      <c r="B8269" t="s">
        <v>8626</v>
      </c>
      <c r="F8269" t="s">
        <v>22981</v>
      </c>
      <c r="G8269" t="s">
        <v>22982</v>
      </c>
    </row>
    <row r="8270" spans="1:7">
      <c r="A8270" t="s">
        <v>35402</v>
      </c>
      <c r="B8270" t="s">
        <v>8607</v>
      </c>
      <c r="F8270" t="s">
        <v>22981</v>
      </c>
      <c r="G8270" t="s">
        <v>29622</v>
      </c>
    </row>
    <row r="8271" spans="1:7">
      <c r="A8271" t="s">
        <v>35403</v>
      </c>
      <c r="B8271" t="s">
        <v>8626</v>
      </c>
      <c r="G8271" t="s">
        <v>35404</v>
      </c>
    </row>
    <row r="8272" spans="1:7">
      <c r="A8272" t="s">
        <v>35405</v>
      </c>
      <c r="B8272" t="s">
        <v>8626</v>
      </c>
      <c r="G8272" t="s">
        <v>35406</v>
      </c>
    </row>
    <row r="8273" spans="1:7">
      <c r="A8273" t="s">
        <v>35407</v>
      </c>
      <c r="B8273" t="s">
        <v>8626</v>
      </c>
      <c r="F8273" t="s">
        <v>22981</v>
      </c>
      <c r="G8273" t="s">
        <v>22982</v>
      </c>
    </row>
    <row r="8274" spans="1:7">
      <c r="A8274" t="s">
        <v>35408</v>
      </c>
      <c r="B8274" t="s">
        <v>8607</v>
      </c>
      <c r="F8274" t="s">
        <v>22981</v>
      </c>
      <c r="G8274" t="s">
        <v>29263</v>
      </c>
    </row>
    <row r="8275" spans="1:7">
      <c r="A8275" t="s">
        <v>35409</v>
      </c>
      <c r="B8275" t="s">
        <v>8607</v>
      </c>
      <c r="F8275" t="s">
        <v>26099</v>
      </c>
      <c r="G8275" t="s">
        <v>35410</v>
      </c>
    </row>
    <row r="8276" spans="1:7">
      <c r="A8276" t="s">
        <v>35411</v>
      </c>
      <c r="B8276" t="s">
        <v>8607</v>
      </c>
      <c r="F8276" t="s">
        <v>26069</v>
      </c>
      <c r="G8276" t="s">
        <v>26933</v>
      </c>
    </row>
    <row r="8277" spans="1:7">
      <c r="A8277" t="s">
        <v>35412</v>
      </c>
      <c r="B8277" t="s">
        <v>8607</v>
      </c>
      <c r="C8277" t="s">
        <v>25345</v>
      </c>
      <c r="F8277" t="s">
        <v>13312</v>
      </c>
      <c r="G8277" t="s">
        <v>35413</v>
      </c>
    </row>
    <row r="8278" spans="1:7">
      <c r="A8278" t="s">
        <v>35414</v>
      </c>
      <c r="B8278" t="s">
        <v>8626</v>
      </c>
      <c r="F8278" t="s">
        <v>17779</v>
      </c>
      <c r="G8278" t="s">
        <v>35415</v>
      </c>
    </row>
    <row r="8279" spans="1:7">
      <c r="A8279" t="s">
        <v>35416</v>
      </c>
      <c r="B8279" t="s">
        <v>8626</v>
      </c>
      <c r="G8279" t="s">
        <v>35417</v>
      </c>
    </row>
    <row r="8280" spans="1:7">
      <c r="A8280" t="s">
        <v>35418</v>
      </c>
      <c r="B8280" t="s">
        <v>8607</v>
      </c>
      <c r="F8280" t="s">
        <v>18923</v>
      </c>
      <c r="G8280" t="s">
        <v>25396</v>
      </c>
    </row>
    <row r="8281" spans="1:7">
      <c r="A8281" t="s">
        <v>35419</v>
      </c>
      <c r="B8281" t="s">
        <v>8626</v>
      </c>
      <c r="C8281" t="s">
        <v>21656</v>
      </c>
      <c r="F8281" t="s">
        <v>9018</v>
      </c>
      <c r="G8281" t="s">
        <v>21657</v>
      </c>
    </row>
    <row r="8282" spans="1:7">
      <c r="A8282" t="s">
        <v>35420</v>
      </c>
      <c r="B8282" t="s">
        <v>8626</v>
      </c>
      <c r="F8282" t="s">
        <v>18923</v>
      </c>
      <c r="G8282" t="s">
        <v>35421</v>
      </c>
    </row>
    <row r="8283" spans="1:7">
      <c r="A8283" t="s">
        <v>35422</v>
      </c>
      <c r="B8283" t="s">
        <v>8607</v>
      </c>
      <c r="G8283" t="s">
        <v>35423</v>
      </c>
    </row>
    <row r="8284" spans="1:7">
      <c r="A8284" t="s">
        <v>35424</v>
      </c>
      <c r="B8284" t="s">
        <v>8607</v>
      </c>
      <c r="F8284" t="s">
        <v>27377</v>
      </c>
      <c r="G8284" t="s">
        <v>27378</v>
      </c>
    </row>
    <row r="8285" spans="1:7">
      <c r="A8285" t="s">
        <v>35425</v>
      </c>
      <c r="B8285" t="s">
        <v>8607</v>
      </c>
      <c r="C8285" t="s">
        <v>29513</v>
      </c>
      <c r="F8285" t="s">
        <v>28988</v>
      </c>
      <c r="G8285" t="s">
        <v>35426</v>
      </c>
    </row>
    <row r="8286" spans="1:7">
      <c r="A8286" t="s">
        <v>35427</v>
      </c>
      <c r="G8286" t="s">
        <v>35428</v>
      </c>
    </row>
    <row r="8287" spans="1:7">
      <c r="A8287" t="s">
        <v>35429</v>
      </c>
      <c r="B8287" t="s">
        <v>8626</v>
      </c>
      <c r="F8287" t="s">
        <v>35430</v>
      </c>
      <c r="G8287" t="s">
        <v>35431</v>
      </c>
    </row>
    <row r="8288" spans="1:7">
      <c r="A8288" t="s">
        <v>35432</v>
      </c>
      <c r="B8288" t="s">
        <v>8607</v>
      </c>
      <c r="F8288" t="s">
        <v>28979</v>
      </c>
      <c r="G8288" t="s">
        <v>35433</v>
      </c>
    </row>
    <row r="8289" spans="1:7">
      <c r="A8289" t="s">
        <v>35434</v>
      </c>
      <c r="B8289" t="s">
        <v>8607</v>
      </c>
      <c r="C8289" t="s">
        <v>28982</v>
      </c>
      <c r="F8289" t="s">
        <v>9378</v>
      </c>
      <c r="G8289" t="s">
        <v>29509</v>
      </c>
    </row>
    <row r="8290" spans="1:7">
      <c r="A8290" t="s">
        <v>35435</v>
      </c>
      <c r="B8290" t="s">
        <v>8607</v>
      </c>
      <c r="F8290" t="s">
        <v>18777</v>
      </c>
      <c r="G8290" t="s">
        <v>35436</v>
      </c>
    </row>
    <row r="8291" spans="1:7">
      <c r="A8291" t="s">
        <v>35437</v>
      </c>
      <c r="G8291" t="s">
        <v>26696</v>
      </c>
    </row>
    <row r="8292" spans="1:7">
      <c r="A8292" t="s">
        <v>35438</v>
      </c>
      <c r="B8292" t="s">
        <v>8607</v>
      </c>
      <c r="G8292" t="s">
        <v>17899</v>
      </c>
    </row>
    <row r="8293" spans="1:7">
      <c r="A8293" t="s">
        <v>35439</v>
      </c>
      <c r="B8293" t="s">
        <v>8607</v>
      </c>
      <c r="F8293" t="s">
        <v>19966</v>
      </c>
      <c r="G8293" t="s">
        <v>23929</v>
      </c>
    </row>
    <row r="8294" spans="1:7">
      <c r="A8294" t="s">
        <v>35440</v>
      </c>
      <c r="B8294" t="s">
        <v>8607</v>
      </c>
      <c r="F8294" t="s">
        <v>26841</v>
      </c>
      <c r="G8294" t="s">
        <v>23929</v>
      </c>
    </row>
    <row r="8295" spans="1:7">
      <c r="A8295" t="s">
        <v>35441</v>
      </c>
      <c r="B8295" t="s">
        <v>8607</v>
      </c>
      <c r="G8295" t="s">
        <v>10808</v>
      </c>
    </row>
    <row r="8296" spans="1:7">
      <c r="A8296" t="s">
        <v>35442</v>
      </c>
      <c r="B8296" t="s">
        <v>8607</v>
      </c>
      <c r="G8296" t="s">
        <v>10812</v>
      </c>
    </row>
    <row r="8297" spans="1:7">
      <c r="A8297" t="s">
        <v>35443</v>
      </c>
      <c r="B8297" t="s">
        <v>8607</v>
      </c>
      <c r="G8297" t="s">
        <v>10814</v>
      </c>
    </row>
    <row r="8298" spans="1:7">
      <c r="A8298" t="s">
        <v>35444</v>
      </c>
      <c r="B8298" t="s">
        <v>8607</v>
      </c>
      <c r="F8298" t="s">
        <v>12862</v>
      </c>
      <c r="G8298" t="s">
        <v>35445</v>
      </c>
    </row>
    <row r="8299" spans="1:7">
      <c r="A8299" t="s">
        <v>35446</v>
      </c>
      <c r="B8299" t="s">
        <v>8626</v>
      </c>
      <c r="F8299" t="s">
        <v>27930</v>
      </c>
      <c r="G8299" t="s">
        <v>35447</v>
      </c>
    </row>
    <row r="8300" spans="1:7">
      <c r="A8300" t="s">
        <v>35448</v>
      </c>
      <c r="B8300" t="s">
        <v>8607</v>
      </c>
      <c r="F8300" t="s">
        <v>31294</v>
      </c>
      <c r="G8300" t="s">
        <v>35449</v>
      </c>
    </row>
    <row r="8301" spans="1:7">
      <c r="A8301" t="s">
        <v>35450</v>
      </c>
      <c r="B8301" t="s">
        <v>8607</v>
      </c>
      <c r="F8301" t="s">
        <v>18286</v>
      </c>
      <c r="G8301" t="s">
        <v>35451</v>
      </c>
    </row>
    <row r="8302" spans="1:7">
      <c r="A8302" t="s">
        <v>35452</v>
      </c>
      <c r="B8302" t="s">
        <v>8626</v>
      </c>
      <c r="C8302" t="s">
        <v>35453</v>
      </c>
      <c r="F8302" t="s">
        <v>8623</v>
      </c>
      <c r="G8302" t="s">
        <v>35454</v>
      </c>
    </row>
    <row r="8303" spans="1:7">
      <c r="A8303" t="s">
        <v>35455</v>
      </c>
      <c r="B8303" t="s">
        <v>8626</v>
      </c>
      <c r="F8303" t="s">
        <v>28856</v>
      </c>
      <c r="G8303" t="s">
        <v>29103</v>
      </c>
    </row>
    <row r="8304" spans="1:7">
      <c r="A8304" t="s">
        <v>35456</v>
      </c>
      <c r="B8304" t="s">
        <v>8607</v>
      </c>
      <c r="F8304" t="s">
        <v>22981</v>
      </c>
      <c r="G8304" t="s">
        <v>29263</v>
      </c>
    </row>
    <row r="8305" spans="1:7">
      <c r="A8305" t="s">
        <v>35457</v>
      </c>
      <c r="B8305" t="s">
        <v>8607</v>
      </c>
      <c r="F8305" t="s">
        <v>8623</v>
      </c>
      <c r="G8305" t="s">
        <v>35458</v>
      </c>
    </row>
    <row r="8306" spans="1:7">
      <c r="A8306" t="s">
        <v>35459</v>
      </c>
      <c r="B8306" t="s">
        <v>8607</v>
      </c>
      <c r="F8306" t="s">
        <v>30225</v>
      </c>
      <c r="G8306" t="s">
        <v>35460</v>
      </c>
    </row>
    <row r="8307" spans="1:7">
      <c r="A8307" t="s">
        <v>35461</v>
      </c>
      <c r="B8307" t="s">
        <v>8626</v>
      </c>
      <c r="G8307" t="s">
        <v>35462</v>
      </c>
    </row>
    <row r="8308" spans="1:7">
      <c r="A8308" t="s">
        <v>35463</v>
      </c>
      <c r="B8308" t="s">
        <v>8626</v>
      </c>
      <c r="F8308" t="s">
        <v>17830</v>
      </c>
      <c r="G8308" t="s">
        <v>35464</v>
      </c>
    </row>
    <row r="8309" spans="1:7">
      <c r="A8309" t="s">
        <v>35465</v>
      </c>
      <c r="B8309" t="s">
        <v>8607</v>
      </c>
      <c r="F8309" t="s">
        <v>23762</v>
      </c>
      <c r="G8309" t="s">
        <v>23763</v>
      </c>
    </row>
    <row r="8310" spans="1:7">
      <c r="A8310" t="s">
        <v>35466</v>
      </c>
      <c r="B8310" t="s">
        <v>8607</v>
      </c>
      <c r="F8310" t="s">
        <v>26091</v>
      </c>
      <c r="G8310" t="s">
        <v>34941</v>
      </c>
    </row>
    <row r="8311" spans="1:7">
      <c r="A8311" t="s">
        <v>35467</v>
      </c>
      <c r="B8311" t="s">
        <v>8607</v>
      </c>
      <c r="F8311" t="s">
        <v>34943</v>
      </c>
      <c r="G8311" t="s">
        <v>34944</v>
      </c>
    </row>
    <row r="8312" spans="1:7">
      <c r="A8312" t="s">
        <v>35468</v>
      </c>
      <c r="B8312" t="s">
        <v>8626</v>
      </c>
      <c r="G8312" t="s">
        <v>29019</v>
      </c>
    </row>
    <row r="8313" spans="1:7">
      <c r="A8313" t="s">
        <v>35469</v>
      </c>
      <c r="B8313" t="s">
        <v>8626</v>
      </c>
      <c r="G8313" t="s">
        <v>35470</v>
      </c>
    </row>
    <row r="8314" spans="1:7">
      <c r="A8314" t="s">
        <v>35471</v>
      </c>
      <c r="B8314" t="s">
        <v>8607</v>
      </c>
      <c r="F8314" t="s">
        <v>26176</v>
      </c>
      <c r="G8314" t="s">
        <v>29021</v>
      </c>
    </row>
    <row r="8315" spans="1:7">
      <c r="A8315" t="s">
        <v>35472</v>
      </c>
      <c r="B8315" t="s">
        <v>8607</v>
      </c>
      <c r="F8315" t="s">
        <v>20423</v>
      </c>
      <c r="G8315" t="s">
        <v>29023</v>
      </c>
    </row>
    <row r="8316" spans="1:7">
      <c r="A8316" t="s">
        <v>35473</v>
      </c>
      <c r="B8316" t="s">
        <v>8626</v>
      </c>
      <c r="F8316" t="s">
        <v>21832</v>
      </c>
      <c r="G8316" t="s">
        <v>35474</v>
      </c>
    </row>
    <row r="8317" spans="1:7">
      <c r="A8317" t="s">
        <v>35475</v>
      </c>
      <c r="B8317" t="s">
        <v>8607</v>
      </c>
      <c r="F8317" t="s">
        <v>8774</v>
      </c>
      <c r="G8317" t="s">
        <v>29027</v>
      </c>
    </row>
    <row r="8318" spans="1:7">
      <c r="A8318" t="s">
        <v>35476</v>
      </c>
      <c r="B8318" t="s">
        <v>8607</v>
      </c>
      <c r="F8318" t="s">
        <v>27915</v>
      </c>
      <c r="G8318" t="s">
        <v>29029</v>
      </c>
    </row>
    <row r="8319" spans="1:7">
      <c r="A8319" t="s">
        <v>35477</v>
      </c>
      <c r="B8319" t="s">
        <v>8607</v>
      </c>
      <c r="F8319" t="s">
        <v>29031</v>
      </c>
      <c r="G8319" t="s">
        <v>35478</v>
      </c>
    </row>
    <row r="8320" spans="1:7">
      <c r="A8320" t="s">
        <v>35479</v>
      </c>
      <c r="B8320" t="s">
        <v>8607</v>
      </c>
      <c r="F8320" t="s">
        <v>26485</v>
      </c>
      <c r="G8320" t="s">
        <v>35480</v>
      </c>
    </row>
    <row r="8321" spans="1:7">
      <c r="A8321" t="s">
        <v>35481</v>
      </c>
      <c r="B8321" t="s">
        <v>8607</v>
      </c>
      <c r="G8321" t="s">
        <v>26791</v>
      </c>
    </row>
    <row r="8322" spans="1:7">
      <c r="A8322" t="s">
        <v>35482</v>
      </c>
      <c r="B8322" t="s">
        <v>8607</v>
      </c>
      <c r="G8322" t="s">
        <v>22411</v>
      </c>
    </row>
    <row r="8323" spans="1:7">
      <c r="A8323" t="s">
        <v>35483</v>
      </c>
      <c r="B8323" t="s">
        <v>8607</v>
      </c>
      <c r="G8323" t="s">
        <v>29378</v>
      </c>
    </row>
    <row r="8324" spans="1:7">
      <c r="A8324" t="s">
        <v>35484</v>
      </c>
      <c r="B8324" t="s">
        <v>8607</v>
      </c>
      <c r="G8324" t="s">
        <v>29363</v>
      </c>
    </row>
    <row r="8325" spans="1:7">
      <c r="A8325" t="s">
        <v>35485</v>
      </c>
      <c r="B8325" t="s">
        <v>8607</v>
      </c>
      <c r="F8325" t="s">
        <v>26793</v>
      </c>
      <c r="G8325" t="s">
        <v>26794</v>
      </c>
    </row>
    <row r="8326" spans="1:7">
      <c r="A8326" t="s">
        <v>35486</v>
      </c>
      <c r="B8326" t="s">
        <v>8626</v>
      </c>
      <c r="C8326" t="s">
        <v>27497</v>
      </c>
      <c r="F8326" t="s">
        <v>15811</v>
      </c>
      <c r="G8326" t="s">
        <v>32397</v>
      </c>
    </row>
    <row r="8327" spans="1:7">
      <c r="A8327" t="s">
        <v>35487</v>
      </c>
      <c r="B8327" t="s">
        <v>8607</v>
      </c>
      <c r="C8327" t="s">
        <v>28978</v>
      </c>
      <c r="F8327" t="s">
        <v>28979</v>
      </c>
      <c r="G8327" t="s">
        <v>35488</v>
      </c>
    </row>
    <row r="8328" spans="1:7">
      <c r="A8328" t="s">
        <v>35489</v>
      </c>
      <c r="B8328" t="s">
        <v>8607</v>
      </c>
      <c r="C8328" t="s">
        <v>28982</v>
      </c>
      <c r="F8328" t="s">
        <v>9378</v>
      </c>
      <c r="G8328" t="s">
        <v>20254</v>
      </c>
    </row>
    <row r="8329" spans="1:7">
      <c r="A8329" t="s">
        <v>35490</v>
      </c>
      <c r="B8329" t="s">
        <v>8626</v>
      </c>
      <c r="C8329" t="s">
        <v>33407</v>
      </c>
      <c r="F8329" t="s">
        <v>28984</v>
      </c>
      <c r="G8329" t="s">
        <v>35491</v>
      </c>
    </row>
    <row r="8330" spans="1:7">
      <c r="A8330" t="s">
        <v>35492</v>
      </c>
      <c r="B8330" t="s">
        <v>8607</v>
      </c>
      <c r="C8330" t="s">
        <v>28987</v>
      </c>
      <c r="F8330" t="s">
        <v>28988</v>
      </c>
      <c r="G8330" t="s">
        <v>33410</v>
      </c>
    </row>
    <row r="8331" spans="1:7">
      <c r="A8331" t="s">
        <v>35493</v>
      </c>
      <c r="B8331" t="s">
        <v>8626</v>
      </c>
      <c r="F8331" t="s">
        <v>27930</v>
      </c>
      <c r="G8331" t="s">
        <v>29493</v>
      </c>
    </row>
    <row r="8332" spans="1:7">
      <c r="A8332" t="s">
        <v>35494</v>
      </c>
      <c r="B8332" t="s">
        <v>8607</v>
      </c>
      <c r="F8332" t="s">
        <v>28380</v>
      </c>
      <c r="G8332" t="s">
        <v>28381</v>
      </c>
    </row>
    <row r="8333" spans="1:7">
      <c r="A8333" t="s">
        <v>35495</v>
      </c>
      <c r="B8333" t="s">
        <v>8607</v>
      </c>
      <c r="F8333" t="s">
        <v>35496</v>
      </c>
      <c r="G8333" t="s">
        <v>35497</v>
      </c>
    </row>
    <row r="8334" spans="1:7">
      <c r="A8334" t="s">
        <v>35498</v>
      </c>
      <c r="B8334" t="s">
        <v>8626</v>
      </c>
      <c r="F8334" t="s">
        <v>35499</v>
      </c>
      <c r="G8334" t="s">
        <v>35500</v>
      </c>
    </row>
    <row r="8335" spans="1:7">
      <c r="A8335" t="s">
        <v>35501</v>
      </c>
      <c r="B8335" t="s">
        <v>8607</v>
      </c>
      <c r="F8335" t="s">
        <v>29013</v>
      </c>
      <c r="G8335" t="s">
        <v>35502</v>
      </c>
    </row>
    <row r="8336" spans="1:7">
      <c r="A8336" t="s">
        <v>35503</v>
      </c>
      <c r="B8336" t="s">
        <v>8607</v>
      </c>
      <c r="F8336" t="s">
        <v>26717</v>
      </c>
      <c r="G8336" t="s">
        <v>28393</v>
      </c>
    </row>
    <row r="8337" spans="1:7">
      <c r="A8337" t="s">
        <v>35504</v>
      </c>
      <c r="B8337" t="s">
        <v>8626</v>
      </c>
      <c r="F8337" t="s">
        <v>9562</v>
      </c>
      <c r="G8337" t="s">
        <v>35505</v>
      </c>
    </row>
    <row r="8338" spans="1:7">
      <c r="A8338" t="s">
        <v>35506</v>
      </c>
      <c r="B8338" t="s">
        <v>8607</v>
      </c>
      <c r="F8338" t="s">
        <v>31624</v>
      </c>
      <c r="G8338" t="s">
        <v>31625</v>
      </c>
    </row>
    <row r="8339" spans="1:7">
      <c r="A8339" t="s">
        <v>35507</v>
      </c>
      <c r="B8339" t="s">
        <v>8607</v>
      </c>
      <c r="F8339" t="s">
        <v>11334</v>
      </c>
      <c r="G8339" t="s">
        <v>35508</v>
      </c>
    </row>
    <row r="8340" spans="1:7">
      <c r="A8340" t="s">
        <v>35509</v>
      </c>
      <c r="B8340" t="s">
        <v>8607</v>
      </c>
      <c r="G8340" t="s">
        <v>28543</v>
      </c>
    </row>
    <row r="8341" spans="1:7">
      <c r="A8341" t="s">
        <v>35510</v>
      </c>
      <c r="B8341" t="s">
        <v>8607</v>
      </c>
      <c r="F8341" t="s">
        <v>26127</v>
      </c>
      <c r="G8341" t="s">
        <v>35511</v>
      </c>
    </row>
    <row r="8342" spans="1:7">
      <c r="A8342" t="s">
        <v>35512</v>
      </c>
      <c r="B8342" t="s">
        <v>8626</v>
      </c>
      <c r="F8342" t="s">
        <v>35513</v>
      </c>
      <c r="G8342" t="s">
        <v>35514</v>
      </c>
    </row>
    <row r="8343" spans="1:7">
      <c r="A8343" t="s">
        <v>35515</v>
      </c>
      <c r="B8343" t="s">
        <v>8607</v>
      </c>
      <c r="G8343" t="s">
        <v>32289</v>
      </c>
    </row>
    <row r="8344" spans="1:7">
      <c r="A8344" t="s">
        <v>35516</v>
      </c>
      <c r="B8344" t="s">
        <v>8626</v>
      </c>
      <c r="C8344" t="s">
        <v>23773</v>
      </c>
      <c r="F8344" t="s">
        <v>23756</v>
      </c>
      <c r="G8344" t="s">
        <v>23757</v>
      </c>
    </row>
    <row r="8345" spans="1:7">
      <c r="A8345" t="s">
        <v>35517</v>
      </c>
      <c r="B8345" t="s">
        <v>8626</v>
      </c>
      <c r="C8345" t="s">
        <v>29299</v>
      </c>
      <c r="F8345" t="s">
        <v>26937</v>
      </c>
      <c r="G8345" t="s">
        <v>30063</v>
      </c>
    </row>
    <row r="8346" spans="1:7">
      <c r="A8346" t="s">
        <v>35518</v>
      </c>
      <c r="B8346" t="s">
        <v>8626</v>
      </c>
      <c r="F8346" t="s">
        <v>29314</v>
      </c>
      <c r="G8346" t="s">
        <v>30065</v>
      </c>
    </row>
    <row r="8347" spans="1:7">
      <c r="A8347" t="s">
        <v>35519</v>
      </c>
      <c r="B8347" t="s">
        <v>8626</v>
      </c>
      <c r="C8347" t="s">
        <v>24008</v>
      </c>
      <c r="F8347" t="s">
        <v>17305</v>
      </c>
      <c r="G8347" t="s">
        <v>24017</v>
      </c>
    </row>
    <row r="8348" spans="1:7">
      <c r="A8348" t="s">
        <v>35520</v>
      </c>
      <c r="B8348" t="s">
        <v>8607</v>
      </c>
      <c r="G8348" t="s">
        <v>35521</v>
      </c>
    </row>
    <row r="8349" spans="1:7">
      <c r="A8349" t="s">
        <v>35522</v>
      </c>
      <c r="B8349" t="s">
        <v>8626</v>
      </c>
      <c r="C8349" t="s">
        <v>24008</v>
      </c>
      <c r="F8349" t="s">
        <v>17305</v>
      </c>
      <c r="G8349" t="s">
        <v>24017</v>
      </c>
    </row>
    <row r="8350" spans="1:7">
      <c r="A8350" t="s">
        <v>35523</v>
      </c>
      <c r="B8350" t="s">
        <v>8626</v>
      </c>
      <c r="F8350" t="s">
        <v>18286</v>
      </c>
      <c r="G8350" t="s">
        <v>35524</v>
      </c>
    </row>
    <row r="8351" spans="1:7">
      <c r="A8351" t="s">
        <v>35525</v>
      </c>
      <c r="B8351" t="s">
        <v>8607</v>
      </c>
      <c r="C8351" t="s">
        <v>35526</v>
      </c>
      <c r="F8351" t="s">
        <v>8623</v>
      </c>
      <c r="G8351" t="s">
        <v>35527</v>
      </c>
    </row>
    <row r="8352" spans="1:7">
      <c r="A8352" t="s">
        <v>35528</v>
      </c>
      <c r="B8352" t="s">
        <v>8607</v>
      </c>
      <c r="F8352" t="s">
        <v>35529</v>
      </c>
      <c r="G8352" t="s">
        <v>35530</v>
      </c>
    </row>
    <row r="8353" spans="1:7">
      <c r="A8353" t="s">
        <v>35531</v>
      </c>
      <c r="B8353" t="s">
        <v>8607</v>
      </c>
      <c r="F8353" t="s">
        <v>17305</v>
      </c>
      <c r="G8353" t="s">
        <v>35532</v>
      </c>
    </row>
    <row r="8354" spans="1:7">
      <c r="A8354" t="s">
        <v>35533</v>
      </c>
      <c r="B8354" t="s">
        <v>8607</v>
      </c>
      <c r="F8354" t="s">
        <v>9018</v>
      </c>
      <c r="G8354" t="s">
        <v>30605</v>
      </c>
    </row>
    <row r="8355" spans="1:7">
      <c r="A8355" t="s">
        <v>35534</v>
      </c>
      <c r="B8355" t="s">
        <v>8607</v>
      </c>
      <c r="F8355" t="s">
        <v>17429</v>
      </c>
      <c r="G8355" t="s">
        <v>34919</v>
      </c>
    </row>
    <row r="8356" spans="1:7">
      <c r="A8356" t="s">
        <v>35535</v>
      </c>
      <c r="G8356" t="s">
        <v>35536</v>
      </c>
    </row>
    <row r="8357" spans="1:7">
      <c r="A8357" t="s">
        <v>35537</v>
      </c>
      <c r="B8357" t="s">
        <v>8607</v>
      </c>
      <c r="F8357" t="s">
        <v>8623</v>
      </c>
      <c r="G8357" t="s">
        <v>35538</v>
      </c>
    </row>
    <row r="8358" spans="1:7">
      <c r="A8358" t="s">
        <v>35539</v>
      </c>
      <c r="B8358" t="s">
        <v>8626</v>
      </c>
      <c r="F8358" t="s">
        <v>26157</v>
      </c>
      <c r="G8358" t="s">
        <v>35540</v>
      </c>
    </row>
    <row r="8359" spans="1:7">
      <c r="A8359" t="s">
        <v>35541</v>
      </c>
      <c r="G8359" t="s">
        <v>35542</v>
      </c>
    </row>
    <row r="8360" spans="1:7">
      <c r="A8360" t="s">
        <v>35543</v>
      </c>
      <c r="B8360" t="s">
        <v>8607</v>
      </c>
      <c r="G8360" t="s">
        <v>22411</v>
      </c>
    </row>
    <row r="8361" spans="1:7">
      <c r="A8361" t="s">
        <v>35544</v>
      </c>
      <c r="B8361" t="s">
        <v>8607</v>
      </c>
      <c r="G8361" t="s">
        <v>29378</v>
      </c>
    </row>
    <row r="8362" spans="1:7">
      <c r="A8362" t="s">
        <v>35545</v>
      </c>
      <c r="B8362" t="s">
        <v>8607</v>
      </c>
      <c r="G8362" t="s">
        <v>26789</v>
      </c>
    </row>
    <row r="8363" spans="1:7">
      <c r="A8363" t="s">
        <v>35546</v>
      </c>
      <c r="B8363" t="s">
        <v>8607</v>
      </c>
      <c r="F8363" t="s">
        <v>26793</v>
      </c>
      <c r="G8363" t="s">
        <v>26794</v>
      </c>
    </row>
    <row r="8364" spans="1:7">
      <c r="A8364" t="s">
        <v>35547</v>
      </c>
      <c r="B8364" t="s">
        <v>8626</v>
      </c>
      <c r="C8364" t="s">
        <v>28225</v>
      </c>
      <c r="F8364" t="s">
        <v>9018</v>
      </c>
      <c r="G8364" t="s">
        <v>35548</v>
      </c>
    </row>
    <row r="8365" spans="1:7">
      <c r="A8365" t="s">
        <v>35549</v>
      </c>
      <c r="B8365" t="s">
        <v>8607</v>
      </c>
      <c r="G8365" t="s">
        <v>35550</v>
      </c>
    </row>
    <row r="8366" spans="1:7">
      <c r="A8366" t="s">
        <v>35551</v>
      </c>
      <c r="B8366" t="s">
        <v>8626</v>
      </c>
      <c r="F8366" t="s">
        <v>19537</v>
      </c>
      <c r="G8366" t="s">
        <v>19555</v>
      </c>
    </row>
    <row r="8367" spans="1:7">
      <c r="A8367" t="s">
        <v>35552</v>
      </c>
      <c r="B8367" t="s">
        <v>8607</v>
      </c>
      <c r="C8367" t="s">
        <v>35553</v>
      </c>
      <c r="F8367" t="s">
        <v>9473</v>
      </c>
      <c r="G8367" t="s">
        <v>35554</v>
      </c>
    </row>
    <row r="8368" spans="1:7">
      <c r="A8368" t="s">
        <v>35555</v>
      </c>
      <c r="B8368" t="s">
        <v>8626</v>
      </c>
      <c r="F8368" t="s">
        <v>27930</v>
      </c>
      <c r="G8368" t="s">
        <v>31429</v>
      </c>
    </row>
    <row r="8369" spans="1:7">
      <c r="A8369" t="s">
        <v>35556</v>
      </c>
      <c r="B8369" t="s">
        <v>8626</v>
      </c>
      <c r="C8369" t="s">
        <v>26048</v>
      </c>
      <c r="F8369" t="s">
        <v>23160</v>
      </c>
      <c r="G8369" t="s">
        <v>26262</v>
      </c>
    </row>
    <row r="8370" spans="1:7">
      <c r="A8370" t="s">
        <v>35557</v>
      </c>
      <c r="B8370" t="s">
        <v>8626</v>
      </c>
      <c r="C8370" t="s">
        <v>26591</v>
      </c>
      <c r="F8370" t="s">
        <v>9018</v>
      </c>
      <c r="G8370" t="s">
        <v>35558</v>
      </c>
    </row>
    <row r="8371" spans="1:7">
      <c r="A8371" t="s">
        <v>35559</v>
      </c>
      <c r="B8371" t="s">
        <v>8607</v>
      </c>
      <c r="F8371" t="s">
        <v>28418</v>
      </c>
      <c r="G8371" t="s">
        <v>28419</v>
      </c>
    </row>
    <row r="8372" spans="1:7">
      <c r="A8372" t="s">
        <v>35560</v>
      </c>
      <c r="B8372" t="s">
        <v>8607</v>
      </c>
      <c r="F8372" t="s">
        <v>27384</v>
      </c>
      <c r="G8372" t="s">
        <v>28421</v>
      </c>
    </row>
    <row r="8373" spans="1:7">
      <c r="A8373" t="s">
        <v>35561</v>
      </c>
      <c r="B8373" t="s">
        <v>8607</v>
      </c>
      <c r="C8373" t="s">
        <v>19936</v>
      </c>
      <c r="F8373" t="s">
        <v>19974</v>
      </c>
      <c r="G8373" t="s">
        <v>19975</v>
      </c>
    </row>
    <row r="8374" spans="1:7">
      <c r="A8374" t="s">
        <v>35562</v>
      </c>
      <c r="B8374" t="s">
        <v>8626</v>
      </c>
      <c r="F8374" t="s">
        <v>28410</v>
      </c>
      <c r="G8374" t="s">
        <v>28411</v>
      </c>
    </row>
    <row r="8375" spans="1:7">
      <c r="A8375" t="s">
        <v>35563</v>
      </c>
      <c r="B8375" t="s">
        <v>8607</v>
      </c>
      <c r="F8375" t="s">
        <v>27384</v>
      </c>
      <c r="G8375" t="s">
        <v>28413</v>
      </c>
    </row>
    <row r="8376" spans="1:7">
      <c r="A8376" t="s">
        <v>35564</v>
      </c>
      <c r="B8376" t="s">
        <v>8607</v>
      </c>
      <c r="F8376" t="s">
        <v>17779</v>
      </c>
      <c r="G8376" t="s">
        <v>24956</v>
      </c>
    </row>
    <row r="8377" spans="1:7">
      <c r="A8377" t="s">
        <v>35565</v>
      </c>
      <c r="B8377" t="s">
        <v>8607</v>
      </c>
      <c r="F8377" t="s">
        <v>17260</v>
      </c>
      <c r="G8377" t="s">
        <v>27426</v>
      </c>
    </row>
    <row r="8378" spans="1:7">
      <c r="A8378" t="s">
        <v>35566</v>
      </c>
      <c r="B8378" t="s">
        <v>8607</v>
      </c>
      <c r="F8378" t="s">
        <v>27428</v>
      </c>
      <c r="G8378" t="s">
        <v>31494</v>
      </c>
    </row>
    <row r="8379" spans="1:7">
      <c r="A8379" t="s">
        <v>35567</v>
      </c>
      <c r="B8379" t="s">
        <v>8607</v>
      </c>
      <c r="F8379" t="s">
        <v>27434</v>
      </c>
      <c r="G8379" t="s">
        <v>35568</v>
      </c>
    </row>
    <row r="8380" spans="1:7">
      <c r="A8380" t="s">
        <v>35569</v>
      </c>
      <c r="B8380" t="s">
        <v>8626</v>
      </c>
      <c r="F8380" t="s">
        <v>27437</v>
      </c>
      <c r="G8380" t="s">
        <v>27438</v>
      </c>
    </row>
    <row r="8381" spans="1:7">
      <c r="A8381" t="s">
        <v>35570</v>
      </c>
      <c r="B8381" t="s">
        <v>8626</v>
      </c>
      <c r="F8381" t="s">
        <v>27440</v>
      </c>
      <c r="G8381" t="s">
        <v>35571</v>
      </c>
    </row>
    <row r="8382" spans="1:7">
      <c r="A8382" t="s">
        <v>35572</v>
      </c>
      <c r="G8382" t="s">
        <v>35573</v>
      </c>
    </row>
    <row r="8383" spans="1:7">
      <c r="A8383" t="s">
        <v>35574</v>
      </c>
      <c r="B8383" t="s">
        <v>8607</v>
      </c>
      <c r="F8383" t="s">
        <v>28503</v>
      </c>
      <c r="G8383" t="s">
        <v>35575</v>
      </c>
    </row>
    <row r="8384" spans="1:7">
      <c r="A8384" t="s">
        <v>35576</v>
      </c>
      <c r="B8384" t="s">
        <v>8607</v>
      </c>
      <c r="F8384" t="s">
        <v>27915</v>
      </c>
      <c r="G8384" t="s">
        <v>35577</v>
      </c>
    </row>
    <row r="8385" spans="1:7">
      <c r="A8385" t="s">
        <v>35578</v>
      </c>
      <c r="B8385" t="s">
        <v>8607</v>
      </c>
      <c r="C8385" t="s">
        <v>16679</v>
      </c>
      <c r="F8385" t="s">
        <v>9018</v>
      </c>
      <c r="G8385" t="s">
        <v>35579</v>
      </c>
    </row>
    <row r="8386" spans="1:7">
      <c r="A8386" t="s">
        <v>35580</v>
      </c>
      <c r="B8386" t="s">
        <v>8607</v>
      </c>
      <c r="F8386" t="s">
        <v>27753</v>
      </c>
      <c r="G8386" t="s">
        <v>35581</v>
      </c>
    </row>
    <row r="8387" spans="1:7">
      <c r="A8387" t="s">
        <v>35582</v>
      </c>
      <c r="B8387" t="s">
        <v>8607</v>
      </c>
      <c r="F8387" t="s">
        <v>30658</v>
      </c>
      <c r="G8387" t="s">
        <v>30659</v>
      </c>
    </row>
    <row r="8388" spans="1:7">
      <c r="A8388" t="s">
        <v>35583</v>
      </c>
      <c r="B8388" t="s">
        <v>8607</v>
      </c>
      <c r="G8388" t="s">
        <v>35584</v>
      </c>
    </row>
    <row r="8389" spans="1:7">
      <c r="A8389" t="s">
        <v>35585</v>
      </c>
      <c r="B8389" t="s">
        <v>8607</v>
      </c>
      <c r="F8389" t="s">
        <v>31836</v>
      </c>
      <c r="G8389" t="s">
        <v>35586</v>
      </c>
    </row>
    <row r="8390" spans="1:7">
      <c r="A8390" t="s">
        <v>35587</v>
      </c>
      <c r="B8390" t="s">
        <v>8607</v>
      </c>
      <c r="F8390" t="s">
        <v>35588</v>
      </c>
      <c r="G8390" t="s">
        <v>35589</v>
      </c>
    </row>
    <row r="8391" spans="1:7">
      <c r="A8391" t="s">
        <v>35590</v>
      </c>
      <c r="B8391" t="s">
        <v>8607</v>
      </c>
      <c r="F8391" t="s">
        <v>35591</v>
      </c>
      <c r="G8391" t="s">
        <v>35592</v>
      </c>
    </row>
    <row r="8392" spans="1:7">
      <c r="A8392" t="s">
        <v>35593</v>
      </c>
      <c r="B8392" t="s">
        <v>8607</v>
      </c>
      <c r="F8392" t="s">
        <v>35594</v>
      </c>
      <c r="G8392" t="s">
        <v>34787</v>
      </c>
    </row>
    <row r="8393" spans="1:7">
      <c r="A8393" t="s">
        <v>35595</v>
      </c>
      <c r="B8393" t="s">
        <v>8607</v>
      </c>
      <c r="G8393" t="s">
        <v>34108</v>
      </c>
    </row>
    <row r="8394" spans="1:7">
      <c r="A8394" t="s">
        <v>35596</v>
      </c>
      <c r="B8394" t="s">
        <v>8607</v>
      </c>
      <c r="F8394" t="s">
        <v>26602</v>
      </c>
      <c r="G8394" t="s">
        <v>35597</v>
      </c>
    </row>
    <row r="8395" spans="1:7">
      <c r="A8395" t="s">
        <v>35598</v>
      </c>
      <c r="B8395" t="s">
        <v>8626</v>
      </c>
      <c r="F8395" t="s">
        <v>17429</v>
      </c>
      <c r="G8395" t="s">
        <v>35599</v>
      </c>
    </row>
    <row r="8396" spans="1:7">
      <c r="A8396" t="s">
        <v>35600</v>
      </c>
      <c r="B8396" t="s">
        <v>8607</v>
      </c>
      <c r="C8396" t="s">
        <v>35601</v>
      </c>
      <c r="F8396" t="s">
        <v>26207</v>
      </c>
      <c r="G8396" t="s">
        <v>35602</v>
      </c>
    </row>
    <row r="8397" spans="1:7">
      <c r="A8397" t="s">
        <v>35603</v>
      </c>
      <c r="B8397" t="s">
        <v>8607</v>
      </c>
      <c r="G8397" t="s">
        <v>27095</v>
      </c>
    </row>
    <row r="8398" spans="1:7">
      <c r="A8398" t="s">
        <v>35604</v>
      </c>
      <c r="B8398" t="s">
        <v>8607</v>
      </c>
      <c r="F8398" t="s">
        <v>26343</v>
      </c>
      <c r="G8398" t="s">
        <v>27097</v>
      </c>
    </row>
    <row r="8399" spans="1:7">
      <c r="A8399" t="s">
        <v>35605</v>
      </c>
      <c r="B8399" t="s">
        <v>8607</v>
      </c>
      <c r="F8399" t="s">
        <v>26179</v>
      </c>
      <c r="G8399" t="s">
        <v>27099</v>
      </c>
    </row>
    <row r="8400" spans="1:7">
      <c r="A8400" t="s">
        <v>35606</v>
      </c>
      <c r="B8400" t="s">
        <v>8607</v>
      </c>
      <c r="F8400" t="s">
        <v>26212</v>
      </c>
      <c r="G8400" t="s">
        <v>26431</v>
      </c>
    </row>
    <row r="8401" spans="1:7">
      <c r="A8401" t="s">
        <v>35607</v>
      </c>
      <c r="B8401" t="s">
        <v>8607</v>
      </c>
      <c r="F8401" t="s">
        <v>17349</v>
      </c>
      <c r="G8401" t="s">
        <v>27084</v>
      </c>
    </row>
    <row r="8402" spans="1:7">
      <c r="A8402" t="s">
        <v>35608</v>
      </c>
      <c r="B8402" t="s">
        <v>8607</v>
      </c>
      <c r="C8402" t="s">
        <v>27092</v>
      </c>
      <c r="F8402" t="s">
        <v>9018</v>
      </c>
      <c r="G8402" t="s">
        <v>27093</v>
      </c>
    </row>
    <row r="8403" spans="1:7">
      <c r="A8403" t="s">
        <v>35609</v>
      </c>
      <c r="B8403" t="s">
        <v>8607</v>
      </c>
      <c r="F8403" t="s">
        <v>30239</v>
      </c>
      <c r="G8403" t="s">
        <v>34629</v>
      </c>
    </row>
    <row r="8404" spans="1:7">
      <c r="A8404" t="s">
        <v>35610</v>
      </c>
      <c r="B8404" t="s">
        <v>8607</v>
      </c>
      <c r="F8404" t="s">
        <v>19974</v>
      </c>
      <c r="G8404" t="s">
        <v>19975</v>
      </c>
    </row>
    <row r="8405" spans="1:7">
      <c r="A8405" t="s">
        <v>35611</v>
      </c>
      <c r="B8405" t="s">
        <v>8626</v>
      </c>
      <c r="F8405" t="s">
        <v>28410</v>
      </c>
      <c r="G8405" t="s">
        <v>28411</v>
      </c>
    </row>
    <row r="8406" spans="1:7">
      <c r="A8406" t="s">
        <v>35612</v>
      </c>
      <c r="B8406" t="s">
        <v>8607</v>
      </c>
      <c r="F8406" t="s">
        <v>27384</v>
      </c>
      <c r="G8406" t="s">
        <v>28413</v>
      </c>
    </row>
    <row r="8407" spans="1:7">
      <c r="A8407" t="s">
        <v>35613</v>
      </c>
      <c r="B8407" t="s">
        <v>8607</v>
      </c>
      <c r="F8407" t="s">
        <v>28415</v>
      </c>
      <c r="G8407" t="s">
        <v>28416</v>
      </c>
    </row>
    <row r="8408" spans="1:7">
      <c r="A8408" t="s">
        <v>35614</v>
      </c>
      <c r="B8408" t="s">
        <v>8607</v>
      </c>
      <c r="F8408" t="s">
        <v>35615</v>
      </c>
      <c r="G8408" t="s">
        <v>35616</v>
      </c>
    </row>
    <row r="8409" spans="1:7">
      <c r="A8409" t="s">
        <v>35617</v>
      </c>
      <c r="B8409" t="s">
        <v>8626</v>
      </c>
      <c r="F8409" t="s">
        <v>33412</v>
      </c>
      <c r="G8409" t="s">
        <v>35618</v>
      </c>
    </row>
    <row r="8410" spans="1:7">
      <c r="A8410" t="s">
        <v>35619</v>
      </c>
      <c r="B8410" t="s">
        <v>8607</v>
      </c>
      <c r="G8410" t="s">
        <v>35620</v>
      </c>
    </row>
    <row r="8411" spans="1:7">
      <c r="A8411" t="s">
        <v>35621</v>
      </c>
      <c r="G8411" t="s">
        <v>35622</v>
      </c>
    </row>
    <row r="8412" spans="1:7">
      <c r="A8412" t="s">
        <v>35623</v>
      </c>
      <c r="B8412" t="s">
        <v>8607</v>
      </c>
      <c r="F8412" t="s">
        <v>35624</v>
      </c>
      <c r="G8412" t="s">
        <v>34700</v>
      </c>
    </row>
    <row r="8413" spans="1:7">
      <c r="A8413" t="s">
        <v>35625</v>
      </c>
      <c r="B8413" t="s">
        <v>8607</v>
      </c>
      <c r="G8413" t="s">
        <v>35626</v>
      </c>
    </row>
    <row r="8414" spans="1:7">
      <c r="A8414" t="s">
        <v>35627</v>
      </c>
      <c r="B8414" t="s">
        <v>8607</v>
      </c>
      <c r="G8414" t="s">
        <v>35628</v>
      </c>
    </row>
    <row r="8415" spans="1:7">
      <c r="A8415" t="s">
        <v>35629</v>
      </c>
      <c r="B8415" t="s">
        <v>8607</v>
      </c>
      <c r="F8415" t="s">
        <v>26099</v>
      </c>
      <c r="G8415" t="s">
        <v>31247</v>
      </c>
    </row>
    <row r="8416" spans="1:7">
      <c r="A8416" t="s">
        <v>35630</v>
      </c>
      <c r="B8416" t="s">
        <v>8607</v>
      </c>
      <c r="F8416" t="s">
        <v>26069</v>
      </c>
      <c r="G8416" t="s">
        <v>35631</v>
      </c>
    </row>
    <row r="8417" spans="1:7">
      <c r="A8417" t="s">
        <v>35632</v>
      </c>
      <c r="B8417" t="s">
        <v>8607</v>
      </c>
      <c r="C8417" t="s">
        <v>18230</v>
      </c>
      <c r="F8417" t="s">
        <v>13312</v>
      </c>
      <c r="G8417" t="s">
        <v>35633</v>
      </c>
    </row>
    <row r="8418" spans="1:7">
      <c r="A8418" t="s">
        <v>35634</v>
      </c>
      <c r="B8418" t="s">
        <v>8626</v>
      </c>
      <c r="F8418" t="s">
        <v>28352</v>
      </c>
      <c r="G8418" t="s">
        <v>35635</v>
      </c>
    </row>
    <row r="8419" spans="1:7">
      <c r="A8419" t="s">
        <v>35636</v>
      </c>
      <c r="B8419" t="s">
        <v>8626</v>
      </c>
      <c r="F8419" t="s">
        <v>8623</v>
      </c>
      <c r="G8419" t="s">
        <v>33221</v>
      </c>
    </row>
    <row r="8420" spans="1:7">
      <c r="A8420" t="s">
        <v>35637</v>
      </c>
      <c r="B8420" t="s">
        <v>8607</v>
      </c>
      <c r="F8420" t="s">
        <v>35638</v>
      </c>
      <c r="G8420" t="s">
        <v>35639</v>
      </c>
    </row>
    <row r="8421" spans="1:7">
      <c r="A8421" t="s">
        <v>35640</v>
      </c>
      <c r="B8421" t="s">
        <v>8626</v>
      </c>
      <c r="F8421" t="s">
        <v>35641</v>
      </c>
      <c r="G8421" t="s">
        <v>35642</v>
      </c>
    </row>
    <row r="8422" spans="1:7">
      <c r="A8422" t="s">
        <v>35643</v>
      </c>
      <c r="B8422" t="s">
        <v>8607</v>
      </c>
      <c r="G8422" t="s">
        <v>27713</v>
      </c>
    </row>
    <row r="8423" spans="1:7">
      <c r="A8423" t="s">
        <v>35644</v>
      </c>
      <c r="B8423" t="s">
        <v>8607</v>
      </c>
      <c r="G8423" t="s">
        <v>35645</v>
      </c>
    </row>
    <row r="8424" spans="1:7">
      <c r="A8424" t="s">
        <v>35646</v>
      </c>
      <c r="B8424" t="s">
        <v>8607</v>
      </c>
      <c r="F8424" t="s">
        <v>22981</v>
      </c>
      <c r="G8424" t="s">
        <v>29622</v>
      </c>
    </row>
    <row r="8425" spans="1:7">
      <c r="A8425" t="s">
        <v>35647</v>
      </c>
      <c r="B8425" t="s">
        <v>8626</v>
      </c>
      <c r="F8425" t="s">
        <v>9018</v>
      </c>
      <c r="G8425" t="s">
        <v>35648</v>
      </c>
    </row>
    <row r="8426" spans="1:7">
      <c r="A8426" t="s">
        <v>35649</v>
      </c>
      <c r="B8426" t="s">
        <v>8626</v>
      </c>
      <c r="C8426" t="s">
        <v>9471</v>
      </c>
      <c r="F8426" t="s">
        <v>9473</v>
      </c>
      <c r="G8426" t="s">
        <v>35650</v>
      </c>
    </row>
    <row r="8427" spans="1:7">
      <c r="A8427" t="s">
        <v>35651</v>
      </c>
      <c r="B8427" t="s">
        <v>8607</v>
      </c>
      <c r="C8427" t="s">
        <v>12861</v>
      </c>
      <c r="F8427" t="s">
        <v>12862</v>
      </c>
      <c r="G8427" t="s">
        <v>35652</v>
      </c>
    </row>
    <row r="8428" spans="1:7">
      <c r="A8428" t="s">
        <v>35653</v>
      </c>
      <c r="B8428" t="s">
        <v>8626</v>
      </c>
      <c r="F8428" t="s">
        <v>9018</v>
      </c>
      <c r="G8428" t="s">
        <v>35654</v>
      </c>
    </row>
    <row r="8429" spans="1:7">
      <c r="A8429" t="s">
        <v>35655</v>
      </c>
      <c r="B8429" t="s">
        <v>8626</v>
      </c>
      <c r="F8429" t="s">
        <v>9018</v>
      </c>
      <c r="G8429" t="s">
        <v>35656</v>
      </c>
    </row>
    <row r="8430" spans="1:7">
      <c r="A8430" t="s">
        <v>35657</v>
      </c>
      <c r="B8430" t="s">
        <v>8607</v>
      </c>
      <c r="G8430" t="s">
        <v>35658</v>
      </c>
    </row>
    <row r="8431" spans="1:7">
      <c r="A8431" t="s">
        <v>35659</v>
      </c>
      <c r="B8431" t="s">
        <v>8607</v>
      </c>
      <c r="G8431" t="s">
        <v>35660</v>
      </c>
    </row>
    <row r="8432" spans="1:7">
      <c r="A8432" t="s">
        <v>35661</v>
      </c>
      <c r="B8432" t="s">
        <v>8607</v>
      </c>
      <c r="C8432" t="s">
        <v>26479</v>
      </c>
      <c r="F8432" t="s">
        <v>9018</v>
      </c>
      <c r="G8432" t="s">
        <v>35662</v>
      </c>
    </row>
    <row r="8433" spans="1:7">
      <c r="A8433" t="s">
        <v>35663</v>
      </c>
      <c r="B8433" t="s">
        <v>8626</v>
      </c>
      <c r="F8433" t="s">
        <v>9018</v>
      </c>
      <c r="G8433" t="s">
        <v>35648</v>
      </c>
    </row>
    <row r="8434" spans="1:7">
      <c r="A8434" t="s">
        <v>35664</v>
      </c>
      <c r="B8434" t="s">
        <v>8607</v>
      </c>
      <c r="F8434" t="s">
        <v>17784</v>
      </c>
      <c r="G8434" t="s">
        <v>35665</v>
      </c>
    </row>
    <row r="8435" spans="1:7">
      <c r="A8435" t="s">
        <v>35666</v>
      </c>
      <c r="B8435" t="s">
        <v>8607</v>
      </c>
      <c r="F8435" t="s">
        <v>27000</v>
      </c>
      <c r="G8435" t="s">
        <v>27001</v>
      </c>
    </row>
    <row r="8436" spans="1:7">
      <c r="A8436" t="s">
        <v>35667</v>
      </c>
      <c r="B8436" t="s">
        <v>8607</v>
      </c>
      <c r="F8436" t="s">
        <v>30188</v>
      </c>
      <c r="G8436" t="s">
        <v>35668</v>
      </c>
    </row>
    <row r="8437" spans="1:7">
      <c r="A8437" t="s">
        <v>35669</v>
      </c>
      <c r="B8437" t="s">
        <v>8626</v>
      </c>
      <c r="G8437" t="s">
        <v>35670</v>
      </c>
    </row>
    <row r="8438" spans="1:7">
      <c r="A8438" t="s">
        <v>35671</v>
      </c>
      <c r="B8438" t="s">
        <v>8607</v>
      </c>
      <c r="C8438" t="s">
        <v>26479</v>
      </c>
      <c r="F8438" t="s">
        <v>9018</v>
      </c>
      <c r="G8438" t="s">
        <v>35672</v>
      </c>
    </row>
    <row r="8439" spans="1:7">
      <c r="A8439" t="s">
        <v>35673</v>
      </c>
      <c r="B8439" t="s">
        <v>8607</v>
      </c>
      <c r="G8439" t="s">
        <v>35674</v>
      </c>
    </row>
    <row r="8440" spans="1:7">
      <c r="A8440" t="s">
        <v>35675</v>
      </c>
      <c r="B8440" t="s">
        <v>8607</v>
      </c>
      <c r="F8440" t="s">
        <v>35676</v>
      </c>
      <c r="G8440" t="s">
        <v>35677</v>
      </c>
    </row>
    <row r="8441" spans="1:7">
      <c r="A8441" t="s">
        <v>35678</v>
      </c>
      <c r="B8441" t="s">
        <v>8607</v>
      </c>
      <c r="F8441" t="s">
        <v>35679</v>
      </c>
      <c r="G8441" t="s">
        <v>35680</v>
      </c>
    </row>
    <row r="8442" spans="1:7">
      <c r="A8442" t="s">
        <v>35681</v>
      </c>
      <c r="B8442" t="s">
        <v>8607</v>
      </c>
      <c r="G8442" t="s">
        <v>35682</v>
      </c>
    </row>
    <row r="8443" spans="1:7">
      <c r="A8443" t="s">
        <v>35683</v>
      </c>
      <c r="B8443" t="s">
        <v>8626</v>
      </c>
      <c r="G8443" t="s">
        <v>35684</v>
      </c>
    </row>
    <row r="8444" spans="1:7">
      <c r="A8444" t="s">
        <v>35685</v>
      </c>
      <c r="B8444" t="s">
        <v>8607</v>
      </c>
      <c r="F8444" t="s">
        <v>35686</v>
      </c>
      <c r="G8444" t="s">
        <v>35687</v>
      </c>
    </row>
    <row r="8445" spans="1:7">
      <c r="A8445" t="s">
        <v>35688</v>
      </c>
      <c r="G8445" t="s">
        <v>35689</v>
      </c>
    </row>
    <row r="8446" spans="1:7">
      <c r="A8446" t="s">
        <v>35690</v>
      </c>
      <c r="B8446" t="s">
        <v>8607</v>
      </c>
      <c r="C8446" t="s">
        <v>29588</v>
      </c>
      <c r="F8446" t="s">
        <v>9018</v>
      </c>
      <c r="G8446" t="s">
        <v>35691</v>
      </c>
    </row>
    <row r="8447" spans="1:7">
      <c r="A8447" t="s">
        <v>35692</v>
      </c>
      <c r="B8447" t="s">
        <v>8626</v>
      </c>
      <c r="G8447" t="s">
        <v>26890</v>
      </c>
    </row>
    <row r="8448" spans="1:7">
      <c r="A8448" t="s">
        <v>35693</v>
      </c>
      <c r="B8448" t="s">
        <v>8607</v>
      </c>
      <c r="F8448" t="s">
        <v>26358</v>
      </c>
      <c r="G8448" t="s">
        <v>35694</v>
      </c>
    </row>
    <row r="8449" spans="1:7">
      <c r="A8449" t="s">
        <v>35695</v>
      </c>
      <c r="B8449" t="s">
        <v>8607</v>
      </c>
      <c r="G8449" t="s">
        <v>35178</v>
      </c>
    </row>
    <row r="8450" spans="1:7">
      <c r="A8450" t="s">
        <v>35696</v>
      </c>
      <c r="B8450" t="s">
        <v>8607</v>
      </c>
      <c r="F8450" t="s">
        <v>26207</v>
      </c>
      <c r="G8450" t="s">
        <v>31290</v>
      </c>
    </row>
    <row r="8451" spans="1:7">
      <c r="A8451" t="s">
        <v>35697</v>
      </c>
      <c r="B8451" t="s">
        <v>8607</v>
      </c>
      <c r="G8451" t="s">
        <v>31853</v>
      </c>
    </row>
    <row r="8452" spans="1:7">
      <c r="A8452" t="s">
        <v>35698</v>
      </c>
      <c r="B8452" t="s">
        <v>8607</v>
      </c>
      <c r="F8452" t="s">
        <v>26212</v>
      </c>
      <c r="G8452" t="s">
        <v>35699</v>
      </c>
    </row>
    <row r="8453" spans="1:7">
      <c r="A8453" t="s">
        <v>35700</v>
      </c>
      <c r="B8453" t="s">
        <v>8607</v>
      </c>
      <c r="F8453" t="s">
        <v>17349</v>
      </c>
      <c r="G8453" t="s">
        <v>27084</v>
      </c>
    </row>
    <row r="8454" spans="1:7">
      <c r="A8454" t="s">
        <v>35701</v>
      </c>
      <c r="B8454" t="s">
        <v>8607</v>
      </c>
      <c r="G8454" t="s">
        <v>35702</v>
      </c>
    </row>
    <row r="8455" spans="1:7">
      <c r="A8455" t="s">
        <v>35703</v>
      </c>
      <c r="B8455" t="s">
        <v>8607</v>
      </c>
      <c r="G8455" t="s">
        <v>27097</v>
      </c>
    </row>
    <row r="8456" spans="1:7">
      <c r="A8456" t="s">
        <v>35704</v>
      </c>
      <c r="B8456" t="s">
        <v>8607</v>
      </c>
      <c r="F8456" t="s">
        <v>26179</v>
      </c>
      <c r="G8456" t="s">
        <v>31859</v>
      </c>
    </row>
    <row r="8457" spans="1:7">
      <c r="A8457" t="s">
        <v>35705</v>
      </c>
      <c r="B8457" t="s">
        <v>8626</v>
      </c>
      <c r="G8457" t="s">
        <v>29632</v>
      </c>
    </row>
    <row r="8458" spans="1:7">
      <c r="A8458" t="s">
        <v>35706</v>
      </c>
      <c r="G8458" t="s">
        <v>35707</v>
      </c>
    </row>
    <row r="8459" spans="1:7">
      <c r="A8459" t="s">
        <v>35708</v>
      </c>
      <c r="B8459" t="s">
        <v>8607</v>
      </c>
      <c r="F8459" t="s">
        <v>19380</v>
      </c>
      <c r="G8459" t="s">
        <v>19381</v>
      </c>
    </row>
    <row r="8460" spans="1:7">
      <c r="A8460" t="s">
        <v>35709</v>
      </c>
      <c r="B8460" t="s">
        <v>8607</v>
      </c>
      <c r="G8460" t="s">
        <v>35710</v>
      </c>
    </row>
    <row r="8461" spans="1:7">
      <c r="A8461" t="s">
        <v>35711</v>
      </c>
      <c r="B8461" t="s">
        <v>8607</v>
      </c>
      <c r="G8461" t="s">
        <v>26217</v>
      </c>
    </row>
    <row r="8462" spans="1:7">
      <c r="A8462" t="s">
        <v>35712</v>
      </c>
      <c r="B8462" t="s">
        <v>8626</v>
      </c>
      <c r="F8462" t="s">
        <v>26919</v>
      </c>
      <c r="G8462" t="s">
        <v>26892</v>
      </c>
    </row>
    <row r="8463" spans="1:7">
      <c r="A8463" t="s">
        <v>35713</v>
      </c>
      <c r="B8463" t="s">
        <v>8607</v>
      </c>
      <c r="F8463" t="s">
        <v>27020</v>
      </c>
      <c r="G8463" t="s">
        <v>27021</v>
      </c>
    </row>
    <row r="8464" spans="1:7">
      <c r="A8464" t="s">
        <v>35714</v>
      </c>
      <c r="B8464" t="s">
        <v>8626</v>
      </c>
      <c r="F8464" t="s">
        <v>17523</v>
      </c>
      <c r="G8464" t="s">
        <v>35715</v>
      </c>
    </row>
    <row r="8465" spans="1:7">
      <c r="A8465" t="s">
        <v>35716</v>
      </c>
      <c r="B8465" t="s">
        <v>8607</v>
      </c>
      <c r="F8465" t="s">
        <v>17457</v>
      </c>
      <c r="G8465" t="s">
        <v>26477</v>
      </c>
    </row>
    <row r="8466" spans="1:7">
      <c r="A8466" t="s">
        <v>35717</v>
      </c>
      <c r="B8466" t="s">
        <v>8626</v>
      </c>
      <c r="G8466" t="s">
        <v>35718</v>
      </c>
    </row>
    <row r="8467" spans="1:7">
      <c r="A8467" t="s">
        <v>35719</v>
      </c>
      <c r="B8467" t="s">
        <v>8626</v>
      </c>
      <c r="G8467" t="s">
        <v>35720</v>
      </c>
    </row>
    <row r="8468" spans="1:7">
      <c r="A8468" t="s">
        <v>35721</v>
      </c>
      <c r="B8468" t="s">
        <v>8607</v>
      </c>
      <c r="F8468" t="s">
        <v>35722</v>
      </c>
      <c r="G8468" t="s">
        <v>35723</v>
      </c>
    </row>
    <row r="8469" spans="1:7">
      <c r="A8469" t="s">
        <v>35724</v>
      </c>
      <c r="G8469" t="s">
        <v>29445</v>
      </c>
    </row>
    <row r="8470" spans="1:7">
      <c r="A8470" t="s">
        <v>35725</v>
      </c>
      <c r="B8470" t="s">
        <v>8607</v>
      </c>
      <c r="G8470" t="s">
        <v>26355</v>
      </c>
    </row>
    <row r="8471" spans="1:7">
      <c r="A8471" t="s">
        <v>35726</v>
      </c>
      <c r="B8471" t="s">
        <v>8607</v>
      </c>
      <c r="F8471" t="s">
        <v>29013</v>
      </c>
      <c r="G8471" t="s">
        <v>29014</v>
      </c>
    </row>
    <row r="8472" spans="1:7">
      <c r="A8472" t="s">
        <v>35727</v>
      </c>
      <c r="B8472" t="s">
        <v>8607</v>
      </c>
      <c r="F8472" t="s">
        <v>9018</v>
      </c>
      <c r="G8472" t="s">
        <v>30605</v>
      </c>
    </row>
    <row r="8473" spans="1:7">
      <c r="A8473" t="s">
        <v>35728</v>
      </c>
      <c r="B8473" t="s">
        <v>8626</v>
      </c>
      <c r="G8473" t="s">
        <v>35729</v>
      </c>
    </row>
    <row r="8474" spans="1:7">
      <c r="A8474" t="s">
        <v>35730</v>
      </c>
      <c r="B8474" t="s">
        <v>8607</v>
      </c>
      <c r="G8474" t="s">
        <v>26169</v>
      </c>
    </row>
    <row r="8475" spans="1:7">
      <c r="A8475" t="s">
        <v>35731</v>
      </c>
      <c r="B8475" t="s">
        <v>8626</v>
      </c>
      <c r="G8475" t="s">
        <v>35732</v>
      </c>
    </row>
    <row r="8476" spans="1:7">
      <c r="A8476" t="s">
        <v>35733</v>
      </c>
      <c r="B8476" t="s">
        <v>8607</v>
      </c>
      <c r="F8476" t="s">
        <v>26104</v>
      </c>
      <c r="G8476" t="s">
        <v>26171</v>
      </c>
    </row>
    <row r="8477" spans="1:7">
      <c r="A8477" t="s">
        <v>35734</v>
      </c>
      <c r="B8477" t="s">
        <v>8607</v>
      </c>
      <c r="C8477" t="s">
        <v>26107</v>
      </c>
      <c r="F8477" t="s">
        <v>26108</v>
      </c>
      <c r="G8477" t="s">
        <v>33061</v>
      </c>
    </row>
    <row r="8478" spans="1:7">
      <c r="A8478" t="s">
        <v>35735</v>
      </c>
      <c r="B8478" t="s">
        <v>8607</v>
      </c>
      <c r="F8478" t="s">
        <v>26176</v>
      </c>
      <c r="G8478" t="s">
        <v>26177</v>
      </c>
    </row>
    <row r="8479" spans="1:7">
      <c r="A8479" t="s">
        <v>35736</v>
      </c>
      <c r="B8479" t="s">
        <v>8607</v>
      </c>
      <c r="F8479" t="s">
        <v>25964</v>
      </c>
      <c r="G8479" t="s">
        <v>35737</v>
      </c>
    </row>
    <row r="8480" spans="1:7">
      <c r="A8480" t="s">
        <v>35738</v>
      </c>
      <c r="B8480" t="s">
        <v>8607</v>
      </c>
      <c r="F8480" t="s">
        <v>30465</v>
      </c>
      <c r="G8480" t="s">
        <v>35739</v>
      </c>
    </row>
    <row r="8481" spans="1:7">
      <c r="A8481" t="s">
        <v>35740</v>
      </c>
      <c r="B8481" t="s">
        <v>8607</v>
      </c>
      <c r="F8481" t="s">
        <v>30468</v>
      </c>
      <c r="G8481" t="s">
        <v>35741</v>
      </c>
    </row>
    <row r="8482" spans="1:7">
      <c r="A8482" t="s">
        <v>35742</v>
      </c>
      <c r="B8482" t="s">
        <v>8607</v>
      </c>
      <c r="C8482" t="s">
        <v>22388</v>
      </c>
      <c r="F8482" t="s">
        <v>9268</v>
      </c>
      <c r="G8482" t="s">
        <v>35743</v>
      </c>
    </row>
    <row r="8483" spans="1:7">
      <c r="A8483" t="s">
        <v>35744</v>
      </c>
      <c r="B8483" t="s">
        <v>8626</v>
      </c>
      <c r="F8483" t="s">
        <v>14108</v>
      </c>
      <c r="G8483" t="s">
        <v>35745</v>
      </c>
    </row>
    <row r="8484" spans="1:7">
      <c r="A8484" t="s">
        <v>35746</v>
      </c>
      <c r="B8484" t="s">
        <v>8607</v>
      </c>
      <c r="F8484" t="s">
        <v>35747</v>
      </c>
      <c r="G8484" t="s">
        <v>35748</v>
      </c>
    </row>
    <row r="8485" spans="1:7">
      <c r="A8485" t="s">
        <v>35749</v>
      </c>
      <c r="B8485" t="s">
        <v>8607</v>
      </c>
      <c r="C8485" t="s">
        <v>32331</v>
      </c>
      <c r="F8485" t="s">
        <v>32332</v>
      </c>
      <c r="G8485" t="s">
        <v>35750</v>
      </c>
    </row>
    <row r="8486" spans="1:7">
      <c r="A8486" t="s">
        <v>35751</v>
      </c>
      <c r="B8486" t="s">
        <v>8607</v>
      </c>
      <c r="F8486" t="s">
        <v>15309</v>
      </c>
      <c r="G8486" t="s">
        <v>35752</v>
      </c>
    </row>
    <row r="8487" spans="1:7">
      <c r="A8487" t="s">
        <v>35753</v>
      </c>
      <c r="B8487" t="s">
        <v>8626</v>
      </c>
      <c r="F8487" t="s">
        <v>30494</v>
      </c>
      <c r="G8487" t="s">
        <v>35754</v>
      </c>
    </row>
    <row r="8488" spans="1:7">
      <c r="A8488" t="s">
        <v>35755</v>
      </c>
      <c r="B8488" t="s">
        <v>8607</v>
      </c>
      <c r="C8488" t="s">
        <v>22775</v>
      </c>
      <c r="F8488" t="s">
        <v>22769</v>
      </c>
      <c r="G8488" t="s">
        <v>35756</v>
      </c>
    </row>
    <row r="8489" spans="1:7">
      <c r="A8489" t="s">
        <v>35757</v>
      </c>
      <c r="B8489" t="s">
        <v>8607</v>
      </c>
      <c r="F8489" t="s">
        <v>17429</v>
      </c>
      <c r="G8489" t="s">
        <v>35758</v>
      </c>
    </row>
    <row r="8490" spans="1:7">
      <c r="A8490" t="s">
        <v>35759</v>
      </c>
      <c r="B8490" t="s">
        <v>8607</v>
      </c>
      <c r="F8490" t="s">
        <v>17932</v>
      </c>
      <c r="G8490" t="s">
        <v>35760</v>
      </c>
    </row>
    <row r="8491" spans="1:7">
      <c r="A8491" t="s">
        <v>35761</v>
      </c>
      <c r="B8491" t="s">
        <v>8607</v>
      </c>
      <c r="F8491" t="s">
        <v>18877</v>
      </c>
      <c r="G8491" t="s">
        <v>35762</v>
      </c>
    </row>
    <row r="8492" spans="1:7">
      <c r="A8492" t="s">
        <v>35763</v>
      </c>
      <c r="B8492" t="s">
        <v>8626</v>
      </c>
      <c r="F8492" t="s">
        <v>31233</v>
      </c>
      <c r="G8492" t="s">
        <v>35764</v>
      </c>
    </row>
    <row r="8493" spans="1:7">
      <c r="A8493" t="s">
        <v>35765</v>
      </c>
      <c r="B8493" t="s">
        <v>8626</v>
      </c>
      <c r="F8493" t="s">
        <v>27930</v>
      </c>
      <c r="G8493" t="s">
        <v>35766</v>
      </c>
    </row>
    <row r="8494" spans="1:7">
      <c r="A8494" t="s">
        <v>35767</v>
      </c>
      <c r="B8494" t="s">
        <v>8626</v>
      </c>
      <c r="F8494" t="s">
        <v>35768</v>
      </c>
      <c r="G8494" t="s">
        <v>35769</v>
      </c>
    </row>
    <row r="8495" spans="1:7">
      <c r="A8495" t="s">
        <v>35770</v>
      </c>
      <c r="G8495" t="s">
        <v>35771</v>
      </c>
    </row>
    <row r="8496" spans="1:7">
      <c r="A8496" t="s">
        <v>35772</v>
      </c>
      <c r="B8496" t="s">
        <v>8607</v>
      </c>
      <c r="F8496" t="s">
        <v>9645</v>
      </c>
      <c r="G8496" t="s">
        <v>35773</v>
      </c>
    </row>
    <row r="8497" spans="1:7">
      <c r="A8497" t="s">
        <v>35774</v>
      </c>
      <c r="B8497" t="s">
        <v>8626</v>
      </c>
      <c r="F8497" t="s">
        <v>33798</v>
      </c>
      <c r="G8497" t="s">
        <v>35775</v>
      </c>
    </row>
    <row r="8498" spans="1:7">
      <c r="A8498" t="s">
        <v>35776</v>
      </c>
      <c r="B8498" t="s">
        <v>8607</v>
      </c>
      <c r="F8498" t="s">
        <v>33798</v>
      </c>
      <c r="G8498" t="s">
        <v>35777</v>
      </c>
    </row>
    <row r="8499" spans="1:7">
      <c r="A8499" t="s">
        <v>35778</v>
      </c>
      <c r="B8499" t="s">
        <v>8607</v>
      </c>
      <c r="F8499" t="s">
        <v>23859</v>
      </c>
      <c r="G8499" t="s">
        <v>35779</v>
      </c>
    </row>
    <row r="8500" spans="1:7">
      <c r="A8500" t="s">
        <v>35780</v>
      </c>
      <c r="B8500" t="s">
        <v>8607</v>
      </c>
      <c r="F8500" t="s">
        <v>26555</v>
      </c>
      <c r="G8500" t="s">
        <v>27765</v>
      </c>
    </row>
    <row r="8501" spans="1:7">
      <c r="A8501" t="s">
        <v>35781</v>
      </c>
      <c r="B8501" t="s">
        <v>8607</v>
      </c>
      <c r="F8501" t="s">
        <v>26558</v>
      </c>
      <c r="G8501" t="s">
        <v>27767</v>
      </c>
    </row>
    <row r="8502" spans="1:7">
      <c r="A8502" t="s">
        <v>35782</v>
      </c>
      <c r="B8502" t="s">
        <v>8607</v>
      </c>
      <c r="F8502" t="s">
        <v>35141</v>
      </c>
      <c r="G8502" t="s">
        <v>35783</v>
      </c>
    </row>
    <row r="8503" spans="1:7">
      <c r="A8503" t="s">
        <v>35784</v>
      </c>
      <c r="B8503" t="s">
        <v>8607</v>
      </c>
      <c r="C8503" t="s">
        <v>29416</v>
      </c>
      <c r="F8503" t="s">
        <v>17349</v>
      </c>
      <c r="G8503" t="s">
        <v>35785</v>
      </c>
    </row>
    <row r="8504" spans="1:7">
      <c r="A8504" t="s">
        <v>35786</v>
      </c>
      <c r="B8504" t="s">
        <v>8607</v>
      </c>
      <c r="F8504" t="s">
        <v>35787</v>
      </c>
      <c r="G8504" t="s">
        <v>35788</v>
      </c>
    </row>
    <row r="8505" spans="1:7">
      <c r="A8505" t="s">
        <v>35789</v>
      </c>
      <c r="B8505" t="s">
        <v>8607</v>
      </c>
      <c r="F8505" t="s">
        <v>29419</v>
      </c>
      <c r="G8505" t="s">
        <v>35790</v>
      </c>
    </row>
    <row r="8506" spans="1:7">
      <c r="A8506" t="s">
        <v>35791</v>
      </c>
      <c r="B8506" t="s">
        <v>8607</v>
      </c>
      <c r="F8506" t="s">
        <v>27323</v>
      </c>
      <c r="G8506" t="s">
        <v>35792</v>
      </c>
    </row>
    <row r="8507" spans="1:7">
      <c r="A8507" t="s">
        <v>35793</v>
      </c>
      <c r="B8507" t="s">
        <v>8607</v>
      </c>
      <c r="F8507" t="s">
        <v>30403</v>
      </c>
      <c r="G8507" t="s">
        <v>35794</v>
      </c>
    </row>
    <row r="8508" spans="1:7">
      <c r="A8508" t="s">
        <v>35795</v>
      </c>
      <c r="B8508" t="s">
        <v>8607</v>
      </c>
      <c r="F8508" t="s">
        <v>27969</v>
      </c>
      <c r="G8508" t="s">
        <v>29426</v>
      </c>
    </row>
    <row r="8509" spans="1:7">
      <c r="A8509" t="s">
        <v>35796</v>
      </c>
      <c r="B8509" t="s">
        <v>8607</v>
      </c>
      <c r="F8509" t="s">
        <v>26024</v>
      </c>
      <c r="G8509" t="s">
        <v>35797</v>
      </c>
    </row>
    <row r="8510" spans="1:7">
      <c r="A8510" t="s">
        <v>35798</v>
      </c>
      <c r="B8510" t="s">
        <v>8607</v>
      </c>
      <c r="F8510" t="s">
        <v>29430</v>
      </c>
      <c r="G8510" t="s">
        <v>35799</v>
      </c>
    </row>
    <row r="8511" spans="1:7">
      <c r="A8511" t="s">
        <v>35800</v>
      </c>
      <c r="B8511" t="s">
        <v>8607</v>
      </c>
      <c r="F8511" t="s">
        <v>29430</v>
      </c>
      <c r="G8511" t="s">
        <v>35801</v>
      </c>
    </row>
    <row r="8512" spans="1:7">
      <c r="A8512" t="s">
        <v>35802</v>
      </c>
      <c r="B8512" t="s">
        <v>8607</v>
      </c>
      <c r="C8512" t="s">
        <v>26850</v>
      </c>
      <c r="F8512" t="s">
        <v>26176</v>
      </c>
      <c r="G8512" t="s">
        <v>35803</v>
      </c>
    </row>
    <row r="8513" spans="1:7">
      <c r="A8513" t="s">
        <v>35804</v>
      </c>
      <c r="B8513" t="s">
        <v>8607</v>
      </c>
      <c r="F8513" t="s">
        <v>26654</v>
      </c>
      <c r="G8513" t="s">
        <v>35805</v>
      </c>
    </row>
    <row r="8514" spans="1:7">
      <c r="A8514" t="s">
        <v>35806</v>
      </c>
      <c r="B8514" t="s">
        <v>8607</v>
      </c>
      <c r="F8514" t="s">
        <v>35807</v>
      </c>
      <c r="G8514" t="s">
        <v>35808</v>
      </c>
    </row>
    <row r="8515" spans="1:7">
      <c r="A8515" t="s">
        <v>35809</v>
      </c>
      <c r="B8515" t="s">
        <v>8607</v>
      </c>
      <c r="F8515" t="s">
        <v>35807</v>
      </c>
      <c r="G8515" t="s">
        <v>35810</v>
      </c>
    </row>
    <row r="8516" spans="1:7">
      <c r="A8516" t="s">
        <v>35811</v>
      </c>
      <c r="B8516" t="s">
        <v>8607</v>
      </c>
      <c r="F8516" t="s">
        <v>25964</v>
      </c>
      <c r="G8516" t="s">
        <v>35812</v>
      </c>
    </row>
    <row r="8517" spans="1:7">
      <c r="A8517" t="s">
        <v>35813</v>
      </c>
      <c r="B8517" t="s">
        <v>8607</v>
      </c>
      <c r="F8517" t="s">
        <v>35814</v>
      </c>
      <c r="G8517" t="s">
        <v>35815</v>
      </c>
    </row>
    <row r="8518" spans="1:7">
      <c r="A8518" t="s">
        <v>35816</v>
      </c>
      <c r="B8518" t="s">
        <v>8607</v>
      </c>
      <c r="F8518" t="s">
        <v>35817</v>
      </c>
      <c r="G8518" t="s">
        <v>35818</v>
      </c>
    </row>
    <row r="8519" spans="1:7">
      <c r="A8519" t="s">
        <v>35819</v>
      </c>
      <c r="B8519" t="s">
        <v>8607</v>
      </c>
      <c r="G8519" t="s">
        <v>35820</v>
      </c>
    </row>
    <row r="8520" spans="1:7">
      <c r="A8520" t="s">
        <v>35821</v>
      </c>
      <c r="B8520" t="s">
        <v>8607</v>
      </c>
      <c r="F8520" t="s">
        <v>27323</v>
      </c>
      <c r="G8520" t="s">
        <v>35822</v>
      </c>
    </row>
    <row r="8521" spans="1:7">
      <c r="A8521" t="s">
        <v>35823</v>
      </c>
      <c r="B8521" t="s">
        <v>8607</v>
      </c>
      <c r="F8521" t="s">
        <v>30403</v>
      </c>
      <c r="G8521" t="s">
        <v>35824</v>
      </c>
    </row>
    <row r="8522" spans="1:7">
      <c r="A8522" t="s">
        <v>35825</v>
      </c>
      <c r="B8522" t="s">
        <v>8607</v>
      </c>
      <c r="F8522" t="s">
        <v>27969</v>
      </c>
      <c r="G8522" t="s">
        <v>29426</v>
      </c>
    </row>
    <row r="8523" spans="1:7">
      <c r="A8523" t="s">
        <v>35826</v>
      </c>
      <c r="B8523" t="s">
        <v>8607</v>
      </c>
      <c r="F8523" t="s">
        <v>26024</v>
      </c>
      <c r="G8523" t="s">
        <v>29428</v>
      </c>
    </row>
    <row r="8524" spans="1:7">
      <c r="A8524" t="s">
        <v>35827</v>
      </c>
      <c r="B8524" t="s">
        <v>8626</v>
      </c>
      <c r="F8524" t="s">
        <v>29430</v>
      </c>
      <c r="G8524" t="s">
        <v>29431</v>
      </c>
    </row>
    <row r="8525" spans="1:7">
      <c r="A8525" t="s">
        <v>35828</v>
      </c>
      <c r="B8525" t="s">
        <v>8607</v>
      </c>
      <c r="F8525" t="s">
        <v>29430</v>
      </c>
      <c r="G8525" t="s">
        <v>35829</v>
      </c>
    </row>
    <row r="8526" spans="1:7">
      <c r="A8526" t="s">
        <v>35830</v>
      </c>
      <c r="B8526" t="s">
        <v>8626</v>
      </c>
      <c r="G8526" t="s">
        <v>35831</v>
      </c>
    </row>
    <row r="8527" spans="1:7">
      <c r="A8527" t="s">
        <v>35832</v>
      </c>
      <c r="B8527" t="s">
        <v>8626</v>
      </c>
      <c r="F8527" t="s">
        <v>13312</v>
      </c>
      <c r="G8527" t="s">
        <v>35833</v>
      </c>
    </row>
    <row r="8528" spans="1:7">
      <c r="A8528" t="s">
        <v>35834</v>
      </c>
      <c r="B8528" t="s">
        <v>8607</v>
      </c>
      <c r="F8528" t="s">
        <v>35814</v>
      </c>
      <c r="G8528" t="s">
        <v>35835</v>
      </c>
    </row>
    <row r="8529" spans="1:7">
      <c r="A8529" t="s">
        <v>35836</v>
      </c>
      <c r="B8529" t="s">
        <v>8607</v>
      </c>
      <c r="F8529" t="s">
        <v>30465</v>
      </c>
      <c r="G8529" t="s">
        <v>35837</v>
      </c>
    </row>
    <row r="8530" spans="1:7">
      <c r="A8530" t="s">
        <v>35838</v>
      </c>
      <c r="B8530" t="s">
        <v>8607</v>
      </c>
      <c r="F8530" t="s">
        <v>25964</v>
      </c>
      <c r="G8530" t="s">
        <v>35839</v>
      </c>
    </row>
    <row r="8531" spans="1:7">
      <c r="A8531" t="s">
        <v>35840</v>
      </c>
      <c r="B8531" t="s">
        <v>8607</v>
      </c>
      <c r="F8531" t="s">
        <v>30468</v>
      </c>
      <c r="G8531" t="s">
        <v>35841</v>
      </c>
    </row>
    <row r="8532" spans="1:7">
      <c r="A8532" t="s">
        <v>35842</v>
      </c>
      <c r="B8532" t="s">
        <v>8626</v>
      </c>
      <c r="C8532" t="s">
        <v>22388</v>
      </c>
      <c r="F8532" t="s">
        <v>9268</v>
      </c>
      <c r="G8532" t="s">
        <v>35843</v>
      </c>
    </row>
    <row r="8533" spans="1:7">
      <c r="A8533" t="s">
        <v>35844</v>
      </c>
      <c r="B8533" t="s">
        <v>8626</v>
      </c>
      <c r="F8533" t="s">
        <v>35845</v>
      </c>
      <c r="G8533" t="s">
        <v>35846</v>
      </c>
    </row>
    <row r="8534" spans="1:7">
      <c r="A8534" t="s">
        <v>35847</v>
      </c>
      <c r="B8534" t="s">
        <v>8626</v>
      </c>
      <c r="C8534" t="s">
        <v>32331</v>
      </c>
      <c r="F8534" t="s">
        <v>32332</v>
      </c>
      <c r="G8534" t="s">
        <v>35848</v>
      </c>
    </row>
    <row r="8535" spans="1:7">
      <c r="A8535" t="s">
        <v>35849</v>
      </c>
      <c r="B8535" t="s">
        <v>8607</v>
      </c>
      <c r="F8535" t="s">
        <v>22769</v>
      </c>
      <c r="G8535" t="s">
        <v>27659</v>
      </c>
    </row>
    <row r="8536" spans="1:7">
      <c r="A8536" t="s">
        <v>35850</v>
      </c>
      <c r="B8536" t="s">
        <v>8607</v>
      </c>
      <c r="F8536" t="s">
        <v>17429</v>
      </c>
      <c r="G8536" t="s">
        <v>35851</v>
      </c>
    </row>
    <row r="8537" spans="1:7">
      <c r="A8537" t="s">
        <v>35852</v>
      </c>
      <c r="B8537" t="s">
        <v>8607</v>
      </c>
      <c r="F8537" t="s">
        <v>17932</v>
      </c>
      <c r="G8537" t="s">
        <v>35853</v>
      </c>
    </row>
    <row r="8538" spans="1:7">
      <c r="A8538" t="s">
        <v>35854</v>
      </c>
      <c r="B8538" t="s">
        <v>8607</v>
      </c>
      <c r="F8538" t="s">
        <v>35855</v>
      </c>
      <c r="G8538" t="s">
        <v>35856</v>
      </c>
    </row>
    <row r="8539" spans="1:7">
      <c r="A8539" t="s">
        <v>35857</v>
      </c>
      <c r="B8539" t="s">
        <v>8626</v>
      </c>
      <c r="F8539" t="s">
        <v>35858</v>
      </c>
      <c r="G8539" t="s">
        <v>35859</v>
      </c>
    </row>
    <row r="8540" spans="1:7">
      <c r="A8540" t="s">
        <v>35860</v>
      </c>
      <c r="B8540" t="s">
        <v>8607</v>
      </c>
      <c r="F8540" t="s">
        <v>27717</v>
      </c>
      <c r="G8540" t="s">
        <v>35861</v>
      </c>
    </row>
    <row r="8541" spans="1:7">
      <c r="A8541" t="s">
        <v>35862</v>
      </c>
      <c r="G8541" t="s">
        <v>35863</v>
      </c>
    </row>
    <row r="8542" spans="1:7">
      <c r="A8542" t="s">
        <v>35864</v>
      </c>
      <c r="B8542" t="s">
        <v>8626</v>
      </c>
      <c r="F8542" t="s">
        <v>33242</v>
      </c>
      <c r="G8542" t="s">
        <v>33243</v>
      </c>
    </row>
    <row r="8543" spans="1:7">
      <c r="A8543" t="s">
        <v>35865</v>
      </c>
      <c r="G8543" t="s">
        <v>35866</v>
      </c>
    </row>
    <row r="8544" spans="1:7">
      <c r="A8544" t="s">
        <v>35867</v>
      </c>
      <c r="B8544" t="s">
        <v>8607</v>
      </c>
      <c r="F8544" t="s">
        <v>32787</v>
      </c>
      <c r="G8544" t="s">
        <v>35868</v>
      </c>
    </row>
    <row r="8545" spans="1:7">
      <c r="A8545" t="s">
        <v>35869</v>
      </c>
      <c r="B8545" t="s">
        <v>8626</v>
      </c>
      <c r="F8545" t="s">
        <v>27930</v>
      </c>
      <c r="G8545" t="s">
        <v>35766</v>
      </c>
    </row>
    <row r="8546" spans="1:7">
      <c r="A8546" t="s">
        <v>35870</v>
      </c>
      <c r="B8546" t="s">
        <v>8607</v>
      </c>
      <c r="F8546" t="s">
        <v>35871</v>
      </c>
      <c r="G8546" t="s">
        <v>35872</v>
      </c>
    </row>
    <row r="8547" spans="1:7">
      <c r="A8547" t="s">
        <v>35873</v>
      </c>
      <c r="B8547" t="s">
        <v>8607</v>
      </c>
      <c r="G8547" t="s">
        <v>35874</v>
      </c>
    </row>
    <row r="8548" spans="1:7">
      <c r="A8548" t="s">
        <v>35875</v>
      </c>
      <c r="B8548" t="s">
        <v>8607</v>
      </c>
      <c r="F8548" t="s">
        <v>23859</v>
      </c>
      <c r="G8548" t="s">
        <v>28213</v>
      </c>
    </row>
    <row r="8549" spans="1:7">
      <c r="A8549" t="s">
        <v>35876</v>
      </c>
      <c r="G8549" t="s">
        <v>35877</v>
      </c>
    </row>
    <row r="8550" spans="1:7">
      <c r="A8550" t="s">
        <v>35878</v>
      </c>
      <c r="B8550" t="s">
        <v>8607</v>
      </c>
      <c r="G8550" t="s">
        <v>29782</v>
      </c>
    </row>
    <row r="8551" spans="1:7">
      <c r="A8551" t="s">
        <v>35879</v>
      </c>
      <c r="B8551" t="s">
        <v>8626</v>
      </c>
      <c r="G8551" t="s">
        <v>35880</v>
      </c>
    </row>
    <row r="8552" spans="1:7">
      <c r="A8552" t="s">
        <v>35881</v>
      </c>
      <c r="B8552" t="s">
        <v>8626</v>
      </c>
      <c r="F8552" t="s">
        <v>31237</v>
      </c>
      <c r="G8552" t="s">
        <v>35882</v>
      </c>
    </row>
    <row r="8553" spans="1:7">
      <c r="A8553" t="s">
        <v>35883</v>
      </c>
      <c r="B8553" t="s">
        <v>8607</v>
      </c>
      <c r="F8553" t="s">
        <v>26555</v>
      </c>
      <c r="G8553" t="s">
        <v>35884</v>
      </c>
    </row>
    <row r="8554" spans="1:7">
      <c r="A8554" t="s">
        <v>35885</v>
      </c>
      <c r="B8554" t="s">
        <v>8607</v>
      </c>
      <c r="F8554" t="s">
        <v>26558</v>
      </c>
      <c r="G8554" t="s">
        <v>27767</v>
      </c>
    </row>
    <row r="8555" spans="1:7">
      <c r="A8555" t="s">
        <v>35886</v>
      </c>
      <c r="B8555" t="s">
        <v>8607</v>
      </c>
      <c r="C8555" t="s">
        <v>29416</v>
      </c>
      <c r="F8555" t="s">
        <v>17349</v>
      </c>
      <c r="G8555" t="s">
        <v>35887</v>
      </c>
    </row>
    <row r="8556" spans="1:7">
      <c r="A8556" t="s">
        <v>35888</v>
      </c>
      <c r="B8556" t="s">
        <v>8607</v>
      </c>
      <c r="F8556" t="s">
        <v>30268</v>
      </c>
      <c r="G8556" t="s">
        <v>31018</v>
      </c>
    </row>
    <row r="8557" spans="1:7">
      <c r="A8557" t="s">
        <v>35889</v>
      </c>
      <c r="B8557" t="s">
        <v>8626</v>
      </c>
      <c r="F8557" t="s">
        <v>8623</v>
      </c>
      <c r="G8557" t="s">
        <v>35890</v>
      </c>
    </row>
    <row r="8558" spans="1:7">
      <c r="A8558" t="s">
        <v>35891</v>
      </c>
      <c r="B8558" t="s">
        <v>8626</v>
      </c>
      <c r="F8558" t="s">
        <v>26299</v>
      </c>
      <c r="G8558" t="s">
        <v>35892</v>
      </c>
    </row>
    <row r="8559" spans="1:7">
      <c r="A8559" t="s">
        <v>35893</v>
      </c>
      <c r="B8559" t="s">
        <v>8626</v>
      </c>
      <c r="F8559" t="s">
        <v>26116</v>
      </c>
      <c r="G8559" t="s">
        <v>35894</v>
      </c>
    </row>
    <row r="8560" spans="1:7">
      <c r="A8560" t="s">
        <v>35895</v>
      </c>
      <c r="B8560" t="s">
        <v>8607</v>
      </c>
      <c r="F8560" t="s">
        <v>8623</v>
      </c>
      <c r="G8560" t="s">
        <v>35896</v>
      </c>
    </row>
    <row r="8561" spans="1:7">
      <c r="A8561" t="s">
        <v>35897</v>
      </c>
      <c r="B8561" t="s">
        <v>8626</v>
      </c>
      <c r="C8561" t="s">
        <v>26665</v>
      </c>
      <c r="F8561" t="s">
        <v>26666</v>
      </c>
      <c r="G8561" t="s">
        <v>26667</v>
      </c>
    </row>
    <row r="8562" spans="1:7">
      <c r="A8562" t="s">
        <v>35898</v>
      </c>
      <c r="B8562" t="s">
        <v>8626</v>
      </c>
      <c r="C8562" t="s">
        <v>26669</v>
      </c>
      <c r="F8562" t="s">
        <v>26670</v>
      </c>
      <c r="G8562" t="s">
        <v>30061</v>
      </c>
    </row>
    <row r="8563" spans="1:7">
      <c r="A8563" t="s">
        <v>35899</v>
      </c>
      <c r="B8563" t="s">
        <v>8626</v>
      </c>
      <c r="C8563" t="s">
        <v>29299</v>
      </c>
      <c r="F8563" t="s">
        <v>26937</v>
      </c>
      <c r="G8563" t="s">
        <v>30063</v>
      </c>
    </row>
    <row r="8564" spans="1:7">
      <c r="A8564" t="s">
        <v>35900</v>
      </c>
      <c r="B8564" t="s">
        <v>8626</v>
      </c>
      <c r="F8564" t="s">
        <v>29314</v>
      </c>
      <c r="G8564" t="s">
        <v>30065</v>
      </c>
    </row>
    <row r="8565" spans="1:7">
      <c r="A8565" t="s">
        <v>35901</v>
      </c>
      <c r="B8565" t="s">
        <v>8626</v>
      </c>
      <c r="C8565" t="s">
        <v>24008</v>
      </c>
      <c r="F8565" t="s">
        <v>17305</v>
      </c>
      <c r="G8565" t="s">
        <v>24017</v>
      </c>
    </row>
    <row r="8566" spans="1:7">
      <c r="A8566" t="s">
        <v>35902</v>
      </c>
      <c r="B8566" t="s">
        <v>8626</v>
      </c>
      <c r="C8566" t="s">
        <v>29319</v>
      </c>
      <c r="F8566" t="s">
        <v>26091</v>
      </c>
      <c r="G8566" t="s">
        <v>30068</v>
      </c>
    </row>
    <row r="8567" spans="1:7">
      <c r="A8567" t="s">
        <v>35903</v>
      </c>
      <c r="B8567" t="s">
        <v>8607</v>
      </c>
      <c r="C8567" t="s">
        <v>26119</v>
      </c>
      <c r="F8567" t="s">
        <v>26120</v>
      </c>
      <c r="G8567" t="s">
        <v>30070</v>
      </c>
    </row>
    <row r="8568" spans="1:7">
      <c r="A8568" t="s">
        <v>35904</v>
      </c>
      <c r="B8568" t="s">
        <v>8607</v>
      </c>
      <c r="C8568" t="s">
        <v>26661</v>
      </c>
      <c r="F8568" t="s">
        <v>26365</v>
      </c>
      <c r="G8568" t="s">
        <v>35905</v>
      </c>
    </row>
    <row r="8569" spans="1:7">
      <c r="A8569" t="s">
        <v>35906</v>
      </c>
      <c r="B8569" t="s">
        <v>8626</v>
      </c>
      <c r="C8569" t="s">
        <v>27410</v>
      </c>
      <c r="F8569" t="s">
        <v>27411</v>
      </c>
      <c r="G8569" t="s">
        <v>33614</v>
      </c>
    </row>
    <row r="8570" spans="1:7">
      <c r="A8570" t="s">
        <v>35907</v>
      </c>
      <c r="B8570" t="s">
        <v>8626</v>
      </c>
      <c r="C8570" t="s">
        <v>27504</v>
      </c>
      <c r="F8570" t="s">
        <v>26291</v>
      </c>
      <c r="G8570" t="s">
        <v>30075</v>
      </c>
    </row>
    <row r="8571" spans="1:7">
      <c r="A8571" t="s">
        <v>35908</v>
      </c>
      <c r="B8571" t="s">
        <v>8626</v>
      </c>
      <c r="C8571" t="s">
        <v>26083</v>
      </c>
      <c r="F8571" t="s">
        <v>26084</v>
      </c>
      <c r="G8571" t="s">
        <v>35909</v>
      </c>
    </row>
    <row r="8572" spans="1:7">
      <c r="A8572" t="s">
        <v>35910</v>
      </c>
      <c r="B8572" t="s">
        <v>8607</v>
      </c>
      <c r="F8572" t="s">
        <v>19966</v>
      </c>
      <c r="G8572" t="s">
        <v>23929</v>
      </c>
    </row>
    <row r="8573" spans="1:7">
      <c r="A8573" t="s">
        <v>35911</v>
      </c>
      <c r="B8573" t="s">
        <v>8607</v>
      </c>
      <c r="F8573" t="s">
        <v>33016</v>
      </c>
      <c r="G8573" t="s">
        <v>35912</v>
      </c>
    </row>
    <row r="8574" spans="1:7">
      <c r="A8574" t="s">
        <v>35913</v>
      </c>
      <c r="B8574" t="s">
        <v>8626</v>
      </c>
      <c r="C8574" t="s">
        <v>35914</v>
      </c>
      <c r="G8574" t="s">
        <v>35915</v>
      </c>
    </row>
    <row r="8575" spans="1:7">
      <c r="A8575" t="s">
        <v>35916</v>
      </c>
      <c r="B8575" t="s">
        <v>8626</v>
      </c>
      <c r="C8575" t="s">
        <v>26087</v>
      </c>
      <c r="F8575" t="s">
        <v>26088</v>
      </c>
      <c r="G8575" t="s">
        <v>32643</v>
      </c>
    </row>
    <row r="8576" spans="1:7">
      <c r="A8576" t="s">
        <v>35917</v>
      </c>
      <c r="B8576" t="s">
        <v>8607</v>
      </c>
      <c r="F8576" t="s">
        <v>26091</v>
      </c>
      <c r="G8576" t="s">
        <v>32645</v>
      </c>
    </row>
    <row r="8577" spans="1:7">
      <c r="A8577" t="s">
        <v>35918</v>
      </c>
      <c r="B8577" t="s">
        <v>8607</v>
      </c>
      <c r="F8577" t="s">
        <v>26094</v>
      </c>
      <c r="G8577" t="s">
        <v>35919</v>
      </c>
    </row>
    <row r="8578" spans="1:7">
      <c r="A8578" t="s">
        <v>35920</v>
      </c>
      <c r="B8578" t="s">
        <v>8607</v>
      </c>
      <c r="F8578" t="s">
        <v>26827</v>
      </c>
      <c r="G8578" t="s">
        <v>31953</v>
      </c>
    </row>
    <row r="8579" spans="1:7">
      <c r="A8579" t="s">
        <v>35921</v>
      </c>
      <c r="B8579" t="s">
        <v>8607</v>
      </c>
      <c r="G8579" t="s">
        <v>35922</v>
      </c>
    </row>
    <row r="8580" spans="1:7">
      <c r="A8580" t="s">
        <v>35923</v>
      </c>
      <c r="B8580" t="s">
        <v>8626</v>
      </c>
      <c r="F8580" t="s">
        <v>26091</v>
      </c>
      <c r="G8580" t="s">
        <v>30078</v>
      </c>
    </row>
    <row r="8581" spans="1:7">
      <c r="A8581" t="s">
        <v>35924</v>
      </c>
      <c r="B8581" t="s">
        <v>8607</v>
      </c>
      <c r="F8581" t="s">
        <v>27402</v>
      </c>
      <c r="G8581" t="s">
        <v>30080</v>
      </c>
    </row>
    <row r="8582" spans="1:7">
      <c r="A8582" t="s">
        <v>35925</v>
      </c>
      <c r="B8582" t="s">
        <v>8626</v>
      </c>
      <c r="C8582" t="s">
        <v>27405</v>
      </c>
      <c r="F8582" t="s">
        <v>9002</v>
      </c>
      <c r="G8582" t="s">
        <v>35926</v>
      </c>
    </row>
    <row r="8583" spans="1:7">
      <c r="A8583" t="s">
        <v>35927</v>
      </c>
      <c r="B8583" t="s">
        <v>8626</v>
      </c>
      <c r="C8583" t="s">
        <v>27492</v>
      </c>
      <c r="F8583" t="s">
        <v>26519</v>
      </c>
      <c r="G8583" t="s">
        <v>30085</v>
      </c>
    </row>
    <row r="8584" spans="1:7">
      <c r="A8584" t="s">
        <v>35928</v>
      </c>
      <c r="B8584" t="s">
        <v>8626</v>
      </c>
      <c r="C8584" t="s">
        <v>18983</v>
      </c>
      <c r="F8584" t="s">
        <v>12862</v>
      </c>
      <c r="G8584" t="s">
        <v>30087</v>
      </c>
    </row>
    <row r="8585" spans="1:7">
      <c r="A8585" t="s">
        <v>35929</v>
      </c>
      <c r="B8585" t="s">
        <v>8626</v>
      </c>
      <c r="C8585" t="s">
        <v>27497</v>
      </c>
      <c r="F8585" t="s">
        <v>15811</v>
      </c>
      <c r="G8585" t="s">
        <v>32397</v>
      </c>
    </row>
    <row r="8586" spans="1:7">
      <c r="A8586" t="s">
        <v>35930</v>
      </c>
      <c r="B8586" t="s">
        <v>8626</v>
      </c>
      <c r="C8586" t="s">
        <v>28978</v>
      </c>
      <c r="F8586" t="s">
        <v>28979</v>
      </c>
      <c r="G8586" t="s">
        <v>32399</v>
      </c>
    </row>
    <row r="8587" spans="1:7">
      <c r="A8587" t="s">
        <v>35931</v>
      </c>
      <c r="B8587" t="s">
        <v>8607</v>
      </c>
      <c r="C8587" t="s">
        <v>20904</v>
      </c>
      <c r="F8587" t="s">
        <v>14108</v>
      </c>
      <c r="G8587" t="s">
        <v>20905</v>
      </c>
    </row>
    <row r="8588" spans="1:7">
      <c r="A8588" t="s">
        <v>35932</v>
      </c>
      <c r="B8588" t="s">
        <v>8626</v>
      </c>
      <c r="F8588" t="s">
        <v>28984</v>
      </c>
      <c r="G8588" t="s">
        <v>33408</v>
      </c>
    </row>
    <row r="8589" spans="1:7">
      <c r="A8589" t="s">
        <v>35933</v>
      </c>
      <c r="B8589" t="s">
        <v>8607</v>
      </c>
      <c r="C8589" t="s">
        <v>29513</v>
      </c>
      <c r="F8589" t="s">
        <v>28988</v>
      </c>
      <c r="G8589" t="s">
        <v>33410</v>
      </c>
    </row>
    <row r="8590" spans="1:7">
      <c r="A8590" t="s">
        <v>35934</v>
      </c>
      <c r="B8590" t="s">
        <v>8607</v>
      </c>
      <c r="F8590" t="s">
        <v>27035</v>
      </c>
      <c r="G8590" t="s">
        <v>35935</v>
      </c>
    </row>
    <row r="8591" spans="1:7">
      <c r="A8591" t="s">
        <v>35936</v>
      </c>
      <c r="B8591" t="s">
        <v>8607</v>
      </c>
      <c r="G8591" t="s">
        <v>35937</v>
      </c>
    </row>
    <row r="8592" spans="1:7">
      <c r="A8592" t="s">
        <v>35938</v>
      </c>
      <c r="B8592" t="s">
        <v>8607</v>
      </c>
      <c r="F8592" t="s">
        <v>27040</v>
      </c>
      <c r="G8592" t="s">
        <v>27041</v>
      </c>
    </row>
    <row r="8593" spans="1:7">
      <c r="A8593" t="s">
        <v>35939</v>
      </c>
      <c r="B8593" t="s">
        <v>8626</v>
      </c>
      <c r="F8593" t="s">
        <v>29207</v>
      </c>
      <c r="G8593" t="s">
        <v>31955</v>
      </c>
    </row>
    <row r="8594" spans="1:7">
      <c r="A8594" t="s">
        <v>35940</v>
      </c>
      <c r="B8594" t="s">
        <v>8626</v>
      </c>
      <c r="C8594" t="s">
        <v>29186</v>
      </c>
      <c r="F8594" t="s">
        <v>10676</v>
      </c>
      <c r="G8594" t="s">
        <v>35941</v>
      </c>
    </row>
    <row r="8595" spans="1:7">
      <c r="A8595" t="s">
        <v>35942</v>
      </c>
      <c r="B8595" t="s">
        <v>8607</v>
      </c>
      <c r="F8595" t="s">
        <v>26099</v>
      </c>
      <c r="G8595" t="s">
        <v>29105</v>
      </c>
    </row>
    <row r="8596" spans="1:7">
      <c r="A8596" t="s">
        <v>35943</v>
      </c>
      <c r="B8596" t="s">
        <v>8626</v>
      </c>
      <c r="F8596" t="s">
        <v>26069</v>
      </c>
      <c r="G8596" t="s">
        <v>29107</v>
      </c>
    </row>
    <row r="8597" spans="1:7">
      <c r="A8597" t="s">
        <v>35944</v>
      </c>
      <c r="B8597" t="s">
        <v>8607</v>
      </c>
      <c r="F8597" t="s">
        <v>26072</v>
      </c>
      <c r="G8597" t="s">
        <v>35945</v>
      </c>
    </row>
    <row r="8598" spans="1:7">
      <c r="A8598" t="s">
        <v>35946</v>
      </c>
      <c r="B8598" t="s">
        <v>8607</v>
      </c>
      <c r="C8598" t="s">
        <v>18230</v>
      </c>
      <c r="F8598" t="s">
        <v>13312</v>
      </c>
      <c r="G8598" t="s">
        <v>18989</v>
      </c>
    </row>
    <row r="8599" spans="1:7">
      <c r="A8599" t="s">
        <v>35947</v>
      </c>
      <c r="B8599" t="s">
        <v>8626</v>
      </c>
      <c r="C8599" t="s">
        <v>26080</v>
      </c>
      <c r="F8599" t="s">
        <v>23667</v>
      </c>
      <c r="G8599" t="s">
        <v>26943</v>
      </c>
    </row>
    <row r="8600" spans="1:7">
      <c r="A8600" t="s">
        <v>35948</v>
      </c>
      <c r="B8600" t="s">
        <v>8626</v>
      </c>
      <c r="F8600" t="s">
        <v>29221</v>
      </c>
      <c r="G8600" t="s">
        <v>35949</v>
      </c>
    </row>
    <row r="8601" spans="1:7">
      <c r="A8601" t="s">
        <v>35950</v>
      </c>
      <c r="B8601" t="s">
        <v>8607</v>
      </c>
      <c r="C8601" t="s">
        <v>29100</v>
      </c>
      <c r="F8601" t="s">
        <v>8623</v>
      </c>
      <c r="G8601" t="s">
        <v>35951</v>
      </c>
    </row>
    <row r="8602" spans="1:7">
      <c r="A8602" t="s">
        <v>35952</v>
      </c>
      <c r="B8602" t="s">
        <v>8626</v>
      </c>
      <c r="F8602" t="s">
        <v>28856</v>
      </c>
      <c r="G8602" t="s">
        <v>29103</v>
      </c>
    </row>
    <row r="8603" spans="1:7">
      <c r="A8603" t="s">
        <v>35953</v>
      </c>
      <c r="B8603" t="s">
        <v>8626</v>
      </c>
      <c r="F8603" t="s">
        <v>22981</v>
      </c>
      <c r="G8603" t="s">
        <v>22982</v>
      </c>
    </row>
    <row r="8604" spans="1:7">
      <c r="A8604" t="s">
        <v>35954</v>
      </c>
      <c r="B8604" t="s">
        <v>8607</v>
      </c>
      <c r="G8604" t="s">
        <v>35955</v>
      </c>
    </row>
    <row r="8605" spans="1:7">
      <c r="A8605" t="s">
        <v>35956</v>
      </c>
      <c r="B8605" t="s">
        <v>8607</v>
      </c>
      <c r="F8605" t="s">
        <v>17779</v>
      </c>
      <c r="G8605" t="s">
        <v>24956</v>
      </c>
    </row>
    <row r="8606" spans="1:7">
      <c r="A8606" t="s">
        <v>35957</v>
      </c>
      <c r="B8606" t="s">
        <v>8626</v>
      </c>
      <c r="F8606" t="s">
        <v>28418</v>
      </c>
      <c r="G8606" t="s">
        <v>35417</v>
      </c>
    </row>
    <row r="8607" spans="1:7">
      <c r="A8607" t="s">
        <v>35958</v>
      </c>
      <c r="B8607" t="s">
        <v>8607</v>
      </c>
      <c r="F8607" t="s">
        <v>18923</v>
      </c>
      <c r="G8607" t="s">
        <v>25396</v>
      </c>
    </row>
    <row r="8608" spans="1:7">
      <c r="A8608" t="s">
        <v>35959</v>
      </c>
      <c r="B8608" t="s">
        <v>8607</v>
      </c>
      <c r="F8608" t="s">
        <v>18923</v>
      </c>
      <c r="G8608" t="s">
        <v>25396</v>
      </c>
    </row>
    <row r="8609" spans="1:7">
      <c r="A8609" t="s">
        <v>35960</v>
      </c>
      <c r="B8609" t="s">
        <v>8607</v>
      </c>
      <c r="G8609" t="s">
        <v>35423</v>
      </c>
    </row>
    <row r="8610" spans="1:7">
      <c r="A8610" t="s">
        <v>35961</v>
      </c>
      <c r="B8610" t="s">
        <v>8607</v>
      </c>
      <c r="G8610" t="s">
        <v>35962</v>
      </c>
    </row>
    <row r="8611" spans="1:7">
      <c r="A8611" t="s">
        <v>35963</v>
      </c>
      <c r="B8611" t="s">
        <v>8626</v>
      </c>
      <c r="F8611" t="s">
        <v>27899</v>
      </c>
      <c r="G8611" t="s">
        <v>31688</v>
      </c>
    </row>
    <row r="8612" spans="1:7">
      <c r="A8612" t="s">
        <v>35964</v>
      </c>
      <c r="G8612" t="s">
        <v>35965</v>
      </c>
    </row>
    <row r="8613" spans="1:7">
      <c r="A8613" t="s">
        <v>35966</v>
      </c>
      <c r="B8613" t="s">
        <v>8607</v>
      </c>
      <c r="C8613" t="s">
        <v>26083</v>
      </c>
      <c r="F8613" t="s">
        <v>26084</v>
      </c>
      <c r="G8613" t="s">
        <v>31249</v>
      </c>
    </row>
    <row r="8614" spans="1:7">
      <c r="A8614" t="s">
        <v>35967</v>
      </c>
      <c r="B8614" t="s">
        <v>8607</v>
      </c>
      <c r="C8614" t="s">
        <v>26087</v>
      </c>
      <c r="F8614" t="s">
        <v>26088</v>
      </c>
      <c r="G8614" t="s">
        <v>26833</v>
      </c>
    </row>
    <row r="8615" spans="1:7">
      <c r="A8615" t="s">
        <v>35968</v>
      </c>
      <c r="B8615" t="s">
        <v>8607</v>
      </c>
      <c r="G8615" t="s">
        <v>32996</v>
      </c>
    </row>
    <row r="8616" spans="1:7">
      <c r="A8616" t="s">
        <v>35969</v>
      </c>
      <c r="B8616" t="s">
        <v>8607</v>
      </c>
      <c r="F8616" t="s">
        <v>26094</v>
      </c>
      <c r="G8616" t="s">
        <v>35970</v>
      </c>
    </row>
    <row r="8617" spans="1:7">
      <c r="A8617" t="s">
        <v>35971</v>
      </c>
      <c r="B8617" t="s">
        <v>8607</v>
      </c>
      <c r="G8617" t="s">
        <v>35972</v>
      </c>
    </row>
    <row r="8618" spans="1:7">
      <c r="A8618" t="s">
        <v>35973</v>
      </c>
      <c r="B8618" t="s">
        <v>8607</v>
      </c>
      <c r="C8618" t="s">
        <v>30928</v>
      </c>
      <c r="F8618" t="s">
        <v>26291</v>
      </c>
      <c r="G8618" t="s">
        <v>29331</v>
      </c>
    </row>
    <row r="8619" spans="1:7">
      <c r="A8619" t="s">
        <v>35974</v>
      </c>
      <c r="B8619" t="s">
        <v>8607</v>
      </c>
      <c r="G8619" t="s">
        <v>35975</v>
      </c>
    </row>
    <row r="8620" spans="1:7">
      <c r="A8620" t="s">
        <v>35976</v>
      </c>
      <c r="B8620" t="s">
        <v>8607</v>
      </c>
      <c r="C8620" t="s">
        <v>29464</v>
      </c>
      <c r="F8620" t="s">
        <v>26091</v>
      </c>
      <c r="G8620" t="s">
        <v>30033</v>
      </c>
    </row>
    <row r="8621" spans="1:7">
      <c r="A8621" t="s">
        <v>35977</v>
      </c>
      <c r="B8621" t="s">
        <v>8607</v>
      </c>
      <c r="C8621" t="s">
        <v>26119</v>
      </c>
      <c r="F8621" t="s">
        <v>26120</v>
      </c>
      <c r="G8621" t="s">
        <v>30070</v>
      </c>
    </row>
    <row r="8622" spans="1:7">
      <c r="A8622" t="s">
        <v>35978</v>
      </c>
      <c r="B8622" t="s">
        <v>8607</v>
      </c>
      <c r="C8622" t="s">
        <v>26661</v>
      </c>
      <c r="F8622" t="s">
        <v>26365</v>
      </c>
      <c r="G8622" t="s">
        <v>27408</v>
      </c>
    </row>
    <row r="8623" spans="1:7">
      <c r="A8623" t="s">
        <v>35979</v>
      </c>
      <c r="B8623" t="s">
        <v>8607</v>
      </c>
      <c r="C8623" t="s">
        <v>27410</v>
      </c>
      <c r="F8623" t="s">
        <v>27411</v>
      </c>
      <c r="G8623" t="s">
        <v>35980</v>
      </c>
    </row>
    <row r="8624" spans="1:7">
      <c r="A8624" t="s">
        <v>35981</v>
      </c>
      <c r="B8624" t="s">
        <v>8607</v>
      </c>
      <c r="F8624" t="s">
        <v>17310</v>
      </c>
      <c r="G8624" t="s">
        <v>35982</v>
      </c>
    </row>
    <row r="8625" spans="1:7">
      <c r="A8625" t="s">
        <v>35983</v>
      </c>
      <c r="B8625" t="s">
        <v>8626</v>
      </c>
      <c r="C8625" t="s">
        <v>35984</v>
      </c>
      <c r="F8625" t="s">
        <v>35985</v>
      </c>
      <c r="G8625" t="s">
        <v>35986</v>
      </c>
    </row>
    <row r="8626" spans="1:7">
      <c r="A8626" t="s">
        <v>35987</v>
      </c>
      <c r="B8626" t="s">
        <v>8626</v>
      </c>
      <c r="C8626" t="s">
        <v>26665</v>
      </c>
      <c r="F8626" t="s">
        <v>26666</v>
      </c>
      <c r="G8626" t="s">
        <v>26667</v>
      </c>
    </row>
    <row r="8627" spans="1:7">
      <c r="A8627" t="s">
        <v>35988</v>
      </c>
      <c r="B8627" t="s">
        <v>8626</v>
      </c>
      <c r="C8627" t="s">
        <v>26669</v>
      </c>
      <c r="F8627" t="s">
        <v>26670</v>
      </c>
      <c r="G8627" t="s">
        <v>26671</v>
      </c>
    </row>
    <row r="8628" spans="1:7">
      <c r="A8628" t="s">
        <v>35989</v>
      </c>
      <c r="B8628" t="s">
        <v>8607</v>
      </c>
      <c r="F8628" t="s">
        <v>9018</v>
      </c>
      <c r="G8628" t="s">
        <v>35990</v>
      </c>
    </row>
    <row r="8629" spans="1:7">
      <c r="A8629" t="s">
        <v>35991</v>
      </c>
      <c r="B8629" t="s">
        <v>8607</v>
      </c>
      <c r="F8629" t="s">
        <v>17313</v>
      </c>
      <c r="G8629" t="s">
        <v>35992</v>
      </c>
    </row>
    <row r="8630" spans="1:7">
      <c r="A8630" t="s">
        <v>35993</v>
      </c>
      <c r="G8630" t="s">
        <v>35994</v>
      </c>
    </row>
    <row r="8631" spans="1:7">
      <c r="A8631" t="s">
        <v>35995</v>
      </c>
      <c r="B8631" t="s">
        <v>8626</v>
      </c>
      <c r="G8631" t="s">
        <v>35996</v>
      </c>
    </row>
    <row r="8632" spans="1:7">
      <c r="A8632" t="s">
        <v>35997</v>
      </c>
      <c r="B8632" t="s">
        <v>8607</v>
      </c>
      <c r="F8632" t="s">
        <v>32656</v>
      </c>
      <c r="G8632" t="s">
        <v>32657</v>
      </c>
    </row>
    <row r="8633" spans="1:7">
      <c r="A8633" t="s">
        <v>35998</v>
      </c>
      <c r="B8633" t="s">
        <v>8607</v>
      </c>
      <c r="F8633" t="s">
        <v>32659</v>
      </c>
      <c r="G8633" t="s">
        <v>35999</v>
      </c>
    </row>
    <row r="8634" spans="1:7">
      <c r="A8634" t="s">
        <v>36000</v>
      </c>
      <c r="B8634" t="s">
        <v>8607</v>
      </c>
      <c r="F8634" t="s">
        <v>32662</v>
      </c>
      <c r="G8634" t="s">
        <v>36001</v>
      </c>
    </row>
    <row r="8635" spans="1:7">
      <c r="A8635" t="s">
        <v>36002</v>
      </c>
      <c r="B8635" t="s">
        <v>8607</v>
      </c>
      <c r="F8635" t="s">
        <v>32665</v>
      </c>
      <c r="G8635" t="s">
        <v>36003</v>
      </c>
    </row>
    <row r="8636" spans="1:7">
      <c r="A8636" t="s">
        <v>36004</v>
      </c>
      <c r="B8636" t="s">
        <v>8607</v>
      </c>
      <c r="F8636" t="s">
        <v>32668</v>
      </c>
      <c r="G8636" t="s">
        <v>36005</v>
      </c>
    </row>
    <row r="8637" spans="1:7">
      <c r="A8637" t="s">
        <v>36006</v>
      </c>
      <c r="B8637" t="s">
        <v>8607</v>
      </c>
      <c r="F8637" t="s">
        <v>25821</v>
      </c>
      <c r="G8637" t="s">
        <v>36007</v>
      </c>
    </row>
    <row r="8638" spans="1:7">
      <c r="A8638" t="s">
        <v>36008</v>
      </c>
      <c r="B8638" t="s">
        <v>8607</v>
      </c>
      <c r="F8638" t="s">
        <v>24134</v>
      </c>
      <c r="G8638" t="s">
        <v>32673</v>
      </c>
    </row>
    <row r="8639" spans="1:7">
      <c r="A8639" t="s">
        <v>36009</v>
      </c>
      <c r="B8639" t="s">
        <v>8607</v>
      </c>
      <c r="F8639" t="s">
        <v>36010</v>
      </c>
      <c r="G8639" t="s">
        <v>36011</v>
      </c>
    </row>
    <row r="8640" spans="1:7">
      <c r="A8640" t="s">
        <v>36012</v>
      </c>
      <c r="G8640" t="s">
        <v>36013</v>
      </c>
    </row>
    <row r="8641" spans="1:7">
      <c r="A8641" t="s">
        <v>36014</v>
      </c>
      <c r="B8641" t="s">
        <v>8607</v>
      </c>
      <c r="F8641" t="s">
        <v>34786</v>
      </c>
      <c r="G8641" t="s">
        <v>36015</v>
      </c>
    </row>
    <row r="8642" spans="1:7">
      <c r="A8642" t="s">
        <v>36016</v>
      </c>
      <c r="G8642" t="s">
        <v>36017</v>
      </c>
    </row>
    <row r="8643" spans="1:7">
      <c r="A8643" t="s">
        <v>36018</v>
      </c>
      <c r="B8643" t="s">
        <v>8607</v>
      </c>
      <c r="F8643" t="s">
        <v>13312</v>
      </c>
      <c r="G8643" t="s">
        <v>36019</v>
      </c>
    </row>
    <row r="8644" spans="1:7">
      <c r="A8644" t="s">
        <v>36020</v>
      </c>
      <c r="B8644" t="s">
        <v>8626</v>
      </c>
      <c r="G8644" t="s">
        <v>36021</v>
      </c>
    </row>
    <row r="8645" spans="1:7">
      <c r="A8645" t="s">
        <v>36022</v>
      </c>
      <c r="B8645" t="s">
        <v>8626</v>
      </c>
      <c r="F8645" t="s">
        <v>8623</v>
      </c>
      <c r="G8645" t="s">
        <v>36023</v>
      </c>
    </row>
    <row r="8646" spans="1:7">
      <c r="A8646" t="s">
        <v>36024</v>
      </c>
      <c r="B8646" t="s">
        <v>8607</v>
      </c>
      <c r="F8646" t="s">
        <v>26207</v>
      </c>
      <c r="G8646" t="s">
        <v>27473</v>
      </c>
    </row>
    <row r="8647" spans="1:7">
      <c r="A8647" t="s">
        <v>36025</v>
      </c>
      <c r="B8647" t="s">
        <v>8607</v>
      </c>
      <c r="F8647" t="s">
        <v>32154</v>
      </c>
      <c r="G8647" t="s">
        <v>10808</v>
      </c>
    </row>
    <row r="8648" spans="1:7">
      <c r="A8648" t="s">
        <v>36026</v>
      </c>
      <c r="B8648" t="s">
        <v>8607</v>
      </c>
      <c r="G8648" t="s">
        <v>27955</v>
      </c>
    </row>
    <row r="8649" spans="1:7">
      <c r="A8649" t="s">
        <v>36027</v>
      </c>
      <c r="B8649" t="s">
        <v>8626</v>
      </c>
      <c r="C8649" t="s">
        <v>27957</v>
      </c>
      <c r="F8649" t="s">
        <v>27958</v>
      </c>
      <c r="G8649" t="s">
        <v>31947</v>
      </c>
    </row>
    <row r="8650" spans="1:7">
      <c r="A8650" t="s">
        <v>36028</v>
      </c>
      <c r="G8650" t="s">
        <v>36029</v>
      </c>
    </row>
    <row r="8651" spans="1:7">
      <c r="A8651" t="s">
        <v>36030</v>
      </c>
      <c r="B8651" t="s">
        <v>8607</v>
      </c>
      <c r="G8651" t="s">
        <v>23969</v>
      </c>
    </row>
    <row r="8652" spans="1:7">
      <c r="A8652" t="s">
        <v>36031</v>
      </c>
      <c r="B8652" t="s">
        <v>8607</v>
      </c>
      <c r="F8652" t="s">
        <v>36032</v>
      </c>
      <c r="G8652" t="s">
        <v>36033</v>
      </c>
    </row>
    <row r="8653" spans="1:7">
      <c r="A8653" t="s">
        <v>36034</v>
      </c>
      <c r="B8653" t="s">
        <v>8626</v>
      </c>
      <c r="C8653" t="s">
        <v>19494</v>
      </c>
      <c r="F8653" t="s">
        <v>13312</v>
      </c>
      <c r="G8653" t="s">
        <v>36035</v>
      </c>
    </row>
    <row r="8654" spans="1:7">
      <c r="A8654" t="s">
        <v>36036</v>
      </c>
      <c r="B8654" t="s">
        <v>8607</v>
      </c>
      <c r="C8654" t="s">
        <v>36037</v>
      </c>
      <c r="F8654" t="s">
        <v>27740</v>
      </c>
      <c r="G8654" t="s">
        <v>32218</v>
      </c>
    </row>
    <row r="8655" spans="1:7">
      <c r="A8655" t="s">
        <v>36038</v>
      </c>
      <c r="B8655" t="s">
        <v>8626</v>
      </c>
      <c r="C8655" t="s">
        <v>30210</v>
      </c>
      <c r="F8655" t="s">
        <v>17349</v>
      </c>
      <c r="G8655" t="s">
        <v>36039</v>
      </c>
    </row>
    <row r="8656" spans="1:7">
      <c r="A8656" t="s">
        <v>36040</v>
      </c>
      <c r="B8656" t="s">
        <v>8607</v>
      </c>
      <c r="G8656" t="s">
        <v>30621</v>
      </c>
    </row>
    <row r="8657" spans="1:7">
      <c r="A8657" t="s">
        <v>36041</v>
      </c>
      <c r="B8657" t="s">
        <v>8626</v>
      </c>
      <c r="G8657" t="s">
        <v>36042</v>
      </c>
    </row>
    <row r="8658" spans="1:7">
      <c r="A8658" t="s">
        <v>36043</v>
      </c>
      <c r="G8658" t="s">
        <v>26696</v>
      </c>
    </row>
    <row r="8659" spans="1:7">
      <c r="A8659" t="s">
        <v>36044</v>
      </c>
      <c r="B8659" t="s">
        <v>8607</v>
      </c>
      <c r="G8659" t="s">
        <v>17899</v>
      </c>
    </row>
    <row r="8660" spans="1:7">
      <c r="A8660" t="s">
        <v>36045</v>
      </c>
      <c r="B8660" t="s">
        <v>8607</v>
      </c>
      <c r="F8660" t="s">
        <v>19966</v>
      </c>
      <c r="G8660" t="s">
        <v>19934</v>
      </c>
    </row>
    <row r="8661" spans="1:7">
      <c r="A8661" t="s">
        <v>36046</v>
      </c>
      <c r="B8661" t="s">
        <v>8626</v>
      </c>
      <c r="F8661" t="s">
        <v>26108</v>
      </c>
      <c r="G8661" t="s">
        <v>36047</v>
      </c>
    </row>
    <row r="8662" spans="1:7">
      <c r="A8662" t="s">
        <v>36048</v>
      </c>
      <c r="B8662" t="s">
        <v>8607</v>
      </c>
      <c r="G8662" t="s">
        <v>26572</v>
      </c>
    </row>
    <row r="8663" spans="1:7">
      <c r="A8663" t="s">
        <v>36049</v>
      </c>
      <c r="B8663" t="s">
        <v>8607</v>
      </c>
      <c r="G8663" t="s">
        <v>22411</v>
      </c>
    </row>
    <row r="8664" spans="1:7">
      <c r="A8664" t="s">
        <v>36050</v>
      </c>
      <c r="B8664" t="s">
        <v>8626</v>
      </c>
      <c r="G8664" t="s">
        <v>26574</v>
      </c>
    </row>
    <row r="8665" spans="1:7">
      <c r="A8665" t="s">
        <v>36051</v>
      </c>
      <c r="B8665" t="s">
        <v>8607</v>
      </c>
      <c r="G8665" t="s">
        <v>26576</v>
      </c>
    </row>
    <row r="8666" spans="1:7">
      <c r="A8666" t="s">
        <v>36052</v>
      </c>
      <c r="B8666" t="s">
        <v>8607</v>
      </c>
      <c r="F8666" t="s">
        <v>9473</v>
      </c>
      <c r="G8666" t="s">
        <v>36053</v>
      </c>
    </row>
    <row r="8667" spans="1:7">
      <c r="A8667" t="s">
        <v>36054</v>
      </c>
      <c r="B8667" t="s">
        <v>8607</v>
      </c>
      <c r="F8667" t="s">
        <v>15549</v>
      </c>
      <c r="G8667" t="s">
        <v>32747</v>
      </c>
    </row>
    <row r="8668" spans="1:7">
      <c r="A8668" t="s">
        <v>36055</v>
      </c>
      <c r="B8668" t="s">
        <v>8607</v>
      </c>
      <c r="F8668" t="s">
        <v>36056</v>
      </c>
      <c r="G8668" t="s">
        <v>36057</v>
      </c>
    </row>
    <row r="8669" spans="1:7">
      <c r="A8669" t="s">
        <v>36058</v>
      </c>
      <c r="B8669" t="s">
        <v>8607</v>
      </c>
      <c r="F8669" t="s">
        <v>21550</v>
      </c>
      <c r="G8669" t="s">
        <v>36059</v>
      </c>
    </row>
    <row r="8670" spans="1:7">
      <c r="A8670" t="s">
        <v>36060</v>
      </c>
      <c r="B8670" t="s">
        <v>8607</v>
      </c>
      <c r="F8670" t="s">
        <v>9039</v>
      </c>
      <c r="G8670" t="s">
        <v>36061</v>
      </c>
    </row>
    <row r="8671" spans="1:7">
      <c r="A8671" t="s">
        <v>36062</v>
      </c>
      <c r="B8671" t="s">
        <v>8607</v>
      </c>
      <c r="F8671" t="s">
        <v>36063</v>
      </c>
      <c r="G8671" t="s">
        <v>36064</v>
      </c>
    </row>
    <row r="8672" spans="1:7">
      <c r="A8672" t="s">
        <v>36065</v>
      </c>
      <c r="B8672" t="s">
        <v>8607</v>
      </c>
      <c r="F8672" t="s">
        <v>9018</v>
      </c>
      <c r="G8672" t="s">
        <v>36066</v>
      </c>
    </row>
    <row r="8673" spans="1:7">
      <c r="A8673" t="s">
        <v>36067</v>
      </c>
      <c r="B8673" t="s">
        <v>8607</v>
      </c>
      <c r="F8673" t="s">
        <v>17320</v>
      </c>
      <c r="G8673" t="s">
        <v>36068</v>
      </c>
    </row>
    <row r="8674" spans="1:7">
      <c r="A8674" t="s">
        <v>36069</v>
      </c>
      <c r="B8674" t="s">
        <v>8626</v>
      </c>
      <c r="F8674" t="s">
        <v>35016</v>
      </c>
      <c r="G8674" t="s">
        <v>36070</v>
      </c>
    </row>
    <row r="8675" spans="1:7">
      <c r="A8675" t="s">
        <v>36071</v>
      </c>
      <c r="B8675" t="s">
        <v>8607</v>
      </c>
      <c r="F8675" t="s">
        <v>26104</v>
      </c>
      <c r="G8675" t="s">
        <v>36072</v>
      </c>
    </row>
    <row r="8676" spans="1:7">
      <c r="A8676" t="s">
        <v>36073</v>
      </c>
      <c r="B8676" t="s">
        <v>8607</v>
      </c>
      <c r="F8676" t="s">
        <v>26191</v>
      </c>
      <c r="G8676" t="s">
        <v>29779</v>
      </c>
    </row>
    <row r="8677" spans="1:7">
      <c r="A8677" t="s">
        <v>36074</v>
      </c>
      <c r="B8677" t="s">
        <v>8626</v>
      </c>
      <c r="F8677" t="s">
        <v>17928</v>
      </c>
      <c r="G8677" t="s">
        <v>36075</v>
      </c>
    </row>
    <row r="8678" spans="1:7">
      <c r="A8678" t="s">
        <v>36076</v>
      </c>
      <c r="B8678" t="s">
        <v>8626</v>
      </c>
      <c r="C8678" t="s">
        <v>18553</v>
      </c>
      <c r="F8678" t="s">
        <v>9018</v>
      </c>
      <c r="G8678" t="s">
        <v>36077</v>
      </c>
    </row>
    <row r="8679" spans="1:7">
      <c r="A8679" t="s">
        <v>36078</v>
      </c>
      <c r="B8679" t="s">
        <v>8607</v>
      </c>
      <c r="C8679" t="s">
        <v>28439</v>
      </c>
      <c r="F8679" t="s">
        <v>17621</v>
      </c>
      <c r="G8679" t="s">
        <v>28440</v>
      </c>
    </row>
    <row r="8680" spans="1:7">
      <c r="A8680" t="s">
        <v>36079</v>
      </c>
      <c r="B8680" t="s">
        <v>8607</v>
      </c>
      <c r="C8680" t="s">
        <v>28750</v>
      </c>
      <c r="F8680" t="s">
        <v>28751</v>
      </c>
      <c r="G8680" t="s">
        <v>36080</v>
      </c>
    </row>
    <row r="8681" spans="1:7">
      <c r="A8681" t="s">
        <v>36081</v>
      </c>
      <c r="B8681" t="s">
        <v>8607</v>
      </c>
      <c r="F8681" t="s">
        <v>27628</v>
      </c>
      <c r="G8681" t="s">
        <v>27629</v>
      </c>
    </row>
    <row r="8682" spans="1:7">
      <c r="A8682" t="s">
        <v>36082</v>
      </c>
      <c r="B8682" t="s">
        <v>8607</v>
      </c>
      <c r="F8682" t="s">
        <v>8633</v>
      </c>
      <c r="G8682" t="s">
        <v>33648</v>
      </c>
    </row>
    <row r="8683" spans="1:7">
      <c r="A8683" t="s">
        <v>36083</v>
      </c>
      <c r="B8683" t="s">
        <v>8607</v>
      </c>
      <c r="F8683" t="s">
        <v>28573</v>
      </c>
      <c r="G8683" t="s">
        <v>28574</v>
      </c>
    </row>
    <row r="8684" spans="1:7">
      <c r="A8684" t="s">
        <v>36084</v>
      </c>
      <c r="B8684" t="s">
        <v>8607</v>
      </c>
      <c r="F8684" t="s">
        <v>26485</v>
      </c>
      <c r="G8684" t="s">
        <v>26486</v>
      </c>
    </row>
    <row r="8685" spans="1:7">
      <c r="A8685" t="s">
        <v>36085</v>
      </c>
      <c r="B8685" t="s">
        <v>8626</v>
      </c>
      <c r="C8685" t="s">
        <v>13304</v>
      </c>
      <c r="F8685" t="s">
        <v>13305</v>
      </c>
      <c r="G8685" t="s">
        <v>13310</v>
      </c>
    </row>
    <row r="8686" spans="1:7">
      <c r="A8686" t="s">
        <v>36086</v>
      </c>
      <c r="B8686" t="s">
        <v>8607</v>
      </c>
      <c r="F8686" t="s">
        <v>26251</v>
      </c>
      <c r="G8686" t="s">
        <v>26252</v>
      </c>
    </row>
    <row r="8687" spans="1:7">
      <c r="A8687" t="s">
        <v>36087</v>
      </c>
      <c r="B8687" t="s">
        <v>8607</v>
      </c>
      <c r="F8687" t="s">
        <v>8623</v>
      </c>
      <c r="G8687" t="s">
        <v>26254</v>
      </c>
    </row>
    <row r="8688" spans="1:7">
      <c r="A8688" t="s">
        <v>36088</v>
      </c>
      <c r="B8688" t="s">
        <v>8607</v>
      </c>
      <c r="F8688" t="s">
        <v>26465</v>
      </c>
      <c r="G8688" t="s">
        <v>27090</v>
      </c>
    </row>
    <row r="8689" spans="1:7">
      <c r="A8689" t="s">
        <v>36089</v>
      </c>
      <c r="B8689" t="s">
        <v>8607</v>
      </c>
      <c r="G8689" t="s">
        <v>33250</v>
      </c>
    </row>
    <row r="8690" spans="1:7">
      <c r="A8690" t="s">
        <v>36090</v>
      </c>
      <c r="B8690" t="s">
        <v>8607</v>
      </c>
      <c r="F8690" t="s">
        <v>19380</v>
      </c>
      <c r="G8690" t="s">
        <v>27086</v>
      </c>
    </row>
    <row r="8691" spans="1:7">
      <c r="A8691" t="s">
        <v>36091</v>
      </c>
      <c r="B8691" t="s">
        <v>8607</v>
      </c>
      <c r="F8691" t="s">
        <v>26207</v>
      </c>
      <c r="G8691" t="s">
        <v>31290</v>
      </c>
    </row>
    <row r="8692" spans="1:7">
      <c r="A8692" t="s">
        <v>36092</v>
      </c>
      <c r="B8692" t="s">
        <v>8607</v>
      </c>
      <c r="F8692" t="s">
        <v>8623</v>
      </c>
      <c r="G8692" t="s">
        <v>36093</v>
      </c>
    </row>
    <row r="8693" spans="1:7">
      <c r="A8693" t="s">
        <v>36094</v>
      </c>
      <c r="B8693" t="s">
        <v>8626</v>
      </c>
      <c r="G8693" t="s">
        <v>36095</v>
      </c>
    </row>
    <row r="8694" spans="1:7">
      <c r="A8694" t="s">
        <v>36096</v>
      </c>
      <c r="G8694" t="s">
        <v>36097</v>
      </c>
    </row>
    <row r="8695" spans="1:7">
      <c r="A8695" t="s">
        <v>36098</v>
      </c>
      <c r="G8695" t="s">
        <v>36099</v>
      </c>
    </row>
    <row r="8696" spans="1:7">
      <c r="A8696" t="s">
        <v>36100</v>
      </c>
      <c r="B8696" t="s">
        <v>8607</v>
      </c>
      <c r="G8696" t="s">
        <v>30690</v>
      </c>
    </row>
    <row r="8697" spans="1:7">
      <c r="A8697" t="s">
        <v>36101</v>
      </c>
      <c r="B8697" t="s">
        <v>8607</v>
      </c>
      <c r="F8697" t="s">
        <v>26358</v>
      </c>
      <c r="G8697" t="s">
        <v>35694</v>
      </c>
    </row>
    <row r="8698" spans="1:7">
      <c r="A8698" t="s">
        <v>36102</v>
      </c>
      <c r="B8698" t="s">
        <v>8607</v>
      </c>
      <c r="G8698" t="s">
        <v>31849</v>
      </c>
    </row>
    <row r="8699" spans="1:7">
      <c r="A8699" t="s">
        <v>36103</v>
      </c>
      <c r="B8699" t="s">
        <v>8626</v>
      </c>
      <c r="F8699" t="s">
        <v>30166</v>
      </c>
      <c r="G8699" t="s">
        <v>36104</v>
      </c>
    </row>
    <row r="8700" spans="1:7">
      <c r="A8700" t="s">
        <v>36105</v>
      </c>
      <c r="B8700" t="s">
        <v>8607</v>
      </c>
      <c r="F8700" t="s">
        <v>33737</v>
      </c>
      <c r="G8700" t="s">
        <v>36106</v>
      </c>
    </row>
    <row r="8701" spans="1:7">
      <c r="A8701" t="s">
        <v>36107</v>
      </c>
      <c r="B8701" t="s">
        <v>8607</v>
      </c>
      <c r="F8701" t="s">
        <v>33256</v>
      </c>
      <c r="G8701" t="s">
        <v>33747</v>
      </c>
    </row>
    <row r="8702" spans="1:7">
      <c r="A8702" t="s">
        <v>36108</v>
      </c>
      <c r="B8702" t="s">
        <v>8607</v>
      </c>
      <c r="F8702" t="s">
        <v>26989</v>
      </c>
      <c r="G8702" t="s">
        <v>27233</v>
      </c>
    </row>
    <row r="8703" spans="1:7">
      <c r="A8703" t="s">
        <v>36109</v>
      </c>
      <c r="B8703" t="s">
        <v>8607</v>
      </c>
      <c r="F8703" t="s">
        <v>26992</v>
      </c>
      <c r="G8703" t="s">
        <v>33750</v>
      </c>
    </row>
    <row r="8704" spans="1:7">
      <c r="A8704" t="s">
        <v>36110</v>
      </c>
      <c r="B8704" t="s">
        <v>8607</v>
      </c>
      <c r="F8704" t="s">
        <v>17932</v>
      </c>
      <c r="G8704" t="s">
        <v>32040</v>
      </c>
    </row>
    <row r="8705" spans="1:7">
      <c r="A8705" t="s">
        <v>36111</v>
      </c>
      <c r="B8705" t="s">
        <v>8626</v>
      </c>
      <c r="F8705" t="s">
        <v>28798</v>
      </c>
      <c r="G8705" t="s">
        <v>36112</v>
      </c>
    </row>
    <row r="8706" spans="1:7">
      <c r="A8706" t="s">
        <v>36113</v>
      </c>
      <c r="B8706" t="s">
        <v>8626</v>
      </c>
      <c r="F8706" t="s">
        <v>28306</v>
      </c>
      <c r="G8706" t="s">
        <v>36114</v>
      </c>
    </row>
    <row r="8707" spans="1:7">
      <c r="A8707" t="s">
        <v>36115</v>
      </c>
      <c r="B8707" t="s">
        <v>8607</v>
      </c>
      <c r="F8707" t="s">
        <v>32046</v>
      </c>
      <c r="G8707" t="s">
        <v>32047</v>
      </c>
    </row>
    <row r="8708" spans="1:7">
      <c r="A8708" t="s">
        <v>36116</v>
      </c>
      <c r="B8708" t="s">
        <v>8607</v>
      </c>
      <c r="F8708" t="s">
        <v>28088</v>
      </c>
      <c r="G8708" t="s">
        <v>32576</v>
      </c>
    </row>
    <row r="8709" spans="1:7">
      <c r="A8709" t="s">
        <v>36117</v>
      </c>
      <c r="B8709" t="s">
        <v>8607</v>
      </c>
      <c r="C8709" t="s">
        <v>20525</v>
      </c>
      <c r="F8709" t="s">
        <v>17310</v>
      </c>
      <c r="G8709" t="s">
        <v>36118</v>
      </c>
    </row>
    <row r="8710" spans="1:7">
      <c r="A8710" t="s">
        <v>36119</v>
      </c>
      <c r="B8710" t="s">
        <v>8607</v>
      </c>
      <c r="F8710" t="s">
        <v>28091</v>
      </c>
      <c r="G8710" t="s">
        <v>33597</v>
      </c>
    </row>
    <row r="8711" spans="1:7">
      <c r="A8711" t="s">
        <v>36120</v>
      </c>
      <c r="B8711" t="s">
        <v>8607</v>
      </c>
      <c r="F8711" t="s">
        <v>30983</v>
      </c>
      <c r="G8711" t="s">
        <v>36121</v>
      </c>
    </row>
    <row r="8712" spans="1:7">
      <c r="A8712" t="s">
        <v>36122</v>
      </c>
      <c r="B8712" t="s">
        <v>8607</v>
      </c>
      <c r="G8712" t="s">
        <v>22411</v>
      </c>
    </row>
    <row r="8713" spans="1:7">
      <c r="A8713" t="s">
        <v>36123</v>
      </c>
      <c r="B8713" t="s">
        <v>8607</v>
      </c>
      <c r="G8713" t="s">
        <v>26570</v>
      </c>
    </row>
    <row r="8714" spans="1:7">
      <c r="A8714" t="s">
        <v>36124</v>
      </c>
      <c r="B8714" t="s">
        <v>8607</v>
      </c>
      <c r="G8714" t="s">
        <v>26572</v>
      </c>
    </row>
    <row r="8715" spans="1:7">
      <c r="A8715" t="s">
        <v>36125</v>
      </c>
      <c r="B8715" t="s">
        <v>8626</v>
      </c>
      <c r="G8715" t="s">
        <v>36126</v>
      </c>
    </row>
    <row r="8716" spans="1:7">
      <c r="A8716" t="s">
        <v>36127</v>
      </c>
      <c r="B8716" t="s">
        <v>8607</v>
      </c>
      <c r="G8716" t="s">
        <v>26576</v>
      </c>
    </row>
    <row r="8717" spans="1:7">
      <c r="A8717" t="s">
        <v>36128</v>
      </c>
      <c r="B8717" t="s">
        <v>8607</v>
      </c>
      <c r="F8717" t="s">
        <v>31886</v>
      </c>
      <c r="G8717" t="s">
        <v>31887</v>
      </c>
    </row>
    <row r="8718" spans="1:7">
      <c r="A8718" t="s">
        <v>36129</v>
      </c>
      <c r="B8718" t="s">
        <v>8607</v>
      </c>
      <c r="F8718" t="s">
        <v>32685</v>
      </c>
      <c r="G8718" t="s">
        <v>36130</v>
      </c>
    </row>
    <row r="8719" spans="1:7">
      <c r="A8719" t="s">
        <v>36131</v>
      </c>
      <c r="B8719" t="s">
        <v>8607</v>
      </c>
      <c r="F8719" t="s">
        <v>36132</v>
      </c>
      <c r="G8719" t="s">
        <v>36133</v>
      </c>
    </row>
    <row r="8720" spans="1:7">
      <c r="A8720" t="s">
        <v>36134</v>
      </c>
      <c r="B8720" t="s">
        <v>8607</v>
      </c>
      <c r="F8720" t="s">
        <v>36135</v>
      </c>
      <c r="G8720" t="s">
        <v>36136</v>
      </c>
    </row>
    <row r="8721" spans="1:7">
      <c r="A8721" t="s">
        <v>36137</v>
      </c>
      <c r="B8721" t="s">
        <v>8607</v>
      </c>
      <c r="F8721" t="s">
        <v>19560</v>
      </c>
      <c r="G8721" t="s">
        <v>36138</v>
      </c>
    </row>
    <row r="8722" spans="1:7">
      <c r="A8722" t="s">
        <v>36139</v>
      </c>
      <c r="B8722" t="s">
        <v>8607</v>
      </c>
      <c r="G8722" t="s">
        <v>36140</v>
      </c>
    </row>
    <row r="8723" spans="1:7">
      <c r="A8723" t="s">
        <v>36141</v>
      </c>
      <c r="B8723" t="s">
        <v>8607</v>
      </c>
      <c r="F8723" t="s">
        <v>9018</v>
      </c>
      <c r="G8723" t="s">
        <v>36142</v>
      </c>
    </row>
    <row r="8724" spans="1:7">
      <c r="A8724" t="s">
        <v>36143</v>
      </c>
      <c r="B8724" t="s">
        <v>8607</v>
      </c>
      <c r="C8724" t="s">
        <v>27492</v>
      </c>
      <c r="F8724" t="s">
        <v>26519</v>
      </c>
      <c r="G8724" t="s">
        <v>36144</v>
      </c>
    </row>
    <row r="8725" spans="1:7">
      <c r="A8725" t="s">
        <v>36145</v>
      </c>
      <c r="B8725" t="s">
        <v>8607</v>
      </c>
      <c r="F8725" t="s">
        <v>28984</v>
      </c>
      <c r="G8725" t="s">
        <v>28985</v>
      </c>
    </row>
    <row r="8726" spans="1:7">
      <c r="A8726" t="s">
        <v>36146</v>
      </c>
      <c r="B8726" t="s">
        <v>8607</v>
      </c>
      <c r="C8726" t="s">
        <v>18983</v>
      </c>
      <c r="F8726" t="s">
        <v>18777</v>
      </c>
      <c r="G8726" t="s">
        <v>29942</v>
      </c>
    </row>
    <row r="8727" spans="1:7">
      <c r="A8727" t="s">
        <v>36147</v>
      </c>
      <c r="B8727" t="s">
        <v>8626</v>
      </c>
      <c r="C8727" t="s">
        <v>27497</v>
      </c>
      <c r="F8727" t="s">
        <v>15811</v>
      </c>
      <c r="G8727" t="s">
        <v>29003</v>
      </c>
    </row>
    <row r="8728" spans="1:7">
      <c r="A8728" t="s">
        <v>36148</v>
      </c>
      <c r="B8728" t="s">
        <v>8607</v>
      </c>
      <c r="F8728" t="s">
        <v>17429</v>
      </c>
      <c r="G8728" t="s">
        <v>36149</v>
      </c>
    </row>
    <row r="8729" spans="1:7">
      <c r="A8729" t="s">
        <v>36150</v>
      </c>
      <c r="B8729" t="s">
        <v>8607</v>
      </c>
      <c r="C8729" t="s">
        <v>28978</v>
      </c>
      <c r="F8729" t="s">
        <v>28979</v>
      </c>
      <c r="G8729" t="s">
        <v>36151</v>
      </c>
    </row>
    <row r="8730" spans="1:7">
      <c r="A8730" t="s">
        <v>36152</v>
      </c>
      <c r="B8730" t="s">
        <v>8607</v>
      </c>
      <c r="C8730" t="s">
        <v>28982</v>
      </c>
      <c r="F8730" t="s">
        <v>9378</v>
      </c>
      <c r="G8730" t="s">
        <v>20254</v>
      </c>
    </row>
    <row r="8731" spans="1:7">
      <c r="A8731" t="s">
        <v>36153</v>
      </c>
      <c r="B8731" t="s">
        <v>8607</v>
      </c>
      <c r="G8731" t="s">
        <v>36154</v>
      </c>
    </row>
    <row r="8732" spans="1:7">
      <c r="A8732" t="s">
        <v>36155</v>
      </c>
      <c r="B8732" t="s">
        <v>8607</v>
      </c>
      <c r="F8732" t="s">
        <v>30195</v>
      </c>
      <c r="G8732" t="s">
        <v>36156</v>
      </c>
    </row>
    <row r="8733" spans="1:7">
      <c r="A8733" t="s">
        <v>36157</v>
      </c>
      <c r="B8733" t="s">
        <v>8607</v>
      </c>
      <c r="F8733" t="s">
        <v>27947</v>
      </c>
      <c r="G8733" t="s">
        <v>30869</v>
      </c>
    </row>
    <row r="8734" spans="1:7">
      <c r="A8734" t="s">
        <v>36158</v>
      </c>
      <c r="B8734" t="s">
        <v>8607</v>
      </c>
      <c r="G8734" t="s">
        <v>26859</v>
      </c>
    </row>
    <row r="8735" spans="1:7">
      <c r="A8735" t="s">
        <v>36159</v>
      </c>
      <c r="B8735" t="s">
        <v>8607</v>
      </c>
      <c r="F8735" t="s">
        <v>28088</v>
      </c>
      <c r="G8735" t="s">
        <v>36160</v>
      </c>
    </row>
    <row r="8736" spans="1:7">
      <c r="A8736" t="s">
        <v>36161</v>
      </c>
      <c r="B8736" t="s">
        <v>8607</v>
      </c>
      <c r="F8736" t="s">
        <v>28091</v>
      </c>
      <c r="G8736" t="s">
        <v>36162</v>
      </c>
    </row>
    <row r="8737" spans="1:7">
      <c r="A8737" t="s">
        <v>36163</v>
      </c>
      <c r="B8737" t="s">
        <v>8607</v>
      </c>
      <c r="F8737" t="s">
        <v>30983</v>
      </c>
      <c r="G8737" t="s">
        <v>31101</v>
      </c>
    </row>
    <row r="8738" spans="1:7">
      <c r="A8738" t="s">
        <v>36164</v>
      </c>
      <c r="B8738" t="s">
        <v>8607</v>
      </c>
      <c r="F8738" t="s">
        <v>29013</v>
      </c>
      <c r="G8738" t="s">
        <v>29014</v>
      </c>
    </row>
    <row r="8739" spans="1:7">
      <c r="A8739" t="s">
        <v>36165</v>
      </c>
      <c r="B8739" t="s">
        <v>8626</v>
      </c>
      <c r="G8739" t="s">
        <v>36166</v>
      </c>
    </row>
    <row r="8740" spans="1:7">
      <c r="A8740" t="s">
        <v>36167</v>
      </c>
      <c r="B8740" t="s">
        <v>8626</v>
      </c>
      <c r="F8740" t="s">
        <v>20201</v>
      </c>
      <c r="G8740" t="s">
        <v>36168</v>
      </c>
    </row>
    <row r="8741" spans="1:7">
      <c r="A8741" t="s">
        <v>36169</v>
      </c>
      <c r="B8741" t="s">
        <v>8626</v>
      </c>
      <c r="F8741" t="s">
        <v>28207</v>
      </c>
      <c r="G8741" t="s">
        <v>36170</v>
      </c>
    </row>
    <row r="8742" spans="1:7">
      <c r="A8742" t="s">
        <v>36171</v>
      </c>
      <c r="B8742" t="s">
        <v>8607</v>
      </c>
      <c r="G8742" t="s">
        <v>36172</v>
      </c>
    </row>
    <row r="8743" spans="1:7">
      <c r="A8743" t="s">
        <v>36173</v>
      </c>
      <c r="B8743" t="s">
        <v>8607</v>
      </c>
      <c r="G8743" t="s">
        <v>34108</v>
      </c>
    </row>
    <row r="8744" spans="1:7">
      <c r="A8744" t="s">
        <v>36174</v>
      </c>
      <c r="B8744" t="s">
        <v>8607</v>
      </c>
      <c r="F8744" t="s">
        <v>26602</v>
      </c>
      <c r="G8744" t="s">
        <v>27865</v>
      </c>
    </row>
    <row r="8745" spans="1:7">
      <c r="A8745" t="s">
        <v>36175</v>
      </c>
      <c r="B8745" t="s">
        <v>8607</v>
      </c>
      <c r="F8745" t="s">
        <v>20201</v>
      </c>
      <c r="G8745" t="s">
        <v>27843</v>
      </c>
    </row>
    <row r="8746" spans="1:7">
      <c r="A8746" t="s">
        <v>36176</v>
      </c>
      <c r="B8746" t="s">
        <v>8607</v>
      </c>
      <c r="F8746" t="s">
        <v>20473</v>
      </c>
      <c r="G8746" t="s">
        <v>28471</v>
      </c>
    </row>
    <row r="8747" spans="1:7">
      <c r="A8747" t="s">
        <v>36177</v>
      </c>
      <c r="B8747" t="s">
        <v>8607</v>
      </c>
      <c r="F8747" t="s">
        <v>21567</v>
      </c>
      <c r="G8747" t="s">
        <v>23720</v>
      </c>
    </row>
    <row r="8748" spans="1:7">
      <c r="A8748" t="s">
        <v>36178</v>
      </c>
      <c r="B8748" t="s">
        <v>8626</v>
      </c>
      <c r="C8748" t="s">
        <v>32291</v>
      </c>
      <c r="F8748" t="s">
        <v>23859</v>
      </c>
      <c r="G8748" t="s">
        <v>36179</v>
      </c>
    </row>
    <row r="8749" spans="1:7">
      <c r="A8749" t="s">
        <v>36180</v>
      </c>
      <c r="B8749" t="s">
        <v>8607</v>
      </c>
      <c r="F8749" t="s">
        <v>36181</v>
      </c>
      <c r="G8749" t="s">
        <v>36182</v>
      </c>
    </row>
    <row r="8750" spans="1:7">
      <c r="A8750" t="s">
        <v>36183</v>
      </c>
      <c r="B8750" t="s">
        <v>8607</v>
      </c>
      <c r="F8750" t="s">
        <v>23295</v>
      </c>
      <c r="G8750" t="s">
        <v>36184</v>
      </c>
    </row>
    <row r="8751" spans="1:7">
      <c r="A8751" t="s">
        <v>36185</v>
      </c>
      <c r="B8751" t="s">
        <v>8607</v>
      </c>
      <c r="F8751" t="s">
        <v>8623</v>
      </c>
      <c r="G8751" t="s">
        <v>32447</v>
      </c>
    </row>
    <row r="8752" spans="1:7">
      <c r="A8752" t="s">
        <v>36186</v>
      </c>
      <c r="B8752" t="s">
        <v>8607</v>
      </c>
      <c r="C8752" t="s">
        <v>27092</v>
      </c>
      <c r="F8752" t="s">
        <v>9018</v>
      </c>
      <c r="G8752" t="s">
        <v>26501</v>
      </c>
    </row>
    <row r="8753" spans="1:7">
      <c r="A8753" t="s">
        <v>36187</v>
      </c>
      <c r="B8753" t="s">
        <v>8607</v>
      </c>
      <c r="F8753" t="s">
        <v>8623</v>
      </c>
      <c r="G8753" t="s">
        <v>36188</v>
      </c>
    </row>
    <row r="8754" spans="1:7">
      <c r="A8754" t="s">
        <v>36189</v>
      </c>
      <c r="B8754" t="s">
        <v>8607</v>
      </c>
      <c r="G8754" t="s">
        <v>26445</v>
      </c>
    </row>
    <row r="8755" spans="1:7">
      <c r="A8755" t="s">
        <v>36190</v>
      </c>
      <c r="B8755" t="s">
        <v>8607</v>
      </c>
      <c r="C8755" t="s">
        <v>29588</v>
      </c>
      <c r="F8755" t="s">
        <v>9018</v>
      </c>
      <c r="G8755" t="s">
        <v>29761</v>
      </c>
    </row>
    <row r="8756" spans="1:7">
      <c r="A8756" t="s">
        <v>36191</v>
      </c>
      <c r="B8756" t="s">
        <v>8626</v>
      </c>
      <c r="G8756" t="s">
        <v>36192</v>
      </c>
    </row>
    <row r="8757" spans="1:7">
      <c r="A8757" t="s">
        <v>36193</v>
      </c>
      <c r="B8757" t="s">
        <v>8626</v>
      </c>
      <c r="G8757" t="s">
        <v>36194</v>
      </c>
    </row>
    <row r="8758" spans="1:7">
      <c r="A8758" t="s">
        <v>36195</v>
      </c>
      <c r="B8758" t="s">
        <v>8607</v>
      </c>
      <c r="F8758" t="s">
        <v>26449</v>
      </c>
      <c r="G8758" t="s">
        <v>26450</v>
      </c>
    </row>
    <row r="8759" spans="1:7">
      <c r="A8759" t="s">
        <v>36196</v>
      </c>
      <c r="B8759" t="s">
        <v>8607</v>
      </c>
      <c r="F8759" t="s">
        <v>26452</v>
      </c>
      <c r="G8759" t="s">
        <v>26453</v>
      </c>
    </row>
    <row r="8760" spans="1:7">
      <c r="A8760" t="s">
        <v>36197</v>
      </c>
      <c r="B8760" t="s">
        <v>8626</v>
      </c>
      <c r="F8760" t="s">
        <v>36198</v>
      </c>
      <c r="G8760" t="s">
        <v>36199</v>
      </c>
    </row>
    <row r="8761" spans="1:7">
      <c r="A8761" t="s">
        <v>36200</v>
      </c>
      <c r="B8761" t="s">
        <v>8626</v>
      </c>
      <c r="F8761" t="s">
        <v>36201</v>
      </c>
      <c r="G8761" t="s">
        <v>31973</v>
      </c>
    </row>
    <row r="8762" spans="1:7">
      <c r="A8762" t="s">
        <v>36202</v>
      </c>
      <c r="B8762" t="s">
        <v>8607</v>
      </c>
      <c r="C8762" t="s">
        <v>23754</v>
      </c>
      <c r="F8762" t="s">
        <v>23756</v>
      </c>
      <c r="G8762" t="s">
        <v>36203</v>
      </c>
    </row>
    <row r="8763" spans="1:7">
      <c r="A8763" t="s">
        <v>36204</v>
      </c>
      <c r="B8763" t="s">
        <v>8607</v>
      </c>
      <c r="C8763" t="s">
        <v>26665</v>
      </c>
      <c r="F8763" t="s">
        <v>26666</v>
      </c>
      <c r="G8763" t="s">
        <v>29634</v>
      </c>
    </row>
    <row r="8764" spans="1:7">
      <c r="A8764" t="s">
        <v>36205</v>
      </c>
      <c r="B8764" t="s">
        <v>8607</v>
      </c>
      <c r="F8764" t="s">
        <v>9018</v>
      </c>
      <c r="G8764" t="s">
        <v>36206</v>
      </c>
    </row>
    <row r="8765" spans="1:7">
      <c r="A8765" t="s">
        <v>36207</v>
      </c>
      <c r="B8765" t="s">
        <v>8607</v>
      </c>
      <c r="C8765" t="s">
        <v>26669</v>
      </c>
      <c r="F8765" t="s">
        <v>26670</v>
      </c>
      <c r="G8765" t="s">
        <v>36208</v>
      </c>
    </row>
    <row r="8766" spans="1:7">
      <c r="A8766" t="s">
        <v>36209</v>
      </c>
      <c r="B8766" t="s">
        <v>8607</v>
      </c>
      <c r="C8766" t="s">
        <v>26669</v>
      </c>
      <c r="F8766" t="s">
        <v>26670</v>
      </c>
      <c r="G8766" t="s">
        <v>36208</v>
      </c>
    </row>
    <row r="8767" spans="1:7">
      <c r="A8767" t="s">
        <v>36210</v>
      </c>
      <c r="B8767" t="s">
        <v>8607</v>
      </c>
      <c r="C8767" t="s">
        <v>29299</v>
      </c>
      <c r="F8767" t="s">
        <v>26937</v>
      </c>
      <c r="G8767" t="s">
        <v>36211</v>
      </c>
    </row>
    <row r="8768" spans="1:7">
      <c r="A8768" t="s">
        <v>36212</v>
      </c>
      <c r="B8768" t="s">
        <v>8607</v>
      </c>
      <c r="F8768" t="s">
        <v>9018</v>
      </c>
      <c r="G8768" t="s">
        <v>36206</v>
      </c>
    </row>
    <row r="8769" spans="1:7">
      <c r="A8769" t="s">
        <v>36213</v>
      </c>
      <c r="B8769" t="s">
        <v>8607</v>
      </c>
      <c r="F8769" t="s">
        <v>29314</v>
      </c>
      <c r="G8769" t="s">
        <v>36214</v>
      </c>
    </row>
    <row r="8770" spans="1:7">
      <c r="A8770" t="s">
        <v>36215</v>
      </c>
      <c r="B8770" t="s">
        <v>8626</v>
      </c>
      <c r="C8770" t="s">
        <v>24008</v>
      </c>
      <c r="F8770" t="s">
        <v>17305</v>
      </c>
      <c r="G8770" t="s">
        <v>36216</v>
      </c>
    </row>
    <row r="8771" spans="1:7">
      <c r="A8771" t="s">
        <v>36217</v>
      </c>
      <c r="B8771" t="s">
        <v>8626</v>
      </c>
      <c r="C8771" t="s">
        <v>20054</v>
      </c>
      <c r="F8771" t="s">
        <v>8851</v>
      </c>
      <c r="G8771" t="s">
        <v>36218</v>
      </c>
    </row>
    <row r="8772" spans="1:7">
      <c r="A8772" t="s">
        <v>36219</v>
      </c>
      <c r="B8772" t="s">
        <v>8626</v>
      </c>
      <c r="G8772" t="s">
        <v>36220</v>
      </c>
    </row>
    <row r="8773" spans="1:7">
      <c r="A8773" t="s">
        <v>36221</v>
      </c>
      <c r="B8773" t="s">
        <v>8626</v>
      </c>
      <c r="F8773" t="s">
        <v>29496</v>
      </c>
      <c r="G8773" t="s">
        <v>29497</v>
      </c>
    </row>
    <row r="8774" spans="1:7">
      <c r="A8774" t="s">
        <v>36222</v>
      </c>
      <c r="B8774" t="s">
        <v>8626</v>
      </c>
      <c r="F8774" t="s">
        <v>35430</v>
      </c>
      <c r="G8774" t="s">
        <v>36223</v>
      </c>
    </row>
    <row r="8775" spans="1:7">
      <c r="A8775" t="s">
        <v>36224</v>
      </c>
      <c r="B8775" t="s">
        <v>8626</v>
      </c>
      <c r="F8775" t="s">
        <v>15549</v>
      </c>
      <c r="G8775" t="s">
        <v>36225</v>
      </c>
    </row>
    <row r="8776" spans="1:7">
      <c r="A8776" t="s">
        <v>36226</v>
      </c>
      <c r="B8776" t="s">
        <v>8607</v>
      </c>
      <c r="F8776" t="s">
        <v>13832</v>
      </c>
      <c r="G8776" t="s">
        <v>29765</v>
      </c>
    </row>
    <row r="8777" spans="1:7">
      <c r="A8777" t="s">
        <v>36227</v>
      </c>
      <c r="B8777" t="s">
        <v>8607</v>
      </c>
      <c r="C8777" t="s">
        <v>26863</v>
      </c>
      <c r="F8777" t="s">
        <v>9018</v>
      </c>
      <c r="G8777" t="s">
        <v>29589</v>
      </c>
    </row>
    <row r="8778" spans="1:7">
      <c r="A8778" t="s">
        <v>36228</v>
      </c>
      <c r="B8778" t="s">
        <v>8626</v>
      </c>
      <c r="G8778" t="s">
        <v>36229</v>
      </c>
    </row>
    <row r="8779" spans="1:7">
      <c r="A8779" t="s">
        <v>36230</v>
      </c>
      <c r="B8779" t="s">
        <v>8607</v>
      </c>
      <c r="F8779" t="s">
        <v>21837</v>
      </c>
      <c r="G8779" t="s">
        <v>36231</v>
      </c>
    </row>
    <row r="8780" spans="1:7">
      <c r="A8780" t="s">
        <v>36232</v>
      </c>
      <c r="B8780" t="s">
        <v>8607</v>
      </c>
      <c r="F8780" t="s">
        <v>34875</v>
      </c>
      <c r="G8780" t="s">
        <v>36233</v>
      </c>
    </row>
    <row r="8781" spans="1:7">
      <c r="A8781" t="s">
        <v>36234</v>
      </c>
      <c r="B8781" t="s">
        <v>8626</v>
      </c>
      <c r="F8781" t="s">
        <v>17928</v>
      </c>
      <c r="G8781" t="s">
        <v>36235</v>
      </c>
    </row>
    <row r="8782" spans="1:7">
      <c r="A8782" t="s">
        <v>36236</v>
      </c>
      <c r="B8782" t="s">
        <v>8626</v>
      </c>
      <c r="F8782" t="s">
        <v>22864</v>
      </c>
      <c r="G8782" t="s">
        <v>33231</v>
      </c>
    </row>
    <row r="8783" spans="1:7">
      <c r="A8783" t="s">
        <v>36237</v>
      </c>
      <c r="B8783" t="s">
        <v>8607</v>
      </c>
      <c r="F8783" t="s">
        <v>33871</v>
      </c>
      <c r="G8783" t="s">
        <v>34871</v>
      </c>
    </row>
    <row r="8784" spans="1:7">
      <c r="A8784" t="s">
        <v>36238</v>
      </c>
      <c r="B8784" t="s">
        <v>8626</v>
      </c>
      <c r="G8784" t="s">
        <v>36239</v>
      </c>
    </row>
    <row r="8785" spans="1:7">
      <c r="A8785" t="s">
        <v>36240</v>
      </c>
      <c r="B8785" t="s">
        <v>8626</v>
      </c>
      <c r="F8785" t="s">
        <v>36241</v>
      </c>
      <c r="G8785" t="s">
        <v>36242</v>
      </c>
    </row>
    <row r="8786" spans="1:7">
      <c r="A8786" t="s">
        <v>36243</v>
      </c>
      <c r="B8786" t="s">
        <v>8626</v>
      </c>
      <c r="G8786" t="s">
        <v>36244</v>
      </c>
    </row>
    <row r="8787" spans="1:7">
      <c r="A8787" t="s">
        <v>36245</v>
      </c>
      <c r="B8787" t="s">
        <v>8626</v>
      </c>
      <c r="F8787" t="s">
        <v>29715</v>
      </c>
      <c r="G8787" t="s">
        <v>36246</v>
      </c>
    </row>
    <row r="8788" spans="1:7">
      <c r="A8788" t="s">
        <v>36247</v>
      </c>
      <c r="G8788" t="s">
        <v>36248</v>
      </c>
    </row>
    <row r="8789" spans="1:7">
      <c r="A8789" t="s">
        <v>36249</v>
      </c>
      <c r="B8789" t="s">
        <v>8607</v>
      </c>
      <c r="F8789" t="s">
        <v>36250</v>
      </c>
      <c r="G8789" t="s">
        <v>36251</v>
      </c>
    </row>
    <row r="8790" spans="1:7">
      <c r="A8790" t="s">
        <v>36252</v>
      </c>
      <c r="B8790" t="s">
        <v>8607</v>
      </c>
      <c r="C8790" t="s">
        <v>28722</v>
      </c>
      <c r="F8790" t="s">
        <v>26207</v>
      </c>
      <c r="G8790" t="s">
        <v>36253</v>
      </c>
    </row>
    <row r="8791" spans="1:7">
      <c r="A8791" t="s">
        <v>36254</v>
      </c>
      <c r="B8791" t="s">
        <v>8626</v>
      </c>
      <c r="F8791" t="s">
        <v>28725</v>
      </c>
      <c r="G8791" t="s">
        <v>36255</v>
      </c>
    </row>
    <row r="8792" spans="1:7">
      <c r="A8792" t="s">
        <v>36256</v>
      </c>
      <c r="B8792" t="s">
        <v>8626</v>
      </c>
      <c r="F8792" t="s">
        <v>28728</v>
      </c>
      <c r="G8792" t="s">
        <v>36257</v>
      </c>
    </row>
    <row r="8793" spans="1:7">
      <c r="A8793" t="s">
        <v>36258</v>
      </c>
      <c r="B8793" t="s">
        <v>8607</v>
      </c>
      <c r="C8793" t="s">
        <v>27640</v>
      </c>
      <c r="F8793" t="s">
        <v>17349</v>
      </c>
      <c r="G8793" t="s">
        <v>36259</v>
      </c>
    </row>
    <row r="8794" spans="1:7">
      <c r="A8794" t="s">
        <v>36260</v>
      </c>
      <c r="B8794" t="s">
        <v>8607</v>
      </c>
      <c r="F8794" t="s">
        <v>27643</v>
      </c>
      <c r="G8794" t="s">
        <v>36261</v>
      </c>
    </row>
    <row r="8795" spans="1:7">
      <c r="A8795" t="s">
        <v>36262</v>
      </c>
      <c r="B8795" t="s">
        <v>8607</v>
      </c>
      <c r="F8795" t="s">
        <v>27632</v>
      </c>
      <c r="G8795" t="s">
        <v>36263</v>
      </c>
    </row>
    <row r="8796" spans="1:7">
      <c r="A8796" t="s">
        <v>36264</v>
      </c>
      <c r="B8796" t="s">
        <v>8607</v>
      </c>
      <c r="F8796" t="s">
        <v>27465</v>
      </c>
      <c r="G8796" t="s">
        <v>36265</v>
      </c>
    </row>
    <row r="8797" spans="1:7">
      <c r="A8797" t="s">
        <v>36266</v>
      </c>
      <c r="B8797" t="s">
        <v>8607</v>
      </c>
      <c r="F8797" t="s">
        <v>27468</v>
      </c>
      <c r="G8797" t="s">
        <v>36267</v>
      </c>
    </row>
    <row r="8798" spans="1:7">
      <c r="A8798" t="s">
        <v>36268</v>
      </c>
      <c r="B8798" t="s">
        <v>8607</v>
      </c>
      <c r="F8798" t="s">
        <v>18260</v>
      </c>
      <c r="G8798" t="s">
        <v>36269</v>
      </c>
    </row>
    <row r="8799" spans="1:7">
      <c r="A8799" t="s">
        <v>36270</v>
      </c>
      <c r="B8799" t="s">
        <v>8607</v>
      </c>
      <c r="C8799" t="s">
        <v>27637</v>
      </c>
      <c r="F8799" t="s">
        <v>19234</v>
      </c>
      <c r="G8799" t="s">
        <v>36271</v>
      </c>
    </row>
    <row r="8800" spans="1:7">
      <c r="A8800" t="s">
        <v>36272</v>
      </c>
      <c r="G8800" t="s">
        <v>28773</v>
      </c>
    </row>
    <row r="8801" spans="1:7">
      <c r="A8801" t="s">
        <v>36273</v>
      </c>
      <c r="G8801" t="s">
        <v>31455</v>
      </c>
    </row>
    <row r="8802" spans="1:7">
      <c r="A8802" t="s">
        <v>36274</v>
      </c>
      <c r="B8802" t="s">
        <v>8626</v>
      </c>
      <c r="F8802" t="s">
        <v>36275</v>
      </c>
      <c r="G8802" t="s">
        <v>36276</v>
      </c>
    </row>
    <row r="8803" spans="1:7">
      <c r="A8803" t="s">
        <v>36277</v>
      </c>
      <c r="G8803" t="s">
        <v>36278</v>
      </c>
    </row>
    <row r="8804" spans="1:7">
      <c r="A8804" t="s">
        <v>36279</v>
      </c>
      <c r="B8804" t="s">
        <v>8607</v>
      </c>
      <c r="G8804" t="s">
        <v>36280</v>
      </c>
    </row>
    <row r="8805" spans="1:7">
      <c r="A8805" t="s">
        <v>36281</v>
      </c>
      <c r="B8805" t="s">
        <v>8607</v>
      </c>
      <c r="C8805" t="s">
        <v>32120</v>
      </c>
      <c r="F8805" t="s">
        <v>27613</v>
      </c>
      <c r="G8805" t="s">
        <v>36282</v>
      </c>
    </row>
    <row r="8806" spans="1:7">
      <c r="A8806" t="s">
        <v>36283</v>
      </c>
      <c r="B8806" t="s">
        <v>8626</v>
      </c>
      <c r="F8806" t="s">
        <v>36284</v>
      </c>
      <c r="G8806" t="s">
        <v>36285</v>
      </c>
    </row>
    <row r="8807" spans="1:7">
      <c r="A8807" t="s">
        <v>36286</v>
      </c>
      <c r="B8807" t="s">
        <v>8607</v>
      </c>
      <c r="C8807" t="s">
        <v>21835</v>
      </c>
      <c r="F8807" t="s">
        <v>21837</v>
      </c>
      <c r="G8807" t="s">
        <v>36287</v>
      </c>
    </row>
    <row r="8808" spans="1:7">
      <c r="A8808" t="s">
        <v>36288</v>
      </c>
      <c r="B8808" t="s">
        <v>8607</v>
      </c>
      <c r="F8808" t="s">
        <v>28243</v>
      </c>
      <c r="G8808" t="s">
        <v>36289</v>
      </c>
    </row>
    <row r="8809" spans="1:7">
      <c r="A8809" t="s">
        <v>36290</v>
      </c>
      <c r="B8809" t="s">
        <v>8607</v>
      </c>
      <c r="F8809" t="s">
        <v>28248</v>
      </c>
      <c r="G8809" t="s">
        <v>32064</v>
      </c>
    </row>
    <row r="8810" spans="1:7">
      <c r="A8810" t="s">
        <v>36291</v>
      </c>
      <c r="B8810" t="s">
        <v>8607</v>
      </c>
      <c r="F8810" t="s">
        <v>20201</v>
      </c>
      <c r="G8810" t="s">
        <v>36292</v>
      </c>
    </row>
    <row r="8811" spans="1:7">
      <c r="A8811" t="s">
        <v>36293</v>
      </c>
      <c r="B8811" t="s">
        <v>8607</v>
      </c>
      <c r="F8811" t="s">
        <v>28253</v>
      </c>
      <c r="G8811" t="s">
        <v>36294</v>
      </c>
    </row>
    <row r="8812" spans="1:7">
      <c r="A8812" t="s">
        <v>36295</v>
      </c>
      <c r="B8812" t="s">
        <v>8626</v>
      </c>
      <c r="C8812" t="s">
        <v>33710</v>
      </c>
      <c r="F8812" t="s">
        <v>20866</v>
      </c>
      <c r="G8812" t="s">
        <v>36296</v>
      </c>
    </row>
    <row r="8813" spans="1:7">
      <c r="A8813" t="s">
        <v>36297</v>
      </c>
      <c r="B8813" t="s">
        <v>8607</v>
      </c>
      <c r="F8813" t="s">
        <v>21700</v>
      </c>
      <c r="G8813" t="s">
        <v>36298</v>
      </c>
    </row>
    <row r="8814" spans="1:7">
      <c r="A8814" t="s">
        <v>36299</v>
      </c>
      <c r="B8814" t="s">
        <v>8607</v>
      </c>
      <c r="G8814" t="s">
        <v>36300</v>
      </c>
    </row>
    <row r="8815" spans="1:7">
      <c r="A8815" t="s">
        <v>36301</v>
      </c>
      <c r="B8815" t="s">
        <v>8607</v>
      </c>
      <c r="G8815" t="s">
        <v>36302</v>
      </c>
    </row>
    <row r="8816" spans="1:7">
      <c r="A8816" t="s">
        <v>36303</v>
      </c>
      <c r="B8816" t="s">
        <v>8607</v>
      </c>
      <c r="F8816" t="s">
        <v>21837</v>
      </c>
      <c r="G8816" t="s">
        <v>36231</v>
      </c>
    </row>
    <row r="8817" spans="1:7">
      <c r="A8817" t="s">
        <v>36304</v>
      </c>
      <c r="B8817" t="s">
        <v>8607</v>
      </c>
      <c r="F8817" t="s">
        <v>9018</v>
      </c>
      <c r="G8817" t="s">
        <v>36305</v>
      </c>
    </row>
    <row r="8818" spans="1:7">
      <c r="A8818" t="s">
        <v>36306</v>
      </c>
      <c r="B8818" t="s">
        <v>8607</v>
      </c>
      <c r="F8818" t="s">
        <v>15549</v>
      </c>
      <c r="G8818" t="s">
        <v>36307</v>
      </c>
    </row>
    <row r="8819" spans="1:7">
      <c r="A8819" t="s">
        <v>36308</v>
      </c>
      <c r="B8819" t="s">
        <v>8607</v>
      </c>
      <c r="F8819" t="s">
        <v>30548</v>
      </c>
      <c r="G8819" t="s">
        <v>30549</v>
      </c>
    </row>
    <row r="8820" spans="1:7">
      <c r="A8820" t="s">
        <v>36309</v>
      </c>
      <c r="B8820" t="s">
        <v>8607</v>
      </c>
      <c r="F8820" t="s">
        <v>27613</v>
      </c>
      <c r="G8820" t="s">
        <v>27614</v>
      </c>
    </row>
    <row r="8821" spans="1:7">
      <c r="A8821" t="s">
        <v>36310</v>
      </c>
      <c r="B8821" t="s">
        <v>8607</v>
      </c>
      <c r="F8821" t="s">
        <v>21837</v>
      </c>
      <c r="G8821" t="s">
        <v>36311</v>
      </c>
    </row>
    <row r="8822" spans="1:7">
      <c r="A8822" t="s">
        <v>36312</v>
      </c>
      <c r="B8822" t="s">
        <v>8607</v>
      </c>
      <c r="F8822" t="s">
        <v>36313</v>
      </c>
      <c r="G8822" t="s">
        <v>36314</v>
      </c>
    </row>
    <row r="8823" spans="1:7">
      <c r="A8823" t="s">
        <v>36315</v>
      </c>
      <c r="B8823" t="s">
        <v>8607</v>
      </c>
      <c r="F8823" t="s">
        <v>27620</v>
      </c>
      <c r="G8823" t="s">
        <v>27621</v>
      </c>
    </row>
    <row r="8824" spans="1:7">
      <c r="A8824" t="s">
        <v>36316</v>
      </c>
      <c r="B8824" t="s">
        <v>8607</v>
      </c>
      <c r="F8824" t="s">
        <v>21837</v>
      </c>
      <c r="G8824" t="s">
        <v>27623</v>
      </c>
    </row>
    <row r="8825" spans="1:7">
      <c r="A8825" t="s">
        <v>36317</v>
      </c>
      <c r="B8825" t="s">
        <v>8607</v>
      </c>
      <c r="F8825" t="s">
        <v>31277</v>
      </c>
      <c r="G8825" t="s">
        <v>31278</v>
      </c>
    </row>
    <row r="8826" spans="1:7">
      <c r="A8826" t="s">
        <v>36318</v>
      </c>
      <c r="B8826" t="s">
        <v>8607</v>
      </c>
      <c r="F8826" t="s">
        <v>27603</v>
      </c>
      <c r="G8826" t="s">
        <v>27604</v>
      </c>
    </row>
    <row r="8827" spans="1:7">
      <c r="A8827" t="s">
        <v>36319</v>
      </c>
      <c r="B8827" t="s">
        <v>8607</v>
      </c>
      <c r="F8827" t="s">
        <v>22864</v>
      </c>
      <c r="G8827" t="s">
        <v>36320</v>
      </c>
    </row>
    <row r="8828" spans="1:7">
      <c r="A8828" t="s">
        <v>36321</v>
      </c>
      <c r="B8828" t="s">
        <v>8607</v>
      </c>
      <c r="F8828" t="s">
        <v>17928</v>
      </c>
      <c r="G8828" t="s">
        <v>36322</v>
      </c>
    </row>
    <row r="8829" spans="1:7">
      <c r="A8829" t="s">
        <v>36323</v>
      </c>
      <c r="B8829" t="s">
        <v>8626</v>
      </c>
      <c r="F8829" t="s">
        <v>26116</v>
      </c>
      <c r="G8829" t="s">
        <v>36324</v>
      </c>
    </row>
    <row r="8830" spans="1:7">
      <c r="A8830" t="s">
        <v>36325</v>
      </c>
      <c r="B8830" t="s">
        <v>8607</v>
      </c>
      <c r="F8830" t="s">
        <v>34875</v>
      </c>
      <c r="G8830" t="s">
        <v>36326</v>
      </c>
    </row>
    <row r="8831" spans="1:7">
      <c r="A8831" t="s">
        <v>36327</v>
      </c>
      <c r="B8831" t="s">
        <v>8607</v>
      </c>
      <c r="F8831" t="s">
        <v>33871</v>
      </c>
      <c r="G8831" t="s">
        <v>36328</v>
      </c>
    </row>
    <row r="8832" spans="1:7">
      <c r="A8832" t="s">
        <v>36329</v>
      </c>
      <c r="B8832" t="s">
        <v>8607</v>
      </c>
      <c r="F8832" t="s">
        <v>36330</v>
      </c>
      <c r="G8832" t="s">
        <v>36331</v>
      </c>
    </row>
    <row r="8833" spans="1:7">
      <c r="A8833" t="s">
        <v>36332</v>
      </c>
      <c r="B8833" t="s">
        <v>8607</v>
      </c>
      <c r="F8833" t="s">
        <v>36333</v>
      </c>
      <c r="G8833" t="s">
        <v>36334</v>
      </c>
    </row>
    <row r="8834" spans="1:7">
      <c r="A8834" t="s">
        <v>36335</v>
      </c>
      <c r="B8834" t="s">
        <v>8607</v>
      </c>
      <c r="F8834" t="s">
        <v>36336</v>
      </c>
      <c r="G8834" t="s">
        <v>36337</v>
      </c>
    </row>
    <row r="8835" spans="1:7">
      <c r="A8835" t="s">
        <v>36338</v>
      </c>
      <c r="B8835" t="s">
        <v>8607</v>
      </c>
      <c r="C8835" t="s">
        <v>28722</v>
      </c>
      <c r="F8835" t="s">
        <v>26207</v>
      </c>
      <c r="G8835" t="s">
        <v>36339</v>
      </c>
    </row>
    <row r="8836" spans="1:7">
      <c r="A8836" t="s">
        <v>36340</v>
      </c>
      <c r="B8836" t="s">
        <v>8607</v>
      </c>
      <c r="F8836" t="s">
        <v>28725</v>
      </c>
      <c r="G8836" t="s">
        <v>30893</v>
      </c>
    </row>
    <row r="8837" spans="1:7">
      <c r="A8837" t="s">
        <v>36341</v>
      </c>
      <c r="B8837" t="s">
        <v>8607</v>
      </c>
      <c r="F8837" t="s">
        <v>28728</v>
      </c>
      <c r="G8837" t="s">
        <v>36342</v>
      </c>
    </row>
    <row r="8838" spans="1:7">
      <c r="A8838" t="s">
        <v>36343</v>
      </c>
      <c r="B8838" t="s">
        <v>8607</v>
      </c>
      <c r="C8838" t="s">
        <v>27640</v>
      </c>
      <c r="F8838" t="s">
        <v>17349</v>
      </c>
      <c r="G8838" t="s">
        <v>27641</v>
      </c>
    </row>
    <row r="8839" spans="1:7">
      <c r="A8839" t="s">
        <v>36344</v>
      </c>
      <c r="B8839" t="s">
        <v>8607</v>
      </c>
      <c r="F8839" t="s">
        <v>27643</v>
      </c>
      <c r="G8839" t="s">
        <v>36345</v>
      </c>
    </row>
    <row r="8840" spans="1:7">
      <c r="A8840" t="s">
        <v>36346</v>
      </c>
      <c r="B8840" t="s">
        <v>8607</v>
      </c>
      <c r="F8840" t="s">
        <v>27632</v>
      </c>
      <c r="G8840" t="s">
        <v>36347</v>
      </c>
    </row>
    <row r="8841" spans="1:7">
      <c r="A8841" t="s">
        <v>36348</v>
      </c>
      <c r="B8841" t="s">
        <v>8607</v>
      </c>
      <c r="F8841" t="s">
        <v>27465</v>
      </c>
      <c r="G8841" t="s">
        <v>30200</v>
      </c>
    </row>
    <row r="8842" spans="1:7">
      <c r="A8842" t="s">
        <v>36349</v>
      </c>
      <c r="B8842" t="s">
        <v>8607</v>
      </c>
      <c r="F8842" t="s">
        <v>27468</v>
      </c>
      <c r="G8842" t="s">
        <v>36350</v>
      </c>
    </row>
    <row r="8843" spans="1:7">
      <c r="A8843" t="s">
        <v>36351</v>
      </c>
      <c r="B8843" t="s">
        <v>8607</v>
      </c>
      <c r="C8843" t="s">
        <v>27637</v>
      </c>
      <c r="F8843" t="s">
        <v>19234</v>
      </c>
      <c r="G8843" t="s">
        <v>27638</v>
      </c>
    </row>
    <row r="8844" spans="1:7">
      <c r="A8844" t="s">
        <v>36352</v>
      </c>
      <c r="G8844" t="s">
        <v>36353</v>
      </c>
    </row>
    <row r="8845" spans="1:7">
      <c r="A8845" t="s">
        <v>36354</v>
      </c>
      <c r="B8845" t="s">
        <v>8607</v>
      </c>
      <c r="C8845" t="s">
        <v>17997</v>
      </c>
      <c r="F8845" t="s">
        <v>28094</v>
      </c>
      <c r="G8845" t="s">
        <v>28095</v>
      </c>
    </row>
    <row r="8846" spans="1:7">
      <c r="A8846" t="s">
        <v>36355</v>
      </c>
      <c r="B8846" t="s">
        <v>8607</v>
      </c>
      <c r="F8846" t="s">
        <v>28097</v>
      </c>
      <c r="G8846" t="s">
        <v>28098</v>
      </c>
    </row>
    <row r="8847" spans="1:7">
      <c r="A8847" t="s">
        <v>36356</v>
      </c>
      <c r="B8847" t="s">
        <v>8607</v>
      </c>
      <c r="F8847" t="s">
        <v>28097</v>
      </c>
      <c r="G8847" t="s">
        <v>28098</v>
      </c>
    </row>
    <row r="8848" spans="1:7">
      <c r="A8848" t="s">
        <v>36357</v>
      </c>
      <c r="B8848" t="s">
        <v>8607</v>
      </c>
      <c r="C8848" t="s">
        <v>28225</v>
      </c>
      <c r="F8848" t="s">
        <v>9018</v>
      </c>
      <c r="G8848" t="s">
        <v>28226</v>
      </c>
    </row>
    <row r="8849" spans="1:7">
      <c r="A8849" t="s">
        <v>36358</v>
      </c>
      <c r="B8849" t="s">
        <v>8607</v>
      </c>
      <c r="F8849" t="s">
        <v>36359</v>
      </c>
      <c r="G8849" t="s">
        <v>36360</v>
      </c>
    </row>
    <row r="8850" spans="1:7">
      <c r="A8850" t="s">
        <v>36361</v>
      </c>
      <c r="B8850" t="s">
        <v>8607</v>
      </c>
      <c r="F8850" t="s">
        <v>28228</v>
      </c>
      <c r="G8850" t="s">
        <v>36362</v>
      </c>
    </row>
    <row r="8851" spans="1:7">
      <c r="A8851" t="s">
        <v>36363</v>
      </c>
      <c r="B8851" t="s">
        <v>8607</v>
      </c>
      <c r="G8851" t="s">
        <v>28231</v>
      </c>
    </row>
    <row r="8852" spans="1:7">
      <c r="A8852" t="s">
        <v>36364</v>
      </c>
      <c r="B8852" t="s">
        <v>8607</v>
      </c>
      <c r="F8852" t="s">
        <v>28233</v>
      </c>
      <c r="G8852" t="s">
        <v>28234</v>
      </c>
    </row>
    <row r="8853" spans="1:7">
      <c r="A8853" t="s">
        <v>36365</v>
      </c>
      <c r="B8853" t="s">
        <v>8607</v>
      </c>
      <c r="F8853" t="s">
        <v>28236</v>
      </c>
      <c r="G8853" t="s">
        <v>28237</v>
      </c>
    </row>
    <row r="8854" spans="1:7">
      <c r="A8854" t="s">
        <v>36366</v>
      </c>
      <c r="B8854" t="s">
        <v>8607</v>
      </c>
      <c r="C8854" t="s">
        <v>9266</v>
      </c>
      <c r="F8854" t="s">
        <v>9268</v>
      </c>
      <c r="G8854" t="s">
        <v>36367</v>
      </c>
    </row>
    <row r="8855" spans="1:7">
      <c r="A8855" t="s">
        <v>36368</v>
      </c>
      <c r="B8855" t="s">
        <v>8607</v>
      </c>
      <c r="F8855" t="s">
        <v>31423</v>
      </c>
      <c r="G8855" t="s">
        <v>36369</v>
      </c>
    </row>
    <row r="8856" spans="1:7">
      <c r="A8856" t="s">
        <v>36370</v>
      </c>
      <c r="B8856" t="s">
        <v>8607</v>
      </c>
      <c r="F8856" t="s">
        <v>17310</v>
      </c>
      <c r="G8856" t="s">
        <v>28241</v>
      </c>
    </row>
    <row r="8857" spans="1:7">
      <c r="A8857" t="s">
        <v>36371</v>
      </c>
      <c r="B8857" t="s">
        <v>8607</v>
      </c>
      <c r="F8857" t="s">
        <v>28243</v>
      </c>
      <c r="G8857" t="s">
        <v>36372</v>
      </c>
    </row>
    <row r="8858" spans="1:7">
      <c r="A8858" t="s">
        <v>36373</v>
      </c>
      <c r="B8858" t="s">
        <v>8607</v>
      </c>
      <c r="F8858" t="s">
        <v>28248</v>
      </c>
      <c r="G8858" t="s">
        <v>28249</v>
      </c>
    </row>
    <row r="8859" spans="1:7">
      <c r="A8859" t="s">
        <v>36374</v>
      </c>
      <c r="B8859" t="s">
        <v>8607</v>
      </c>
      <c r="F8859" t="s">
        <v>20201</v>
      </c>
      <c r="G8859" t="s">
        <v>28251</v>
      </c>
    </row>
    <row r="8860" spans="1:7">
      <c r="A8860" t="s">
        <v>36375</v>
      </c>
      <c r="B8860" t="s">
        <v>8607</v>
      </c>
      <c r="F8860" t="s">
        <v>28253</v>
      </c>
      <c r="G8860" t="s">
        <v>36376</v>
      </c>
    </row>
    <row r="8861" spans="1:7">
      <c r="A8861" t="s">
        <v>36377</v>
      </c>
      <c r="B8861" t="s">
        <v>8607</v>
      </c>
      <c r="F8861" t="s">
        <v>21700</v>
      </c>
      <c r="G8861" t="s">
        <v>36378</v>
      </c>
    </row>
    <row r="8862" spans="1:7">
      <c r="A8862" t="s">
        <v>36379</v>
      </c>
      <c r="B8862" t="s">
        <v>8607</v>
      </c>
      <c r="G8862" t="s">
        <v>28622</v>
      </c>
    </row>
    <row r="8863" spans="1:7">
      <c r="A8863" t="s">
        <v>36380</v>
      </c>
      <c r="B8863" t="s">
        <v>8607</v>
      </c>
      <c r="F8863" t="s">
        <v>27937</v>
      </c>
      <c r="G8863" t="s">
        <v>27938</v>
      </c>
    </row>
    <row r="8864" spans="1:7">
      <c r="A8864" t="s">
        <v>36381</v>
      </c>
      <c r="B8864" t="s">
        <v>8626</v>
      </c>
      <c r="F8864" t="s">
        <v>20201</v>
      </c>
      <c r="G8864" t="s">
        <v>36382</v>
      </c>
    </row>
    <row r="8865" spans="1:7">
      <c r="A8865" t="s">
        <v>36383</v>
      </c>
      <c r="B8865" t="s">
        <v>8626</v>
      </c>
      <c r="C8865" t="s">
        <v>16679</v>
      </c>
      <c r="F8865" t="s">
        <v>9018</v>
      </c>
      <c r="G8865" t="s">
        <v>28607</v>
      </c>
    </row>
    <row r="8866" spans="1:7">
      <c r="A8866" t="s">
        <v>36384</v>
      </c>
      <c r="B8866" t="s">
        <v>8607</v>
      </c>
      <c r="G8866" t="s">
        <v>36385</v>
      </c>
    </row>
    <row r="8867" spans="1:7">
      <c r="A8867" t="s">
        <v>36386</v>
      </c>
      <c r="B8867" t="s">
        <v>8607</v>
      </c>
      <c r="F8867" t="s">
        <v>36387</v>
      </c>
      <c r="G8867" t="s">
        <v>36388</v>
      </c>
    </row>
    <row r="8868" spans="1:7">
      <c r="A8868" t="s">
        <v>36389</v>
      </c>
      <c r="B8868" t="s">
        <v>8626</v>
      </c>
      <c r="F8868" t="s">
        <v>21700</v>
      </c>
      <c r="G8868" t="s">
        <v>36390</v>
      </c>
    </row>
    <row r="8869" spans="1:7">
      <c r="A8869" t="s">
        <v>36391</v>
      </c>
      <c r="B8869" t="s">
        <v>8607</v>
      </c>
      <c r="F8869" t="s">
        <v>28637</v>
      </c>
      <c r="G8869" t="s">
        <v>36392</v>
      </c>
    </row>
    <row r="8870" spans="1:7">
      <c r="A8870" t="s">
        <v>36393</v>
      </c>
      <c r="B8870" t="s">
        <v>8607</v>
      </c>
      <c r="F8870" t="s">
        <v>28629</v>
      </c>
      <c r="G8870" t="s">
        <v>28630</v>
      </c>
    </row>
    <row r="8871" spans="1:7">
      <c r="A8871" t="s">
        <v>36394</v>
      </c>
      <c r="B8871" t="s">
        <v>8626</v>
      </c>
      <c r="C8871" t="s">
        <v>31599</v>
      </c>
      <c r="F8871" t="s">
        <v>9018</v>
      </c>
      <c r="G8871" t="s">
        <v>36395</v>
      </c>
    </row>
    <row r="8872" spans="1:7">
      <c r="A8872" t="s">
        <v>36396</v>
      </c>
      <c r="B8872" t="s">
        <v>8607</v>
      </c>
      <c r="F8872" t="s">
        <v>28656</v>
      </c>
      <c r="G8872" t="s">
        <v>36397</v>
      </c>
    </row>
    <row r="8873" spans="1:7">
      <c r="A8873" t="s">
        <v>36398</v>
      </c>
      <c r="B8873" t="s">
        <v>8607</v>
      </c>
      <c r="C8873" t="s">
        <v>27739</v>
      </c>
      <c r="F8873" t="s">
        <v>27740</v>
      </c>
      <c r="G8873" t="s">
        <v>27741</v>
      </c>
    </row>
    <row r="8874" spans="1:7">
      <c r="A8874" t="s">
        <v>36399</v>
      </c>
      <c r="B8874" t="s">
        <v>8626</v>
      </c>
      <c r="F8874" t="s">
        <v>8965</v>
      </c>
      <c r="G8874" t="s">
        <v>36400</v>
      </c>
    </row>
    <row r="8875" spans="1:7">
      <c r="A8875" t="s">
        <v>36401</v>
      </c>
      <c r="B8875" t="s">
        <v>8607</v>
      </c>
      <c r="F8875" t="s">
        <v>28666</v>
      </c>
      <c r="G8875" t="s">
        <v>36402</v>
      </c>
    </row>
    <row r="8876" spans="1:7">
      <c r="A8876" t="s">
        <v>36403</v>
      </c>
      <c r="B8876" t="s">
        <v>8607</v>
      </c>
      <c r="F8876" t="s">
        <v>28669</v>
      </c>
      <c r="G8876" t="s">
        <v>36404</v>
      </c>
    </row>
    <row r="8877" spans="1:7">
      <c r="A8877" t="s">
        <v>36405</v>
      </c>
      <c r="B8877" t="s">
        <v>8607</v>
      </c>
      <c r="F8877" t="s">
        <v>28629</v>
      </c>
      <c r="G8877" t="s">
        <v>28630</v>
      </c>
    </row>
    <row r="8878" spans="1:7">
      <c r="A8878" t="s">
        <v>36406</v>
      </c>
      <c r="B8878" t="s">
        <v>8626</v>
      </c>
      <c r="G8878" t="s">
        <v>36407</v>
      </c>
    </row>
    <row r="8879" spans="1:7">
      <c r="A8879" t="s">
        <v>36408</v>
      </c>
      <c r="B8879" t="s">
        <v>8626</v>
      </c>
      <c r="G8879" t="s">
        <v>36409</v>
      </c>
    </row>
    <row r="8880" spans="1:7">
      <c r="A8880" t="s">
        <v>36410</v>
      </c>
      <c r="B8880" t="s">
        <v>8626</v>
      </c>
      <c r="F8880" t="s">
        <v>25301</v>
      </c>
      <c r="G8880" t="s">
        <v>36411</v>
      </c>
    </row>
    <row r="8881" spans="1:7">
      <c r="A8881" t="s">
        <v>36412</v>
      </c>
      <c r="B8881" t="s">
        <v>8626</v>
      </c>
      <c r="F8881" t="s">
        <v>27336</v>
      </c>
      <c r="G8881" t="s">
        <v>27337</v>
      </c>
    </row>
    <row r="8882" spans="1:7">
      <c r="A8882" t="s">
        <v>36413</v>
      </c>
      <c r="B8882" t="s">
        <v>8607</v>
      </c>
      <c r="F8882" t="s">
        <v>27333</v>
      </c>
      <c r="G8882" t="s">
        <v>27334</v>
      </c>
    </row>
    <row r="8883" spans="1:7">
      <c r="A8883" t="s">
        <v>36414</v>
      </c>
      <c r="B8883" t="s">
        <v>8607</v>
      </c>
      <c r="C8883" t="s">
        <v>28683</v>
      </c>
      <c r="F8883" t="s">
        <v>28684</v>
      </c>
      <c r="G8883" t="s">
        <v>36415</v>
      </c>
    </row>
    <row r="8884" spans="1:7">
      <c r="A8884" t="s">
        <v>36416</v>
      </c>
      <c r="B8884" t="s">
        <v>8626</v>
      </c>
      <c r="F8884" t="s">
        <v>28688</v>
      </c>
      <c r="G8884" t="s">
        <v>36417</v>
      </c>
    </row>
    <row r="8885" spans="1:7">
      <c r="A8885" t="s">
        <v>36418</v>
      </c>
      <c r="B8885" t="s">
        <v>8607</v>
      </c>
      <c r="F8885" t="s">
        <v>36419</v>
      </c>
      <c r="G8885" t="s">
        <v>36420</v>
      </c>
    </row>
    <row r="8886" spans="1:7">
      <c r="A8886" t="s">
        <v>36421</v>
      </c>
      <c r="B8886" t="s">
        <v>8607</v>
      </c>
      <c r="F8886" t="s">
        <v>28649</v>
      </c>
      <c r="G8886" t="s">
        <v>36422</v>
      </c>
    </row>
    <row r="8887" spans="1:7">
      <c r="A8887" t="s">
        <v>36423</v>
      </c>
      <c r="B8887" t="s">
        <v>8626</v>
      </c>
      <c r="C8887" t="s">
        <v>21656</v>
      </c>
      <c r="F8887" t="s">
        <v>9018</v>
      </c>
      <c r="G8887" t="s">
        <v>34531</v>
      </c>
    </row>
    <row r="8888" spans="1:7">
      <c r="A8888" t="s">
        <v>36424</v>
      </c>
      <c r="B8888" t="s">
        <v>8626</v>
      </c>
      <c r="F8888" t="s">
        <v>36425</v>
      </c>
      <c r="G8888" t="s">
        <v>36426</v>
      </c>
    </row>
    <row r="8889" spans="1:7">
      <c r="A8889" t="s">
        <v>36427</v>
      </c>
      <c r="B8889" t="s">
        <v>8607</v>
      </c>
      <c r="F8889" t="s">
        <v>36428</v>
      </c>
      <c r="G8889" t="s">
        <v>36429</v>
      </c>
    </row>
    <row r="8890" spans="1:7">
      <c r="A8890" t="s">
        <v>36430</v>
      </c>
      <c r="B8890" t="s">
        <v>8607</v>
      </c>
      <c r="F8890" t="s">
        <v>29144</v>
      </c>
      <c r="G8890" t="s">
        <v>29966</v>
      </c>
    </row>
    <row r="8891" spans="1:7">
      <c r="A8891" t="s">
        <v>36431</v>
      </c>
      <c r="B8891" t="s">
        <v>8607</v>
      </c>
      <c r="F8891" t="s">
        <v>9039</v>
      </c>
      <c r="G8891" t="s">
        <v>29968</v>
      </c>
    </row>
    <row r="8892" spans="1:7">
      <c r="A8892" t="s">
        <v>36432</v>
      </c>
      <c r="B8892" t="s">
        <v>8607</v>
      </c>
      <c r="F8892" t="s">
        <v>9018</v>
      </c>
      <c r="G8892" t="s">
        <v>29970</v>
      </c>
    </row>
    <row r="8893" spans="1:7">
      <c r="A8893" t="s">
        <v>36433</v>
      </c>
      <c r="B8893" t="s">
        <v>8607</v>
      </c>
      <c r="C8893" t="s">
        <v>26728</v>
      </c>
      <c r="F8893" t="s">
        <v>26176</v>
      </c>
      <c r="G8893" t="s">
        <v>26729</v>
      </c>
    </row>
    <row r="8894" spans="1:7">
      <c r="A8894" t="s">
        <v>36434</v>
      </c>
      <c r="B8894" t="s">
        <v>8607</v>
      </c>
      <c r="F8894" t="s">
        <v>9473</v>
      </c>
      <c r="G8894" t="s">
        <v>26731</v>
      </c>
    </row>
    <row r="8895" spans="1:7">
      <c r="A8895" t="s">
        <v>36435</v>
      </c>
      <c r="B8895" t="s">
        <v>8607</v>
      </c>
      <c r="F8895" t="s">
        <v>23164</v>
      </c>
      <c r="G8895" t="s">
        <v>26733</v>
      </c>
    </row>
    <row r="8896" spans="1:7">
      <c r="A8896" t="s">
        <v>36436</v>
      </c>
      <c r="B8896" t="s">
        <v>8607</v>
      </c>
      <c r="G8896" t="s">
        <v>36437</v>
      </c>
    </row>
    <row r="8897" spans="1:7">
      <c r="A8897" t="s">
        <v>36438</v>
      </c>
      <c r="B8897" t="s">
        <v>8607</v>
      </c>
      <c r="F8897" t="s">
        <v>8623</v>
      </c>
      <c r="G8897" t="s">
        <v>36439</v>
      </c>
    </row>
    <row r="8898" spans="1:7">
      <c r="A8898" t="s">
        <v>36440</v>
      </c>
      <c r="G8898" t="s">
        <v>36441</v>
      </c>
    </row>
    <row r="8899" spans="1:7">
      <c r="A8899" t="s">
        <v>36442</v>
      </c>
      <c r="B8899" t="s">
        <v>8607</v>
      </c>
      <c r="F8899" t="s">
        <v>33813</v>
      </c>
      <c r="G8899" t="s">
        <v>36443</v>
      </c>
    </row>
    <row r="8900" spans="1:7">
      <c r="A8900" t="s">
        <v>36444</v>
      </c>
      <c r="B8900" t="s">
        <v>8607</v>
      </c>
      <c r="F8900" t="s">
        <v>33813</v>
      </c>
      <c r="G8900" t="s">
        <v>36445</v>
      </c>
    </row>
    <row r="8901" spans="1:7">
      <c r="A8901" t="s">
        <v>36446</v>
      </c>
      <c r="B8901" t="s">
        <v>8607</v>
      </c>
      <c r="C8901" t="s">
        <v>30839</v>
      </c>
      <c r="F8901" t="s">
        <v>30840</v>
      </c>
      <c r="G8901" t="s">
        <v>30841</v>
      </c>
    </row>
    <row r="8902" spans="1:7">
      <c r="A8902" t="s">
        <v>36447</v>
      </c>
      <c r="B8902" t="s">
        <v>8607</v>
      </c>
      <c r="C8902" t="s">
        <v>30843</v>
      </c>
      <c r="F8902" t="s">
        <v>30844</v>
      </c>
      <c r="G8902" t="s">
        <v>30845</v>
      </c>
    </row>
    <row r="8903" spans="1:7">
      <c r="A8903" t="s">
        <v>36448</v>
      </c>
      <c r="B8903" t="s">
        <v>8607</v>
      </c>
      <c r="F8903" t="s">
        <v>9018</v>
      </c>
      <c r="G8903" t="s">
        <v>36449</v>
      </c>
    </row>
    <row r="8904" spans="1:7">
      <c r="A8904" t="s">
        <v>36450</v>
      </c>
      <c r="G8904" t="s">
        <v>36451</v>
      </c>
    </row>
    <row r="8905" spans="1:7">
      <c r="A8905" t="s">
        <v>36452</v>
      </c>
      <c r="B8905" t="s">
        <v>8607</v>
      </c>
      <c r="G8905" t="s">
        <v>36453</v>
      </c>
    </row>
    <row r="8906" spans="1:7">
      <c r="A8906" t="s">
        <v>36454</v>
      </c>
      <c r="B8906" t="s">
        <v>8607</v>
      </c>
      <c r="F8906" t="s">
        <v>27384</v>
      </c>
      <c r="G8906" t="s">
        <v>28413</v>
      </c>
    </row>
    <row r="8907" spans="1:7">
      <c r="A8907" t="s">
        <v>36455</v>
      </c>
      <c r="B8907" t="s">
        <v>8626</v>
      </c>
      <c r="F8907" t="s">
        <v>17779</v>
      </c>
      <c r="G8907" t="s">
        <v>27387</v>
      </c>
    </row>
    <row r="8908" spans="1:7">
      <c r="A8908" t="s">
        <v>36456</v>
      </c>
      <c r="B8908" t="s">
        <v>8626</v>
      </c>
      <c r="F8908" t="s">
        <v>28418</v>
      </c>
      <c r="G8908" t="s">
        <v>36457</v>
      </c>
    </row>
    <row r="8909" spans="1:7">
      <c r="A8909" t="s">
        <v>36458</v>
      </c>
      <c r="B8909" t="s">
        <v>8626</v>
      </c>
      <c r="G8909" t="s">
        <v>36459</v>
      </c>
    </row>
    <row r="8910" spans="1:7">
      <c r="A8910" t="s">
        <v>36460</v>
      </c>
      <c r="B8910" t="s">
        <v>8607</v>
      </c>
      <c r="C8910" t="s">
        <v>27637</v>
      </c>
      <c r="F8910" t="s">
        <v>19234</v>
      </c>
      <c r="G8910" t="s">
        <v>36461</v>
      </c>
    </row>
    <row r="8911" spans="1:7">
      <c r="A8911" t="s">
        <v>36462</v>
      </c>
      <c r="B8911" t="s">
        <v>8607</v>
      </c>
      <c r="C8911" t="s">
        <v>27637</v>
      </c>
      <c r="F8911" t="s">
        <v>19234</v>
      </c>
      <c r="G8911" t="s">
        <v>36463</v>
      </c>
    </row>
    <row r="8912" spans="1:7">
      <c r="A8912" t="s">
        <v>36464</v>
      </c>
      <c r="B8912" t="s">
        <v>8607</v>
      </c>
      <c r="F8912" t="s">
        <v>29144</v>
      </c>
      <c r="G8912" t="s">
        <v>36465</v>
      </c>
    </row>
    <row r="8913" spans="1:7">
      <c r="A8913" t="s">
        <v>36466</v>
      </c>
      <c r="B8913" t="s">
        <v>8607</v>
      </c>
      <c r="F8913" t="s">
        <v>21225</v>
      </c>
      <c r="G8913" t="s">
        <v>36467</v>
      </c>
    </row>
    <row r="8914" spans="1:7">
      <c r="A8914" t="s">
        <v>36468</v>
      </c>
      <c r="B8914" t="s">
        <v>8607</v>
      </c>
      <c r="F8914" t="s">
        <v>30369</v>
      </c>
      <c r="G8914" t="s">
        <v>36469</v>
      </c>
    </row>
    <row r="8915" spans="1:7">
      <c r="A8915" t="s">
        <v>36470</v>
      </c>
      <c r="B8915" t="s">
        <v>8607</v>
      </c>
      <c r="G8915" t="s">
        <v>36471</v>
      </c>
    </row>
    <row r="8916" spans="1:7">
      <c r="A8916" t="s">
        <v>36472</v>
      </c>
      <c r="B8916" t="s">
        <v>8607</v>
      </c>
      <c r="F8916" t="s">
        <v>31397</v>
      </c>
      <c r="G8916" t="s">
        <v>36473</v>
      </c>
    </row>
    <row r="8917" spans="1:7">
      <c r="A8917" t="s">
        <v>36474</v>
      </c>
      <c r="B8917" t="s">
        <v>8607</v>
      </c>
      <c r="F8917" t="s">
        <v>25821</v>
      </c>
      <c r="G8917" t="s">
        <v>36475</v>
      </c>
    </row>
    <row r="8918" spans="1:7">
      <c r="A8918" t="s">
        <v>36476</v>
      </c>
      <c r="B8918" t="s">
        <v>8607</v>
      </c>
      <c r="G8918" t="s">
        <v>36477</v>
      </c>
    </row>
    <row r="8919" spans="1:7">
      <c r="A8919" t="s">
        <v>36478</v>
      </c>
      <c r="B8919" t="s">
        <v>8626</v>
      </c>
      <c r="F8919" t="s">
        <v>31363</v>
      </c>
      <c r="G8919" t="s">
        <v>36479</v>
      </c>
    </row>
    <row r="8920" spans="1:7">
      <c r="A8920" t="s">
        <v>36480</v>
      </c>
      <c r="B8920" t="s">
        <v>8607</v>
      </c>
      <c r="G8920" t="s">
        <v>36481</v>
      </c>
    </row>
    <row r="8921" spans="1:7">
      <c r="A8921" t="s">
        <v>36482</v>
      </c>
      <c r="B8921" t="s">
        <v>8607</v>
      </c>
      <c r="G8921" t="s">
        <v>36483</v>
      </c>
    </row>
    <row r="8922" spans="1:7">
      <c r="A8922" t="s">
        <v>36484</v>
      </c>
      <c r="B8922" t="s">
        <v>8607</v>
      </c>
      <c r="G8922" t="s">
        <v>36485</v>
      </c>
    </row>
    <row r="8923" spans="1:7">
      <c r="A8923" t="s">
        <v>36486</v>
      </c>
      <c r="B8923" t="s">
        <v>8607</v>
      </c>
      <c r="G8923" t="s">
        <v>36487</v>
      </c>
    </row>
    <row r="8924" spans="1:7">
      <c r="A8924" t="s">
        <v>36488</v>
      </c>
      <c r="B8924" t="s">
        <v>8607</v>
      </c>
      <c r="G8924" t="s">
        <v>36489</v>
      </c>
    </row>
    <row r="8925" spans="1:7">
      <c r="A8925" t="s">
        <v>36490</v>
      </c>
      <c r="B8925" t="s">
        <v>8607</v>
      </c>
      <c r="C8925" t="s">
        <v>31374</v>
      </c>
      <c r="F8925" t="s">
        <v>21225</v>
      </c>
      <c r="G8925" t="s">
        <v>31375</v>
      </c>
    </row>
    <row r="8926" spans="1:7">
      <c r="A8926" t="s">
        <v>36491</v>
      </c>
      <c r="B8926" t="s">
        <v>8607</v>
      </c>
      <c r="F8926" t="s">
        <v>36492</v>
      </c>
      <c r="G8926" t="s">
        <v>36493</v>
      </c>
    </row>
    <row r="8927" spans="1:7">
      <c r="A8927" t="s">
        <v>36494</v>
      </c>
      <c r="B8927" t="s">
        <v>8607</v>
      </c>
      <c r="F8927" t="s">
        <v>36495</v>
      </c>
      <c r="G8927" t="s">
        <v>36496</v>
      </c>
    </row>
    <row r="8928" spans="1:7">
      <c r="A8928" t="s">
        <v>36497</v>
      </c>
      <c r="B8928" t="s">
        <v>8607</v>
      </c>
      <c r="G8928" t="s">
        <v>36498</v>
      </c>
    </row>
    <row r="8929" spans="1:7">
      <c r="A8929" t="s">
        <v>36499</v>
      </c>
      <c r="B8929" t="s">
        <v>8607</v>
      </c>
      <c r="G8929" t="s">
        <v>36498</v>
      </c>
    </row>
    <row r="8930" spans="1:7">
      <c r="A8930" t="s">
        <v>36500</v>
      </c>
      <c r="B8930" t="s">
        <v>8607</v>
      </c>
      <c r="F8930" t="s">
        <v>32256</v>
      </c>
      <c r="G8930" t="s">
        <v>36501</v>
      </c>
    </row>
    <row r="8931" spans="1:7">
      <c r="A8931" t="s">
        <v>36502</v>
      </c>
      <c r="B8931" t="s">
        <v>8626</v>
      </c>
      <c r="G8931" t="s">
        <v>36503</v>
      </c>
    </row>
    <row r="8932" spans="1:7">
      <c r="A8932" t="s">
        <v>36504</v>
      </c>
      <c r="B8932" t="s">
        <v>8626</v>
      </c>
      <c r="F8932" t="s">
        <v>36505</v>
      </c>
      <c r="G8932" t="s">
        <v>36506</v>
      </c>
    </row>
    <row r="8933" spans="1:7">
      <c r="A8933" t="s">
        <v>36507</v>
      </c>
      <c r="B8933" t="s">
        <v>8607</v>
      </c>
      <c r="F8933" t="s">
        <v>8623</v>
      </c>
      <c r="G8933" t="s">
        <v>36508</v>
      </c>
    </row>
    <row r="8934" spans="1:7">
      <c r="A8934" t="s">
        <v>36509</v>
      </c>
      <c r="B8934" t="s">
        <v>8607</v>
      </c>
      <c r="F8934" t="s">
        <v>26264</v>
      </c>
      <c r="G8934" t="s">
        <v>36510</v>
      </c>
    </row>
    <row r="8935" spans="1:7">
      <c r="A8935" t="s">
        <v>36511</v>
      </c>
      <c r="B8935" t="s">
        <v>8626</v>
      </c>
      <c r="F8935" t="s">
        <v>10356</v>
      </c>
      <c r="G8935" t="s">
        <v>26767</v>
      </c>
    </row>
    <row r="8936" spans="1:7">
      <c r="A8936" t="s">
        <v>36512</v>
      </c>
      <c r="B8936" t="s">
        <v>8626</v>
      </c>
      <c r="F8936" t="s">
        <v>13761</v>
      </c>
      <c r="G8936" t="s">
        <v>36513</v>
      </c>
    </row>
    <row r="8937" spans="1:7">
      <c r="A8937" t="s">
        <v>36514</v>
      </c>
      <c r="B8937" t="s">
        <v>8607</v>
      </c>
      <c r="F8937" t="s">
        <v>26751</v>
      </c>
      <c r="G8937" t="s">
        <v>26752</v>
      </c>
    </row>
    <row r="8938" spans="1:7">
      <c r="A8938" t="s">
        <v>36515</v>
      </c>
      <c r="B8938" t="s">
        <v>8607</v>
      </c>
      <c r="F8938" t="s">
        <v>26754</v>
      </c>
      <c r="G8938" t="s">
        <v>31992</v>
      </c>
    </row>
    <row r="8939" spans="1:7">
      <c r="A8939" t="s">
        <v>36516</v>
      </c>
      <c r="B8939" t="s">
        <v>8626</v>
      </c>
      <c r="G8939" t="s">
        <v>31994</v>
      </c>
    </row>
    <row r="8940" spans="1:7">
      <c r="A8940" t="s">
        <v>36517</v>
      </c>
      <c r="B8940" t="s">
        <v>8607</v>
      </c>
      <c r="F8940" t="s">
        <v>18777</v>
      </c>
      <c r="G8940" t="s">
        <v>36518</v>
      </c>
    </row>
    <row r="8941" spans="1:7">
      <c r="A8941" t="s">
        <v>36519</v>
      </c>
      <c r="B8941" t="s">
        <v>8626</v>
      </c>
      <c r="F8941" t="s">
        <v>9018</v>
      </c>
      <c r="G8941" t="s">
        <v>36520</v>
      </c>
    </row>
    <row r="8942" spans="1:7">
      <c r="A8942" t="s">
        <v>36521</v>
      </c>
      <c r="B8942" t="s">
        <v>8626</v>
      </c>
      <c r="F8942" t="s">
        <v>29700</v>
      </c>
      <c r="G8942" t="s">
        <v>36522</v>
      </c>
    </row>
    <row r="8943" spans="1:7">
      <c r="A8943" t="s">
        <v>36523</v>
      </c>
      <c r="B8943" t="s">
        <v>8607</v>
      </c>
      <c r="G8943" t="s">
        <v>27713</v>
      </c>
    </row>
    <row r="8944" spans="1:7">
      <c r="A8944" t="s">
        <v>36524</v>
      </c>
      <c r="B8944" t="s">
        <v>8607</v>
      </c>
      <c r="F8944" t="s">
        <v>36525</v>
      </c>
      <c r="G8944" t="s">
        <v>36526</v>
      </c>
    </row>
    <row r="8945" spans="1:7">
      <c r="A8945" t="s">
        <v>36527</v>
      </c>
      <c r="B8945" t="s">
        <v>8607</v>
      </c>
      <c r="C8945" t="s">
        <v>28071</v>
      </c>
      <c r="F8945" t="s">
        <v>17327</v>
      </c>
      <c r="G8945" t="s">
        <v>28072</v>
      </c>
    </row>
    <row r="8946" spans="1:7">
      <c r="A8946" t="s">
        <v>36528</v>
      </c>
      <c r="B8946" t="s">
        <v>8626</v>
      </c>
      <c r="F8946" t="s">
        <v>17331</v>
      </c>
      <c r="G8946" t="s">
        <v>17847</v>
      </c>
    </row>
    <row r="8947" spans="1:7">
      <c r="A8947" t="s">
        <v>36529</v>
      </c>
      <c r="B8947" t="s">
        <v>8607</v>
      </c>
      <c r="G8947" t="s">
        <v>36530</v>
      </c>
    </row>
    <row r="8948" spans="1:7">
      <c r="A8948" t="s">
        <v>36531</v>
      </c>
      <c r="B8948" t="s">
        <v>8607</v>
      </c>
      <c r="G8948" t="s">
        <v>36532</v>
      </c>
    </row>
    <row r="8949" spans="1:7">
      <c r="A8949" t="s">
        <v>36533</v>
      </c>
      <c r="B8949" t="s">
        <v>8607</v>
      </c>
      <c r="F8949" t="s">
        <v>36534</v>
      </c>
      <c r="G8949" t="s">
        <v>36535</v>
      </c>
    </row>
    <row r="8950" spans="1:7">
      <c r="A8950" t="s">
        <v>36536</v>
      </c>
      <c r="B8950" t="s">
        <v>8626</v>
      </c>
      <c r="G8950" t="s">
        <v>36537</v>
      </c>
    </row>
    <row r="8951" spans="1:7">
      <c r="A8951" t="s">
        <v>36538</v>
      </c>
      <c r="B8951" t="s">
        <v>8607</v>
      </c>
      <c r="F8951" t="s">
        <v>34739</v>
      </c>
      <c r="G8951" t="s">
        <v>36539</v>
      </c>
    </row>
    <row r="8952" spans="1:7">
      <c r="A8952" t="s">
        <v>36540</v>
      </c>
      <c r="B8952" t="s">
        <v>8607</v>
      </c>
      <c r="C8952" t="s">
        <v>27078</v>
      </c>
      <c r="F8952" t="s">
        <v>19996</v>
      </c>
      <c r="G8952" t="s">
        <v>34742</v>
      </c>
    </row>
    <row r="8953" spans="1:7">
      <c r="A8953" t="s">
        <v>36541</v>
      </c>
      <c r="B8953" t="s">
        <v>8607</v>
      </c>
      <c r="F8953" t="s">
        <v>31135</v>
      </c>
      <c r="G8953" t="s">
        <v>36542</v>
      </c>
    </row>
    <row r="8954" spans="1:7">
      <c r="A8954" t="s">
        <v>36543</v>
      </c>
      <c r="B8954" t="s">
        <v>8607</v>
      </c>
      <c r="F8954" t="s">
        <v>36544</v>
      </c>
      <c r="G8954" t="s">
        <v>36545</v>
      </c>
    </row>
    <row r="8955" spans="1:7">
      <c r="A8955" t="s">
        <v>36546</v>
      </c>
      <c r="B8955" t="s">
        <v>8607</v>
      </c>
      <c r="F8955" t="s">
        <v>26751</v>
      </c>
      <c r="G8955" t="s">
        <v>32307</v>
      </c>
    </row>
    <row r="8956" spans="1:7">
      <c r="A8956" t="s">
        <v>36547</v>
      </c>
      <c r="B8956" t="s">
        <v>8607</v>
      </c>
      <c r="F8956" t="s">
        <v>26754</v>
      </c>
      <c r="G8956" t="s">
        <v>29669</v>
      </c>
    </row>
    <row r="8957" spans="1:7">
      <c r="A8957" t="s">
        <v>36548</v>
      </c>
      <c r="B8957" t="s">
        <v>8607</v>
      </c>
      <c r="C8957" t="s">
        <v>30473</v>
      </c>
      <c r="F8957" t="s">
        <v>27253</v>
      </c>
      <c r="G8957" t="s">
        <v>36549</v>
      </c>
    </row>
    <row r="8958" spans="1:7">
      <c r="A8958" t="s">
        <v>36550</v>
      </c>
      <c r="B8958" t="s">
        <v>8607</v>
      </c>
      <c r="F8958" t="s">
        <v>36551</v>
      </c>
      <c r="G8958" t="s">
        <v>36552</v>
      </c>
    </row>
    <row r="8959" spans="1:7">
      <c r="A8959" t="s">
        <v>36553</v>
      </c>
      <c r="B8959" t="s">
        <v>8607</v>
      </c>
      <c r="F8959" t="s">
        <v>26764</v>
      </c>
      <c r="G8959" t="s">
        <v>32302</v>
      </c>
    </row>
    <row r="8960" spans="1:7">
      <c r="A8960" t="s">
        <v>36554</v>
      </c>
      <c r="B8960" t="s">
        <v>8607</v>
      </c>
      <c r="F8960" t="s">
        <v>26075</v>
      </c>
      <c r="G8960" t="s">
        <v>36555</v>
      </c>
    </row>
    <row r="8961" spans="1:7">
      <c r="A8961" t="s">
        <v>36556</v>
      </c>
      <c r="B8961" t="s">
        <v>8607</v>
      </c>
      <c r="F8961" t="s">
        <v>26304</v>
      </c>
      <c r="G8961" t="s">
        <v>36557</v>
      </c>
    </row>
    <row r="8962" spans="1:7">
      <c r="A8962" t="s">
        <v>36558</v>
      </c>
      <c r="B8962" t="s">
        <v>8607</v>
      </c>
      <c r="F8962" t="s">
        <v>10356</v>
      </c>
      <c r="G8962" t="s">
        <v>36559</v>
      </c>
    </row>
    <row r="8963" spans="1:7">
      <c r="A8963" t="s">
        <v>36560</v>
      </c>
      <c r="B8963" t="s">
        <v>8607</v>
      </c>
      <c r="F8963" t="s">
        <v>34643</v>
      </c>
      <c r="G8963" t="s">
        <v>34644</v>
      </c>
    </row>
    <row r="8964" spans="1:7">
      <c r="A8964" t="s">
        <v>36561</v>
      </c>
      <c r="B8964" t="s">
        <v>8607</v>
      </c>
      <c r="G8964" t="s">
        <v>33991</v>
      </c>
    </row>
    <row r="8965" spans="1:7">
      <c r="A8965" t="s">
        <v>36562</v>
      </c>
      <c r="B8965" t="s">
        <v>8607</v>
      </c>
      <c r="F8965" t="s">
        <v>9835</v>
      </c>
      <c r="G8965" t="s">
        <v>33980</v>
      </c>
    </row>
    <row r="8966" spans="1:7">
      <c r="A8966" t="s">
        <v>36563</v>
      </c>
      <c r="B8966" t="s">
        <v>8607</v>
      </c>
      <c r="F8966" t="s">
        <v>33965</v>
      </c>
      <c r="G8966" t="s">
        <v>33982</v>
      </c>
    </row>
    <row r="8967" spans="1:7">
      <c r="A8967" t="s">
        <v>36564</v>
      </c>
      <c r="B8967" t="s">
        <v>8607</v>
      </c>
      <c r="F8967" t="s">
        <v>18667</v>
      </c>
      <c r="G8967" t="s">
        <v>28783</v>
      </c>
    </row>
    <row r="8968" spans="1:7">
      <c r="A8968" t="s">
        <v>36565</v>
      </c>
      <c r="B8968" t="s">
        <v>8607</v>
      </c>
      <c r="F8968" t="s">
        <v>28500</v>
      </c>
      <c r="G8968" t="s">
        <v>36566</v>
      </c>
    </row>
    <row r="8969" spans="1:7">
      <c r="A8969" t="s">
        <v>36567</v>
      </c>
      <c r="G8969" t="s">
        <v>34239</v>
      </c>
    </row>
    <row r="8970" spans="1:7">
      <c r="A8970" t="s">
        <v>36568</v>
      </c>
      <c r="B8970" t="s">
        <v>8607</v>
      </c>
      <c r="G8970" t="s">
        <v>33987</v>
      </c>
    </row>
    <row r="8971" spans="1:7">
      <c r="A8971" t="s">
        <v>36569</v>
      </c>
      <c r="B8971" t="s">
        <v>8607</v>
      </c>
      <c r="F8971" t="s">
        <v>17830</v>
      </c>
      <c r="G8971" t="s">
        <v>33989</v>
      </c>
    </row>
    <row r="8972" spans="1:7">
      <c r="A8972" t="s">
        <v>36570</v>
      </c>
      <c r="B8972" t="s">
        <v>8607</v>
      </c>
      <c r="F8972" t="s">
        <v>9018</v>
      </c>
      <c r="G8972" t="s">
        <v>30816</v>
      </c>
    </row>
    <row r="8973" spans="1:7">
      <c r="A8973" t="s">
        <v>36571</v>
      </c>
      <c r="B8973" t="s">
        <v>8626</v>
      </c>
      <c r="F8973" t="s">
        <v>26127</v>
      </c>
      <c r="G8973" t="s">
        <v>36572</v>
      </c>
    </row>
    <row r="8974" spans="1:7">
      <c r="A8974" t="s">
        <v>36573</v>
      </c>
      <c r="B8974" t="s">
        <v>8607</v>
      </c>
      <c r="G8974" t="s">
        <v>26570</v>
      </c>
    </row>
    <row r="8975" spans="1:7">
      <c r="A8975" t="s">
        <v>36574</v>
      </c>
      <c r="B8975" t="s">
        <v>8607</v>
      </c>
      <c r="G8975" t="s">
        <v>26572</v>
      </c>
    </row>
    <row r="8976" spans="1:7">
      <c r="A8976" t="s">
        <v>36575</v>
      </c>
      <c r="B8976" t="s">
        <v>8607</v>
      </c>
      <c r="G8976" t="s">
        <v>26628</v>
      </c>
    </row>
    <row r="8977" spans="1:7">
      <c r="A8977" t="s">
        <v>36576</v>
      </c>
      <c r="B8977" t="s">
        <v>8607</v>
      </c>
      <c r="G8977" t="s">
        <v>22411</v>
      </c>
    </row>
    <row r="8978" spans="1:7">
      <c r="A8978" t="s">
        <v>36577</v>
      </c>
      <c r="B8978" t="s">
        <v>8607</v>
      </c>
      <c r="G8978" t="s">
        <v>27206</v>
      </c>
    </row>
    <row r="8979" spans="1:7">
      <c r="A8979" t="s">
        <v>36578</v>
      </c>
      <c r="B8979" t="s">
        <v>8607</v>
      </c>
      <c r="G8979" t="s">
        <v>36579</v>
      </c>
    </row>
    <row r="8980" spans="1:7">
      <c r="A8980" t="s">
        <v>36580</v>
      </c>
      <c r="B8980" t="s">
        <v>8626</v>
      </c>
      <c r="F8980" t="s">
        <v>36581</v>
      </c>
      <c r="G8980" t="s">
        <v>36582</v>
      </c>
    </row>
    <row r="8981" spans="1:7">
      <c r="A8981" t="s">
        <v>36583</v>
      </c>
      <c r="B8981" t="s">
        <v>8607</v>
      </c>
      <c r="F8981" t="s">
        <v>17760</v>
      </c>
      <c r="G8981" t="s">
        <v>26415</v>
      </c>
    </row>
    <row r="8982" spans="1:7">
      <c r="A8982" t="s">
        <v>36584</v>
      </c>
      <c r="B8982" t="s">
        <v>8607</v>
      </c>
      <c r="F8982" t="s">
        <v>33207</v>
      </c>
      <c r="G8982" t="s">
        <v>33208</v>
      </c>
    </row>
    <row r="8983" spans="1:7">
      <c r="A8983" t="s">
        <v>36585</v>
      </c>
      <c r="B8983" t="s">
        <v>8607</v>
      </c>
      <c r="F8983" t="s">
        <v>34786</v>
      </c>
      <c r="G8983" t="s">
        <v>36015</v>
      </c>
    </row>
    <row r="8984" spans="1:7">
      <c r="A8984" t="s">
        <v>36586</v>
      </c>
      <c r="B8984" t="s">
        <v>8607</v>
      </c>
      <c r="F8984" t="s">
        <v>27423</v>
      </c>
      <c r="G8984" t="s">
        <v>36587</v>
      </c>
    </row>
    <row r="8985" spans="1:7">
      <c r="A8985" t="s">
        <v>36588</v>
      </c>
      <c r="B8985" t="s">
        <v>8607</v>
      </c>
      <c r="F8985" t="s">
        <v>26717</v>
      </c>
      <c r="G8985" t="s">
        <v>33214</v>
      </c>
    </row>
    <row r="8986" spans="1:7">
      <c r="A8986" t="s">
        <v>36589</v>
      </c>
      <c r="B8986" t="s">
        <v>8607</v>
      </c>
      <c r="F8986" t="s">
        <v>26717</v>
      </c>
      <c r="G8986" t="s">
        <v>36590</v>
      </c>
    </row>
    <row r="8987" spans="1:7">
      <c r="A8987" t="s">
        <v>36591</v>
      </c>
      <c r="B8987" t="s">
        <v>8607</v>
      </c>
      <c r="F8987" t="s">
        <v>36592</v>
      </c>
      <c r="G8987" t="s">
        <v>36593</v>
      </c>
    </row>
    <row r="8988" spans="1:7">
      <c r="A8988" t="s">
        <v>36594</v>
      </c>
      <c r="B8988" t="s">
        <v>8607</v>
      </c>
      <c r="G8988" t="s">
        <v>30529</v>
      </c>
    </row>
    <row r="8989" spans="1:7">
      <c r="A8989" t="s">
        <v>36595</v>
      </c>
      <c r="B8989" t="s">
        <v>8607</v>
      </c>
      <c r="F8989" t="s">
        <v>26207</v>
      </c>
      <c r="G8989" t="s">
        <v>36596</v>
      </c>
    </row>
    <row r="8990" spans="1:7">
      <c r="A8990" t="s">
        <v>36597</v>
      </c>
      <c r="B8990" t="s">
        <v>8607</v>
      </c>
      <c r="F8990" t="s">
        <v>36598</v>
      </c>
      <c r="G8990" t="s">
        <v>36599</v>
      </c>
    </row>
    <row r="8991" spans="1:7">
      <c r="A8991" t="s">
        <v>36600</v>
      </c>
      <c r="B8991" t="s">
        <v>8607</v>
      </c>
      <c r="F8991" t="s">
        <v>28159</v>
      </c>
      <c r="G8991" t="s">
        <v>36601</v>
      </c>
    </row>
    <row r="8992" spans="1:7">
      <c r="A8992" t="s">
        <v>36602</v>
      </c>
      <c r="B8992" t="s">
        <v>8607</v>
      </c>
      <c r="F8992" t="s">
        <v>17349</v>
      </c>
      <c r="G8992" t="s">
        <v>36603</v>
      </c>
    </row>
    <row r="8993" spans="1:7">
      <c r="A8993" t="s">
        <v>36604</v>
      </c>
      <c r="B8993" t="s">
        <v>8607</v>
      </c>
      <c r="F8993" t="s">
        <v>36605</v>
      </c>
      <c r="G8993" t="s">
        <v>36606</v>
      </c>
    </row>
    <row r="8994" spans="1:7">
      <c r="A8994" t="s">
        <v>36607</v>
      </c>
      <c r="B8994" t="s">
        <v>8607</v>
      </c>
      <c r="F8994" t="s">
        <v>36608</v>
      </c>
      <c r="G8994" t="s">
        <v>36609</v>
      </c>
    </row>
    <row r="8995" spans="1:7">
      <c r="A8995" t="s">
        <v>36610</v>
      </c>
      <c r="B8995" t="s">
        <v>8607</v>
      </c>
      <c r="G8995" t="s">
        <v>30510</v>
      </c>
    </row>
    <row r="8996" spans="1:7">
      <c r="A8996" t="s">
        <v>36611</v>
      </c>
      <c r="B8996" t="s">
        <v>8607</v>
      </c>
      <c r="F8996" t="s">
        <v>34643</v>
      </c>
      <c r="G8996" t="s">
        <v>34644</v>
      </c>
    </row>
    <row r="8997" spans="1:7">
      <c r="A8997" t="s">
        <v>36612</v>
      </c>
      <c r="B8997" t="s">
        <v>8607</v>
      </c>
      <c r="G8997" t="s">
        <v>36613</v>
      </c>
    </row>
    <row r="8998" spans="1:7">
      <c r="A8998" t="s">
        <v>36614</v>
      </c>
      <c r="B8998" t="s">
        <v>8607</v>
      </c>
      <c r="G8998" t="s">
        <v>36615</v>
      </c>
    </row>
    <row r="8999" spans="1:7">
      <c r="A8999" t="s">
        <v>36616</v>
      </c>
      <c r="B8999" t="s">
        <v>8607</v>
      </c>
      <c r="F8999" t="s">
        <v>30195</v>
      </c>
      <c r="G8999" t="s">
        <v>30196</v>
      </c>
    </row>
    <row r="9000" spans="1:7">
      <c r="A9000" t="s">
        <v>36617</v>
      </c>
      <c r="B9000" t="s">
        <v>8607</v>
      </c>
      <c r="C9000" t="s">
        <v>24008</v>
      </c>
      <c r="F9000" t="s">
        <v>17305</v>
      </c>
      <c r="G9000" t="s">
        <v>33304</v>
      </c>
    </row>
    <row r="9001" spans="1:7">
      <c r="A9001" t="s">
        <v>36618</v>
      </c>
      <c r="B9001" t="s">
        <v>8607</v>
      </c>
      <c r="C9001" t="s">
        <v>27410</v>
      </c>
      <c r="F9001" t="s">
        <v>27411</v>
      </c>
      <c r="G9001" t="s">
        <v>36619</v>
      </c>
    </row>
    <row r="9002" spans="1:7">
      <c r="A9002" t="s">
        <v>36620</v>
      </c>
      <c r="B9002" t="s">
        <v>8607</v>
      </c>
      <c r="G9002" t="s">
        <v>35975</v>
      </c>
    </row>
    <row r="9003" spans="1:7">
      <c r="A9003" t="s">
        <v>36621</v>
      </c>
      <c r="B9003" t="s">
        <v>8607</v>
      </c>
      <c r="C9003" t="s">
        <v>29464</v>
      </c>
      <c r="F9003" t="s">
        <v>26091</v>
      </c>
      <c r="G9003" t="s">
        <v>30033</v>
      </c>
    </row>
    <row r="9004" spans="1:7">
      <c r="A9004" t="s">
        <v>36622</v>
      </c>
      <c r="B9004" t="s">
        <v>8607</v>
      </c>
      <c r="C9004" t="s">
        <v>26119</v>
      </c>
      <c r="F9004" t="s">
        <v>26120</v>
      </c>
      <c r="G9004" t="s">
        <v>36623</v>
      </c>
    </row>
    <row r="9005" spans="1:7">
      <c r="A9005" t="s">
        <v>36624</v>
      </c>
      <c r="B9005" t="s">
        <v>8607</v>
      </c>
      <c r="C9005" t="s">
        <v>26661</v>
      </c>
      <c r="F9005" t="s">
        <v>26365</v>
      </c>
      <c r="G9005" t="s">
        <v>36625</v>
      </c>
    </row>
    <row r="9006" spans="1:7">
      <c r="A9006" t="s">
        <v>36626</v>
      </c>
      <c r="B9006" t="s">
        <v>8626</v>
      </c>
      <c r="F9006" t="s">
        <v>30239</v>
      </c>
      <c r="G9006" t="s">
        <v>32382</v>
      </c>
    </row>
    <row r="9007" spans="1:7">
      <c r="A9007" t="s">
        <v>36627</v>
      </c>
      <c r="B9007" t="s">
        <v>8626</v>
      </c>
      <c r="F9007" t="s">
        <v>28418</v>
      </c>
      <c r="G9007" t="s">
        <v>35417</v>
      </c>
    </row>
    <row r="9008" spans="1:7">
      <c r="A9008" t="s">
        <v>36628</v>
      </c>
      <c r="B9008" t="s">
        <v>8626</v>
      </c>
      <c r="F9008" t="s">
        <v>19974</v>
      </c>
      <c r="G9008" t="s">
        <v>36629</v>
      </c>
    </row>
    <row r="9009" spans="1:7">
      <c r="A9009" t="s">
        <v>36630</v>
      </c>
      <c r="B9009" t="s">
        <v>8626</v>
      </c>
      <c r="F9009" t="s">
        <v>26841</v>
      </c>
      <c r="G9009" t="s">
        <v>26130</v>
      </c>
    </row>
    <row r="9010" spans="1:7">
      <c r="A9010" t="s">
        <v>36631</v>
      </c>
      <c r="B9010" t="s">
        <v>8607</v>
      </c>
      <c r="G9010" t="s">
        <v>33334</v>
      </c>
    </row>
    <row r="9011" spans="1:7">
      <c r="A9011" t="s">
        <v>36632</v>
      </c>
      <c r="B9011" t="s">
        <v>8626</v>
      </c>
      <c r="G9011" t="s">
        <v>36629</v>
      </c>
    </row>
    <row r="9012" spans="1:7">
      <c r="A9012" t="s">
        <v>36633</v>
      </c>
      <c r="B9012" t="s">
        <v>8626</v>
      </c>
      <c r="F9012" t="s">
        <v>28410</v>
      </c>
      <c r="G9012" t="s">
        <v>36634</v>
      </c>
    </row>
    <row r="9013" spans="1:7">
      <c r="A9013" t="s">
        <v>36635</v>
      </c>
      <c r="B9013" t="s">
        <v>8626</v>
      </c>
      <c r="F9013" t="s">
        <v>27384</v>
      </c>
      <c r="G9013" t="s">
        <v>36636</v>
      </c>
    </row>
    <row r="9014" spans="1:7">
      <c r="A9014" t="s">
        <v>36637</v>
      </c>
      <c r="B9014" t="s">
        <v>8626</v>
      </c>
      <c r="F9014" t="s">
        <v>17779</v>
      </c>
      <c r="G9014" t="s">
        <v>27387</v>
      </c>
    </row>
    <row r="9015" spans="1:7">
      <c r="A9015" t="s">
        <v>36638</v>
      </c>
      <c r="B9015" t="s">
        <v>8607</v>
      </c>
      <c r="F9015" t="s">
        <v>26485</v>
      </c>
      <c r="G9015" t="s">
        <v>32148</v>
      </c>
    </row>
    <row r="9016" spans="1:7">
      <c r="A9016" t="s">
        <v>36639</v>
      </c>
      <c r="B9016" t="s">
        <v>8626</v>
      </c>
      <c r="F9016" t="s">
        <v>32311</v>
      </c>
      <c r="G9016" t="s">
        <v>32312</v>
      </c>
    </row>
    <row r="9017" spans="1:7">
      <c r="A9017" t="s">
        <v>36640</v>
      </c>
      <c r="G9017" t="s">
        <v>36641</v>
      </c>
    </row>
    <row r="9018" spans="1:7">
      <c r="A9018" t="s">
        <v>36642</v>
      </c>
      <c r="B9018" t="s">
        <v>8607</v>
      </c>
      <c r="G9018" t="s">
        <v>36643</v>
      </c>
    </row>
    <row r="9019" spans="1:7">
      <c r="A9019" t="s">
        <v>36644</v>
      </c>
      <c r="B9019" t="s">
        <v>8626</v>
      </c>
      <c r="F9019" t="s">
        <v>36645</v>
      </c>
      <c r="G9019" t="s">
        <v>36646</v>
      </c>
    </row>
    <row r="9020" spans="1:7">
      <c r="A9020" t="s">
        <v>36647</v>
      </c>
      <c r="B9020" t="s">
        <v>8626</v>
      </c>
      <c r="F9020" t="s">
        <v>36648</v>
      </c>
      <c r="G9020" t="s">
        <v>36649</v>
      </c>
    </row>
    <row r="9021" spans="1:7">
      <c r="A9021" t="s">
        <v>36650</v>
      </c>
      <c r="G9021" t="s">
        <v>36651</v>
      </c>
    </row>
    <row r="9022" spans="1:7">
      <c r="A9022" t="s">
        <v>36652</v>
      </c>
      <c r="B9022" t="s">
        <v>8607</v>
      </c>
      <c r="F9022" t="s">
        <v>8623</v>
      </c>
      <c r="G9022" t="s">
        <v>36653</v>
      </c>
    </row>
    <row r="9023" spans="1:7">
      <c r="A9023" t="s">
        <v>36654</v>
      </c>
      <c r="B9023" t="s">
        <v>8607</v>
      </c>
      <c r="G9023" t="s">
        <v>26278</v>
      </c>
    </row>
    <row r="9024" spans="1:7">
      <c r="A9024" t="s">
        <v>36655</v>
      </c>
      <c r="B9024" t="s">
        <v>8626</v>
      </c>
      <c r="F9024" t="s">
        <v>26725</v>
      </c>
      <c r="G9024" t="s">
        <v>31627</v>
      </c>
    </row>
    <row r="9025" spans="1:7">
      <c r="A9025" t="s">
        <v>36656</v>
      </c>
      <c r="B9025" t="s">
        <v>8607</v>
      </c>
      <c r="G9025" t="s">
        <v>36657</v>
      </c>
    </row>
    <row r="9026" spans="1:7">
      <c r="A9026" t="s">
        <v>36658</v>
      </c>
      <c r="B9026" t="s">
        <v>8607</v>
      </c>
      <c r="G9026" t="s">
        <v>36659</v>
      </c>
    </row>
    <row r="9027" spans="1:7">
      <c r="A9027" t="s">
        <v>36660</v>
      </c>
      <c r="B9027" t="s">
        <v>8607</v>
      </c>
      <c r="F9027" t="s">
        <v>30239</v>
      </c>
      <c r="G9027" t="s">
        <v>30240</v>
      </c>
    </row>
    <row r="9028" spans="1:7">
      <c r="A9028" t="s">
        <v>36661</v>
      </c>
      <c r="B9028" t="s">
        <v>8607</v>
      </c>
      <c r="G9028" t="s">
        <v>36662</v>
      </c>
    </row>
    <row r="9029" spans="1:7">
      <c r="A9029" t="s">
        <v>36663</v>
      </c>
      <c r="B9029" t="s">
        <v>8607</v>
      </c>
      <c r="G9029" t="s">
        <v>36664</v>
      </c>
    </row>
    <row r="9030" spans="1:7">
      <c r="A9030" t="s">
        <v>36665</v>
      </c>
      <c r="B9030" t="s">
        <v>8607</v>
      </c>
      <c r="G9030" t="s">
        <v>36666</v>
      </c>
    </row>
    <row r="9031" spans="1:7">
      <c r="A9031" t="s">
        <v>36667</v>
      </c>
      <c r="B9031" t="s">
        <v>8626</v>
      </c>
      <c r="F9031" t="s">
        <v>29724</v>
      </c>
      <c r="G9031" t="s">
        <v>36668</v>
      </c>
    </row>
    <row r="9032" spans="1:7">
      <c r="A9032" t="s">
        <v>36669</v>
      </c>
      <c r="B9032" t="s">
        <v>8607</v>
      </c>
      <c r="G9032" t="s">
        <v>36670</v>
      </c>
    </row>
    <row r="9033" spans="1:7">
      <c r="A9033" t="s">
        <v>36671</v>
      </c>
      <c r="B9033" t="s">
        <v>8607</v>
      </c>
      <c r="F9033" t="s">
        <v>36672</v>
      </c>
      <c r="G9033" t="s">
        <v>36673</v>
      </c>
    </row>
    <row r="9034" spans="1:7">
      <c r="A9034" t="s">
        <v>36674</v>
      </c>
      <c r="B9034" t="s">
        <v>8607</v>
      </c>
      <c r="F9034" t="s">
        <v>36675</v>
      </c>
      <c r="G9034" t="s">
        <v>36676</v>
      </c>
    </row>
    <row r="9035" spans="1:7">
      <c r="A9035" t="s">
        <v>36677</v>
      </c>
      <c r="B9035" t="s">
        <v>8626</v>
      </c>
      <c r="F9035" t="s">
        <v>22402</v>
      </c>
      <c r="G9035" t="s">
        <v>36678</v>
      </c>
    </row>
    <row r="9036" spans="1:7">
      <c r="A9036" t="s">
        <v>36679</v>
      </c>
      <c r="B9036" t="s">
        <v>8607</v>
      </c>
      <c r="G9036" t="s">
        <v>36680</v>
      </c>
    </row>
    <row r="9037" spans="1:7">
      <c r="A9037" t="s">
        <v>36681</v>
      </c>
      <c r="B9037" t="s">
        <v>8607</v>
      </c>
      <c r="F9037" t="s">
        <v>9512</v>
      </c>
      <c r="G9037" t="s">
        <v>36682</v>
      </c>
    </row>
    <row r="9038" spans="1:7">
      <c r="A9038" t="s">
        <v>36683</v>
      </c>
      <c r="B9038" t="s">
        <v>8607</v>
      </c>
      <c r="G9038" t="s">
        <v>36684</v>
      </c>
    </row>
    <row r="9039" spans="1:7">
      <c r="A9039" t="s">
        <v>36685</v>
      </c>
      <c r="B9039" t="s">
        <v>8607</v>
      </c>
      <c r="F9039" t="s">
        <v>36686</v>
      </c>
      <c r="G9039" t="s">
        <v>36687</v>
      </c>
    </row>
    <row r="9040" spans="1:7">
      <c r="A9040" t="s">
        <v>36688</v>
      </c>
      <c r="G9040" t="s">
        <v>36689</v>
      </c>
    </row>
    <row r="9041" spans="1:7">
      <c r="A9041" t="s">
        <v>36690</v>
      </c>
      <c r="B9041" t="s">
        <v>8607</v>
      </c>
      <c r="G9041" t="s">
        <v>36691</v>
      </c>
    </row>
    <row r="9042" spans="1:7">
      <c r="A9042" t="s">
        <v>36692</v>
      </c>
      <c r="B9042" t="s">
        <v>8607</v>
      </c>
      <c r="F9042" t="s">
        <v>28461</v>
      </c>
      <c r="G9042" t="s">
        <v>35955</v>
      </c>
    </row>
    <row r="9043" spans="1:7">
      <c r="A9043" t="s">
        <v>36693</v>
      </c>
      <c r="B9043" t="s">
        <v>8607</v>
      </c>
      <c r="G9043" t="s">
        <v>36694</v>
      </c>
    </row>
    <row r="9044" spans="1:7">
      <c r="A9044" t="s">
        <v>36695</v>
      </c>
      <c r="B9044" t="s">
        <v>8607</v>
      </c>
      <c r="C9044" t="s">
        <v>26850</v>
      </c>
      <c r="F9044" t="s">
        <v>26176</v>
      </c>
      <c r="G9044" t="s">
        <v>36696</v>
      </c>
    </row>
    <row r="9045" spans="1:7">
      <c r="A9045" t="s">
        <v>36697</v>
      </c>
      <c r="B9045" t="s">
        <v>8607</v>
      </c>
      <c r="G9045" t="s">
        <v>36698</v>
      </c>
    </row>
    <row r="9046" spans="1:7">
      <c r="A9046" t="s">
        <v>36699</v>
      </c>
      <c r="B9046" t="s">
        <v>8607</v>
      </c>
      <c r="F9046" t="s">
        <v>21331</v>
      </c>
      <c r="G9046" t="s">
        <v>36700</v>
      </c>
    </row>
    <row r="9047" spans="1:7">
      <c r="A9047" t="s">
        <v>36701</v>
      </c>
      <c r="B9047" t="s">
        <v>8607</v>
      </c>
      <c r="G9047" t="s">
        <v>36702</v>
      </c>
    </row>
    <row r="9048" spans="1:7">
      <c r="A9048" t="s">
        <v>36703</v>
      </c>
      <c r="B9048" t="s">
        <v>8607</v>
      </c>
      <c r="G9048" t="s">
        <v>36704</v>
      </c>
    </row>
    <row r="9049" spans="1:7">
      <c r="A9049" t="s">
        <v>36705</v>
      </c>
      <c r="B9049" t="s">
        <v>8607</v>
      </c>
      <c r="F9049" t="s">
        <v>32787</v>
      </c>
      <c r="G9049" t="s">
        <v>36706</v>
      </c>
    </row>
    <row r="9050" spans="1:7">
      <c r="A9050" t="s">
        <v>36707</v>
      </c>
      <c r="B9050" t="s">
        <v>8607</v>
      </c>
      <c r="G9050" t="s">
        <v>36708</v>
      </c>
    </row>
    <row r="9051" spans="1:7">
      <c r="A9051" t="s">
        <v>36709</v>
      </c>
      <c r="B9051" t="s">
        <v>8607</v>
      </c>
      <c r="G9051" t="s">
        <v>36710</v>
      </c>
    </row>
    <row r="9052" spans="1:7">
      <c r="A9052" t="s">
        <v>36711</v>
      </c>
      <c r="B9052" t="s">
        <v>8607</v>
      </c>
      <c r="G9052" t="s">
        <v>36712</v>
      </c>
    </row>
    <row r="9053" spans="1:7">
      <c r="A9053" t="s">
        <v>36713</v>
      </c>
      <c r="B9053" t="s">
        <v>8607</v>
      </c>
      <c r="F9053" t="s">
        <v>17779</v>
      </c>
      <c r="G9053" t="s">
        <v>36714</v>
      </c>
    </row>
    <row r="9054" spans="1:7">
      <c r="A9054" t="s">
        <v>36715</v>
      </c>
      <c r="B9054" t="s">
        <v>8607</v>
      </c>
      <c r="G9054" t="s">
        <v>36716</v>
      </c>
    </row>
    <row r="9055" spans="1:7">
      <c r="A9055" t="s">
        <v>36717</v>
      </c>
      <c r="B9055" t="s">
        <v>8607</v>
      </c>
      <c r="G9055" t="s">
        <v>36718</v>
      </c>
    </row>
    <row r="9056" spans="1:7">
      <c r="A9056" t="s">
        <v>36719</v>
      </c>
      <c r="B9056" t="s">
        <v>8607</v>
      </c>
      <c r="G9056" t="s">
        <v>36720</v>
      </c>
    </row>
    <row r="9057" spans="1:7">
      <c r="A9057" t="s">
        <v>36721</v>
      </c>
      <c r="B9057" t="s">
        <v>8626</v>
      </c>
      <c r="G9057" t="s">
        <v>36722</v>
      </c>
    </row>
    <row r="9058" spans="1:7">
      <c r="A9058" t="s">
        <v>36723</v>
      </c>
      <c r="B9058" t="s">
        <v>8607</v>
      </c>
      <c r="F9058" t="s">
        <v>26588</v>
      </c>
      <c r="G9058" t="s">
        <v>26589</v>
      </c>
    </row>
    <row r="9059" spans="1:7">
      <c r="A9059" t="s">
        <v>36724</v>
      </c>
      <c r="B9059" t="s">
        <v>8607</v>
      </c>
      <c r="F9059" t="s">
        <v>31397</v>
      </c>
      <c r="G9059" t="s">
        <v>36725</v>
      </c>
    </row>
    <row r="9060" spans="1:7">
      <c r="A9060" t="s">
        <v>36726</v>
      </c>
      <c r="B9060" t="s">
        <v>8607</v>
      </c>
      <c r="F9060" t="s">
        <v>31357</v>
      </c>
      <c r="G9060" t="s">
        <v>36727</v>
      </c>
    </row>
    <row r="9061" spans="1:7">
      <c r="A9061" t="s">
        <v>36728</v>
      </c>
      <c r="B9061" t="s">
        <v>8607</v>
      </c>
      <c r="F9061" t="s">
        <v>31363</v>
      </c>
      <c r="G9061" t="s">
        <v>36729</v>
      </c>
    </row>
    <row r="9062" spans="1:7">
      <c r="A9062" t="s">
        <v>36730</v>
      </c>
      <c r="B9062" t="s">
        <v>8607</v>
      </c>
      <c r="F9062" t="s">
        <v>32656</v>
      </c>
      <c r="G9062" t="s">
        <v>36731</v>
      </c>
    </row>
    <row r="9063" spans="1:7">
      <c r="A9063" t="s">
        <v>36732</v>
      </c>
      <c r="B9063" t="s">
        <v>8607</v>
      </c>
      <c r="F9063" t="s">
        <v>32659</v>
      </c>
      <c r="G9063" t="s">
        <v>36733</v>
      </c>
    </row>
    <row r="9064" spans="1:7">
      <c r="A9064" t="s">
        <v>36734</v>
      </c>
      <c r="G9064" t="s">
        <v>36735</v>
      </c>
    </row>
    <row r="9065" spans="1:7">
      <c r="A9065" t="s">
        <v>36736</v>
      </c>
      <c r="B9065" t="s">
        <v>8607</v>
      </c>
      <c r="F9065" t="s">
        <v>32665</v>
      </c>
      <c r="G9065" t="s">
        <v>36737</v>
      </c>
    </row>
    <row r="9066" spans="1:7">
      <c r="A9066" t="s">
        <v>36738</v>
      </c>
      <c r="B9066" t="s">
        <v>8607</v>
      </c>
      <c r="F9066" t="s">
        <v>32668</v>
      </c>
      <c r="G9066" t="s">
        <v>36739</v>
      </c>
    </row>
    <row r="9067" spans="1:7">
      <c r="A9067" t="s">
        <v>36740</v>
      </c>
      <c r="B9067" t="s">
        <v>8607</v>
      </c>
      <c r="F9067" t="s">
        <v>25821</v>
      </c>
      <c r="G9067" t="s">
        <v>36741</v>
      </c>
    </row>
    <row r="9068" spans="1:7">
      <c r="A9068" t="s">
        <v>36742</v>
      </c>
      <c r="B9068" t="s">
        <v>8607</v>
      </c>
      <c r="F9068" t="s">
        <v>23796</v>
      </c>
      <c r="G9068" t="s">
        <v>35132</v>
      </c>
    </row>
    <row r="9069" spans="1:7">
      <c r="A9069" t="s">
        <v>36743</v>
      </c>
      <c r="B9069" t="s">
        <v>8607</v>
      </c>
      <c r="F9069" t="s">
        <v>29147</v>
      </c>
      <c r="G9069" t="s">
        <v>27715</v>
      </c>
    </row>
    <row r="9070" spans="1:7">
      <c r="A9070" t="s">
        <v>36744</v>
      </c>
      <c r="B9070" t="s">
        <v>8626</v>
      </c>
      <c r="F9070" t="s">
        <v>36745</v>
      </c>
      <c r="G9070" t="s">
        <v>36746</v>
      </c>
    </row>
    <row r="9071" spans="1:7">
      <c r="A9071" t="s">
        <v>36747</v>
      </c>
      <c r="B9071" t="s">
        <v>8626</v>
      </c>
      <c r="F9071" t="s">
        <v>23017</v>
      </c>
      <c r="G9071" t="s">
        <v>36748</v>
      </c>
    </row>
    <row r="9072" spans="1:7">
      <c r="A9072" t="s">
        <v>36749</v>
      </c>
      <c r="B9072" t="s">
        <v>8626</v>
      </c>
      <c r="C9072" t="s">
        <v>36750</v>
      </c>
      <c r="F9072" t="s">
        <v>23017</v>
      </c>
      <c r="G9072" t="s">
        <v>36751</v>
      </c>
    </row>
    <row r="9073" spans="1:7">
      <c r="A9073" t="s">
        <v>36752</v>
      </c>
      <c r="G9073" t="s">
        <v>36753</v>
      </c>
    </row>
    <row r="9074" spans="1:7">
      <c r="A9074" t="s">
        <v>36754</v>
      </c>
      <c r="B9074" t="s">
        <v>8626</v>
      </c>
      <c r="F9074" t="s">
        <v>36755</v>
      </c>
      <c r="G9074" t="s">
        <v>36756</v>
      </c>
    </row>
    <row r="9075" spans="1:7">
      <c r="A9075" t="s">
        <v>36757</v>
      </c>
      <c r="G9075" t="s">
        <v>36758</v>
      </c>
    </row>
    <row r="9076" spans="1:7">
      <c r="A9076" t="s">
        <v>36759</v>
      </c>
      <c r="B9076" t="s">
        <v>8607</v>
      </c>
      <c r="F9076" t="s">
        <v>9018</v>
      </c>
      <c r="G9076" t="s">
        <v>36760</v>
      </c>
    </row>
    <row r="9077" spans="1:7">
      <c r="A9077" t="s">
        <v>36761</v>
      </c>
      <c r="B9077" t="s">
        <v>8607</v>
      </c>
      <c r="F9077" t="s">
        <v>9473</v>
      </c>
      <c r="G9077" t="s">
        <v>36762</v>
      </c>
    </row>
    <row r="9078" spans="1:7">
      <c r="A9078" t="s">
        <v>36763</v>
      </c>
      <c r="B9078" t="s">
        <v>8607</v>
      </c>
      <c r="F9078" t="s">
        <v>23164</v>
      </c>
      <c r="G9078" t="s">
        <v>36764</v>
      </c>
    </row>
    <row r="9079" spans="1:7">
      <c r="A9079" t="s">
        <v>36765</v>
      </c>
      <c r="B9079" t="s">
        <v>8626</v>
      </c>
      <c r="F9079" t="s">
        <v>9018</v>
      </c>
      <c r="G9079" t="s">
        <v>36766</v>
      </c>
    </row>
    <row r="9080" spans="1:7">
      <c r="A9080" t="s">
        <v>36767</v>
      </c>
      <c r="G9080" t="s">
        <v>36768</v>
      </c>
    </row>
    <row r="9081" spans="1:7">
      <c r="A9081" t="s">
        <v>36769</v>
      </c>
      <c r="B9081" t="s">
        <v>8626</v>
      </c>
      <c r="F9081" t="s">
        <v>28798</v>
      </c>
      <c r="G9081" t="s">
        <v>36770</v>
      </c>
    </row>
    <row r="9082" spans="1:7">
      <c r="A9082" t="s">
        <v>36771</v>
      </c>
      <c r="B9082" t="s">
        <v>8607</v>
      </c>
      <c r="G9082" t="s">
        <v>36772</v>
      </c>
    </row>
    <row r="9083" spans="1:7">
      <c r="A9083" t="s">
        <v>36773</v>
      </c>
      <c r="G9083" t="s">
        <v>36774</v>
      </c>
    </row>
    <row r="9084" spans="1:7">
      <c r="A9084" t="s">
        <v>36775</v>
      </c>
      <c r="B9084" t="s">
        <v>8607</v>
      </c>
      <c r="F9084" t="s">
        <v>33242</v>
      </c>
      <c r="G9084" t="s">
        <v>36776</v>
      </c>
    </row>
    <row r="9085" spans="1:7">
      <c r="A9085" t="s">
        <v>36777</v>
      </c>
      <c r="B9085" t="s">
        <v>8607</v>
      </c>
      <c r="F9085" t="s">
        <v>26643</v>
      </c>
      <c r="G9085" t="s">
        <v>26644</v>
      </c>
    </row>
    <row r="9086" spans="1:7">
      <c r="A9086" t="s">
        <v>36778</v>
      </c>
      <c r="B9086" t="s">
        <v>8607</v>
      </c>
      <c r="F9086" t="s">
        <v>36779</v>
      </c>
      <c r="G9086" t="s">
        <v>36780</v>
      </c>
    </row>
    <row r="9087" spans="1:7">
      <c r="A9087" t="s">
        <v>36781</v>
      </c>
      <c r="B9087" t="s">
        <v>8607</v>
      </c>
      <c r="F9087" t="s">
        <v>30556</v>
      </c>
      <c r="G9087" t="s">
        <v>36782</v>
      </c>
    </row>
    <row r="9088" spans="1:7">
      <c r="A9088" t="s">
        <v>36783</v>
      </c>
      <c r="B9088" t="s">
        <v>8607</v>
      </c>
      <c r="F9088" t="s">
        <v>26230</v>
      </c>
      <c r="G9088" t="s">
        <v>36784</v>
      </c>
    </row>
    <row r="9089" spans="1:7">
      <c r="A9089" t="s">
        <v>36785</v>
      </c>
      <c r="B9089" t="s">
        <v>8607</v>
      </c>
      <c r="F9089" t="s">
        <v>26230</v>
      </c>
      <c r="G9089" t="s">
        <v>36784</v>
      </c>
    </row>
    <row r="9090" spans="1:7">
      <c r="A9090" t="s">
        <v>36786</v>
      </c>
      <c r="B9090" t="s">
        <v>8626</v>
      </c>
      <c r="F9090" t="s">
        <v>19537</v>
      </c>
      <c r="G9090" t="s">
        <v>36787</v>
      </c>
    </row>
    <row r="9091" spans="1:7">
      <c r="A9091" t="s">
        <v>36788</v>
      </c>
      <c r="B9091" t="s">
        <v>8607</v>
      </c>
      <c r="F9091" t="s">
        <v>9039</v>
      </c>
      <c r="G9091" t="s">
        <v>26646</v>
      </c>
    </row>
    <row r="9092" spans="1:7">
      <c r="A9092" t="s">
        <v>36789</v>
      </c>
      <c r="B9092" t="s">
        <v>8607</v>
      </c>
      <c r="F9092" t="s">
        <v>36790</v>
      </c>
      <c r="G9092" t="s">
        <v>36791</v>
      </c>
    </row>
    <row r="9093" spans="1:7">
      <c r="A9093" t="s">
        <v>36792</v>
      </c>
      <c r="B9093" t="s">
        <v>8626</v>
      </c>
      <c r="C9093" t="s">
        <v>15608</v>
      </c>
      <c r="F9093" t="s">
        <v>15609</v>
      </c>
      <c r="G9093" t="s">
        <v>36793</v>
      </c>
    </row>
    <row r="9094" spans="1:7">
      <c r="A9094" t="s">
        <v>36794</v>
      </c>
      <c r="B9094" t="s">
        <v>8607</v>
      </c>
      <c r="F9094" t="s">
        <v>26204</v>
      </c>
      <c r="G9094" t="s">
        <v>26205</v>
      </c>
    </row>
    <row r="9095" spans="1:7">
      <c r="A9095" t="s">
        <v>36795</v>
      </c>
      <c r="G9095" t="s">
        <v>36796</v>
      </c>
    </row>
    <row r="9096" spans="1:7">
      <c r="A9096" t="s">
        <v>36797</v>
      </c>
      <c r="B9096" t="s">
        <v>8607</v>
      </c>
      <c r="C9096" t="s">
        <v>16679</v>
      </c>
      <c r="F9096" t="s">
        <v>9018</v>
      </c>
      <c r="G9096" t="s">
        <v>36798</v>
      </c>
    </row>
    <row r="9097" spans="1:7">
      <c r="A9097" t="s">
        <v>36799</v>
      </c>
      <c r="B9097" t="s">
        <v>8607</v>
      </c>
      <c r="C9097" t="s">
        <v>26591</v>
      </c>
      <c r="F9097" t="s">
        <v>9018</v>
      </c>
      <c r="G9097" t="s">
        <v>26592</v>
      </c>
    </row>
    <row r="9098" spans="1:7">
      <c r="A9098" t="s">
        <v>36800</v>
      </c>
      <c r="B9098" t="s">
        <v>8607</v>
      </c>
      <c r="F9098" t="s">
        <v>17457</v>
      </c>
      <c r="G9098" t="s">
        <v>26594</v>
      </c>
    </row>
    <row r="9099" spans="1:7">
      <c r="A9099" t="s">
        <v>36801</v>
      </c>
      <c r="B9099" t="s">
        <v>8607</v>
      </c>
      <c r="F9099" t="s">
        <v>26596</v>
      </c>
      <c r="G9099" t="s">
        <v>26597</v>
      </c>
    </row>
    <row r="9100" spans="1:7">
      <c r="A9100" t="s">
        <v>36802</v>
      </c>
      <c r="B9100" t="s">
        <v>8626</v>
      </c>
      <c r="G9100" t="s">
        <v>26599</v>
      </c>
    </row>
    <row r="9101" spans="1:7">
      <c r="A9101" t="s">
        <v>36803</v>
      </c>
      <c r="B9101" t="s">
        <v>8607</v>
      </c>
      <c r="C9101" t="s">
        <v>26601</v>
      </c>
      <c r="F9101" t="s">
        <v>26602</v>
      </c>
      <c r="G9101" t="s">
        <v>26603</v>
      </c>
    </row>
    <row r="9102" spans="1:7">
      <c r="A9102" t="s">
        <v>36804</v>
      </c>
      <c r="B9102" t="s">
        <v>8607</v>
      </c>
      <c r="F9102" t="s">
        <v>26793</v>
      </c>
      <c r="G9102" t="s">
        <v>26794</v>
      </c>
    </row>
    <row r="9103" spans="1:7">
      <c r="A9103" t="s">
        <v>36805</v>
      </c>
      <c r="B9103" t="s">
        <v>8607</v>
      </c>
      <c r="G9103" t="s">
        <v>26800</v>
      </c>
    </row>
    <row r="9104" spans="1:7">
      <c r="A9104" t="s">
        <v>36806</v>
      </c>
      <c r="B9104" t="s">
        <v>8607</v>
      </c>
      <c r="G9104" t="s">
        <v>26778</v>
      </c>
    </row>
    <row r="9105" spans="1:7">
      <c r="A9105" t="s">
        <v>36807</v>
      </c>
      <c r="B9105" t="s">
        <v>8607</v>
      </c>
      <c r="G9105" t="s">
        <v>26780</v>
      </c>
    </row>
    <row r="9106" spans="1:7">
      <c r="A9106" t="s">
        <v>36808</v>
      </c>
      <c r="B9106" t="s">
        <v>8607</v>
      </c>
      <c r="F9106" t="s">
        <v>26173</v>
      </c>
      <c r="G9106" t="s">
        <v>26782</v>
      </c>
    </row>
    <row r="9107" spans="1:7">
      <c r="A9107" t="s">
        <v>36809</v>
      </c>
      <c r="B9107" t="s">
        <v>8607</v>
      </c>
      <c r="G9107" t="s">
        <v>18545</v>
      </c>
    </row>
    <row r="9108" spans="1:7">
      <c r="A9108" t="s">
        <v>36810</v>
      </c>
      <c r="B9108" t="s">
        <v>8607</v>
      </c>
      <c r="G9108" t="s">
        <v>26785</v>
      </c>
    </row>
    <row r="9109" spans="1:7">
      <c r="A9109" t="s">
        <v>36811</v>
      </c>
      <c r="B9109" t="s">
        <v>8607</v>
      </c>
      <c r="G9109" t="s">
        <v>29384</v>
      </c>
    </row>
    <row r="9110" spans="1:7">
      <c r="A9110" t="s">
        <v>36812</v>
      </c>
      <c r="B9110" t="s">
        <v>8626</v>
      </c>
      <c r="F9110" t="s">
        <v>26207</v>
      </c>
      <c r="G9110" t="s">
        <v>29398</v>
      </c>
    </row>
    <row r="9111" spans="1:7">
      <c r="A9111" t="s">
        <v>36813</v>
      </c>
      <c r="B9111" t="s">
        <v>8626</v>
      </c>
      <c r="F9111" t="s">
        <v>29400</v>
      </c>
      <c r="G9111" t="s">
        <v>36814</v>
      </c>
    </row>
    <row r="9112" spans="1:7">
      <c r="A9112" t="s">
        <v>36815</v>
      </c>
      <c r="B9112" t="s">
        <v>8607</v>
      </c>
      <c r="C9112" t="s">
        <v>29403</v>
      </c>
      <c r="F9112" t="s">
        <v>27000</v>
      </c>
      <c r="G9112" t="s">
        <v>36816</v>
      </c>
    </row>
    <row r="9113" spans="1:7">
      <c r="A9113" t="s">
        <v>36817</v>
      </c>
      <c r="B9113" t="s">
        <v>8607</v>
      </c>
      <c r="F9113" t="s">
        <v>29406</v>
      </c>
      <c r="G9113" t="s">
        <v>29407</v>
      </c>
    </row>
    <row r="9114" spans="1:7">
      <c r="A9114" t="s">
        <v>36818</v>
      </c>
      <c r="B9114" t="s">
        <v>8626</v>
      </c>
      <c r="G9114" t="s">
        <v>36819</v>
      </c>
    </row>
    <row r="9115" spans="1:7">
      <c r="A9115" t="s">
        <v>36820</v>
      </c>
      <c r="B9115" t="s">
        <v>8607</v>
      </c>
      <c r="F9115" t="s">
        <v>29409</v>
      </c>
      <c r="G9115" t="s">
        <v>29410</v>
      </c>
    </row>
    <row r="9116" spans="1:7">
      <c r="A9116" t="s">
        <v>36821</v>
      </c>
      <c r="B9116" t="s">
        <v>8607</v>
      </c>
      <c r="F9116" t="s">
        <v>8623</v>
      </c>
      <c r="G9116" t="s">
        <v>20857</v>
      </c>
    </row>
    <row r="9117" spans="1:7">
      <c r="A9117" t="s">
        <v>36822</v>
      </c>
      <c r="B9117" t="s">
        <v>8607</v>
      </c>
      <c r="G9117" t="s">
        <v>36823</v>
      </c>
    </row>
    <row r="9118" spans="1:7">
      <c r="A9118" t="s">
        <v>36824</v>
      </c>
      <c r="B9118" t="s">
        <v>8607</v>
      </c>
      <c r="F9118" t="s">
        <v>28018</v>
      </c>
      <c r="G9118" t="s">
        <v>36825</v>
      </c>
    </row>
    <row r="9119" spans="1:7">
      <c r="A9119" t="s">
        <v>36826</v>
      </c>
      <c r="B9119" t="s">
        <v>8607</v>
      </c>
      <c r="F9119" t="s">
        <v>27455</v>
      </c>
      <c r="G9119" t="s">
        <v>36827</v>
      </c>
    </row>
    <row r="9120" spans="1:7">
      <c r="A9120" t="s">
        <v>36828</v>
      </c>
      <c r="B9120" t="s">
        <v>8607</v>
      </c>
      <c r="F9120" t="s">
        <v>27458</v>
      </c>
      <c r="G9120" t="s">
        <v>36829</v>
      </c>
    </row>
    <row r="9121" spans="1:7">
      <c r="A9121" t="s">
        <v>36830</v>
      </c>
      <c r="B9121" t="s">
        <v>8607</v>
      </c>
      <c r="F9121" t="s">
        <v>27462</v>
      </c>
      <c r="G9121" t="s">
        <v>27463</v>
      </c>
    </row>
    <row r="9122" spans="1:7">
      <c r="A9122" t="s">
        <v>36831</v>
      </c>
      <c r="B9122" t="s">
        <v>8607</v>
      </c>
      <c r="F9122" t="s">
        <v>34413</v>
      </c>
      <c r="G9122" t="s">
        <v>36832</v>
      </c>
    </row>
    <row r="9123" spans="1:7">
      <c r="A9123" t="s">
        <v>36833</v>
      </c>
      <c r="B9123" t="s">
        <v>8607</v>
      </c>
      <c r="F9123" t="s">
        <v>26989</v>
      </c>
      <c r="G9123" t="s">
        <v>27233</v>
      </c>
    </row>
    <row r="9124" spans="1:7">
      <c r="A9124" t="s">
        <v>36834</v>
      </c>
      <c r="B9124" t="s">
        <v>8607</v>
      </c>
      <c r="F9124" t="s">
        <v>26992</v>
      </c>
      <c r="G9124" t="s">
        <v>33750</v>
      </c>
    </row>
    <row r="9125" spans="1:7">
      <c r="A9125" t="s">
        <v>36835</v>
      </c>
      <c r="B9125" t="s">
        <v>8607</v>
      </c>
      <c r="F9125" t="s">
        <v>26995</v>
      </c>
      <c r="G9125" t="s">
        <v>33752</v>
      </c>
    </row>
    <row r="9126" spans="1:7">
      <c r="A9126" t="s">
        <v>36836</v>
      </c>
      <c r="B9126" t="s">
        <v>8607</v>
      </c>
      <c r="F9126" t="s">
        <v>17932</v>
      </c>
      <c r="G9126" t="s">
        <v>32040</v>
      </c>
    </row>
    <row r="9127" spans="1:7">
      <c r="A9127" t="s">
        <v>36837</v>
      </c>
      <c r="B9127" t="s">
        <v>8626</v>
      </c>
      <c r="F9127" t="s">
        <v>28306</v>
      </c>
      <c r="G9127" t="s">
        <v>36838</v>
      </c>
    </row>
    <row r="9128" spans="1:7">
      <c r="A9128" t="s">
        <v>36839</v>
      </c>
      <c r="B9128" t="s">
        <v>8607</v>
      </c>
      <c r="F9128" t="s">
        <v>32046</v>
      </c>
      <c r="G9128" t="s">
        <v>32047</v>
      </c>
    </row>
    <row r="9129" spans="1:7">
      <c r="A9129" t="s">
        <v>36840</v>
      </c>
      <c r="B9129" t="s">
        <v>8607</v>
      </c>
      <c r="F9129" t="s">
        <v>33737</v>
      </c>
      <c r="G9129" t="s">
        <v>36106</v>
      </c>
    </row>
    <row r="9130" spans="1:7">
      <c r="A9130" t="s">
        <v>36841</v>
      </c>
      <c r="B9130" t="s">
        <v>8607</v>
      </c>
      <c r="F9130" t="s">
        <v>33256</v>
      </c>
      <c r="G9130" t="s">
        <v>33747</v>
      </c>
    </row>
    <row r="9131" spans="1:7">
      <c r="A9131" t="s">
        <v>36842</v>
      </c>
      <c r="B9131" t="s">
        <v>8607</v>
      </c>
      <c r="F9131" t="s">
        <v>26272</v>
      </c>
      <c r="G9131" t="s">
        <v>31146</v>
      </c>
    </row>
    <row r="9132" spans="1:7">
      <c r="A9132" t="s">
        <v>36843</v>
      </c>
      <c r="B9132" t="s">
        <v>8626</v>
      </c>
      <c r="F9132" t="s">
        <v>26304</v>
      </c>
      <c r="G9132" t="s">
        <v>36844</v>
      </c>
    </row>
    <row r="9133" spans="1:7">
      <c r="A9133" t="s">
        <v>36845</v>
      </c>
      <c r="B9133" t="s">
        <v>8626</v>
      </c>
      <c r="F9133" t="s">
        <v>9018</v>
      </c>
      <c r="G9133" t="s">
        <v>36846</v>
      </c>
    </row>
    <row r="9134" spans="1:7">
      <c r="A9134" t="s">
        <v>36847</v>
      </c>
      <c r="B9134" t="s">
        <v>8607</v>
      </c>
      <c r="F9134" t="s">
        <v>26173</v>
      </c>
      <c r="G9134" t="s">
        <v>26174</v>
      </c>
    </row>
    <row r="9135" spans="1:7">
      <c r="A9135" t="s">
        <v>36848</v>
      </c>
      <c r="B9135" t="s">
        <v>8626</v>
      </c>
      <c r="F9135" t="s">
        <v>26176</v>
      </c>
      <c r="G9135" t="s">
        <v>27991</v>
      </c>
    </row>
    <row r="9136" spans="1:7">
      <c r="A9136" t="s">
        <v>36849</v>
      </c>
      <c r="B9136" t="s">
        <v>8607</v>
      </c>
      <c r="F9136" t="s">
        <v>17429</v>
      </c>
      <c r="G9136" t="s">
        <v>36850</v>
      </c>
    </row>
    <row r="9137" spans="1:7">
      <c r="A9137" t="s">
        <v>36851</v>
      </c>
      <c r="B9137" t="s">
        <v>8607</v>
      </c>
      <c r="F9137" t="s">
        <v>8623</v>
      </c>
      <c r="G9137" t="s">
        <v>24680</v>
      </c>
    </row>
    <row r="9138" spans="1:7">
      <c r="A9138" t="s">
        <v>36852</v>
      </c>
      <c r="B9138" t="s">
        <v>8626</v>
      </c>
      <c r="F9138" t="s">
        <v>8623</v>
      </c>
      <c r="G9138" t="s">
        <v>36853</v>
      </c>
    </row>
    <row r="9139" spans="1:7">
      <c r="A9139" t="s">
        <v>36854</v>
      </c>
      <c r="B9139" t="s">
        <v>8607</v>
      </c>
      <c r="G9139" t="s">
        <v>30999</v>
      </c>
    </row>
    <row r="9140" spans="1:7">
      <c r="A9140" t="s">
        <v>36855</v>
      </c>
      <c r="B9140" t="s">
        <v>8607</v>
      </c>
      <c r="F9140" t="s">
        <v>20201</v>
      </c>
      <c r="G9140" t="s">
        <v>27843</v>
      </c>
    </row>
    <row r="9141" spans="1:7">
      <c r="A9141" t="s">
        <v>36856</v>
      </c>
      <c r="B9141" t="s">
        <v>8607</v>
      </c>
      <c r="F9141" t="s">
        <v>20473</v>
      </c>
      <c r="G9141" t="s">
        <v>27845</v>
      </c>
    </row>
    <row r="9142" spans="1:7">
      <c r="A9142" t="s">
        <v>36857</v>
      </c>
      <c r="B9142" t="s">
        <v>8626</v>
      </c>
      <c r="F9142" t="s">
        <v>36858</v>
      </c>
      <c r="G9142" t="s">
        <v>36859</v>
      </c>
    </row>
    <row r="9143" spans="1:7">
      <c r="A9143" t="s">
        <v>36860</v>
      </c>
      <c r="B9143" t="s">
        <v>8607</v>
      </c>
      <c r="F9143" t="s">
        <v>20201</v>
      </c>
      <c r="G9143" t="s">
        <v>27843</v>
      </c>
    </row>
    <row r="9144" spans="1:7">
      <c r="A9144" t="s">
        <v>36861</v>
      </c>
      <c r="B9144" t="s">
        <v>8607</v>
      </c>
      <c r="F9144" t="s">
        <v>20473</v>
      </c>
      <c r="G9144" t="s">
        <v>27845</v>
      </c>
    </row>
    <row r="9145" spans="1:7">
      <c r="A9145" t="s">
        <v>36862</v>
      </c>
      <c r="G9145" t="s">
        <v>36863</v>
      </c>
    </row>
    <row r="9146" spans="1:7">
      <c r="A9146" t="s">
        <v>36864</v>
      </c>
      <c r="B9146" t="s">
        <v>8607</v>
      </c>
      <c r="F9146" t="s">
        <v>17257</v>
      </c>
      <c r="G9146" t="s">
        <v>17258</v>
      </c>
    </row>
    <row r="9147" spans="1:7">
      <c r="A9147" t="s">
        <v>36865</v>
      </c>
      <c r="B9147" t="s">
        <v>8626</v>
      </c>
      <c r="F9147" t="s">
        <v>17260</v>
      </c>
      <c r="G9147" t="s">
        <v>17261</v>
      </c>
    </row>
    <row r="9148" spans="1:7">
      <c r="A9148" t="s">
        <v>36866</v>
      </c>
      <c r="B9148" t="s">
        <v>8626</v>
      </c>
      <c r="F9148" t="s">
        <v>27428</v>
      </c>
      <c r="G9148" t="s">
        <v>27429</v>
      </c>
    </row>
    <row r="9149" spans="1:7">
      <c r="A9149" t="s">
        <v>36867</v>
      </c>
      <c r="B9149" t="s">
        <v>8626</v>
      </c>
      <c r="F9149" t="s">
        <v>27434</v>
      </c>
      <c r="G9149" t="s">
        <v>27435</v>
      </c>
    </row>
    <row r="9150" spans="1:7">
      <c r="A9150" t="s">
        <v>36868</v>
      </c>
      <c r="B9150" t="s">
        <v>8626</v>
      </c>
      <c r="F9150" t="s">
        <v>27437</v>
      </c>
      <c r="G9150" t="s">
        <v>27438</v>
      </c>
    </row>
    <row r="9151" spans="1:7">
      <c r="A9151" t="s">
        <v>36869</v>
      </c>
      <c r="B9151" t="s">
        <v>8607</v>
      </c>
      <c r="F9151" t="s">
        <v>27440</v>
      </c>
      <c r="G9151" t="s">
        <v>31500</v>
      </c>
    </row>
    <row r="9152" spans="1:7">
      <c r="A9152" t="s">
        <v>36870</v>
      </c>
      <c r="B9152" t="s">
        <v>8607</v>
      </c>
      <c r="F9152" t="s">
        <v>31502</v>
      </c>
      <c r="G9152" t="s">
        <v>31503</v>
      </c>
    </row>
    <row r="9153" spans="1:7">
      <c r="A9153" t="s">
        <v>36871</v>
      </c>
      <c r="B9153" t="s">
        <v>8607</v>
      </c>
      <c r="F9153" t="s">
        <v>19473</v>
      </c>
      <c r="G9153" t="s">
        <v>28260</v>
      </c>
    </row>
    <row r="9154" spans="1:7">
      <c r="A9154" t="s">
        <v>36872</v>
      </c>
      <c r="B9154" t="s">
        <v>8607</v>
      </c>
      <c r="F9154" t="s">
        <v>28479</v>
      </c>
      <c r="G9154" t="s">
        <v>28480</v>
      </c>
    </row>
    <row r="9155" spans="1:7">
      <c r="A9155" t="s">
        <v>36873</v>
      </c>
      <c r="B9155" t="s">
        <v>8607</v>
      </c>
      <c r="C9155" t="s">
        <v>28439</v>
      </c>
      <c r="F9155" t="s">
        <v>17621</v>
      </c>
      <c r="G9155" t="s">
        <v>28440</v>
      </c>
    </row>
    <row r="9156" spans="1:7">
      <c r="A9156" t="s">
        <v>36874</v>
      </c>
      <c r="B9156" t="s">
        <v>8607</v>
      </c>
      <c r="F9156" t="s">
        <v>27628</v>
      </c>
      <c r="G9156" t="s">
        <v>27629</v>
      </c>
    </row>
    <row r="9157" spans="1:7">
      <c r="A9157" t="s">
        <v>36875</v>
      </c>
      <c r="B9157" t="s">
        <v>8607</v>
      </c>
      <c r="F9157" t="s">
        <v>8633</v>
      </c>
      <c r="G9157" t="s">
        <v>20179</v>
      </c>
    </row>
    <row r="9158" spans="1:7">
      <c r="A9158" t="s">
        <v>36876</v>
      </c>
      <c r="B9158" t="s">
        <v>8607</v>
      </c>
      <c r="G9158" t="s">
        <v>28600</v>
      </c>
    </row>
    <row r="9159" spans="1:7">
      <c r="A9159" t="s">
        <v>36877</v>
      </c>
      <c r="G9159" t="s">
        <v>36878</v>
      </c>
    </row>
    <row r="9160" spans="1:7">
      <c r="A9160" t="s">
        <v>36879</v>
      </c>
      <c r="B9160" t="s">
        <v>8626</v>
      </c>
      <c r="C9160" t="s">
        <v>18527</v>
      </c>
      <c r="F9160" t="s">
        <v>18286</v>
      </c>
      <c r="G9160" t="s">
        <v>36880</v>
      </c>
    </row>
    <row r="9161" spans="1:7">
      <c r="A9161" t="s">
        <v>36881</v>
      </c>
      <c r="B9161" t="s">
        <v>8626</v>
      </c>
      <c r="F9161" t="s">
        <v>22981</v>
      </c>
      <c r="G9161" t="s">
        <v>22982</v>
      </c>
    </row>
    <row r="9162" spans="1:7">
      <c r="A9162" t="s">
        <v>36882</v>
      </c>
      <c r="B9162" t="s">
        <v>8626</v>
      </c>
      <c r="G9162" t="s">
        <v>34721</v>
      </c>
    </row>
    <row r="9163" spans="1:7">
      <c r="A9163" t="s">
        <v>36883</v>
      </c>
      <c r="B9163" t="s">
        <v>8626</v>
      </c>
      <c r="G9163" t="s">
        <v>36192</v>
      </c>
    </row>
    <row r="9164" spans="1:7">
      <c r="A9164" t="s">
        <v>36884</v>
      </c>
      <c r="B9164" t="s">
        <v>8607</v>
      </c>
      <c r="F9164" t="s">
        <v>26449</v>
      </c>
      <c r="G9164" t="s">
        <v>30519</v>
      </c>
    </row>
    <row r="9165" spans="1:7">
      <c r="A9165" t="s">
        <v>36885</v>
      </c>
      <c r="B9165" t="s">
        <v>8607</v>
      </c>
      <c r="F9165" t="s">
        <v>26452</v>
      </c>
      <c r="G9165" t="s">
        <v>26453</v>
      </c>
    </row>
    <row r="9166" spans="1:7">
      <c r="A9166" t="s">
        <v>36886</v>
      </c>
      <c r="B9166" t="s">
        <v>8626</v>
      </c>
      <c r="F9166" t="s">
        <v>27979</v>
      </c>
      <c r="G9166" t="s">
        <v>31999</v>
      </c>
    </row>
    <row r="9167" spans="1:7">
      <c r="A9167" t="s">
        <v>36887</v>
      </c>
      <c r="B9167" t="s">
        <v>8626</v>
      </c>
      <c r="C9167" t="s">
        <v>26665</v>
      </c>
      <c r="F9167" t="s">
        <v>26666</v>
      </c>
      <c r="G9167" t="s">
        <v>26667</v>
      </c>
    </row>
    <row r="9168" spans="1:7">
      <c r="A9168" t="s">
        <v>36888</v>
      </c>
      <c r="B9168" t="s">
        <v>8626</v>
      </c>
      <c r="C9168" t="s">
        <v>26669</v>
      </c>
      <c r="F9168" t="s">
        <v>26670</v>
      </c>
      <c r="G9168" t="s">
        <v>30061</v>
      </c>
    </row>
    <row r="9169" spans="1:7">
      <c r="A9169" t="s">
        <v>36889</v>
      </c>
      <c r="B9169" t="s">
        <v>8626</v>
      </c>
      <c r="C9169" t="s">
        <v>29299</v>
      </c>
      <c r="F9169" t="s">
        <v>26937</v>
      </c>
      <c r="G9169" t="s">
        <v>30063</v>
      </c>
    </row>
    <row r="9170" spans="1:7">
      <c r="A9170" t="s">
        <v>36890</v>
      </c>
      <c r="B9170" t="s">
        <v>8626</v>
      </c>
      <c r="F9170" t="s">
        <v>29314</v>
      </c>
      <c r="G9170" t="s">
        <v>30065</v>
      </c>
    </row>
    <row r="9171" spans="1:7">
      <c r="A9171" t="s">
        <v>36891</v>
      </c>
      <c r="B9171" t="s">
        <v>8607</v>
      </c>
      <c r="F9171" t="s">
        <v>8623</v>
      </c>
      <c r="G9171" t="s">
        <v>36892</v>
      </c>
    </row>
    <row r="9172" spans="1:7">
      <c r="A9172" t="s">
        <v>36893</v>
      </c>
      <c r="B9172" t="s">
        <v>8626</v>
      </c>
      <c r="F9172" t="s">
        <v>26299</v>
      </c>
      <c r="G9172" t="s">
        <v>35892</v>
      </c>
    </row>
    <row r="9173" spans="1:7">
      <c r="A9173" t="s">
        <v>36894</v>
      </c>
      <c r="B9173" t="s">
        <v>8607</v>
      </c>
      <c r="F9173" t="s">
        <v>8623</v>
      </c>
      <c r="G9173" t="s">
        <v>24749</v>
      </c>
    </row>
    <row r="9174" spans="1:7">
      <c r="A9174" t="s">
        <v>36895</v>
      </c>
      <c r="B9174" t="s">
        <v>8607</v>
      </c>
      <c r="G9174" t="s">
        <v>36896</v>
      </c>
    </row>
    <row r="9175" spans="1:7">
      <c r="A9175" t="s">
        <v>36897</v>
      </c>
      <c r="B9175" t="s">
        <v>8607</v>
      </c>
      <c r="C9175" t="s">
        <v>31599</v>
      </c>
      <c r="F9175" t="s">
        <v>9018</v>
      </c>
      <c r="G9175" t="s">
        <v>36898</v>
      </c>
    </row>
    <row r="9176" spans="1:7">
      <c r="A9176" t="s">
        <v>36899</v>
      </c>
      <c r="B9176" t="s">
        <v>8607</v>
      </c>
      <c r="G9176" t="s">
        <v>26628</v>
      </c>
    </row>
    <row r="9177" spans="1:7">
      <c r="A9177" t="s">
        <v>36900</v>
      </c>
      <c r="B9177" t="s">
        <v>8607</v>
      </c>
      <c r="G9177" t="s">
        <v>26791</v>
      </c>
    </row>
    <row r="9178" spans="1:7">
      <c r="A9178" t="s">
        <v>36901</v>
      </c>
      <c r="B9178" t="s">
        <v>8607</v>
      </c>
      <c r="G9178" t="s">
        <v>27110</v>
      </c>
    </row>
    <row r="9179" spans="1:7">
      <c r="A9179" t="s">
        <v>36902</v>
      </c>
      <c r="B9179" t="s">
        <v>8607</v>
      </c>
      <c r="G9179" t="s">
        <v>22411</v>
      </c>
    </row>
    <row r="9180" spans="1:7">
      <c r="A9180" t="s">
        <v>36903</v>
      </c>
      <c r="B9180" t="s">
        <v>8626</v>
      </c>
      <c r="F9180" t="s">
        <v>26148</v>
      </c>
      <c r="G9180" t="s">
        <v>30412</v>
      </c>
    </row>
    <row r="9181" spans="1:7">
      <c r="A9181" t="s">
        <v>36904</v>
      </c>
      <c r="B9181" t="s">
        <v>8626</v>
      </c>
      <c r="F9181" t="s">
        <v>26710</v>
      </c>
      <c r="G9181" t="s">
        <v>26711</v>
      </c>
    </row>
    <row r="9182" spans="1:7">
      <c r="A9182" t="s">
        <v>36905</v>
      </c>
      <c r="B9182" t="s">
        <v>8607</v>
      </c>
      <c r="F9182" t="s">
        <v>26793</v>
      </c>
      <c r="G9182" t="s">
        <v>26794</v>
      </c>
    </row>
    <row r="9183" spans="1:7">
      <c r="A9183" t="s">
        <v>36906</v>
      </c>
      <c r="B9183" t="s">
        <v>8626</v>
      </c>
      <c r="F9183" t="s">
        <v>31561</v>
      </c>
      <c r="G9183" t="s">
        <v>36907</v>
      </c>
    </row>
    <row r="9184" spans="1:7">
      <c r="A9184" t="s">
        <v>36908</v>
      </c>
      <c r="B9184" t="s">
        <v>8626</v>
      </c>
      <c r="G9184" t="s">
        <v>36909</v>
      </c>
    </row>
    <row r="9185" spans="1:7">
      <c r="A9185" t="s">
        <v>36910</v>
      </c>
      <c r="G9185" t="s">
        <v>36911</v>
      </c>
    </row>
    <row r="9186" spans="1:7">
      <c r="A9186" t="s">
        <v>36912</v>
      </c>
      <c r="B9186" t="s">
        <v>8607</v>
      </c>
      <c r="C9186" t="s">
        <v>28911</v>
      </c>
      <c r="F9186" t="s">
        <v>17429</v>
      </c>
      <c r="G9186" t="s">
        <v>30562</v>
      </c>
    </row>
    <row r="9187" spans="1:7">
      <c r="A9187" t="s">
        <v>36913</v>
      </c>
      <c r="B9187" t="s">
        <v>8607</v>
      </c>
      <c r="C9187" t="s">
        <v>28071</v>
      </c>
      <c r="F9187" t="s">
        <v>17327</v>
      </c>
      <c r="G9187" t="s">
        <v>28072</v>
      </c>
    </row>
    <row r="9188" spans="1:7">
      <c r="A9188" t="s">
        <v>36914</v>
      </c>
      <c r="B9188" t="s">
        <v>8607</v>
      </c>
      <c r="F9188" t="s">
        <v>27423</v>
      </c>
      <c r="G9188" t="s">
        <v>36915</v>
      </c>
    </row>
    <row r="9189" spans="1:7">
      <c r="A9189" t="s">
        <v>36916</v>
      </c>
      <c r="B9189" t="s">
        <v>8607</v>
      </c>
      <c r="F9189" t="s">
        <v>26717</v>
      </c>
      <c r="G9189" t="s">
        <v>30647</v>
      </c>
    </row>
    <row r="9190" spans="1:7">
      <c r="A9190" t="s">
        <v>36917</v>
      </c>
      <c r="B9190" t="s">
        <v>8607</v>
      </c>
      <c r="G9190" t="s">
        <v>26723</v>
      </c>
    </row>
    <row r="9191" spans="1:7">
      <c r="A9191" t="s">
        <v>36918</v>
      </c>
      <c r="G9191" t="s">
        <v>36919</v>
      </c>
    </row>
    <row r="9192" spans="1:7">
      <c r="A9192" t="s">
        <v>36920</v>
      </c>
      <c r="B9192" t="s">
        <v>8626</v>
      </c>
      <c r="G9192" t="s">
        <v>36921</v>
      </c>
    </row>
    <row r="9193" spans="1:7">
      <c r="A9193" t="s">
        <v>36922</v>
      </c>
      <c r="G9193" t="s">
        <v>36923</v>
      </c>
    </row>
    <row r="9194" spans="1:7">
      <c r="A9194" t="s">
        <v>36924</v>
      </c>
      <c r="G9194" t="s">
        <v>36925</v>
      </c>
    </row>
    <row r="9195" spans="1:7">
      <c r="A9195" t="s">
        <v>36926</v>
      </c>
      <c r="B9195" t="s">
        <v>8626</v>
      </c>
      <c r="G9195" t="s">
        <v>36927</v>
      </c>
    </row>
    <row r="9196" spans="1:7">
      <c r="A9196" t="s">
        <v>36928</v>
      </c>
      <c r="G9196" t="s">
        <v>36929</v>
      </c>
    </row>
    <row r="9197" spans="1:7">
      <c r="A9197" t="s">
        <v>36930</v>
      </c>
      <c r="G9197" t="s">
        <v>27351</v>
      </c>
    </row>
    <row r="9198" spans="1:7">
      <c r="A9198" t="s">
        <v>36931</v>
      </c>
      <c r="B9198" t="s">
        <v>8607</v>
      </c>
      <c r="F9198" t="s">
        <v>27511</v>
      </c>
      <c r="G9198" t="s">
        <v>36932</v>
      </c>
    </row>
    <row r="9199" spans="1:7">
      <c r="A9199" t="s">
        <v>36933</v>
      </c>
      <c r="B9199" t="s">
        <v>8607</v>
      </c>
      <c r="G9199" t="s">
        <v>26570</v>
      </c>
    </row>
    <row r="9200" spans="1:7">
      <c r="A9200" t="s">
        <v>36934</v>
      </c>
      <c r="B9200" t="s">
        <v>8607</v>
      </c>
      <c r="G9200" t="s">
        <v>26572</v>
      </c>
    </row>
    <row r="9201" spans="1:7">
      <c r="A9201" t="s">
        <v>36935</v>
      </c>
      <c r="B9201" t="s">
        <v>8607</v>
      </c>
      <c r="G9201" t="s">
        <v>26628</v>
      </c>
    </row>
    <row r="9202" spans="1:7">
      <c r="A9202" t="s">
        <v>36936</v>
      </c>
      <c r="B9202" t="s">
        <v>8607</v>
      </c>
      <c r="G9202" t="s">
        <v>22411</v>
      </c>
    </row>
    <row r="9203" spans="1:7">
      <c r="A9203" t="s">
        <v>36937</v>
      </c>
      <c r="B9203" t="s">
        <v>8607</v>
      </c>
      <c r="G9203" t="s">
        <v>26789</v>
      </c>
    </row>
    <row r="9204" spans="1:7">
      <c r="A9204" t="s">
        <v>36938</v>
      </c>
      <c r="B9204" t="s">
        <v>8626</v>
      </c>
      <c r="G9204" t="s">
        <v>36939</v>
      </c>
    </row>
    <row r="9205" spans="1:7">
      <c r="A9205" t="s">
        <v>36940</v>
      </c>
      <c r="B9205" t="s">
        <v>8626</v>
      </c>
      <c r="F9205" t="s">
        <v>26062</v>
      </c>
      <c r="G9205" t="s">
        <v>26063</v>
      </c>
    </row>
    <row r="9206" spans="1:7">
      <c r="A9206" t="s">
        <v>36941</v>
      </c>
      <c r="G9206" t="s">
        <v>36942</v>
      </c>
    </row>
    <row r="9207" spans="1:7">
      <c r="A9207" t="s">
        <v>36943</v>
      </c>
      <c r="B9207" t="s">
        <v>8607</v>
      </c>
      <c r="G9207" t="s">
        <v>36149</v>
      </c>
    </row>
    <row r="9208" spans="1:7">
      <c r="A9208" t="s">
        <v>36944</v>
      </c>
      <c r="B9208" t="s">
        <v>8626</v>
      </c>
      <c r="F9208" t="s">
        <v>17327</v>
      </c>
      <c r="G9208" t="s">
        <v>36945</v>
      </c>
    </row>
    <row r="9209" spans="1:7">
      <c r="A9209" t="s">
        <v>36946</v>
      </c>
      <c r="B9209" t="s">
        <v>8607</v>
      </c>
      <c r="C9209" t="s">
        <v>28882</v>
      </c>
      <c r="F9209" t="s">
        <v>17932</v>
      </c>
      <c r="G9209" t="s">
        <v>36947</v>
      </c>
    </row>
    <row r="9210" spans="1:7">
      <c r="A9210" t="s">
        <v>36948</v>
      </c>
      <c r="B9210" t="s">
        <v>8607</v>
      </c>
      <c r="G9210" t="s">
        <v>33435</v>
      </c>
    </row>
    <row r="9211" spans="1:7">
      <c r="A9211" t="s">
        <v>36949</v>
      </c>
      <c r="B9211" t="s">
        <v>8626</v>
      </c>
      <c r="F9211" t="s">
        <v>20844</v>
      </c>
      <c r="G9211" t="s">
        <v>36950</v>
      </c>
    </row>
    <row r="9212" spans="1:7">
      <c r="A9212" t="s">
        <v>36951</v>
      </c>
      <c r="B9212" t="s">
        <v>8626</v>
      </c>
      <c r="G9212" t="s">
        <v>36952</v>
      </c>
    </row>
    <row r="9213" spans="1:7">
      <c r="A9213" t="s">
        <v>36953</v>
      </c>
      <c r="B9213" t="s">
        <v>8607</v>
      </c>
      <c r="F9213" t="s">
        <v>19380</v>
      </c>
      <c r="G9213" t="s">
        <v>19381</v>
      </c>
    </row>
    <row r="9214" spans="1:7">
      <c r="A9214" t="s">
        <v>36954</v>
      </c>
      <c r="B9214" t="s">
        <v>8607</v>
      </c>
      <c r="F9214" t="s">
        <v>26465</v>
      </c>
      <c r="G9214" t="s">
        <v>27090</v>
      </c>
    </row>
    <row r="9215" spans="1:7">
      <c r="A9215" t="s">
        <v>36955</v>
      </c>
      <c r="B9215" t="s">
        <v>8607</v>
      </c>
      <c r="G9215" t="s">
        <v>26217</v>
      </c>
    </row>
    <row r="9216" spans="1:7">
      <c r="A9216" t="s">
        <v>36956</v>
      </c>
      <c r="B9216" t="s">
        <v>8626</v>
      </c>
      <c r="F9216" t="s">
        <v>26179</v>
      </c>
      <c r="G9216" t="s">
        <v>34718</v>
      </c>
    </row>
    <row r="9217" spans="1:7">
      <c r="A9217" t="s">
        <v>36957</v>
      </c>
      <c r="B9217" t="s">
        <v>8607</v>
      </c>
      <c r="G9217" t="s">
        <v>27963</v>
      </c>
    </row>
    <row r="9218" spans="1:7">
      <c r="A9218" t="s">
        <v>36958</v>
      </c>
      <c r="B9218" t="s">
        <v>8607</v>
      </c>
      <c r="F9218" t="s">
        <v>30403</v>
      </c>
      <c r="G9218" t="s">
        <v>27965</v>
      </c>
    </row>
    <row r="9219" spans="1:7">
      <c r="A9219" t="s">
        <v>36959</v>
      </c>
      <c r="B9219" t="s">
        <v>8607</v>
      </c>
      <c r="F9219" t="s">
        <v>27969</v>
      </c>
      <c r="G9219" t="s">
        <v>27970</v>
      </c>
    </row>
    <row r="9220" spans="1:7">
      <c r="A9220" t="s">
        <v>36960</v>
      </c>
      <c r="B9220" t="s">
        <v>8607</v>
      </c>
      <c r="F9220" t="s">
        <v>26024</v>
      </c>
      <c r="G9220" t="s">
        <v>26025</v>
      </c>
    </row>
    <row r="9221" spans="1:7">
      <c r="A9221" t="s">
        <v>36961</v>
      </c>
      <c r="B9221" t="s">
        <v>8607</v>
      </c>
      <c r="G9221" t="s">
        <v>27973</v>
      </c>
    </row>
    <row r="9222" spans="1:7">
      <c r="A9222" t="s">
        <v>36962</v>
      </c>
      <c r="B9222" t="s">
        <v>8607</v>
      </c>
      <c r="G9222" t="s">
        <v>26859</v>
      </c>
    </row>
    <row r="9223" spans="1:7">
      <c r="A9223" t="s">
        <v>36963</v>
      </c>
      <c r="B9223" t="s">
        <v>8607</v>
      </c>
      <c r="F9223" t="s">
        <v>9018</v>
      </c>
      <c r="G9223" t="s">
        <v>18567</v>
      </c>
    </row>
    <row r="9224" spans="1:7">
      <c r="A9224" t="s">
        <v>36964</v>
      </c>
      <c r="B9224" t="s">
        <v>8607</v>
      </c>
      <c r="G9224" t="s">
        <v>36965</v>
      </c>
    </row>
    <row r="9225" spans="1:7">
      <c r="A9225" t="s">
        <v>36966</v>
      </c>
      <c r="G9225" t="s">
        <v>36967</v>
      </c>
    </row>
    <row r="9226" spans="1:7">
      <c r="A9226" t="s">
        <v>36968</v>
      </c>
      <c r="G9226" t="s">
        <v>30803</v>
      </c>
    </row>
    <row r="9227" spans="1:7">
      <c r="A9227" t="s">
        <v>36969</v>
      </c>
      <c r="B9227" t="s">
        <v>8607</v>
      </c>
      <c r="F9227" t="s">
        <v>17320</v>
      </c>
      <c r="G9227" t="s">
        <v>17404</v>
      </c>
    </row>
    <row r="9228" spans="1:7">
      <c r="A9228" t="s">
        <v>36970</v>
      </c>
      <c r="B9228" t="s">
        <v>8607</v>
      </c>
      <c r="G9228" t="s">
        <v>26326</v>
      </c>
    </row>
    <row r="9229" spans="1:7">
      <c r="A9229" t="s">
        <v>36971</v>
      </c>
      <c r="B9229" t="s">
        <v>8607</v>
      </c>
      <c r="F9229" t="s">
        <v>34570</v>
      </c>
      <c r="G9229" t="s">
        <v>36972</v>
      </c>
    </row>
    <row r="9230" spans="1:7">
      <c r="A9230" t="s">
        <v>36973</v>
      </c>
      <c r="C9230" t="s">
        <v>36974</v>
      </c>
      <c r="G9230" t="s">
        <v>36975</v>
      </c>
    </row>
    <row r="9231" spans="1:7">
      <c r="A9231" t="s">
        <v>36976</v>
      </c>
      <c r="B9231" t="s">
        <v>8607</v>
      </c>
      <c r="C9231" t="s">
        <v>28071</v>
      </c>
      <c r="F9231" t="s">
        <v>17327</v>
      </c>
      <c r="G9231" t="s">
        <v>28072</v>
      </c>
    </row>
    <row r="9232" spans="1:7">
      <c r="A9232" t="s">
        <v>36977</v>
      </c>
      <c r="B9232" t="s">
        <v>8626</v>
      </c>
      <c r="F9232" t="s">
        <v>26698</v>
      </c>
      <c r="G9232" t="s">
        <v>36978</v>
      </c>
    </row>
    <row r="9233" spans="1:7">
      <c r="A9233" t="s">
        <v>36979</v>
      </c>
      <c r="B9233" t="s">
        <v>8607</v>
      </c>
      <c r="F9233" t="s">
        <v>8797</v>
      </c>
      <c r="G9233" t="s">
        <v>19222</v>
      </c>
    </row>
    <row r="9234" spans="1:7">
      <c r="A9234" t="s">
        <v>36980</v>
      </c>
      <c r="G9234" t="s">
        <v>34947</v>
      </c>
    </row>
    <row r="9235" spans="1:7">
      <c r="A9235" t="s">
        <v>36981</v>
      </c>
      <c r="B9235" t="s">
        <v>8626</v>
      </c>
      <c r="F9235" t="s">
        <v>9018</v>
      </c>
      <c r="G9235" t="s">
        <v>33396</v>
      </c>
    </row>
    <row r="9236" spans="1:7">
      <c r="A9236" t="s">
        <v>36982</v>
      </c>
      <c r="B9236" t="s">
        <v>8626</v>
      </c>
      <c r="G9236" t="s">
        <v>33398</v>
      </c>
    </row>
    <row r="9237" spans="1:7">
      <c r="A9237" t="s">
        <v>36983</v>
      </c>
      <c r="B9237" t="s">
        <v>8607</v>
      </c>
      <c r="F9237" t="s">
        <v>26919</v>
      </c>
      <c r="G9237" t="s">
        <v>26920</v>
      </c>
    </row>
    <row r="9238" spans="1:7">
      <c r="A9238" t="s">
        <v>36984</v>
      </c>
      <c r="B9238" t="s">
        <v>8607</v>
      </c>
      <c r="F9238" t="s">
        <v>17838</v>
      </c>
      <c r="G9238" t="s">
        <v>36985</v>
      </c>
    </row>
    <row r="9239" spans="1:7">
      <c r="A9239" t="s">
        <v>36986</v>
      </c>
      <c r="B9239" t="s">
        <v>8607</v>
      </c>
      <c r="C9239" t="s">
        <v>36987</v>
      </c>
      <c r="F9239" t="s">
        <v>36988</v>
      </c>
      <c r="G9239" t="s">
        <v>36989</v>
      </c>
    </row>
    <row r="9240" spans="1:7">
      <c r="A9240" t="s">
        <v>36990</v>
      </c>
      <c r="B9240" t="s">
        <v>8626</v>
      </c>
      <c r="C9240" t="s">
        <v>36991</v>
      </c>
      <c r="F9240" t="s">
        <v>17349</v>
      </c>
      <c r="G9240" t="s">
        <v>36992</v>
      </c>
    </row>
    <row r="9241" spans="1:7">
      <c r="A9241" t="s">
        <v>36993</v>
      </c>
      <c r="B9241" t="s">
        <v>8626</v>
      </c>
      <c r="F9241" t="s">
        <v>26547</v>
      </c>
      <c r="G9241" t="s">
        <v>36994</v>
      </c>
    </row>
    <row r="9242" spans="1:7">
      <c r="A9242" t="s">
        <v>36995</v>
      </c>
      <c r="B9242" t="s">
        <v>8607</v>
      </c>
      <c r="F9242" t="s">
        <v>8623</v>
      </c>
      <c r="G9242" t="s">
        <v>36996</v>
      </c>
    </row>
    <row r="9243" spans="1:7">
      <c r="A9243" t="s">
        <v>36997</v>
      </c>
      <c r="B9243" t="s">
        <v>8626</v>
      </c>
      <c r="G9243" t="s">
        <v>36998</v>
      </c>
    </row>
    <row r="9244" spans="1:7">
      <c r="A9244" t="s">
        <v>36999</v>
      </c>
      <c r="B9244" t="s">
        <v>8607</v>
      </c>
      <c r="F9244" t="s">
        <v>28676</v>
      </c>
      <c r="G9244" t="s">
        <v>37000</v>
      </c>
    </row>
    <row r="9245" spans="1:7">
      <c r="A9245" t="s">
        <v>37001</v>
      </c>
      <c r="B9245" t="s">
        <v>8607</v>
      </c>
      <c r="G9245" t="s">
        <v>19934</v>
      </c>
    </row>
    <row r="9246" spans="1:7">
      <c r="A9246" t="s">
        <v>37002</v>
      </c>
      <c r="B9246" t="s">
        <v>8607</v>
      </c>
      <c r="F9246" t="s">
        <v>26207</v>
      </c>
      <c r="G9246" t="s">
        <v>31290</v>
      </c>
    </row>
    <row r="9247" spans="1:7">
      <c r="A9247" t="s">
        <v>37003</v>
      </c>
      <c r="B9247" t="s">
        <v>8607</v>
      </c>
      <c r="F9247" t="s">
        <v>27423</v>
      </c>
      <c r="G9247" t="s">
        <v>28134</v>
      </c>
    </row>
    <row r="9248" spans="1:7">
      <c r="A9248" t="s">
        <v>37004</v>
      </c>
      <c r="B9248" t="s">
        <v>8607</v>
      </c>
      <c r="F9248" t="s">
        <v>26717</v>
      </c>
      <c r="G9248" t="s">
        <v>28136</v>
      </c>
    </row>
    <row r="9249" spans="1:7">
      <c r="A9249" t="s">
        <v>37005</v>
      </c>
      <c r="B9249" t="s">
        <v>8607</v>
      </c>
      <c r="F9249" t="s">
        <v>9018</v>
      </c>
      <c r="G9249" t="s">
        <v>37006</v>
      </c>
    </row>
    <row r="9250" spans="1:7">
      <c r="A9250" t="s">
        <v>37007</v>
      </c>
      <c r="B9250" t="s">
        <v>8607</v>
      </c>
      <c r="F9250" t="s">
        <v>26148</v>
      </c>
      <c r="G9250" t="s">
        <v>26149</v>
      </c>
    </row>
    <row r="9251" spans="1:7">
      <c r="A9251" t="s">
        <v>37008</v>
      </c>
      <c r="B9251" t="s">
        <v>8607</v>
      </c>
      <c r="F9251" t="s">
        <v>26116</v>
      </c>
      <c r="G9251" t="s">
        <v>26151</v>
      </c>
    </row>
    <row r="9252" spans="1:7">
      <c r="A9252" t="s">
        <v>37009</v>
      </c>
      <c r="B9252" t="s">
        <v>8607</v>
      </c>
      <c r="G9252" t="s">
        <v>26153</v>
      </c>
    </row>
    <row r="9253" spans="1:7">
      <c r="A9253" t="s">
        <v>37010</v>
      </c>
      <c r="B9253" t="s">
        <v>8626</v>
      </c>
      <c r="F9253" t="s">
        <v>26157</v>
      </c>
      <c r="G9253" t="s">
        <v>26158</v>
      </c>
    </row>
    <row r="9254" spans="1:7">
      <c r="A9254" t="s">
        <v>37011</v>
      </c>
      <c r="B9254" t="s">
        <v>8607</v>
      </c>
      <c r="C9254" t="s">
        <v>19494</v>
      </c>
      <c r="F9254" t="s">
        <v>13312</v>
      </c>
      <c r="G9254" t="s">
        <v>37012</v>
      </c>
    </row>
    <row r="9255" spans="1:7">
      <c r="A9255" t="s">
        <v>37013</v>
      </c>
      <c r="B9255" t="s">
        <v>8607</v>
      </c>
      <c r="C9255" t="s">
        <v>26591</v>
      </c>
      <c r="F9255" t="s">
        <v>9018</v>
      </c>
      <c r="G9255" t="s">
        <v>37014</v>
      </c>
    </row>
    <row r="9256" spans="1:7">
      <c r="A9256" t="s">
        <v>37015</v>
      </c>
      <c r="B9256" t="s">
        <v>8626</v>
      </c>
      <c r="F9256" t="s">
        <v>17429</v>
      </c>
      <c r="G9256" t="s">
        <v>37016</v>
      </c>
    </row>
    <row r="9257" spans="1:7">
      <c r="A9257" t="s">
        <v>37017</v>
      </c>
      <c r="B9257" t="s">
        <v>8626</v>
      </c>
      <c r="F9257" t="s">
        <v>26179</v>
      </c>
      <c r="G9257" t="s">
        <v>37018</v>
      </c>
    </row>
    <row r="9258" spans="1:7">
      <c r="A9258" t="s">
        <v>37019</v>
      </c>
      <c r="B9258" t="s">
        <v>8607</v>
      </c>
      <c r="F9258" t="s">
        <v>26725</v>
      </c>
      <c r="G9258" t="s">
        <v>28142</v>
      </c>
    </row>
    <row r="9259" spans="1:7">
      <c r="A9259" t="s">
        <v>37020</v>
      </c>
      <c r="B9259" t="s">
        <v>8607</v>
      </c>
      <c r="F9259" t="s">
        <v>31423</v>
      </c>
      <c r="G9259" t="s">
        <v>37021</v>
      </c>
    </row>
    <row r="9260" spans="1:7">
      <c r="A9260" t="s">
        <v>37022</v>
      </c>
      <c r="B9260" t="s">
        <v>8626</v>
      </c>
      <c r="F9260" t="s">
        <v>21832</v>
      </c>
      <c r="G9260" t="s">
        <v>30584</v>
      </c>
    </row>
    <row r="9261" spans="1:7">
      <c r="A9261" t="s">
        <v>37023</v>
      </c>
      <c r="B9261" t="s">
        <v>8607</v>
      </c>
      <c r="F9261" t="s">
        <v>9018</v>
      </c>
      <c r="G9261" t="s">
        <v>27293</v>
      </c>
    </row>
    <row r="9262" spans="1:7">
      <c r="A9262" t="s">
        <v>37024</v>
      </c>
      <c r="B9262" t="s">
        <v>8607</v>
      </c>
      <c r="C9262" t="s">
        <v>37025</v>
      </c>
      <c r="F9262" t="s">
        <v>33868</v>
      </c>
      <c r="G9262" t="s">
        <v>37026</v>
      </c>
    </row>
    <row r="9263" spans="1:7">
      <c r="A9263" t="s">
        <v>37027</v>
      </c>
      <c r="B9263" t="s">
        <v>8607</v>
      </c>
      <c r="F9263" t="s">
        <v>37028</v>
      </c>
      <c r="G9263" t="s">
        <v>37029</v>
      </c>
    </row>
    <row r="9264" spans="1:7">
      <c r="A9264" t="s">
        <v>37030</v>
      </c>
      <c r="B9264" t="s">
        <v>8626</v>
      </c>
      <c r="G9264" t="s">
        <v>37031</v>
      </c>
    </row>
    <row r="9265" spans="1:7">
      <c r="A9265" t="s">
        <v>37032</v>
      </c>
      <c r="B9265" t="s">
        <v>8607</v>
      </c>
      <c r="G9265" t="s">
        <v>37033</v>
      </c>
    </row>
    <row r="9266" spans="1:7">
      <c r="A9266" t="s">
        <v>37034</v>
      </c>
      <c r="B9266" t="s">
        <v>8626</v>
      </c>
      <c r="G9266" t="s">
        <v>37035</v>
      </c>
    </row>
    <row r="9267" spans="1:7">
      <c r="A9267" t="s">
        <v>37036</v>
      </c>
      <c r="B9267" t="s">
        <v>8607</v>
      </c>
      <c r="F9267" t="s">
        <v>27915</v>
      </c>
      <c r="G9267" t="s">
        <v>37037</v>
      </c>
    </row>
    <row r="9268" spans="1:7">
      <c r="A9268" t="s">
        <v>37038</v>
      </c>
      <c r="B9268" t="s">
        <v>8607</v>
      </c>
      <c r="F9268" t="s">
        <v>27753</v>
      </c>
      <c r="G9268" t="s">
        <v>37039</v>
      </c>
    </row>
    <row r="9269" spans="1:7">
      <c r="A9269" t="s">
        <v>37040</v>
      </c>
      <c r="B9269" t="s">
        <v>8626</v>
      </c>
      <c r="F9269" t="s">
        <v>26698</v>
      </c>
      <c r="G9269" t="s">
        <v>37041</v>
      </c>
    </row>
    <row r="9270" spans="1:7">
      <c r="A9270" t="s">
        <v>37042</v>
      </c>
      <c r="B9270" t="s">
        <v>8607</v>
      </c>
      <c r="C9270" t="s">
        <v>37043</v>
      </c>
      <c r="F9270" t="s">
        <v>26698</v>
      </c>
      <c r="G9270" t="s">
        <v>37044</v>
      </c>
    </row>
    <row r="9271" spans="1:7">
      <c r="A9271" t="s">
        <v>37045</v>
      </c>
      <c r="B9271" t="s">
        <v>8607</v>
      </c>
      <c r="G9271" t="s">
        <v>37046</v>
      </c>
    </row>
    <row r="9272" spans="1:7">
      <c r="A9272" t="s">
        <v>37047</v>
      </c>
      <c r="B9272" t="s">
        <v>8626</v>
      </c>
      <c r="G9272" t="s">
        <v>37048</v>
      </c>
    </row>
    <row r="9273" spans="1:7">
      <c r="A9273" t="s">
        <v>37049</v>
      </c>
      <c r="B9273" t="s">
        <v>8607</v>
      </c>
      <c r="C9273" t="s">
        <v>29660</v>
      </c>
      <c r="F9273" t="s">
        <v>18755</v>
      </c>
      <c r="G9273" t="s">
        <v>37050</v>
      </c>
    </row>
    <row r="9274" spans="1:7">
      <c r="A9274" t="s">
        <v>37051</v>
      </c>
      <c r="G9274" t="s">
        <v>37052</v>
      </c>
    </row>
    <row r="9275" spans="1:7">
      <c r="A9275" t="s">
        <v>37053</v>
      </c>
      <c r="B9275" t="s">
        <v>8607</v>
      </c>
      <c r="F9275" t="s">
        <v>26725</v>
      </c>
      <c r="G9275" t="s">
        <v>28142</v>
      </c>
    </row>
    <row r="9276" spans="1:7">
      <c r="A9276" t="s">
        <v>37054</v>
      </c>
      <c r="B9276" t="s">
        <v>8607</v>
      </c>
      <c r="F9276" t="s">
        <v>26555</v>
      </c>
      <c r="G9276" t="s">
        <v>37055</v>
      </c>
    </row>
    <row r="9277" spans="1:7">
      <c r="A9277" t="s">
        <v>37056</v>
      </c>
      <c r="B9277" t="s">
        <v>8626</v>
      </c>
      <c r="F9277" t="s">
        <v>23554</v>
      </c>
      <c r="G9277" t="s">
        <v>37057</v>
      </c>
    </row>
    <row r="9278" spans="1:7">
      <c r="A9278" t="s">
        <v>37058</v>
      </c>
      <c r="B9278" t="s">
        <v>8626</v>
      </c>
      <c r="G9278" t="s">
        <v>37059</v>
      </c>
    </row>
    <row r="9279" spans="1:7">
      <c r="A9279" t="s">
        <v>37060</v>
      </c>
      <c r="B9279" t="s">
        <v>8607</v>
      </c>
      <c r="F9279" t="s">
        <v>23859</v>
      </c>
      <c r="G9279" t="s">
        <v>37061</v>
      </c>
    </row>
    <row r="9280" spans="1:7">
      <c r="A9280" t="s">
        <v>37062</v>
      </c>
      <c r="B9280" t="s">
        <v>8607</v>
      </c>
      <c r="F9280" t="s">
        <v>37063</v>
      </c>
      <c r="G9280" t="s">
        <v>28052</v>
      </c>
    </row>
    <row r="9281" spans="1:7">
      <c r="A9281" t="s">
        <v>37064</v>
      </c>
      <c r="B9281" t="s">
        <v>8607</v>
      </c>
      <c r="G9281" t="s">
        <v>37065</v>
      </c>
    </row>
    <row r="9282" spans="1:7">
      <c r="A9282" t="s">
        <v>37066</v>
      </c>
      <c r="G9282" t="s">
        <v>37067</v>
      </c>
    </row>
    <row r="9283" spans="1:7">
      <c r="A9283" t="s">
        <v>37068</v>
      </c>
      <c r="B9283" t="s">
        <v>8607</v>
      </c>
      <c r="F9283" t="s">
        <v>18286</v>
      </c>
      <c r="G9283" t="s">
        <v>25163</v>
      </c>
    </row>
    <row r="9284" spans="1:7">
      <c r="A9284" t="s">
        <v>37069</v>
      </c>
      <c r="B9284" t="s">
        <v>8607</v>
      </c>
      <c r="F9284" t="s">
        <v>32946</v>
      </c>
      <c r="G9284" t="s">
        <v>37070</v>
      </c>
    </row>
    <row r="9285" spans="1:7">
      <c r="A9285" t="s">
        <v>37071</v>
      </c>
      <c r="B9285" t="s">
        <v>8626</v>
      </c>
      <c r="G9285" t="s">
        <v>33221</v>
      </c>
    </row>
    <row r="9286" spans="1:7">
      <c r="A9286" t="s">
        <v>37072</v>
      </c>
      <c r="B9286" t="s">
        <v>8626</v>
      </c>
      <c r="G9286" t="s">
        <v>37073</v>
      </c>
    </row>
    <row r="9287" spans="1:7">
      <c r="A9287" t="s">
        <v>37074</v>
      </c>
      <c r="B9287" t="s">
        <v>8607</v>
      </c>
      <c r="F9287" t="s">
        <v>27588</v>
      </c>
      <c r="G9287" t="s">
        <v>37075</v>
      </c>
    </row>
    <row r="9288" spans="1:7">
      <c r="A9288" t="s">
        <v>37076</v>
      </c>
      <c r="B9288" t="s">
        <v>8626</v>
      </c>
      <c r="C9288" t="s">
        <v>37077</v>
      </c>
      <c r="F9288" t="s">
        <v>26145</v>
      </c>
      <c r="G9288" t="s">
        <v>37078</v>
      </c>
    </row>
    <row r="9289" spans="1:7">
      <c r="A9289" t="s">
        <v>37079</v>
      </c>
      <c r="B9289" t="s">
        <v>8607</v>
      </c>
      <c r="F9289" t="s">
        <v>26127</v>
      </c>
      <c r="G9289" t="s">
        <v>26128</v>
      </c>
    </row>
    <row r="9290" spans="1:7">
      <c r="A9290" t="s">
        <v>37080</v>
      </c>
      <c r="B9290" t="s">
        <v>8626</v>
      </c>
      <c r="F9290" t="s">
        <v>37081</v>
      </c>
      <c r="G9290" t="s">
        <v>37082</v>
      </c>
    </row>
    <row r="9291" spans="1:7">
      <c r="A9291" t="s">
        <v>37083</v>
      </c>
      <c r="B9291" t="s">
        <v>8607</v>
      </c>
      <c r="G9291" t="s">
        <v>34554</v>
      </c>
    </row>
    <row r="9292" spans="1:7">
      <c r="A9292" t="s">
        <v>37084</v>
      </c>
      <c r="B9292" t="s">
        <v>8607</v>
      </c>
      <c r="F9292" t="s">
        <v>31111</v>
      </c>
      <c r="G9292" t="s">
        <v>37085</v>
      </c>
    </row>
    <row r="9293" spans="1:7">
      <c r="A9293" t="s">
        <v>37086</v>
      </c>
      <c r="G9293" t="s">
        <v>37087</v>
      </c>
    </row>
    <row r="9294" spans="1:7">
      <c r="A9294" t="s">
        <v>37088</v>
      </c>
      <c r="B9294" t="s">
        <v>8626</v>
      </c>
      <c r="G9294" t="s">
        <v>30625</v>
      </c>
    </row>
    <row r="9295" spans="1:7">
      <c r="A9295" t="s">
        <v>37089</v>
      </c>
      <c r="B9295" t="s">
        <v>8607</v>
      </c>
      <c r="F9295" t="s">
        <v>8623</v>
      </c>
      <c r="G9295" t="s">
        <v>37090</v>
      </c>
    </row>
    <row r="9296" spans="1:7">
      <c r="A9296" t="s">
        <v>37091</v>
      </c>
      <c r="B9296" t="s">
        <v>8607</v>
      </c>
      <c r="F9296" t="s">
        <v>21331</v>
      </c>
      <c r="G9296" t="s">
        <v>37092</v>
      </c>
    </row>
    <row r="9297" spans="1:7">
      <c r="A9297" t="s">
        <v>37093</v>
      </c>
      <c r="B9297" t="s">
        <v>8607</v>
      </c>
      <c r="F9297" t="s">
        <v>31060</v>
      </c>
      <c r="G9297" t="s">
        <v>37094</v>
      </c>
    </row>
    <row r="9298" spans="1:7">
      <c r="A9298" t="s">
        <v>37095</v>
      </c>
      <c r="B9298" t="s">
        <v>8626</v>
      </c>
      <c r="F9298" t="s">
        <v>21912</v>
      </c>
      <c r="G9298" t="s">
        <v>34647</v>
      </c>
    </row>
    <row r="9299" spans="1:7">
      <c r="A9299" t="s">
        <v>37096</v>
      </c>
      <c r="B9299" t="s">
        <v>8626</v>
      </c>
      <c r="F9299" t="s">
        <v>37097</v>
      </c>
      <c r="G9299" t="s">
        <v>37098</v>
      </c>
    </row>
    <row r="9300" spans="1:7">
      <c r="A9300" t="s">
        <v>37099</v>
      </c>
      <c r="B9300" t="s">
        <v>8607</v>
      </c>
      <c r="F9300" t="s">
        <v>27462</v>
      </c>
      <c r="G9300" t="s">
        <v>37100</v>
      </c>
    </row>
    <row r="9301" spans="1:7">
      <c r="A9301" t="s">
        <v>37101</v>
      </c>
      <c r="B9301" t="s">
        <v>8626</v>
      </c>
      <c r="G9301" t="s">
        <v>37102</v>
      </c>
    </row>
    <row r="9302" spans="1:7">
      <c r="A9302" t="s">
        <v>37103</v>
      </c>
      <c r="B9302" t="s">
        <v>8607</v>
      </c>
      <c r="F9302" t="s">
        <v>37104</v>
      </c>
      <c r="G9302" t="s">
        <v>37105</v>
      </c>
    </row>
    <row r="9303" spans="1:7">
      <c r="A9303" t="s">
        <v>37106</v>
      </c>
      <c r="B9303" t="s">
        <v>8626</v>
      </c>
      <c r="C9303" t="s">
        <v>28225</v>
      </c>
      <c r="F9303" t="s">
        <v>9018</v>
      </c>
      <c r="G9303" t="s">
        <v>37107</v>
      </c>
    </row>
    <row r="9304" spans="1:7">
      <c r="A9304" t="s">
        <v>37108</v>
      </c>
      <c r="B9304" t="s">
        <v>8607</v>
      </c>
      <c r="F9304" t="s">
        <v>20201</v>
      </c>
      <c r="G9304" t="s">
        <v>37109</v>
      </c>
    </row>
    <row r="9305" spans="1:7">
      <c r="A9305" t="s">
        <v>37110</v>
      </c>
      <c r="B9305" t="s">
        <v>8607</v>
      </c>
      <c r="F9305" t="s">
        <v>37111</v>
      </c>
      <c r="G9305" t="s">
        <v>37112</v>
      </c>
    </row>
    <row r="9306" spans="1:7">
      <c r="A9306" t="s">
        <v>37113</v>
      </c>
      <c r="B9306" t="s">
        <v>8607</v>
      </c>
      <c r="F9306" t="s">
        <v>26104</v>
      </c>
      <c r="G9306" t="s">
        <v>37114</v>
      </c>
    </row>
    <row r="9307" spans="1:7">
      <c r="A9307" t="s">
        <v>37115</v>
      </c>
      <c r="B9307" t="s">
        <v>8626</v>
      </c>
      <c r="G9307" t="s">
        <v>37116</v>
      </c>
    </row>
    <row r="9308" spans="1:7">
      <c r="A9308" t="s">
        <v>37117</v>
      </c>
      <c r="B9308" t="s">
        <v>8607</v>
      </c>
      <c r="F9308" t="s">
        <v>35059</v>
      </c>
      <c r="G9308" t="s">
        <v>37118</v>
      </c>
    </row>
    <row r="9309" spans="1:7">
      <c r="A9309" t="s">
        <v>37119</v>
      </c>
      <c r="B9309" t="s">
        <v>8607</v>
      </c>
      <c r="G9309" t="s">
        <v>37120</v>
      </c>
    </row>
    <row r="9310" spans="1:7">
      <c r="A9310" t="s">
        <v>37121</v>
      </c>
      <c r="B9310" t="s">
        <v>8607</v>
      </c>
      <c r="G9310" t="s">
        <v>21709</v>
      </c>
    </row>
    <row r="9311" spans="1:7">
      <c r="A9311" t="s">
        <v>37122</v>
      </c>
      <c r="B9311" t="s">
        <v>8626</v>
      </c>
      <c r="F9311" t="s">
        <v>37123</v>
      </c>
      <c r="G9311" t="s">
        <v>37124</v>
      </c>
    </row>
    <row r="9312" spans="1:7">
      <c r="A9312" t="s">
        <v>37125</v>
      </c>
      <c r="B9312" t="s">
        <v>8626</v>
      </c>
      <c r="F9312" t="s">
        <v>37126</v>
      </c>
      <c r="G9312" t="s">
        <v>37127</v>
      </c>
    </row>
    <row r="9313" spans="1:7">
      <c r="A9313" t="s">
        <v>37128</v>
      </c>
      <c r="B9313" t="s">
        <v>8607</v>
      </c>
      <c r="G9313" t="s">
        <v>27756</v>
      </c>
    </row>
    <row r="9314" spans="1:7">
      <c r="A9314" t="s">
        <v>37129</v>
      </c>
      <c r="B9314" t="s">
        <v>8626</v>
      </c>
      <c r="F9314" t="s">
        <v>26425</v>
      </c>
      <c r="G9314" t="s">
        <v>32555</v>
      </c>
    </row>
    <row r="9315" spans="1:7">
      <c r="A9315" t="s">
        <v>37130</v>
      </c>
      <c r="B9315" t="s">
        <v>8607</v>
      </c>
      <c r="F9315" t="s">
        <v>19172</v>
      </c>
      <c r="G9315" t="s">
        <v>19173</v>
      </c>
    </row>
    <row r="9316" spans="1:7">
      <c r="A9316" t="s">
        <v>37131</v>
      </c>
      <c r="B9316" t="s">
        <v>8626</v>
      </c>
      <c r="F9316" t="s">
        <v>20186</v>
      </c>
      <c r="G9316" t="s">
        <v>32445</v>
      </c>
    </row>
    <row r="9317" spans="1:7">
      <c r="A9317" t="s">
        <v>37132</v>
      </c>
      <c r="B9317" t="s">
        <v>8626</v>
      </c>
      <c r="F9317" t="s">
        <v>26176</v>
      </c>
      <c r="G9317" t="s">
        <v>37133</v>
      </c>
    </row>
    <row r="9318" spans="1:7">
      <c r="A9318" t="s">
        <v>37134</v>
      </c>
      <c r="B9318" t="s">
        <v>8607</v>
      </c>
      <c r="F9318" t="s">
        <v>27594</v>
      </c>
      <c r="G9318" t="s">
        <v>27788</v>
      </c>
    </row>
    <row r="9319" spans="1:7">
      <c r="A9319" t="s">
        <v>37135</v>
      </c>
      <c r="B9319" t="s">
        <v>8607</v>
      </c>
      <c r="G9319" t="s">
        <v>32439</v>
      </c>
    </row>
    <row r="9320" spans="1:7">
      <c r="A9320" t="s">
        <v>37136</v>
      </c>
      <c r="B9320" t="s">
        <v>8607</v>
      </c>
      <c r="C9320" t="s">
        <v>37137</v>
      </c>
      <c r="F9320" t="s">
        <v>9018</v>
      </c>
      <c r="G9320" t="s">
        <v>31905</v>
      </c>
    </row>
    <row r="9321" spans="1:7">
      <c r="A9321" t="s">
        <v>37138</v>
      </c>
      <c r="B9321" t="s">
        <v>8607</v>
      </c>
      <c r="F9321" t="s">
        <v>20844</v>
      </c>
      <c r="G9321" t="s">
        <v>27571</v>
      </c>
    </row>
    <row r="9322" spans="1:7">
      <c r="A9322" t="s">
        <v>37139</v>
      </c>
      <c r="G9322" t="s">
        <v>37140</v>
      </c>
    </row>
    <row r="9323" spans="1:7">
      <c r="A9323" t="s">
        <v>37141</v>
      </c>
      <c r="B9323" t="s">
        <v>8607</v>
      </c>
      <c r="G9323" t="s">
        <v>37142</v>
      </c>
    </row>
    <row r="9324" spans="1:7">
      <c r="A9324" t="s">
        <v>37143</v>
      </c>
      <c r="G9324" t="s">
        <v>37144</v>
      </c>
    </row>
    <row r="9325" spans="1:7">
      <c r="A9325" t="s">
        <v>37145</v>
      </c>
      <c r="B9325" t="s">
        <v>8607</v>
      </c>
      <c r="C9325" t="s">
        <v>26315</v>
      </c>
      <c r="F9325" t="s">
        <v>17320</v>
      </c>
      <c r="G9325" t="s">
        <v>37146</v>
      </c>
    </row>
    <row r="9326" spans="1:7">
      <c r="A9326" t="s">
        <v>37147</v>
      </c>
      <c r="G9326" t="s">
        <v>37148</v>
      </c>
    </row>
    <row r="9327" spans="1:7">
      <c r="A9327" t="s">
        <v>37149</v>
      </c>
      <c r="B9327" t="s">
        <v>8607</v>
      </c>
      <c r="F9327" t="s">
        <v>21331</v>
      </c>
      <c r="G9327" t="s">
        <v>37150</v>
      </c>
    </row>
    <row r="9328" spans="1:7">
      <c r="A9328" t="s">
        <v>37151</v>
      </c>
      <c r="B9328" t="s">
        <v>8626</v>
      </c>
      <c r="G9328" t="s">
        <v>37152</v>
      </c>
    </row>
    <row r="9329" spans="1:7">
      <c r="A9329" t="s">
        <v>37153</v>
      </c>
      <c r="B9329" t="s">
        <v>8626</v>
      </c>
      <c r="G9329" t="s">
        <v>37154</v>
      </c>
    </row>
    <row r="9330" spans="1:7">
      <c r="A9330" t="s">
        <v>37155</v>
      </c>
      <c r="B9330" t="s">
        <v>8626</v>
      </c>
      <c r="F9330" t="s">
        <v>17779</v>
      </c>
      <c r="G9330" t="s">
        <v>37156</v>
      </c>
    </row>
    <row r="9331" spans="1:7">
      <c r="A9331" t="s">
        <v>37157</v>
      </c>
      <c r="B9331" t="s">
        <v>8607</v>
      </c>
      <c r="F9331" t="s">
        <v>37158</v>
      </c>
      <c r="G9331" t="s">
        <v>37159</v>
      </c>
    </row>
    <row r="9332" spans="1:7">
      <c r="A9332" t="s">
        <v>37160</v>
      </c>
      <c r="B9332" t="s">
        <v>8626</v>
      </c>
      <c r="G9332" t="s">
        <v>37161</v>
      </c>
    </row>
    <row r="9333" spans="1:7">
      <c r="A9333" t="s">
        <v>37162</v>
      </c>
      <c r="B9333" t="s">
        <v>8607</v>
      </c>
      <c r="F9333" t="s">
        <v>27688</v>
      </c>
      <c r="G9333" t="s">
        <v>37163</v>
      </c>
    </row>
    <row r="9334" spans="1:7">
      <c r="A9334" t="s">
        <v>37164</v>
      </c>
      <c r="B9334" t="s">
        <v>8607</v>
      </c>
      <c r="G9334" t="s">
        <v>37165</v>
      </c>
    </row>
    <row r="9335" spans="1:7">
      <c r="A9335" t="s">
        <v>37166</v>
      </c>
      <c r="B9335" t="s">
        <v>8607</v>
      </c>
      <c r="C9335" t="s">
        <v>30912</v>
      </c>
      <c r="F9335" t="s">
        <v>21832</v>
      </c>
      <c r="G9335" t="s">
        <v>37167</v>
      </c>
    </row>
    <row r="9336" spans="1:7">
      <c r="A9336" t="s">
        <v>37168</v>
      </c>
      <c r="B9336" t="s">
        <v>8607</v>
      </c>
      <c r="G9336" t="s">
        <v>31140</v>
      </c>
    </row>
    <row r="9337" spans="1:7">
      <c r="A9337" t="s">
        <v>37169</v>
      </c>
      <c r="B9337" t="s">
        <v>8607</v>
      </c>
      <c r="F9337" t="s">
        <v>28088</v>
      </c>
      <c r="G9337" t="s">
        <v>37170</v>
      </c>
    </row>
    <row r="9338" spans="1:7">
      <c r="A9338" t="s">
        <v>37171</v>
      </c>
      <c r="B9338" t="s">
        <v>8607</v>
      </c>
      <c r="F9338" t="s">
        <v>28091</v>
      </c>
      <c r="G9338" t="s">
        <v>37172</v>
      </c>
    </row>
    <row r="9339" spans="1:7">
      <c r="A9339" t="s">
        <v>37173</v>
      </c>
      <c r="B9339" t="s">
        <v>8626</v>
      </c>
      <c r="F9339" t="s">
        <v>30983</v>
      </c>
      <c r="G9339" t="s">
        <v>37174</v>
      </c>
    </row>
    <row r="9340" spans="1:7">
      <c r="A9340" t="s">
        <v>37175</v>
      </c>
      <c r="B9340" t="s">
        <v>8607</v>
      </c>
      <c r="F9340" t="s">
        <v>26173</v>
      </c>
      <c r="G9340" t="s">
        <v>37176</v>
      </c>
    </row>
    <row r="9341" spans="1:7">
      <c r="A9341" t="s">
        <v>37177</v>
      </c>
      <c r="G9341" t="s">
        <v>37178</v>
      </c>
    </row>
    <row r="9342" spans="1:7">
      <c r="A9342" t="s">
        <v>37179</v>
      </c>
      <c r="B9342" t="s">
        <v>8607</v>
      </c>
      <c r="F9342" t="s">
        <v>20201</v>
      </c>
      <c r="G9342" t="s">
        <v>28205</v>
      </c>
    </row>
    <row r="9343" spans="1:7">
      <c r="A9343" t="s">
        <v>37180</v>
      </c>
      <c r="G9343" t="s">
        <v>37181</v>
      </c>
    </row>
    <row r="9344" spans="1:7">
      <c r="A9344" t="s">
        <v>37182</v>
      </c>
      <c r="B9344" t="s">
        <v>8607</v>
      </c>
      <c r="F9344" t="s">
        <v>17257</v>
      </c>
      <c r="G9344" t="s">
        <v>17258</v>
      </c>
    </row>
    <row r="9345" spans="1:7">
      <c r="A9345" t="s">
        <v>37183</v>
      </c>
      <c r="B9345" t="s">
        <v>8607</v>
      </c>
      <c r="F9345" t="s">
        <v>37184</v>
      </c>
      <c r="G9345" t="s">
        <v>37185</v>
      </c>
    </row>
    <row r="9346" spans="1:7">
      <c r="A9346" t="s">
        <v>37186</v>
      </c>
      <c r="B9346" t="s">
        <v>8607</v>
      </c>
      <c r="F9346" t="s">
        <v>10676</v>
      </c>
      <c r="G9346" t="s">
        <v>37187</v>
      </c>
    </row>
    <row r="9347" spans="1:7">
      <c r="A9347" t="s">
        <v>37188</v>
      </c>
      <c r="B9347" t="s">
        <v>8607</v>
      </c>
      <c r="F9347" t="s">
        <v>37189</v>
      </c>
      <c r="G9347" t="s">
        <v>37190</v>
      </c>
    </row>
    <row r="9348" spans="1:7">
      <c r="A9348" t="s">
        <v>37191</v>
      </c>
      <c r="B9348" t="s">
        <v>8607</v>
      </c>
      <c r="G9348" t="s">
        <v>27756</v>
      </c>
    </row>
    <row r="9349" spans="1:7">
      <c r="A9349" t="s">
        <v>37192</v>
      </c>
      <c r="B9349" t="s">
        <v>8626</v>
      </c>
      <c r="F9349" t="s">
        <v>26425</v>
      </c>
      <c r="G9349" t="s">
        <v>32555</v>
      </c>
    </row>
    <row r="9350" spans="1:7">
      <c r="A9350" t="s">
        <v>37193</v>
      </c>
      <c r="B9350" t="s">
        <v>8607</v>
      </c>
      <c r="F9350" t="s">
        <v>19172</v>
      </c>
      <c r="G9350" t="s">
        <v>30215</v>
      </c>
    </row>
    <row r="9351" spans="1:7">
      <c r="A9351" t="s">
        <v>37194</v>
      </c>
      <c r="G9351" t="s">
        <v>37195</v>
      </c>
    </row>
    <row r="9352" spans="1:7">
      <c r="A9352" t="s">
        <v>37196</v>
      </c>
      <c r="B9352" t="s">
        <v>8607</v>
      </c>
      <c r="F9352" t="s">
        <v>26176</v>
      </c>
      <c r="G9352" t="s">
        <v>28272</v>
      </c>
    </row>
    <row r="9353" spans="1:7">
      <c r="A9353" t="s">
        <v>37197</v>
      </c>
      <c r="B9353" t="s">
        <v>8607</v>
      </c>
      <c r="F9353" t="s">
        <v>26207</v>
      </c>
      <c r="G9353" t="s">
        <v>26249</v>
      </c>
    </row>
    <row r="9354" spans="1:7">
      <c r="A9354" t="s">
        <v>37198</v>
      </c>
      <c r="B9354" t="s">
        <v>8607</v>
      </c>
      <c r="G9354" t="s">
        <v>37199</v>
      </c>
    </row>
    <row r="9355" spans="1:7">
      <c r="A9355" t="s">
        <v>37200</v>
      </c>
      <c r="B9355" t="s">
        <v>8607</v>
      </c>
      <c r="F9355" t="s">
        <v>26104</v>
      </c>
      <c r="G9355" t="s">
        <v>26171</v>
      </c>
    </row>
    <row r="9356" spans="1:7">
      <c r="A9356" t="s">
        <v>37201</v>
      </c>
      <c r="B9356" t="s">
        <v>8607</v>
      </c>
      <c r="C9356" t="s">
        <v>26107</v>
      </c>
      <c r="F9356" t="s">
        <v>26108</v>
      </c>
      <c r="G9356" t="s">
        <v>33061</v>
      </c>
    </row>
    <row r="9357" spans="1:7">
      <c r="A9357" t="s">
        <v>37202</v>
      </c>
      <c r="B9357" t="s">
        <v>8626</v>
      </c>
      <c r="F9357" t="s">
        <v>18894</v>
      </c>
      <c r="G9357" t="s">
        <v>37203</v>
      </c>
    </row>
    <row r="9358" spans="1:7">
      <c r="A9358" t="s">
        <v>37204</v>
      </c>
      <c r="B9358" t="s">
        <v>8607</v>
      </c>
      <c r="F9358" t="s">
        <v>30571</v>
      </c>
      <c r="G9358" t="s">
        <v>31054</v>
      </c>
    </row>
    <row r="9359" spans="1:7">
      <c r="A9359" t="s">
        <v>37205</v>
      </c>
      <c r="B9359" t="s">
        <v>8607</v>
      </c>
      <c r="F9359" t="s">
        <v>30239</v>
      </c>
      <c r="G9359" t="s">
        <v>30240</v>
      </c>
    </row>
    <row r="9360" spans="1:7">
      <c r="A9360" t="s">
        <v>37206</v>
      </c>
      <c r="B9360" t="s">
        <v>8626</v>
      </c>
      <c r="F9360" t="s">
        <v>19974</v>
      </c>
      <c r="G9360" t="s">
        <v>37207</v>
      </c>
    </row>
    <row r="9361" spans="1:7">
      <c r="A9361" t="s">
        <v>37208</v>
      </c>
      <c r="B9361" t="s">
        <v>8607</v>
      </c>
      <c r="G9361" t="s">
        <v>37142</v>
      </c>
    </row>
    <row r="9362" spans="1:7">
      <c r="A9362" t="s">
        <v>37209</v>
      </c>
      <c r="B9362" t="s">
        <v>8607</v>
      </c>
      <c r="F9362" t="s">
        <v>31060</v>
      </c>
      <c r="G9362" t="s">
        <v>37094</v>
      </c>
    </row>
    <row r="9363" spans="1:7">
      <c r="A9363" t="s">
        <v>37210</v>
      </c>
      <c r="B9363" t="s">
        <v>8626</v>
      </c>
      <c r="F9363" t="s">
        <v>21912</v>
      </c>
      <c r="G9363" t="s">
        <v>34647</v>
      </c>
    </row>
    <row r="9364" spans="1:7">
      <c r="A9364" t="s">
        <v>37211</v>
      </c>
      <c r="B9364" t="s">
        <v>8607</v>
      </c>
      <c r="F9364" t="s">
        <v>21331</v>
      </c>
      <c r="G9364" t="s">
        <v>37092</v>
      </c>
    </row>
    <row r="9365" spans="1:7">
      <c r="A9365" t="s">
        <v>37212</v>
      </c>
      <c r="B9365" t="s">
        <v>8607</v>
      </c>
      <c r="F9365" t="s">
        <v>37213</v>
      </c>
      <c r="G9365" t="s">
        <v>37214</v>
      </c>
    </row>
    <row r="9366" spans="1:7">
      <c r="A9366" t="s">
        <v>37215</v>
      </c>
      <c r="B9366" t="s">
        <v>8626</v>
      </c>
      <c r="F9366" t="s">
        <v>12458</v>
      </c>
      <c r="G9366" t="s">
        <v>37216</v>
      </c>
    </row>
    <row r="9367" spans="1:7">
      <c r="A9367" t="s">
        <v>37217</v>
      </c>
      <c r="B9367" t="s">
        <v>8626</v>
      </c>
      <c r="G9367" t="s">
        <v>27326</v>
      </c>
    </row>
    <row r="9368" spans="1:7">
      <c r="A9368" t="s">
        <v>37218</v>
      </c>
      <c r="B9368" t="s">
        <v>8607</v>
      </c>
      <c r="F9368" t="s">
        <v>26855</v>
      </c>
      <c r="G9368" t="s">
        <v>17899</v>
      </c>
    </row>
    <row r="9369" spans="1:7">
      <c r="A9369" t="s">
        <v>37219</v>
      </c>
      <c r="B9369" t="s">
        <v>8607</v>
      </c>
      <c r="F9369" t="s">
        <v>27323</v>
      </c>
      <c r="G9369" t="s">
        <v>27324</v>
      </c>
    </row>
    <row r="9370" spans="1:7">
      <c r="A9370" t="s">
        <v>37220</v>
      </c>
      <c r="B9370" t="s">
        <v>8626</v>
      </c>
      <c r="F9370" t="s">
        <v>33672</v>
      </c>
      <c r="G9370" t="s">
        <v>37221</v>
      </c>
    </row>
    <row r="9371" spans="1:7">
      <c r="A9371" t="s">
        <v>37222</v>
      </c>
      <c r="B9371" t="s">
        <v>8607</v>
      </c>
      <c r="F9371" t="s">
        <v>26425</v>
      </c>
      <c r="G9371" t="s">
        <v>37223</v>
      </c>
    </row>
    <row r="9372" spans="1:7">
      <c r="A9372" t="s">
        <v>37224</v>
      </c>
      <c r="B9372" t="s">
        <v>8607</v>
      </c>
      <c r="F9372" t="s">
        <v>19172</v>
      </c>
      <c r="G9372" t="s">
        <v>37225</v>
      </c>
    </row>
    <row r="9373" spans="1:7">
      <c r="A9373" t="s">
        <v>37226</v>
      </c>
      <c r="B9373" t="s">
        <v>8626</v>
      </c>
      <c r="F9373" t="s">
        <v>18894</v>
      </c>
      <c r="G9373" t="s">
        <v>37227</v>
      </c>
    </row>
    <row r="9374" spans="1:7">
      <c r="A9374" t="s">
        <v>37228</v>
      </c>
      <c r="B9374" t="s">
        <v>8607</v>
      </c>
      <c r="F9374" t="s">
        <v>26176</v>
      </c>
      <c r="G9374" t="s">
        <v>37229</v>
      </c>
    </row>
    <row r="9375" spans="1:7">
      <c r="A9375" t="s">
        <v>37230</v>
      </c>
      <c r="B9375" t="s">
        <v>8607</v>
      </c>
      <c r="G9375" t="s">
        <v>37231</v>
      </c>
    </row>
    <row r="9376" spans="1:7">
      <c r="A9376" t="s">
        <v>37232</v>
      </c>
      <c r="B9376" t="s">
        <v>8607</v>
      </c>
      <c r="C9376" t="s">
        <v>37233</v>
      </c>
      <c r="F9376" t="s">
        <v>26207</v>
      </c>
      <c r="G9376" t="s">
        <v>37234</v>
      </c>
    </row>
    <row r="9377" spans="1:7">
      <c r="A9377" t="s">
        <v>37235</v>
      </c>
      <c r="B9377" t="s">
        <v>8626</v>
      </c>
      <c r="F9377" t="s">
        <v>26420</v>
      </c>
      <c r="G9377" t="s">
        <v>37236</v>
      </c>
    </row>
    <row r="9378" spans="1:7">
      <c r="A9378" t="s">
        <v>37237</v>
      </c>
      <c r="B9378" t="s">
        <v>8607</v>
      </c>
      <c r="G9378" t="s">
        <v>37238</v>
      </c>
    </row>
    <row r="9379" spans="1:7">
      <c r="A9379" t="s">
        <v>37239</v>
      </c>
      <c r="B9379" t="s">
        <v>8626</v>
      </c>
      <c r="F9379" t="s">
        <v>17928</v>
      </c>
      <c r="G9379" t="s">
        <v>37240</v>
      </c>
    </row>
    <row r="9380" spans="1:7">
      <c r="A9380" t="s">
        <v>37241</v>
      </c>
      <c r="B9380" t="s">
        <v>8607</v>
      </c>
      <c r="F9380" t="s">
        <v>28207</v>
      </c>
      <c r="G9380" t="s">
        <v>37242</v>
      </c>
    </row>
    <row r="9381" spans="1:7">
      <c r="A9381" t="s">
        <v>37243</v>
      </c>
      <c r="B9381" t="s">
        <v>8607</v>
      </c>
      <c r="G9381" t="s">
        <v>27558</v>
      </c>
    </row>
    <row r="9382" spans="1:7">
      <c r="A9382" t="s">
        <v>37244</v>
      </c>
      <c r="B9382" t="s">
        <v>8607</v>
      </c>
      <c r="F9382" t="s">
        <v>32081</v>
      </c>
      <c r="G9382" t="s">
        <v>28428</v>
      </c>
    </row>
    <row r="9383" spans="1:7">
      <c r="A9383" t="s">
        <v>37245</v>
      </c>
      <c r="B9383" t="s">
        <v>8607</v>
      </c>
      <c r="F9383" t="s">
        <v>18513</v>
      </c>
      <c r="G9383" t="s">
        <v>28428</v>
      </c>
    </row>
    <row r="9384" spans="1:7">
      <c r="A9384" t="s">
        <v>37246</v>
      </c>
      <c r="B9384" t="s">
        <v>8626</v>
      </c>
      <c r="G9384" t="s">
        <v>37247</v>
      </c>
    </row>
    <row r="9385" spans="1:7">
      <c r="A9385" t="s">
        <v>37248</v>
      </c>
      <c r="B9385" t="s">
        <v>8626</v>
      </c>
      <c r="G9385" t="s">
        <v>37249</v>
      </c>
    </row>
    <row r="9386" spans="1:7">
      <c r="A9386" t="s">
        <v>37250</v>
      </c>
      <c r="B9386" t="s">
        <v>8626</v>
      </c>
      <c r="F9386" t="s">
        <v>18854</v>
      </c>
      <c r="G9386" t="s">
        <v>18855</v>
      </c>
    </row>
    <row r="9387" spans="1:7">
      <c r="A9387" t="s">
        <v>37251</v>
      </c>
      <c r="B9387" t="s">
        <v>8607</v>
      </c>
      <c r="F9387" t="s">
        <v>31561</v>
      </c>
      <c r="G9387" t="s">
        <v>27657</v>
      </c>
    </row>
    <row r="9388" spans="1:7">
      <c r="A9388" t="s">
        <v>37252</v>
      </c>
      <c r="B9388" t="s">
        <v>8626</v>
      </c>
      <c r="F9388" t="s">
        <v>26417</v>
      </c>
      <c r="G9388" t="s">
        <v>37253</v>
      </c>
    </row>
    <row r="9389" spans="1:7">
      <c r="A9389" t="s">
        <v>37254</v>
      </c>
      <c r="B9389" t="s">
        <v>8626</v>
      </c>
      <c r="F9389" t="s">
        <v>26420</v>
      </c>
      <c r="G9389" t="s">
        <v>37255</v>
      </c>
    </row>
    <row r="9390" spans="1:7">
      <c r="A9390" t="s">
        <v>37256</v>
      </c>
      <c r="B9390" t="s">
        <v>8607</v>
      </c>
      <c r="F9390" t="s">
        <v>28637</v>
      </c>
      <c r="G9390" t="s">
        <v>33053</v>
      </c>
    </row>
    <row r="9391" spans="1:7">
      <c r="A9391" t="s">
        <v>37257</v>
      </c>
      <c r="B9391" t="s">
        <v>8626</v>
      </c>
      <c r="G9391" t="s">
        <v>37258</v>
      </c>
    </row>
    <row r="9392" spans="1:7">
      <c r="A9392" t="s">
        <v>37259</v>
      </c>
      <c r="B9392" t="s">
        <v>8626</v>
      </c>
      <c r="F9392" t="s">
        <v>37260</v>
      </c>
      <c r="G9392" t="s">
        <v>37261</v>
      </c>
    </row>
    <row r="9393" spans="1:7">
      <c r="A9393" t="s">
        <v>37262</v>
      </c>
      <c r="B9393" t="s">
        <v>8607</v>
      </c>
      <c r="F9393" t="s">
        <v>37263</v>
      </c>
      <c r="G9393" t="s">
        <v>37264</v>
      </c>
    </row>
    <row r="9394" spans="1:7">
      <c r="A9394" t="s">
        <v>37265</v>
      </c>
      <c r="B9394" t="s">
        <v>8607</v>
      </c>
      <c r="C9394" t="s">
        <v>28634</v>
      </c>
      <c r="F9394" t="s">
        <v>28097</v>
      </c>
      <c r="G9394" t="s">
        <v>37266</v>
      </c>
    </row>
    <row r="9395" spans="1:7">
      <c r="A9395" t="s">
        <v>37267</v>
      </c>
      <c r="B9395" t="s">
        <v>8626</v>
      </c>
      <c r="F9395" t="s">
        <v>9476</v>
      </c>
      <c r="G9395" t="s">
        <v>37268</v>
      </c>
    </row>
    <row r="9396" spans="1:7">
      <c r="A9396" t="s">
        <v>37269</v>
      </c>
      <c r="B9396" t="s">
        <v>8607</v>
      </c>
      <c r="G9396" t="s">
        <v>37270</v>
      </c>
    </row>
    <row r="9397" spans="1:7">
      <c r="A9397" t="s">
        <v>37271</v>
      </c>
      <c r="B9397" t="s">
        <v>8607</v>
      </c>
      <c r="F9397" t="s">
        <v>17932</v>
      </c>
      <c r="G9397" t="s">
        <v>37272</v>
      </c>
    </row>
    <row r="9398" spans="1:7">
      <c r="A9398" t="s">
        <v>37273</v>
      </c>
      <c r="B9398" t="s">
        <v>8607</v>
      </c>
      <c r="C9398" t="s">
        <v>37274</v>
      </c>
      <c r="F9398" t="s">
        <v>27555</v>
      </c>
      <c r="G9398" t="s">
        <v>37275</v>
      </c>
    </row>
    <row r="9399" spans="1:7">
      <c r="A9399" t="s">
        <v>37276</v>
      </c>
      <c r="B9399" t="s">
        <v>8626</v>
      </c>
      <c r="F9399" t="s">
        <v>21754</v>
      </c>
      <c r="G9399" t="s">
        <v>37277</v>
      </c>
    </row>
    <row r="9400" spans="1:7">
      <c r="A9400" t="s">
        <v>37278</v>
      </c>
      <c r="B9400" t="s">
        <v>8607</v>
      </c>
      <c r="F9400" t="s">
        <v>19172</v>
      </c>
      <c r="G9400" t="s">
        <v>19173</v>
      </c>
    </row>
    <row r="9401" spans="1:7">
      <c r="A9401" t="s">
        <v>37279</v>
      </c>
      <c r="G9401" t="s">
        <v>37280</v>
      </c>
    </row>
    <row r="9402" spans="1:7">
      <c r="A9402" t="s">
        <v>37281</v>
      </c>
      <c r="B9402" t="s">
        <v>8607</v>
      </c>
      <c r="G9402" t="s">
        <v>28191</v>
      </c>
    </row>
    <row r="9403" spans="1:7">
      <c r="A9403" t="s">
        <v>37282</v>
      </c>
      <c r="B9403" t="s">
        <v>8626</v>
      </c>
      <c r="G9403" t="s">
        <v>37283</v>
      </c>
    </row>
    <row r="9404" spans="1:7">
      <c r="A9404" t="s">
        <v>37284</v>
      </c>
      <c r="B9404" t="s">
        <v>8607</v>
      </c>
      <c r="F9404" t="s">
        <v>27000</v>
      </c>
      <c r="G9404" t="s">
        <v>37285</v>
      </c>
    </row>
    <row r="9405" spans="1:7">
      <c r="A9405" t="s">
        <v>37286</v>
      </c>
      <c r="B9405" t="s">
        <v>8607</v>
      </c>
      <c r="F9405" t="s">
        <v>37287</v>
      </c>
      <c r="G9405" t="s">
        <v>37288</v>
      </c>
    </row>
    <row r="9406" spans="1:7">
      <c r="A9406" t="s">
        <v>37289</v>
      </c>
      <c r="B9406" t="s">
        <v>8626</v>
      </c>
      <c r="F9406" t="s">
        <v>27794</v>
      </c>
      <c r="G9406" t="s">
        <v>37290</v>
      </c>
    </row>
    <row r="9407" spans="1:7">
      <c r="A9407" t="s">
        <v>37291</v>
      </c>
      <c r="B9407" t="s">
        <v>8607</v>
      </c>
      <c r="F9407" t="s">
        <v>21832</v>
      </c>
      <c r="G9407" t="s">
        <v>37292</v>
      </c>
    </row>
    <row r="9408" spans="1:7">
      <c r="A9408" t="s">
        <v>37293</v>
      </c>
      <c r="B9408" t="s">
        <v>8626</v>
      </c>
      <c r="G9408" t="s">
        <v>37294</v>
      </c>
    </row>
    <row r="9409" spans="1:7">
      <c r="A9409" t="s">
        <v>37295</v>
      </c>
      <c r="B9409" t="s">
        <v>8626</v>
      </c>
      <c r="F9409" t="s">
        <v>28352</v>
      </c>
      <c r="G9409" t="s">
        <v>37296</v>
      </c>
    </row>
    <row r="9410" spans="1:7">
      <c r="A9410" t="s">
        <v>37297</v>
      </c>
      <c r="B9410" t="s">
        <v>8607</v>
      </c>
      <c r="G9410" t="s">
        <v>37298</v>
      </c>
    </row>
    <row r="9411" spans="1:7">
      <c r="A9411" t="s">
        <v>37299</v>
      </c>
      <c r="B9411" t="s">
        <v>8607</v>
      </c>
      <c r="G9411" t="s">
        <v>37300</v>
      </c>
    </row>
    <row r="9412" spans="1:7">
      <c r="A9412" t="s">
        <v>37301</v>
      </c>
      <c r="G9412" t="s">
        <v>37302</v>
      </c>
    </row>
    <row r="9413" spans="1:7">
      <c r="A9413" t="s">
        <v>37303</v>
      </c>
      <c r="B9413" t="s">
        <v>8626</v>
      </c>
      <c r="G9413" t="s">
        <v>36244</v>
      </c>
    </row>
    <row r="9414" spans="1:7">
      <c r="A9414" t="s">
        <v>37304</v>
      </c>
      <c r="B9414" t="s">
        <v>8626</v>
      </c>
      <c r="F9414" t="s">
        <v>29715</v>
      </c>
      <c r="G9414" t="s">
        <v>36246</v>
      </c>
    </row>
    <row r="9415" spans="1:7">
      <c r="A9415" t="s">
        <v>37305</v>
      </c>
      <c r="B9415" t="s">
        <v>8607</v>
      </c>
      <c r="F9415" t="s">
        <v>34875</v>
      </c>
      <c r="G9415" t="s">
        <v>36233</v>
      </c>
    </row>
    <row r="9416" spans="1:7">
      <c r="A9416" t="s">
        <v>37306</v>
      </c>
      <c r="B9416" t="s">
        <v>8607</v>
      </c>
      <c r="C9416" t="s">
        <v>32120</v>
      </c>
      <c r="F9416" t="s">
        <v>27613</v>
      </c>
      <c r="G9416" t="s">
        <v>37307</v>
      </c>
    </row>
    <row r="9417" spans="1:7">
      <c r="A9417" t="s">
        <v>37308</v>
      </c>
      <c r="B9417" t="s">
        <v>8607</v>
      </c>
      <c r="C9417" t="s">
        <v>21835</v>
      </c>
      <c r="F9417" t="s">
        <v>21837</v>
      </c>
      <c r="G9417" t="s">
        <v>36287</v>
      </c>
    </row>
    <row r="9418" spans="1:7">
      <c r="A9418" t="s">
        <v>37309</v>
      </c>
      <c r="B9418" t="s">
        <v>8607</v>
      </c>
      <c r="G9418" t="s">
        <v>36300</v>
      </c>
    </row>
    <row r="9419" spans="1:7">
      <c r="A9419" t="s">
        <v>37310</v>
      </c>
      <c r="B9419" t="s">
        <v>8607</v>
      </c>
      <c r="F9419" t="s">
        <v>21837</v>
      </c>
      <c r="G9419" t="s">
        <v>36231</v>
      </c>
    </row>
    <row r="9420" spans="1:7">
      <c r="A9420" t="s">
        <v>37311</v>
      </c>
      <c r="B9420" t="s">
        <v>8607</v>
      </c>
      <c r="F9420" t="s">
        <v>9018</v>
      </c>
      <c r="G9420" t="s">
        <v>36305</v>
      </c>
    </row>
    <row r="9421" spans="1:7">
      <c r="A9421" t="s">
        <v>37312</v>
      </c>
      <c r="B9421" t="s">
        <v>8626</v>
      </c>
      <c r="F9421" t="s">
        <v>17928</v>
      </c>
      <c r="G9421" t="s">
        <v>36235</v>
      </c>
    </row>
    <row r="9422" spans="1:7">
      <c r="A9422" t="s">
        <v>37313</v>
      </c>
      <c r="B9422" t="s">
        <v>8626</v>
      </c>
      <c r="F9422" t="s">
        <v>22864</v>
      </c>
      <c r="G9422" t="s">
        <v>33231</v>
      </c>
    </row>
    <row r="9423" spans="1:7">
      <c r="A9423" t="s">
        <v>37314</v>
      </c>
      <c r="B9423" t="s">
        <v>8607</v>
      </c>
      <c r="F9423" t="s">
        <v>33871</v>
      </c>
      <c r="G9423" t="s">
        <v>34871</v>
      </c>
    </row>
    <row r="9424" spans="1:7">
      <c r="A9424" t="s">
        <v>37315</v>
      </c>
      <c r="B9424" t="s">
        <v>8626</v>
      </c>
      <c r="G9424" t="s">
        <v>36239</v>
      </c>
    </row>
    <row r="9425" spans="1:7">
      <c r="A9425" t="s">
        <v>37316</v>
      </c>
      <c r="B9425" t="s">
        <v>8626</v>
      </c>
      <c r="F9425" t="s">
        <v>36241</v>
      </c>
      <c r="G9425" t="s">
        <v>36242</v>
      </c>
    </row>
    <row r="9426" spans="1:7">
      <c r="A9426" t="s">
        <v>37317</v>
      </c>
      <c r="B9426" t="s">
        <v>8607</v>
      </c>
      <c r="G9426" t="s">
        <v>37318</v>
      </c>
    </row>
    <row r="9427" spans="1:7">
      <c r="A9427" t="s">
        <v>37319</v>
      </c>
      <c r="G9427" t="s">
        <v>28878</v>
      </c>
    </row>
    <row r="9428" spans="1:7">
      <c r="A9428" t="s">
        <v>37320</v>
      </c>
      <c r="B9428" t="s">
        <v>8607</v>
      </c>
      <c r="F9428" t="s">
        <v>27591</v>
      </c>
      <c r="G9428" t="s">
        <v>37321</v>
      </c>
    </row>
    <row r="9429" spans="1:7">
      <c r="A9429" t="s">
        <v>37322</v>
      </c>
      <c r="B9429" t="s">
        <v>8607</v>
      </c>
      <c r="F9429" t="s">
        <v>30145</v>
      </c>
      <c r="G9429" t="s">
        <v>30740</v>
      </c>
    </row>
    <row r="9430" spans="1:7">
      <c r="A9430" t="s">
        <v>37323</v>
      </c>
      <c r="B9430" t="s">
        <v>8607</v>
      </c>
      <c r="C9430" t="s">
        <v>36037</v>
      </c>
      <c r="F9430" t="s">
        <v>27740</v>
      </c>
      <c r="G9430" t="s">
        <v>32218</v>
      </c>
    </row>
    <row r="9431" spans="1:7">
      <c r="A9431" t="s">
        <v>37324</v>
      </c>
      <c r="B9431" t="s">
        <v>8607</v>
      </c>
      <c r="F9431" t="s">
        <v>23859</v>
      </c>
      <c r="G9431" t="s">
        <v>28213</v>
      </c>
    </row>
    <row r="9432" spans="1:7">
      <c r="A9432" t="s">
        <v>37325</v>
      </c>
      <c r="B9432" t="s">
        <v>8607</v>
      </c>
      <c r="F9432" t="s">
        <v>26555</v>
      </c>
      <c r="G9432" t="s">
        <v>35884</v>
      </c>
    </row>
    <row r="9433" spans="1:7">
      <c r="A9433" t="s">
        <v>37326</v>
      </c>
      <c r="B9433" t="s">
        <v>8607</v>
      </c>
      <c r="F9433" t="s">
        <v>26558</v>
      </c>
      <c r="G9433" t="s">
        <v>27767</v>
      </c>
    </row>
    <row r="9434" spans="1:7">
      <c r="A9434" t="s">
        <v>37327</v>
      </c>
      <c r="B9434" t="s">
        <v>8607</v>
      </c>
      <c r="C9434" t="s">
        <v>29416</v>
      </c>
      <c r="F9434" t="s">
        <v>17349</v>
      </c>
      <c r="G9434" t="s">
        <v>35887</v>
      </c>
    </row>
    <row r="9435" spans="1:7">
      <c r="A9435" t="s">
        <v>37328</v>
      </c>
      <c r="B9435" t="s">
        <v>8607</v>
      </c>
      <c r="F9435" t="s">
        <v>29419</v>
      </c>
      <c r="G9435" t="s">
        <v>35820</v>
      </c>
    </row>
    <row r="9436" spans="1:7">
      <c r="A9436" t="s">
        <v>37329</v>
      </c>
      <c r="B9436" t="s">
        <v>8607</v>
      </c>
      <c r="F9436" t="s">
        <v>27323</v>
      </c>
      <c r="G9436" t="s">
        <v>35822</v>
      </c>
    </row>
    <row r="9437" spans="1:7">
      <c r="A9437" t="s">
        <v>37330</v>
      </c>
      <c r="B9437" t="s">
        <v>8607</v>
      </c>
      <c r="F9437" t="s">
        <v>30403</v>
      </c>
      <c r="G9437" t="s">
        <v>35824</v>
      </c>
    </row>
    <row r="9438" spans="1:7">
      <c r="A9438" t="s">
        <v>37331</v>
      </c>
      <c r="B9438" t="s">
        <v>8607</v>
      </c>
      <c r="F9438" t="s">
        <v>27969</v>
      </c>
      <c r="G9438" t="s">
        <v>29426</v>
      </c>
    </row>
    <row r="9439" spans="1:7">
      <c r="A9439" t="s">
        <v>37332</v>
      </c>
      <c r="B9439" t="s">
        <v>8607</v>
      </c>
      <c r="F9439" t="s">
        <v>26024</v>
      </c>
      <c r="G9439" t="s">
        <v>29428</v>
      </c>
    </row>
    <row r="9440" spans="1:7">
      <c r="A9440" t="s">
        <v>37333</v>
      </c>
      <c r="G9440" t="s">
        <v>35877</v>
      </c>
    </row>
    <row r="9441" spans="1:7">
      <c r="A9441" t="s">
        <v>37334</v>
      </c>
      <c r="B9441" t="s">
        <v>8626</v>
      </c>
      <c r="F9441" t="s">
        <v>29430</v>
      </c>
      <c r="G9441" t="s">
        <v>29431</v>
      </c>
    </row>
    <row r="9442" spans="1:7">
      <c r="A9442" t="s">
        <v>37335</v>
      </c>
      <c r="B9442" t="s">
        <v>8607</v>
      </c>
      <c r="F9442" t="s">
        <v>26654</v>
      </c>
      <c r="G9442" t="s">
        <v>29435</v>
      </c>
    </row>
    <row r="9443" spans="1:7">
      <c r="A9443" t="s">
        <v>37336</v>
      </c>
      <c r="B9443" t="s">
        <v>8626</v>
      </c>
      <c r="F9443" t="s">
        <v>31237</v>
      </c>
      <c r="G9443" t="s">
        <v>35882</v>
      </c>
    </row>
    <row r="9444" spans="1:7">
      <c r="A9444" t="s">
        <v>37337</v>
      </c>
      <c r="B9444" t="s">
        <v>8626</v>
      </c>
      <c r="F9444" t="s">
        <v>19730</v>
      </c>
      <c r="G9444" t="s">
        <v>37338</v>
      </c>
    </row>
    <row r="9445" spans="1:7">
      <c r="A9445" t="s">
        <v>37339</v>
      </c>
      <c r="B9445" t="s">
        <v>8626</v>
      </c>
      <c r="G9445" t="s">
        <v>37340</v>
      </c>
    </row>
    <row r="9446" spans="1:7">
      <c r="A9446" t="s">
        <v>37341</v>
      </c>
      <c r="B9446" t="s">
        <v>8607</v>
      </c>
      <c r="G9446" t="s">
        <v>27963</v>
      </c>
    </row>
    <row r="9447" spans="1:7">
      <c r="A9447" t="s">
        <v>37342</v>
      </c>
      <c r="B9447" t="s">
        <v>8607</v>
      </c>
      <c r="F9447" t="s">
        <v>17874</v>
      </c>
      <c r="G9447" t="s">
        <v>21631</v>
      </c>
    </row>
    <row r="9448" spans="1:7">
      <c r="A9448" t="s">
        <v>37343</v>
      </c>
      <c r="B9448" t="s">
        <v>8607</v>
      </c>
      <c r="F9448" t="s">
        <v>9018</v>
      </c>
      <c r="G9448" t="s">
        <v>29872</v>
      </c>
    </row>
    <row r="9449" spans="1:7">
      <c r="A9449" t="s">
        <v>37344</v>
      </c>
      <c r="B9449" t="s">
        <v>8626</v>
      </c>
      <c r="F9449" t="s">
        <v>17928</v>
      </c>
      <c r="G9449" t="s">
        <v>37345</v>
      </c>
    </row>
    <row r="9450" spans="1:7">
      <c r="A9450" t="s">
        <v>37346</v>
      </c>
      <c r="B9450" t="s">
        <v>8626</v>
      </c>
      <c r="F9450" t="s">
        <v>18923</v>
      </c>
      <c r="G9450" t="s">
        <v>35421</v>
      </c>
    </row>
    <row r="9451" spans="1:7">
      <c r="A9451" t="s">
        <v>37347</v>
      </c>
      <c r="B9451" t="s">
        <v>8607</v>
      </c>
      <c r="G9451" t="s">
        <v>35423</v>
      </c>
    </row>
    <row r="9452" spans="1:7">
      <c r="A9452" t="s">
        <v>37348</v>
      </c>
      <c r="B9452" t="s">
        <v>8607</v>
      </c>
      <c r="G9452" t="s">
        <v>35955</v>
      </c>
    </row>
    <row r="9453" spans="1:7">
      <c r="A9453" t="s">
        <v>37349</v>
      </c>
      <c r="B9453" t="s">
        <v>8607</v>
      </c>
      <c r="C9453" t="s">
        <v>28866</v>
      </c>
      <c r="F9453" t="s">
        <v>26108</v>
      </c>
      <c r="G9453" t="s">
        <v>37350</v>
      </c>
    </row>
    <row r="9454" spans="1:7">
      <c r="A9454" t="s">
        <v>37351</v>
      </c>
      <c r="B9454" t="s">
        <v>8607</v>
      </c>
      <c r="G9454" t="s">
        <v>37352</v>
      </c>
    </row>
    <row r="9455" spans="1:7">
      <c r="A9455" t="s">
        <v>37353</v>
      </c>
      <c r="B9455" t="s">
        <v>8607</v>
      </c>
      <c r="F9455" t="s">
        <v>26176</v>
      </c>
      <c r="G9455" t="s">
        <v>26177</v>
      </c>
    </row>
    <row r="9456" spans="1:7">
      <c r="A9456" t="s">
        <v>37354</v>
      </c>
      <c r="B9456" t="s">
        <v>8626</v>
      </c>
      <c r="F9456" t="s">
        <v>23859</v>
      </c>
      <c r="G9456" t="s">
        <v>37355</v>
      </c>
    </row>
    <row r="9457" spans="1:7">
      <c r="A9457" t="s">
        <v>37356</v>
      </c>
      <c r="B9457" t="s">
        <v>8607</v>
      </c>
      <c r="F9457" t="s">
        <v>37357</v>
      </c>
      <c r="G9457" t="s">
        <v>37358</v>
      </c>
    </row>
    <row r="9458" spans="1:7">
      <c r="A9458" t="s">
        <v>37359</v>
      </c>
      <c r="B9458" t="s">
        <v>8607</v>
      </c>
      <c r="F9458" t="s">
        <v>37360</v>
      </c>
      <c r="G9458" t="s">
        <v>37361</v>
      </c>
    </row>
    <row r="9459" spans="1:7">
      <c r="A9459" t="s">
        <v>37362</v>
      </c>
      <c r="B9459" t="s">
        <v>8607</v>
      </c>
      <c r="F9459" t="s">
        <v>30455</v>
      </c>
      <c r="G9459" t="s">
        <v>34281</v>
      </c>
    </row>
    <row r="9460" spans="1:7">
      <c r="A9460" t="s">
        <v>37363</v>
      </c>
      <c r="B9460" t="s">
        <v>8626</v>
      </c>
      <c r="F9460" t="s">
        <v>30365</v>
      </c>
      <c r="G9460" t="s">
        <v>34291</v>
      </c>
    </row>
    <row r="9461" spans="1:7">
      <c r="A9461" t="s">
        <v>37364</v>
      </c>
      <c r="G9461" t="s">
        <v>34293</v>
      </c>
    </row>
    <row r="9462" spans="1:7">
      <c r="A9462" t="s">
        <v>37365</v>
      </c>
      <c r="B9462" t="s">
        <v>8607</v>
      </c>
      <c r="F9462" t="s">
        <v>17932</v>
      </c>
      <c r="G9462" t="s">
        <v>34295</v>
      </c>
    </row>
    <row r="9463" spans="1:7">
      <c r="A9463" t="s">
        <v>37366</v>
      </c>
      <c r="B9463" t="s">
        <v>8607</v>
      </c>
      <c r="F9463" t="s">
        <v>34052</v>
      </c>
      <c r="G9463" t="s">
        <v>34297</v>
      </c>
    </row>
    <row r="9464" spans="1:7">
      <c r="A9464" t="s">
        <v>37367</v>
      </c>
      <c r="G9464" t="s">
        <v>37368</v>
      </c>
    </row>
    <row r="9465" spans="1:7">
      <c r="A9465" t="s">
        <v>37369</v>
      </c>
      <c r="B9465" t="s">
        <v>8607</v>
      </c>
      <c r="F9465" t="s">
        <v>30125</v>
      </c>
      <c r="G9465" t="s">
        <v>34299</v>
      </c>
    </row>
    <row r="9466" spans="1:7">
      <c r="A9466" t="s">
        <v>37370</v>
      </c>
      <c r="B9466" t="s">
        <v>8607</v>
      </c>
      <c r="F9466" t="s">
        <v>30553</v>
      </c>
      <c r="G9466" t="s">
        <v>37371</v>
      </c>
    </row>
    <row r="9467" spans="1:7">
      <c r="A9467" t="s">
        <v>37372</v>
      </c>
      <c r="B9467" t="s">
        <v>8607</v>
      </c>
      <c r="F9467" t="s">
        <v>31069</v>
      </c>
      <c r="G9467" t="s">
        <v>37373</v>
      </c>
    </row>
    <row r="9468" spans="1:7">
      <c r="A9468" t="s">
        <v>37374</v>
      </c>
      <c r="B9468" t="s">
        <v>8607</v>
      </c>
      <c r="F9468" t="s">
        <v>26555</v>
      </c>
      <c r="G9468" t="s">
        <v>34059</v>
      </c>
    </row>
    <row r="9469" spans="1:7">
      <c r="A9469" t="s">
        <v>37375</v>
      </c>
      <c r="B9469" t="s">
        <v>8607</v>
      </c>
      <c r="F9469" t="s">
        <v>26558</v>
      </c>
      <c r="G9469" t="s">
        <v>34304</v>
      </c>
    </row>
    <row r="9470" spans="1:7">
      <c r="A9470" t="s">
        <v>37376</v>
      </c>
      <c r="B9470" t="s">
        <v>8607</v>
      </c>
      <c r="F9470" t="s">
        <v>34063</v>
      </c>
      <c r="G9470" t="s">
        <v>34306</v>
      </c>
    </row>
    <row r="9471" spans="1:7">
      <c r="A9471" t="s">
        <v>37377</v>
      </c>
      <c r="B9471" t="s">
        <v>8607</v>
      </c>
      <c r="F9471" t="s">
        <v>27323</v>
      </c>
      <c r="G9471" t="s">
        <v>34308</v>
      </c>
    </row>
    <row r="9472" spans="1:7">
      <c r="A9472" t="s">
        <v>37378</v>
      </c>
      <c r="B9472" t="s">
        <v>8607</v>
      </c>
      <c r="F9472" t="s">
        <v>30403</v>
      </c>
      <c r="G9472" t="s">
        <v>34310</v>
      </c>
    </row>
    <row r="9473" spans="1:7">
      <c r="A9473" t="s">
        <v>37379</v>
      </c>
      <c r="B9473" t="s">
        <v>8607</v>
      </c>
      <c r="F9473" t="s">
        <v>27969</v>
      </c>
      <c r="G9473" t="s">
        <v>34312</v>
      </c>
    </row>
    <row r="9474" spans="1:7">
      <c r="A9474" t="s">
        <v>37380</v>
      </c>
      <c r="B9474" t="s">
        <v>8607</v>
      </c>
      <c r="F9474" t="s">
        <v>26024</v>
      </c>
      <c r="G9474" t="s">
        <v>34314</v>
      </c>
    </row>
    <row r="9475" spans="1:7">
      <c r="A9475" t="s">
        <v>37381</v>
      </c>
      <c r="B9475" t="s">
        <v>8607</v>
      </c>
      <c r="F9475" t="s">
        <v>20201</v>
      </c>
      <c r="G9475" t="s">
        <v>34285</v>
      </c>
    </row>
    <row r="9476" spans="1:7">
      <c r="A9476" t="s">
        <v>37382</v>
      </c>
      <c r="B9476" t="s">
        <v>8607</v>
      </c>
      <c r="F9476" t="s">
        <v>29430</v>
      </c>
      <c r="G9476" t="s">
        <v>34074</v>
      </c>
    </row>
    <row r="9477" spans="1:7">
      <c r="A9477" t="s">
        <v>37383</v>
      </c>
      <c r="B9477" t="s">
        <v>8607</v>
      </c>
      <c r="F9477" t="s">
        <v>26654</v>
      </c>
      <c r="G9477" t="s">
        <v>34319</v>
      </c>
    </row>
    <row r="9478" spans="1:7">
      <c r="A9478" t="s">
        <v>37384</v>
      </c>
      <c r="B9478" t="s">
        <v>8607</v>
      </c>
      <c r="F9478" t="s">
        <v>28207</v>
      </c>
      <c r="G9478" t="s">
        <v>37385</v>
      </c>
    </row>
    <row r="9479" spans="1:7">
      <c r="A9479" t="s">
        <v>37386</v>
      </c>
      <c r="B9479" t="s">
        <v>8607</v>
      </c>
      <c r="F9479" t="s">
        <v>26104</v>
      </c>
      <c r="G9479" t="s">
        <v>34033</v>
      </c>
    </row>
    <row r="9480" spans="1:7">
      <c r="A9480" t="s">
        <v>37387</v>
      </c>
      <c r="B9480" t="s">
        <v>8607</v>
      </c>
      <c r="F9480" t="s">
        <v>20412</v>
      </c>
      <c r="G9480" t="s">
        <v>34289</v>
      </c>
    </row>
    <row r="9481" spans="1:7">
      <c r="A9481" t="s">
        <v>37388</v>
      </c>
      <c r="B9481" t="s">
        <v>8607</v>
      </c>
      <c r="G9481" t="s">
        <v>10808</v>
      </c>
    </row>
    <row r="9482" spans="1:7">
      <c r="A9482" t="s">
        <v>37389</v>
      </c>
      <c r="B9482" t="s">
        <v>8607</v>
      </c>
      <c r="G9482" t="s">
        <v>27955</v>
      </c>
    </row>
    <row r="9483" spans="1:7">
      <c r="A9483" t="s">
        <v>37390</v>
      </c>
      <c r="B9483" t="s">
        <v>8607</v>
      </c>
      <c r="F9483" t="s">
        <v>27958</v>
      </c>
      <c r="G9483" t="s">
        <v>27959</v>
      </c>
    </row>
    <row r="9484" spans="1:7">
      <c r="A9484" t="s">
        <v>37391</v>
      </c>
      <c r="B9484" t="s">
        <v>8607</v>
      </c>
      <c r="G9484" t="s">
        <v>27961</v>
      </c>
    </row>
    <row r="9485" spans="1:7">
      <c r="A9485" t="s">
        <v>37392</v>
      </c>
      <c r="B9485" t="s">
        <v>8607</v>
      </c>
      <c r="G9485" t="s">
        <v>27963</v>
      </c>
    </row>
    <row r="9486" spans="1:7">
      <c r="A9486" t="s">
        <v>37393</v>
      </c>
      <c r="B9486" t="s">
        <v>8626</v>
      </c>
      <c r="F9486" t="s">
        <v>30403</v>
      </c>
      <c r="G9486" t="s">
        <v>37394</v>
      </c>
    </row>
    <row r="9487" spans="1:7">
      <c r="A9487" t="s">
        <v>37395</v>
      </c>
      <c r="B9487" t="s">
        <v>8607</v>
      </c>
      <c r="F9487" t="s">
        <v>27969</v>
      </c>
      <c r="G9487" t="s">
        <v>27970</v>
      </c>
    </row>
    <row r="9488" spans="1:7">
      <c r="A9488" t="s">
        <v>37396</v>
      </c>
      <c r="B9488" t="s">
        <v>8607</v>
      </c>
      <c r="F9488" t="s">
        <v>26024</v>
      </c>
      <c r="G9488" t="s">
        <v>26025</v>
      </c>
    </row>
    <row r="9489" spans="1:7">
      <c r="A9489" t="s">
        <v>37397</v>
      </c>
      <c r="B9489" t="s">
        <v>8607</v>
      </c>
      <c r="G9489" t="s">
        <v>27973</v>
      </c>
    </row>
    <row r="9490" spans="1:7">
      <c r="A9490" t="s">
        <v>37398</v>
      </c>
      <c r="B9490" t="s">
        <v>8607</v>
      </c>
      <c r="G9490" t="s">
        <v>30740</v>
      </c>
    </row>
    <row r="9491" spans="1:7">
      <c r="A9491" t="s">
        <v>37399</v>
      </c>
      <c r="B9491" t="s">
        <v>8607</v>
      </c>
      <c r="G9491" t="s">
        <v>26859</v>
      </c>
    </row>
    <row r="9492" spans="1:7">
      <c r="A9492" t="s">
        <v>37400</v>
      </c>
      <c r="B9492" t="s">
        <v>8607</v>
      </c>
      <c r="F9492" t="s">
        <v>26494</v>
      </c>
      <c r="G9492" t="s">
        <v>30178</v>
      </c>
    </row>
    <row r="9493" spans="1:7">
      <c r="A9493" t="s">
        <v>37401</v>
      </c>
      <c r="B9493" t="s">
        <v>8607</v>
      </c>
      <c r="F9493" t="s">
        <v>26207</v>
      </c>
      <c r="G9493" t="s">
        <v>37402</v>
      </c>
    </row>
    <row r="9494" spans="1:7">
      <c r="A9494" t="s">
        <v>37403</v>
      </c>
      <c r="B9494" t="s">
        <v>8607</v>
      </c>
      <c r="F9494" t="s">
        <v>29013</v>
      </c>
      <c r="G9494" t="s">
        <v>29014</v>
      </c>
    </row>
    <row r="9495" spans="1:7">
      <c r="A9495" t="s">
        <v>37404</v>
      </c>
      <c r="B9495" t="s">
        <v>8607</v>
      </c>
      <c r="F9495" t="s">
        <v>26104</v>
      </c>
      <c r="G9495" t="s">
        <v>26236</v>
      </c>
    </row>
    <row r="9496" spans="1:7">
      <c r="A9496" t="s">
        <v>37405</v>
      </c>
      <c r="B9496" t="s">
        <v>8607</v>
      </c>
      <c r="F9496" t="s">
        <v>26173</v>
      </c>
      <c r="G9496" t="s">
        <v>26174</v>
      </c>
    </row>
    <row r="9497" spans="1:7">
      <c r="A9497" t="s">
        <v>37406</v>
      </c>
      <c r="B9497" t="s">
        <v>8607</v>
      </c>
      <c r="F9497" t="s">
        <v>26176</v>
      </c>
      <c r="G9497" t="s">
        <v>26177</v>
      </c>
    </row>
    <row r="9498" spans="1:7">
      <c r="A9498" t="s">
        <v>37407</v>
      </c>
      <c r="B9498" t="s">
        <v>8607</v>
      </c>
      <c r="F9498" t="s">
        <v>30476</v>
      </c>
      <c r="G9498" t="s">
        <v>37408</v>
      </c>
    </row>
    <row r="9499" spans="1:7">
      <c r="A9499" t="s">
        <v>37409</v>
      </c>
      <c r="B9499" t="s">
        <v>8607</v>
      </c>
      <c r="C9499" t="s">
        <v>26166</v>
      </c>
      <c r="F9499" t="s">
        <v>9018</v>
      </c>
      <c r="G9499" t="s">
        <v>27052</v>
      </c>
    </row>
    <row r="9500" spans="1:7">
      <c r="A9500" t="s">
        <v>37410</v>
      </c>
      <c r="G9500" t="s">
        <v>27056</v>
      </c>
    </row>
    <row r="9501" spans="1:7">
      <c r="A9501" t="s">
        <v>37411</v>
      </c>
      <c r="B9501" t="s">
        <v>8626</v>
      </c>
      <c r="G9501" t="s">
        <v>37412</v>
      </c>
    </row>
    <row r="9502" spans="1:7">
      <c r="A9502" t="s">
        <v>37413</v>
      </c>
      <c r="B9502" t="s">
        <v>8626</v>
      </c>
      <c r="G9502" t="s">
        <v>37414</v>
      </c>
    </row>
    <row r="9503" spans="1:7">
      <c r="A9503" t="s">
        <v>37415</v>
      </c>
      <c r="B9503" t="s">
        <v>8626</v>
      </c>
      <c r="G9503" t="s">
        <v>37416</v>
      </c>
    </row>
    <row r="9504" spans="1:7">
      <c r="A9504" t="s">
        <v>37417</v>
      </c>
      <c r="B9504" t="s">
        <v>8607</v>
      </c>
      <c r="F9504" t="s">
        <v>17305</v>
      </c>
      <c r="G9504" t="s">
        <v>25043</v>
      </c>
    </row>
    <row r="9505" spans="1:7">
      <c r="A9505" t="s">
        <v>37418</v>
      </c>
      <c r="B9505" t="s">
        <v>8607</v>
      </c>
      <c r="F9505" t="s">
        <v>9018</v>
      </c>
      <c r="G9505" t="s">
        <v>18567</v>
      </c>
    </row>
    <row r="9506" spans="1:7">
      <c r="A9506" t="s">
        <v>37419</v>
      </c>
      <c r="B9506" t="s">
        <v>8607</v>
      </c>
      <c r="G9506" t="s">
        <v>26572</v>
      </c>
    </row>
    <row r="9507" spans="1:7">
      <c r="A9507" t="s">
        <v>37420</v>
      </c>
      <c r="B9507" t="s">
        <v>8607</v>
      </c>
      <c r="F9507" t="s">
        <v>26793</v>
      </c>
      <c r="G9507" t="s">
        <v>26794</v>
      </c>
    </row>
    <row r="9508" spans="1:7">
      <c r="A9508" t="s">
        <v>37421</v>
      </c>
      <c r="B9508" t="s">
        <v>8626</v>
      </c>
      <c r="C9508" t="s">
        <v>28225</v>
      </c>
      <c r="F9508" t="s">
        <v>9018</v>
      </c>
      <c r="G9508" t="s">
        <v>37422</v>
      </c>
    </row>
    <row r="9509" spans="1:7">
      <c r="A9509" t="s">
        <v>37423</v>
      </c>
      <c r="B9509" t="s">
        <v>8607</v>
      </c>
      <c r="G9509" t="s">
        <v>23965</v>
      </c>
    </row>
    <row r="9510" spans="1:7">
      <c r="A9510" t="s">
        <v>37424</v>
      </c>
      <c r="B9510" t="s">
        <v>8607</v>
      </c>
      <c r="G9510" t="s">
        <v>26572</v>
      </c>
    </row>
    <row r="9511" spans="1:7">
      <c r="A9511" t="s">
        <v>37425</v>
      </c>
      <c r="B9511" t="s">
        <v>8626</v>
      </c>
      <c r="F9511" t="s">
        <v>20920</v>
      </c>
      <c r="G9511" t="s">
        <v>30059</v>
      </c>
    </row>
    <row r="9512" spans="1:7">
      <c r="A9512" t="s">
        <v>37426</v>
      </c>
      <c r="B9512" t="s">
        <v>8607</v>
      </c>
      <c r="F9512" t="s">
        <v>27253</v>
      </c>
      <c r="G9512" t="s">
        <v>31045</v>
      </c>
    </row>
    <row r="9513" spans="1:7">
      <c r="A9513" t="s">
        <v>37427</v>
      </c>
      <c r="B9513" t="s">
        <v>8607</v>
      </c>
      <c r="F9513" t="s">
        <v>9018</v>
      </c>
      <c r="G9513" t="s">
        <v>37428</v>
      </c>
    </row>
    <row r="9514" spans="1:7">
      <c r="A9514" t="s">
        <v>37429</v>
      </c>
      <c r="B9514" t="s">
        <v>8626</v>
      </c>
      <c r="C9514" t="s">
        <v>21864</v>
      </c>
      <c r="F9514" t="s">
        <v>16400</v>
      </c>
      <c r="G9514" t="s">
        <v>37430</v>
      </c>
    </row>
    <row r="9515" spans="1:7">
      <c r="A9515" t="s">
        <v>37431</v>
      </c>
      <c r="B9515" t="s">
        <v>8607</v>
      </c>
      <c r="C9515" t="s">
        <v>29588</v>
      </c>
      <c r="F9515" t="s">
        <v>9018</v>
      </c>
      <c r="G9515" t="s">
        <v>37432</v>
      </c>
    </row>
    <row r="9516" spans="1:7">
      <c r="A9516" t="s">
        <v>37433</v>
      </c>
      <c r="B9516" t="s">
        <v>8626</v>
      </c>
      <c r="C9516" t="s">
        <v>26080</v>
      </c>
      <c r="F9516" t="s">
        <v>23667</v>
      </c>
      <c r="G9516" t="s">
        <v>26943</v>
      </c>
    </row>
    <row r="9517" spans="1:7">
      <c r="A9517" t="s">
        <v>37434</v>
      </c>
      <c r="B9517" t="s">
        <v>8607</v>
      </c>
      <c r="F9517" t="s">
        <v>28852</v>
      </c>
      <c r="G9517" t="s">
        <v>37435</v>
      </c>
    </row>
    <row r="9518" spans="1:7">
      <c r="A9518" t="s">
        <v>37436</v>
      </c>
      <c r="B9518" t="s">
        <v>8607</v>
      </c>
      <c r="F9518" t="s">
        <v>30642</v>
      </c>
      <c r="G9518" t="s">
        <v>30643</v>
      </c>
    </row>
    <row r="9519" spans="1:7">
      <c r="A9519" t="s">
        <v>37437</v>
      </c>
      <c r="B9519" t="s">
        <v>8607</v>
      </c>
      <c r="F9519" t="s">
        <v>26251</v>
      </c>
      <c r="G9519" t="s">
        <v>37438</v>
      </c>
    </row>
    <row r="9520" spans="1:7">
      <c r="A9520" t="s">
        <v>37439</v>
      </c>
      <c r="B9520" t="s">
        <v>8607</v>
      </c>
      <c r="G9520" t="s">
        <v>30425</v>
      </c>
    </row>
    <row r="9521" spans="1:7">
      <c r="A9521" t="s">
        <v>37440</v>
      </c>
      <c r="B9521" t="s">
        <v>8607</v>
      </c>
      <c r="F9521" t="s">
        <v>8623</v>
      </c>
      <c r="G9521" t="s">
        <v>26405</v>
      </c>
    </row>
    <row r="9522" spans="1:7">
      <c r="A9522" t="s">
        <v>37441</v>
      </c>
      <c r="B9522" t="s">
        <v>8607</v>
      </c>
      <c r="C9522" t="s">
        <v>27777</v>
      </c>
      <c r="F9522" t="s">
        <v>19172</v>
      </c>
      <c r="G9522" t="s">
        <v>37442</v>
      </c>
    </row>
    <row r="9523" spans="1:7">
      <c r="A9523" t="s">
        <v>37443</v>
      </c>
      <c r="B9523" t="s">
        <v>8626</v>
      </c>
      <c r="F9523" t="s">
        <v>20186</v>
      </c>
      <c r="G9523" t="s">
        <v>37444</v>
      </c>
    </row>
    <row r="9524" spans="1:7">
      <c r="A9524" t="s">
        <v>37445</v>
      </c>
      <c r="B9524" t="s">
        <v>8607</v>
      </c>
      <c r="G9524" t="s">
        <v>35972</v>
      </c>
    </row>
    <row r="9525" spans="1:7">
      <c r="A9525" t="s">
        <v>37446</v>
      </c>
      <c r="B9525" t="s">
        <v>8607</v>
      </c>
      <c r="F9525" t="s">
        <v>18286</v>
      </c>
      <c r="G9525" t="s">
        <v>37447</v>
      </c>
    </row>
    <row r="9526" spans="1:7">
      <c r="A9526" t="s">
        <v>37448</v>
      </c>
      <c r="B9526" t="s">
        <v>8607</v>
      </c>
      <c r="C9526" t="s">
        <v>26136</v>
      </c>
      <c r="F9526" t="s">
        <v>8623</v>
      </c>
      <c r="G9526" t="s">
        <v>37449</v>
      </c>
    </row>
    <row r="9527" spans="1:7">
      <c r="A9527" t="s">
        <v>37450</v>
      </c>
      <c r="B9527" t="s">
        <v>8607</v>
      </c>
      <c r="G9527" t="s">
        <v>37451</v>
      </c>
    </row>
    <row r="9528" spans="1:7">
      <c r="A9528" t="s">
        <v>37452</v>
      </c>
      <c r="B9528" t="s">
        <v>8607</v>
      </c>
      <c r="C9528" t="s">
        <v>21651</v>
      </c>
      <c r="F9528" t="s">
        <v>9018</v>
      </c>
      <c r="G9528" t="s">
        <v>30819</v>
      </c>
    </row>
    <row r="9529" spans="1:7">
      <c r="A9529" t="s">
        <v>37453</v>
      </c>
      <c r="B9529" t="s">
        <v>8626</v>
      </c>
      <c r="G9529" t="s">
        <v>30821</v>
      </c>
    </row>
    <row r="9530" spans="1:7">
      <c r="A9530" t="s">
        <v>37454</v>
      </c>
      <c r="B9530" t="s">
        <v>8607</v>
      </c>
      <c r="F9530" t="s">
        <v>19966</v>
      </c>
      <c r="G9530" t="s">
        <v>23929</v>
      </c>
    </row>
    <row r="9531" spans="1:7">
      <c r="A9531" t="s">
        <v>37455</v>
      </c>
      <c r="B9531" t="s">
        <v>8626</v>
      </c>
      <c r="F9531" t="s">
        <v>10076</v>
      </c>
      <c r="G9531" t="s">
        <v>33099</v>
      </c>
    </row>
    <row r="9532" spans="1:7">
      <c r="A9532" t="s">
        <v>37456</v>
      </c>
      <c r="B9532" t="s">
        <v>8607</v>
      </c>
      <c r="G9532" t="s">
        <v>37457</v>
      </c>
    </row>
    <row r="9533" spans="1:7">
      <c r="A9533" t="s">
        <v>37458</v>
      </c>
      <c r="B9533" t="s">
        <v>8607</v>
      </c>
      <c r="F9533" t="s">
        <v>17928</v>
      </c>
      <c r="G9533" t="s">
        <v>37459</v>
      </c>
    </row>
    <row r="9534" spans="1:7">
      <c r="A9534" t="s">
        <v>37460</v>
      </c>
      <c r="B9534" t="s">
        <v>8626</v>
      </c>
      <c r="F9534" t="s">
        <v>19473</v>
      </c>
      <c r="G9534" t="s">
        <v>37461</v>
      </c>
    </row>
    <row r="9535" spans="1:7">
      <c r="A9535" t="s">
        <v>37462</v>
      </c>
      <c r="B9535" t="s">
        <v>8607</v>
      </c>
      <c r="G9535" t="s">
        <v>34700</v>
      </c>
    </row>
    <row r="9536" spans="1:7">
      <c r="A9536" t="s">
        <v>37463</v>
      </c>
      <c r="B9536" t="s">
        <v>8607</v>
      </c>
      <c r="F9536" t="s">
        <v>24708</v>
      </c>
      <c r="G9536" t="s">
        <v>24709</v>
      </c>
    </row>
    <row r="9537" spans="1:7">
      <c r="A9537" t="s">
        <v>37464</v>
      </c>
      <c r="G9537" t="s">
        <v>37465</v>
      </c>
    </row>
    <row r="9538" spans="1:7">
      <c r="A9538" t="s">
        <v>37466</v>
      </c>
      <c r="B9538" t="s">
        <v>8607</v>
      </c>
      <c r="F9538" t="s">
        <v>26717</v>
      </c>
      <c r="G9538" t="s">
        <v>28136</v>
      </c>
    </row>
    <row r="9539" spans="1:7">
      <c r="A9539" t="s">
        <v>37467</v>
      </c>
      <c r="B9539" t="s">
        <v>8607</v>
      </c>
      <c r="F9539" t="s">
        <v>28862</v>
      </c>
      <c r="G9539" t="s">
        <v>28863</v>
      </c>
    </row>
    <row r="9540" spans="1:7">
      <c r="A9540" t="s">
        <v>37468</v>
      </c>
      <c r="B9540" t="s">
        <v>8607</v>
      </c>
      <c r="F9540" t="s">
        <v>26104</v>
      </c>
      <c r="G9540" t="s">
        <v>27298</v>
      </c>
    </row>
    <row r="9541" spans="1:7">
      <c r="A9541" t="s">
        <v>37469</v>
      </c>
      <c r="B9541" t="s">
        <v>8626</v>
      </c>
      <c r="F9541" t="s">
        <v>28088</v>
      </c>
      <c r="G9541" t="s">
        <v>30981</v>
      </c>
    </row>
    <row r="9542" spans="1:7">
      <c r="A9542" t="s">
        <v>37470</v>
      </c>
      <c r="B9542" t="s">
        <v>8607</v>
      </c>
      <c r="F9542" t="s">
        <v>30983</v>
      </c>
      <c r="G9542" t="s">
        <v>31101</v>
      </c>
    </row>
    <row r="9543" spans="1:7">
      <c r="A9543" t="s">
        <v>37471</v>
      </c>
      <c r="B9543" t="s">
        <v>8607</v>
      </c>
      <c r="F9543" t="s">
        <v>21225</v>
      </c>
      <c r="G9543" t="s">
        <v>37472</v>
      </c>
    </row>
    <row r="9544" spans="1:7">
      <c r="A9544" t="s">
        <v>37473</v>
      </c>
      <c r="B9544" t="s">
        <v>8607</v>
      </c>
      <c r="F9544" t="s">
        <v>27930</v>
      </c>
      <c r="G9544" t="s">
        <v>29806</v>
      </c>
    </row>
    <row r="9545" spans="1:7">
      <c r="A9545" t="s">
        <v>37474</v>
      </c>
      <c r="B9545" t="s">
        <v>8607</v>
      </c>
      <c r="F9545" t="s">
        <v>37475</v>
      </c>
      <c r="G9545" t="s">
        <v>37476</v>
      </c>
    </row>
    <row r="9546" spans="1:7">
      <c r="A9546" t="s">
        <v>37477</v>
      </c>
      <c r="B9546" t="s">
        <v>8607</v>
      </c>
      <c r="G9546" t="s">
        <v>37478</v>
      </c>
    </row>
    <row r="9547" spans="1:7">
      <c r="A9547" t="s">
        <v>37479</v>
      </c>
      <c r="B9547" t="s">
        <v>8607</v>
      </c>
      <c r="F9547" t="s">
        <v>29864</v>
      </c>
      <c r="G9547" t="s">
        <v>37480</v>
      </c>
    </row>
    <row r="9548" spans="1:7">
      <c r="A9548" t="s">
        <v>37481</v>
      </c>
      <c r="B9548" t="s">
        <v>8607</v>
      </c>
      <c r="F9548" t="s">
        <v>26207</v>
      </c>
      <c r="G9548" t="s">
        <v>27473</v>
      </c>
    </row>
    <row r="9549" spans="1:7">
      <c r="A9549" t="s">
        <v>37482</v>
      </c>
      <c r="B9549" t="s">
        <v>8607</v>
      </c>
      <c r="F9549" t="s">
        <v>28159</v>
      </c>
      <c r="G9549" t="s">
        <v>28063</v>
      </c>
    </row>
    <row r="9550" spans="1:7">
      <c r="A9550" t="s">
        <v>37483</v>
      </c>
      <c r="B9550" t="s">
        <v>8607</v>
      </c>
      <c r="F9550" t="s">
        <v>9018</v>
      </c>
      <c r="G9550" t="s">
        <v>30236</v>
      </c>
    </row>
    <row r="9551" spans="1:7">
      <c r="A9551" t="s">
        <v>37484</v>
      </c>
      <c r="B9551" t="s">
        <v>8607</v>
      </c>
      <c r="G9551" t="s">
        <v>33987</v>
      </c>
    </row>
    <row r="9552" spans="1:7">
      <c r="A9552" t="s">
        <v>37485</v>
      </c>
      <c r="B9552" t="s">
        <v>8607</v>
      </c>
      <c r="F9552" t="s">
        <v>17830</v>
      </c>
      <c r="G9552" t="s">
        <v>33989</v>
      </c>
    </row>
    <row r="9553" spans="1:7">
      <c r="A9553" t="s">
        <v>37486</v>
      </c>
      <c r="B9553" t="s">
        <v>8607</v>
      </c>
      <c r="G9553" t="s">
        <v>33991</v>
      </c>
    </row>
    <row r="9554" spans="1:7">
      <c r="A9554" t="s">
        <v>37487</v>
      </c>
      <c r="B9554" t="s">
        <v>8607</v>
      </c>
      <c r="F9554" t="s">
        <v>24930</v>
      </c>
      <c r="G9554" t="s">
        <v>30759</v>
      </c>
    </row>
    <row r="9555" spans="1:7">
      <c r="A9555" t="s">
        <v>37488</v>
      </c>
      <c r="B9555" t="s">
        <v>8626</v>
      </c>
      <c r="G9555" t="s">
        <v>30761</v>
      </c>
    </row>
    <row r="9556" spans="1:7">
      <c r="A9556" t="s">
        <v>37489</v>
      </c>
      <c r="B9556" t="s">
        <v>8626</v>
      </c>
      <c r="F9556" t="s">
        <v>17928</v>
      </c>
      <c r="G9556" t="s">
        <v>37490</v>
      </c>
    </row>
    <row r="9557" spans="1:7">
      <c r="A9557" t="s">
        <v>37491</v>
      </c>
      <c r="B9557" t="s">
        <v>8607</v>
      </c>
      <c r="G9557" t="s">
        <v>37492</v>
      </c>
    </row>
    <row r="9558" spans="1:7">
      <c r="A9558" t="s">
        <v>37493</v>
      </c>
      <c r="B9558" t="s">
        <v>8626</v>
      </c>
      <c r="F9558" t="s">
        <v>12464</v>
      </c>
      <c r="G9558" t="s">
        <v>37494</v>
      </c>
    </row>
    <row r="9559" spans="1:7">
      <c r="A9559" t="s">
        <v>37495</v>
      </c>
      <c r="B9559" t="s">
        <v>8607</v>
      </c>
      <c r="F9559" t="s">
        <v>26127</v>
      </c>
      <c r="G9559" t="s">
        <v>30732</v>
      </c>
    </row>
    <row r="9560" spans="1:7">
      <c r="A9560" t="s">
        <v>37496</v>
      </c>
      <c r="B9560" t="s">
        <v>8607</v>
      </c>
      <c r="F9560" t="s">
        <v>27930</v>
      </c>
      <c r="G9560" t="s">
        <v>30031</v>
      </c>
    </row>
    <row r="9561" spans="1:7">
      <c r="A9561" t="s">
        <v>37497</v>
      </c>
      <c r="B9561" t="s">
        <v>8626</v>
      </c>
      <c r="G9561" t="s">
        <v>37498</v>
      </c>
    </row>
    <row r="9562" spans="1:7">
      <c r="A9562" t="s">
        <v>37499</v>
      </c>
      <c r="B9562" t="s">
        <v>8607</v>
      </c>
      <c r="G9562" t="s">
        <v>31175</v>
      </c>
    </row>
    <row r="9563" spans="1:7">
      <c r="A9563" t="s">
        <v>37500</v>
      </c>
      <c r="B9563" t="s">
        <v>8607</v>
      </c>
      <c r="C9563" t="s">
        <v>28071</v>
      </c>
      <c r="F9563" t="s">
        <v>17327</v>
      </c>
      <c r="G9563" t="s">
        <v>28072</v>
      </c>
    </row>
    <row r="9564" spans="1:7">
      <c r="A9564" t="s">
        <v>37501</v>
      </c>
      <c r="B9564" t="s">
        <v>8607</v>
      </c>
      <c r="G9564" t="s">
        <v>35922</v>
      </c>
    </row>
    <row r="9565" spans="1:7">
      <c r="A9565" t="s">
        <v>37502</v>
      </c>
      <c r="B9565" t="s">
        <v>8607</v>
      </c>
      <c r="G9565" t="s">
        <v>26570</v>
      </c>
    </row>
    <row r="9566" spans="1:7">
      <c r="A9566" t="s">
        <v>37503</v>
      </c>
      <c r="B9566" t="s">
        <v>8607</v>
      </c>
      <c r="F9566" t="s">
        <v>9018</v>
      </c>
      <c r="G9566" t="s">
        <v>34749</v>
      </c>
    </row>
    <row r="9567" spans="1:7">
      <c r="A9567" t="s">
        <v>37504</v>
      </c>
      <c r="B9567" t="s">
        <v>8607</v>
      </c>
      <c r="F9567" t="s">
        <v>28159</v>
      </c>
      <c r="G9567" t="s">
        <v>33070</v>
      </c>
    </row>
    <row r="9568" spans="1:7">
      <c r="A9568" t="s">
        <v>37505</v>
      </c>
      <c r="B9568" t="s">
        <v>8607</v>
      </c>
      <c r="F9568" t="s">
        <v>17349</v>
      </c>
      <c r="G9568" t="s">
        <v>34752</v>
      </c>
    </row>
    <row r="9569" spans="1:7">
      <c r="A9569" t="s">
        <v>37506</v>
      </c>
      <c r="B9569" t="s">
        <v>8607</v>
      </c>
      <c r="F9569" t="s">
        <v>17457</v>
      </c>
      <c r="G9569" t="s">
        <v>34608</v>
      </c>
    </row>
    <row r="9570" spans="1:7">
      <c r="A9570" t="s">
        <v>37507</v>
      </c>
      <c r="B9570" t="s">
        <v>8607</v>
      </c>
      <c r="G9570" t="s">
        <v>37508</v>
      </c>
    </row>
    <row r="9571" spans="1:7">
      <c r="A9571" t="s">
        <v>37509</v>
      </c>
      <c r="B9571" t="s">
        <v>8626</v>
      </c>
      <c r="G9571" t="s">
        <v>37510</v>
      </c>
    </row>
    <row r="9572" spans="1:7">
      <c r="A9572" t="s">
        <v>37511</v>
      </c>
      <c r="B9572" t="s">
        <v>8626</v>
      </c>
      <c r="G9572" t="s">
        <v>37512</v>
      </c>
    </row>
    <row r="9573" spans="1:7">
      <c r="A9573" t="s">
        <v>37513</v>
      </c>
      <c r="B9573" t="s">
        <v>8607</v>
      </c>
      <c r="G9573" t="s">
        <v>34610</v>
      </c>
    </row>
    <row r="9574" spans="1:7">
      <c r="A9574" t="s">
        <v>37514</v>
      </c>
      <c r="B9574" t="s">
        <v>8626</v>
      </c>
      <c r="G9574" t="s">
        <v>37515</v>
      </c>
    </row>
    <row r="9575" spans="1:7">
      <c r="A9575" t="s">
        <v>37516</v>
      </c>
      <c r="B9575" t="s">
        <v>8607</v>
      </c>
      <c r="G9575" t="s">
        <v>37517</v>
      </c>
    </row>
    <row r="9576" spans="1:7">
      <c r="A9576" t="s">
        <v>37518</v>
      </c>
      <c r="B9576" t="s">
        <v>8626</v>
      </c>
      <c r="F9576" t="s">
        <v>28809</v>
      </c>
      <c r="G9576" t="s">
        <v>37519</v>
      </c>
    </row>
    <row r="9577" spans="1:7">
      <c r="A9577" t="s">
        <v>37520</v>
      </c>
      <c r="B9577" t="s">
        <v>8607</v>
      </c>
      <c r="G9577" t="s">
        <v>37521</v>
      </c>
    </row>
    <row r="9578" spans="1:7">
      <c r="A9578" t="s">
        <v>37522</v>
      </c>
      <c r="B9578" t="s">
        <v>8626</v>
      </c>
      <c r="F9578" t="s">
        <v>26843</v>
      </c>
      <c r="G9578" t="s">
        <v>37523</v>
      </c>
    </row>
    <row r="9579" spans="1:7">
      <c r="A9579" t="s">
        <v>37524</v>
      </c>
      <c r="B9579" t="s">
        <v>8607</v>
      </c>
      <c r="G9579" t="s">
        <v>26846</v>
      </c>
    </row>
    <row r="9580" spans="1:7">
      <c r="A9580" t="s">
        <v>37525</v>
      </c>
      <c r="B9580" t="s">
        <v>8607</v>
      </c>
      <c r="F9580" t="s">
        <v>8623</v>
      </c>
      <c r="G9580" t="s">
        <v>30683</v>
      </c>
    </row>
    <row r="9581" spans="1:7">
      <c r="A9581" t="s">
        <v>37526</v>
      </c>
      <c r="G9581" t="s">
        <v>28971</v>
      </c>
    </row>
    <row r="9582" spans="1:7">
      <c r="A9582" t="s">
        <v>37527</v>
      </c>
      <c r="B9582" t="s">
        <v>8607</v>
      </c>
      <c r="F9582" t="s">
        <v>22914</v>
      </c>
      <c r="G9582" t="s">
        <v>30990</v>
      </c>
    </row>
    <row r="9583" spans="1:7">
      <c r="A9583" t="s">
        <v>37528</v>
      </c>
      <c r="B9583" t="s">
        <v>8607</v>
      </c>
      <c r="G9583" t="s">
        <v>29380</v>
      </c>
    </row>
    <row r="9584" spans="1:7">
      <c r="A9584" t="s">
        <v>37529</v>
      </c>
      <c r="B9584" t="s">
        <v>8626</v>
      </c>
      <c r="G9584" t="s">
        <v>37530</v>
      </c>
    </row>
    <row r="9585" spans="1:7">
      <c r="A9585" t="s">
        <v>37531</v>
      </c>
      <c r="B9585" t="s">
        <v>8607</v>
      </c>
      <c r="G9585" t="s">
        <v>28052</v>
      </c>
    </row>
    <row r="9586" spans="1:7">
      <c r="A9586" t="s">
        <v>37532</v>
      </c>
      <c r="B9586" t="s">
        <v>8626</v>
      </c>
      <c r="F9586" t="s">
        <v>29277</v>
      </c>
      <c r="G9586" t="s">
        <v>28776</v>
      </c>
    </row>
    <row r="9587" spans="1:7">
      <c r="A9587" t="s">
        <v>37533</v>
      </c>
      <c r="B9587" t="s">
        <v>8607</v>
      </c>
      <c r="F9587" t="s">
        <v>17643</v>
      </c>
      <c r="G9587" t="s">
        <v>37534</v>
      </c>
    </row>
    <row r="9588" spans="1:7">
      <c r="A9588" t="s">
        <v>37535</v>
      </c>
      <c r="B9588" t="s">
        <v>8626</v>
      </c>
      <c r="G9588" t="s">
        <v>30615</v>
      </c>
    </row>
    <row r="9589" spans="1:7">
      <c r="A9589" t="s">
        <v>37536</v>
      </c>
      <c r="B9589" t="s">
        <v>8607</v>
      </c>
      <c r="F9589" t="s">
        <v>30455</v>
      </c>
      <c r="G9589" t="s">
        <v>37537</v>
      </c>
    </row>
    <row r="9590" spans="1:7">
      <c r="A9590" t="s">
        <v>37538</v>
      </c>
      <c r="B9590" t="s">
        <v>8626</v>
      </c>
      <c r="F9590" t="s">
        <v>28637</v>
      </c>
      <c r="G9590" t="s">
        <v>37539</v>
      </c>
    </row>
    <row r="9591" spans="1:7">
      <c r="A9591" t="s">
        <v>37540</v>
      </c>
      <c r="B9591" t="s">
        <v>8607</v>
      </c>
      <c r="C9591" t="s">
        <v>27583</v>
      </c>
      <c r="F9591" t="s">
        <v>26207</v>
      </c>
      <c r="G9591" t="s">
        <v>30311</v>
      </c>
    </row>
    <row r="9592" spans="1:7">
      <c r="A9592" t="s">
        <v>37541</v>
      </c>
      <c r="B9592" t="s">
        <v>8607</v>
      </c>
      <c r="F9592" t="s">
        <v>26417</v>
      </c>
      <c r="G9592" t="s">
        <v>37542</v>
      </c>
    </row>
    <row r="9593" spans="1:7">
      <c r="A9593" t="s">
        <v>37543</v>
      </c>
      <c r="B9593" t="s">
        <v>8607</v>
      </c>
      <c r="F9593" t="s">
        <v>26420</v>
      </c>
      <c r="G9593" t="s">
        <v>37544</v>
      </c>
    </row>
    <row r="9594" spans="1:7">
      <c r="A9594" t="s">
        <v>37545</v>
      </c>
      <c r="B9594" t="s">
        <v>8626</v>
      </c>
      <c r="G9594" t="s">
        <v>37546</v>
      </c>
    </row>
    <row r="9595" spans="1:7">
      <c r="A9595" t="s">
        <v>37547</v>
      </c>
      <c r="B9595" t="s">
        <v>8607</v>
      </c>
      <c r="F9595" t="s">
        <v>19172</v>
      </c>
      <c r="G9595" t="s">
        <v>30213</v>
      </c>
    </row>
    <row r="9596" spans="1:7">
      <c r="A9596" t="s">
        <v>37548</v>
      </c>
      <c r="B9596" t="s">
        <v>8626</v>
      </c>
      <c r="G9596" t="s">
        <v>37549</v>
      </c>
    </row>
    <row r="9597" spans="1:7">
      <c r="A9597" t="s">
        <v>37550</v>
      </c>
      <c r="B9597" t="s">
        <v>8607</v>
      </c>
      <c r="F9597" t="s">
        <v>27923</v>
      </c>
      <c r="G9597" t="s">
        <v>37551</v>
      </c>
    </row>
    <row r="9598" spans="1:7">
      <c r="A9598" t="s">
        <v>37552</v>
      </c>
      <c r="B9598" t="s">
        <v>8626</v>
      </c>
      <c r="F9598" t="s">
        <v>17928</v>
      </c>
      <c r="G9598" t="s">
        <v>37553</v>
      </c>
    </row>
    <row r="9599" spans="1:7">
      <c r="A9599" t="s">
        <v>37554</v>
      </c>
      <c r="G9599" t="s">
        <v>37555</v>
      </c>
    </row>
    <row r="9600" spans="1:7">
      <c r="A9600" t="s">
        <v>37556</v>
      </c>
      <c r="B9600" t="s">
        <v>8607</v>
      </c>
      <c r="F9600" t="s">
        <v>37557</v>
      </c>
      <c r="G9600" t="s">
        <v>37558</v>
      </c>
    </row>
    <row r="9601" spans="1:7">
      <c r="A9601" t="s">
        <v>37559</v>
      </c>
      <c r="B9601" t="s">
        <v>8607</v>
      </c>
      <c r="F9601" t="s">
        <v>31076</v>
      </c>
      <c r="G9601" t="s">
        <v>31077</v>
      </c>
    </row>
    <row r="9602" spans="1:7">
      <c r="A9602" t="s">
        <v>37560</v>
      </c>
      <c r="B9602" t="s">
        <v>8626</v>
      </c>
      <c r="F9602" t="s">
        <v>26176</v>
      </c>
      <c r="G9602" t="s">
        <v>37561</v>
      </c>
    </row>
    <row r="9603" spans="1:7">
      <c r="A9603" t="s">
        <v>37562</v>
      </c>
      <c r="B9603" t="s">
        <v>8626</v>
      </c>
      <c r="G9603" t="s">
        <v>37563</v>
      </c>
    </row>
    <row r="9604" spans="1:7">
      <c r="A9604" t="s">
        <v>37564</v>
      </c>
      <c r="B9604" t="s">
        <v>8607</v>
      </c>
      <c r="G9604" t="s">
        <v>10808</v>
      </c>
    </row>
    <row r="9605" spans="1:7">
      <c r="A9605" t="s">
        <v>37565</v>
      </c>
      <c r="B9605" t="s">
        <v>8607</v>
      </c>
      <c r="G9605" t="s">
        <v>27955</v>
      </c>
    </row>
    <row r="9606" spans="1:7">
      <c r="A9606" t="s">
        <v>37566</v>
      </c>
      <c r="B9606" t="s">
        <v>8626</v>
      </c>
      <c r="C9606" t="s">
        <v>28330</v>
      </c>
      <c r="F9606" t="s">
        <v>27958</v>
      </c>
      <c r="G9606" t="s">
        <v>31947</v>
      </c>
    </row>
    <row r="9607" spans="1:7">
      <c r="A9607" t="s">
        <v>37567</v>
      </c>
      <c r="B9607" t="s">
        <v>8626</v>
      </c>
      <c r="G9607" t="s">
        <v>37568</v>
      </c>
    </row>
    <row r="9608" spans="1:7">
      <c r="A9608" t="s">
        <v>37569</v>
      </c>
      <c r="B9608" t="s">
        <v>8607</v>
      </c>
      <c r="F9608" t="s">
        <v>9018</v>
      </c>
      <c r="G9608" t="s">
        <v>37570</v>
      </c>
    </row>
    <row r="9609" spans="1:7">
      <c r="A9609" t="s">
        <v>37571</v>
      </c>
      <c r="B9609" t="s">
        <v>8607</v>
      </c>
      <c r="G9609" t="s">
        <v>27963</v>
      </c>
    </row>
    <row r="9610" spans="1:7">
      <c r="A9610" t="s">
        <v>37572</v>
      </c>
      <c r="B9610" t="s">
        <v>8607</v>
      </c>
      <c r="F9610" t="s">
        <v>17874</v>
      </c>
      <c r="G9610" t="s">
        <v>21631</v>
      </c>
    </row>
    <row r="9611" spans="1:7">
      <c r="A9611" t="s">
        <v>37573</v>
      </c>
      <c r="B9611" t="s">
        <v>8626</v>
      </c>
      <c r="F9611" t="s">
        <v>17821</v>
      </c>
      <c r="G9611" t="s">
        <v>37574</v>
      </c>
    </row>
    <row r="9612" spans="1:7">
      <c r="A9612" t="s">
        <v>37575</v>
      </c>
      <c r="B9612" t="s">
        <v>8607</v>
      </c>
      <c r="G9612" t="s">
        <v>27970</v>
      </c>
    </row>
    <row r="9613" spans="1:7">
      <c r="A9613" t="s">
        <v>37576</v>
      </c>
      <c r="B9613" t="s">
        <v>8607</v>
      </c>
      <c r="F9613" t="s">
        <v>26024</v>
      </c>
      <c r="G9613" t="s">
        <v>26025</v>
      </c>
    </row>
    <row r="9614" spans="1:7">
      <c r="A9614" t="s">
        <v>37577</v>
      </c>
      <c r="B9614" t="s">
        <v>8607</v>
      </c>
      <c r="G9614" t="s">
        <v>27973</v>
      </c>
    </row>
    <row r="9615" spans="1:7">
      <c r="A9615" t="s">
        <v>37578</v>
      </c>
      <c r="B9615" t="s">
        <v>8607</v>
      </c>
      <c r="F9615" t="s">
        <v>30195</v>
      </c>
      <c r="G9615" t="s">
        <v>37579</v>
      </c>
    </row>
    <row r="9616" spans="1:7">
      <c r="A9616" t="s">
        <v>37580</v>
      </c>
      <c r="B9616" t="s">
        <v>8626</v>
      </c>
      <c r="F9616" t="s">
        <v>26191</v>
      </c>
      <c r="G9616" t="s">
        <v>37581</v>
      </c>
    </row>
    <row r="9617" spans="1:7">
      <c r="A9617" t="s">
        <v>37582</v>
      </c>
      <c r="B9617" t="s">
        <v>8626</v>
      </c>
      <c r="F9617" t="s">
        <v>10076</v>
      </c>
      <c r="G9617" t="s">
        <v>28474</v>
      </c>
    </row>
    <row r="9618" spans="1:7">
      <c r="A9618" t="s">
        <v>37583</v>
      </c>
      <c r="B9618" t="s">
        <v>8607</v>
      </c>
      <c r="F9618" t="s">
        <v>26108</v>
      </c>
      <c r="G9618" t="s">
        <v>37584</v>
      </c>
    </row>
    <row r="9619" spans="1:7">
      <c r="A9619" t="s">
        <v>37585</v>
      </c>
      <c r="B9619" t="s">
        <v>8607</v>
      </c>
      <c r="F9619" t="s">
        <v>27947</v>
      </c>
      <c r="G9619" t="s">
        <v>27948</v>
      </c>
    </row>
    <row r="9620" spans="1:7">
      <c r="A9620" t="s">
        <v>37586</v>
      </c>
      <c r="B9620" t="s">
        <v>8607</v>
      </c>
      <c r="F9620" t="s">
        <v>37587</v>
      </c>
      <c r="G9620" t="s">
        <v>37588</v>
      </c>
    </row>
    <row r="9621" spans="1:7">
      <c r="A9621" t="s">
        <v>37589</v>
      </c>
      <c r="B9621" t="s">
        <v>8607</v>
      </c>
      <c r="G9621" t="s">
        <v>30740</v>
      </c>
    </row>
    <row r="9622" spans="1:7">
      <c r="A9622" t="s">
        <v>37590</v>
      </c>
      <c r="B9622" t="s">
        <v>8607</v>
      </c>
      <c r="F9622" t="s">
        <v>23164</v>
      </c>
      <c r="G9622" t="s">
        <v>26733</v>
      </c>
    </row>
    <row r="9623" spans="1:7">
      <c r="A9623" t="s">
        <v>37591</v>
      </c>
      <c r="B9623" t="s">
        <v>8607</v>
      </c>
      <c r="F9623" t="s">
        <v>15549</v>
      </c>
      <c r="G9623" t="s">
        <v>29974</v>
      </c>
    </row>
    <row r="9624" spans="1:7">
      <c r="A9624" t="s">
        <v>37592</v>
      </c>
      <c r="B9624" t="s">
        <v>8607</v>
      </c>
      <c r="F9624" t="s">
        <v>26827</v>
      </c>
      <c r="G9624" t="s">
        <v>31953</v>
      </c>
    </row>
    <row r="9625" spans="1:7">
      <c r="A9625" t="s">
        <v>37593</v>
      </c>
      <c r="B9625" t="s">
        <v>8607</v>
      </c>
      <c r="F9625" t="s">
        <v>26091</v>
      </c>
      <c r="G9625" t="s">
        <v>37594</v>
      </c>
    </row>
    <row r="9626" spans="1:7">
      <c r="A9626" t="s">
        <v>37595</v>
      </c>
      <c r="B9626" t="s">
        <v>8626</v>
      </c>
      <c r="F9626" t="s">
        <v>18923</v>
      </c>
      <c r="G9626" t="s">
        <v>37596</v>
      </c>
    </row>
    <row r="9627" spans="1:7">
      <c r="A9627" t="s">
        <v>37597</v>
      </c>
      <c r="B9627" t="s">
        <v>8607</v>
      </c>
      <c r="F9627" t="s">
        <v>21567</v>
      </c>
      <c r="G9627" t="s">
        <v>23720</v>
      </c>
    </row>
    <row r="9628" spans="1:7">
      <c r="A9628" t="s">
        <v>37598</v>
      </c>
      <c r="B9628" t="s">
        <v>8607</v>
      </c>
      <c r="F9628" t="s">
        <v>37599</v>
      </c>
      <c r="G9628" t="s">
        <v>37600</v>
      </c>
    </row>
    <row r="9629" spans="1:7">
      <c r="A9629" t="s">
        <v>37601</v>
      </c>
      <c r="B9629" t="s">
        <v>8626</v>
      </c>
      <c r="C9629" t="s">
        <v>27957</v>
      </c>
      <c r="F9629" t="s">
        <v>27958</v>
      </c>
      <c r="G9629" t="s">
        <v>37602</v>
      </c>
    </row>
    <row r="9630" spans="1:7">
      <c r="A9630" t="s">
        <v>37603</v>
      </c>
      <c r="B9630" t="s">
        <v>8607</v>
      </c>
      <c r="G9630" t="s">
        <v>27963</v>
      </c>
    </row>
    <row r="9631" spans="1:7">
      <c r="A9631" t="s">
        <v>37604</v>
      </c>
      <c r="B9631" t="s">
        <v>8607</v>
      </c>
      <c r="F9631" t="s">
        <v>23997</v>
      </c>
      <c r="G9631" t="s">
        <v>35075</v>
      </c>
    </row>
    <row r="9632" spans="1:7">
      <c r="A9632" t="s">
        <v>37605</v>
      </c>
      <c r="B9632" t="s">
        <v>8626</v>
      </c>
      <c r="F9632" t="s">
        <v>24022</v>
      </c>
      <c r="G9632" t="s">
        <v>37606</v>
      </c>
    </row>
    <row r="9633" spans="1:7">
      <c r="A9633" t="s">
        <v>37607</v>
      </c>
      <c r="B9633" t="s">
        <v>8607</v>
      </c>
      <c r="F9633" t="s">
        <v>17643</v>
      </c>
      <c r="G9633" t="s">
        <v>26701</v>
      </c>
    </row>
    <row r="9634" spans="1:7">
      <c r="A9634" t="s">
        <v>37608</v>
      </c>
      <c r="B9634" t="s">
        <v>8607</v>
      </c>
      <c r="F9634" t="s">
        <v>19933</v>
      </c>
      <c r="G9634" t="s">
        <v>23929</v>
      </c>
    </row>
    <row r="9635" spans="1:7">
      <c r="A9635" t="s">
        <v>37609</v>
      </c>
      <c r="B9635" t="s">
        <v>8607</v>
      </c>
      <c r="F9635" t="s">
        <v>32154</v>
      </c>
      <c r="G9635" t="s">
        <v>10808</v>
      </c>
    </row>
    <row r="9636" spans="1:7">
      <c r="A9636" t="s">
        <v>37610</v>
      </c>
      <c r="B9636" t="s">
        <v>8626</v>
      </c>
      <c r="G9636" t="s">
        <v>37611</v>
      </c>
    </row>
    <row r="9637" spans="1:7">
      <c r="A9637" t="s">
        <v>37612</v>
      </c>
      <c r="B9637" t="s">
        <v>8626</v>
      </c>
      <c r="C9637" t="s">
        <v>27957</v>
      </c>
      <c r="F9637" t="s">
        <v>27958</v>
      </c>
      <c r="G9637" t="s">
        <v>37613</v>
      </c>
    </row>
    <row r="9638" spans="1:7">
      <c r="A9638" t="s">
        <v>37614</v>
      </c>
      <c r="B9638" t="s">
        <v>8626</v>
      </c>
      <c r="F9638" t="s">
        <v>33965</v>
      </c>
      <c r="G9638" t="s">
        <v>37615</v>
      </c>
    </row>
    <row r="9639" spans="1:7">
      <c r="A9639" t="s">
        <v>37616</v>
      </c>
      <c r="B9639" t="s">
        <v>8607</v>
      </c>
      <c r="F9639" t="s">
        <v>8623</v>
      </c>
      <c r="G9639" t="s">
        <v>27120</v>
      </c>
    </row>
    <row r="9640" spans="1:7">
      <c r="A9640" t="s">
        <v>37617</v>
      </c>
      <c r="B9640" t="s">
        <v>8607</v>
      </c>
      <c r="G9640" t="s">
        <v>27970</v>
      </c>
    </row>
    <row r="9641" spans="1:7">
      <c r="A9641" t="s">
        <v>37618</v>
      </c>
      <c r="B9641" t="s">
        <v>8607</v>
      </c>
      <c r="F9641" t="s">
        <v>26024</v>
      </c>
      <c r="G9641" t="s">
        <v>26025</v>
      </c>
    </row>
    <row r="9642" spans="1:7">
      <c r="A9642" t="s">
        <v>37619</v>
      </c>
      <c r="B9642" t="s">
        <v>8607</v>
      </c>
      <c r="G9642" t="s">
        <v>27973</v>
      </c>
    </row>
    <row r="9643" spans="1:7">
      <c r="A9643" t="s">
        <v>37620</v>
      </c>
      <c r="B9643" t="s">
        <v>8607</v>
      </c>
      <c r="F9643" t="s">
        <v>26251</v>
      </c>
      <c r="G9643" t="s">
        <v>26252</v>
      </c>
    </row>
    <row r="9644" spans="1:7">
      <c r="A9644" t="s">
        <v>37621</v>
      </c>
      <c r="B9644" t="s">
        <v>8607</v>
      </c>
      <c r="F9644" t="s">
        <v>8623</v>
      </c>
      <c r="G9644" t="s">
        <v>26254</v>
      </c>
    </row>
    <row r="9645" spans="1:7">
      <c r="A9645" t="s">
        <v>37622</v>
      </c>
      <c r="B9645" t="s">
        <v>8607</v>
      </c>
      <c r="F9645" t="s">
        <v>34528</v>
      </c>
      <c r="G9645" t="s">
        <v>37623</v>
      </c>
    </row>
    <row r="9646" spans="1:7">
      <c r="A9646" t="s">
        <v>37624</v>
      </c>
      <c r="B9646" t="s">
        <v>8607</v>
      </c>
      <c r="F9646" t="s">
        <v>31639</v>
      </c>
      <c r="G9646" t="s">
        <v>31640</v>
      </c>
    </row>
    <row r="9647" spans="1:7">
      <c r="A9647" t="s">
        <v>37625</v>
      </c>
      <c r="B9647" t="s">
        <v>8607</v>
      </c>
      <c r="C9647" t="s">
        <v>10675</v>
      </c>
      <c r="F9647" t="s">
        <v>10676</v>
      </c>
      <c r="G9647" t="s">
        <v>31642</v>
      </c>
    </row>
    <row r="9648" spans="1:7">
      <c r="A9648" t="s">
        <v>37626</v>
      </c>
      <c r="B9648" t="s">
        <v>8607</v>
      </c>
      <c r="G9648" t="s">
        <v>27963</v>
      </c>
    </row>
    <row r="9649" spans="1:7">
      <c r="A9649" t="s">
        <v>37627</v>
      </c>
      <c r="B9649" t="s">
        <v>8607</v>
      </c>
      <c r="F9649" t="s">
        <v>17874</v>
      </c>
      <c r="G9649" t="s">
        <v>21631</v>
      </c>
    </row>
    <row r="9650" spans="1:7">
      <c r="A9650" t="s">
        <v>37628</v>
      </c>
      <c r="B9650" t="s">
        <v>8607</v>
      </c>
      <c r="F9650" t="s">
        <v>23958</v>
      </c>
      <c r="G9650" t="s">
        <v>23965</v>
      </c>
    </row>
    <row r="9651" spans="1:7">
      <c r="A9651" t="s">
        <v>37629</v>
      </c>
      <c r="B9651" t="s">
        <v>8626</v>
      </c>
      <c r="F9651" t="s">
        <v>28352</v>
      </c>
      <c r="G9651" t="s">
        <v>37630</v>
      </c>
    </row>
    <row r="9652" spans="1:7">
      <c r="A9652" t="s">
        <v>37631</v>
      </c>
      <c r="B9652" t="s">
        <v>8607</v>
      </c>
      <c r="G9652" t="s">
        <v>30971</v>
      </c>
    </row>
    <row r="9653" spans="1:7">
      <c r="A9653" t="s">
        <v>37632</v>
      </c>
      <c r="B9653" t="s">
        <v>8626</v>
      </c>
      <c r="F9653" t="s">
        <v>20844</v>
      </c>
      <c r="G9653" t="s">
        <v>37633</v>
      </c>
    </row>
    <row r="9654" spans="1:7">
      <c r="A9654" t="s">
        <v>37634</v>
      </c>
      <c r="B9654" t="s">
        <v>8607</v>
      </c>
      <c r="G9654" t="s">
        <v>37635</v>
      </c>
    </row>
    <row r="9655" spans="1:7">
      <c r="A9655" t="s">
        <v>37636</v>
      </c>
      <c r="G9655" t="s">
        <v>37637</v>
      </c>
    </row>
    <row r="9656" spans="1:7">
      <c r="A9656" t="s">
        <v>37638</v>
      </c>
      <c r="B9656" t="s">
        <v>8607</v>
      </c>
      <c r="G9656" t="s">
        <v>37318</v>
      </c>
    </row>
    <row r="9657" spans="1:7">
      <c r="A9657" t="s">
        <v>37639</v>
      </c>
      <c r="B9657" t="s">
        <v>8607</v>
      </c>
      <c r="F9657" t="s">
        <v>27890</v>
      </c>
      <c r="G9657" t="s">
        <v>27891</v>
      </c>
    </row>
    <row r="9658" spans="1:7">
      <c r="A9658" t="s">
        <v>37640</v>
      </c>
      <c r="B9658" t="s">
        <v>8607</v>
      </c>
      <c r="F9658" t="s">
        <v>8774</v>
      </c>
      <c r="G9658" t="s">
        <v>37641</v>
      </c>
    </row>
    <row r="9659" spans="1:7">
      <c r="A9659" t="s">
        <v>37642</v>
      </c>
      <c r="B9659" t="s">
        <v>8626</v>
      </c>
      <c r="F9659" t="s">
        <v>27915</v>
      </c>
      <c r="G9659" t="s">
        <v>37643</v>
      </c>
    </row>
    <row r="9660" spans="1:7">
      <c r="A9660" t="s">
        <v>37644</v>
      </c>
      <c r="B9660" t="s">
        <v>8607</v>
      </c>
      <c r="F9660" t="s">
        <v>22981</v>
      </c>
      <c r="G9660" t="s">
        <v>29263</v>
      </c>
    </row>
    <row r="9661" spans="1:7">
      <c r="A9661" t="s">
        <v>37645</v>
      </c>
      <c r="B9661" t="s">
        <v>8607</v>
      </c>
      <c r="F9661" t="s">
        <v>27462</v>
      </c>
      <c r="G9661" t="s">
        <v>27463</v>
      </c>
    </row>
    <row r="9662" spans="1:7">
      <c r="A9662" t="s">
        <v>37646</v>
      </c>
      <c r="B9662" t="s">
        <v>8626</v>
      </c>
      <c r="F9662" t="s">
        <v>28004</v>
      </c>
      <c r="G9662" t="s">
        <v>37647</v>
      </c>
    </row>
    <row r="9663" spans="1:7">
      <c r="A9663" t="s">
        <v>37648</v>
      </c>
      <c r="B9663" t="s">
        <v>8607</v>
      </c>
      <c r="F9663" t="s">
        <v>28001</v>
      </c>
      <c r="G9663" t="s">
        <v>37649</v>
      </c>
    </row>
    <row r="9664" spans="1:7">
      <c r="A9664" t="s">
        <v>37650</v>
      </c>
      <c r="B9664" t="s">
        <v>8607</v>
      </c>
      <c r="F9664" t="s">
        <v>34369</v>
      </c>
      <c r="G9664" t="s">
        <v>37651</v>
      </c>
    </row>
    <row r="9665" spans="1:7">
      <c r="A9665" t="s">
        <v>37652</v>
      </c>
      <c r="B9665" t="s">
        <v>8607</v>
      </c>
      <c r="F9665" t="s">
        <v>34369</v>
      </c>
      <c r="G9665" t="s">
        <v>37653</v>
      </c>
    </row>
    <row r="9666" spans="1:7">
      <c r="A9666" t="s">
        <v>37654</v>
      </c>
      <c r="B9666" t="s">
        <v>8607</v>
      </c>
      <c r="F9666" t="s">
        <v>17760</v>
      </c>
      <c r="G9666" t="s">
        <v>26415</v>
      </c>
    </row>
    <row r="9667" spans="1:7">
      <c r="A9667" t="s">
        <v>37655</v>
      </c>
      <c r="B9667" t="s">
        <v>8607</v>
      </c>
      <c r="F9667" t="s">
        <v>28018</v>
      </c>
      <c r="G9667" t="s">
        <v>37656</v>
      </c>
    </row>
    <row r="9668" spans="1:7">
      <c r="A9668" t="s">
        <v>37657</v>
      </c>
      <c r="B9668" t="s">
        <v>8607</v>
      </c>
      <c r="F9668" t="s">
        <v>27455</v>
      </c>
      <c r="G9668" t="s">
        <v>36827</v>
      </c>
    </row>
    <row r="9669" spans="1:7">
      <c r="A9669" t="s">
        <v>37658</v>
      </c>
      <c r="B9669" t="s">
        <v>8607</v>
      </c>
      <c r="F9669" t="s">
        <v>27458</v>
      </c>
      <c r="G9669" t="s">
        <v>36829</v>
      </c>
    </row>
    <row r="9670" spans="1:7">
      <c r="A9670" t="s">
        <v>37659</v>
      </c>
      <c r="B9670" t="s">
        <v>8607</v>
      </c>
      <c r="F9670" t="s">
        <v>37660</v>
      </c>
      <c r="G9670" t="s">
        <v>37661</v>
      </c>
    </row>
    <row r="9671" spans="1:7">
      <c r="A9671" t="s">
        <v>37662</v>
      </c>
      <c r="B9671" t="s">
        <v>8607</v>
      </c>
      <c r="F9671" t="s">
        <v>31943</v>
      </c>
      <c r="G9671" t="s">
        <v>37663</v>
      </c>
    </row>
    <row r="9672" spans="1:7">
      <c r="A9672" t="s">
        <v>37664</v>
      </c>
      <c r="G9672" t="s">
        <v>37665</v>
      </c>
    </row>
    <row r="9673" spans="1:7">
      <c r="A9673" t="s">
        <v>37666</v>
      </c>
      <c r="B9673" t="s">
        <v>8607</v>
      </c>
      <c r="F9673" t="s">
        <v>9018</v>
      </c>
      <c r="G9673" t="s">
        <v>37667</v>
      </c>
    </row>
    <row r="9674" spans="1:7">
      <c r="A9674" t="s">
        <v>37668</v>
      </c>
      <c r="B9674" t="s">
        <v>8626</v>
      </c>
      <c r="F9674" t="s">
        <v>28306</v>
      </c>
      <c r="G9674" t="s">
        <v>37669</v>
      </c>
    </row>
    <row r="9675" spans="1:7">
      <c r="A9675" t="s">
        <v>37670</v>
      </c>
      <c r="B9675" t="s">
        <v>8607</v>
      </c>
      <c r="C9675" t="s">
        <v>35099</v>
      </c>
      <c r="F9675" t="s">
        <v>9018</v>
      </c>
      <c r="G9675" t="s">
        <v>37671</v>
      </c>
    </row>
    <row r="9676" spans="1:7">
      <c r="A9676" t="s">
        <v>37672</v>
      </c>
      <c r="B9676" t="s">
        <v>8607</v>
      </c>
      <c r="G9676" t="s">
        <v>27955</v>
      </c>
    </row>
    <row r="9677" spans="1:7">
      <c r="A9677" t="s">
        <v>37673</v>
      </c>
      <c r="B9677" t="s">
        <v>8607</v>
      </c>
      <c r="F9677" t="s">
        <v>27958</v>
      </c>
      <c r="G9677" t="s">
        <v>27959</v>
      </c>
    </row>
    <row r="9678" spans="1:7">
      <c r="A9678" t="s">
        <v>37674</v>
      </c>
      <c r="B9678" t="s">
        <v>8607</v>
      </c>
      <c r="G9678" t="s">
        <v>27961</v>
      </c>
    </row>
    <row r="9679" spans="1:7">
      <c r="A9679" t="s">
        <v>37675</v>
      </c>
      <c r="B9679" t="s">
        <v>8607</v>
      </c>
      <c r="G9679" t="s">
        <v>27963</v>
      </c>
    </row>
    <row r="9680" spans="1:7">
      <c r="A9680" t="s">
        <v>37676</v>
      </c>
      <c r="B9680" t="s">
        <v>8626</v>
      </c>
      <c r="G9680" t="s">
        <v>37394</v>
      </c>
    </row>
    <row r="9681" spans="1:7">
      <c r="A9681" t="s">
        <v>37677</v>
      </c>
      <c r="B9681" t="s">
        <v>8607</v>
      </c>
      <c r="G9681" t="s">
        <v>27970</v>
      </c>
    </row>
    <row r="9682" spans="1:7">
      <c r="A9682" t="s">
        <v>37678</v>
      </c>
      <c r="B9682" t="s">
        <v>8607</v>
      </c>
      <c r="F9682" t="s">
        <v>26024</v>
      </c>
      <c r="G9682" t="s">
        <v>26025</v>
      </c>
    </row>
    <row r="9683" spans="1:7">
      <c r="A9683" t="s">
        <v>37679</v>
      </c>
      <c r="B9683" t="s">
        <v>8607</v>
      </c>
      <c r="G9683" t="s">
        <v>27973</v>
      </c>
    </row>
    <row r="9684" spans="1:7">
      <c r="A9684" t="s">
        <v>37680</v>
      </c>
      <c r="B9684" t="s">
        <v>8607</v>
      </c>
      <c r="G9684" t="s">
        <v>24056</v>
      </c>
    </row>
    <row r="9685" spans="1:7">
      <c r="A9685" t="s">
        <v>37681</v>
      </c>
      <c r="B9685" t="s">
        <v>8607</v>
      </c>
      <c r="F9685" t="s">
        <v>19933</v>
      </c>
      <c r="G9685" t="s">
        <v>19934</v>
      </c>
    </row>
    <row r="9686" spans="1:7">
      <c r="A9686" t="s">
        <v>37682</v>
      </c>
      <c r="B9686" t="s">
        <v>8607</v>
      </c>
      <c r="G9686" t="s">
        <v>10808</v>
      </c>
    </row>
    <row r="9687" spans="1:7">
      <c r="A9687" t="s">
        <v>37683</v>
      </c>
      <c r="B9687" t="s">
        <v>8626</v>
      </c>
      <c r="F9687" t="s">
        <v>17429</v>
      </c>
      <c r="G9687" t="s">
        <v>28870</v>
      </c>
    </row>
    <row r="9688" spans="1:7">
      <c r="A9688" t="s">
        <v>37684</v>
      </c>
      <c r="B9688" t="s">
        <v>8607</v>
      </c>
      <c r="F9688" t="s">
        <v>26176</v>
      </c>
      <c r="G9688" t="s">
        <v>28272</v>
      </c>
    </row>
    <row r="9689" spans="1:7">
      <c r="A9689" t="s">
        <v>37685</v>
      </c>
      <c r="B9689" t="s">
        <v>8607</v>
      </c>
      <c r="F9689" t="s">
        <v>17932</v>
      </c>
      <c r="G9689" t="s">
        <v>27670</v>
      </c>
    </row>
    <row r="9690" spans="1:7">
      <c r="A9690" t="s">
        <v>37686</v>
      </c>
      <c r="B9690" t="s">
        <v>8607</v>
      </c>
      <c r="F9690" t="s">
        <v>17790</v>
      </c>
      <c r="G9690" t="s">
        <v>21517</v>
      </c>
    </row>
    <row r="9691" spans="1:7">
      <c r="A9691" t="s">
        <v>37687</v>
      </c>
      <c r="B9691" t="s">
        <v>8607</v>
      </c>
      <c r="F9691" t="s">
        <v>31502</v>
      </c>
      <c r="G9691" t="s">
        <v>31503</v>
      </c>
    </row>
    <row r="9692" spans="1:7">
      <c r="A9692" t="s">
        <v>37688</v>
      </c>
      <c r="B9692" t="s">
        <v>8607</v>
      </c>
      <c r="F9692" t="s">
        <v>19473</v>
      </c>
      <c r="G9692" t="s">
        <v>31482</v>
      </c>
    </row>
    <row r="9693" spans="1:7">
      <c r="A9693" t="s">
        <v>37689</v>
      </c>
      <c r="B9693" t="s">
        <v>8607</v>
      </c>
      <c r="F9693" t="s">
        <v>19473</v>
      </c>
      <c r="G9693" t="s">
        <v>35375</v>
      </c>
    </row>
    <row r="9694" spans="1:7">
      <c r="A9694" t="s">
        <v>37690</v>
      </c>
      <c r="B9694" t="s">
        <v>8626</v>
      </c>
      <c r="G9694" t="s">
        <v>31683</v>
      </c>
    </row>
    <row r="9695" spans="1:7">
      <c r="A9695" t="s">
        <v>37691</v>
      </c>
      <c r="B9695" t="s">
        <v>8607</v>
      </c>
      <c r="F9695" t="s">
        <v>27377</v>
      </c>
      <c r="G9695" t="s">
        <v>27378</v>
      </c>
    </row>
    <row r="9696" spans="1:7">
      <c r="A9696" t="s">
        <v>37692</v>
      </c>
      <c r="B9696" t="s">
        <v>8626</v>
      </c>
      <c r="F9696" t="s">
        <v>37693</v>
      </c>
      <c r="G9696" t="s">
        <v>37694</v>
      </c>
    </row>
    <row r="9697" spans="1:7">
      <c r="A9697" t="s">
        <v>37695</v>
      </c>
      <c r="B9697" t="s">
        <v>8607</v>
      </c>
      <c r="F9697" t="s">
        <v>37696</v>
      </c>
      <c r="G9697" t="s">
        <v>37661</v>
      </c>
    </row>
    <row r="9698" spans="1:7">
      <c r="A9698" t="s">
        <v>37697</v>
      </c>
      <c r="B9698" t="s">
        <v>8626</v>
      </c>
      <c r="G9698" t="s">
        <v>37698</v>
      </c>
    </row>
    <row r="9699" spans="1:7">
      <c r="A9699" t="s">
        <v>37699</v>
      </c>
      <c r="B9699" t="s">
        <v>8626</v>
      </c>
      <c r="C9699" t="s">
        <v>37025</v>
      </c>
      <c r="F9699" t="s">
        <v>33868</v>
      </c>
      <c r="G9699" t="s">
        <v>37700</v>
      </c>
    </row>
    <row r="9700" spans="1:7">
      <c r="A9700" t="s">
        <v>37701</v>
      </c>
      <c r="B9700" t="s">
        <v>8626</v>
      </c>
      <c r="G9700" t="s">
        <v>37702</v>
      </c>
    </row>
    <row r="9701" spans="1:7">
      <c r="A9701" t="s">
        <v>37703</v>
      </c>
      <c r="B9701" t="s">
        <v>8607</v>
      </c>
      <c r="F9701" t="s">
        <v>28352</v>
      </c>
      <c r="G9701" t="s">
        <v>37704</v>
      </c>
    </row>
    <row r="9702" spans="1:7">
      <c r="A9702" t="s">
        <v>37705</v>
      </c>
      <c r="B9702" t="s">
        <v>8607</v>
      </c>
      <c r="G9702" t="s">
        <v>37706</v>
      </c>
    </row>
    <row r="9703" spans="1:7">
      <c r="A9703" t="s">
        <v>37707</v>
      </c>
      <c r="B9703" t="s">
        <v>8626</v>
      </c>
      <c r="G9703" t="s">
        <v>37708</v>
      </c>
    </row>
    <row r="9704" spans="1:7">
      <c r="A9704" t="s">
        <v>37709</v>
      </c>
      <c r="B9704" t="s">
        <v>8626</v>
      </c>
      <c r="F9704" t="s">
        <v>18286</v>
      </c>
      <c r="G9704" t="s">
        <v>37710</v>
      </c>
    </row>
    <row r="9705" spans="1:7">
      <c r="A9705" t="s">
        <v>37711</v>
      </c>
      <c r="B9705" t="s">
        <v>8626</v>
      </c>
      <c r="G9705" t="s">
        <v>37712</v>
      </c>
    </row>
    <row r="9706" spans="1:7">
      <c r="A9706" t="s">
        <v>37713</v>
      </c>
      <c r="B9706" t="s">
        <v>8607</v>
      </c>
      <c r="F9706" t="s">
        <v>34570</v>
      </c>
      <c r="G9706" t="s">
        <v>37714</v>
      </c>
    </row>
    <row r="9707" spans="1:7">
      <c r="A9707" t="s">
        <v>37715</v>
      </c>
      <c r="B9707" t="s">
        <v>8626</v>
      </c>
      <c r="C9707" t="s">
        <v>28071</v>
      </c>
      <c r="F9707" t="s">
        <v>17327</v>
      </c>
      <c r="G9707" t="s">
        <v>37716</v>
      </c>
    </row>
    <row r="9708" spans="1:7">
      <c r="A9708" t="s">
        <v>37717</v>
      </c>
      <c r="B9708" t="s">
        <v>8607</v>
      </c>
      <c r="F9708" t="s">
        <v>9293</v>
      </c>
      <c r="G9708" t="s">
        <v>37718</v>
      </c>
    </row>
    <row r="9709" spans="1:7">
      <c r="A9709" t="s">
        <v>37719</v>
      </c>
      <c r="B9709" t="s">
        <v>8607</v>
      </c>
      <c r="C9709" t="s">
        <v>17806</v>
      </c>
      <c r="F9709" t="s">
        <v>17807</v>
      </c>
      <c r="G9709" t="s">
        <v>31582</v>
      </c>
    </row>
    <row r="9710" spans="1:7">
      <c r="A9710" t="s">
        <v>37720</v>
      </c>
      <c r="B9710" t="s">
        <v>8626</v>
      </c>
      <c r="G9710" t="s">
        <v>37721</v>
      </c>
    </row>
    <row r="9711" spans="1:7">
      <c r="A9711" t="s">
        <v>37722</v>
      </c>
      <c r="B9711" t="s">
        <v>8626</v>
      </c>
      <c r="F9711" t="s">
        <v>27740</v>
      </c>
      <c r="G9711" t="s">
        <v>37723</v>
      </c>
    </row>
    <row r="9712" spans="1:7">
      <c r="A9712" t="s">
        <v>37724</v>
      </c>
      <c r="B9712" t="s">
        <v>8607</v>
      </c>
      <c r="C9712" t="s">
        <v>37725</v>
      </c>
      <c r="F9712" t="s">
        <v>8623</v>
      </c>
      <c r="G9712" t="s">
        <v>37726</v>
      </c>
    </row>
    <row r="9713" spans="1:7">
      <c r="A9713" t="s">
        <v>37727</v>
      </c>
      <c r="B9713" t="s">
        <v>8607</v>
      </c>
      <c r="G9713" t="s">
        <v>27970</v>
      </c>
    </row>
    <row r="9714" spans="1:7">
      <c r="A9714" t="s">
        <v>37728</v>
      </c>
      <c r="B9714" t="s">
        <v>8607</v>
      </c>
      <c r="F9714" t="s">
        <v>26024</v>
      </c>
      <c r="G9714" t="s">
        <v>26025</v>
      </c>
    </row>
    <row r="9715" spans="1:7">
      <c r="A9715" t="s">
        <v>37729</v>
      </c>
      <c r="B9715" t="s">
        <v>8626</v>
      </c>
      <c r="F9715" t="s">
        <v>37263</v>
      </c>
      <c r="G9715" t="s">
        <v>37730</v>
      </c>
    </row>
    <row r="9716" spans="1:7">
      <c r="A9716" t="s">
        <v>37731</v>
      </c>
      <c r="B9716" t="s">
        <v>8607</v>
      </c>
      <c r="F9716" t="s">
        <v>26588</v>
      </c>
      <c r="G9716" t="s">
        <v>27963</v>
      </c>
    </row>
    <row r="9717" spans="1:7">
      <c r="A9717" t="s">
        <v>37732</v>
      </c>
      <c r="B9717" t="s">
        <v>8607</v>
      </c>
      <c r="F9717" t="s">
        <v>17874</v>
      </c>
      <c r="G9717" t="s">
        <v>21631</v>
      </c>
    </row>
    <row r="9718" spans="1:7">
      <c r="A9718" t="s">
        <v>37733</v>
      </c>
      <c r="G9718" t="s">
        <v>25483</v>
      </c>
    </row>
    <row r="9719" spans="1:7">
      <c r="A9719" t="s">
        <v>37734</v>
      </c>
      <c r="B9719" t="s">
        <v>8626</v>
      </c>
      <c r="F9719" t="s">
        <v>30403</v>
      </c>
      <c r="G9719" t="s">
        <v>37735</v>
      </c>
    </row>
    <row r="9720" spans="1:7">
      <c r="A9720" t="s">
        <v>37736</v>
      </c>
      <c r="B9720" t="s">
        <v>8607</v>
      </c>
      <c r="F9720" t="s">
        <v>17760</v>
      </c>
      <c r="G9720" t="s">
        <v>26415</v>
      </c>
    </row>
    <row r="9721" spans="1:7">
      <c r="A9721" t="s">
        <v>37737</v>
      </c>
      <c r="B9721" t="s">
        <v>8607</v>
      </c>
      <c r="F9721" t="s">
        <v>37738</v>
      </c>
      <c r="G9721" t="s">
        <v>37739</v>
      </c>
    </row>
    <row r="9722" spans="1:7">
      <c r="A9722" t="s">
        <v>37740</v>
      </c>
      <c r="B9722" t="s">
        <v>8607</v>
      </c>
      <c r="F9722" t="s">
        <v>37287</v>
      </c>
      <c r="G9722" t="s">
        <v>37741</v>
      </c>
    </row>
    <row r="9723" spans="1:7">
      <c r="A9723" t="s">
        <v>37742</v>
      </c>
      <c r="G9723" t="s">
        <v>37743</v>
      </c>
    </row>
    <row r="9724" spans="1:7">
      <c r="A9724" t="s">
        <v>37744</v>
      </c>
      <c r="B9724" t="s">
        <v>8626</v>
      </c>
      <c r="F9724" t="s">
        <v>28352</v>
      </c>
      <c r="G9724" t="s">
        <v>37745</v>
      </c>
    </row>
    <row r="9725" spans="1:7">
      <c r="A9725" t="s">
        <v>37746</v>
      </c>
      <c r="B9725" t="s">
        <v>8607</v>
      </c>
      <c r="F9725" t="s">
        <v>8623</v>
      </c>
      <c r="G9725" t="s">
        <v>37747</v>
      </c>
    </row>
    <row r="9726" spans="1:7">
      <c r="A9726" t="s">
        <v>37748</v>
      </c>
      <c r="B9726" t="s">
        <v>8607</v>
      </c>
      <c r="F9726" t="s">
        <v>17932</v>
      </c>
      <c r="G9726" t="s">
        <v>34089</v>
      </c>
    </row>
    <row r="9727" spans="1:7">
      <c r="A9727" t="s">
        <v>37749</v>
      </c>
      <c r="B9727" t="s">
        <v>8607</v>
      </c>
      <c r="F9727" t="s">
        <v>28159</v>
      </c>
      <c r="G9727" t="s">
        <v>37750</v>
      </c>
    </row>
    <row r="9728" spans="1:7">
      <c r="A9728" t="s">
        <v>37751</v>
      </c>
      <c r="B9728" t="s">
        <v>8607</v>
      </c>
      <c r="F9728" t="s">
        <v>17349</v>
      </c>
      <c r="G9728" t="s">
        <v>36603</v>
      </c>
    </row>
    <row r="9729" spans="1:7">
      <c r="A9729" t="s">
        <v>37752</v>
      </c>
      <c r="B9729" t="s">
        <v>8607</v>
      </c>
      <c r="F9729" t="s">
        <v>33207</v>
      </c>
      <c r="G9729" t="s">
        <v>33208</v>
      </c>
    </row>
    <row r="9730" spans="1:7">
      <c r="A9730" t="s">
        <v>37753</v>
      </c>
      <c r="B9730" t="s">
        <v>8607</v>
      </c>
      <c r="F9730" t="s">
        <v>34786</v>
      </c>
      <c r="G9730" t="s">
        <v>36015</v>
      </c>
    </row>
    <row r="9731" spans="1:7">
      <c r="A9731" t="s">
        <v>37754</v>
      </c>
      <c r="B9731" t="s">
        <v>8607</v>
      </c>
      <c r="F9731" t="s">
        <v>27423</v>
      </c>
      <c r="G9731" t="s">
        <v>37755</v>
      </c>
    </row>
    <row r="9732" spans="1:7">
      <c r="A9732" t="s">
        <v>37756</v>
      </c>
      <c r="B9732" t="s">
        <v>8607</v>
      </c>
      <c r="F9732" t="s">
        <v>26717</v>
      </c>
      <c r="G9732" t="s">
        <v>36590</v>
      </c>
    </row>
    <row r="9733" spans="1:7">
      <c r="A9733" t="s">
        <v>37757</v>
      </c>
      <c r="B9733" t="s">
        <v>8607</v>
      </c>
      <c r="F9733" t="s">
        <v>27958</v>
      </c>
      <c r="G9733" t="s">
        <v>27959</v>
      </c>
    </row>
    <row r="9734" spans="1:7">
      <c r="A9734" t="s">
        <v>37758</v>
      </c>
      <c r="B9734" t="s">
        <v>8607</v>
      </c>
      <c r="G9734" t="s">
        <v>27961</v>
      </c>
    </row>
    <row r="9735" spans="1:7">
      <c r="A9735" t="s">
        <v>37759</v>
      </c>
      <c r="B9735" t="s">
        <v>8607</v>
      </c>
      <c r="F9735" t="s">
        <v>9018</v>
      </c>
      <c r="G9735" t="s">
        <v>18567</v>
      </c>
    </row>
    <row r="9736" spans="1:7">
      <c r="A9736" t="s">
        <v>37760</v>
      </c>
      <c r="B9736" t="s">
        <v>8607</v>
      </c>
      <c r="G9736" t="s">
        <v>10808</v>
      </c>
    </row>
    <row r="9737" spans="1:7">
      <c r="A9737" t="s">
        <v>37761</v>
      </c>
      <c r="B9737" t="s">
        <v>8607</v>
      </c>
      <c r="F9737" t="s">
        <v>8623</v>
      </c>
      <c r="G9737" t="s">
        <v>37762</v>
      </c>
    </row>
    <row r="9738" spans="1:7">
      <c r="A9738" t="s">
        <v>37763</v>
      </c>
      <c r="B9738" t="s">
        <v>8607</v>
      </c>
      <c r="C9738" t="s">
        <v>21506</v>
      </c>
      <c r="F9738" t="s">
        <v>17790</v>
      </c>
      <c r="G9738" t="s">
        <v>37764</v>
      </c>
    </row>
    <row r="9739" spans="1:7">
      <c r="A9739" t="s">
        <v>37765</v>
      </c>
      <c r="B9739" t="s">
        <v>8626</v>
      </c>
      <c r="F9739" t="s">
        <v>18705</v>
      </c>
      <c r="G9739" t="s">
        <v>37766</v>
      </c>
    </row>
    <row r="9740" spans="1:7">
      <c r="A9740" t="s">
        <v>37767</v>
      </c>
      <c r="B9740" t="s">
        <v>8607</v>
      </c>
      <c r="F9740" t="s">
        <v>17327</v>
      </c>
      <c r="G9740" t="s">
        <v>17328</v>
      </c>
    </row>
    <row r="9741" spans="1:7">
      <c r="A9741" t="s">
        <v>37768</v>
      </c>
      <c r="B9741" t="s">
        <v>8607</v>
      </c>
      <c r="F9741" t="s">
        <v>20201</v>
      </c>
      <c r="G9741" t="s">
        <v>27843</v>
      </c>
    </row>
    <row r="9742" spans="1:7">
      <c r="A9742" t="s">
        <v>37769</v>
      </c>
      <c r="B9742" t="s">
        <v>8607</v>
      </c>
      <c r="F9742" t="s">
        <v>20473</v>
      </c>
      <c r="G9742" t="s">
        <v>27845</v>
      </c>
    </row>
    <row r="9743" spans="1:7">
      <c r="A9743" t="s">
        <v>37770</v>
      </c>
      <c r="B9743" t="s">
        <v>8607</v>
      </c>
      <c r="F9743" t="s">
        <v>26449</v>
      </c>
      <c r="G9743" t="s">
        <v>30519</v>
      </c>
    </row>
    <row r="9744" spans="1:7">
      <c r="A9744" t="s">
        <v>37771</v>
      </c>
      <c r="G9744" t="s">
        <v>37772</v>
      </c>
    </row>
    <row r="9745" spans="1:7">
      <c r="A9745" t="s">
        <v>37773</v>
      </c>
      <c r="B9745" t="s">
        <v>8607</v>
      </c>
      <c r="F9745" t="s">
        <v>26251</v>
      </c>
      <c r="G9745" t="s">
        <v>37774</v>
      </c>
    </row>
    <row r="9746" spans="1:7">
      <c r="A9746" t="s">
        <v>37775</v>
      </c>
      <c r="B9746" t="s">
        <v>8607</v>
      </c>
      <c r="F9746" t="s">
        <v>26207</v>
      </c>
      <c r="G9746" t="s">
        <v>36596</v>
      </c>
    </row>
    <row r="9747" spans="1:7">
      <c r="A9747" t="s">
        <v>37776</v>
      </c>
      <c r="B9747" t="s">
        <v>8607</v>
      </c>
      <c r="C9747" t="s">
        <v>27092</v>
      </c>
      <c r="F9747" t="s">
        <v>9018</v>
      </c>
      <c r="G9747" t="s">
        <v>27093</v>
      </c>
    </row>
    <row r="9748" spans="1:7">
      <c r="A9748" t="s">
        <v>37777</v>
      </c>
      <c r="B9748" t="s">
        <v>8607</v>
      </c>
      <c r="G9748" t="s">
        <v>27095</v>
      </c>
    </row>
    <row r="9749" spans="1:7">
      <c r="A9749" t="s">
        <v>37778</v>
      </c>
      <c r="B9749" t="s">
        <v>8607</v>
      </c>
      <c r="F9749" t="s">
        <v>26343</v>
      </c>
      <c r="G9749" t="s">
        <v>27097</v>
      </c>
    </row>
    <row r="9750" spans="1:7">
      <c r="A9750" t="s">
        <v>37779</v>
      </c>
      <c r="B9750" t="s">
        <v>8607</v>
      </c>
      <c r="F9750" t="s">
        <v>26179</v>
      </c>
      <c r="G9750" t="s">
        <v>31859</v>
      </c>
    </row>
    <row r="9751" spans="1:7">
      <c r="A9751" t="s">
        <v>37780</v>
      </c>
      <c r="B9751" t="s">
        <v>8607</v>
      </c>
      <c r="F9751" t="s">
        <v>30145</v>
      </c>
      <c r="G9751" t="s">
        <v>30740</v>
      </c>
    </row>
    <row r="9752" spans="1:7">
      <c r="A9752" t="s">
        <v>37781</v>
      </c>
      <c r="B9752" t="s">
        <v>8607</v>
      </c>
      <c r="F9752" t="s">
        <v>33181</v>
      </c>
      <c r="G9752" t="s">
        <v>37782</v>
      </c>
    </row>
    <row r="9753" spans="1:7">
      <c r="A9753" t="s">
        <v>37783</v>
      </c>
      <c r="B9753" t="s">
        <v>8607</v>
      </c>
      <c r="F9753" t="s">
        <v>29367</v>
      </c>
      <c r="G9753" t="s">
        <v>37784</v>
      </c>
    </row>
    <row r="9754" spans="1:7">
      <c r="A9754" t="s">
        <v>37785</v>
      </c>
      <c r="B9754" t="s">
        <v>8607</v>
      </c>
      <c r="G9754" t="s">
        <v>26572</v>
      </c>
    </row>
    <row r="9755" spans="1:7">
      <c r="A9755" t="s">
        <v>37786</v>
      </c>
      <c r="B9755" t="s">
        <v>8607</v>
      </c>
      <c r="G9755" t="s">
        <v>27110</v>
      </c>
    </row>
    <row r="9756" spans="1:7">
      <c r="A9756" t="s">
        <v>37787</v>
      </c>
      <c r="B9756" t="s">
        <v>8626</v>
      </c>
      <c r="F9756" t="s">
        <v>17741</v>
      </c>
      <c r="G9756" t="s">
        <v>37788</v>
      </c>
    </row>
    <row r="9757" spans="1:7">
      <c r="A9757" t="s">
        <v>37789</v>
      </c>
      <c r="B9757" t="s">
        <v>8626</v>
      </c>
      <c r="F9757" t="s">
        <v>30239</v>
      </c>
      <c r="G9757" t="s">
        <v>32259</v>
      </c>
    </row>
    <row r="9758" spans="1:7">
      <c r="A9758" t="s">
        <v>37790</v>
      </c>
      <c r="B9758" t="s">
        <v>8607</v>
      </c>
      <c r="F9758" t="s">
        <v>17779</v>
      </c>
      <c r="G9758" t="s">
        <v>24956</v>
      </c>
    </row>
    <row r="9759" spans="1:7">
      <c r="A9759" t="s">
        <v>37791</v>
      </c>
      <c r="B9759" t="s">
        <v>8626</v>
      </c>
      <c r="G9759" t="s">
        <v>35417</v>
      </c>
    </row>
    <row r="9760" spans="1:7">
      <c r="A9760" t="s">
        <v>37792</v>
      </c>
      <c r="B9760" t="s">
        <v>8607</v>
      </c>
      <c r="F9760" t="s">
        <v>18923</v>
      </c>
      <c r="G9760" t="s">
        <v>25396</v>
      </c>
    </row>
    <row r="9761" spans="1:7">
      <c r="A9761" t="s">
        <v>37793</v>
      </c>
      <c r="B9761" t="s">
        <v>8607</v>
      </c>
      <c r="F9761" t="s">
        <v>18923</v>
      </c>
      <c r="G9761" t="s">
        <v>25396</v>
      </c>
    </row>
    <row r="9762" spans="1:7">
      <c r="A9762" t="s">
        <v>37794</v>
      </c>
      <c r="B9762" t="s">
        <v>8607</v>
      </c>
      <c r="F9762" t="s">
        <v>26717</v>
      </c>
      <c r="G9762" t="s">
        <v>33214</v>
      </c>
    </row>
    <row r="9763" spans="1:7">
      <c r="A9763" t="s">
        <v>37795</v>
      </c>
      <c r="B9763" t="s">
        <v>8607</v>
      </c>
      <c r="F9763" t="s">
        <v>30528</v>
      </c>
      <c r="G9763" t="s">
        <v>37796</v>
      </c>
    </row>
    <row r="9764" spans="1:7">
      <c r="A9764" t="s">
        <v>37797</v>
      </c>
      <c r="B9764" t="s">
        <v>8626</v>
      </c>
      <c r="C9764" t="s">
        <v>27497</v>
      </c>
      <c r="F9764" t="s">
        <v>15811</v>
      </c>
      <c r="G9764" t="s">
        <v>32397</v>
      </c>
    </row>
    <row r="9765" spans="1:7">
      <c r="A9765" t="s">
        <v>37798</v>
      </c>
      <c r="B9765" t="s">
        <v>8626</v>
      </c>
      <c r="C9765" t="s">
        <v>28978</v>
      </c>
      <c r="F9765" t="s">
        <v>28979</v>
      </c>
      <c r="G9765" t="s">
        <v>32399</v>
      </c>
    </row>
    <row r="9766" spans="1:7">
      <c r="A9766" t="s">
        <v>37799</v>
      </c>
      <c r="B9766" t="s">
        <v>8607</v>
      </c>
      <c r="C9766" t="s">
        <v>20904</v>
      </c>
      <c r="F9766" t="s">
        <v>14108</v>
      </c>
      <c r="G9766" t="s">
        <v>20905</v>
      </c>
    </row>
    <row r="9767" spans="1:7">
      <c r="A9767" t="s">
        <v>37800</v>
      </c>
      <c r="G9767" t="s">
        <v>32266</v>
      </c>
    </row>
    <row r="9768" spans="1:7">
      <c r="A9768" t="s">
        <v>37801</v>
      </c>
      <c r="B9768" t="s">
        <v>8607</v>
      </c>
      <c r="F9768" t="s">
        <v>20473</v>
      </c>
      <c r="G9768" t="s">
        <v>28471</v>
      </c>
    </row>
    <row r="9769" spans="1:7">
      <c r="A9769" t="s">
        <v>37802</v>
      </c>
      <c r="B9769" t="s">
        <v>8607</v>
      </c>
      <c r="G9769" t="s">
        <v>26570</v>
      </c>
    </row>
    <row r="9770" spans="1:7">
      <c r="A9770" t="s">
        <v>37803</v>
      </c>
      <c r="B9770" t="s">
        <v>8607</v>
      </c>
      <c r="G9770" t="s">
        <v>26572</v>
      </c>
    </row>
    <row r="9771" spans="1:7">
      <c r="A9771" t="s">
        <v>37804</v>
      </c>
      <c r="B9771" t="s">
        <v>8607</v>
      </c>
      <c r="G9771" t="s">
        <v>22411</v>
      </c>
    </row>
    <row r="9772" spans="1:7">
      <c r="A9772" t="s">
        <v>37805</v>
      </c>
      <c r="B9772" t="s">
        <v>8607</v>
      </c>
      <c r="G9772" t="s">
        <v>29380</v>
      </c>
    </row>
    <row r="9773" spans="1:7">
      <c r="A9773" t="s">
        <v>37806</v>
      </c>
      <c r="B9773" t="s">
        <v>8626</v>
      </c>
      <c r="G9773" t="s">
        <v>18973</v>
      </c>
    </row>
    <row r="9774" spans="1:7">
      <c r="A9774" t="s">
        <v>37807</v>
      </c>
      <c r="B9774" t="s">
        <v>8607</v>
      </c>
      <c r="F9774" t="s">
        <v>15309</v>
      </c>
      <c r="G9774" t="s">
        <v>37808</v>
      </c>
    </row>
    <row r="9775" spans="1:7">
      <c r="A9775" t="s">
        <v>37809</v>
      </c>
      <c r="B9775" t="s">
        <v>8607</v>
      </c>
      <c r="F9775" t="s">
        <v>26268</v>
      </c>
      <c r="G9775" t="s">
        <v>26269</v>
      </c>
    </row>
    <row r="9776" spans="1:7">
      <c r="A9776" t="s">
        <v>37810</v>
      </c>
      <c r="B9776" t="s">
        <v>8607</v>
      </c>
      <c r="G9776" t="s">
        <v>26794</v>
      </c>
    </row>
    <row r="9777" spans="1:7">
      <c r="A9777" t="s">
        <v>37811</v>
      </c>
      <c r="B9777" t="s">
        <v>8607</v>
      </c>
      <c r="F9777" t="s">
        <v>29367</v>
      </c>
      <c r="G9777" t="s">
        <v>26800</v>
      </c>
    </row>
    <row r="9778" spans="1:7">
      <c r="A9778" t="s">
        <v>37812</v>
      </c>
      <c r="B9778" t="s">
        <v>8626</v>
      </c>
      <c r="G9778" t="s">
        <v>37813</v>
      </c>
    </row>
    <row r="9779" spans="1:7">
      <c r="A9779" t="s">
        <v>37814</v>
      </c>
      <c r="B9779" t="s">
        <v>8607</v>
      </c>
      <c r="F9779" t="s">
        <v>26173</v>
      </c>
      <c r="G9779" t="s">
        <v>26782</v>
      </c>
    </row>
    <row r="9780" spans="1:7">
      <c r="A9780" t="s">
        <v>37815</v>
      </c>
      <c r="B9780" t="s">
        <v>8607</v>
      </c>
      <c r="F9780" t="s">
        <v>17928</v>
      </c>
      <c r="G9780" t="s">
        <v>26640</v>
      </c>
    </row>
    <row r="9781" spans="1:7">
      <c r="A9781" t="s">
        <v>37816</v>
      </c>
      <c r="B9781" t="s">
        <v>8607</v>
      </c>
      <c r="F9781" t="s">
        <v>30268</v>
      </c>
      <c r="G9781" t="s">
        <v>30269</v>
      </c>
    </row>
    <row r="9782" spans="1:7">
      <c r="A9782" t="s">
        <v>37817</v>
      </c>
      <c r="B9782" t="s">
        <v>8607</v>
      </c>
      <c r="G9782" t="s">
        <v>23878</v>
      </c>
    </row>
    <row r="9783" spans="1:7">
      <c r="A9783" t="s">
        <v>37818</v>
      </c>
      <c r="B9783" t="s">
        <v>8607</v>
      </c>
      <c r="G9783" t="s">
        <v>35972</v>
      </c>
    </row>
    <row r="9784" spans="1:7">
      <c r="A9784" t="s">
        <v>37819</v>
      </c>
      <c r="B9784" t="s">
        <v>8626</v>
      </c>
      <c r="F9784" t="s">
        <v>26199</v>
      </c>
      <c r="G9784" t="s">
        <v>28876</v>
      </c>
    </row>
    <row r="9785" spans="1:7">
      <c r="A9785" t="s">
        <v>37820</v>
      </c>
      <c r="B9785" t="s">
        <v>8626</v>
      </c>
      <c r="F9785" t="s">
        <v>17821</v>
      </c>
      <c r="G9785" t="s">
        <v>37574</v>
      </c>
    </row>
    <row r="9786" spans="1:7">
      <c r="A9786" t="s">
        <v>37821</v>
      </c>
      <c r="G9786" t="s">
        <v>37822</v>
      </c>
    </row>
    <row r="9787" spans="1:7">
      <c r="A9787" t="s">
        <v>37823</v>
      </c>
      <c r="B9787" t="s">
        <v>8607</v>
      </c>
      <c r="F9787" t="s">
        <v>27958</v>
      </c>
      <c r="G9787" t="s">
        <v>37824</v>
      </c>
    </row>
    <row r="9788" spans="1:7">
      <c r="A9788" t="s">
        <v>37825</v>
      </c>
      <c r="B9788" t="s">
        <v>8607</v>
      </c>
      <c r="G9788" t="s">
        <v>27963</v>
      </c>
    </row>
    <row r="9789" spans="1:7">
      <c r="A9789" t="s">
        <v>37826</v>
      </c>
      <c r="B9789" t="s">
        <v>8607</v>
      </c>
      <c r="F9789" t="s">
        <v>8623</v>
      </c>
      <c r="G9789" t="s">
        <v>27120</v>
      </c>
    </row>
    <row r="9790" spans="1:7">
      <c r="A9790" t="s">
        <v>37827</v>
      </c>
      <c r="B9790" t="s">
        <v>8607</v>
      </c>
      <c r="C9790" t="s">
        <v>30210</v>
      </c>
      <c r="F9790" t="s">
        <v>17349</v>
      </c>
      <c r="G9790" t="s">
        <v>30211</v>
      </c>
    </row>
    <row r="9791" spans="1:7">
      <c r="A9791" t="s">
        <v>37828</v>
      </c>
      <c r="B9791" t="s">
        <v>8607</v>
      </c>
      <c r="C9791" t="s">
        <v>30340</v>
      </c>
      <c r="F9791" t="s">
        <v>28368</v>
      </c>
      <c r="G9791" t="s">
        <v>30341</v>
      </c>
    </row>
    <row r="9792" spans="1:7">
      <c r="A9792" t="s">
        <v>37829</v>
      </c>
      <c r="B9792" t="s">
        <v>8607</v>
      </c>
      <c r="C9792" t="s">
        <v>30343</v>
      </c>
      <c r="F9792" t="s">
        <v>28352</v>
      </c>
      <c r="G9792" t="s">
        <v>30344</v>
      </c>
    </row>
    <row r="9793" spans="1:7">
      <c r="A9793" t="s">
        <v>37830</v>
      </c>
      <c r="B9793" t="s">
        <v>8607</v>
      </c>
      <c r="G9793" t="s">
        <v>37831</v>
      </c>
    </row>
    <row r="9794" spans="1:7">
      <c r="A9794" t="s">
        <v>37832</v>
      </c>
      <c r="B9794" t="s">
        <v>8607</v>
      </c>
      <c r="F9794" t="s">
        <v>26199</v>
      </c>
      <c r="G9794" t="s">
        <v>37833</v>
      </c>
    </row>
    <row r="9795" spans="1:7">
      <c r="A9795" t="s">
        <v>37834</v>
      </c>
      <c r="B9795" t="s">
        <v>8607</v>
      </c>
      <c r="C9795" t="s">
        <v>17308</v>
      </c>
      <c r="F9795" t="s">
        <v>17310</v>
      </c>
      <c r="G9795" t="s">
        <v>37835</v>
      </c>
    </row>
    <row r="9796" spans="1:7">
      <c r="A9796" t="s">
        <v>37836</v>
      </c>
      <c r="B9796" t="s">
        <v>8607</v>
      </c>
      <c r="G9796" t="s">
        <v>26326</v>
      </c>
    </row>
    <row r="9797" spans="1:7">
      <c r="A9797" t="s">
        <v>37837</v>
      </c>
      <c r="B9797" t="s">
        <v>8626</v>
      </c>
      <c r="G9797" t="s">
        <v>37838</v>
      </c>
    </row>
    <row r="9798" spans="1:7">
      <c r="A9798" t="s">
        <v>37839</v>
      </c>
      <c r="B9798" t="s">
        <v>8607</v>
      </c>
      <c r="C9798" t="s">
        <v>28071</v>
      </c>
      <c r="F9798" t="s">
        <v>17327</v>
      </c>
      <c r="G9798" t="s">
        <v>28072</v>
      </c>
    </row>
    <row r="9799" spans="1:7">
      <c r="A9799" t="s">
        <v>37840</v>
      </c>
      <c r="B9799" t="s">
        <v>8607</v>
      </c>
      <c r="F9799" t="s">
        <v>17331</v>
      </c>
      <c r="G9799" t="s">
        <v>20078</v>
      </c>
    </row>
    <row r="9800" spans="1:7">
      <c r="A9800" t="s">
        <v>37841</v>
      </c>
      <c r="B9800" t="s">
        <v>8607</v>
      </c>
      <c r="C9800" t="s">
        <v>28071</v>
      </c>
      <c r="F9800" t="s">
        <v>17327</v>
      </c>
      <c r="G9800" t="s">
        <v>28072</v>
      </c>
    </row>
    <row r="9801" spans="1:7">
      <c r="A9801" t="s">
        <v>37842</v>
      </c>
      <c r="B9801" t="s">
        <v>8607</v>
      </c>
      <c r="F9801" t="s">
        <v>17643</v>
      </c>
      <c r="G9801" t="s">
        <v>28780</v>
      </c>
    </row>
    <row r="9802" spans="1:7">
      <c r="A9802" t="s">
        <v>37843</v>
      </c>
      <c r="B9802" t="s">
        <v>8607</v>
      </c>
      <c r="G9802" t="s">
        <v>22411</v>
      </c>
    </row>
    <row r="9803" spans="1:7">
      <c r="A9803" t="s">
        <v>37844</v>
      </c>
      <c r="B9803" t="s">
        <v>8626</v>
      </c>
      <c r="F9803" t="s">
        <v>26710</v>
      </c>
      <c r="G9803" t="s">
        <v>26711</v>
      </c>
    </row>
    <row r="9804" spans="1:7">
      <c r="A9804" t="s">
        <v>37845</v>
      </c>
      <c r="B9804" t="s">
        <v>8607</v>
      </c>
      <c r="F9804" t="s">
        <v>8774</v>
      </c>
      <c r="G9804" t="s">
        <v>29027</v>
      </c>
    </row>
    <row r="9805" spans="1:7">
      <c r="A9805" t="s">
        <v>37846</v>
      </c>
      <c r="B9805" t="s">
        <v>8607</v>
      </c>
      <c r="F9805" t="s">
        <v>27915</v>
      </c>
      <c r="G9805" t="s">
        <v>29029</v>
      </c>
    </row>
    <row r="9806" spans="1:7">
      <c r="A9806" t="s">
        <v>37847</v>
      </c>
      <c r="B9806" t="s">
        <v>8607</v>
      </c>
      <c r="F9806" t="s">
        <v>29031</v>
      </c>
      <c r="G9806" t="s">
        <v>35478</v>
      </c>
    </row>
    <row r="9807" spans="1:7">
      <c r="A9807" t="s">
        <v>37848</v>
      </c>
      <c r="B9807" t="s">
        <v>8607</v>
      </c>
      <c r="F9807" t="s">
        <v>26725</v>
      </c>
      <c r="G9807" t="s">
        <v>28142</v>
      </c>
    </row>
    <row r="9808" spans="1:7">
      <c r="A9808" t="s">
        <v>37849</v>
      </c>
      <c r="B9808" t="s">
        <v>8607</v>
      </c>
      <c r="F9808" t="s">
        <v>32665</v>
      </c>
      <c r="G9808" t="s">
        <v>37850</v>
      </c>
    </row>
    <row r="9809" spans="1:7">
      <c r="A9809" t="s">
        <v>37851</v>
      </c>
      <c r="B9809" t="s">
        <v>8607</v>
      </c>
      <c r="F9809" t="s">
        <v>32668</v>
      </c>
      <c r="G9809" t="s">
        <v>37852</v>
      </c>
    </row>
    <row r="9810" spans="1:7">
      <c r="A9810" t="s">
        <v>37853</v>
      </c>
      <c r="B9810" t="s">
        <v>8626</v>
      </c>
      <c r="F9810" t="s">
        <v>25821</v>
      </c>
      <c r="G9810" t="s">
        <v>37854</v>
      </c>
    </row>
    <row r="9811" spans="1:7">
      <c r="A9811" t="s">
        <v>37855</v>
      </c>
      <c r="B9811" t="s">
        <v>8626</v>
      </c>
      <c r="F9811" t="s">
        <v>23796</v>
      </c>
      <c r="G9811" t="s">
        <v>37856</v>
      </c>
    </row>
    <row r="9812" spans="1:7">
      <c r="A9812" t="s">
        <v>37857</v>
      </c>
      <c r="B9812" t="s">
        <v>8607</v>
      </c>
      <c r="F9812" t="s">
        <v>8623</v>
      </c>
      <c r="G9812" t="s">
        <v>17273</v>
      </c>
    </row>
    <row r="9813" spans="1:7">
      <c r="A9813" t="s">
        <v>37858</v>
      </c>
      <c r="B9813" t="s">
        <v>8626</v>
      </c>
      <c r="G9813" t="s">
        <v>37859</v>
      </c>
    </row>
    <row r="9814" spans="1:7">
      <c r="A9814" t="s">
        <v>37860</v>
      </c>
      <c r="B9814" t="s">
        <v>8607</v>
      </c>
      <c r="F9814" t="s">
        <v>26880</v>
      </c>
      <c r="G9814" t="s">
        <v>37861</v>
      </c>
    </row>
    <row r="9815" spans="1:7">
      <c r="A9815" t="s">
        <v>37862</v>
      </c>
      <c r="B9815" t="s">
        <v>8607</v>
      </c>
      <c r="G9815" t="s">
        <v>10808</v>
      </c>
    </row>
    <row r="9816" spans="1:7">
      <c r="A9816" t="s">
        <v>37863</v>
      </c>
      <c r="B9816" t="s">
        <v>8607</v>
      </c>
      <c r="F9816" t="s">
        <v>27958</v>
      </c>
      <c r="G9816" t="s">
        <v>27959</v>
      </c>
    </row>
    <row r="9817" spans="1:7">
      <c r="A9817" t="s">
        <v>37864</v>
      </c>
      <c r="B9817" t="s">
        <v>8607</v>
      </c>
      <c r="G9817" t="s">
        <v>27961</v>
      </c>
    </row>
    <row r="9818" spans="1:7">
      <c r="A9818" t="s">
        <v>37865</v>
      </c>
      <c r="B9818" t="s">
        <v>8607</v>
      </c>
      <c r="G9818" t="s">
        <v>27963</v>
      </c>
    </row>
    <row r="9819" spans="1:7">
      <c r="A9819" t="s">
        <v>37866</v>
      </c>
      <c r="B9819" t="s">
        <v>8607</v>
      </c>
      <c r="G9819" t="s">
        <v>27965</v>
      </c>
    </row>
    <row r="9820" spans="1:7">
      <c r="A9820" t="s">
        <v>37867</v>
      </c>
      <c r="B9820" t="s">
        <v>8607</v>
      </c>
      <c r="G9820" t="s">
        <v>26789</v>
      </c>
    </row>
    <row r="9821" spans="1:7">
      <c r="A9821" t="s">
        <v>37868</v>
      </c>
      <c r="B9821" t="s">
        <v>8607</v>
      </c>
      <c r="G9821" t="s">
        <v>26794</v>
      </c>
    </row>
    <row r="9822" spans="1:7">
      <c r="A9822" t="s">
        <v>37869</v>
      </c>
      <c r="B9822" t="s">
        <v>8607</v>
      </c>
      <c r="F9822" t="s">
        <v>26207</v>
      </c>
      <c r="G9822" t="s">
        <v>31290</v>
      </c>
    </row>
    <row r="9823" spans="1:7">
      <c r="A9823" t="s">
        <v>37870</v>
      </c>
      <c r="B9823" t="s">
        <v>8607</v>
      </c>
      <c r="G9823" t="s">
        <v>30690</v>
      </c>
    </row>
    <row r="9824" spans="1:7">
      <c r="A9824" t="s">
        <v>37871</v>
      </c>
      <c r="B9824" t="s">
        <v>8626</v>
      </c>
      <c r="F9824" t="s">
        <v>29260</v>
      </c>
      <c r="G9824" t="s">
        <v>37872</v>
      </c>
    </row>
    <row r="9825" spans="1:7">
      <c r="A9825" t="s">
        <v>37873</v>
      </c>
      <c r="B9825" t="s">
        <v>8607</v>
      </c>
      <c r="G9825" t="s">
        <v>37874</v>
      </c>
    </row>
    <row r="9826" spans="1:7">
      <c r="A9826" t="s">
        <v>37875</v>
      </c>
      <c r="B9826" t="s">
        <v>8607</v>
      </c>
      <c r="F9826" t="s">
        <v>17932</v>
      </c>
      <c r="G9826" t="s">
        <v>34620</v>
      </c>
    </row>
    <row r="9827" spans="1:7">
      <c r="A9827" t="s">
        <v>37876</v>
      </c>
      <c r="B9827" t="s">
        <v>8607</v>
      </c>
      <c r="F9827" t="s">
        <v>34413</v>
      </c>
      <c r="G9827" t="s">
        <v>36832</v>
      </c>
    </row>
    <row r="9828" spans="1:7">
      <c r="A9828" t="s">
        <v>37877</v>
      </c>
      <c r="B9828" t="s">
        <v>8607</v>
      </c>
      <c r="F9828" t="s">
        <v>28018</v>
      </c>
      <c r="G9828" t="s">
        <v>37878</v>
      </c>
    </row>
    <row r="9829" spans="1:7">
      <c r="A9829" t="s">
        <v>37879</v>
      </c>
      <c r="B9829" t="s">
        <v>8626</v>
      </c>
      <c r="F9829" t="s">
        <v>37880</v>
      </c>
      <c r="G9829" t="s">
        <v>37881</v>
      </c>
    </row>
    <row r="9830" spans="1:7">
      <c r="A9830" t="s">
        <v>37882</v>
      </c>
      <c r="B9830" t="s">
        <v>8626</v>
      </c>
      <c r="F9830" t="s">
        <v>37883</v>
      </c>
      <c r="G9830" t="s">
        <v>37884</v>
      </c>
    </row>
    <row r="9831" spans="1:7">
      <c r="A9831" t="s">
        <v>37885</v>
      </c>
      <c r="B9831" t="s">
        <v>8607</v>
      </c>
      <c r="F9831" t="s">
        <v>31357</v>
      </c>
      <c r="G9831" t="s">
        <v>37886</v>
      </c>
    </row>
    <row r="9832" spans="1:7">
      <c r="A9832" t="s">
        <v>37887</v>
      </c>
      <c r="B9832" t="s">
        <v>8607</v>
      </c>
      <c r="F9832" t="s">
        <v>31397</v>
      </c>
      <c r="G9832" t="s">
        <v>37888</v>
      </c>
    </row>
    <row r="9833" spans="1:7">
      <c r="A9833" t="s">
        <v>37889</v>
      </c>
      <c r="B9833" t="s">
        <v>8607</v>
      </c>
      <c r="F9833" t="s">
        <v>31363</v>
      </c>
      <c r="G9833" t="s">
        <v>37890</v>
      </c>
    </row>
    <row r="9834" spans="1:7">
      <c r="A9834" t="s">
        <v>37891</v>
      </c>
      <c r="B9834" t="s">
        <v>8626</v>
      </c>
      <c r="F9834" t="s">
        <v>32656</v>
      </c>
      <c r="G9834" t="s">
        <v>37892</v>
      </c>
    </row>
    <row r="9835" spans="1:7">
      <c r="A9835" t="s">
        <v>37893</v>
      </c>
      <c r="B9835" t="s">
        <v>8607</v>
      </c>
      <c r="G9835" t="s">
        <v>37894</v>
      </c>
    </row>
    <row r="9836" spans="1:7">
      <c r="A9836" t="s">
        <v>37895</v>
      </c>
      <c r="B9836" t="s">
        <v>8607</v>
      </c>
      <c r="F9836" t="s">
        <v>17457</v>
      </c>
      <c r="G9836" t="s">
        <v>35104</v>
      </c>
    </row>
    <row r="9837" spans="1:7">
      <c r="A9837" t="s">
        <v>37896</v>
      </c>
      <c r="B9837" t="s">
        <v>8607</v>
      </c>
      <c r="F9837" t="s">
        <v>26602</v>
      </c>
      <c r="G9837" t="s">
        <v>35108</v>
      </c>
    </row>
    <row r="9838" spans="1:7">
      <c r="A9838" t="s">
        <v>37897</v>
      </c>
      <c r="B9838" t="s">
        <v>8626</v>
      </c>
      <c r="F9838" t="s">
        <v>34118</v>
      </c>
      <c r="G9838" t="s">
        <v>37898</v>
      </c>
    </row>
    <row r="9839" spans="1:7">
      <c r="A9839" t="s">
        <v>37899</v>
      </c>
      <c r="G9839" t="s">
        <v>37900</v>
      </c>
    </row>
    <row r="9840" spans="1:7">
      <c r="A9840" t="s">
        <v>37901</v>
      </c>
      <c r="B9840" t="s">
        <v>8607</v>
      </c>
      <c r="F9840" t="s">
        <v>17429</v>
      </c>
      <c r="G9840" t="s">
        <v>34919</v>
      </c>
    </row>
    <row r="9841" spans="1:7">
      <c r="A9841" t="s">
        <v>37902</v>
      </c>
      <c r="B9841" t="s">
        <v>8607</v>
      </c>
      <c r="F9841" t="s">
        <v>30239</v>
      </c>
      <c r="G9841" t="s">
        <v>37903</v>
      </c>
    </row>
    <row r="9842" spans="1:7">
      <c r="A9842" t="s">
        <v>37904</v>
      </c>
      <c r="B9842" t="s">
        <v>8607</v>
      </c>
      <c r="C9842" t="s">
        <v>22862</v>
      </c>
      <c r="F9842" t="s">
        <v>22864</v>
      </c>
      <c r="G9842" t="s">
        <v>37905</v>
      </c>
    </row>
    <row r="9843" spans="1:7">
      <c r="A9843" t="s">
        <v>37906</v>
      </c>
      <c r="B9843" t="s">
        <v>8607</v>
      </c>
      <c r="F9843" t="s">
        <v>26717</v>
      </c>
      <c r="G9843" t="s">
        <v>26718</v>
      </c>
    </row>
    <row r="9844" spans="1:7">
      <c r="A9844" t="s">
        <v>37907</v>
      </c>
      <c r="B9844" t="s">
        <v>8626</v>
      </c>
      <c r="G9844" t="s">
        <v>37908</v>
      </c>
    </row>
    <row r="9845" spans="1:7">
      <c r="A9845" t="s">
        <v>37909</v>
      </c>
      <c r="B9845" t="s">
        <v>8607</v>
      </c>
      <c r="F9845" t="s">
        <v>26722</v>
      </c>
      <c r="G9845" t="s">
        <v>26723</v>
      </c>
    </row>
    <row r="9846" spans="1:7">
      <c r="A9846" t="s">
        <v>37910</v>
      </c>
      <c r="B9846" t="s">
        <v>8626</v>
      </c>
      <c r="F9846" t="s">
        <v>30528</v>
      </c>
      <c r="G9846" t="s">
        <v>31627</v>
      </c>
    </row>
    <row r="9847" spans="1:7">
      <c r="A9847" t="s">
        <v>37911</v>
      </c>
      <c r="B9847" t="s">
        <v>8607</v>
      </c>
      <c r="F9847" t="s">
        <v>8623</v>
      </c>
      <c r="G9847" t="s">
        <v>10704</v>
      </c>
    </row>
    <row r="9848" spans="1:7">
      <c r="A9848" t="s">
        <v>37912</v>
      </c>
      <c r="B9848" t="s">
        <v>8607</v>
      </c>
      <c r="F9848" t="s">
        <v>26207</v>
      </c>
      <c r="G9848" t="s">
        <v>37913</v>
      </c>
    </row>
    <row r="9849" spans="1:7">
      <c r="A9849" t="s">
        <v>37914</v>
      </c>
      <c r="B9849" t="s">
        <v>8607</v>
      </c>
      <c r="F9849" t="s">
        <v>28159</v>
      </c>
      <c r="G9849" t="s">
        <v>30014</v>
      </c>
    </row>
    <row r="9850" spans="1:7">
      <c r="A9850" t="s">
        <v>37915</v>
      </c>
      <c r="B9850" t="s">
        <v>8607</v>
      </c>
      <c r="F9850" t="s">
        <v>17349</v>
      </c>
      <c r="G9850" t="s">
        <v>29042</v>
      </c>
    </row>
    <row r="9851" spans="1:7">
      <c r="A9851" t="s">
        <v>37916</v>
      </c>
      <c r="B9851" t="s">
        <v>8607</v>
      </c>
      <c r="G9851" t="s">
        <v>30017</v>
      </c>
    </row>
    <row r="9852" spans="1:7">
      <c r="A9852" t="s">
        <v>37917</v>
      </c>
      <c r="B9852" t="s">
        <v>8607</v>
      </c>
      <c r="F9852" t="s">
        <v>27423</v>
      </c>
      <c r="G9852" t="s">
        <v>30005</v>
      </c>
    </row>
    <row r="9853" spans="1:7">
      <c r="A9853" t="s">
        <v>37918</v>
      </c>
      <c r="B9853" t="s">
        <v>8607</v>
      </c>
      <c r="G9853" t="s">
        <v>26859</v>
      </c>
    </row>
    <row r="9854" spans="1:7">
      <c r="A9854" t="s">
        <v>37919</v>
      </c>
      <c r="B9854" t="s">
        <v>8607</v>
      </c>
      <c r="G9854" t="s">
        <v>33250</v>
      </c>
    </row>
    <row r="9855" spans="1:7">
      <c r="A9855" t="s">
        <v>37920</v>
      </c>
      <c r="B9855" t="s">
        <v>8607</v>
      </c>
      <c r="F9855" t="s">
        <v>27594</v>
      </c>
      <c r="G9855" t="s">
        <v>27595</v>
      </c>
    </row>
    <row r="9856" spans="1:7">
      <c r="A9856" t="s">
        <v>37921</v>
      </c>
      <c r="B9856" t="s">
        <v>8607</v>
      </c>
      <c r="C9856" t="s">
        <v>26479</v>
      </c>
      <c r="F9856" t="s">
        <v>9018</v>
      </c>
      <c r="G9856" t="s">
        <v>37922</v>
      </c>
    </row>
    <row r="9857" spans="1:7">
      <c r="A9857" t="s">
        <v>37923</v>
      </c>
      <c r="B9857" t="s">
        <v>8607</v>
      </c>
      <c r="F9857" t="s">
        <v>29147</v>
      </c>
      <c r="G9857" t="s">
        <v>27715</v>
      </c>
    </row>
    <row r="9858" spans="1:7">
      <c r="A9858" t="s">
        <v>37924</v>
      </c>
      <c r="B9858" t="s">
        <v>8607</v>
      </c>
      <c r="C9858" t="s">
        <v>26850</v>
      </c>
      <c r="F9858" t="s">
        <v>26176</v>
      </c>
      <c r="G9858" t="s">
        <v>27250</v>
      </c>
    </row>
    <row r="9859" spans="1:7">
      <c r="A9859" t="s">
        <v>37925</v>
      </c>
      <c r="B9859" t="s">
        <v>8607</v>
      </c>
      <c r="F9859" t="s">
        <v>30195</v>
      </c>
      <c r="G9859" t="s">
        <v>30196</v>
      </c>
    </row>
    <row r="9860" spans="1:7">
      <c r="A9860" t="s">
        <v>37926</v>
      </c>
      <c r="B9860" t="s">
        <v>8607</v>
      </c>
      <c r="F9860" t="s">
        <v>20186</v>
      </c>
      <c r="G9860" t="s">
        <v>37927</v>
      </c>
    </row>
    <row r="9861" spans="1:7">
      <c r="A9861" t="s">
        <v>37928</v>
      </c>
      <c r="B9861" t="s">
        <v>8607</v>
      </c>
      <c r="F9861" t="s">
        <v>17741</v>
      </c>
      <c r="G9861" t="s">
        <v>34834</v>
      </c>
    </row>
    <row r="9862" spans="1:7">
      <c r="A9862" t="s">
        <v>37929</v>
      </c>
      <c r="B9862" t="s">
        <v>8607</v>
      </c>
      <c r="G9862" t="s">
        <v>26859</v>
      </c>
    </row>
    <row r="9863" spans="1:7">
      <c r="A9863" t="s">
        <v>37930</v>
      </c>
      <c r="B9863" t="s">
        <v>8607</v>
      </c>
      <c r="G9863" t="s">
        <v>37931</v>
      </c>
    </row>
    <row r="9864" spans="1:7">
      <c r="A9864" t="s">
        <v>37932</v>
      </c>
      <c r="B9864" t="s">
        <v>8626</v>
      </c>
      <c r="F9864" t="s">
        <v>37933</v>
      </c>
      <c r="G9864" t="s">
        <v>37934</v>
      </c>
    </row>
    <row r="9865" spans="1:7">
      <c r="A9865" t="s">
        <v>37935</v>
      </c>
      <c r="B9865" t="s">
        <v>8607</v>
      </c>
      <c r="F9865" t="s">
        <v>26104</v>
      </c>
      <c r="G9865" t="s">
        <v>26171</v>
      </c>
    </row>
    <row r="9866" spans="1:7">
      <c r="A9866" t="s">
        <v>37936</v>
      </c>
      <c r="B9866" t="s">
        <v>8607</v>
      </c>
      <c r="G9866" t="s">
        <v>30247</v>
      </c>
    </row>
    <row r="9867" spans="1:7">
      <c r="A9867" t="s">
        <v>37937</v>
      </c>
      <c r="B9867" t="s">
        <v>8607</v>
      </c>
      <c r="F9867" t="s">
        <v>31558</v>
      </c>
      <c r="G9867" t="s">
        <v>37938</v>
      </c>
    </row>
    <row r="9868" spans="1:7">
      <c r="A9868" t="s">
        <v>37939</v>
      </c>
      <c r="B9868" t="s">
        <v>8607</v>
      </c>
      <c r="G9868" t="s">
        <v>27713</v>
      </c>
    </row>
    <row r="9869" spans="1:7">
      <c r="A9869" t="s">
        <v>37940</v>
      </c>
      <c r="G9869" t="s">
        <v>37941</v>
      </c>
    </row>
    <row r="9870" spans="1:7">
      <c r="A9870" t="s">
        <v>37942</v>
      </c>
      <c r="B9870" t="s">
        <v>8626</v>
      </c>
      <c r="G9870" t="s">
        <v>37943</v>
      </c>
    </row>
    <row r="9871" spans="1:7">
      <c r="A9871" t="s">
        <v>37944</v>
      </c>
      <c r="B9871" t="s">
        <v>8607</v>
      </c>
      <c r="C9871" t="s">
        <v>16679</v>
      </c>
      <c r="F9871" t="s">
        <v>9018</v>
      </c>
      <c r="G9871" t="s">
        <v>31905</v>
      </c>
    </row>
    <row r="9872" spans="1:7">
      <c r="A9872" t="s">
        <v>37945</v>
      </c>
      <c r="B9872" t="s">
        <v>8607</v>
      </c>
      <c r="G9872" t="s">
        <v>37946</v>
      </c>
    </row>
    <row r="9873" spans="1:7">
      <c r="A9873" t="s">
        <v>37947</v>
      </c>
      <c r="B9873" t="s">
        <v>8607</v>
      </c>
      <c r="F9873" t="s">
        <v>26207</v>
      </c>
      <c r="G9873" t="s">
        <v>37948</v>
      </c>
    </row>
    <row r="9874" spans="1:7">
      <c r="A9874" t="s">
        <v>37949</v>
      </c>
      <c r="B9874" t="s">
        <v>8626</v>
      </c>
      <c r="C9874" t="s">
        <v>37950</v>
      </c>
      <c r="F9874" t="s">
        <v>27000</v>
      </c>
      <c r="G9874" t="s">
        <v>37951</v>
      </c>
    </row>
    <row r="9875" spans="1:7">
      <c r="A9875" t="s">
        <v>37952</v>
      </c>
      <c r="B9875" t="s">
        <v>8626</v>
      </c>
      <c r="G9875" t="s">
        <v>31580</v>
      </c>
    </row>
    <row r="9876" spans="1:7">
      <c r="A9876" t="s">
        <v>37953</v>
      </c>
      <c r="B9876" t="s">
        <v>8607</v>
      </c>
      <c r="C9876" t="s">
        <v>17806</v>
      </c>
      <c r="F9876" t="s">
        <v>17807</v>
      </c>
      <c r="G9876" t="s">
        <v>31582</v>
      </c>
    </row>
    <row r="9877" spans="1:7">
      <c r="A9877" t="s">
        <v>37954</v>
      </c>
      <c r="B9877" t="s">
        <v>8626</v>
      </c>
      <c r="F9877" t="s">
        <v>17928</v>
      </c>
      <c r="G9877" t="s">
        <v>31584</v>
      </c>
    </row>
    <row r="9878" spans="1:7">
      <c r="A9878" t="s">
        <v>37955</v>
      </c>
      <c r="B9878" t="s">
        <v>8607</v>
      </c>
      <c r="G9878" t="s">
        <v>37956</v>
      </c>
    </row>
    <row r="9879" spans="1:7">
      <c r="A9879" t="s">
        <v>37957</v>
      </c>
      <c r="B9879" t="s">
        <v>8607</v>
      </c>
      <c r="F9879" t="s">
        <v>32256</v>
      </c>
      <c r="G9879" t="s">
        <v>32257</v>
      </c>
    </row>
    <row r="9880" spans="1:7">
      <c r="A9880" t="s">
        <v>37958</v>
      </c>
      <c r="B9880" t="s">
        <v>8626</v>
      </c>
      <c r="F9880" t="s">
        <v>30239</v>
      </c>
      <c r="G9880" t="s">
        <v>32259</v>
      </c>
    </row>
    <row r="9881" spans="1:7">
      <c r="A9881" t="s">
        <v>37959</v>
      </c>
      <c r="B9881" t="s">
        <v>8607</v>
      </c>
      <c r="F9881" t="s">
        <v>19730</v>
      </c>
      <c r="G9881" t="s">
        <v>37960</v>
      </c>
    </row>
    <row r="9882" spans="1:7">
      <c r="A9882" t="s">
        <v>37961</v>
      </c>
      <c r="B9882" t="s">
        <v>8626</v>
      </c>
      <c r="G9882" t="s">
        <v>37962</v>
      </c>
    </row>
    <row r="9883" spans="1:7">
      <c r="A9883" t="s">
        <v>37963</v>
      </c>
      <c r="B9883" t="s">
        <v>8607</v>
      </c>
      <c r="F9883" t="s">
        <v>17252</v>
      </c>
      <c r="G9883" t="s">
        <v>17253</v>
      </c>
    </row>
    <row r="9884" spans="1:7">
      <c r="A9884" t="s">
        <v>37964</v>
      </c>
      <c r="B9884" t="s">
        <v>8607</v>
      </c>
      <c r="F9884" t="s">
        <v>17257</v>
      </c>
      <c r="G9884" t="s">
        <v>37965</v>
      </c>
    </row>
    <row r="9885" spans="1:7">
      <c r="A9885" t="s">
        <v>37966</v>
      </c>
      <c r="B9885" t="s">
        <v>8607</v>
      </c>
      <c r="F9885" t="s">
        <v>20201</v>
      </c>
      <c r="G9885" t="s">
        <v>27843</v>
      </c>
    </row>
    <row r="9886" spans="1:7">
      <c r="A9886" t="s">
        <v>37967</v>
      </c>
      <c r="B9886" t="s">
        <v>8607</v>
      </c>
      <c r="F9886" t="s">
        <v>20473</v>
      </c>
      <c r="G9886" t="s">
        <v>27845</v>
      </c>
    </row>
    <row r="9887" spans="1:7">
      <c r="A9887" t="s">
        <v>37968</v>
      </c>
      <c r="B9887" t="s">
        <v>8607</v>
      </c>
      <c r="G9887" t="s">
        <v>30740</v>
      </c>
    </row>
    <row r="9888" spans="1:7">
      <c r="A9888" t="s">
        <v>37969</v>
      </c>
      <c r="B9888" t="s">
        <v>8626</v>
      </c>
      <c r="F9888" t="s">
        <v>33181</v>
      </c>
      <c r="G9888" t="s">
        <v>37970</v>
      </c>
    </row>
    <row r="9889" spans="1:7">
      <c r="A9889" t="s">
        <v>37971</v>
      </c>
      <c r="B9889" t="s">
        <v>8607</v>
      </c>
      <c r="F9889" t="s">
        <v>17838</v>
      </c>
      <c r="G9889" t="s">
        <v>36985</v>
      </c>
    </row>
    <row r="9890" spans="1:7">
      <c r="A9890" t="s">
        <v>37972</v>
      </c>
      <c r="B9890" t="s">
        <v>8626</v>
      </c>
      <c r="F9890" t="s">
        <v>9018</v>
      </c>
      <c r="G9890" t="s">
        <v>37973</v>
      </c>
    </row>
    <row r="9891" spans="1:7">
      <c r="A9891" t="s">
        <v>37974</v>
      </c>
      <c r="B9891" t="s">
        <v>8607</v>
      </c>
      <c r="F9891" t="s">
        <v>9018</v>
      </c>
      <c r="G9891" t="s">
        <v>37975</v>
      </c>
    </row>
    <row r="9892" spans="1:7">
      <c r="A9892" t="s">
        <v>37976</v>
      </c>
      <c r="B9892" t="s">
        <v>8607</v>
      </c>
      <c r="C9892" t="s">
        <v>27769</v>
      </c>
      <c r="F9892" t="s">
        <v>26207</v>
      </c>
      <c r="G9892" t="s">
        <v>37977</v>
      </c>
    </row>
    <row r="9893" spans="1:7">
      <c r="A9893" t="s">
        <v>37978</v>
      </c>
      <c r="B9893" t="s">
        <v>8607</v>
      </c>
      <c r="G9893" t="s">
        <v>27973</v>
      </c>
    </row>
    <row r="9894" spans="1:7">
      <c r="A9894" t="s">
        <v>37979</v>
      </c>
      <c r="B9894" t="s">
        <v>8607</v>
      </c>
      <c r="F9894" t="s">
        <v>28852</v>
      </c>
      <c r="G9894" t="s">
        <v>28853</v>
      </c>
    </row>
    <row r="9895" spans="1:7">
      <c r="A9895" t="s">
        <v>37980</v>
      </c>
      <c r="B9895" t="s">
        <v>8626</v>
      </c>
      <c r="F9895" t="s">
        <v>27185</v>
      </c>
      <c r="G9895" t="s">
        <v>32427</v>
      </c>
    </row>
    <row r="9896" spans="1:7">
      <c r="A9896" t="s">
        <v>37981</v>
      </c>
      <c r="B9896" t="s">
        <v>8607</v>
      </c>
      <c r="F9896" t="s">
        <v>32429</v>
      </c>
      <c r="G9896" t="s">
        <v>32430</v>
      </c>
    </row>
    <row r="9897" spans="1:7">
      <c r="A9897" t="s">
        <v>37982</v>
      </c>
      <c r="B9897" t="s">
        <v>8607</v>
      </c>
      <c r="F9897" t="s">
        <v>17779</v>
      </c>
      <c r="G9897" t="s">
        <v>29034</v>
      </c>
    </row>
    <row r="9898" spans="1:7">
      <c r="A9898" t="s">
        <v>37983</v>
      </c>
      <c r="B9898" t="s">
        <v>8626</v>
      </c>
      <c r="C9898" t="s">
        <v>26591</v>
      </c>
      <c r="F9898" t="s">
        <v>9018</v>
      </c>
      <c r="G9898" t="s">
        <v>35558</v>
      </c>
    </row>
    <row r="9899" spans="1:7">
      <c r="A9899" t="s">
        <v>37984</v>
      </c>
      <c r="B9899" t="s">
        <v>8607</v>
      </c>
      <c r="F9899" t="s">
        <v>28418</v>
      </c>
      <c r="G9899" t="s">
        <v>28419</v>
      </c>
    </row>
    <row r="9900" spans="1:7">
      <c r="A9900" t="s">
        <v>37985</v>
      </c>
      <c r="B9900" t="s">
        <v>8607</v>
      </c>
      <c r="F9900" t="s">
        <v>27384</v>
      </c>
      <c r="G9900" t="s">
        <v>28421</v>
      </c>
    </row>
    <row r="9901" spans="1:7">
      <c r="A9901" t="s">
        <v>37986</v>
      </c>
      <c r="B9901" t="s">
        <v>8607</v>
      </c>
      <c r="G9901" t="s">
        <v>37987</v>
      </c>
    </row>
    <row r="9902" spans="1:7">
      <c r="A9902" t="s">
        <v>37988</v>
      </c>
      <c r="B9902" t="s">
        <v>8607</v>
      </c>
      <c r="G9902" t="s">
        <v>37989</v>
      </c>
    </row>
    <row r="9903" spans="1:7">
      <c r="A9903" t="s">
        <v>37990</v>
      </c>
      <c r="B9903" t="s">
        <v>8607</v>
      </c>
      <c r="G9903" t="s">
        <v>28807</v>
      </c>
    </row>
    <row r="9904" spans="1:7">
      <c r="A9904" t="s">
        <v>37991</v>
      </c>
      <c r="B9904" t="s">
        <v>8607</v>
      </c>
      <c r="G9904" t="s">
        <v>26570</v>
      </c>
    </row>
    <row r="9905" spans="1:7">
      <c r="A9905" t="s">
        <v>37992</v>
      </c>
      <c r="B9905" t="s">
        <v>8607</v>
      </c>
      <c r="G9905" t="s">
        <v>26572</v>
      </c>
    </row>
    <row r="9906" spans="1:7">
      <c r="A9906" t="s">
        <v>37993</v>
      </c>
      <c r="B9906" t="s">
        <v>8626</v>
      </c>
      <c r="G9906" t="s">
        <v>26574</v>
      </c>
    </row>
    <row r="9907" spans="1:7">
      <c r="A9907" t="s">
        <v>37994</v>
      </c>
      <c r="B9907" t="s">
        <v>8626</v>
      </c>
      <c r="F9907" t="s">
        <v>37995</v>
      </c>
      <c r="G9907" t="s">
        <v>37996</v>
      </c>
    </row>
    <row r="9908" spans="1:7">
      <c r="A9908" t="s">
        <v>37997</v>
      </c>
      <c r="B9908" t="s">
        <v>8626</v>
      </c>
      <c r="F9908" t="s">
        <v>31606</v>
      </c>
      <c r="G9908" t="s">
        <v>31607</v>
      </c>
    </row>
    <row r="9909" spans="1:7">
      <c r="A9909" t="s">
        <v>37998</v>
      </c>
      <c r="B9909" t="s">
        <v>8626</v>
      </c>
      <c r="F9909" t="s">
        <v>20844</v>
      </c>
      <c r="G9909" t="s">
        <v>30254</v>
      </c>
    </row>
    <row r="9910" spans="1:7">
      <c r="A9910" t="s">
        <v>37999</v>
      </c>
      <c r="B9910" t="s">
        <v>8607</v>
      </c>
      <c r="F9910" t="s">
        <v>26251</v>
      </c>
      <c r="G9910" t="s">
        <v>31609</v>
      </c>
    </row>
    <row r="9911" spans="1:7">
      <c r="A9911" t="s">
        <v>38000</v>
      </c>
      <c r="B9911" t="s">
        <v>8607</v>
      </c>
      <c r="F9911" t="s">
        <v>26207</v>
      </c>
      <c r="G9911" t="s">
        <v>27473</v>
      </c>
    </row>
    <row r="9912" spans="1:7">
      <c r="A9912" t="s">
        <v>38001</v>
      </c>
      <c r="B9912" t="s">
        <v>8607</v>
      </c>
      <c r="F9912" t="s">
        <v>28159</v>
      </c>
      <c r="G9912" t="s">
        <v>31614</v>
      </c>
    </row>
    <row r="9913" spans="1:7">
      <c r="A9913" t="s">
        <v>38002</v>
      </c>
      <c r="B9913" t="s">
        <v>8607</v>
      </c>
      <c r="F9913" t="s">
        <v>17349</v>
      </c>
      <c r="G9913" t="s">
        <v>29042</v>
      </c>
    </row>
    <row r="9914" spans="1:7">
      <c r="A9914" t="s">
        <v>38003</v>
      </c>
      <c r="B9914" t="s">
        <v>8626</v>
      </c>
      <c r="G9914" t="s">
        <v>38004</v>
      </c>
    </row>
    <row r="9915" spans="1:7">
      <c r="A9915" t="s">
        <v>38005</v>
      </c>
      <c r="B9915" t="s">
        <v>8626</v>
      </c>
      <c r="F9915" t="s">
        <v>17349</v>
      </c>
      <c r="G9915" t="s">
        <v>38006</v>
      </c>
    </row>
    <row r="9916" spans="1:7">
      <c r="A9916" t="s">
        <v>38007</v>
      </c>
      <c r="B9916" t="s">
        <v>8607</v>
      </c>
      <c r="F9916" t="s">
        <v>9018</v>
      </c>
      <c r="G9916" t="s">
        <v>38008</v>
      </c>
    </row>
    <row r="9917" spans="1:7">
      <c r="A9917" t="s">
        <v>38009</v>
      </c>
      <c r="B9917" t="s">
        <v>8607</v>
      </c>
      <c r="F9917" t="s">
        <v>38010</v>
      </c>
      <c r="G9917" t="s">
        <v>38011</v>
      </c>
    </row>
    <row r="9918" spans="1:7">
      <c r="A9918" t="s">
        <v>38012</v>
      </c>
      <c r="B9918" t="s">
        <v>8607</v>
      </c>
      <c r="F9918" t="s">
        <v>21832</v>
      </c>
      <c r="G9918" t="s">
        <v>38013</v>
      </c>
    </row>
    <row r="9919" spans="1:7">
      <c r="A9919" t="s">
        <v>38014</v>
      </c>
      <c r="B9919" t="s">
        <v>8626</v>
      </c>
      <c r="F9919" t="s">
        <v>21331</v>
      </c>
      <c r="G9919" t="s">
        <v>38015</v>
      </c>
    </row>
    <row r="9920" spans="1:7">
      <c r="A9920" t="s">
        <v>38016</v>
      </c>
      <c r="B9920" t="s">
        <v>8607</v>
      </c>
      <c r="F9920" t="s">
        <v>26343</v>
      </c>
      <c r="G9920" t="s">
        <v>27097</v>
      </c>
    </row>
    <row r="9921" spans="1:7">
      <c r="A9921" t="s">
        <v>38017</v>
      </c>
      <c r="B9921" t="s">
        <v>8607</v>
      </c>
      <c r="F9921" t="s">
        <v>26179</v>
      </c>
      <c r="G9921" t="s">
        <v>31859</v>
      </c>
    </row>
    <row r="9922" spans="1:7">
      <c r="A9922" t="s">
        <v>38018</v>
      </c>
      <c r="B9922" t="s">
        <v>8607</v>
      </c>
      <c r="F9922" t="s">
        <v>26474</v>
      </c>
      <c r="G9922" t="s">
        <v>26475</v>
      </c>
    </row>
    <row r="9923" spans="1:7">
      <c r="A9923" t="s">
        <v>38019</v>
      </c>
      <c r="B9923" t="s">
        <v>8607</v>
      </c>
      <c r="F9923" t="s">
        <v>9018</v>
      </c>
      <c r="G9923" t="s">
        <v>38020</v>
      </c>
    </row>
    <row r="9924" spans="1:7">
      <c r="A9924" t="s">
        <v>38021</v>
      </c>
      <c r="B9924" t="s">
        <v>8607</v>
      </c>
      <c r="G9924" t="s">
        <v>29384</v>
      </c>
    </row>
    <row r="9925" spans="1:7">
      <c r="A9925" t="s">
        <v>38022</v>
      </c>
      <c r="B9925" t="s">
        <v>8607</v>
      </c>
      <c r="F9925" t="s">
        <v>30791</v>
      </c>
      <c r="G9925" t="s">
        <v>30792</v>
      </c>
    </row>
    <row r="9926" spans="1:7">
      <c r="A9926" t="s">
        <v>38023</v>
      </c>
      <c r="B9926" t="s">
        <v>8626</v>
      </c>
      <c r="F9926" t="s">
        <v>38024</v>
      </c>
      <c r="G9926" t="s">
        <v>38025</v>
      </c>
    </row>
    <row r="9927" spans="1:7">
      <c r="A9927" t="s">
        <v>38026</v>
      </c>
      <c r="B9927" t="s">
        <v>8607</v>
      </c>
      <c r="G9927" t="s">
        <v>32432</v>
      </c>
    </row>
    <row r="9928" spans="1:7">
      <c r="A9928" t="s">
        <v>38027</v>
      </c>
      <c r="B9928" t="s">
        <v>8607</v>
      </c>
      <c r="G9928" t="s">
        <v>29380</v>
      </c>
    </row>
    <row r="9929" spans="1:7">
      <c r="A9929" t="s">
        <v>38028</v>
      </c>
      <c r="B9929" t="s">
        <v>8626</v>
      </c>
      <c r="F9929" t="s">
        <v>13649</v>
      </c>
      <c r="G9929" t="s">
        <v>26765</v>
      </c>
    </row>
    <row r="9930" spans="1:7">
      <c r="A9930" t="s">
        <v>38029</v>
      </c>
      <c r="B9930" t="s">
        <v>8607</v>
      </c>
      <c r="F9930" t="s">
        <v>26264</v>
      </c>
      <c r="G9930" t="s">
        <v>26265</v>
      </c>
    </row>
    <row r="9931" spans="1:7">
      <c r="A9931" t="s">
        <v>38030</v>
      </c>
      <c r="B9931" t="s">
        <v>8626</v>
      </c>
      <c r="G9931" t="s">
        <v>38031</v>
      </c>
    </row>
    <row r="9932" spans="1:7">
      <c r="A9932" t="s">
        <v>38032</v>
      </c>
      <c r="B9932" t="s">
        <v>8607</v>
      </c>
      <c r="F9932" t="s">
        <v>19380</v>
      </c>
      <c r="G9932" t="s">
        <v>27086</v>
      </c>
    </row>
    <row r="9933" spans="1:7">
      <c r="A9933" t="s">
        <v>38033</v>
      </c>
      <c r="B9933" t="s">
        <v>8626</v>
      </c>
      <c r="F9933" t="s">
        <v>18854</v>
      </c>
      <c r="G9933" t="s">
        <v>27088</v>
      </c>
    </row>
    <row r="9934" spans="1:7">
      <c r="A9934" t="s">
        <v>38034</v>
      </c>
      <c r="B9934" t="s">
        <v>8607</v>
      </c>
      <c r="F9934" t="s">
        <v>26465</v>
      </c>
      <c r="G9934" t="s">
        <v>26275</v>
      </c>
    </row>
    <row r="9935" spans="1:7">
      <c r="A9935" t="s">
        <v>38035</v>
      </c>
      <c r="B9935" t="s">
        <v>8607</v>
      </c>
      <c r="G9935" t="s">
        <v>26217</v>
      </c>
    </row>
    <row r="9936" spans="1:7">
      <c r="A9936" t="s">
        <v>38036</v>
      </c>
      <c r="B9936" t="s">
        <v>8607</v>
      </c>
      <c r="F9936" t="s">
        <v>19380</v>
      </c>
      <c r="G9936" t="s">
        <v>27086</v>
      </c>
    </row>
    <row r="9937" spans="1:7">
      <c r="A9937" t="s">
        <v>38037</v>
      </c>
      <c r="B9937" t="s">
        <v>8626</v>
      </c>
      <c r="F9937" t="s">
        <v>18854</v>
      </c>
      <c r="G9937" t="s">
        <v>27088</v>
      </c>
    </row>
    <row r="9938" spans="1:7">
      <c r="A9938" t="s">
        <v>38038</v>
      </c>
      <c r="B9938" t="s">
        <v>8607</v>
      </c>
      <c r="F9938" t="s">
        <v>26465</v>
      </c>
      <c r="G9938" t="s">
        <v>27090</v>
      </c>
    </row>
    <row r="9939" spans="1:7">
      <c r="A9939" t="s">
        <v>38039</v>
      </c>
      <c r="B9939" t="s">
        <v>8607</v>
      </c>
      <c r="G9939" t="s">
        <v>26217</v>
      </c>
    </row>
    <row r="9940" spans="1:7">
      <c r="A9940" t="s">
        <v>38040</v>
      </c>
      <c r="B9940" t="s">
        <v>8607</v>
      </c>
      <c r="F9940" t="s">
        <v>8623</v>
      </c>
      <c r="G9940" t="s">
        <v>36653</v>
      </c>
    </row>
    <row r="9941" spans="1:7">
      <c r="A9941" t="s">
        <v>38041</v>
      </c>
      <c r="B9941" t="s">
        <v>8607</v>
      </c>
      <c r="F9941" t="s">
        <v>26995</v>
      </c>
      <c r="G9941" t="s">
        <v>26996</v>
      </c>
    </row>
    <row r="9942" spans="1:7">
      <c r="A9942" t="s">
        <v>38042</v>
      </c>
      <c r="B9942" t="s">
        <v>8607</v>
      </c>
      <c r="F9942" t="s">
        <v>19188</v>
      </c>
      <c r="G9942" t="s">
        <v>19189</v>
      </c>
    </row>
    <row r="9943" spans="1:7">
      <c r="A9943" t="s">
        <v>38043</v>
      </c>
      <c r="B9943" t="s">
        <v>8626</v>
      </c>
      <c r="F9943" t="s">
        <v>30239</v>
      </c>
      <c r="G9943" t="s">
        <v>32382</v>
      </c>
    </row>
    <row r="9944" spans="1:7">
      <c r="A9944" t="s">
        <v>38044</v>
      </c>
      <c r="B9944" t="s">
        <v>8626</v>
      </c>
      <c r="F9944" t="s">
        <v>28410</v>
      </c>
      <c r="G9944" t="s">
        <v>28411</v>
      </c>
    </row>
    <row r="9945" spans="1:7">
      <c r="A9945" t="s">
        <v>38045</v>
      </c>
      <c r="B9945" t="s">
        <v>8607</v>
      </c>
      <c r="F9945" t="s">
        <v>27384</v>
      </c>
      <c r="G9945" t="s">
        <v>28413</v>
      </c>
    </row>
    <row r="9946" spans="1:7">
      <c r="A9946" t="s">
        <v>38046</v>
      </c>
      <c r="B9946" t="s">
        <v>8607</v>
      </c>
      <c r="G9946" t="s">
        <v>38047</v>
      </c>
    </row>
    <row r="9947" spans="1:7">
      <c r="A9947" t="s">
        <v>38048</v>
      </c>
      <c r="B9947" t="s">
        <v>8607</v>
      </c>
      <c r="F9947" t="s">
        <v>38049</v>
      </c>
      <c r="G9947" t="s">
        <v>38050</v>
      </c>
    </row>
    <row r="9948" spans="1:7">
      <c r="A9948" t="s">
        <v>38051</v>
      </c>
      <c r="B9948" t="s">
        <v>8626</v>
      </c>
      <c r="G9948" t="s">
        <v>38052</v>
      </c>
    </row>
    <row r="9949" spans="1:7">
      <c r="A9949" t="s">
        <v>38053</v>
      </c>
      <c r="G9949" t="s">
        <v>38054</v>
      </c>
    </row>
    <row r="9950" spans="1:7">
      <c r="A9950" t="s">
        <v>38055</v>
      </c>
      <c r="G9950" t="s">
        <v>38056</v>
      </c>
    </row>
    <row r="9951" spans="1:7">
      <c r="A9951" t="s">
        <v>38057</v>
      </c>
      <c r="B9951" t="s">
        <v>8607</v>
      </c>
      <c r="C9951" t="s">
        <v>20054</v>
      </c>
      <c r="F9951" t="s">
        <v>8851</v>
      </c>
      <c r="G9951" t="s">
        <v>31591</v>
      </c>
    </row>
    <row r="9952" spans="1:7">
      <c r="A9952" t="s">
        <v>38058</v>
      </c>
      <c r="B9952" t="s">
        <v>8607</v>
      </c>
      <c r="C9952" t="s">
        <v>38059</v>
      </c>
      <c r="F9952" t="s">
        <v>38060</v>
      </c>
      <c r="G9952" t="s">
        <v>38061</v>
      </c>
    </row>
    <row r="9953" spans="1:7">
      <c r="A9953" t="s">
        <v>38062</v>
      </c>
      <c r="B9953" t="s">
        <v>8626</v>
      </c>
      <c r="C9953" t="s">
        <v>20054</v>
      </c>
      <c r="F9953" t="s">
        <v>8851</v>
      </c>
      <c r="G9953" t="s">
        <v>38063</v>
      </c>
    </row>
    <row r="9954" spans="1:7">
      <c r="A9954" t="s">
        <v>38064</v>
      </c>
      <c r="B9954" t="s">
        <v>8607</v>
      </c>
      <c r="F9954" t="s">
        <v>15549</v>
      </c>
      <c r="G9954" t="s">
        <v>23219</v>
      </c>
    </row>
    <row r="9955" spans="1:7">
      <c r="A9955" t="s">
        <v>38065</v>
      </c>
      <c r="B9955" t="s">
        <v>8626</v>
      </c>
      <c r="F9955" t="s">
        <v>17850</v>
      </c>
      <c r="G9955" t="s">
        <v>25035</v>
      </c>
    </row>
    <row r="9956" spans="1:7">
      <c r="A9956" t="s">
        <v>38066</v>
      </c>
      <c r="B9956" t="s">
        <v>8607</v>
      </c>
      <c r="C9956" t="s">
        <v>21990</v>
      </c>
      <c r="F9956" t="s">
        <v>8754</v>
      </c>
      <c r="G9956" t="s">
        <v>21992</v>
      </c>
    </row>
    <row r="9957" spans="1:7">
      <c r="A9957" t="s">
        <v>38067</v>
      </c>
      <c r="B9957" t="s">
        <v>8607</v>
      </c>
      <c r="C9957" t="s">
        <v>32291</v>
      </c>
      <c r="F9957" t="s">
        <v>23859</v>
      </c>
      <c r="G9957" t="s">
        <v>38068</v>
      </c>
    </row>
    <row r="9958" spans="1:7">
      <c r="A9958" t="s">
        <v>38069</v>
      </c>
      <c r="B9958" t="s">
        <v>8607</v>
      </c>
      <c r="F9958" t="s">
        <v>9018</v>
      </c>
      <c r="G9958" t="s">
        <v>38070</v>
      </c>
    </row>
    <row r="9959" spans="1:7">
      <c r="A9959" t="s">
        <v>38071</v>
      </c>
      <c r="B9959" t="s">
        <v>8607</v>
      </c>
      <c r="F9959" t="s">
        <v>13761</v>
      </c>
      <c r="G9959" t="s">
        <v>26769</v>
      </c>
    </row>
    <row r="9960" spans="1:7">
      <c r="A9960" t="s">
        <v>38072</v>
      </c>
      <c r="B9960" t="s">
        <v>8607</v>
      </c>
      <c r="F9960" t="s">
        <v>26751</v>
      </c>
      <c r="G9960" t="s">
        <v>26752</v>
      </c>
    </row>
    <row r="9961" spans="1:7">
      <c r="A9961" t="s">
        <v>38073</v>
      </c>
      <c r="B9961" t="s">
        <v>8626</v>
      </c>
      <c r="F9961" t="s">
        <v>26754</v>
      </c>
      <c r="G9961" t="s">
        <v>26755</v>
      </c>
    </row>
    <row r="9962" spans="1:7">
      <c r="A9962" t="s">
        <v>38074</v>
      </c>
      <c r="B9962" t="s">
        <v>8607</v>
      </c>
      <c r="F9962" t="s">
        <v>9645</v>
      </c>
      <c r="G9962" t="s">
        <v>35773</v>
      </c>
    </row>
    <row r="9963" spans="1:7">
      <c r="A9963" t="s">
        <v>38075</v>
      </c>
      <c r="B9963" t="s">
        <v>8626</v>
      </c>
      <c r="F9963" t="s">
        <v>35141</v>
      </c>
      <c r="G9963" t="s">
        <v>36537</v>
      </c>
    </row>
    <row r="9964" spans="1:7">
      <c r="A9964" t="s">
        <v>38076</v>
      </c>
      <c r="B9964" t="s">
        <v>8607</v>
      </c>
      <c r="F9964" t="s">
        <v>27020</v>
      </c>
      <c r="G9964" t="s">
        <v>27021</v>
      </c>
    </row>
    <row r="9965" spans="1:7">
      <c r="A9965" t="s">
        <v>38077</v>
      </c>
      <c r="B9965" t="s">
        <v>8607</v>
      </c>
      <c r="F9965" t="s">
        <v>29013</v>
      </c>
      <c r="G9965" t="s">
        <v>29014</v>
      </c>
    </row>
    <row r="9966" spans="1:7">
      <c r="A9966" t="s">
        <v>38078</v>
      </c>
      <c r="B9966" t="s">
        <v>8607</v>
      </c>
      <c r="F9966" t="s">
        <v>17349</v>
      </c>
      <c r="G9966" t="s">
        <v>38079</v>
      </c>
    </row>
    <row r="9967" spans="1:7">
      <c r="A9967" t="s">
        <v>38080</v>
      </c>
      <c r="G9967" t="s">
        <v>31312</v>
      </c>
    </row>
    <row r="9968" spans="1:7">
      <c r="A9968" t="s">
        <v>38081</v>
      </c>
      <c r="B9968" t="s">
        <v>8626</v>
      </c>
      <c r="F9968" t="s">
        <v>36581</v>
      </c>
      <c r="G9968" t="s">
        <v>36582</v>
      </c>
    </row>
    <row r="9969" spans="1:7">
      <c r="A9969" t="s">
        <v>38082</v>
      </c>
      <c r="B9969" t="s">
        <v>8607</v>
      </c>
      <c r="F9969" t="s">
        <v>37933</v>
      </c>
      <c r="G9969" t="s">
        <v>38083</v>
      </c>
    </row>
    <row r="9970" spans="1:7">
      <c r="A9970" t="s">
        <v>38084</v>
      </c>
      <c r="B9970" t="s">
        <v>8607</v>
      </c>
      <c r="G9970" t="s">
        <v>27110</v>
      </c>
    </row>
    <row r="9971" spans="1:7">
      <c r="A9971" t="s">
        <v>38085</v>
      </c>
      <c r="B9971" t="s">
        <v>8607</v>
      </c>
      <c r="G9971" t="s">
        <v>22411</v>
      </c>
    </row>
    <row r="9972" spans="1:7">
      <c r="A9972" t="s">
        <v>38086</v>
      </c>
      <c r="B9972" t="s">
        <v>8626</v>
      </c>
      <c r="F9972" t="s">
        <v>26148</v>
      </c>
      <c r="G9972" t="s">
        <v>30412</v>
      </c>
    </row>
    <row r="9973" spans="1:7">
      <c r="A9973" t="s">
        <v>38087</v>
      </c>
      <c r="B9973" t="s">
        <v>8626</v>
      </c>
      <c r="F9973" t="s">
        <v>26710</v>
      </c>
      <c r="G9973" t="s">
        <v>26711</v>
      </c>
    </row>
    <row r="9974" spans="1:7">
      <c r="A9974" t="s">
        <v>38088</v>
      </c>
      <c r="B9974" t="s">
        <v>8607</v>
      </c>
      <c r="G9974" t="s">
        <v>38089</v>
      </c>
    </row>
    <row r="9975" spans="1:7">
      <c r="A9975" t="s">
        <v>38090</v>
      </c>
      <c r="G9975" t="s">
        <v>27056</v>
      </c>
    </row>
    <row r="9976" spans="1:7">
      <c r="A9976" t="s">
        <v>38091</v>
      </c>
      <c r="B9976" t="s">
        <v>8607</v>
      </c>
      <c r="F9976" t="s">
        <v>26104</v>
      </c>
      <c r="G9976" t="s">
        <v>26236</v>
      </c>
    </row>
    <row r="9977" spans="1:7">
      <c r="A9977" t="s">
        <v>38092</v>
      </c>
      <c r="B9977" t="s">
        <v>8607</v>
      </c>
      <c r="F9977" t="s">
        <v>26173</v>
      </c>
      <c r="G9977" t="s">
        <v>26174</v>
      </c>
    </row>
    <row r="9978" spans="1:7">
      <c r="A9978" t="s">
        <v>38093</v>
      </c>
      <c r="B9978" t="s">
        <v>8607</v>
      </c>
      <c r="F9978" t="s">
        <v>26176</v>
      </c>
      <c r="G9978" t="s">
        <v>26177</v>
      </c>
    </row>
    <row r="9979" spans="1:7">
      <c r="A9979" t="s">
        <v>38094</v>
      </c>
      <c r="B9979" t="s">
        <v>8607</v>
      </c>
      <c r="F9979" t="s">
        <v>38095</v>
      </c>
      <c r="G9979" t="s">
        <v>38096</v>
      </c>
    </row>
    <row r="9980" spans="1:7">
      <c r="A9980" t="s">
        <v>38097</v>
      </c>
      <c r="B9980" t="s">
        <v>8607</v>
      </c>
      <c r="G9980" t="s">
        <v>26572</v>
      </c>
    </row>
    <row r="9981" spans="1:7">
      <c r="A9981" t="s">
        <v>38098</v>
      </c>
      <c r="B9981" t="s">
        <v>8607</v>
      </c>
      <c r="G9981" t="s">
        <v>26628</v>
      </c>
    </row>
    <row r="9982" spans="1:7">
      <c r="A9982" t="s">
        <v>38099</v>
      </c>
      <c r="B9982" t="s">
        <v>8607</v>
      </c>
      <c r="C9982" t="s">
        <v>22862</v>
      </c>
      <c r="F9982" t="s">
        <v>22864</v>
      </c>
      <c r="G9982" t="s">
        <v>38100</v>
      </c>
    </row>
    <row r="9983" spans="1:7">
      <c r="A9983" t="s">
        <v>38101</v>
      </c>
      <c r="B9983" t="s">
        <v>8607</v>
      </c>
      <c r="F9983" t="s">
        <v>26207</v>
      </c>
      <c r="G9983" t="s">
        <v>27473</v>
      </c>
    </row>
    <row r="9984" spans="1:7">
      <c r="A9984" t="s">
        <v>38102</v>
      </c>
      <c r="B9984" t="s">
        <v>8607</v>
      </c>
      <c r="F9984" t="s">
        <v>28159</v>
      </c>
      <c r="G9984" t="s">
        <v>33070</v>
      </c>
    </row>
    <row r="9985" spans="1:7">
      <c r="A9985" t="s">
        <v>38103</v>
      </c>
      <c r="B9985" t="s">
        <v>8607</v>
      </c>
      <c r="F9985" t="s">
        <v>17349</v>
      </c>
      <c r="G9985" t="s">
        <v>30827</v>
      </c>
    </row>
    <row r="9986" spans="1:7">
      <c r="A9986" t="s">
        <v>38104</v>
      </c>
      <c r="B9986" t="s">
        <v>8607</v>
      </c>
      <c r="G9986" t="s">
        <v>38105</v>
      </c>
    </row>
    <row r="9987" spans="1:7">
      <c r="A9987" t="s">
        <v>38106</v>
      </c>
      <c r="B9987" t="s">
        <v>8607</v>
      </c>
      <c r="F9987" t="s">
        <v>26207</v>
      </c>
      <c r="G9987" t="s">
        <v>37402</v>
      </c>
    </row>
    <row r="9988" spans="1:7">
      <c r="A9988" t="s">
        <v>38107</v>
      </c>
      <c r="B9988" t="s">
        <v>8607</v>
      </c>
      <c r="G9988" t="s">
        <v>38108</v>
      </c>
    </row>
    <row r="9989" spans="1:7">
      <c r="A9989" t="s">
        <v>38109</v>
      </c>
      <c r="B9989" t="s">
        <v>8607</v>
      </c>
      <c r="F9989" t="s">
        <v>26420</v>
      </c>
      <c r="G9989" t="s">
        <v>38110</v>
      </c>
    </row>
    <row r="9990" spans="1:7">
      <c r="A9990" t="s">
        <v>38111</v>
      </c>
      <c r="B9990" t="s">
        <v>8607</v>
      </c>
      <c r="F9990" t="s">
        <v>26425</v>
      </c>
      <c r="G9990" t="s">
        <v>38112</v>
      </c>
    </row>
    <row r="9991" spans="1:7">
      <c r="A9991" t="s">
        <v>38113</v>
      </c>
      <c r="B9991" t="s">
        <v>8607</v>
      </c>
      <c r="F9991" t="s">
        <v>19172</v>
      </c>
      <c r="G9991" t="s">
        <v>38114</v>
      </c>
    </row>
    <row r="9992" spans="1:7">
      <c r="A9992" t="s">
        <v>38115</v>
      </c>
      <c r="B9992" t="s">
        <v>8626</v>
      </c>
      <c r="F9992" t="s">
        <v>38116</v>
      </c>
      <c r="G9992" t="s">
        <v>38117</v>
      </c>
    </row>
    <row r="9993" spans="1:7">
      <c r="A9993" t="s">
        <v>38118</v>
      </c>
      <c r="B9993" t="s">
        <v>8607</v>
      </c>
      <c r="F9993" t="s">
        <v>27969</v>
      </c>
      <c r="G9993" t="s">
        <v>27970</v>
      </c>
    </row>
    <row r="9994" spans="1:7">
      <c r="A9994" t="s">
        <v>38119</v>
      </c>
      <c r="B9994" t="s">
        <v>8607</v>
      </c>
      <c r="G9994" t="s">
        <v>10808</v>
      </c>
    </row>
    <row r="9995" spans="1:7">
      <c r="A9995" t="s">
        <v>38120</v>
      </c>
      <c r="B9995" t="s">
        <v>8607</v>
      </c>
      <c r="F9995" t="s">
        <v>27958</v>
      </c>
      <c r="G9995" t="s">
        <v>27959</v>
      </c>
    </row>
    <row r="9996" spans="1:7">
      <c r="A9996" t="s">
        <v>38121</v>
      </c>
      <c r="B9996" t="s">
        <v>8607</v>
      </c>
      <c r="G9996" t="s">
        <v>27961</v>
      </c>
    </row>
    <row r="9997" spans="1:7">
      <c r="A9997" t="s">
        <v>38122</v>
      </c>
      <c r="B9997" t="s">
        <v>8607</v>
      </c>
      <c r="G9997" t="s">
        <v>27965</v>
      </c>
    </row>
    <row r="9998" spans="1:7">
      <c r="A9998" t="s">
        <v>38123</v>
      </c>
      <c r="B9998" t="s">
        <v>8607</v>
      </c>
      <c r="G9998" t="s">
        <v>26348</v>
      </c>
    </row>
    <row r="9999" spans="1:7">
      <c r="A9999" t="s">
        <v>38124</v>
      </c>
      <c r="B9999" t="s">
        <v>8607</v>
      </c>
      <c r="G9999" t="s">
        <v>38125</v>
      </c>
    </row>
    <row r="10000" spans="1:7">
      <c r="A10000" t="s">
        <v>38126</v>
      </c>
      <c r="B10000" t="s">
        <v>8607</v>
      </c>
      <c r="G10000" t="s">
        <v>34610</v>
      </c>
    </row>
    <row r="10001" spans="1:7">
      <c r="A10001" t="s">
        <v>38127</v>
      </c>
      <c r="B10001" t="s">
        <v>8607</v>
      </c>
      <c r="G10001" t="s">
        <v>38128</v>
      </c>
    </row>
    <row r="10002" spans="1:7">
      <c r="A10002" t="s">
        <v>38129</v>
      </c>
      <c r="B10002" t="s">
        <v>8626</v>
      </c>
      <c r="G10002" t="s">
        <v>38130</v>
      </c>
    </row>
    <row r="10003" spans="1:7">
      <c r="A10003" t="s">
        <v>38131</v>
      </c>
      <c r="B10003" t="s">
        <v>8626</v>
      </c>
      <c r="F10003" t="s">
        <v>28809</v>
      </c>
      <c r="G10003" t="s">
        <v>32388</v>
      </c>
    </row>
    <row r="10004" spans="1:7">
      <c r="A10004" t="s">
        <v>38132</v>
      </c>
      <c r="B10004" t="s">
        <v>8607</v>
      </c>
      <c r="F10004" t="s">
        <v>26207</v>
      </c>
      <c r="G10004" t="s">
        <v>27473</v>
      </c>
    </row>
    <row r="10005" spans="1:7">
      <c r="A10005" t="s">
        <v>38133</v>
      </c>
      <c r="B10005" t="s">
        <v>8607</v>
      </c>
      <c r="F10005" t="s">
        <v>28159</v>
      </c>
      <c r="G10005" t="s">
        <v>28160</v>
      </c>
    </row>
    <row r="10006" spans="1:7">
      <c r="A10006" t="s">
        <v>38134</v>
      </c>
      <c r="B10006" t="s">
        <v>8607</v>
      </c>
      <c r="F10006" t="s">
        <v>17349</v>
      </c>
      <c r="G10006" t="s">
        <v>28132</v>
      </c>
    </row>
    <row r="10007" spans="1:7">
      <c r="A10007" t="s">
        <v>38135</v>
      </c>
      <c r="B10007" t="s">
        <v>8607</v>
      </c>
      <c r="G10007" t="s">
        <v>30017</v>
      </c>
    </row>
    <row r="10008" spans="1:7">
      <c r="A10008" t="s">
        <v>38136</v>
      </c>
      <c r="B10008" t="s">
        <v>8607</v>
      </c>
      <c r="G10008" t="s">
        <v>27973</v>
      </c>
    </row>
    <row r="10009" spans="1:7">
      <c r="A10009" t="s">
        <v>38137</v>
      </c>
      <c r="B10009" t="s">
        <v>8607</v>
      </c>
      <c r="G10009" t="s">
        <v>30740</v>
      </c>
    </row>
    <row r="10010" spans="1:7">
      <c r="A10010" t="s">
        <v>38138</v>
      </c>
      <c r="B10010" t="s">
        <v>8626</v>
      </c>
      <c r="F10010" t="s">
        <v>33181</v>
      </c>
      <c r="G10010" t="s">
        <v>37970</v>
      </c>
    </row>
    <row r="10011" spans="1:7">
      <c r="A10011" t="s">
        <v>38139</v>
      </c>
      <c r="B10011" t="s">
        <v>8607</v>
      </c>
      <c r="C10011" t="s">
        <v>27583</v>
      </c>
      <c r="F10011" t="s">
        <v>26207</v>
      </c>
      <c r="G10011" t="s">
        <v>38140</v>
      </c>
    </row>
    <row r="10012" spans="1:7">
      <c r="A10012" t="s">
        <v>38141</v>
      </c>
      <c r="B10012" t="s">
        <v>8626</v>
      </c>
      <c r="F10012" t="s">
        <v>26417</v>
      </c>
      <c r="G10012" t="s">
        <v>26418</v>
      </c>
    </row>
    <row r="10013" spans="1:7">
      <c r="A10013" t="s">
        <v>38142</v>
      </c>
      <c r="B10013" t="s">
        <v>8626</v>
      </c>
      <c r="F10013" t="s">
        <v>26420</v>
      </c>
      <c r="G10013" t="s">
        <v>38143</v>
      </c>
    </row>
    <row r="10014" spans="1:7">
      <c r="A10014" t="s">
        <v>38144</v>
      </c>
      <c r="B10014" t="s">
        <v>8607</v>
      </c>
      <c r="G10014" t="s">
        <v>26423</v>
      </c>
    </row>
    <row r="10015" spans="1:7">
      <c r="A10015" t="s">
        <v>38145</v>
      </c>
      <c r="B10015" t="s">
        <v>8607</v>
      </c>
      <c r="F10015" t="s">
        <v>26207</v>
      </c>
      <c r="G10015" t="s">
        <v>26208</v>
      </c>
    </row>
    <row r="10016" spans="1:7">
      <c r="A10016" t="s">
        <v>38146</v>
      </c>
      <c r="B10016" t="s">
        <v>8607</v>
      </c>
      <c r="G10016" t="s">
        <v>26210</v>
      </c>
    </row>
    <row r="10017" spans="1:7">
      <c r="A10017" t="s">
        <v>38147</v>
      </c>
      <c r="B10017" t="s">
        <v>8626</v>
      </c>
      <c r="C10017" t="s">
        <v>27497</v>
      </c>
      <c r="F10017" t="s">
        <v>15811</v>
      </c>
      <c r="G10017" t="s">
        <v>32397</v>
      </c>
    </row>
    <row r="10018" spans="1:7">
      <c r="A10018" t="s">
        <v>38148</v>
      </c>
      <c r="B10018" t="s">
        <v>8626</v>
      </c>
      <c r="C10018" t="s">
        <v>28978</v>
      </c>
      <c r="F10018" t="s">
        <v>28979</v>
      </c>
      <c r="G10018" t="s">
        <v>32399</v>
      </c>
    </row>
    <row r="10019" spans="1:7">
      <c r="A10019" t="s">
        <v>38149</v>
      </c>
      <c r="B10019" t="s">
        <v>8607</v>
      </c>
      <c r="C10019" t="s">
        <v>20904</v>
      </c>
      <c r="F10019" t="s">
        <v>14108</v>
      </c>
      <c r="G10019" t="s">
        <v>20905</v>
      </c>
    </row>
    <row r="10020" spans="1:7">
      <c r="A10020" t="s">
        <v>38150</v>
      </c>
      <c r="B10020" t="s">
        <v>8607</v>
      </c>
      <c r="F10020" t="s">
        <v>28984</v>
      </c>
      <c r="G10020" t="s">
        <v>38151</v>
      </c>
    </row>
    <row r="10021" spans="1:7">
      <c r="A10021" t="s">
        <v>38152</v>
      </c>
      <c r="B10021" t="s">
        <v>8607</v>
      </c>
      <c r="C10021" t="s">
        <v>28987</v>
      </c>
      <c r="F10021" t="s">
        <v>28988</v>
      </c>
      <c r="G10021" t="s">
        <v>33410</v>
      </c>
    </row>
    <row r="10022" spans="1:7">
      <c r="A10022" t="s">
        <v>38153</v>
      </c>
      <c r="B10022" t="s">
        <v>8607</v>
      </c>
      <c r="F10022" t="s">
        <v>26725</v>
      </c>
      <c r="G10022" t="s">
        <v>28142</v>
      </c>
    </row>
    <row r="10023" spans="1:7">
      <c r="A10023" t="s">
        <v>38154</v>
      </c>
      <c r="B10023" t="s">
        <v>8626</v>
      </c>
      <c r="C10023" t="s">
        <v>38155</v>
      </c>
      <c r="F10023" t="s">
        <v>9018</v>
      </c>
      <c r="G10023" t="s">
        <v>38156</v>
      </c>
    </row>
    <row r="10024" spans="1:7">
      <c r="A10024" t="s">
        <v>38157</v>
      </c>
      <c r="B10024" t="s">
        <v>8607</v>
      </c>
      <c r="F10024" t="s">
        <v>22914</v>
      </c>
      <c r="G10024" t="s">
        <v>30990</v>
      </c>
    </row>
    <row r="10025" spans="1:7">
      <c r="A10025" t="s">
        <v>38158</v>
      </c>
      <c r="B10025" t="s">
        <v>8607</v>
      </c>
      <c r="F10025" t="s">
        <v>31937</v>
      </c>
      <c r="G10025" t="s">
        <v>18567</v>
      </c>
    </row>
    <row r="10026" spans="1:7">
      <c r="A10026" t="s">
        <v>38159</v>
      </c>
      <c r="B10026" t="s">
        <v>8626</v>
      </c>
      <c r="G10026" t="s">
        <v>29138</v>
      </c>
    </row>
    <row r="10027" spans="1:7">
      <c r="A10027" t="s">
        <v>38160</v>
      </c>
      <c r="B10027" t="s">
        <v>8607</v>
      </c>
      <c r="F10027" t="s">
        <v>30195</v>
      </c>
      <c r="G10027" t="s">
        <v>30196</v>
      </c>
    </row>
    <row r="10028" spans="1:7">
      <c r="A10028" t="s">
        <v>38161</v>
      </c>
      <c r="B10028" t="s">
        <v>8607</v>
      </c>
      <c r="G10028" t="s">
        <v>38162</v>
      </c>
    </row>
    <row r="10029" spans="1:7">
      <c r="A10029" t="s">
        <v>38163</v>
      </c>
      <c r="B10029" t="s">
        <v>8607</v>
      </c>
      <c r="G10029" t="s">
        <v>22411</v>
      </c>
    </row>
    <row r="10030" spans="1:7">
      <c r="A10030" t="s">
        <v>38164</v>
      </c>
      <c r="B10030" t="s">
        <v>8607</v>
      </c>
      <c r="F10030" t="s">
        <v>26148</v>
      </c>
      <c r="G10030" t="s">
        <v>26149</v>
      </c>
    </row>
    <row r="10031" spans="1:7">
      <c r="A10031" t="s">
        <v>38165</v>
      </c>
      <c r="B10031" t="s">
        <v>8607</v>
      </c>
      <c r="G10031" t="s">
        <v>27007</v>
      </c>
    </row>
    <row r="10032" spans="1:7">
      <c r="A10032" t="s">
        <v>38166</v>
      </c>
      <c r="B10032" t="s">
        <v>8607</v>
      </c>
      <c r="F10032" t="s">
        <v>26104</v>
      </c>
      <c r="G10032" t="s">
        <v>26236</v>
      </c>
    </row>
    <row r="10033" spans="1:7">
      <c r="A10033" t="s">
        <v>38167</v>
      </c>
      <c r="B10033" t="s">
        <v>8607</v>
      </c>
      <c r="F10033" t="s">
        <v>26173</v>
      </c>
      <c r="G10033" t="s">
        <v>26174</v>
      </c>
    </row>
    <row r="10034" spans="1:7">
      <c r="A10034" t="s">
        <v>38168</v>
      </c>
      <c r="B10034" t="s">
        <v>8626</v>
      </c>
      <c r="F10034" t="s">
        <v>8623</v>
      </c>
      <c r="G10034" t="s">
        <v>20859</v>
      </c>
    </row>
    <row r="10035" spans="1:7">
      <c r="A10035" t="s">
        <v>38169</v>
      </c>
      <c r="B10035" t="s">
        <v>8607</v>
      </c>
      <c r="F10035" t="s">
        <v>17767</v>
      </c>
      <c r="G10035" t="s">
        <v>30274</v>
      </c>
    </row>
    <row r="10036" spans="1:7">
      <c r="A10036" t="s">
        <v>38170</v>
      </c>
      <c r="B10036" t="s">
        <v>8607</v>
      </c>
      <c r="F10036" t="s">
        <v>17305</v>
      </c>
      <c r="G10036" t="s">
        <v>27204</v>
      </c>
    </row>
    <row r="10037" spans="1:7">
      <c r="A10037" t="s">
        <v>38171</v>
      </c>
      <c r="B10037" t="s">
        <v>8607</v>
      </c>
      <c r="G10037" t="s">
        <v>27206</v>
      </c>
    </row>
    <row r="10038" spans="1:7">
      <c r="A10038" t="s">
        <v>38172</v>
      </c>
      <c r="B10038" t="s">
        <v>8607</v>
      </c>
      <c r="F10038" t="s">
        <v>33522</v>
      </c>
      <c r="G10038" t="s">
        <v>33523</v>
      </c>
    </row>
    <row r="10039" spans="1:7">
      <c r="A10039" t="s">
        <v>38173</v>
      </c>
      <c r="B10039" t="s">
        <v>8626</v>
      </c>
      <c r="F10039" t="s">
        <v>26176</v>
      </c>
      <c r="G10039" t="s">
        <v>33525</v>
      </c>
    </row>
    <row r="10040" spans="1:7">
      <c r="A10040" t="s">
        <v>38174</v>
      </c>
      <c r="B10040" t="s">
        <v>8607</v>
      </c>
      <c r="F10040" t="s">
        <v>27594</v>
      </c>
      <c r="G10040" t="s">
        <v>27788</v>
      </c>
    </row>
    <row r="10041" spans="1:7">
      <c r="A10041" t="s">
        <v>38175</v>
      </c>
      <c r="B10041" t="s">
        <v>8607</v>
      </c>
      <c r="F10041" t="s">
        <v>25054</v>
      </c>
      <c r="G10041" t="s">
        <v>38176</v>
      </c>
    </row>
    <row r="10042" spans="1:7">
      <c r="A10042" t="s">
        <v>38177</v>
      </c>
      <c r="B10042" t="s">
        <v>8626</v>
      </c>
      <c r="G10042" t="s">
        <v>28446</v>
      </c>
    </row>
    <row r="10043" spans="1:7">
      <c r="A10043" t="s">
        <v>38178</v>
      </c>
      <c r="B10043" t="s">
        <v>8607</v>
      </c>
      <c r="F10043" t="s">
        <v>29207</v>
      </c>
      <c r="G10043" t="s">
        <v>32757</v>
      </c>
    </row>
    <row r="10044" spans="1:7">
      <c r="A10044" t="s">
        <v>38179</v>
      </c>
      <c r="B10044" t="s">
        <v>8607</v>
      </c>
      <c r="F10044" t="s">
        <v>29700</v>
      </c>
      <c r="G10044" t="s">
        <v>32759</v>
      </c>
    </row>
    <row r="10045" spans="1:7">
      <c r="A10045" t="s">
        <v>38180</v>
      </c>
      <c r="B10045" t="s">
        <v>8626</v>
      </c>
      <c r="F10045" t="s">
        <v>26207</v>
      </c>
      <c r="G10045" t="s">
        <v>38181</v>
      </c>
    </row>
    <row r="10046" spans="1:7">
      <c r="A10046" t="s">
        <v>38182</v>
      </c>
      <c r="B10046" t="s">
        <v>8626</v>
      </c>
      <c r="C10046" t="s">
        <v>24008</v>
      </c>
      <c r="F10046" t="s">
        <v>17305</v>
      </c>
      <c r="G10046" t="s">
        <v>36216</v>
      </c>
    </row>
    <row r="10047" spans="1:7">
      <c r="A10047" t="s">
        <v>38183</v>
      </c>
      <c r="B10047" t="s">
        <v>8607</v>
      </c>
      <c r="G10047" t="s">
        <v>22411</v>
      </c>
    </row>
    <row r="10048" spans="1:7">
      <c r="A10048" t="s">
        <v>38184</v>
      </c>
      <c r="B10048" t="s">
        <v>8626</v>
      </c>
      <c r="C10048" t="s">
        <v>26087</v>
      </c>
      <c r="F10048" t="s">
        <v>26088</v>
      </c>
      <c r="G10048" t="s">
        <v>32643</v>
      </c>
    </row>
    <row r="10049" spans="1:7">
      <c r="A10049" t="s">
        <v>38185</v>
      </c>
      <c r="B10049" t="s">
        <v>8607</v>
      </c>
      <c r="F10049" t="s">
        <v>26091</v>
      </c>
      <c r="G10049" t="s">
        <v>32645</v>
      </c>
    </row>
    <row r="10050" spans="1:7">
      <c r="A10050" t="s">
        <v>38186</v>
      </c>
      <c r="B10050" t="s">
        <v>8607</v>
      </c>
      <c r="F10050" t="s">
        <v>26094</v>
      </c>
      <c r="G10050" t="s">
        <v>32647</v>
      </c>
    </row>
    <row r="10051" spans="1:7">
      <c r="A10051" t="s">
        <v>38187</v>
      </c>
      <c r="B10051" t="s">
        <v>8626</v>
      </c>
      <c r="F10051" t="s">
        <v>17760</v>
      </c>
      <c r="G10051" t="s">
        <v>34777</v>
      </c>
    </row>
    <row r="10052" spans="1:7">
      <c r="A10052" t="s">
        <v>38188</v>
      </c>
      <c r="B10052" t="s">
        <v>8607</v>
      </c>
      <c r="F10052" t="s">
        <v>21832</v>
      </c>
      <c r="G10052" t="s">
        <v>38189</v>
      </c>
    </row>
    <row r="10053" spans="1:7">
      <c r="A10053" t="s">
        <v>38190</v>
      </c>
      <c r="B10053" t="s">
        <v>8626</v>
      </c>
      <c r="G10053" t="s">
        <v>38191</v>
      </c>
    </row>
    <row r="10054" spans="1:7">
      <c r="A10054" t="s">
        <v>38192</v>
      </c>
      <c r="B10054" t="s">
        <v>8607</v>
      </c>
      <c r="F10054" t="s">
        <v>38193</v>
      </c>
      <c r="G10054" t="s">
        <v>27120</v>
      </c>
    </row>
    <row r="10055" spans="1:7">
      <c r="A10055" t="s">
        <v>38194</v>
      </c>
      <c r="B10055" t="s">
        <v>8607</v>
      </c>
      <c r="F10055" t="s">
        <v>26173</v>
      </c>
      <c r="G10055" t="s">
        <v>26782</v>
      </c>
    </row>
    <row r="10056" spans="1:7">
      <c r="A10056" t="s">
        <v>38195</v>
      </c>
      <c r="B10056" t="s">
        <v>8607</v>
      </c>
      <c r="G10056" t="s">
        <v>33444</v>
      </c>
    </row>
    <row r="10057" spans="1:7">
      <c r="A10057" t="s">
        <v>38196</v>
      </c>
      <c r="B10057" t="s">
        <v>8626</v>
      </c>
      <c r="C10057" t="s">
        <v>31868</v>
      </c>
      <c r="F10057" t="s">
        <v>19933</v>
      </c>
      <c r="G10057" t="s">
        <v>38197</v>
      </c>
    </row>
    <row r="10058" spans="1:7">
      <c r="A10058" t="s">
        <v>38198</v>
      </c>
      <c r="B10058" t="s">
        <v>8607</v>
      </c>
      <c r="F10058" t="s">
        <v>38199</v>
      </c>
      <c r="G10058" t="s">
        <v>38200</v>
      </c>
    </row>
    <row r="10059" spans="1:7">
      <c r="A10059" t="s">
        <v>38201</v>
      </c>
      <c r="B10059" t="s">
        <v>8607</v>
      </c>
      <c r="G10059" t="s">
        <v>26785</v>
      </c>
    </row>
    <row r="10060" spans="1:7">
      <c r="A10060" t="s">
        <v>38202</v>
      </c>
      <c r="B10060" t="s">
        <v>8607</v>
      </c>
      <c r="G10060" t="s">
        <v>26638</v>
      </c>
    </row>
    <row r="10061" spans="1:7">
      <c r="A10061" t="s">
        <v>38203</v>
      </c>
      <c r="B10061" t="s">
        <v>8607</v>
      </c>
      <c r="F10061" t="s">
        <v>17928</v>
      </c>
      <c r="G10061" t="s">
        <v>26640</v>
      </c>
    </row>
    <row r="10062" spans="1:7">
      <c r="A10062" t="s">
        <v>38204</v>
      </c>
      <c r="B10062" t="s">
        <v>8607</v>
      </c>
      <c r="F10062" t="s">
        <v>26207</v>
      </c>
      <c r="G10062" t="s">
        <v>38205</v>
      </c>
    </row>
    <row r="10063" spans="1:7">
      <c r="A10063" t="s">
        <v>38206</v>
      </c>
      <c r="B10063" t="s">
        <v>8607</v>
      </c>
      <c r="F10063" t="s">
        <v>26091</v>
      </c>
      <c r="G10063" t="s">
        <v>37594</v>
      </c>
    </row>
    <row r="10064" spans="1:7">
      <c r="A10064" t="s">
        <v>38207</v>
      </c>
      <c r="B10064" t="s">
        <v>8626</v>
      </c>
      <c r="F10064" t="s">
        <v>27402</v>
      </c>
      <c r="G10064" t="s">
        <v>38208</v>
      </c>
    </row>
    <row r="10065" spans="1:7">
      <c r="A10065" t="s">
        <v>38209</v>
      </c>
      <c r="B10065" t="s">
        <v>8626</v>
      </c>
      <c r="C10065" t="s">
        <v>27405</v>
      </c>
      <c r="F10065" t="s">
        <v>9002</v>
      </c>
      <c r="G10065" t="s">
        <v>35926</v>
      </c>
    </row>
    <row r="10066" spans="1:7">
      <c r="A10066" t="s">
        <v>38210</v>
      </c>
      <c r="B10066" t="s">
        <v>8607</v>
      </c>
      <c r="F10066" t="s">
        <v>26827</v>
      </c>
      <c r="G10066" t="s">
        <v>31953</v>
      </c>
    </row>
    <row r="10067" spans="1:7">
      <c r="A10067" t="s">
        <v>38211</v>
      </c>
      <c r="B10067" t="s">
        <v>8626</v>
      </c>
      <c r="F10067" t="s">
        <v>38212</v>
      </c>
      <c r="G10067" t="s">
        <v>38213</v>
      </c>
    </row>
    <row r="10068" spans="1:7">
      <c r="A10068" t="s">
        <v>38214</v>
      </c>
      <c r="B10068" t="s">
        <v>8607</v>
      </c>
      <c r="F10068" t="s">
        <v>26420</v>
      </c>
      <c r="G10068" t="s">
        <v>38215</v>
      </c>
    </row>
    <row r="10069" spans="1:7">
      <c r="A10069" t="s">
        <v>38216</v>
      </c>
      <c r="B10069" t="s">
        <v>8626</v>
      </c>
      <c r="G10069" t="s">
        <v>38217</v>
      </c>
    </row>
    <row r="10070" spans="1:7">
      <c r="A10070" t="s">
        <v>38218</v>
      </c>
      <c r="B10070" t="s">
        <v>8626</v>
      </c>
      <c r="F10070" t="s">
        <v>28352</v>
      </c>
      <c r="G10070" t="s">
        <v>35635</v>
      </c>
    </row>
    <row r="10071" spans="1:7">
      <c r="A10071" t="s">
        <v>38219</v>
      </c>
      <c r="B10071" t="s">
        <v>8626</v>
      </c>
      <c r="F10071" t="s">
        <v>8623</v>
      </c>
      <c r="G10071" t="s">
        <v>33221</v>
      </c>
    </row>
    <row r="10072" spans="1:7">
      <c r="A10072" t="s">
        <v>38220</v>
      </c>
      <c r="B10072" t="s">
        <v>8607</v>
      </c>
      <c r="F10072" t="s">
        <v>35638</v>
      </c>
      <c r="G10072" t="s">
        <v>35639</v>
      </c>
    </row>
    <row r="10073" spans="1:7">
      <c r="A10073" t="s">
        <v>38221</v>
      </c>
      <c r="B10073" t="s">
        <v>8607</v>
      </c>
      <c r="G10073" t="s">
        <v>38222</v>
      </c>
    </row>
    <row r="10074" spans="1:7">
      <c r="A10074" t="s">
        <v>38223</v>
      </c>
      <c r="B10074" t="s">
        <v>8607</v>
      </c>
      <c r="G10074" t="s">
        <v>26628</v>
      </c>
    </row>
    <row r="10075" spans="1:7">
      <c r="A10075" t="s">
        <v>38224</v>
      </c>
      <c r="G10075" t="s">
        <v>26696</v>
      </c>
    </row>
    <row r="10076" spans="1:7">
      <c r="A10076" t="s">
        <v>38225</v>
      </c>
      <c r="B10076" t="s">
        <v>8607</v>
      </c>
      <c r="C10076" t="s">
        <v>22862</v>
      </c>
      <c r="F10076" t="s">
        <v>22864</v>
      </c>
      <c r="G10076" t="s">
        <v>37905</v>
      </c>
    </row>
    <row r="10077" spans="1:7">
      <c r="A10077" t="s">
        <v>38226</v>
      </c>
      <c r="B10077" t="s">
        <v>8626</v>
      </c>
      <c r="G10077" t="s">
        <v>38227</v>
      </c>
    </row>
    <row r="10078" spans="1:7">
      <c r="A10078" t="s">
        <v>38228</v>
      </c>
      <c r="B10078" t="s">
        <v>8607</v>
      </c>
      <c r="G10078" t="s">
        <v>32833</v>
      </c>
    </row>
    <row r="10079" spans="1:7">
      <c r="A10079" t="s">
        <v>38229</v>
      </c>
      <c r="B10079" t="s">
        <v>8607</v>
      </c>
      <c r="G10079" t="s">
        <v>32835</v>
      </c>
    </row>
    <row r="10080" spans="1:7">
      <c r="A10080" t="s">
        <v>38230</v>
      </c>
      <c r="B10080" t="s">
        <v>8607</v>
      </c>
      <c r="F10080" t="s">
        <v>26207</v>
      </c>
      <c r="G10080" t="s">
        <v>32841</v>
      </c>
    </row>
    <row r="10081" spans="1:7">
      <c r="A10081" t="s">
        <v>38231</v>
      </c>
      <c r="B10081" t="s">
        <v>8607</v>
      </c>
      <c r="F10081" t="s">
        <v>12464</v>
      </c>
      <c r="G10081" t="s">
        <v>27114</v>
      </c>
    </row>
    <row r="10082" spans="1:7">
      <c r="A10082" t="s">
        <v>38232</v>
      </c>
      <c r="B10082" t="s">
        <v>8607</v>
      </c>
      <c r="F10082" t="s">
        <v>26722</v>
      </c>
      <c r="G10082" t="s">
        <v>26723</v>
      </c>
    </row>
    <row r="10083" spans="1:7">
      <c r="A10083" t="s">
        <v>38233</v>
      </c>
      <c r="B10083" t="s">
        <v>8607</v>
      </c>
      <c r="F10083" t="s">
        <v>26725</v>
      </c>
      <c r="G10083" t="s">
        <v>28142</v>
      </c>
    </row>
    <row r="10084" spans="1:7">
      <c r="A10084" t="s">
        <v>38234</v>
      </c>
      <c r="B10084" t="s">
        <v>8607</v>
      </c>
      <c r="G10084" t="s">
        <v>26217</v>
      </c>
    </row>
    <row r="10085" spans="1:7">
      <c r="A10085" t="s">
        <v>38235</v>
      </c>
      <c r="B10085" t="s">
        <v>8626</v>
      </c>
      <c r="F10085" t="s">
        <v>26173</v>
      </c>
      <c r="G10085" t="s">
        <v>38236</v>
      </c>
    </row>
    <row r="10086" spans="1:7">
      <c r="A10086" t="s">
        <v>38237</v>
      </c>
      <c r="B10086" t="s">
        <v>8607</v>
      </c>
      <c r="F10086" t="s">
        <v>38238</v>
      </c>
      <c r="G10086" t="s">
        <v>38239</v>
      </c>
    </row>
    <row r="10087" spans="1:7">
      <c r="A10087" t="s">
        <v>38240</v>
      </c>
      <c r="B10087" t="s">
        <v>8607</v>
      </c>
      <c r="F10087" t="s">
        <v>26251</v>
      </c>
      <c r="G10087" t="s">
        <v>26252</v>
      </c>
    </row>
    <row r="10088" spans="1:7">
      <c r="A10088" t="s">
        <v>38241</v>
      </c>
      <c r="B10088" t="s">
        <v>8607</v>
      </c>
      <c r="G10088" t="s">
        <v>35362</v>
      </c>
    </row>
    <row r="10089" spans="1:7">
      <c r="A10089" t="s">
        <v>38242</v>
      </c>
      <c r="B10089" t="s">
        <v>8607</v>
      </c>
      <c r="F10089" t="s">
        <v>8623</v>
      </c>
      <c r="G10089" t="s">
        <v>20857</v>
      </c>
    </row>
    <row r="10090" spans="1:7">
      <c r="A10090" t="s">
        <v>38243</v>
      </c>
      <c r="B10090" t="s">
        <v>8607</v>
      </c>
      <c r="C10090" t="s">
        <v>26665</v>
      </c>
      <c r="F10090" t="s">
        <v>26666</v>
      </c>
      <c r="G10090" t="s">
        <v>29634</v>
      </c>
    </row>
    <row r="10091" spans="1:7">
      <c r="A10091" t="s">
        <v>38244</v>
      </c>
      <c r="B10091" t="s">
        <v>8607</v>
      </c>
      <c r="F10091" t="s">
        <v>9018</v>
      </c>
      <c r="G10091" t="s">
        <v>36206</v>
      </c>
    </row>
    <row r="10092" spans="1:7">
      <c r="A10092" t="s">
        <v>38245</v>
      </c>
      <c r="B10092" t="s">
        <v>8607</v>
      </c>
      <c r="C10092" t="s">
        <v>26669</v>
      </c>
      <c r="F10092" t="s">
        <v>26670</v>
      </c>
      <c r="G10092" t="s">
        <v>36208</v>
      </c>
    </row>
    <row r="10093" spans="1:7">
      <c r="A10093" t="s">
        <v>38246</v>
      </c>
      <c r="B10093" t="s">
        <v>8607</v>
      </c>
      <c r="G10093" t="s">
        <v>27963</v>
      </c>
    </row>
    <row r="10094" spans="1:7">
      <c r="A10094" t="s">
        <v>38247</v>
      </c>
      <c r="B10094" t="s">
        <v>8607</v>
      </c>
      <c r="F10094" t="s">
        <v>17874</v>
      </c>
      <c r="G10094" t="s">
        <v>21631</v>
      </c>
    </row>
    <row r="10095" spans="1:7">
      <c r="A10095" t="s">
        <v>38248</v>
      </c>
      <c r="G10095" t="s">
        <v>25483</v>
      </c>
    </row>
    <row r="10096" spans="1:7">
      <c r="A10096" t="s">
        <v>38249</v>
      </c>
      <c r="B10096" t="s">
        <v>8607</v>
      </c>
      <c r="G10096" t="s">
        <v>32804</v>
      </c>
    </row>
    <row r="10097" spans="1:7">
      <c r="A10097" t="s">
        <v>38250</v>
      </c>
      <c r="B10097" t="s">
        <v>8607</v>
      </c>
      <c r="F10097" t="s">
        <v>26751</v>
      </c>
      <c r="G10097" t="s">
        <v>32307</v>
      </c>
    </row>
    <row r="10098" spans="1:7">
      <c r="A10098" t="s">
        <v>38251</v>
      </c>
      <c r="B10098" t="s">
        <v>8607</v>
      </c>
      <c r="F10098" t="s">
        <v>26754</v>
      </c>
      <c r="G10098" t="s">
        <v>29669</v>
      </c>
    </row>
    <row r="10099" spans="1:7">
      <c r="A10099" t="s">
        <v>38252</v>
      </c>
      <c r="B10099" t="s">
        <v>8607</v>
      </c>
      <c r="F10099" t="s">
        <v>27020</v>
      </c>
      <c r="G10099" t="s">
        <v>27021</v>
      </c>
    </row>
    <row r="10100" spans="1:7">
      <c r="A10100" t="s">
        <v>38253</v>
      </c>
      <c r="B10100" t="s">
        <v>8626</v>
      </c>
      <c r="F10100" t="s">
        <v>27835</v>
      </c>
      <c r="G10100" t="s">
        <v>38254</v>
      </c>
    </row>
    <row r="10101" spans="1:7">
      <c r="A10101" t="s">
        <v>38255</v>
      </c>
      <c r="B10101" t="s">
        <v>8607</v>
      </c>
      <c r="G10101" t="s">
        <v>33267</v>
      </c>
    </row>
    <row r="10102" spans="1:7">
      <c r="A10102" t="s">
        <v>38256</v>
      </c>
      <c r="B10102" t="s">
        <v>8607</v>
      </c>
      <c r="G10102" t="s">
        <v>38257</v>
      </c>
    </row>
    <row r="10103" spans="1:7">
      <c r="A10103" t="s">
        <v>38258</v>
      </c>
      <c r="B10103" t="s">
        <v>8607</v>
      </c>
      <c r="G10103" t="s">
        <v>38259</v>
      </c>
    </row>
    <row r="10104" spans="1:7">
      <c r="A10104" t="s">
        <v>38260</v>
      </c>
      <c r="B10104" t="s">
        <v>8626</v>
      </c>
      <c r="F10104" t="s">
        <v>29948</v>
      </c>
      <c r="G10104" t="s">
        <v>38261</v>
      </c>
    </row>
    <row r="10105" spans="1:7">
      <c r="A10105" t="s">
        <v>38262</v>
      </c>
      <c r="B10105" t="s">
        <v>8607</v>
      </c>
      <c r="G10105" t="s">
        <v>19604</v>
      </c>
    </row>
    <row r="10106" spans="1:7">
      <c r="A10106" t="s">
        <v>38263</v>
      </c>
      <c r="B10106" t="s">
        <v>8607</v>
      </c>
      <c r="F10106" t="s">
        <v>15309</v>
      </c>
      <c r="G10106" t="s">
        <v>38264</v>
      </c>
    </row>
    <row r="10107" spans="1:7">
      <c r="A10107" t="s">
        <v>38265</v>
      </c>
      <c r="B10107" t="s">
        <v>8607</v>
      </c>
      <c r="F10107" t="s">
        <v>27423</v>
      </c>
      <c r="G10107" t="s">
        <v>28134</v>
      </c>
    </row>
    <row r="10108" spans="1:7">
      <c r="A10108" t="s">
        <v>38266</v>
      </c>
      <c r="B10108" t="s">
        <v>8607</v>
      </c>
      <c r="F10108" t="s">
        <v>33076</v>
      </c>
      <c r="G10108" t="s">
        <v>38267</v>
      </c>
    </row>
    <row r="10109" spans="1:7">
      <c r="A10109" t="s">
        <v>38268</v>
      </c>
      <c r="B10109" t="s">
        <v>8607</v>
      </c>
      <c r="F10109" t="s">
        <v>26717</v>
      </c>
      <c r="G10109" t="s">
        <v>30163</v>
      </c>
    </row>
    <row r="10110" spans="1:7">
      <c r="A10110" t="s">
        <v>38269</v>
      </c>
      <c r="B10110" t="s">
        <v>8626</v>
      </c>
      <c r="G10110" t="s">
        <v>36441</v>
      </c>
    </row>
    <row r="10111" spans="1:7">
      <c r="A10111" t="s">
        <v>38270</v>
      </c>
      <c r="B10111" t="s">
        <v>8607</v>
      </c>
      <c r="G10111" t="s">
        <v>36437</v>
      </c>
    </row>
    <row r="10112" spans="1:7">
      <c r="A10112" t="s">
        <v>38271</v>
      </c>
      <c r="B10112" t="s">
        <v>8607</v>
      </c>
      <c r="F10112" t="s">
        <v>38272</v>
      </c>
      <c r="G10112" t="s">
        <v>38273</v>
      </c>
    </row>
    <row r="10113" spans="1:7">
      <c r="A10113" t="s">
        <v>38274</v>
      </c>
      <c r="B10113" t="s">
        <v>8607</v>
      </c>
      <c r="G10113" t="s">
        <v>26111</v>
      </c>
    </row>
    <row r="10114" spans="1:7">
      <c r="A10114" t="s">
        <v>38275</v>
      </c>
      <c r="B10114" t="s">
        <v>8607</v>
      </c>
      <c r="F10114" t="s">
        <v>26550</v>
      </c>
      <c r="G10114" t="s">
        <v>26551</v>
      </c>
    </row>
    <row r="10115" spans="1:7">
      <c r="A10115" t="s">
        <v>38276</v>
      </c>
      <c r="B10115" t="s">
        <v>8626</v>
      </c>
      <c r="G10115" t="s">
        <v>32189</v>
      </c>
    </row>
    <row r="10116" spans="1:7">
      <c r="A10116" t="s">
        <v>38277</v>
      </c>
      <c r="B10116" t="s">
        <v>8607</v>
      </c>
      <c r="F10116" t="s">
        <v>17741</v>
      </c>
      <c r="G10116" t="s">
        <v>34834</v>
      </c>
    </row>
    <row r="10117" spans="1:7">
      <c r="A10117" t="s">
        <v>38278</v>
      </c>
      <c r="B10117" t="s">
        <v>8607</v>
      </c>
      <c r="F10117" t="s">
        <v>26855</v>
      </c>
      <c r="G10117" t="s">
        <v>27575</v>
      </c>
    </row>
    <row r="10118" spans="1:7">
      <c r="A10118" t="s">
        <v>38279</v>
      </c>
      <c r="B10118" t="s">
        <v>8607</v>
      </c>
      <c r="F10118" t="s">
        <v>11725</v>
      </c>
      <c r="G10118" t="s">
        <v>38280</v>
      </c>
    </row>
    <row r="10119" spans="1:7">
      <c r="A10119" t="s">
        <v>38281</v>
      </c>
      <c r="B10119" t="s">
        <v>8607</v>
      </c>
      <c r="G10119" t="s">
        <v>26572</v>
      </c>
    </row>
    <row r="10120" spans="1:7">
      <c r="A10120" t="s">
        <v>38282</v>
      </c>
      <c r="B10120" t="s">
        <v>8607</v>
      </c>
      <c r="G10120" t="s">
        <v>27110</v>
      </c>
    </row>
    <row r="10121" spans="1:7">
      <c r="A10121" t="s">
        <v>38283</v>
      </c>
      <c r="B10121" t="s">
        <v>8607</v>
      </c>
      <c r="F10121" t="s">
        <v>26148</v>
      </c>
      <c r="G10121" t="s">
        <v>26409</v>
      </c>
    </row>
    <row r="10122" spans="1:7">
      <c r="A10122" t="s">
        <v>38284</v>
      </c>
      <c r="B10122" t="s">
        <v>8626</v>
      </c>
      <c r="F10122" t="s">
        <v>26710</v>
      </c>
      <c r="G10122" t="s">
        <v>26711</v>
      </c>
    </row>
    <row r="10123" spans="1:7">
      <c r="A10123" t="s">
        <v>38285</v>
      </c>
      <c r="B10123" t="s">
        <v>8607</v>
      </c>
      <c r="G10123" t="s">
        <v>22411</v>
      </c>
    </row>
    <row r="10124" spans="1:7">
      <c r="A10124" t="s">
        <v>38286</v>
      </c>
      <c r="B10124" t="s">
        <v>8607</v>
      </c>
      <c r="F10124" t="s">
        <v>17246</v>
      </c>
      <c r="G10124" t="s">
        <v>29382</v>
      </c>
    </row>
    <row r="10125" spans="1:7">
      <c r="A10125" t="s">
        <v>38287</v>
      </c>
      <c r="B10125" t="s">
        <v>8607</v>
      </c>
      <c r="G10125" t="s">
        <v>23965</v>
      </c>
    </row>
    <row r="10126" spans="1:7">
      <c r="A10126" t="s">
        <v>38288</v>
      </c>
      <c r="B10126" t="s">
        <v>8607</v>
      </c>
      <c r="F10126" t="s">
        <v>26191</v>
      </c>
      <c r="G10126" t="s">
        <v>26749</v>
      </c>
    </row>
    <row r="10127" spans="1:7">
      <c r="A10127" t="s">
        <v>38289</v>
      </c>
      <c r="B10127" t="s">
        <v>8626</v>
      </c>
      <c r="F10127" t="s">
        <v>32787</v>
      </c>
      <c r="G10127" t="s">
        <v>32788</v>
      </c>
    </row>
    <row r="10128" spans="1:7">
      <c r="A10128" t="s">
        <v>38290</v>
      </c>
      <c r="B10128" t="s">
        <v>8607</v>
      </c>
      <c r="F10128" t="s">
        <v>32791</v>
      </c>
      <c r="G10128" t="s">
        <v>32792</v>
      </c>
    </row>
    <row r="10129" spans="1:7">
      <c r="A10129" t="s">
        <v>38291</v>
      </c>
      <c r="B10129" t="s">
        <v>8607</v>
      </c>
      <c r="F10129" t="s">
        <v>26127</v>
      </c>
      <c r="G10129" t="s">
        <v>38292</v>
      </c>
    </row>
    <row r="10130" spans="1:7">
      <c r="A10130" t="s">
        <v>38293</v>
      </c>
      <c r="B10130" t="s">
        <v>8607</v>
      </c>
      <c r="F10130" t="s">
        <v>38294</v>
      </c>
      <c r="G10130" t="s">
        <v>38295</v>
      </c>
    </row>
    <row r="10131" spans="1:7">
      <c r="A10131" t="s">
        <v>38296</v>
      </c>
      <c r="B10131" t="s">
        <v>8607</v>
      </c>
      <c r="G10131" t="s">
        <v>26102</v>
      </c>
    </row>
    <row r="10132" spans="1:7">
      <c r="A10132" t="s">
        <v>38297</v>
      </c>
      <c r="B10132" t="s">
        <v>8607</v>
      </c>
      <c r="F10132" t="s">
        <v>26104</v>
      </c>
      <c r="G10132" t="s">
        <v>26105</v>
      </c>
    </row>
    <row r="10133" spans="1:7">
      <c r="A10133" t="s">
        <v>38298</v>
      </c>
      <c r="B10133" t="s">
        <v>8607</v>
      </c>
      <c r="C10133" t="s">
        <v>26107</v>
      </c>
      <c r="F10133" t="s">
        <v>26108</v>
      </c>
      <c r="G10133" t="s">
        <v>26109</v>
      </c>
    </row>
    <row r="10134" spans="1:7">
      <c r="A10134" t="s">
        <v>38299</v>
      </c>
      <c r="B10134" t="s">
        <v>8607</v>
      </c>
      <c r="G10134" t="s">
        <v>26111</v>
      </c>
    </row>
    <row r="10135" spans="1:7">
      <c r="A10135" t="s">
        <v>38300</v>
      </c>
      <c r="B10135" t="s">
        <v>8607</v>
      </c>
      <c r="F10135" t="s">
        <v>26465</v>
      </c>
      <c r="G10135" t="s">
        <v>26275</v>
      </c>
    </row>
    <row r="10136" spans="1:7">
      <c r="A10136" t="s">
        <v>38301</v>
      </c>
      <c r="B10136" t="s">
        <v>8607</v>
      </c>
      <c r="G10136" t="s">
        <v>27973</v>
      </c>
    </row>
    <row r="10137" spans="1:7">
      <c r="A10137" t="s">
        <v>38302</v>
      </c>
      <c r="B10137" t="s">
        <v>8607</v>
      </c>
      <c r="C10137" t="s">
        <v>38303</v>
      </c>
      <c r="F10137" t="s">
        <v>8851</v>
      </c>
      <c r="G10137" t="s">
        <v>31591</v>
      </c>
    </row>
    <row r="10138" spans="1:7">
      <c r="A10138" t="s">
        <v>38304</v>
      </c>
      <c r="B10138" t="s">
        <v>8626</v>
      </c>
      <c r="C10138" t="s">
        <v>35601</v>
      </c>
      <c r="F10138" t="s">
        <v>26207</v>
      </c>
      <c r="G10138" t="s">
        <v>38305</v>
      </c>
    </row>
    <row r="10139" spans="1:7">
      <c r="A10139" t="s">
        <v>38306</v>
      </c>
      <c r="B10139" t="s">
        <v>8607</v>
      </c>
      <c r="F10139" t="s">
        <v>36988</v>
      </c>
      <c r="G10139" t="s">
        <v>38307</v>
      </c>
    </row>
    <row r="10140" spans="1:7">
      <c r="A10140" t="s">
        <v>38308</v>
      </c>
      <c r="B10140" t="s">
        <v>8607</v>
      </c>
      <c r="F10140" t="s">
        <v>19172</v>
      </c>
      <c r="G10140" t="s">
        <v>38114</v>
      </c>
    </row>
    <row r="10141" spans="1:7">
      <c r="A10141" t="s">
        <v>38309</v>
      </c>
      <c r="G10141" t="s">
        <v>38310</v>
      </c>
    </row>
    <row r="10142" spans="1:7">
      <c r="A10142" t="s">
        <v>38311</v>
      </c>
      <c r="B10142" t="s">
        <v>8607</v>
      </c>
      <c r="C10142" t="s">
        <v>38312</v>
      </c>
      <c r="F10142" t="s">
        <v>9018</v>
      </c>
      <c r="G10142" t="s">
        <v>38313</v>
      </c>
    </row>
    <row r="10143" spans="1:7">
      <c r="A10143" t="s">
        <v>38314</v>
      </c>
      <c r="B10143" t="s">
        <v>8607</v>
      </c>
      <c r="F10143" t="s">
        <v>20051</v>
      </c>
      <c r="G10143" t="s">
        <v>38315</v>
      </c>
    </row>
    <row r="10144" spans="1:7">
      <c r="A10144" t="s">
        <v>38316</v>
      </c>
      <c r="B10144" t="s">
        <v>8626</v>
      </c>
      <c r="F10144" t="s">
        <v>37995</v>
      </c>
      <c r="G10144" t="s">
        <v>38317</v>
      </c>
    </row>
    <row r="10145" spans="1:7">
      <c r="A10145" t="s">
        <v>38318</v>
      </c>
      <c r="B10145" t="s">
        <v>8607</v>
      </c>
      <c r="F10145" t="s">
        <v>26625</v>
      </c>
      <c r="G10145" t="s">
        <v>26570</v>
      </c>
    </row>
    <row r="10146" spans="1:7">
      <c r="A10146" t="s">
        <v>38319</v>
      </c>
      <c r="B10146" t="s">
        <v>8607</v>
      </c>
      <c r="G10146" t="s">
        <v>26572</v>
      </c>
    </row>
    <row r="10147" spans="1:7">
      <c r="A10147" t="s">
        <v>38320</v>
      </c>
      <c r="B10147" t="s">
        <v>8626</v>
      </c>
      <c r="G10147" t="s">
        <v>26574</v>
      </c>
    </row>
    <row r="10148" spans="1:7">
      <c r="A10148" t="s">
        <v>38321</v>
      </c>
      <c r="G10148" t="s">
        <v>38322</v>
      </c>
    </row>
    <row r="10149" spans="1:7">
      <c r="A10149" t="s">
        <v>38323</v>
      </c>
      <c r="B10149" t="s">
        <v>8607</v>
      </c>
      <c r="F10149" t="s">
        <v>26717</v>
      </c>
      <c r="G10149" t="s">
        <v>26718</v>
      </c>
    </row>
    <row r="10150" spans="1:7">
      <c r="A10150" t="s">
        <v>38324</v>
      </c>
      <c r="B10150" t="s">
        <v>8607</v>
      </c>
      <c r="G10150" t="s">
        <v>26572</v>
      </c>
    </row>
    <row r="10151" spans="1:7">
      <c r="A10151" t="s">
        <v>38325</v>
      </c>
      <c r="B10151" t="s">
        <v>8607</v>
      </c>
      <c r="G10151" t="s">
        <v>38326</v>
      </c>
    </row>
    <row r="10152" spans="1:7">
      <c r="A10152" t="s">
        <v>38327</v>
      </c>
      <c r="B10152" t="s">
        <v>8626</v>
      </c>
      <c r="G10152" t="s">
        <v>38328</v>
      </c>
    </row>
    <row r="10153" spans="1:7">
      <c r="A10153" t="s">
        <v>38329</v>
      </c>
      <c r="B10153" t="s">
        <v>8626</v>
      </c>
      <c r="F10153" t="s">
        <v>17928</v>
      </c>
      <c r="G10153" t="s">
        <v>38330</v>
      </c>
    </row>
    <row r="10154" spans="1:7">
      <c r="A10154" t="s">
        <v>38331</v>
      </c>
      <c r="B10154" t="s">
        <v>8607</v>
      </c>
      <c r="G10154" t="s">
        <v>26628</v>
      </c>
    </row>
    <row r="10155" spans="1:7">
      <c r="A10155" t="s">
        <v>38332</v>
      </c>
      <c r="B10155" t="s">
        <v>8626</v>
      </c>
      <c r="G10155" t="s">
        <v>28835</v>
      </c>
    </row>
    <row r="10156" spans="1:7">
      <c r="A10156" t="s">
        <v>38333</v>
      </c>
      <c r="B10156" t="s">
        <v>8607</v>
      </c>
      <c r="F10156" t="s">
        <v>38095</v>
      </c>
      <c r="G10156" t="s">
        <v>38096</v>
      </c>
    </row>
    <row r="10157" spans="1:7">
      <c r="A10157" t="s">
        <v>38334</v>
      </c>
      <c r="B10157" t="s">
        <v>8626</v>
      </c>
      <c r="F10157" t="s">
        <v>8623</v>
      </c>
      <c r="G10157" t="s">
        <v>38335</v>
      </c>
    </row>
    <row r="10158" spans="1:7">
      <c r="A10158" t="s">
        <v>38336</v>
      </c>
      <c r="B10158" t="s">
        <v>8607</v>
      </c>
      <c r="F10158" t="s">
        <v>17928</v>
      </c>
      <c r="G10158" t="s">
        <v>26640</v>
      </c>
    </row>
    <row r="10159" spans="1:7">
      <c r="A10159" t="s">
        <v>38337</v>
      </c>
      <c r="B10159" t="s">
        <v>8626</v>
      </c>
      <c r="G10159" t="s">
        <v>18595</v>
      </c>
    </row>
    <row r="10160" spans="1:7">
      <c r="A10160" t="s">
        <v>38338</v>
      </c>
      <c r="B10160" t="s">
        <v>8607</v>
      </c>
      <c r="F10160" t="s">
        <v>17313</v>
      </c>
      <c r="G10160" t="s">
        <v>35992</v>
      </c>
    </row>
    <row r="10161" spans="1:7">
      <c r="A10161" t="s">
        <v>38339</v>
      </c>
      <c r="B10161" t="s">
        <v>8607</v>
      </c>
      <c r="F10161" t="s">
        <v>29864</v>
      </c>
      <c r="G10161" t="s">
        <v>31269</v>
      </c>
    </row>
    <row r="10162" spans="1:7">
      <c r="A10162" t="s">
        <v>38340</v>
      </c>
      <c r="B10162" t="s">
        <v>8607</v>
      </c>
      <c r="C10162" t="s">
        <v>30459</v>
      </c>
      <c r="F10162" t="s">
        <v>21225</v>
      </c>
      <c r="G10162" t="s">
        <v>30296</v>
      </c>
    </row>
    <row r="10163" spans="1:7">
      <c r="A10163" t="s">
        <v>38341</v>
      </c>
      <c r="B10163" t="s">
        <v>8626</v>
      </c>
      <c r="G10163" t="s">
        <v>38342</v>
      </c>
    </row>
    <row r="10164" spans="1:7">
      <c r="A10164" t="s">
        <v>38343</v>
      </c>
      <c r="B10164" t="s">
        <v>8607</v>
      </c>
      <c r="F10164" t="s">
        <v>30476</v>
      </c>
      <c r="G10164" t="s">
        <v>37408</v>
      </c>
    </row>
    <row r="10165" spans="1:7">
      <c r="A10165" t="s">
        <v>38344</v>
      </c>
      <c r="B10165" t="s">
        <v>8607</v>
      </c>
      <c r="F10165" t="s">
        <v>38345</v>
      </c>
      <c r="G10165" t="s">
        <v>38346</v>
      </c>
    </row>
    <row r="10166" spans="1:7">
      <c r="A10166" t="s">
        <v>38347</v>
      </c>
      <c r="B10166" t="s">
        <v>8607</v>
      </c>
      <c r="C10166" t="s">
        <v>26083</v>
      </c>
      <c r="F10166" t="s">
        <v>26084</v>
      </c>
      <c r="G10166" t="s">
        <v>31249</v>
      </c>
    </row>
    <row r="10167" spans="1:7">
      <c r="A10167" t="s">
        <v>38348</v>
      </c>
      <c r="B10167" t="s">
        <v>8607</v>
      </c>
      <c r="F10167" t="s">
        <v>26207</v>
      </c>
      <c r="G10167" t="s">
        <v>32841</v>
      </c>
    </row>
    <row r="10168" spans="1:7">
      <c r="A10168" t="s">
        <v>38349</v>
      </c>
      <c r="B10168" t="s">
        <v>8607</v>
      </c>
      <c r="G10168" t="s">
        <v>32843</v>
      </c>
    </row>
    <row r="10169" spans="1:7">
      <c r="A10169" t="s">
        <v>38350</v>
      </c>
      <c r="B10169" t="s">
        <v>8607</v>
      </c>
      <c r="G10169" t="s">
        <v>38351</v>
      </c>
    </row>
    <row r="10170" spans="1:7">
      <c r="A10170" t="s">
        <v>38352</v>
      </c>
      <c r="B10170" t="s">
        <v>8607</v>
      </c>
      <c r="G10170" t="s">
        <v>32847</v>
      </c>
    </row>
    <row r="10171" spans="1:7">
      <c r="A10171" t="s">
        <v>38353</v>
      </c>
      <c r="B10171" t="s">
        <v>8607</v>
      </c>
      <c r="G10171" t="s">
        <v>38354</v>
      </c>
    </row>
    <row r="10172" spans="1:7">
      <c r="A10172" t="s">
        <v>38355</v>
      </c>
      <c r="B10172" t="s">
        <v>8607</v>
      </c>
      <c r="G10172" t="s">
        <v>38356</v>
      </c>
    </row>
    <row r="10173" spans="1:7">
      <c r="A10173" t="s">
        <v>38357</v>
      </c>
      <c r="B10173" t="s">
        <v>8607</v>
      </c>
      <c r="F10173" t="s">
        <v>27947</v>
      </c>
      <c r="G10173" t="s">
        <v>30869</v>
      </c>
    </row>
    <row r="10174" spans="1:7">
      <c r="A10174" t="s">
        <v>38358</v>
      </c>
      <c r="B10174" t="s">
        <v>8607</v>
      </c>
      <c r="F10174" t="s">
        <v>29135</v>
      </c>
      <c r="G10174" t="s">
        <v>32116</v>
      </c>
    </row>
    <row r="10175" spans="1:7">
      <c r="A10175" t="s">
        <v>38359</v>
      </c>
      <c r="B10175" t="s">
        <v>8607</v>
      </c>
      <c r="F10175" t="s">
        <v>26425</v>
      </c>
      <c r="G10175" t="s">
        <v>26426</v>
      </c>
    </row>
    <row r="10176" spans="1:7">
      <c r="A10176" t="s">
        <v>38360</v>
      </c>
      <c r="B10176" t="s">
        <v>8607</v>
      </c>
      <c r="C10176" t="s">
        <v>23291</v>
      </c>
      <c r="F10176" t="s">
        <v>8623</v>
      </c>
      <c r="G10176" t="s">
        <v>30306</v>
      </c>
    </row>
    <row r="10177" spans="1:7">
      <c r="A10177" t="s">
        <v>38361</v>
      </c>
      <c r="B10177" t="s">
        <v>8607</v>
      </c>
      <c r="F10177" t="s">
        <v>26855</v>
      </c>
      <c r="G10177" t="s">
        <v>33762</v>
      </c>
    </row>
    <row r="10178" spans="1:7">
      <c r="A10178" t="s">
        <v>38362</v>
      </c>
      <c r="B10178" t="s">
        <v>8607</v>
      </c>
      <c r="F10178" t="s">
        <v>26304</v>
      </c>
      <c r="G10178" t="s">
        <v>38363</v>
      </c>
    </row>
    <row r="10179" spans="1:7">
      <c r="A10179" t="s">
        <v>38364</v>
      </c>
      <c r="B10179" t="s">
        <v>8607</v>
      </c>
      <c r="G10179" t="s">
        <v>38365</v>
      </c>
    </row>
    <row r="10180" spans="1:7">
      <c r="A10180" t="s">
        <v>38366</v>
      </c>
      <c r="G10180" t="s">
        <v>38367</v>
      </c>
    </row>
    <row r="10181" spans="1:7">
      <c r="A10181" t="s">
        <v>38368</v>
      </c>
      <c r="B10181" t="s">
        <v>8607</v>
      </c>
      <c r="F10181" t="s">
        <v>18286</v>
      </c>
      <c r="G10181" t="s">
        <v>25163</v>
      </c>
    </row>
    <row r="10182" spans="1:7">
      <c r="A10182" t="s">
        <v>38369</v>
      </c>
      <c r="B10182" t="s">
        <v>8626</v>
      </c>
      <c r="F10182" t="s">
        <v>36505</v>
      </c>
      <c r="G10182" t="s">
        <v>30308</v>
      </c>
    </row>
    <row r="10183" spans="1:7">
      <c r="A10183" t="s">
        <v>38370</v>
      </c>
      <c r="B10183" t="s">
        <v>8607</v>
      </c>
      <c r="C10183" t="s">
        <v>38371</v>
      </c>
      <c r="F10183" t="s">
        <v>26120</v>
      </c>
      <c r="G10183" t="s">
        <v>38372</v>
      </c>
    </row>
    <row r="10184" spans="1:7">
      <c r="A10184" t="s">
        <v>38373</v>
      </c>
      <c r="B10184" t="s">
        <v>8607</v>
      </c>
      <c r="F10184" t="s">
        <v>23958</v>
      </c>
      <c r="G10184" t="s">
        <v>23965</v>
      </c>
    </row>
    <row r="10185" spans="1:7">
      <c r="A10185" t="s">
        <v>38374</v>
      </c>
      <c r="B10185" t="s">
        <v>8607</v>
      </c>
      <c r="F10185" t="s">
        <v>9018</v>
      </c>
      <c r="G10185" t="s">
        <v>18567</v>
      </c>
    </row>
    <row r="10186" spans="1:7">
      <c r="A10186" t="s">
        <v>38375</v>
      </c>
      <c r="B10186" t="s">
        <v>8607</v>
      </c>
      <c r="G10186" t="s">
        <v>27183</v>
      </c>
    </row>
    <row r="10187" spans="1:7">
      <c r="A10187" t="s">
        <v>38376</v>
      </c>
      <c r="B10187" t="s">
        <v>8607</v>
      </c>
      <c r="F10187" t="s">
        <v>27185</v>
      </c>
      <c r="G10187" t="s">
        <v>27186</v>
      </c>
    </row>
    <row r="10188" spans="1:7">
      <c r="A10188" t="s">
        <v>38377</v>
      </c>
      <c r="B10188" t="s">
        <v>8607</v>
      </c>
      <c r="C10188" t="s">
        <v>28071</v>
      </c>
      <c r="F10188" t="s">
        <v>17327</v>
      </c>
      <c r="G10188" t="s">
        <v>28072</v>
      </c>
    </row>
    <row r="10189" spans="1:7">
      <c r="A10189" t="s">
        <v>38378</v>
      </c>
      <c r="B10189" t="s">
        <v>8607</v>
      </c>
      <c r="G10189" t="s">
        <v>38379</v>
      </c>
    </row>
    <row r="10190" spans="1:7">
      <c r="A10190" t="s">
        <v>38380</v>
      </c>
      <c r="B10190" t="s">
        <v>8607</v>
      </c>
      <c r="C10190" t="s">
        <v>29179</v>
      </c>
      <c r="F10190" t="s">
        <v>17320</v>
      </c>
      <c r="G10190" t="s">
        <v>29594</v>
      </c>
    </row>
    <row r="10191" spans="1:7">
      <c r="A10191" t="s">
        <v>38381</v>
      </c>
      <c r="B10191" t="s">
        <v>8626</v>
      </c>
      <c r="C10191" t="s">
        <v>26315</v>
      </c>
      <c r="F10191" t="s">
        <v>17320</v>
      </c>
      <c r="G10191" t="s">
        <v>33679</v>
      </c>
    </row>
    <row r="10192" spans="1:7">
      <c r="A10192" t="s">
        <v>38382</v>
      </c>
      <c r="B10192" t="s">
        <v>8626</v>
      </c>
      <c r="F10192" t="s">
        <v>17327</v>
      </c>
      <c r="G10192" t="s">
        <v>38383</v>
      </c>
    </row>
    <row r="10193" spans="1:7">
      <c r="A10193" t="s">
        <v>38384</v>
      </c>
      <c r="B10193" t="s">
        <v>8607</v>
      </c>
      <c r="F10193" t="s">
        <v>9018</v>
      </c>
      <c r="G10193" t="s">
        <v>29978</v>
      </c>
    </row>
    <row r="10194" spans="1:7">
      <c r="A10194" t="s">
        <v>38385</v>
      </c>
      <c r="G10194" t="s">
        <v>31427</v>
      </c>
    </row>
    <row r="10195" spans="1:7">
      <c r="A10195" t="s">
        <v>38386</v>
      </c>
      <c r="B10195" t="s">
        <v>8607</v>
      </c>
      <c r="F10195" t="s">
        <v>26299</v>
      </c>
      <c r="G10195" t="s">
        <v>26438</v>
      </c>
    </row>
    <row r="10196" spans="1:7">
      <c r="A10196" t="s">
        <v>38387</v>
      </c>
      <c r="B10196" t="s">
        <v>8607</v>
      </c>
      <c r="F10196" t="s">
        <v>8623</v>
      </c>
      <c r="G10196" t="s">
        <v>35365</v>
      </c>
    </row>
    <row r="10197" spans="1:7">
      <c r="A10197" t="s">
        <v>38388</v>
      </c>
      <c r="B10197" t="s">
        <v>8607</v>
      </c>
      <c r="G10197" t="s">
        <v>30425</v>
      </c>
    </row>
    <row r="10198" spans="1:7">
      <c r="A10198" t="s">
        <v>38389</v>
      </c>
      <c r="B10198" t="s">
        <v>8626</v>
      </c>
      <c r="F10198" t="s">
        <v>29400</v>
      </c>
      <c r="G10198" t="s">
        <v>36814</v>
      </c>
    </row>
    <row r="10199" spans="1:7">
      <c r="A10199" t="s">
        <v>38390</v>
      </c>
      <c r="B10199" t="s">
        <v>8607</v>
      </c>
      <c r="C10199" t="s">
        <v>29403</v>
      </c>
      <c r="F10199" t="s">
        <v>27000</v>
      </c>
      <c r="G10199" t="s">
        <v>36816</v>
      </c>
    </row>
    <row r="10200" spans="1:7">
      <c r="A10200" t="s">
        <v>38391</v>
      </c>
      <c r="G10200" t="s">
        <v>38392</v>
      </c>
    </row>
    <row r="10201" spans="1:7">
      <c r="A10201" t="s">
        <v>38393</v>
      </c>
      <c r="B10201" t="s">
        <v>8626</v>
      </c>
      <c r="G10201" t="s">
        <v>31020</v>
      </c>
    </row>
    <row r="10202" spans="1:7">
      <c r="A10202" t="s">
        <v>38394</v>
      </c>
      <c r="B10202" t="s">
        <v>8626</v>
      </c>
      <c r="C10202" t="s">
        <v>23439</v>
      </c>
      <c r="F10202" t="s">
        <v>23465</v>
      </c>
      <c r="G10202" t="s">
        <v>38395</v>
      </c>
    </row>
    <row r="10203" spans="1:7">
      <c r="A10203" t="s">
        <v>38396</v>
      </c>
      <c r="B10203" t="s">
        <v>8626</v>
      </c>
      <c r="F10203" t="s">
        <v>21573</v>
      </c>
      <c r="G10203" t="s">
        <v>38397</v>
      </c>
    </row>
    <row r="10204" spans="1:7">
      <c r="A10204" t="s">
        <v>38398</v>
      </c>
      <c r="B10204" t="s">
        <v>8607</v>
      </c>
      <c r="G10204" t="s">
        <v>38399</v>
      </c>
    </row>
    <row r="10205" spans="1:7">
      <c r="A10205" t="s">
        <v>38400</v>
      </c>
      <c r="B10205" t="s">
        <v>8607</v>
      </c>
      <c r="G10205" t="s">
        <v>26326</v>
      </c>
    </row>
    <row r="10206" spans="1:7">
      <c r="A10206" t="s">
        <v>38401</v>
      </c>
      <c r="B10206" t="s">
        <v>8607</v>
      </c>
      <c r="G10206" t="s">
        <v>38402</v>
      </c>
    </row>
    <row r="10207" spans="1:7">
      <c r="A10207" t="s">
        <v>38403</v>
      </c>
      <c r="B10207" t="s">
        <v>8626</v>
      </c>
      <c r="G10207" t="s">
        <v>38404</v>
      </c>
    </row>
    <row r="10208" spans="1:7">
      <c r="A10208" t="s">
        <v>38405</v>
      </c>
      <c r="B10208" t="s">
        <v>8607</v>
      </c>
      <c r="F10208" t="s">
        <v>30195</v>
      </c>
      <c r="G10208" t="s">
        <v>30196</v>
      </c>
    </row>
    <row r="10209" spans="1:7">
      <c r="A10209" t="s">
        <v>38406</v>
      </c>
      <c r="B10209" t="s">
        <v>8607</v>
      </c>
      <c r="F10209" t="s">
        <v>38407</v>
      </c>
      <c r="G10209" t="s">
        <v>38408</v>
      </c>
    </row>
    <row r="10210" spans="1:7">
      <c r="A10210" t="s">
        <v>38409</v>
      </c>
      <c r="B10210" t="s">
        <v>8626</v>
      </c>
      <c r="G10210" t="s">
        <v>38410</v>
      </c>
    </row>
    <row r="10211" spans="1:7">
      <c r="A10211" t="s">
        <v>38411</v>
      </c>
      <c r="B10211" t="s">
        <v>8607</v>
      </c>
      <c r="G10211" t="s">
        <v>38412</v>
      </c>
    </row>
    <row r="10212" spans="1:7">
      <c r="A10212" t="s">
        <v>38413</v>
      </c>
      <c r="B10212" t="s">
        <v>8607</v>
      </c>
      <c r="G10212" t="s">
        <v>38414</v>
      </c>
    </row>
    <row r="10213" spans="1:7">
      <c r="A10213" t="s">
        <v>38415</v>
      </c>
      <c r="B10213" t="s">
        <v>8607</v>
      </c>
      <c r="G10213" t="s">
        <v>38416</v>
      </c>
    </row>
    <row r="10214" spans="1:7">
      <c r="A10214" t="s">
        <v>38417</v>
      </c>
      <c r="B10214" t="s">
        <v>8607</v>
      </c>
      <c r="G10214" t="s">
        <v>26482</v>
      </c>
    </row>
    <row r="10215" spans="1:7">
      <c r="A10215" t="s">
        <v>38418</v>
      </c>
      <c r="B10215" t="s">
        <v>8607</v>
      </c>
      <c r="C10215" t="s">
        <v>27092</v>
      </c>
      <c r="F10215" t="s">
        <v>9018</v>
      </c>
      <c r="G10215" t="s">
        <v>27093</v>
      </c>
    </row>
    <row r="10216" spans="1:7">
      <c r="A10216" t="s">
        <v>38419</v>
      </c>
      <c r="B10216" t="s">
        <v>8607</v>
      </c>
      <c r="F10216" t="s">
        <v>26358</v>
      </c>
      <c r="G10216" t="s">
        <v>31847</v>
      </c>
    </row>
    <row r="10217" spans="1:7">
      <c r="A10217" t="s">
        <v>38420</v>
      </c>
      <c r="B10217" t="s">
        <v>8607</v>
      </c>
      <c r="G10217" t="s">
        <v>31849</v>
      </c>
    </row>
    <row r="10218" spans="1:7">
      <c r="A10218" t="s">
        <v>38421</v>
      </c>
      <c r="B10218" t="s">
        <v>8607</v>
      </c>
      <c r="F10218" t="s">
        <v>26207</v>
      </c>
      <c r="G10218" t="s">
        <v>31290</v>
      </c>
    </row>
    <row r="10219" spans="1:7">
      <c r="A10219" t="s">
        <v>38422</v>
      </c>
      <c r="B10219" t="s">
        <v>8607</v>
      </c>
      <c r="G10219" t="s">
        <v>30690</v>
      </c>
    </row>
    <row r="10220" spans="1:7">
      <c r="A10220" t="s">
        <v>38423</v>
      </c>
      <c r="B10220" t="s">
        <v>8607</v>
      </c>
      <c r="F10220" t="s">
        <v>26212</v>
      </c>
      <c r="G10220" t="s">
        <v>26431</v>
      </c>
    </row>
    <row r="10221" spans="1:7">
      <c r="A10221" t="s">
        <v>38424</v>
      </c>
      <c r="B10221" t="s">
        <v>8607</v>
      </c>
      <c r="F10221" t="s">
        <v>17349</v>
      </c>
      <c r="G10221" t="s">
        <v>26433</v>
      </c>
    </row>
    <row r="10222" spans="1:7">
      <c r="A10222" t="s">
        <v>38425</v>
      </c>
      <c r="B10222" t="s">
        <v>8607</v>
      </c>
      <c r="F10222" t="s">
        <v>9018</v>
      </c>
      <c r="G10222" t="s">
        <v>18567</v>
      </c>
    </row>
    <row r="10223" spans="1:7">
      <c r="A10223" t="s">
        <v>38426</v>
      </c>
      <c r="B10223" t="s">
        <v>8607</v>
      </c>
      <c r="G10223" t="s">
        <v>30740</v>
      </c>
    </row>
    <row r="10224" spans="1:7">
      <c r="A10224" t="s">
        <v>38427</v>
      </c>
      <c r="B10224" t="s">
        <v>8626</v>
      </c>
      <c r="F10224" t="s">
        <v>33181</v>
      </c>
      <c r="G10224" t="s">
        <v>37970</v>
      </c>
    </row>
    <row r="10225" spans="1:7">
      <c r="A10225" t="s">
        <v>38428</v>
      </c>
      <c r="B10225" t="s">
        <v>8607</v>
      </c>
      <c r="G10225" t="s">
        <v>37065</v>
      </c>
    </row>
    <row r="10226" spans="1:7">
      <c r="A10226" t="s">
        <v>38429</v>
      </c>
      <c r="B10226" t="s">
        <v>8626</v>
      </c>
      <c r="F10226" t="s">
        <v>9018</v>
      </c>
      <c r="G10226" t="s">
        <v>38430</v>
      </c>
    </row>
    <row r="10227" spans="1:7">
      <c r="A10227" t="s">
        <v>38431</v>
      </c>
      <c r="B10227" t="s">
        <v>8607</v>
      </c>
      <c r="G10227" t="s">
        <v>10812</v>
      </c>
    </row>
    <row r="10228" spans="1:7">
      <c r="A10228" t="s">
        <v>38432</v>
      </c>
      <c r="B10228" t="s">
        <v>8626</v>
      </c>
      <c r="C10228" t="s">
        <v>29140</v>
      </c>
      <c r="F10228" t="s">
        <v>21225</v>
      </c>
      <c r="G10228" t="s">
        <v>29141</v>
      </c>
    </row>
    <row r="10229" spans="1:7">
      <c r="A10229" t="s">
        <v>38433</v>
      </c>
      <c r="B10229" t="s">
        <v>8607</v>
      </c>
      <c r="G10229" t="s">
        <v>10808</v>
      </c>
    </row>
    <row r="10230" spans="1:7">
      <c r="A10230" t="s">
        <v>38434</v>
      </c>
      <c r="B10230" t="s">
        <v>8626</v>
      </c>
      <c r="G10230" t="s">
        <v>10810</v>
      </c>
    </row>
    <row r="10231" spans="1:7">
      <c r="A10231" t="s">
        <v>38435</v>
      </c>
      <c r="B10231" t="s">
        <v>8626</v>
      </c>
      <c r="C10231" t="s">
        <v>27957</v>
      </c>
      <c r="F10231" t="s">
        <v>27958</v>
      </c>
      <c r="G10231" t="s">
        <v>31947</v>
      </c>
    </row>
    <row r="10232" spans="1:7">
      <c r="A10232" t="s">
        <v>38436</v>
      </c>
      <c r="B10232" t="s">
        <v>8607</v>
      </c>
      <c r="G10232" t="s">
        <v>10812</v>
      </c>
    </row>
    <row r="10233" spans="1:7">
      <c r="A10233" t="s">
        <v>38437</v>
      </c>
      <c r="B10233" t="s">
        <v>8607</v>
      </c>
      <c r="F10233" t="s">
        <v>17643</v>
      </c>
      <c r="G10233" t="s">
        <v>26701</v>
      </c>
    </row>
    <row r="10234" spans="1:7">
      <c r="A10234" t="s">
        <v>38438</v>
      </c>
      <c r="B10234" t="s">
        <v>8607</v>
      </c>
      <c r="G10234" t="s">
        <v>17899</v>
      </c>
    </row>
    <row r="10235" spans="1:7">
      <c r="A10235" t="s">
        <v>38439</v>
      </c>
      <c r="B10235" t="s">
        <v>8607</v>
      </c>
      <c r="F10235" t="s">
        <v>8623</v>
      </c>
      <c r="G10235" t="s">
        <v>27120</v>
      </c>
    </row>
    <row r="10236" spans="1:7">
      <c r="A10236" t="s">
        <v>38440</v>
      </c>
      <c r="B10236" t="s">
        <v>8607</v>
      </c>
      <c r="F10236" t="s">
        <v>17767</v>
      </c>
      <c r="G10236" t="s">
        <v>30274</v>
      </c>
    </row>
    <row r="10237" spans="1:7">
      <c r="A10237" t="s">
        <v>38441</v>
      </c>
      <c r="B10237" t="s">
        <v>8626</v>
      </c>
      <c r="F10237" t="s">
        <v>33181</v>
      </c>
      <c r="G10237" t="s">
        <v>37970</v>
      </c>
    </row>
    <row r="10238" spans="1:7">
      <c r="A10238" t="s">
        <v>38442</v>
      </c>
      <c r="B10238" t="s">
        <v>8607</v>
      </c>
      <c r="F10238" t="s">
        <v>26725</v>
      </c>
      <c r="G10238" t="s">
        <v>26726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B4B31-84E2-C247-B4F6-59DF964566FD}">
  <dimension ref="A1:P47"/>
  <sheetViews>
    <sheetView workbookViewId="0">
      <selection sqref="A1:XFD1048576"/>
    </sheetView>
  </sheetViews>
  <sheetFormatPr baseColWidth="10" defaultRowHeight="16"/>
  <cols>
    <col min="1" max="1" width="13.33203125" customWidth="1"/>
    <col min="2" max="2" width="21.1640625" customWidth="1"/>
    <col min="3" max="3" width="64.6640625" customWidth="1"/>
    <col min="4" max="4" width="52.1640625" customWidth="1"/>
    <col min="5" max="6" width="14.1640625" customWidth="1"/>
    <col min="7" max="7" width="6.83203125" customWidth="1"/>
    <col min="8" max="8" width="21.1640625" customWidth="1"/>
    <col min="9" max="9" width="64.6640625" customWidth="1"/>
    <col min="10" max="10" width="52.1640625" customWidth="1"/>
    <col min="11" max="13" width="14.1640625" customWidth="1"/>
    <col min="14" max="14" width="40.33203125" customWidth="1"/>
    <col min="15" max="16" width="14.1640625" customWidth="1"/>
  </cols>
  <sheetData>
    <row r="1" spans="1:16">
      <c r="A1" t="s">
        <v>38443</v>
      </c>
      <c r="H1" t="s">
        <v>38444</v>
      </c>
    </row>
    <row r="3" spans="1:16">
      <c r="A3" t="s">
        <v>8607</v>
      </c>
      <c r="B3">
        <v>2942</v>
      </c>
      <c r="C3" s="21">
        <f>B3/B$6</f>
        <v>0.67322654462242559</v>
      </c>
      <c r="G3" t="s">
        <v>8607</v>
      </c>
      <c r="H3">
        <v>7037</v>
      </c>
      <c r="I3" s="21">
        <f>H3/H$6</f>
        <v>0.68740842043567452</v>
      </c>
    </row>
    <row r="4" spans="1:16">
      <c r="A4" t="s">
        <v>8626</v>
      </c>
      <c r="B4">
        <v>1168</v>
      </c>
      <c r="C4" s="21">
        <f>B4/B$6</f>
        <v>0.26727688787185355</v>
      </c>
      <c r="G4" t="s">
        <v>8626</v>
      </c>
      <c r="H4">
        <v>2840</v>
      </c>
      <c r="I4" s="21">
        <f>H4/H$6</f>
        <v>0.27742502686333886</v>
      </c>
    </row>
    <row r="5" spans="1:16">
      <c r="A5" t="s">
        <v>38445</v>
      </c>
      <c r="B5">
        <v>260</v>
      </c>
      <c r="C5" s="21">
        <f>B5/B$6</f>
        <v>5.9496567505720827E-2</v>
      </c>
      <c r="G5" t="s">
        <v>38445</v>
      </c>
      <c r="H5">
        <v>360</v>
      </c>
      <c r="I5" s="21">
        <f>H5/H$6</f>
        <v>3.516655270098662E-2</v>
      </c>
    </row>
    <row r="6" spans="1:16">
      <c r="A6" t="s">
        <v>38446</v>
      </c>
      <c r="B6">
        <f>SUM(B3:B5)</f>
        <v>4370</v>
      </c>
      <c r="G6" t="s">
        <v>38446</v>
      </c>
      <c r="H6">
        <f>SUM(H3:H5)</f>
        <v>10237</v>
      </c>
    </row>
    <row r="8" spans="1:16">
      <c r="O8" t="s">
        <v>38443</v>
      </c>
      <c r="P8" t="s">
        <v>38444</v>
      </c>
    </row>
    <row r="9" spans="1:16">
      <c r="A9" t="s">
        <v>38447</v>
      </c>
      <c r="B9" s="36">
        <v>41</v>
      </c>
      <c r="C9" t="s">
        <v>38448</v>
      </c>
      <c r="D9" s="37" t="s">
        <v>8618</v>
      </c>
      <c r="E9" s="38">
        <f t="shared" ref="E9:E17" si="0">B9/$D$39</f>
        <v>7.441016333938294E-2</v>
      </c>
      <c r="F9" s="21">
        <f t="shared" ref="F9:F30" si="1">B9/$D$45</f>
        <v>2.0362552768810528E-2</v>
      </c>
      <c r="G9" t="s">
        <v>38447</v>
      </c>
      <c r="H9" s="39">
        <v>70.6666666666667</v>
      </c>
      <c r="I9" t="s">
        <v>38448</v>
      </c>
      <c r="J9" s="40" t="s">
        <v>8618</v>
      </c>
      <c r="K9" s="41">
        <f t="shared" ref="K9:K17" si="2">H9/$J$39</f>
        <v>0.12871888281724353</v>
      </c>
      <c r="L9" s="21">
        <f t="shared" ref="L9:L30" si="3">H9/$J$45</f>
        <v>2.128407208473471E-2</v>
      </c>
      <c r="N9" t="s">
        <v>38449</v>
      </c>
      <c r="O9" s="21">
        <v>2.03625527688105E-2</v>
      </c>
      <c r="P9" s="21">
        <v>2.12840720847347E-2</v>
      </c>
    </row>
    <row r="10" spans="1:16">
      <c r="A10" t="s">
        <v>38450</v>
      </c>
      <c r="B10" s="36">
        <v>118.666666666667</v>
      </c>
      <c r="C10" t="s">
        <v>38451</v>
      </c>
      <c r="D10" s="37" t="s">
        <v>8618</v>
      </c>
      <c r="E10" s="38">
        <f t="shared" si="0"/>
        <v>0.21536600120992197</v>
      </c>
      <c r="F10" s="21">
        <f t="shared" si="1"/>
        <v>5.893551858289893E-2</v>
      </c>
      <c r="G10" t="s">
        <v>38450</v>
      </c>
      <c r="H10" s="39">
        <v>196.166666666667</v>
      </c>
      <c r="I10" t="s">
        <v>38451</v>
      </c>
      <c r="J10" s="40" t="s">
        <v>8618</v>
      </c>
      <c r="K10" s="41">
        <f t="shared" si="2"/>
        <v>0.35731633272616942</v>
      </c>
      <c r="L10" s="21">
        <f t="shared" si="3"/>
        <v>5.9083379348426376E-2</v>
      </c>
      <c r="N10" t="s">
        <v>38452</v>
      </c>
      <c r="O10" s="21">
        <v>5.8935518582898902E-2</v>
      </c>
      <c r="P10" s="21">
        <v>5.90833793484263E-2</v>
      </c>
    </row>
    <row r="11" spans="1:16">
      <c r="A11" t="s">
        <v>38453</v>
      </c>
      <c r="B11" s="36">
        <v>1.3333333333333299</v>
      </c>
      <c r="C11" t="s">
        <v>38454</v>
      </c>
      <c r="D11" s="37" t="s">
        <v>8618</v>
      </c>
      <c r="E11" s="38">
        <f t="shared" si="0"/>
        <v>2.4198427102238291E-3</v>
      </c>
      <c r="F11" s="21">
        <f t="shared" si="1"/>
        <v>6.6219683801009685E-4</v>
      </c>
      <c r="G11" t="s">
        <v>38453</v>
      </c>
      <c r="H11" s="39">
        <v>5.6666666666666696</v>
      </c>
      <c r="I11" t="s">
        <v>38454</v>
      </c>
      <c r="J11" s="40" t="s">
        <v>8618</v>
      </c>
      <c r="K11" s="41">
        <f t="shared" si="2"/>
        <v>1.0321797207043114E-2</v>
      </c>
      <c r="L11" s="21">
        <f t="shared" si="3"/>
        <v>1.7067416294362741E-3</v>
      </c>
      <c r="N11" t="s">
        <v>38455</v>
      </c>
      <c r="O11" s="21">
        <v>6.6219683801009696E-4</v>
      </c>
      <c r="P11" s="21">
        <v>1.7067416294362699E-3</v>
      </c>
    </row>
    <row r="12" spans="1:16">
      <c r="A12" t="s">
        <v>38456</v>
      </c>
      <c r="B12" s="36">
        <v>173</v>
      </c>
      <c r="C12" t="s">
        <v>38457</v>
      </c>
      <c r="D12" s="37" t="s">
        <v>8618</v>
      </c>
      <c r="E12" s="38">
        <f t="shared" si="0"/>
        <v>0.31397459165154262</v>
      </c>
      <c r="F12" s="21">
        <f t="shared" si="1"/>
        <v>8.5920039731810283E-2</v>
      </c>
      <c r="G12" t="s">
        <v>38456</v>
      </c>
      <c r="H12" s="39">
        <v>68.5</v>
      </c>
      <c r="I12" t="s">
        <v>38457</v>
      </c>
      <c r="J12" s="40" t="s">
        <v>8618</v>
      </c>
      <c r="K12" s="41">
        <f t="shared" si="2"/>
        <v>0.12477231329690346</v>
      </c>
      <c r="L12" s="21">
        <f t="shared" si="3"/>
        <v>2.0631494402891418E-2</v>
      </c>
      <c r="N12" t="s">
        <v>38458</v>
      </c>
      <c r="O12" s="21">
        <v>8.5920039731810297E-2</v>
      </c>
      <c r="P12" s="21">
        <v>2.0631494402891401E-2</v>
      </c>
    </row>
    <row r="13" spans="1:16">
      <c r="A13" t="s">
        <v>38459</v>
      </c>
      <c r="B13" s="36">
        <v>116</v>
      </c>
      <c r="C13" t="s">
        <v>38460</v>
      </c>
      <c r="D13" s="37" t="s">
        <v>8618</v>
      </c>
      <c r="E13" s="38">
        <f t="shared" si="0"/>
        <v>0.21052631578947367</v>
      </c>
      <c r="F13" s="21">
        <f t="shared" si="1"/>
        <v>5.7611124906878572E-2</v>
      </c>
      <c r="G13" t="s">
        <v>38459</v>
      </c>
      <c r="H13" s="39">
        <v>84.1666666666667</v>
      </c>
      <c r="I13" t="s">
        <v>38460</v>
      </c>
      <c r="J13" s="40" t="s">
        <v>8618</v>
      </c>
      <c r="K13" s="41">
        <f t="shared" si="2"/>
        <v>0.15330904675166976</v>
      </c>
      <c r="L13" s="21">
        <f t="shared" si="3"/>
        <v>2.5350133025450538E-2</v>
      </c>
      <c r="N13" t="s">
        <v>38461</v>
      </c>
      <c r="O13" s="21">
        <v>5.76111249068786E-2</v>
      </c>
      <c r="P13" s="21">
        <v>2.53501330254505E-2</v>
      </c>
    </row>
    <row r="14" spans="1:16">
      <c r="A14" t="s">
        <v>38462</v>
      </c>
      <c r="B14" s="36">
        <v>18.1666666666667</v>
      </c>
      <c r="C14" t="s">
        <v>38463</v>
      </c>
      <c r="D14" s="37" t="s">
        <v>8618</v>
      </c>
      <c r="E14" s="38">
        <f t="shared" si="0"/>
        <v>3.2970356926799817E-2</v>
      </c>
      <c r="F14" s="21">
        <f t="shared" si="1"/>
        <v>9.0224319178876088E-3</v>
      </c>
      <c r="G14" t="s">
        <v>38462</v>
      </c>
      <c r="H14" s="39">
        <v>16.8333333333333</v>
      </c>
      <c r="I14" t="s">
        <v>38463</v>
      </c>
      <c r="J14" s="40" t="s">
        <v>8618</v>
      </c>
      <c r="K14" s="41">
        <f t="shared" si="2"/>
        <v>3.0661809350333882E-2</v>
      </c>
      <c r="L14" s="21">
        <f t="shared" si="3"/>
        <v>5.0700266050900953E-3</v>
      </c>
      <c r="N14" t="s">
        <v>38464</v>
      </c>
      <c r="O14" s="21">
        <v>9.0224319178876106E-3</v>
      </c>
      <c r="P14" s="21">
        <v>5.0700266050900901E-3</v>
      </c>
    </row>
    <row r="15" spans="1:16">
      <c r="A15" t="s">
        <v>38465</v>
      </c>
      <c r="B15" s="36">
        <v>73</v>
      </c>
      <c r="C15" t="s">
        <v>38466</v>
      </c>
      <c r="D15" s="37" t="s">
        <v>8618</v>
      </c>
      <c r="E15" s="38">
        <f t="shared" si="0"/>
        <v>0.13248638838475499</v>
      </c>
      <c r="F15" s="21">
        <f t="shared" si="1"/>
        <v>3.6255276881052893E-2</v>
      </c>
      <c r="G15" t="s">
        <v>38465</v>
      </c>
      <c r="H15" s="39">
        <v>95</v>
      </c>
      <c r="I15" t="s">
        <v>38466</v>
      </c>
      <c r="J15" s="40" t="s">
        <v>8618</v>
      </c>
      <c r="K15" s="41">
        <f t="shared" si="2"/>
        <v>0.17304189435336975</v>
      </c>
      <c r="L15" s="21">
        <f t="shared" si="3"/>
        <v>2.8613021434666933E-2</v>
      </c>
      <c r="N15" t="s">
        <v>38467</v>
      </c>
      <c r="O15" s="21">
        <v>3.62552768810529E-2</v>
      </c>
      <c r="P15" s="21">
        <v>2.8613021434666899E-2</v>
      </c>
    </row>
    <row r="16" spans="1:16">
      <c r="A16" t="s">
        <v>38468</v>
      </c>
      <c r="B16" s="36">
        <v>5.5</v>
      </c>
      <c r="C16" t="s">
        <v>38469</v>
      </c>
      <c r="D16" s="37" t="s">
        <v>8618</v>
      </c>
      <c r="E16" s="38">
        <f t="shared" si="0"/>
        <v>9.9818511796733213E-3</v>
      </c>
      <c r="F16" s="21">
        <f t="shared" si="1"/>
        <v>2.7315619567916563E-3</v>
      </c>
      <c r="G16" t="s">
        <v>38468</v>
      </c>
      <c r="H16" s="39">
        <v>10.6666666666667</v>
      </c>
      <c r="I16" t="s">
        <v>38469</v>
      </c>
      <c r="J16" s="40" t="s">
        <v>8618</v>
      </c>
      <c r="K16" s="41">
        <f t="shared" si="2"/>
        <v>1.9429265330904735E-2</v>
      </c>
      <c r="L16" s="21">
        <f t="shared" si="3"/>
        <v>3.2126901259977004E-3</v>
      </c>
      <c r="N16" t="s">
        <v>38470</v>
      </c>
      <c r="O16" s="21">
        <v>2.7315619567916602E-3</v>
      </c>
      <c r="P16" s="21">
        <v>3.2126901259976999E-3</v>
      </c>
    </row>
    <row r="17" spans="1:16">
      <c r="A17" t="s">
        <v>38471</v>
      </c>
      <c r="B17" s="36">
        <v>4</v>
      </c>
      <c r="C17" t="s">
        <v>38472</v>
      </c>
      <c r="D17" s="37" t="s">
        <v>8618</v>
      </c>
      <c r="E17" s="38">
        <f t="shared" si="0"/>
        <v>7.2595281306715061E-3</v>
      </c>
      <c r="F17" s="21">
        <f t="shared" si="1"/>
        <v>1.9865905140302956E-3</v>
      </c>
      <c r="G17" t="s">
        <v>38471</v>
      </c>
      <c r="H17" s="39">
        <v>1</v>
      </c>
      <c r="I17" t="s">
        <v>38472</v>
      </c>
      <c r="J17" s="40" t="s">
        <v>8618</v>
      </c>
      <c r="K17" s="41">
        <f t="shared" si="2"/>
        <v>1.8214936247723133E-3</v>
      </c>
      <c r="L17" s="21">
        <f t="shared" si="3"/>
        <v>3.0118969931228347E-4</v>
      </c>
      <c r="N17" t="s">
        <v>38473</v>
      </c>
      <c r="O17" s="21">
        <v>1.9865905140303E-3</v>
      </c>
      <c r="P17" s="21">
        <v>3.0118969931228299E-4</v>
      </c>
    </row>
    <row r="18" spans="1:16">
      <c r="A18" t="s">
        <v>38474</v>
      </c>
      <c r="B18" s="36">
        <v>35</v>
      </c>
      <c r="C18" t="s">
        <v>38475</v>
      </c>
      <c r="D18" s="42" t="s">
        <v>8672</v>
      </c>
      <c r="E18" s="43">
        <f>B18/$D$40</f>
        <v>6.1946902654867256E-2</v>
      </c>
      <c r="F18" s="21">
        <f t="shared" si="1"/>
        <v>1.7382666997765087E-2</v>
      </c>
      <c r="G18" t="s">
        <v>38474</v>
      </c>
      <c r="H18" s="39">
        <v>1</v>
      </c>
      <c r="I18" t="s">
        <v>38476</v>
      </c>
      <c r="J18" s="44" t="s">
        <v>8672</v>
      </c>
      <c r="K18" s="45">
        <f>H18/$J$40</f>
        <v>1.1376564277588168E-3</v>
      </c>
      <c r="L18" s="21">
        <f t="shared" si="3"/>
        <v>3.0118969931228347E-4</v>
      </c>
      <c r="N18" t="s">
        <v>38476</v>
      </c>
      <c r="O18" s="21">
        <v>1.7382666997765101E-2</v>
      </c>
      <c r="P18" s="21">
        <v>3.0118969931228299E-4</v>
      </c>
    </row>
    <row r="19" spans="1:16">
      <c r="A19" t="s">
        <v>38477</v>
      </c>
      <c r="B19" s="36">
        <v>18</v>
      </c>
      <c r="C19" t="s">
        <v>38478</v>
      </c>
      <c r="D19" s="42" t="s">
        <v>8672</v>
      </c>
      <c r="E19" s="43">
        <f>B19/$D$40</f>
        <v>3.1858407079646017E-2</v>
      </c>
      <c r="F19" s="21">
        <f t="shared" si="1"/>
        <v>8.9396573131363295E-3</v>
      </c>
      <c r="G19" t="s">
        <v>38477</v>
      </c>
      <c r="H19" s="39">
        <v>2</v>
      </c>
      <c r="I19" t="s">
        <v>38478</v>
      </c>
      <c r="J19" s="44" t="s">
        <v>8672</v>
      </c>
      <c r="K19" s="45">
        <f>H19/$J$40</f>
        <v>2.2753128555176336E-3</v>
      </c>
      <c r="L19" s="21">
        <f t="shared" si="3"/>
        <v>6.0237939862456695E-4</v>
      </c>
      <c r="N19" t="s">
        <v>38479</v>
      </c>
      <c r="O19" s="21">
        <v>8.9396573131363295E-3</v>
      </c>
      <c r="P19" s="21">
        <v>6.0237939862456597E-4</v>
      </c>
    </row>
    <row r="20" spans="1:16">
      <c r="A20" t="s">
        <v>38480</v>
      </c>
      <c r="B20" s="36">
        <v>75</v>
      </c>
      <c r="C20" t="s">
        <v>38481</v>
      </c>
      <c r="D20" s="42" t="s">
        <v>8672</v>
      </c>
      <c r="E20" s="43">
        <f>B20/$D$40</f>
        <v>0.13274336283185842</v>
      </c>
      <c r="F20" s="21">
        <f t="shared" si="1"/>
        <v>3.7248572138068044E-2</v>
      </c>
      <c r="G20" t="s">
        <v>38480</v>
      </c>
      <c r="H20" s="39">
        <v>84.75</v>
      </c>
      <c r="I20" t="s">
        <v>38481</v>
      </c>
      <c r="J20" s="44" t="s">
        <v>8672</v>
      </c>
      <c r="K20" s="45">
        <f>H20/$J$40</f>
        <v>9.6416382252559732E-2</v>
      </c>
      <c r="L20" s="21">
        <f t="shared" si="3"/>
        <v>2.5525827016716025E-2</v>
      </c>
      <c r="N20" t="s">
        <v>38482</v>
      </c>
      <c r="O20" s="21">
        <v>3.7248572138068002E-2</v>
      </c>
      <c r="P20" s="21">
        <v>2.5525827016716001E-2</v>
      </c>
    </row>
    <row r="21" spans="1:16">
      <c r="A21" t="s">
        <v>38483</v>
      </c>
      <c r="B21" s="36">
        <v>146</v>
      </c>
      <c r="C21" t="s">
        <v>38484</v>
      </c>
      <c r="D21" s="42" t="s">
        <v>8672</v>
      </c>
      <c r="E21" s="43">
        <f>B21/$D$40</f>
        <v>0.25840707964601772</v>
      </c>
      <c r="F21" s="21">
        <f t="shared" si="1"/>
        <v>7.2510553762105787E-2</v>
      </c>
      <c r="G21" t="s">
        <v>38483</v>
      </c>
      <c r="H21" s="39">
        <v>140</v>
      </c>
      <c r="I21" t="s">
        <v>38484</v>
      </c>
      <c r="J21" s="44" t="s">
        <v>8672</v>
      </c>
      <c r="K21" s="45">
        <f>H21/$J$40</f>
        <v>0.15927189988623436</v>
      </c>
      <c r="L21" s="21">
        <f t="shared" si="3"/>
        <v>4.216655790371969E-2</v>
      </c>
      <c r="N21" t="s">
        <v>38485</v>
      </c>
      <c r="O21" s="21">
        <v>7.2510553762105801E-2</v>
      </c>
      <c r="P21" s="21">
        <v>4.2166557903719599E-2</v>
      </c>
    </row>
    <row r="22" spans="1:16">
      <c r="A22" t="s">
        <v>38486</v>
      </c>
      <c r="B22" s="36">
        <v>290.5</v>
      </c>
      <c r="C22" t="s">
        <v>38487</v>
      </c>
      <c r="D22" s="42" t="s">
        <v>8672</v>
      </c>
      <c r="E22" s="43">
        <f>B22/$D$40</f>
        <v>0.51415929203539823</v>
      </c>
      <c r="F22" s="21">
        <f t="shared" si="1"/>
        <v>0.14427613608145021</v>
      </c>
      <c r="G22" t="s">
        <v>38486</v>
      </c>
      <c r="H22" s="39">
        <v>651.5</v>
      </c>
      <c r="I22" t="s">
        <v>38487</v>
      </c>
      <c r="J22" s="44" t="s">
        <v>8672</v>
      </c>
      <c r="K22" s="45">
        <f>H22/$J$40</f>
        <v>0.74118316268486917</v>
      </c>
      <c r="L22" s="21">
        <f t="shared" si="3"/>
        <v>0.19622508910195269</v>
      </c>
      <c r="N22" t="s">
        <v>38488</v>
      </c>
      <c r="O22" s="21">
        <v>0.14427613608145001</v>
      </c>
      <c r="P22" s="21">
        <v>0.19622508910195299</v>
      </c>
    </row>
    <row r="23" spans="1:16">
      <c r="A23" t="s">
        <v>38489</v>
      </c>
      <c r="B23" s="36">
        <v>15</v>
      </c>
      <c r="C23" t="s">
        <v>38490</v>
      </c>
      <c r="D23" s="46" t="s">
        <v>8642</v>
      </c>
      <c r="E23" s="47">
        <f t="shared" ref="E23:E30" si="4">B23/$D$41</f>
        <v>4.261363636363636E-2</v>
      </c>
      <c r="F23" s="21">
        <f t="shared" si="1"/>
        <v>7.4497144276136082E-3</v>
      </c>
      <c r="G23" t="s">
        <v>38489</v>
      </c>
      <c r="H23" s="39">
        <v>2</v>
      </c>
      <c r="I23" t="s">
        <v>38490</v>
      </c>
      <c r="J23" s="46" t="s">
        <v>8642</v>
      </c>
      <c r="K23" s="47">
        <f t="shared" ref="K23:K30" si="5">H23/$J$41</f>
        <v>3.4843205574912892E-3</v>
      </c>
      <c r="L23" s="21">
        <f t="shared" si="3"/>
        <v>6.0237939862456695E-4</v>
      </c>
      <c r="N23" t="s">
        <v>38491</v>
      </c>
      <c r="O23" s="21">
        <v>7.44971442761361E-3</v>
      </c>
      <c r="P23" s="21">
        <v>6.0237939862456597E-4</v>
      </c>
    </row>
    <row r="24" spans="1:16">
      <c r="A24" t="s">
        <v>38492</v>
      </c>
      <c r="B24" s="36">
        <v>32</v>
      </c>
      <c r="C24" t="s">
        <v>38493</v>
      </c>
      <c r="D24" s="46" t="s">
        <v>8642</v>
      </c>
      <c r="E24" s="47">
        <f t="shared" si="4"/>
        <v>9.0909090909090912E-2</v>
      </c>
      <c r="F24" s="21">
        <f t="shared" si="1"/>
        <v>1.5892724112242365E-2</v>
      </c>
      <c r="G24" t="s">
        <v>38492</v>
      </c>
      <c r="H24" s="39">
        <v>31.75</v>
      </c>
      <c r="I24" t="s">
        <v>38493</v>
      </c>
      <c r="J24" s="46" t="s">
        <v>8642</v>
      </c>
      <c r="K24" s="47">
        <f t="shared" si="5"/>
        <v>5.5313588850174213E-2</v>
      </c>
      <c r="L24" s="21">
        <f t="shared" si="3"/>
        <v>9.5627729531650007E-3</v>
      </c>
      <c r="N24" t="s">
        <v>38493</v>
      </c>
      <c r="O24" s="21">
        <v>1.58927241122424E-2</v>
      </c>
      <c r="P24" s="21">
        <v>9.5627729531649903E-3</v>
      </c>
    </row>
    <row r="25" spans="1:16">
      <c r="A25" t="s">
        <v>38494</v>
      </c>
      <c r="B25" s="36">
        <v>114</v>
      </c>
      <c r="C25" t="s">
        <v>38495</v>
      </c>
      <c r="D25" s="46" t="s">
        <v>8642</v>
      </c>
      <c r="E25" s="47">
        <f t="shared" si="4"/>
        <v>0.32386363636363635</v>
      </c>
      <c r="F25" s="21">
        <f t="shared" si="1"/>
        <v>5.6617829649863421E-2</v>
      </c>
      <c r="G25" t="s">
        <v>38494</v>
      </c>
      <c r="H25" s="39">
        <v>358</v>
      </c>
      <c r="I25" t="s">
        <v>38495</v>
      </c>
      <c r="J25" s="46" t="s">
        <v>8642</v>
      </c>
      <c r="K25" s="47">
        <f t="shared" si="5"/>
        <v>0.62369337979094075</v>
      </c>
      <c r="L25" s="21">
        <f t="shared" si="3"/>
        <v>0.10782591235379749</v>
      </c>
      <c r="N25" t="s">
        <v>38495</v>
      </c>
      <c r="O25" s="21">
        <v>5.6617829649863401E-2</v>
      </c>
      <c r="P25" s="21">
        <v>0.107825912353797</v>
      </c>
    </row>
    <row r="26" spans="1:16">
      <c r="A26" t="s">
        <v>38496</v>
      </c>
      <c r="B26" s="36">
        <v>94.8333333333333</v>
      </c>
      <c r="C26" t="s">
        <v>38497</v>
      </c>
      <c r="D26" s="46" t="s">
        <v>8642</v>
      </c>
      <c r="E26" s="47">
        <f t="shared" si="4"/>
        <v>0.26941287878787867</v>
      </c>
      <c r="F26" s="21">
        <f t="shared" si="1"/>
        <v>4.7098750103468243E-2</v>
      </c>
      <c r="G26" t="s">
        <v>38496</v>
      </c>
      <c r="H26" s="39">
        <v>72</v>
      </c>
      <c r="I26" t="s">
        <v>38497</v>
      </c>
      <c r="J26" s="46" t="s">
        <v>8642</v>
      </c>
      <c r="K26" s="47">
        <f t="shared" si="5"/>
        <v>0.12543554006968641</v>
      </c>
      <c r="L26" s="21">
        <f t="shared" si="3"/>
        <v>2.1685658350484412E-2</v>
      </c>
      <c r="N26" t="s">
        <v>38497</v>
      </c>
      <c r="O26" s="21">
        <v>4.7098750103468201E-2</v>
      </c>
      <c r="P26" s="21">
        <v>2.1685658350484398E-2</v>
      </c>
    </row>
    <row r="27" spans="1:16">
      <c r="A27" t="s">
        <v>38498</v>
      </c>
      <c r="B27" s="36">
        <v>25</v>
      </c>
      <c r="C27" t="s">
        <v>38499</v>
      </c>
      <c r="D27" s="46" t="s">
        <v>8642</v>
      </c>
      <c r="E27" s="47">
        <f t="shared" si="4"/>
        <v>7.1022727272727279E-2</v>
      </c>
      <c r="F27" s="21">
        <f t="shared" si="1"/>
        <v>1.2416190712689347E-2</v>
      </c>
      <c r="G27" t="s">
        <v>38498</v>
      </c>
      <c r="H27" s="39">
        <v>75.25</v>
      </c>
      <c r="I27" t="s">
        <v>38499</v>
      </c>
      <c r="J27" s="46" t="s">
        <v>8642</v>
      </c>
      <c r="K27" s="47">
        <f t="shared" si="5"/>
        <v>0.13109756097560976</v>
      </c>
      <c r="L27" s="21">
        <f t="shared" si="3"/>
        <v>2.2664524873249332E-2</v>
      </c>
      <c r="N27" t="s">
        <v>38499</v>
      </c>
      <c r="O27" s="21">
        <v>1.24161907126893E-2</v>
      </c>
      <c r="P27" s="21">
        <v>2.2664524873249301E-2</v>
      </c>
    </row>
    <row r="28" spans="1:16">
      <c r="A28" t="s">
        <v>38500</v>
      </c>
      <c r="B28" s="36">
        <v>19</v>
      </c>
      <c r="C28" t="s">
        <v>38501</v>
      </c>
      <c r="D28" s="46" t="s">
        <v>8642</v>
      </c>
      <c r="E28" s="47">
        <f t="shared" si="4"/>
        <v>5.3977272727272728E-2</v>
      </c>
      <c r="F28" s="21">
        <f t="shared" si="1"/>
        <v>9.436304941643903E-3</v>
      </c>
      <c r="G28" t="s">
        <v>38500</v>
      </c>
      <c r="H28" s="39">
        <v>10</v>
      </c>
      <c r="I28" t="s">
        <v>38501</v>
      </c>
      <c r="J28" s="46" t="s">
        <v>8642</v>
      </c>
      <c r="K28" s="47">
        <f t="shared" si="5"/>
        <v>1.7421602787456445E-2</v>
      </c>
      <c r="L28" s="21">
        <f t="shared" si="3"/>
        <v>3.0118969931228349E-3</v>
      </c>
      <c r="N28" t="s">
        <v>38501</v>
      </c>
      <c r="O28" s="21">
        <v>9.4363049416438995E-3</v>
      </c>
      <c r="P28" s="21">
        <v>3.0118969931228301E-3</v>
      </c>
    </row>
    <row r="29" spans="1:16">
      <c r="A29" t="s">
        <v>38502</v>
      </c>
      <c r="B29" s="36">
        <v>42</v>
      </c>
      <c r="C29" t="s">
        <v>38503</v>
      </c>
      <c r="D29" s="46" t="s">
        <v>8642</v>
      </c>
      <c r="E29" s="47">
        <f t="shared" si="4"/>
        <v>0.11931818181818182</v>
      </c>
      <c r="F29" s="21">
        <f t="shared" si="1"/>
        <v>2.0859200397318103E-2</v>
      </c>
      <c r="G29" t="s">
        <v>38502</v>
      </c>
      <c r="H29" s="39">
        <v>8.5</v>
      </c>
      <c r="I29" t="s">
        <v>38503</v>
      </c>
      <c r="J29" s="46" t="s">
        <v>8642</v>
      </c>
      <c r="K29" s="47">
        <f t="shared" si="5"/>
        <v>1.4808362369337979E-2</v>
      </c>
      <c r="L29" s="21">
        <f t="shared" si="3"/>
        <v>2.5601124441544097E-3</v>
      </c>
      <c r="N29" t="s">
        <v>38503</v>
      </c>
      <c r="O29" s="21">
        <v>2.08592003973181E-2</v>
      </c>
      <c r="P29" s="21">
        <v>2.5601124441544101E-3</v>
      </c>
    </row>
    <row r="30" spans="1:16">
      <c r="A30" t="s">
        <v>38504</v>
      </c>
      <c r="B30" s="36">
        <v>10</v>
      </c>
      <c r="C30" t="s">
        <v>38505</v>
      </c>
      <c r="D30" s="46" t="s">
        <v>8642</v>
      </c>
      <c r="E30" s="47">
        <f t="shared" si="4"/>
        <v>2.8409090909090908E-2</v>
      </c>
      <c r="F30" s="21">
        <f t="shared" si="1"/>
        <v>4.9664762850757391E-3</v>
      </c>
      <c r="G30" t="s">
        <v>38504</v>
      </c>
      <c r="H30" s="39">
        <v>16.25</v>
      </c>
      <c r="I30" t="s">
        <v>38505</v>
      </c>
      <c r="J30" s="46" t="s">
        <v>8642</v>
      </c>
      <c r="K30" s="47">
        <f t="shared" si="5"/>
        <v>2.8310104529616725E-2</v>
      </c>
      <c r="L30" s="21">
        <f t="shared" si="3"/>
        <v>4.894332613824607E-3</v>
      </c>
      <c r="N30" t="s">
        <v>38505</v>
      </c>
      <c r="O30" s="21">
        <v>4.96647628507574E-3</v>
      </c>
      <c r="P30" s="21">
        <v>4.8943326138246E-3</v>
      </c>
    </row>
    <row r="31" spans="1:16">
      <c r="A31" t="s">
        <v>38506</v>
      </c>
      <c r="B31" s="36">
        <v>140.5</v>
      </c>
      <c r="C31" t="s">
        <v>38507</v>
      </c>
      <c r="D31" t="s">
        <v>9066</v>
      </c>
      <c r="G31" t="s">
        <v>38506</v>
      </c>
      <c r="H31" s="39">
        <v>196.166666666667</v>
      </c>
      <c r="I31" t="s">
        <v>38507</v>
      </c>
      <c r="J31" t="s">
        <v>9066</v>
      </c>
      <c r="L31" s="21"/>
      <c r="N31" t="s">
        <v>38508</v>
      </c>
      <c r="O31" s="21">
        <v>4.6436553265458202E-2</v>
      </c>
      <c r="P31" s="21">
        <v>0.222930575774308</v>
      </c>
    </row>
    <row r="32" spans="1:16">
      <c r="A32" t="s">
        <v>38509</v>
      </c>
      <c r="B32" s="36">
        <v>2219</v>
      </c>
      <c r="C32" t="s">
        <v>38510</v>
      </c>
      <c r="D32" t="s">
        <v>9066</v>
      </c>
      <c r="G32" t="s">
        <v>38509</v>
      </c>
      <c r="H32" s="39">
        <v>6722</v>
      </c>
      <c r="I32" t="s">
        <v>38510</v>
      </c>
      <c r="J32" t="s">
        <v>9066</v>
      </c>
      <c r="L32" s="21"/>
      <c r="N32" t="s">
        <v>38511</v>
      </c>
      <c r="O32" s="21">
        <v>6.8537372734045199E-2</v>
      </c>
      <c r="P32" s="21">
        <v>0.112644947542794</v>
      </c>
    </row>
    <row r="33" spans="1:16">
      <c r="A33" t="s">
        <v>8621</v>
      </c>
      <c r="B33" s="36">
        <v>93.5</v>
      </c>
      <c r="C33" t="s">
        <v>38508</v>
      </c>
      <c r="D33" t="s">
        <v>9066</v>
      </c>
      <c r="F33" s="21">
        <f>B33/$D$45</f>
        <v>4.6436553265458161E-2</v>
      </c>
      <c r="G33" t="s">
        <v>8621</v>
      </c>
      <c r="H33" s="39">
        <v>740.16666666666697</v>
      </c>
      <c r="I33" t="s">
        <v>38508</v>
      </c>
      <c r="L33" s="21">
        <f>H33/$J$45</f>
        <v>0.22293057577430858</v>
      </c>
      <c r="N33" t="s">
        <v>38512</v>
      </c>
      <c r="O33" s="21">
        <v>0.15594735535137799</v>
      </c>
      <c r="P33" s="21">
        <v>6.1442698659705801E-2</v>
      </c>
    </row>
    <row r="34" spans="1:16">
      <c r="A34" t="s">
        <v>38513</v>
      </c>
      <c r="B34" s="36">
        <v>138</v>
      </c>
      <c r="C34" t="s">
        <v>38511</v>
      </c>
      <c r="F34" s="21">
        <f>B34/$D$45</f>
        <v>6.8537372734045199E-2</v>
      </c>
      <c r="G34" t="s">
        <v>38513</v>
      </c>
      <c r="H34" s="39">
        <v>374</v>
      </c>
      <c r="I34" t="s">
        <v>38511</v>
      </c>
      <c r="L34" s="21">
        <f>H34/$J$45</f>
        <v>0.11264494754279403</v>
      </c>
    </row>
    <row r="35" spans="1:16">
      <c r="A35" t="s">
        <v>38514</v>
      </c>
      <c r="B35" s="36">
        <v>314</v>
      </c>
      <c r="C35" t="s">
        <v>38512</v>
      </c>
      <c r="F35" s="21">
        <f>B35/$D$45</f>
        <v>0.15594735535137819</v>
      </c>
      <c r="G35" t="s">
        <v>38514</v>
      </c>
      <c r="H35" s="39">
        <v>204</v>
      </c>
      <c r="I35" t="s">
        <v>38512</v>
      </c>
      <c r="L35" s="21">
        <f>H35/$J$45</f>
        <v>6.1442698659705836E-2</v>
      </c>
    </row>
    <row r="36" spans="1:16">
      <c r="B36">
        <f>SUM(B9:B35)</f>
        <v>4372</v>
      </c>
      <c r="H36">
        <f>SUM(H9:H35)</f>
        <v>10238</v>
      </c>
    </row>
    <row r="39" spans="1:16">
      <c r="C39" t="s">
        <v>8618</v>
      </c>
      <c r="D39">
        <v>551</v>
      </c>
      <c r="E39" s="21">
        <f t="shared" ref="E39:E44" si="6">D39/D$45</f>
        <v>0.2736528433076732</v>
      </c>
      <c r="I39" t="s">
        <v>8618</v>
      </c>
      <c r="J39">
        <v>549</v>
      </c>
      <c r="K39" s="21">
        <f t="shared" ref="K39:K44" si="7">J39/J$45</f>
        <v>0.16535314492244363</v>
      </c>
    </row>
    <row r="40" spans="1:16">
      <c r="C40" t="s">
        <v>8672</v>
      </c>
      <c r="D40">
        <v>565</v>
      </c>
      <c r="E40" s="21">
        <f t="shared" si="6"/>
        <v>0.28060591010677927</v>
      </c>
      <c r="I40" t="s">
        <v>8672</v>
      </c>
      <c r="J40">
        <v>879</v>
      </c>
      <c r="K40" s="21">
        <f t="shared" si="7"/>
        <v>0.26474574569549719</v>
      </c>
    </row>
    <row r="41" spans="1:16">
      <c r="C41" t="s">
        <v>8642</v>
      </c>
      <c r="D41">
        <v>352</v>
      </c>
      <c r="E41" s="21">
        <f t="shared" si="6"/>
        <v>0.174819965234666</v>
      </c>
      <c r="I41" t="s">
        <v>8642</v>
      </c>
      <c r="J41">
        <v>574</v>
      </c>
      <c r="K41" s="21">
        <f t="shared" si="7"/>
        <v>0.17288288740525073</v>
      </c>
    </row>
    <row r="42" spans="1:16">
      <c r="C42" t="s">
        <v>38508</v>
      </c>
      <c r="D42" s="36">
        <v>93.5</v>
      </c>
      <c r="E42" s="21">
        <f t="shared" si="6"/>
        <v>4.6436553265458161E-2</v>
      </c>
      <c r="I42" t="s">
        <v>38508</v>
      </c>
      <c r="J42" s="39">
        <v>740.16666666666697</v>
      </c>
      <c r="K42" s="21">
        <f t="shared" si="7"/>
        <v>0.22293057577430858</v>
      </c>
    </row>
    <row r="43" spans="1:16">
      <c r="C43" t="s">
        <v>38511</v>
      </c>
      <c r="D43" s="36">
        <v>138</v>
      </c>
      <c r="E43" s="21">
        <f t="shared" si="6"/>
        <v>6.8537372734045199E-2</v>
      </c>
      <c r="I43" t="s">
        <v>38511</v>
      </c>
      <c r="J43" s="39">
        <v>374</v>
      </c>
      <c r="K43" s="21">
        <f t="shared" si="7"/>
        <v>0.11264494754279403</v>
      </c>
    </row>
    <row r="44" spans="1:16">
      <c r="C44" t="s">
        <v>38512</v>
      </c>
      <c r="D44" s="36">
        <v>314</v>
      </c>
      <c r="E44" s="21">
        <f t="shared" si="6"/>
        <v>0.15594735535137819</v>
      </c>
      <c r="I44" t="s">
        <v>38512</v>
      </c>
      <c r="J44" s="39">
        <v>204</v>
      </c>
      <c r="K44" s="21">
        <f t="shared" si="7"/>
        <v>6.1442698659705836E-2</v>
      </c>
    </row>
    <row r="45" spans="1:16">
      <c r="C45" t="s">
        <v>38446</v>
      </c>
      <c r="D45">
        <f>SUM(D39:D44)</f>
        <v>2013.5</v>
      </c>
      <c r="E45" s="21">
        <f>D45/B$36</f>
        <v>0.46054437328453796</v>
      </c>
      <c r="I45" t="s">
        <v>38446</v>
      </c>
      <c r="J45" s="36">
        <f>SUM(J39:J44)</f>
        <v>3320.166666666667</v>
      </c>
      <c r="K45" s="21">
        <f>J45/H$36</f>
        <v>0.32429836556619135</v>
      </c>
    </row>
    <row r="46" spans="1:16">
      <c r="C46" t="s">
        <v>38507</v>
      </c>
      <c r="D46" s="36">
        <v>140.5</v>
      </c>
      <c r="E46" s="21">
        <f>D46/B$36</f>
        <v>3.2136322049405308E-2</v>
      </c>
      <c r="I46" t="s">
        <v>38507</v>
      </c>
      <c r="J46" s="39">
        <v>196.166666666667</v>
      </c>
      <c r="K46" s="21">
        <f>J46/H$36</f>
        <v>1.9160643354821937E-2</v>
      </c>
    </row>
    <row r="47" spans="1:16">
      <c r="C47" t="s">
        <v>38510</v>
      </c>
      <c r="D47" s="36">
        <v>2219</v>
      </c>
      <c r="E47" s="21">
        <f>D47/B$36</f>
        <v>0.50754803293687101</v>
      </c>
      <c r="I47" t="s">
        <v>38510</v>
      </c>
      <c r="J47" s="39">
        <v>6722</v>
      </c>
      <c r="K47" s="21">
        <f>J47/H$36</f>
        <v>0.65657354952139091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4BA94-3453-B94E-B326-8ACB4DE31944}">
  <dimension ref="A1:F9"/>
  <sheetViews>
    <sheetView workbookViewId="0">
      <selection sqref="A1:F9"/>
    </sheetView>
  </sheetViews>
  <sheetFormatPr baseColWidth="10" defaultRowHeight="16"/>
  <sheetData>
    <row r="1" spans="1:6">
      <c r="A1" s="48"/>
      <c r="B1" s="48"/>
      <c r="C1" s="48"/>
      <c r="D1" s="108" t="s">
        <v>38515</v>
      </c>
      <c r="E1" s="108"/>
    </row>
    <row r="2" spans="1:6" ht="68">
      <c r="A2" s="49" t="s">
        <v>38516</v>
      </c>
      <c r="B2" s="49" t="s">
        <v>38517</v>
      </c>
      <c r="C2" s="50" t="s">
        <v>38518</v>
      </c>
      <c r="D2" s="49" t="s">
        <v>38519</v>
      </c>
      <c r="E2" s="50" t="s">
        <v>38520</v>
      </c>
    </row>
    <row r="3" spans="1:6">
      <c r="A3" t="s">
        <v>38521</v>
      </c>
      <c r="B3" t="s">
        <v>38522</v>
      </c>
      <c r="C3" t="s">
        <v>38523</v>
      </c>
      <c r="D3" s="35" t="s">
        <v>38524</v>
      </c>
    </row>
    <row r="4" spans="1:6">
      <c r="A4" s="51" t="s">
        <v>38525</v>
      </c>
      <c r="B4" t="s">
        <v>38522</v>
      </c>
      <c r="C4" t="s">
        <v>38526</v>
      </c>
      <c r="D4" s="35" t="s">
        <v>38527</v>
      </c>
      <c r="E4" t="s">
        <v>38528</v>
      </c>
    </row>
    <row r="5" spans="1:6">
      <c r="A5" t="s">
        <v>38529</v>
      </c>
      <c r="B5" t="s">
        <v>38522</v>
      </c>
      <c r="C5" t="s">
        <v>38530</v>
      </c>
      <c r="D5" s="35" t="s">
        <v>38531</v>
      </c>
      <c r="E5" t="s">
        <v>38532</v>
      </c>
      <c r="F5" t="s">
        <v>38533</v>
      </c>
    </row>
    <row r="6" spans="1:6">
      <c r="A6" s="51" t="s">
        <v>38534</v>
      </c>
      <c r="B6" t="s">
        <v>38522</v>
      </c>
      <c r="C6" s="51" t="s">
        <v>38535</v>
      </c>
      <c r="D6" s="35" t="s">
        <v>38536</v>
      </c>
      <c r="E6" t="s">
        <v>38537</v>
      </c>
    </row>
    <row r="7" spans="1:6">
      <c r="A7" s="51" t="s">
        <v>38538</v>
      </c>
      <c r="B7" t="s">
        <v>38522</v>
      </c>
      <c r="C7" t="s">
        <v>38539</v>
      </c>
      <c r="D7" s="35" t="s">
        <v>38524</v>
      </c>
      <c r="E7" t="s">
        <v>38532</v>
      </c>
    </row>
    <row r="8" spans="1:6">
      <c r="A8" s="51" t="s">
        <v>38540</v>
      </c>
      <c r="B8" t="s">
        <v>38522</v>
      </c>
      <c r="C8" t="s">
        <v>38541</v>
      </c>
      <c r="D8" s="35" t="s">
        <v>38542</v>
      </c>
    </row>
    <row r="9" spans="1:6">
      <c r="A9" s="23" t="s">
        <v>38543</v>
      </c>
      <c r="B9" s="23" t="s">
        <v>38522</v>
      </c>
      <c r="C9" s="23" t="s">
        <v>38544</v>
      </c>
      <c r="D9" s="52" t="s">
        <v>38545</v>
      </c>
      <c r="E9" s="23" t="s">
        <v>38546</v>
      </c>
      <c r="F9" t="s">
        <v>8958</v>
      </c>
    </row>
  </sheetData>
  <mergeCells count="1">
    <mergeCell ref="D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TS1</vt:lpstr>
      <vt:lpstr>TS2_DNAMV</vt:lpstr>
      <vt:lpstr>TS2_DNAUV</vt:lpstr>
      <vt:lpstr>TS2_IHU</vt:lpstr>
      <vt:lpstr>TS2_breakdown</vt:lpstr>
      <vt:lpstr>TS3_EUKVIRUS.ANOT_2</vt:lpstr>
      <vt:lpstr>TS3_PROKVIRUS.ANNOT_2</vt:lpstr>
      <vt:lpstr>TS3_stats</vt:lpstr>
      <vt:lpstr>TS3_protein</vt:lpstr>
      <vt:lpstr>TS4_OTU_matrix</vt:lpstr>
      <vt:lpstr>TS4_taxonomy_table</vt:lpstr>
      <vt:lpstr>TS4_samples</vt:lpstr>
      <vt:lpstr>TS5_correlation_data_PCA-GV</vt:lpstr>
      <vt:lpstr>TS5_correlation_data_PCA_PLV</vt:lpstr>
      <vt:lpstr>TS5_correlation_data_PCA_GV-PLV</vt:lpstr>
      <vt:lpstr>TS6_summary</vt:lpstr>
      <vt:lpstr>TS6_markerout</vt:lpstr>
      <vt:lpstr>Supp_data_file_1_GV-primers</vt:lpstr>
      <vt:lpstr>Supp_data_file_1_PLV-primers</vt:lpstr>
      <vt:lpstr>Supp_data_file_2_ATPase.All.s.p</vt:lpstr>
      <vt:lpstr>Supp_data_file_2_ATPase.All.p.a</vt:lpstr>
      <vt:lpstr>Supp_data_file_2_DNAP.All.pep</vt:lpstr>
      <vt:lpstr>Supp_data_file_2_DNAP.All.pep.a</vt:lpstr>
      <vt:lpstr>Supp_data_file_2_MCP.ALL+META.p</vt:lpstr>
      <vt:lpstr>Supp_data_file_2_MCP.ALL+MET.p.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Chase, Emily</dc:creator>
  <cp:lastModifiedBy>Chase, Emily</cp:lastModifiedBy>
  <dcterms:created xsi:type="dcterms:W3CDTF">2024-09-23T17:58:36Z</dcterms:created>
  <dcterms:modified xsi:type="dcterms:W3CDTF">2024-09-23T18:16:37Z</dcterms:modified>
</cp:coreProperties>
</file>